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drawings/drawing8.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theme/themeOverride1.xml" ContentType="application/vnd.openxmlformats-officedocument.themeOverride+xml"/>
  <Override PartName="/xl/drawings/drawing9.xml" ContentType="application/vnd.openxmlformats-officedocument.drawingml.chartshapes+xml"/>
  <Override PartName="/xl/drawings/drawing10.xml" ContentType="application/vnd.openxmlformats-officedocument.drawing+xml"/>
  <Override PartName="/xl/charts/chart18.xml" ContentType="application/vnd.openxmlformats-officedocument.drawingml.chart+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9.xml" ContentType="application/vnd.openxmlformats-officedocument.spreadsheetml.comments+xml"/>
  <Override PartName="/xl/drawings/drawing1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8.xml" ContentType="application/vnd.openxmlformats-officedocument.drawing+xml"/>
  <Override PartName="/xl/comments10.xml" ContentType="application/vnd.openxmlformats-officedocument.spreadsheetml.comments+xml"/>
  <Override PartName="/xl/drawings/drawing19.xml" ContentType="application/vnd.openxmlformats-officedocument.drawing+xml"/>
  <Override PartName="/xl/comments11.xml" ContentType="application/vnd.openxmlformats-officedocument.spreadsheetml.comments+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omments13.xml" ContentType="application/vnd.openxmlformats-officedocument.spreadsheetml.comments+xml"/>
  <Override PartName="/xl/drawings/drawing22.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3.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pivotTables/pivotTable1.xml" ContentType="application/vnd.openxmlformats-officedocument.spreadsheetml.pivotTable+xml"/>
  <Override PartName="/xl/drawings/drawing24.xml" ContentType="application/vnd.openxmlformats-officedocument.drawing+xml"/>
  <Override PartName="/xl/slicers/slicer1.xml" ContentType="application/vnd.ms-excel.slicer+xml"/>
  <Override PartName="/xl/charts/chart37.xml" ContentType="application/vnd.openxmlformats-officedocument.drawingml.chart+xml"/>
  <Override PartName="/xl/pivotTables/pivotTable2.xml" ContentType="application/vnd.openxmlformats-officedocument.spreadsheetml.pivotTable+xml"/>
  <Override PartName="/xl/drawings/drawing25.xml" ContentType="application/vnd.openxmlformats-officedocument.drawing+xml"/>
  <Override PartName="/xl/slicers/slicer2.xml" ContentType="application/vnd.ms-excel.slicer+xml"/>
  <Override PartName="/xl/charts/chart38.xml" ContentType="application/vnd.openxmlformats-officedocument.drawingml.chart+xml"/>
  <Override PartName="/xl/pivotTables/pivotTable3.xml" ContentType="application/vnd.openxmlformats-officedocument.spreadsheetml.pivotTable+xml"/>
  <Override PartName="/xl/drawings/drawing26.xml" ContentType="application/vnd.openxmlformats-officedocument.drawing+xml"/>
  <Override PartName="/xl/slicers/slicer3.xml" ContentType="application/vnd.ms-excel.slicer+xml"/>
  <Override PartName="/xl/charts/chart39.xml" ContentType="application/vnd.openxmlformats-officedocument.drawingml.chart+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4.xml" ContentType="application/vnd.openxmlformats-officedocument.spreadsheetml.comments+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1196F13-6AD0-C1B8-E2B4-A1F9AE17003E}"/>
  <workbookPr codeName="ThisWorkbook" hidePivotFieldList="1"/>
  <mc:AlternateContent xmlns:mc="http://schemas.openxmlformats.org/markup-compatibility/2006">
    <mc:Choice Requires="x15">
      <x15ac:absPath xmlns:x15ac="http://schemas.microsoft.com/office/spreadsheetml/2010/11/ac" url="C:\Users\fb0102la\Desktop\G-evoluciona\SIME_CUP\Documentacion\"/>
    </mc:Choice>
  </mc:AlternateContent>
  <xr:revisionPtr revIDLastSave="0" documentId="13_ncr:1_{812F528F-4F6F-4ECA-8BB2-875C60CF7475}" xr6:coauthVersionLast="47" xr6:coauthVersionMax="47" xr10:uidLastSave="{00000000-0000-0000-0000-000000000000}"/>
  <bookViews>
    <workbookView xWindow="-108" yWindow="-108" windowWidth="23256" windowHeight="12456" tabRatio="761" activeTab="2" xr2:uid="{00000000-000D-0000-FFFF-FFFF00000000}"/>
  </bookViews>
  <sheets>
    <sheet name="INICIO" sheetId="20" r:id="rId1"/>
    <sheet name="CONTADORES" sheetId="7" r:id="rId2"/>
    <sheet name="DATOSAÑO" sheetId="103" r:id="rId3"/>
    <sheet name="PRODUCCION VS ENERGIA GDP" sheetId="62" r:id="rId4"/>
    <sheet name="REPORTE DIA" sheetId="104" r:id="rId5"/>
    <sheet name="INFORME DIA GDP" sheetId="64" r:id="rId6"/>
    <sheet name="OCENSA" sheetId="17" r:id="rId7"/>
    <sheet name="DATA DE LAS 12" sheetId="31" r:id="rId8"/>
    <sheet name="CURVA DURACION" sheetId="29" r:id="rId9"/>
    <sheet name="REGISTRO DE INDISPONIBILIDAD" sheetId="28" r:id="rId10"/>
    <sheet name="GRAFICAS RPTE GCIAL" sheetId="23" r:id="rId11"/>
    <sheet name="GRAFICAS CURVA DURACION" sheetId="69" r:id="rId12"/>
    <sheet name="CALCULO DE GAS" sheetId="13" r:id="rId13"/>
    <sheet name="CONSUMO DE GAS POR AREAS" sheetId="22" r:id="rId14"/>
    <sheet name="Resultados Mes &amp; Acum" sheetId="37" r:id="rId15"/>
    <sheet name="ESTADISTICOS" sheetId="65" r:id="rId16"/>
    <sheet name="CONSUMO ENERGIA ANUAL " sheetId="25" r:id="rId17"/>
    <sheet name="SEGUIMIENTO CONSUMO ENERGIA" sheetId="26" r:id="rId18"/>
    <sheet name="FORMATO" sheetId="18" r:id="rId19"/>
    <sheet name="Autog. Directa (Cup)" sheetId="70" r:id="rId20"/>
    <sheet name="OIL Generadores" sheetId="99" state="hidden" r:id="rId21"/>
    <sheet name="GRAFICAS DIA-MES" sheetId="33" r:id="rId22"/>
    <sheet name="ESTADISTICOS JENNY" sheetId="67" r:id="rId23"/>
    <sheet name="DATOSCECOS" sheetId="58" state="hidden" r:id="rId24"/>
    <sheet name="US-GT-8001-2" sheetId="32" r:id="rId25"/>
    <sheet name="ESTADISTICOS DE ENERGIA" sheetId="68" r:id="rId26"/>
    <sheet name="FAC  NW" sheetId="30" state="hidden" r:id="rId27"/>
    <sheet name="FILTROS" sheetId="100" state="hidden" r:id="rId28"/>
    <sheet name="INDICADORES" sheetId="53" state="hidden" r:id="rId29"/>
    <sheet name="Datos Mes2" sheetId="36" state="hidden" r:id="rId30"/>
    <sheet name="Grafica totales" sheetId="38" state="hidden" r:id="rId31"/>
    <sheet name="grafica1" sheetId="39" state="hidden" r:id="rId32"/>
    <sheet name="Grafica costos variables" sheetId="40" state="hidden" r:id="rId33"/>
    <sheet name="metricas" sheetId="41" state="hidden" r:id="rId34"/>
    <sheet name="Instrucciones" sheetId="42" state="hidden" r:id="rId35"/>
    <sheet name="Definición Costos" sheetId="43" state="hidden" r:id="rId36"/>
    <sheet name="Datos Mes" sheetId="44" state="hidden" r:id="rId37"/>
    <sheet name="PORTADA" sheetId="11" state="hidden" r:id="rId38"/>
    <sheet name="Hoja1" sheetId="102" state="hidden" r:id="rId39"/>
  </sheets>
  <externalReferences>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s>
  <definedNames>
    <definedName name="___USG1" localSheetId="26">#REF!</definedName>
    <definedName name="___USG1" localSheetId="17">#REF!</definedName>
    <definedName name="___USG2" localSheetId="26">#REF!</definedName>
    <definedName name="__USG1" localSheetId="26">#REF!</definedName>
    <definedName name="__USG2" localSheetId="26">#REF!</definedName>
    <definedName name="_xlnm._FilterDatabase" localSheetId="7" hidden="1">'DATA DE LAS 12'!$B$1:$CC$68</definedName>
    <definedName name="_xlnm._FilterDatabase" localSheetId="2" hidden="1">DATOSAÑO!$A$10:$DO$10</definedName>
    <definedName name="_xlnm._FilterDatabase" localSheetId="5" hidden="1">'INFORME DIA GDP'!$B$2:$T$54</definedName>
    <definedName name="_xlnm._FilterDatabase" localSheetId="3" hidden="1">'PRODUCCION VS ENERGIA GDP'!$AE$3:$AG$7</definedName>
    <definedName name="ACTIVAREACTIVA" localSheetId="2">DATOSAÑO!$B$11:$BP$375</definedName>
    <definedName name="ACTIVAREACTIVA">DATOSAÑO!$B$11:$BP$375</definedName>
    <definedName name="_xlnm.Print_Area" localSheetId="9">'REGISTRO DE INDISPONIBILIDAD'!$1:$135</definedName>
    <definedName name="DATOSG1">'DATA DE LAS 12'!$B$6:$AQ$36</definedName>
    <definedName name="DATOSG2">'DATA DE LAS 12'!$B$41:$AQ$50</definedName>
    <definedName name="Edwing_Rolando_Gómez_Cano">'INFORME DIA GDP'!$J$5</definedName>
    <definedName name="Fuente" localSheetId="9">'REGISTRO DE INDISPONIBILIDAD'!$B$11:$B$30</definedName>
    <definedName name="Instalacion" localSheetId="9">'REGISTRO DE INDISPONIBILIDAD'!$AD$35:$AD$39</definedName>
    <definedName name="MESAÑO" localSheetId="2">DATOSAÑO!$B$376:$CO$387</definedName>
    <definedName name="MESAÑO" localSheetId="15">[1]DATOSAÑO!$B$378:$CF$389</definedName>
    <definedName name="MESAÑO" localSheetId="22">[2]DATOSAÑO!$B$378:$CS$389</definedName>
    <definedName name="MESAÑO" localSheetId="5">[3]DATOSAÑO!$B$378:$CS$389</definedName>
    <definedName name="MESAÑO">DATOSAÑO!$B$376:$CO$387</definedName>
    <definedName name="SegmentaciónDeDatos_Concepto">#N/A</definedName>
    <definedName name="SegmentaciónDeDatos_Concepto1">#N/A</definedName>
    <definedName name="SegmentaciónDeDatos_Concepto2">#N/A</definedName>
    <definedName name="Tipo_Fuente" localSheetId="9">'REGISTRO DE INDISPONIBILIDAD'!$AL$35:$AL$39</definedName>
    <definedName name="Vicepresidencia" localSheetId="9">'REGISTRO DE INDISPONIBILIDAD'!$AE$35:$AE$39</definedName>
    <definedName name="VIF" localSheetId="26">#REF!</definedName>
    <definedName name="VIF" localSheetId="9">'REGISTRO DE INDISPONIBILIDAD'!$AJ$35</definedName>
    <definedName name="VIN" localSheetId="26">#REF!</definedName>
    <definedName name="VIN" localSheetId="9">'REGISTRO DE INDISPONIBILIDAD'!$AI$35</definedName>
    <definedName name="VIT" localSheetId="26">#REF!</definedName>
    <definedName name="VIT" localSheetId="9">'REGISTRO DE INDISPONIBILIDAD'!$AH$35:$AH$37</definedName>
    <definedName name="VPR" localSheetId="9">'REGISTRO DE INDISPONIBILIDAD'!$AF$35:$AF$43</definedName>
    <definedName name="VRP" localSheetId="26">#REF!</definedName>
    <definedName name="VRP" localSheetId="9">'REGISTRO DE INDISPONIBILIDAD'!$AG$35:$AG$36</definedName>
    <definedName name="Zona" localSheetId="9">'REGISTRO DE INDISPONIBILIDAD'!$AK$35:$AK$39</definedName>
  </definedNames>
  <calcPr calcId="181029"/>
  <pivotCaches>
    <pivotCache cacheId="6" r:id="rId51"/>
    <pivotCache cacheId="7" r:id="rId52"/>
  </pivotCaches>
  <extLst>
    <ext xmlns:x14="http://schemas.microsoft.com/office/spreadsheetml/2009/9/main" uri="{BBE1A952-AA13-448e-AADC-164F8A28A991}">
      <x14:slicerCaches>
        <x14:slicerCache r:id="rId53"/>
        <x14:slicerCache r:id="rId54"/>
        <x14:slicerCache r:id="rId55"/>
      </x14:slicerCaches>
    </ext>
    <ext xmlns:x14="http://schemas.microsoft.com/office/spreadsheetml/2009/9/main" uri="{79F54976-1DA5-4618-B147-4CDE4B953A38}">
      <x14:workbookPr/>
    </ext>
  </extLst>
</workbook>
</file>

<file path=xl/calcChain.xml><?xml version="1.0" encoding="utf-8"?>
<calcChain xmlns="http://schemas.openxmlformats.org/spreadsheetml/2006/main">
  <c r="BT158" i="7" l="1"/>
  <c r="AG33" i="32" l="1"/>
  <c r="AG34" i="32"/>
  <c r="AG35" i="32"/>
  <c r="AG36" i="32"/>
  <c r="X36" i="32"/>
  <c r="Y36" i="32"/>
  <c r="AB36" i="32"/>
  <c r="AA36" i="32"/>
  <c r="Z36" i="32"/>
  <c r="X33" i="32"/>
  <c r="Y33" i="32"/>
  <c r="Z33" i="32"/>
  <c r="AA33" i="32"/>
  <c r="AB33" i="32"/>
  <c r="X34" i="32"/>
  <c r="Y34" i="32"/>
  <c r="Z34" i="32"/>
  <c r="AA34" i="32"/>
  <c r="AB34" i="32"/>
  <c r="X35" i="32"/>
  <c r="Y35" i="32"/>
  <c r="Z35" i="32"/>
  <c r="AA35" i="32"/>
  <c r="AB35" i="32"/>
  <c r="G33" i="32"/>
  <c r="H33" i="32"/>
  <c r="I33" i="32"/>
  <c r="J33" i="32"/>
  <c r="K33" i="32"/>
  <c r="L33" i="32"/>
  <c r="M33" i="32"/>
  <c r="N33" i="32"/>
  <c r="O33" i="32"/>
  <c r="G34" i="32"/>
  <c r="H34" i="32"/>
  <c r="I34" i="32"/>
  <c r="J34" i="32"/>
  <c r="K34" i="32"/>
  <c r="L34" i="32"/>
  <c r="M34" i="32"/>
  <c r="N34" i="32"/>
  <c r="O34" i="32"/>
  <c r="G35" i="32"/>
  <c r="H35" i="32"/>
  <c r="I35" i="32"/>
  <c r="J35" i="32"/>
  <c r="K35" i="32"/>
  <c r="L35" i="32"/>
  <c r="M35" i="32"/>
  <c r="N35" i="32"/>
  <c r="O35" i="32"/>
  <c r="G36" i="32"/>
  <c r="H36" i="32"/>
  <c r="I36" i="32"/>
  <c r="J36" i="32"/>
  <c r="K36" i="32"/>
  <c r="L36" i="32"/>
  <c r="M36" i="32"/>
  <c r="N36" i="32"/>
  <c r="O36" i="32"/>
  <c r="F33" i="32"/>
  <c r="F34" i="32"/>
  <c r="F35" i="32"/>
  <c r="F36" i="32"/>
  <c r="E33" i="32"/>
  <c r="E34" i="32"/>
  <c r="E35" i="32"/>
  <c r="E36" i="32"/>
  <c r="C33" i="32"/>
  <c r="C34" i="32"/>
  <c r="C35" i="32"/>
  <c r="C36" i="32"/>
  <c r="B34" i="32"/>
  <c r="B35" i="32"/>
  <c r="B33" i="32"/>
  <c r="AG71" i="32"/>
  <c r="AB71" i="32"/>
  <c r="AA71" i="32"/>
  <c r="Z71" i="32"/>
  <c r="Y71" i="32"/>
  <c r="X71" i="32"/>
  <c r="O71" i="32"/>
  <c r="N71" i="32"/>
  <c r="L71" i="32"/>
  <c r="K71" i="32"/>
  <c r="J71" i="32"/>
  <c r="I71" i="32"/>
  <c r="H71" i="32"/>
  <c r="G71" i="32"/>
  <c r="F71" i="32"/>
  <c r="E71" i="32"/>
  <c r="C71" i="32"/>
  <c r="B71" i="32"/>
  <c r="AG69" i="32"/>
  <c r="AG70" i="32"/>
  <c r="AB69" i="32"/>
  <c r="AB70" i="32"/>
  <c r="AA69" i="32"/>
  <c r="AA70" i="32"/>
  <c r="Z69" i="32"/>
  <c r="Z70" i="32"/>
  <c r="Y69" i="32"/>
  <c r="Y70" i="32"/>
  <c r="X69" i="32"/>
  <c r="X70" i="32"/>
  <c r="B69" i="32"/>
  <c r="B70" i="32"/>
  <c r="C69" i="32"/>
  <c r="C70" i="32"/>
  <c r="E69" i="32"/>
  <c r="E70" i="32"/>
  <c r="F69" i="32"/>
  <c r="F70" i="32"/>
  <c r="G69" i="32"/>
  <c r="G70" i="32"/>
  <c r="H69" i="32"/>
  <c r="H70" i="32"/>
  <c r="I69" i="32"/>
  <c r="I70" i="32"/>
  <c r="J69" i="32"/>
  <c r="J70" i="32"/>
  <c r="K69" i="32"/>
  <c r="K70" i="32"/>
  <c r="O69" i="32"/>
  <c r="O70" i="32"/>
  <c r="N69" i="32"/>
  <c r="N70" i="32"/>
  <c r="L69" i="32"/>
  <c r="L70" i="32"/>
  <c r="M68" i="32"/>
  <c r="M69" i="32"/>
  <c r="M70" i="32"/>
  <c r="M71" i="32"/>
  <c r="M67" i="32"/>
  <c r="M66" i="32"/>
  <c r="M64" i="32"/>
  <c r="BE95" i="7" l="1"/>
  <c r="BZ75" i="7" l="1"/>
  <c r="Z38" i="29" l="1"/>
  <c r="AA38" i="29"/>
  <c r="AB38" i="29"/>
  <c r="AC38" i="29"/>
  <c r="Z37" i="29"/>
  <c r="AA37" i="29"/>
  <c r="AB37" i="29"/>
  <c r="AC37" i="29"/>
  <c r="Z36" i="29"/>
  <c r="AA36" i="29"/>
  <c r="AB36" i="29"/>
  <c r="AC36" i="29"/>
  <c r="AW52" i="7" l="1"/>
  <c r="K5" i="17" l="1"/>
  <c r="E395" i="99" l="1"/>
  <c r="E384" i="99"/>
  <c r="AR408" i="7" l="1"/>
  <c r="AR407" i="7"/>
  <c r="AQ409" i="7"/>
  <c r="AQ408" i="7"/>
  <c r="AQ407" i="7"/>
  <c r="CE417" i="7" l="1"/>
  <c r="CE418" i="7"/>
  <c r="CE419" i="7"/>
  <c r="CE420" i="7"/>
  <c r="CE421" i="7"/>
  <c r="CE477" i="7" s="1"/>
  <c r="CE422" i="7"/>
  <c r="CE478" i="7" s="1"/>
  <c r="CE423" i="7"/>
  <c r="CE424" i="7"/>
  <c r="CE425" i="7"/>
  <c r="CE481" i="7" s="1"/>
  <c r="CE426" i="7"/>
  <c r="CE482" i="7" s="1"/>
  <c r="CE427" i="7"/>
  <c r="CE483" i="7" s="1"/>
  <c r="CE428" i="7"/>
  <c r="CE485" i="7" s="1"/>
  <c r="CE429" i="7"/>
  <c r="CE430" i="7"/>
  <c r="CE431" i="7"/>
  <c r="CE432" i="7"/>
  <c r="CE433" i="7"/>
  <c r="CE489" i="7" s="1"/>
  <c r="CE434" i="7"/>
  <c r="CE490" i="7" s="1"/>
  <c r="CE435" i="7"/>
  <c r="CE436" i="7"/>
  <c r="CE437" i="7"/>
  <c r="CE438" i="7"/>
  <c r="CE439" i="7"/>
  <c r="CE440" i="7"/>
  <c r="CE441" i="7"/>
  <c r="CE442" i="7"/>
  <c r="CE443" i="7"/>
  <c r="CE444" i="7"/>
  <c r="CE445" i="7"/>
  <c r="CE446" i="7"/>
  <c r="CE461" i="7"/>
  <c r="CE462" i="7"/>
  <c r="CE463" i="7"/>
  <c r="CE464" i="7"/>
  <c r="CE465" i="7"/>
  <c r="CE466" i="7"/>
  <c r="CE467" i="7"/>
  <c r="CE468" i="7"/>
  <c r="CE469" i="7"/>
  <c r="CE470" i="7"/>
  <c r="CE471" i="7"/>
  <c r="CE472" i="7"/>
  <c r="CE473" i="7"/>
  <c r="CE474" i="7"/>
  <c r="CE475" i="7"/>
  <c r="CE476" i="7"/>
  <c r="CE486" i="7"/>
  <c r="CE487" i="7"/>
  <c r="CE416" i="7"/>
  <c r="CC417" i="7"/>
  <c r="CC418" i="7"/>
  <c r="CC419" i="7"/>
  <c r="CC420" i="7"/>
  <c r="CC421" i="7"/>
  <c r="CC422" i="7"/>
  <c r="CC423" i="7"/>
  <c r="CC424" i="7"/>
  <c r="CC425" i="7"/>
  <c r="CC426" i="7"/>
  <c r="CC427" i="7"/>
  <c r="CC416" i="7"/>
  <c r="CE480" i="7" l="1"/>
  <c r="CE479" i="7"/>
  <c r="CE488" i="7"/>
  <c r="CE484" i="7"/>
  <c r="D36" i="32" l="1"/>
  <c r="BH396" i="7" l="1"/>
  <c r="BI396" i="7"/>
  <c r="BI395" i="7"/>
  <c r="BI394" i="7"/>
  <c r="BI393" i="7"/>
  <c r="B391" i="7" l="1"/>
  <c r="BH392" i="7"/>
  <c r="BH391" i="7"/>
  <c r="BI392" i="7"/>
  <c r="BI391" i="7"/>
  <c r="B36" i="32" l="1"/>
  <c r="CU346" i="103" l="1"/>
  <c r="CU347" i="103"/>
  <c r="CU348" i="103"/>
  <c r="CU349" i="103"/>
  <c r="CU350" i="103"/>
  <c r="CU351" i="103"/>
  <c r="CU352" i="103"/>
  <c r="CU353" i="103"/>
  <c r="CU354" i="103"/>
  <c r="CU355" i="103"/>
  <c r="CU356" i="103"/>
  <c r="CU357" i="103"/>
  <c r="CU358" i="103"/>
  <c r="CU359" i="103"/>
  <c r="CU360" i="103"/>
  <c r="CU361" i="103"/>
  <c r="CU362" i="103"/>
  <c r="CU363" i="103"/>
  <c r="CU364" i="103"/>
  <c r="CU365" i="103"/>
  <c r="CU366" i="103"/>
  <c r="CU367" i="103"/>
  <c r="CU368" i="103"/>
  <c r="CU369" i="103"/>
  <c r="CU370" i="103"/>
  <c r="CU371" i="103"/>
  <c r="CU372" i="103"/>
  <c r="CU373" i="103"/>
  <c r="CU374" i="103"/>
  <c r="CU375" i="103"/>
  <c r="CU345" i="103"/>
  <c r="CT346" i="103"/>
  <c r="CT347" i="103"/>
  <c r="CT348" i="103"/>
  <c r="CT349" i="103"/>
  <c r="CT350" i="103"/>
  <c r="CT351" i="103"/>
  <c r="CT352" i="103"/>
  <c r="CT353" i="103"/>
  <c r="CT354" i="103"/>
  <c r="CT355" i="103"/>
  <c r="CT356" i="103"/>
  <c r="CT357" i="103"/>
  <c r="CT358" i="103"/>
  <c r="CT359" i="103"/>
  <c r="CT360" i="103"/>
  <c r="CT361" i="103"/>
  <c r="CT362" i="103"/>
  <c r="CT363" i="103"/>
  <c r="CT364" i="103"/>
  <c r="CT365" i="103"/>
  <c r="CT366" i="103"/>
  <c r="CT367" i="103"/>
  <c r="CT368" i="103"/>
  <c r="CT369" i="103"/>
  <c r="CT370" i="103"/>
  <c r="CT371" i="103"/>
  <c r="CT372" i="103"/>
  <c r="CT373" i="103"/>
  <c r="CT374" i="103"/>
  <c r="CT375" i="103"/>
  <c r="CT345" i="103"/>
  <c r="Z34" i="29" l="1"/>
  <c r="F411" i="67" l="1"/>
  <c r="J7" i="65" l="1"/>
  <c r="B25" i="32" l="1"/>
  <c r="X46" i="32"/>
  <c r="Y46" i="32"/>
  <c r="Z46" i="32"/>
  <c r="AA46" i="32"/>
  <c r="AB46" i="32"/>
  <c r="X47" i="32"/>
  <c r="Y47" i="32"/>
  <c r="Z47" i="32"/>
  <c r="AA47" i="32"/>
  <c r="AB47" i="32"/>
  <c r="X48" i="32"/>
  <c r="Y48" i="32"/>
  <c r="Z48" i="32"/>
  <c r="AA48" i="32"/>
  <c r="AB48" i="32"/>
  <c r="X49" i="32"/>
  <c r="Y49" i="32"/>
  <c r="Z49" i="32"/>
  <c r="AA49" i="32"/>
  <c r="AB49" i="32"/>
  <c r="X50" i="32"/>
  <c r="Y50" i="32"/>
  <c r="Z50" i="32"/>
  <c r="AA50" i="32"/>
  <c r="AB50" i="32"/>
  <c r="X51" i="32"/>
  <c r="Y51" i="32"/>
  <c r="Z51" i="32"/>
  <c r="AA51" i="32"/>
  <c r="AB51" i="32"/>
  <c r="X52" i="32"/>
  <c r="Y52" i="32"/>
  <c r="Z52" i="32"/>
  <c r="AA52" i="32"/>
  <c r="AB52" i="32"/>
  <c r="X53" i="32"/>
  <c r="Y53" i="32"/>
  <c r="Z53" i="32"/>
  <c r="AA53" i="32"/>
  <c r="AB53" i="32"/>
  <c r="X54" i="32"/>
  <c r="Y54" i="32"/>
  <c r="Z54" i="32"/>
  <c r="AA54" i="32"/>
  <c r="AB54" i="32"/>
  <c r="X55" i="32"/>
  <c r="Y55" i="32"/>
  <c r="Z55" i="32"/>
  <c r="AA55" i="32"/>
  <c r="AB55" i="32"/>
  <c r="X56" i="32"/>
  <c r="Y56" i="32"/>
  <c r="Z56" i="32"/>
  <c r="AA56" i="32"/>
  <c r="AB56" i="32"/>
  <c r="X57" i="32"/>
  <c r="Y57" i="32"/>
  <c r="Z57" i="32"/>
  <c r="AA57" i="32"/>
  <c r="AB57" i="32"/>
  <c r="X58" i="32"/>
  <c r="Y58" i="32"/>
  <c r="Z58" i="32"/>
  <c r="AA58" i="32"/>
  <c r="AB58" i="32"/>
  <c r="X59" i="32"/>
  <c r="Y59" i="32"/>
  <c r="Z59" i="32"/>
  <c r="AA59" i="32"/>
  <c r="AB59" i="32"/>
  <c r="X60" i="32"/>
  <c r="Y60" i="32"/>
  <c r="Z60" i="32"/>
  <c r="AA60" i="32"/>
  <c r="AB60" i="32"/>
  <c r="X61" i="32"/>
  <c r="Y61" i="32"/>
  <c r="Z61" i="32"/>
  <c r="AA61" i="32"/>
  <c r="AB61" i="32"/>
  <c r="X62" i="32"/>
  <c r="Y62" i="32"/>
  <c r="Z62" i="32"/>
  <c r="AA62" i="32"/>
  <c r="AB62" i="32"/>
  <c r="X63" i="32"/>
  <c r="Y63" i="32"/>
  <c r="Z63" i="32"/>
  <c r="AA63" i="32"/>
  <c r="AB63" i="32"/>
  <c r="X64" i="32"/>
  <c r="Y64" i="32"/>
  <c r="Z64" i="32"/>
  <c r="AA64" i="32"/>
  <c r="AB64" i="32"/>
  <c r="X65" i="32"/>
  <c r="Y65" i="32"/>
  <c r="Z65" i="32"/>
  <c r="AA65" i="32"/>
  <c r="AB65" i="32"/>
  <c r="X66" i="32"/>
  <c r="Y66" i="32"/>
  <c r="Z66" i="32"/>
  <c r="AA66" i="32"/>
  <c r="AB66" i="32"/>
  <c r="X67" i="32"/>
  <c r="Y67" i="32"/>
  <c r="Z67" i="32"/>
  <c r="AA67" i="32"/>
  <c r="AB67" i="32"/>
  <c r="X68" i="32"/>
  <c r="Y68" i="32"/>
  <c r="Z68" i="32"/>
  <c r="AA68" i="32"/>
  <c r="AB68" i="32"/>
  <c r="C7" i="20" l="1"/>
  <c r="R44" i="102" l="1"/>
  <c r="Q44" i="102"/>
  <c r="O44" i="102"/>
  <c r="N44" i="102"/>
  <c r="L44" i="102"/>
  <c r="K44" i="102"/>
  <c r="I44" i="102"/>
  <c r="H44" i="102"/>
  <c r="F44" i="102"/>
  <c r="E44" i="102"/>
  <c r="F7" i="102"/>
  <c r="C7" i="102"/>
  <c r="S19" i="11"/>
  <c r="R19" i="11"/>
  <c r="Q19" i="11"/>
  <c r="O19" i="11"/>
  <c r="N19" i="11"/>
  <c r="M19" i="11"/>
  <c r="L19" i="11"/>
  <c r="K19" i="11"/>
  <c r="J19" i="11"/>
  <c r="I19" i="11"/>
  <c r="H19" i="11"/>
  <c r="H16" i="11"/>
  <c r="H17" i="11" s="1"/>
  <c r="H15" i="11"/>
  <c r="F19" i="44"/>
  <c r="B12" i="44"/>
  <c r="B13" i="44" s="1"/>
  <c r="B14" i="44" s="1"/>
  <c r="B15" i="44" s="1"/>
  <c r="B16" i="44" s="1"/>
  <c r="B17" i="44" s="1"/>
  <c r="B18" i="44" s="1"/>
  <c r="B19" i="44" s="1"/>
  <c r="B20" i="44" s="1"/>
  <c r="B22" i="44" s="1"/>
  <c r="B23" i="44" s="1"/>
  <c r="B24" i="44" s="1"/>
  <c r="B25" i="44" s="1"/>
  <c r="B26" i="44" s="1"/>
  <c r="B27" i="44" s="1"/>
  <c r="B28" i="44" s="1"/>
  <c r="B29" i="44" s="1"/>
  <c r="B30" i="44" s="1"/>
  <c r="B31" i="44" s="1"/>
  <c r="B33" i="44" s="1"/>
  <c r="B34" i="44" s="1"/>
  <c r="B35" i="44" s="1"/>
  <c r="B36" i="44" s="1"/>
  <c r="B37" i="44" s="1"/>
  <c r="B39" i="44" s="1"/>
  <c r="B11" i="44"/>
  <c r="B10" i="44"/>
  <c r="C3" i="44"/>
  <c r="B29" i="36"/>
  <c r="G1" i="36"/>
  <c r="G41" i="36" s="1"/>
  <c r="C27" i="37"/>
  <c r="C26" i="37"/>
  <c r="C25" i="37"/>
  <c r="C24" i="37"/>
  <c r="C23" i="37"/>
  <c r="C22" i="37"/>
  <c r="C21" i="37"/>
  <c r="C20" i="37"/>
  <c r="C18" i="37"/>
  <c r="C17" i="37"/>
  <c r="C16" i="37"/>
  <c r="C10" i="37"/>
  <c r="C9" i="37"/>
  <c r="C8" i="37"/>
  <c r="C7" i="37"/>
  <c r="E5" i="37"/>
  <c r="N25" i="37" s="1"/>
  <c r="D62" i="53"/>
  <c r="J7" i="53"/>
  <c r="I3" i="53"/>
  <c r="I2" i="53"/>
  <c r="I1" i="53"/>
  <c r="I134" i="28"/>
  <c r="D134" i="28"/>
  <c r="I133" i="28"/>
  <c r="D133" i="28"/>
  <c r="I132" i="28"/>
  <c r="D132" i="28"/>
  <c r="I131" i="28"/>
  <c r="D131" i="28"/>
  <c r="I130" i="28"/>
  <c r="D130" i="28"/>
  <c r="I129" i="28"/>
  <c r="D129" i="28"/>
  <c r="I128" i="28"/>
  <c r="D128" i="28"/>
  <c r="I127" i="28"/>
  <c r="D127" i="28"/>
  <c r="I126" i="28"/>
  <c r="D126" i="28"/>
  <c r="I125" i="28"/>
  <c r="D125" i="28"/>
  <c r="I124" i="28"/>
  <c r="D124" i="28"/>
  <c r="I123" i="28"/>
  <c r="D123" i="28"/>
  <c r="I122" i="28"/>
  <c r="D122" i="28"/>
  <c r="I121" i="28"/>
  <c r="D121" i="28"/>
  <c r="I120" i="28"/>
  <c r="D120" i="28"/>
  <c r="I119" i="28"/>
  <c r="D119" i="28"/>
  <c r="I118" i="28"/>
  <c r="D118" i="28"/>
  <c r="I117" i="28"/>
  <c r="D117" i="28"/>
  <c r="I116" i="28"/>
  <c r="D116" i="28"/>
  <c r="I115" i="28"/>
  <c r="D115" i="28"/>
  <c r="I114" i="28"/>
  <c r="D114" i="28"/>
  <c r="I113" i="28"/>
  <c r="D113" i="28"/>
  <c r="I112" i="28"/>
  <c r="D112" i="28"/>
  <c r="I111" i="28"/>
  <c r="D111" i="28"/>
  <c r="I110" i="28"/>
  <c r="D110" i="28"/>
  <c r="I109" i="28"/>
  <c r="D109" i="28"/>
  <c r="I108" i="28"/>
  <c r="D108" i="28"/>
  <c r="I107" i="28"/>
  <c r="D107" i="28"/>
  <c r="I106" i="28"/>
  <c r="D106" i="28"/>
  <c r="I105" i="28"/>
  <c r="D105" i="28"/>
  <c r="I104" i="28"/>
  <c r="D104" i="28"/>
  <c r="I103" i="28"/>
  <c r="D103" i="28"/>
  <c r="I102" i="28"/>
  <c r="D102" i="28"/>
  <c r="I101" i="28"/>
  <c r="D101" i="28"/>
  <c r="I100" i="28"/>
  <c r="D100" i="28"/>
  <c r="I99" i="28"/>
  <c r="D99" i="28"/>
  <c r="I98" i="28"/>
  <c r="D98" i="28"/>
  <c r="I97" i="28"/>
  <c r="D97" i="28"/>
  <c r="I96" i="28"/>
  <c r="D96" i="28"/>
  <c r="I95" i="28"/>
  <c r="D95" i="28"/>
  <c r="I94" i="28"/>
  <c r="D94" i="28"/>
  <c r="I93" i="28"/>
  <c r="D93" i="28"/>
  <c r="I92" i="28"/>
  <c r="D92" i="28"/>
  <c r="I91" i="28"/>
  <c r="D91" i="28"/>
  <c r="I90" i="28"/>
  <c r="D90" i="28"/>
  <c r="I89" i="28"/>
  <c r="D89" i="28"/>
  <c r="I88" i="28"/>
  <c r="D88" i="28"/>
  <c r="I87" i="28"/>
  <c r="D87" i="28"/>
  <c r="I86" i="28"/>
  <c r="D86" i="28"/>
  <c r="I85" i="28"/>
  <c r="D85" i="28"/>
  <c r="I84" i="28"/>
  <c r="D84" i="28"/>
  <c r="I83" i="28"/>
  <c r="D83" i="28"/>
  <c r="I82" i="28"/>
  <c r="D82" i="28"/>
  <c r="I81" i="28"/>
  <c r="D81" i="28"/>
  <c r="I80" i="28"/>
  <c r="D80" i="28"/>
  <c r="I79" i="28"/>
  <c r="D79" i="28"/>
  <c r="I78" i="28"/>
  <c r="D78" i="28"/>
  <c r="I77" i="28"/>
  <c r="D77" i="28"/>
  <c r="I76" i="28"/>
  <c r="D76" i="28"/>
  <c r="I75" i="28"/>
  <c r="D75" i="28"/>
  <c r="I74" i="28"/>
  <c r="D74" i="28"/>
  <c r="I73" i="28"/>
  <c r="D73" i="28"/>
  <c r="I72" i="28"/>
  <c r="D72" i="28"/>
  <c r="I71" i="28"/>
  <c r="D71" i="28"/>
  <c r="I70" i="28"/>
  <c r="D70" i="28"/>
  <c r="I69" i="28"/>
  <c r="D69" i="28"/>
  <c r="I68" i="28"/>
  <c r="D68" i="28"/>
  <c r="I67" i="28"/>
  <c r="D67" i="28"/>
  <c r="I66" i="28"/>
  <c r="D66" i="28"/>
  <c r="I65" i="28"/>
  <c r="D65" i="28"/>
  <c r="I64" i="28"/>
  <c r="D64" i="28"/>
  <c r="I63" i="28"/>
  <c r="D63" i="28"/>
  <c r="I62" i="28"/>
  <c r="D62" i="28"/>
  <c r="I61" i="28"/>
  <c r="D61" i="28"/>
  <c r="I60" i="28"/>
  <c r="D60" i="28"/>
  <c r="I59" i="28"/>
  <c r="D59" i="28"/>
  <c r="I58" i="28"/>
  <c r="D58" i="28"/>
  <c r="I57" i="28"/>
  <c r="D57" i="28"/>
  <c r="I56" i="28"/>
  <c r="D56" i="28"/>
  <c r="I55" i="28"/>
  <c r="D55" i="28"/>
  <c r="I54" i="28"/>
  <c r="D54" i="28"/>
  <c r="I53" i="28"/>
  <c r="D53" i="28"/>
  <c r="I52" i="28"/>
  <c r="D52" i="28"/>
  <c r="I51" i="28"/>
  <c r="D51" i="28"/>
  <c r="I50" i="28"/>
  <c r="D50" i="28"/>
  <c r="I49" i="28"/>
  <c r="D49" i="28"/>
  <c r="I48" i="28"/>
  <c r="D48" i="28"/>
  <c r="I47" i="28"/>
  <c r="D47" i="28"/>
  <c r="I46" i="28"/>
  <c r="D46" i="28"/>
  <c r="I45" i="28"/>
  <c r="D45" i="28"/>
  <c r="I44" i="28"/>
  <c r="D44" i="28"/>
  <c r="I43" i="28"/>
  <c r="D43" i="28"/>
  <c r="I42" i="28"/>
  <c r="D42" i="28"/>
  <c r="I41" i="28"/>
  <c r="D41" i="28"/>
  <c r="I40" i="28"/>
  <c r="D40" i="28"/>
  <c r="I39" i="28"/>
  <c r="D39" i="28"/>
  <c r="I38" i="28"/>
  <c r="D38" i="28"/>
  <c r="I37" i="28"/>
  <c r="D37" i="28"/>
  <c r="I36" i="28"/>
  <c r="D36" i="28"/>
  <c r="I35" i="28"/>
  <c r="D35" i="28"/>
  <c r="I30" i="28"/>
  <c r="J30" i="28" s="1"/>
  <c r="I29" i="28"/>
  <c r="J29" i="28" s="1"/>
  <c r="I28" i="28"/>
  <c r="J28" i="28" s="1"/>
  <c r="I27" i="28"/>
  <c r="J27" i="28" s="1"/>
  <c r="I26" i="28"/>
  <c r="J26" i="28" s="1"/>
  <c r="I25" i="28"/>
  <c r="J25" i="28" s="1"/>
  <c r="I24" i="28"/>
  <c r="J24" i="28" s="1"/>
  <c r="I23" i="28"/>
  <c r="J23" i="28" s="1"/>
  <c r="I22" i="28"/>
  <c r="J22" i="28" s="1"/>
  <c r="I21" i="28"/>
  <c r="J21" i="28" s="1"/>
  <c r="I20" i="28"/>
  <c r="J20" i="28" s="1"/>
  <c r="I19" i="28"/>
  <c r="J19" i="28" s="1"/>
  <c r="I18" i="28"/>
  <c r="J18" i="28" s="1"/>
  <c r="I17" i="28"/>
  <c r="J17" i="28" s="1"/>
  <c r="I16" i="28"/>
  <c r="J16" i="28" s="1"/>
  <c r="I15" i="28"/>
  <c r="J15" i="28" s="1"/>
  <c r="I14" i="28"/>
  <c r="J14" i="28" s="1"/>
  <c r="I13" i="28"/>
  <c r="J13" i="28" s="1"/>
  <c r="I12" i="28"/>
  <c r="J12" i="28" s="1"/>
  <c r="I11" i="28"/>
  <c r="J11" i="28" s="1"/>
  <c r="L184" i="26"/>
  <c r="L183" i="26"/>
  <c r="L182" i="26"/>
  <c r="L181" i="26"/>
  <c r="L180" i="26"/>
  <c r="L179" i="26"/>
  <c r="L178" i="26"/>
  <c r="L177" i="26"/>
  <c r="L176" i="26"/>
  <c r="L175" i="26"/>
  <c r="L174" i="26"/>
  <c r="L173" i="26"/>
  <c r="L160" i="26"/>
  <c r="L159" i="26"/>
  <c r="L158" i="26"/>
  <c r="L157" i="26"/>
  <c r="L156" i="26"/>
  <c r="L155" i="26"/>
  <c r="L154" i="26"/>
  <c r="L153" i="26"/>
  <c r="L152" i="26"/>
  <c r="L151" i="26"/>
  <c r="L150" i="26"/>
  <c r="L149" i="26"/>
  <c r="F1" i="26"/>
  <c r="S83" i="18"/>
  <c r="P83" i="18"/>
  <c r="S82" i="18"/>
  <c r="P82" i="18"/>
  <c r="S81" i="18"/>
  <c r="P81" i="18"/>
  <c r="S80" i="18"/>
  <c r="P80" i="18"/>
  <c r="S79" i="18"/>
  <c r="P79" i="18"/>
  <c r="G76" i="18"/>
  <c r="F76" i="18"/>
  <c r="D76" i="18"/>
  <c r="H76" i="18" s="1"/>
  <c r="Q76" i="18" s="1"/>
  <c r="I52" i="18"/>
  <c r="N54" i="18" s="1"/>
  <c r="R6" i="18"/>
  <c r="Z3" i="18" s="1"/>
  <c r="Z4" i="18" s="1"/>
  <c r="M173" i="13"/>
  <c r="N173" i="13" s="1"/>
  <c r="A173" i="13"/>
  <c r="B173" i="13" s="1"/>
  <c r="H151" i="13"/>
  <c r="F145" i="13" s="1"/>
  <c r="F144" i="13"/>
  <c r="M139" i="13"/>
  <c r="N139" i="13" s="1"/>
  <c r="A139" i="13"/>
  <c r="B139" i="13" s="1"/>
  <c r="M105" i="13"/>
  <c r="N105" i="13" s="1"/>
  <c r="A105" i="13"/>
  <c r="B105" i="13" s="1"/>
  <c r="H83" i="13"/>
  <c r="F77" i="13" s="1"/>
  <c r="K82" i="13"/>
  <c r="H82" i="13"/>
  <c r="K81" i="13"/>
  <c r="H81" i="13"/>
  <c r="K80" i="13"/>
  <c r="H80" i="13"/>
  <c r="K79" i="13"/>
  <c r="H79" i="13"/>
  <c r="K78" i="13"/>
  <c r="H78" i="13"/>
  <c r="K77" i="13"/>
  <c r="H77" i="13"/>
  <c r="G77" i="13"/>
  <c r="K76" i="13"/>
  <c r="H76" i="13"/>
  <c r="F76" i="13"/>
  <c r="K75" i="13"/>
  <c r="H75" i="13"/>
  <c r="K74" i="13"/>
  <c r="H74" i="13"/>
  <c r="K73" i="13"/>
  <c r="H73" i="13"/>
  <c r="K72" i="13"/>
  <c r="G76" i="13" s="1"/>
  <c r="H72" i="13"/>
  <c r="M71" i="13"/>
  <c r="N71" i="13" s="1"/>
  <c r="A71" i="13"/>
  <c r="B71" i="13" s="1"/>
  <c r="M37" i="13"/>
  <c r="N37" i="13" s="1"/>
  <c r="A37" i="13"/>
  <c r="B37" i="13" s="1"/>
  <c r="M3" i="13"/>
  <c r="N3" i="13" s="1"/>
  <c r="A3" i="13"/>
  <c r="B3" i="13" s="1"/>
  <c r="AS376" i="22"/>
  <c r="N376" i="22"/>
  <c r="AS375" i="22"/>
  <c r="N375" i="22"/>
  <c r="AS374" i="22"/>
  <c r="N374" i="22"/>
  <c r="AS373" i="22"/>
  <c r="N373" i="22"/>
  <c r="AS372" i="22"/>
  <c r="N372" i="22"/>
  <c r="AS371" i="22"/>
  <c r="N371" i="22"/>
  <c r="AS370" i="22"/>
  <c r="N370" i="22"/>
  <c r="AS369" i="22"/>
  <c r="N369" i="22"/>
  <c r="AS368" i="22"/>
  <c r="N368" i="22"/>
  <c r="AS367" i="22"/>
  <c r="N367" i="22"/>
  <c r="AS366" i="22"/>
  <c r="N366" i="22"/>
  <c r="AS365" i="22"/>
  <c r="N365" i="22"/>
  <c r="AS364" i="22"/>
  <c r="N364" i="22"/>
  <c r="AS363" i="22"/>
  <c r="N363" i="22"/>
  <c r="AS362" i="22"/>
  <c r="N362" i="22"/>
  <c r="AS361" i="22"/>
  <c r="N361" i="22"/>
  <c r="AS360" i="22"/>
  <c r="N360" i="22"/>
  <c r="AS359" i="22"/>
  <c r="N359" i="22"/>
  <c r="AS358" i="22"/>
  <c r="N358" i="22"/>
  <c r="AS357" i="22"/>
  <c r="N357" i="22"/>
  <c r="AS356" i="22"/>
  <c r="N356" i="22"/>
  <c r="AS355" i="22"/>
  <c r="N355" i="22"/>
  <c r="AS354" i="22"/>
  <c r="N354" i="22"/>
  <c r="AS353" i="22"/>
  <c r="N353" i="22"/>
  <c r="AS352" i="22"/>
  <c r="N352" i="22"/>
  <c r="AS351" i="22"/>
  <c r="N351" i="22"/>
  <c r="AS350" i="22"/>
  <c r="N350" i="22"/>
  <c r="AS349" i="22"/>
  <c r="N349" i="22"/>
  <c r="AS348" i="22"/>
  <c r="N348" i="22"/>
  <c r="AS347" i="22"/>
  <c r="N347" i="22"/>
  <c r="AS346" i="22"/>
  <c r="N346" i="22"/>
  <c r="AS345" i="22"/>
  <c r="N345" i="22"/>
  <c r="AS344" i="22"/>
  <c r="N344" i="22"/>
  <c r="AS343" i="22"/>
  <c r="N343" i="22"/>
  <c r="AS342" i="22"/>
  <c r="N342" i="22"/>
  <c r="AS341" i="22"/>
  <c r="N341" i="22"/>
  <c r="AS340" i="22"/>
  <c r="N340" i="22"/>
  <c r="AS339" i="22"/>
  <c r="N339" i="22"/>
  <c r="AS338" i="22"/>
  <c r="N338" i="22"/>
  <c r="AS337" i="22"/>
  <c r="N337" i="22"/>
  <c r="AS336" i="22"/>
  <c r="N336" i="22"/>
  <c r="AS335" i="22"/>
  <c r="N335" i="22"/>
  <c r="AS334" i="22"/>
  <c r="N334" i="22"/>
  <c r="AS333" i="22"/>
  <c r="N333" i="22"/>
  <c r="AS332" i="22"/>
  <c r="N332" i="22"/>
  <c r="AS331" i="22"/>
  <c r="N331" i="22"/>
  <c r="AS330" i="22"/>
  <c r="N330" i="22"/>
  <c r="AS329" i="22"/>
  <c r="N329" i="22"/>
  <c r="AS328" i="22"/>
  <c r="N328" i="22"/>
  <c r="AS327" i="22"/>
  <c r="N327" i="22"/>
  <c r="AS326" i="22"/>
  <c r="N326" i="22"/>
  <c r="AS325" i="22"/>
  <c r="N325" i="22"/>
  <c r="AS324" i="22"/>
  <c r="N324" i="22"/>
  <c r="AS323" i="22"/>
  <c r="N323" i="22"/>
  <c r="AS322" i="22"/>
  <c r="N322" i="22"/>
  <c r="AS321" i="22"/>
  <c r="N321" i="22"/>
  <c r="AS320" i="22"/>
  <c r="N320" i="22"/>
  <c r="AS319" i="22"/>
  <c r="N319" i="22"/>
  <c r="AS318" i="22"/>
  <c r="N318" i="22"/>
  <c r="AS317" i="22"/>
  <c r="N317" i="22"/>
  <c r="AS316" i="22"/>
  <c r="N316" i="22"/>
  <c r="AS315" i="22"/>
  <c r="N315" i="22"/>
  <c r="AS314" i="22"/>
  <c r="N314" i="22"/>
  <c r="AS313" i="22"/>
  <c r="N313" i="22"/>
  <c r="AS312" i="22"/>
  <c r="N312" i="22"/>
  <c r="AS311" i="22"/>
  <c r="N311" i="22"/>
  <c r="AS310" i="22"/>
  <c r="N310" i="22"/>
  <c r="AS309" i="22"/>
  <c r="N309" i="22"/>
  <c r="AS308" i="22"/>
  <c r="N308" i="22"/>
  <c r="AS307" i="22"/>
  <c r="N307" i="22"/>
  <c r="AS306" i="22"/>
  <c r="N306" i="22"/>
  <c r="AS305" i="22"/>
  <c r="N305" i="22"/>
  <c r="AS304" i="22"/>
  <c r="N304" i="22"/>
  <c r="AS303" i="22"/>
  <c r="N303" i="22"/>
  <c r="AS302" i="22"/>
  <c r="N302" i="22"/>
  <c r="AS301" i="22"/>
  <c r="N301" i="22"/>
  <c r="AS300" i="22"/>
  <c r="N300" i="22"/>
  <c r="AS299" i="22"/>
  <c r="N299" i="22"/>
  <c r="AS298" i="22"/>
  <c r="N298" i="22"/>
  <c r="AS297" i="22"/>
  <c r="N297" i="22"/>
  <c r="AS296" i="22"/>
  <c r="N296" i="22"/>
  <c r="AS295" i="22"/>
  <c r="N295" i="22"/>
  <c r="AS294" i="22"/>
  <c r="N294" i="22"/>
  <c r="AS293" i="22"/>
  <c r="N293" i="22"/>
  <c r="AS292" i="22"/>
  <c r="N292" i="22"/>
  <c r="AS291" i="22"/>
  <c r="N291" i="22"/>
  <c r="AS290" i="22"/>
  <c r="N290" i="22"/>
  <c r="AS289" i="22"/>
  <c r="N289" i="22"/>
  <c r="AS288" i="22"/>
  <c r="N288" i="22"/>
  <c r="AS287" i="22"/>
  <c r="N287" i="22"/>
  <c r="AS286" i="22"/>
  <c r="N286" i="22"/>
  <c r="AS285" i="22"/>
  <c r="N285" i="22"/>
  <c r="AS284" i="22"/>
  <c r="N284" i="22"/>
  <c r="AS283" i="22"/>
  <c r="N283" i="22"/>
  <c r="AS282" i="22"/>
  <c r="N282" i="22"/>
  <c r="AS281" i="22"/>
  <c r="N281" i="22"/>
  <c r="AS280" i="22"/>
  <c r="N280" i="22"/>
  <c r="AS279" i="22"/>
  <c r="N279" i="22"/>
  <c r="AS278" i="22"/>
  <c r="N278" i="22"/>
  <c r="AS277" i="22"/>
  <c r="N277" i="22"/>
  <c r="AS276" i="22"/>
  <c r="N276" i="22"/>
  <c r="AS275" i="22"/>
  <c r="N275" i="22"/>
  <c r="AS274" i="22"/>
  <c r="N274" i="22"/>
  <c r="AS273" i="22"/>
  <c r="N273" i="22"/>
  <c r="AS272" i="22"/>
  <c r="N272" i="22"/>
  <c r="AS271" i="22"/>
  <c r="N271" i="22"/>
  <c r="AS270" i="22"/>
  <c r="N270" i="22"/>
  <c r="AS269" i="22"/>
  <c r="N269" i="22"/>
  <c r="AS268" i="22"/>
  <c r="N268" i="22"/>
  <c r="AS267" i="22"/>
  <c r="N267" i="22"/>
  <c r="AS266" i="22"/>
  <c r="N266" i="22"/>
  <c r="AS265" i="22"/>
  <c r="N265" i="22"/>
  <c r="AS264" i="22"/>
  <c r="N264" i="22"/>
  <c r="AS263" i="22"/>
  <c r="N263" i="22"/>
  <c r="AS262" i="22"/>
  <c r="N262" i="22"/>
  <c r="AS261" i="22"/>
  <c r="N261" i="22"/>
  <c r="AS260" i="22"/>
  <c r="N260" i="22"/>
  <c r="AS259" i="22"/>
  <c r="N259" i="22"/>
  <c r="AS258" i="22"/>
  <c r="N258" i="22"/>
  <c r="AS257" i="22"/>
  <c r="N257" i="22"/>
  <c r="AS256" i="22"/>
  <c r="N256" i="22"/>
  <c r="AS255" i="22"/>
  <c r="N255" i="22"/>
  <c r="AS254" i="22"/>
  <c r="N254" i="22"/>
  <c r="AS253" i="22"/>
  <c r="N253" i="22"/>
  <c r="AS252" i="22"/>
  <c r="N252" i="22"/>
  <c r="AS251" i="22"/>
  <c r="N251" i="22"/>
  <c r="AS250" i="22"/>
  <c r="N250" i="22"/>
  <c r="AS249" i="22"/>
  <c r="N249" i="22"/>
  <c r="AS248" i="22"/>
  <c r="N248" i="22"/>
  <c r="AS247" i="22"/>
  <c r="N247" i="22"/>
  <c r="AS246" i="22"/>
  <c r="N246" i="22"/>
  <c r="AS245" i="22"/>
  <c r="N245" i="22"/>
  <c r="AS244" i="22"/>
  <c r="N244" i="22"/>
  <c r="AS243" i="22"/>
  <c r="N243" i="22"/>
  <c r="AS242" i="22"/>
  <c r="N242" i="22"/>
  <c r="AS241" i="22"/>
  <c r="N241" i="22"/>
  <c r="AS240" i="22"/>
  <c r="N240" i="22"/>
  <c r="AS239" i="22"/>
  <c r="N239" i="22"/>
  <c r="AS238" i="22"/>
  <c r="N238" i="22"/>
  <c r="AS237" i="22"/>
  <c r="N237" i="22"/>
  <c r="AS236" i="22"/>
  <c r="N236" i="22"/>
  <c r="AS235" i="22"/>
  <c r="N235" i="22"/>
  <c r="AS234" i="22"/>
  <c r="N234" i="22"/>
  <c r="AS233" i="22"/>
  <c r="N233" i="22"/>
  <c r="AS232" i="22"/>
  <c r="N232" i="22"/>
  <c r="AS231" i="22"/>
  <c r="N231" i="22"/>
  <c r="AS230" i="22"/>
  <c r="N230" i="22"/>
  <c r="AS229" i="22"/>
  <c r="N229" i="22"/>
  <c r="AS228" i="22"/>
  <c r="N228" i="22"/>
  <c r="AS227" i="22"/>
  <c r="N227" i="22"/>
  <c r="AS226" i="22"/>
  <c r="N226" i="22"/>
  <c r="AS225" i="22"/>
  <c r="N225" i="22"/>
  <c r="AS224" i="22"/>
  <c r="N224" i="22"/>
  <c r="AS223" i="22"/>
  <c r="N223" i="22"/>
  <c r="AS222" i="22"/>
  <c r="N222" i="22"/>
  <c r="AS221" i="22"/>
  <c r="N221" i="22"/>
  <c r="AS220" i="22"/>
  <c r="N220" i="22"/>
  <c r="AS219" i="22"/>
  <c r="N219" i="22"/>
  <c r="AS218" i="22"/>
  <c r="N218" i="22"/>
  <c r="AS217" i="22"/>
  <c r="N217" i="22"/>
  <c r="AS216" i="22"/>
  <c r="N216" i="22"/>
  <c r="AS215" i="22"/>
  <c r="N215" i="22"/>
  <c r="AS214" i="22"/>
  <c r="N214" i="22"/>
  <c r="AS213" i="22"/>
  <c r="N213" i="22"/>
  <c r="AS212" i="22"/>
  <c r="N212" i="22"/>
  <c r="AS211" i="22"/>
  <c r="N211" i="22"/>
  <c r="AS210" i="22"/>
  <c r="N210" i="22"/>
  <c r="AS209" i="22"/>
  <c r="N209" i="22"/>
  <c r="AS208" i="22"/>
  <c r="N208" i="22"/>
  <c r="AS207" i="22"/>
  <c r="N207" i="22"/>
  <c r="AS206" i="22"/>
  <c r="N206" i="22"/>
  <c r="AS205" i="22"/>
  <c r="N205" i="22"/>
  <c r="AS204" i="22"/>
  <c r="N204" i="22"/>
  <c r="AS203" i="22"/>
  <c r="N203" i="22"/>
  <c r="AS202" i="22"/>
  <c r="N202" i="22"/>
  <c r="AS201" i="22"/>
  <c r="N201" i="22"/>
  <c r="AS200" i="22"/>
  <c r="N200" i="22"/>
  <c r="AS199" i="22"/>
  <c r="N199" i="22"/>
  <c r="AS198" i="22"/>
  <c r="N198" i="22"/>
  <c r="AS197" i="22"/>
  <c r="N197" i="22"/>
  <c r="AS196" i="22"/>
  <c r="N196" i="22"/>
  <c r="AS195" i="22"/>
  <c r="N195" i="22"/>
  <c r="AS194" i="22"/>
  <c r="N194" i="22"/>
  <c r="AS193" i="22"/>
  <c r="N193" i="22"/>
  <c r="AS192" i="22"/>
  <c r="N192" i="22"/>
  <c r="AS191" i="22"/>
  <c r="N191" i="22"/>
  <c r="AS190" i="22"/>
  <c r="N190" i="22"/>
  <c r="AS189" i="22"/>
  <c r="N189" i="22"/>
  <c r="AS188" i="22"/>
  <c r="N188" i="22"/>
  <c r="AS187" i="22"/>
  <c r="N187" i="22"/>
  <c r="AS186" i="22"/>
  <c r="N186" i="22"/>
  <c r="AS185" i="22"/>
  <c r="N185" i="22"/>
  <c r="AS184" i="22"/>
  <c r="N184" i="22"/>
  <c r="AS183" i="22"/>
  <c r="N183" i="22"/>
  <c r="AS182" i="22"/>
  <c r="N182" i="22"/>
  <c r="AS181" i="22"/>
  <c r="N181" i="22"/>
  <c r="AS180" i="22"/>
  <c r="N180" i="22"/>
  <c r="AS179" i="22"/>
  <c r="N179" i="22"/>
  <c r="AS178" i="22"/>
  <c r="N178" i="22"/>
  <c r="AS177" i="22"/>
  <c r="N177" i="22"/>
  <c r="AS176" i="22"/>
  <c r="N176" i="22"/>
  <c r="AS175" i="22"/>
  <c r="N175" i="22"/>
  <c r="AS174" i="22"/>
  <c r="N174" i="22"/>
  <c r="AS173" i="22"/>
  <c r="N173" i="22"/>
  <c r="AS172" i="22"/>
  <c r="N172" i="22"/>
  <c r="AS171" i="22"/>
  <c r="N171" i="22"/>
  <c r="AS170" i="22"/>
  <c r="N170" i="22"/>
  <c r="AS169" i="22"/>
  <c r="N169" i="22"/>
  <c r="AS168" i="22"/>
  <c r="N168" i="22"/>
  <c r="AS167" i="22"/>
  <c r="N167" i="22"/>
  <c r="AS166" i="22"/>
  <c r="N166" i="22"/>
  <c r="AS165" i="22"/>
  <c r="N165" i="22"/>
  <c r="AS164" i="22"/>
  <c r="N164" i="22"/>
  <c r="AS163" i="22"/>
  <c r="N163" i="22"/>
  <c r="AS162" i="22"/>
  <c r="N162" i="22"/>
  <c r="AS161" i="22"/>
  <c r="N161" i="22"/>
  <c r="AS160" i="22"/>
  <c r="N160" i="22"/>
  <c r="AS159" i="22"/>
  <c r="N159" i="22"/>
  <c r="AS158" i="22"/>
  <c r="N158" i="22"/>
  <c r="AS157" i="22"/>
  <c r="N157" i="22"/>
  <c r="AS156" i="22"/>
  <c r="N156" i="22"/>
  <c r="AS155" i="22"/>
  <c r="N155" i="22"/>
  <c r="AS154" i="22"/>
  <c r="N154" i="22"/>
  <c r="AS153" i="22"/>
  <c r="N153" i="22"/>
  <c r="AS152" i="22"/>
  <c r="N152" i="22"/>
  <c r="AS151" i="22"/>
  <c r="N151" i="22"/>
  <c r="AS150" i="22"/>
  <c r="N150" i="22"/>
  <c r="AS149" i="22"/>
  <c r="N149" i="22"/>
  <c r="AS148" i="22"/>
  <c r="N148" i="22"/>
  <c r="AS147" i="22"/>
  <c r="N147" i="22"/>
  <c r="AS146" i="22"/>
  <c r="N146" i="22"/>
  <c r="AS145" i="22"/>
  <c r="N145" i="22"/>
  <c r="AS144" i="22"/>
  <c r="N144" i="22"/>
  <c r="AS143" i="22"/>
  <c r="N143" i="22"/>
  <c r="AS142" i="22"/>
  <c r="N142" i="22"/>
  <c r="AS141" i="22"/>
  <c r="N141" i="22"/>
  <c r="AS140" i="22"/>
  <c r="N140" i="22"/>
  <c r="AS139" i="22"/>
  <c r="N139" i="22"/>
  <c r="AS138" i="22"/>
  <c r="N138" i="22"/>
  <c r="AS137" i="22"/>
  <c r="N137" i="22"/>
  <c r="AS136" i="22"/>
  <c r="N136" i="22"/>
  <c r="AS135" i="22"/>
  <c r="N135" i="22"/>
  <c r="AS134" i="22"/>
  <c r="N134" i="22"/>
  <c r="AS133" i="22"/>
  <c r="N133" i="22"/>
  <c r="AS132" i="22"/>
  <c r="N132" i="22"/>
  <c r="AS131" i="22"/>
  <c r="N131" i="22"/>
  <c r="AS130" i="22"/>
  <c r="N130" i="22"/>
  <c r="AS129" i="22"/>
  <c r="N129" i="22"/>
  <c r="AS128" i="22"/>
  <c r="N128" i="22"/>
  <c r="AS127" i="22"/>
  <c r="N127" i="22"/>
  <c r="AS126" i="22"/>
  <c r="N126" i="22"/>
  <c r="AS125" i="22"/>
  <c r="N125" i="22"/>
  <c r="AS124" i="22"/>
  <c r="N124" i="22"/>
  <c r="AS123" i="22"/>
  <c r="N123" i="22"/>
  <c r="AS122" i="22"/>
  <c r="N122" i="22"/>
  <c r="AS121" i="22"/>
  <c r="N121" i="22"/>
  <c r="AS120" i="22"/>
  <c r="N120" i="22"/>
  <c r="AS119" i="22"/>
  <c r="N119" i="22"/>
  <c r="AS118" i="22"/>
  <c r="N118" i="22"/>
  <c r="AS117" i="22"/>
  <c r="N117" i="22"/>
  <c r="AS116" i="22"/>
  <c r="N116" i="22"/>
  <c r="AS115" i="22"/>
  <c r="N115" i="22"/>
  <c r="AS114" i="22"/>
  <c r="N114" i="22"/>
  <c r="AS113" i="22"/>
  <c r="N113" i="22"/>
  <c r="AS112" i="22"/>
  <c r="N112" i="22"/>
  <c r="AS111" i="22"/>
  <c r="N111" i="22"/>
  <c r="AS110" i="22"/>
  <c r="N110" i="22"/>
  <c r="AS109" i="22"/>
  <c r="N109" i="22"/>
  <c r="AS108" i="22"/>
  <c r="N108" i="22"/>
  <c r="AS107" i="22"/>
  <c r="N107" i="22"/>
  <c r="AS106" i="22"/>
  <c r="N106" i="22"/>
  <c r="AS105" i="22"/>
  <c r="N105" i="22"/>
  <c r="AS104" i="22"/>
  <c r="N104" i="22"/>
  <c r="AS103" i="22"/>
  <c r="N103" i="22"/>
  <c r="AS102" i="22"/>
  <c r="N102" i="22"/>
  <c r="AS101" i="22"/>
  <c r="N101" i="22"/>
  <c r="AS100" i="22"/>
  <c r="N100" i="22"/>
  <c r="AS99" i="22"/>
  <c r="N99" i="22"/>
  <c r="AS98" i="22"/>
  <c r="N98" i="22"/>
  <c r="AS97" i="22"/>
  <c r="N97" i="22"/>
  <c r="AS96" i="22"/>
  <c r="N96" i="22"/>
  <c r="AS95" i="22"/>
  <c r="N95" i="22"/>
  <c r="AS94" i="22"/>
  <c r="N94" i="22"/>
  <c r="AS93" i="22"/>
  <c r="N93" i="22"/>
  <c r="AS92" i="22"/>
  <c r="N92" i="22"/>
  <c r="AS91" i="22"/>
  <c r="N91" i="22"/>
  <c r="AS90" i="22"/>
  <c r="N90" i="22"/>
  <c r="AS89" i="22"/>
  <c r="N89" i="22"/>
  <c r="AS88" i="22"/>
  <c r="N88" i="22"/>
  <c r="AS87" i="22"/>
  <c r="N87" i="22"/>
  <c r="AS86" i="22"/>
  <c r="N86" i="22"/>
  <c r="AS85" i="22"/>
  <c r="N85" i="22"/>
  <c r="AS84" i="22"/>
  <c r="N84" i="22"/>
  <c r="AS83" i="22"/>
  <c r="N83" i="22"/>
  <c r="AS82" i="22"/>
  <c r="N82" i="22"/>
  <c r="AS81" i="22"/>
  <c r="N81" i="22"/>
  <c r="AS80" i="22"/>
  <c r="N80" i="22"/>
  <c r="AS79" i="22"/>
  <c r="N79" i="22"/>
  <c r="AS78" i="22"/>
  <c r="N78" i="22"/>
  <c r="AS77" i="22"/>
  <c r="N77" i="22"/>
  <c r="AS76" i="22"/>
  <c r="N76" i="22"/>
  <c r="AS75" i="22"/>
  <c r="N75" i="22"/>
  <c r="AS74" i="22"/>
  <c r="N74" i="22"/>
  <c r="AS73" i="22"/>
  <c r="N73" i="22"/>
  <c r="AS72" i="22"/>
  <c r="N72" i="22"/>
  <c r="AS71" i="22"/>
  <c r="N71" i="22"/>
  <c r="AS70" i="22"/>
  <c r="N70" i="22"/>
  <c r="AS69" i="22"/>
  <c r="N69" i="22"/>
  <c r="AS68" i="22"/>
  <c r="N68" i="22"/>
  <c r="AS67" i="22"/>
  <c r="N67" i="22"/>
  <c r="AS66" i="22"/>
  <c r="N66" i="22"/>
  <c r="E66" i="22"/>
  <c r="AS65" i="22"/>
  <c r="N65" i="22"/>
  <c r="AS64" i="22"/>
  <c r="N64" i="22"/>
  <c r="AS63" i="22"/>
  <c r="N63" i="22"/>
  <c r="AS62" i="22"/>
  <c r="N62" i="22"/>
  <c r="AS61" i="22"/>
  <c r="N61" i="22"/>
  <c r="AS60" i="22"/>
  <c r="N60" i="22"/>
  <c r="AS59" i="22"/>
  <c r="N59" i="22"/>
  <c r="AS58" i="22"/>
  <c r="N58" i="22"/>
  <c r="AS57" i="22"/>
  <c r="N57" i="22"/>
  <c r="AS56" i="22"/>
  <c r="N56" i="22"/>
  <c r="AS55" i="22"/>
  <c r="N55" i="22"/>
  <c r="AS54" i="22"/>
  <c r="N54" i="22"/>
  <c r="AS53" i="22"/>
  <c r="N53" i="22"/>
  <c r="AS52" i="22"/>
  <c r="N52" i="22"/>
  <c r="AS51" i="22"/>
  <c r="N51" i="22"/>
  <c r="AS50" i="22"/>
  <c r="N50" i="22"/>
  <c r="AS49" i="22"/>
  <c r="N49" i="22"/>
  <c r="AS48" i="22"/>
  <c r="N48" i="22"/>
  <c r="AS47" i="22"/>
  <c r="N47" i="22"/>
  <c r="AS46" i="22"/>
  <c r="N46" i="22"/>
  <c r="AS45" i="22"/>
  <c r="N45" i="22"/>
  <c r="AS44" i="22"/>
  <c r="N44" i="22"/>
  <c r="AS43" i="22"/>
  <c r="N43" i="22"/>
  <c r="AS42" i="22"/>
  <c r="N42" i="22"/>
  <c r="AS41" i="22"/>
  <c r="N41" i="22"/>
  <c r="AS40" i="22"/>
  <c r="N40" i="22"/>
  <c r="AS39" i="22"/>
  <c r="N39" i="22"/>
  <c r="AS38" i="22"/>
  <c r="N38" i="22"/>
  <c r="AS37" i="22"/>
  <c r="N37" i="22"/>
  <c r="AS36" i="22"/>
  <c r="N36" i="22"/>
  <c r="AS35" i="22"/>
  <c r="N35" i="22"/>
  <c r="AS34" i="22"/>
  <c r="N34" i="22"/>
  <c r="AS33" i="22"/>
  <c r="N33" i="22"/>
  <c r="AS32" i="22"/>
  <c r="N32" i="22"/>
  <c r="AS31" i="22"/>
  <c r="N31" i="22"/>
  <c r="AS30" i="22"/>
  <c r="N30" i="22"/>
  <c r="AS29" i="22"/>
  <c r="N29" i="22"/>
  <c r="AS28" i="22"/>
  <c r="N28" i="22"/>
  <c r="AS27" i="22"/>
  <c r="N27" i="22"/>
  <c r="AS26" i="22"/>
  <c r="N26" i="22"/>
  <c r="AS25" i="22"/>
  <c r="N25" i="22"/>
  <c r="AS24" i="22"/>
  <c r="N24" i="22"/>
  <c r="AS23" i="22"/>
  <c r="N23" i="22"/>
  <c r="AS22" i="22"/>
  <c r="N22" i="22"/>
  <c r="AS21" i="22"/>
  <c r="N21" i="22"/>
  <c r="AS20" i="22"/>
  <c r="N20" i="22"/>
  <c r="AS19" i="22"/>
  <c r="N19" i="22"/>
  <c r="AS18" i="22"/>
  <c r="N18" i="22"/>
  <c r="AS17" i="22"/>
  <c r="N17" i="22"/>
  <c r="AS16" i="22"/>
  <c r="N16" i="22"/>
  <c r="AS15" i="22"/>
  <c r="N15" i="22"/>
  <c r="AS14" i="22"/>
  <c r="N14" i="22"/>
  <c r="AS13" i="22"/>
  <c r="N13" i="22"/>
  <c r="AS12" i="22"/>
  <c r="N12" i="22"/>
  <c r="G5" i="22"/>
  <c r="G6" i="22" s="1"/>
  <c r="G4" i="22"/>
  <c r="G3" i="22"/>
  <c r="B177" i="23"/>
  <c r="J177" i="23" s="1"/>
  <c r="E4" i="23"/>
  <c r="N4" i="23" s="1"/>
  <c r="E3" i="23"/>
  <c r="G3" i="23" s="1"/>
  <c r="E2" i="23"/>
  <c r="G2" i="23" s="1"/>
  <c r="B45" i="30"/>
  <c r="B43" i="30"/>
  <c r="K6" i="30"/>
  <c r="K5" i="30"/>
  <c r="K4" i="30"/>
  <c r="B10" i="30" s="1"/>
  <c r="B11" i="30" s="1"/>
  <c r="B12" i="30" s="1"/>
  <c r="B13" i="30" s="1"/>
  <c r="B14" i="30" s="1"/>
  <c r="B15" i="30" s="1"/>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D70" i="32"/>
  <c r="D69" i="32"/>
  <c r="AG68" i="32"/>
  <c r="O68" i="32"/>
  <c r="N68" i="32"/>
  <c r="L68" i="32"/>
  <c r="K68" i="32"/>
  <c r="J68" i="32"/>
  <c r="I68" i="32"/>
  <c r="H68" i="32"/>
  <c r="G68" i="32"/>
  <c r="F68" i="32"/>
  <c r="E68" i="32"/>
  <c r="D68" i="32"/>
  <c r="C68" i="32"/>
  <c r="B68" i="32"/>
  <c r="AG67" i="32"/>
  <c r="O67" i="32"/>
  <c r="N67" i="32"/>
  <c r="L67" i="32"/>
  <c r="K67" i="32"/>
  <c r="J67" i="32"/>
  <c r="I67" i="32"/>
  <c r="H67" i="32"/>
  <c r="G67" i="32"/>
  <c r="F67" i="32"/>
  <c r="E67" i="32"/>
  <c r="D67" i="32"/>
  <c r="C67" i="32"/>
  <c r="B67" i="32"/>
  <c r="AG66" i="32"/>
  <c r="O66" i="32"/>
  <c r="N66" i="32"/>
  <c r="L66" i="32"/>
  <c r="K66" i="32"/>
  <c r="J66" i="32"/>
  <c r="I66" i="32"/>
  <c r="H66" i="32"/>
  <c r="G66" i="32"/>
  <c r="F66" i="32"/>
  <c r="E66" i="32"/>
  <c r="D66" i="32"/>
  <c r="C66" i="32"/>
  <c r="B66" i="32"/>
  <c r="AG65" i="32"/>
  <c r="O65" i="32"/>
  <c r="N65" i="32"/>
  <c r="M65" i="32"/>
  <c r="L65" i="32"/>
  <c r="K65" i="32"/>
  <c r="J65" i="32"/>
  <c r="I65" i="32"/>
  <c r="H65" i="32"/>
  <c r="G65" i="32"/>
  <c r="F65" i="32"/>
  <c r="E65" i="32"/>
  <c r="D65" i="32"/>
  <c r="C65" i="32"/>
  <c r="B65" i="32"/>
  <c r="AG64" i="32"/>
  <c r="O64" i="32"/>
  <c r="N64" i="32"/>
  <c r="L64" i="32"/>
  <c r="K64" i="32"/>
  <c r="J64" i="32"/>
  <c r="I64" i="32"/>
  <c r="H64" i="32"/>
  <c r="G64" i="32"/>
  <c r="F64" i="32"/>
  <c r="E64" i="32"/>
  <c r="D64" i="32"/>
  <c r="C64" i="32"/>
  <c r="B64" i="32"/>
  <c r="AG63" i="32"/>
  <c r="O63" i="32"/>
  <c r="N63" i="32"/>
  <c r="M63" i="32"/>
  <c r="L63" i="32"/>
  <c r="K63" i="32"/>
  <c r="J63" i="32"/>
  <c r="I63" i="32"/>
  <c r="H63" i="32"/>
  <c r="G63" i="32"/>
  <c r="F63" i="32"/>
  <c r="E63" i="32"/>
  <c r="D63" i="32"/>
  <c r="C63" i="32"/>
  <c r="B63" i="32"/>
  <c r="AG62" i="32"/>
  <c r="O62" i="32"/>
  <c r="N62" i="32"/>
  <c r="M62" i="32"/>
  <c r="L62" i="32"/>
  <c r="K62" i="32"/>
  <c r="J62" i="32"/>
  <c r="I62" i="32"/>
  <c r="H62" i="32"/>
  <c r="G62" i="32"/>
  <c r="F62" i="32"/>
  <c r="E62" i="32"/>
  <c r="D62" i="32"/>
  <c r="C62" i="32"/>
  <c r="B62" i="32"/>
  <c r="AG61" i="32"/>
  <c r="O61" i="32"/>
  <c r="N61" i="32"/>
  <c r="M61" i="32"/>
  <c r="L61" i="32"/>
  <c r="K61" i="32"/>
  <c r="J61" i="32"/>
  <c r="I61" i="32"/>
  <c r="H61" i="32"/>
  <c r="G61" i="32"/>
  <c r="F61" i="32"/>
  <c r="E61" i="32"/>
  <c r="D61" i="32"/>
  <c r="C61" i="32"/>
  <c r="B61" i="32"/>
  <c r="AG60" i="32"/>
  <c r="O60" i="32"/>
  <c r="N60" i="32"/>
  <c r="M60" i="32"/>
  <c r="L60" i="32"/>
  <c r="K60" i="32"/>
  <c r="J60" i="32"/>
  <c r="I60" i="32"/>
  <c r="H60" i="32"/>
  <c r="G60" i="32"/>
  <c r="F60" i="32"/>
  <c r="E60" i="32"/>
  <c r="D60" i="32"/>
  <c r="C60" i="32"/>
  <c r="B60" i="32"/>
  <c r="AG59" i="32"/>
  <c r="O59" i="32"/>
  <c r="N59" i="32"/>
  <c r="M59" i="32"/>
  <c r="L59" i="32"/>
  <c r="K59" i="32"/>
  <c r="J59" i="32"/>
  <c r="I59" i="32"/>
  <c r="H59" i="32"/>
  <c r="G59" i="32"/>
  <c r="F59" i="32"/>
  <c r="E59" i="32"/>
  <c r="D59" i="32"/>
  <c r="C59" i="32"/>
  <c r="B59" i="32"/>
  <c r="AG58" i="32"/>
  <c r="O58" i="32"/>
  <c r="N58" i="32"/>
  <c r="M58" i="32"/>
  <c r="L58" i="32"/>
  <c r="K58" i="32"/>
  <c r="J58" i="32"/>
  <c r="I58" i="32"/>
  <c r="H58" i="32"/>
  <c r="G58" i="32"/>
  <c r="F58" i="32"/>
  <c r="E58" i="32"/>
  <c r="D58" i="32"/>
  <c r="C58" i="32"/>
  <c r="B58" i="32"/>
  <c r="AG57" i="32"/>
  <c r="O57" i="32"/>
  <c r="N57" i="32"/>
  <c r="M57" i="32"/>
  <c r="L57" i="32"/>
  <c r="K57" i="32"/>
  <c r="J57" i="32"/>
  <c r="I57" i="32"/>
  <c r="H57" i="32"/>
  <c r="G57" i="32"/>
  <c r="F57" i="32"/>
  <c r="E57" i="32"/>
  <c r="D57" i="32"/>
  <c r="C57" i="32"/>
  <c r="B57" i="32"/>
  <c r="AG56" i="32"/>
  <c r="O56" i="32"/>
  <c r="N56" i="32"/>
  <c r="M56" i="32"/>
  <c r="L56" i="32"/>
  <c r="K56" i="32"/>
  <c r="J56" i="32"/>
  <c r="I56" i="32"/>
  <c r="H56" i="32"/>
  <c r="G56" i="32"/>
  <c r="F56" i="32"/>
  <c r="E56" i="32"/>
  <c r="D56" i="32"/>
  <c r="C56" i="32"/>
  <c r="B56" i="32"/>
  <c r="AG55" i="32"/>
  <c r="O55" i="32"/>
  <c r="N55" i="32"/>
  <c r="M55" i="32"/>
  <c r="L55" i="32"/>
  <c r="K55" i="32"/>
  <c r="J55" i="32"/>
  <c r="I55" i="32"/>
  <c r="H55" i="32"/>
  <c r="G55" i="32"/>
  <c r="F55" i="32"/>
  <c r="E55" i="32"/>
  <c r="D55" i="32"/>
  <c r="C55" i="32"/>
  <c r="B55" i="32"/>
  <c r="AG54" i="32"/>
  <c r="O54" i="32"/>
  <c r="N54" i="32"/>
  <c r="M54" i="32"/>
  <c r="L54" i="32"/>
  <c r="K54" i="32"/>
  <c r="J54" i="32"/>
  <c r="I54" i="32"/>
  <c r="H54" i="32"/>
  <c r="G54" i="32"/>
  <c r="F54" i="32"/>
  <c r="E54" i="32"/>
  <c r="D54" i="32"/>
  <c r="C54" i="32"/>
  <c r="B54" i="32"/>
  <c r="AG53" i="32"/>
  <c r="O53" i="32"/>
  <c r="N53" i="32"/>
  <c r="M53" i="32"/>
  <c r="L53" i="32"/>
  <c r="K53" i="32"/>
  <c r="J53" i="32"/>
  <c r="I53" i="32"/>
  <c r="H53" i="32"/>
  <c r="G53" i="32"/>
  <c r="F53" i="32"/>
  <c r="E53" i="32"/>
  <c r="D53" i="32"/>
  <c r="C53" i="32"/>
  <c r="B53" i="32"/>
  <c r="AG52" i="32"/>
  <c r="O52" i="32"/>
  <c r="N52" i="32"/>
  <c r="M52" i="32"/>
  <c r="L52" i="32"/>
  <c r="K52" i="32"/>
  <c r="J52" i="32"/>
  <c r="I52" i="32"/>
  <c r="H52" i="32"/>
  <c r="G52" i="32"/>
  <c r="F52" i="32"/>
  <c r="E52" i="32"/>
  <c r="D52" i="32"/>
  <c r="C52" i="32"/>
  <c r="B52" i="32"/>
  <c r="AG51" i="32"/>
  <c r="O51" i="32"/>
  <c r="N51" i="32"/>
  <c r="M51" i="32"/>
  <c r="L51" i="32"/>
  <c r="K51" i="32"/>
  <c r="J51" i="32"/>
  <c r="I51" i="32"/>
  <c r="H51" i="32"/>
  <c r="G51" i="32"/>
  <c r="F51" i="32"/>
  <c r="E51" i="32"/>
  <c r="D51" i="32"/>
  <c r="C51" i="32"/>
  <c r="B51" i="32"/>
  <c r="AG50" i="32"/>
  <c r="O50" i="32"/>
  <c r="N50" i="32"/>
  <c r="M50" i="32"/>
  <c r="L50" i="32"/>
  <c r="K50" i="32"/>
  <c r="J50" i="32"/>
  <c r="I50" i="32"/>
  <c r="H50" i="32"/>
  <c r="G50" i="32"/>
  <c r="F50" i="32"/>
  <c r="E50" i="32"/>
  <c r="D50" i="32"/>
  <c r="C50" i="32"/>
  <c r="B50" i="32"/>
  <c r="AG49" i="32"/>
  <c r="O49" i="32"/>
  <c r="N49" i="32"/>
  <c r="M49" i="32"/>
  <c r="L49" i="32"/>
  <c r="K49" i="32"/>
  <c r="J49" i="32"/>
  <c r="I49" i="32"/>
  <c r="H49" i="32"/>
  <c r="G49" i="32"/>
  <c r="F49" i="32"/>
  <c r="E49" i="32"/>
  <c r="D49" i="32"/>
  <c r="C49" i="32"/>
  <c r="B49" i="32"/>
  <c r="AG48" i="32"/>
  <c r="O48" i="32"/>
  <c r="N48" i="32"/>
  <c r="M48" i="32"/>
  <c r="L48" i="32"/>
  <c r="K48" i="32"/>
  <c r="J48" i="32"/>
  <c r="I48" i="32"/>
  <c r="H48" i="32"/>
  <c r="G48" i="32"/>
  <c r="F48" i="32"/>
  <c r="E48" i="32"/>
  <c r="D48" i="32"/>
  <c r="C48" i="32"/>
  <c r="B48" i="32"/>
  <c r="AG47" i="32"/>
  <c r="O47" i="32"/>
  <c r="N47" i="32"/>
  <c r="M47" i="32"/>
  <c r="L47" i="32"/>
  <c r="K47" i="32"/>
  <c r="J47" i="32"/>
  <c r="I47" i="32"/>
  <c r="H47" i="32"/>
  <c r="G47" i="32"/>
  <c r="F47" i="32"/>
  <c r="E47" i="32"/>
  <c r="D47" i="32"/>
  <c r="C47" i="32"/>
  <c r="B47" i="32"/>
  <c r="AG46" i="32"/>
  <c r="O46" i="32"/>
  <c r="N46" i="32"/>
  <c r="M46" i="32"/>
  <c r="L46" i="32"/>
  <c r="K46" i="32"/>
  <c r="J46" i="32"/>
  <c r="I46" i="32"/>
  <c r="H46" i="32"/>
  <c r="G46" i="32"/>
  <c r="F46" i="32"/>
  <c r="E46" i="32"/>
  <c r="D46" i="32"/>
  <c r="C46" i="32"/>
  <c r="B46" i="32"/>
  <c r="AG45" i="32"/>
  <c r="AB45" i="32"/>
  <c r="AA45" i="32"/>
  <c r="Z45" i="32"/>
  <c r="Y45" i="32"/>
  <c r="X45" i="32"/>
  <c r="O45" i="32"/>
  <c r="N45" i="32"/>
  <c r="M45" i="32"/>
  <c r="L45" i="32"/>
  <c r="K45" i="32"/>
  <c r="J45" i="32"/>
  <c r="I45" i="32"/>
  <c r="H45" i="32"/>
  <c r="G45" i="32"/>
  <c r="F45" i="32"/>
  <c r="E45" i="32"/>
  <c r="D45" i="32"/>
  <c r="C45" i="32"/>
  <c r="B45" i="32"/>
  <c r="AG44" i="32"/>
  <c r="AB44" i="32"/>
  <c r="AA44" i="32"/>
  <c r="Z44" i="32"/>
  <c r="Y44" i="32"/>
  <c r="X44" i="32"/>
  <c r="O44" i="32"/>
  <c r="N44" i="32"/>
  <c r="M44" i="32"/>
  <c r="L44" i="32"/>
  <c r="K44" i="32"/>
  <c r="J44" i="32"/>
  <c r="I44" i="32"/>
  <c r="H44" i="32"/>
  <c r="G44" i="32"/>
  <c r="F44" i="32"/>
  <c r="E44" i="32"/>
  <c r="D44" i="32"/>
  <c r="C44" i="32"/>
  <c r="B44" i="32"/>
  <c r="AG43" i="32"/>
  <c r="AB43" i="32"/>
  <c r="AA43" i="32"/>
  <c r="Z43" i="32"/>
  <c r="Y43" i="32"/>
  <c r="X43" i="32"/>
  <c r="O43" i="32"/>
  <c r="N43" i="32"/>
  <c r="M43" i="32"/>
  <c r="L43" i="32"/>
  <c r="K43" i="32"/>
  <c r="J43" i="32"/>
  <c r="I43" i="32"/>
  <c r="H43" i="32"/>
  <c r="G43" i="32"/>
  <c r="F43" i="32"/>
  <c r="E43" i="32"/>
  <c r="D43" i="32"/>
  <c r="C43" i="32"/>
  <c r="B43" i="32"/>
  <c r="AG42" i="32"/>
  <c r="AB42" i="32"/>
  <c r="AA42" i="32"/>
  <c r="Z42" i="32"/>
  <c r="Y42" i="32"/>
  <c r="X42" i="32"/>
  <c r="O42" i="32"/>
  <c r="N42" i="32"/>
  <c r="M42" i="32"/>
  <c r="L42" i="32"/>
  <c r="K42" i="32"/>
  <c r="J42" i="32"/>
  <c r="I42" i="32"/>
  <c r="H42" i="32"/>
  <c r="G42" i="32"/>
  <c r="F42" i="32"/>
  <c r="E42" i="32"/>
  <c r="D42" i="32"/>
  <c r="C42" i="32"/>
  <c r="B42" i="32"/>
  <c r="AG41" i="32"/>
  <c r="AB41" i="32"/>
  <c r="AA41" i="32"/>
  <c r="Z41" i="32"/>
  <c r="Y41" i="32"/>
  <c r="X41" i="32"/>
  <c r="O41" i="32"/>
  <c r="N41" i="32"/>
  <c r="M41" i="32"/>
  <c r="L41" i="32"/>
  <c r="K41" i="32"/>
  <c r="J41" i="32"/>
  <c r="I41" i="32"/>
  <c r="H41" i="32"/>
  <c r="G41" i="32"/>
  <c r="F41" i="32"/>
  <c r="E41" i="32"/>
  <c r="D41" i="32"/>
  <c r="C41" i="32"/>
  <c r="B41" i="32"/>
  <c r="D35" i="32"/>
  <c r="D34" i="32"/>
  <c r="D33" i="32"/>
  <c r="AG32" i="32"/>
  <c r="AB32" i="32"/>
  <c r="AA32" i="32"/>
  <c r="Z32" i="32"/>
  <c r="Y32" i="32"/>
  <c r="X32" i="32"/>
  <c r="O32" i="32"/>
  <c r="N32" i="32"/>
  <c r="M32" i="32"/>
  <c r="L32" i="32"/>
  <c r="K32" i="32"/>
  <c r="J32" i="32"/>
  <c r="I32" i="32"/>
  <c r="H32" i="32"/>
  <c r="G32" i="32"/>
  <c r="F32" i="32"/>
  <c r="E32" i="32"/>
  <c r="D32" i="32"/>
  <c r="C32" i="32"/>
  <c r="B32" i="32"/>
  <c r="AG31" i="32"/>
  <c r="AB31" i="32"/>
  <c r="AA31" i="32"/>
  <c r="Z31" i="32"/>
  <c r="Y31" i="32"/>
  <c r="X31" i="32"/>
  <c r="O31" i="32"/>
  <c r="N31" i="32"/>
  <c r="M31" i="32"/>
  <c r="L31" i="32"/>
  <c r="K31" i="32"/>
  <c r="J31" i="32"/>
  <c r="I31" i="32"/>
  <c r="H31" i="32"/>
  <c r="G31" i="32"/>
  <c r="F31" i="32"/>
  <c r="E31" i="32"/>
  <c r="D31" i="32"/>
  <c r="C31" i="32"/>
  <c r="B31" i="32"/>
  <c r="AG30" i="32"/>
  <c r="AB30" i="32"/>
  <c r="AA30" i="32"/>
  <c r="Z30" i="32"/>
  <c r="Y30" i="32"/>
  <c r="X30" i="32"/>
  <c r="O30" i="32"/>
  <c r="N30" i="32"/>
  <c r="M30" i="32"/>
  <c r="L30" i="32"/>
  <c r="K30" i="32"/>
  <c r="J30" i="32"/>
  <c r="I30" i="32"/>
  <c r="H30" i="32"/>
  <c r="G30" i="32"/>
  <c r="F30" i="32"/>
  <c r="E30" i="32"/>
  <c r="D30" i="32"/>
  <c r="C30" i="32"/>
  <c r="B30" i="32"/>
  <c r="AG29" i="32"/>
  <c r="AB29" i="32"/>
  <c r="AA29" i="32"/>
  <c r="Z29" i="32"/>
  <c r="Y29" i="32"/>
  <c r="X29" i="32"/>
  <c r="O29" i="32"/>
  <c r="N29" i="32"/>
  <c r="M29" i="32"/>
  <c r="L29" i="32"/>
  <c r="K29" i="32"/>
  <c r="J29" i="32"/>
  <c r="I29" i="32"/>
  <c r="H29" i="32"/>
  <c r="G29" i="32"/>
  <c r="F29" i="32"/>
  <c r="E29" i="32"/>
  <c r="D29" i="32"/>
  <c r="C29" i="32"/>
  <c r="B29" i="32"/>
  <c r="AG28" i="32"/>
  <c r="AB28" i="32"/>
  <c r="AA28" i="32"/>
  <c r="Z28" i="32"/>
  <c r="Y28" i="32"/>
  <c r="X28" i="32"/>
  <c r="O28" i="32"/>
  <c r="N28" i="32"/>
  <c r="M28" i="32"/>
  <c r="L28" i="32"/>
  <c r="K28" i="32"/>
  <c r="J28" i="32"/>
  <c r="I28" i="32"/>
  <c r="H28" i="32"/>
  <c r="G28" i="32"/>
  <c r="F28" i="32"/>
  <c r="E28" i="32"/>
  <c r="D28" i="32"/>
  <c r="C28" i="32"/>
  <c r="B28" i="32"/>
  <c r="AG27" i="32"/>
  <c r="AB27" i="32"/>
  <c r="AA27" i="32"/>
  <c r="Z27" i="32"/>
  <c r="Y27" i="32"/>
  <c r="X27" i="32"/>
  <c r="O27" i="32"/>
  <c r="N27" i="32"/>
  <c r="M27" i="32"/>
  <c r="L27" i="32"/>
  <c r="K27" i="32"/>
  <c r="J27" i="32"/>
  <c r="I27" i="32"/>
  <c r="H27" i="32"/>
  <c r="G27" i="32"/>
  <c r="F27" i="32"/>
  <c r="E27" i="32"/>
  <c r="D27" i="32"/>
  <c r="C27" i="32"/>
  <c r="B27" i="32"/>
  <c r="AG26" i="32"/>
  <c r="AB26" i="32"/>
  <c r="AA26" i="32"/>
  <c r="Z26" i="32"/>
  <c r="Y26" i="32"/>
  <c r="X26" i="32"/>
  <c r="O26" i="32"/>
  <c r="N26" i="32"/>
  <c r="M26" i="32"/>
  <c r="L26" i="32"/>
  <c r="K26" i="32"/>
  <c r="J26" i="32"/>
  <c r="I26" i="32"/>
  <c r="H26" i="32"/>
  <c r="G26" i="32"/>
  <c r="F26" i="32"/>
  <c r="E26" i="32"/>
  <c r="D26" i="32"/>
  <c r="C26" i="32"/>
  <c r="B26" i="32"/>
  <c r="AG25" i="32"/>
  <c r="AB25" i="32"/>
  <c r="AA25" i="32"/>
  <c r="Z25" i="32"/>
  <c r="Y25" i="32"/>
  <c r="X25" i="32"/>
  <c r="O25" i="32"/>
  <c r="N25" i="32"/>
  <c r="M25" i="32"/>
  <c r="L25" i="32"/>
  <c r="K25" i="32"/>
  <c r="J25" i="32"/>
  <c r="I25" i="32"/>
  <c r="H25" i="32"/>
  <c r="G25" i="32"/>
  <c r="F25" i="32"/>
  <c r="E25" i="32"/>
  <c r="D25" i="32"/>
  <c r="C25" i="32"/>
  <c r="AG24" i="32"/>
  <c r="AB24" i="32"/>
  <c r="AA24" i="32"/>
  <c r="Z24" i="32"/>
  <c r="Y24" i="32"/>
  <c r="X24" i="32"/>
  <c r="O24" i="32"/>
  <c r="N24" i="32"/>
  <c r="M24" i="32"/>
  <c r="L24" i="32"/>
  <c r="K24" i="32"/>
  <c r="J24" i="32"/>
  <c r="I24" i="32"/>
  <c r="H24" i="32"/>
  <c r="G24" i="32"/>
  <c r="F24" i="32"/>
  <c r="E24" i="32"/>
  <c r="D24" i="32"/>
  <c r="C24" i="32"/>
  <c r="B24" i="32"/>
  <c r="AG23" i="32"/>
  <c r="AB23" i="32"/>
  <c r="AA23" i="32"/>
  <c r="Z23" i="32"/>
  <c r="Y23" i="32"/>
  <c r="X23" i="32"/>
  <c r="O23" i="32"/>
  <c r="N23" i="32"/>
  <c r="M23" i="32"/>
  <c r="L23" i="32"/>
  <c r="K23" i="32"/>
  <c r="J23" i="32"/>
  <c r="I23" i="32"/>
  <c r="H23" i="32"/>
  <c r="G23" i="32"/>
  <c r="F23" i="32"/>
  <c r="E23" i="32"/>
  <c r="D23" i="32"/>
  <c r="C23" i="32"/>
  <c r="B23" i="32"/>
  <c r="AG22" i="32"/>
  <c r="AB22" i="32"/>
  <c r="AA22" i="32"/>
  <c r="Z22" i="32"/>
  <c r="Y22" i="32"/>
  <c r="X22" i="32"/>
  <c r="O22" i="32"/>
  <c r="N22" i="32"/>
  <c r="M22" i="32"/>
  <c r="L22" i="32"/>
  <c r="K22" i="32"/>
  <c r="J22" i="32"/>
  <c r="I22" i="32"/>
  <c r="H22" i="32"/>
  <c r="G22" i="32"/>
  <c r="F22" i="32"/>
  <c r="E22" i="32"/>
  <c r="D22" i="32"/>
  <c r="C22" i="32"/>
  <c r="B22" i="32"/>
  <c r="AG21" i="32"/>
  <c r="AB21" i="32"/>
  <c r="AA21" i="32"/>
  <c r="Z21" i="32"/>
  <c r="Y21" i="32"/>
  <c r="X21" i="32"/>
  <c r="O21" i="32"/>
  <c r="N21" i="32"/>
  <c r="M21" i="32"/>
  <c r="L21" i="32"/>
  <c r="K21" i="32"/>
  <c r="J21" i="32"/>
  <c r="I21" i="32"/>
  <c r="H21" i="32"/>
  <c r="G21" i="32"/>
  <c r="F21" i="32"/>
  <c r="E21" i="32"/>
  <c r="D21" i="32"/>
  <c r="C21" i="32"/>
  <c r="B21" i="32"/>
  <c r="AG20" i="32"/>
  <c r="AB20" i="32"/>
  <c r="AA20" i="32"/>
  <c r="Z20" i="32"/>
  <c r="Y20" i="32"/>
  <c r="X20" i="32"/>
  <c r="O20" i="32"/>
  <c r="N20" i="32"/>
  <c r="M20" i="32"/>
  <c r="L20" i="32"/>
  <c r="K20" i="32"/>
  <c r="J20" i="32"/>
  <c r="I20" i="32"/>
  <c r="H20" i="32"/>
  <c r="G20" i="32"/>
  <c r="F20" i="32"/>
  <c r="E20" i="32"/>
  <c r="D20" i="32"/>
  <c r="C20" i="32"/>
  <c r="B20" i="32"/>
  <c r="AG19" i="32"/>
  <c r="AB19" i="32"/>
  <c r="AA19" i="32"/>
  <c r="Z19" i="32"/>
  <c r="Y19" i="32"/>
  <c r="X19" i="32"/>
  <c r="O19" i="32"/>
  <c r="N19" i="32"/>
  <c r="M19" i="32"/>
  <c r="L19" i="32"/>
  <c r="K19" i="32"/>
  <c r="J19" i="32"/>
  <c r="I19" i="32"/>
  <c r="H19" i="32"/>
  <c r="G19" i="32"/>
  <c r="F19" i="32"/>
  <c r="E19" i="32"/>
  <c r="D19" i="32"/>
  <c r="C19" i="32"/>
  <c r="B19" i="32"/>
  <c r="AG18" i="32"/>
  <c r="AB18" i="32"/>
  <c r="AA18" i="32"/>
  <c r="Z18" i="32"/>
  <c r="Y18" i="32"/>
  <c r="X18" i="32"/>
  <c r="O18" i="32"/>
  <c r="N18" i="32"/>
  <c r="M18" i="32"/>
  <c r="L18" i="32"/>
  <c r="K18" i="32"/>
  <c r="J18" i="32"/>
  <c r="I18" i="32"/>
  <c r="H18" i="32"/>
  <c r="G18" i="32"/>
  <c r="F18" i="32"/>
  <c r="E18" i="32"/>
  <c r="D18" i="32"/>
  <c r="C18" i="32"/>
  <c r="B18" i="32"/>
  <c r="AG17" i="32"/>
  <c r="AB17" i="32"/>
  <c r="AA17" i="32"/>
  <c r="Z17" i="32"/>
  <c r="Y17" i="32"/>
  <c r="X17" i="32"/>
  <c r="O17" i="32"/>
  <c r="N17" i="32"/>
  <c r="M17" i="32"/>
  <c r="L17" i="32"/>
  <c r="K17" i="32"/>
  <c r="J17" i="32"/>
  <c r="I17" i="32"/>
  <c r="H17" i="32"/>
  <c r="G17" i="32"/>
  <c r="F17" i="32"/>
  <c r="E17" i="32"/>
  <c r="D17" i="32"/>
  <c r="C17" i="32"/>
  <c r="B17" i="32"/>
  <c r="AG16" i="32"/>
  <c r="AB16" i="32"/>
  <c r="AA16" i="32"/>
  <c r="Z16" i="32"/>
  <c r="Y16" i="32"/>
  <c r="X16" i="32"/>
  <c r="O16" i="32"/>
  <c r="N16" i="32"/>
  <c r="M16" i="32"/>
  <c r="L16" i="32"/>
  <c r="K16" i="32"/>
  <c r="J16" i="32"/>
  <c r="I16" i="32"/>
  <c r="H16" i="32"/>
  <c r="G16" i="32"/>
  <c r="F16" i="32"/>
  <c r="E16" i="32"/>
  <c r="D16" i="32"/>
  <c r="C16" i="32"/>
  <c r="B16" i="32"/>
  <c r="AG15" i="32"/>
  <c r="AB15" i="32"/>
  <c r="AA15" i="32"/>
  <c r="Z15" i="32"/>
  <c r="Y15" i="32"/>
  <c r="X15" i="32"/>
  <c r="O15" i="32"/>
  <c r="N15" i="32"/>
  <c r="M15" i="32"/>
  <c r="L15" i="32"/>
  <c r="K15" i="32"/>
  <c r="J15" i="32"/>
  <c r="I15" i="32"/>
  <c r="H15" i="32"/>
  <c r="G15" i="32"/>
  <c r="F15" i="32"/>
  <c r="E15" i="32"/>
  <c r="D15" i="32"/>
  <c r="C15" i="32"/>
  <c r="B15" i="32"/>
  <c r="AG14" i="32"/>
  <c r="AB14" i="32"/>
  <c r="AA14" i="32"/>
  <c r="Z14" i="32"/>
  <c r="Y14" i="32"/>
  <c r="X14" i="32"/>
  <c r="O14" i="32"/>
  <c r="N14" i="32"/>
  <c r="M14" i="32"/>
  <c r="L14" i="32"/>
  <c r="K14" i="32"/>
  <c r="J14" i="32"/>
  <c r="I14" i="32"/>
  <c r="H14" i="32"/>
  <c r="G14" i="32"/>
  <c r="F14" i="32"/>
  <c r="E14" i="32"/>
  <c r="D14" i="32"/>
  <c r="C14" i="32"/>
  <c r="B14" i="32"/>
  <c r="AG13" i="32"/>
  <c r="AB13" i="32"/>
  <c r="AA13" i="32"/>
  <c r="Z13" i="32"/>
  <c r="Y13" i="32"/>
  <c r="X13" i="32"/>
  <c r="O13" i="32"/>
  <c r="N13" i="32"/>
  <c r="M13" i="32"/>
  <c r="L13" i="32"/>
  <c r="K13" i="32"/>
  <c r="J13" i="32"/>
  <c r="I13" i="32"/>
  <c r="H13" i="32"/>
  <c r="G13" i="32"/>
  <c r="F13" i="32"/>
  <c r="E13" i="32"/>
  <c r="D13" i="32"/>
  <c r="C13" i="32"/>
  <c r="B13" i="32"/>
  <c r="AG12" i="32"/>
  <c r="AB12" i="32"/>
  <c r="AA12" i="32"/>
  <c r="Z12" i="32"/>
  <c r="Y12" i="32"/>
  <c r="X12" i="32"/>
  <c r="O12" i="32"/>
  <c r="N12" i="32"/>
  <c r="M12" i="32"/>
  <c r="L12" i="32"/>
  <c r="K12" i="32"/>
  <c r="J12" i="32"/>
  <c r="I12" i="32"/>
  <c r="H12" i="32"/>
  <c r="G12" i="32"/>
  <c r="F12" i="32"/>
  <c r="E12" i="32"/>
  <c r="D12" i="32"/>
  <c r="C12" i="32"/>
  <c r="B12" i="32"/>
  <c r="AG11" i="32"/>
  <c r="AB11" i="32"/>
  <c r="AA11" i="32"/>
  <c r="Z11" i="32"/>
  <c r="Y11" i="32"/>
  <c r="X11" i="32"/>
  <c r="O11" i="32"/>
  <c r="N11" i="32"/>
  <c r="M11" i="32"/>
  <c r="L11" i="32"/>
  <c r="K11" i="32"/>
  <c r="J11" i="32"/>
  <c r="I11" i="32"/>
  <c r="H11" i="32"/>
  <c r="G11" i="32"/>
  <c r="F11" i="32"/>
  <c r="E11" i="32"/>
  <c r="D11" i="32"/>
  <c r="C11" i="32"/>
  <c r="B11" i="32"/>
  <c r="AG10" i="32"/>
  <c r="AB10" i="32"/>
  <c r="AA10" i="32"/>
  <c r="Z10" i="32"/>
  <c r="Y10" i="32"/>
  <c r="X10" i="32"/>
  <c r="O10" i="32"/>
  <c r="N10" i="32"/>
  <c r="M10" i="32"/>
  <c r="L10" i="32"/>
  <c r="K10" i="32"/>
  <c r="J10" i="32"/>
  <c r="I10" i="32"/>
  <c r="H10" i="32"/>
  <c r="G10" i="32"/>
  <c r="F10" i="32"/>
  <c r="E10" i="32"/>
  <c r="D10" i="32"/>
  <c r="C10" i="32"/>
  <c r="B10" i="32"/>
  <c r="AG9" i="32"/>
  <c r="AB9" i="32"/>
  <c r="AA9" i="32"/>
  <c r="Z9" i="32"/>
  <c r="Y9" i="32"/>
  <c r="X9" i="32"/>
  <c r="O9" i="32"/>
  <c r="N9" i="32"/>
  <c r="M9" i="32"/>
  <c r="L9" i="32"/>
  <c r="K9" i="32"/>
  <c r="J9" i="32"/>
  <c r="I9" i="32"/>
  <c r="H9" i="32"/>
  <c r="G9" i="32"/>
  <c r="F9" i="32"/>
  <c r="E9" i="32"/>
  <c r="D9" i="32"/>
  <c r="C9" i="32"/>
  <c r="B9" i="32"/>
  <c r="AG8" i="32"/>
  <c r="AB8" i="32"/>
  <c r="AA8" i="32"/>
  <c r="Z8" i="32"/>
  <c r="Y8" i="32"/>
  <c r="X8" i="32"/>
  <c r="O8" i="32"/>
  <c r="N8" i="32"/>
  <c r="M8" i="32"/>
  <c r="L8" i="32"/>
  <c r="K8" i="32"/>
  <c r="J8" i="32"/>
  <c r="I8" i="32"/>
  <c r="H8" i="32"/>
  <c r="G8" i="32"/>
  <c r="F8" i="32"/>
  <c r="E8" i="32"/>
  <c r="D8" i="32"/>
  <c r="C8" i="32"/>
  <c r="B8" i="32"/>
  <c r="AG7" i="32"/>
  <c r="AB7" i="32"/>
  <c r="AA7" i="32"/>
  <c r="Z7" i="32"/>
  <c r="Y7" i="32"/>
  <c r="X7" i="32"/>
  <c r="O7" i="32"/>
  <c r="N7" i="32"/>
  <c r="M7" i="32"/>
  <c r="L7" i="32"/>
  <c r="K7" i="32"/>
  <c r="J7" i="32"/>
  <c r="I7" i="32"/>
  <c r="H7" i="32"/>
  <c r="G7" i="32"/>
  <c r="F7" i="32"/>
  <c r="E7" i="32"/>
  <c r="D7" i="32"/>
  <c r="C7" i="32"/>
  <c r="B7" i="32"/>
  <c r="AG6" i="32"/>
  <c r="AB6" i="32"/>
  <c r="AA6" i="32"/>
  <c r="Z6" i="32"/>
  <c r="Y6" i="32"/>
  <c r="X6" i="32"/>
  <c r="O6" i="32"/>
  <c r="N6" i="32"/>
  <c r="M6" i="32"/>
  <c r="L6" i="32"/>
  <c r="K6" i="32"/>
  <c r="J6" i="32"/>
  <c r="I6" i="32"/>
  <c r="H6" i="32"/>
  <c r="G6" i="32"/>
  <c r="F6" i="32"/>
  <c r="E6" i="32"/>
  <c r="D6" i="32"/>
  <c r="C6" i="32"/>
  <c r="B6" i="32"/>
  <c r="D2" i="32"/>
  <c r="F2" i="32" s="1"/>
  <c r="F1" i="32"/>
  <c r="D1" i="32"/>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N97" i="68"/>
  <c r="Q94" i="68"/>
  <c r="N92" i="68"/>
  <c r="N86" i="68" s="1"/>
  <c r="N91" i="68"/>
  <c r="N90" i="68"/>
  <c r="Q89" i="68"/>
  <c r="N89" i="68"/>
  <c r="N88" i="68"/>
  <c r="O101" i="68" s="1"/>
  <c r="N87" i="68"/>
  <c r="N84" i="68"/>
  <c r="N83" i="68"/>
  <c r="N80" i="68"/>
  <c r="G80" i="68"/>
  <c r="H80" i="68" s="1"/>
  <c r="N79" i="68"/>
  <c r="G79" i="68"/>
  <c r="H79" i="68" s="1"/>
  <c r="N78" i="68"/>
  <c r="G78" i="68"/>
  <c r="H78" i="68" s="1"/>
  <c r="N77" i="68"/>
  <c r="G77" i="68"/>
  <c r="H77" i="68" s="1"/>
  <c r="N76" i="68"/>
  <c r="E68" i="68"/>
  <c r="O23" i="68" s="1"/>
  <c r="E67" i="68"/>
  <c r="D66" i="68"/>
  <c r="D64" i="68"/>
  <c r="E64" i="68" s="1"/>
  <c r="O21" i="68" s="1"/>
  <c r="E63" i="68"/>
  <c r="O20" i="68" s="1"/>
  <c r="G60" i="68"/>
  <c r="H60" i="68" s="1"/>
  <c r="G59" i="68"/>
  <c r="H59" i="68" s="1"/>
  <c r="D58" i="68"/>
  <c r="E58" i="68" s="1"/>
  <c r="D57" i="68"/>
  <c r="E57" i="68" s="1"/>
  <c r="G56" i="68"/>
  <c r="H56" i="68" s="1"/>
  <c r="D56" i="68"/>
  <c r="E56" i="68" s="1"/>
  <c r="D55" i="68"/>
  <c r="E55" i="68" s="1"/>
  <c r="D53" i="68"/>
  <c r="D51" i="68"/>
  <c r="Q49" i="68"/>
  <c r="Q48" i="68"/>
  <c r="Q43" i="68" s="1"/>
  <c r="O48" i="68"/>
  <c r="O43" i="68" s="1"/>
  <c r="N48" i="68"/>
  <c r="N45" i="68" s="1"/>
  <c r="M48" i="68"/>
  <c r="M45" i="68" s="1"/>
  <c r="L48" i="68"/>
  <c r="L44" i="68" s="1"/>
  <c r="K48" i="68"/>
  <c r="K47" i="68" s="1"/>
  <c r="J48" i="68"/>
  <c r="J47" i="68" s="1"/>
  <c r="I48" i="68"/>
  <c r="I43" i="68" s="1"/>
  <c r="H48" i="68"/>
  <c r="H43" i="68" s="1"/>
  <c r="G48" i="68"/>
  <c r="G47" i="68" s="1"/>
  <c r="F48" i="68"/>
  <c r="F43" i="68" s="1"/>
  <c r="N46" i="68"/>
  <c r="J46" i="68"/>
  <c r="G46" i="68"/>
  <c r="F46" i="68"/>
  <c r="J45" i="68"/>
  <c r="N44" i="68"/>
  <c r="K44" i="68"/>
  <c r="J44" i="68"/>
  <c r="J43" i="68"/>
  <c r="G43" i="68"/>
  <c r="M40" i="68"/>
  <c r="M25" i="68" s="1"/>
  <c r="M39" i="68"/>
  <c r="M24" i="68" s="1"/>
  <c r="O38" i="68"/>
  <c r="E50" i="68" s="1"/>
  <c r="I38" i="68"/>
  <c r="J38" i="68" s="1"/>
  <c r="O22" i="68"/>
  <c r="Q19" i="68"/>
  <c r="O19" i="68"/>
  <c r="Q18" i="68"/>
  <c r="Q17" i="68"/>
  <c r="Q16" i="68"/>
  <c r="Q15" i="68"/>
  <c r="Q14" i="68"/>
  <c r="AC13" i="68"/>
  <c r="AA13" i="68"/>
  <c r="Y13" i="68"/>
  <c r="W13" i="68"/>
  <c r="U13" i="68"/>
  <c r="S13" i="68"/>
  <c r="Q13" i="68"/>
  <c r="O13" i="68"/>
  <c r="O32" i="68" s="1"/>
  <c r="Q12" i="68"/>
  <c r="Q11" i="68"/>
  <c r="AC10" i="68"/>
  <c r="AA10" i="68"/>
  <c r="Y10" i="68"/>
  <c r="W10" i="68"/>
  <c r="U10" i="68"/>
  <c r="S10" i="68"/>
  <c r="Q10" i="68"/>
  <c r="O10" i="68"/>
  <c r="O29" i="68" s="1"/>
  <c r="AC9" i="68"/>
  <c r="AA9" i="68"/>
  <c r="Y9" i="68"/>
  <c r="W9" i="68"/>
  <c r="U9" i="68"/>
  <c r="S9" i="68"/>
  <c r="Q9" i="68"/>
  <c r="Q8" i="68"/>
  <c r="Q7" i="68"/>
  <c r="M7" i="68"/>
  <c r="M37" i="68" s="1"/>
  <c r="W387" i="58"/>
  <c r="W386" i="58"/>
  <c r="W385" i="58"/>
  <c r="W384" i="58"/>
  <c r="W383" i="58"/>
  <c r="W382" i="58"/>
  <c r="W381" i="58"/>
  <c r="W380" i="58"/>
  <c r="W379" i="58"/>
  <c r="W378" i="58"/>
  <c r="W377" i="58"/>
  <c r="W376" i="58"/>
  <c r="W388" i="58" s="1"/>
  <c r="P5" i="58"/>
  <c r="H33" i="70"/>
  <c r="AD31" i="70"/>
  <c r="AD30" i="70"/>
  <c r="AB30" i="70"/>
  <c r="Z30" i="70"/>
  <c r="X30" i="70"/>
  <c r="V30" i="70"/>
  <c r="T30" i="70"/>
  <c r="R30" i="70"/>
  <c r="P30" i="70"/>
  <c r="N30" i="70"/>
  <c r="L30" i="70"/>
  <c r="J30" i="70"/>
  <c r="H30" i="70"/>
  <c r="AD29" i="70"/>
  <c r="AB29" i="70"/>
  <c r="Z29" i="70"/>
  <c r="X29" i="70"/>
  <c r="V29" i="70"/>
  <c r="T29" i="70"/>
  <c r="R29" i="70"/>
  <c r="P29" i="70"/>
  <c r="N29" i="70"/>
  <c r="L29" i="70"/>
  <c r="J29" i="70"/>
  <c r="H29" i="70"/>
  <c r="AD28" i="70"/>
  <c r="AB28" i="70"/>
  <c r="Z28" i="70"/>
  <c r="X28" i="70"/>
  <c r="V28" i="70"/>
  <c r="T28" i="70"/>
  <c r="R28" i="70"/>
  <c r="P28" i="70"/>
  <c r="N28" i="70"/>
  <c r="L28" i="70"/>
  <c r="J28" i="70"/>
  <c r="H28" i="70"/>
  <c r="AD27" i="70"/>
  <c r="AB27" i="70"/>
  <c r="Z27" i="70"/>
  <c r="X27" i="70"/>
  <c r="V27" i="70"/>
  <c r="T27" i="70"/>
  <c r="R27" i="70"/>
  <c r="P27" i="70"/>
  <c r="N27" i="70"/>
  <c r="L27" i="70"/>
  <c r="J27" i="70"/>
  <c r="H27" i="70"/>
  <c r="AD26" i="70"/>
  <c r="AB26" i="70"/>
  <c r="Z26" i="70"/>
  <c r="X26" i="70"/>
  <c r="V26" i="70"/>
  <c r="T26" i="70"/>
  <c r="R26" i="70"/>
  <c r="P26" i="70"/>
  <c r="N26" i="70"/>
  <c r="L26" i="70"/>
  <c r="J26" i="70"/>
  <c r="H26" i="70"/>
  <c r="AD25" i="70"/>
  <c r="AB25" i="70"/>
  <c r="Z25" i="70"/>
  <c r="X25" i="70"/>
  <c r="V25" i="70"/>
  <c r="T25" i="70"/>
  <c r="R25" i="70"/>
  <c r="P25" i="70"/>
  <c r="N25" i="70"/>
  <c r="L25" i="70"/>
  <c r="J25" i="70"/>
  <c r="H25" i="70"/>
  <c r="AD24" i="70"/>
  <c r="AB24" i="70"/>
  <c r="AB31" i="70" s="1"/>
  <c r="AB36" i="70" s="1"/>
  <c r="Z24" i="70"/>
  <c r="Z31" i="70" s="1"/>
  <c r="Z36" i="70" s="1"/>
  <c r="X24" i="70"/>
  <c r="X31" i="70" s="1"/>
  <c r="X36" i="70" s="1"/>
  <c r="V24" i="70"/>
  <c r="V31" i="70" s="1"/>
  <c r="V36" i="70" s="1"/>
  <c r="T24" i="70"/>
  <c r="T31" i="70" s="1"/>
  <c r="T36" i="70" s="1"/>
  <c r="R24" i="70"/>
  <c r="R31" i="70" s="1"/>
  <c r="R36" i="70" s="1"/>
  <c r="P24" i="70"/>
  <c r="P31" i="70" s="1"/>
  <c r="P36" i="70" s="1"/>
  <c r="N24" i="70"/>
  <c r="N31" i="70" s="1"/>
  <c r="N36" i="70" s="1"/>
  <c r="L24" i="70"/>
  <c r="L31" i="70" s="1"/>
  <c r="J24" i="70"/>
  <c r="J31" i="70" s="1"/>
  <c r="H24" i="70"/>
  <c r="H31" i="70" s="1"/>
  <c r="AD23" i="70"/>
  <c r="AB23" i="70"/>
  <c r="Z23" i="70"/>
  <c r="X23" i="70"/>
  <c r="V23" i="70"/>
  <c r="T23" i="70"/>
  <c r="R23" i="70"/>
  <c r="P23" i="70"/>
  <c r="N23" i="70"/>
  <c r="L23" i="70"/>
  <c r="J23" i="70"/>
  <c r="H23" i="70"/>
  <c r="K414" i="67"/>
  <c r="J414" i="67"/>
  <c r="H414" i="67"/>
  <c r="F414" i="67"/>
  <c r="K413" i="67"/>
  <c r="J413" i="67"/>
  <c r="H413" i="67"/>
  <c r="F413" i="67"/>
  <c r="K412" i="67"/>
  <c r="J412" i="67"/>
  <c r="H412" i="67"/>
  <c r="F412" i="67"/>
  <c r="F391" i="67" s="1"/>
  <c r="K14" i="70" s="1"/>
  <c r="K26" i="70" s="1"/>
  <c r="K411" i="67"/>
  <c r="J411" i="67"/>
  <c r="H411" i="67"/>
  <c r="F400" i="67"/>
  <c r="AC14" i="70" s="1"/>
  <c r="AC26" i="70" s="1"/>
  <c r="K410" i="67"/>
  <c r="J410" i="67"/>
  <c r="H410" i="67"/>
  <c r="F410" i="67"/>
  <c r="F401" i="67" s="1"/>
  <c r="AE14" i="70" s="1"/>
  <c r="AE26" i="70" s="1"/>
  <c r="F395" i="67"/>
  <c r="S14" i="70" s="1"/>
  <c r="S26" i="70" s="1"/>
  <c r="J387" i="67"/>
  <c r="G387" i="67"/>
  <c r="F387" i="67"/>
  <c r="J355" i="67"/>
  <c r="G355" i="67"/>
  <c r="F355" i="67"/>
  <c r="J324" i="67"/>
  <c r="G324" i="67"/>
  <c r="F324" i="67"/>
  <c r="J292" i="67"/>
  <c r="G292" i="67"/>
  <c r="F292" i="67"/>
  <c r="J261" i="67"/>
  <c r="G261" i="67"/>
  <c r="F261" i="67"/>
  <c r="J229" i="67"/>
  <c r="G229" i="67"/>
  <c r="F229" i="67"/>
  <c r="J197" i="67"/>
  <c r="G197" i="67"/>
  <c r="F197" i="67"/>
  <c r="J166" i="67"/>
  <c r="G166" i="67"/>
  <c r="F137" i="67"/>
  <c r="F136" i="67"/>
  <c r="F135" i="67"/>
  <c r="J134" i="67"/>
  <c r="G134" i="67"/>
  <c r="F133" i="67"/>
  <c r="F132" i="67"/>
  <c r="F131" i="67"/>
  <c r="F130" i="67"/>
  <c r="F129" i="67"/>
  <c r="F128" i="67"/>
  <c r="F127" i="67"/>
  <c r="F126" i="67"/>
  <c r="F125" i="67"/>
  <c r="F124" i="67"/>
  <c r="F123" i="67"/>
  <c r="F122" i="67"/>
  <c r="F121" i="67"/>
  <c r="F120" i="67"/>
  <c r="F119" i="67"/>
  <c r="F118" i="67"/>
  <c r="F117" i="67"/>
  <c r="F116" i="67"/>
  <c r="F115" i="67"/>
  <c r="F114" i="67"/>
  <c r="F113" i="67"/>
  <c r="F112" i="67"/>
  <c r="F111" i="67"/>
  <c r="F110" i="67"/>
  <c r="F109" i="67"/>
  <c r="F108" i="67"/>
  <c r="F107" i="67"/>
  <c r="F106" i="67"/>
  <c r="F105" i="67"/>
  <c r="F104" i="67"/>
  <c r="J103" i="67"/>
  <c r="G103" i="67"/>
  <c r="F102" i="67"/>
  <c r="F101" i="67"/>
  <c r="F100" i="67"/>
  <c r="F99" i="67"/>
  <c r="F98" i="67"/>
  <c r="F97" i="67"/>
  <c r="F96" i="67"/>
  <c r="F95" i="67"/>
  <c r="F94" i="67"/>
  <c r="F93" i="67"/>
  <c r="F92" i="67"/>
  <c r="F91" i="67"/>
  <c r="F90" i="67"/>
  <c r="F89" i="67"/>
  <c r="F88" i="67"/>
  <c r="F87" i="67"/>
  <c r="F86" i="67"/>
  <c r="F85" i="67"/>
  <c r="F84" i="67"/>
  <c r="F83" i="67"/>
  <c r="F82" i="67"/>
  <c r="F81" i="67"/>
  <c r="F80" i="67"/>
  <c r="F79" i="67"/>
  <c r="F78" i="67"/>
  <c r="F77" i="67"/>
  <c r="F76" i="67"/>
  <c r="F75" i="67"/>
  <c r="F74" i="67"/>
  <c r="F73" i="67"/>
  <c r="F72" i="67"/>
  <c r="J71" i="67"/>
  <c r="G71" i="67"/>
  <c r="F71" i="67"/>
  <c r="J42" i="67"/>
  <c r="G42" i="67"/>
  <c r="F42" i="67"/>
  <c r="M40" i="67"/>
  <c r="M39" i="67"/>
  <c r="M38" i="67"/>
  <c r="M37" i="67"/>
  <c r="M36" i="67"/>
  <c r="M35" i="67"/>
  <c r="M34" i="67"/>
  <c r="M33" i="67"/>
  <c r="M32" i="67"/>
  <c r="M31" i="67"/>
  <c r="M30" i="67"/>
  <c r="M29" i="67"/>
  <c r="M28" i="67"/>
  <c r="M27" i="67"/>
  <c r="M26" i="67"/>
  <c r="M25" i="67"/>
  <c r="M24" i="67"/>
  <c r="M23" i="67"/>
  <c r="M22" i="67"/>
  <c r="M21" i="67"/>
  <c r="M20" i="67"/>
  <c r="M19" i="67"/>
  <c r="M18" i="67"/>
  <c r="M17" i="67"/>
  <c r="M16" i="67"/>
  <c r="M15" i="67"/>
  <c r="M14" i="67"/>
  <c r="M13" i="67"/>
  <c r="M12" i="67"/>
  <c r="M11" i="67"/>
  <c r="E24" i="65"/>
  <c r="AN21" i="65"/>
  <c r="AK21" i="65"/>
  <c r="AH21" i="65"/>
  <c r="F21" i="65"/>
  <c r="G7" i="65" s="1"/>
  <c r="G13" i="65" s="1"/>
  <c r="AN20" i="65"/>
  <c r="AK20" i="65"/>
  <c r="AH20" i="65"/>
  <c r="AJ20" i="65" s="1"/>
  <c r="F20" i="65"/>
  <c r="F19" i="65"/>
  <c r="P18" i="65"/>
  <c r="M18" i="65"/>
  <c r="J18" i="65"/>
  <c r="G18" i="65"/>
  <c r="AN11" i="65"/>
  <c r="AK11" i="65"/>
  <c r="AH11" i="65"/>
  <c r="AE11" i="65"/>
  <c r="AB11" i="65"/>
  <c r="Y11" i="65"/>
  <c r="V11" i="65"/>
  <c r="S11" i="65"/>
  <c r="P11" i="65"/>
  <c r="P17" i="65" s="1"/>
  <c r="M11" i="65"/>
  <c r="M17" i="65" s="1"/>
  <c r="J11" i="65"/>
  <c r="J17" i="65" s="1"/>
  <c r="G11" i="65"/>
  <c r="G17" i="65" s="1"/>
  <c r="AE10" i="65"/>
  <c r="AB10" i="65"/>
  <c r="Y10" i="65"/>
  <c r="V10" i="65"/>
  <c r="S10" i="65"/>
  <c r="P10" i="65"/>
  <c r="P16" i="65" s="1"/>
  <c r="M10" i="65"/>
  <c r="M16" i="65" s="1"/>
  <c r="J10" i="65"/>
  <c r="J16" i="65" s="1"/>
  <c r="AE9" i="65"/>
  <c r="AB9" i="65"/>
  <c r="Y9" i="65"/>
  <c r="V9" i="65"/>
  <c r="S9" i="65"/>
  <c r="P9" i="65"/>
  <c r="P15" i="65" s="1"/>
  <c r="M9" i="65"/>
  <c r="M15" i="65" s="1"/>
  <c r="J9" i="65"/>
  <c r="J15" i="65" s="1"/>
  <c r="AE8" i="65"/>
  <c r="AB8" i="65"/>
  <c r="Y8" i="65"/>
  <c r="V8" i="65"/>
  <c r="S8" i="65"/>
  <c r="P8" i="65"/>
  <c r="P14" i="65" s="1"/>
  <c r="M8" i="65"/>
  <c r="M14" i="65" s="1"/>
  <c r="J8" i="65"/>
  <c r="J14" i="65" s="1"/>
  <c r="AN7" i="65"/>
  <c r="AK7" i="65"/>
  <c r="AH7" i="65"/>
  <c r="AE7" i="65"/>
  <c r="AB7" i="65"/>
  <c r="Y7" i="65"/>
  <c r="V7" i="65"/>
  <c r="S7" i="65"/>
  <c r="P7" i="65"/>
  <c r="P13" i="65" s="1"/>
  <c r="M7" i="65"/>
  <c r="M13" i="65" s="1"/>
  <c r="J13" i="65"/>
  <c r="F395" i="99"/>
  <c r="D395" i="99"/>
  <c r="C395" i="99"/>
  <c r="F394" i="99"/>
  <c r="E394" i="99"/>
  <c r="D394" i="99"/>
  <c r="C394" i="99"/>
  <c r="F393" i="99"/>
  <c r="E393" i="99"/>
  <c r="D393" i="99"/>
  <c r="C393" i="99"/>
  <c r="F392" i="99"/>
  <c r="E392" i="99"/>
  <c r="D392" i="99"/>
  <c r="C392" i="99"/>
  <c r="F391" i="99"/>
  <c r="E391" i="99"/>
  <c r="D391" i="99"/>
  <c r="C391" i="99"/>
  <c r="F390" i="99"/>
  <c r="E390" i="99"/>
  <c r="D390" i="99"/>
  <c r="C390" i="99"/>
  <c r="F389" i="99"/>
  <c r="E389" i="99"/>
  <c r="D389" i="99"/>
  <c r="C389" i="99"/>
  <c r="F388" i="99"/>
  <c r="E388" i="99"/>
  <c r="D388" i="99"/>
  <c r="C388" i="99"/>
  <c r="F387" i="99"/>
  <c r="E387" i="99"/>
  <c r="D387" i="99"/>
  <c r="C387" i="99"/>
  <c r="F386" i="99"/>
  <c r="E386" i="99"/>
  <c r="D386" i="99"/>
  <c r="C386" i="99"/>
  <c r="F385" i="99"/>
  <c r="E385" i="99"/>
  <c r="D385" i="99"/>
  <c r="C385" i="99"/>
  <c r="F384" i="99"/>
  <c r="D384" i="99"/>
  <c r="C384" i="99"/>
  <c r="D4" i="99"/>
  <c r="D3" i="99"/>
  <c r="D2" i="99"/>
  <c r="B12" i="62"/>
  <c r="B13" i="62" s="1"/>
  <c r="C13" i="62" s="1"/>
  <c r="D5" i="62"/>
  <c r="C3" i="62" s="1"/>
  <c r="AA3" i="62"/>
  <c r="S3" i="62"/>
  <c r="D14" i="17"/>
  <c r="D13" i="17"/>
  <c r="U5" i="17"/>
  <c r="AB13" i="17"/>
  <c r="K4" i="17"/>
  <c r="K3" i="17"/>
  <c r="D7" i="17" s="1"/>
  <c r="E7" i="17" s="1"/>
  <c r="F7" i="17" s="1"/>
  <c r="G7" i="17" s="1"/>
  <c r="H7" i="17" s="1"/>
  <c r="I7" i="17" s="1"/>
  <c r="J7" i="17" s="1"/>
  <c r="K7" i="17" s="1"/>
  <c r="L7" i="17" s="1"/>
  <c r="M7" i="17" s="1"/>
  <c r="N7" i="17" s="1"/>
  <c r="O7" i="17" s="1"/>
  <c r="P7" i="17" s="1"/>
  <c r="Q7" i="17" s="1"/>
  <c r="R7" i="17" s="1"/>
  <c r="S7" i="17" s="1"/>
  <c r="T7" i="17" s="1"/>
  <c r="U7" i="17" s="1"/>
  <c r="V7" i="17" s="1"/>
  <c r="W7" i="17" s="1"/>
  <c r="X7" i="17" s="1"/>
  <c r="Y7" i="17" s="1"/>
  <c r="Z7" i="17" s="1"/>
  <c r="AA7" i="17" s="1"/>
  <c r="AB7" i="17" s="1"/>
  <c r="AC7" i="17" s="1"/>
  <c r="AD7" i="17" s="1"/>
  <c r="AE7" i="17" s="1"/>
  <c r="AF7" i="17" s="1"/>
  <c r="AG7" i="17" s="1"/>
  <c r="AH7" i="17" s="1"/>
  <c r="AC35" i="29"/>
  <c r="AB35" i="29"/>
  <c r="AA35" i="29"/>
  <c r="Z35" i="29"/>
  <c r="AC34" i="29"/>
  <c r="AB34" i="29"/>
  <c r="AA34" i="29"/>
  <c r="AC33" i="29"/>
  <c r="AB33" i="29"/>
  <c r="AA33" i="29"/>
  <c r="Z33" i="29"/>
  <c r="AC32" i="29"/>
  <c r="AB32" i="29"/>
  <c r="AA32" i="29"/>
  <c r="Z32" i="29"/>
  <c r="AC31" i="29"/>
  <c r="AB31" i="29"/>
  <c r="AA31" i="29"/>
  <c r="Z31" i="29"/>
  <c r="AC30" i="29"/>
  <c r="AB30" i="29"/>
  <c r="AA30" i="29"/>
  <c r="Z30" i="29"/>
  <c r="AC29" i="29"/>
  <c r="AB29" i="29"/>
  <c r="AA29" i="29"/>
  <c r="Z29" i="29"/>
  <c r="AC28" i="29"/>
  <c r="AB28" i="29"/>
  <c r="AA28" i="29"/>
  <c r="Z28" i="29"/>
  <c r="AC27" i="29"/>
  <c r="AB27" i="29"/>
  <c r="AA27" i="29"/>
  <c r="Z27" i="29"/>
  <c r="AC26" i="29"/>
  <c r="AB26" i="29"/>
  <c r="AA26" i="29"/>
  <c r="Z26" i="29"/>
  <c r="AC25" i="29"/>
  <c r="AB25" i="29"/>
  <c r="AA25" i="29"/>
  <c r="Z25" i="29"/>
  <c r="AC24" i="29"/>
  <c r="AB24" i="29"/>
  <c r="AA24" i="29"/>
  <c r="Z24" i="29"/>
  <c r="AC23" i="29"/>
  <c r="AB23" i="29"/>
  <c r="AA23" i="29"/>
  <c r="Z23" i="29"/>
  <c r="AC22" i="29"/>
  <c r="AB22" i="29"/>
  <c r="AA22" i="29"/>
  <c r="Z22" i="29"/>
  <c r="AC21" i="29"/>
  <c r="AB21" i="29"/>
  <c r="AA21" i="29"/>
  <c r="Z21" i="29"/>
  <c r="AC20" i="29"/>
  <c r="AB20" i="29"/>
  <c r="AA20" i="29"/>
  <c r="Z20" i="29"/>
  <c r="AC19" i="29"/>
  <c r="AB19" i="29"/>
  <c r="AA19" i="29"/>
  <c r="Z19" i="29"/>
  <c r="AC18" i="29"/>
  <c r="AB18" i="29"/>
  <c r="AA18" i="29"/>
  <c r="Z18" i="29"/>
  <c r="AC17" i="29"/>
  <c r="AB17" i="29"/>
  <c r="AA17" i="29"/>
  <c r="Z17" i="29"/>
  <c r="AC16" i="29"/>
  <c r="AB16" i="29"/>
  <c r="AA16" i="29"/>
  <c r="Z16" i="29"/>
  <c r="AC15" i="29"/>
  <c r="AB15" i="29"/>
  <c r="AA15" i="29"/>
  <c r="Z15" i="29"/>
  <c r="AC14" i="29"/>
  <c r="AB14" i="29"/>
  <c r="AA14" i="29"/>
  <c r="Z14" i="29"/>
  <c r="AC13" i="29"/>
  <c r="AB13" i="29"/>
  <c r="AA13" i="29"/>
  <c r="Z13" i="29"/>
  <c r="AC12" i="29"/>
  <c r="AB12" i="29"/>
  <c r="AA12" i="29"/>
  <c r="Z12" i="29"/>
  <c r="AC11" i="29"/>
  <c r="AB11" i="29"/>
  <c r="AA11" i="29"/>
  <c r="Z11" i="29"/>
  <c r="AC10" i="29"/>
  <c r="AB10" i="29"/>
  <c r="AA10" i="29"/>
  <c r="Z10" i="29"/>
  <c r="AC9" i="29"/>
  <c r="AB9" i="29"/>
  <c r="AA9" i="29"/>
  <c r="Z9" i="29"/>
  <c r="AC8" i="29"/>
  <c r="AB8" i="29"/>
  <c r="AA8" i="29"/>
  <c r="Z8" i="29"/>
  <c r="A8" i="29"/>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L3" i="29"/>
  <c r="CE3" i="31"/>
  <c r="A3" i="31"/>
  <c r="CE2" i="31"/>
  <c r="B6" i="31" s="1"/>
  <c r="I4" i="104"/>
  <c r="G4" i="104" s="1"/>
  <c r="F13" i="64"/>
  <c r="F12" i="64"/>
  <c r="G11" i="64"/>
  <c r="F11" i="64"/>
  <c r="Q7" i="64"/>
  <c r="D5" i="64"/>
  <c r="E398" i="103"/>
  <c r="E396" i="103"/>
  <c r="K395" i="103"/>
  <c r="K399" i="103" s="1"/>
  <c r="K403" i="103" s="1"/>
  <c r="K394" i="103"/>
  <c r="K398" i="103" s="1"/>
  <c r="K402" i="103" s="1"/>
  <c r="K393" i="103"/>
  <c r="K397" i="103" s="1"/>
  <c r="K401" i="103" s="1"/>
  <c r="E393" i="103"/>
  <c r="E392" i="103"/>
  <c r="P376" i="22"/>
  <c r="O376" i="22"/>
  <c r="P375" i="22"/>
  <c r="O375" i="22"/>
  <c r="P374" i="22"/>
  <c r="O374" i="22"/>
  <c r="P373" i="22"/>
  <c r="O373" i="22"/>
  <c r="P372" i="22"/>
  <c r="O372" i="22"/>
  <c r="P371" i="22"/>
  <c r="O371" i="22"/>
  <c r="P370" i="22"/>
  <c r="O370" i="22"/>
  <c r="P369" i="22"/>
  <c r="O369" i="22"/>
  <c r="P368" i="22"/>
  <c r="O368" i="22"/>
  <c r="P367" i="22"/>
  <c r="O367" i="22"/>
  <c r="P366" i="22"/>
  <c r="O366" i="22"/>
  <c r="P365" i="22"/>
  <c r="O365" i="22"/>
  <c r="P364" i="22"/>
  <c r="O364" i="22"/>
  <c r="P363" i="22"/>
  <c r="O363" i="22"/>
  <c r="P362" i="22"/>
  <c r="O362" i="22"/>
  <c r="P361" i="22"/>
  <c r="O361" i="22"/>
  <c r="P360" i="22"/>
  <c r="O360" i="22"/>
  <c r="P359" i="22"/>
  <c r="O359" i="22"/>
  <c r="P358" i="22"/>
  <c r="O358" i="22"/>
  <c r="P357" i="22"/>
  <c r="O357" i="22"/>
  <c r="P356" i="22"/>
  <c r="O356" i="22"/>
  <c r="P355" i="22"/>
  <c r="O355" i="22"/>
  <c r="P354" i="22"/>
  <c r="O354" i="22"/>
  <c r="P353" i="22"/>
  <c r="O353" i="22"/>
  <c r="P352" i="22"/>
  <c r="O352" i="22"/>
  <c r="P351" i="22"/>
  <c r="O351" i="22"/>
  <c r="P350" i="22"/>
  <c r="O350" i="22"/>
  <c r="P349" i="22"/>
  <c r="O349" i="22"/>
  <c r="P348" i="22"/>
  <c r="O348" i="22"/>
  <c r="P347" i="22"/>
  <c r="O347" i="22"/>
  <c r="P346" i="22"/>
  <c r="O346" i="22"/>
  <c r="CU344" i="103"/>
  <c r="P345" i="22" s="1"/>
  <c r="CT344" i="103"/>
  <c r="O345" i="22" s="1"/>
  <c r="CU343" i="103"/>
  <c r="P344" i="22" s="1"/>
  <c r="CT343" i="103"/>
  <c r="O344" i="22" s="1"/>
  <c r="CU342" i="103"/>
  <c r="P343" i="22" s="1"/>
  <c r="CT342" i="103"/>
  <c r="O343" i="22" s="1"/>
  <c r="CU341" i="103"/>
  <c r="P342" i="22" s="1"/>
  <c r="CT341" i="103"/>
  <c r="O342" i="22" s="1"/>
  <c r="CU340" i="103"/>
  <c r="P341" i="22" s="1"/>
  <c r="CT340" i="103"/>
  <c r="O341" i="22" s="1"/>
  <c r="CU339" i="103"/>
  <c r="P340" i="22" s="1"/>
  <c r="CT339" i="103"/>
  <c r="O340" i="22" s="1"/>
  <c r="CU338" i="103"/>
  <c r="P339" i="22" s="1"/>
  <c r="CT338" i="103"/>
  <c r="O339" i="22" s="1"/>
  <c r="CU337" i="103"/>
  <c r="P338" i="22" s="1"/>
  <c r="CT337" i="103"/>
  <c r="O338" i="22" s="1"/>
  <c r="CU336" i="103"/>
  <c r="P337" i="22" s="1"/>
  <c r="CT336" i="103"/>
  <c r="O337" i="22" s="1"/>
  <c r="CU335" i="103"/>
  <c r="P336" i="22" s="1"/>
  <c r="CT335" i="103"/>
  <c r="O336" i="22" s="1"/>
  <c r="CU334" i="103"/>
  <c r="P335" i="22" s="1"/>
  <c r="CT334" i="103"/>
  <c r="O335" i="22" s="1"/>
  <c r="CU333" i="103"/>
  <c r="P334" i="22" s="1"/>
  <c r="CT333" i="103"/>
  <c r="O334" i="22" s="1"/>
  <c r="CU332" i="103"/>
  <c r="P333" i="22" s="1"/>
  <c r="CT332" i="103"/>
  <c r="O333" i="22" s="1"/>
  <c r="CU331" i="103"/>
  <c r="P332" i="22" s="1"/>
  <c r="CT331" i="103"/>
  <c r="O332" i="22" s="1"/>
  <c r="CU330" i="103"/>
  <c r="P331" i="22" s="1"/>
  <c r="CT330" i="103"/>
  <c r="O331" i="22" s="1"/>
  <c r="CU329" i="103"/>
  <c r="P330" i="22" s="1"/>
  <c r="CT329" i="103"/>
  <c r="O330" i="22" s="1"/>
  <c r="CU328" i="103"/>
  <c r="P329" i="22" s="1"/>
  <c r="CT328" i="103"/>
  <c r="O329" i="22" s="1"/>
  <c r="CU327" i="103"/>
  <c r="P328" i="22" s="1"/>
  <c r="CT327" i="103"/>
  <c r="O328" i="22" s="1"/>
  <c r="CU326" i="103"/>
  <c r="P327" i="22" s="1"/>
  <c r="CT326" i="103"/>
  <c r="O327" i="22" s="1"/>
  <c r="CU325" i="103"/>
  <c r="P326" i="22" s="1"/>
  <c r="CT325" i="103"/>
  <c r="O326" i="22" s="1"/>
  <c r="CU324" i="103"/>
  <c r="P325" i="22" s="1"/>
  <c r="CT324" i="103"/>
  <c r="O325" i="22" s="1"/>
  <c r="CU323" i="103"/>
  <c r="P324" i="22" s="1"/>
  <c r="CT323" i="103"/>
  <c r="O324" i="22" s="1"/>
  <c r="CU322" i="103"/>
  <c r="P323" i="22" s="1"/>
  <c r="CT322" i="103"/>
  <c r="O323" i="22" s="1"/>
  <c r="CU321" i="103"/>
  <c r="P322" i="22" s="1"/>
  <c r="CT321" i="103"/>
  <c r="O322" i="22" s="1"/>
  <c r="CU320" i="103"/>
  <c r="P321" i="22" s="1"/>
  <c r="CT320" i="103"/>
  <c r="O321" i="22" s="1"/>
  <c r="CU319" i="103"/>
  <c r="P320" i="22" s="1"/>
  <c r="CT319" i="103"/>
  <c r="O320" i="22" s="1"/>
  <c r="CU318" i="103"/>
  <c r="P319" i="22" s="1"/>
  <c r="CT318" i="103"/>
  <c r="O319" i="22" s="1"/>
  <c r="CU317" i="103"/>
  <c r="P318" i="22" s="1"/>
  <c r="CT317" i="103"/>
  <c r="O318" i="22" s="1"/>
  <c r="CU316" i="103"/>
  <c r="P317" i="22" s="1"/>
  <c r="CT316" i="103"/>
  <c r="O317" i="22" s="1"/>
  <c r="CU315" i="103"/>
  <c r="P316" i="22" s="1"/>
  <c r="CT315" i="103"/>
  <c r="O316" i="22" s="1"/>
  <c r="CU314" i="103"/>
  <c r="P315" i="22" s="1"/>
  <c r="CT314" i="103"/>
  <c r="O315" i="22" s="1"/>
  <c r="CU313" i="103"/>
  <c r="P314" i="22" s="1"/>
  <c r="CT313" i="103"/>
  <c r="O314" i="22" s="1"/>
  <c r="CU312" i="103"/>
  <c r="P313" i="22" s="1"/>
  <c r="CT312" i="103"/>
  <c r="O313" i="22" s="1"/>
  <c r="CU311" i="103"/>
  <c r="P312" i="22" s="1"/>
  <c r="CT311" i="103"/>
  <c r="O312" i="22" s="1"/>
  <c r="CU310" i="103"/>
  <c r="P311" i="22" s="1"/>
  <c r="CT310" i="103"/>
  <c r="O311" i="22" s="1"/>
  <c r="CU309" i="103"/>
  <c r="P310" i="22" s="1"/>
  <c r="CT309" i="103"/>
  <c r="O310" i="22" s="1"/>
  <c r="CU308" i="103"/>
  <c r="P309" i="22" s="1"/>
  <c r="CT308" i="103"/>
  <c r="O309" i="22" s="1"/>
  <c r="CU307" i="103"/>
  <c r="P308" i="22" s="1"/>
  <c r="CT307" i="103"/>
  <c r="O308" i="22" s="1"/>
  <c r="CU306" i="103"/>
  <c r="P307" i="22" s="1"/>
  <c r="CT306" i="103"/>
  <c r="O307" i="22" s="1"/>
  <c r="CU305" i="103"/>
  <c r="P306" i="22" s="1"/>
  <c r="CT305" i="103"/>
  <c r="CU304" i="103"/>
  <c r="P305" i="22" s="1"/>
  <c r="CT304" i="103"/>
  <c r="O305" i="22" s="1"/>
  <c r="AV304" i="103"/>
  <c r="AU304" i="103"/>
  <c r="AR304" i="103"/>
  <c r="AQ304" i="103"/>
  <c r="AP304" i="103"/>
  <c r="AO304" i="103"/>
  <c r="CU303" i="103"/>
  <c r="P304" i="22" s="1"/>
  <c r="CT303" i="103"/>
  <c r="O304" i="22" s="1"/>
  <c r="AV303" i="103"/>
  <c r="AU303" i="103"/>
  <c r="AR303" i="103"/>
  <c r="AQ303" i="103"/>
  <c r="AP303" i="103"/>
  <c r="AO303" i="103"/>
  <c r="CU302" i="103"/>
  <c r="P303" i="22" s="1"/>
  <c r="CT302" i="103"/>
  <c r="O303" i="22" s="1"/>
  <c r="AV302" i="103"/>
  <c r="AU302" i="103"/>
  <c r="AR302" i="103"/>
  <c r="AQ302" i="103"/>
  <c r="AP302" i="103"/>
  <c r="AO302" i="103"/>
  <c r="CU301" i="103"/>
  <c r="P302" i="22" s="1"/>
  <c r="CT301" i="103"/>
  <c r="O302" i="22" s="1"/>
  <c r="AV301" i="103"/>
  <c r="AU301" i="103"/>
  <c r="AR301" i="103"/>
  <c r="AQ301" i="103"/>
  <c r="AP301" i="103"/>
  <c r="AO301" i="103"/>
  <c r="CU300" i="103"/>
  <c r="P301" i="22" s="1"/>
  <c r="CT300" i="103"/>
  <c r="O301" i="22" s="1"/>
  <c r="AV300" i="103"/>
  <c r="AU300" i="103"/>
  <c r="AR300" i="103"/>
  <c r="AQ300" i="103"/>
  <c r="AP300" i="103"/>
  <c r="AO300" i="103"/>
  <c r="CU299" i="103"/>
  <c r="P300" i="22" s="1"/>
  <c r="CT299" i="103"/>
  <c r="O300" i="22" s="1"/>
  <c r="AV299" i="103"/>
  <c r="AU299" i="103"/>
  <c r="AR299" i="103"/>
  <c r="AQ299" i="103"/>
  <c r="AP299" i="103"/>
  <c r="AO299" i="103"/>
  <c r="CU298" i="103"/>
  <c r="P299" i="22" s="1"/>
  <c r="CT298" i="103"/>
  <c r="O299" i="22" s="1"/>
  <c r="AV298" i="103"/>
  <c r="AU298" i="103"/>
  <c r="AR298" i="103"/>
  <c r="AQ298" i="103"/>
  <c r="AP298" i="103"/>
  <c r="AO298" i="103"/>
  <c r="CU297" i="103"/>
  <c r="P298" i="22" s="1"/>
  <c r="CT297" i="103"/>
  <c r="O298" i="22" s="1"/>
  <c r="AV297" i="103"/>
  <c r="AU297" i="103"/>
  <c r="AR297" i="103"/>
  <c r="AQ297" i="103"/>
  <c r="AP297" i="103"/>
  <c r="AO297" i="103"/>
  <c r="CU296" i="103"/>
  <c r="P297" i="22" s="1"/>
  <c r="CT296" i="103"/>
  <c r="O297" i="22" s="1"/>
  <c r="AV296" i="103"/>
  <c r="AU296" i="103"/>
  <c r="AR296" i="103"/>
  <c r="AQ296" i="103"/>
  <c r="AP296" i="103"/>
  <c r="AO296" i="103"/>
  <c r="CU295" i="103"/>
  <c r="P296" i="22" s="1"/>
  <c r="CT295" i="103"/>
  <c r="O296" i="22" s="1"/>
  <c r="AV295" i="103"/>
  <c r="AU295" i="103"/>
  <c r="AR295" i="103"/>
  <c r="AQ295" i="103"/>
  <c r="AP295" i="103"/>
  <c r="AO295" i="103"/>
  <c r="CU294" i="103"/>
  <c r="P295" i="22" s="1"/>
  <c r="CT294" i="103"/>
  <c r="O295" i="22" s="1"/>
  <c r="AV294" i="103"/>
  <c r="AU294" i="103"/>
  <c r="AR294" i="103"/>
  <c r="AQ294" i="103"/>
  <c r="AP294" i="103"/>
  <c r="AO294" i="103"/>
  <c r="CU293" i="103"/>
  <c r="P294" i="22" s="1"/>
  <c r="CT293" i="103"/>
  <c r="O294" i="22" s="1"/>
  <c r="AV293" i="103"/>
  <c r="AU293" i="103"/>
  <c r="AR293" i="103"/>
  <c r="AQ293" i="103"/>
  <c r="AP293" i="103"/>
  <c r="AO293" i="103"/>
  <c r="CU292" i="103"/>
  <c r="P293" i="22" s="1"/>
  <c r="CT292" i="103"/>
  <c r="O293" i="22" s="1"/>
  <c r="AV292" i="103"/>
  <c r="AU292" i="103"/>
  <c r="AR292" i="103"/>
  <c r="AQ292" i="103"/>
  <c r="AP292" i="103"/>
  <c r="AO292" i="103"/>
  <c r="CU291" i="103"/>
  <c r="P292" i="22" s="1"/>
  <c r="CT291" i="103"/>
  <c r="O292" i="22" s="1"/>
  <c r="AV291" i="103"/>
  <c r="AU291" i="103"/>
  <c r="AR291" i="103"/>
  <c r="AQ291" i="103"/>
  <c r="AP291" i="103"/>
  <c r="AO291" i="103"/>
  <c r="CU290" i="103"/>
  <c r="P291" i="22" s="1"/>
  <c r="CT290" i="103"/>
  <c r="O291" i="22" s="1"/>
  <c r="AV290" i="103"/>
  <c r="AU290" i="103"/>
  <c r="AR290" i="103"/>
  <c r="AQ290" i="103"/>
  <c r="AP290" i="103"/>
  <c r="AO290" i="103"/>
  <c r="CU289" i="103"/>
  <c r="P290" i="22" s="1"/>
  <c r="CT289" i="103"/>
  <c r="O290" i="22" s="1"/>
  <c r="AV289" i="103"/>
  <c r="AU289" i="103"/>
  <c r="AR289" i="103"/>
  <c r="AQ289" i="103"/>
  <c r="AP289" i="103"/>
  <c r="AO289" i="103"/>
  <c r="CU288" i="103"/>
  <c r="P289" i="22" s="1"/>
  <c r="CT288" i="103"/>
  <c r="O289" i="22" s="1"/>
  <c r="AV288" i="103"/>
  <c r="AU288" i="103"/>
  <c r="AR288" i="103"/>
  <c r="AQ288" i="103"/>
  <c r="AP288" i="103"/>
  <c r="AO288" i="103"/>
  <c r="CU287" i="103"/>
  <c r="P288" i="22" s="1"/>
  <c r="CT287" i="103"/>
  <c r="O288" i="22" s="1"/>
  <c r="AV287" i="103"/>
  <c r="AU287" i="103"/>
  <c r="AR287" i="103"/>
  <c r="AQ287" i="103"/>
  <c r="AP287" i="103"/>
  <c r="AO287" i="103"/>
  <c r="CU286" i="103"/>
  <c r="P287" i="22" s="1"/>
  <c r="CT286" i="103"/>
  <c r="O287" i="22" s="1"/>
  <c r="AV286" i="103"/>
  <c r="AU286" i="103"/>
  <c r="AR286" i="103"/>
  <c r="AQ286" i="103"/>
  <c r="AP286" i="103"/>
  <c r="AO286" i="103"/>
  <c r="CU285" i="103"/>
  <c r="P286" i="22" s="1"/>
  <c r="CT285" i="103"/>
  <c r="O286" i="22" s="1"/>
  <c r="AV285" i="103"/>
  <c r="AU285" i="103"/>
  <c r="AR285" i="103"/>
  <c r="AQ285" i="103"/>
  <c r="AP285" i="103"/>
  <c r="AO285" i="103"/>
  <c r="CU284" i="103"/>
  <c r="P285" i="22" s="1"/>
  <c r="CT284" i="103"/>
  <c r="O285" i="22" s="1"/>
  <c r="AV284" i="103"/>
  <c r="AU284" i="103"/>
  <c r="AR284" i="103"/>
  <c r="AQ284" i="103"/>
  <c r="AP284" i="103"/>
  <c r="AO284" i="103"/>
  <c r="CU283" i="103"/>
  <c r="P284" i="22" s="1"/>
  <c r="CT283" i="103"/>
  <c r="O284" i="22" s="1"/>
  <c r="AV283" i="103"/>
  <c r="AU283" i="103"/>
  <c r="AR283" i="103"/>
  <c r="AQ283" i="103"/>
  <c r="AP283" i="103"/>
  <c r="AO283" i="103"/>
  <c r="CU282" i="103"/>
  <c r="P283" i="22" s="1"/>
  <c r="CT282" i="103"/>
  <c r="O283" i="22" s="1"/>
  <c r="AV282" i="103"/>
  <c r="AU282" i="103"/>
  <c r="AR282" i="103"/>
  <c r="AQ282" i="103"/>
  <c r="AP282" i="103"/>
  <c r="AO282" i="103"/>
  <c r="CU281" i="103"/>
  <c r="P282" i="22" s="1"/>
  <c r="CT281" i="103"/>
  <c r="O282" i="22" s="1"/>
  <c r="AV281" i="103"/>
  <c r="AU281" i="103"/>
  <c r="AR281" i="103"/>
  <c r="AQ281" i="103"/>
  <c r="AP281" i="103"/>
  <c r="AO281" i="103"/>
  <c r="CU280" i="103"/>
  <c r="P281" i="22" s="1"/>
  <c r="CT280" i="103"/>
  <c r="O281" i="22" s="1"/>
  <c r="AV280" i="103"/>
  <c r="AU280" i="103"/>
  <c r="AR280" i="103"/>
  <c r="AQ280" i="103"/>
  <c r="AP280" i="103"/>
  <c r="AO280" i="103"/>
  <c r="CU279" i="103"/>
  <c r="P280" i="22" s="1"/>
  <c r="CT279" i="103"/>
  <c r="O280" i="22" s="1"/>
  <c r="AV279" i="103"/>
  <c r="AU279" i="103"/>
  <c r="AR279" i="103"/>
  <c r="AQ279" i="103"/>
  <c r="AP279" i="103"/>
  <c r="AO279" i="103"/>
  <c r="CU278" i="103"/>
  <c r="P279" i="22" s="1"/>
  <c r="CT278" i="103"/>
  <c r="O279" i="22" s="1"/>
  <c r="AV278" i="103"/>
  <c r="AU278" i="103"/>
  <c r="AR278" i="103"/>
  <c r="AQ278" i="103"/>
  <c r="AP278" i="103"/>
  <c r="AO278" i="103"/>
  <c r="CU277" i="103"/>
  <c r="P278" i="22" s="1"/>
  <c r="CT277" i="103"/>
  <c r="O278" i="22" s="1"/>
  <c r="AV277" i="103"/>
  <c r="AU277" i="103"/>
  <c r="AR277" i="103"/>
  <c r="AQ277" i="103"/>
  <c r="AP277" i="103"/>
  <c r="AO277" i="103"/>
  <c r="CU276" i="103"/>
  <c r="P277" i="22" s="1"/>
  <c r="CT276" i="103"/>
  <c r="O277" i="22" s="1"/>
  <c r="AV276" i="103"/>
  <c r="AU276" i="103"/>
  <c r="AR276" i="103"/>
  <c r="AQ276" i="103"/>
  <c r="AP276" i="103"/>
  <c r="AO276" i="103"/>
  <c r="CU275" i="103"/>
  <c r="P276" i="22" s="1"/>
  <c r="CT275" i="103"/>
  <c r="O276" i="22" s="1"/>
  <c r="AV275" i="103"/>
  <c r="AU275" i="103"/>
  <c r="AR275" i="103"/>
  <c r="AQ275" i="103"/>
  <c r="AP275" i="103"/>
  <c r="AO275" i="103"/>
  <c r="CU274" i="103"/>
  <c r="P275" i="22" s="1"/>
  <c r="CT274" i="103"/>
  <c r="O275" i="22" s="1"/>
  <c r="AV274" i="103"/>
  <c r="AU274" i="103"/>
  <c r="AR274" i="103"/>
  <c r="AQ274" i="103"/>
  <c r="AP274" i="103"/>
  <c r="AO274" i="103"/>
  <c r="CU273" i="103"/>
  <c r="P274" i="22" s="1"/>
  <c r="CT273" i="103"/>
  <c r="O274" i="22" s="1"/>
  <c r="AV273" i="103"/>
  <c r="AU273" i="103"/>
  <c r="AR273" i="103"/>
  <c r="AQ273" i="103"/>
  <c r="AP273" i="103"/>
  <c r="AO273" i="103"/>
  <c r="CU272" i="103"/>
  <c r="P273" i="22" s="1"/>
  <c r="CT272" i="103"/>
  <c r="O273" i="22" s="1"/>
  <c r="AV272" i="103"/>
  <c r="AU272" i="103"/>
  <c r="AR272" i="103"/>
  <c r="AQ272" i="103"/>
  <c r="AP272" i="103"/>
  <c r="AO272" i="103"/>
  <c r="CU271" i="103"/>
  <c r="P272" i="22" s="1"/>
  <c r="CT271" i="103"/>
  <c r="O272" i="22" s="1"/>
  <c r="AV271" i="103"/>
  <c r="AU271" i="103"/>
  <c r="AR271" i="103"/>
  <c r="AQ271" i="103"/>
  <c r="AP271" i="103"/>
  <c r="AO271" i="103"/>
  <c r="CU270" i="103"/>
  <c r="P271" i="22" s="1"/>
  <c r="CT270" i="103"/>
  <c r="O271" i="22" s="1"/>
  <c r="AV270" i="103"/>
  <c r="AU270" i="103"/>
  <c r="AR270" i="103"/>
  <c r="AQ270" i="103"/>
  <c r="AP270" i="103"/>
  <c r="AO270" i="103"/>
  <c r="CU269" i="103"/>
  <c r="P270" i="22" s="1"/>
  <c r="CT269" i="103"/>
  <c r="O270" i="22" s="1"/>
  <c r="AV269" i="103"/>
  <c r="AU269" i="103"/>
  <c r="AR269" i="103"/>
  <c r="AQ269" i="103"/>
  <c r="AP269" i="103"/>
  <c r="AO269" i="103"/>
  <c r="CU268" i="103"/>
  <c r="P269" i="22" s="1"/>
  <c r="CT268" i="103"/>
  <c r="O269" i="22" s="1"/>
  <c r="AV268" i="103"/>
  <c r="AU268" i="103"/>
  <c r="AR268" i="103"/>
  <c r="AQ268" i="103"/>
  <c r="AP268" i="103"/>
  <c r="AO268" i="103"/>
  <c r="CU267" i="103"/>
  <c r="P268" i="22" s="1"/>
  <c r="CT267" i="103"/>
  <c r="O268" i="22" s="1"/>
  <c r="AV267" i="103"/>
  <c r="AU267" i="103"/>
  <c r="AR267" i="103"/>
  <c r="AQ267" i="103"/>
  <c r="AP267" i="103"/>
  <c r="AO267" i="103"/>
  <c r="CU266" i="103"/>
  <c r="P267" i="22" s="1"/>
  <c r="CT266" i="103"/>
  <c r="O267" i="22" s="1"/>
  <c r="AV266" i="103"/>
  <c r="AU266" i="103"/>
  <c r="AR266" i="103"/>
  <c r="AQ266" i="103"/>
  <c r="AP266" i="103"/>
  <c r="AO266" i="103"/>
  <c r="CU265" i="103"/>
  <c r="P266" i="22" s="1"/>
  <c r="CT265" i="103"/>
  <c r="O266" i="22" s="1"/>
  <c r="AV265" i="103"/>
  <c r="AU265" i="103"/>
  <c r="AR265" i="103"/>
  <c r="AQ265" i="103"/>
  <c r="AP265" i="103"/>
  <c r="AO265" i="103"/>
  <c r="CU264" i="103"/>
  <c r="P265" i="22" s="1"/>
  <c r="CT264" i="103"/>
  <c r="O265" i="22" s="1"/>
  <c r="AV264" i="103"/>
  <c r="AU264" i="103"/>
  <c r="AR264" i="103"/>
  <c r="AQ264" i="103"/>
  <c r="AP264" i="103"/>
  <c r="AO264" i="103"/>
  <c r="CU263" i="103"/>
  <c r="P264" i="22" s="1"/>
  <c r="CT263" i="103"/>
  <c r="O264" i="22" s="1"/>
  <c r="AV263" i="103"/>
  <c r="AU263" i="103"/>
  <c r="AR263" i="103"/>
  <c r="AQ263" i="103"/>
  <c r="AP263" i="103"/>
  <c r="AO263" i="103"/>
  <c r="CU262" i="103"/>
  <c r="P263" i="22" s="1"/>
  <c r="CT262" i="103"/>
  <c r="O263" i="22" s="1"/>
  <c r="AV262" i="103"/>
  <c r="AU262" i="103"/>
  <c r="AR262" i="103"/>
  <c r="AQ262" i="103"/>
  <c r="AP262" i="103"/>
  <c r="AO262" i="103"/>
  <c r="CU261" i="103"/>
  <c r="P262" i="22" s="1"/>
  <c r="CT261" i="103"/>
  <c r="O262" i="22" s="1"/>
  <c r="AV261" i="103"/>
  <c r="AU261" i="103"/>
  <c r="AR261" i="103"/>
  <c r="AQ261" i="103"/>
  <c r="AP261" i="103"/>
  <c r="AO261" i="103"/>
  <c r="CU260" i="103"/>
  <c r="P261" i="22" s="1"/>
  <c r="CT260" i="103"/>
  <c r="O261" i="22" s="1"/>
  <c r="AV260" i="103"/>
  <c r="AU260" i="103"/>
  <c r="AR260" i="103"/>
  <c r="AQ260" i="103"/>
  <c r="AP260" i="103"/>
  <c r="AO260" i="103"/>
  <c r="CU259" i="103"/>
  <c r="P260" i="22" s="1"/>
  <c r="CT259" i="103"/>
  <c r="O260" i="22" s="1"/>
  <c r="AV259" i="103"/>
  <c r="AU259" i="103"/>
  <c r="AR259" i="103"/>
  <c r="AQ259" i="103"/>
  <c r="AP259" i="103"/>
  <c r="AO259" i="103"/>
  <c r="CU258" i="103"/>
  <c r="P259" i="22" s="1"/>
  <c r="CT258" i="103"/>
  <c r="O259" i="22" s="1"/>
  <c r="AV258" i="103"/>
  <c r="AU258" i="103"/>
  <c r="AR258" i="103"/>
  <c r="AQ258" i="103"/>
  <c r="AP258" i="103"/>
  <c r="AO258" i="103"/>
  <c r="CU257" i="103"/>
  <c r="P258" i="22" s="1"/>
  <c r="CT257" i="103"/>
  <c r="O258" i="22" s="1"/>
  <c r="AV257" i="103"/>
  <c r="AU257" i="103"/>
  <c r="AR257" i="103"/>
  <c r="AQ257" i="103"/>
  <c r="AP257" i="103"/>
  <c r="AO257" i="103"/>
  <c r="CU256" i="103"/>
  <c r="P257" i="22" s="1"/>
  <c r="CT256" i="103"/>
  <c r="O257" i="22" s="1"/>
  <c r="AV256" i="103"/>
  <c r="AU256" i="103"/>
  <c r="AR256" i="103"/>
  <c r="AQ256" i="103"/>
  <c r="AP256" i="103"/>
  <c r="AO256" i="103"/>
  <c r="CU255" i="103"/>
  <c r="P256" i="22" s="1"/>
  <c r="CT255" i="103"/>
  <c r="O256" i="22" s="1"/>
  <c r="AV255" i="103"/>
  <c r="AU255" i="103"/>
  <c r="AR255" i="103"/>
  <c r="AQ255" i="103"/>
  <c r="AP255" i="103"/>
  <c r="AO255" i="103"/>
  <c r="CU254" i="103"/>
  <c r="P255" i="22" s="1"/>
  <c r="CT254" i="103"/>
  <c r="O255" i="22" s="1"/>
  <c r="AV254" i="103"/>
  <c r="AU254" i="103"/>
  <c r="AR254" i="103"/>
  <c r="AQ254" i="103"/>
  <c r="AP254" i="103"/>
  <c r="AO254" i="103"/>
  <c r="CU253" i="103"/>
  <c r="P254" i="22" s="1"/>
  <c r="CT253" i="103"/>
  <c r="O254" i="22" s="1"/>
  <c r="AV253" i="103"/>
  <c r="AU253" i="103"/>
  <c r="AQ253" i="103"/>
  <c r="AP253" i="103"/>
  <c r="AO253" i="103"/>
  <c r="CU252" i="103"/>
  <c r="P253" i="22" s="1"/>
  <c r="CT252" i="103"/>
  <c r="O253" i="22" s="1"/>
  <c r="AV252" i="103"/>
  <c r="AU252" i="103"/>
  <c r="AQ252" i="103"/>
  <c r="AP252" i="103"/>
  <c r="AO252" i="103"/>
  <c r="CU251" i="103"/>
  <c r="P252" i="22" s="1"/>
  <c r="CT251" i="103"/>
  <c r="O252" i="22" s="1"/>
  <c r="AV251" i="103"/>
  <c r="AU251" i="103"/>
  <c r="AQ251" i="103"/>
  <c r="AP251" i="103"/>
  <c r="AO251" i="103"/>
  <c r="CU250" i="103"/>
  <c r="P251" i="22" s="1"/>
  <c r="CT250" i="103"/>
  <c r="O251" i="22" s="1"/>
  <c r="AV250" i="103"/>
  <c r="AU250" i="103"/>
  <c r="AQ250" i="103"/>
  <c r="AP250" i="103"/>
  <c r="AO250" i="103"/>
  <c r="CU249" i="103"/>
  <c r="P250" i="22" s="1"/>
  <c r="CT249" i="103"/>
  <c r="O250" i="22" s="1"/>
  <c r="AV249" i="103"/>
  <c r="AU249" i="103"/>
  <c r="AQ249" i="103"/>
  <c r="AP249" i="103"/>
  <c r="AO249" i="103"/>
  <c r="CU248" i="103"/>
  <c r="P249" i="22" s="1"/>
  <c r="CT248" i="103"/>
  <c r="O249" i="22" s="1"/>
  <c r="AV248" i="103"/>
  <c r="AU248" i="103"/>
  <c r="AQ248" i="103"/>
  <c r="AP248" i="103"/>
  <c r="AO248" i="103"/>
  <c r="CU247" i="103"/>
  <c r="P248" i="22" s="1"/>
  <c r="CT247" i="103"/>
  <c r="O248" i="22" s="1"/>
  <c r="AV247" i="103"/>
  <c r="AU247" i="103"/>
  <c r="AQ247" i="103"/>
  <c r="AP247" i="103"/>
  <c r="AO247" i="103"/>
  <c r="CU246" i="103"/>
  <c r="P247" i="22" s="1"/>
  <c r="CT246" i="103"/>
  <c r="O247" i="22" s="1"/>
  <c r="AV246" i="103"/>
  <c r="AU246" i="103"/>
  <c r="AQ246" i="103"/>
  <c r="AP246" i="103"/>
  <c r="AO246" i="103"/>
  <c r="CU245" i="103"/>
  <c r="P246" i="22" s="1"/>
  <c r="CT245" i="103"/>
  <c r="O246" i="22" s="1"/>
  <c r="AV245" i="103"/>
  <c r="AU245" i="103"/>
  <c r="AQ245" i="103"/>
  <c r="AP245" i="103"/>
  <c r="AO245" i="103"/>
  <c r="CU244" i="103"/>
  <c r="P245" i="22" s="1"/>
  <c r="CT244" i="103"/>
  <c r="O245" i="22" s="1"/>
  <c r="AV244" i="103"/>
  <c r="AU244" i="103"/>
  <c r="AQ244" i="103"/>
  <c r="AP244" i="103"/>
  <c r="AO244" i="103"/>
  <c r="CU243" i="103"/>
  <c r="P244" i="22" s="1"/>
  <c r="CT243" i="103"/>
  <c r="O244" i="22" s="1"/>
  <c r="AV243" i="103"/>
  <c r="AU243" i="103"/>
  <c r="AQ243" i="103"/>
  <c r="AP243" i="103"/>
  <c r="AO243" i="103"/>
  <c r="CU242" i="103"/>
  <c r="P243" i="22" s="1"/>
  <c r="CT242" i="103"/>
  <c r="O243" i="22" s="1"/>
  <c r="AV242" i="103"/>
  <c r="AU242" i="103"/>
  <c r="AQ242" i="103"/>
  <c r="AP242" i="103"/>
  <c r="AO242" i="103"/>
  <c r="CU241" i="103"/>
  <c r="P242" i="22" s="1"/>
  <c r="CT241" i="103"/>
  <c r="O242" i="22" s="1"/>
  <c r="AV241" i="103"/>
  <c r="AU241" i="103"/>
  <c r="AQ241" i="103"/>
  <c r="AP241" i="103"/>
  <c r="AO241" i="103"/>
  <c r="CU240" i="103"/>
  <c r="P241" i="22" s="1"/>
  <c r="CT240" i="103"/>
  <c r="O241" i="22" s="1"/>
  <c r="AV240" i="103"/>
  <c r="AU240" i="103"/>
  <c r="AQ240" i="103"/>
  <c r="AP240" i="103"/>
  <c r="AO240" i="103"/>
  <c r="CU239" i="103"/>
  <c r="P240" i="22" s="1"/>
  <c r="CT239" i="103"/>
  <c r="O240" i="22" s="1"/>
  <c r="AV239" i="103"/>
  <c r="AU239" i="103"/>
  <c r="AQ239" i="103"/>
  <c r="AP239" i="103"/>
  <c r="AO239" i="103"/>
  <c r="CU238" i="103"/>
  <c r="P239" i="22" s="1"/>
  <c r="CT238" i="103"/>
  <c r="O239" i="22" s="1"/>
  <c r="AV238" i="103"/>
  <c r="AU238" i="103"/>
  <c r="AQ238" i="103"/>
  <c r="AP238" i="103"/>
  <c r="AO238" i="103"/>
  <c r="CU237" i="103"/>
  <c r="P238" i="22" s="1"/>
  <c r="CT237" i="103"/>
  <c r="O238" i="22" s="1"/>
  <c r="AV237" i="103"/>
  <c r="AU237" i="103"/>
  <c r="AQ237" i="103"/>
  <c r="AP237" i="103"/>
  <c r="AO237" i="103"/>
  <c r="CU236" i="103"/>
  <c r="P237" i="22" s="1"/>
  <c r="CT236" i="103"/>
  <c r="O237" i="22" s="1"/>
  <c r="AV236" i="103"/>
  <c r="AU236" i="103"/>
  <c r="AQ236" i="103"/>
  <c r="AP236" i="103"/>
  <c r="AO236" i="103"/>
  <c r="CU235" i="103"/>
  <c r="P236" i="22" s="1"/>
  <c r="CT235" i="103"/>
  <c r="O236" i="22" s="1"/>
  <c r="AV235" i="103"/>
  <c r="AU235" i="103"/>
  <c r="AQ235" i="103"/>
  <c r="AP235" i="103"/>
  <c r="AO235" i="103"/>
  <c r="CU234" i="103"/>
  <c r="P235" i="22" s="1"/>
  <c r="CT234" i="103"/>
  <c r="O235" i="22" s="1"/>
  <c r="AV234" i="103"/>
  <c r="AU234" i="103"/>
  <c r="AQ234" i="103"/>
  <c r="AP234" i="103"/>
  <c r="AO234" i="103"/>
  <c r="CU233" i="103"/>
  <c r="P234" i="22" s="1"/>
  <c r="CT233" i="103"/>
  <c r="O234" i="22" s="1"/>
  <c r="AV233" i="103"/>
  <c r="AU233" i="103"/>
  <c r="AQ233" i="103"/>
  <c r="AP233" i="103"/>
  <c r="AO233" i="103"/>
  <c r="CU232" i="103"/>
  <c r="P233" i="22" s="1"/>
  <c r="CT232" i="103"/>
  <c r="O233" i="22" s="1"/>
  <c r="AV232" i="103"/>
  <c r="AU232" i="103"/>
  <c r="AQ232" i="103"/>
  <c r="AP232" i="103"/>
  <c r="AO232" i="103"/>
  <c r="CU231" i="103"/>
  <c r="P232" i="22" s="1"/>
  <c r="CT231" i="103"/>
  <c r="O232" i="22" s="1"/>
  <c r="AV231" i="103"/>
  <c r="AU231" i="103"/>
  <c r="AQ231" i="103"/>
  <c r="AP231" i="103"/>
  <c r="AO231" i="103"/>
  <c r="CU230" i="103"/>
  <c r="P231" i="22" s="1"/>
  <c r="CT230" i="103"/>
  <c r="O231" i="22" s="1"/>
  <c r="AV230" i="103"/>
  <c r="AU230" i="103"/>
  <c r="AQ230" i="103"/>
  <c r="AP230" i="103"/>
  <c r="AO230" i="103"/>
  <c r="CU229" i="103"/>
  <c r="P230" i="22" s="1"/>
  <c r="CT229" i="103"/>
  <c r="O230" i="22" s="1"/>
  <c r="AV229" i="103"/>
  <c r="AU229" i="103"/>
  <c r="AQ229" i="103"/>
  <c r="AP229" i="103"/>
  <c r="AO229" i="103"/>
  <c r="CU228" i="103"/>
  <c r="P229" i="22" s="1"/>
  <c r="CT228" i="103"/>
  <c r="O229" i="22" s="1"/>
  <c r="AV228" i="103"/>
  <c r="AU228" i="103"/>
  <c r="AQ228" i="103"/>
  <c r="AP228" i="103"/>
  <c r="AO228" i="103"/>
  <c r="CU227" i="103"/>
  <c r="P228" i="22" s="1"/>
  <c r="CT227" i="103"/>
  <c r="O228" i="22" s="1"/>
  <c r="AV227" i="103"/>
  <c r="AU227" i="103"/>
  <c r="AQ227" i="103"/>
  <c r="AP227" i="103"/>
  <c r="AO227" i="103"/>
  <c r="CU226" i="103"/>
  <c r="P227" i="22" s="1"/>
  <c r="CT226" i="103"/>
  <c r="O227" i="22" s="1"/>
  <c r="AV226" i="103"/>
  <c r="AU226" i="103"/>
  <c r="AQ226" i="103"/>
  <c r="AP226" i="103"/>
  <c r="AO226" i="103"/>
  <c r="CU225" i="103"/>
  <c r="P226" i="22" s="1"/>
  <c r="CT225" i="103"/>
  <c r="O226" i="22" s="1"/>
  <c r="AV225" i="103"/>
  <c r="AU225" i="103"/>
  <c r="AQ225" i="103"/>
  <c r="AP225" i="103"/>
  <c r="AO225" i="103"/>
  <c r="CU224" i="103"/>
  <c r="P225" i="22" s="1"/>
  <c r="CT224" i="103"/>
  <c r="O225" i="22" s="1"/>
  <c r="AV224" i="103"/>
  <c r="AU224" i="103"/>
  <c r="AQ224" i="103"/>
  <c r="AP224" i="103"/>
  <c r="AO224" i="103"/>
  <c r="CU223" i="103"/>
  <c r="P224" i="22" s="1"/>
  <c r="CT223" i="103"/>
  <c r="O224" i="22" s="1"/>
  <c r="AV223" i="103"/>
  <c r="AU223" i="103"/>
  <c r="AQ223" i="103"/>
  <c r="AP223" i="103"/>
  <c r="AO223" i="103"/>
  <c r="CU222" i="103"/>
  <c r="P223" i="22" s="1"/>
  <c r="CT222" i="103"/>
  <c r="O223" i="22" s="1"/>
  <c r="AV222" i="103"/>
  <c r="AU222" i="103"/>
  <c r="AP222" i="103"/>
  <c r="AO222" i="103"/>
  <c r="CU221" i="103"/>
  <c r="P222" i="22" s="1"/>
  <c r="CT221" i="103"/>
  <c r="O222" i="22" s="1"/>
  <c r="AV221" i="103"/>
  <c r="AU221" i="103"/>
  <c r="AP221" i="103"/>
  <c r="AO221" i="103"/>
  <c r="CU220" i="103"/>
  <c r="P221" i="22" s="1"/>
  <c r="CT220" i="103"/>
  <c r="O221" i="22" s="1"/>
  <c r="AV220" i="103"/>
  <c r="AU220" i="103"/>
  <c r="AP220" i="103"/>
  <c r="AO220" i="103"/>
  <c r="CU219" i="103"/>
  <c r="P220" i="22" s="1"/>
  <c r="CT219" i="103"/>
  <c r="O220" i="22" s="1"/>
  <c r="AV219" i="103"/>
  <c r="AU219" i="103"/>
  <c r="AP219" i="103"/>
  <c r="AO219" i="103"/>
  <c r="CU218" i="103"/>
  <c r="P219" i="22" s="1"/>
  <c r="CT218" i="103"/>
  <c r="O219" i="22" s="1"/>
  <c r="AV218" i="103"/>
  <c r="AU218" i="103"/>
  <c r="AP218" i="103"/>
  <c r="AO218" i="103"/>
  <c r="CU217" i="103"/>
  <c r="P218" i="22" s="1"/>
  <c r="CT217" i="103"/>
  <c r="O218" i="22" s="1"/>
  <c r="AV217" i="103"/>
  <c r="AU217" i="103"/>
  <c r="AP217" i="103"/>
  <c r="AO217" i="103"/>
  <c r="CU216" i="103"/>
  <c r="P217" i="22" s="1"/>
  <c r="CT216" i="103"/>
  <c r="O217" i="22" s="1"/>
  <c r="AV216" i="103"/>
  <c r="AU216" i="103"/>
  <c r="AP216" i="103"/>
  <c r="AO216" i="103"/>
  <c r="CU215" i="103"/>
  <c r="P216" i="22" s="1"/>
  <c r="CT215" i="103"/>
  <c r="O216" i="22" s="1"/>
  <c r="AV215" i="103"/>
  <c r="AU215" i="103"/>
  <c r="AP215" i="103"/>
  <c r="AO215" i="103"/>
  <c r="CU214" i="103"/>
  <c r="P215" i="22" s="1"/>
  <c r="CT214" i="103"/>
  <c r="O215" i="22" s="1"/>
  <c r="AV214" i="103"/>
  <c r="AU214" i="103"/>
  <c r="AP214" i="103"/>
  <c r="AO214" i="103"/>
  <c r="CU213" i="103"/>
  <c r="P214" i="22" s="1"/>
  <c r="CT213" i="103"/>
  <c r="O214" i="22" s="1"/>
  <c r="AV213" i="103"/>
  <c r="AU213" i="103"/>
  <c r="AP213" i="103"/>
  <c r="AO213" i="103"/>
  <c r="CU212" i="103"/>
  <c r="P213" i="22" s="1"/>
  <c r="CT212" i="103"/>
  <c r="O213" i="22" s="1"/>
  <c r="AV212" i="103"/>
  <c r="AU212" i="103"/>
  <c r="AP212" i="103"/>
  <c r="AO212" i="103"/>
  <c r="CU211" i="103"/>
  <c r="P212" i="22" s="1"/>
  <c r="CT211" i="103"/>
  <c r="O212" i="22" s="1"/>
  <c r="AV211" i="103"/>
  <c r="AU211" i="103"/>
  <c r="AP211" i="103"/>
  <c r="AO211" i="103"/>
  <c r="CU210" i="103"/>
  <c r="P211" i="22" s="1"/>
  <c r="CT210" i="103"/>
  <c r="O211" i="22" s="1"/>
  <c r="AV210" i="103"/>
  <c r="AU210" i="103"/>
  <c r="AP210" i="103"/>
  <c r="AO210" i="103"/>
  <c r="CU209" i="103"/>
  <c r="P210" i="22" s="1"/>
  <c r="CT209" i="103"/>
  <c r="O210" i="22" s="1"/>
  <c r="AV209" i="103"/>
  <c r="AU209" i="103"/>
  <c r="AP209" i="103"/>
  <c r="AO209" i="103"/>
  <c r="CU208" i="103"/>
  <c r="P209" i="22" s="1"/>
  <c r="CT208" i="103"/>
  <c r="O209" i="22" s="1"/>
  <c r="AV208" i="103"/>
  <c r="AU208" i="103"/>
  <c r="AP208" i="103"/>
  <c r="AO208" i="103"/>
  <c r="CU207" i="103"/>
  <c r="P208" i="22" s="1"/>
  <c r="CT207" i="103"/>
  <c r="O208" i="22" s="1"/>
  <c r="AV207" i="103"/>
  <c r="AU207" i="103"/>
  <c r="AP207" i="103"/>
  <c r="AO207" i="103"/>
  <c r="CU206" i="103"/>
  <c r="P207" i="22" s="1"/>
  <c r="CT206" i="103"/>
  <c r="O207" i="22" s="1"/>
  <c r="AV206" i="103"/>
  <c r="AU206" i="103"/>
  <c r="AP206" i="103"/>
  <c r="AO206" i="103"/>
  <c r="CU205" i="103"/>
  <c r="P206" i="22" s="1"/>
  <c r="CT205" i="103"/>
  <c r="O206" i="22" s="1"/>
  <c r="AV205" i="103"/>
  <c r="AU205" i="103"/>
  <c r="AP205" i="103"/>
  <c r="AO205" i="103"/>
  <c r="CU204" i="103"/>
  <c r="P205" i="22" s="1"/>
  <c r="CT204" i="103"/>
  <c r="O205" i="22" s="1"/>
  <c r="AV204" i="103"/>
  <c r="AU204" i="103"/>
  <c r="AP204" i="103"/>
  <c r="AO204" i="103"/>
  <c r="CU203" i="103"/>
  <c r="P204" i="22" s="1"/>
  <c r="CT203" i="103"/>
  <c r="O204" i="22" s="1"/>
  <c r="AV203" i="103"/>
  <c r="AU203" i="103"/>
  <c r="AP203" i="103"/>
  <c r="AO203" i="103"/>
  <c r="CU202" i="103"/>
  <c r="P203" i="22" s="1"/>
  <c r="CT202" i="103"/>
  <c r="O203" i="22" s="1"/>
  <c r="AV202" i="103"/>
  <c r="AU202" i="103"/>
  <c r="AP202" i="103"/>
  <c r="AO202" i="103"/>
  <c r="CU201" i="103"/>
  <c r="P202" i="22" s="1"/>
  <c r="CT201" i="103"/>
  <c r="O202" i="22" s="1"/>
  <c r="AV201" i="103"/>
  <c r="AU201" i="103"/>
  <c r="AP201" i="103"/>
  <c r="AO201" i="103"/>
  <c r="CU200" i="103"/>
  <c r="P201" i="22" s="1"/>
  <c r="CT200" i="103"/>
  <c r="O201" i="22" s="1"/>
  <c r="AV200" i="103"/>
  <c r="AU200" i="103"/>
  <c r="AP200" i="103"/>
  <c r="AO200" i="103"/>
  <c r="CU199" i="103"/>
  <c r="P200" i="22" s="1"/>
  <c r="CT199" i="103"/>
  <c r="O200" i="22" s="1"/>
  <c r="AV199" i="103"/>
  <c r="AU199" i="103"/>
  <c r="AP199" i="103"/>
  <c r="AO199" i="103"/>
  <c r="CU198" i="103"/>
  <c r="P199" i="22" s="1"/>
  <c r="CT198" i="103"/>
  <c r="O199" i="22" s="1"/>
  <c r="AV198" i="103"/>
  <c r="AU198" i="103"/>
  <c r="AP198" i="103"/>
  <c r="AO198" i="103"/>
  <c r="CU197" i="103"/>
  <c r="P198" i="22" s="1"/>
  <c r="CT197" i="103"/>
  <c r="O198" i="22" s="1"/>
  <c r="AV197" i="103"/>
  <c r="AU197" i="103"/>
  <c r="AP197" i="103"/>
  <c r="AO197" i="103"/>
  <c r="CU196" i="103"/>
  <c r="P197" i="22" s="1"/>
  <c r="CT196" i="103"/>
  <c r="O197" i="22" s="1"/>
  <c r="AV196" i="103"/>
  <c r="AU196" i="103"/>
  <c r="AP196" i="103"/>
  <c r="AO196" i="103"/>
  <c r="CU195" i="103"/>
  <c r="P196" i="22" s="1"/>
  <c r="CT195" i="103"/>
  <c r="O196" i="22" s="1"/>
  <c r="AV195" i="103"/>
  <c r="AU195" i="103"/>
  <c r="AP195" i="103"/>
  <c r="AO195" i="103"/>
  <c r="CU194" i="103"/>
  <c r="P195" i="22" s="1"/>
  <c r="CT194" i="103"/>
  <c r="O195" i="22" s="1"/>
  <c r="AV194" i="103"/>
  <c r="AU194" i="103"/>
  <c r="AP194" i="103"/>
  <c r="AO194" i="103"/>
  <c r="CU193" i="103"/>
  <c r="P194" i="22" s="1"/>
  <c r="CT193" i="103"/>
  <c r="O194" i="22" s="1"/>
  <c r="AV193" i="103"/>
  <c r="AU193" i="103"/>
  <c r="AP193" i="103"/>
  <c r="AO193" i="103"/>
  <c r="CU192" i="103"/>
  <c r="P193" i="22" s="1"/>
  <c r="CT192" i="103"/>
  <c r="O193" i="22" s="1"/>
  <c r="AV192" i="103"/>
  <c r="AU192" i="103"/>
  <c r="AP192" i="103"/>
  <c r="AO192" i="103"/>
  <c r="CU191" i="103"/>
  <c r="P192" i="22" s="1"/>
  <c r="CT191" i="103"/>
  <c r="O192" i="22" s="1"/>
  <c r="CU190" i="103"/>
  <c r="P191" i="22" s="1"/>
  <c r="CT190" i="103"/>
  <c r="O191" i="22" s="1"/>
  <c r="CU189" i="103"/>
  <c r="P190" i="22" s="1"/>
  <c r="CT189" i="103"/>
  <c r="O190" i="22" s="1"/>
  <c r="CU188" i="103"/>
  <c r="P189" i="22" s="1"/>
  <c r="CT188" i="103"/>
  <c r="O189" i="22" s="1"/>
  <c r="CU187" i="103"/>
  <c r="P188" i="22" s="1"/>
  <c r="CT187" i="103"/>
  <c r="O188" i="22" s="1"/>
  <c r="CU186" i="103"/>
  <c r="P187" i="22" s="1"/>
  <c r="CT186" i="103"/>
  <c r="O187" i="22" s="1"/>
  <c r="CU185" i="103"/>
  <c r="P186" i="22" s="1"/>
  <c r="CT185" i="103"/>
  <c r="O186" i="22" s="1"/>
  <c r="CU184" i="103"/>
  <c r="P185" i="22" s="1"/>
  <c r="CT184" i="103"/>
  <c r="O185" i="22" s="1"/>
  <c r="CU183" i="103"/>
  <c r="P184" i="22" s="1"/>
  <c r="CT183" i="103"/>
  <c r="O184" i="22" s="1"/>
  <c r="CU182" i="103"/>
  <c r="P183" i="22" s="1"/>
  <c r="CT182" i="103"/>
  <c r="O183" i="22" s="1"/>
  <c r="CU181" i="103"/>
  <c r="P182" i="22" s="1"/>
  <c r="CT181" i="103"/>
  <c r="O182" i="22" s="1"/>
  <c r="CU180" i="103"/>
  <c r="P181" i="22" s="1"/>
  <c r="CT180" i="103"/>
  <c r="O181" i="22" s="1"/>
  <c r="CU179" i="103"/>
  <c r="P180" i="22" s="1"/>
  <c r="CT179" i="103"/>
  <c r="O180" i="22" s="1"/>
  <c r="CU178" i="103"/>
  <c r="P179" i="22" s="1"/>
  <c r="CT178" i="103"/>
  <c r="O179" i="22" s="1"/>
  <c r="CU177" i="103"/>
  <c r="P178" i="22" s="1"/>
  <c r="CT177" i="103"/>
  <c r="O178" i="22" s="1"/>
  <c r="CU176" i="103"/>
  <c r="P177" i="22" s="1"/>
  <c r="CT176" i="103"/>
  <c r="O177" i="22" s="1"/>
  <c r="CU175" i="103"/>
  <c r="P176" i="22" s="1"/>
  <c r="CT175" i="103"/>
  <c r="O176" i="22" s="1"/>
  <c r="CU174" i="103"/>
  <c r="P175" i="22" s="1"/>
  <c r="CT174" i="103"/>
  <c r="O175" i="22" s="1"/>
  <c r="CU173" i="103"/>
  <c r="P174" i="22" s="1"/>
  <c r="CT173" i="103"/>
  <c r="O174" i="22" s="1"/>
  <c r="CU172" i="103"/>
  <c r="P173" i="22" s="1"/>
  <c r="CT172" i="103"/>
  <c r="O173" i="22" s="1"/>
  <c r="CU171" i="103"/>
  <c r="P172" i="22" s="1"/>
  <c r="CT171" i="103"/>
  <c r="O172" i="22" s="1"/>
  <c r="CU170" i="103"/>
  <c r="P171" i="22" s="1"/>
  <c r="CT170" i="103"/>
  <c r="O171" i="22" s="1"/>
  <c r="CU169" i="103"/>
  <c r="P170" i="22" s="1"/>
  <c r="CT169" i="103"/>
  <c r="O170" i="22" s="1"/>
  <c r="CU168" i="103"/>
  <c r="P169" i="22" s="1"/>
  <c r="CT168" i="103"/>
  <c r="O169" i="22" s="1"/>
  <c r="CU167" i="103"/>
  <c r="P168" i="22" s="1"/>
  <c r="CT167" i="103"/>
  <c r="O168" i="22" s="1"/>
  <c r="CU166" i="103"/>
  <c r="P167" i="22" s="1"/>
  <c r="CT166" i="103"/>
  <c r="O167" i="22" s="1"/>
  <c r="CU165" i="103"/>
  <c r="P166" i="22" s="1"/>
  <c r="CT165" i="103"/>
  <c r="O166" i="22" s="1"/>
  <c r="CU164" i="103"/>
  <c r="P165" i="22" s="1"/>
  <c r="CT164" i="103"/>
  <c r="O165" i="22" s="1"/>
  <c r="CU163" i="103"/>
  <c r="P164" i="22" s="1"/>
  <c r="CT163" i="103"/>
  <c r="O164" i="22" s="1"/>
  <c r="CU162" i="103"/>
  <c r="P163" i="22" s="1"/>
  <c r="CT162" i="103"/>
  <c r="O163" i="22" s="1"/>
  <c r="CU161" i="103"/>
  <c r="P162" i="22" s="1"/>
  <c r="CT161" i="103"/>
  <c r="O162" i="22" s="1"/>
  <c r="CU160" i="103"/>
  <c r="P161" i="22" s="1"/>
  <c r="CT160" i="103"/>
  <c r="O161" i="22" s="1"/>
  <c r="CU159" i="103"/>
  <c r="P160" i="22" s="1"/>
  <c r="CT159" i="103"/>
  <c r="O160" i="22" s="1"/>
  <c r="CU158" i="103"/>
  <c r="P159" i="22" s="1"/>
  <c r="CT158" i="103"/>
  <c r="O159" i="22" s="1"/>
  <c r="CU157" i="103"/>
  <c r="P158" i="22" s="1"/>
  <c r="CT157" i="103"/>
  <c r="O158" i="22" s="1"/>
  <c r="CU156" i="103"/>
  <c r="P157" i="22" s="1"/>
  <c r="CT156" i="103"/>
  <c r="O157" i="22" s="1"/>
  <c r="CU155" i="103"/>
  <c r="P156" i="22" s="1"/>
  <c r="CT155" i="103"/>
  <c r="O156" i="22" s="1"/>
  <c r="CU154" i="103"/>
  <c r="P155" i="22" s="1"/>
  <c r="CT154" i="103"/>
  <c r="O155" i="22" s="1"/>
  <c r="CU153" i="103"/>
  <c r="P154" i="22" s="1"/>
  <c r="CT153" i="103"/>
  <c r="O154" i="22" s="1"/>
  <c r="CU152" i="103"/>
  <c r="P153" i="22" s="1"/>
  <c r="CT152" i="103"/>
  <c r="O153" i="22" s="1"/>
  <c r="CU151" i="103"/>
  <c r="P152" i="22" s="1"/>
  <c r="CT151" i="103"/>
  <c r="O152" i="22" s="1"/>
  <c r="CU150" i="103"/>
  <c r="P151" i="22" s="1"/>
  <c r="CT150" i="103"/>
  <c r="O151" i="22" s="1"/>
  <c r="CU149" i="103"/>
  <c r="P150" i="22" s="1"/>
  <c r="CT149" i="103"/>
  <c r="O150" i="22" s="1"/>
  <c r="CU148" i="103"/>
  <c r="P149" i="22" s="1"/>
  <c r="CT148" i="103"/>
  <c r="O149" i="22" s="1"/>
  <c r="CU147" i="103"/>
  <c r="P148" i="22" s="1"/>
  <c r="CT147" i="103"/>
  <c r="O148" i="22" s="1"/>
  <c r="CU146" i="103"/>
  <c r="P147" i="22" s="1"/>
  <c r="CT146" i="103"/>
  <c r="O147" i="22" s="1"/>
  <c r="CU145" i="103"/>
  <c r="P146" i="22" s="1"/>
  <c r="CT145" i="103"/>
  <c r="O146" i="22" s="1"/>
  <c r="CU144" i="103"/>
  <c r="P145" i="22" s="1"/>
  <c r="CT144" i="103"/>
  <c r="O145" i="22" s="1"/>
  <c r="CU143" i="103"/>
  <c r="P144" i="22" s="1"/>
  <c r="CT143" i="103"/>
  <c r="O144" i="22" s="1"/>
  <c r="CU142" i="103"/>
  <c r="P143" i="22" s="1"/>
  <c r="CT142" i="103"/>
  <c r="O143" i="22" s="1"/>
  <c r="CU141" i="103"/>
  <c r="P142" i="22" s="1"/>
  <c r="CT141" i="103"/>
  <c r="O142" i="22" s="1"/>
  <c r="CU140" i="103"/>
  <c r="P141" i="22" s="1"/>
  <c r="CT140" i="103"/>
  <c r="O141" i="22" s="1"/>
  <c r="CU139" i="103"/>
  <c r="P140" i="22" s="1"/>
  <c r="CT139" i="103"/>
  <c r="O140" i="22" s="1"/>
  <c r="CU138" i="103"/>
  <c r="P139" i="22" s="1"/>
  <c r="CT138" i="103"/>
  <c r="O139" i="22" s="1"/>
  <c r="CU137" i="103"/>
  <c r="P138" i="22" s="1"/>
  <c r="CT137" i="103"/>
  <c r="O138" i="22" s="1"/>
  <c r="CU136" i="103"/>
  <c r="P137" i="22" s="1"/>
  <c r="CT136" i="103"/>
  <c r="O137" i="22" s="1"/>
  <c r="CU135" i="103"/>
  <c r="P136" i="22" s="1"/>
  <c r="CT135" i="103"/>
  <c r="O136" i="22" s="1"/>
  <c r="CU134" i="103"/>
  <c r="P135" i="22" s="1"/>
  <c r="CT134" i="103"/>
  <c r="O135" i="22" s="1"/>
  <c r="CU133" i="103"/>
  <c r="P134" i="22" s="1"/>
  <c r="CT133" i="103"/>
  <c r="O134" i="22" s="1"/>
  <c r="CU132" i="103"/>
  <c r="P133" i="22" s="1"/>
  <c r="CT132" i="103"/>
  <c r="O133" i="22" s="1"/>
  <c r="CU131" i="103"/>
  <c r="P132" i="22" s="1"/>
  <c r="CT131" i="103"/>
  <c r="O132" i="22" s="1"/>
  <c r="CU130" i="103"/>
  <c r="P131" i="22" s="1"/>
  <c r="CT130" i="103"/>
  <c r="O131" i="22" s="1"/>
  <c r="AV130" i="103"/>
  <c r="CU129" i="103"/>
  <c r="P130" i="22" s="1"/>
  <c r="CT129" i="103"/>
  <c r="O130" i="22" s="1"/>
  <c r="AV129" i="103"/>
  <c r="AU129" i="103"/>
  <c r="CU128" i="103"/>
  <c r="P129" i="22" s="1"/>
  <c r="CT128" i="103"/>
  <c r="O129" i="22" s="1"/>
  <c r="AV128" i="103"/>
  <c r="AU128" i="103"/>
  <c r="CU127" i="103"/>
  <c r="P128" i="22" s="1"/>
  <c r="CT127" i="103"/>
  <c r="O128" i="22" s="1"/>
  <c r="AV127" i="103"/>
  <c r="AU127" i="103"/>
  <c r="CU126" i="103"/>
  <c r="P127" i="22" s="1"/>
  <c r="CT126" i="103"/>
  <c r="O127" i="22" s="1"/>
  <c r="AV126" i="103"/>
  <c r="AU126" i="103"/>
  <c r="CU125" i="103"/>
  <c r="P126" i="22" s="1"/>
  <c r="CT125" i="103"/>
  <c r="O126" i="22" s="1"/>
  <c r="AV125" i="103"/>
  <c r="AU125" i="103"/>
  <c r="CU124" i="103"/>
  <c r="P125" i="22" s="1"/>
  <c r="CT124" i="103"/>
  <c r="O125" i="22" s="1"/>
  <c r="AV124" i="103"/>
  <c r="AU124" i="103"/>
  <c r="CU123" i="103"/>
  <c r="P124" i="22" s="1"/>
  <c r="CT123" i="103"/>
  <c r="O124" i="22" s="1"/>
  <c r="AV123" i="103"/>
  <c r="AU123" i="103"/>
  <c r="CU122" i="103"/>
  <c r="P123" i="22" s="1"/>
  <c r="CT122" i="103"/>
  <c r="O123" i="22" s="1"/>
  <c r="AV122" i="103"/>
  <c r="AU122" i="103"/>
  <c r="CU121" i="103"/>
  <c r="P122" i="22" s="1"/>
  <c r="CT121" i="103"/>
  <c r="O122" i="22" s="1"/>
  <c r="AV121" i="103"/>
  <c r="AU121" i="103"/>
  <c r="CU120" i="103"/>
  <c r="P121" i="22" s="1"/>
  <c r="CT120" i="103"/>
  <c r="O121" i="22" s="1"/>
  <c r="AV120" i="103"/>
  <c r="AU120" i="103"/>
  <c r="CU119" i="103"/>
  <c r="P120" i="22" s="1"/>
  <c r="CT119" i="103"/>
  <c r="O120" i="22" s="1"/>
  <c r="AV119" i="103"/>
  <c r="AU119" i="103"/>
  <c r="CU118" i="103"/>
  <c r="P119" i="22" s="1"/>
  <c r="CT118" i="103"/>
  <c r="O119" i="22" s="1"/>
  <c r="AV118" i="103"/>
  <c r="AU118" i="103"/>
  <c r="CU117" i="103"/>
  <c r="P118" i="22" s="1"/>
  <c r="CT117" i="103"/>
  <c r="O118" i="22" s="1"/>
  <c r="AV117" i="103"/>
  <c r="AU117" i="103"/>
  <c r="CU116" i="103"/>
  <c r="P117" i="22" s="1"/>
  <c r="CT116" i="103"/>
  <c r="O117" i="22" s="1"/>
  <c r="AV116" i="103"/>
  <c r="AU116" i="103"/>
  <c r="CU115" i="103"/>
  <c r="P116" i="22" s="1"/>
  <c r="CT115" i="103"/>
  <c r="O116" i="22" s="1"/>
  <c r="AV115" i="103"/>
  <c r="AU115" i="103"/>
  <c r="CU114" i="103"/>
  <c r="P115" i="22" s="1"/>
  <c r="CT114" i="103"/>
  <c r="O115" i="22" s="1"/>
  <c r="AV114" i="103"/>
  <c r="AU114" i="103"/>
  <c r="CU113" i="103"/>
  <c r="P114" i="22" s="1"/>
  <c r="CT113" i="103"/>
  <c r="O114" i="22" s="1"/>
  <c r="AV113" i="103"/>
  <c r="AU113" i="103"/>
  <c r="CU112" i="103"/>
  <c r="P113" i="22" s="1"/>
  <c r="CT112" i="103"/>
  <c r="O113" i="22" s="1"/>
  <c r="AV112" i="103"/>
  <c r="AU112" i="103"/>
  <c r="CU111" i="103"/>
  <c r="P112" i="22" s="1"/>
  <c r="CT111" i="103"/>
  <c r="O112" i="22" s="1"/>
  <c r="AV111" i="103"/>
  <c r="AU111" i="103"/>
  <c r="CU110" i="103"/>
  <c r="P111" i="22" s="1"/>
  <c r="CT110" i="103"/>
  <c r="O111" i="22" s="1"/>
  <c r="AV110" i="103"/>
  <c r="AU110" i="103"/>
  <c r="CU109" i="103"/>
  <c r="P110" i="22" s="1"/>
  <c r="CT109" i="103"/>
  <c r="O110" i="22" s="1"/>
  <c r="AV109" i="103"/>
  <c r="AU109" i="103"/>
  <c r="CU108" i="103"/>
  <c r="P109" i="22" s="1"/>
  <c r="CT108" i="103"/>
  <c r="O109" i="22" s="1"/>
  <c r="AV108" i="103"/>
  <c r="AU108" i="103"/>
  <c r="CU107" i="103"/>
  <c r="P108" i="22" s="1"/>
  <c r="CT107" i="103"/>
  <c r="O108" i="22" s="1"/>
  <c r="AV107" i="103"/>
  <c r="AU107" i="103"/>
  <c r="CU106" i="103"/>
  <c r="P107" i="22" s="1"/>
  <c r="CT106" i="103"/>
  <c r="O107" i="22" s="1"/>
  <c r="AV106" i="103"/>
  <c r="AU106" i="103"/>
  <c r="CU105" i="103"/>
  <c r="P106" i="22" s="1"/>
  <c r="CT105" i="103"/>
  <c r="O106" i="22" s="1"/>
  <c r="AV105" i="103"/>
  <c r="AU105" i="103"/>
  <c r="CU104" i="103"/>
  <c r="P105" i="22" s="1"/>
  <c r="CT104" i="103"/>
  <c r="O105" i="22" s="1"/>
  <c r="AV104" i="103"/>
  <c r="AU104" i="103"/>
  <c r="CU103" i="103"/>
  <c r="P104" i="22" s="1"/>
  <c r="CT103" i="103"/>
  <c r="O104" i="22" s="1"/>
  <c r="AV103" i="103"/>
  <c r="AU103" i="103"/>
  <c r="CU102" i="103"/>
  <c r="P103" i="22" s="1"/>
  <c r="CT102" i="103"/>
  <c r="O103" i="22" s="1"/>
  <c r="AV102" i="103"/>
  <c r="AU102" i="103"/>
  <c r="F102" i="103"/>
  <c r="CU101" i="103"/>
  <c r="P102" i="22" s="1"/>
  <c r="CT101" i="103"/>
  <c r="O102" i="22" s="1"/>
  <c r="AV101" i="103"/>
  <c r="AU101" i="103"/>
  <c r="CU100" i="103"/>
  <c r="P101" i="22" s="1"/>
  <c r="CT100" i="103"/>
  <c r="O101" i="22" s="1"/>
  <c r="AV100" i="103"/>
  <c r="AU100" i="103"/>
  <c r="CU99" i="103"/>
  <c r="P100" i="22" s="1"/>
  <c r="CT99" i="103"/>
  <c r="O100" i="22" s="1"/>
  <c r="AV99" i="103"/>
  <c r="AU99" i="103"/>
  <c r="CU98" i="103"/>
  <c r="P99" i="22" s="1"/>
  <c r="CT98" i="103"/>
  <c r="O99" i="22" s="1"/>
  <c r="AV98" i="103"/>
  <c r="AU98" i="103"/>
  <c r="CU97" i="103"/>
  <c r="P98" i="22" s="1"/>
  <c r="CT97" i="103"/>
  <c r="O98" i="22" s="1"/>
  <c r="AV97" i="103"/>
  <c r="AU97" i="103"/>
  <c r="CU96" i="103"/>
  <c r="P97" i="22" s="1"/>
  <c r="CT96" i="103"/>
  <c r="O97" i="22" s="1"/>
  <c r="AV96" i="103"/>
  <c r="AU96" i="103"/>
  <c r="CU95" i="103"/>
  <c r="P96" i="22" s="1"/>
  <c r="CT95" i="103"/>
  <c r="O96" i="22" s="1"/>
  <c r="AV95" i="103"/>
  <c r="AU95" i="103"/>
  <c r="CU94" i="103"/>
  <c r="P95" i="22" s="1"/>
  <c r="CT94" i="103"/>
  <c r="O95" i="22" s="1"/>
  <c r="AV94" i="103"/>
  <c r="AU94" i="103"/>
  <c r="CU93" i="103"/>
  <c r="P94" i="22" s="1"/>
  <c r="CT93" i="103"/>
  <c r="O94" i="22" s="1"/>
  <c r="AV93" i="103"/>
  <c r="AU93" i="103"/>
  <c r="CU92" i="103"/>
  <c r="P93" i="22" s="1"/>
  <c r="CT92" i="103"/>
  <c r="O93" i="22" s="1"/>
  <c r="AV92" i="103"/>
  <c r="AU92" i="103"/>
  <c r="CU91" i="103"/>
  <c r="P92" i="22" s="1"/>
  <c r="CT91" i="103"/>
  <c r="O92" i="22" s="1"/>
  <c r="AV91" i="103"/>
  <c r="AU91" i="103"/>
  <c r="CU90" i="103"/>
  <c r="P91" i="22" s="1"/>
  <c r="CT90" i="103"/>
  <c r="O91" i="22" s="1"/>
  <c r="AV90" i="103"/>
  <c r="AU90" i="103"/>
  <c r="CU89" i="103"/>
  <c r="P90" i="22" s="1"/>
  <c r="CT89" i="103"/>
  <c r="O90" i="22" s="1"/>
  <c r="AV89" i="103"/>
  <c r="AU89" i="103"/>
  <c r="CU88" i="103"/>
  <c r="P89" i="22" s="1"/>
  <c r="CT88" i="103"/>
  <c r="O89" i="22" s="1"/>
  <c r="AV88" i="103"/>
  <c r="AU88" i="103"/>
  <c r="CU87" i="103"/>
  <c r="P88" i="22" s="1"/>
  <c r="CT87" i="103"/>
  <c r="O88" i="22" s="1"/>
  <c r="AV87" i="103"/>
  <c r="AU87" i="103"/>
  <c r="CU86" i="103"/>
  <c r="P87" i="22" s="1"/>
  <c r="CT86" i="103"/>
  <c r="O87" i="22" s="1"/>
  <c r="AV86" i="103"/>
  <c r="AU86" i="103"/>
  <c r="CU85" i="103"/>
  <c r="P86" i="22" s="1"/>
  <c r="CT85" i="103"/>
  <c r="O86" i="22" s="1"/>
  <c r="AV85" i="103"/>
  <c r="AU85" i="103"/>
  <c r="CU84" i="103"/>
  <c r="P85" i="22" s="1"/>
  <c r="CT84" i="103"/>
  <c r="O85" i="22" s="1"/>
  <c r="AV84" i="103"/>
  <c r="AU84" i="103"/>
  <c r="CU83" i="103"/>
  <c r="P84" i="22" s="1"/>
  <c r="CT83" i="103"/>
  <c r="O84" i="22" s="1"/>
  <c r="AV83" i="103"/>
  <c r="AU83" i="103"/>
  <c r="CU82" i="103"/>
  <c r="P83" i="22" s="1"/>
  <c r="CT82" i="103"/>
  <c r="O83" i="22" s="1"/>
  <c r="AV82" i="103"/>
  <c r="AU82" i="103"/>
  <c r="CU81" i="103"/>
  <c r="P82" i="22" s="1"/>
  <c r="CT81" i="103"/>
  <c r="O82" i="22" s="1"/>
  <c r="AV81" i="103"/>
  <c r="AU81" i="103"/>
  <c r="CU80" i="103"/>
  <c r="P81" i="22" s="1"/>
  <c r="CT80" i="103"/>
  <c r="O81" i="22" s="1"/>
  <c r="AV80" i="103"/>
  <c r="AU80" i="103"/>
  <c r="CU79" i="103"/>
  <c r="P80" i="22" s="1"/>
  <c r="CT79" i="103"/>
  <c r="O80" i="22" s="1"/>
  <c r="AV79" i="103"/>
  <c r="AU79" i="103"/>
  <c r="CU78" i="103"/>
  <c r="P79" i="22" s="1"/>
  <c r="CT78" i="103"/>
  <c r="O79" i="22" s="1"/>
  <c r="AV78" i="103"/>
  <c r="AU78" i="103"/>
  <c r="CU77" i="103"/>
  <c r="P78" i="22" s="1"/>
  <c r="CT77" i="103"/>
  <c r="O78" i="22" s="1"/>
  <c r="AV77" i="103"/>
  <c r="AU77" i="103"/>
  <c r="CU76" i="103"/>
  <c r="P77" i="22" s="1"/>
  <c r="CT76" i="103"/>
  <c r="O77" i="22" s="1"/>
  <c r="AV76" i="103"/>
  <c r="AU76" i="103"/>
  <c r="CU75" i="103"/>
  <c r="P76" i="22" s="1"/>
  <c r="CT75" i="103"/>
  <c r="O76" i="22" s="1"/>
  <c r="AV75" i="103"/>
  <c r="AU75" i="103"/>
  <c r="CU74" i="103"/>
  <c r="P75" i="22" s="1"/>
  <c r="CT74" i="103"/>
  <c r="O75" i="22" s="1"/>
  <c r="AV74" i="103"/>
  <c r="AU74" i="103"/>
  <c r="CU73" i="103"/>
  <c r="P74" i="22" s="1"/>
  <c r="CT73" i="103"/>
  <c r="O74" i="22" s="1"/>
  <c r="AV73" i="103"/>
  <c r="AU73" i="103"/>
  <c r="CU72" i="103"/>
  <c r="P73" i="22" s="1"/>
  <c r="CT72" i="103"/>
  <c r="O73" i="22" s="1"/>
  <c r="AV72" i="103"/>
  <c r="AU72" i="103"/>
  <c r="CU71" i="103"/>
  <c r="P72" i="22" s="1"/>
  <c r="CT71" i="103"/>
  <c r="O72" i="22" s="1"/>
  <c r="AV71" i="103"/>
  <c r="AU71" i="103"/>
  <c r="CU70" i="103"/>
  <c r="P71" i="22" s="1"/>
  <c r="CT70" i="103"/>
  <c r="O71" i="22" s="1"/>
  <c r="AV70" i="103"/>
  <c r="AU70" i="103"/>
  <c r="CU69" i="103"/>
  <c r="P70" i="22" s="1"/>
  <c r="CT69" i="103"/>
  <c r="O70" i="22" s="1"/>
  <c r="AV69" i="103"/>
  <c r="AU69" i="103"/>
  <c r="CU68" i="103"/>
  <c r="P69" i="22" s="1"/>
  <c r="CT68" i="103"/>
  <c r="O69" i="22" s="1"/>
  <c r="AV68" i="103"/>
  <c r="AU68" i="103"/>
  <c r="CU67" i="103"/>
  <c r="P68" i="22" s="1"/>
  <c r="CT67" i="103"/>
  <c r="O68" i="22" s="1"/>
  <c r="AV67" i="103"/>
  <c r="AU67" i="103"/>
  <c r="CU66" i="103"/>
  <c r="P67" i="22" s="1"/>
  <c r="CT66" i="103"/>
  <c r="O67" i="22" s="1"/>
  <c r="AV66" i="103"/>
  <c r="AU66" i="103"/>
  <c r="CU65" i="103"/>
  <c r="P66" i="22" s="1"/>
  <c r="CT65" i="103"/>
  <c r="O66" i="22" s="1"/>
  <c r="AV65" i="103"/>
  <c r="AU65" i="103"/>
  <c r="H65" i="103"/>
  <c r="F65" i="103" s="1"/>
  <c r="CU64" i="103"/>
  <c r="P65" i="22" s="1"/>
  <c r="CT64" i="103"/>
  <c r="O65" i="22" s="1"/>
  <c r="AV64" i="103"/>
  <c r="AU64" i="103"/>
  <c r="CU63" i="103"/>
  <c r="P64" i="22" s="1"/>
  <c r="CT63" i="103"/>
  <c r="O64" i="22" s="1"/>
  <c r="AV63" i="103"/>
  <c r="AU63" i="103"/>
  <c r="CU62" i="103"/>
  <c r="P63" i="22" s="1"/>
  <c r="CT62" i="103"/>
  <c r="O63" i="22" s="1"/>
  <c r="AV62" i="103"/>
  <c r="AU62" i="103"/>
  <c r="CU61" i="103"/>
  <c r="P62" i="22" s="1"/>
  <c r="CT61" i="103"/>
  <c r="O62" i="22" s="1"/>
  <c r="AV61" i="103"/>
  <c r="AU61" i="103"/>
  <c r="CU60" i="103"/>
  <c r="P61" i="22" s="1"/>
  <c r="CT60" i="103"/>
  <c r="O61" i="22" s="1"/>
  <c r="AV60" i="103"/>
  <c r="AU60" i="103"/>
  <c r="CU59" i="103"/>
  <c r="P60" i="22" s="1"/>
  <c r="CT59" i="103"/>
  <c r="O60" i="22" s="1"/>
  <c r="AV59" i="103"/>
  <c r="AU59" i="103"/>
  <c r="CU58" i="103"/>
  <c r="P59" i="22" s="1"/>
  <c r="CT58" i="103"/>
  <c r="O59" i="22" s="1"/>
  <c r="AV58" i="103"/>
  <c r="AU58" i="103"/>
  <c r="CU57" i="103"/>
  <c r="P58" i="22" s="1"/>
  <c r="CT57" i="103"/>
  <c r="O58" i="22" s="1"/>
  <c r="AV57" i="103"/>
  <c r="AU57" i="103"/>
  <c r="CU56" i="103"/>
  <c r="P57" i="22" s="1"/>
  <c r="CT56" i="103"/>
  <c r="O57" i="22" s="1"/>
  <c r="AV56" i="103"/>
  <c r="AU56" i="103"/>
  <c r="CU55" i="103"/>
  <c r="P56" i="22" s="1"/>
  <c r="CT55" i="103"/>
  <c r="O56" i="22" s="1"/>
  <c r="AV55" i="103"/>
  <c r="AU55" i="103"/>
  <c r="CU54" i="103"/>
  <c r="P55" i="22" s="1"/>
  <c r="CT54" i="103"/>
  <c r="O55" i="22" s="1"/>
  <c r="AV54" i="103"/>
  <c r="AU54" i="103"/>
  <c r="CU53" i="103"/>
  <c r="P54" i="22" s="1"/>
  <c r="CT53" i="103"/>
  <c r="O54" i="22" s="1"/>
  <c r="AV53" i="103"/>
  <c r="AU53" i="103"/>
  <c r="CU52" i="103"/>
  <c r="P53" i="22" s="1"/>
  <c r="CT52" i="103"/>
  <c r="O53" i="22" s="1"/>
  <c r="AV52" i="103"/>
  <c r="AU52" i="103"/>
  <c r="CU51" i="103"/>
  <c r="P52" i="22" s="1"/>
  <c r="CT51" i="103"/>
  <c r="O52" i="22" s="1"/>
  <c r="AV51" i="103"/>
  <c r="AU51" i="103"/>
  <c r="CU50" i="103"/>
  <c r="P51" i="22" s="1"/>
  <c r="CT50" i="103"/>
  <c r="O51" i="22" s="1"/>
  <c r="AV50" i="103"/>
  <c r="AU50" i="103"/>
  <c r="CU49" i="103"/>
  <c r="P50" i="22" s="1"/>
  <c r="CT49" i="103"/>
  <c r="O50" i="22" s="1"/>
  <c r="AV49" i="103"/>
  <c r="AU49" i="103"/>
  <c r="CU48" i="103"/>
  <c r="P49" i="22" s="1"/>
  <c r="CT48" i="103"/>
  <c r="O49" i="22" s="1"/>
  <c r="AV48" i="103"/>
  <c r="AU48" i="103"/>
  <c r="CU47" i="103"/>
  <c r="P48" i="22" s="1"/>
  <c r="CT47" i="103"/>
  <c r="O48" i="22" s="1"/>
  <c r="AV47" i="103"/>
  <c r="AU47" i="103"/>
  <c r="CU46" i="103"/>
  <c r="P47" i="22" s="1"/>
  <c r="CT46" i="103"/>
  <c r="O47" i="22" s="1"/>
  <c r="AV46" i="103"/>
  <c r="AU46" i="103"/>
  <c r="CU45" i="103"/>
  <c r="P46" i="22" s="1"/>
  <c r="CT45" i="103"/>
  <c r="O46" i="22" s="1"/>
  <c r="AV45" i="103"/>
  <c r="AU45" i="103"/>
  <c r="CU44" i="103"/>
  <c r="P45" i="22" s="1"/>
  <c r="CT44" i="103"/>
  <c r="O45" i="22" s="1"/>
  <c r="AV44" i="103"/>
  <c r="AU44" i="103"/>
  <c r="CU43" i="103"/>
  <c r="P44" i="22" s="1"/>
  <c r="CT43" i="103"/>
  <c r="O44" i="22" s="1"/>
  <c r="AV43" i="103"/>
  <c r="AU43" i="103"/>
  <c r="CU42" i="103"/>
  <c r="P43" i="22" s="1"/>
  <c r="CT42" i="103"/>
  <c r="O43" i="22" s="1"/>
  <c r="AV42" i="103"/>
  <c r="AU42" i="103"/>
  <c r="CU41" i="103"/>
  <c r="P42" i="22" s="1"/>
  <c r="CT41" i="103"/>
  <c r="O42" i="22" s="1"/>
  <c r="AV41" i="103"/>
  <c r="AU41" i="103"/>
  <c r="CU40" i="103"/>
  <c r="P41" i="22" s="1"/>
  <c r="CT40" i="103"/>
  <c r="O41" i="22" s="1"/>
  <c r="AV40" i="103"/>
  <c r="AU40" i="103"/>
  <c r="CU39" i="103"/>
  <c r="P40" i="22" s="1"/>
  <c r="CT39" i="103"/>
  <c r="O40" i="22" s="1"/>
  <c r="AV39" i="103"/>
  <c r="AU39" i="103"/>
  <c r="CU38" i="103"/>
  <c r="P39" i="22" s="1"/>
  <c r="CT38" i="103"/>
  <c r="O39" i="22" s="1"/>
  <c r="AV38" i="103"/>
  <c r="AU38" i="103"/>
  <c r="CU37" i="103"/>
  <c r="P38" i="22" s="1"/>
  <c r="CT37" i="103"/>
  <c r="O38" i="22" s="1"/>
  <c r="AV37" i="103"/>
  <c r="AU37" i="103"/>
  <c r="CU36" i="103"/>
  <c r="P37" i="22" s="1"/>
  <c r="CT36" i="103"/>
  <c r="O37" i="22" s="1"/>
  <c r="AV36" i="103"/>
  <c r="AU36" i="103"/>
  <c r="CU35" i="103"/>
  <c r="P36" i="22" s="1"/>
  <c r="CT35" i="103"/>
  <c r="O36" i="22" s="1"/>
  <c r="AV35" i="103"/>
  <c r="AU35" i="103"/>
  <c r="CU34" i="103"/>
  <c r="P35" i="22" s="1"/>
  <c r="CT34" i="103"/>
  <c r="O35" i="22" s="1"/>
  <c r="AV34" i="103"/>
  <c r="AU34" i="103"/>
  <c r="CU33" i="103"/>
  <c r="P34" i="22" s="1"/>
  <c r="CT33" i="103"/>
  <c r="O34" i="22" s="1"/>
  <c r="AV33" i="103"/>
  <c r="AU33" i="103"/>
  <c r="CU32" i="103"/>
  <c r="P33" i="22" s="1"/>
  <c r="CT32" i="103"/>
  <c r="O33" i="22" s="1"/>
  <c r="AV32" i="103"/>
  <c r="AU32" i="103"/>
  <c r="CU31" i="103"/>
  <c r="P32" i="22" s="1"/>
  <c r="CT31" i="103"/>
  <c r="O32" i="22" s="1"/>
  <c r="AV31" i="103"/>
  <c r="AU31" i="103"/>
  <c r="CU30" i="103"/>
  <c r="P31" i="22" s="1"/>
  <c r="CT30" i="103"/>
  <c r="O31" i="22" s="1"/>
  <c r="AV30" i="103"/>
  <c r="AU30" i="103"/>
  <c r="CU29" i="103"/>
  <c r="P30" i="22" s="1"/>
  <c r="CT29" i="103"/>
  <c r="O30" i="22" s="1"/>
  <c r="AV29" i="103"/>
  <c r="AU29" i="103"/>
  <c r="CU28" i="103"/>
  <c r="P29" i="22" s="1"/>
  <c r="CT28" i="103"/>
  <c r="O29" i="22" s="1"/>
  <c r="AV28" i="103"/>
  <c r="AU28" i="103"/>
  <c r="CU27" i="103"/>
  <c r="P28" i="22" s="1"/>
  <c r="CT27" i="103"/>
  <c r="O28" i="22" s="1"/>
  <c r="AV27" i="103"/>
  <c r="AU27" i="103"/>
  <c r="CU26" i="103"/>
  <c r="P27" i="22" s="1"/>
  <c r="CT26" i="103"/>
  <c r="O27" i="22" s="1"/>
  <c r="AV26" i="103"/>
  <c r="AU26" i="103"/>
  <c r="CU25" i="103"/>
  <c r="P26" i="22" s="1"/>
  <c r="CT25" i="103"/>
  <c r="O26" i="22" s="1"/>
  <c r="AV25" i="103"/>
  <c r="AU25" i="103"/>
  <c r="CU24" i="103"/>
  <c r="P25" i="22" s="1"/>
  <c r="CT24" i="103"/>
  <c r="O25" i="22" s="1"/>
  <c r="AV24" i="103"/>
  <c r="AU24" i="103"/>
  <c r="CU23" i="103"/>
  <c r="P24" i="22" s="1"/>
  <c r="CT23" i="103"/>
  <c r="O24" i="22" s="1"/>
  <c r="AV23" i="103"/>
  <c r="AU23" i="103"/>
  <c r="CU22" i="103"/>
  <c r="P23" i="22" s="1"/>
  <c r="CT22" i="103"/>
  <c r="O23" i="22" s="1"/>
  <c r="AV22" i="103"/>
  <c r="AU22" i="103"/>
  <c r="CU21" i="103"/>
  <c r="P22" i="22" s="1"/>
  <c r="CT21" i="103"/>
  <c r="O22" i="22" s="1"/>
  <c r="AV21" i="103"/>
  <c r="AU21" i="103"/>
  <c r="CU20" i="103"/>
  <c r="P21" i="22" s="1"/>
  <c r="CT20" i="103"/>
  <c r="O21" i="22" s="1"/>
  <c r="AV20" i="103"/>
  <c r="AU20" i="103"/>
  <c r="CU19" i="103"/>
  <c r="P20" i="22" s="1"/>
  <c r="CT19" i="103"/>
  <c r="O20" i="22" s="1"/>
  <c r="AV19" i="103"/>
  <c r="AU19" i="103"/>
  <c r="CU18" i="103"/>
  <c r="P19" i="22" s="1"/>
  <c r="CT18" i="103"/>
  <c r="O19" i="22" s="1"/>
  <c r="AV18" i="103"/>
  <c r="AU18" i="103"/>
  <c r="CU17" i="103"/>
  <c r="P18" i="22" s="1"/>
  <c r="CT17" i="103"/>
  <c r="O18" i="22" s="1"/>
  <c r="AV17" i="103"/>
  <c r="AU17" i="103"/>
  <c r="CU16" i="103"/>
  <c r="P17" i="22" s="1"/>
  <c r="CT16" i="103"/>
  <c r="O17" i="22" s="1"/>
  <c r="AV16" i="103"/>
  <c r="AU16" i="103"/>
  <c r="CU15" i="103"/>
  <c r="P16" i="22" s="1"/>
  <c r="CT15" i="103"/>
  <c r="O16" i="22" s="1"/>
  <c r="AV15" i="103"/>
  <c r="AU15" i="103"/>
  <c r="CU14" i="103"/>
  <c r="P15" i="22" s="1"/>
  <c r="CT14" i="103"/>
  <c r="O15" i="22" s="1"/>
  <c r="AV14" i="103"/>
  <c r="AU14" i="103"/>
  <c r="CU13" i="103"/>
  <c r="P14" i="22" s="1"/>
  <c r="CT13" i="103"/>
  <c r="O14" i="22" s="1"/>
  <c r="AV13" i="103"/>
  <c r="AU13" i="103"/>
  <c r="CU12" i="103"/>
  <c r="P13" i="22" s="1"/>
  <c r="CT12" i="103"/>
  <c r="O13" i="22" s="1"/>
  <c r="AV12" i="103"/>
  <c r="AU12" i="103"/>
  <c r="CU11" i="103"/>
  <c r="CT11" i="103"/>
  <c r="O12" i="22" s="1"/>
  <c r="AV11" i="103"/>
  <c r="AU11" i="103"/>
  <c r="AR11" i="103"/>
  <c r="AP11" i="103"/>
  <c r="AO11" i="103"/>
  <c r="J5" i="103"/>
  <c r="CG402" i="7"/>
  <c r="CF402" i="7"/>
  <c r="CE402" i="7"/>
  <c r="CD402" i="7"/>
  <c r="CC402" i="7"/>
  <c r="CB402" i="7"/>
  <c r="CA402" i="7"/>
  <c r="BZ402" i="7"/>
  <c r="BY402" i="7"/>
  <c r="BX402" i="7"/>
  <c r="BW402" i="7"/>
  <c r="BV402" i="7"/>
  <c r="BU402" i="7"/>
  <c r="BT402" i="7"/>
  <c r="BS402" i="7"/>
  <c r="BR402" i="7"/>
  <c r="BQ402" i="7"/>
  <c r="BP402" i="7"/>
  <c r="BO402" i="7"/>
  <c r="BN402" i="7"/>
  <c r="BM402" i="7"/>
  <c r="BL402" i="7"/>
  <c r="BK402" i="7"/>
  <c r="BJ402" i="7"/>
  <c r="BH402" i="7"/>
  <c r="BG402" i="7"/>
  <c r="BF402" i="7"/>
  <c r="BE402" i="7"/>
  <c r="BD402" i="7"/>
  <c r="BC402" i="7"/>
  <c r="BB402" i="7"/>
  <c r="BA402" i="7"/>
  <c r="AZ402" i="7"/>
  <c r="AY402" i="7"/>
  <c r="AX402" i="7"/>
  <c r="AW402" i="7"/>
  <c r="AV402" i="7"/>
  <c r="AU402" i="7"/>
  <c r="AT402" i="7"/>
  <c r="AS402" i="7"/>
  <c r="AR402" i="7"/>
  <c r="AQ402" i="7"/>
  <c r="AP402" i="7"/>
  <c r="AO402" i="7"/>
  <c r="AN402" i="7"/>
  <c r="AM402" i="7"/>
  <c r="AL402" i="7"/>
  <c r="AK402" i="7"/>
  <c r="AJ402" i="7"/>
  <c r="AI402" i="7"/>
  <c r="AH402" i="7"/>
  <c r="AG402" i="7"/>
  <c r="AF402" i="7"/>
  <c r="AE402" i="7"/>
  <c r="AD402" i="7"/>
  <c r="AC402" i="7"/>
  <c r="AB402" i="7"/>
  <c r="AA402" i="7"/>
  <c r="Z402" i="7"/>
  <c r="Y402" i="7"/>
  <c r="X402" i="7"/>
  <c r="V402" i="7"/>
  <c r="U402" i="7"/>
  <c r="T402" i="7"/>
  <c r="S402" i="7"/>
  <c r="R402" i="7"/>
  <c r="Q402" i="7"/>
  <c r="P402" i="7"/>
  <c r="O402" i="7"/>
  <c r="N402" i="7"/>
  <c r="M402" i="7"/>
  <c r="L402" i="7"/>
  <c r="K402" i="7"/>
  <c r="J402" i="7"/>
  <c r="I402" i="7"/>
  <c r="H402" i="7"/>
  <c r="G402" i="7"/>
  <c r="F402" i="7"/>
  <c r="E402" i="7"/>
  <c r="D402" i="7"/>
  <c r="C402" i="7"/>
  <c r="B402" i="7"/>
  <c r="CG401" i="7"/>
  <c r="CF401" i="7"/>
  <c r="CE401" i="7"/>
  <c r="CD401" i="7"/>
  <c r="CC401" i="7"/>
  <c r="CB401" i="7"/>
  <c r="CA401" i="7"/>
  <c r="BZ401" i="7"/>
  <c r="BY401" i="7"/>
  <c r="BX401" i="7"/>
  <c r="BW401" i="7"/>
  <c r="BV401" i="7"/>
  <c r="BU401" i="7"/>
  <c r="BT401" i="7"/>
  <c r="BS401" i="7"/>
  <c r="BR401" i="7"/>
  <c r="BQ401" i="7"/>
  <c r="BP401" i="7"/>
  <c r="BO401" i="7"/>
  <c r="BN401" i="7"/>
  <c r="BM401" i="7"/>
  <c r="BL401" i="7"/>
  <c r="BK401" i="7"/>
  <c r="BJ401" i="7"/>
  <c r="BH401" i="7"/>
  <c r="BG401" i="7"/>
  <c r="BF401" i="7"/>
  <c r="BD401" i="7"/>
  <c r="BC401" i="7"/>
  <c r="BB401" i="7"/>
  <c r="BA401" i="7"/>
  <c r="AZ401" i="7"/>
  <c r="AY401" i="7"/>
  <c r="AX401" i="7"/>
  <c r="AW401" i="7"/>
  <c r="AV401" i="7"/>
  <c r="AU401" i="7"/>
  <c r="AT401" i="7"/>
  <c r="AS401" i="7"/>
  <c r="AR401" i="7"/>
  <c r="AQ401" i="7"/>
  <c r="AP401" i="7"/>
  <c r="AO401" i="7"/>
  <c r="AN401" i="7"/>
  <c r="AM401" i="7"/>
  <c r="AL401" i="7"/>
  <c r="AK401" i="7"/>
  <c r="AJ401" i="7"/>
  <c r="AI401" i="7"/>
  <c r="AH401" i="7"/>
  <c r="AG401" i="7"/>
  <c r="AF401" i="7"/>
  <c r="AE401" i="7"/>
  <c r="AD401" i="7"/>
  <c r="AC401" i="7"/>
  <c r="AB401" i="7"/>
  <c r="AA401" i="7"/>
  <c r="Z401" i="7"/>
  <c r="Y401" i="7"/>
  <c r="X401" i="7"/>
  <c r="W401" i="7"/>
  <c r="V401" i="7"/>
  <c r="U401" i="7"/>
  <c r="T401" i="7"/>
  <c r="S401" i="7"/>
  <c r="R401" i="7"/>
  <c r="Q401" i="7"/>
  <c r="P401" i="7"/>
  <c r="O401" i="7"/>
  <c r="N401" i="7"/>
  <c r="M401" i="7"/>
  <c r="L401" i="7"/>
  <c r="K401" i="7"/>
  <c r="J401" i="7"/>
  <c r="I401" i="7"/>
  <c r="H401" i="7"/>
  <c r="G401" i="7"/>
  <c r="F401" i="7"/>
  <c r="E401" i="7"/>
  <c r="D401" i="7"/>
  <c r="C401" i="7"/>
  <c r="B401" i="7"/>
  <c r="CG400" i="7"/>
  <c r="CF400" i="7"/>
  <c r="CE400" i="7"/>
  <c r="CD400" i="7"/>
  <c r="CC400" i="7"/>
  <c r="CB400" i="7"/>
  <c r="CA400" i="7"/>
  <c r="BZ400" i="7"/>
  <c r="BY400" i="7"/>
  <c r="BX400" i="7"/>
  <c r="BW400" i="7"/>
  <c r="BV400" i="7"/>
  <c r="BU400" i="7"/>
  <c r="BT400" i="7"/>
  <c r="BS400" i="7"/>
  <c r="BR400" i="7"/>
  <c r="BQ400" i="7"/>
  <c r="BP400" i="7"/>
  <c r="BO400" i="7"/>
  <c r="BN400" i="7"/>
  <c r="BM400" i="7"/>
  <c r="BL400" i="7"/>
  <c r="BK400" i="7"/>
  <c r="BJ400" i="7"/>
  <c r="BH400" i="7"/>
  <c r="BG400" i="7"/>
  <c r="BF400" i="7"/>
  <c r="BE400" i="7"/>
  <c r="BD400" i="7"/>
  <c r="BC400" i="7"/>
  <c r="BB400" i="7"/>
  <c r="BA400" i="7"/>
  <c r="AZ400" i="7"/>
  <c r="AY400" i="7"/>
  <c r="AX400" i="7"/>
  <c r="AW400" i="7"/>
  <c r="AV400" i="7"/>
  <c r="AU400" i="7"/>
  <c r="AT400" i="7"/>
  <c r="AS400" i="7"/>
  <c r="AR400" i="7"/>
  <c r="AQ400" i="7"/>
  <c r="AP400" i="7"/>
  <c r="AO400" i="7"/>
  <c r="AN400" i="7"/>
  <c r="AM400" i="7"/>
  <c r="AL400" i="7"/>
  <c r="AK400" i="7"/>
  <c r="AJ400" i="7"/>
  <c r="AI400" i="7"/>
  <c r="AH400" i="7"/>
  <c r="AG400" i="7"/>
  <c r="AF400" i="7"/>
  <c r="AE400" i="7"/>
  <c r="AD400" i="7"/>
  <c r="AC400" i="7"/>
  <c r="AB400" i="7"/>
  <c r="AA400" i="7"/>
  <c r="Z400" i="7"/>
  <c r="Y400" i="7"/>
  <c r="X400" i="7"/>
  <c r="W400" i="7"/>
  <c r="V400" i="7"/>
  <c r="U400" i="7"/>
  <c r="T400" i="7"/>
  <c r="S400" i="7"/>
  <c r="R400" i="7"/>
  <c r="Q400" i="7"/>
  <c r="P400" i="7"/>
  <c r="O400" i="7"/>
  <c r="N400" i="7"/>
  <c r="M400" i="7"/>
  <c r="L400" i="7"/>
  <c r="K400" i="7"/>
  <c r="J400" i="7"/>
  <c r="I400" i="7"/>
  <c r="H400" i="7"/>
  <c r="G400" i="7"/>
  <c r="F400" i="7"/>
  <c r="E400" i="7"/>
  <c r="D400" i="7"/>
  <c r="C400" i="7"/>
  <c r="B400" i="7"/>
  <c r="CG399" i="7"/>
  <c r="CF399" i="7"/>
  <c r="CE399" i="7"/>
  <c r="CD399" i="7"/>
  <c r="CC399" i="7"/>
  <c r="CB399" i="7"/>
  <c r="CA399" i="7"/>
  <c r="BZ399" i="7"/>
  <c r="BY399" i="7"/>
  <c r="BX399" i="7"/>
  <c r="BW399" i="7"/>
  <c r="BV399" i="7"/>
  <c r="BU399" i="7"/>
  <c r="BT399" i="7"/>
  <c r="BS399" i="7"/>
  <c r="BR399" i="7"/>
  <c r="BQ399" i="7"/>
  <c r="BP399" i="7"/>
  <c r="BO399" i="7"/>
  <c r="BN399" i="7"/>
  <c r="BM399" i="7"/>
  <c r="BL399" i="7"/>
  <c r="BK399" i="7"/>
  <c r="BJ399" i="7"/>
  <c r="BH399" i="7"/>
  <c r="BG399" i="7"/>
  <c r="BF399" i="7"/>
  <c r="BE399" i="7"/>
  <c r="BD399" i="7"/>
  <c r="BC399" i="7"/>
  <c r="BB399" i="7"/>
  <c r="BA399" i="7"/>
  <c r="AZ399" i="7"/>
  <c r="AY399" i="7"/>
  <c r="AX399" i="7"/>
  <c r="AW399" i="7"/>
  <c r="AV399" i="7"/>
  <c r="AU399" i="7"/>
  <c r="AT399" i="7"/>
  <c r="AS399" i="7"/>
  <c r="AR399" i="7"/>
  <c r="AQ399" i="7"/>
  <c r="AP399" i="7"/>
  <c r="AO399" i="7"/>
  <c r="AN399" i="7"/>
  <c r="AM399" i="7"/>
  <c r="AL399" i="7"/>
  <c r="AK399" i="7"/>
  <c r="AJ399" i="7"/>
  <c r="AI399" i="7"/>
  <c r="AH399" i="7"/>
  <c r="AG399" i="7"/>
  <c r="AF399" i="7"/>
  <c r="AE399" i="7"/>
  <c r="AD399" i="7"/>
  <c r="AC399" i="7"/>
  <c r="AB399" i="7"/>
  <c r="AA399" i="7"/>
  <c r="Z399" i="7"/>
  <c r="Y399" i="7"/>
  <c r="X399" i="7"/>
  <c r="W399" i="7"/>
  <c r="V399" i="7"/>
  <c r="U399" i="7"/>
  <c r="T399" i="7"/>
  <c r="S399" i="7"/>
  <c r="R399" i="7"/>
  <c r="Q399" i="7"/>
  <c r="P399" i="7"/>
  <c r="O399" i="7"/>
  <c r="N399" i="7"/>
  <c r="M399" i="7"/>
  <c r="L399" i="7"/>
  <c r="K399" i="7"/>
  <c r="J399" i="7"/>
  <c r="I399" i="7"/>
  <c r="H399" i="7"/>
  <c r="G399" i="7"/>
  <c r="F399" i="7"/>
  <c r="E399" i="7"/>
  <c r="D399" i="7"/>
  <c r="C399" i="7"/>
  <c r="B399" i="7"/>
  <c r="CG398" i="7"/>
  <c r="CF398" i="7"/>
  <c r="CE398" i="7"/>
  <c r="CD398" i="7"/>
  <c r="CC398" i="7"/>
  <c r="CB398" i="7"/>
  <c r="CA398" i="7"/>
  <c r="BZ398" i="7"/>
  <c r="BY398" i="7"/>
  <c r="BX398" i="7"/>
  <c r="BW398" i="7"/>
  <c r="BV398" i="7"/>
  <c r="BU398" i="7"/>
  <c r="BT398" i="7"/>
  <c r="BS398" i="7"/>
  <c r="BR398" i="7"/>
  <c r="BQ398" i="7"/>
  <c r="BP398" i="7"/>
  <c r="BO398" i="7"/>
  <c r="BN398" i="7"/>
  <c r="BM398" i="7"/>
  <c r="BL398" i="7"/>
  <c r="BK398" i="7"/>
  <c r="BJ398" i="7"/>
  <c r="BH398" i="7"/>
  <c r="BG398" i="7"/>
  <c r="BF398" i="7"/>
  <c r="BE398" i="7"/>
  <c r="BD398" i="7"/>
  <c r="BC398" i="7"/>
  <c r="BB398" i="7"/>
  <c r="BA398" i="7"/>
  <c r="AZ398" i="7"/>
  <c r="AY398" i="7"/>
  <c r="AX398" i="7"/>
  <c r="AW398" i="7"/>
  <c r="AV398" i="7"/>
  <c r="AU398" i="7"/>
  <c r="AT398" i="7"/>
  <c r="AS398" i="7"/>
  <c r="AR398" i="7"/>
  <c r="AQ398" i="7"/>
  <c r="AP398" i="7"/>
  <c r="AO398" i="7"/>
  <c r="AN398" i="7"/>
  <c r="AM398" i="7"/>
  <c r="AL398" i="7"/>
  <c r="AK398" i="7"/>
  <c r="AJ398" i="7"/>
  <c r="AI398" i="7"/>
  <c r="AH398" i="7"/>
  <c r="AG398" i="7"/>
  <c r="AF398" i="7"/>
  <c r="AE398" i="7"/>
  <c r="AD398" i="7"/>
  <c r="AC398" i="7"/>
  <c r="AB398" i="7"/>
  <c r="AA398" i="7"/>
  <c r="Z398" i="7"/>
  <c r="Y398" i="7"/>
  <c r="X398" i="7"/>
  <c r="W398" i="7"/>
  <c r="V398" i="7"/>
  <c r="U398" i="7"/>
  <c r="T398" i="7"/>
  <c r="S398" i="7"/>
  <c r="R398" i="7"/>
  <c r="Q398" i="7"/>
  <c r="P398" i="7"/>
  <c r="O398" i="7"/>
  <c r="N398" i="7"/>
  <c r="M398" i="7"/>
  <c r="L398" i="7"/>
  <c r="K398" i="7"/>
  <c r="J398" i="7"/>
  <c r="I398" i="7"/>
  <c r="H398" i="7"/>
  <c r="G398" i="7"/>
  <c r="F398" i="7"/>
  <c r="E398" i="7"/>
  <c r="D398" i="7"/>
  <c r="C398" i="7"/>
  <c r="B398" i="7"/>
  <c r="CG397" i="7"/>
  <c r="CF397" i="7"/>
  <c r="CE397" i="7"/>
  <c r="CD397" i="7"/>
  <c r="CC397" i="7"/>
  <c r="CB397" i="7"/>
  <c r="CA397" i="7"/>
  <c r="BZ397" i="7"/>
  <c r="BY397" i="7"/>
  <c r="BX397" i="7"/>
  <c r="BW397" i="7"/>
  <c r="BV397" i="7"/>
  <c r="BU397" i="7"/>
  <c r="BT397" i="7"/>
  <c r="BS397" i="7"/>
  <c r="BR397" i="7"/>
  <c r="BQ397" i="7"/>
  <c r="BP397" i="7"/>
  <c r="BO397" i="7"/>
  <c r="BN397" i="7"/>
  <c r="BM397" i="7"/>
  <c r="BL397" i="7"/>
  <c r="BK397" i="7"/>
  <c r="BJ397" i="7"/>
  <c r="BH397" i="7"/>
  <c r="BG397" i="7"/>
  <c r="BF397" i="7"/>
  <c r="BE397" i="7"/>
  <c r="BD397" i="7"/>
  <c r="BC397" i="7"/>
  <c r="BB397" i="7"/>
  <c r="BA397" i="7"/>
  <c r="AZ397" i="7"/>
  <c r="AY397" i="7"/>
  <c r="AX397" i="7"/>
  <c r="AW397" i="7"/>
  <c r="AV397" i="7"/>
  <c r="AU397" i="7"/>
  <c r="AT397" i="7"/>
  <c r="AS397" i="7"/>
  <c r="AR397" i="7"/>
  <c r="AQ397" i="7"/>
  <c r="AP397" i="7"/>
  <c r="AO397" i="7"/>
  <c r="AN397" i="7"/>
  <c r="AM397" i="7"/>
  <c r="AL397" i="7"/>
  <c r="AK397" i="7"/>
  <c r="AJ397" i="7"/>
  <c r="AI397" i="7"/>
  <c r="AH397" i="7"/>
  <c r="AG397" i="7"/>
  <c r="AF397" i="7"/>
  <c r="AE397" i="7"/>
  <c r="AD397" i="7"/>
  <c r="AC397" i="7"/>
  <c r="AB397" i="7"/>
  <c r="AA397" i="7"/>
  <c r="Z397" i="7"/>
  <c r="Y397" i="7"/>
  <c r="X397" i="7"/>
  <c r="W397" i="7"/>
  <c r="V397" i="7"/>
  <c r="U397" i="7"/>
  <c r="T397" i="7"/>
  <c r="S397" i="7"/>
  <c r="R397" i="7"/>
  <c r="Q397" i="7"/>
  <c r="P397" i="7"/>
  <c r="O397" i="7"/>
  <c r="N397" i="7"/>
  <c r="M397" i="7"/>
  <c r="L397" i="7"/>
  <c r="K397" i="7"/>
  <c r="J397" i="7"/>
  <c r="I397" i="7"/>
  <c r="H397" i="7"/>
  <c r="G397" i="7"/>
  <c r="F397" i="7"/>
  <c r="E397" i="7"/>
  <c r="D397" i="7"/>
  <c r="C397" i="7"/>
  <c r="B397" i="7"/>
  <c r="CG396" i="7"/>
  <c r="CF396" i="7"/>
  <c r="CE396" i="7"/>
  <c r="CD396" i="7"/>
  <c r="CC396" i="7"/>
  <c r="CB396" i="7"/>
  <c r="CA396" i="7"/>
  <c r="BZ396" i="7"/>
  <c r="BY396" i="7"/>
  <c r="BX396" i="7"/>
  <c r="BW396" i="7"/>
  <c r="BV396" i="7"/>
  <c r="BU396" i="7"/>
  <c r="BT396" i="7"/>
  <c r="BS396" i="7"/>
  <c r="BR396" i="7"/>
  <c r="BQ396" i="7"/>
  <c r="BP396" i="7"/>
  <c r="BO396" i="7"/>
  <c r="BN396" i="7"/>
  <c r="BM396" i="7"/>
  <c r="BL396" i="7"/>
  <c r="BK396" i="7"/>
  <c r="BJ396" i="7"/>
  <c r="BG396" i="7"/>
  <c r="BF396" i="7"/>
  <c r="BE396" i="7"/>
  <c r="BD396" i="7"/>
  <c r="BC396" i="7"/>
  <c r="BB396" i="7"/>
  <c r="BA396" i="7"/>
  <c r="AZ396" i="7"/>
  <c r="AY396" i="7"/>
  <c r="AX396" i="7"/>
  <c r="AW396" i="7"/>
  <c r="AV396" i="7"/>
  <c r="AU396" i="7"/>
  <c r="AT396" i="7"/>
  <c r="AS396" i="7"/>
  <c r="AR396" i="7"/>
  <c r="AQ396" i="7"/>
  <c r="AP396" i="7"/>
  <c r="AO396" i="7"/>
  <c r="AN396" i="7"/>
  <c r="AM396" i="7"/>
  <c r="AL396" i="7"/>
  <c r="AK396" i="7"/>
  <c r="AJ396" i="7"/>
  <c r="AI396" i="7"/>
  <c r="AH396" i="7"/>
  <c r="AG396" i="7"/>
  <c r="AF396" i="7"/>
  <c r="AE396" i="7"/>
  <c r="AD396" i="7"/>
  <c r="AC396" i="7"/>
  <c r="AB396" i="7"/>
  <c r="AA396" i="7"/>
  <c r="Z396" i="7"/>
  <c r="Y396" i="7"/>
  <c r="X396" i="7"/>
  <c r="W396" i="7"/>
  <c r="V396" i="7"/>
  <c r="U396" i="7"/>
  <c r="T396" i="7"/>
  <c r="S396" i="7"/>
  <c r="R396" i="7"/>
  <c r="Q396" i="7"/>
  <c r="P396" i="7"/>
  <c r="O396" i="7"/>
  <c r="N396" i="7"/>
  <c r="M396" i="7"/>
  <c r="L396" i="7"/>
  <c r="K396" i="7"/>
  <c r="J396" i="7"/>
  <c r="I396" i="7"/>
  <c r="H396" i="7"/>
  <c r="G396" i="7"/>
  <c r="F396" i="7"/>
  <c r="E396" i="7"/>
  <c r="D396" i="7"/>
  <c r="C396" i="7"/>
  <c r="B396" i="7"/>
  <c r="CG395" i="7"/>
  <c r="CF395" i="7"/>
  <c r="CE395" i="7"/>
  <c r="CD395" i="7"/>
  <c r="CC395" i="7"/>
  <c r="CB395" i="7"/>
  <c r="CA395" i="7"/>
  <c r="BZ395" i="7"/>
  <c r="BY395" i="7"/>
  <c r="BX395" i="7"/>
  <c r="BW395" i="7"/>
  <c r="BV395" i="7"/>
  <c r="BU395" i="7"/>
  <c r="BT395" i="7"/>
  <c r="BS395" i="7"/>
  <c r="BR395" i="7"/>
  <c r="BQ395" i="7"/>
  <c r="BP395" i="7"/>
  <c r="BO395" i="7"/>
  <c r="BN395" i="7"/>
  <c r="BM395" i="7"/>
  <c r="BL395" i="7"/>
  <c r="BK395" i="7"/>
  <c r="BJ395" i="7"/>
  <c r="BH395" i="7"/>
  <c r="BG395" i="7"/>
  <c r="BF395" i="7"/>
  <c r="BE395" i="7"/>
  <c r="BD395" i="7"/>
  <c r="BC395" i="7"/>
  <c r="BB395" i="7"/>
  <c r="BA395" i="7"/>
  <c r="AZ395" i="7"/>
  <c r="AY395" i="7"/>
  <c r="AX395" i="7"/>
  <c r="AW395" i="7"/>
  <c r="AV395" i="7"/>
  <c r="AU395" i="7"/>
  <c r="AT395" i="7"/>
  <c r="AS395" i="7"/>
  <c r="AR395" i="7"/>
  <c r="AQ395" i="7"/>
  <c r="AP395" i="7"/>
  <c r="AO395" i="7"/>
  <c r="AN395" i="7"/>
  <c r="AM395" i="7"/>
  <c r="AL395" i="7"/>
  <c r="AK395" i="7"/>
  <c r="AJ395" i="7"/>
  <c r="AI395" i="7"/>
  <c r="AH395" i="7"/>
  <c r="AG395" i="7"/>
  <c r="AF395" i="7"/>
  <c r="AE395" i="7"/>
  <c r="AD395" i="7"/>
  <c r="AC395" i="7"/>
  <c r="AB395" i="7"/>
  <c r="AA395" i="7"/>
  <c r="Z395" i="7"/>
  <c r="Y395" i="7"/>
  <c r="X395" i="7"/>
  <c r="W395" i="7"/>
  <c r="V395" i="7"/>
  <c r="U395" i="7"/>
  <c r="T395" i="7"/>
  <c r="S395" i="7"/>
  <c r="R395" i="7"/>
  <c r="Q395" i="7"/>
  <c r="P395" i="7"/>
  <c r="O395" i="7"/>
  <c r="N395" i="7"/>
  <c r="M395" i="7"/>
  <c r="L395" i="7"/>
  <c r="K395" i="7"/>
  <c r="J395" i="7"/>
  <c r="I395" i="7"/>
  <c r="H395" i="7"/>
  <c r="G395" i="7"/>
  <c r="F395" i="7"/>
  <c r="E395" i="7"/>
  <c r="D395" i="7"/>
  <c r="C395" i="7"/>
  <c r="B395" i="7"/>
  <c r="CG394" i="7"/>
  <c r="CF394" i="7"/>
  <c r="CE394" i="7"/>
  <c r="CD394" i="7"/>
  <c r="CC394" i="7"/>
  <c r="CB394" i="7"/>
  <c r="CA394" i="7"/>
  <c r="BZ394" i="7"/>
  <c r="BY394" i="7"/>
  <c r="BX394" i="7"/>
  <c r="BW394" i="7"/>
  <c r="BV394" i="7"/>
  <c r="BU394" i="7"/>
  <c r="BT394" i="7"/>
  <c r="BS394" i="7"/>
  <c r="BR394" i="7"/>
  <c r="BQ394" i="7"/>
  <c r="BP394" i="7"/>
  <c r="BO394" i="7"/>
  <c r="BN394" i="7"/>
  <c r="BM394" i="7"/>
  <c r="BL394" i="7"/>
  <c r="BK394" i="7"/>
  <c r="BJ394" i="7"/>
  <c r="BH394" i="7"/>
  <c r="BG394" i="7"/>
  <c r="BF394" i="7"/>
  <c r="BE394" i="7"/>
  <c r="BD394" i="7"/>
  <c r="BC394" i="7"/>
  <c r="BB394" i="7"/>
  <c r="BA394" i="7"/>
  <c r="AZ394" i="7"/>
  <c r="AY394" i="7"/>
  <c r="AX394" i="7"/>
  <c r="AW394" i="7"/>
  <c r="AV394" i="7"/>
  <c r="AU394" i="7"/>
  <c r="AT394" i="7"/>
  <c r="AS394" i="7"/>
  <c r="AR394" i="7"/>
  <c r="AQ394" i="7"/>
  <c r="AP394" i="7"/>
  <c r="AO394" i="7"/>
  <c r="AN394" i="7"/>
  <c r="AM394" i="7"/>
  <c r="AL394" i="7"/>
  <c r="AK394" i="7"/>
  <c r="AJ394" i="7"/>
  <c r="AI394" i="7"/>
  <c r="AH394" i="7"/>
  <c r="AG394" i="7"/>
  <c r="AF394" i="7"/>
  <c r="AE394" i="7"/>
  <c r="AD394" i="7"/>
  <c r="AC394" i="7"/>
  <c r="AB394" i="7"/>
  <c r="AA394" i="7"/>
  <c r="Z394" i="7"/>
  <c r="Y394" i="7"/>
  <c r="X394" i="7"/>
  <c r="W394" i="7"/>
  <c r="V394" i="7"/>
  <c r="U394" i="7"/>
  <c r="T394" i="7"/>
  <c r="S394" i="7"/>
  <c r="R394" i="7"/>
  <c r="Q394" i="7"/>
  <c r="P394" i="7"/>
  <c r="O394" i="7"/>
  <c r="N394" i="7"/>
  <c r="M394" i="7"/>
  <c r="L394" i="7"/>
  <c r="K394" i="7"/>
  <c r="J394" i="7"/>
  <c r="I394" i="7"/>
  <c r="H394" i="7"/>
  <c r="G394" i="7"/>
  <c r="F394" i="7"/>
  <c r="E394" i="7"/>
  <c r="D394" i="7"/>
  <c r="C394" i="7"/>
  <c r="B394" i="7"/>
  <c r="CG393" i="7"/>
  <c r="CF393" i="7"/>
  <c r="CE393" i="7"/>
  <c r="CD393" i="7"/>
  <c r="CC393" i="7"/>
  <c r="CB393" i="7"/>
  <c r="CA393" i="7"/>
  <c r="BZ393" i="7"/>
  <c r="BY393" i="7"/>
  <c r="BX393" i="7"/>
  <c r="BW393" i="7"/>
  <c r="BV393" i="7"/>
  <c r="BU393" i="7"/>
  <c r="BT393" i="7"/>
  <c r="BS393" i="7"/>
  <c r="BR393" i="7"/>
  <c r="BQ393" i="7"/>
  <c r="BP393" i="7"/>
  <c r="BO393" i="7"/>
  <c r="BN393" i="7"/>
  <c r="BM393" i="7"/>
  <c r="BL393" i="7"/>
  <c r="BK393" i="7"/>
  <c r="BJ393" i="7"/>
  <c r="BH393" i="7"/>
  <c r="BG393" i="7"/>
  <c r="BF393" i="7"/>
  <c r="BE393" i="7"/>
  <c r="BD393" i="7"/>
  <c r="BC393" i="7"/>
  <c r="BB393" i="7"/>
  <c r="BA393" i="7"/>
  <c r="AZ393" i="7"/>
  <c r="AY393" i="7"/>
  <c r="AX393" i="7"/>
  <c r="AW393" i="7"/>
  <c r="AV393" i="7"/>
  <c r="AU393" i="7"/>
  <c r="AT393" i="7"/>
  <c r="AS393" i="7"/>
  <c r="AR393" i="7"/>
  <c r="AQ393" i="7"/>
  <c r="AP393" i="7"/>
  <c r="AO393" i="7"/>
  <c r="AN393" i="7"/>
  <c r="AM393" i="7"/>
  <c r="AL393" i="7"/>
  <c r="AK393" i="7"/>
  <c r="AJ393" i="7"/>
  <c r="AI393" i="7"/>
  <c r="AH393" i="7"/>
  <c r="AG393" i="7"/>
  <c r="AF393" i="7"/>
  <c r="AE393" i="7"/>
  <c r="AD393" i="7"/>
  <c r="AC393" i="7"/>
  <c r="AB393" i="7"/>
  <c r="AA393" i="7"/>
  <c r="Z393" i="7"/>
  <c r="Y393" i="7"/>
  <c r="X393" i="7"/>
  <c r="W393" i="7"/>
  <c r="V393" i="7"/>
  <c r="U393" i="7"/>
  <c r="T393" i="7"/>
  <c r="S393" i="7"/>
  <c r="R393" i="7"/>
  <c r="Q393" i="7"/>
  <c r="P393" i="7"/>
  <c r="O393" i="7"/>
  <c r="N393" i="7"/>
  <c r="M393" i="7"/>
  <c r="L393" i="7"/>
  <c r="K393" i="7"/>
  <c r="J393" i="7"/>
  <c r="I393" i="7"/>
  <c r="H393" i="7"/>
  <c r="G393" i="7"/>
  <c r="F393" i="7"/>
  <c r="E393" i="7"/>
  <c r="D393" i="7"/>
  <c r="C393" i="7"/>
  <c r="B393" i="7"/>
  <c r="CG392" i="7"/>
  <c r="CF392" i="7"/>
  <c r="CE392" i="7"/>
  <c r="CD392" i="7"/>
  <c r="CC392" i="7"/>
  <c r="CB392" i="7"/>
  <c r="CA392" i="7"/>
  <c r="BZ392" i="7"/>
  <c r="BY392" i="7"/>
  <c r="BX392" i="7"/>
  <c r="BW392" i="7"/>
  <c r="BV392" i="7"/>
  <c r="BU392" i="7"/>
  <c r="BT392" i="7"/>
  <c r="BS392" i="7"/>
  <c r="BR392" i="7"/>
  <c r="BQ392" i="7"/>
  <c r="BP392" i="7"/>
  <c r="BO392" i="7"/>
  <c r="BN392" i="7"/>
  <c r="BM392" i="7"/>
  <c r="BL392" i="7"/>
  <c r="BK392" i="7"/>
  <c r="BJ392" i="7"/>
  <c r="BG392" i="7"/>
  <c r="BF392" i="7"/>
  <c r="BE392" i="7"/>
  <c r="BD392" i="7"/>
  <c r="BC392" i="7"/>
  <c r="BB392" i="7"/>
  <c r="BA392" i="7"/>
  <c r="AZ392" i="7"/>
  <c r="AY392" i="7"/>
  <c r="AX392" i="7"/>
  <c r="AW392" i="7"/>
  <c r="AV392" i="7"/>
  <c r="AU392" i="7"/>
  <c r="AT392" i="7"/>
  <c r="AS392" i="7"/>
  <c r="AR392" i="7"/>
  <c r="AQ392" i="7"/>
  <c r="AP392" i="7"/>
  <c r="AO392" i="7"/>
  <c r="AN392" i="7"/>
  <c r="AM392" i="7"/>
  <c r="AL392" i="7"/>
  <c r="AK392" i="7"/>
  <c r="AJ392" i="7"/>
  <c r="AI392" i="7"/>
  <c r="AH392" i="7"/>
  <c r="AG392" i="7"/>
  <c r="AF392" i="7"/>
  <c r="AE392" i="7"/>
  <c r="AD392" i="7"/>
  <c r="AC392" i="7"/>
  <c r="AB392" i="7"/>
  <c r="AA392" i="7"/>
  <c r="Z392" i="7"/>
  <c r="Y392" i="7"/>
  <c r="X392" i="7"/>
  <c r="W392" i="7"/>
  <c r="V392" i="7"/>
  <c r="U392" i="7"/>
  <c r="T392" i="7"/>
  <c r="S392" i="7"/>
  <c r="R392" i="7"/>
  <c r="Q392" i="7"/>
  <c r="P392" i="7"/>
  <c r="O392" i="7"/>
  <c r="N392" i="7"/>
  <c r="M392" i="7"/>
  <c r="L392" i="7"/>
  <c r="K392" i="7"/>
  <c r="J392" i="7"/>
  <c r="I392" i="7"/>
  <c r="H392" i="7"/>
  <c r="G392" i="7"/>
  <c r="F392" i="7"/>
  <c r="E392" i="7"/>
  <c r="D392" i="7"/>
  <c r="C392" i="7"/>
  <c r="B392" i="7"/>
  <c r="CG391" i="7"/>
  <c r="CF391" i="7"/>
  <c r="CE391" i="7"/>
  <c r="CE447" i="7" s="1"/>
  <c r="CD391" i="7"/>
  <c r="CC391" i="7"/>
  <c r="CC428" i="7" s="1"/>
  <c r="CB391" i="7"/>
  <c r="CA391" i="7"/>
  <c r="BZ391" i="7"/>
  <c r="BY391" i="7"/>
  <c r="BX391" i="7"/>
  <c r="BW391" i="7"/>
  <c r="BV391" i="7"/>
  <c r="BU391" i="7"/>
  <c r="BT391" i="7"/>
  <c r="BS391" i="7"/>
  <c r="BR391" i="7"/>
  <c r="BQ391" i="7"/>
  <c r="BP391" i="7"/>
  <c r="BO391" i="7"/>
  <c r="BN391" i="7"/>
  <c r="BM391" i="7"/>
  <c r="BL391" i="7"/>
  <c r="BK391" i="7"/>
  <c r="BJ391" i="7"/>
  <c r="BG391" i="7"/>
  <c r="BF391" i="7"/>
  <c r="BE391" i="7"/>
  <c r="BD391" i="7"/>
  <c r="BC391" i="7"/>
  <c r="BB391" i="7"/>
  <c r="BA391" i="7"/>
  <c r="AZ391" i="7"/>
  <c r="AY391" i="7"/>
  <c r="AX391" i="7"/>
  <c r="AW391" i="7"/>
  <c r="AV391" i="7"/>
  <c r="AU391" i="7"/>
  <c r="AT391" i="7"/>
  <c r="AS391" i="7"/>
  <c r="AR391" i="7"/>
  <c r="AQ391" i="7"/>
  <c r="AP391" i="7"/>
  <c r="AO391" i="7"/>
  <c r="AN391" i="7"/>
  <c r="AM391" i="7"/>
  <c r="AL391" i="7"/>
  <c r="AK391" i="7"/>
  <c r="AJ391" i="7"/>
  <c r="AI391" i="7"/>
  <c r="AH391" i="7"/>
  <c r="AG391" i="7"/>
  <c r="AF391" i="7"/>
  <c r="AE391" i="7"/>
  <c r="AD391" i="7"/>
  <c r="AC391" i="7"/>
  <c r="AB391" i="7"/>
  <c r="AA391" i="7"/>
  <c r="Z391" i="7"/>
  <c r="Y391" i="7"/>
  <c r="X391" i="7"/>
  <c r="W391" i="7"/>
  <c r="V391" i="7"/>
  <c r="U391" i="7"/>
  <c r="T391" i="7"/>
  <c r="S391" i="7"/>
  <c r="R391" i="7"/>
  <c r="Q391" i="7"/>
  <c r="P391" i="7"/>
  <c r="O391" i="7"/>
  <c r="N391" i="7"/>
  <c r="M391" i="7"/>
  <c r="L391" i="7"/>
  <c r="K391" i="7"/>
  <c r="J391" i="7"/>
  <c r="I391" i="7"/>
  <c r="H391" i="7"/>
  <c r="G391" i="7"/>
  <c r="F391" i="7"/>
  <c r="E391" i="7"/>
  <c r="D391" i="7"/>
  <c r="C391" i="7"/>
  <c r="V7" i="20"/>
  <c r="V8" i="20" s="1"/>
  <c r="K7" i="20"/>
  <c r="C6" i="20"/>
  <c r="C5" i="62" s="1"/>
  <c r="E397" i="103"/>
  <c r="AJ147" i="103" l="1"/>
  <c r="AW158" i="103"/>
  <c r="AW157" i="103"/>
  <c r="AU157" i="103"/>
  <c r="AV157" i="103"/>
  <c r="B27" i="11"/>
  <c r="F27" i="11" s="1"/>
  <c r="B22" i="11"/>
  <c r="F22" i="11" s="1"/>
  <c r="B29" i="11"/>
  <c r="F29" i="11" s="1"/>
  <c r="B24" i="11"/>
  <c r="F24" i="11" s="1"/>
  <c r="B31" i="11"/>
  <c r="F31" i="11" s="1"/>
  <c r="B26" i="11"/>
  <c r="F26" i="11" s="1"/>
  <c r="B21" i="11"/>
  <c r="F21" i="11" s="1"/>
  <c r="G21" i="11" s="1"/>
  <c r="P21" i="11" s="1"/>
  <c r="W72" i="13" s="1"/>
  <c r="B28" i="11"/>
  <c r="F28" i="11" s="1"/>
  <c r="B23" i="11"/>
  <c r="F23" i="11" s="1"/>
  <c r="B30" i="11"/>
  <c r="F30" i="11" s="1"/>
  <c r="B25" i="11"/>
  <c r="F25" i="11" s="1"/>
  <c r="F390" i="67"/>
  <c r="I14" i="70" s="1"/>
  <c r="I26" i="70" s="1"/>
  <c r="M44" i="68"/>
  <c r="G45" i="68"/>
  <c r="F392" i="67"/>
  <c r="M14" i="70" s="1"/>
  <c r="M26" i="70" s="1"/>
  <c r="F394" i="67"/>
  <c r="Q14" i="70" s="1"/>
  <c r="Q26" i="70" s="1"/>
  <c r="K45" i="68"/>
  <c r="F396" i="67"/>
  <c r="U14" i="70" s="1"/>
  <c r="U26" i="70" s="1"/>
  <c r="N101" i="68"/>
  <c r="K43" i="68"/>
  <c r="K46" i="68"/>
  <c r="G44" i="68"/>
  <c r="L46" i="68"/>
  <c r="M46" i="68"/>
  <c r="CS75" i="103"/>
  <c r="CS76" i="103"/>
  <c r="CS77" i="103"/>
  <c r="CS78" i="103"/>
  <c r="BG75" i="103"/>
  <c r="BS75" i="103"/>
  <c r="BS79" i="103"/>
  <c r="BS76" i="103"/>
  <c r="BS77" i="103"/>
  <c r="BS78" i="103"/>
  <c r="BE75" i="103"/>
  <c r="BF75" i="103"/>
  <c r="AO382" i="103"/>
  <c r="D165" i="23" s="1"/>
  <c r="I13" i="62"/>
  <c r="J13" i="62" s="1"/>
  <c r="G13" i="62"/>
  <c r="H13" i="62" s="1"/>
  <c r="F13" i="62"/>
  <c r="D13" i="62"/>
  <c r="E13" i="62" s="1"/>
  <c r="AE57" i="103"/>
  <c r="AE58" i="103"/>
  <c r="AE59" i="103"/>
  <c r="AE60" i="103"/>
  <c r="AP42" i="103"/>
  <c r="AO42" i="103"/>
  <c r="AQ43" i="103"/>
  <c r="AQ55" i="103"/>
  <c r="AQ67" i="103"/>
  <c r="AQ57" i="103"/>
  <c r="AQ58" i="103"/>
  <c r="AQ47" i="103"/>
  <c r="AQ59" i="103"/>
  <c r="AQ44" i="103"/>
  <c r="AQ56" i="103"/>
  <c r="AQ68" i="103"/>
  <c r="AQ45" i="103"/>
  <c r="AQ69" i="103"/>
  <c r="AQ46" i="103"/>
  <c r="AQ48" i="103"/>
  <c r="AQ60" i="103"/>
  <c r="AQ49" i="103"/>
  <c r="AQ61" i="103"/>
  <c r="AQ50" i="103"/>
  <c r="AQ51" i="103"/>
  <c r="AQ52" i="103"/>
  <c r="AQ64" i="103"/>
  <c r="AQ65" i="103"/>
  <c r="AQ66" i="103"/>
  <c r="AQ63" i="103"/>
  <c r="AQ62" i="103"/>
  <c r="AQ53" i="103"/>
  <c r="AQ54" i="103"/>
  <c r="AQ42" i="103"/>
  <c r="AQ11" i="103"/>
  <c r="BD11" i="103" s="1"/>
  <c r="AR42" i="103"/>
  <c r="AR43" i="103"/>
  <c r="BH12" i="103"/>
  <c r="BH14" i="103"/>
  <c r="BH15" i="103"/>
  <c r="BH16" i="103"/>
  <c r="BH17" i="103"/>
  <c r="BH13" i="103"/>
  <c r="E396" i="99"/>
  <c r="F396" i="99"/>
  <c r="C396" i="99"/>
  <c r="D396" i="99"/>
  <c r="M21" i="11"/>
  <c r="K174" i="13" s="1"/>
  <c r="CE456" i="7"/>
  <c r="CE455" i="7"/>
  <c r="CE454" i="7"/>
  <c r="CE453" i="7"/>
  <c r="CE452" i="7"/>
  <c r="CE451" i="7"/>
  <c r="CE450" i="7"/>
  <c r="CE449" i="7"/>
  <c r="CE458" i="7"/>
  <c r="CE448" i="7"/>
  <c r="CE457" i="7"/>
  <c r="CC430" i="7"/>
  <c r="CC429" i="7"/>
  <c r="P363" i="103"/>
  <c r="P364" i="103"/>
  <c r="P367" i="103"/>
  <c r="P369" i="103"/>
  <c r="P370" i="103"/>
  <c r="P372" i="103"/>
  <c r="P373" i="103"/>
  <c r="P365" i="103"/>
  <c r="P366" i="103"/>
  <c r="P368" i="103"/>
  <c r="P371" i="103"/>
  <c r="P374" i="103"/>
  <c r="P356" i="103"/>
  <c r="P357" i="103"/>
  <c r="P359" i="103"/>
  <c r="P360" i="103"/>
  <c r="P362" i="103"/>
  <c r="P361" i="103"/>
  <c r="P358" i="103"/>
  <c r="P352" i="103"/>
  <c r="P353" i="103"/>
  <c r="CA346" i="103"/>
  <c r="CA358" i="103"/>
  <c r="CA370" i="103"/>
  <c r="CA359" i="103"/>
  <c r="CA360" i="103"/>
  <c r="CA372" i="103"/>
  <c r="CA349" i="103"/>
  <c r="CA373" i="103"/>
  <c r="CA350" i="103"/>
  <c r="CA362" i="103"/>
  <c r="CA363" i="103"/>
  <c r="CA352" i="103"/>
  <c r="CA353" i="103"/>
  <c r="CA365" i="103"/>
  <c r="CA355" i="103"/>
  <c r="CA356" i="103"/>
  <c r="CA347" i="103"/>
  <c r="CA371" i="103"/>
  <c r="CA361" i="103"/>
  <c r="CA351" i="103"/>
  <c r="CA364" i="103"/>
  <c r="CA366" i="103"/>
  <c r="CA357" i="103"/>
  <c r="CA348" i="103"/>
  <c r="CA375" i="103"/>
  <c r="CA354" i="103"/>
  <c r="CA367" i="103"/>
  <c r="CA374" i="103"/>
  <c r="CA369" i="103"/>
  <c r="CA368" i="103"/>
  <c r="BZ346" i="103"/>
  <c r="BZ358" i="103"/>
  <c r="BZ370" i="103"/>
  <c r="BZ360" i="103"/>
  <c r="BZ361" i="103"/>
  <c r="BZ362" i="103"/>
  <c r="BZ363" i="103"/>
  <c r="BZ375" i="103"/>
  <c r="BZ364" i="103"/>
  <c r="BZ355" i="103"/>
  <c r="BZ356" i="103"/>
  <c r="BZ369" i="103"/>
  <c r="BZ347" i="103"/>
  <c r="BZ359" i="103"/>
  <c r="BZ371" i="103"/>
  <c r="BZ348" i="103"/>
  <c r="BZ372" i="103"/>
  <c r="BZ349" i="103"/>
  <c r="BZ373" i="103"/>
  <c r="BZ374" i="103"/>
  <c r="BZ351" i="103"/>
  <c r="BZ352" i="103"/>
  <c r="BZ353" i="103"/>
  <c r="BZ366" i="103"/>
  <c r="BZ367" i="103"/>
  <c r="BZ368" i="103"/>
  <c r="BZ350" i="103"/>
  <c r="BZ354" i="103"/>
  <c r="BZ357" i="103"/>
  <c r="BZ365" i="103"/>
  <c r="K177" i="23"/>
  <c r="N21" i="11"/>
  <c r="W4" i="13" s="1"/>
  <c r="CS346" i="103"/>
  <c r="CS358" i="103"/>
  <c r="CS370" i="103"/>
  <c r="CS347" i="103"/>
  <c r="CS359" i="103"/>
  <c r="CS371" i="103"/>
  <c r="CS348" i="103"/>
  <c r="CS360" i="103"/>
  <c r="CS372" i="103"/>
  <c r="CS375" i="103"/>
  <c r="CS352" i="103"/>
  <c r="CS365" i="103"/>
  <c r="CS368" i="103"/>
  <c r="CS369" i="103"/>
  <c r="CS349" i="103"/>
  <c r="CS361" i="103"/>
  <c r="CS373" i="103"/>
  <c r="CS350" i="103"/>
  <c r="CS374" i="103"/>
  <c r="CS363" i="103"/>
  <c r="CS364" i="103"/>
  <c r="CS353" i="103"/>
  <c r="CS366" i="103"/>
  <c r="CS367" i="103"/>
  <c r="CS357" i="103"/>
  <c r="CS362" i="103"/>
  <c r="CS356" i="103"/>
  <c r="CS351" i="103"/>
  <c r="CS354" i="103"/>
  <c r="CS355" i="103"/>
  <c r="CS344" i="103"/>
  <c r="CS345" i="103"/>
  <c r="CN345" i="103"/>
  <c r="CN346" i="103"/>
  <c r="CN358" i="103"/>
  <c r="CN370" i="103"/>
  <c r="CN350" i="103"/>
  <c r="CN374" i="103"/>
  <c r="CN375" i="103"/>
  <c r="CN353" i="103"/>
  <c r="CN365" i="103"/>
  <c r="CN367" i="103"/>
  <c r="CN369" i="103"/>
  <c r="CN347" i="103"/>
  <c r="CN359" i="103"/>
  <c r="CN371" i="103"/>
  <c r="CN361" i="103"/>
  <c r="CN351" i="103"/>
  <c r="CN364" i="103"/>
  <c r="CN366" i="103"/>
  <c r="CN356" i="103"/>
  <c r="CN357" i="103"/>
  <c r="CN348" i="103"/>
  <c r="CN360" i="103"/>
  <c r="CN372" i="103"/>
  <c r="CN373" i="103"/>
  <c r="CN362" i="103"/>
  <c r="CN363" i="103"/>
  <c r="CN352" i="103"/>
  <c r="CN354" i="103"/>
  <c r="CN368" i="103"/>
  <c r="CN349" i="103"/>
  <c r="CN355" i="103"/>
  <c r="CE345" i="103"/>
  <c r="CE346" i="103"/>
  <c r="CE358" i="103"/>
  <c r="CE370" i="103"/>
  <c r="CE360" i="103"/>
  <c r="CE373" i="103"/>
  <c r="CE374" i="103"/>
  <c r="CE363" i="103"/>
  <c r="CE364" i="103"/>
  <c r="CE365" i="103"/>
  <c r="CE355" i="103"/>
  <c r="CE368" i="103"/>
  <c r="CE347" i="103"/>
  <c r="CE359" i="103"/>
  <c r="CE371" i="103"/>
  <c r="CE348" i="103"/>
  <c r="CE372" i="103"/>
  <c r="CE361" i="103"/>
  <c r="CE362" i="103"/>
  <c r="CE375" i="103"/>
  <c r="CE353" i="103"/>
  <c r="CE354" i="103"/>
  <c r="CE367" i="103"/>
  <c r="CE369" i="103"/>
  <c r="CE349" i="103"/>
  <c r="CE357" i="103"/>
  <c r="CE350" i="103"/>
  <c r="CE352" i="103"/>
  <c r="CE366" i="103"/>
  <c r="CE356" i="103"/>
  <c r="CE351" i="103"/>
  <c r="CD345" i="103"/>
  <c r="CD346" i="103"/>
  <c r="CD370" i="103"/>
  <c r="CD361" i="103"/>
  <c r="CD347" i="103"/>
  <c r="CD350" i="103"/>
  <c r="CD362" i="103"/>
  <c r="CD374" i="103"/>
  <c r="CD364" i="103"/>
  <c r="CD365" i="103"/>
  <c r="CD366" i="103"/>
  <c r="CD367" i="103"/>
  <c r="CD368" i="103"/>
  <c r="CD369" i="103"/>
  <c r="CD371" i="103"/>
  <c r="CD360" i="103"/>
  <c r="CD373" i="103"/>
  <c r="CD351" i="103"/>
  <c r="CD363" i="103"/>
  <c r="CD375" i="103"/>
  <c r="CD352" i="103"/>
  <c r="CD353" i="103"/>
  <c r="CD354" i="103"/>
  <c r="CD355" i="103"/>
  <c r="CD356" i="103"/>
  <c r="CD357" i="103"/>
  <c r="CD359" i="103"/>
  <c r="CD348" i="103"/>
  <c r="CD372" i="103"/>
  <c r="CD358" i="103"/>
  <c r="CD349" i="103"/>
  <c r="CC345" i="103"/>
  <c r="CC346" i="103"/>
  <c r="CC358" i="103"/>
  <c r="CC370" i="103"/>
  <c r="CC359" i="103"/>
  <c r="CC371" i="103"/>
  <c r="CC361" i="103"/>
  <c r="CC373" i="103"/>
  <c r="CC347" i="103"/>
  <c r="CC348" i="103"/>
  <c r="CC360" i="103"/>
  <c r="CC372" i="103"/>
  <c r="CC349" i="103"/>
  <c r="CC350" i="103"/>
  <c r="CC362" i="103"/>
  <c r="CC374" i="103"/>
  <c r="CC364" i="103"/>
  <c r="CC366" i="103"/>
  <c r="CC368" i="103"/>
  <c r="CC351" i="103"/>
  <c r="CC363" i="103"/>
  <c r="CC375" i="103"/>
  <c r="CC354" i="103"/>
  <c r="CC367" i="103"/>
  <c r="CC356" i="103"/>
  <c r="CC369" i="103"/>
  <c r="CC352" i="103"/>
  <c r="CC353" i="103"/>
  <c r="CC365" i="103"/>
  <c r="CC355" i="103"/>
  <c r="CC357" i="103"/>
  <c r="CB346" i="103"/>
  <c r="AN346" i="103" s="1"/>
  <c r="CB358" i="103"/>
  <c r="AN358" i="103" s="1"/>
  <c r="CB370" i="103"/>
  <c r="AN370" i="103" s="1"/>
  <c r="CB373" i="103"/>
  <c r="AN373" i="103" s="1"/>
  <c r="CB362" i="103"/>
  <c r="AN362" i="103" s="1"/>
  <c r="CB352" i="103"/>
  <c r="AN352" i="103" s="1"/>
  <c r="CB366" i="103"/>
  <c r="AN366" i="103" s="1"/>
  <c r="CB368" i="103"/>
  <c r="AN368" i="103" s="1"/>
  <c r="CB369" i="103"/>
  <c r="AN369" i="103" s="1"/>
  <c r="CB347" i="103"/>
  <c r="AN347" i="103" s="1"/>
  <c r="CB359" i="103"/>
  <c r="AN359" i="103" s="1"/>
  <c r="CB371" i="103"/>
  <c r="AN371" i="103" s="1"/>
  <c r="CB361" i="103"/>
  <c r="AN361" i="103" s="1"/>
  <c r="CB350" i="103"/>
  <c r="AN350" i="103" s="1"/>
  <c r="CB363" i="103"/>
  <c r="AN363" i="103" s="1"/>
  <c r="CB353" i="103"/>
  <c r="AN353" i="103" s="1"/>
  <c r="CB355" i="103"/>
  <c r="AN355" i="103" s="1"/>
  <c r="CB367" i="103"/>
  <c r="AN367" i="103" s="1"/>
  <c r="CB348" i="103"/>
  <c r="AN348" i="103" s="1"/>
  <c r="CB360" i="103"/>
  <c r="AN360" i="103" s="1"/>
  <c r="CB372" i="103"/>
  <c r="AN372" i="103" s="1"/>
  <c r="CB349" i="103"/>
  <c r="AN349" i="103" s="1"/>
  <c r="CB374" i="103"/>
  <c r="AN374" i="103" s="1"/>
  <c r="CB351" i="103"/>
  <c r="AN351" i="103" s="1"/>
  <c r="CB375" i="103"/>
  <c r="AN375" i="103" s="1"/>
  <c r="CB364" i="103"/>
  <c r="AN364" i="103" s="1"/>
  <c r="CB354" i="103"/>
  <c r="AN354" i="103" s="1"/>
  <c r="CB356" i="103"/>
  <c r="AN356" i="103" s="1"/>
  <c r="CB357" i="103"/>
  <c r="AN357" i="103" s="1"/>
  <c r="CB365" i="103"/>
  <c r="AN365" i="103" s="1"/>
  <c r="CA345" i="103"/>
  <c r="CB345" i="103"/>
  <c r="AN345" i="103" s="1"/>
  <c r="BZ345" i="103"/>
  <c r="BY345" i="103"/>
  <c r="BY346" i="103"/>
  <c r="BY358" i="103"/>
  <c r="BY370" i="103"/>
  <c r="BY360" i="103"/>
  <c r="BY374" i="103"/>
  <c r="BY352" i="103"/>
  <c r="BY355" i="103"/>
  <c r="BY369" i="103"/>
  <c r="BY347" i="103"/>
  <c r="BY359" i="103"/>
  <c r="BY371" i="103"/>
  <c r="BY348" i="103"/>
  <c r="BY372" i="103"/>
  <c r="BY375" i="103"/>
  <c r="BY365" i="103"/>
  <c r="BY367" i="103"/>
  <c r="BY368" i="103"/>
  <c r="BY349" i="103"/>
  <c r="BY361" i="103"/>
  <c r="BY373" i="103"/>
  <c r="BY353" i="103"/>
  <c r="BY354" i="103"/>
  <c r="BY357" i="103"/>
  <c r="BY350" i="103"/>
  <c r="BY362" i="103"/>
  <c r="BY356" i="103"/>
  <c r="BY351" i="103"/>
  <c r="BY363" i="103"/>
  <c r="BY364" i="103"/>
  <c r="BY366" i="103"/>
  <c r="BX345" i="103"/>
  <c r="BX346" i="103"/>
  <c r="BX358" i="103"/>
  <c r="BX370" i="103"/>
  <c r="BX347" i="103"/>
  <c r="BX359" i="103"/>
  <c r="BX371" i="103"/>
  <c r="BX348" i="103"/>
  <c r="BX360" i="103"/>
  <c r="BX372" i="103"/>
  <c r="BX356" i="103"/>
  <c r="BX349" i="103"/>
  <c r="BX361" i="103"/>
  <c r="BX373" i="103"/>
  <c r="BX375" i="103"/>
  <c r="BX364" i="103"/>
  <c r="BX353" i="103"/>
  <c r="BX355" i="103"/>
  <c r="BX369" i="103"/>
  <c r="BX350" i="103"/>
  <c r="BX362" i="103"/>
  <c r="BX374" i="103"/>
  <c r="BX351" i="103"/>
  <c r="BX363" i="103"/>
  <c r="BX352" i="103"/>
  <c r="BX365" i="103"/>
  <c r="BX354" i="103"/>
  <c r="BX366" i="103"/>
  <c r="BX367" i="103"/>
  <c r="BX368" i="103"/>
  <c r="BX357" i="103"/>
  <c r="BW345" i="103"/>
  <c r="BW346" i="103"/>
  <c r="BW358" i="103"/>
  <c r="BW370" i="103"/>
  <c r="BW372" i="103"/>
  <c r="BW354" i="103"/>
  <c r="BW356" i="103"/>
  <c r="BW347" i="103"/>
  <c r="BW359" i="103"/>
  <c r="BW371" i="103"/>
  <c r="BW365" i="103"/>
  <c r="BW355" i="103"/>
  <c r="BW348" i="103"/>
  <c r="BW360" i="103"/>
  <c r="BW349" i="103"/>
  <c r="BW361" i="103"/>
  <c r="BW373" i="103"/>
  <c r="BW366" i="103"/>
  <c r="BW369" i="103"/>
  <c r="BW350" i="103"/>
  <c r="BW362" i="103"/>
  <c r="BW374" i="103"/>
  <c r="BW364" i="103"/>
  <c r="BW353" i="103"/>
  <c r="BW368" i="103"/>
  <c r="BW351" i="103"/>
  <c r="BW363" i="103"/>
  <c r="BW375" i="103"/>
  <c r="BW352" i="103"/>
  <c r="BW367" i="103"/>
  <c r="BW357" i="103"/>
  <c r="BV345" i="103"/>
  <c r="BV346" i="103"/>
  <c r="BV358" i="103"/>
  <c r="BV370" i="103"/>
  <c r="BV348" i="103"/>
  <c r="BV372" i="103"/>
  <c r="BV363" i="103"/>
  <c r="BV353" i="103"/>
  <c r="BV354" i="103"/>
  <c r="BV368" i="103"/>
  <c r="BV347" i="103"/>
  <c r="BV359" i="103"/>
  <c r="BV371" i="103"/>
  <c r="BV360" i="103"/>
  <c r="BV375" i="103"/>
  <c r="BV364" i="103"/>
  <c r="BV366" i="103"/>
  <c r="BV356" i="103"/>
  <c r="BV349" i="103"/>
  <c r="BV361" i="103"/>
  <c r="BV373" i="103"/>
  <c r="BV374" i="103"/>
  <c r="BV352" i="103"/>
  <c r="BV365" i="103"/>
  <c r="BV367" i="103"/>
  <c r="BV357" i="103"/>
  <c r="BV350" i="103"/>
  <c r="BV362" i="103"/>
  <c r="BV355" i="103"/>
  <c r="BV369" i="103"/>
  <c r="BV351" i="103"/>
  <c r="BU345" i="103"/>
  <c r="BU346" i="103"/>
  <c r="BU358" i="103"/>
  <c r="BU370" i="103"/>
  <c r="BU372" i="103"/>
  <c r="BU361" i="103"/>
  <c r="BU374" i="103"/>
  <c r="BU375" i="103"/>
  <c r="BU364" i="103"/>
  <c r="BU365" i="103"/>
  <c r="BU366" i="103"/>
  <c r="BU367" i="103"/>
  <c r="BU347" i="103"/>
  <c r="BU359" i="103"/>
  <c r="BU371" i="103"/>
  <c r="BU360" i="103"/>
  <c r="BU349" i="103"/>
  <c r="BU373" i="103"/>
  <c r="BU350" i="103"/>
  <c r="BU362" i="103"/>
  <c r="BU352" i="103"/>
  <c r="BU355" i="103"/>
  <c r="BU357" i="103"/>
  <c r="BU348" i="103"/>
  <c r="BU363" i="103"/>
  <c r="BU353" i="103"/>
  <c r="BU354" i="103"/>
  <c r="BU356" i="103"/>
  <c r="BU368" i="103"/>
  <c r="BU351" i="103"/>
  <c r="BU369" i="103"/>
  <c r="BT345" i="103"/>
  <c r="BT346" i="103"/>
  <c r="BT358" i="103"/>
  <c r="BT370" i="103"/>
  <c r="BT360" i="103"/>
  <c r="BT363" i="103"/>
  <c r="BT366" i="103"/>
  <c r="BT356" i="103"/>
  <c r="BT347" i="103"/>
  <c r="BT359" i="103"/>
  <c r="BT371" i="103"/>
  <c r="BT348" i="103"/>
  <c r="BT372" i="103"/>
  <c r="BT362" i="103"/>
  <c r="BT352" i="103"/>
  <c r="BT355" i="103"/>
  <c r="BT367" i="103"/>
  <c r="BT369" i="103"/>
  <c r="BT349" i="103"/>
  <c r="BT361" i="103"/>
  <c r="BT373" i="103"/>
  <c r="BT375" i="103"/>
  <c r="BT353" i="103"/>
  <c r="BT365" i="103"/>
  <c r="BT357" i="103"/>
  <c r="BT350" i="103"/>
  <c r="BT374" i="103"/>
  <c r="BT364" i="103"/>
  <c r="BT354" i="103"/>
  <c r="BT368" i="103"/>
  <c r="BT351" i="103"/>
  <c r="BS345" i="103"/>
  <c r="BS346" i="103"/>
  <c r="BS358" i="103"/>
  <c r="BS370" i="103"/>
  <c r="BS361" i="103"/>
  <c r="BS373" i="103"/>
  <c r="BS374" i="103"/>
  <c r="BS363" i="103"/>
  <c r="BS364" i="103"/>
  <c r="BS366" i="103"/>
  <c r="BS369" i="103"/>
  <c r="BS347" i="103"/>
  <c r="BS359" i="103"/>
  <c r="BS371" i="103"/>
  <c r="BS362" i="103"/>
  <c r="BS375" i="103"/>
  <c r="BS352" i="103"/>
  <c r="BS355" i="103"/>
  <c r="BS357" i="103"/>
  <c r="BS348" i="103"/>
  <c r="BS360" i="103"/>
  <c r="BS372" i="103"/>
  <c r="BS351" i="103"/>
  <c r="BS365" i="103"/>
  <c r="BS356" i="103"/>
  <c r="BS349" i="103"/>
  <c r="BS353" i="103"/>
  <c r="BS367" i="103"/>
  <c r="BS350" i="103"/>
  <c r="BS354" i="103"/>
  <c r="BS368" i="103"/>
  <c r="BR345" i="103"/>
  <c r="BR346" i="103"/>
  <c r="BR358" i="103"/>
  <c r="BR370" i="103"/>
  <c r="BR347" i="103"/>
  <c r="BR359" i="103"/>
  <c r="BR371" i="103"/>
  <c r="BR348" i="103"/>
  <c r="BR360" i="103"/>
  <c r="BR372" i="103"/>
  <c r="BR374" i="103"/>
  <c r="BR351" i="103"/>
  <c r="BR364" i="103"/>
  <c r="BR353" i="103"/>
  <c r="BR354" i="103"/>
  <c r="BR366" i="103"/>
  <c r="BR367" i="103"/>
  <c r="BR368" i="103"/>
  <c r="BR369" i="103"/>
  <c r="BR349" i="103"/>
  <c r="BR361" i="103"/>
  <c r="BR373" i="103"/>
  <c r="BR362" i="103"/>
  <c r="BR375" i="103"/>
  <c r="BR352" i="103"/>
  <c r="BR365" i="103"/>
  <c r="BR355" i="103"/>
  <c r="BR350" i="103"/>
  <c r="BR356" i="103"/>
  <c r="BR357" i="103"/>
  <c r="BR363" i="103"/>
  <c r="BQ345" i="103"/>
  <c r="BQ346" i="103"/>
  <c r="BQ358" i="103"/>
  <c r="BQ370" i="103"/>
  <c r="BQ374" i="103"/>
  <c r="BQ375" i="103"/>
  <c r="BQ354" i="103"/>
  <c r="BQ347" i="103"/>
  <c r="BQ359" i="103"/>
  <c r="BQ371" i="103"/>
  <c r="BQ373" i="103"/>
  <c r="BQ363" i="103"/>
  <c r="BQ364" i="103"/>
  <c r="BQ366" i="103"/>
  <c r="BQ367" i="103"/>
  <c r="BQ369" i="103"/>
  <c r="BQ348" i="103"/>
  <c r="BQ360" i="103"/>
  <c r="BQ372" i="103"/>
  <c r="BQ351" i="103"/>
  <c r="BQ353" i="103"/>
  <c r="BQ355" i="103"/>
  <c r="BQ357" i="103"/>
  <c r="BQ349" i="103"/>
  <c r="BQ361" i="103"/>
  <c r="BQ365" i="103"/>
  <c r="BQ356" i="103"/>
  <c r="BQ350" i="103"/>
  <c r="BQ362" i="103"/>
  <c r="BQ352" i="103"/>
  <c r="BQ368" i="103"/>
  <c r="BN346" i="103"/>
  <c r="BN358" i="103"/>
  <c r="BN370" i="103"/>
  <c r="BN371" i="103"/>
  <c r="BN349" i="103"/>
  <c r="BN350" i="103"/>
  <c r="BN375" i="103"/>
  <c r="BN364" i="103"/>
  <c r="BN367" i="103"/>
  <c r="BN347" i="103"/>
  <c r="BN359" i="103"/>
  <c r="BN372" i="103"/>
  <c r="BN373" i="103"/>
  <c r="BN362" i="103"/>
  <c r="BN363" i="103"/>
  <c r="BN353" i="103"/>
  <c r="BN354" i="103"/>
  <c r="BN368" i="103"/>
  <c r="BN348" i="103"/>
  <c r="BN360" i="103"/>
  <c r="BN361" i="103"/>
  <c r="BN351" i="103"/>
  <c r="BN352" i="103"/>
  <c r="BN365" i="103"/>
  <c r="BN366" i="103"/>
  <c r="BN356" i="103"/>
  <c r="BN369" i="103"/>
  <c r="BN374" i="103"/>
  <c r="BN355" i="103"/>
  <c r="BN357" i="103"/>
  <c r="BN344" i="103"/>
  <c r="BN345" i="103"/>
  <c r="BH345" i="103"/>
  <c r="BH346" i="103"/>
  <c r="BH358" i="103"/>
  <c r="BH370" i="103"/>
  <c r="BH372" i="103"/>
  <c r="BH361" i="103"/>
  <c r="BH350" i="103"/>
  <c r="BH363" i="103"/>
  <c r="BH353" i="103"/>
  <c r="BH366" i="103"/>
  <c r="BH355" i="103"/>
  <c r="BH357" i="103"/>
  <c r="BH347" i="103"/>
  <c r="BH359" i="103"/>
  <c r="BH371" i="103"/>
  <c r="BH360" i="103"/>
  <c r="BH373" i="103"/>
  <c r="BH362" i="103"/>
  <c r="BH375" i="103"/>
  <c r="BH352" i="103"/>
  <c r="BH365" i="103"/>
  <c r="BH368" i="103"/>
  <c r="BH348" i="103"/>
  <c r="BH374" i="103"/>
  <c r="BH351" i="103"/>
  <c r="BH364" i="103"/>
  <c r="BH356" i="103"/>
  <c r="BH349" i="103"/>
  <c r="BH367" i="103"/>
  <c r="BH369" i="103"/>
  <c r="BH354" i="103"/>
  <c r="BG345" i="103"/>
  <c r="BG346" i="103"/>
  <c r="BG358" i="103"/>
  <c r="BG370" i="103"/>
  <c r="BG360" i="103"/>
  <c r="BG361" i="103"/>
  <c r="BG350" i="103"/>
  <c r="BG363" i="103"/>
  <c r="BG352" i="103"/>
  <c r="BG354" i="103"/>
  <c r="BG355" i="103"/>
  <c r="BG356" i="103"/>
  <c r="BG347" i="103"/>
  <c r="BG359" i="103"/>
  <c r="BG371" i="103"/>
  <c r="BG372" i="103"/>
  <c r="BG349" i="103"/>
  <c r="BG373" i="103"/>
  <c r="BG362" i="103"/>
  <c r="BG353" i="103"/>
  <c r="BG365" i="103"/>
  <c r="BG367" i="103"/>
  <c r="BG368" i="103"/>
  <c r="BG369" i="103"/>
  <c r="BG348" i="103"/>
  <c r="BG374" i="103"/>
  <c r="BG375" i="103"/>
  <c r="BG364" i="103"/>
  <c r="BG366" i="103"/>
  <c r="BG357" i="103"/>
  <c r="BG351" i="103"/>
  <c r="BF345" i="103"/>
  <c r="BF346" i="103"/>
  <c r="BF358" i="103"/>
  <c r="BF370" i="103"/>
  <c r="BF347" i="103"/>
  <c r="BF359" i="103"/>
  <c r="BF371" i="103"/>
  <c r="BF348" i="103"/>
  <c r="BF360" i="103"/>
  <c r="BF372" i="103"/>
  <c r="BF361" i="103"/>
  <c r="BF373" i="103"/>
  <c r="BF362" i="103"/>
  <c r="BF351" i="103"/>
  <c r="BF375" i="103"/>
  <c r="BF352" i="103"/>
  <c r="BF366" i="103"/>
  <c r="BF356" i="103"/>
  <c r="BF357" i="103"/>
  <c r="BF349" i="103"/>
  <c r="BF350" i="103"/>
  <c r="BF374" i="103"/>
  <c r="BF363" i="103"/>
  <c r="BF364" i="103"/>
  <c r="BF353" i="103"/>
  <c r="BF354" i="103"/>
  <c r="BF355" i="103"/>
  <c r="BF368" i="103"/>
  <c r="BF369" i="103"/>
  <c r="BF365" i="103"/>
  <c r="BF367" i="103"/>
  <c r="BE345" i="103"/>
  <c r="BE346" i="103"/>
  <c r="BE358" i="103"/>
  <c r="BE370" i="103"/>
  <c r="BE347" i="103"/>
  <c r="BE359" i="103"/>
  <c r="BE371" i="103"/>
  <c r="BE348" i="103"/>
  <c r="BE360" i="103"/>
  <c r="BE372" i="103"/>
  <c r="BE361" i="103"/>
  <c r="BE373" i="103"/>
  <c r="BE362" i="103"/>
  <c r="BE374" i="103"/>
  <c r="BE351" i="103"/>
  <c r="BE375" i="103"/>
  <c r="BE352" i="103"/>
  <c r="BE365" i="103"/>
  <c r="BE355" i="103"/>
  <c r="BE356" i="103"/>
  <c r="BE369" i="103"/>
  <c r="BE349" i="103"/>
  <c r="BE363" i="103"/>
  <c r="BE364" i="103"/>
  <c r="BE354" i="103"/>
  <c r="BE368" i="103"/>
  <c r="BE350" i="103"/>
  <c r="BE353" i="103"/>
  <c r="BE366" i="103"/>
  <c r="BE367" i="103"/>
  <c r="BE357" i="103"/>
  <c r="BC345" i="103"/>
  <c r="BC346" i="103"/>
  <c r="BC358" i="103"/>
  <c r="BC370" i="103"/>
  <c r="BC371" i="103"/>
  <c r="BC361" i="103"/>
  <c r="BC350" i="103"/>
  <c r="BC375" i="103"/>
  <c r="BC352" i="103"/>
  <c r="BC356" i="103"/>
  <c r="BC347" i="103"/>
  <c r="BC359" i="103"/>
  <c r="BC372" i="103"/>
  <c r="BC362" i="103"/>
  <c r="BC363" i="103"/>
  <c r="BC364" i="103"/>
  <c r="BC354" i="103"/>
  <c r="BC366" i="103"/>
  <c r="BC368" i="103"/>
  <c r="BC348" i="103"/>
  <c r="BC360" i="103"/>
  <c r="BC373" i="103"/>
  <c r="BC374" i="103"/>
  <c r="BC351" i="103"/>
  <c r="BC353" i="103"/>
  <c r="BC355" i="103"/>
  <c r="BC349" i="103"/>
  <c r="BC365" i="103"/>
  <c r="BC367" i="103"/>
  <c r="BC357" i="103"/>
  <c r="BC369" i="103"/>
  <c r="AZ345" i="103"/>
  <c r="AZ346" i="103"/>
  <c r="AZ358" i="103"/>
  <c r="AZ370" i="103"/>
  <c r="AZ349" i="103"/>
  <c r="AZ374" i="103"/>
  <c r="AZ375" i="103"/>
  <c r="AZ353" i="103"/>
  <c r="AZ356" i="103"/>
  <c r="AZ369" i="103"/>
  <c r="AZ347" i="103"/>
  <c r="AZ359" i="103"/>
  <c r="AZ371" i="103"/>
  <c r="AZ360" i="103"/>
  <c r="AZ361" i="103"/>
  <c r="AZ350" i="103"/>
  <c r="AZ352" i="103"/>
  <c r="AZ354" i="103"/>
  <c r="AZ367" i="103"/>
  <c r="AZ348" i="103"/>
  <c r="AZ372" i="103"/>
  <c r="AZ373" i="103"/>
  <c r="AZ362" i="103"/>
  <c r="AZ363" i="103"/>
  <c r="AZ364" i="103"/>
  <c r="AZ365" i="103"/>
  <c r="AZ355" i="103"/>
  <c r="AZ368" i="103"/>
  <c r="AZ351" i="103"/>
  <c r="AZ357" i="103"/>
  <c r="AZ366" i="103"/>
  <c r="AY345" i="103"/>
  <c r="AY346" i="103"/>
  <c r="AY358" i="103"/>
  <c r="AY370" i="103"/>
  <c r="AY361" i="103"/>
  <c r="AY362" i="103"/>
  <c r="AY351" i="103"/>
  <c r="AY364" i="103"/>
  <c r="AY365" i="103"/>
  <c r="AY355" i="103"/>
  <c r="AY357" i="103"/>
  <c r="AY347" i="103"/>
  <c r="AY359" i="103"/>
  <c r="AY371" i="103"/>
  <c r="AY360" i="103"/>
  <c r="AY372" i="103"/>
  <c r="AY349" i="103"/>
  <c r="AY374" i="103"/>
  <c r="AY363" i="103"/>
  <c r="AY353" i="103"/>
  <c r="AY366" i="103"/>
  <c r="AY368" i="103"/>
  <c r="AY348" i="103"/>
  <c r="AY350" i="103"/>
  <c r="AY375" i="103"/>
  <c r="AY352" i="103"/>
  <c r="AY356" i="103"/>
  <c r="AY373" i="103"/>
  <c r="AY367" i="103"/>
  <c r="AY369" i="103"/>
  <c r="AY354" i="103"/>
  <c r="AX345" i="103"/>
  <c r="AX346" i="103"/>
  <c r="AX358" i="103"/>
  <c r="AX370" i="103"/>
  <c r="AX359" i="103"/>
  <c r="AX371" i="103"/>
  <c r="AX360" i="103"/>
  <c r="AX349" i="103"/>
  <c r="AX373" i="103"/>
  <c r="AX347" i="103"/>
  <c r="AX372" i="103"/>
  <c r="AX361" i="103"/>
  <c r="AX348" i="103"/>
  <c r="AX350" i="103"/>
  <c r="AX362" i="103"/>
  <c r="AX374" i="103"/>
  <c r="AX365" i="103"/>
  <c r="AX354" i="103"/>
  <c r="AX367" i="103"/>
  <c r="AX357" i="103"/>
  <c r="AX351" i="103"/>
  <c r="AX363" i="103"/>
  <c r="AX375" i="103"/>
  <c r="AX364" i="103"/>
  <c r="AX366" i="103"/>
  <c r="AX355" i="103"/>
  <c r="AX368" i="103"/>
  <c r="AX369" i="103"/>
  <c r="AX352" i="103"/>
  <c r="AX356" i="103"/>
  <c r="AX353" i="103"/>
  <c r="AW345" i="103"/>
  <c r="AW346" i="103"/>
  <c r="AW358" i="103"/>
  <c r="AW370" i="103"/>
  <c r="AW359" i="103"/>
  <c r="AW371" i="103"/>
  <c r="AW360" i="103"/>
  <c r="AW361" i="103"/>
  <c r="AW347" i="103"/>
  <c r="AW372" i="103"/>
  <c r="AW348" i="103"/>
  <c r="AW349" i="103"/>
  <c r="AW350" i="103"/>
  <c r="AW362" i="103"/>
  <c r="AW374" i="103"/>
  <c r="AW368" i="103"/>
  <c r="AW369" i="103"/>
  <c r="AW373" i="103"/>
  <c r="AW351" i="103"/>
  <c r="AW363" i="103"/>
  <c r="AW375" i="103"/>
  <c r="AW364" i="103"/>
  <c r="AW353" i="103"/>
  <c r="AW365" i="103"/>
  <c r="AW354" i="103"/>
  <c r="AW366" i="103"/>
  <c r="AW367" i="103"/>
  <c r="AW356" i="103"/>
  <c r="AW357" i="103"/>
  <c r="AW352" i="103"/>
  <c r="AW355" i="103"/>
  <c r="AV346" i="103"/>
  <c r="AV358" i="103"/>
  <c r="AV370" i="103"/>
  <c r="AV372" i="103"/>
  <c r="AV373" i="103"/>
  <c r="AV362" i="103"/>
  <c r="AV352" i="103"/>
  <c r="AV368" i="103"/>
  <c r="AV347" i="103"/>
  <c r="AV359" i="103"/>
  <c r="AV371" i="103"/>
  <c r="AV360" i="103"/>
  <c r="AV361" i="103"/>
  <c r="AV350" i="103"/>
  <c r="AV374" i="103"/>
  <c r="AV351" i="103"/>
  <c r="AV375" i="103"/>
  <c r="AV353" i="103"/>
  <c r="AV367" i="103"/>
  <c r="AV357" i="103"/>
  <c r="AV348" i="103"/>
  <c r="AV363" i="103"/>
  <c r="AV364" i="103"/>
  <c r="AV354" i="103"/>
  <c r="AV356" i="103"/>
  <c r="AV369" i="103"/>
  <c r="AV349" i="103"/>
  <c r="AV366" i="103"/>
  <c r="AV355" i="103"/>
  <c r="AV365" i="103"/>
  <c r="AV344" i="103"/>
  <c r="AV345" i="103"/>
  <c r="AU346" i="103"/>
  <c r="AU358" i="103"/>
  <c r="AU370" i="103"/>
  <c r="AU360" i="103"/>
  <c r="AU361" i="103"/>
  <c r="AU350" i="103"/>
  <c r="AU374" i="103"/>
  <c r="AU351" i="103"/>
  <c r="AU363" i="103"/>
  <c r="AU352" i="103"/>
  <c r="AU366" i="103"/>
  <c r="AU368" i="103"/>
  <c r="AU357" i="103"/>
  <c r="AU347" i="103"/>
  <c r="AU359" i="103"/>
  <c r="AU371" i="103"/>
  <c r="AU348" i="103"/>
  <c r="AU372" i="103"/>
  <c r="AU349" i="103"/>
  <c r="AU362" i="103"/>
  <c r="AU375" i="103"/>
  <c r="AU364" i="103"/>
  <c r="AU365" i="103"/>
  <c r="AU355" i="103"/>
  <c r="AU369" i="103"/>
  <c r="AU373" i="103"/>
  <c r="AU354" i="103"/>
  <c r="AU367" i="103"/>
  <c r="AU353" i="103"/>
  <c r="AU356" i="103"/>
  <c r="AU344" i="103"/>
  <c r="AU345" i="103"/>
  <c r="AT345" i="103"/>
  <c r="AT346" i="103"/>
  <c r="AT358" i="103"/>
  <c r="AT370" i="103"/>
  <c r="AT372" i="103"/>
  <c r="AT373" i="103"/>
  <c r="AT374" i="103"/>
  <c r="AT351" i="103"/>
  <c r="AT353" i="103"/>
  <c r="AT356" i="103"/>
  <c r="AT347" i="103"/>
  <c r="AT359" i="103"/>
  <c r="AT371" i="103"/>
  <c r="AT360" i="103"/>
  <c r="AT361" i="103"/>
  <c r="AT362" i="103"/>
  <c r="AT375" i="103"/>
  <c r="AT364" i="103"/>
  <c r="AT355" i="103"/>
  <c r="AT368" i="103"/>
  <c r="AT348" i="103"/>
  <c r="AT350" i="103"/>
  <c r="AT352" i="103"/>
  <c r="AT365" i="103"/>
  <c r="AT367" i="103"/>
  <c r="AT369" i="103"/>
  <c r="AT349" i="103"/>
  <c r="AT363" i="103"/>
  <c r="AT366" i="103"/>
  <c r="AT357" i="103"/>
  <c r="AT354" i="103"/>
  <c r="AS345" i="103"/>
  <c r="AS346" i="103"/>
  <c r="AS358" i="103"/>
  <c r="AS370" i="103"/>
  <c r="AS371" i="103"/>
  <c r="AS360" i="103"/>
  <c r="AS361" i="103"/>
  <c r="AS362" i="103"/>
  <c r="AS351" i="103"/>
  <c r="AS352" i="103"/>
  <c r="AS353" i="103"/>
  <c r="AS366" i="103"/>
  <c r="AS368" i="103"/>
  <c r="AS347" i="103"/>
  <c r="AS359" i="103"/>
  <c r="AS372" i="103"/>
  <c r="AS373" i="103"/>
  <c r="AS350" i="103"/>
  <c r="AS374" i="103"/>
  <c r="AS363" i="103"/>
  <c r="AS355" i="103"/>
  <c r="AS348" i="103"/>
  <c r="AS365" i="103"/>
  <c r="AS367" i="103"/>
  <c r="AS357" i="103"/>
  <c r="AS349" i="103"/>
  <c r="AS375" i="103"/>
  <c r="AS364" i="103"/>
  <c r="AS354" i="103"/>
  <c r="AS356" i="103"/>
  <c r="AS369" i="103"/>
  <c r="AR345" i="103"/>
  <c r="AR346" i="103"/>
  <c r="AR358" i="103"/>
  <c r="AR370" i="103"/>
  <c r="AR360" i="103"/>
  <c r="AR361" i="103"/>
  <c r="AR350" i="103"/>
  <c r="AR374" i="103"/>
  <c r="AR375" i="103"/>
  <c r="AR364" i="103"/>
  <c r="AR365" i="103"/>
  <c r="AR354" i="103"/>
  <c r="AR357" i="103"/>
  <c r="AR347" i="103"/>
  <c r="AR359" i="103"/>
  <c r="AR371" i="103"/>
  <c r="AR372" i="103"/>
  <c r="AR349" i="103"/>
  <c r="AR363" i="103"/>
  <c r="AR353" i="103"/>
  <c r="AR366" i="103"/>
  <c r="AR367" i="103"/>
  <c r="AR368" i="103"/>
  <c r="AR369" i="103"/>
  <c r="AR348" i="103"/>
  <c r="AR373" i="103"/>
  <c r="AR362" i="103"/>
  <c r="AR352" i="103"/>
  <c r="AR355" i="103"/>
  <c r="AR351" i="103"/>
  <c r="AR356" i="103"/>
  <c r="AR344" i="103"/>
  <c r="AQ344" i="103"/>
  <c r="AQ345" i="103"/>
  <c r="AP345" i="103"/>
  <c r="AP346" i="103"/>
  <c r="AP358" i="103"/>
  <c r="AP370" i="103"/>
  <c r="AP348" i="103"/>
  <c r="AP372" i="103"/>
  <c r="AP361" i="103"/>
  <c r="AP375" i="103"/>
  <c r="AP364" i="103"/>
  <c r="AP353" i="103"/>
  <c r="AP355" i="103"/>
  <c r="AP347" i="103"/>
  <c r="AP359" i="103"/>
  <c r="AP371" i="103"/>
  <c r="AP360" i="103"/>
  <c r="AP349" i="103"/>
  <c r="AP350" i="103"/>
  <c r="AP374" i="103"/>
  <c r="AP351" i="103"/>
  <c r="AP363" i="103"/>
  <c r="AP352" i="103"/>
  <c r="AP365" i="103"/>
  <c r="AP366" i="103"/>
  <c r="AP367" i="103"/>
  <c r="AP373" i="103"/>
  <c r="AP354" i="103"/>
  <c r="AP356" i="103"/>
  <c r="AP368" i="103"/>
  <c r="AP362" i="103"/>
  <c r="AP357" i="103"/>
  <c r="AP369" i="103"/>
  <c r="AO345" i="103"/>
  <c r="AO346" i="103"/>
  <c r="AO358" i="103"/>
  <c r="AO370" i="103"/>
  <c r="AO359" i="103"/>
  <c r="AO360" i="103"/>
  <c r="AO349" i="103"/>
  <c r="AO373" i="103"/>
  <c r="AO350" i="103"/>
  <c r="AO351" i="103"/>
  <c r="AO375" i="103"/>
  <c r="AO364" i="103"/>
  <c r="AO365" i="103"/>
  <c r="AO366" i="103"/>
  <c r="AO367" i="103"/>
  <c r="AO357" i="103"/>
  <c r="AO347" i="103"/>
  <c r="AO371" i="103"/>
  <c r="AO348" i="103"/>
  <c r="AO372" i="103"/>
  <c r="AO361" i="103"/>
  <c r="AO362" i="103"/>
  <c r="AO363" i="103"/>
  <c r="AO352" i="103"/>
  <c r="AO354" i="103"/>
  <c r="AO356" i="103"/>
  <c r="AO369" i="103"/>
  <c r="AO374" i="103"/>
  <c r="AO355" i="103"/>
  <c r="AO368" i="103"/>
  <c r="AO353" i="103"/>
  <c r="AK345" i="103"/>
  <c r="AK346" i="103"/>
  <c r="AK358" i="103"/>
  <c r="AK370" i="103"/>
  <c r="AK360" i="103"/>
  <c r="AK361" i="103"/>
  <c r="AK373" i="103"/>
  <c r="AK363" i="103"/>
  <c r="AK364" i="103"/>
  <c r="AK354" i="103"/>
  <c r="AK367" i="103"/>
  <c r="AK347" i="103"/>
  <c r="AK359" i="103"/>
  <c r="AK371" i="103"/>
  <c r="AK348" i="103"/>
  <c r="AK372" i="103"/>
  <c r="AK362" i="103"/>
  <c r="AK351" i="103"/>
  <c r="AK352" i="103"/>
  <c r="AK366" i="103"/>
  <c r="AK355" i="103"/>
  <c r="AK349" i="103"/>
  <c r="AK374" i="103"/>
  <c r="AK353" i="103"/>
  <c r="AK368" i="103"/>
  <c r="AK357" i="103"/>
  <c r="AK350" i="103"/>
  <c r="AK365" i="103"/>
  <c r="AK356" i="103"/>
  <c r="AK375" i="103"/>
  <c r="AK369" i="103"/>
  <c r="AJ345" i="103"/>
  <c r="AJ346" i="103"/>
  <c r="AJ358" i="103"/>
  <c r="AJ370" i="103"/>
  <c r="AJ372" i="103"/>
  <c r="AJ361" i="103"/>
  <c r="AJ373" i="103"/>
  <c r="AJ362" i="103"/>
  <c r="AJ351" i="103"/>
  <c r="AJ365" i="103"/>
  <c r="AJ355" i="103"/>
  <c r="AJ368" i="103"/>
  <c r="AJ347" i="103"/>
  <c r="AJ359" i="103"/>
  <c r="AJ371" i="103"/>
  <c r="AJ360" i="103"/>
  <c r="AJ349" i="103"/>
  <c r="AJ350" i="103"/>
  <c r="AJ375" i="103"/>
  <c r="AJ352" i="103"/>
  <c r="AJ366" i="103"/>
  <c r="AJ356" i="103"/>
  <c r="AJ357" i="103"/>
  <c r="AJ348" i="103"/>
  <c r="AJ374" i="103"/>
  <c r="AJ363" i="103"/>
  <c r="AJ353" i="103"/>
  <c r="AJ367" i="103"/>
  <c r="AJ364" i="103"/>
  <c r="AJ354" i="103"/>
  <c r="AJ369" i="103"/>
  <c r="AI345" i="103"/>
  <c r="AI346" i="103"/>
  <c r="AI358" i="103"/>
  <c r="AI370" i="103"/>
  <c r="AI347" i="103"/>
  <c r="AI359" i="103"/>
  <c r="AI371" i="103"/>
  <c r="AI360" i="103"/>
  <c r="AI372" i="103"/>
  <c r="AI361" i="103"/>
  <c r="AI362" i="103"/>
  <c r="AI363" i="103"/>
  <c r="AI352" i="103"/>
  <c r="AI366" i="103"/>
  <c r="AI368" i="103"/>
  <c r="AI369" i="103"/>
  <c r="AI348" i="103"/>
  <c r="AI373" i="103"/>
  <c r="AI351" i="103"/>
  <c r="AI364" i="103"/>
  <c r="AI365" i="103"/>
  <c r="AI356" i="103"/>
  <c r="AI349" i="103"/>
  <c r="AI374" i="103"/>
  <c r="AI375" i="103"/>
  <c r="AI353" i="103"/>
  <c r="AI354" i="103"/>
  <c r="AI367" i="103"/>
  <c r="AI357" i="103"/>
  <c r="AI350" i="103"/>
  <c r="AI355" i="103"/>
  <c r="AH345" i="103"/>
  <c r="AH346" i="103"/>
  <c r="AH359" i="103"/>
  <c r="AH347" i="103"/>
  <c r="AH348" i="103"/>
  <c r="AH349" i="103"/>
  <c r="AH361" i="103"/>
  <c r="AH373" i="103"/>
  <c r="AH351" i="103"/>
  <c r="AH375" i="103"/>
  <c r="AH364" i="103"/>
  <c r="AH354" i="103"/>
  <c r="AH355" i="103"/>
  <c r="AH368" i="103"/>
  <c r="AH357" i="103"/>
  <c r="AH358" i="103"/>
  <c r="AH371" i="103"/>
  <c r="AH372" i="103"/>
  <c r="AH350" i="103"/>
  <c r="AH362" i="103"/>
  <c r="AH374" i="103"/>
  <c r="AH363" i="103"/>
  <c r="AH352" i="103"/>
  <c r="AH353" i="103"/>
  <c r="AH365" i="103"/>
  <c r="AH366" i="103"/>
  <c r="AH356" i="103"/>
  <c r="AH369" i="103"/>
  <c r="AH370" i="103"/>
  <c r="AH360" i="103"/>
  <c r="AH367" i="103"/>
  <c r="AG345" i="103"/>
  <c r="AG346" i="103"/>
  <c r="AG358" i="103"/>
  <c r="AG370" i="103"/>
  <c r="AG360" i="103"/>
  <c r="AG372" i="103"/>
  <c r="AG373" i="103"/>
  <c r="AG362" i="103"/>
  <c r="AG374" i="103"/>
  <c r="AG363" i="103"/>
  <c r="AG375" i="103"/>
  <c r="AG364" i="103"/>
  <c r="AG366" i="103"/>
  <c r="AG356" i="103"/>
  <c r="AG347" i="103"/>
  <c r="AG359" i="103"/>
  <c r="AG371" i="103"/>
  <c r="AG361" i="103"/>
  <c r="AG350" i="103"/>
  <c r="AG351" i="103"/>
  <c r="AG365" i="103"/>
  <c r="AG354" i="103"/>
  <c r="AG368" i="103"/>
  <c r="AG369" i="103"/>
  <c r="AG348" i="103"/>
  <c r="AG352" i="103"/>
  <c r="AG367" i="103"/>
  <c r="AG357" i="103"/>
  <c r="AG349" i="103"/>
  <c r="AG355" i="103"/>
  <c r="AG353" i="103"/>
  <c r="AF345" i="103"/>
  <c r="AF346" i="103"/>
  <c r="AF358" i="103"/>
  <c r="AF370" i="103"/>
  <c r="AF372" i="103"/>
  <c r="AF373" i="103"/>
  <c r="AF374" i="103"/>
  <c r="AF363" i="103"/>
  <c r="AF375" i="103"/>
  <c r="AF364" i="103"/>
  <c r="AF365" i="103"/>
  <c r="AF355" i="103"/>
  <c r="AF357" i="103"/>
  <c r="AF347" i="103"/>
  <c r="AF359" i="103"/>
  <c r="AF371" i="103"/>
  <c r="AF361" i="103"/>
  <c r="AF350" i="103"/>
  <c r="AF351" i="103"/>
  <c r="AF353" i="103"/>
  <c r="AF354" i="103"/>
  <c r="AF367" i="103"/>
  <c r="AF369" i="103"/>
  <c r="AF348" i="103"/>
  <c r="AF360" i="103"/>
  <c r="AF362" i="103"/>
  <c r="AF352" i="103"/>
  <c r="AF366" i="103"/>
  <c r="AF356" i="103"/>
  <c r="AF349" i="103"/>
  <c r="AF368" i="103"/>
  <c r="AE345" i="103"/>
  <c r="AE346" i="103"/>
  <c r="AE358" i="103"/>
  <c r="AE370" i="103"/>
  <c r="AE347" i="103"/>
  <c r="AE359" i="103"/>
  <c r="AE371" i="103"/>
  <c r="AE348" i="103"/>
  <c r="AE360" i="103"/>
  <c r="AE372" i="103"/>
  <c r="AE373" i="103"/>
  <c r="AE350" i="103"/>
  <c r="AE362" i="103"/>
  <c r="AE351" i="103"/>
  <c r="AE363" i="103"/>
  <c r="AE352" i="103"/>
  <c r="AE354" i="103"/>
  <c r="AE368" i="103"/>
  <c r="AE357" i="103"/>
  <c r="AE369" i="103"/>
  <c r="AE349" i="103"/>
  <c r="AE361" i="103"/>
  <c r="AE374" i="103"/>
  <c r="AE375" i="103"/>
  <c r="AE364" i="103"/>
  <c r="AE365" i="103"/>
  <c r="AE366" i="103"/>
  <c r="AE355" i="103"/>
  <c r="AE356" i="103"/>
  <c r="AE353" i="103"/>
  <c r="AE367" i="103"/>
  <c r="AD345" i="103"/>
  <c r="AD346" i="103"/>
  <c r="AD358" i="103"/>
  <c r="AD370" i="103"/>
  <c r="AD347" i="103"/>
  <c r="AD359" i="103"/>
  <c r="AD371" i="103"/>
  <c r="AD348" i="103"/>
  <c r="AD360" i="103"/>
  <c r="AD372" i="103"/>
  <c r="AD361" i="103"/>
  <c r="AD373" i="103"/>
  <c r="AD350" i="103"/>
  <c r="AD362" i="103"/>
  <c r="AD374" i="103"/>
  <c r="AD363" i="103"/>
  <c r="AD375" i="103"/>
  <c r="AD352" i="103"/>
  <c r="AD353" i="103"/>
  <c r="AD366" i="103"/>
  <c r="AD367" i="103"/>
  <c r="AD368" i="103"/>
  <c r="AD357" i="103"/>
  <c r="AD349" i="103"/>
  <c r="AD351" i="103"/>
  <c r="AD364" i="103"/>
  <c r="AD354" i="103"/>
  <c r="AD355" i="103"/>
  <c r="AD369" i="103"/>
  <c r="AD365" i="103"/>
  <c r="AD356" i="103"/>
  <c r="V345" i="103"/>
  <c r="V346" i="103"/>
  <c r="V358" i="103"/>
  <c r="V370" i="103"/>
  <c r="V372" i="103"/>
  <c r="V373" i="103"/>
  <c r="V351" i="103"/>
  <c r="V355" i="103"/>
  <c r="V357" i="103"/>
  <c r="V347" i="103"/>
  <c r="V359" i="103"/>
  <c r="V371" i="103"/>
  <c r="V360" i="103"/>
  <c r="V350" i="103"/>
  <c r="V362" i="103"/>
  <c r="V364" i="103"/>
  <c r="V365" i="103"/>
  <c r="V366" i="103"/>
  <c r="V356" i="103"/>
  <c r="V348" i="103"/>
  <c r="V361" i="103"/>
  <c r="V374" i="103"/>
  <c r="V363" i="103"/>
  <c r="V352" i="103"/>
  <c r="V354" i="103"/>
  <c r="V367" i="103"/>
  <c r="V369" i="103"/>
  <c r="V349" i="103"/>
  <c r="V375" i="103"/>
  <c r="V353" i="103"/>
  <c r="V368" i="103"/>
  <c r="T345" i="103"/>
  <c r="T346" i="103"/>
  <c r="T358" i="103"/>
  <c r="T370" i="103"/>
  <c r="T372" i="103"/>
  <c r="T361" i="103"/>
  <c r="T362" i="103"/>
  <c r="T351" i="103"/>
  <c r="T364" i="103"/>
  <c r="T354" i="103"/>
  <c r="T356" i="103"/>
  <c r="T347" i="103"/>
  <c r="T359" i="103"/>
  <c r="T371" i="103"/>
  <c r="T360" i="103"/>
  <c r="T373" i="103"/>
  <c r="T350" i="103"/>
  <c r="T375" i="103"/>
  <c r="T352" i="103"/>
  <c r="T367" i="103"/>
  <c r="T357" i="103"/>
  <c r="T348" i="103"/>
  <c r="T374" i="103"/>
  <c r="T363" i="103"/>
  <c r="T365" i="103"/>
  <c r="T366" i="103"/>
  <c r="T369" i="103"/>
  <c r="T349" i="103"/>
  <c r="T353" i="103"/>
  <c r="T355" i="103"/>
  <c r="T368" i="103"/>
  <c r="S345" i="103"/>
  <c r="S346" i="103"/>
  <c r="S358" i="103"/>
  <c r="S370" i="103"/>
  <c r="S372" i="103"/>
  <c r="S361" i="103"/>
  <c r="S374" i="103"/>
  <c r="S375" i="103"/>
  <c r="S364" i="103"/>
  <c r="S354" i="103"/>
  <c r="S357" i="103"/>
  <c r="S347" i="103"/>
  <c r="S359" i="103"/>
  <c r="S371" i="103"/>
  <c r="S360" i="103"/>
  <c r="S349" i="103"/>
  <c r="S373" i="103"/>
  <c r="S350" i="103"/>
  <c r="S362" i="103"/>
  <c r="S352" i="103"/>
  <c r="S365" i="103"/>
  <c r="S366" i="103"/>
  <c r="S367" i="103"/>
  <c r="S368" i="103"/>
  <c r="S348" i="103"/>
  <c r="S351" i="103"/>
  <c r="S353" i="103"/>
  <c r="S355" i="103"/>
  <c r="S356" i="103"/>
  <c r="S369" i="103"/>
  <c r="S363" i="103"/>
  <c r="Q345" i="103"/>
  <c r="Q346" i="103"/>
  <c r="Q358" i="103"/>
  <c r="Q370" i="103"/>
  <c r="Q361" i="103"/>
  <c r="Q362" i="103"/>
  <c r="Q375" i="103"/>
  <c r="Q352" i="103"/>
  <c r="Q365" i="103"/>
  <c r="Q366" i="103"/>
  <c r="Q357" i="103"/>
  <c r="Q347" i="103"/>
  <c r="Q359" i="103"/>
  <c r="Q371" i="103"/>
  <c r="Q372" i="103"/>
  <c r="Q349" i="103"/>
  <c r="Q373" i="103"/>
  <c r="Q351" i="103"/>
  <c r="Q364" i="103"/>
  <c r="Q353" i="103"/>
  <c r="Q354" i="103"/>
  <c r="Q356" i="103"/>
  <c r="Q348" i="103"/>
  <c r="Q360" i="103"/>
  <c r="Q350" i="103"/>
  <c r="Q363" i="103"/>
  <c r="Q367" i="103"/>
  <c r="Q368" i="103"/>
  <c r="Q374" i="103"/>
  <c r="Q355" i="103"/>
  <c r="Q369" i="103"/>
  <c r="P345" i="103"/>
  <c r="P346" i="103"/>
  <c r="P347" i="103"/>
  <c r="P348" i="103"/>
  <c r="P349" i="103"/>
  <c r="P375" i="103"/>
  <c r="P355" i="103"/>
  <c r="P350" i="103"/>
  <c r="P354" i="103"/>
  <c r="P351" i="103"/>
  <c r="N345" i="103"/>
  <c r="N346" i="103"/>
  <c r="N358" i="103"/>
  <c r="N370" i="103"/>
  <c r="N360" i="103"/>
  <c r="N372" i="103"/>
  <c r="N361" i="103"/>
  <c r="N373" i="103"/>
  <c r="N374" i="103"/>
  <c r="N351" i="103"/>
  <c r="N375" i="103"/>
  <c r="N353" i="103"/>
  <c r="N355" i="103"/>
  <c r="N368" i="103"/>
  <c r="N357" i="103"/>
  <c r="N347" i="103"/>
  <c r="N359" i="103"/>
  <c r="N371" i="103"/>
  <c r="N349" i="103"/>
  <c r="N350" i="103"/>
  <c r="N352" i="103"/>
  <c r="N366" i="103"/>
  <c r="N367" i="103"/>
  <c r="N369" i="103"/>
  <c r="N348" i="103"/>
  <c r="N362" i="103"/>
  <c r="N364" i="103"/>
  <c r="N354" i="103"/>
  <c r="N356" i="103"/>
  <c r="N363" i="103"/>
  <c r="N365" i="103"/>
  <c r="I345" i="103"/>
  <c r="I346" i="103"/>
  <c r="I358" i="103"/>
  <c r="I370" i="103"/>
  <c r="I349" i="103"/>
  <c r="I374" i="103"/>
  <c r="I351" i="103"/>
  <c r="I352" i="103"/>
  <c r="I367" i="103"/>
  <c r="I347" i="103"/>
  <c r="I359" i="103"/>
  <c r="I371" i="103"/>
  <c r="I372" i="103"/>
  <c r="I373" i="103"/>
  <c r="I350" i="103"/>
  <c r="I353" i="103"/>
  <c r="I366" i="103"/>
  <c r="I368" i="103"/>
  <c r="I348" i="103"/>
  <c r="I360" i="103"/>
  <c r="I361" i="103"/>
  <c r="I362" i="103"/>
  <c r="I363" i="103"/>
  <c r="I364" i="103"/>
  <c r="I365" i="103"/>
  <c r="I354" i="103"/>
  <c r="I355" i="103"/>
  <c r="I356" i="103"/>
  <c r="I375" i="103"/>
  <c r="I357" i="103"/>
  <c r="I369" i="103"/>
  <c r="G345" i="103"/>
  <c r="G346" i="103"/>
  <c r="G358" i="103"/>
  <c r="G370" i="103"/>
  <c r="G372" i="103"/>
  <c r="G373" i="103"/>
  <c r="G374" i="103"/>
  <c r="G375" i="103"/>
  <c r="G352" i="103"/>
  <c r="G354" i="103"/>
  <c r="G367" i="103"/>
  <c r="G357" i="103"/>
  <c r="G347" i="103"/>
  <c r="G359" i="103"/>
  <c r="G371" i="103"/>
  <c r="G360" i="103"/>
  <c r="G350" i="103"/>
  <c r="G351" i="103"/>
  <c r="G365" i="103"/>
  <c r="G356" i="103"/>
  <c r="G348" i="103"/>
  <c r="G361" i="103"/>
  <c r="G362" i="103"/>
  <c r="G363" i="103"/>
  <c r="G364" i="103"/>
  <c r="G368" i="103"/>
  <c r="G349" i="103"/>
  <c r="G353" i="103"/>
  <c r="G355" i="103"/>
  <c r="G369" i="103"/>
  <c r="G366" i="103"/>
  <c r="CS342" i="103"/>
  <c r="BH332" i="103"/>
  <c r="BH337" i="103"/>
  <c r="BH333" i="103"/>
  <c r="BH338" i="103"/>
  <c r="BH339" i="103"/>
  <c r="BH340" i="103"/>
  <c r="BH334" i="103"/>
  <c r="BH336" i="103"/>
  <c r="BH341" i="103"/>
  <c r="BH335" i="103"/>
  <c r="BH342" i="103"/>
  <c r="BH323" i="103"/>
  <c r="BH327" i="103"/>
  <c r="BH331" i="103"/>
  <c r="BH324" i="103"/>
  <c r="BH329" i="103"/>
  <c r="BH343" i="103"/>
  <c r="BH325" i="103"/>
  <c r="BH328" i="103"/>
  <c r="BH344" i="103"/>
  <c r="BH326" i="103"/>
  <c r="BH330" i="103"/>
  <c r="BH322" i="103"/>
  <c r="L47" i="68"/>
  <c r="M47" i="68"/>
  <c r="L43" i="68"/>
  <c r="L45" i="68"/>
  <c r="N47" i="68"/>
  <c r="M43" i="68"/>
  <c r="N43" i="68"/>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BW255" i="103"/>
  <c r="BY257" i="103"/>
  <c r="CA259" i="103"/>
  <c r="BX262" i="103"/>
  <c r="BZ264" i="103"/>
  <c r="BW267" i="103"/>
  <c r="BY269" i="103"/>
  <c r="CA271" i="103"/>
  <c r="BX274" i="103"/>
  <c r="BZ276" i="103"/>
  <c r="BW279" i="103"/>
  <c r="BY281" i="103"/>
  <c r="CA283" i="103"/>
  <c r="BW277" i="103"/>
  <c r="BZ255" i="103"/>
  <c r="BY260" i="103"/>
  <c r="CA262" i="103"/>
  <c r="BZ267" i="103"/>
  <c r="BW270" i="103"/>
  <c r="CA274" i="103"/>
  <c r="CA279" i="103"/>
  <c r="BY270" i="103"/>
  <c r="BZ277" i="103"/>
  <c r="BZ258" i="103"/>
  <c r="BX268" i="103"/>
  <c r="CA277" i="103"/>
  <c r="CA258" i="103"/>
  <c r="CA270" i="103"/>
  <c r="BY280" i="103"/>
  <c r="BX266" i="103"/>
  <c r="BX278" i="103"/>
  <c r="BZ261" i="103"/>
  <c r="BX271" i="103"/>
  <c r="CA280" i="103"/>
  <c r="BY259" i="103"/>
  <c r="CA273" i="103"/>
  <c r="BZ259" i="103"/>
  <c r="BZ271" i="103"/>
  <c r="BX255" i="103"/>
  <c r="BZ257" i="103"/>
  <c r="BW260" i="103"/>
  <c r="BY262" i="103"/>
  <c r="CA264" i="103"/>
  <c r="BX267" i="103"/>
  <c r="BZ269" i="103"/>
  <c r="BW272" i="103"/>
  <c r="BY274" i="103"/>
  <c r="CA276" i="103"/>
  <c r="BX279" i="103"/>
  <c r="BZ281" i="103"/>
  <c r="BY255" i="103"/>
  <c r="CA257" i="103"/>
  <c r="BX260" i="103"/>
  <c r="BZ262" i="103"/>
  <c r="BW265" i="103"/>
  <c r="BY267" i="103"/>
  <c r="CA269" i="103"/>
  <c r="BX272" i="103"/>
  <c r="BZ274" i="103"/>
  <c r="BY279" i="103"/>
  <c r="CA281" i="103"/>
  <c r="BW258" i="103"/>
  <c r="BX265" i="103"/>
  <c r="BY272" i="103"/>
  <c r="BX277" i="103"/>
  <c r="BZ279" i="103"/>
  <c r="BW282" i="103"/>
  <c r="BX263" i="103"/>
  <c r="BX275" i="103"/>
  <c r="BW261" i="103"/>
  <c r="BX261" i="103"/>
  <c r="BX273" i="103"/>
  <c r="BY261" i="103"/>
  <c r="BW283" i="103"/>
  <c r="CA268" i="103"/>
  <c r="BW257" i="103"/>
  <c r="CA266" i="103"/>
  <c r="BZ283" i="103"/>
  <c r="BW264" i="103"/>
  <c r="CA255" i="103"/>
  <c r="BX258" i="103"/>
  <c r="BZ260" i="103"/>
  <c r="BW263" i="103"/>
  <c r="BY265" i="103"/>
  <c r="CA267" i="103"/>
  <c r="BX270" i="103"/>
  <c r="BZ272" i="103"/>
  <c r="BW275" i="103"/>
  <c r="BY277" i="103"/>
  <c r="BX282" i="103"/>
  <c r="BZ265" i="103"/>
  <c r="CA272" i="103"/>
  <c r="BW280" i="103"/>
  <c r="BY263" i="103"/>
  <c r="BZ270" i="103"/>
  <c r="BX280" i="103"/>
  <c r="BY256" i="103"/>
  <c r="BY268" i="103"/>
  <c r="BW278" i="103"/>
  <c r="BW259" i="103"/>
  <c r="BZ268" i="103"/>
  <c r="CA275" i="103"/>
  <c r="BX259" i="103"/>
  <c r="BW276" i="103"/>
  <c r="CA261" i="103"/>
  <c r="BY271" i="103"/>
  <c r="BW281" i="103"/>
  <c r="BX269" i="103"/>
  <c r="BX281" i="103"/>
  <c r="BW256" i="103"/>
  <c r="BY258" i="103"/>
  <c r="CA260" i="103"/>
  <c r="BW268" i="103"/>
  <c r="BY282" i="103"/>
  <c r="BW273" i="103"/>
  <c r="BZ282" i="103"/>
  <c r="BW266" i="103"/>
  <c r="CA282" i="103"/>
  <c r="CA263" i="103"/>
  <c r="BZ280" i="103"/>
  <c r="BY266" i="103"/>
  <c r="BY278" i="103"/>
  <c r="BW269" i="103"/>
  <c r="BZ278" i="103"/>
  <c r="BY264" i="103"/>
  <c r="BY276" i="103"/>
  <c r="BX256" i="103"/>
  <c r="CA265" i="103"/>
  <c r="BY275" i="103"/>
  <c r="BZ263" i="103"/>
  <c r="BZ275" i="103"/>
  <c r="BZ256" i="103"/>
  <c r="BW271" i="103"/>
  <c r="CA256" i="103"/>
  <c r="BZ273" i="103"/>
  <c r="BX264" i="103"/>
  <c r="BX276" i="103"/>
  <c r="BW262" i="103"/>
  <c r="BW274" i="103"/>
  <c r="BY273" i="103"/>
  <c r="BX283" i="103"/>
  <c r="BZ266" i="103"/>
  <c r="BY283" i="103"/>
  <c r="CA278" i="103"/>
  <c r="BX257" i="103"/>
  <c r="BZ254" i="103"/>
  <c r="CA254" i="103"/>
  <c r="BX254" i="103"/>
  <c r="BY254" i="103"/>
  <c r="BV283" i="103"/>
  <c r="BW254" i="103"/>
  <c r="BV254" i="103"/>
  <c r="BV255" i="103"/>
  <c r="BV267" i="103"/>
  <c r="BV279" i="103"/>
  <c r="BV269" i="103"/>
  <c r="BV258" i="103"/>
  <c r="BV282" i="103"/>
  <c r="BV271" i="103"/>
  <c r="BV272" i="103"/>
  <c r="BV261" i="103"/>
  <c r="BV273" i="103"/>
  <c r="BV274" i="103"/>
  <c r="BV275" i="103"/>
  <c r="BV264" i="103"/>
  <c r="BV265" i="103"/>
  <c r="BV256" i="103"/>
  <c r="BV268" i="103"/>
  <c r="BV280" i="103"/>
  <c r="BV257" i="103"/>
  <c r="BV281" i="103"/>
  <c r="BV270" i="103"/>
  <c r="BV259" i="103"/>
  <c r="BV260" i="103"/>
  <c r="BV263" i="103"/>
  <c r="BV276" i="103"/>
  <c r="BV277" i="103"/>
  <c r="BV278" i="103"/>
  <c r="BV262" i="103"/>
  <c r="BV266" i="103"/>
  <c r="BH11" i="103"/>
  <c r="BH20" i="103"/>
  <c r="BH23" i="103"/>
  <c r="BH26" i="103"/>
  <c r="BH29" i="103"/>
  <c r="BH32" i="103"/>
  <c r="BH35" i="103"/>
  <c r="BH38" i="103"/>
  <c r="BH41" i="103"/>
  <c r="BH44" i="103"/>
  <c r="BH47" i="103"/>
  <c r="BH50" i="103"/>
  <c r="BH53" i="103"/>
  <c r="BH56" i="103"/>
  <c r="BH59" i="103"/>
  <c r="BH62" i="103"/>
  <c r="BH65" i="103"/>
  <c r="BH68" i="103"/>
  <c r="BH71" i="103"/>
  <c r="BH74" i="103"/>
  <c r="BH77" i="103"/>
  <c r="BH80" i="103"/>
  <c r="BH83" i="103"/>
  <c r="BH86" i="103"/>
  <c r="BH89" i="103"/>
  <c r="BH92" i="103"/>
  <c r="BH95" i="103"/>
  <c r="BH98" i="103"/>
  <c r="BH101" i="103"/>
  <c r="BH104" i="103"/>
  <c r="BH107" i="103"/>
  <c r="BH110" i="103"/>
  <c r="BH113" i="103"/>
  <c r="BH116" i="103"/>
  <c r="BH119" i="103"/>
  <c r="BH122" i="103"/>
  <c r="BH125" i="103"/>
  <c r="BH128" i="103"/>
  <c r="BH131" i="103"/>
  <c r="BH134" i="103"/>
  <c r="BH137" i="103"/>
  <c r="BH140" i="103"/>
  <c r="BH143" i="103"/>
  <c r="BH146" i="103"/>
  <c r="BH149" i="103"/>
  <c r="BH152" i="103"/>
  <c r="BH155" i="103"/>
  <c r="BH158" i="103"/>
  <c r="BH161" i="103"/>
  <c r="BH164" i="103"/>
  <c r="BH167" i="103"/>
  <c r="BH170" i="103"/>
  <c r="BH173" i="103"/>
  <c r="BH176" i="103"/>
  <c r="BH179" i="103"/>
  <c r="BH182" i="103"/>
  <c r="BH185" i="103"/>
  <c r="BH188" i="103"/>
  <c r="BH191" i="103"/>
  <c r="BH194" i="103"/>
  <c r="BH197" i="103"/>
  <c r="BH200" i="103"/>
  <c r="BH203" i="103"/>
  <c r="BH206" i="103"/>
  <c r="BH209" i="103"/>
  <c r="BH212" i="103"/>
  <c r="BH215" i="103"/>
  <c r="BH218" i="103"/>
  <c r="BH221" i="103"/>
  <c r="BH224" i="103"/>
  <c r="BH227" i="103"/>
  <c r="BH230" i="103"/>
  <c r="BH233" i="103"/>
  <c r="BH236" i="103"/>
  <c r="BH239" i="103"/>
  <c r="BH242" i="103"/>
  <c r="BH245" i="103"/>
  <c r="BH248" i="103"/>
  <c r="BH251" i="103"/>
  <c r="BH254" i="103"/>
  <c r="BH257" i="103"/>
  <c r="BH260" i="103"/>
  <c r="BH263" i="103"/>
  <c r="BI131" i="103"/>
  <c r="BI134" i="103"/>
  <c r="BI137" i="103"/>
  <c r="BI140" i="103"/>
  <c r="BI143" i="103"/>
  <c r="BI146" i="103"/>
  <c r="BI149" i="103"/>
  <c r="BI152" i="103"/>
  <c r="BI155" i="103"/>
  <c r="BI158" i="103"/>
  <c r="BI161" i="103"/>
  <c r="BJ131" i="103"/>
  <c r="BJ134" i="103"/>
  <c r="BJ137" i="103"/>
  <c r="BJ140" i="103"/>
  <c r="BJ143" i="103"/>
  <c r="BJ146" i="103"/>
  <c r="BJ149" i="103"/>
  <c r="BJ152" i="103"/>
  <c r="BJ155" i="103"/>
  <c r="BJ158" i="103"/>
  <c r="BJ161" i="103"/>
  <c r="BK131" i="103"/>
  <c r="BK134" i="103"/>
  <c r="BK137" i="103"/>
  <c r="BK140" i="103"/>
  <c r="BK143" i="103"/>
  <c r="BK146" i="103"/>
  <c r="BK149" i="103"/>
  <c r="BK152" i="103"/>
  <c r="BK155" i="103"/>
  <c r="BK158" i="103"/>
  <c r="BK161" i="103"/>
  <c r="BK164" i="103"/>
  <c r="BK167" i="103"/>
  <c r="BK170" i="103"/>
  <c r="BK173" i="103"/>
  <c r="BK176" i="103"/>
  <c r="BK179" i="103"/>
  <c r="BK182" i="103"/>
  <c r="BK185" i="103"/>
  <c r="BK188" i="103"/>
  <c r="BK191" i="103"/>
  <c r="BH18" i="103"/>
  <c r="BH21" i="103"/>
  <c r="BH24" i="103"/>
  <c r="BH27" i="103"/>
  <c r="BH30" i="103"/>
  <c r="BH33" i="103"/>
  <c r="BH36" i="103"/>
  <c r="BH39" i="103"/>
  <c r="BH42" i="103"/>
  <c r="BH45" i="103"/>
  <c r="BH48" i="103"/>
  <c r="BH51" i="103"/>
  <c r="BH54" i="103"/>
  <c r="BH57" i="103"/>
  <c r="BH60" i="103"/>
  <c r="BH63" i="103"/>
  <c r="BH66" i="103"/>
  <c r="BH69" i="103"/>
  <c r="BH72" i="103"/>
  <c r="BH75" i="103"/>
  <c r="BH78" i="103"/>
  <c r="BH81" i="103"/>
  <c r="BH84" i="103"/>
  <c r="BH87" i="103"/>
  <c r="BH90" i="103"/>
  <c r="BH93" i="103"/>
  <c r="BH96" i="103"/>
  <c r="BH99" i="103"/>
  <c r="BH102" i="103"/>
  <c r="BH105" i="103"/>
  <c r="BH108" i="103"/>
  <c r="BH111" i="103"/>
  <c r="BH114" i="103"/>
  <c r="BH117" i="103"/>
  <c r="BH120" i="103"/>
  <c r="BH123" i="103"/>
  <c r="BH126" i="103"/>
  <c r="BH129" i="103"/>
  <c r="BH132" i="103"/>
  <c r="BH135" i="103"/>
  <c r="BH138" i="103"/>
  <c r="BH141" i="103"/>
  <c r="BH144" i="103"/>
  <c r="BH147" i="103"/>
  <c r="BH150" i="103"/>
  <c r="BH153" i="103"/>
  <c r="BH156" i="103"/>
  <c r="BH159" i="103"/>
  <c r="BH162" i="103"/>
  <c r="BH165" i="103"/>
  <c r="BH168" i="103"/>
  <c r="BH171" i="103"/>
  <c r="BH174" i="103"/>
  <c r="BH177" i="103"/>
  <c r="BH180" i="103"/>
  <c r="BH183" i="103"/>
  <c r="BH186" i="103"/>
  <c r="BH189" i="103"/>
  <c r="BH192" i="103"/>
  <c r="BH195" i="103"/>
  <c r="BH198" i="103"/>
  <c r="BH201" i="103"/>
  <c r="BH204" i="103"/>
  <c r="BH207" i="103"/>
  <c r="BH210" i="103"/>
  <c r="BH213" i="103"/>
  <c r="BH216" i="103"/>
  <c r="BH219" i="103"/>
  <c r="BH222" i="103"/>
  <c r="BH225" i="103"/>
  <c r="BH228" i="103"/>
  <c r="BH231" i="103"/>
  <c r="BH234" i="103"/>
  <c r="BH237" i="103"/>
  <c r="BH240" i="103"/>
  <c r="BH243" i="103"/>
  <c r="BH246" i="103"/>
  <c r="BH249" i="103"/>
  <c r="BH252" i="103"/>
  <c r="BH255" i="103"/>
  <c r="BH258" i="103"/>
  <c r="BH261" i="103"/>
  <c r="BH264" i="103"/>
  <c r="BI132" i="103"/>
  <c r="BI135" i="103"/>
  <c r="BI138" i="103"/>
  <c r="BI141" i="103"/>
  <c r="BI144" i="103"/>
  <c r="BI147" i="103"/>
  <c r="BI150" i="103"/>
  <c r="BI153" i="103"/>
  <c r="BI156" i="103"/>
  <c r="BI159" i="103"/>
  <c r="BJ132" i="103"/>
  <c r="BJ135" i="103"/>
  <c r="BJ138" i="103"/>
  <c r="BJ141" i="103"/>
  <c r="BJ144" i="103"/>
  <c r="BJ147" i="103"/>
  <c r="BJ150" i="103"/>
  <c r="BJ153" i="103"/>
  <c r="BJ156" i="103"/>
  <c r="BJ159" i="103"/>
  <c r="BK132" i="103"/>
  <c r="BK135" i="103"/>
  <c r="BK138" i="103"/>
  <c r="BK141" i="103"/>
  <c r="BK144" i="103"/>
  <c r="BK147" i="103"/>
  <c r="BK150" i="103"/>
  <c r="BK153" i="103"/>
  <c r="BK156" i="103"/>
  <c r="BK159" i="103"/>
  <c r="BK162" i="103"/>
  <c r="BK165" i="103"/>
  <c r="BK168" i="103"/>
  <c r="BK171" i="103"/>
  <c r="BK174" i="103"/>
  <c r="BK177" i="103"/>
  <c r="BK180" i="103"/>
  <c r="BK183" i="103"/>
  <c r="BK186" i="103"/>
  <c r="BK189" i="103"/>
  <c r="BH19" i="103"/>
  <c r="BH22" i="103"/>
  <c r="BH25" i="103"/>
  <c r="BH28" i="103"/>
  <c r="BH31" i="103"/>
  <c r="BH34" i="103"/>
  <c r="BH37" i="103"/>
  <c r="BH40" i="103"/>
  <c r="BH43" i="103"/>
  <c r="BH46" i="103"/>
  <c r="BH49" i="103"/>
  <c r="BH52" i="103"/>
  <c r="BH55" i="103"/>
  <c r="BH58" i="103"/>
  <c r="BH61" i="103"/>
  <c r="BH64" i="103"/>
  <c r="BH67" i="103"/>
  <c r="BH70" i="103"/>
  <c r="BH73" i="103"/>
  <c r="BI133" i="103"/>
  <c r="BI136" i="103"/>
  <c r="BI139" i="103"/>
  <c r="BI142" i="103"/>
  <c r="BI145" i="103"/>
  <c r="BI148" i="103"/>
  <c r="BI151" i="103"/>
  <c r="BI154" i="103"/>
  <c r="BI157" i="103"/>
  <c r="BI160" i="103"/>
  <c r="BK142" i="103"/>
  <c r="BK154" i="103"/>
  <c r="BK166" i="103"/>
  <c r="BK178" i="103"/>
  <c r="BK190" i="103"/>
  <c r="BH268" i="103"/>
  <c r="BH271" i="103"/>
  <c r="BH274" i="103"/>
  <c r="BH277" i="103"/>
  <c r="BH280" i="103"/>
  <c r="BH283" i="103"/>
  <c r="BH286" i="103"/>
  <c r="BH289" i="103"/>
  <c r="BH292" i="103"/>
  <c r="BH295" i="103"/>
  <c r="BH298" i="103"/>
  <c r="BH301" i="103"/>
  <c r="BH304" i="103"/>
  <c r="BH307" i="103"/>
  <c r="BH310" i="103"/>
  <c r="BH313" i="103"/>
  <c r="BH316" i="103"/>
  <c r="BH319" i="103"/>
  <c r="BH85" i="103"/>
  <c r="BH97" i="103"/>
  <c r="BH109" i="103"/>
  <c r="BH121" i="103"/>
  <c r="BH133" i="103"/>
  <c r="BH145" i="103"/>
  <c r="BH157" i="103"/>
  <c r="BH169" i="103"/>
  <c r="BH181" i="103"/>
  <c r="BH193" i="103"/>
  <c r="BH205" i="103"/>
  <c r="BH217" i="103"/>
  <c r="BH229" i="103"/>
  <c r="BH241" i="103"/>
  <c r="BH253" i="103"/>
  <c r="BH265" i="103"/>
  <c r="BI286" i="103"/>
  <c r="BI289" i="103"/>
  <c r="BI292" i="103"/>
  <c r="BI295" i="103"/>
  <c r="BI298" i="103"/>
  <c r="BI301" i="103"/>
  <c r="BI304" i="103"/>
  <c r="BI307" i="103"/>
  <c r="BI310" i="103"/>
  <c r="BI313" i="103"/>
  <c r="BJ133" i="103"/>
  <c r="BJ145" i="103"/>
  <c r="BJ157" i="103"/>
  <c r="BJ286" i="103"/>
  <c r="BJ289" i="103"/>
  <c r="BJ292" i="103"/>
  <c r="BJ295" i="103"/>
  <c r="BJ298" i="103"/>
  <c r="BJ301" i="103"/>
  <c r="BJ304" i="103"/>
  <c r="BJ307" i="103"/>
  <c r="BJ310" i="103"/>
  <c r="BJ313" i="103"/>
  <c r="BK133" i="103"/>
  <c r="BK145" i="103"/>
  <c r="BK157" i="103"/>
  <c r="BK169" i="103"/>
  <c r="BK181" i="103"/>
  <c r="BK286" i="103"/>
  <c r="BK289" i="103"/>
  <c r="BK292" i="103"/>
  <c r="BK295" i="103"/>
  <c r="BK298" i="103"/>
  <c r="BK301" i="103"/>
  <c r="BK304" i="103"/>
  <c r="BK307" i="103"/>
  <c r="BK310" i="103"/>
  <c r="BK313" i="103"/>
  <c r="BH76" i="103"/>
  <c r="BH88" i="103"/>
  <c r="BH100" i="103"/>
  <c r="BH112" i="103"/>
  <c r="BH124" i="103"/>
  <c r="BH136" i="103"/>
  <c r="BH148" i="103"/>
  <c r="BH160" i="103"/>
  <c r="BH172" i="103"/>
  <c r="BH184" i="103"/>
  <c r="BH196" i="103"/>
  <c r="BH208" i="103"/>
  <c r="BH220" i="103"/>
  <c r="BH232" i="103"/>
  <c r="BH244" i="103"/>
  <c r="BH256" i="103"/>
  <c r="BH266" i="103"/>
  <c r="BH269" i="103"/>
  <c r="BH272" i="103"/>
  <c r="BH275" i="103"/>
  <c r="BH278" i="103"/>
  <c r="BH281" i="103"/>
  <c r="BH284" i="103"/>
  <c r="BH287" i="103"/>
  <c r="BH290" i="103"/>
  <c r="BH293" i="103"/>
  <c r="BH296" i="103"/>
  <c r="BH299" i="103"/>
  <c r="BH302" i="103"/>
  <c r="BH305" i="103"/>
  <c r="BH308" i="103"/>
  <c r="BH311" i="103"/>
  <c r="BH314" i="103"/>
  <c r="BH317" i="103"/>
  <c r="BH320" i="103"/>
  <c r="BJ136" i="103"/>
  <c r="BJ148" i="103"/>
  <c r="BJ160" i="103"/>
  <c r="BI284" i="103"/>
  <c r="BI287" i="103"/>
  <c r="BI290" i="103"/>
  <c r="BI293" i="103"/>
  <c r="BI296" i="103"/>
  <c r="BI299" i="103"/>
  <c r="BI302" i="103"/>
  <c r="BI305" i="103"/>
  <c r="BI308" i="103"/>
  <c r="BI311" i="103"/>
  <c r="BI314" i="103"/>
  <c r="BK136" i="103"/>
  <c r="BK148" i="103"/>
  <c r="BK160" i="103"/>
  <c r="BK172" i="103"/>
  <c r="BK184" i="103"/>
  <c r="BJ284" i="103"/>
  <c r="BJ287" i="103"/>
  <c r="BJ290" i="103"/>
  <c r="BJ293" i="103"/>
  <c r="BJ296" i="103"/>
  <c r="BJ299" i="103"/>
  <c r="BJ302" i="103"/>
  <c r="BJ305" i="103"/>
  <c r="BJ308" i="103"/>
  <c r="BJ311" i="103"/>
  <c r="BJ314" i="103"/>
  <c r="BH79" i="103"/>
  <c r="BH91" i="103"/>
  <c r="BH103" i="103"/>
  <c r="BH115" i="103"/>
  <c r="BH127" i="103"/>
  <c r="BH139" i="103"/>
  <c r="BH151" i="103"/>
  <c r="BH163" i="103"/>
  <c r="BH175" i="103"/>
  <c r="BH187" i="103"/>
  <c r="BH199" i="103"/>
  <c r="BH211" i="103"/>
  <c r="BH223" i="103"/>
  <c r="BH235" i="103"/>
  <c r="BH247" i="103"/>
  <c r="BH259" i="103"/>
  <c r="BK284" i="103"/>
  <c r="BK287" i="103"/>
  <c r="BK290" i="103"/>
  <c r="BK293" i="103"/>
  <c r="BK296" i="103"/>
  <c r="BK299" i="103"/>
  <c r="BK302" i="103"/>
  <c r="BK305" i="103"/>
  <c r="BK308" i="103"/>
  <c r="BK311" i="103"/>
  <c r="BK314" i="103"/>
  <c r="BJ139" i="103"/>
  <c r="BJ151" i="103"/>
  <c r="BH267" i="103"/>
  <c r="BH270" i="103"/>
  <c r="BH273" i="103"/>
  <c r="BH276" i="103"/>
  <c r="BH279" i="103"/>
  <c r="BH282" i="103"/>
  <c r="BH285" i="103"/>
  <c r="BH288" i="103"/>
  <c r="BH291" i="103"/>
  <c r="BH294" i="103"/>
  <c r="BH297" i="103"/>
  <c r="BH300" i="103"/>
  <c r="BH303" i="103"/>
  <c r="BH306" i="103"/>
  <c r="BH309" i="103"/>
  <c r="BH312" i="103"/>
  <c r="BH315" i="103"/>
  <c r="BH318" i="103"/>
  <c r="BH321" i="103"/>
  <c r="BK139" i="103"/>
  <c r="BK151" i="103"/>
  <c r="BK163" i="103"/>
  <c r="BK175" i="103"/>
  <c r="BK187" i="103"/>
  <c r="BI285" i="103"/>
  <c r="BI288" i="103"/>
  <c r="BI291" i="103"/>
  <c r="BI294" i="103"/>
  <c r="BI297" i="103"/>
  <c r="BI300" i="103"/>
  <c r="BI303" i="103"/>
  <c r="BI306" i="103"/>
  <c r="BI309" i="103"/>
  <c r="BI312" i="103"/>
  <c r="BH82" i="103"/>
  <c r="BH94" i="103"/>
  <c r="BH106" i="103"/>
  <c r="BH118" i="103"/>
  <c r="BH130" i="103"/>
  <c r="BH142" i="103"/>
  <c r="BH154" i="103"/>
  <c r="BH166" i="103"/>
  <c r="BH178" i="103"/>
  <c r="BH190" i="103"/>
  <c r="BH202" i="103"/>
  <c r="BH214" i="103"/>
  <c r="BH226" i="103"/>
  <c r="BH238" i="103"/>
  <c r="BH250" i="103"/>
  <c r="BH262" i="103"/>
  <c r="BJ285" i="103"/>
  <c r="BJ288" i="103"/>
  <c r="BJ291" i="103"/>
  <c r="BJ294" i="103"/>
  <c r="BJ297" i="103"/>
  <c r="BJ300" i="103"/>
  <c r="BJ303" i="103"/>
  <c r="BJ306" i="103"/>
  <c r="BJ309" i="103"/>
  <c r="BJ312" i="103"/>
  <c r="BJ142" i="103"/>
  <c r="BJ154" i="103"/>
  <c r="BK285" i="103"/>
  <c r="BK288" i="103"/>
  <c r="BK291" i="103"/>
  <c r="BK294" i="103"/>
  <c r="BK297" i="103"/>
  <c r="BK300" i="103"/>
  <c r="BK303" i="103"/>
  <c r="BK306" i="103"/>
  <c r="BK309" i="103"/>
  <c r="BK312" i="103"/>
  <c r="X13" i="17"/>
  <c r="Z13" i="17"/>
  <c r="T13" i="17"/>
  <c r="V13" i="17"/>
  <c r="P13" i="17"/>
  <c r="R13" i="17"/>
  <c r="L13" i="17"/>
  <c r="N13" i="17"/>
  <c r="H13" i="17"/>
  <c r="J13" i="17"/>
  <c r="F13" i="17"/>
  <c r="F14" i="17" s="1"/>
  <c r="M63" i="68"/>
  <c r="O63" i="68" s="1"/>
  <c r="O24" i="68" s="1"/>
  <c r="E59" i="68"/>
  <c r="F45" i="68"/>
  <c r="O12" i="68"/>
  <c r="O31" i="68" s="1"/>
  <c r="O11" i="68"/>
  <c r="O30" i="68" s="1"/>
  <c r="O9" i="68"/>
  <c r="O28" i="68" s="1"/>
  <c r="M64" i="68"/>
  <c r="O64" i="68" s="1"/>
  <c r="O25" i="68" s="1"/>
  <c r="O47" i="68"/>
  <c r="O46" i="68"/>
  <c r="Q47" i="68"/>
  <c r="O45" i="68"/>
  <c r="Q46" i="68"/>
  <c r="O44" i="68"/>
  <c r="Q45" i="68"/>
  <c r="F47" i="68"/>
  <c r="Q44" i="68"/>
  <c r="H47" i="68"/>
  <c r="F44" i="68"/>
  <c r="H46" i="68"/>
  <c r="I47" i="68"/>
  <c r="H45" i="68"/>
  <c r="I46" i="68"/>
  <c r="H44" i="68"/>
  <c r="I45" i="68"/>
  <c r="I44" i="68"/>
  <c r="Z14" i="17"/>
  <c r="AB14" i="17"/>
  <c r="V14" i="17"/>
  <c r="X14" i="17"/>
  <c r="T14" i="17"/>
  <c r="R14" i="17"/>
  <c r="P14" i="17"/>
  <c r="L14" i="17"/>
  <c r="N14" i="17"/>
  <c r="H14" i="17"/>
  <c r="J14" i="17"/>
  <c r="AH10" i="65"/>
  <c r="AN10" i="65"/>
  <c r="F393" i="67"/>
  <c r="O14" i="70" s="1"/>
  <c r="O26" i="70" s="1"/>
  <c r="F397" i="67"/>
  <c r="W14" i="70" s="1"/>
  <c r="W26" i="70" s="1"/>
  <c r="F398" i="67"/>
  <c r="Y14" i="70" s="1"/>
  <c r="Y26" i="70" s="1"/>
  <c r="F399" i="67"/>
  <c r="AA14" i="70" s="1"/>
  <c r="AA26" i="70" s="1"/>
  <c r="L177" i="23"/>
  <c r="B126" i="23"/>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B146" i="23" s="1"/>
  <c r="B147" i="23" s="1"/>
  <c r="B148" i="23" s="1"/>
  <c r="B149" i="23" s="1"/>
  <c r="B150" i="23" s="1"/>
  <c r="B151" i="23" s="1"/>
  <c r="B152" i="23" s="1"/>
  <c r="B153" i="23" s="1"/>
  <c r="B154" i="23" s="1"/>
  <c r="B155" i="23" s="1"/>
  <c r="B156" i="23" s="1"/>
  <c r="M177" i="23"/>
  <c r="O21" i="11"/>
  <c r="W38" i="13" s="1"/>
  <c r="N177" i="23"/>
  <c r="C177" i="23"/>
  <c r="O177" i="23"/>
  <c r="Q21" i="11"/>
  <c r="W106" i="13" s="1"/>
  <c r="D177" i="23"/>
  <c r="S21" i="11"/>
  <c r="W174" i="13" s="1"/>
  <c r="E177" i="23"/>
  <c r="F177" i="23"/>
  <c r="H21" i="11"/>
  <c r="K4" i="13" s="1"/>
  <c r="G177" i="23"/>
  <c r="I21" i="11"/>
  <c r="K38" i="13" s="1"/>
  <c r="H177" i="23"/>
  <c r="J21" i="11"/>
  <c r="I177" i="23"/>
  <c r="K21" i="11"/>
  <c r="K106" i="13" s="1"/>
  <c r="L21" i="11"/>
  <c r="K140" i="13" s="1"/>
  <c r="G144" i="13" s="1"/>
  <c r="AV315" i="103"/>
  <c r="AV316" i="103"/>
  <c r="AV328" i="103"/>
  <c r="AV340" i="103"/>
  <c r="AV318" i="103"/>
  <c r="AV342" i="103"/>
  <c r="AV331" i="103"/>
  <c r="AV343" i="103"/>
  <c r="AV332" i="103"/>
  <c r="AV333" i="103"/>
  <c r="AV322" i="103"/>
  <c r="AV325" i="103"/>
  <c r="AV326" i="103"/>
  <c r="AV317" i="103"/>
  <c r="AV329" i="103"/>
  <c r="AV341" i="103"/>
  <c r="AV330" i="103"/>
  <c r="AV320" i="103"/>
  <c r="AV321" i="103"/>
  <c r="AV323" i="103"/>
  <c r="AV336" i="103"/>
  <c r="AV337" i="103"/>
  <c r="AV327" i="103"/>
  <c r="AV319" i="103"/>
  <c r="AV334" i="103"/>
  <c r="AV324" i="103"/>
  <c r="AV338" i="103"/>
  <c r="AV335" i="103"/>
  <c r="AV339" i="103"/>
  <c r="AV314" i="103"/>
  <c r="AU315" i="103"/>
  <c r="AU316" i="103"/>
  <c r="AU328" i="103"/>
  <c r="AU340" i="103"/>
  <c r="AU329" i="103"/>
  <c r="AU318" i="103"/>
  <c r="AU330" i="103"/>
  <c r="AU317" i="103"/>
  <c r="AU341" i="103"/>
  <c r="AU319" i="103"/>
  <c r="AU331" i="103"/>
  <c r="AU343" i="103"/>
  <c r="AU332" i="103"/>
  <c r="AU321" i="103"/>
  <c r="AU334" i="103"/>
  <c r="AU323" i="103"/>
  <c r="AU335" i="103"/>
  <c r="AU336" i="103"/>
  <c r="AU325" i="103"/>
  <c r="AU327" i="103"/>
  <c r="AU320" i="103"/>
  <c r="AU324" i="103"/>
  <c r="AU326" i="103"/>
  <c r="AU338" i="103"/>
  <c r="AU339" i="103"/>
  <c r="AU333" i="103"/>
  <c r="AU342" i="103"/>
  <c r="AU322" i="103"/>
  <c r="AU337" i="103"/>
  <c r="AR315" i="103"/>
  <c r="AR316" i="103"/>
  <c r="AR328" i="103"/>
  <c r="AR340" i="103"/>
  <c r="AR317" i="103"/>
  <c r="AR329" i="103"/>
  <c r="AR341" i="103"/>
  <c r="AR318" i="103"/>
  <c r="AR330" i="103"/>
  <c r="AR342" i="103"/>
  <c r="AR319" i="103"/>
  <c r="AR331" i="103"/>
  <c r="AR343" i="103"/>
  <c r="AR333" i="103"/>
  <c r="AR334" i="103"/>
  <c r="AR335" i="103"/>
  <c r="AR336" i="103"/>
  <c r="AR337" i="103"/>
  <c r="AR327" i="103"/>
  <c r="AR339" i="103"/>
  <c r="AR320" i="103"/>
  <c r="AR332" i="103"/>
  <c r="AR322" i="103"/>
  <c r="AR324" i="103"/>
  <c r="AR325" i="103"/>
  <c r="AR338" i="103"/>
  <c r="AR321" i="103"/>
  <c r="AR323" i="103"/>
  <c r="AR326" i="103"/>
  <c r="AR314" i="103"/>
  <c r="AQ315" i="103"/>
  <c r="AQ316" i="103"/>
  <c r="AQ328" i="103"/>
  <c r="AQ340" i="103"/>
  <c r="AQ330" i="103"/>
  <c r="AQ331" i="103"/>
  <c r="AQ320" i="103"/>
  <c r="AQ332" i="103"/>
  <c r="AQ321" i="103"/>
  <c r="AQ333" i="103"/>
  <c r="AQ334" i="103"/>
  <c r="AQ323" i="103"/>
  <c r="AQ337" i="103"/>
  <c r="AQ327" i="103"/>
  <c r="AQ317" i="103"/>
  <c r="AQ329" i="103"/>
  <c r="AQ341" i="103"/>
  <c r="AQ318" i="103"/>
  <c r="AQ342" i="103"/>
  <c r="AQ343" i="103"/>
  <c r="AQ322" i="103"/>
  <c r="AQ336" i="103"/>
  <c r="AQ325" i="103"/>
  <c r="AQ319" i="103"/>
  <c r="AQ324" i="103"/>
  <c r="AQ326" i="103"/>
  <c r="AQ338" i="103"/>
  <c r="AQ335" i="103"/>
  <c r="AQ339" i="103"/>
  <c r="AP315" i="103"/>
  <c r="AP316" i="103"/>
  <c r="AP328" i="103"/>
  <c r="AP340" i="103"/>
  <c r="AP338" i="103"/>
  <c r="AP317" i="103"/>
  <c r="AP329" i="103"/>
  <c r="AP341" i="103"/>
  <c r="AP318" i="103"/>
  <c r="AP330" i="103"/>
  <c r="AP342" i="103"/>
  <c r="AP319" i="103"/>
  <c r="AP331" i="103"/>
  <c r="AP343" i="103"/>
  <c r="AP332" i="103"/>
  <c r="AP344" i="103"/>
  <c r="AP333" i="103"/>
  <c r="AP322" i="103"/>
  <c r="AP323" i="103"/>
  <c r="AP336" i="103"/>
  <c r="AP326" i="103"/>
  <c r="AP320" i="103"/>
  <c r="AP324" i="103"/>
  <c r="AP337" i="103"/>
  <c r="AP321" i="103"/>
  <c r="AP335" i="103"/>
  <c r="AP325" i="103"/>
  <c r="AP327" i="103"/>
  <c r="AP334" i="103"/>
  <c r="AP339" i="103"/>
  <c r="AO315" i="103"/>
  <c r="AO316" i="103"/>
  <c r="AO328" i="103"/>
  <c r="AO340" i="103"/>
  <c r="AO330" i="103"/>
  <c r="AO332" i="103"/>
  <c r="AO321" i="103"/>
  <c r="AO334" i="103"/>
  <c r="AO337" i="103"/>
  <c r="AO338" i="103"/>
  <c r="AO317" i="103"/>
  <c r="AO329" i="103"/>
  <c r="AO341" i="103"/>
  <c r="AO318" i="103"/>
  <c r="AO342" i="103"/>
  <c r="AO343" i="103"/>
  <c r="AO322" i="103"/>
  <c r="AO323" i="103"/>
  <c r="AO336" i="103"/>
  <c r="AO327" i="103"/>
  <c r="AO319" i="103"/>
  <c r="AO331" i="103"/>
  <c r="AO344" i="103"/>
  <c r="AO333" i="103"/>
  <c r="AO335" i="103"/>
  <c r="AO324" i="103"/>
  <c r="AO326" i="103"/>
  <c r="AO339" i="103"/>
  <c r="AO320" i="103"/>
  <c r="AO325" i="103"/>
  <c r="G10" i="65"/>
  <c r="G16" i="65" s="1"/>
  <c r="R21" i="11"/>
  <c r="W140" i="13" s="1"/>
  <c r="G35" i="30"/>
  <c r="B36" i="30"/>
  <c r="B37" i="30" s="1"/>
  <c r="B38" i="30" s="1"/>
  <c r="B39" i="30" s="1"/>
  <c r="B40" i="30" s="1"/>
  <c r="G40" i="30" s="1"/>
  <c r="B41" i="31"/>
  <c r="A41" i="31" s="1"/>
  <c r="A6" i="31"/>
  <c r="B13" i="102"/>
  <c r="C13" i="102" s="1"/>
  <c r="B7" i="31"/>
  <c r="G9" i="65"/>
  <c r="G15" i="65" s="1"/>
  <c r="G8" i="65"/>
  <c r="G14" i="65" s="1"/>
  <c r="BC309" i="103"/>
  <c r="BC310" i="103"/>
  <c r="BC311" i="103"/>
  <c r="BC312" i="103"/>
  <c r="BC314" i="103"/>
  <c r="BC313" i="103"/>
  <c r="L403" i="7"/>
  <c r="BI403" i="7"/>
  <c r="AK8" i="65"/>
  <c r="AF403" i="7"/>
  <c r="AA403" i="7"/>
  <c r="V403" i="7"/>
  <c r="AT403" i="7"/>
  <c r="AN9" i="65"/>
  <c r="AN8" i="65"/>
  <c r="BD256" i="103"/>
  <c r="BD262" i="103"/>
  <c r="BD265" i="103"/>
  <c r="BD268" i="103"/>
  <c r="BD271" i="103"/>
  <c r="BD274" i="103"/>
  <c r="AK10" i="65"/>
  <c r="AK9" i="65"/>
  <c r="E25" i="30"/>
  <c r="Y403" i="7"/>
  <c r="BM403" i="7"/>
  <c r="F18" i="30"/>
  <c r="G11" i="30"/>
  <c r="C27" i="30"/>
  <c r="D20" i="30"/>
  <c r="H28" i="30"/>
  <c r="E13" i="30"/>
  <c r="F30" i="30"/>
  <c r="C15" i="30"/>
  <c r="G23" i="30"/>
  <c r="H16" i="30"/>
  <c r="D32" i="30"/>
  <c r="BX403" i="7"/>
  <c r="AL403" i="7"/>
  <c r="X403" i="7"/>
  <c r="P403" i="7"/>
  <c r="U403" i="7"/>
  <c r="AE403" i="7"/>
  <c r="K403" i="7"/>
  <c r="BR403" i="7"/>
  <c r="BS403" i="7"/>
  <c r="Z403" i="7"/>
  <c r="BT403" i="7"/>
  <c r="AP382" i="103"/>
  <c r="F165" i="23" s="1"/>
  <c r="AW403" i="7"/>
  <c r="AO403" i="7"/>
  <c r="AY403" i="7"/>
  <c r="AP403" i="7"/>
  <c r="BN403" i="7"/>
  <c r="AH8" i="65"/>
  <c r="AH9" i="65"/>
  <c r="M403" i="7"/>
  <c r="AI403" i="7"/>
  <c r="AS403" i="7"/>
  <c r="CE403" i="7"/>
  <c r="AB403" i="7"/>
  <c r="N403" i="7"/>
  <c r="AJ403" i="7"/>
  <c r="BF403" i="7"/>
  <c r="CF403" i="7"/>
  <c r="D403" i="7"/>
  <c r="O403" i="7"/>
  <c r="AK403" i="7"/>
  <c r="AU403" i="7"/>
  <c r="BG403" i="7"/>
  <c r="BK403" i="7"/>
  <c r="BU403" i="7"/>
  <c r="E403" i="7"/>
  <c r="AV403" i="7"/>
  <c r="BH403" i="7"/>
  <c r="BL403" i="7"/>
  <c r="BV403" i="7"/>
  <c r="Q403" i="7"/>
  <c r="AM403" i="7"/>
  <c r="BJ403" i="7"/>
  <c r="BW403" i="7"/>
  <c r="F403" i="7"/>
  <c r="R403" i="7"/>
  <c r="AC403" i="7"/>
  <c r="AN403" i="7"/>
  <c r="AX403" i="7"/>
  <c r="G403" i="7"/>
  <c r="S403" i="7"/>
  <c r="BY403" i="7"/>
  <c r="H403" i="7"/>
  <c r="T403" i="7"/>
  <c r="AD403" i="7"/>
  <c r="AZ403" i="7"/>
  <c r="BZ403" i="7"/>
  <c r="I403" i="7"/>
  <c r="BA403" i="7"/>
  <c r="BO403" i="7"/>
  <c r="CA403" i="7"/>
  <c r="B403" i="7"/>
  <c r="J403" i="7"/>
  <c r="BB403" i="7"/>
  <c r="BP403" i="7"/>
  <c r="CB403" i="7"/>
  <c r="C403" i="7"/>
  <c r="AG403" i="7"/>
  <c r="AQ403" i="7"/>
  <c r="BC403" i="7"/>
  <c r="BQ403" i="7"/>
  <c r="CC403" i="7"/>
  <c r="AH403" i="7"/>
  <c r="AR403" i="7"/>
  <c r="BD403" i="7"/>
  <c r="CD403" i="7"/>
  <c r="AU382" i="103"/>
  <c r="AU376" i="103"/>
  <c r="AV378" i="103"/>
  <c r="BD263" i="103"/>
  <c r="BD266" i="103"/>
  <c r="BD272" i="103"/>
  <c r="BD275" i="103"/>
  <c r="BD278" i="103"/>
  <c r="F166" i="67"/>
  <c r="BD258" i="103"/>
  <c r="BD276" i="103"/>
  <c r="BD279" i="103"/>
  <c r="BD282" i="103"/>
  <c r="BD291" i="103"/>
  <c r="BD303" i="103"/>
  <c r="BD260" i="103"/>
  <c r="BD269" i="103"/>
  <c r="CU376" i="103"/>
  <c r="AV379" i="103"/>
  <c r="AQ384" i="103"/>
  <c r="H167" i="23" s="1"/>
  <c r="BD287" i="103"/>
  <c r="BD259" i="103"/>
  <c r="BD277" i="103"/>
  <c r="BD295" i="103"/>
  <c r="BD255" i="103"/>
  <c r="BD290" i="103"/>
  <c r="BD261" i="103"/>
  <c r="BD270" i="103"/>
  <c r="AV383" i="103"/>
  <c r="AR384" i="103"/>
  <c r="J167" i="23" s="1"/>
  <c r="CT376" i="103"/>
  <c r="AU378" i="103"/>
  <c r="AO383" i="103"/>
  <c r="D166" i="23" s="1"/>
  <c r="BD264" i="103"/>
  <c r="BD280" i="103"/>
  <c r="CU381" i="103"/>
  <c r="AP383" i="103"/>
  <c r="F166" i="23" s="1"/>
  <c r="AO384" i="103"/>
  <c r="D167" i="23" s="1"/>
  <c r="BD267" i="103"/>
  <c r="BD283" i="103"/>
  <c r="BD294" i="103"/>
  <c r="BD299" i="103"/>
  <c r="CU387" i="103"/>
  <c r="AQ383" i="103"/>
  <c r="H166" i="23" s="1"/>
  <c r="AP384" i="103"/>
  <c r="F167" i="23" s="1"/>
  <c r="BD257" i="103"/>
  <c r="BD273" i="103"/>
  <c r="AU384" i="103"/>
  <c r="P12" i="22"/>
  <c r="AU377" i="103"/>
  <c r="AV384" i="103"/>
  <c r="F134" i="67"/>
  <c r="AV377" i="103"/>
  <c r="BD254" i="103"/>
  <c r="BD286" i="103"/>
  <c r="BD302" i="103"/>
  <c r="F103" i="67"/>
  <c r="BD281" i="103"/>
  <c r="AU383" i="103"/>
  <c r="AV382" i="103"/>
  <c r="BD298" i="103"/>
  <c r="AV376" i="103"/>
  <c r="CT381" i="103"/>
  <c r="CU385" i="103"/>
  <c r="CT387" i="103"/>
  <c r="CU377" i="103"/>
  <c r="CT383" i="103"/>
  <c r="BD285" i="103"/>
  <c r="BD289" i="103"/>
  <c r="BD293" i="103"/>
  <c r="BD297" i="103"/>
  <c r="BD301" i="103"/>
  <c r="CT378" i="103"/>
  <c r="CU378" i="103"/>
  <c r="CT382" i="103"/>
  <c r="CU382" i="103"/>
  <c r="CU383" i="103"/>
  <c r="BD284" i="103"/>
  <c r="BD288" i="103"/>
  <c r="BD292" i="103"/>
  <c r="BD296" i="103"/>
  <c r="BD300" i="103"/>
  <c r="BD304" i="103"/>
  <c r="CT379" i="103"/>
  <c r="CT386" i="103"/>
  <c r="CU379" i="103"/>
  <c r="CU386" i="103"/>
  <c r="CT377" i="103"/>
  <c r="CT380" i="103"/>
  <c r="CT384" i="103"/>
  <c r="CT385" i="103"/>
  <c r="O306" i="22"/>
  <c r="CU380" i="103"/>
  <c r="CU384" i="103"/>
  <c r="N102" i="68"/>
  <c r="N93" i="68"/>
  <c r="N94" i="68"/>
  <c r="N85" i="68"/>
  <c r="N95" i="68"/>
  <c r="N100" i="68" s="1"/>
  <c r="N105" i="68"/>
  <c r="N106" i="68" s="1"/>
  <c r="O100" i="68"/>
  <c r="O18" i="68" s="1"/>
  <c r="B14" i="62"/>
  <c r="B15" i="62" s="1"/>
  <c r="D15" i="62" s="1"/>
  <c r="AV306" i="103"/>
  <c r="AV308" i="103"/>
  <c r="AV309" i="103"/>
  <c r="AV311" i="103"/>
  <c r="AV312" i="103"/>
  <c r="AV307" i="103"/>
  <c r="AV310" i="103"/>
  <c r="AV313" i="103"/>
  <c r="AU305" i="103"/>
  <c r="AV305" i="103"/>
  <c r="AU306" i="103"/>
  <c r="AU307" i="103"/>
  <c r="AU308" i="103"/>
  <c r="AU310" i="103"/>
  <c r="AU311" i="103"/>
  <c r="AU312" i="103"/>
  <c r="AU313" i="103"/>
  <c r="AU309" i="103"/>
  <c r="AU314" i="103"/>
  <c r="AO305" i="103"/>
  <c r="AR305" i="103"/>
  <c r="AR306" i="103"/>
  <c r="AR309" i="103"/>
  <c r="AR312" i="103"/>
  <c r="AR307" i="103"/>
  <c r="AR308" i="103"/>
  <c r="AR310" i="103"/>
  <c r="AR311" i="103"/>
  <c r="AR313" i="103"/>
  <c r="AQ305" i="103"/>
  <c r="AQ306" i="103"/>
  <c r="AQ310" i="103"/>
  <c r="AQ314" i="103"/>
  <c r="AQ307" i="103"/>
  <c r="AQ309" i="103"/>
  <c r="AQ311" i="103"/>
  <c r="AQ313" i="103"/>
  <c r="AQ308" i="103"/>
  <c r="AQ312" i="103"/>
  <c r="AP305" i="103"/>
  <c r="AP309" i="103"/>
  <c r="AP311" i="103"/>
  <c r="AP313" i="103"/>
  <c r="AP314" i="103"/>
  <c r="AP310" i="103"/>
  <c r="AP312" i="103"/>
  <c r="AP306" i="103"/>
  <c r="AP307" i="103"/>
  <c r="AP308" i="103"/>
  <c r="AO306" i="103"/>
  <c r="AO309" i="103"/>
  <c r="AO310" i="103"/>
  <c r="AO312" i="103"/>
  <c r="AO314" i="103"/>
  <c r="AO307" i="103"/>
  <c r="AO311" i="103"/>
  <c r="AO313" i="103"/>
  <c r="AO308" i="103"/>
  <c r="AK305" i="103"/>
  <c r="C12" i="62"/>
  <c r="C10" i="30"/>
  <c r="H11" i="30"/>
  <c r="F13" i="30"/>
  <c r="D15" i="30"/>
  <c r="G18" i="30"/>
  <c r="E20" i="30"/>
  <c r="C22" i="30"/>
  <c r="H23" i="30"/>
  <c r="F25" i="30"/>
  <c r="D27" i="30"/>
  <c r="G30" i="30"/>
  <c r="E32" i="30"/>
  <c r="C34" i="30"/>
  <c r="H35" i="30"/>
  <c r="F37" i="30"/>
  <c r="D39" i="30"/>
  <c r="D12" i="62"/>
  <c r="I15" i="62"/>
  <c r="J15" i="62" s="1"/>
  <c r="D10" i="30"/>
  <c r="G13" i="30"/>
  <c r="E15" i="30"/>
  <c r="C17" i="30"/>
  <c r="H18" i="30"/>
  <c r="F20" i="30"/>
  <c r="D22" i="30"/>
  <c r="G25" i="30"/>
  <c r="E27" i="30"/>
  <c r="C29" i="30"/>
  <c r="H30" i="30"/>
  <c r="F32" i="30"/>
  <c r="D34" i="30"/>
  <c r="G37" i="30"/>
  <c r="E39" i="30"/>
  <c r="D14" i="20"/>
  <c r="F12" i="62"/>
  <c r="E10" i="30"/>
  <c r="C12" i="30"/>
  <c r="H13" i="30"/>
  <c r="F15" i="30"/>
  <c r="D17" i="30"/>
  <c r="G20" i="30"/>
  <c r="E22" i="30"/>
  <c r="C24" i="30"/>
  <c r="H25" i="30"/>
  <c r="F27" i="30"/>
  <c r="D29" i="30"/>
  <c r="G32" i="30"/>
  <c r="E34" i="30"/>
  <c r="C36" i="30"/>
  <c r="H37" i="30"/>
  <c r="F39" i="30"/>
  <c r="G12" i="62"/>
  <c r="D14" i="62"/>
  <c r="F10" i="30"/>
  <c r="D12" i="30"/>
  <c r="G15" i="30"/>
  <c r="E17" i="30"/>
  <c r="C19" i="30"/>
  <c r="H20" i="30"/>
  <c r="F22" i="30"/>
  <c r="D24" i="30"/>
  <c r="G27" i="30"/>
  <c r="E29" i="30"/>
  <c r="C31" i="30"/>
  <c r="H32" i="30"/>
  <c r="F34" i="30"/>
  <c r="D36" i="30"/>
  <c r="G39" i="30"/>
  <c r="B5" i="64"/>
  <c r="I12" i="62"/>
  <c r="J12" i="62" s="1"/>
  <c r="G10" i="30"/>
  <c r="E12" i="30"/>
  <c r="C14" i="30"/>
  <c r="H15" i="30"/>
  <c r="F17" i="30"/>
  <c r="D19" i="30"/>
  <c r="G22" i="30"/>
  <c r="E24" i="30"/>
  <c r="C26" i="30"/>
  <c r="H27" i="30"/>
  <c r="F29" i="30"/>
  <c r="D31" i="30"/>
  <c r="G34" i="30"/>
  <c r="E36" i="30"/>
  <c r="C38" i="30"/>
  <c r="H39" i="30"/>
  <c r="C5" i="64"/>
  <c r="G14" i="62"/>
  <c r="H14" i="62" s="1"/>
  <c r="H10" i="30"/>
  <c r="F12" i="30"/>
  <c r="D14" i="30"/>
  <c r="G17" i="30"/>
  <c r="E19" i="30"/>
  <c r="C21" i="30"/>
  <c r="H22" i="30"/>
  <c r="F24" i="30"/>
  <c r="D26" i="30"/>
  <c r="G29" i="30"/>
  <c r="E31" i="30"/>
  <c r="C33" i="30"/>
  <c r="H34" i="30"/>
  <c r="F36" i="30"/>
  <c r="D38" i="30"/>
  <c r="F32" i="64"/>
  <c r="G12" i="30"/>
  <c r="E14" i="30"/>
  <c r="C16" i="30"/>
  <c r="H17" i="30"/>
  <c r="F19" i="30"/>
  <c r="D21" i="30"/>
  <c r="G24" i="30"/>
  <c r="E26" i="30"/>
  <c r="C28" i="30"/>
  <c r="H29" i="30"/>
  <c r="F31" i="30"/>
  <c r="D33" i="30"/>
  <c r="G36" i="30"/>
  <c r="E38" i="30"/>
  <c r="C40" i="30"/>
  <c r="C11" i="30"/>
  <c r="H12" i="30"/>
  <c r="F14" i="30"/>
  <c r="D16" i="30"/>
  <c r="G19" i="30"/>
  <c r="E21" i="30"/>
  <c r="C23" i="30"/>
  <c r="H24" i="30"/>
  <c r="F26" i="30"/>
  <c r="D28" i="30"/>
  <c r="G31" i="30"/>
  <c r="E33" i="30"/>
  <c r="C35" i="30"/>
  <c r="H36" i="30"/>
  <c r="F38" i="30"/>
  <c r="D40" i="30"/>
  <c r="G4" i="23"/>
  <c r="B5" i="62"/>
  <c r="D11" i="30"/>
  <c r="G14" i="30"/>
  <c r="E16" i="30"/>
  <c r="C18" i="30"/>
  <c r="H19" i="30"/>
  <c r="F21" i="30"/>
  <c r="D23" i="30"/>
  <c r="G26" i="30"/>
  <c r="E28" i="30"/>
  <c r="C30" i="30"/>
  <c r="H31" i="30"/>
  <c r="F33" i="30"/>
  <c r="D35" i="30"/>
  <c r="G38" i="30"/>
  <c r="E40" i="30"/>
  <c r="E11" i="30"/>
  <c r="C13" i="30"/>
  <c r="H14" i="30"/>
  <c r="F16" i="30"/>
  <c r="D18" i="30"/>
  <c r="G21" i="30"/>
  <c r="E23" i="30"/>
  <c r="C25" i="30"/>
  <c r="H26" i="30"/>
  <c r="F28" i="30"/>
  <c r="D30" i="30"/>
  <c r="G33" i="30"/>
  <c r="E35" i="30"/>
  <c r="C37" i="30"/>
  <c r="H38" i="30"/>
  <c r="F40" i="30"/>
  <c r="F11" i="30"/>
  <c r="D13" i="30"/>
  <c r="G16" i="30"/>
  <c r="E18" i="30"/>
  <c r="C20" i="30"/>
  <c r="H21" i="30"/>
  <c r="F23" i="30"/>
  <c r="D25" i="30"/>
  <c r="G28" i="30"/>
  <c r="E30" i="30"/>
  <c r="C32" i="30"/>
  <c r="H33" i="30"/>
  <c r="F35" i="30"/>
  <c r="D37" i="30"/>
  <c r="J13" i="64"/>
  <c r="R13" i="64"/>
  <c r="F27" i="64"/>
  <c r="F33" i="64"/>
  <c r="D11" i="64"/>
  <c r="E27" i="64"/>
  <c r="E33" i="64"/>
  <c r="C14" i="64"/>
  <c r="E28" i="64"/>
  <c r="E34" i="64"/>
  <c r="D14" i="64"/>
  <c r="F28" i="64"/>
  <c r="G14" i="64"/>
  <c r="E29" i="64"/>
  <c r="E35" i="64"/>
  <c r="C12" i="64"/>
  <c r="R14" i="64"/>
  <c r="F29" i="64"/>
  <c r="F35" i="64"/>
  <c r="C15" i="64"/>
  <c r="E30" i="64"/>
  <c r="E36" i="64"/>
  <c r="D15" i="64"/>
  <c r="F30" i="64"/>
  <c r="F36" i="64"/>
  <c r="G15" i="64"/>
  <c r="E31" i="64"/>
  <c r="R15" i="64"/>
  <c r="F31" i="64"/>
  <c r="R7" i="64"/>
  <c r="C13" i="64"/>
  <c r="E26" i="64"/>
  <c r="E32" i="64"/>
  <c r="C11" i="64"/>
  <c r="D13" i="64"/>
  <c r="F26" i="64"/>
  <c r="E10" i="104"/>
  <c r="D10" i="104"/>
  <c r="J14" i="64"/>
  <c r="F10" i="104"/>
  <c r="G10" i="104" s="1"/>
  <c r="K5" i="36"/>
  <c r="L5" i="36"/>
  <c r="I33" i="36"/>
  <c r="J33" i="36"/>
  <c r="J6" i="36"/>
  <c r="K33" i="36"/>
  <c r="K6" i="36"/>
  <c r="I34" i="36"/>
  <c r="J8" i="36"/>
  <c r="K35" i="36"/>
  <c r="N24" i="37"/>
  <c r="J10" i="36"/>
  <c r="K36" i="36"/>
  <c r="K10" i="36"/>
  <c r="I39" i="36"/>
  <c r="L10" i="36"/>
  <c r="J39" i="36"/>
  <c r="J11" i="36"/>
  <c r="K39" i="36"/>
  <c r="K11" i="36"/>
  <c r="I40" i="36"/>
  <c r="J4" i="36"/>
  <c r="J19" i="36"/>
  <c r="J5" i="36"/>
  <c r="K27" i="37"/>
  <c r="L6" i="36"/>
  <c r="L11" i="36"/>
  <c r="J34" i="36"/>
  <c r="J40" i="36"/>
  <c r="J7" i="36"/>
  <c r="J12" i="36"/>
  <c r="K34" i="36"/>
  <c r="K40" i="36"/>
  <c r="K7" i="36"/>
  <c r="K12" i="36"/>
  <c r="I35" i="36"/>
  <c r="I41" i="36"/>
  <c r="L7" i="36"/>
  <c r="L12" i="36"/>
  <c r="J35" i="36"/>
  <c r="J41" i="36"/>
  <c r="K41" i="36"/>
  <c r="K4" i="36"/>
  <c r="K8" i="36"/>
  <c r="K19" i="36"/>
  <c r="I36" i="36"/>
  <c r="L4" i="36"/>
  <c r="L8" i="36"/>
  <c r="L19" i="36"/>
  <c r="J36" i="36"/>
  <c r="AX11" i="103"/>
  <c r="BS14" i="103"/>
  <c r="AT18" i="103"/>
  <c r="BX31" i="103"/>
  <c r="BS39" i="103"/>
  <c r="BF43" i="103"/>
  <c r="AE47" i="103"/>
  <c r="AZ48" i="103"/>
  <c r="BY50" i="103"/>
  <c r="CS51" i="103"/>
  <c r="AS53" i="103"/>
  <c r="AD11" i="103"/>
  <c r="BW11" i="103"/>
  <c r="N12" i="103"/>
  <c r="AX12" i="103"/>
  <c r="BS12" i="103"/>
  <c r="CE12" i="103"/>
  <c r="V13" i="103"/>
  <c r="AH13" i="103"/>
  <c r="AT13" i="103"/>
  <c r="BF13" i="103"/>
  <c r="CA13" i="103"/>
  <c r="AD14" i="103"/>
  <c r="AP14" i="103"/>
  <c r="BW14" i="103"/>
  <c r="N15" i="103"/>
  <c r="AX15" i="103"/>
  <c r="BS15" i="103"/>
  <c r="CE15" i="103"/>
  <c r="V16" i="103"/>
  <c r="AH16" i="103"/>
  <c r="AT16" i="103"/>
  <c r="BF16" i="103"/>
  <c r="CA16" i="103"/>
  <c r="AD17" i="103"/>
  <c r="AP17" i="103"/>
  <c r="BW17" i="103"/>
  <c r="N18" i="103"/>
  <c r="AX18" i="103"/>
  <c r="BS18" i="103"/>
  <c r="CE18" i="103"/>
  <c r="V19" i="103"/>
  <c r="AH19" i="103"/>
  <c r="AT19" i="103"/>
  <c r="BF19" i="103"/>
  <c r="CA19" i="103"/>
  <c r="G20" i="103"/>
  <c r="S20" i="103"/>
  <c r="AE20" i="103"/>
  <c r="AQ20" i="103"/>
  <c r="BX20" i="103"/>
  <c r="AY21" i="103"/>
  <c r="BT21" i="103"/>
  <c r="AI22" i="103"/>
  <c r="BG22" i="103"/>
  <c r="CB22" i="103"/>
  <c r="AN22" i="103" s="1"/>
  <c r="CN22" i="103"/>
  <c r="G23" i="103"/>
  <c r="S23" i="103"/>
  <c r="AE23" i="103"/>
  <c r="AQ23" i="103"/>
  <c r="BX23" i="103"/>
  <c r="AY24" i="103"/>
  <c r="BT24" i="103"/>
  <c r="AI25" i="103"/>
  <c r="BG25" i="103"/>
  <c r="CB25" i="103"/>
  <c r="CN25" i="103"/>
  <c r="G26" i="103"/>
  <c r="S26" i="103"/>
  <c r="AE26" i="103"/>
  <c r="AQ26" i="103"/>
  <c r="BX26" i="103"/>
  <c r="AY27" i="103"/>
  <c r="BT27" i="103"/>
  <c r="AI28" i="103"/>
  <c r="BG28" i="103"/>
  <c r="CB28" i="103"/>
  <c r="AN28" i="103" s="1"/>
  <c r="CN28" i="103"/>
  <c r="G29" i="103"/>
  <c r="S29" i="103"/>
  <c r="AE29" i="103"/>
  <c r="AQ29" i="103"/>
  <c r="BX29" i="103"/>
  <c r="AY30" i="103"/>
  <c r="BT30" i="103"/>
  <c r="AI31" i="103"/>
  <c r="BG31" i="103"/>
  <c r="CB31" i="103"/>
  <c r="AN31" i="103" s="1"/>
  <c r="CN31" i="103"/>
  <c r="G32" i="103"/>
  <c r="S32" i="103"/>
  <c r="AE32" i="103"/>
  <c r="AQ32" i="103"/>
  <c r="BX32" i="103"/>
  <c r="AY33" i="103"/>
  <c r="BT33" i="103"/>
  <c r="AI34" i="103"/>
  <c r="BG34" i="103"/>
  <c r="CB34" i="103"/>
  <c r="AN34" i="103" s="1"/>
  <c r="CN34" i="103"/>
  <c r="G35" i="103"/>
  <c r="S35" i="103"/>
  <c r="AE35" i="103"/>
  <c r="AQ35" i="103"/>
  <c r="BX35" i="103"/>
  <c r="P36" i="103"/>
  <c r="AZ36" i="103"/>
  <c r="BU36" i="103"/>
  <c r="CS36" i="103"/>
  <c r="AK37" i="103"/>
  <c r="AW37" i="103"/>
  <c r="CD37" i="103"/>
  <c r="V38" i="103"/>
  <c r="AH38" i="103"/>
  <c r="AT38" i="103"/>
  <c r="BF38" i="103"/>
  <c r="CA38" i="103"/>
  <c r="AD39" i="103"/>
  <c r="AP39" i="103"/>
  <c r="BW39" i="103"/>
  <c r="N40" i="103"/>
  <c r="AX40" i="103"/>
  <c r="BS40" i="103"/>
  <c r="CE40" i="103"/>
  <c r="V41" i="103"/>
  <c r="AH41" i="103"/>
  <c r="AT41" i="103"/>
  <c r="BF41" i="103"/>
  <c r="CA41" i="103"/>
  <c r="AD42" i="103"/>
  <c r="BW42" i="103"/>
  <c r="N43" i="103"/>
  <c r="AX43" i="103"/>
  <c r="BS43" i="103"/>
  <c r="CE43" i="103"/>
  <c r="V44" i="103"/>
  <c r="AH44" i="103"/>
  <c r="AT44" i="103"/>
  <c r="BF44" i="103"/>
  <c r="CA44" i="103"/>
  <c r="AD45" i="103"/>
  <c r="AP45" i="103"/>
  <c r="BW45" i="103"/>
  <c r="AY46" i="103"/>
  <c r="BT46" i="103"/>
  <c r="AI47" i="103"/>
  <c r="BG47" i="103"/>
  <c r="CB47" i="103"/>
  <c r="AN47" i="103" s="1"/>
  <c r="CN47" i="103"/>
  <c r="G48" i="103"/>
  <c r="T48" i="103"/>
  <c r="AF48" i="103"/>
  <c r="AR48" i="103"/>
  <c r="BY48" i="103"/>
  <c r="P49" i="103"/>
  <c r="AZ49" i="103"/>
  <c r="BU49" i="103"/>
  <c r="CS49" i="103"/>
  <c r="AJ50" i="103"/>
  <c r="BQ50" i="103"/>
  <c r="CC50" i="103"/>
  <c r="BC50" i="103" s="1"/>
  <c r="T51" i="103"/>
  <c r="AF51" i="103"/>
  <c r="AR51" i="103"/>
  <c r="BY51" i="103"/>
  <c r="P52" i="103"/>
  <c r="AZ52" i="103"/>
  <c r="BU52" i="103"/>
  <c r="CS52" i="103"/>
  <c r="AK53" i="103"/>
  <c r="AW53" i="103"/>
  <c r="BR53" i="103"/>
  <c r="CD53" i="103"/>
  <c r="I54" i="103"/>
  <c r="AG54" i="103"/>
  <c r="AS54" i="103"/>
  <c r="BE54" i="103"/>
  <c r="BZ54" i="103"/>
  <c r="Q55" i="103"/>
  <c r="AO55" i="103"/>
  <c r="CC59" i="103"/>
  <c r="BC59" i="103" s="1"/>
  <c r="V12" i="103"/>
  <c r="BW13" i="103"/>
  <c r="CE17" i="103"/>
  <c r="BG21" i="103"/>
  <c r="CN24" i="103"/>
  <c r="AI27" i="103"/>
  <c r="G31" i="103"/>
  <c r="BZ37" i="103"/>
  <c r="CE39" i="103"/>
  <c r="CA40" i="103"/>
  <c r="N42" i="103"/>
  <c r="AH43" i="103"/>
  <c r="AP44" i="103"/>
  <c r="G47" i="103"/>
  <c r="P48" i="103"/>
  <c r="CS48" i="103"/>
  <c r="T50" i="103"/>
  <c r="BZ53" i="103"/>
  <c r="G11" i="103"/>
  <c r="S11" i="103"/>
  <c r="AE11" i="103"/>
  <c r="BX11" i="103"/>
  <c r="AY12" i="103"/>
  <c r="BT12" i="103"/>
  <c r="AI13" i="103"/>
  <c r="BG13" i="103"/>
  <c r="CB13" i="103"/>
  <c r="AN13" i="103" s="1"/>
  <c r="CN13" i="103"/>
  <c r="G14" i="103"/>
  <c r="S14" i="103"/>
  <c r="AE14" i="103"/>
  <c r="AQ14" i="103"/>
  <c r="BX14" i="103"/>
  <c r="AY15" i="103"/>
  <c r="BT15" i="103"/>
  <c r="AI16" i="103"/>
  <c r="BG16" i="103"/>
  <c r="CB16" i="103"/>
  <c r="AN16" i="103" s="1"/>
  <c r="CN16" i="103"/>
  <c r="G17" i="103"/>
  <c r="S17" i="103"/>
  <c r="AE17" i="103"/>
  <c r="AQ17" i="103"/>
  <c r="BX17" i="103"/>
  <c r="AY18" i="103"/>
  <c r="BT18" i="103"/>
  <c r="AI19" i="103"/>
  <c r="BG19" i="103"/>
  <c r="CB19" i="103"/>
  <c r="AN19" i="103" s="1"/>
  <c r="CN19" i="103"/>
  <c r="T20" i="103"/>
  <c r="AF20" i="103"/>
  <c r="AR20" i="103"/>
  <c r="BY20" i="103"/>
  <c r="P21" i="103"/>
  <c r="AZ21" i="103"/>
  <c r="BU21" i="103"/>
  <c r="CS21" i="103"/>
  <c r="AJ22" i="103"/>
  <c r="BQ22" i="103"/>
  <c r="CC22" i="103"/>
  <c r="T23" i="103"/>
  <c r="AF23" i="103"/>
  <c r="AR23" i="103"/>
  <c r="BY23" i="103"/>
  <c r="P24" i="103"/>
  <c r="AZ24" i="103"/>
  <c r="BU24" i="103"/>
  <c r="CS24" i="103"/>
  <c r="AJ25" i="103"/>
  <c r="BQ25" i="103"/>
  <c r="CC25" i="103"/>
  <c r="BC25" i="103" s="1"/>
  <c r="T26" i="103"/>
  <c r="AF26" i="103"/>
  <c r="AR26" i="103"/>
  <c r="BY26" i="103"/>
  <c r="P27" i="103"/>
  <c r="AZ27" i="103"/>
  <c r="BU27" i="103"/>
  <c r="CS27" i="103"/>
  <c r="AJ28" i="103"/>
  <c r="BQ28" i="103"/>
  <c r="CC28" i="103"/>
  <c r="BC28" i="103" s="1"/>
  <c r="T29" i="103"/>
  <c r="AF29" i="103"/>
  <c r="AR29" i="103"/>
  <c r="BY29" i="103"/>
  <c r="P30" i="103"/>
  <c r="AZ30" i="103"/>
  <c r="BU30" i="103"/>
  <c r="CS30" i="103"/>
  <c r="AJ31" i="103"/>
  <c r="BQ31" i="103"/>
  <c r="CC31" i="103"/>
  <c r="T32" i="103"/>
  <c r="AF32" i="103"/>
  <c r="AR32" i="103"/>
  <c r="BY32" i="103"/>
  <c r="P33" i="103"/>
  <c r="AZ33" i="103"/>
  <c r="BU33" i="103"/>
  <c r="CS33" i="103"/>
  <c r="AJ34" i="103"/>
  <c r="BQ34" i="103"/>
  <c r="CC34" i="103"/>
  <c r="BC34" i="103" s="1"/>
  <c r="T35" i="103"/>
  <c r="AF35" i="103"/>
  <c r="AR35" i="103"/>
  <c r="BY35" i="103"/>
  <c r="Q36" i="103"/>
  <c r="AO36" i="103"/>
  <c r="BV36" i="103"/>
  <c r="N37" i="103"/>
  <c r="AX37" i="103"/>
  <c r="BS37" i="103"/>
  <c r="CE37" i="103"/>
  <c r="AI38" i="103"/>
  <c r="BG38" i="103"/>
  <c r="CB38" i="103"/>
  <c r="AN38" i="103" s="1"/>
  <c r="CN38" i="103"/>
  <c r="G39" i="103"/>
  <c r="S39" i="103"/>
  <c r="AE39" i="103"/>
  <c r="AQ39" i="103"/>
  <c r="BX39" i="103"/>
  <c r="AY40" i="103"/>
  <c r="BT40" i="103"/>
  <c r="AI41" i="103"/>
  <c r="BG41" i="103"/>
  <c r="CB41" i="103"/>
  <c r="CN41" i="103"/>
  <c r="G42" i="103"/>
  <c r="S42" i="103"/>
  <c r="AE42" i="103"/>
  <c r="BX42" i="103"/>
  <c r="AY43" i="103"/>
  <c r="BT43" i="103"/>
  <c r="AI44" i="103"/>
  <c r="BG44" i="103"/>
  <c r="CB44" i="103"/>
  <c r="AN44" i="103" s="1"/>
  <c r="CN44" i="103"/>
  <c r="G45" i="103"/>
  <c r="S45" i="103"/>
  <c r="AE45" i="103"/>
  <c r="BX45" i="103"/>
  <c r="P46" i="103"/>
  <c r="AZ46" i="103"/>
  <c r="BU46" i="103"/>
  <c r="CS46" i="103"/>
  <c r="AJ47" i="103"/>
  <c r="BQ47" i="103"/>
  <c r="CC47" i="103"/>
  <c r="BC47" i="103" s="1"/>
  <c r="AG48" i="103"/>
  <c r="AS48" i="103"/>
  <c r="BE48" i="103"/>
  <c r="BZ48" i="103"/>
  <c r="Q49" i="103"/>
  <c r="AO49" i="103"/>
  <c r="BV49" i="103"/>
  <c r="AK50" i="103"/>
  <c r="AW50" i="103"/>
  <c r="BR50" i="103"/>
  <c r="CD50" i="103"/>
  <c r="I51" i="103"/>
  <c r="AG51" i="103"/>
  <c r="AS51" i="103"/>
  <c r="BE51" i="103"/>
  <c r="BZ51" i="103"/>
  <c r="Q52" i="103"/>
  <c r="AO52" i="103"/>
  <c r="BV52" i="103"/>
  <c r="N53" i="103"/>
  <c r="AX53" i="103"/>
  <c r="BS53" i="103"/>
  <c r="CE53" i="103"/>
  <c r="V54" i="103"/>
  <c r="AH54" i="103"/>
  <c r="AT54" i="103"/>
  <c r="BF54" i="103"/>
  <c r="CA54" i="103"/>
  <c r="AD55" i="103"/>
  <c r="AP55" i="103"/>
  <c r="BE55" i="103"/>
  <c r="CS58" i="103"/>
  <c r="BY60" i="103"/>
  <c r="BS11" i="103"/>
  <c r="BF18" i="103"/>
  <c r="BT20" i="103"/>
  <c r="AE22" i="103"/>
  <c r="AE25" i="103"/>
  <c r="AQ28" i="103"/>
  <c r="AY29" i="103"/>
  <c r="CB30" i="103"/>
  <c r="AY32" i="103"/>
  <c r="BX34" i="103"/>
  <c r="AJ36" i="103"/>
  <c r="AT40" i="103"/>
  <c r="AP41" i="103"/>
  <c r="BS45" i="103"/>
  <c r="CC49" i="103"/>
  <c r="BC49" i="103" s="1"/>
  <c r="T11" i="103"/>
  <c r="AF11" i="103"/>
  <c r="BY11" i="103"/>
  <c r="P12" i="103"/>
  <c r="AZ12" i="103"/>
  <c r="BU12" i="103"/>
  <c r="CS12" i="103"/>
  <c r="AJ13" i="103"/>
  <c r="BQ13" i="103"/>
  <c r="CC13" i="103"/>
  <c r="BC13" i="103" s="1"/>
  <c r="T14" i="103"/>
  <c r="AF14" i="103"/>
  <c r="AR14" i="103"/>
  <c r="BY14" i="103"/>
  <c r="P15" i="103"/>
  <c r="AZ15" i="103"/>
  <c r="BU15" i="103"/>
  <c r="CS15" i="103"/>
  <c r="AJ16" i="103"/>
  <c r="BQ16" i="103"/>
  <c r="CC16" i="103"/>
  <c r="BC16" i="103" s="1"/>
  <c r="T17" i="103"/>
  <c r="AF17" i="103"/>
  <c r="AR17" i="103"/>
  <c r="BY17" i="103"/>
  <c r="P18" i="103"/>
  <c r="AZ18" i="103"/>
  <c r="BU18" i="103"/>
  <c r="CS18" i="103"/>
  <c r="AJ19" i="103"/>
  <c r="BQ19" i="103"/>
  <c r="CC19" i="103"/>
  <c r="BC19" i="103" s="1"/>
  <c r="I20" i="103"/>
  <c r="AG20" i="103"/>
  <c r="AS20" i="103"/>
  <c r="BE20" i="103"/>
  <c r="BZ20" i="103"/>
  <c r="Q21" i="103"/>
  <c r="AO21" i="103"/>
  <c r="BV21" i="103"/>
  <c r="AK22" i="103"/>
  <c r="AW22" i="103"/>
  <c r="CD22" i="103"/>
  <c r="I23" i="103"/>
  <c r="AG23" i="103"/>
  <c r="AS23" i="103"/>
  <c r="BE23" i="103"/>
  <c r="BZ23" i="103"/>
  <c r="Q24" i="103"/>
  <c r="AO24" i="103"/>
  <c r="BV24" i="103"/>
  <c r="AK25" i="103"/>
  <c r="AW25" i="103"/>
  <c r="CD25" i="103"/>
  <c r="I26" i="103"/>
  <c r="AG26" i="103"/>
  <c r="AS26" i="103"/>
  <c r="BE26" i="103"/>
  <c r="BZ26" i="103"/>
  <c r="Q27" i="103"/>
  <c r="AO27" i="103"/>
  <c r="BV27" i="103"/>
  <c r="AK28" i="103"/>
  <c r="AW28" i="103"/>
  <c r="CD28" i="103"/>
  <c r="I29" i="103"/>
  <c r="AG29" i="103"/>
  <c r="AS29" i="103"/>
  <c r="BE29" i="103"/>
  <c r="BZ29" i="103"/>
  <c r="Q30" i="103"/>
  <c r="AO30" i="103"/>
  <c r="BV30" i="103"/>
  <c r="AK31" i="103"/>
  <c r="AW31" i="103"/>
  <c r="CD31" i="103"/>
  <c r="I32" i="103"/>
  <c r="AG32" i="103"/>
  <c r="AS32" i="103"/>
  <c r="BE32" i="103"/>
  <c r="BZ32" i="103"/>
  <c r="Q33" i="103"/>
  <c r="AO33" i="103"/>
  <c r="BV33" i="103"/>
  <c r="AK34" i="103"/>
  <c r="AW34" i="103"/>
  <c r="CD34" i="103"/>
  <c r="I35" i="103"/>
  <c r="AG35" i="103"/>
  <c r="AS35" i="103"/>
  <c r="BE35" i="103"/>
  <c r="BZ35" i="103"/>
  <c r="AD36" i="103"/>
  <c r="AP36" i="103"/>
  <c r="BW36" i="103"/>
  <c r="AY37" i="103"/>
  <c r="BT37" i="103"/>
  <c r="AJ38" i="103"/>
  <c r="BQ38" i="103"/>
  <c r="CC38" i="103"/>
  <c r="BC38" i="103" s="1"/>
  <c r="T39" i="103"/>
  <c r="AF39" i="103"/>
  <c r="AR39" i="103"/>
  <c r="BY39" i="103"/>
  <c r="P40" i="103"/>
  <c r="AZ40" i="103"/>
  <c r="BU40" i="103"/>
  <c r="CS40" i="103"/>
  <c r="AJ41" i="103"/>
  <c r="BQ41" i="103"/>
  <c r="CC41" i="103"/>
  <c r="BC41" i="103" s="1"/>
  <c r="T42" i="103"/>
  <c r="AF42" i="103"/>
  <c r="BY42" i="103"/>
  <c r="P43" i="103"/>
  <c r="AZ43" i="103"/>
  <c r="BU43" i="103"/>
  <c r="CS43" i="103"/>
  <c r="AJ44" i="103"/>
  <c r="BQ44" i="103"/>
  <c r="CC44" i="103"/>
  <c r="BC44" i="103" s="1"/>
  <c r="T45" i="103"/>
  <c r="AF45" i="103"/>
  <c r="AR45" i="103"/>
  <c r="BY45" i="103"/>
  <c r="Q46" i="103"/>
  <c r="AO46" i="103"/>
  <c r="BV46" i="103"/>
  <c r="AK47" i="103"/>
  <c r="AW47" i="103"/>
  <c r="BR47" i="103"/>
  <c r="CD47" i="103"/>
  <c r="I48" i="103"/>
  <c r="V48" i="103"/>
  <c r="AH48" i="103"/>
  <c r="AT48" i="103"/>
  <c r="BF48" i="103"/>
  <c r="CA48" i="103"/>
  <c r="AD49" i="103"/>
  <c r="AP49" i="103"/>
  <c r="BW49" i="103"/>
  <c r="N50" i="103"/>
  <c r="AX50" i="103"/>
  <c r="BS50" i="103"/>
  <c r="CE50" i="103"/>
  <c r="V51" i="103"/>
  <c r="AH51" i="103"/>
  <c r="AT51" i="103"/>
  <c r="BF51" i="103"/>
  <c r="CA51" i="103"/>
  <c r="AD52" i="103"/>
  <c r="AP52" i="103"/>
  <c r="BW52" i="103"/>
  <c r="AY53" i="103"/>
  <c r="BT53" i="103"/>
  <c r="AI54" i="103"/>
  <c r="BG54" i="103"/>
  <c r="CB54" i="103"/>
  <c r="AN54" i="103" s="1"/>
  <c r="CN54" i="103"/>
  <c r="G55" i="103"/>
  <c r="S55" i="103"/>
  <c r="AE55" i="103"/>
  <c r="BG55" i="103"/>
  <c r="T57" i="103"/>
  <c r="BU61" i="103"/>
  <c r="BQ62" i="103"/>
  <c r="BF12" i="103"/>
  <c r="AX14" i="103"/>
  <c r="CA15" i="103"/>
  <c r="AD19" i="103"/>
  <c r="G22" i="103"/>
  <c r="AY23" i="103"/>
  <c r="BX25" i="103"/>
  <c r="S28" i="103"/>
  <c r="BG30" i="103"/>
  <c r="BT32" i="103"/>
  <c r="CN33" i="103"/>
  <c r="BT35" i="103"/>
  <c r="BE37" i="103"/>
  <c r="BW38" i="103"/>
  <c r="AT43" i="103"/>
  <c r="BW44" i="103"/>
  <c r="AI46" i="103"/>
  <c r="BU55" i="103"/>
  <c r="I11" i="103"/>
  <c r="AG11" i="103"/>
  <c r="AS11" i="103"/>
  <c r="BE11" i="103"/>
  <c r="BZ11" i="103"/>
  <c r="Q12" i="103"/>
  <c r="AO12" i="103"/>
  <c r="BV12" i="103"/>
  <c r="AK13" i="103"/>
  <c r="AW13" i="103"/>
  <c r="CD13" i="103"/>
  <c r="I14" i="103"/>
  <c r="AG14" i="103"/>
  <c r="AS14" i="103"/>
  <c r="BE14" i="103"/>
  <c r="BZ14" i="103"/>
  <c r="Q15" i="103"/>
  <c r="AO15" i="103"/>
  <c r="BV15" i="103"/>
  <c r="AK16" i="103"/>
  <c r="AW16" i="103"/>
  <c r="CD16" i="103"/>
  <c r="I17" i="103"/>
  <c r="AG17" i="103"/>
  <c r="AS17" i="103"/>
  <c r="BE17" i="103"/>
  <c r="BZ17" i="103"/>
  <c r="Q18" i="103"/>
  <c r="AO18" i="103"/>
  <c r="BV18" i="103"/>
  <c r="AK19" i="103"/>
  <c r="AW19" i="103"/>
  <c r="CD19" i="103"/>
  <c r="V20" i="103"/>
  <c r="AH20" i="103"/>
  <c r="AT20" i="103"/>
  <c r="BF20" i="103"/>
  <c r="CA20" i="103"/>
  <c r="AD21" i="103"/>
  <c r="AP21" i="103"/>
  <c r="BW21" i="103"/>
  <c r="N22" i="103"/>
  <c r="AX22" i="103"/>
  <c r="BS22" i="103"/>
  <c r="CE22" i="103"/>
  <c r="V23" i="103"/>
  <c r="AH23" i="103"/>
  <c r="AT23" i="103"/>
  <c r="BF23" i="103"/>
  <c r="CA23" i="103"/>
  <c r="AD24" i="103"/>
  <c r="AP24" i="103"/>
  <c r="BW24" i="103"/>
  <c r="N25" i="103"/>
  <c r="AX25" i="103"/>
  <c r="BS25" i="103"/>
  <c r="CE25" i="103"/>
  <c r="V26" i="103"/>
  <c r="AH26" i="103"/>
  <c r="AT26" i="103"/>
  <c r="BF26" i="103"/>
  <c r="CA26" i="103"/>
  <c r="AD27" i="103"/>
  <c r="AP27" i="103"/>
  <c r="BW27" i="103"/>
  <c r="N28" i="103"/>
  <c r="AX28" i="103"/>
  <c r="BS28" i="103"/>
  <c r="CE28" i="103"/>
  <c r="V29" i="103"/>
  <c r="AH29" i="103"/>
  <c r="AT29" i="103"/>
  <c r="BF29" i="103"/>
  <c r="CA29" i="103"/>
  <c r="AD30" i="103"/>
  <c r="AP30" i="103"/>
  <c r="BW30" i="103"/>
  <c r="N31" i="103"/>
  <c r="AX31" i="103"/>
  <c r="BS31" i="103"/>
  <c r="CE31" i="103"/>
  <c r="V32" i="103"/>
  <c r="AH32" i="103"/>
  <c r="AT32" i="103"/>
  <c r="BF32" i="103"/>
  <c r="CA32" i="103"/>
  <c r="AD33" i="103"/>
  <c r="AP33" i="103"/>
  <c r="BW33" i="103"/>
  <c r="N34" i="103"/>
  <c r="AX34" i="103"/>
  <c r="BS34" i="103"/>
  <c r="CE34" i="103"/>
  <c r="V35" i="103"/>
  <c r="AH35" i="103"/>
  <c r="AT35" i="103"/>
  <c r="BF35" i="103"/>
  <c r="CA35" i="103"/>
  <c r="G36" i="103"/>
  <c r="S36" i="103"/>
  <c r="AE36" i="103"/>
  <c r="AQ36" i="103"/>
  <c r="BX36" i="103"/>
  <c r="P37" i="103"/>
  <c r="AZ37" i="103"/>
  <c r="BU37" i="103"/>
  <c r="CS37" i="103"/>
  <c r="AK38" i="103"/>
  <c r="AW38" i="103"/>
  <c r="CD38" i="103"/>
  <c r="I39" i="103"/>
  <c r="AG39" i="103"/>
  <c r="AS39" i="103"/>
  <c r="BE39" i="103"/>
  <c r="BZ39" i="103"/>
  <c r="Q40" i="103"/>
  <c r="AO40" i="103"/>
  <c r="BV40" i="103"/>
  <c r="AK41" i="103"/>
  <c r="AW41" i="103"/>
  <c r="CD41" i="103"/>
  <c r="I42" i="103"/>
  <c r="AG42" i="103"/>
  <c r="AS42" i="103"/>
  <c r="BE42" i="103"/>
  <c r="BZ42" i="103"/>
  <c r="Q43" i="103"/>
  <c r="AO43" i="103"/>
  <c r="BV43" i="103"/>
  <c r="AK44" i="103"/>
  <c r="AW44" i="103"/>
  <c r="BR44" i="103"/>
  <c r="CD44" i="103"/>
  <c r="I45" i="103"/>
  <c r="AG45" i="103"/>
  <c r="AS45" i="103"/>
  <c r="BE45" i="103"/>
  <c r="BZ45" i="103"/>
  <c r="AD46" i="103"/>
  <c r="AP46" i="103"/>
  <c r="BW46" i="103"/>
  <c r="N47" i="103"/>
  <c r="AX47" i="103"/>
  <c r="BS47" i="103"/>
  <c r="CE47" i="103"/>
  <c r="AI48" i="103"/>
  <c r="BG48" i="103"/>
  <c r="CB48" i="103"/>
  <c r="AN48" i="103" s="1"/>
  <c r="CN48" i="103"/>
  <c r="G49" i="103"/>
  <c r="S49" i="103"/>
  <c r="AE49" i="103"/>
  <c r="BX49" i="103"/>
  <c r="AY50" i="103"/>
  <c r="BT50" i="103"/>
  <c r="AI51" i="103"/>
  <c r="BG51" i="103"/>
  <c r="CB51" i="103"/>
  <c r="AN51" i="103" s="1"/>
  <c r="CN51" i="103"/>
  <c r="G52" i="103"/>
  <c r="S52" i="103"/>
  <c r="AE52" i="103"/>
  <c r="BX52" i="103"/>
  <c r="P53" i="103"/>
  <c r="AZ53" i="103"/>
  <c r="BU53" i="103"/>
  <c r="CS53" i="103"/>
  <c r="AJ54" i="103"/>
  <c r="BQ54" i="103"/>
  <c r="CC54" i="103"/>
  <c r="BC54" i="103" s="1"/>
  <c r="T55" i="103"/>
  <c r="AF55" i="103"/>
  <c r="AR55" i="103"/>
  <c r="AJ56" i="103"/>
  <c r="AF57" i="103"/>
  <c r="P58" i="103"/>
  <c r="CC62" i="103"/>
  <c r="BC62" i="103" s="1"/>
  <c r="N14" i="103"/>
  <c r="AH15" i="103"/>
  <c r="AP16" i="103"/>
  <c r="AP19" i="103"/>
  <c r="AQ22" i="103"/>
  <c r="BG24" i="103"/>
  <c r="CN27" i="103"/>
  <c r="CB33" i="103"/>
  <c r="AN33" i="103" s="1"/>
  <c r="N39" i="103"/>
  <c r="AH40" i="103"/>
  <c r="AX42" i="103"/>
  <c r="BU48" i="103"/>
  <c r="AO54" i="103"/>
  <c r="V11" i="103"/>
  <c r="AH11" i="103"/>
  <c r="AT11" i="103"/>
  <c r="BF11" i="103"/>
  <c r="CA11" i="103"/>
  <c r="AD12" i="103"/>
  <c r="AP12" i="103"/>
  <c r="BW12" i="103"/>
  <c r="N13" i="103"/>
  <c r="AX13" i="103"/>
  <c r="BS13" i="103"/>
  <c r="CE13" i="103"/>
  <c r="V14" i="103"/>
  <c r="AH14" i="103"/>
  <c r="AT14" i="103"/>
  <c r="BF14" i="103"/>
  <c r="CA14" i="103"/>
  <c r="AD15" i="103"/>
  <c r="AP15" i="103"/>
  <c r="BW15" i="103"/>
  <c r="N16" i="103"/>
  <c r="AX16" i="103"/>
  <c r="BS16" i="103"/>
  <c r="CE16" i="103"/>
  <c r="V17" i="103"/>
  <c r="AH17" i="103"/>
  <c r="AT17" i="103"/>
  <c r="BF17" i="103"/>
  <c r="CA17" i="103"/>
  <c r="AD18" i="103"/>
  <c r="AP18" i="103"/>
  <c r="BW18" i="103"/>
  <c r="N19" i="103"/>
  <c r="AX19" i="103"/>
  <c r="BS19" i="103"/>
  <c r="CE19" i="103"/>
  <c r="AI20" i="103"/>
  <c r="BG20" i="103"/>
  <c r="CB20" i="103"/>
  <c r="AN20" i="103" s="1"/>
  <c r="CN20" i="103"/>
  <c r="G21" i="103"/>
  <c r="S21" i="103"/>
  <c r="AE21" i="103"/>
  <c r="AQ21" i="103"/>
  <c r="BX21" i="103"/>
  <c r="AY22" i="103"/>
  <c r="BT22" i="103"/>
  <c r="AI23" i="103"/>
  <c r="BG23" i="103"/>
  <c r="CB23" i="103"/>
  <c r="AN23" i="103" s="1"/>
  <c r="CN23" i="103"/>
  <c r="G24" i="103"/>
  <c r="S24" i="103"/>
  <c r="AE24" i="103"/>
  <c r="AQ24" i="103"/>
  <c r="BX24" i="103"/>
  <c r="AY25" i="103"/>
  <c r="BT25" i="103"/>
  <c r="AI26" i="103"/>
  <c r="BG26" i="103"/>
  <c r="CB26" i="103"/>
  <c r="AN26" i="103" s="1"/>
  <c r="CN26" i="103"/>
  <c r="G27" i="103"/>
  <c r="S27" i="103"/>
  <c r="AE27" i="103"/>
  <c r="AQ27" i="103"/>
  <c r="BX27" i="103"/>
  <c r="AY28" i="103"/>
  <c r="BT28" i="103"/>
  <c r="AI29" i="103"/>
  <c r="BG29" i="103"/>
  <c r="CB29" i="103"/>
  <c r="AN29" i="103" s="1"/>
  <c r="CN29" i="103"/>
  <c r="G30" i="103"/>
  <c r="S30" i="103"/>
  <c r="AE30" i="103"/>
  <c r="AQ30" i="103"/>
  <c r="BX30" i="103"/>
  <c r="AY31" i="103"/>
  <c r="BT31" i="103"/>
  <c r="AI32" i="103"/>
  <c r="BG32" i="103"/>
  <c r="CB32" i="103"/>
  <c r="AN32" i="103" s="1"/>
  <c r="CN32" i="103"/>
  <c r="G33" i="103"/>
  <c r="S33" i="103"/>
  <c r="AE33" i="103"/>
  <c r="AQ33" i="103"/>
  <c r="BX33" i="103"/>
  <c r="AY34" i="103"/>
  <c r="BT34" i="103"/>
  <c r="AI35" i="103"/>
  <c r="BG35" i="103"/>
  <c r="CB35" i="103"/>
  <c r="AN35" i="103" s="1"/>
  <c r="CN35" i="103"/>
  <c r="T36" i="103"/>
  <c r="AF36" i="103"/>
  <c r="AR36" i="103"/>
  <c r="BY36" i="103"/>
  <c r="Q37" i="103"/>
  <c r="AO37" i="103"/>
  <c r="BV37" i="103"/>
  <c r="N38" i="103"/>
  <c r="AX38" i="103"/>
  <c r="BS38" i="103"/>
  <c r="CE38" i="103"/>
  <c r="V39" i="103"/>
  <c r="AH39" i="103"/>
  <c r="AT39" i="103"/>
  <c r="BF39" i="103"/>
  <c r="CA39" i="103"/>
  <c r="AD40" i="103"/>
  <c r="AP40" i="103"/>
  <c r="BW40" i="103"/>
  <c r="N41" i="103"/>
  <c r="AX41" i="103"/>
  <c r="BS41" i="103"/>
  <c r="CE41" i="103"/>
  <c r="V42" i="103"/>
  <c r="AH42" i="103"/>
  <c r="AT42" i="103"/>
  <c r="BF42" i="103"/>
  <c r="CA42" i="103"/>
  <c r="AD43" i="103"/>
  <c r="AP43" i="103"/>
  <c r="BW43" i="103"/>
  <c r="N44" i="103"/>
  <c r="AX44" i="103"/>
  <c r="BS44" i="103"/>
  <c r="CE44" i="103"/>
  <c r="V45" i="103"/>
  <c r="AH45" i="103"/>
  <c r="AT45" i="103"/>
  <c r="BF45" i="103"/>
  <c r="CA45" i="103"/>
  <c r="S46" i="103"/>
  <c r="AE46" i="103"/>
  <c r="BX46" i="103"/>
  <c r="AY47" i="103"/>
  <c r="BT47" i="103"/>
  <c r="AJ48" i="103"/>
  <c r="BQ48" i="103"/>
  <c r="CC48" i="103"/>
  <c r="BC48" i="103" s="1"/>
  <c r="T49" i="103"/>
  <c r="AF49" i="103"/>
  <c r="AR49" i="103"/>
  <c r="BY49" i="103"/>
  <c r="P50" i="103"/>
  <c r="AZ50" i="103"/>
  <c r="BU50" i="103"/>
  <c r="CS50" i="103"/>
  <c r="AJ51" i="103"/>
  <c r="BQ51" i="103"/>
  <c r="CC51" i="103"/>
  <c r="BC51" i="103" s="1"/>
  <c r="T52" i="103"/>
  <c r="AF52" i="103"/>
  <c r="AR52" i="103"/>
  <c r="BY52" i="103"/>
  <c r="Q53" i="103"/>
  <c r="AO53" i="103"/>
  <c r="BV53" i="103"/>
  <c r="AK54" i="103"/>
  <c r="AW54" i="103"/>
  <c r="BR54" i="103"/>
  <c r="CD54" i="103"/>
  <c r="I55" i="103"/>
  <c r="AG55" i="103"/>
  <c r="AS55" i="103"/>
  <c r="AR57" i="103"/>
  <c r="CS61" i="103"/>
  <c r="CE11" i="103"/>
  <c r="AD13" i="103"/>
  <c r="AD16" i="103"/>
  <c r="AI21" i="103"/>
  <c r="S22" i="103"/>
  <c r="AI24" i="103"/>
  <c r="AQ25" i="103"/>
  <c r="AI30" i="103"/>
  <c r="AE31" i="103"/>
  <c r="S34" i="103"/>
  <c r="AG37" i="103"/>
  <c r="AD38" i="103"/>
  <c r="BF40" i="103"/>
  <c r="BW41" i="103"/>
  <c r="CN46" i="103"/>
  <c r="AJ49" i="103"/>
  <c r="AF50" i="103"/>
  <c r="P51" i="103"/>
  <c r="AJ52" i="103"/>
  <c r="AI11" i="103"/>
  <c r="BG11" i="103"/>
  <c r="CB11" i="103"/>
  <c r="AN11" i="103" s="1"/>
  <c r="CN11" i="103"/>
  <c r="G12" i="103"/>
  <c r="S12" i="103"/>
  <c r="AE12" i="103"/>
  <c r="AQ12" i="103"/>
  <c r="BX12" i="103"/>
  <c r="AY13" i="103"/>
  <c r="BT13" i="103"/>
  <c r="AI14" i="103"/>
  <c r="BG14" i="103"/>
  <c r="CB14" i="103"/>
  <c r="AN14" i="103" s="1"/>
  <c r="CN14" i="103"/>
  <c r="G15" i="103"/>
  <c r="S15" i="103"/>
  <c r="AE15" i="103"/>
  <c r="AQ15" i="103"/>
  <c r="BX15" i="103"/>
  <c r="AY16" i="103"/>
  <c r="BT16" i="103"/>
  <c r="AI17" i="103"/>
  <c r="BG17" i="103"/>
  <c r="CB17" i="103"/>
  <c r="AN17" i="103" s="1"/>
  <c r="CN17" i="103"/>
  <c r="G18" i="103"/>
  <c r="S18" i="103"/>
  <c r="AE18" i="103"/>
  <c r="AQ18" i="103"/>
  <c r="BX18" i="103"/>
  <c r="AY19" i="103"/>
  <c r="BT19" i="103"/>
  <c r="AJ20" i="103"/>
  <c r="BQ20" i="103"/>
  <c r="CC20" i="103"/>
  <c r="BC20" i="103" s="1"/>
  <c r="T21" i="103"/>
  <c r="AF21" i="103"/>
  <c r="AR21" i="103"/>
  <c r="BY21" i="103"/>
  <c r="P22" i="103"/>
  <c r="AZ22" i="103"/>
  <c r="BU22" i="103"/>
  <c r="CS22" i="103"/>
  <c r="AJ23" i="103"/>
  <c r="BQ23" i="103"/>
  <c r="CC23" i="103"/>
  <c r="BC23" i="103" s="1"/>
  <c r="T24" i="103"/>
  <c r="AF24" i="103"/>
  <c r="AR24" i="103"/>
  <c r="BY24" i="103"/>
  <c r="P25" i="103"/>
  <c r="AZ25" i="103"/>
  <c r="BU25" i="103"/>
  <c r="CS25" i="103"/>
  <c r="AJ26" i="103"/>
  <c r="BQ26" i="103"/>
  <c r="CC26" i="103"/>
  <c r="T27" i="103"/>
  <c r="AF27" i="103"/>
  <c r="AR27" i="103"/>
  <c r="BY27" i="103"/>
  <c r="P28" i="103"/>
  <c r="AZ28" i="103"/>
  <c r="BU28" i="103"/>
  <c r="CS28" i="103"/>
  <c r="AJ29" i="103"/>
  <c r="BQ29" i="103"/>
  <c r="CC29" i="103"/>
  <c r="T30" i="103"/>
  <c r="AF30" i="103"/>
  <c r="AR30" i="103"/>
  <c r="BY30" i="103"/>
  <c r="P31" i="103"/>
  <c r="AZ31" i="103"/>
  <c r="BU31" i="103"/>
  <c r="CS31" i="103"/>
  <c r="AJ32" i="103"/>
  <c r="BQ32" i="103"/>
  <c r="CC32" i="103"/>
  <c r="BC32" i="103" s="1"/>
  <c r="T33" i="103"/>
  <c r="AF33" i="103"/>
  <c r="AR33" i="103"/>
  <c r="BY33" i="103"/>
  <c r="P34" i="103"/>
  <c r="AZ34" i="103"/>
  <c r="BU34" i="103"/>
  <c r="CS34" i="103"/>
  <c r="AJ35" i="103"/>
  <c r="BQ35" i="103"/>
  <c r="CC35" i="103"/>
  <c r="I36" i="103"/>
  <c r="AG36" i="103"/>
  <c r="AS36" i="103"/>
  <c r="BE36" i="103"/>
  <c r="BZ36" i="103"/>
  <c r="AD37" i="103"/>
  <c r="AP37" i="103"/>
  <c r="BW37" i="103"/>
  <c r="AY38" i="103"/>
  <c r="BT38" i="103"/>
  <c r="AI39" i="103"/>
  <c r="BG39" i="103"/>
  <c r="CB39" i="103"/>
  <c r="AN39" i="103" s="1"/>
  <c r="CN39" i="103"/>
  <c r="G40" i="103"/>
  <c r="S40" i="103"/>
  <c r="AE40" i="103"/>
  <c r="AQ40" i="103"/>
  <c r="BX40" i="103"/>
  <c r="AY41" i="103"/>
  <c r="BT41" i="103"/>
  <c r="AI42" i="103"/>
  <c r="BG42" i="103"/>
  <c r="CB42" i="103"/>
  <c r="AN42" i="103" s="1"/>
  <c r="CN42" i="103"/>
  <c r="G43" i="103"/>
  <c r="S43" i="103"/>
  <c r="AE43" i="103"/>
  <c r="BX43" i="103"/>
  <c r="AY44" i="103"/>
  <c r="BT44" i="103"/>
  <c r="AI45" i="103"/>
  <c r="BG45" i="103"/>
  <c r="CB45" i="103"/>
  <c r="AN45" i="103" s="1"/>
  <c r="CN45" i="103"/>
  <c r="G46" i="103"/>
  <c r="T46" i="103"/>
  <c r="AF46" i="103"/>
  <c r="AR46" i="103"/>
  <c r="BY46" i="103"/>
  <c r="P47" i="103"/>
  <c r="AZ47" i="103"/>
  <c r="BU47" i="103"/>
  <c r="CS47" i="103"/>
  <c r="AK48" i="103"/>
  <c r="AW48" i="103"/>
  <c r="BR48" i="103"/>
  <c r="CD48" i="103"/>
  <c r="I49" i="103"/>
  <c r="AG49" i="103"/>
  <c r="AS49" i="103"/>
  <c r="BE49" i="103"/>
  <c r="BZ49" i="103"/>
  <c r="Q50" i="103"/>
  <c r="AO50" i="103"/>
  <c r="BV50" i="103"/>
  <c r="AK51" i="103"/>
  <c r="AW51" i="103"/>
  <c r="BR51" i="103"/>
  <c r="CD51" i="103"/>
  <c r="I52" i="103"/>
  <c r="AG52" i="103"/>
  <c r="AS52" i="103"/>
  <c r="BE52" i="103"/>
  <c r="BZ52" i="103"/>
  <c r="AD53" i="103"/>
  <c r="AP53" i="103"/>
  <c r="BW53" i="103"/>
  <c r="N54" i="103"/>
  <c r="AX54" i="103"/>
  <c r="BS54" i="103"/>
  <c r="CE54" i="103"/>
  <c r="V55" i="103"/>
  <c r="AH55" i="103"/>
  <c r="AT55" i="103"/>
  <c r="T60" i="103"/>
  <c r="CE14" i="103"/>
  <c r="N17" i="103"/>
  <c r="AH18" i="103"/>
  <c r="S25" i="103"/>
  <c r="BX28" i="103"/>
  <c r="S31" i="103"/>
  <c r="BG33" i="103"/>
  <c r="I37" i="103"/>
  <c r="AX39" i="103"/>
  <c r="CE42" i="103"/>
  <c r="S47" i="103"/>
  <c r="AZ51" i="103"/>
  <c r="BE53" i="103"/>
  <c r="AZ58" i="103"/>
  <c r="AJ11" i="103"/>
  <c r="BQ11" i="103"/>
  <c r="CC11" i="103"/>
  <c r="T12" i="103"/>
  <c r="AF12" i="103"/>
  <c r="AR12" i="103"/>
  <c r="BY12" i="103"/>
  <c r="P13" i="103"/>
  <c r="AZ13" i="103"/>
  <c r="BU13" i="103"/>
  <c r="CS13" i="103"/>
  <c r="AJ14" i="103"/>
  <c r="BQ14" i="103"/>
  <c r="CC14" i="103"/>
  <c r="T15" i="103"/>
  <c r="AF15" i="103"/>
  <c r="AR15" i="103"/>
  <c r="BY15" i="103"/>
  <c r="P16" i="103"/>
  <c r="AZ16" i="103"/>
  <c r="BU16" i="103"/>
  <c r="CS16" i="103"/>
  <c r="AJ17" i="103"/>
  <c r="BQ17" i="103"/>
  <c r="CC17" i="103"/>
  <c r="T18" i="103"/>
  <c r="AF18" i="103"/>
  <c r="AR18" i="103"/>
  <c r="BY18" i="103"/>
  <c r="P19" i="103"/>
  <c r="AZ19" i="103"/>
  <c r="BU19" i="103"/>
  <c r="CS19" i="103"/>
  <c r="AK20" i="103"/>
  <c r="AW20" i="103"/>
  <c r="CD20" i="103"/>
  <c r="I21" i="103"/>
  <c r="AG21" i="103"/>
  <c r="AS21" i="103"/>
  <c r="BE21" i="103"/>
  <c r="BZ21" i="103"/>
  <c r="Q22" i="103"/>
  <c r="AO22" i="103"/>
  <c r="BV22" i="103"/>
  <c r="AK23" i="103"/>
  <c r="AW23" i="103"/>
  <c r="CD23" i="103"/>
  <c r="I24" i="103"/>
  <c r="AG24" i="103"/>
  <c r="AS24" i="103"/>
  <c r="BE24" i="103"/>
  <c r="BZ24" i="103"/>
  <c r="Q25" i="103"/>
  <c r="AO25" i="103"/>
  <c r="BV25" i="103"/>
  <c r="AK26" i="103"/>
  <c r="AW26" i="103"/>
  <c r="CD26" i="103"/>
  <c r="I27" i="103"/>
  <c r="AG27" i="103"/>
  <c r="AS27" i="103"/>
  <c r="BE27" i="103"/>
  <c r="BZ27" i="103"/>
  <c r="Q28" i="103"/>
  <c r="AO28" i="103"/>
  <c r="BV28" i="103"/>
  <c r="AK29" i="103"/>
  <c r="AW29" i="103"/>
  <c r="CD29" i="103"/>
  <c r="I30" i="103"/>
  <c r="AG30" i="103"/>
  <c r="AS30" i="103"/>
  <c r="BE30" i="103"/>
  <c r="BZ30" i="103"/>
  <c r="Q31" i="103"/>
  <c r="AO31" i="103"/>
  <c r="BV31" i="103"/>
  <c r="AK32" i="103"/>
  <c r="AW32" i="103"/>
  <c r="CD32" i="103"/>
  <c r="I33" i="103"/>
  <c r="AG33" i="103"/>
  <c r="AS33" i="103"/>
  <c r="BE33" i="103"/>
  <c r="BZ33" i="103"/>
  <c r="Q34" i="103"/>
  <c r="AO34" i="103"/>
  <c r="BV34" i="103"/>
  <c r="AK35" i="103"/>
  <c r="AW35" i="103"/>
  <c r="CD35" i="103"/>
  <c r="V36" i="103"/>
  <c r="AH36" i="103"/>
  <c r="AT36" i="103"/>
  <c r="BF36" i="103"/>
  <c r="CA36" i="103"/>
  <c r="G37" i="103"/>
  <c r="S37" i="103"/>
  <c r="AE37" i="103"/>
  <c r="AQ37" i="103"/>
  <c r="BX37" i="103"/>
  <c r="P38" i="103"/>
  <c r="AZ38" i="103"/>
  <c r="BU38" i="103"/>
  <c r="CS38" i="103"/>
  <c r="AJ39" i="103"/>
  <c r="BQ39" i="103"/>
  <c r="CC39" i="103"/>
  <c r="T40" i="103"/>
  <c r="AF40" i="103"/>
  <c r="AR40" i="103"/>
  <c r="BY40" i="103"/>
  <c r="P41" i="103"/>
  <c r="AZ41" i="103"/>
  <c r="BU41" i="103"/>
  <c r="CS41" i="103"/>
  <c r="AJ42" i="103"/>
  <c r="BQ42" i="103"/>
  <c r="CC42" i="103"/>
  <c r="BC42" i="103" s="1"/>
  <c r="T43" i="103"/>
  <c r="AF43" i="103"/>
  <c r="BY43" i="103"/>
  <c r="P44" i="103"/>
  <c r="AZ44" i="103"/>
  <c r="BU44" i="103"/>
  <c r="CS44" i="103"/>
  <c r="AJ45" i="103"/>
  <c r="BQ45" i="103"/>
  <c r="CC45" i="103"/>
  <c r="BC45" i="103" s="1"/>
  <c r="AG46" i="103"/>
  <c r="AS46" i="103"/>
  <c r="BE46" i="103"/>
  <c r="BZ46" i="103"/>
  <c r="Q47" i="103"/>
  <c r="AO47" i="103"/>
  <c r="BV47" i="103"/>
  <c r="N48" i="103"/>
  <c r="AX48" i="103"/>
  <c r="BS48" i="103"/>
  <c r="CE48" i="103"/>
  <c r="V49" i="103"/>
  <c r="AH49" i="103"/>
  <c r="AT49" i="103"/>
  <c r="BF49" i="103"/>
  <c r="CA49" i="103"/>
  <c r="AD50" i="103"/>
  <c r="AP50" i="103"/>
  <c r="BW50" i="103"/>
  <c r="N51" i="103"/>
  <c r="AX51" i="103"/>
  <c r="BS51" i="103"/>
  <c r="CE51" i="103"/>
  <c r="V52" i="103"/>
  <c r="AH52" i="103"/>
  <c r="AT52" i="103"/>
  <c r="BF52" i="103"/>
  <c r="CA52" i="103"/>
  <c r="S53" i="103"/>
  <c r="AE53" i="103"/>
  <c r="BX53" i="103"/>
  <c r="AY54" i="103"/>
  <c r="BT54" i="103"/>
  <c r="AI55" i="103"/>
  <c r="AJ59" i="103"/>
  <c r="AF60" i="103"/>
  <c r="P61" i="103"/>
  <c r="CA12" i="103"/>
  <c r="AT15" i="103"/>
  <c r="BW16" i="103"/>
  <c r="CB21" i="103"/>
  <c r="CB24" i="103"/>
  <c r="BG27" i="103"/>
  <c r="BT29" i="103"/>
  <c r="AI33" i="103"/>
  <c r="AE34" i="103"/>
  <c r="AY35" i="103"/>
  <c r="AS37" i="103"/>
  <c r="CE45" i="103"/>
  <c r="CC52" i="103"/>
  <c r="BC52" i="103" s="1"/>
  <c r="BV54" i="103"/>
  <c r="BQ56" i="103"/>
  <c r="AK11" i="103"/>
  <c r="AW11" i="103"/>
  <c r="CD11" i="103"/>
  <c r="I12" i="103"/>
  <c r="AG12" i="103"/>
  <c r="AS12" i="103"/>
  <c r="BE12" i="103"/>
  <c r="BZ12" i="103"/>
  <c r="Q13" i="103"/>
  <c r="AO13" i="103"/>
  <c r="BV13" i="103"/>
  <c r="AK14" i="103"/>
  <c r="AW14" i="103"/>
  <c r="CD14" i="103"/>
  <c r="I15" i="103"/>
  <c r="AG15" i="103"/>
  <c r="AS15" i="103"/>
  <c r="BE15" i="103"/>
  <c r="BZ15" i="103"/>
  <c r="Q16" i="103"/>
  <c r="AO16" i="103"/>
  <c r="BV16" i="103"/>
  <c r="AK17" i="103"/>
  <c r="AW17" i="103"/>
  <c r="CD17" i="103"/>
  <c r="I18" i="103"/>
  <c r="AG18" i="103"/>
  <c r="AS18" i="103"/>
  <c r="BE18" i="103"/>
  <c r="BZ18" i="103"/>
  <c r="Q19" i="103"/>
  <c r="AO19" i="103"/>
  <c r="BV19" i="103"/>
  <c r="N20" i="103"/>
  <c r="AX20" i="103"/>
  <c r="BS20" i="103"/>
  <c r="CE20" i="103"/>
  <c r="V21" i="103"/>
  <c r="AH21" i="103"/>
  <c r="AT21" i="103"/>
  <c r="BF21" i="103"/>
  <c r="CA21" i="103"/>
  <c r="AD22" i="103"/>
  <c r="AP22" i="103"/>
  <c r="BW22" i="103"/>
  <c r="N23" i="103"/>
  <c r="AX23" i="103"/>
  <c r="BS23" i="103"/>
  <c r="CE23" i="103"/>
  <c r="V24" i="103"/>
  <c r="AH24" i="103"/>
  <c r="AT24" i="103"/>
  <c r="BF24" i="103"/>
  <c r="CA24" i="103"/>
  <c r="AD25" i="103"/>
  <c r="AP25" i="103"/>
  <c r="BW25" i="103"/>
  <c r="N26" i="103"/>
  <c r="AX26" i="103"/>
  <c r="BS26" i="103"/>
  <c r="CE26" i="103"/>
  <c r="V27" i="103"/>
  <c r="AH27" i="103"/>
  <c r="AT27" i="103"/>
  <c r="BF27" i="103"/>
  <c r="CA27" i="103"/>
  <c r="AD28" i="103"/>
  <c r="AP28" i="103"/>
  <c r="BW28" i="103"/>
  <c r="N29" i="103"/>
  <c r="AX29" i="103"/>
  <c r="BS29" i="103"/>
  <c r="CE29" i="103"/>
  <c r="V30" i="103"/>
  <c r="AH30" i="103"/>
  <c r="AT30" i="103"/>
  <c r="BF30" i="103"/>
  <c r="CA30" i="103"/>
  <c r="AD31" i="103"/>
  <c r="AP31" i="103"/>
  <c r="BW31" i="103"/>
  <c r="N32" i="103"/>
  <c r="AX32" i="103"/>
  <c r="BS32" i="103"/>
  <c r="CE32" i="103"/>
  <c r="V33" i="103"/>
  <c r="AH33" i="103"/>
  <c r="AT33" i="103"/>
  <c r="BF33" i="103"/>
  <c r="CA33" i="103"/>
  <c r="AD34" i="103"/>
  <c r="AP34" i="103"/>
  <c r="BW34" i="103"/>
  <c r="N35" i="103"/>
  <c r="AX35" i="103"/>
  <c r="BS35" i="103"/>
  <c r="CE35" i="103"/>
  <c r="AI36" i="103"/>
  <c r="BG36" i="103"/>
  <c r="CB36" i="103"/>
  <c r="CN36" i="103"/>
  <c r="T37" i="103"/>
  <c r="AF37" i="103"/>
  <c r="AR37" i="103"/>
  <c r="BY37" i="103"/>
  <c r="Q38" i="103"/>
  <c r="AO38" i="103"/>
  <c r="BV38" i="103"/>
  <c r="AK39" i="103"/>
  <c r="AW39" i="103"/>
  <c r="CD39" i="103"/>
  <c r="I40" i="103"/>
  <c r="AG40" i="103"/>
  <c r="AS40" i="103"/>
  <c r="BE40" i="103"/>
  <c r="BZ40" i="103"/>
  <c r="Q41" i="103"/>
  <c r="AO41" i="103"/>
  <c r="BV41" i="103"/>
  <c r="AK42" i="103"/>
  <c r="AW42" i="103"/>
  <c r="BR42" i="103"/>
  <c r="CD42" i="103"/>
  <c r="I43" i="103"/>
  <c r="AG43" i="103"/>
  <c r="AS43" i="103"/>
  <c r="BE43" i="103"/>
  <c r="BZ43" i="103"/>
  <c r="Q44" i="103"/>
  <c r="AO44" i="103"/>
  <c r="BV44" i="103"/>
  <c r="AK45" i="103"/>
  <c r="AW45" i="103"/>
  <c r="BR45" i="103"/>
  <c r="CD45" i="103"/>
  <c r="I46" i="103"/>
  <c r="V46" i="103"/>
  <c r="AH46" i="103"/>
  <c r="AT46" i="103"/>
  <c r="BF46" i="103"/>
  <c r="CA46" i="103"/>
  <c r="AD47" i="103"/>
  <c r="AP47" i="103"/>
  <c r="BW47" i="103"/>
  <c r="AY48" i="103"/>
  <c r="BT48" i="103"/>
  <c r="AI49" i="103"/>
  <c r="BG49" i="103"/>
  <c r="CB49" i="103"/>
  <c r="AN49" i="103" s="1"/>
  <c r="CN49" i="103"/>
  <c r="G50" i="103"/>
  <c r="S50" i="103"/>
  <c r="AE50" i="103"/>
  <c r="BX50" i="103"/>
  <c r="AY51" i="103"/>
  <c r="BT51" i="103"/>
  <c r="AI52" i="103"/>
  <c r="BG52" i="103"/>
  <c r="CB52" i="103"/>
  <c r="CN52" i="103"/>
  <c r="G53" i="103"/>
  <c r="T53" i="103"/>
  <c r="AF53" i="103"/>
  <c r="AR53" i="103"/>
  <c r="BY53" i="103"/>
  <c r="P54" i="103"/>
  <c r="AZ54" i="103"/>
  <c r="BU54" i="103"/>
  <c r="CS54" i="103"/>
  <c r="AJ55" i="103"/>
  <c r="AR60" i="103"/>
  <c r="AQ374" i="103"/>
  <c r="AQ371" i="103"/>
  <c r="AQ373" i="103"/>
  <c r="AQ375" i="103"/>
  <c r="AQ372" i="103"/>
  <c r="AQ370" i="103"/>
  <c r="CE344" i="103"/>
  <c r="BS344" i="103"/>
  <c r="AX344" i="103"/>
  <c r="N344" i="103"/>
  <c r="BW343" i="103"/>
  <c r="AD343" i="103"/>
  <c r="CA342" i="103"/>
  <c r="BF342" i="103"/>
  <c r="AT342" i="103"/>
  <c r="AH342" i="103"/>
  <c r="V342" i="103"/>
  <c r="CE341" i="103"/>
  <c r="BS341" i="103"/>
  <c r="AX341" i="103"/>
  <c r="N341" i="103"/>
  <c r="BW340" i="103"/>
  <c r="AD340" i="103"/>
  <c r="CA339" i="103"/>
  <c r="BF339" i="103"/>
  <c r="AT339" i="103"/>
  <c r="AH339" i="103"/>
  <c r="V339" i="103"/>
  <c r="CE338" i="103"/>
  <c r="BS338" i="103"/>
  <c r="AX338" i="103"/>
  <c r="N338" i="103"/>
  <c r="BW337" i="103"/>
  <c r="AD337" i="103"/>
  <c r="CA336" i="103"/>
  <c r="BF336" i="103"/>
  <c r="AT336" i="103"/>
  <c r="AH336" i="103"/>
  <c r="V336" i="103"/>
  <c r="CE335" i="103"/>
  <c r="BS335" i="103"/>
  <c r="AX335" i="103"/>
  <c r="N335" i="103"/>
  <c r="BW334" i="103"/>
  <c r="AD334" i="103"/>
  <c r="CA333" i="103"/>
  <c r="BF333" i="103"/>
  <c r="AT333" i="103"/>
  <c r="AH333" i="103"/>
  <c r="V333" i="103"/>
  <c r="CE332" i="103"/>
  <c r="BS332" i="103"/>
  <c r="CD344" i="103"/>
  <c r="BR344" i="103"/>
  <c r="AW344" i="103"/>
  <c r="AK344" i="103"/>
  <c r="BV343" i="103"/>
  <c r="Q343" i="103"/>
  <c r="BZ342" i="103"/>
  <c r="BN342" i="103"/>
  <c r="BE342" i="103"/>
  <c r="AS342" i="103"/>
  <c r="AG342" i="103"/>
  <c r="I342" i="103"/>
  <c r="CD341" i="103"/>
  <c r="BR341" i="103"/>
  <c r="AW341" i="103"/>
  <c r="AK341" i="103"/>
  <c r="BV340" i="103"/>
  <c r="Q340" i="103"/>
  <c r="BZ339" i="103"/>
  <c r="BN339" i="103"/>
  <c r="BE339" i="103"/>
  <c r="AS339" i="103"/>
  <c r="AG339" i="103"/>
  <c r="I339" i="103"/>
  <c r="CD338" i="103"/>
  <c r="BR338" i="103"/>
  <c r="AW338" i="103"/>
  <c r="AK338" i="103"/>
  <c r="BV337" i="103"/>
  <c r="Q337" i="103"/>
  <c r="BZ336" i="103"/>
  <c r="BN336" i="103"/>
  <c r="BE336" i="103"/>
  <c r="AS336" i="103"/>
  <c r="AG336" i="103"/>
  <c r="I336" i="103"/>
  <c r="CD335" i="103"/>
  <c r="BR335" i="103"/>
  <c r="AW335" i="103"/>
  <c r="AK335" i="103"/>
  <c r="BV334" i="103"/>
  <c r="Q334" i="103"/>
  <c r="BZ333" i="103"/>
  <c r="BN333" i="103"/>
  <c r="BE333" i="103"/>
  <c r="AS333" i="103"/>
  <c r="AG333" i="103"/>
  <c r="I333" i="103"/>
  <c r="CD332" i="103"/>
  <c r="BR332" i="103"/>
  <c r="CC344" i="103"/>
  <c r="BQ344" i="103"/>
  <c r="AJ344" i="103"/>
  <c r="CS343" i="103"/>
  <c r="BU343" i="103"/>
  <c r="AZ343" i="103"/>
  <c r="P343" i="103"/>
  <c r="BY342" i="103"/>
  <c r="AF342" i="103"/>
  <c r="T342" i="103"/>
  <c r="CC341" i="103"/>
  <c r="BQ341" i="103"/>
  <c r="AJ341" i="103"/>
  <c r="CS340" i="103"/>
  <c r="BU340" i="103"/>
  <c r="AZ340" i="103"/>
  <c r="P340" i="103"/>
  <c r="BY339" i="103"/>
  <c r="AF339" i="103"/>
  <c r="T339" i="103"/>
  <c r="CC338" i="103"/>
  <c r="BQ338" i="103"/>
  <c r="AJ338" i="103"/>
  <c r="CS337" i="103"/>
  <c r="BU337" i="103"/>
  <c r="AZ337" i="103"/>
  <c r="P337" i="103"/>
  <c r="BY336" i="103"/>
  <c r="AF336" i="103"/>
  <c r="T336" i="103"/>
  <c r="CC335" i="103"/>
  <c r="BQ335" i="103"/>
  <c r="AJ335" i="103"/>
  <c r="CS334" i="103"/>
  <c r="BU334" i="103"/>
  <c r="AZ334" i="103"/>
  <c r="P334" i="103"/>
  <c r="BY333" i="103"/>
  <c r="AF333" i="103"/>
  <c r="T333" i="103"/>
  <c r="CC332" i="103"/>
  <c r="BQ332" i="103"/>
  <c r="AQ369" i="103"/>
  <c r="AQ366" i="103"/>
  <c r="AQ363" i="103"/>
  <c r="AQ360" i="103"/>
  <c r="AQ357" i="103"/>
  <c r="AQ354" i="103"/>
  <c r="AQ351" i="103"/>
  <c r="AQ348" i="103"/>
  <c r="CN344" i="103"/>
  <c r="CB344" i="103"/>
  <c r="AN344" i="103" s="1"/>
  <c r="BG344" i="103"/>
  <c r="AI344" i="103"/>
  <c r="BT343" i="103"/>
  <c r="AY343" i="103"/>
  <c r="BX342" i="103"/>
  <c r="BC342" i="103"/>
  <c r="AE342" i="103"/>
  <c r="S342" i="103"/>
  <c r="G342" i="103"/>
  <c r="CN341" i="103"/>
  <c r="CB341" i="103"/>
  <c r="AN341" i="103" s="1"/>
  <c r="BG341" i="103"/>
  <c r="AI341" i="103"/>
  <c r="BT340" i="103"/>
  <c r="AY340" i="103"/>
  <c r="BX339" i="103"/>
  <c r="BC339" i="103"/>
  <c r="AE339" i="103"/>
  <c r="S339" i="103"/>
  <c r="G339" i="103"/>
  <c r="CN338" i="103"/>
  <c r="CB338" i="103"/>
  <c r="AN338" i="103" s="1"/>
  <c r="BG338" i="103"/>
  <c r="AI338" i="103"/>
  <c r="BT337" i="103"/>
  <c r="AY337" i="103"/>
  <c r="BX336" i="103"/>
  <c r="BC336" i="103"/>
  <c r="AE336" i="103"/>
  <c r="S336" i="103"/>
  <c r="G336" i="103"/>
  <c r="CN335" i="103"/>
  <c r="CB335" i="103"/>
  <c r="AN335" i="103" s="1"/>
  <c r="BG335" i="103"/>
  <c r="AI335" i="103"/>
  <c r="BT334" i="103"/>
  <c r="AY334" i="103"/>
  <c r="BX333" i="103"/>
  <c r="BC333" i="103"/>
  <c r="AE333" i="103"/>
  <c r="S333" i="103"/>
  <c r="G333" i="103"/>
  <c r="CN332" i="103"/>
  <c r="CB332" i="103"/>
  <c r="AN332" i="103" s="1"/>
  <c r="BZ344" i="103"/>
  <c r="BE344" i="103"/>
  <c r="AS344" i="103"/>
  <c r="AG344" i="103"/>
  <c r="I344" i="103"/>
  <c r="CD343" i="103"/>
  <c r="BR343" i="103"/>
  <c r="AW343" i="103"/>
  <c r="AK343" i="103"/>
  <c r="BV342" i="103"/>
  <c r="Q342" i="103"/>
  <c r="BZ341" i="103"/>
  <c r="BN341" i="103"/>
  <c r="BE341" i="103"/>
  <c r="AS341" i="103"/>
  <c r="AG341" i="103"/>
  <c r="I341" i="103"/>
  <c r="CD340" i="103"/>
  <c r="BR340" i="103"/>
  <c r="AW340" i="103"/>
  <c r="AK340" i="103"/>
  <c r="BV339" i="103"/>
  <c r="Q339" i="103"/>
  <c r="BZ338" i="103"/>
  <c r="BN338" i="103"/>
  <c r="BE338" i="103"/>
  <c r="AS338" i="103"/>
  <c r="AG338" i="103"/>
  <c r="I338" i="103"/>
  <c r="CD337" i="103"/>
  <c r="BR337" i="103"/>
  <c r="AW337" i="103"/>
  <c r="AK337" i="103"/>
  <c r="BV336" i="103"/>
  <c r="Q336" i="103"/>
  <c r="BZ335" i="103"/>
  <c r="BN335" i="103"/>
  <c r="BE335" i="103"/>
  <c r="AS335" i="103"/>
  <c r="AG335" i="103"/>
  <c r="I335" i="103"/>
  <c r="CD334" i="103"/>
  <c r="BR334" i="103"/>
  <c r="AW334" i="103"/>
  <c r="AK334" i="103"/>
  <c r="BV333" i="103"/>
  <c r="Q333" i="103"/>
  <c r="BZ332" i="103"/>
  <c r="BN332" i="103"/>
  <c r="BY344" i="103"/>
  <c r="AF344" i="103"/>
  <c r="T344" i="103"/>
  <c r="CC343" i="103"/>
  <c r="BQ343" i="103"/>
  <c r="AJ343" i="103"/>
  <c r="BU342" i="103"/>
  <c r="AZ342" i="103"/>
  <c r="P342" i="103"/>
  <c r="BY341" i="103"/>
  <c r="AF341" i="103"/>
  <c r="T341" i="103"/>
  <c r="CC340" i="103"/>
  <c r="BQ340" i="103"/>
  <c r="AJ340" i="103"/>
  <c r="CS339" i="103"/>
  <c r="BU339" i="103"/>
  <c r="AZ339" i="103"/>
  <c r="P339" i="103"/>
  <c r="BY338" i="103"/>
  <c r="AF338" i="103"/>
  <c r="T338" i="103"/>
  <c r="CC337" i="103"/>
  <c r="BQ337" i="103"/>
  <c r="AJ337" i="103"/>
  <c r="CS336" i="103"/>
  <c r="BU336" i="103"/>
  <c r="AZ336" i="103"/>
  <c r="P336" i="103"/>
  <c r="BY335" i="103"/>
  <c r="AF335" i="103"/>
  <c r="T335" i="103"/>
  <c r="CC334" i="103"/>
  <c r="BQ334" i="103"/>
  <c r="AJ334" i="103"/>
  <c r="CS333" i="103"/>
  <c r="BU333" i="103"/>
  <c r="AZ333" i="103"/>
  <c r="P333" i="103"/>
  <c r="BY332" i="103"/>
  <c r="AQ368" i="103"/>
  <c r="AQ365" i="103"/>
  <c r="AQ362" i="103"/>
  <c r="AQ359" i="103"/>
  <c r="AQ356" i="103"/>
  <c r="AQ353" i="103"/>
  <c r="AQ350" i="103"/>
  <c r="AQ347" i="103"/>
  <c r="BX344" i="103"/>
  <c r="BC344" i="103"/>
  <c r="AE344" i="103"/>
  <c r="S344" i="103"/>
  <c r="G344" i="103"/>
  <c r="CN343" i="103"/>
  <c r="CB343" i="103"/>
  <c r="BG343" i="103"/>
  <c r="AI343" i="103"/>
  <c r="BT342" i="103"/>
  <c r="AY342" i="103"/>
  <c r="BX341" i="103"/>
  <c r="BC341" i="103"/>
  <c r="AE341" i="103"/>
  <c r="S341" i="103"/>
  <c r="G341" i="103"/>
  <c r="CN340" i="103"/>
  <c r="CB340" i="103"/>
  <c r="BG340" i="103"/>
  <c r="AI340" i="103"/>
  <c r="BT339" i="103"/>
  <c r="AY339" i="103"/>
  <c r="BX338" i="103"/>
  <c r="BC338" i="103"/>
  <c r="AE338" i="103"/>
  <c r="S338" i="103"/>
  <c r="G338" i="103"/>
  <c r="CN337" i="103"/>
  <c r="CB337" i="103"/>
  <c r="BG337" i="103"/>
  <c r="AI337" i="103"/>
  <c r="BT336" i="103"/>
  <c r="AY336" i="103"/>
  <c r="BX335" i="103"/>
  <c r="BC335" i="103"/>
  <c r="AE335" i="103"/>
  <c r="S335" i="103"/>
  <c r="G335" i="103"/>
  <c r="CN334" i="103"/>
  <c r="CB334" i="103"/>
  <c r="AN334" i="103" s="1"/>
  <c r="BG334" i="103"/>
  <c r="AI334" i="103"/>
  <c r="BT333" i="103"/>
  <c r="AY333" i="103"/>
  <c r="BX332" i="103"/>
  <c r="BW344" i="103"/>
  <c r="AD344" i="103"/>
  <c r="CA343" i="103"/>
  <c r="BF343" i="103"/>
  <c r="AT343" i="103"/>
  <c r="AH343" i="103"/>
  <c r="V343" i="103"/>
  <c r="CE342" i="103"/>
  <c r="BS342" i="103"/>
  <c r="AX342" i="103"/>
  <c r="N342" i="103"/>
  <c r="BW341" i="103"/>
  <c r="AD341" i="103"/>
  <c r="CA340" i="103"/>
  <c r="BF340" i="103"/>
  <c r="AT340" i="103"/>
  <c r="AH340" i="103"/>
  <c r="V340" i="103"/>
  <c r="CE339" i="103"/>
  <c r="BS339" i="103"/>
  <c r="AX339" i="103"/>
  <c r="N339" i="103"/>
  <c r="BW338" i="103"/>
  <c r="AD338" i="103"/>
  <c r="CA337" i="103"/>
  <c r="BF337" i="103"/>
  <c r="AT337" i="103"/>
  <c r="AH337" i="103"/>
  <c r="V337" i="103"/>
  <c r="CE336" i="103"/>
  <c r="BS336" i="103"/>
  <c r="AX336" i="103"/>
  <c r="N336" i="103"/>
  <c r="BW335" i="103"/>
  <c r="AD335" i="103"/>
  <c r="CA334" i="103"/>
  <c r="BF334" i="103"/>
  <c r="AT334" i="103"/>
  <c r="AH334" i="103"/>
  <c r="V334" i="103"/>
  <c r="CE333" i="103"/>
  <c r="BS333" i="103"/>
  <c r="AX333" i="103"/>
  <c r="N333" i="103"/>
  <c r="BW332" i="103"/>
  <c r="BV344" i="103"/>
  <c r="Q344" i="103"/>
  <c r="BZ343" i="103"/>
  <c r="BN343" i="103"/>
  <c r="BE343" i="103"/>
  <c r="AS343" i="103"/>
  <c r="AG343" i="103"/>
  <c r="I343" i="103"/>
  <c r="CD342" i="103"/>
  <c r="BR342" i="103"/>
  <c r="AW342" i="103"/>
  <c r="AK342" i="103"/>
  <c r="BV341" i="103"/>
  <c r="Q341" i="103"/>
  <c r="BZ340" i="103"/>
  <c r="BN340" i="103"/>
  <c r="BE340" i="103"/>
  <c r="AS340" i="103"/>
  <c r="AG340" i="103"/>
  <c r="I340" i="103"/>
  <c r="CD339" i="103"/>
  <c r="BR339" i="103"/>
  <c r="AW339" i="103"/>
  <c r="AK339" i="103"/>
  <c r="BV338" i="103"/>
  <c r="Q338" i="103"/>
  <c r="BZ337" i="103"/>
  <c r="BN337" i="103"/>
  <c r="BE337" i="103"/>
  <c r="AS337" i="103"/>
  <c r="AG337" i="103"/>
  <c r="I337" i="103"/>
  <c r="CD336" i="103"/>
  <c r="BR336" i="103"/>
  <c r="AW336" i="103"/>
  <c r="AK336" i="103"/>
  <c r="BV335" i="103"/>
  <c r="Q335" i="103"/>
  <c r="BZ334" i="103"/>
  <c r="BN334" i="103"/>
  <c r="BE334" i="103"/>
  <c r="AS334" i="103"/>
  <c r="AG334" i="103"/>
  <c r="I334" i="103"/>
  <c r="CD333" i="103"/>
  <c r="BR333" i="103"/>
  <c r="AW333" i="103"/>
  <c r="AK333" i="103"/>
  <c r="BV332" i="103"/>
  <c r="BU344" i="103"/>
  <c r="AZ344" i="103"/>
  <c r="P344" i="103"/>
  <c r="BY343" i="103"/>
  <c r="AF343" i="103"/>
  <c r="T343" i="103"/>
  <c r="CC342" i="103"/>
  <c r="BQ342" i="103"/>
  <c r="AJ342" i="103"/>
  <c r="CS341" i="103"/>
  <c r="BU341" i="103"/>
  <c r="AZ341" i="103"/>
  <c r="P341" i="103"/>
  <c r="BY340" i="103"/>
  <c r="AF340" i="103"/>
  <c r="T340" i="103"/>
  <c r="CC339" i="103"/>
  <c r="BQ339" i="103"/>
  <c r="AJ339" i="103"/>
  <c r="CS338" i="103"/>
  <c r="BU338" i="103"/>
  <c r="AZ338" i="103"/>
  <c r="P338" i="103"/>
  <c r="BY337" i="103"/>
  <c r="AF337" i="103"/>
  <c r="T337" i="103"/>
  <c r="CC336" i="103"/>
  <c r="BQ336" i="103"/>
  <c r="AJ336" i="103"/>
  <c r="CS335" i="103"/>
  <c r="BU335" i="103"/>
  <c r="AZ335" i="103"/>
  <c r="P335" i="103"/>
  <c r="BY334" i="103"/>
  <c r="AF334" i="103"/>
  <c r="T334" i="103"/>
  <c r="CC333" i="103"/>
  <c r="BQ333" i="103"/>
  <c r="AJ333" i="103"/>
  <c r="CS332" i="103"/>
  <c r="BU332" i="103"/>
  <c r="AQ367" i="103"/>
  <c r="AQ364" i="103"/>
  <c r="AQ361" i="103"/>
  <c r="AQ358" i="103"/>
  <c r="AQ355" i="103"/>
  <c r="AQ352" i="103"/>
  <c r="AQ349" i="103"/>
  <c r="AQ346" i="103"/>
  <c r="BT344" i="103"/>
  <c r="AY344" i="103"/>
  <c r="BX343" i="103"/>
  <c r="BC343" i="103"/>
  <c r="AE343" i="103"/>
  <c r="S343" i="103"/>
  <c r="G343" i="103"/>
  <c r="CN342" i="103"/>
  <c r="CB342" i="103"/>
  <c r="BG342" i="103"/>
  <c r="AI342" i="103"/>
  <c r="BT341" i="103"/>
  <c r="AY341" i="103"/>
  <c r="BX340" i="103"/>
  <c r="BC340" i="103"/>
  <c r="AE340" i="103"/>
  <c r="S340" i="103"/>
  <c r="G340" i="103"/>
  <c r="CN339" i="103"/>
  <c r="CB339" i="103"/>
  <c r="BG339" i="103"/>
  <c r="AI339" i="103"/>
  <c r="BT338" i="103"/>
  <c r="AY338" i="103"/>
  <c r="BX337" i="103"/>
  <c r="BC337" i="103"/>
  <c r="AE337" i="103"/>
  <c r="S337" i="103"/>
  <c r="G337" i="103"/>
  <c r="CN336" i="103"/>
  <c r="CB336" i="103"/>
  <c r="AN336" i="103" s="1"/>
  <c r="BG336" i="103"/>
  <c r="AI336" i="103"/>
  <c r="BT335" i="103"/>
  <c r="AY335" i="103"/>
  <c r="BX334" i="103"/>
  <c r="BC334" i="103"/>
  <c r="AE334" i="103"/>
  <c r="S334" i="103"/>
  <c r="G334" i="103"/>
  <c r="CN333" i="103"/>
  <c r="CB333" i="103"/>
  <c r="BG333" i="103"/>
  <c r="AI333" i="103"/>
  <c r="BT332" i="103"/>
  <c r="CE343" i="103"/>
  <c r="V341" i="103"/>
  <c r="N337" i="103"/>
  <c r="BF335" i="103"/>
  <c r="AW332" i="103"/>
  <c r="AK332" i="103"/>
  <c r="BV331" i="103"/>
  <c r="Q331" i="103"/>
  <c r="BZ330" i="103"/>
  <c r="BN330" i="103"/>
  <c r="BE330" i="103"/>
  <c r="AS330" i="103"/>
  <c r="AG330" i="103"/>
  <c r="CC329" i="103"/>
  <c r="BQ329" i="103"/>
  <c r="AJ329" i="103"/>
  <c r="CS328" i="103"/>
  <c r="BU328" i="103"/>
  <c r="AZ328" i="103"/>
  <c r="P328" i="103"/>
  <c r="BY327" i="103"/>
  <c r="AF327" i="103"/>
  <c r="T327" i="103"/>
  <c r="CC326" i="103"/>
  <c r="BQ326" i="103"/>
  <c r="AJ326" i="103"/>
  <c r="CS325" i="103"/>
  <c r="BU325" i="103"/>
  <c r="AZ325" i="103"/>
  <c r="P325" i="103"/>
  <c r="BY324" i="103"/>
  <c r="AF324" i="103"/>
  <c r="T324" i="103"/>
  <c r="CC323" i="103"/>
  <c r="BQ323" i="103"/>
  <c r="AJ323" i="103"/>
  <c r="CS322" i="103"/>
  <c r="BU322" i="103"/>
  <c r="AZ322" i="103"/>
  <c r="P322" i="103"/>
  <c r="BY321" i="103"/>
  <c r="AF321" i="103"/>
  <c r="T321" i="103"/>
  <c r="CC320" i="103"/>
  <c r="BQ320" i="103"/>
  <c r="AJ320" i="103"/>
  <c r="CS319" i="103"/>
  <c r="BU319" i="103"/>
  <c r="AZ319" i="103"/>
  <c r="P319" i="103"/>
  <c r="BY318" i="103"/>
  <c r="AF318" i="103"/>
  <c r="T318" i="103"/>
  <c r="CC317" i="103"/>
  <c r="BQ317" i="103"/>
  <c r="AJ317" i="103"/>
  <c r="CS316" i="103"/>
  <c r="BU316" i="103"/>
  <c r="AZ316" i="103"/>
  <c r="P316" i="103"/>
  <c r="BY315" i="103"/>
  <c r="AF315" i="103"/>
  <c r="T315" i="103"/>
  <c r="CC314" i="103"/>
  <c r="BQ314" i="103"/>
  <c r="AJ314" i="103"/>
  <c r="CS313" i="103"/>
  <c r="BU313" i="103"/>
  <c r="AZ313" i="103"/>
  <c r="P313" i="103"/>
  <c r="BY312" i="103"/>
  <c r="AF312" i="103"/>
  <c r="T312" i="103"/>
  <c r="CC311" i="103"/>
  <c r="BQ311" i="103"/>
  <c r="AJ311" i="103"/>
  <c r="CS310" i="103"/>
  <c r="BU310" i="103"/>
  <c r="AZ310" i="103"/>
  <c r="P310" i="103"/>
  <c r="BY309" i="103"/>
  <c r="AF309" i="103"/>
  <c r="T309" i="103"/>
  <c r="CC308" i="103"/>
  <c r="BQ308" i="103"/>
  <c r="AJ308" i="103"/>
  <c r="CS307" i="103"/>
  <c r="BU307" i="103"/>
  <c r="AZ307" i="103"/>
  <c r="P307" i="103"/>
  <c r="BY306" i="103"/>
  <c r="AF306" i="103"/>
  <c r="T306" i="103"/>
  <c r="CC305" i="103"/>
  <c r="BQ305" i="103"/>
  <c r="AJ305" i="103"/>
  <c r="CS304" i="103"/>
  <c r="BU304" i="103"/>
  <c r="AZ304" i="103"/>
  <c r="P304" i="103"/>
  <c r="BY303" i="103"/>
  <c r="AF303" i="103"/>
  <c r="T303" i="103"/>
  <c r="CC302" i="103"/>
  <c r="BQ302" i="103"/>
  <c r="AJ302" i="103"/>
  <c r="CS301" i="103"/>
  <c r="BU301" i="103"/>
  <c r="AZ301" i="103"/>
  <c r="P301" i="103"/>
  <c r="BY300" i="103"/>
  <c r="AF300" i="103"/>
  <c r="T300" i="103"/>
  <c r="CC299" i="103"/>
  <c r="BQ299" i="103"/>
  <c r="AJ299" i="103"/>
  <c r="CS298" i="103"/>
  <c r="BU298" i="103"/>
  <c r="AZ298" i="103"/>
  <c r="P298" i="103"/>
  <c r="BY297" i="103"/>
  <c r="AF297" i="103"/>
  <c r="T297" i="103"/>
  <c r="CC296" i="103"/>
  <c r="BQ296" i="103"/>
  <c r="AJ296" i="103"/>
  <c r="CS295" i="103"/>
  <c r="BU295" i="103"/>
  <c r="AT344" i="103"/>
  <c r="BS343" i="103"/>
  <c r="AJ332" i="103"/>
  <c r="CS331" i="103"/>
  <c r="BU331" i="103"/>
  <c r="AZ331" i="103"/>
  <c r="P331" i="103"/>
  <c r="BY330" i="103"/>
  <c r="AF330" i="103"/>
  <c r="T330" i="103"/>
  <c r="G330" i="103"/>
  <c r="CN329" i="103"/>
  <c r="CB329" i="103"/>
  <c r="AN329" i="103" s="1"/>
  <c r="BG329" i="103"/>
  <c r="AI329" i="103"/>
  <c r="BT328" i="103"/>
  <c r="AY328" i="103"/>
  <c r="BX327" i="103"/>
  <c r="BC327" i="103"/>
  <c r="AE327" i="103"/>
  <c r="S327" i="103"/>
  <c r="G327" i="103"/>
  <c r="CN326" i="103"/>
  <c r="CB326" i="103"/>
  <c r="AN326" i="103" s="1"/>
  <c r="BG326" i="103"/>
  <c r="AI326" i="103"/>
  <c r="BT325" i="103"/>
  <c r="AY325" i="103"/>
  <c r="BX324" i="103"/>
  <c r="BC324" i="103"/>
  <c r="AE324" i="103"/>
  <c r="S324" i="103"/>
  <c r="G324" i="103"/>
  <c r="CN323" i="103"/>
  <c r="CB323" i="103"/>
  <c r="AN323" i="103" s="1"/>
  <c r="BG323" i="103"/>
  <c r="AI323" i="103"/>
  <c r="BT322" i="103"/>
  <c r="AY322" i="103"/>
  <c r="BX321" i="103"/>
  <c r="BC321" i="103"/>
  <c r="AE321" i="103"/>
  <c r="S321" i="103"/>
  <c r="G321" i="103"/>
  <c r="CN320" i="103"/>
  <c r="CB320" i="103"/>
  <c r="AN320" i="103" s="1"/>
  <c r="BG320" i="103"/>
  <c r="AI320" i="103"/>
  <c r="BT319" i="103"/>
  <c r="AY319" i="103"/>
  <c r="BX318" i="103"/>
  <c r="BC318" i="103"/>
  <c r="AE318" i="103"/>
  <c r="S318" i="103"/>
  <c r="G318" i="103"/>
  <c r="CN317" i="103"/>
  <c r="CB317" i="103"/>
  <c r="AN317" i="103" s="1"/>
  <c r="BG317" i="103"/>
  <c r="AI317" i="103"/>
  <c r="BT316" i="103"/>
  <c r="AY316" i="103"/>
  <c r="BX315" i="103"/>
  <c r="BC315" i="103"/>
  <c r="AE315" i="103"/>
  <c r="S315" i="103"/>
  <c r="G315" i="103"/>
  <c r="CN314" i="103"/>
  <c r="CB314" i="103"/>
  <c r="BG314" i="103"/>
  <c r="AI314" i="103"/>
  <c r="BT313" i="103"/>
  <c r="AY313" i="103"/>
  <c r="BX312" i="103"/>
  <c r="AE312" i="103"/>
  <c r="S312" i="103"/>
  <c r="G312" i="103"/>
  <c r="CN311" i="103"/>
  <c r="CB311" i="103"/>
  <c r="BG311" i="103"/>
  <c r="AI311" i="103"/>
  <c r="BT310" i="103"/>
  <c r="AY310" i="103"/>
  <c r="BX309" i="103"/>
  <c r="AE309" i="103"/>
  <c r="S309" i="103"/>
  <c r="G309" i="103"/>
  <c r="CN308" i="103"/>
  <c r="CB308" i="103"/>
  <c r="BG308" i="103"/>
  <c r="AI308" i="103"/>
  <c r="BT307" i="103"/>
  <c r="AY307" i="103"/>
  <c r="BX306" i="103"/>
  <c r="BC306" i="103"/>
  <c r="AE306" i="103"/>
  <c r="S306" i="103"/>
  <c r="G306" i="103"/>
  <c r="CN305" i="103"/>
  <c r="CB305" i="103"/>
  <c r="BG305" i="103"/>
  <c r="AI305" i="103"/>
  <c r="BT304" i="103"/>
  <c r="AY304" i="103"/>
  <c r="BX303" i="103"/>
  <c r="BC303" i="103"/>
  <c r="AE303" i="103"/>
  <c r="S303" i="103"/>
  <c r="G303" i="103"/>
  <c r="CN302" i="103"/>
  <c r="CB302" i="103"/>
  <c r="BG302" i="103"/>
  <c r="AI302" i="103"/>
  <c r="BT301" i="103"/>
  <c r="AY301" i="103"/>
  <c r="BX300" i="103"/>
  <c r="BC300" i="103"/>
  <c r="AE300" i="103"/>
  <c r="S300" i="103"/>
  <c r="G300" i="103"/>
  <c r="CN299" i="103"/>
  <c r="CB299" i="103"/>
  <c r="BG299" i="103"/>
  <c r="AI299" i="103"/>
  <c r="BT298" i="103"/>
  <c r="AY298" i="103"/>
  <c r="BX297" i="103"/>
  <c r="BC297" i="103"/>
  <c r="AE297" i="103"/>
  <c r="S297" i="103"/>
  <c r="G297" i="103"/>
  <c r="CN296" i="103"/>
  <c r="CB296" i="103"/>
  <c r="BG296" i="103"/>
  <c r="AI296" i="103"/>
  <c r="BT295" i="103"/>
  <c r="AY295" i="103"/>
  <c r="N343" i="103"/>
  <c r="BF341" i="103"/>
  <c r="CA332" i="103"/>
  <c r="BG332" i="103"/>
  <c r="AI332" i="103"/>
  <c r="BT331" i="103"/>
  <c r="AY331" i="103"/>
  <c r="BX330" i="103"/>
  <c r="BC330" i="103"/>
  <c r="AE330" i="103"/>
  <c r="S330" i="103"/>
  <c r="CA329" i="103"/>
  <c r="BF329" i="103"/>
  <c r="AT329" i="103"/>
  <c r="AH329" i="103"/>
  <c r="V329" i="103"/>
  <c r="CE328" i="103"/>
  <c r="BS328" i="103"/>
  <c r="AX328" i="103"/>
  <c r="N328" i="103"/>
  <c r="BW327" i="103"/>
  <c r="AD327" i="103"/>
  <c r="CA326" i="103"/>
  <c r="BF326" i="103"/>
  <c r="AT326" i="103"/>
  <c r="AH326" i="103"/>
  <c r="V326" i="103"/>
  <c r="CE325" i="103"/>
  <c r="BS325" i="103"/>
  <c r="AX325" i="103"/>
  <c r="N325" i="103"/>
  <c r="BW324" i="103"/>
  <c r="AD324" i="103"/>
  <c r="CA323" i="103"/>
  <c r="BF323" i="103"/>
  <c r="AT323" i="103"/>
  <c r="AH323" i="103"/>
  <c r="V323" i="103"/>
  <c r="CE322" i="103"/>
  <c r="BS322" i="103"/>
  <c r="AX322" i="103"/>
  <c r="N322" i="103"/>
  <c r="BW321" i="103"/>
  <c r="AD321" i="103"/>
  <c r="CA320" i="103"/>
  <c r="BF320" i="103"/>
  <c r="AT320" i="103"/>
  <c r="AH320" i="103"/>
  <c r="V320" i="103"/>
  <c r="CE319" i="103"/>
  <c r="BS319" i="103"/>
  <c r="AX319" i="103"/>
  <c r="N319" i="103"/>
  <c r="BW318" i="103"/>
  <c r="AD318" i="103"/>
  <c r="CA317" i="103"/>
  <c r="BF317" i="103"/>
  <c r="AT317" i="103"/>
  <c r="AH317" i="103"/>
  <c r="V317" i="103"/>
  <c r="CE316" i="103"/>
  <c r="AX337" i="103"/>
  <c r="AD336" i="103"/>
  <c r="CE334" i="103"/>
  <c r="BF332" i="103"/>
  <c r="AT332" i="103"/>
  <c r="AH332" i="103"/>
  <c r="V332" i="103"/>
  <c r="CE331" i="103"/>
  <c r="BS331" i="103"/>
  <c r="AX331" i="103"/>
  <c r="N331" i="103"/>
  <c r="BW330" i="103"/>
  <c r="AD330" i="103"/>
  <c r="BZ329" i="103"/>
  <c r="BN329" i="103"/>
  <c r="BE329" i="103"/>
  <c r="AS329" i="103"/>
  <c r="AG329" i="103"/>
  <c r="I329" i="103"/>
  <c r="CD328" i="103"/>
  <c r="BR328" i="103"/>
  <c r="AW328" i="103"/>
  <c r="AK328" i="103"/>
  <c r="BV327" i="103"/>
  <c r="Q327" i="103"/>
  <c r="BZ326" i="103"/>
  <c r="BN326" i="103"/>
  <c r="BE326" i="103"/>
  <c r="AS326" i="103"/>
  <c r="AG326" i="103"/>
  <c r="I326" i="103"/>
  <c r="CD325" i="103"/>
  <c r="BR325" i="103"/>
  <c r="AW325" i="103"/>
  <c r="AK325" i="103"/>
  <c r="BV324" i="103"/>
  <c r="Q324" i="103"/>
  <c r="BZ323" i="103"/>
  <c r="BN323" i="103"/>
  <c r="BE323" i="103"/>
  <c r="AS323" i="103"/>
  <c r="AG323" i="103"/>
  <c r="I323" i="103"/>
  <c r="CD322" i="103"/>
  <c r="BR322" i="103"/>
  <c r="AW322" i="103"/>
  <c r="AK322" i="103"/>
  <c r="BV321" i="103"/>
  <c r="Q321" i="103"/>
  <c r="BZ320" i="103"/>
  <c r="BN320" i="103"/>
  <c r="BE320" i="103"/>
  <c r="AS320" i="103"/>
  <c r="AG320" i="103"/>
  <c r="I320" i="103"/>
  <c r="CD319" i="103"/>
  <c r="BR319" i="103"/>
  <c r="AW319" i="103"/>
  <c r="AK319" i="103"/>
  <c r="BV318" i="103"/>
  <c r="Q318" i="103"/>
  <c r="BZ317" i="103"/>
  <c r="BN317" i="103"/>
  <c r="BE317" i="103"/>
  <c r="AS317" i="103"/>
  <c r="AG317" i="103"/>
  <c r="I317" i="103"/>
  <c r="CD316" i="103"/>
  <c r="BR316" i="103"/>
  <c r="AW316" i="103"/>
  <c r="AK316" i="103"/>
  <c r="BV315" i="103"/>
  <c r="Q315" i="103"/>
  <c r="BZ314" i="103"/>
  <c r="BN314" i="103"/>
  <c r="BE314" i="103"/>
  <c r="AS314" i="103"/>
  <c r="AG314" i="103"/>
  <c r="I314" i="103"/>
  <c r="CD313" i="103"/>
  <c r="BR313" i="103"/>
  <c r="AW313" i="103"/>
  <c r="AK313" i="103"/>
  <c r="BV312" i="103"/>
  <c r="Q312" i="103"/>
  <c r="BZ311" i="103"/>
  <c r="BN311" i="103"/>
  <c r="BE311" i="103"/>
  <c r="AS311" i="103"/>
  <c r="AG311" i="103"/>
  <c r="I311" i="103"/>
  <c r="CD310" i="103"/>
  <c r="BR310" i="103"/>
  <c r="AW310" i="103"/>
  <c r="AK310" i="103"/>
  <c r="BV309" i="103"/>
  <c r="Q309" i="103"/>
  <c r="BZ308" i="103"/>
  <c r="BN308" i="103"/>
  <c r="BE308" i="103"/>
  <c r="AS308" i="103"/>
  <c r="AG308" i="103"/>
  <c r="I308" i="103"/>
  <c r="CD307" i="103"/>
  <c r="BR307" i="103"/>
  <c r="CA338" i="103"/>
  <c r="AH338" i="103"/>
  <c r="BW336" i="103"/>
  <c r="AT335" i="103"/>
  <c r="BS334" i="103"/>
  <c r="BE332" i="103"/>
  <c r="AS332" i="103"/>
  <c r="AG332" i="103"/>
  <c r="I332" i="103"/>
  <c r="CD331" i="103"/>
  <c r="BR331" i="103"/>
  <c r="AW331" i="103"/>
  <c r="AK331" i="103"/>
  <c r="BV330" i="103"/>
  <c r="Q330" i="103"/>
  <c r="BY329" i="103"/>
  <c r="AF329" i="103"/>
  <c r="T329" i="103"/>
  <c r="CC328" i="103"/>
  <c r="BQ328" i="103"/>
  <c r="AJ328" i="103"/>
  <c r="CS327" i="103"/>
  <c r="BU327" i="103"/>
  <c r="AZ327" i="103"/>
  <c r="P327" i="103"/>
  <c r="BY326" i="103"/>
  <c r="AF326" i="103"/>
  <c r="T326" i="103"/>
  <c r="CC325" i="103"/>
  <c r="BQ325" i="103"/>
  <c r="AJ325" i="103"/>
  <c r="CS324" i="103"/>
  <c r="BU324" i="103"/>
  <c r="AZ324" i="103"/>
  <c r="P324" i="103"/>
  <c r="BY323" i="103"/>
  <c r="AF323" i="103"/>
  <c r="T323" i="103"/>
  <c r="CC322" i="103"/>
  <c r="BQ322" i="103"/>
  <c r="AJ322" i="103"/>
  <c r="CS321" i="103"/>
  <c r="BU321" i="103"/>
  <c r="AZ321" i="103"/>
  <c r="P321" i="103"/>
  <c r="BY320" i="103"/>
  <c r="AF320" i="103"/>
  <c r="T320" i="103"/>
  <c r="CC319" i="103"/>
  <c r="BQ319" i="103"/>
  <c r="AJ319" i="103"/>
  <c r="CS318" i="103"/>
  <c r="BU318" i="103"/>
  <c r="AZ318" i="103"/>
  <c r="P318" i="103"/>
  <c r="BY317" i="103"/>
  <c r="AF317" i="103"/>
  <c r="T317" i="103"/>
  <c r="CC316" i="103"/>
  <c r="BQ316" i="103"/>
  <c r="AJ316" i="103"/>
  <c r="CS315" i="103"/>
  <c r="BU315" i="103"/>
  <c r="AZ315" i="103"/>
  <c r="P315" i="103"/>
  <c r="BY314" i="103"/>
  <c r="AF314" i="103"/>
  <c r="T314" i="103"/>
  <c r="CC313" i="103"/>
  <c r="BQ313" i="103"/>
  <c r="AJ313" i="103"/>
  <c r="CS312" i="103"/>
  <c r="BU312" i="103"/>
  <c r="AZ312" i="103"/>
  <c r="P312" i="103"/>
  <c r="BY311" i="103"/>
  <c r="AF311" i="103"/>
  <c r="T311" i="103"/>
  <c r="CC310" i="103"/>
  <c r="BQ310" i="103"/>
  <c r="AJ310" i="103"/>
  <c r="CS309" i="103"/>
  <c r="BU309" i="103"/>
  <c r="AZ309" i="103"/>
  <c r="P309" i="103"/>
  <c r="BY308" i="103"/>
  <c r="AF308" i="103"/>
  <c r="T308" i="103"/>
  <c r="CC307" i="103"/>
  <c r="BQ307" i="103"/>
  <c r="AJ307" i="103"/>
  <c r="CS306" i="103"/>
  <c r="BU306" i="103"/>
  <c r="AZ306" i="103"/>
  <c r="P306" i="103"/>
  <c r="BY305" i="103"/>
  <c r="AF305" i="103"/>
  <c r="T305" i="103"/>
  <c r="CC304" i="103"/>
  <c r="BQ304" i="103"/>
  <c r="AJ304" i="103"/>
  <c r="CS303" i="103"/>
  <c r="BU303" i="103"/>
  <c r="AZ303" i="103"/>
  <c r="P303" i="103"/>
  <c r="BY302" i="103"/>
  <c r="AF302" i="103"/>
  <c r="T302" i="103"/>
  <c r="CC301" i="103"/>
  <c r="BQ301" i="103"/>
  <c r="AJ301" i="103"/>
  <c r="CS300" i="103"/>
  <c r="BU300" i="103"/>
  <c r="AZ300" i="103"/>
  <c r="P300" i="103"/>
  <c r="BY299" i="103"/>
  <c r="AF299" i="103"/>
  <c r="T299" i="103"/>
  <c r="CC298" i="103"/>
  <c r="BQ298" i="103"/>
  <c r="AJ298" i="103"/>
  <c r="CS297" i="103"/>
  <c r="BU297" i="103"/>
  <c r="AZ297" i="103"/>
  <c r="P297" i="103"/>
  <c r="BY296" i="103"/>
  <c r="AF296" i="103"/>
  <c r="T296" i="103"/>
  <c r="CC295" i="103"/>
  <c r="BQ295" i="103"/>
  <c r="AX343" i="103"/>
  <c r="AD342" i="103"/>
  <c r="CE340" i="103"/>
  <c r="V338" i="103"/>
  <c r="N334" i="103"/>
  <c r="AF332" i="103"/>
  <c r="T332" i="103"/>
  <c r="CC331" i="103"/>
  <c r="BQ331" i="103"/>
  <c r="CA344" i="103"/>
  <c r="AH344" i="103"/>
  <c r="BW342" i="103"/>
  <c r="AT341" i="103"/>
  <c r="BS340" i="103"/>
  <c r="BC332" i="103"/>
  <c r="AE332" i="103"/>
  <c r="S332" i="103"/>
  <c r="G332" i="103"/>
  <c r="CN331" i="103"/>
  <c r="CB331" i="103"/>
  <c r="AN331" i="103" s="1"/>
  <c r="BG331" i="103"/>
  <c r="AI331" i="103"/>
  <c r="BT330" i="103"/>
  <c r="AY330" i="103"/>
  <c r="BW329" i="103"/>
  <c r="AD329" i="103"/>
  <c r="CA328" i="103"/>
  <c r="BF328" i="103"/>
  <c r="AT328" i="103"/>
  <c r="AH328" i="103"/>
  <c r="V328" i="103"/>
  <c r="CE327" i="103"/>
  <c r="BS327" i="103"/>
  <c r="AX327" i="103"/>
  <c r="N327" i="103"/>
  <c r="BW326" i="103"/>
  <c r="AD326" i="103"/>
  <c r="CA325" i="103"/>
  <c r="BF325" i="103"/>
  <c r="AT325" i="103"/>
  <c r="AH325" i="103"/>
  <c r="V325" i="103"/>
  <c r="CE324" i="103"/>
  <c r="BS324" i="103"/>
  <c r="AX324" i="103"/>
  <c r="N324" i="103"/>
  <c r="BW323" i="103"/>
  <c r="AD323" i="103"/>
  <c r="CA322" i="103"/>
  <c r="BF322" i="103"/>
  <c r="AT322" i="103"/>
  <c r="AH322" i="103"/>
  <c r="V322" i="103"/>
  <c r="CE321" i="103"/>
  <c r="BS321" i="103"/>
  <c r="AX321" i="103"/>
  <c r="N321" i="103"/>
  <c r="BW320" i="103"/>
  <c r="AD320" i="103"/>
  <c r="CA319" i="103"/>
  <c r="BF319" i="103"/>
  <c r="AT319" i="103"/>
  <c r="AH319" i="103"/>
  <c r="V319" i="103"/>
  <c r="CE318" i="103"/>
  <c r="BS318" i="103"/>
  <c r="AX318" i="103"/>
  <c r="N318" i="103"/>
  <c r="BW317" i="103"/>
  <c r="AD317" i="103"/>
  <c r="CA316" i="103"/>
  <c r="BF316" i="103"/>
  <c r="AT316" i="103"/>
  <c r="AH316" i="103"/>
  <c r="V316" i="103"/>
  <c r="CE315" i="103"/>
  <c r="BS315" i="103"/>
  <c r="AX315" i="103"/>
  <c r="N315" i="103"/>
  <c r="BW314" i="103"/>
  <c r="AD314" i="103"/>
  <c r="CA313" i="103"/>
  <c r="BF313" i="103"/>
  <c r="AT313" i="103"/>
  <c r="AH313" i="103"/>
  <c r="V313" i="103"/>
  <c r="CE312" i="103"/>
  <c r="BS312" i="103"/>
  <c r="AX312" i="103"/>
  <c r="N312" i="103"/>
  <c r="BW311" i="103"/>
  <c r="AD311" i="103"/>
  <c r="CA310" i="103"/>
  <c r="BF310" i="103"/>
  <c r="AT310" i="103"/>
  <c r="AH310" i="103"/>
  <c r="V310" i="103"/>
  <c r="CE309" i="103"/>
  <c r="BS309" i="103"/>
  <c r="AX309" i="103"/>
  <c r="N309" i="103"/>
  <c r="BW308" i="103"/>
  <c r="AD308" i="103"/>
  <c r="CA307" i="103"/>
  <c r="BF307" i="103"/>
  <c r="AT307" i="103"/>
  <c r="AH307" i="103"/>
  <c r="V307" i="103"/>
  <c r="CE306" i="103"/>
  <c r="BS306" i="103"/>
  <c r="AX306" i="103"/>
  <c r="N306" i="103"/>
  <c r="BW305" i="103"/>
  <c r="AD305" i="103"/>
  <c r="CA304" i="103"/>
  <c r="BF304" i="103"/>
  <c r="AT304" i="103"/>
  <c r="AH304" i="103"/>
  <c r="V304" i="103"/>
  <c r="CE303" i="103"/>
  <c r="BS303" i="103"/>
  <c r="AX303" i="103"/>
  <c r="N303" i="103"/>
  <c r="BW302" i="103"/>
  <c r="AD302" i="103"/>
  <c r="CA301" i="103"/>
  <c r="BF301" i="103"/>
  <c r="AT301" i="103"/>
  <c r="AH301" i="103"/>
  <c r="V301" i="103"/>
  <c r="CE300" i="103"/>
  <c r="BS300" i="103"/>
  <c r="AX300" i="103"/>
  <c r="N300" i="103"/>
  <c r="BW299" i="103"/>
  <c r="AD299" i="103"/>
  <c r="CA298" i="103"/>
  <c r="BF298" i="103"/>
  <c r="AT298" i="103"/>
  <c r="AH298" i="103"/>
  <c r="V298" i="103"/>
  <c r="CE297" i="103"/>
  <c r="BS297" i="103"/>
  <c r="AX297" i="103"/>
  <c r="N297" i="103"/>
  <c r="BW296" i="103"/>
  <c r="AD296" i="103"/>
  <c r="CA295" i="103"/>
  <c r="BF295" i="103"/>
  <c r="AT295" i="103"/>
  <c r="V344" i="103"/>
  <c r="N340" i="103"/>
  <c r="BF338" i="103"/>
  <c r="AD332" i="103"/>
  <c r="CA331" i="103"/>
  <c r="BF331" i="103"/>
  <c r="AT331" i="103"/>
  <c r="AH331" i="103"/>
  <c r="V331" i="103"/>
  <c r="CE330" i="103"/>
  <c r="BS330" i="103"/>
  <c r="AX330" i="103"/>
  <c r="N330" i="103"/>
  <c r="BV329" i="103"/>
  <c r="Q329" i="103"/>
  <c r="BZ328" i="103"/>
  <c r="BN328" i="103"/>
  <c r="BE328" i="103"/>
  <c r="AS328" i="103"/>
  <c r="AG328" i="103"/>
  <c r="I328" i="103"/>
  <c r="CD327" i="103"/>
  <c r="BR327" i="103"/>
  <c r="AW327" i="103"/>
  <c r="AK327" i="103"/>
  <c r="BV326" i="103"/>
  <c r="Q326" i="103"/>
  <c r="BZ325" i="103"/>
  <c r="BN325" i="103"/>
  <c r="BE325" i="103"/>
  <c r="AS325" i="103"/>
  <c r="AG325" i="103"/>
  <c r="I325" i="103"/>
  <c r="CD324" i="103"/>
  <c r="BR324" i="103"/>
  <c r="AW324" i="103"/>
  <c r="AK324" i="103"/>
  <c r="BV323" i="103"/>
  <c r="Q323" i="103"/>
  <c r="BZ322" i="103"/>
  <c r="BN322" i="103"/>
  <c r="BE322" i="103"/>
  <c r="AS322" i="103"/>
  <c r="AG322" i="103"/>
  <c r="I322" i="103"/>
  <c r="CD321" i="103"/>
  <c r="BR321" i="103"/>
  <c r="AW321" i="103"/>
  <c r="AK321" i="103"/>
  <c r="BV320" i="103"/>
  <c r="Q320" i="103"/>
  <c r="BZ319" i="103"/>
  <c r="BN319" i="103"/>
  <c r="BE319" i="103"/>
  <c r="AS319" i="103"/>
  <c r="AG319" i="103"/>
  <c r="I319" i="103"/>
  <c r="CD318" i="103"/>
  <c r="BR318" i="103"/>
  <c r="AW318" i="103"/>
  <c r="AK318" i="103"/>
  <c r="BV317" i="103"/>
  <c r="Q317" i="103"/>
  <c r="BZ316" i="103"/>
  <c r="BN316" i="103"/>
  <c r="BE316" i="103"/>
  <c r="AS316" i="103"/>
  <c r="AG316" i="103"/>
  <c r="I316" i="103"/>
  <c r="CD315" i="103"/>
  <c r="BR315" i="103"/>
  <c r="AW315" i="103"/>
  <c r="AK315" i="103"/>
  <c r="BV314" i="103"/>
  <c r="Q314" i="103"/>
  <c r="BZ313" i="103"/>
  <c r="BN313" i="103"/>
  <c r="BE313" i="103"/>
  <c r="AS313" i="103"/>
  <c r="AG313" i="103"/>
  <c r="I313" i="103"/>
  <c r="CD312" i="103"/>
  <c r="BR312" i="103"/>
  <c r="AW312" i="103"/>
  <c r="AK312" i="103"/>
  <c r="BV311" i="103"/>
  <c r="Q311" i="103"/>
  <c r="BZ310" i="103"/>
  <c r="BN310" i="103"/>
  <c r="BE310" i="103"/>
  <c r="AS310" i="103"/>
  <c r="AG310" i="103"/>
  <c r="I310" i="103"/>
  <c r="CD309" i="103"/>
  <c r="BR309" i="103"/>
  <c r="AW309" i="103"/>
  <c r="AK309" i="103"/>
  <c r="BV308" i="103"/>
  <c r="Q308" i="103"/>
  <c r="BZ307" i="103"/>
  <c r="BN307" i="103"/>
  <c r="BE307" i="103"/>
  <c r="AS307" i="103"/>
  <c r="AG307" i="103"/>
  <c r="I307" i="103"/>
  <c r="CD306" i="103"/>
  <c r="BR306" i="103"/>
  <c r="AW306" i="103"/>
  <c r="AK306" i="103"/>
  <c r="BV305" i="103"/>
  <c r="Q305" i="103"/>
  <c r="BZ304" i="103"/>
  <c r="BN304" i="103"/>
  <c r="BE304" i="103"/>
  <c r="AS304" i="103"/>
  <c r="AG304" i="103"/>
  <c r="I304" i="103"/>
  <c r="CD303" i="103"/>
  <c r="BR303" i="103"/>
  <c r="AW303" i="103"/>
  <c r="AK303" i="103"/>
  <c r="BV302" i="103"/>
  <c r="Q302" i="103"/>
  <c r="BZ301" i="103"/>
  <c r="BN301" i="103"/>
  <c r="BE301" i="103"/>
  <c r="AS301" i="103"/>
  <c r="AG301" i="103"/>
  <c r="I301" i="103"/>
  <c r="CD300" i="103"/>
  <c r="BR300" i="103"/>
  <c r="AW300" i="103"/>
  <c r="AK300" i="103"/>
  <c r="BV299" i="103"/>
  <c r="Q299" i="103"/>
  <c r="BZ298" i="103"/>
  <c r="BN298" i="103"/>
  <c r="BE298" i="103"/>
  <c r="AS298" i="103"/>
  <c r="AG298" i="103"/>
  <c r="I298" i="103"/>
  <c r="CD297" i="103"/>
  <c r="BR297" i="103"/>
  <c r="AW297" i="103"/>
  <c r="AK297" i="103"/>
  <c r="BV296" i="103"/>
  <c r="Q296" i="103"/>
  <c r="BZ295" i="103"/>
  <c r="BN295" i="103"/>
  <c r="BE295" i="103"/>
  <c r="AS295" i="103"/>
  <c r="AX334" i="103"/>
  <c r="AD333" i="103"/>
  <c r="Q332" i="103"/>
  <c r="BZ331" i="103"/>
  <c r="BN331" i="103"/>
  <c r="BE331" i="103"/>
  <c r="AS331" i="103"/>
  <c r="AG331" i="103"/>
  <c r="I331" i="103"/>
  <c r="CD330" i="103"/>
  <c r="BR330" i="103"/>
  <c r="AW330" i="103"/>
  <c r="AK330" i="103"/>
  <c r="CS329" i="103"/>
  <c r="BU329" i="103"/>
  <c r="AZ329" i="103"/>
  <c r="P329" i="103"/>
  <c r="BY328" i="103"/>
  <c r="AF328" i="103"/>
  <c r="T328" i="103"/>
  <c r="CC327" i="103"/>
  <c r="BQ327" i="103"/>
  <c r="AJ327" i="103"/>
  <c r="CS326" i="103"/>
  <c r="BU326" i="103"/>
  <c r="AZ326" i="103"/>
  <c r="P326" i="103"/>
  <c r="BY325" i="103"/>
  <c r="AF325" i="103"/>
  <c r="T325" i="103"/>
  <c r="CC324" i="103"/>
  <c r="BQ324" i="103"/>
  <c r="AJ324" i="103"/>
  <c r="CS323" i="103"/>
  <c r="BU323" i="103"/>
  <c r="AZ323" i="103"/>
  <c r="P323" i="103"/>
  <c r="BY322" i="103"/>
  <c r="AF322" i="103"/>
  <c r="T322" i="103"/>
  <c r="CC321" i="103"/>
  <c r="BQ321" i="103"/>
  <c r="AJ321" i="103"/>
  <c r="CS320" i="103"/>
  <c r="BU320" i="103"/>
  <c r="AZ320" i="103"/>
  <c r="P320" i="103"/>
  <c r="BY319" i="103"/>
  <c r="AF319" i="103"/>
  <c r="T319" i="103"/>
  <c r="CC318" i="103"/>
  <c r="BQ318" i="103"/>
  <c r="AJ318" i="103"/>
  <c r="CS317" i="103"/>
  <c r="BU317" i="103"/>
  <c r="AZ317" i="103"/>
  <c r="P317" i="103"/>
  <c r="BY316" i="103"/>
  <c r="AF316" i="103"/>
  <c r="T316" i="103"/>
  <c r="CC315" i="103"/>
  <c r="BQ315" i="103"/>
  <c r="AJ315" i="103"/>
  <c r="CS314" i="103"/>
  <c r="BU314" i="103"/>
  <c r="AZ314" i="103"/>
  <c r="P314" i="103"/>
  <c r="BY313" i="103"/>
  <c r="AF313" i="103"/>
  <c r="T313" i="103"/>
  <c r="CC312" i="103"/>
  <c r="BQ312" i="103"/>
  <c r="AJ312" i="103"/>
  <c r="CS311" i="103"/>
  <c r="BU311" i="103"/>
  <c r="AZ311" i="103"/>
  <c r="P311" i="103"/>
  <c r="BY310" i="103"/>
  <c r="AF310" i="103"/>
  <c r="T310" i="103"/>
  <c r="CC309" i="103"/>
  <c r="BQ309" i="103"/>
  <c r="AJ309" i="103"/>
  <c r="CS308" i="103"/>
  <c r="BU308" i="103"/>
  <c r="AZ308" i="103"/>
  <c r="P308" i="103"/>
  <c r="BY307" i="103"/>
  <c r="AF307" i="103"/>
  <c r="T307" i="103"/>
  <c r="CC306" i="103"/>
  <c r="BQ306" i="103"/>
  <c r="AJ306" i="103"/>
  <c r="CS305" i="103"/>
  <c r="BU305" i="103"/>
  <c r="AZ305" i="103"/>
  <c r="P305" i="103"/>
  <c r="BY304" i="103"/>
  <c r="AF304" i="103"/>
  <c r="T304" i="103"/>
  <c r="CC303" i="103"/>
  <c r="BQ303" i="103"/>
  <c r="AJ303" i="103"/>
  <c r="CS302" i="103"/>
  <c r="BU302" i="103"/>
  <c r="AZ302" i="103"/>
  <c r="P302" i="103"/>
  <c r="BY301" i="103"/>
  <c r="AF301" i="103"/>
  <c r="T301" i="103"/>
  <c r="CC300" i="103"/>
  <c r="BQ300" i="103"/>
  <c r="AJ300" i="103"/>
  <c r="CS299" i="103"/>
  <c r="BU299" i="103"/>
  <c r="AZ299" i="103"/>
  <c r="P299" i="103"/>
  <c r="BY298" i="103"/>
  <c r="AF298" i="103"/>
  <c r="T298" i="103"/>
  <c r="CC297" i="103"/>
  <c r="BQ297" i="103"/>
  <c r="AJ297" i="103"/>
  <c r="CS296" i="103"/>
  <c r="BU296" i="103"/>
  <c r="AZ296" i="103"/>
  <c r="P296" i="103"/>
  <c r="BY295" i="103"/>
  <c r="BF344" i="103"/>
  <c r="CA335" i="103"/>
  <c r="AH335" i="103"/>
  <c r="BW333" i="103"/>
  <c r="AZ332" i="103"/>
  <c r="P332" i="103"/>
  <c r="BY331" i="103"/>
  <c r="AF331" i="103"/>
  <c r="T331" i="103"/>
  <c r="CC330" i="103"/>
  <c r="BQ330" i="103"/>
  <c r="AJ330" i="103"/>
  <c r="BT329" i="103"/>
  <c r="AY329" i="103"/>
  <c r="BX328" i="103"/>
  <c r="BC328" i="103"/>
  <c r="AE328" i="103"/>
  <c r="S328" i="103"/>
  <c r="G328" i="103"/>
  <c r="CN327" i="103"/>
  <c r="CB327" i="103"/>
  <c r="BG327" i="103"/>
  <c r="AI327" i="103"/>
  <c r="BT326" i="103"/>
  <c r="AY326" i="103"/>
  <c r="BX325" i="103"/>
  <c r="BC325" i="103"/>
  <c r="AE325" i="103"/>
  <c r="S325" i="103"/>
  <c r="G325" i="103"/>
  <c r="CN324" i="103"/>
  <c r="CB324" i="103"/>
  <c r="AN324" i="103" s="1"/>
  <c r="BG324" i="103"/>
  <c r="AI324" i="103"/>
  <c r="BT323" i="103"/>
  <c r="AY323" i="103"/>
  <c r="BX322" i="103"/>
  <c r="BC322" i="103"/>
  <c r="AE322" i="103"/>
  <c r="S322" i="103"/>
  <c r="G322" i="103"/>
  <c r="CN321" i="103"/>
  <c r="CB321" i="103"/>
  <c r="AN321" i="103" s="1"/>
  <c r="BG321" i="103"/>
  <c r="AI321" i="103"/>
  <c r="BT320" i="103"/>
  <c r="AY320" i="103"/>
  <c r="BX319" i="103"/>
  <c r="BC319" i="103"/>
  <c r="AE319" i="103"/>
  <c r="S319" i="103"/>
  <c r="G319" i="103"/>
  <c r="CN318" i="103"/>
  <c r="CB318" i="103"/>
  <c r="AN318" i="103" s="1"/>
  <c r="BG318" i="103"/>
  <c r="AI318" i="103"/>
  <c r="BT317" i="103"/>
  <c r="AY317" i="103"/>
  <c r="BX316" i="103"/>
  <c r="BC316" i="103"/>
  <c r="AE316" i="103"/>
  <c r="S316" i="103"/>
  <c r="G316" i="103"/>
  <c r="CN315" i="103"/>
  <c r="CB315" i="103"/>
  <c r="BG315" i="103"/>
  <c r="AI315" i="103"/>
  <c r="BT314" i="103"/>
  <c r="AY314" i="103"/>
  <c r="BX313" i="103"/>
  <c r="AE313" i="103"/>
  <c r="S313" i="103"/>
  <c r="G313" i="103"/>
  <c r="CN312" i="103"/>
  <c r="CB312" i="103"/>
  <c r="BG312" i="103"/>
  <c r="AI312" i="103"/>
  <c r="BT311" i="103"/>
  <c r="AY311" i="103"/>
  <c r="BX310" i="103"/>
  <c r="AE310" i="103"/>
  <c r="S310" i="103"/>
  <c r="G310" i="103"/>
  <c r="CN309" i="103"/>
  <c r="CB309" i="103"/>
  <c r="BG309" i="103"/>
  <c r="AI309" i="103"/>
  <c r="BT308" i="103"/>
  <c r="AY308" i="103"/>
  <c r="BX307" i="103"/>
  <c r="BC307" i="103"/>
  <c r="AE307" i="103"/>
  <c r="S307" i="103"/>
  <c r="G307" i="103"/>
  <c r="CN306" i="103"/>
  <c r="CB306" i="103"/>
  <c r="BG306" i="103"/>
  <c r="AI306" i="103"/>
  <c r="BT305" i="103"/>
  <c r="AY305" i="103"/>
  <c r="BX304" i="103"/>
  <c r="BC304" i="103"/>
  <c r="AE304" i="103"/>
  <c r="S304" i="103"/>
  <c r="G304" i="103"/>
  <c r="CN303" i="103"/>
  <c r="CB303" i="103"/>
  <c r="BG303" i="103"/>
  <c r="AI303" i="103"/>
  <c r="BT302" i="103"/>
  <c r="AY302" i="103"/>
  <c r="BX301" i="103"/>
  <c r="BC301" i="103"/>
  <c r="AE301" i="103"/>
  <c r="S301" i="103"/>
  <c r="G301" i="103"/>
  <c r="CN300" i="103"/>
  <c r="CB300" i="103"/>
  <c r="BG300" i="103"/>
  <c r="AI300" i="103"/>
  <c r="BT299" i="103"/>
  <c r="AY299" i="103"/>
  <c r="BX298" i="103"/>
  <c r="BC298" i="103"/>
  <c r="AE298" i="103"/>
  <c r="S298" i="103"/>
  <c r="AX340" i="103"/>
  <c r="AD339" i="103"/>
  <c r="CE337" i="103"/>
  <c r="V335" i="103"/>
  <c r="AY332" i="103"/>
  <c r="BX331" i="103"/>
  <c r="BC331" i="103"/>
  <c r="AE331" i="103"/>
  <c r="S331" i="103"/>
  <c r="G331" i="103"/>
  <c r="CN330" i="103"/>
  <c r="CB330" i="103"/>
  <c r="AN330" i="103" s="1"/>
  <c r="BG330" i="103"/>
  <c r="AI330" i="103"/>
  <c r="CE329" i="103"/>
  <c r="BS329" i="103"/>
  <c r="AX329" i="103"/>
  <c r="N329" i="103"/>
  <c r="BW328" i="103"/>
  <c r="AD328" i="103"/>
  <c r="CA327" i="103"/>
  <c r="BF327" i="103"/>
  <c r="AT327" i="103"/>
  <c r="AH327" i="103"/>
  <c r="V327" i="103"/>
  <c r="CE326" i="103"/>
  <c r="BS326" i="103"/>
  <c r="AX326" i="103"/>
  <c r="N326" i="103"/>
  <c r="BW325" i="103"/>
  <c r="AD325" i="103"/>
  <c r="CA324" i="103"/>
  <c r="BF324" i="103"/>
  <c r="AT324" i="103"/>
  <c r="AH324" i="103"/>
  <c r="V324" i="103"/>
  <c r="CE323" i="103"/>
  <c r="BS323" i="103"/>
  <c r="AX323" i="103"/>
  <c r="N323" i="103"/>
  <c r="BW322" i="103"/>
  <c r="AD322" i="103"/>
  <c r="CA321" i="103"/>
  <c r="BF321" i="103"/>
  <c r="AT321" i="103"/>
  <c r="AH321" i="103"/>
  <c r="V321" i="103"/>
  <c r="CE320" i="103"/>
  <c r="BS320" i="103"/>
  <c r="AX320" i="103"/>
  <c r="N320" i="103"/>
  <c r="BW319" i="103"/>
  <c r="AD319" i="103"/>
  <c r="CA318" i="103"/>
  <c r="BF318" i="103"/>
  <c r="AT318" i="103"/>
  <c r="AH318" i="103"/>
  <c r="V318" i="103"/>
  <c r="CE317" i="103"/>
  <c r="BS317" i="103"/>
  <c r="AX317" i="103"/>
  <c r="N317" i="103"/>
  <c r="BW316" i="103"/>
  <c r="AD316" i="103"/>
  <c r="CA315" i="103"/>
  <c r="BF315" i="103"/>
  <c r="AT315" i="103"/>
  <c r="AH315" i="103"/>
  <c r="V315" i="103"/>
  <c r="CE314" i="103"/>
  <c r="BS314" i="103"/>
  <c r="AX314" i="103"/>
  <c r="N314" i="103"/>
  <c r="BW313" i="103"/>
  <c r="AD313" i="103"/>
  <c r="CA312" i="103"/>
  <c r="BF312" i="103"/>
  <c r="AT312" i="103"/>
  <c r="AH312" i="103"/>
  <c r="V312" i="103"/>
  <c r="CE311" i="103"/>
  <c r="BS311" i="103"/>
  <c r="AX311" i="103"/>
  <c r="N311" i="103"/>
  <c r="BW310" i="103"/>
  <c r="AD310" i="103"/>
  <c r="CA309" i="103"/>
  <c r="BF309" i="103"/>
  <c r="AT309" i="103"/>
  <c r="AH309" i="103"/>
  <c r="V309" i="103"/>
  <c r="CE308" i="103"/>
  <c r="BS308" i="103"/>
  <c r="AX308" i="103"/>
  <c r="N308" i="103"/>
  <c r="BW307" i="103"/>
  <c r="AD307" i="103"/>
  <c r="CA306" i="103"/>
  <c r="BF306" i="103"/>
  <c r="AT306" i="103"/>
  <c r="AH306" i="103"/>
  <c r="V306" i="103"/>
  <c r="CE305" i="103"/>
  <c r="BS305" i="103"/>
  <c r="AX305" i="103"/>
  <c r="N305" i="103"/>
  <c r="BW304" i="103"/>
  <c r="AD304" i="103"/>
  <c r="CA303" i="103"/>
  <c r="BF303" i="103"/>
  <c r="AT303" i="103"/>
  <c r="AH303" i="103"/>
  <c r="V303" i="103"/>
  <c r="CE302" i="103"/>
  <c r="BS302" i="103"/>
  <c r="AX302" i="103"/>
  <c r="N302" i="103"/>
  <c r="BW301" i="103"/>
  <c r="AD301" i="103"/>
  <c r="BF330" i="103"/>
  <c r="BV328" i="103"/>
  <c r="AS327" i="103"/>
  <c r="BC326" i="103"/>
  <c r="BG325" i="103"/>
  <c r="Q325" i="103"/>
  <c r="BX323" i="103"/>
  <c r="I321" i="103"/>
  <c r="BN318" i="103"/>
  <c r="BG316" i="103"/>
  <c r="CD314" i="103"/>
  <c r="CB313" i="103"/>
  <c r="AX313" i="103"/>
  <c r="Q313" i="103"/>
  <c r="BT312" i="103"/>
  <c r="BR311" i="103"/>
  <c r="BV306" i="103"/>
  <c r="AD306" i="103"/>
  <c r="V305" i="103"/>
  <c r="BT303" i="103"/>
  <c r="AT302" i="103"/>
  <c r="CE301" i="103"/>
  <c r="BZ300" i="103"/>
  <c r="AX299" i="103"/>
  <c r="AH299" i="103"/>
  <c r="G299" i="103"/>
  <c r="BV298" i="103"/>
  <c r="AI297" i="103"/>
  <c r="BN296" i="103"/>
  <c r="BE296" i="103"/>
  <c r="BR295" i="103"/>
  <c r="AW295" i="103"/>
  <c r="AI295" i="103"/>
  <c r="BT294" i="103"/>
  <c r="AY294" i="103"/>
  <c r="BX293" i="103"/>
  <c r="BC293" i="103"/>
  <c r="AE293" i="103"/>
  <c r="S293" i="103"/>
  <c r="G293" i="103"/>
  <c r="CN292" i="103"/>
  <c r="CB292" i="103"/>
  <c r="BG292" i="103"/>
  <c r="AI292" i="103"/>
  <c r="BT291" i="103"/>
  <c r="AY291" i="103"/>
  <c r="BX290" i="103"/>
  <c r="BC290" i="103"/>
  <c r="AE290" i="103"/>
  <c r="S290" i="103"/>
  <c r="G290" i="103"/>
  <c r="CN289" i="103"/>
  <c r="CB289" i="103"/>
  <c r="BG289" i="103"/>
  <c r="AI289" i="103"/>
  <c r="BT288" i="103"/>
  <c r="AY288" i="103"/>
  <c r="BX287" i="103"/>
  <c r="BC287" i="103"/>
  <c r="AE287" i="103"/>
  <c r="S287" i="103"/>
  <c r="G287" i="103"/>
  <c r="CN286" i="103"/>
  <c r="CB286" i="103"/>
  <c r="BG286" i="103"/>
  <c r="AI286" i="103"/>
  <c r="BT285" i="103"/>
  <c r="AY285" i="103"/>
  <c r="BX284" i="103"/>
  <c r="BC284" i="103"/>
  <c r="AE284" i="103"/>
  <c r="S284" i="103"/>
  <c r="G284" i="103"/>
  <c r="CN283" i="103"/>
  <c r="CB283" i="103"/>
  <c r="BG283" i="103"/>
  <c r="AI283" i="103"/>
  <c r="AY282" i="103"/>
  <c r="BC281" i="103"/>
  <c r="AE281" i="103"/>
  <c r="S281" i="103"/>
  <c r="G281" i="103"/>
  <c r="CN280" i="103"/>
  <c r="CB280" i="103"/>
  <c r="BG280" i="103"/>
  <c r="AI280" i="103"/>
  <c r="AY279" i="103"/>
  <c r="BC278" i="103"/>
  <c r="AE278" i="103"/>
  <c r="S278" i="103"/>
  <c r="G278" i="103"/>
  <c r="CN277" i="103"/>
  <c r="CB277" i="103"/>
  <c r="BG277" i="103"/>
  <c r="AI277" i="103"/>
  <c r="AY276" i="103"/>
  <c r="BC275" i="103"/>
  <c r="AE275" i="103"/>
  <c r="S275" i="103"/>
  <c r="G275" i="103"/>
  <c r="CN274" i="103"/>
  <c r="CB274" i="103"/>
  <c r="BG274" i="103"/>
  <c r="AI274" i="103"/>
  <c r="AY273" i="103"/>
  <c r="BC272" i="103"/>
  <c r="AE272" i="103"/>
  <c r="S272" i="103"/>
  <c r="G272" i="103"/>
  <c r="CN271" i="103"/>
  <c r="CB271" i="103"/>
  <c r="BG271" i="103"/>
  <c r="AI271" i="103"/>
  <c r="AY270" i="103"/>
  <c r="BC269" i="103"/>
  <c r="AE269" i="103"/>
  <c r="S269" i="103"/>
  <c r="G269" i="103"/>
  <c r="CN268" i="103"/>
  <c r="CB268" i="103"/>
  <c r="BG268" i="103"/>
  <c r="AI268" i="103"/>
  <c r="AY267" i="103"/>
  <c r="BC266" i="103"/>
  <c r="V330" i="103"/>
  <c r="AK329" i="103"/>
  <c r="BZ327" i="103"/>
  <c r="AW326" i="103"/>
  <c r="G326" i="103"/>
  <c r="AG324" i="103"/>
  <c r="BR323" i="103"/>
  <c r="CB322" i="103"/>
  <c r="AN322" i="103" s="1"/>
  <c r="S320" i="103"/>
  <c r="CD317" i="103"/>
  <c r="CN316" i="103"/>
  <c r="BZ315" i="103"/>
  <c r="AY315" i="103"/>
  <c r="CA314" i="103"/>
  <c r="AW314" i="103"/>
  <c r="V314" i="103"/>
  <c r="BV313" i="103"/>
  <c r="N313" i="103"/>
  <c r="BN312" i="103"/>
  <c r="AS312" i="103"/>
  <c r="I312" i="103"/>
  <c r="AT311" i="103"/>
  <c r="BT306" i="103"/>
  <c r="AT305" i="103"/>
  <c r="CE304" i="103"/>
  <c r="BN303" i="103"/>
  <c r="AY303" i="103"/>
  <c r="AS302" i="103"/>
  <c r="S302" i="103"/>
  <c r="CD301" i="103"/>
  <c r="BW300" i="103"/>
  <c r="Q300" i="103"/>
  <c r="AW299" i="103"/>
  <c r="AG299" i="103"/>
  <c r="BS298" i="103"/>
  <c r="BG298" i="103"/>
  <c r="AH297" i="103"/>
  <c r="S296" i="103"/>
  <c r="CN295" i="103"/>
  <c r="AH295" i="103"/>
  <c r="V295" i="103"/>
  <c r="CE294" i="103"/>
  <c r="BS294" i="103"/>
  <c r="AX294" i="103"/>
  <c r="N294" i="103"/>
  <c r="BW293" i="103"/>
  <c r="AD293" i="103"/>
  <c r="CA292" i="103"/>
  <c r="BF292" i="103"/>
  <c r="AT292" i="103"/>
  <c r="AH292" i="103"/>
  <c r="V292" i="103"/>
  <c r="CE291" i="103"/>
  <c r="BS291" i="103"/>
  <c r="AX291" i="103"/>
  <c r="N291" i="103"/>
  <c r="BW290" i="103"/>
  <c r="AD290" i="103"/>
  <c r="CA289" i="103"/>
  <c r="BF289" i="103"/>
  <c r="AT289" i="103"/>
  <c r="AH289" i="103"/>
  <c r="V289" i="103"/>
  <c r="CE288" i="103"/>
  <c r="BS288" i="103"/>
  <c r="AX288" i="103"/>
  <c r="N288" i="103"/>
  <c r="BW287" i="103"/>
  <c r="AD287" i="103"/>
  <c r="CA286" i="103"/>
  <c r="BF286" i="103"/>
  <c r="AT286" i="103"/>
  <c r="AH286" i="103"/>
  <c r="V286" i="103"/>
  <c r="CE285" i="103"/>
  <c r="BS285" i="103"/>
  <c r="AX285" i="103"/>
  <c r="N285" i="103"/>
  <c r="BW284" i="103"/>
  <c r="AD284" i="103"/>
  <c r="BF283" i="103"/>
  <c r="AT283" i="103"/>
  <c r="AH283" i="103"/>
  <c r="V283" i="103"/>
  <c r="CE282" i="103"/>
  <c r="BS282" i="103"/>
  <c r="AX282" i="103"/>
  <c r="N282" i="103"/>
  <c r="AD281" i="103"/>
  <c r="BF280" i="103"/>
  <c r="AT280" i="103"/>
  <c r="AH280" i="103"/>
  <c r="V280" i="103"/>
  <c r="CE279" i="103"/>
  <c r="BS279" i="103"/>
  <c r="AX279" i="103"/>
  <c r="N279" i="103"/>
  <c r="AD278" i="103"/>
  <c r="BF277" i="103"/>
  <c r="AT277" i="103"/>
  <c r="AH277" i="103"/>
  <c r="V277" i="103"/>
  <c r="CE276" i="103"/>
  <c r="BS276" i="103"/>
  <c r="AX276" i="103"/>
  <c r="N276" i="103"/>
  <c r="AD275" i="103"/>
  <c r="BF274" i="103"/>
  <c r="AT274" i="103"/>
  <c r="AH274" i="103"/>
  <c r="V274" i="103"/>
  <c r="CE273" i="103"/>
  <c r="BS273" i="103"/>
  <c r="AX273" i="103"/>
  <c r="N273" i="103"/>
  <c r="AD272" i="103"/>
  <c r="BF271" i="103"/>
  <c r="AT271" i="103"/>
  <c r="AH271" i="103"/>
  <c r="V271" i="103"/>
  <c r="CE270" i="103"/>
  <c r="BS270" i="103"/>
  <c r="AX270" i="103"/>
  <c r="N270" i="103"/>
  <c r="AD269" i="103"/>
  <c r="BF268" i="103"/>
  <c r="AT268" i="103"/>
  <c r="AH268" i="103"/>
  <c r="V268" i="103"/>
  <c r="CE267" i="103"/>
  <c r="BS267" i="103"/>
  <c r="AX267" i="103"/>
  <c r="N267" i="103"/>
  <c r="AZ330" i="103"/>
  <c r="P330" i="103"/>
  <c r="AE329" i="103"/>
  <c r="AI328" i="103"/>
  <c r="BT327" i="103"/>
  <c r="BE324" i="103"/>
  <c r="BV322" i="103"/>
  <c r="AS321" i="103"/>
  <c r="BC320" i="103"/>
  <c r="BG319" i="103"/>
  <c r="Q319" i="103"/>
  <c r="BX317" i="103"/>
  <c r="BW315" i="103"/>
  <c r="BX314" i="103"/>
  <c r="S314" i="103"/>
  <c r="BS313" i="103"/>
  <c r="G311" i="103"/>
  <c r="BN306" i="103"/>
  <c r="AY306" i="103"/>
  <c r="AS305" i="103"/>
  <c r="S305" i="103"/>
  <c r="CD304" i="103"/>
  <c r="CB301" i="103"/>
  <c r="BG301" i="103"/>
  <c r="AK301" i="103"/>
  <c r="BV300" i="103"/>
  <c r="BF300" i="103"/>
  <c r="AE299" i="103"/>
  <c r="BR298" i="103"/>
  <c r="AK298" i="103"/>
  <c r="G298" i="103"/>
  <c r="CB297" i="103"/>
  <c r="AY297" i="103"/>
  <c r="AG297" i="103"/>
  <c r="I297" i="103"/>
  <c r="BC296" i="103"/>
  <c r="AG295" i="103"/>
  <c r="I295" i="103"/>
  <c r="CD294" i="103"/>
  <c r="BR294" i="103"/>
  <c r="AW294" i="103"/>
  <c r="AK294" i="103"/>
  <c r="BV293" i="103"/>
  <c r="Q293" i="103"/>
  <c r="BZ292" i="103"/>
  <c r="BN292" i="103"/>
  <c r="BE292" i="103"/>
  <c r="AS292" i="103"/>
  <c r="AG292" i="103"/>
  <c r="I292" i="103"/>
  <c r="CD291" i="103"/>
  <c r="BR291" i="103"/>
  <c r="AW291" i="103"/>
  <c r="AK291" i="103"/>
  <c r="BV290" i="103"/>
  <c r="Q290" i="103"/>
  <c r="BZ289" i="103"/>
  <c r="BN289" i="103"/>
  <c r="BE289" i="103"/>
  <c r="AS289" i="103"/>
  <c r="AG289" i="103"/>
  <c r="I289" i="103"/>
  <c r="CD288" i="103"/>
  <c r="BR288" i="103"/>
  <c r="AW288" i="103"/>
  <c r="AK288" i="103"/>
  <c r="BV287" i="103"/>
  <c r="Q287" i="103"/>
  <c r="BZ286" i="103"/>
  <c r="BN286" i="103"/>
  <c r="BE286" i="103"/>
  <c r="AS286" i="103"/>
  <c r="AG286" i="103"/>
  <c r="I286" i="103"/>
  <c r="CD285" i="103"/>
  <c r="BR285" i="103"/>
  <c r="AW285" i="103"/>
  <c r="AK285" i="103"/>
  <c r="BV284" i="103"/>
  <c r="Q284" i="103"/>
  <c r="BE283" i="103"/>
  <c r="AS283" i="103"/>
  <c r="AG283" i="103"/>
  <c r="I283" i="103"/>
  <c r="CD282" i="103"/>
  <c r="AW282" i="103"/>
  <c r="AK282" i="103"/>
  <c r="Q281" i="103"/>
  <c r="BE280" i="103"/>
  <c r="AS280" i="103"/>
  <c r="AG280" i="103"/>
  <c r="I280" i="103"/>
  <c r="CD279" i="103"/>
  <c r="AW279" i="103"/>
  <c r="AK279" i="103"/>
  <c r="Q278" i="103"/>
  <c r="BE277" i="103"/>
  <c r="AS277" i="103"/>
  <c r="AG277" i="103"/>
  <c r="I277" i="103"/>
  <c r="CD276" i="103"/>
  <c r="AW276" i="103"/>
  <c r="AK276" i="103"/>
  <c r="Q275" i="103"/>
  <c r="BE274" i="103"/>
  <c r="AS274" i="103"/>
  <c r="AG274" i="103"/>
  <c r="I274" i="103"/>
  <c r="CD273" i="103"/>
  <c r="AW273" i="103"/>
  <c r="AK273" i="103"/>
  <c r="Q272" i="103"/>
  <c r="BE271" i="103"/>
  <c r="AS271" i="103"/>
  <c r="AG271" i="103"/>
  <c r="I271" i="103"/>
  <c r="CD270" i="103"/>
  <c r="AW270" i="103"/>
  <c r="AK270" i="103"/>
  <c r="Q269" i="103"/>
  <c r="BE268" i="103"/>
  <c r="AS268" i="103"/>
  <c r="AG268" i="103"/>
  <c r="I268" i="103"/>
  <c r="CD267" i="103"/>
  <c r="AW267" i="103"/>
  <c r="AK267" i="103"/>
  <c r="BS337" i="103"/>
  <c r="CS330" i="103"/>
  <c r="I330" i="103"/>
  <c r="BN327" i="103"/>
  <c r="AK323" i="103"/>
  <c r="BZ321" i="103"/>
  <c r="AW320" i="103"/>
  <c r="G320" i="103"/>
  <c r="AG318" i="103"/>
  <c r="BR317" i="103"/>
  <c r="CB316" i="103"/>
  <c r="AN316" i="103" s="1"/>
  <c r="AX316" i="103"/>
  <c r="Q316" i="103"/>
  <c r="BT315" i="103"/>
  <c r="BR314" i="103"/>
  <c r="AK308" i="103"/>
  <c r="CN307" i="103"/>
  <c r="CB304" i="103"/>
  <c r="BG304" i="103"/>
  <c r="AK304" i="103"/>
  <c r="BV301" i="103"/>
  <c r="AI301" i="103"/>
  <c r="BT300" i="103"/>
  <c r="BE300" i="103"/>
  <c r="CE299" i="103"/>
  <c r="AI298" i="103"/>
  <c r="CA297" i="103"/>
  <c r="AD297" i="103"/>
  <c r="CE296" i="103"/>
  <c r="AY296" i="103"/>
  <c r="N296" i="103"/>
  <c r="AF295" i="103"/>
  <c r="T295" i="103"/>
  <c r="CC294" i="103"/>
  <c r="BQ294" i="103"/>
  <c r="AJ294" i="103"/>
  <c r="CS293" i="103"/>
  <c r="BU293" i="103"/>
  <c r="AZ293" i="103"/>
  <c r="P293" i="103"/>
  <c r="BY292" i="103"/>
  <c r="AF292" i="103"/>
  <c r="T292" i="103"/>
  <c r="CC291" i="103"/>
  <c r="BQ291" i="103"/>
  <c r="AJ291" i="103"/>
  <c r="CS290" i="103"/>
  <c r="BU290" i="103"/>
  <c r="AZ290" i="103"/>
  <c r="P290" i="103"/>
  <c r="BY289" i="103"/>
  <c r="AF289" i="103"/>
  <c r="T289" i="103"/>
  <c r="CC288" i="103"/>
  <c r="BQ288" i="103"/>
  <c r="AJ288" i="103"/>
  <c r="CS287" i="103"/>
  <c r="BU287" i="103"/>
  <c r="AZ287" i="103"/>
  <c r="P287" i="103"/>
  <c r="BY286" i="103"/>
  <c r="AF286" i="103"/>
  <c r="T286" i="103"/>
  <c r="CC285" i="103"/>
  <c r="BQ285" i="103"/>
  <c r="AJ285" i="103"/>
  <c r="CS284" i="103"/>
  <c r="BU284" i="103"/>
  <c r="AZ284" i="103"/>
  <c r="P284" i="103"/>
  <c r="AF283" i="103"/>
  <c r="T283" i="103"/>
  <c r="CC282" i="103"/>
  <c r="BQ282" i="103"/>
  <c r="AJ282" i="103"/>
  <c r="CS281" i="103"/>
  <c r="AZ281" i="103"/>
  <c r="AN281" i="103"/>
  <c r="P281" i="103"/>
  <c r="AF280" i="103"/>
  <c r="T280" i="103"/>
  <c r="CC279" i="103"/>
  <c r="BQ279" i="103"/>
  <c r="AJ279" i="103"/>
  <c r="CS278" i="103"/>
  <c r="AZ278" i="103"/>
  <c r="AN278" i="103"/>
  <c r="P278" i="103"/>
  <c r="AF277" i="103"/>
  <c r="T277" i="103"/>
  <c r="CC276" i="103"/>
  <c r="BQ276" i="103"/>
  <c r="AJ276" i="103"/>
  <c r="CS275" i="103"/>
  <c r="AZ275" i="103"/>
  <c r="AN275" i="103"/>
  <c r="P275" i="103"/>
  <c r="AF274" i="103"/>
  <c r="T274" i="103"/>
  <c r="CC273" i="103"/>
  <c r="BQ273" i="103"/>
  <c r="AJ273" i="103"/>
  <c r="CS272" i="103"/>
  <c r="AZ272" i="103"/>
  <c r="AN272" i="103"/>
  <c r="P272" i="103"/>
  <c r="AF271" i="103"/>
  <c r="T271" i="103"/>
  <c r="CC270" i="103"/>
  <c r="BQ270" i="103"/>
  <c r="AJ270" i="103"/>
  <c r="CS269" i="103"/>
  <c r="AZ269" i="103"/>
  <c r="AN269" i="103"/>
  <c r="P269" i="103"/>
  <c r="AF268" i="103"/>
  <c r="T268" i="103"/>
  <c r="CC267" i="103"/>
  <c r="BQ267" i="103"/>
  <c r="AJ267" i="103"/>
  <c r="CS266" i="103"/>
  <c r="N332" i="103"/>
  <c r="S329" i="103"/>
  <c r="CD326" i="103"/>
  <c r="CN325" i="103"/>
  <c r="AY324" i="103"/>
  <c r="AE323" i="103"/>
  <c r="AI322" i="103"/>
  <c r="BT321" i="103"/>
  <c r="BE318" i="103"/>
  <c r="BV316" i="103"/>
  <c r="N316" i="103"/>
  <c r="BN315" i="103"/>
  <c r="AS315" i="103"/>
  <c r="I315" i="103"/>
  <c r="AT314" i="103"/>
  <c r="BE309" i="103"/>
  <c r="AG309" i="103"/>
  <c r="BF308" i="103"/>
  <c r="AH308" i="103"/>
  <c r="BG307" i="103"/>
  <c r="AK307" i="103"/>
  <c r="BV304" i="103"/>
  <c r="AI304" i="103"/>
  <c r="AS303" i="103"/>
  <c r="Q303" i="103"/>
  <c r="CD302" i="103"/>
  <c r="I302" i="103"/>
  <c r="BS301" i="103"/>
  <c r="I300" i="103"/>
  <c r="CD299" i="103"/>
  <c r="AT299" i="103"/>
  <c r="AD298" i="103"/>
  <c r="BZ297" i="103"/>
  <c r="CD296" i="103"/>
  <c r="AX296" i="103"/>
  <c r="AK296" i="103"/>
  <c r="AE295" i="103"/>
  <c r="S295" i="103"/>
  <c r="G295" i="103"/>
  <c r="CN294" i="103"/>
  <c r="CB294" i="103"/>
  <c r="BG294" i="103"/>
  <c r="AI294" i="103"/>
  <c r="BT293" i="103"/>
  <c r="AY293" i="103"/>
  <c r="BX292" i="103"/>
  <c r="BC292" i="103"/>
  <c r="AE292" i="103"/>
  <c r="S292" i="103"/>
  <c r="G292" i="103"/>
  <c r="CN291" i="103"/>
  <c r="CB291" i="103"/>
  <c r="BG291" i="103"/>
  <c r="AI291" i="103"/>
  <c r="BT290" i="103"/>
  <c r="AY290" i="103"/>
  <c r="BX289" i="103"/>
  <c r="BC289" i="103"/>
  <c r="AE289" i="103"/>
  <c r="S289" i="103"/>
  <c r="G289" i="103"/>
  <c r="CN288" i="103"/>
  <c r="CB288" i="103"/>
  <c r="BG288" i="103"/>
  <c r="AI288" i="103"/>
  <c r="BT287" i="103"/>
  <c r="AY287" i="103"/>
  <c r="BX286" i="103"/>
  <c r="BC286" i="103"/>
  <c r="AE286" i="103"/>
  <c r="S286" i="103"/>
  <c r="G286" i="103"/>
  <c r="CN285" i="103"/>
  <c r="CB285" i="103"/>
  <c r="BG285" i="103"/>
  <c r="AI285" i="103"/>
  <c r="BT284" i="103"/>
  <c r="AY284" i="103"/>
  <c r="BC283" i="103"/>
  <c r="BB283" i="103" s="1"/>
  <c r="AE283" i="103"/>
  <c r="S283" i="103"/>
  <c r="G283" i="103"/>
  <c r="CN282" i="103"/>
  <c r="CB282" i="103"/>
  <c r="BG282" i="103"/>
  <c r="AI282" i="103"/>
  <c r="AY281" i="103"/>
  <c r="BC280" i="103"/>
  <c r="BB280" i="103" s="1"/>
  <c r="AE280" i="103"/>
  <c r="S280" i="103"/>
  <c r="G280" i="103"/>
  <c r="CN279" i="103"/>
  <c r="CB279" i="103"/>
  <c r="BG279" i="103"/>
  <c r="AI279" i="103"/>
  <c r="AY278" i="103"/>
  <c r="BC277" i="103"/>
  <c r="BB277" i="103" s="1"/>
  <c r="AE277" i="103"/>
  <c r="S277" i="103"/>
  <c r="G277" i="103"/>
  <c r="CN276" i="103"/>
  <c r="CB276" i="103"/>
  <c r="BG276" i="103"/>
  <c r="AI276" i="103"/>
  <c r="AY275" i="103"/>
  <c r="BC274" i="103"/>
  <c r="BB274" i="103" s="1"/>
  <c r="AE274" i="103"/>
  <c r="S274" i="103"/>
  <c r="G274" i="103"/>
  <c r="CN273" i="103"/>
  <c r="CB273" i="103"/>
  <c r="BG273" i="103"/>
  <c r="AI273" i="103"/>
  <c r="AY272" i="103"/>
  <c r="BC271" i="103"/>
  <c r="BB271" i="103" s="1"/>
  <c r="AE271" i="103"/>
  <c r="S271" i="103"/>
  <c r="G271" i="103"/>
  <c r="CN270" i="103"/>
  <c r="CB270" i="103"/>
  <c r="BG270" i="103"/>
  <c r="AI270" i="103"/>
  <c r="AY269" i="103"/>
  <c r="BC268" i="103"/>
  <c r="BB268" i="103" s="1"/>
  <c r="AE268" i="103"/>
  <c r="S268" i="103"/>
  <c r="G268" i="103"/>
  <c r="CN267" i="103"/>
  <c r="CB267" i="103"/>
  <c r="BG267" i="103"/>
  <c r="AI267" i="103"/>
  <c r="AY266" i="103"/>
  <c r="AT330" i="103"/>
  <c r="BC329" i="103"/>
  <c r="BG328" i="103"/>
  <c r="Q328" i="103"/>
  <c r="BX326" i="103"/>
  <c r="I324" i="103"/>
  <c r="BN321" i="103"/>
  <c r="AK317" i="103"/>
  <c r="BS316" i="103"/>
  <c r="G314" i="103"/>
  <c r="AI310" i="103"/>
  <c r="AD309" i="103"/>
  <c r="AE308" i="103"/>
  <c r="CE307" i="103"/>
  <c r="AI307" i="103"/>
  <c r="AS306" i="103"/>
  <c r="Q306" i="103"/>
  <c r="CD305" i="103"/>
  <c r="I305" i="103"/>
  <c r="BS304" i="103"/>
  <c r="CA302" i="103"/>
  <c r="BF302" i="103"/>
  <c r="G302" i="103"/>
  <c r="BR301" i="103"/>
  <c r="AX301" i="103"/>
  <c r="BN300" i="103"/>
  <c r="AH300" i="103"/>
  <c r="CA299" i="103"/>
  <c r="AS299" i="103"/>
  <c r="V299" i="103"/>
  <c r="CN298" i="103"/>
  <c r="AX298" i="103"/>
  <c r="BW297" i="103"/>
  <c r="AT297" i="103"/>
  <c r="CA296" i="103"/>
  <c r="AW296" i="103"/>
  <c r="AH296" i="103"/>
  <c r="CE295" i="103"/>
  <c r="BG295" i="103"/>
  <c r="AD295" i="103"/>
  <c r="CA294" i="103"/>
  <c r="BF294" i="103"/>
  <c r="AT294" i="103"/>
  <c r="AH294" i="103"/>
  <c r="V294" i="103"/>
  <c r="CE293" i="103"/>
  <c r="BS293" i="103"/>
  <c r="AX293" i="103"/>
  <c r="N293" i="103"/>
  <c r="BW292" i="103"/>
  <c r="AD292" i="103"/>
  <c r="CA291" i="103"/>
  <c r="BF291" i="103"/>
  <c r="AT291" i="103"/>
  <c r="AH291" i="103"/>
  <c r="V291" i="103"/>
  <c r="CE290" i="103"/>
  <c r="BS290" i="103"/>
  <c r="AX290" i="103"/>
  <c r="N290" i="103"/>
  <c r="BW289" i="103"/>
  <c r="AD289" i="103"/>
  <c r="CA288" i="103"/>
  <c r="BF288" i="103"/>
  <c r="AT288" i="103"/>
  <c r="AH288" i="103"/>
  <c r="V288" i="103"/>
  <c r="CE287" i="103"/>
  <c r="BS287" i="103"/>
  <c r="AX287" i="103"/>
  <c r="N287" i="103"/>
  <c r="BW286" i="103"/>
  <c r="AD286" i="103"/>
  <c r="CA285" i="103"/>
  <c r="BF285" i="103"/>
  <c r="AT285" i="103"/>
  <c r="AH285" i="103"/>
  <c r="V285" i="103"/>
  <c r="CE284" i="103"/>
  <c r="BS284" i="103"/>
  <c r="AX284" i="103"/>
  <c r="N284" i="103"/>
  <c r="AD283" i="103"/>
  <c r="BF282" i="103"/>
  <c r="AT282" i="103"/>
  <c r="AH282" i="103"/>
  <c r="V282" i="103"/>
  <c r="CE281" i="103"/>
  <c r="BS281" i="103"/>
  <c r="AX281" i="103"/>
  <c r="N281" i="103"/>
  <c r="AD280" i="103"/>
  <c r="BF279" i="103"/>
  <c r="AT279" i="103"/>
  <c r="AH279" i="103"/>
  <c r="V279" i="103"/>
  <c r="CE278" i="103"/>
  <c r="BS278" i="103"/>
  <c r="AX278" i="103"/>
  <c r="N278" i="103"/>
  <c r="AD277" i="103"/>
  <c r="BF276" i="103"/>
  <c r="AT276" i="103"/>
  <c r="AH276" i="103"/>
  <c r="V276" i="103"/>
  <c r="CE275" i="103"/>
  <c r="BS275" i="103"/>
  <c r="AX275" i="103"/>
  <c r="N275" i="103"/>
  <c r="AD274" i="103"/>
  <c r="BF273" i="103"/>
  <c r="AT273" i="103"/>
  <c r="AH273" i="103"/>
  <c r="V273" i="103"/>
  <c r="CE272" i="103"/>
  <c r="BS272" i="103"/>
  <c r="AX272" i="103"/>
  <c r="N272" i="103"/>
  <c r="AD271" i="103"/>
  <c r="BF270" i="103"/>
  <c r="AT270" i="103"/>
  <c r="AH270" i="103"/>
  <c r="V270" i="103"/>
  <c r="CE269" i="103"/>
  <c r="BS269" i="103"/>
  <c r="AX269" i="103"/>
  <c r="N269" i="103"/>
  <c r="AD268" i="103"/>
  <c r="BF267" i="103"/>
  <c r="AT267" i="103"/>
  <c r="AH267" i="103"/>
  <c r="V267" i="103"/>
  <c r="CE266" i="103"/>
  <c r="BS266" i="103"/>
  <c r="AX266" i="103"/>
  <c r="AH341" i="103"/>
  <c r="BW339" i="103"/>
  <c r="CA330" i="103"/>
  <c r="AW329" i="103"/>
  <c r="G329" i="103"/>
  <c r="AG327" i="103"/>
  <c r="BR326" i="103"/>
  <c r="CB325" i="103"/>
  <c r="AN325" i="103" s="1"/>
  <c r="S323" i="103"/>
  <c r="CD320" i="103"/>
  <c r="CN319" i="103"/>
  <c r="AY318" i="103"/>
  <c r="AE317" i="103"/>
  <c r="AK311" i="103"/>
  <c r="CN310" i="103"/>
  <c r="BG310" i="103"/>
  <c r="CD308" i="103"/>
  <c r="BC308" i="103"/>
  <c r="CB307" i="103"/>
  <c r="CA305" i="103"/>
  <c r="BF305" i="103"/>
  <c r="G305" i="103"/>
  <c r="BR304" i="103"/>
  <c r="AX304" i="103"/>
  <c r="I303" i="103"/>
  <c r="BZ302" i="103"/>
  <c r="BE302" i="103"/>
  <c r="AK302" i="103"/>
  <c r="AW301" i="103"/>
  <c r="AG300" i="103"/>
  <c r="BZ299" i="103"/>
  <c r="AW298" i="103"/>
  <c r="BV297" i="103"/>
  <c r="AS297" i="103"/>
  <c r="BZ296" i="103"/>
  <c r="AG296" i="103"/>
  <c r="I296" i="103"/>
  <c r="CD295" i="103"/>
  <c r="Q295" i="103"/>
  <c r="BZ294" i="103"/>
  <c r="BN294" i="103"/>
  <c r="BE294" i="103"/>
  <c r="AS294" i="103"/>
  <c r="AG294" i="103"/>
  <c r="I294" i="103"/>
  <c r="CD293" i="103"/>
  <c r="BR293" i="103"/>
  <c r="AW293" i="103"/>
  <c r="AK293" i="103"/>
  <c r="BV292" i="103"/>
  <c r="Q292" i="103"/>
  <c r="BZ291" i="103"/>
  <c r="BN291" i="103"/>
  <c r="BE291" i="103"/>
  <c r="AS291" i="103"/>
  <c r="AG291" i="103"/>
  <c r="I291" i="103"/>
  <c r="CD290" i="103"/>
  <c r="BR290" i="103"/>
  <c r="AW290" i="103"/>
  <c r="AK290" i="103"/>
  <c r="BV289" i="103"/>
  <c r="Q289" i="103"/>
  <c r="BZ288" i="103"/>
  <c r="BN288" i="103"/>
  <c r="BE288" i="103"/>
  <c r="AS288" i="103"/>
  <c r="AG288" i="103"/>
  <c r="I288" i="103"/>
  <c r="CD287" i="103"/>
  <c r="BR287" i="103"/>
  <c r="AW287" i="103"/>
  <c r="AK287" i="103"/>
  <c r="BV286" i="103"/>
  <c r="Q286" i="103"/>
  <c r="BZ285" i="103"/>
  <c r="BN285" i="103"/>
  <c r="BE285" i="103"/>
  <c r="AS285" i="103"/>
  <c r="AG285" i="103"/>
  <c r="I285" i="103"/>
  <c r="CD284" i="103"/>
  <c r="BR284" i="103"/>
  <c r="AW284" i="103"/>
  <c r="AK284" i="103"/>
  <c r="Q283" i="103"/>
  <c r="BE282" i="103"/>
  <c r="AS282" i="103"/>
  <c r="AG282" i="103"/>
  <c r="I282" i="103"/>
  <c r="CD281" i="103"/>
  <c r="AW281" i="103"/>
  <c r="AK281" i="103"/>
  <c r="Q280" i="103"/>
  <c r="BE279" i="103"/>
  <c r="AS279" i="103"/>
  <c r="AG279" i="103"/>
  <c r="I279" i="103"/>
  <c r="CD278" i="103"/>
  <c r="AW278" i="103"/>
  <c r="AK278" i="103"/>
  <c r="Q277" i="103"/>
  <c r="BE276" i="103"/>
  <c r="AS276" i="103"/>
  <c r="AG276" i="103"/>
  <c r="I276" i="103"/>
  <c r="CD275" i="103"/>
  <c r="AW275" i="103"/>
  <c r="AK275" i="103"/>
  <c r="Q274" i="103"/>
  <c r="BE273" i="103"/>
  <c r="AS273" i="103"/>
  <c r="AG273" i="103"/>
  <c r="I273" i="103"/>
  <c r="CD272" i="103"/>
  <c r="AW272" i="103"/>
  <c r="AK272" i="103"/>
  <c r="Q271" i="103"/>
  <c r="BE270" i="103"/>
  <c r="AS270" i="103"/>
  <c r="AG270" i="103"/>
  <c r="I270" i="103"/>
  <c r="CD269" i="103"/>
  <c r="AW269" i="103"/>
  <c r="AK269" i="103"/>
  <c r="Q268" i="103"/>
  <c r="BE267" i="103"/>
  <c r="AS267" i="103"/>
  <c r="AG267" i="103"/>
  <c r="I267" i="103"/>
  <c r="CD266" i="103"/>
  <c r="AW266" i="103"/>
  <c r="AX332" i="103"/>
  <c r="AJ331" i="103"/>
  <c r="BU330" i="103"/>
  <c r="BE327" i="103"/>
  <c r="BV325" i="103"/>
  <c r="AS324" i="103"/>
  <c r="BC323" i="103"/>
  <c r="BG322" i="103"/>
  <c r="Q322" i="103"/>
  <c r="BX320" i="103"/>
  <c r="I318" i="103"/>
  <c r="BE312" i="103"/>
  <c r="AG312" i="103"/>
  <c r="BF311" i="103"/>
  <c r="AH311" i="103"/>
  <c r="BZ309" i="103"/>
  <c r="AY309" i="103"/>
  <c r="CA308" i="103"/>
  <c r="AW308" i="103"/>
  <c r="V308" i="103"/>
  <c r="BV307" i="103"/>
  <c r="AX307" i="103"/>
  <c r="I306" i="103"/>
  <c r="BZ305" i="103"/>
  <c r="BE305" i="103"/>
  <c r="AW304" i="103"/>
  <c r="BX302" i="103"/>
  <c r="AH302" i="103"/>
  <c r="AY300" i="103"/>
  <c r="AD300" i="103"/>
  <c r="BX299" i="103"/>
  <c r="S299" i="103"/>
  <c r="BT297" i="103"/>
  <c r="V297" i="103"/>
  <c r="BX296" i="103"/>
  <c r="AE296" i="103"/>
  <c r="G296" i="103"/>
  <c r="CB295" i="103"/>
  <c r="BC295" i="103"/>
  <c r="P295" i="103"/>
  <c r="BY294" i="103"/>
  <c r="AF294" i="103"/>
  <c r="T294" i="103"/>
  <c r="CC293" i="103"/>
  <c r="BQ293" i="103"/>
  <c r="AJ293" i="103"/>
  <c r="CS292" i="103"/>
  <c r="BU292" i="103"/>
  <c r="AZ292" i="103"/>
  <c r="P292" i="103"/>
  <c r="BY291" i="103"/>
  <c r="AF291" i="103"/>
  <c r="T291" i="103"/>
  <c r="CC290" i="103"/>
  <c r="BQ290" i="103"/>
  <c r="AJ290" i="103"/>
  <c r="CS289" i="103"/>
  <c r="BU289" i="103"/>
  <c r="AZ289" i="103"/>
  <c r="P289" i="103"/>
  <c r="BY288" i="103"/>
  <c r="AF288" i="103"/>
  <c r="T288" i="103"/>
  <c r="CC287" i="103"/>
  <c r="BQ287" i="103"/>
  <c r="AJ287" i="103"/>
  <c r="CS286" i="103"/>
  <c r="BU286" i="103"/>
  <c r="AZ286" i="103"/>
  <c r="P286" i="103"/>
  <c r="BY285" i="103"/>
  <c r="AF285" i="103"/>
  <c r="T285" i="103"/>
  <c r="CC284" i="103"/>
  <c r="BQ284" i="103"/>
  <c r="AJ284" i="103"/>
  <c r="CS283" i="103"/>
  <c r="AZ283" i="103"/>
  <c r="AN283" i="103"/>
  <c r="P283" i="103"/>
  <c r="AF282" i="103"/>
  <c r="T282" i="103"/>
  <c r="CC281" i="103"/>
  <c r="BQ281" i="103"/>
  <c r="AJ281" i="103"/>
  <c r="CS280" i="103"/>
  <c r="AZ280" i="103"/>
  <c r="AN280" i="103"/>
  <c r="P280" i="103"/>
  <c r="AF279" i="103"/>
  <c r="T279" i="103"/>
  <c r="CC278" i="103"/>
  <c r="BQ278" i="103"/>
  <c r="AJ278" i="103"/>
  <c r="CS277" i="103"/>
  <c r="AZ277" i="103"/>
  <c r="AN277" i="103"/>
  <c r="P277" i="103"/>
  <c r="AF276" i="103"/>
  <c r="T276" i="103"/>
  <c r="CC275" i="103"/>
  <c r="BQ275" i="103"/>
  <c r="AJ275" i="103"/>
  <c r="CS274" i="103"/>
  <c r="AZ274" i="103"/>
  <c r="AN274" i="103"/>
  <c r="P274" i="103"/>
  <c r="AF273" i="103"/>
  <c r="T273" i="103"/>
  <c r="CC272" i="103"/>
  <c r="BQ272" i="103"/>
  <c r="AJ272" i="103"/>
  <c r="CS271" i="103"/>
  <c r="AZ271" i="103"/>
  <c r="AN271" i="103"/>
  <c r="P271" i="103"/>
  <c r="AF270" i="103"/>
  <c r="T270" i="103"/>
  <c r="CC269" i="103"/>
  <c r="BQ269" i="103"/>
  <c r="AJ269" i="103"/>
  <c r="CS268" i="103"/>
  <c r="AZ268" i="103"/>
  <c r="AN268" i="103"/>
  <c r="P268" i="103"/>
  <c r="AF267" i="103"/>
  <c r="T267" i="103"/>
  <c r="CC266" i="103"/>
  <c r="BQ266" i="103"/>
  <c r="AJ266" i="103"/>
  <c r="AT338" i="103"/>
  <c r="BW331" i="103"/>
  <c r="AD331" i="103"/>
  <c r="AK326" i="103"/>
  <c r="BZ324" i="103"/>
  <c r="AW323" i="103"/>
  <c r="G323" i="103"/>
  <c r="AG321" i="103"/>
  <c r="BR320" i="103"/>
  <c r="CB319" i="103"/>
  <c r="AN319" i="103" s="1"/>
  <c r="S317" i="103"/>
  <c r="AI313" i="103"/>
  <c r="AD312" i="103"/>
  <c r="AE311" i="103"/>
  <c r="CE310" i="103"/>
  <c r="BW309" i="103"/>
  <c r="BX308" i="103"/>
  <c r="S308" i="103"/>
  <c r="BS307" i="103"/>
  <c r="AW307" i="103"/>
  <c r="BX305" i="103"/>
  <c r="AH305" i="103"/>
  <c r="BR302" i="103"/>
  <c r="BC302" i="103"/>
  <c r="AG302" i="103"/>
  <c r="BS299" i="103"/>
  <c r="BF299" i="103"/>
  <c r="N299" i="103"/>
  <c r="CE298" i="103"/>
  <c r="CN297" i="103"/>
  <c r="BG297" i="103"/>
  <c r="BT296" i="103"/>
  <c r="AT296" i="103"/>
  <c r="BX295" i="103"/>
  <c r="BX294" i="103"/>
  <c r="BC294" i="103"/>
  <c r="AE294" i="103"/>
  <c r="S294" i="103"/>
  <c r="G294" i="103"/>
  <c r="CN293" i="103"/>
  <c r="CB293" i="103"/>
  <c r="BG293" i="103"/>
  <c r="AI293" i="103"/>
  <c r="BT292" i="103"/>
  <c r="AY292" i="103"/>
  <c r="BX291" i="103"/>
  <c r="BC291" i="103"/>
  <c r="AE291" i="103"/>
  <c r="S291" i="103"/>
  <c r="G291" i="103"/>
  <c r="CN290" i="103"/>
  <c r="CB290" i="103"/>
  <c r="BG290" i="103"/>
  <c r="AI290" i="103"/>
  <c r="BT289" i="103"/>
  <c r="AY289" i="103"/>
  <c r="BX288" i="103"/>
  <c r="BC288" i="103"/>
  <c r="AE288" i="103"/>
  <c r="S288" i="103"/>
  <c r="G288" i="103"/>
  <c r="CN287" i="103"/>
  <c r="CB287" i="103"/>
  <c r="BG287" i="103"/>
  <c r="AI287" i="103"/>
  <c r="BT286" i="103"/>
  <c r="AY286" i="103"/>
  <c r="BX285" i="103"/>
  <c r="BC285" i="103"/>
  <c r="AE285" i="103"/>
  <c r="S285" i="103"/>
  <c r="G285" i="103"/>
  <c r="CN284" i="103"/>
  <c r="CB284" i="103"/>
  <c r="BG284" i="103"/>
  <c r="AI284" i="103"/>
  <c r="AY283" i="103"/>
  <c r="BC282" i="103"/>
  <c r="BB282" i="103" s="1"/>
  <c r="AE282" i="103"/>
  <c r="S282" i="103"/>
  <c r="G282" i="103"/>
  <c r="CN281" i="103"/>
  <c r="CB281" i="103"/>
  <c r="BG281" i="103"/>
  <c r="AI281" i="103"/>
  <c r="AY280" i="103"/>
  <c r="BC279" i="103"/>
  <c r="BB279" i="103" s="1"/>
  <c r="AE279" i="103"/>
  <c r="S279" i="103"/>
  <c r="G279" i="103"/>
  <c r="CN278" i="103"/>
  <c r="CB278" i="103"/>
  <c r="BG278" i="103"/>
  <c r="AI278" i="103"/>
  <c r="AY277" i="103"/>
  <c r="BC276" i="103"/>
  <c r="BB276" i="103" s="1"/>
  <c r="AE276" i="103"/>
  <c r="S276" i="103"/>
  <c r="G276" i="103"/>
  <c r="CN275" i="103"/>
  <c r="CB275" i="103"/>
  <c r="BG275" i="103"/>
  <c r="AI275" i="103"/>
  <c r="AY274" i="103"/>
  <c r="BC273" i="103"/>
  <c r="BB273" i="103" s="1"/>
  <c r="AE273" i="103"/>
  <c r="S273" i="103"/>
  <c r="G273" i="103"/>
  <c r="CN272" i="103"/>
  <c r="CB272" i="103"/>
  <c r="BG272" i="103"/>
  <c r="AI272" i="103"/>
  <c r="AY271" i="103"/>
  <c r="BC270" i="103"/>
  <c r="BB270" i="103" s="1"/>
  <c r="AE270" i="103"/>
  <c r="S270" i="103"/>
  <c r="G270" i="103"/>
  <c r="CN269" i="103"/>
  <c r="CB269" i="103"/>
  <c r="BG269" i="103"/>
  <c r="AI269" i="103"/>
  <c r="AY268" i="103"/>
  <c r="BC267" i="103"/>
  <c r="BB267" i="103" s="1"/>
  <c r="AE267" i="103"/>
  <c r="S267" i="103"/>
  <c r="G267" i="103"/>
  <c r="CN266" i="103"/>
  <c r="CB266" i="103"/>
  <c r="BG266" i="103"/>
  <c r="AI266" i="103"/>
  <c r="CD329" i="103"/>
  <c r="CN328" i="103"/>
  <c r="AY327" i="103"/>
  <c r="AE326" i="103"/>
  <c r="AI325" i="103"/>
  <c r="BT324" i="103"/>
  <c r="BE321" i="103"/>
  <c r="BV319" i="103"/>
  <c r="AS318" i="103"/>
  <c r="BC317" i="103"/>
  <c r="AK314" i="103"/>
  <c r="CN313" i="103"/>
  <c r="BG313" i="103"/>
  <c r="CD311" i="103"/>
  <c r="CB310" i="103"/>
  <c r="AX310" i="103"/>
  <c r="Q310" i="103"/>
  <c r="BT309" i="103"/>
  <c r="BR308" i="103"/>
  <c r="BR305" i="103"/>
  <c r="BC305" i="103"/>
  <c r="AG305" i="103"/>
  <c r="Q304" i="103"/>
  <c r="BZ303" i="103"/>
  <c r="BE303" i="103"/>
  <c r="AW302" i="103"/>
  <c r="AE302" i="103"/>
  <c r="Q301" i="103"/>
  <c r="BR299" i="103"/>
  <c r="BE299" i="103"/>
  <c r="CD298" i="103"/>
  <c r="BF297" i="103"/>
  <c r="BS296" i="103"/>
  <c r="AS296" i="103"/>
  <c r="BW295" i="103"/>
  <c r="N295" i="103"/>
  <c r="BW294" i="103"/>
  <c r="AD294" i="103"/>
  <c r="CA293" i="103"/>
  <c r="BF293" i="103"/>
  <c r="AT293" i="103"/>
  <c r="AH293" i="103"/>
  <c r="V293" i="103"/>
  <c r="CE292" i="103"/>
  <c r="BS292" i="103"/>
  <c r="AX292" i="103"/>
  <c r="N292" i="103"/>
  <c r="BW291" i="103"/>
  <c r="AD291" i="103"/>
  <c r="CA290" i="103"/>
  <c r="BF290" i="103"/>
  <c r="AT290" i="103"/>
  <c r="AH290" i="103"/>
  <c r="V290" i="103"/>
  <c r="CE289" i="103"/>
  <c r="BS289" i="103"/>
  <c r="AX289" i="103"/>
  <c r="N289" i="103"/>
  <c r="BW288" i="103"/>
  <c r="AD288" i="103"/>
  <c r="CA287" i="103"/>
  <c r="BF287" i="103"/>
  <c r="AT287" i="103"/>
  <c r="AH287" i="103"/>
  <c r="V287" i="103"/>
  <c r="CE286" i="103"/>
  <c r="BS286" i="103"/>
  <c r="AX286" i="103"/>
  <c r="N286" i="103"/>
  <c r="BW285" i="103"/>
  <c r="AD285" i="103"/>
  <c r="CA284" i="103"/>
  <c r="BF284" i="103"/>
  <c r="AT284" i="103"/>
  <c r="AH284" i="103"/>
  <c r="V284" i="103"/>
  <c r="CE283" i="103"/>
  <c r="BS283" i="103"/>
  <c r="AX283" i="103"/>
  <c r="N283" i="103"/>
  <c r="AD282" i="103"/>
  <c r="BF281" i="103"/>
  <c r="AT281" i="103"/>
  <c r="AH281" i="103"/>
  <c r="V281" i="103"/>
  <c r="CE280" i="103"/>
  <c r="BS280" i="103"/>
  <c r="AX280" i="103"/>
  <c r="N280" i="103"/>
  <c r="AD279" i="103"/>
  <c r="BF278" i="103"/>
  <c r="AT278" i="103"/>
  <c r="AH278" i="103"/>
  <c r="V278" i="103"/>
  <c r="CE277" i="103"/>
  <c r="BS277" i="103"/>
  <c r="AX277" i="103"/>
  <c r="N277" i="103"/>
  <c r="AD276" i="103"/>
  <c r="BF275" i="103"/>
  <c r="AT275" i="103"/>
  <c r="AH275" i="103"/>
  <c r="V275" i="103"/>
  <c r="CE274" i="103"/>
  <c r="BS274" i="103"/>
  <c r="AX274" i="103"/>
  <c r="N274" i="103"/>
  <c r="AD273" i="103"/>
  <c r="BF272" i="103"/>
  <c r="AT272" i="103"/>
  <c r="AH272" i="103"/>
  <c r="V272" i="103"/>
  <c r="CE271" i="103"/>
  <c r="BS271" i="103"/>
  <c r="AX271" i="103"/>
  <c r="N271" i="103"/>
  <c r="AD270" i="103"/>
  <c r="BF269" i="103"/>
  <c r="AT269" i="103"/>
  <c r="AH269" i="103"/>
  <c r="V269" i="103"/>
  <c r="CE268" i="103"/>
  <c r="BS268" i="103"/>
  <c r="AX268" i="103"/>
  <c r="N268" i="103"/>
  <c r="AD267" i="103"/>
  <c r="BF266" i="103"/>
  <c r="AT266" i="103"/>
  <c r="CA341" i="103"/>
  <c r="CE313" i="103"/>
  <c r="BW306" i="103"/>
  <c r="AE305" i="103"/>
  <c r="CB298" i="103"/>
  <c r="N298" i="103"/>
  <c r="BN290" i="103"/>
  <c r="CC289" i="103"/>
  <c r="BN284" i="103"/>
  <c r="CC283" i="103"/>
  <c r="CC277" i="103"/>
  <c r="CC271" i="103"/>
  <c r="P266" i="103"/>
  <c r="AF265" i="103"/>
  <c r="T265" i="103"/>
  <c r="CC264" i="103"/>
  <c r="BQ264" i="103"/>
  <c r="AJ264" i="103"/>
  <c r="CS263" i="103"/>
  <c r="AZ263" i="103"/>
  <c r="AN263" i="103"/>
  <c r="P263" i="103"/>
  <c r="AF262" i="103"/>
  <c r="T262" i="103"/>
  <c r="CC261" i="103"/>
  <c r="BQ261" i="103"/>
  <c r="AJ261" i="103"/>
  <c r="AY260" i="103"/>
  <c r="BC259" i="103"/>
  <c r="BB259" i="103" s="1"/>
  <c r="AE259" i="103"/>
  <c r="S259" i="103"/>
  <c r="G259" i="103"/>
  <c r="CN258" i="103"/>
  <c r="CB258" i="103"/>
  <c r="BG258" i="103"/>
  <c r="AI258" i="103"/>
  <c r="AY257" i="103"/>
  <c r="AD256" i="103"/>
  <c r="BF255" i="103"/>
  <c r="AT255" i="103"/>
  <c r="AH255" i="103"/>
  <c r="V255" i="103"/>
  <c r="CE254" i="103"/>
  <c r="BS254" i="103"/>
  <c r="AX254" i="103"/>
  <c r="N254" i="103"/>
  <c r="BW253" i="103"/>
  <c r="AD253" i="103"/>
  <c r="CA252" i="103"/>
  <c r="BF252" i="103"/>
  <c r="AT252" i="103"/>
  <c r="AH252" i="103"/>
  <c r="V252" i="103"/>
  <c r="CE251" i="103"/>
  <c r="BS251" i="103"/>
  <c r="AX251" i="103"/>
  <c r="N251" i="103"/>
  <c r="BW250" i="103"/>
  <c r="AD250" i="103"/>
  <c r="CA249" i="103"/>
  <c r="BF249" i="103"/>
  <c r="AT249" i="103"/>
  <c r="AH249" i="103"/>
  <c r="V249" i="103"/>
  <c r="CE248" i="103"/>
  <c r="BS248" i="103"/>
  <c r="AX248" i="103"/>
  <c r="N248" i="103"/>
  <c r="BW247" i="103"/>
  <c r="AD247" i="103"/>
  <c r="CA246" i="103"/>
  <c r="BF246" i="103"/>
  <c r="AT246" i="103"/>
  <c r="AH246" i="103"/>
  <c r="V246" i="103"/>
  <c r="CE245" i="103"/>
  <c r="BS245" i="103"/>
  <c r="AX245" i="103"/>
  <c r="N245" i="103"/>
  <c r="BW244" i="103"/>
  <c r="AD244" i="103"/>
  <c r="CA243" i="103"/>
  <c r="BF243" i="103"/>
  <c r="AT243" i="103"/>
  <c r="AH243" i="103"/>
  <c r="V243" i="103"/>
  <c r="CE242" i="103"/>
  <c r="BS242" i="103"/>
  <c r="AX242" i="103"/>
  <c r="N242" i="103"/>
  <c r="BW241" i="103"/>
  <c r="AD241" i="103"/>
  <c r="CA240" i="103"/>
  <c r="BF240" i="103"/>
  <c r="AT240" i="103"/>
  <c r="AH240" i="103"/>
  <c r="V240" i="103"/>
  <c r="CE239" i="103"/>
  <c r="BS239" i="103"/>
  <c r="AX239" i="103"/>
  <c r="N239" i="103"/>
  <c r="BW238" i="103"/>
  <c r="AD238" i="103"/>
  <c r="CA237" i="103"/>
  <c r="BF237" i="103"/>
  <c r="AT237" i="103"/>
  <c r="AH237" i="103"/>
  <c r="V237" i="103"/>
  <c r="CE236" i="103"/>
  <c r="BS236" i="103"/>
  <c r="AX236" i="103"/>
  <c r="N236" i="103"/>
  <c r="BW235" i="103"/>
  <c r="AD235" i="103"/>
  <c r="CA234" i="103"/>
  <c r="BF234" i="103"/>
  <c r="AT234" i="103"/>
  <c r="AH234" i="103"/>
  <c r="V234" i="103"/>
  <c r="CE233" i="103"/>
  <c r="BS233" i="103"/>
  <c r="BZ312" i="103"/>
  <c r="V311" i="103"/>
  <c r="AT308" i="103"/>
  <c r="BE306" i="103"/>
  <c r="BW298" i="103"/>
  <c r="BF296" i="103"/>
  <c r="AG290" i="103"/>
  <c r="BR289" i="103"/>
  <c r="AG284" i="103"/>
  <c r="AG278" i="103"/>
  <c r="AG272" i="103"/>
  <c r="BC265" i="103"/>
  <c r="BB265" i="103" s="1"/>
  <c r="AE265" i="103"/>
  <c r="S265" i="103"/>
  <c r="G265" i="103"/>
  <c r="CN264" i="103"/>
  <c r="CB264" i="103"/>
  <c r="BG264" i="103"/>
  <c r="AI264" i="103"/>
  <c r="AY263" i="103"/>
  <c r="BC262" i="103"/>
  <c r="BB262" i="103" s="1"/>
  <c r="AE262" i="103"/>
  <c r="S262" i="103"/>
  <c r="G262" i="103"/>
  <c r="CN261" i="103"/>
  <c r="CB261" i="103"/>
  <c r="BG261" i="103"/>
  <c r="AI261" i="103"/>
  <c r="CE260" i="103"/>
  <c r="BS260" i="103"/>
  <c r="AX260" i="103"/>
  <c r="N260" i="103"/>
  <c r="AD259" i="103"/>
  <c r="BF258" i="103"/>
  <c r="AT258" i="103"/>
  <c r="AH258" i="103"/>
  <c r="V258" i="103"/>
  <c r="CE257" i="103"/>
  <c r="BS257" i="103"/>
  <c r="AX257" i="103"/>
  <c r="N257" i="103"/>
  <c r="Q256" i="103"/>
  <c r="BE255" i="103"/>
  <c r="AS255" i="103"/>
  <c r="AG255" i="103"/>
  <c r="I255" i="103"/>
  <c r="CD254" i="103"/>
  <c r="AW254" i="103"/>
  <c r="AK254" i="103"/>
  <c r="BV253" i="103"/>
  <c r="Q253" i="103"/>
  <c r="BZ252" i="103"/>
  <c r="BE252" i="103"/>
  <c r="AS252" i="103"/>
  <c r="AG252" i="103"/>
  <c r="I252" i="103"/>
  <c r="CD251" i="103"/>
  <c r="AW251" i="103"/>
  <c r="AK251" i="103"/>
  <c r="BV250" i="103"/>
  <c r="Q250" i="103"/>
  <c r="BZ249" i="103"/>
  <c r="BE249" i="103"/>
  <c r="AS249" i="103"/>
  <c r="AG249" i="103"/>
  <c r="I249" i="103"/>
  <c r="CD248" i="103"/>
  <c r="AW248" i="103"/>
  <c r="AK248" i="103"/>
  <c r="BV247" i="103"/>
  <c r="Q247" i="103"/>
  <c r="BZ246" i="103"/>
  <c r="BE246" i="103"/>
  <c r="AS246" i="103"/>
  <c r="AG246" i="103"/>
  <c r="I246" i="103"/>
  <c r="CD245" i="103"/>
  <c r="AW245" i="103"/>
  <c r="AK245" i="103"/>
  <c r="BV244" i="103"/>
  <c r="Q244" i="103"/>
  <c r="BZ243" i="103"/>
  <c r="BE243" i="103"/>
  <c r="AS243" i="103"/>
  <c r="AG243" i="103"/>
  <c r="I243" i="103"/>
  <c r="CD242" i="103"/>
  <c r="AW242" i="103"/>
  <c r="AK242" i="103"/>
  <c r="BV241" i="103"/>
  <c r="Q241" i="103"/>
  <c r="BZ240" i="103"/>
  <c r="BE240" i="103"/>
  <c r="AS240" i="103"/>
  <c r="AG240" i="103"/>
  <c r="I240" i="103"/>
  <c r="CD239" i="103"/>
  <c r="AW239" i="103"/>
  <c r="AK239" i="103"/>
  <c r="BV238" i="103"/>
  <c r="Q238" i="103"/>
  <c r="BZ237" i="103"/>
  <c r="BE237" i="103"/>
  <c r="AS237" i="103"/>
  <c r="AG237" i="103"/>
  <c r="I237" i="103"/>
  <c r="CD236" i="103"/>
  <c r="AW236" i="103"/>
  <c r="AK236" i="103"/>
  <c r="BV235" i="103"/>
  <c r="Q235" i="103"/>
  <c r="BZ234" i="103"/>
  <c r="BE234" i="103"/>
  <c r="AS234" i="103"/>
  <c r="AG234" i="103"/>
  <c r="I234" i="103"/>
  <c r="CD233" i="103"/>
  <c r="BW312" i="103"/>
  <c r="S311" i="103"/>
  <c r="N310" i="103"/>
  <c r="CA300" i="103"/>
  <c r="V300" i="103"/>
  <c r="BV295" i="103"/>
  <c r="BV294" i="103"/>
  <c r="AS293" i="103"/>
  <c r="AW292" i="103"/>
  <c r="Q291" i="103"/>
  <c r="AF290" i="103"/>
  <c r="BQ289" i="103"/>
  <c r="BV288" i="103"/>
  <c r="AS287" i="103"/>
  <c r="AW286" i="103"/>
  <c r="Q285" i="103"/>
  <c r="AF284" i="103"/>
  <c r="BQ283" i="103"/>
  <c r="AS281" i="103"/>
  <c r="AW280" i="103"/>
  <c r="Q279" i="103"/>
  <c r="AF278" i="103"/>
  <c r="BQ277" i="103"/>
  <c r="AS275" i="103"/>
  <c r="AW274" i="103"/>
  <c r="Q273" i="103"/>
  <c r="AF272" i="103"/>
  <c r="BQ271" i="103"/>
  <c r="AS269" i="103"/>
  <c r="AW268" i="103"/>
  <c r="Q267" i="103"/>
  <c r="N266" i="103"/>
  <c r="AD265" i="103"/>
  <c r="BF264" i="103"/>
  <c r="AT264" i="103"/>
  <c r="AH264" i="103"/>
  <c r="V264" i="103"/>
  <c r="CE263" i="103"/>
  <c r="BS263" i="103"/>
  <c r="AX263" i="103"/>
  <c r="N263" i="103"/>
  <c r="AD262" i="103"/>
  <c r="BF261" i="103"/>
  <c r="AT261" i="103"/>
  <c r="AH261" i="103"/>
  <c r="V261" i="103"/>
  <c r="CD260" i="103"/>
  <c r="AW260" i="103"/>
  <c r="AK260" i="103"/>
  <c r="Q259" i="103"/>
  <c r="BE258" i="103"/>
  <c r="AS258" i="103"/>
  <c r="AG258" i="103"/>
  <c r="I258" i="103"/>
  <c r="CD257" i="103"/>
  <c r="AW257" i="103"/>
  <c r="AK257" i="103"/>
  <c r="CS256" i="103"/>
  <c r="AZ256" i="103"/>
  <c r="AN256" i="103"/>
  <c r="P256" i="103"/>
  <c r="AF255" i="103"/>
  <c r="T255" i="103"/>
  <c r="CC254" i="103"/>
  <c r="BQ254" i="103"/>
  <c r="AJ254" i="103"/>
  <c r="CS253" i="103"/>
  <c r="BU253" i="103"/>
  <c r="AZ253" i="103"/>
  <c r="P253" i="103"/>
  <c r="BY252" i="103"/>
  <c r="AF252" i="103"/>
  <c r="T252" i="103"/>
  <c r="CC251" i="103"/>
  <c r="BQ251" i="103"/>
  <c r="AJ251" i="103"/>
  <c r="CS250" i="103"/>
  <c r="BU250" i="103"/>
  <c r="AZ250" i="103"/>
  <c r="P250" i="103"/>
  <c r="BY249" i="103"/>
  <c r="AF249" i="103"/>
  <c r="T249" i="103"/>
  <c r="CC248" i="103"/>
  <c r="BQ248" i="103"/>
  <c r="AJ248" i="103"/>
  <c r="CS247" i="103"/>
  <c r="BU247" i="103"/>
  <c r="AZ247" i="103"/>
  <c r="P247" i="103"/>
  <c r="BY246" i="103"/>
  <c r="AF246" i="103"/>
  <c r="T246" i="103"/>
  <c r="CC245" i="103"/>
  <c r="BQ245" i="103"/>
  <c r="AJ245" i="103"/>
  <c r="CS244" i="103"/>
  <c r="BU244" i="103"/>
  <c r="AZ244" i="103"/>
  <c r="P244" i="103"/>
  <c r="BY243" i="103"/>
  <c r="AF243" i="103"/>
  <c r="T243" i="103"/>
  <c r="CC242" i="103"/>
  <c r="BQ242" i="103"/>
  <c r="AJ242" i="103"/>
  <c r="CS241" i="103"/>
  <c r="BU241" i="103"/>
  <c r="AZ241" i="103"/>
  <c r="P241" i="103"/>
  <c r="BY240" i="103"/>
  <c r="AF240" i="103"/>
  <c r="T240" i="103"/>
  <c r="CC239" i="103"/>
  <c r="BQ239" i="103"/>
  <c r="AJ239" i="103"/>
  <c r="CS238" i="103"/>
  <c r="BU238" i="103"/>
  <c r="AZ238" i="103"/>
  <c r="P238" i="103"/>
  <c r="BY237" i="103"/>
  <c r="AF237" i="103"/>
  <c r="T237" i="103"/>
  <c r="CC236" i="103"/>
  <c r="BQ236" i="103"/>
  <c r="AJ236" i="103"/>
  <c r="AK320" i="103"/>
  <c r="G317" i="103"/>
  <c r="CA311" i="103"/>
  <c r="BN305" i="103"/>
  <c r="N304" i="103"/>
  <c r="BS295" i="103"/>
  <c r="AK295" i="103"/>
  <c r="BU294" i="103"/>
  <c r="P291" i="103"/>
  <c r="AK289" i="103"/>
  <c r="BU288" i="103"/>
  <c r="P285" i="103"/>
  <c r="AK283" i="103"/>
  <c r="P279" i="103"/>
  <c r="AK277" i="103"/>
  <c r="P273" i="103"/>
  <c r="AK271" i="103"/>
  <c r="P267" i="103"/>
  <c r="AN266" i="103"/>
  <c r="Q265" i="103"/>
  <c r="BE264" i="103"/>
  <c r="AS264" i="103"/>
  <c r="AG264" i="103"/>
  <c r="I264" i="103"/>
  <c r="CD263" i="103"/>
  <c r="AW263" i="103"/>
  <c r="AK263" i="103"/>
  <c r="Q262" i="103"/>
  <c r="BE261" i="103"/>
  <c r="AS261" i="103"/>
  <c r="AG261" i="103"/>
  <c r="I261" i="103"/>
  <c r="CC260" i="103"/>
  <c r="BQ260" i="103"/>
  <c r="AJ260" i="103"/>
  <c r="CS259" i="103"/>
  <c r="AZ259" i="103"/>
  <c r="AN259" i="103"/>
  <c r="P259" i="103"/>
  <c r="AF258" i="103"/>
  <c r="T258" i="103"/>
  <c r="CC257" i="103"/>
  <c r="BQ257" i="103"/>
  <c r="AJ257" i="103"/>
  <c r="AY256" i="103"/>
  <c r="BC255" i="103"/>
  <c r="BB255" i="103" s="1"/>
  <c r="AE255" i="103"/>
  <c r="S255" i="103"/>
  <c r="G255" i="103"/>
  <c r="CN254" i="103"/>
  <c r="CB254" i="103"/>
  <c r="BG254" i="103"/>
  <c r="AI254" i="103"/>
  <c r="BT253" i="103"/>
  <c r="AY253" i="103"/>
  <c r="BX252" i="103"/>
  <c r="BC252" i="103"/>
  <c r="AE252" i="103"/>
  <c r="S252" i="103"/>
  <c r="G252" i="103"/>
  <c r="CN251" i="103"/>
  <c r="CB251" i="103"/>
  <c r="AN251" i="103" s="1"/>
  <c r="BG251" i="103"/>
  <c r="AI251" i="103"/>
  <c r="BT250" i="103"/>
  <c r="AY250" i="103"/>
  <c r="BX249" i="103"/>
  <c r="BC249" i="103"/>
  <c r="AE249" i="103"/>
  <c r="S249" i="103"/>
  <c r="G249" i="103"/>
  <c r="CN248" i="103"/>
  <c r="CB248" i="103"/>
  <c r="AN248" i="103" s="1"/>
  <c r="BG248" i="103"/>
  <c r="AI248" i="103"/>
  <c r="BT247" i="103"/>
  <c r="AY247" i="103"/>
  <c r="BX246" i="103"/>
  <c r="BC246" i="103"/>
  <c r="AE246" i="103"/>
  <c r="S246" i="103"/>
  <c r="G246" i="103"/>
  <c r="CN245" i="103"/>
  <c r="CB245" i="103"/>
  <c r="AN245" i="103" s="1"/>
  <c r="BG245" i="103"/>
  <c r="AI245" i="103"/>
  <c r="BT244" i="103"/>
  <c r="AY244" i="103"/>
  <c r="BX243" i="103"/>
  <c r="BC243" i="103"/>
  <c r="AE243" i="103"/>
  <c r="S243" i="103"/>
  <c r="G243" i="103"/>
  <c r="CN242" i="103"/>
  <c r="CB242" i="103"/>
  <c r="AN242" i="103" s="1"/>
  <c r="BG242" i="103"/>
  <c r="AI242" i="103"/>
  <c r="BT241" i="103"/>
  <c r="AY241" i="103"/>
  <c r="BX240" i="103"/>
  <c r="BC240" i="103"/>
  <c r="AE240" i="103"/>
  <c r="S240" i="103"/>
  <c r="G240" i="103"/>
  <c r="CN239" i="103"/>
  <c r="CB239" i="103"/>
  <c r="AN239" i="103" s="1"/>
  <c r="BG239" i="103"/>
  <c r="AI239" i="103"/>
  <c r="BT238" i="103"/>
  <c r="AY238" i="103"/>
  <c r="BX237" i="103"/>
  <c r="BC237" i="103"/>
  <c r="AE237" i="103"/>
  <c r="S237" i="103"/>
  <c r="G237" i="103"/>
  <c r="CN236" i="103"/>
  <c r="CB236" i="103"/>
  <c r="AN236" i="103" s="1"/>
  <c r="BG236" i="103"/>
  <c r="AI236" i="103"/>
  <c r="BT235" i="103"/>
  <c r="AY235" i="103"/>
  <c r="BX234" i="103"/>
  <c r="BC234" i="103"/>
  <c r="AE234" i="103"/>
  <c r="S234" i="103"/>
  <c r="G234" i="103"/>
  <c r="CN233" i="103"/>
  <c r="CB233" i="103"/>
  <c r="AN233" i="103" s="1"/>
  <c r="BG233" i="103"/>
  <c r="AE320" i="103"/>
  <c r="AI319" i="103"/>
  <c r="AI316" i="103"/>
  <c r="AY312" i="103"/>
  <c r="BX311" i="103"/>
  <c r="I309" i="103"/>
  <c r="Q297" i="103"/>
  <c r="AJ295" i="103"/>
  <c r="BZ293" i="103"/>
  <c r="AZ291" i="103"/>
  <c r="BE290" i="103"/>
  <c r="T290" i="103"/>
  <c r="AJ289" i="103"/>
  <c r="BZ287" i="103"/>
  <c r="AZ285" i="103"/>
  <c r="BE284" i="103"/>
  <c r="T284" i="103"/>
  <c r="AJ283" i="103"/>
  <c r="AZ279" i="103"/>
  <c r="BE278" i="103"/>
  <c r="T278" i="103"/>
  <c r="AJ277" i="103"/>
  <c r="AZ273" i="103"/>
  <c r="BE272" i="103"/>
  <c r="T272" i="103"/>
  <c r="AJ271" i="103"/>
  <c r="AZ267" i="103"/>
  <c r="CS265" i="103"/>
  <c r="AZ265" i="103"/>
  <c r="AN265" i="103"/>
  <c r="P265" i="103"/>
  <c r="AF264" i="103"/>
  <c r="T264" i="103"/>
  <c r="CC263" i="103"/>
  <c r="BQ263" i="103"/>
  <c r="AJ263" i="103"/>
  <c r="CS262" i="103"/>
  <c r="AZ262" i="103"/>
  <c r="AN262" i="103"/>
  <c r="P262" i="103"/>
  <c r="AF261" i="103"/>
  <c r="T261" i="103"/>
  <c r="CN260" i="103"/>
  <c r="CB260" i="103"/>
  <c r="BG260" i="103"/>
  <c r="AI260" i="103"/>
  <c r="AY259" i="103"/>
  <c r="BC258" i="103"/>
  <c r="BB258" i="103" s="1"/>
  <c r="AE258" i="103"/>
  <c r="S258" i="103"/>
  <c r="G258" i="103"/>
  <c r="CN257" i="103"/>
  <c r="CB257" i="103"/>
  <c r="BG257" i="103"/>
  <c r="AI257" i="103"/>
  <c r="CE256" i="103"/>
  <c r="BS256" i="103"/>
  <c r="AX256" i="103"/>
  <c r="N256" i="103"/>
  <c r="AD255" i="103"/>
  <c r="BF254" i="103"/>
  <c r="AT254" i="103"/>
  <c r="AH254" i="103"/>
  <c r="V254" i="103"/>
  <c r="CE253" i="103"/>
  <c r="BS253" i="103"/>
  <c r="AX253" i="103"/>
  <c r="N253" i="103"/>
  <c r="BW252" i="103"/>
  <c r="AD252" i="103"/>
  <c r="CA251" i="103"/>
  <c r="BF251" i="103"/>
  <c r="AT251" i="103"/>
  <c r="AH251" i="103"/>
  <c r="V251" i="103"/>
  <c r="CE250" i="103"/>
  <c r="BS250" i="103"/>
  <c r="AX250" i="103"/>
  <c r="N250" i="103"/>
  <c r="BW249" i="103"/>
  <c r="AD249" i="103"/>
  <c r="CA248" i="103"/>
  <c r="BF248" i="103"/>
  <c r="AT248" i="103"/>
  <c r="AH248" i="103"/>
  <c r="V248" i="103"/>
  <c r="CE247" i="103"/>
  <c r="BS247" i="103"/>
  <c r="AX247" i="103"/>
  <c r="N247" i="103"/>
  <c r="BW246" i="103"/>
  <c r="AD246" i="103"/>
  <c r="CA245" i="103"/>
  <c r="BF245" i="103"/>
  <c r="AT245" i="103"/>
  <c r="AH245" i="103"/>
  <c r="V245" i="103"/>
  <c r="CE244" i="103"/>
  <c r="BS244" i="103"/>
  <c r="AX244" i="103"/>
  <c r="N244" i="103"/>
  <c r="BW243" i="103"/>
  <c r="AD243" i="103"/>
  <c r="CA242" i="103"/>
  <c r="BF242" i="103"/>
  <c r="AT242" i="103"/>
  <c r="AH242" i="103"/>
  <c r="V242" i="103"/>
  <c r="CE241" i="103"/>
  <c r="BS241" i="103"/>
  <c r="AX241" i="103"/>
  <c r="N241" i="103"/>
  <c r="BW240" i="103"/>
  <c r="AD240" i="103"/>
  <c r="CA239" i="103"/>
  <c r="BF239" i="103"/>
  <c r="AT239" i="103"/>
  <c r="AH239" i="103"/>
  <c r="V239" i="103"/>
  <c r="CE238" i="103"/>
  <c r="BS238" i="103"/>
  <c r="AX238" i="103"/>
  <c r="N238" i="103"/>
  <c r="BW237" i="103"/>
  <c r="AD237" i="103"/>
  <c r="CA236" i="103"/>
  <c r="BF236" i="103"/>
  <c r="AT236" i="103"/>
  <c r="AH236" i="103"/>
  <c r="V236" i="103"/>
  <c r="CE235" i="103"/>
  <c r="BS235" i="103"/>
  <c r="AX235" i="103"/>
  <c r="N235" i="103"/>
  <c r="BW234" i="103"/>
  <c r="AD234" i="103"/>
  <c r="CA233" i="103"/>
  <c r="I327" i="103"/>
  <c r="AG315" i="103"/>
  <c r="BV310" i="103"/>
  <c r="AW305" i="103"/>
  <c r="CN304" i="103"/>
  <c r="AG303" i="103"/>
  <c r="BN297" i="103"/>
  <c r="BY293" i="103"/>
  <c r="CD292" i="103"/>
  <c r="CS291" i="103"/>
  <c r="I290" i="103"/>
  <c r="BY287" i="103"/>
  <c r="CD286" i="103"/>
  <c r="CS285" i="103"/>
  <c r="I284" i="103"/>
  <c r="AN282" i="103"/>
  <c r="CD280" i="103"/>
  <c r="CS279" i="103"/>
  <c r="I278" i="103"/>
  <c r="AN276" i="103"/>
  <c r="CD274" i="103"/>
  <c r="CS273" i="103"/>
  <c r="I272" i="103"/>
  <c r="AN270" i="103"/>
  <c r="CD268" i="103"/>
  <c r="CS267" i="103"/>
  <c r="BE266" i="103"/>
  <c r="AY265" i="103"/>
  <c r="BC264" i="103"/>
  <c r="BB264" i="103" s="1"/>
  <c r="AE264" i="103"/>
  <c r="S264" i="103"/>
  <c r="G264" i="103"/>
  <c r="CN263" i="103"/>
  <c r="CB263" i="103"/>
  <c r="BG263" i="103"/>
  <c r="AI263" i="103"/>
  <c r="AY262" i="103"/>
  <c r="BC261" i="103"/>
  <c r="BB261" i="103" s="1"/>
  <c r="AE261" i="103"/>
  <c r="S261" i="103"/>
  <c r="G261" i="103"/>
  <c r="BF260" i="103"/>
  <c r="AT260" i="103"/>
  <c r="AH260" i="103"/>
  <c r="V260" i="103"/>
  <c r="CE259" i="103"/>
  <c r="BS259" i="103"/>
  <c r="AX259" i="103"/>
  <c r="N259" i="103"/>
  <c r="AD258" i="103"/>
  <c r="BF257" i="103"/>
  <c r="AT257" i="103"/>
  <c r="AH257" i="103"/>
  <c r="V257" i="103"/>
  <c r="I257" i="103"/>
  <c r="CD256" i="103"/>
  <c r="AW256" i="103"/>
  <c r="AK256" i="103"/>
  <c r="Q255" i="103"/>
  <c r="BE254" i="103"/>
  <c r="AS254" i="103"/>
  <c r="AG254" i="103"/>
  <c r="I254" i="103"/>
  <c r="CD253" i="103"/>
  <c r="AW253" i="103"/>
  <c r="AK253" i="103"/>
  <c r="BV252" i="103"/>
  <c r="Q252" i="103"/>
  <c r="BZ251" i="103"/>
  <c r="BE251" i="103"/>
  <c r="AS251" i="103"/>
  <c r="AG251" i="103"/>
  <c r="I251" i="103"/>
  <c r="CD250" i="103"/>
  <c r="AW250" i="103"/>
  <c r="AK250" i="103"/>
  <c r="BV249" i="103"/>
  <c r="Q249" i="103"/>
  <c r="BZ248" i="103"/>
  <c r="BE248" i="103"/>
  <c r="AS248" i="103"/>
  <c r="AG248" i="103"/>
  <c r="I248" i="103"/>
  <c r="CD247" i="103"/>
  <c r="AW247" i="103"/>
  <c r="AK247" i="103"/>
  <c r="BV246" i="103"/>
  <c r="Q246" i="103"/>
  <c r="BZ245" i="103"/>
  <c r="BE245" i="103"/>
  <c r="AS245" i="103"/>
  <c r="AG245" i="103"/>
  <c r="I245" i="103"/>
  <c r="CD244" i="103"/>
  <c r="AW244" i="103"/>
  <c r="AK244" i="103"/>
  <c r="BV243" i="103"/>
  <c r="Q243" i="103"/>
  <c r="BZ242" i="103"/>
  <c r="BE242" i="103"/>
  <c r="AS242" i="103"/>
  <c r="AG242" i="103"/>
  <c r="I242" i="103"/>
  <c r="CD241" i="103"/>
  <c r="AW241" i="103"/>
  <c r="AK241" i="103"/>
  <c r="BV240" i="103"/>
  <c r="Q240" i="103"/>
  <c r="BZ239" i="103"/>
  <c r="BE239" i="103"/>
  <c r="AS239" i="103"/>
  <c r="AG239" i="103"/>
  <c r="I239" i="103"/>
  <c r="CD238" i="103"/>
  <c r="AW238" i="103"/>
  <c r="AK238" i="103"/>
  <c r="BV237" i="103"/>
  <c r="Q237" i="103"/>
  <c r="BZ236" i="103"/>
  <c r="BE236" i="103"/>
  <c r="AS236" i="103"/>
  <c r="AG236" i="103"/>
  <c r="I236" i="103"/>
  <c r="CD235" i="103"/>
  <c r="AW235" i="103"/>
  <c r="AK235" i="103"/>
  <c r="BV234" i="103"/>
  <c r="Q234" i="103"/>
  <c r="BZ233" i="103"/>
  <c r="S326" i="103"/>
  <c r="AD315" i="103"/>
  <c r="AW311" i="103"/>
  <c r="BS310" i="103"/>
  <c r="BN309" i="103"/>
  <c r="AD303" i="103"/>
  <c r="BN293" i="103"/>
  <c r="CC292" i="103"/>
  <c r="BN287" i="103"/>
  <c r="CC286" i="103"/>
  <c r="CC280" i="103"/>
  <c r="CC274" i="103"/>
  <c r="CC268" i="103"/>
  <c r="AK266" i="103"/>
  <c r="V266" i="103"/>
  <c r="CE265" i="103"/>
  <c r="BS265" i="103"/>
  <c r="AX265" i="103"/>
  <c r="N265" i="103"/>
  <c r="AD264" i="103"/>
  <c r="BF263" i="103"/>
  <c r="AT263" i="103"/>
  <c r="AH263" i="103"/>
  <c r="V263" i="103"/>
  <c r="CE262" i="103"/>
  <c r="BS262" i="103"/>
  <c r="AX262" i="103"/>
  <c r="N262" i="103"/>
  <c r="AD261" i="103"/>
  <c r="BE260" i="103"/>
  <c r="AS260" i="103"/>
  <c r="AG260" i="103"/>
  <c r="I260" i="103"/>
  <c r="CD259" i="103"/>
  <c r="AW259" i="103"/>
  <c r="AK259" i="103"/>
  <c r="Q258" i="103"/>
  <c r="BE257" i="103"/>
  <c r="AS257" i="103"/>
  <c r="AG257" i="103"/>
  <c r="CC256" i="103"/>
  <c r="BQ256" i="103"/>
  <c r="AJ256" i="103"/>
  <c r="CS255" i="103"/>
  <c r="AZ255" i="103"/>
  <c r="AN255" i="103"/>
  <c r="P255" i="103"/>
  <c r="AF254" i="103"/>
  <c r="T254" i="103"/>
  <c r="CC253" i="103"/>
  <c r="BQ253" i="103"/>
  <c r="AJ253" i="103"/>
  <c r="CS252" i="103"/>
  <c r="BU252" i="103"/>
  <c r="AZ252" i="103"/>
  <c r="P252" i="103"/>
  <c r="BY251" i="103"/>
  <c r="AF251" i="103"/>
  <c r="T251" i="103"/>
  <c r="CC250" i="103"/>
  <c r="BQ250" i="103"/>
  <c r="AJ250" i="103"/>
  <c r="CS249" i="103"/>
  <c r="BU249" i="103"/>
  <c r="AZ249" i="103"/>
  <c r="P249" i="103"/>
  <c r="BY248" i="103"/>
  <c r="AF248" i="103"/>
  <c r="T248" i="103"/>
  <c r="CC247" i="103"/>
  <c r="BQ247" i="103"/>
  <c r="AJ247" i="103"/>
  <c r="CS246" i="103"/>
  <c r="BU246" i="103"/>
  <c r="AZ246" i="103"/>
  <c r="P246" i="103"/>
  <c r="BY245" i="103"/>
  <c r="AF245" i="103"/>
  <c r="T245" i="103"/>
  <c r="CC244" i="103"/>
  <c r="BQ244" i="103"/>
  <c r="AJ244" i="103"/>
  <c r="CS243" i="103"/>
  <c r="BU243" i="103"/>
  <c r="AZ243" i="103"/>
  <c r="P243" i="103"/>
  <c r="BY242" i="103"/>
  <c r="AF242" i="103"/>
  <c r="T242" i="103"/>
  <c r="CC241" i="103"/>
  <c r="BQ241" i="103"/>
  <c r="AJ241" i="103"/>
  <c r="CS240" i="103"/>
  <c r="BU240" i="103"/>
  <c r="AZ240" i="103"/>
  <c r="P240" i="103"/>
  <c r="BY239" i="103"/>
  <c r="AF239" i="103"/>
  <c r="T239" i="103"/>
  <c r="CC238" i="103"/>
  <c r="BQ238" i="103"/>
  <c r="AJ238" i="103"/>
  <c r="CS237" i="103"/>
  <c r="BU237" i="103"/>
  <c r="AZ237" i="103"/>
  <c r="P237" i="103"/>
  <c r="BY236" i="103"/>
  <c r="AF236" i="103"/>
  <c r="T236" i="103"/>
  <c r="CC235" i="103"/>
  <c r="BQ235" i="103"/>
  <c r="AJ235" i="103"/>
  <c r="CS234" i="103"/>
  <c r="BU234" i="103"/>
  <c r="AZ234" i="103"/>
  <c r="P234" i="103"/>
  <c r="AH330" i="103"/>
  <c r="AY321" i="103"/>
  <c r="BZ318" i="103"/>
  <c r="AH314" i="103"/>
  <c r="G308" i="103"/>
  <c r="Q307" i="103"/>
  <c r="BW303" i="103"/>
  <c r="V302" i="103"/>
  <c r="AK299" i="103"/>
  <c r="BE297" i="103"/>
  <c r="AZ295" i="103"/>
  <c r="AG293" i="103"/>
  <c r="BR292" i="103"/>
  <c r="AG287" i="103"/>
  <c r="BR286" i="103"/>
  <c r="AG281" i="103"/>
  <c r="AG275" i="103"/>
  <c r="AG269" i="103"/>
  <c r="AZ266" i="103"/>
  <c r="AH266" i="103"/>
  <c r="I266" i="103"/>
  <c r="CD265" i="103"/>
  <c r="AW265" i="103"/>
  <c r="AK265" i="103"/>
  <c r="Q264" i="103"/>
  <c r="BE263" i="103"/>
  <c r="AS263" i="103"/>
  <c r="AG263" i="103"/>
  <c r="I263" i="103"/>
  <c r="CD262" i="103"/>
  <c r="AW262" i="103"/>
  <c r="AK262" i="103"/>
  <c r="Q261" i="103"/>
  <c r="AF260" i="103"/>
  <c r="T260" i="103"/>
  <c r="CC259" i="103"/>
  <c r="BQ259" i="103"/>
  <c r="AJ259" i="103"/>
  <c r="CS258" i="103"/>
  <c r="AZ258" i="103"/>
  <c r="AN258" i="103"/>
  <c r="P258" i="103"/>
  <c r="AF257" i="103"/>
  <c r="T257" i="103"/>
  <c r="G257" i="103"/>
  <c r="CN256" i="103"/>
  <c r="CB256" i="103"/>
  <c r="BG256" i="103"/>
  <c r="AI256" i="103"/>
  <c r="AY255" i="103"/>
  <c r="BC254" i="103"/>
  <c r="BB254" i="103" s="1"/>
  <c r="AE254" i="103"/>
  <c r="S254" i="103"/>
  <c r="G254" i="103"/>
  <c r="CN253" i="103"/>
  <c r="CB253" i="103"/>
  <c r="BG253" i="103"/>
  <c r="AI253" i="103"/>
  <c r="BT252" i="103"/>
  <c r="AY252" i="103"/>
  <c r="BX251" i="103"/>
  <c r="BC251" i="103"/>
  <c r="AE251" i="103"/>
  <c r="S251" i="103"/>
  <c r="G251" i="103"/>
  <c r="CN250" i="103"/>
  <c r="CB250" i="103"/>
  <c r="BG250" i="103"/>
  <c r="AI250" i="103"/>
  <c r="BT249" i="103"/>
  <c r="AY249" i="103"/>
  <c r="BX248" i="103"/>
  <c r="BC248" i="103"/>
  <c r="AE248" i="103"/>
  <c r="S248" i="103"/>
  <c r="G248" i="103"/>
  <c r="CN247" i="103"/>
  <c r="CB247" i="103"/>
  <c r="BG247" i="103"/>
  <c r="AI247" i="103"/>
  <c r="BT246" i="103"/>
  <c r="AY246" i="103"/>
  <c r="BX245" i="103"/>
  <c r="BC245" i="103"/>
  <c r="AE245" i="103"/>
  <c r="S245" i="103"/>
  <c r="G245" i="103"/>
  <c r="CN244" i="103"/>
  <c r="CB244" i="103"/>
  <c r="AN244" i="103" s="1"/>
  <c r="BG244" i="103"/>
  <c r="AI244" i="103"/>
  <c r="BT243" i="103"/>
  <c r="AY243" i="103"/>
  <c r="BX242" i="103"/>
  <c r="BC242" i="103"/>
  <c r="AE242" i="103"/>
  <c r="S242" i="103"/>
  <c r="G242" i="103"/>
  <c r="CN241" i="103"/>
  <c r="CB241" i="103"/>
  <c r="AN241" i="103" s="1"/>
  <c r="BG241" i="103"/>
  <c r="AI241" i="103"/>
  <c r="BT240" i="103"/>
  <c r="AY240" i="103"/>
  <c r="BX239" i="103"/>
  <c r="BC239" i="103"/>
  <c r="AE239" i="103"/>
  <c r="S239" i="103"/>
  <c r="G239" i="103"/>
  <c r="CN238" i="103"/>
  <c r="CB238" i="103"/>
  <c r="AN238" i="103" s="1"/>
  <c r="BG238" i="103"/>
  <c r="AI238" i="103"/>
  <c r="BT237" i="103"/>
  <c r="AY237" i="103"/>
  <c r="BX236" i="103"/>
  <c r="BC236" i="103"/>
  <c r="AE236" i="103"/>
  <c r="S236" i="103"/>
  <c r="CN322" i="103"/>
  <c r="BT318" i="103"/>
  <c r="AW317" i="103"/>
  <c r="AE314" i="103"/>
  <c r="N307" i="103"/>
  <c r="BV303" i="103"/>
  <c r="AT300" i="103"/>
  <c r="AX295" i="103"/>
  <c r="Q294" i="103"/>
  <c r="AF293" i="103"/>
  <c r="BQ292" i="103"/>
  <c r="BV291" i="103"/>
  <c r="AS290" i="103"/>
  <c r="AW289" i="103"/>
  <c r="Q288" i="103"/>
  <c r="AF287" i="103"/>
  <c r="BQ286" i="103"/>
  <c r="BV285" i="103"/>
  <c r="AS284" i="103"/>
  <c r="AW283" i="103"/>
  <c r="Q282" i="103"/>
  <c r="AF281" i="103"/>
  <c r="BQ280" i="103"/>
  <c r="AS278" i="103"/>
  <c r="AW277" i="103"/>
  <c r="Q276" i="103"/>
  <c r="AF275" i="103"/>
  <c r="BQ274" i="103"/>
  <c r="AS272" i="103"/>
  <c r="AW271" i="103"/>
  <c r="Q270" i="103"/>
  <c r="AF269" i="103"/>
  <c r="BQ268" i="103"/>
  <c r="AG266" i="103"/>
  <c r="T266" i="103"/>
  <c r="CC265" i="103"/>
  <c r="BQ265" i="103"/>
  <c r="AJ265" i="103"/>
  <c r="CS264" i="103"/>
  <c r="AZ264" i="103"/>
  <c r="AN264" i="103"/>
  <c r="P264" i="103"/>
  <c r="AF263" i="103"/>
  <c r="T263" i="103"/>
  <c r="CC262" i="103"/>
  <c r="BQ262" i="103"/>
  <c r="AJ262" i="103"/>
  <c r="CS261" i="103"/>
  <c r="AZ261" i="103"/>
  <c r="AN261" i="103"/>
  <c r="P261" i="103"/>
  <c r="BC260" i="103"/>
  <c r="BB260" i="103" s="1"/>
  <c r="AE260" i="103"/>
  <c r="S260" i="103"/>
  <c r="G260" i="103"/>
  <c r="CN259" i="103"/>
  <c r="CB259" i="103"/>
  <c r="BG259" i="103"/>
  <c r="AI259" i="103"/>
  <c r="AY258" i="103"/>
  <c r="BC257" i="103"/>
  <c r="BB257" i="103" s="1"/>
  <c r="AE257" i="103"/>
  <c r="S257" i="103"/>
  <c r="BF256" i="103"/>
  <c r="AT256" i="103"/>
  <c r="AH256" i="103"/>
  <c r="V256" i="103"/>
  <c r="CE255" i="103"/>
  <c r="BS255" i="103"/>
  <c r="AX255" i="103"/>
  <c r="N255" i="103"/>
  <c r="AD254" i="103"/>
  <c r="CA253" i="103"/>
  <c r="BF253" i="103"/>
  <c r="AT253" i="103"/>
  <c r="AH253" i="103"/>
  <c r="V253" i="103"/>
  <c r="CE252" i="103"/>
  <c r="BS252" i="103"/>
  <c r="AX252" i="103"/>
  <c r="N252" i="103"/>
  <c r="BW251" i="103"/>
  <c r="AD251" i="103"/>
  <c r="CA250" i="103"/>
  <c r="BF250" i="103"/>
  <c r="AT250" i="103"/>
  <c r="AH250" i="103"/>
  <c r="V250" i="103"/>
  <c r="CE249" i="103"/>
  <c r="BS249" i="103"/>
  <c r="AX249" i="103"/>
  <c r="N249" i="103"/>
  <c r="BW248" i="103"/>
  <c r="AD248" i="103"/>
  <c r="CA247" i="103"/>
  <c r="BF247" i="103"/>
  <c r="AT247" i="103"/>
  <c r="AH247" i="103"/>
  <c r="V247" i="103"/>
  <c r="CE246" i="103"/>
  <c r="BS246" i="103"/>
  <c r="AX246" i="103"/>
  <c r="N246" i="103"/>
  <c r="BW245" i="103"/>
  <c r="AD245" i="103"/>
  <c r="CA244" i="103"/>
  <c r="BF244" i="103"/>
  <c r="AT244" i="103"/>
  <c r="AH244" i="103"/>
  <c r="V244" i="103"/>
  <c r="CE243" i="103"/>
  <c r="BS243" i="103"/>
  <c r="AX243" i="103"/>
  <c r="N243" i="103"/>
  <c r="BW242" i="103"/>
  <c r="AD242" i="103"/>
  <c r="CA241" i="103"/>
  <c r="BF241" i="103"/>
  <c r="AT241" i="103"/>
  <c r="AH241" i="103"/>
  <c r="V241" i="103"/>
  <c r="CE240" i="103"/>
  <c r="BS240" i="103"/>
  <c r="AX240" i="103"/>
  <c r="N240" i="103"/>
  <c r="BW239" i="103"/>
  <c r="AD239" i="103"/>
  <c r="CA238" i="103"/>
  <c r="BF238" i="103"/>
  <c r="AT238" i="103"/>
  <c r="AH238" i="103"/>
  <c r="V238" i="103"/>
  <c r="CE237" i="103"/>
  <c r="BS237" i="103"/>
  <c r="AX237" i="103"/>
  <c r="N237" i="103"/>
  <c r="BW236" i="103"/>
  <c r="AD236" i="103"/>
  <c r="BE315" i="103"/>
  <c r="BN302" i="103"/>
  <c r="N301" i="103"/>
  <c r="AS300" i="103"/>
  <c r="BN299" i="103"/>
  <c r="I299" i="103"/>
  <c r="P294" i="103"/>
  <c r="AK292" i="103"/>
  <c r="BU291" i="103"/>
  <c r="P288" i="103"/>
  <c r="AK286" i="103"/>
  <c r="BU285" i="103"/>
  <c r="P282" i="103"/>
  <c r="AK280" i="103"/>
  <c r="P276" i="103"/>
  <c r="AK274" i="103"/>
  <c r="P270" i="103"/>
  <c r="AK268" i="103"/>
  <c r="AF266" i="103"/>
  <c r="S266" i="103"/>
  <c r="G266" i="103"/>
  <c r="CN265" i="103"/>
  <c r="CB265" i="103"/>
  <c r="BG265" i="103"/>
  <c r="AI265" i="103"/>
  <c r="AY264" i="103"/>
  <c r="BC263" i="103"/>
  <c r="BB263" i="103" s="1"/>
  <c r="AE263" i="103"/>
  <c r="S263" i="103"/>
  <c r="G263" i="103"/>
  <c r="CN262" i="103"/>
  <c r="CB262" i="103"/>
  <c r="BG262" i="103"/>
  <c r="AI262" i="103"/>
  <c r="AY261" i="103"/>
  <c r="AD260" i="103"/>
  <c r="BF259" i="103"/>
  <c r="AT259" i="103"/>
  <c r="AH259" i="103"/>
  <c r="V259" i="103"/>
  <c r="CE258" i="103"/>
  <c r="BS258" i="103"/>
  <c r="AX258" i="103"/>
  <c r="N258" i="103"/>
  <c r="AD257" i="103"/>
  <c r="BE256" i="103"/>
  <c r="AS256" i="103"/>
  <c r="AG256" i="103"/>
  <c r="I256" i="103"/>
  <c r="CD255" i="103"/>
  <c r="AW255" i="103"/>
  <c r="AK255" i="103"/>
  <c r="Q254" i="103"/>
  <c r="BZ253" i="103"/>
  <c r="BE253" i="103"/>
  <c r="AS253" i="103"/>
  <c r="AG253" i="103"/>
  <c r="I253" i="103"/>
  <c r="CD252" i="103"/>
  <c r="AW252" i="103"/>
  <c r="AK252" i="103"/>
  <c r="BV251" i="103"/>
  <c r="Q251" i="103"/>
  <c r="BZ250" i="103"/>
  <c r="BE250" i="103"/>
  <c r="AS250" i="103"/>
  <c r="AG250" i="103"/>
  <c r="I250" i="103"/>
  <c r="CD249" i="103"/>
  <c r="AW249" i="103"/>
  <c r="AK249" i="103"/>
  <c r="BV248" i="103"/>
  <c r="Q248" i="103"/>
  <c r="BZ247" i="103"/>
  <c r="BE247" i="103"/>
  <c r="AS247" i="103"/>
  <c r="AG247" i="103"/>
  <c r="I247" i="103"/>
  <c r="CD246" i="103"/>
  <c r="BX329" i="103"/>
  <c r="CB328" i="103"/>
  <c r="BN324" i="103"/>
  <c r="CD323" i="103"/>
  <c r="AG306" i="103"/>
  <c r="CN301" i="103"/>
  <c r="BR296" i="103"/>
  <c r="V296" i="103"/>
  <c r="AZ294" i="103"/>
  <c r="BE293" i="103"/>
  <c r="T293" i="103"/>
  <c r="AJ292" i="103"/>
  <c r="BZ290" i="103"/>
  <c r="AZ288" i="103"/>
  <c r="BE287" i="103"/>
  <c r="T287" i="103"/>
  <c r="AJ286" i="103"/>
  <c r="BZ284" i="103"/>
  <c r="AZ282" i="103"/>
  <c r="BE281" i="103"/>
  <c r="T281" i="103"/>
  <c r="AJ280" i="103"/>
  <c r="AZ276" i="103"/>
  <c r="BE275" i="103"/>
  <c r="T275" i="103"/>
  <c r="AJ274" i="103"/>
  <c r="AZ270" i="103"/>
  <c r="BE269" i="103"/>
  <c r="T269" i="103"/>
  <c r="AJ268" i="103"/>
  <c r="AS266" i="103"/>
  <c r="AE266" i="103"/>
  <c r="BF265" i="103"/>
  <c r="AT265" i="103"/>
  <c r="AH265" i="103"/>
  <c r="V265" i="103"/>
  <c r="CE264" i="103"/>
  <c r="BS264" i="103"/>
  <c r="AX264" i="103"/>
  <c r="N264" i="103"/>
  <c r="AD263" i="103"/>
  <c r="BF262" i="103"/>
  <c r="AT262" i="103"/>
  <c r="AH262" i="103"/>
  <c r="V262" i="103"/>
  <c r="CE261" i="103"/>
  <c r="BS261" i="103"/>
  <c r="AX261" i="103"/>
  <c r="N261" i="103"/>
  <c r="Q260" i="103"/>
  <c r="BE259" i="103"/>
  <c r="AS259" i="103"/>
  <c r="AG259" i="103"/>
  <c r="I259" i="103"/>
  <c r="CD258" i="103"/>
  <c r="AW258" i="103"/>
  <c r="AK258" i="103"/>
  <c r="Q257" i="103"/>
  <c r="AF256" i="103"/>
  <c r="T256" i="103"/>
  <c r="CC255" i="103"/>
  <c r="BQ255" i="103"/>
  <c r="AJ255" i="103"/>
  <c r="CS254" i="103"/>
  <c r="AZ254" i="103"/>
  <c r="AN254" i="103"/>
  <c r="P254" i="103"/>
  <c r="BY253" i="103"/>
  <c r="AF253" i="103"/>
  <c r="T253" i="103"/>
  <c r="CC252" i="103"/>
  <c r="BQ252" i="103"/>
  <c r="AJ252" i="103"/>
  <c r="CS251" i="103"/>
  <c r="BU251" i="103"/>
  <c r="AZ251" i="103"/>
  <c r="P251" i="103"/>
  <c r="BY250" i="103"/>
  <c r="AF250" i="103"/>
  <c r="T250" i="103"/>
  <c r="CC249" i="103"/>
  <c r="BQ249" i="103"/>
  <c r="BR329" i="103"/>
  <c r="BF314" i="103"/>
  <c r="AS309" i="103"/>
  <c r="BZ306" i="103"/>
  <c r="BC299" i="103"/>
  <c r="Q298" i="103"/>
  <c r="CS294" i="103"/>
  <c r="I293" i="103"/>
  <c r="BY290" i="103"/>
  <c r="CD289" i="103"/>
  <c r="CS288" i="103"/>
  <c r="I287" i="103"/>
  <c r="BY284" i="103"/>
  <c r="CD283" i="103"/>
  <c r="CS282" i="103"/>
  <c r="I281" i="103"/>
  <c r="AN279" i="103"/>
  <c r="CD277" i="103"/>
  <c r="CS276" i="103"/>
  <c r="I275" i="103"/>
  <c r="AN273" i="103"/>
  <c r="CD271" i="103"/>
  <c r="CS270" i="103"/>
  <c r="I269" i="103"/>
  <c r="AN267" i="103"/>
  <c r="AD266" i="103"/>
  <c r="Q266" i="103"/>
  <c r="BE265" i="103"/>
  <c r="AS265" i="103"/>
  <c r="AG265" i="103"/>
  <c r="I265" i="103"/>
  <c r="CD264" i="103"/>
  <c r="AW264" i="103"/>
  <c r="AK264" i="103"/>
  <c r="Q263" i="103"/>
  <c r="BE262" i="103"/>
  <c r="AS262" i="103"/>
  <c r="AG262" i="103"/>
  <c r="I262" i="103"/>
  <c r="CD261" i="103"/>
  <c r="AW261" i="103"/>
  <c r="AK261" i="103"/>
  <c r="CS260" i="103"/>
  <c r="AZ260" i="103"/>
  <c r="AN260" i="103"/>
  <c r="P260" i="103"/>
  <c r="AF259" i="103"/>
  <c r="T259" i="103"/>
  <c r="CC258" i="103"/>
  <c r="BQ258" i="103"/>
  <c r="AJ258" i="103"/>
  <c r="CS257" i="103"/>
  <c r="AZ257" i="103"/>
  <c r="AN257" i="103"/>
  <c r="P257" i="103"/>
  <c r="BC256" i="103"/>
  <c r="BB256" i="103" s="1"/>
  <c r="AE256" i="103"/>
  <c r="S256" i="103"/>
  <c r="G256" i="103"/>
  <c r="CN255" i="103"/>
  <c r="CB255" i="103"/>
  <c r="BG255" i="103"/>
  <c r="AI255" i="103"/>
  <c r="AY254" i="103"/>
  <c r="BX253" i="103"/>
  <c r="BC253" i="103"/>
  <c r="AE253" i="103"/>
  <c r="S253" i="103"/>
  <c r="G253" i="103"/>
  <c r="CN252" i="103"/>
  <c r="CB252" i="103"/>
  <c r="BG252" i="103"/>
  <c r="AI252" i="103"/>
  <c r="BT251" i="103"/>
  <c r="AY251" i="103"/>
  <c r="BX250" i="103"/>
  <c r="BC250" i="103"/>
  <c r="AE250" i="103"/>
  <c r="S250" i="103"/>
  <c r="G250" i="103"/>
  <c r="CN249" i="103"/>
  <c r="CB249" i="103"/>
  <c r="BG249" i="103"/>
  <c r="AI249" i="103"/>
  <c r="BT248" i="103"/>
  <c r="AY248" i="103"/>
  <c r="BX247" i="103"/>
  <c r="BC247" i="103"/>
  <c r="AE247" i="103"/>
  <c r="S247" i="103"/>
  <c r="G247" i="103"/>
  <c r="CN246" i="103"/>
  <c r="CB246" i="103"/>
  <c r="AN246" i="103" s="1"/>
  <c r="BG246" i="103"/>
  <c r="AI246" i="103"/>
  <c r="BT245" i="103"/>
  <c r="AY245" i="103"/>
  <c r="BX244" i="103"/>
  <c r="BC244" i="103"/>
  <c r="AE244" i="103"/>
  <c r="S244" i="103"/>
  <c r="G244" i="103"/>
  <c r="CN243" i="103"/>
  <c r="CB243" i="103"/>
  <c r="BG243" i="103"/>
  <c r="AI243" i="103"/>
  <c r="BT242" i="103"/>
  <c r="AY242" i="103"/>
  <c r="BX241" i="103"/>
  <c r="BC241" i="103"/>
  <c r="AE241" i="103"/>
  <c r="S241" i="103"/>
  <c r="G241" i="103"/>
  <c r="CN240" i="103"/>
  <c r="CB240" i="103"/>
  <c r="BG240" i="103"/>
  <c r="AI240" i="103"/>
  <c r="BT239" i="103"/>
  <c r="AY239" i="103"/>
  <c r="BX238" i="103"/>
  <c r="BC238" i="103"/>
  <c r="AE238" i="103"/>
  <c r="S238" i="103"/>
  <c r="G238" i="103"/>
  <c r="CN237" i="103"/>
  <c r="CB237" i="103"/>
  <c r="AN237" i="103" s="1"/>
  <c r="BG237" i="103"/>
  <c r="AI237" i="103"/>
  <c r="BT236" i="103"/>
  <c r="AY236" i="103"/>
  <c r="BX235" i="103"/>
  <c r="CS242" i="103"/>
  <c r="AW240" i="103"/>
  <c r="AZ239" i="103"/>
  <c r="I238" i="103"/>
  <c r="P236" i="103"/>
  <c r="AT235" i="103"/>
  <c r="CC234" i="103"/>
  <c r="BY233" i="103"/>
  <c r="AF233" i="103"/>
  <c r="T233" i="103"/>
  <c r="CC232" i="103"/>
  <c r="BQ232" i="103"/>
  <c r="AJ232" i="103"/>
  <c r="CS231" i="103"/>
  <c r="BU231" i="103"/>
  <c r="AZ231" i="103"/>
  <c r="P231" i="103"/>
  <c r="BY230" i="103"/>
  <c r="AF230" i="103"/>
  <c r="T230" i="103"/>
  <c r="CC229" i="103"/>
  <c r="BQ229" i="103"/>
  <c r="AJ229" i="103"/>
  <c r="CS228" i="103"/>
  <c r="BU228" i="103"/>
  <c r="AZ228" i="103"/>
  <c r="P228" i="103"/>
  <c r="BY227" i="103"/>
  <c r="AF227" i="103"/>
  <c r="T227" i="103"/>
  <c r="CC226" i="103"/>
  <c r="BQ226" i="103"/>
  <c r="AJ226" i="103"/>
  <c r="CE225" i="103"/>
  <c r="BS225" i="103"/>
  <c r="AX225" i="103"/>
  <c r="N225" i="103"/>
  <c r="BW224" i="103"/>
  <c r="AD224" i="103"/>
  <c r="CA223" i="103"/>
  <c r="BF223" i="103"/>
  <c r="AT223" i="103"/>
  <c r="AH223" i="103"/>
  <c r="V223" i="103"/>
  <c r="CE222" i="103"/>
  <c r="BS222" i="103"/>
  <c r="AX222" i="103"/>
  <c r="N222" i="103"/>
  <c r="BW221" i="103"/>
  <c r="AD221" i="103"/>
  <c r="CA220" i="103"/>
  <c r="BF220" i="103"/>
  <c r="AT220" i="103"/>
  <c r="AH220" i="103"/>
  <c r="V220" i="103"/>
  <c r="CE219" i="103"/>
  <c r="BS219" i="103"/>
  <c r="AX219" i="103"/>
  <c r="N219" i="103"/>
  <c r="BW218" i="103"/>
  <c r="AD218" i="103"/>
  <c r="CA217" i="103"/>
  <c r="BF217" i="103"/>
  <c r="AT217" i="103"/>
  <c r="AH217" i="103"/>
  <c r="V217" i="103"/>
  <c r="CE216" i="103"/>
  <c r="BS216" i="103"/>
  <c r="AX216" i="103"/>
  <c r="N216" i="103"/>
  <c r="BW215" i="103"/>
  <c r="AD215" i="103"/>
  <c r="CA214" i="103"/>
  <c r="BF214" i="103"/>
  <c r="AT214" i="103"/>
  <c r="AH214" i="103"/>
  <c r="V214" i="103"/>
  <c r="CE213" i="103"/>
  <c r="BS213" i="103"/>
  <c r="AX213" i="103"/>
  <c r="N213" i="103"/>
  <c r="BW212" i="103"/>
  <c r="AD212" i="103"/>
  <c r="CA211" i="103"/>
  <c r="BF211" i="103"/>
  <c r="AT211" i="103"/>
  <c r="AH211" i="103"/>
  <c r="V211" i="103"/>
  <c r="CE210" i="103"/>
  <c r="BS210" i="103"/>
  <c r="AX210" i="103"/>
  <c r="N210" i="103"/>
  <c r="BW209" i="103"/>
  <c r="AD209" i="103"/>
  <c r="CA208" i="103"/>
  <c r="BF208" i="103"/>
  <c r="AT208" i="103"/>
  <c r="AH208" i="103"/>
  <c r="V208" i="103"/>
  <c r="CE207" i="103"/>
  <c r="BS207" i="103"/>
  <c r="AX207" i="103"/>
  <c r="N207" i="103"/>
  <c r="BW206" i="103"/>
  <c r="AD206" i="103"/>
  <c r="CA205" i="103"/>
  <c r="BF205" i="103"/>
  <c r="AT205" i="103"/>
  <c r="AH205" i="103"/>
  <c r="V205" i="103"/>
  <c r="CE204" i="103"/>
  <c r="BS204" i="103"/>
  <c r="AX204" i="103"/>
  <c r="N204" i="103"/>
  <c r="BW203" i="103"/>
  <c r="AD203" i="103"/>
  <c r="CA202" i="103"/>
  <c r="BF202" i="103"/>
  <c r="AT202" i="103"/>
  <c r="AH202" i="103"/>
  <c r="V202" i="103"/>
  <c r="CE201" i="103"/>
  <c r="BS201" i="103"/>
  <c r="AX201" i="103"/>
  <c r="N201" i="103"/>
  <c r="BW200" i="103"/>
  <c r="AD200" i="103"/>
  <c r="CA199" i="103"/>
  <c r="BF199" i="103"/>
  <c r="AT199" i="103"/>
  <c r="AH199" i="103"/>
  <c r="V199" i="103"/>
  <c r="CE198" i="103"/>
  <c r="BS198" i="103"/>
  <c r="CC246" i="103"/>
  <c r="BV245" i="103"/>
  <c r="BZ244" i="103"/>
  <c r="AS241" i="103"/>
  <c r="G236" i="103"/>
  <c r="CB235" i="103"/>
  <c r="AN235" i="103" s="1"/>
  <c r="AS235" i="103"/>
  <c r="CB234" i="103"/>
  <c r="AN234" i="103" s="1"/>
  <c r="BX233" i="103"/>
  <c r="BC233" i="103"/>
  <c r="AE233" i="103"/>
  <c r="S233" i="103"/>
  <c r="G233" i="103"/>
  <c r="CN232" i="103"/>
  <c r="CB232" i="103"/>
  <c r="AN232" i="103" s="1"/>
  <c r="BG232" i="103"/>
  <c r="AI232" i="103"/>
  <c r="BT231" i="103"/>
  <c r="AY231" i="103"/>
  <c r="BX230" i="103"/>
  <c r="BC230" i="103"/>
  <c r="AE230" i="103"/>
  <c r="S230" i="103"/>
  <c r="G230" i="103"/>
  <c r="CN229" i="103"/>
  <c r="CB229" i="103"/>
  <c r="AN229" i="103" s="1"/>
  <c r="BG229" i="103"/>
  <c r="AI229" i="103"/>
  <c r="BT228" i="103"/>
  <c r="AY228" i="103"/>
  <c r="BX227" i="103"/>
  <c r="BC227" i="103"/>
  <c r="AE227" i="103"/>
  <c r="S227" i="103"/>
  <c r="G227" i="103"/>
  <c r="CN226" i="103"/>
  <c r="CB226" i="103"/>
  <c r="AN226" i="103" s="1"/>
  <c r="BG226" i="103"/>
  <c r="AI226" i="103"/>
  <c r="CD225" i="103"/>
  <c r="AW225" i="103"/>
  <c r="AK225" i="103"/>
  <c r="BV224" i="103"/>
  <c r="Q224" i="103"/>
  <c r="BZ223" i="103"/>
  <c r="BE223" i="103"/>
  <c r="AS223" i="103"/>
  <c r="AG223" i="103"/>
  <c r="I223" i="103"/>
  <c r="CD222" i="103"/>
  <c r="AW222" i="103"/>
  <c r="AK222" i="103"/>
  <c r="BV221" i="103"/>
  <c r="Q221" i="103"/>
  <c r="BZ220" i="103"/>
  <c r="BE220" i="103"/>
  <c r="AS220" i="103"/>
  <c r="AG220" i="103"/>
  <c r="I220" i="103"/>
  <c r="CD219" i="103"/>
  <c r="AW219" i="103"/>
  <c r="AK219" i="103"/>
  <c r="BV218" i="103"/>
  <c r="Q218" i="103"/>
  <c r="BZ217" i="103"/>
  <c r="BE217" i="103"/>
  <c r="AS217" i="103"/>
  <c r="AG217" i="103"/>
  <c r="I217" i="103"/>
  <c r="CD216" i="103"/>
  <c r="AW216" i="103"/>
  <c r="AK216" i="103"/>
  <c r="BV215" i="103"/>
  <c r="Q215" i="103"/>
  <c r="BZ214" i="103"/>
  <c r="BE214" i="103"/>
  <c r="AS214" i="103"/>
  <c r="AG214" i="103"/>
  <c r="I214" i="103"/>
  <c r="CD213" i="103"/>
  <c r="AW213" i="103"/>
  <c r="AK213" i="103"/>
  <c r="BV212" i="103"/>
  <c r="Q212" i="103"/>
  <c r="BZ211" i="103"/>
  <c r="BE211" i="103"/>
  <c r="AS211" i="103"/>
  <c r="AG211" i="103"/>
  <c r="I211" i="103"/>
  <c r="CD210" i="103"/>
  <c r="AW210" i="103"/>
  <c r="AK210" i="103"/>
  <c r="BV209" i="103"/>
  <c r="Q209" i="103"/>
  <c r="BZ208" i="103"/>
  <c r="BE208" i="103"/>
  <c r="AS208" i="103"/>
  <c r="AG208" i="103"/>
  <c r="I208" i="103"/>
  <c r="CD207" i="103"/>
  <c r="AW207" i="103"/>
  <c r="AK207" i="103"/>
  <c r="BV206" i="103"/>
  <c r="Q206" i="103"/>
  <c r="BZ205" i="103"/>
  <c r="BE205" i="103"/>
  <c r="AS205" i="103"/>
  <c r="AG205" i="103"/>
  <c r="I205" i="103"/>
  <c r="CD204" i="103"/>
  <c r="AW204" i="103"/>
  <c r="AK204" i="103"/>
  <c r="BV203" i="103"/>
  <c r="Q203" i="103"/>
  <c r="BZ202" i="103"/>
  <c r="BE202" i="103"/>
  <c r="AS202" i="103"/>
  <c r="AG202" i="103"/>
  <c r="I202" i="103"/>
  <c r="CD201" i="103"/>
  <c r="AW201" i="103"/>
  <c r="AK201" i="103"/>
  <c r="BV200" i="103"/>
  <c r="Q200" i="103"/>
  <c r="BZ199" i="103"/>
  <c r="BE199" i="103"/>
  <c r="AS199" i="103"/>
  <c r="AG199" i="103"/>
  <c r="I199" i="103"/>
  <c r="CD198" i="103"/>
  <c r="AK246" i="103"/>
  <c r="BU245" i="103"/>
  <c r="BY244" i="103"/>
  <c r="CD243" i="103"/>
  <c r="CS239" i="103"/>
  <c r="AW237" i="103"/>
  <c r="AZ236" i="103"/>
  <c r="CA235" i="103"/>
  <c r="V235" i="103"/>
  <c r="BY234" i="103"/>
  <c r="BW233" i="103"/>
  <c r="AD233" i="103"/>
  <c r="CA232" i="103"/>
  <c r="BF232" i="103"/>
  <c r="AT232" i="103"/>
  <c r="AH232" i="103"/>
  <c r="V232" i="103"/>
  <c r="CE231" i="103"/>
  <c r="BS231" i="103"/>
  <c r="AX231" i="103"/>
  <c r="N231" i="103"/>
  <c r="BW230" i="103"/>
  <c r="AD230" i="103"/>
  <c r="CA229" i="103"/>
  <c r="BF229" i="103"/>
  <c r="AT229" i="103"/>
  <c r="AH229" i="103"/>
  <c r="V229" i="103"/>
  <c r="CE228" i="103"/>
  <c r="BS228" i="103"/>
  <c r="AX228" i="103"/>
  <c r="N228" i="103"/>
  <c r="BW227" i="103"/>
  <c r="AD227" i="103"/>
  <c r="CA226" i="103"/>
  <c r="BF226" i="103"/>
  <c r="AT226" i="103"/>
  <c r="AH226" i="103"/>
  <c r="V226" i="103"/>
  <c r="I226" i="103"/>
  <c r="CC225" i="103"/>
  <c r="BQ225" i="103"/>
  <c r="AJ225" i="103"/>
  <c r="CS224" i="103"/>
  <c r="BU224" i="103"/>
  <c r="AZ224" i="103"/>
  <c r="P224" i="103"/>
  <c r="BY223" i="103"/>
  <c r="AF223" i="103"/>
  <c r="T223" i="103"/>
  <c r="CC222" i="103"/>
  <c r="BQ222" i="103"/>
  <c r="AJ222" i="103"/>
  <c r="CS221" i="103"/>
  <c r="BU221" i="103"/>
  <c r="AZ221" i="103"/>
  <c r="P221" i="103"/>
  <c r="BY220" i="103"/>
  <c r="AF220" i="103"/>
  <c r="T220" i="103"/>
  <c r="CC219" i="103"/>
  <c r="BQ219" i="103"/>
  <c r="AJ219" i="103"/>
  <c r="CS218" i="103"/>
  <c r="BU218" i="103"/>
  <c r="AZ218" i="103"/>
  <c r="P218" i="103"/>
  <c r="BY217" i="103"/>
  <c r="AF217" i="103"/>
  <c r="T217" i="103"/>
  <c r="CC216" i="103"/>
  <c r="BQ216" i="103"/>
  <c r="AJ216" i="103"/>
  <c r="CS215" i="103"/>
  <c r="BU215" i="103"/>
  <c r="AZ215" i="103"/>
  <c r="P215" i="103"/>
  <c r="BY214" i="103"/>
  <c r="AF214" i="103"/>
  <c r="T214" i="103"/>
  <c r="CC213" i="103"/>
  <c r="BQ213" i="103"/>
  <c r="AJ213" i="103"/>
  <c r="CS212" i="103"/>
  <c r="BU212" i="103"/>
  <c r="AZ212" i="103"/>
  <c r="P212" i="103"/>
  <c r="BY211" i="103"/>
  <c r="AF211" i="103"/>
  <c r="T211" i="103"/>
  <c r="CC210" i="103"/>
  <c r="BQ210" i="103"/>
  <c r="AJ210" i="103"/>
  <c r="CS209" i="103"/>
  <c r="BU209" i="103"/>
  <c r="AZ209" i="103"/>
  <c r="P209" i="103"/>
  <c r="BY208" i="103"/>
  <c r="AF208" i="103"/>
  <c r="T208" i="103"/>
  <c r="CC207" i="103"/>
  <c r="BQ207" i="103"/>
  <c r="AJ207" i="103"/>
  <c r="CS206" i="103"/>
  <c r="BU206" i="103"/>
  <c r="AZ206" i="103"/>
  <c r="P206" i="103"/>
  <c r="BY205" i="103"/>
  <c r="AF205" i="103"/>
  <c r="T205" i="103"/>
  <c r="CC204" i="103"/>
  <c r="BQ204" i="103"/>
  <c r="AJ204" i="103"/>
  <c r="CS203" i="103"/>
  <c r="BU203" i="103"/>
  <c r="AZ203" i="103"/>
  <c r="P203" i="103"/>
  <c r="BY202" i="103"/>
  <c r="AF202" i="103"/>
  <c r="T202" i="103"/>
  <c r="CC201" i="103"/>
  <c r="BQ201" i="103"/>
  <c r="AJ201" i="103"/>
  <c r="CS200" i="103"/>
  <c r="BU200" i="103"/>
  <c r="AZ200" i="103"/>
  <c r="P200" i="103"/>
  <c r="BY199" i="103"/>
  <c r="AF199" i="103"/>
  <c r="T199" i="103"/>
  <c r="CS248" i="103"/>
  <c r="BQ246" i="103"/>
  <c r="AJ246" i="103"/>
  <c r="CC243" i="103"/>
  <c r="BV242" i="103"/>
  <c r="BZ241" i="103"/>
  <c r="AS238" i="103"/>
  <c r="BZ235" i="103"/>
  <c r="BT234" i="103"/>
  <c r="CS233" i="103"/>
  <c r="BV233" i="103"/>
  <c r="Q233" i="103"/>
  <c r="BZ232" i="103"/>
  <c r="BE232" i="103"/>
  <c r="AS232" i="103"/>
  <c r="AG232" i="103"/>
  <c r="I232" i="103"/>
  <c r="CD231" i="103"/>
  <c r="AW231" i="103"/>
  <c r="AK231" i="103"/>
  <c r="BV230" i="103"/>
  <c r="Q230" i="103"/>
  <c r="BZ229" i="103"/>
  <c r="BE229" i="103"/>
  <c r="AS229" i="103"/>
  <c r="AG229" i="103"/>
  <c r="I229" i="103"/>
  <c r="CD228" i="103"/>
  <c r="AW228" i="103"/>
  <c r="AK228" i="103"/>
  <c r="BV227" i="103"/>
  <c r="Q227" i="103"/>
  <c r="BZ226" i="103"/>
  <c r="BE226" i="103"/>
  <c r="AS226" i="103"/>
  <c r="AG226" i="103"/>
  <c r="CN225" i="103"/>
  <c r="CB225" i="103"/>
  <c r="AN225" i="103" s="1"/>
  <c r="BG225" i="103"/>
  <c r="AI225" i="103"/>
  <c r="BT224" i="103"/>
  <c r="AY224" i="103"/>
  <c r="BX223" i="103"/>
  <c r="BC223" i="103"/>
  <c r="AE223" i="103"/>
  <c r="S223" i="103"/>
  <c r="G223" i="103"/>
  <c r="CN222" i="103"/>
  <c r="CB222" i="103"/>
  <c r="AN222" i="103" s="1"/>
  <c r="BG222" i="103"/>
  <c r="AI222" i="103"/>
  <c r="BT221" i="103"/>
  <c r="AY221" i="103"/>
  <c r="BX220" i="103"/>
  <c r="BC220" i="103"/>
  <c r="AQ220" i="103"/>
  <c r="AE220" i="103"/>
  <c r="S220" i="103"/>
  <c r="G220" i="103"/>
  <c r="CN219" i="103"/>
  <c r="CB219" i="103"/>
  <c r="AN219" i="103" s="1"/>
  <c r="BG219" i="103"/>
  <c r="AI219" i="103"/>
  <c r="BT218" i="103"/>
  <c r="AY218" i="103"/>
  <c r="BX217" i="103"/>
  <c r="BC217" i="103"/>
  <c r="AQ217" i="103"/>
  <c r="AE217" i="103"/>
  <c r="S217" i="103"/>
  <c r="G217" i="103"/>
  <c r="CN216" i="103"/>
  <c r="CB216" i="103"/>
  <c r="AN216" i="103" s="1"/>
  <c r="BG216" i="103"/>
  <c r="AI216" i="103"/>
  <c r="BT215" i="103"/>
  <c r="AY215" i="103"/>
  <c r="BX214" i="103"/>
  <c r="BC214" i="103"/>
  <c r="AQ214" i="103"/>
  <c r="AE214" i="103"/>
  <c r="S214" i="103"/>
  <c r="G214" i="103"/>
  <c r="CN213" i="103"/>
  <c r="CB213" i="103"/>
  <c r="AN213" i="103" s="1"/>
  <c r="BG213" i="103"/>
  <c r="AI213" i="103"/>
  <c r="BT212" i="103"/>
  <c r="AY212" i="103"/>
  <c r="BX211" i="103"/>
  <c r="BC211" i="103"/>
  <c r="AQ211" i="103"/>
  <c r="AE211" i="103"/>
  <c r="S211" i="103"/>
  <c r="G211" i="103"/>
  <c r="CN210" i="103"/>
  <c r="CB210" i="103"/>
  <c r="AN210" i="103" s="1"/>
  <c r="BG210" i="103"/>
  <c r="AI210" i="103"/>
  <c r="BT209" i="103"/>
  <c r="AY209" i="103"/>
  <c r="BX208" i="103"/>
  <c r="BC208" i="103"/>
  <c r="AQ208" i="103"/>
  <c r="AE208" i="103"/>
  <c r="S208" i="103"/>
  <c r="G208" i="103"/>
  <c r="CN207" i="103"/>
  <c r="CB207" i="103"/>
  <c r="AN207" i="103" s="1"/>
  <c r="BG207" i="103"/>
  <c r="AI207" i="103"/>
  <c r="BT206" i="103"/>
  <c r="AY206" i="103"/>
  <c r="BX205" i="103"/>
  <c r="BC205" i="103"/>
  <c r="AQ205" i="103"/>
  <c r="AE205" i="103"/>
  <c r="S205" i="103"/>
  <c r="G205" i="103"/>
  <c r="CN204" i="103"/>
  <c r="CB204" i="103"/>
  <c r="AN204" i="103" s="1"/>
  <c r="BG204" i="103"/>
  <c r="AI204" i="103"/>
  <c r="BT203" i="103"/>
  <c r="AY203" i="103"/>
  <c r="BX202" i="103"/>
  <c r="P248" i="103"/>
  <c r="AG244" i="103"/>
  <c r="AK243" i="103"/>
  <c r="BU242" i="103"/>
  <c r="BY241" i="103"/>
  <c r="CD240" i="103"/>
  <c r="CS236" i="103"/>
  <c r="BY235" i="103"/>
  <c r="BG235" i="103"/>
  <c r="T235" i="103"/>
  <c r="BS234" i="103"/>
  <c r="BU233" i="103"/>
  <c r="AZ233" i="103"/>
  <c r="P233" i="103"/>
  <c r="BY232" i="103"/>
  <c r="AF232" i="103"/>
  <c r="T232" i="103"/>
  <c r="CC231" i="103"/>
  <c r="BQ231" i="103"/>
  <c r="AJ231" i="103"/>
  <c r="CS230" i="103"/>
  <c r="BU230" i="103"/>
  <c r="AZ230" i="103"/>
  <c r="P230" i="103"/>
  <c r="BY229" i="103"/>
  <c r="AF229" i="103"/>
  <c r="T229" i="103"/>
  <c r="CC228" i="103"/>
  <c r="BQ228" i="103"/>
  <c r="AJ228" i="103"/>
  <c r="CS227" i="103"/>
  <c r="BU227" i="103"/>
  <c r="AZ227" i="103"/>
  <c r="P227" i="103"/>
  <c r="BY226" i="103"/>
  <c r="AF226" i="103"/>
  <c r="T226" i="103"/>
  <c r="G226" i="103"/>
  <c r="CA225" i="103"/>
  <c r="BF225" i="103"/>
  <c r="AT225" i="103"/>
  <c r="AH225" i="103"/>
  <c r="V225" i="103"/>
  <c r="CE224" i="103"/>
  <c r="BS224" i="103"/>
  <c r="AX224" i="103"/>
  <c r="N224" i="103"/>
  <c r="BW223" i="103"/>
  <c r="AD223" i="103"/>
  <c r="CA222" i="103"/>
  <c r="BF222" i="103"/>
  <c r="AT222" i="103"/>
  <c r="AH222" i="103"/>
  <c r="V222" i="103"/>
  <c r="CE221" i="103"/>
  <c r="BS221" i="103"/>
  <c r="AX221" i="103"/>
  <c r="N221" i="103"/>
  <c r="BW220" i="103"/>
  <c r="AD220" i="103"/>
  <c r="CA219" i="103"/>
  <c r="BF219" i="103"/>
  <c r="AT219" i="103"/>
  <c r="AH219" i="103"/>
  <c r="V219" i="103"/>
  <c r="CE218" i="103"/>
  <c r="BS218" i="103"/>
  <c r="AX218" i="103"/>
  <c r="N218" i="103"/>
  <c r="BW217" i="103"/>
  <c r="AD217" i="103"/>
  <c r="CA216" i="103"/>
  <c r="BF216" i="103"/>
  <c r="AT216" i="103"/>
  <c r="AH216" i="103"/>
  <c r="V216" i="103"/>
  <c r="CE215" i="103"/>
  <c r="BS215" i="103"/>
  <c r="AX215" i="103"/>
  <c r="N215" i="103"/>
  <c r="BW214" i="103"/>
  <c r="AD214" i="103"/>
  <c r="CA213" i="103"/>
  <c r="BF213" i="103"/>
  <c r="AT213" i="103"/>
  <c r="AH213" i="103"/>
  <c r="V213" i="103"/>
  <c r="CE212" i="103"/>
  <c r="BS212" i="103"/>
  <c r="AX212" i="103"/>
  <c r="N212" i="103"/>
  <c r="BW211" i="103"/>
  <c r="AD211" i="103"/>
  <c r="CA210" i="103"/>
  <c r="BF210" i="103"/>
  <c r="AT210" i="103"/>
  <c r="AH210" i="103"/>
  <c r="V210" i="103"/>
  <c r="CE209" i="103"/>
  <c r="BS209" i="103"/>
  <c r="AX209" i="103"/>
  <c r="N209" i="103"/>
  <c r="BW208" i="103"/>
  <c r="AD208" i="103"/>
  <c r="CA207" i="103"/>
  <c r="BF207" i="103"/>
  <c r="AT207" i="103"/>
  <c r="AH207" i="103"/>
  <c r="V207" i="103"/>
  <c r="CE206" i="103"/>
  <c r="BS206" i="103"/>
  <c r="AX206" i="103"/>
  <c r="N206" i="103"/>
  <c r="BW205" i="103"/>
  <c r="AD205" i="103"/>
  <c r="CA204" i="103"/>
  <c r="BF204" i="103"/>
  <c r="AT204" i="103"/>
  <c r="AH204" i="103"/>
  <c r="V204" i="103"/>
  <c r="CE203" i="103"/>
  <c r="BS203" i="103"/>
  <c r="AX203" i="103"/>
  <c r="N203" i="103"/>
  <c r="BW202" i="103"/>
  <c r="AD202" i="103"/>
  <c r="CA201" i="103"/>
  <c r="BF201" i="103"/>
  <c r="AT201" i="103"/>
  <c r="AH201" i="103"/>
  <c r="V201" i="103"/>
  <c r="CE200" i="103"/>
  <c r="BS200" i="103"/>
  <c r="AX200" i="103"/>
  <c r="N200" i="103"/>
  <c r="BW199" i="103"/>
  <c r="AD199" i="103"/>
  <c r="CA198" i="103"/>
  <c r="BU248" i="103"/>
  <c r="Q245" i="103"/>
  <c r="AF244" i="103"/>
  <c r="BQ243" i="103"/>
  <c r="AJ243" i="103"/>
  <c r="CC240" i="103"/>
  <c r="BV239" i="103"/>
  <c r="BZ238" i="103"/>
  <c r="BU235" i="103"/>
  <c r="BF235" i="103"/>
  <c r="S235" i="103"/>
  <c r="T234" i="103"/>
  <c r="BT233" i="103"/>
  <c r="AY233" i="103"/>
  <c r="BX232" i="103"/>
  <c r="BC232" i="103"/>
  <c r="AE232" i="103"/>
  <c r="S232" i="103"/>
  <c r="G232" i="103"/>
  <c r="CN231" i="103"/>
  <c r="CB231" i="103"/>
  <c r="AN231" i="103" s="1"/>
  <c r="BG231" i="103"/>
  <c r="AI231" i="103"/>
  <c r="BT230" i="103"/>
  <c r="AY230" i="103"/>
  <c r="BX229" i="103"/>
  <c r="BC229" i="103"/>
  <c r="AE229" i="103"/>
  <c r="S229" i="103"/>
  <c r="G229" i="103"/>
  <c r="CN228" i="103"/>
  <c r="CB228" i="103"/>
  <c r="AN228" i="103" s="1"/>
  <c r="BG228" i="103"/>
  <c r="AI228" i="103"/>
  <c r="BT227" i="103"/>
  <c r="AY227" i="103"/>
  <c r="BX226" i="103"/>
  <c r="BC226" i="103"/>
  <c r="AE226" i="103"/>
  <c r="S226" i="103"/>
  <c r="BZ225" i="103"/>
  <c r="BE225" i="103"/>
  <c r="AS225" i="103"/>
  <c r="AG225" i="103"/>
  <c r="I225" i="103"/>
  <c r="CD224" i="103"/>
  <c r="AW224" i="103"/>
  <c r="AK224" i="103"/>
  <c r="BV223" i="103"/>
  <c r="Q223" i="103"/>
  <c r="BZ222" i="103"/>
  <c r="BE222" i="103"/>
  <c r="AS222" i="103"/>
  <c r="AG222" i="103"/>
  <c r="I222" i="103"/>
  <c r="CD221" i="103"/>
  <c r="AW221" i="103"/>
  <c r="AK221" i="103"/>
  <c r="BV220" i="103"/>
  <c r="Q220" i="103"/>
  <c r="BZ219" i="103"/>
  <c r="BE219" i="103"/>
  <c r="AS219" i="103"/>
  <c r="AG219" i="103"/>
  <c r="I219" i="103"/>
  <c r="CD218" i="103"/>
  <c r="AW218" i="103"/>
  <c r="AK218" i="103"/>
  <c r="BV217" i="103"/>
  <c r="Q217" i="103"/>
  <c r="BZ216" i="103"/>
  <c r="BE216" i="103"/>
  <c r="AS216" i="103"/>
  <c r="AG216" i="103"/>
  <c r="I216" i="103"/>
  <c r="CD215" i="103"/>
  <c r="AW215" i="103"/>
  <c r="AK215" i="103"/>
  <c r="BV214" i="103"/>
  <c r="Q214" i="103"/>
  <c r="BZ213" i="103"/>
  <c r="BE213" i="103"/>
  <c r="AS213" i="103"/>
  <c r="AG213" i="103"/>
  <c r="I213" i="103"/>
  <c r="CD212" i="103"/>
  <c r="AW212" i="103"/>
  <c r="AK212" i="103"/>
  <c r="BV211" i="103"/>
  <c r="Q211" i="103"/>
  <c r="BZ210" i="103"/>
  <c r="BE210" i="103"/>
  <c r="AS210" i="103"/>
  <c r="AG210" i="103"/>
  <c r="I210" i="103"/>
  <c r="CD209" i="103"/>
  <c r="AW209" i="103"/>
  <c r="AK209" i="103"/>
  <c r="BV208" i="103"/>
  <c r="Q208" i="103"/>
  <c r="BZ207" i="103"/>
  <c r="BE207" i="103"/>
  <c r="AS207" i="103"/>
  <c r="AG207" i="103"/>
  <c r="I207" i="103"/>
  <c r="CD206" i="103"/>
  <c r="AW206" i="103"/>
  <c r="AK206" i="103"/>
  <c r="BV205" i="103"/>
  <c r="Q205" i="103"/>
  <c r="BZ204" i="103"/>
  <c r="BE204" i="103"/>
  <c r="AS204" i="103"/>
  <c r="AG204" i="103"/>
  <c r="I204" i="103"/>
  <c r="CD203" i="103"/>
  <c r="P245" i="103"/>
  <c r="AG241" i="103"/>
  <c r="AK240" i="103"/>
  <c r="BU239" i="103"/>
  <c r="BY238" i="103"/>
  <c r="CD237" i="103"/>
  <c r="BE235" i="103"/>
  <c r="P235" i="103"/>
  <c r="BQ234" i="103"/>
  <c r="BQ233" i="103"/>
  <c r="AX233" i="103"/>
  <c r="N233" i="103"/>
  <c r="BW232" i="103"/>
  <c r="AD232" i="103"/>
  <c r="CA231" i="103"/>
  <c r="BF231" i="103"/>
  <c r="AT231" i="103"/>
  <c r="AH231" i="103"/>
  <c r="V231" i="103"/>
  <c r="CE230" i="103"/>
  <c r="BS230" i="103"/>
  <c r="AX230" i="103"/>
  <c r="N230" i="103"/>
  <c r="BW229" i="103"/>
  <c r="AD229" i="103"/>
  <c r="CA228" i="103"/>
  <c r="BF228" i="103"/>
  <c r="AT228" i="103"/>
  <c r="AH228" i="103"/>
  <c r="V228" i="103"/>
  <c r="CE227" i="103"/>
  <c r="BS227" i="103"/>
  <c r="AX227" i="103"/>
  <c r="N227" i="103"/>
  <c r="BW226" i="103"/>
  <c r="AD226" i="103"/>
  <c r="BY225" i="103"/>
  <c r="AF225" i="103"/>
  <c r="T225" i="103"/>
  <c r="CC224" i="103"/>
  <c r="BQ224" i="103"/>
  <c r="AJ224" i="103"/>
  <c r="CS223" i="103"/>
  <c r="BU223" i="103"/>
  <c r="AZ223" i="103"/>
  <c r="P223" i="103"/>
  <c r="BY222" i="103"/>
  <c r="AF222" i="103"/>
  <c r="T222" i="103"/>
  <c r="CC221" i="103"/>
  <c r="BQ221" i="103"/>
  <c r="AJ221" i="103"/>
  <c r="CS220" i="103"/>
  <c r="BU220" i="103"/>
  <c r="AZ220" i="103"/>
  <c r="P220" i="103"/>
  <c r="BY219" i="103"/>
  <c r="AF219" i="103"/>
  <c r="T219" i="103"/>
  <c r="CC218" i="103"/>
  <c r="BQ218" i="103"/>
  <c r="AJ218" i="103"/>
  <c r="CS217" i="103"/>
  <c r="BU217" i="103"/>
  <c r="AZ217" i="103"/>
  <c r="P217" i="103"/>
  <c r="BY216" i="103"/>
  <c r="AF216" i="103"/>
  <c r="T216" i="103"/>
  <c r="CC215" i="103"/>
  <c r="BQ215" i="103"/>
  <c r="AJ215" i="103"/>
  <c r="CS214" i="103"/>
  <c r="BU214" i="103"/>
  <c r="AZ214" i="103"/>
  <c r="P214" i="103"/>
  <c r="BY213" i="103"/>
  <c r="AF213" i="103"/>
  <c r="T213" i="103"/>
  <c r="CC212" i="103"/>
  <c r="BQ212" i="103"/>
  <c r="AJ212" i="103"/>
  <c r="CS211" i="103"/>
  <c r="BU211" i="103"/>
  <c r="AZ211" i="103"/>
  <c r="P211" i="103"/>
  <c r="BY210" i="103"/>
  <c r="AF210" i="103"/>
  <c r="T210" i="103"/>
  <c r="CC209" i="103"/>
  <c r="BQ209" i="103"/>
  <c r="AJ209" i="103"/>
  <c r="CS208" i="103"/>
  <c r="BU208" i="103"/>
  <c r="AZ208" i="103"/>
  <c r="P208" i="103"/>
  <c r="BY207" i="103"/>
  <c r="AF207" i="103"/>
  <c r="T207" i="103"/>
  <c r="CC206" i="103"/>
  <c r="BQ206" i="103"/>
  <c r="AJ206" i="103"/>
  <c r="CS205" i="103"/>
  <c r="BU205" i="103"/>
  <c r="AZ205" i="103"/>
  <c r="P205" i="103"/>
  <c r="BY204" i="103"/>
  <c r="AF204" i="103"/>
  <c r="T204" i="103"/>
  <c r="CC203" i="103"/>
  <c r="BQ203" i="103"/>
  <c r="AJ203" i="103"/>
  <c r="CS202" i="103"/>
  <c r="BU202" i="103"/>
  <c r="AZ202" i="103"/>
  <c r="P202" i="103"/>
  <c r="BY201" i="103"/>
  <c r="AF201" i="103"/>
  <c r="T201" i="103"/>
  <c r="CC200" i="103"/>
  <c r="BQ200" i="103"/>
  <c r="AJ200" i="103"/>
  <c r="CS199" i="103"/>
  <c r="BU199" i="103"/>
  <c r="AZ199" i="103"/>
  <c r="P199" i="103"/>
  <c r="AF247" i="103"/>
  <c r="BE244" i="103"/>
  <c r="T244" i="103"/>
  <c r="Q242" i="103"/>
  <c r="AF241" i="103"/>
  <c r="BQ240" i="103"/>
  <c r="AJ240" i="103"/>
  <c r="CC237" i="103"/>
  <c r="BV236" i="103"/>
  <c r="CS235" i="103"/>
  <c r="AI235" i="103"/>
  <c r="CN234" i="103"/>
  <c r="BG234" i="103"/>
  <c r="N234" i="103"/>
  <c r="AW233" i="103"/>
  <c r="AK233" i="103"/>
  <c r="BV232" i="103"/>
  <c r="Q232" i="103"/>
  <c r="BZ231" i="103"/>
  <c r="BE231" i="103"/>
  <c r="AS231" i="103"/>
  <c r="AG231" i="103"/>
  <c r="I231" i="103"/>
  <c r="CD230" i="103"/>
  <c r="AW230" i="103"/>
  <c r="AK230" i="103"/>
  <c r="BV229" i="103"/>
  <c r="Q229" i="103"/>
  <c r="BZ228" i="103"/>
  <c r="BE228" i="103"/>
  <c r="AS228" i="103"/>
  <c r="AG228" i="103"/>
  <c r="I228" i="103"/>
  <c r="CD227" i="103"/>
  <c r="AW227" i="103"/>
  <c r="AK227" i="103"/>
  <c r="BV226" i="103"/>
  <c r="Q226" i="103"/>
  <c r="BX225" i="103"/>
  <c r="BC225" i="103"/>
  <c r="AE225" i="103"/>
  <c r="S225" i="103"/>
  <c r="G225" i="103"/>
  <c r="CN224" i="103"/>
  <c r="CB224" i="103"/>
  <c r="AN224" i="103" s="1"/>
  <c r="BG224" i="103"/>
  <c r="AI224" i="103"/>
  <c r="BT223" i="103"/>
  <c r="AY223" i="103"/>
  <c r="BX222" i="103"/>
  <c r="BC222" i="103"/>
  <c r="AQ222" i="103"/>
  <c r="AE222" i="103"/>
  <c r="S222" i="103"/>
  <c r="G222" i="103"/>
  <c r="CN221" i="103"/>
  <c r="CB221" i="103"/>
  <c r="BG221" i="103"/>
  <c r="AI221" i="103"/>
  <c r="BT220" i="103"/>
  <c r="AY220" i="103"/>
  <c r="BX219" i="103"/>
  <c r="BC219" i="103"/>
  <c r="AQ219" i="103"/>
  <c r="AE219" i="103"/>
  <c r="S219" i="103"/>
  <c r="G219" i="103"/>
  <c r="CN218" i="103"/>
  <c r="CB218" i="103"/>
  <c r="AN218" i="103" s="1"/>
  <c r="BG218" i="103"/>
  <c r="AI218" i="103"/>
  <c r="BT217" i="103"/>
  <c r="AY217" i="103"/>
  <c r="BX216" i="103"/>
  <c r="BC216" i="103"/>
  <c r="AQ216" i="103"/>
  <c r="AE216" i="103"/>
  <c r="S216" i="103"/>
  <c r="G216" i="103"/>
  <c r="CN215" i="103"/>
  <c r="CB215" i="103"/>
  <c r="AN215" i="103" s="1"/>
  <c r="BG215" i="103"/>
  <c r="AI215" i="103"/>
  <c r="BT214" i="103"/>
  <c r="AY214" i="103"/>
  <c r="BX213" i="103"/>
  <c r="BC213" i="103"/>
  <c r="AQ213" i="103"/>
  <c r="AE213" i="103"/>
  <c r="S213" i="103"/>
  <c r="G213" i="103"/>
  <c r="CN212" i="103"/>
  <c r="CB212" i="103"/>
  <c r="AN212" i="103" s="1"/>
  <c r="BG212" i="103"/>
  <c r="AI212" i="103"/>
  <c r="BT211" i="103"/>
  <c r="AY211" i="103"/>
  <c r="BX210" i="103"/>
  <c r="BC210" i="103"/>
  <c r="AQ210" i="103"/>
  <c r="AE210" i="103"/>
  <c r="S210" i="103"/>
  <c r="G210" i="103"/>
  <c r="CN209" i="103"/>
  <c r="CB209" i="103"/>
  <c r="BG209" i="103"/>
  <c r="AI209" i="103"/>
  <c r="BT208" i="103"/>
  <c r="AY208" i="103"/>
  <c r="BX207" i="103"/>
  <c r="BC207" i="103"/>
  <c r="AQ207" i="103"/>
  <c r="AE207" i="103"/>
  <c r="S207" i="103"/>
  <c r="G207" i="103"/>
  <c r="CN206" i="103"/>
  <c r="CB206" i="103"/>
  <c r="AN206" i="103" s="1"/>
  <c r="BG206" i="103"/>
  <c r="AI206" i="103"/>
  <c r="BT205" i="103"/>
  <c r="AY205" i="103"/>
  <c r="BX204" i="103"/>
  <c r="BC204" i="103"/>
  <c r="AQ204" i="103"/>
  <c r="AE204" i="103"/>
  <c r="S204" i="103"/>
  <c r="G204" i="103"/>
  <c r="CN203" i="103"/>
  <c r="CB203" i="103"/>
  <c r="AN203" i="103" s="1"/>
  <c r="BG203" i="103"/>
  <c r="AI203" i="103"/>
  <c r="BT202" i="103"/>
  <c r="AY202" i="103"/>
  <c r="BX201" i="103"/>
  <c r="BC201" i="103"/>
  <c r="AQ201" i="103"/>
  <c r="AE201" i="103"/>
  <c r="S201" i="103"/>
  <c r="G201" i="103"/>
  <c r="CN200" i="103"/>
  <c r="CB200" i="103"/>
  <c r="AN200" i="103" s="1"/>
  <c r="BG200" i="103"/>
  <c r="AI200" i="103"/>
  <c r="BT199" i="103"/>
  <c r="AY199" i="103"/>
  <c r="AZ248" i="103"/>
  <c r="T247" i="103"/>
  <c r="AW246" i="103"/>
  <c r="AZ245" i="103"/>
  <c r="I244" i="103"/>
  <c r="P242" i="103"/>
  <c r="AG238" i="103"/>
  <c r="AK237" i="103"/>
  <c r="BU236" i="103"/>
  <c r="CN235" i="103"/>
  <c r="BC235" i="103"/>
  <c r="AH235" i="103"/>
  <c r="AK234" i="103"/>
  <c r="AJ233" i="103"/>
  <c r="CS232" i="103"/>
  <c r="BU232" i="103"/>
  <c r="AZ232" i="103"/>
  <c r="P232" i="103"/>
  <c r="BY231" i="103"/>
  <c r="AF231" i="103"/>
  <c r="T231" i="103"/>
  <c r="CC230" i="103"/>
  <c r="BQ230" i="103"/>
  <c r="AJ230" i="103"/>
  <c r="CS229" i="103"/>
  <c r="BU229" i="103"/>
  <c r="AZ229" i="103"/>
  <c r="P229" i="103"/>
  <c r="BY228" i="103"/>
  <c r="AF228" i="103"/>
  <c r="T228" i="103"/>
  <c r="CC227" i="103"/>
  <c r="BQ227" i="103"/>
  <c r="AJ227" i="103"/>
  <c r="CS226" i="103"/>
  <c r="BU226" i="103"/>
  <c r="AZ226" i="103"/>
  <c r="P226" i="103"/>
  <c r="BW225" i="103"/>
  <c r="AD225" i="103"/>
  <c r="CA224" i="103"/>
  <c r="BF224" i="103"/>
  <c r="AT224" i="103"/>
  <c r="AH224" i="103"/>
  <c r="V224" i="103"/>
  <c r="CE223" i="103"/>
  <c r="BS223" i="103"/>
  <c r="AX223" i="103"/>
  <c r="N223" i="103"/>
  <c r="BW222" i="103"/>
  <c r="AD222" i="103"/>
  <c r="CA221" i="103"/>
  <c r="BF221" i="103"/>
  <c r="AT221" i="103"/>
  <c r="AH221" i="103"/>
  <c r="V221" i="103"/>
  <c r="CE220" i="103"/>
  <c r="BS220" i="103"/>
  <c r="AX220" i="103"/>
  <c r="N220" i="103"/>
  <c r="BW219" i="103"/>
  <c r="AD219" i="103"/>
  <c r="CA218" i="103"/>
  <c r="BF218" i="103"/>
  <c r="AT218" i="103"/>
  <c r="AH218" i="103"/>
  <c r="V218" i="103"/>
  <c r="CE217" i="103"/>
  <c r="BS217" i="103"/>
  <c r="AX217" i="103"/>
  <c r="N217" i="103"/>
  <c r="BW216" i="103"/>
  <c r="AD216" i="103"/>
  <c r="CA215" i="103"/>
  <c r="BF215" i="103"/>
  <c r="AT215" i="103"/>
  <c r="AH215" i="103"/>
  <c r="V215" i="103"/>
  <c r="CE214" i="103"/>
  <c r="BS214" i="103"/>
  <c r="AX214" i="103"/>
  <c r="N214" i="103"/>
  <c r="BW213" i="103"/>
  <c r="AD213" i="103"/>
  <c r="CA212" i="103"/>
  <c r="BF212" i="103"/>
  <c r="AT212" i="103"/>
  <c r="AH212" i="103"/>
  <c r="V212" i="103"/>
  <c r="CE211" i="103"/>
  <c r="BS211" i="103"/>
  <c r="AX211" i="103"/>
  <c r="N211" i="103"/>
  <c r="BW210" i="103"/>
  <c r="AD210" i="103"/>
  <c r="CA209" i="103"/>
  <c r="BF209" i="103"/>
  <c r="AT209" i="103"/>
  <c r="AH209" i="103"/>
  <c r="V209" i="103"/>
  <c r="CE208" i="103"/>
  <c r="BS208" i="103"/>
  <c r="AX208" i="103"/>
  <c r="N208" i="103"/>
  <c r="BW207" i="103"/>
  <c r="AD207" i="103"/>
  <c r="CA206" i="103"/>
  <c r="BF206" i="103"/>
  <c r="AT206" i="103"/>
  <c r="AH206" i="103"/>
  <c r="V206" i="103"/>
  <c r="CE205" i="103"/>
  <c r="BS205" i="103"/>
  <c r="AX205" i="103"/>
  <c r="N205" i="103"/>
  <c r="BW204" i="103"/>
  <c r="AD204" i="103"/>
  <c r="CA203" i="103"/>
  <c r="BF203" i="103"/>
  <c r="AT203" i="103"/>
  <c r="AH203" i="103"/>
  <c r="V203" i="103"/>
  <c r="CE202" i="103"/>
  <c r="BS202" i="103"/>
  <c r="AX202" i="103"/>
  <c r="N202" i="103"/>
  <c r="BW201" i="103"/>
  <c r="AD201" i="103"/>
  <c r="CA200" i="103"/>
  <c r="BF200" i="103"/>
  <c r="AT200" i="103"/>
  <c r="AH200" i="103"/>
  <c r="V200" i="103"/>
  <c r="CE199" i="103"/>
  <c r="BS199" i="103"/>
  <c r="AX199" i="103"/>
  <c r="N199" i="103"/>
  <c r="BW198" i="103"/>
  <c r="BY247" i="103"/>
  <c r="BE241" i="103"/>
  <c r="T241" i="103"/>
  <c r="Q239" i="103"/>
  <c r="AF238" i="103"/>
  <c r="BQ237" i="103"/>
  <c r="AJ237" i="103"/>
  <c r="AZ235" i="103"/>
  <c r="AG235" i="103"/>
  <c r="I235" i="103"/>
  <c r="AY234" i="103"/>
  <c r="AJ234" i="103"/>
  <c r="AI233" i="103"/>
  <c r="BT232" i="103"/>
  <c r="AY232" i="103"/>
  <c r="BX231" i="103"/>
  <c r="BC231" i="103"/>
  <c r="AE231" i="103"/>
  <c r="S231" i="103"/>
  <c r="G231" i="103"/>
  <c r="CN230" i="103"/>
  <c r="CB230" i="103"/>
  <c r="AN230" i="103" s="1"/>
  <c r="BG230" i="103"/>
  <c r="AI230" i="103"/>
  <c r="BT229" i="103"/>
  <c r="AY229" i="103"/>
  <c r="BX228" i="103"/>
  <c r="BC228" i="103"/>
  <c r="AE228" i="103"/>
  <c r="S228" i="103"/>
  <c r="G228" i="103"/>
  <c r="CN227" i="103"/>
  <c r="CB227" i="103"/>
  <c r="AN227" i="103" s="1"/>
  <c r="BG227" i="103"/>
  <c r="AI227" i="103"/>
  <c r="BT226" i="103"/>
  <c r="AY226" i="103"/>
  <c r="BV225" i="103"/>
  <c r="Q225" i="103"/>
  <c r="BZ224" i="103"/>
  <c r="BE224" i="103"/>
  <c r="AS224" i="103"/>
  <c r="AG224" i="103"/>
  <c r="I224" i="103"/>
  <c r="CD223" i="103"/>
  <c r="AW223" i="103"/>
  <c r="AK223" i="103"/>
  <c r="BV222" i="103"/>
  <c r="Q222" i="103"/>
  <c r="BZ221" i="103"/>
  <c r="BE221" i="103"/>
  <c r="AS221" i="103"/>
  <c r="AG221" i="103"/>
  <c r="I221" i="103"/>
  <c r="CD220" i="103"/>
  <c r="AW220" i="103"/>
  <c r="AK220" i="103"/>
  <c r="BV219" i="103"/>
  <c r="Q219" i="103"/>
  <c r="BZ218" i="103"/>
  <c r="BE218" i="103"/>
  <c r="AS218" i="103"/>
  <c r="AG218" i="103"/>
  <c r="I218" i="103"/>
  <c r="CD217" i="103"/>
  <c r="AW217" i="103"/>
  <c r="AK217" i="103"/>
  <c r="BV216" i="103"/>
  <c r="Q216" i="103"/>
  <c r="BZ215" i="103"/>
  <c r="BE215" i="103"/>
  <c r="AS215" i="103"/>
  <c r="AG215" i="103"/>
  <c r="I215" i="103"/>
  <c r="CD214" i="103"/>
  <c r="AW214" i="103"/>
  <c r="AK214" i="103"/>
  <c r="BV213" i="103"/>
  <c r="Q213" i="103"/>
  <c r="BZ212" i="103"/>
  <c r="BE212" i="103"/>
  <c r="AS212" i="103"/>
  <c r="AG212" i="103"/>
  <c r="I212" i="103"/>
  <c r="CD211" i="103"/>
  <c r="AW211" i="103"/>
  <c r="AK211" i="103"/>
  <c r="BV210" i="103"/>
  <c r="Q210" i="103"/>
  <c r="BZ209" i="103"/>
  <c r="BE209" i="103"/>
  <c r="AS209" i="103"/>
  <c r="AG209" i="103"/>
  <c r="I209" i="103"/>
  <c r="CD208" i="103"/>
  <c r="AW208" i="103"/>
  <c r="AK208" i="103"/>
  <c r="BV207" i="103"/>
  <c r="Q207" i="103"/>
  <c r="BZ206" i="103"/>
  <c r="BE206" i="103"/>
  <c r="AS206" i="103"/>
  <c r="AG206" i="103"/>
  <c r="I206" i="103"/>
  <c r="CD205" i="103"/>
  <c r="AW205" i="103"/>
  <c r="AK205" i="103"/>
  <c r="BV204" i="103"/>
  <c r="Q204" i="103"/>
  <c r="BZ203" i="103"/>
  <c r="BE203" i="103"/>
  <c r="AS203" i="103"/>
  <c r="AG203" i="103"/>
  <c r="I203" i="103"/>
  <c r="CD202" i="103"/>
  <c r="AW202" i="103"/>
  <c r="AK202" i="103"/>
  <c r="BV201" i="103"/>
  <c r="Q201" i="103"/>
  <c r="BZ200" i="103"/>
  <c r="BE200" i="103"/>
  <c r="AS200" i="103"/>
  <c r="AG200" i="103"/>
  <c r="I200" i="103"/>
  <c r="CD199" i="103"/>
  <c r="AW199" i="103"/>
  <c r="AK199" i="103"/>
  <c r="AJ249" i="103"/>
  <c r="CS245" i="103"/>
  <c r="AW243" i="103"/>
  <c r="AZ242" i="103"/>
  <c r="I241" i="103"/>
  <c r="P239" i="103"/>
  <c r="AF235" i="103"/>
  <c r="CE234" i="103"/>
  <c r="AX234" i="103"/>
  <c r="AI234" i="103"/>
  <c r="BF233" i="103"/>
  <c r="AT233" i="103"/>
  <c r="AH233" i="103"/>
  <c r="V233" i="103"/>
  <c r="CE232" i="103"/>
  <c r="BS232" i="103"/>
  <c r="AX232" i="103"/>
  <c r="N232" i="103"/>
  <c r="BW231" i="103"/>
  <c r="AD231" i="103"/>
  <c r="CA230" i="103"/>
  <c r="BF230" i="103"/>
  <c r="AT230" i="103"/>
  <c r="AH230" i="103"/>
  <c r="V230" i="103"/>
  <c r="CE229" i="103"/>
  <c r="BS229" i="103"/>
  <c r="AX229" i="103"/>
  <c r="N229" i="103"/>
  <c r="BW228" i="103"/>
  <c r="AD228" i="103"/>
  <c r="CA227" i="103"/>
  <c r="BF227" i="103"/>
  <c r="AT227" i="103"/>
  <c r="AH227" i="103"/>
  <c r="V227" i="103"/>
  <c r="CE226" i="103"/>
  <c r="BS226" i="103"/>
  <c r="AX226" i="103"/>
  <c r="N226" i="103"/>
  <c r="CS225" i="103"/>
  <c r="BU225" i="103"/>
  <c r="AZ225" i="103"/>
  <c r="P225" i="103"/>
  <c r="BY224" i="103"/>
  <c r="AF224" i="103"/>
  <c r="T224" i="103"/>
  <c r="CC223" i="103"/>
  <c r="BQ223" i="103"/>
  <c r="AJ223" i="103"/>
  <c r="CS222" i="103"/>
  <c r="BU222" i="103"/>
  <c r="AZ222" i="103"/>
  <c r="P222" i="103"/>
  <c r="BY221" i="103"/>
  <c r="AF221" i="103"/>
  <c r="T221" i="103"/>
  <c r="CC220" i="103"/>
  <c r="BQ220" i="103"/>
  <c r="AJ220" i="103"/>
  <c r="CS219" i="103"/>
  <c r="BU219" i="103"/>
  <c r="AZ219" i="103"/>
  <c r="P219" i="103"/>
  <c r="BY218" i="103"/>
  <c r="AF218" i="103"/>
  <c r="T218" i="103"/>
  <c r="CC217" i="103"/>
  <c r="BQ217" i="103"/>
  <c r="AJ217" i="103"/>
  <c r="CS216" i="103"/>
  <c r="BU216" i="103"/>
  <c r="AZ216" i="103"/>
  <c r="P216" i="103"/>
  <c r="BY215" i="103"/>
  <c r="AF215" i="103"/>
  <c r="T215" i="103"/>
  <c r="CC214" i="103"/>
  <c r="BQ214" i="103"/>
  <c r="AJ214" i="103"/>
  <c r="CS213" i="103"/>
  <c r="BU213" i="103"/>
  <c r="AZ213" i="103"/>
  <c r="P213" i="103"/>
  <c r="BY212" i="103"/>
  <c r="AF212" i="103"/>
  <c r="T212" i="103"/>
  <c r="CC211" i="103"/>
  <c r="BQ211" i="103"/>
  <c r="AJ211" i="103"/>
  <c r="CS210" i="103"/>
  <c r="BU210" i="103"/>
  <c r="AZ210" i="103"/>
  <c r="P210" i="103"/>
  <c r="BY209" i="103"/>
  <c r="AF209" i="103"/>
  <c r="T209" i="103"/>
  <c r="CC208" i="103"/>
  <c r="BQ208" i="103"/>
  <c r="AJ208" i="103"/>
  <c r="CS207" i="103"/>
  <c r="BU207" i="103"/>
  <c r="AZ207" i="103"/>
  <c r="P207" i="103"/>
  <c r="BY206" i="103"/>
  <c r="AF206" i="103"/>
  <c r="T206" i="103"/>
  <c r="CC205" i="103"/>
  <c r="BQ205" i="103"/>
  <c r="AJ205" i="103"/>
  <c r="CS204" i="103"/>
  <c r="BU204" i="103"/>
  <c r="AZ204" i="103"/>
  <c r="P204" i="103"/>
  <c r="BY203" i="103"/>
  <c r="AF203" i="103"/>
  <c r="T203" i="103"/>
  <c r="CC202" i="103"/>
  <c r="BQ202" i="103"/>
  <c r="AJ202" i="103"/>
  <c r="CS201" i="103"/>
  <c r="BU201" i="103"/>
  <c r="AZ201" i="103"/>
  <c r="P201" i="103"/>
  <c r="BY200" i="103"/>
  <c r="AF200" i="103"/>
  <c r="T200" i="103"/>
  <c r="CC199" i="103"/>
  <c r="BQ199" i="103"/>
  <c r="AJ199" i="103"/>
  <c r="CS198" i="103"/>
  <c r="BU198" i="103"/>
  <c r="AS244" i="103"/>
  <c r="BE238" i="103"/>
  <c r="T238" i="103"/>
  <c r="Q236" i="103"/>
  <c r="AE235" i="103"/>
  <c r="G235" i="103"/>
  <c r="CD234" i="103"/>
  <c r="AW234" i="103"/>
  <c r="AF234" i="103"/>
  <c r="CC233" i="103"/>
  <c r="BE233" i="103"/>
  <c r="AS233" i="103"/>
  <c r="AG233" i="103"/>
  <c r="I233" i="103"/>
  <c r="CD232" i="103"/>
  <c r="AW232" i="103"/>
  <c r="AK232" i="103"/>
  <c r="BV231" i="103"/>
  <c r="Q231" i="103"/>
  <c r="BZ230" i="103"/>
  <c r="BE230" i="103"/>
  <c r="AS230" i="103"/>
  <c r="AG230" i="103"/>
  <c r="I230" i="103"/>
  <c r="CD229" i="103"/>
  <c r="AW229" i="103"/>
  <c r="AK229" i="103"/>
  <c r="BV228" i="103"/>
  <c r="Q228" i="103"/>
  <c r="BZ227" i="103"/>
  <c r="BE227" i="103"/>
  <c r="AS227" i="103"/>
  <c r="AG227" i="103"/>
  <c r="I227" i="103"/>
  <c r="CD226" i="103"/>
  <c r="AW226" i="103"/>
  <c r="AK226" i="103"/>
  <c r="BT225" i="103"/>
  <c r="AY225" i="103"/>
  <c r="BX224" i="103"/>
  <c r="BC224" i="103"/>
  <c r="AE224" i="103"/>
  <c r="S224" i="103"/>
  <c r="G224" i="103"/>
  <c r="CN223" i="103"/>
  <c r="CB223" i="103"/>
  <c r="AN223" i="103" s="1"/>
  <c r="BG223" i="103"/>
  <c r="AI223" i="103"/>
  <c r="BT222" i="103"/>
  <c r="AY222" i="103"/>
  <c r="BX221" i="103"/>
  <c r="BC221" i="103"/>
  <c r="AQ221" i="103"/>
  <c r="AE221" i="103"/>
  <c r="S221" i="103"/>
  <c r="G221" i="103"/>
  <c r="CN220" i="103"/>
  <c r="CB220" i="103"/>
  <c r="AN220" i="103" s="1"/>
  <c r="BG220" i="103"/>
  <c r="AI220" i="103"/>
  <c r="BT219" i="103"/>
  <c r="AY219" i="103"/>
  <c r="BX218" i="103"/>
  <c r="BC218" i="103"/>
  <c r="AQ218" i="103"/>
  <c r="AE218" i="103"/>
  <c r="S218" i="103"/>
  <c r="G218" i="103"/>
  <c r="CN217" i="103"/>
  <c r="CB217" i="103"/>
  <c r="BG217" i="103"/>
  <c r="AI217" i="103"/>
  <c r="BT216" i="103"/>
  <c r="AY216" i="103"/>
  <c r="BX215" i="103"/>
  <c r="BC215" i="103"/>
  <c r="AQ215" i="103"/>
  <c r="AE215" i="103"/>
  <c r="S215" i="103"/>
  <c r="G215" i="103"/>
  <c r="CN214" i="103"/>
  <c r="CB214" i="103"/>
  <c r="BG214" i="103"/>
  <c r="AI214" i="103"/>
  <c r="BT213" i="103"/>
  <c r="AY213" i="103"/>
  <c r="BX212" i="103"/>
  <c r="BC212" i="103"/>
  <c r="AQ212" i="103"/>
  <c r="AE212" i="103"/>
  <c r="S212" i="103"/>
  <c r="G212" i="103"/>
  <c r="CN211" i="103"/>
  <c r="CB211" i="103"/>
  <c r="AN211" i="103" s="1"/>
  <c r="BG211" i="103"/>
  <c r="AI211" i="103"/>
  <c r="BT210" i="103"/>
  <c r="AY210" i="103"/>
  <c r="BX209" i="103"/>
  <c r="BC209" i="103"/>
  <c r="AQ209" i="103"/>
  <c r="AE209" i="103"/>
  <c r="S209" i="103"/>
  <c r="G209" i="103"/>
  <c r="CN208" i="103"/>
  <c r="CB208" i="103"/>
  <c r="AN208" i="103" s="1"/>
  <c r="BG208" i="103"/>
  <c r="AI208" i="103"/>
  <c r="BT207" i="103"/>
  <c r="AY207" i="103"/>
  <c r="BX206" i="103"/>
  <c r="BC206" i="103"/>
  <c r="AQ206" i="103"/>
  <c r="AE206" i="103"/>
  <c r="S206" i="103"/>
  <c r="G206" i="103"/>
  <c r="CN205" i="103"/>
  <c r="CB205" i="103"/>
  <c r="BG205" i="103"/>
  <c r="AI205" i="103"/>
  <c r="BT204" i="103"/>
  <c r="AY204" i="103"/>
  <c r="BX203" i="103"/>
  <c r="BC203" i="103"/>
  <c r="AQ203" i="103"/>
  <c r="AE203" i="103"/>
  <c r="S203" i="103"/>
  <c r="G203" i="103"/>
  <c r="CN202" i="103"/>
  <c r="CB202" i="103"/>
  <c r="BG202" i="103"/>
  <c r="AI202" i="103"/>
  <c r="BT201" i="103"/>
  <c r="AY201" i="103"/>
  <c r="BX200" i="103"/>
  <c r="BC200" i="103"/>
  <c r="CN201" i="103"/>
  <c r="AS201" i="103"/>
  <c r="G200" i="103"/>
  <c r="AI199" i="103"/>
  <c r="BX198" i="103"/>
  <c r="AW198" i="103"/>
  <c r="AK198" i="103"/>
  <c r="BV197" i="103"/>
  <c r="Q197" i="103"/>
  <c r="BY196" i="103"/>
  <c r="AF196" i="103"/>
  <c r="T196" i="103"/>
  <c r="CC195" i="103"/>
  <c r="BQ195" i="103"/>
  <c r="AJ195" i="103"/>
  <c r="CS194" i="103"/>
  <c r="BU194" i="103"/>
  <c r="AZ194" i="103"/>
  <c r="P194" i="103"/>
  <c r="BY193" i="103"/>
  <c r="AF193" i="103"/>
  <c r="T193" i="103"/>
  <c r="CC192" i="103"/>
  <c r="BQ192" i="103"/>
  <c r="AJ192" i="103"/>
  <c r="CS191" i="103"/>
  <c r="BU191" i="103"/>
  <c r="AZ191" i="103"/>
  <c r="P191" i="103"/>
  <c r="BY190" i="103"/>
  <c r="AR190" i="103"/>
  <c r="AF190" i="103"/>
  <c r="T190" i="103"/>
  <c r="CC189" i="103"/>
  <c r="BQ189" i="103"/>
  <c r="AV189" i="103"/>
  <c r="AJ189" i="103"/>
  <c r="CS188" i="103"/>
  <c r="BU188" i="103"/>
  <c r="AZ188" i="103"/>
  <c r="P188" i="103"/>
  <c r="BY187" i="103"/>
  <c r="AR187" i="103"/>
  <c r="AF187" i="103"/>
  <c r="T187" i="103"/>
  <c r="CC186" i="103"/>
  <c r="BQ186" i="103"/>
  <c r="AV186" i="103"/>
  <c r="AJ186" i="103"/>
  <c r="CS185" i="103"/>
  <c r="BU185" i="103"/>
  <c r="AZ185" i="103"/>
  <c r="P185" i="103"/>
  <c r="BY184" i="103"/>
  <c r="AR184" i="103"/>
  <c r="AF184" i="103"/>
  <c r="T184" i="103"/>
  <c r="CC183" i="103"/>
  <c r="BQ183" i="103"/>
  <c r="AV183" i="103"/>
  <c r="AJ183" i="103"/>
  <c r="CS182" i="103"/>
  <c r="BU182" i="103"/>
  <c r="AZ182" i="103"/>
  <c r="P182" i="103"/>
  <c r="BY181" i="103"/>
  <c r="AR181" i="103"/>
  <c r="AF181" i="103"/>
  <c r="T181" i="103"/>
  <c r="CC180" i="103"/>
  <c r="BQ180" i="103"/>
  <c r="AV180" i="103"/>
  <c r="AJ180" i="103"/>
  <c r="CS179" i="103"/>
  <c r="BU179" i="103"/>
  <c r="AZ179" i="103"/>
  <c r="P179" i="103"/>
  <c r="BY178" i="103"/>
  <c r="AR178" i="103"/>
  <c r="AF178" i="103"/>
  <c r="T178" i="103"/>
  <c r="CC177" i="103"/>
  <c r="BQ177" i="103"/>
  <c r="AV177" i="103"/>
  <c r="AJ177" i="103"/>
  <c r="CS176" i="103"/>
  <c r="BU176" i="103"/>
  <c r="AZ176" i="103"/>
  <c r="P176" i="103"/>
  <c r="BY175" i="103"/>
  <c r="AR175" i="103"/>
  <c r="AF175" i="103"/>
  <c r="T175" i="103"/>
  <c r="CC174" i="103"/>
  <c r="BQ174" i="103"/>
  <c r="AV174" i="103"/>
  <c r="AJ174" i="103"/>
  <c r="CS173" i="103"/>
  <c r="BU173" i="103"/>
  <c r="AZ173" i="103"/>
  <c r="P173" i="103"/>
  <c r="BY172" i="103"/>
  <c r="AR172" i="103"/>
  <c r="AF172" i="103"/>
  <c r="T172" i="103"/>
  <c r="CC171" i="103"/>
  <c r="BQ171" i="103"/>
  <c r="AV171" i="103"/>
  <c r="AJ171" i="103"/>
  <c r="CS170" i="103"/>
  <c r="BU170" i="103"/>
  <c r="AZ170" i="103"/>
  <c r="P170" i="103"/>
  <c r="BY169" i="103"/>
  <c r="AR169" i="103"/>
  <c r="AF169" i="103"/>
  <c r="T169" i="103"/>
  <c r="CC168" i="103"/>
  <c r="BQ168" i="103"/>
  <c r="AV168" i="103"/>
  <c r="AJ168" i="103"/>
  <c r="CS167" i="103"/>
  <c r="BU167" i="103"/>
  <c r="AZ167" i="103"/>
  <c r="P167" i="103"/>
  <c r="BY166" i="103"/>
  <c r="AR166" i="103"/>
  <c r="AF166" i="103"/>
  <c r="T166" i="103"/>
  <c r="CC165" i="103"/>
  <c r="BQ165" i="103"/>
  <c r="AV165" i="103"/>
  <c r="AJ165" i="103"/>
  <c r="CS164" i="103"/>
  <c r="BU164" i="103"/>
  <c r="AZ164" i="103"/>
  <c r="P164" i="103"/>
  <c r="BY163" i="103"/>
  <c r="AR163" i="103"/>
  <c r="AQ202" i="103"/>
  <c r="AQ200" i="103"/>
  <c r="AE199" i="103"/>
  <c r="BV198" i="103"/>
  <c r="AJ198" i="103"/>
  <c r="CS197" i="103"/>
  <c r="BU197" i="103"/>
  <c r="AZ197" i="103"/>
  <c r="P197" i="103"/>
  <c r="BX196" i="103"/>
  <c r="BC196" i="103"/>
  <c r="AQ196" i="103"/>
  <c r="AE196" i="103"/>
  <c r="S196" i="103"/>
  <c r="G196" i="103"/>
  <c r="CN195" i="103"/>
  <c r="CB195" i="103"/>
  <c r="BG195" i="103"/>
  <c r="AI195" i="103"/>
  <c r="BT194" i="103"/>
  <c r="AY194" i="103"/>
  <c r="BX193" i="103"/>
  <c r="BC193" i="103"/>
  <c r="AQ193" i="103"/>
  <c r="AE193" i="103"/>
  <c r="S193" i="103"/>
  <c r="G193" i="103"/>
  <c r="CN192" i="103"/>
  <c r="CB192" i="103"/>
  <c r="AN192" i="103" s="1"/>
  <c r="BG192" i="103"/>
  <c r="AI192" i="103"/>
  <c r="BT191" i="103"/>
  <c r="AY191" i="103"/>
  <c r="BX190" i="103"/>
  <c r="BC190" i="103"/>
  <c r="AQ190" i="103"/>
  <c r="AE190" i="103"/>
  <c r="S190" i="103"/>
  <c r="G190" i="103"/>
  <c r="CN189" i="103"/>
  <c r="CB189" i="103"/>
  <c r="AN189" i="103" s="1"/>
  <c r="BG189" i="103"/>
  <c r="AU189" i="103"/>
  <c r="AI189" i="103"/>
  <c r="BT188" i="103"/>
  <c r="AY188" i="103"/>
  <c r="BX187" i="103"/>
  <c r="BC187" i="103"/>
  <c r="AQ187" i="103"/>
  <c r="AE187" i="103"/>
  <c r="S187" i="103"/>
  <c r="G187" i="103"/>
  <c r="CN186" i="103"/>
  <c r="CB186" i="103"/>
  <c r="AN186" i="103" s="1"/>
  <c r="BG186" i="103"/>
  <c r="AU186" i="103"/>
  <c r="AI186" i="103"/>
  <c r="BT185" i="103"/>
  <c r="AY185" i="103"/>
  <c r="BX184" i="103"/>
  <c r="BC184" i="103"/>
  <c r="AQ184" i="103"/>
  <c r="AE184" i="103"/>
  <c r="S184" i="103"/>
  <c r="G184" i="103"/>
  <c r="CN183" i="103"/>
  <c r="CB183" i="103"/>
  <c r="AN183" i="103" s="1"/>
  <c r="BG183" i="103"/>
  <c r="AU183" i="103"/>
  <c r="AI183" i="103"/>
  <c r="BT182" i="103"/>
  <c r="AY182" i="103"/>
  <c r="BX181" i="103"/>
  <c r="BC181" i="103"/>
  <c r="AQ181" i="103"/>
  <c r="AE181" i="103"/>
  <c r="S181" i="103"/>
  <c r="G181" i="103"/>
  <c r="CN180" i="103"/>
  <c r="CB180" i="103"/>
  <c r="AN180" i="103" s="1"/>
  <c r="BG180" i="103"/>
  <c r="AU180" i="103"/>
  <c r="AI180" i="103"/>
  <c r="BT179" i="103"/>
  <c r="AY179" i="103"/>
  <c r="BX178" i="103"/>
  <c r="BC178" i="103"/>
  <c r="AQ178" i="103"/>
  <c r="AE178" i="103"/>
  <c r="S178" i="103"/>
  <c r="G178" i="103"/>
  <c r="CN177" i="103"/>
  <c r="CB177" i="103"/>
  <c r="AN177" i="103" s="1"/>
  <c r="BG177" i="103"/>
  <c r="AU177" i="103"/>
  <c r="AI177" i="103"/>
  <c r="BT176" i="103"/>
  <c r="AY176" i="103"/>
  <c r="BX175" i="103"/>
  <c r="BC175" i="103"/>
  <c r="AQ175" i="103"/>
  <c r="AE175" i="103"/>
  <c r="S175" i="103"/>
  <c r="G175" i="103"/>
  <c r="CN174" i="103"/>
  <c r="CB174" i="103"/>
  <c r="AN174" i="103" s="1"/>
  <c r="BG174" i="103"/>
  <c r="AU174" i="103"/>
  <c r="AI174" i="103"/>
  <c r="BT173" i="103"/>
  <c r="AY173" i="103"/>
  <c r="BX172" i="103"/>
  <c r="BC172" i="103"/>
  <c r="AQ172" i="103"/>
  <c r="AE172" i="103"/>
  <c r="S172" i="103"/>
  <c r="G172" i="103"/>
  <c r="CN171" i="103"/>
  <c r="CB171" i="103"/>
  <c r="AN171" i="103" s="1"/>
  <c r="BG171" i="103"/>
  <c r="AU171" i="103"/>
  <c r="AI171" i="103"/>
  <c r="BT170" i="103"/>
  <c r="AY170" i="103"/>
  <c r="BX169" i="103"/>
  <c r="BC169" i="103"/>
  <c r="AQ169" i="103"/>
  <c r="AE169" i="103"/>
  <c r="S169" i="103"/>
  <c r="G169" i="103"/>
  <c r="CN168" i="103"/>
  <c r="CB168" i="103"/>
  <c r="AN168" i="103" s="1"/>
  <c r="BG168" i="103"/>
  <c r="AU168" i="103"/>
  <c r="AI168" i="103"/>
  <c r="BT167" i="103"/>
  <c r="AY167" i="103"/>
  <c r="BX166" i="103"/>
  <c r="BC166" i="103"/>
  <c r="AQ166" i="103"/>
  <c r="AE166" i="103"/>
  <c r="S166" i="103"/>
  <c r="G166" i="103"/>
  <c r="CN165" i="103"/>
  <c r="CB165" i="103"/>
  <c r="AN165" i="103" s="1"/>
  <c r="BG165" i="103"/>
  <c r="AU165" i="103"/>
  <c r="AI165" i="103"/>
  <c r="BT164" i="103"/>
  <c r="AY164" i="103"/>
  <c r="BX163" i="103"/>
  <c r="BC163" i="103"/>
  <c r="AQ163" i="103"/>
  <c r="AE163" i="103"/>
  <c r="S163" i="103"/>
  <c r="CB201" i="103"/>
  <c r="AN201" i="103" s="1"/>
  <c r="CD200" i="103"/>
  <c r="BT198" i="103"/>
  <c r="BG198" i="103"/>
  <c r="AI198" i="103"/>
  <c r="BT197" i="103"/>
  <c r="AY197" i="103"/>
  <c r="BW196" i="103"/>
  <c r="AD196" i="103"/>
  <c r="CA195" i="103"/>
  <c r="BF195" i="103"/>
  <c r="AT195" i="103"/>
  <c r="AH195" i="103"/>
  <c r="V195" i="103"/>
  <c r="CE194" i="103"/>
  <c r="BS194" i="103"/>
  <c r="AX194" i="103"/>
  <c r="N194" i="103"/>
  <c r="BW193" i="103"/>
  <c r="AD193" i="103"/>
  <c r="CA192" i="103"/>
  <c r="BF192" i="103"/>
  <c r="AT192" i="103"/>
  <c r="AH192" i="103"/>
  <c r="V192" i="103"/>
  <c r="CE191" i="103"/>
  <c r="BS191" i="103"/>
  <c r="AX191" i="103"/>
  <c r="N191" i="103"/>
  <c r="BW190" i="103"/>
  <c r="AP190" i="103"/>
  <c r="AD190" i="103"/>
  <c r="CA189" i="103"/>
  <c r="BF189" i="103"/>
  <c r="AT189" i="103"/>
  <c r="AH189" i="103"/>
  <c r="V189" i="103"/>
  <c r="CE188" i="103"/>
  <c r="BS188" i="103"/>
  <c r="AX188" i="103"/>
  <c r="N188" i="103"/>
  <c r="BW187" i="103"/>
  <c r="AP187" i="103"/>
  <c r="AD187" i="103"/>
  <c r="CA186" i="103"/>
  <c r="BF186" i="103"/>
  <c r="AT186" i="103"/>
  <c r="AH186" i="103"/>
  <c r="V186" i="103"/>
  <c r="CE185" i="103"/>
  <c r="BS185" i="103"/>
  <c r="AX185" i="103"/>
  <c r="N185" i="103"/>
  <c r="BW184" i="103"/>
  <c r="AP184" i="103"/>
  <c r="AD184" i="103"/>
  <c r="CA183" i="103"/>
  <c r="BF183" i="103"/>
  <c r="AT183" i="103"/>
  <c r="AH183" i="103"/>
  <c r="V183" i="103"/>
  <c r="CE182" i="103"/>
  <c r="BS182" i="103"/>
  <c r="AX182" i="103"/>
  <c r="N182" i="103"/>
  <c r="BW181" i="103"/>
  <c r="AP181" i="103"/>
  <c r="AD181" i="103"/>
  <c r="CA180" i="103"/>
  <c r="BF180" i="103"/>
  <c r="AT180" i="103"/>
  <c r="AH180" i="103"/>
  <c r="V180" i="103"/>
  <c r="CE179" i="103"/>
  <c r="BS179" i="103"/>
  <c r="AX179" i="103"/>
  <c r="N179" i="103"/>
  <c r="BW178" i="103"/>
  <c r="AP178" i="103"/>
  <c r="AD178" i="103"/>
  <c r="CA177" i="103"/>
  <c r="BF177" i="103"/>
  <c r="AT177" i="103"/>
  <c r="AH177" i="103"/>
  <c r="V177" i="103"/>
  <c r="CE176" i="103"/>
  <c r="BS176" i="103"/>
  <c r="AX176" i="103"/>
  <c r="N176" i="103"/>
  <c r="BW175" i="103"/>
  <c r="AP175" i="103"/>
  <c r="AD175" i="103"/>
  <c r="CA174" i="103"/>
  <c r="BF174" i="103"/>
  <c r="AT174" i="103"/>
  <c r="AH174" i="103"/>
  <c r="V174" i="103"/>
  <c r="CE173" i="103"/>
  <c r="BS173" i="103"/>
  <c r="AX173" i="103"/>
  <c r="N173" i="103"/>
  <c r="BW172" i="103"/>
  <c r="AP172" i="103"/>
  <c r="AD172" i="103"/>
  <c r="CA171" i="103"/>
  <c r="BF171" i="103"/>
  <c r="AT171" i="103"/>
  <c r="AH171" i="103"/>
  <c r="V171" i="103"/>
  <c r="CE170" i="103"/>
  <c r="BS170" i="103"/>
  <c r="AX170" i="103"/>
  <c r="N170" i="103"/>
  <c r="BW169" i="103"/>
  <c r="AP169" i="103"/>
  <c r="AD169" i="103"/>
  <c r="CA168" i="103"/>
  <c r="BF168" i="103"/>
  <c r="AT168" i="103"/>
  <c r="AH168" i="103"/>
  <c r="V168" i="103"/>
  <c r="CE167" i="103"/>
  <c r="BS167" i="103"/>
  <c r="AX167" i="103"/>
  <c r="N167" i="103"/>
  <c r="BW166" i="103"/>
  <c r="AP166" i="103"/>
  <c r="AD166" i="103"/>
  <c r="CA165" i="103"/>
  <c r="BF165" i="103"/>
  <c r="AT165" i="103"/>
  <c r="AH165" i="103"/>
  <c r="V165" i="103"/>
  <c r="CE164" i="103"/>
  <c r="BS164" i="103"/>
  <c r="AX164" i="103"/>
  <c r="N164" i="103"/>
  <c r="BW163" i="103"/>
  <c r="AP163" i="103"/>
  <c r="AD163" i="103"/>
  <c r="BZ201" i="103"/>
  <c r="AI201" i="103"/>
  <c r="BT200" i="103"/>
  <c r="CN198" i="103"/>
  <c r="BQ198" i="103"/>
  <c r="BF198" i="103"/>
  <c r="AT198" i="103"/>
  <c r="AH198" i="103"/>
  <c r="V198" i="103"/>
  <c r="CE197" i="103"/>
  <c r="BS197" i="103"/>
  <c r="AX197" i="103"/>
  <c r="N197" i="103"/>
  <c r="BV196" i="103"/>
  <c r="Q196" i="103"/>
  <c r="BZ195" i="103"/>
  <c r="BE195" i="103"/>
  <c r="AS195" i="103"/>
  <c r="AG195" i="103"/>
  <c r="I195" i="103"/>
  <c r="CD194" i="103"/>
  <c r="AW194" i="103"/>
  <c r="AK194" i="103"/>
  <c r="BV193" i="103"/>
  <c r="Q193" i="103"/>
  <c r="BZ192" i="103"/>
  <c r="BE192" i="103"/>
  <c r="AS192" i="103"/>
  <c r="AG192" i="103"/>
  <c r="I192" i="103"/>
  <c r="CD191" i="103"/>
  <c r="AW191" i="103"/>
  <c r="AK191" i="103"/>
  <c r="BV190" i="103"/>
  <c r="AO190" i="103"/>
  <c r="Q190" i="103"/>
  <c r="BZ189" i="103"/>
  <c r="BE189" i="103"/>
  <c r="AS189" i="103"/>
  <c r="AG189" i="103"/>
  <c r="I189" i="103"/>
  <c r="CD188" i="103"/>
  <c r="AW188" i="103"/>
  <c r="AK188" i="103"/>
  <c r="BV187" i="103"/>
  <c r="AO187" i="103"/>
  <c r="Q187" i="103"/>
  <c r="BZ186" i="103"/>
  <c r="BE186" i="103"/>
  <c r="AS186" i="103"/>
  <c r="AG186" i="103"/>
  <c r="I186" i="103"/>
  <c r="CD185" i="103"/>
  <c r="AW185" i="103"/>
  <c r="AK185" i="103"/>
  <c r="BV184" i="103"/>
  <c r="AO184" i="103"/>
  <c r="Q184" i="103"/>
  <c r="BZ183" i="103"/>
  <c r="BE183" i="103"/>
  <c r="AS183" i="103"/>
  <c r="AG183" i="103"/>
  <c r="I183" i="103"/>
  <c r="CD182" i="103"/>
  <c r="AW182" i="103"/>
  <c r="AK182" i="103"/>
  <c r="BV181" i="103"/>
  <c r="AO181" i="103"/>
  <c r="Q181" i="103"/>
  <c r="BZ180" i="103"/>
  <c r="BE180" i="103"/>
  <c r="AS180" i="103"/>
  <c r="AG180" i="103"/>
  <c r="I180" i="103"/>
  <c r="CD179" i="103"/>
  <c r="AW179" i="103"/>
  <c r="AK179" i="103"/>
  <c r="BV178" i="103"/>
  <c r="AO178" i="103"/>
  <c r="Q178" i="103"/>
  <c r="BZ177" i="103"/>
  <c r="BE177" i="103"/>
  <c r="AS177" i="103"/>
  <c r="AG177" i="103"/>
  <c r="I177" i="103"/>
  <c r="CD176" i="103"/>
  <c r="AW176" i="103"/>
  <c r="AK176" i="103"/>
  <c r="BV175" i="103"/>
  <c r="AO175" i="103"/>
  <c r="Q175" i="103"/>
  <c r="BZ174" i="103"/>
  <c r="BE174" i="103"/>
  <c r="AS174" i="103"/>
  <c r="AG174" i="103"/>
  <c r="I174" i="103"/>
  <c r="CD173" i="103"/>
  <c r="AW173" i="103"/>
  <c r="AK173" i="103"/>
  <c r="BV172" i="103"/>
  <c r="AO172" i="103"/>
  <c r="Q172" i="103"/>
  <c r="BZ171" i="103"/>
  <c r="BE171" i="103"/>
  <c r="AS171" i="103"/>
  <c r="AG171" i="103"/>
  <c r="I171" i="103"/>
  <c r="CD170" i="103"/>
  <c r="AW170" i="103"/>
  <c r="AK170" i="103"/>
  <c r="BV169" i="103"/>
  <c r="AO169" i="103"/>
  <c r="Q169" i="103"/>
  <c r="BZ168" i="103"/>
  <c r="BE168" i="103"/>
  <c r="AS168" i="103"/>
  <c r="AG168" i="103"/>
  <c r="I168" i="103"/>
  <c r="CD167" i="103"/>
  <c r="AW167" i="103"/>
  <c r="AK167" i="103"/>
  <c r="BV166" i="103"/>
  <c r="AO166" i="103"/>
  <c r="Q166" i="103"/>
  <c r="BZ165" i="103"/>
  <c r="BE165" i="103"/>
  <c r="AS165" i="103"/>
  <c r="AG165" i="103"/>
  <c r="I165" i="103"/>
  <c r="CD164" i="103"/>
  <c r="AW164" i="103"/>
  <c r="AK164" i="103"/>
  <c r="BV163" i="103"/>
  <c r="AO163" i="103"/>
  <c r="Q163" i="103"/>
  <c r="AE202" i="103"/>
  <c r="AG201" i="103"/>
  <c r="CN199" i="103"/>
  <c r="BG199" i="103"/>
  <c r="S199" i="103"/>
  <c r="BE198" i="103"/>
  <c r="AS198" i="103"/>
  <c r="AG198" i="103"/>
  <c r="I198" i="103"/>
  <c r="CD197" i="103"/>
  <c r="AW197" i="103"/>
  <c r="AK197" i="103"/>
  <c r="CS196" i="103"/>
  <c r="BU196" i="103"/>
  <c r="AZ196" i="103"/>
  <c r="P196" i="103"/>
  <c r="BY195" i="103"/>
  <c r="AF195" i="103"/>
  <c r="T195" i="103"/>
  <c r="CC194" i="103"/>
  <c r="BQ194" i="103"/>
  <c r="AJ194" i="103"/>
  <c r="CS193" i="103"/>
  <c r="BU193" i="103"/>
  <c r="AZ193" i="103"/>
  <c r="P193" i="103"/>
  <c r="BY192" i="103"/>
  <c r="AF192" i="103"/>
  <c r="T192" i="103"/>
  <c r="CC191" i="103"/>
  <c r="BQ191" i="103"/>
  <c r="AV191" i="103"/>
  <c r="AJ191" i="103"/>
  <c r="CS190" i="103"/>
  <c r="BU190" i="103"/>
  <c r="AZ190" i="103"/>
  <c r="P190" i="103"/>
  <c r="BY189" i="103"/>
  <c r="AR189" i="103"/>
  <c r="AF189" i="103"/>
  <c r="T189" i="103"/>
  <c r="CC188" i="103"/>
  <c r="BQ188" i="103"/>
  <c r="AV188" i="103"/>
  <c r="AJ188" i="103"/>
  <c r="CS187" i="103"/>
  <c r="BU187" i="103"/>
  <c r="AZ187" i="103"/>
  <c r="P187" i="103"/>
  <c r="BY186" i="103"/>
  <c r="AR186" i="103"/>
  <c r="AF186" i="103"/>
  <c r="T186" i="103"/>
  <c r="CC185" i="103"/>
  <c r="BQ185" i="103"/>
  <c r="AV185" i="103"/>
  <c r="AJ185" i="103"/>
  <c r="CS184" i="103"/>
  <c r="BU184" i="103"/>
  <c r="AZ184" i="103"/>
  <c r="P184" i="103"/>
  <c r="BY183" i="103"/>
  <c r="AR183" i="103"/>
  <c r="AF183" i="103"/>
  <c r="T183" i="103"/>
  <c r="CC182" i="103"/>
  <c r="BQ182" i="103"/>
  <c r="AV182" i="103"/>
  <c r="AJ182" i="103"/>
  <c r="CS181" i="103"/>
  <c r="BU181" i="103"/>
  <c r="AZ181" i="103"/>
  <c r="P181" i="103"/>
  <c r="BY180" i="103"/>
  <c r="AR180" i="103"/>
  <c r="AF180" i="103"/>
  <c r="T180" i="103"/>
  <c r="CC179" i="103"/>
  <c r="BQ179" i="103"/>
  <c r="AV179" i="103"/>
  <c r="AJ179" i="103"/>
  <c r="CS178" i="103"/>
  <c r="BU178" i="103"/>
  <c r="AZ178" i="103"/>
  <c r="P178" i="103"/>
  <c r="BY177" i="103"/>
  <c r="AR177" i="103"/>
  <c r="AF177" i="103"/>
  <c r="T177" i="103"/>
  <c r="CC176" i="103"/>
  <c r="BQ176" i="103"/>
  <c r="AV176" i="103"/>
  <c r="AJ176" i="103"/>
  <c r="CS175" i="103"/>
  <c r="BU175" i="103"/>
  <c r="AZ175" i="103"/>
  <c r="P175" i="103"/>
  <c r="BY174" i="103"/>
  <c r="AR174" i="103"/>
  <c r="AF174" i="103"/>
  <c r="T174" i="103"/>
  <c r="CC173" i="103"/>
  <c r="BQ173" i="103"/>
  <c r="AV173" i="103"/>
  <c r="AJ173" i="103"/>
  <c r="CS172" i="103"/>
  <c r="BU172" i="103"/>
  <c r="AZ172" i="103"/>
  <c r="P172" i="103"/>
  <c r="BY171" i="103"/>
  <c r="AR171" i="103"/>
  <c r="AF171" i="103"/>
  <c r="T171" i="103"/>
  <c r="CC170" i="103"/>
  <c r="BQ170" i="103"/>
  <c r="AV170" i="103"/>
  <c r="AJ170" i="103"/>
  <c r="CS169" i="103"/>
  <c r="BU169" i="103"/>
  <c r="AZ169" i="103"/>
  <c r="P169" i="103"/>
  <c r="BY168" i="103"/>
  <c r="AR168" i="103"/>
  <c r="AF168" i="103"/>
  <c r="T168" i="103"/>
  <c r="CC167" i="103"/>
  <c r="BQ167" i="103"/>
  <c r="AV167" i="103"/>
  <c r="AJ167" i="103"/>
  <c r="CS166" i="103"/>
  <c r="BU166" i="103"/>
  <c r="AZ166" i="103"/>
  <c r="P166" i="103"/>
  <c r="BY165" i="103"/>
  <c r="AR165" i="103"/>
  <c r="AF165" i="103"/>
  <c r="T165" i="103"/>
  <c r="CC164" i="103"/>
  <c r="BQ164" i="103"/>
  <c r="AV164" i="103"/>
  <c r="AJ164" i="103"/>
  <c r="CS163" i="103"/>
  <c r="BU163" i="103"/>
  <c r="AZ163" i="103"/>
  <c r="P163" i="103"/>
  <c r="BV202" i="103"/>
  <c r="AK200" i="103"/>
  <c r="BC199" i="103"/>
  <c r="Q199" i="103"/>
  <c r="AF198" i="103"/>
  <c r="T198" i="103"/>
  <c r="CC197" i="103"/>
  <c r="BQ197" i="103"/>
  <c r="AJ197" i="103"/>
  <c r="BT196" i="103"/>
  <c r="AY196" i="103"/>
  <c r="BX195" i="103"/>
  <c r="BC195" i="103"/>
  <c r="AQ195" i="103"/>
  <c r="AE195" i="103"/>
  <c r="S195" i="103"/>
  <c r="G195" i="103"/>
  <c r="CN194" i="103"/>
  <c r="CB194" i="103"/>
  <c r="AN194" i="103" s="1"/>
  <c r="BG194" i="103"/>
  <c r="AI194" i="103"/>
  <c r="BT193" i="103"/>
  <c r="AY193" i="103"/>
  <c r="BX192" i="103"/>
  <c r="BC192" i="103"/>
  <c r="AE192" i="103"/>
  <c r="S192" i="103"/>
  <c r="G192" i="103"/>
  <c r="CN191" i="103"/>
  <c r="CB191" i="103"/>
  <c r="AN191" i="103" s="1"/>
  <c r="BG191" i="103"/>
  <c r="AU191" i="103"/>
  <c r="AI191" i="103"/>
  <c r="BT190" i="103"/>
  <c r="AY190" i="103"/>
  <c r="BX189" i="103"/>
  <c r="BC189" i="103"/>
  <c r="AQ189" i="103"/>
  <c r="AE189" i="103"/>
  <c r="S189" i="103"/>
  <c r="G189" i="103"/>
  <c r="CN188" i="103"/>
  <c r="CB188" i="103"/>
  <c r="BG188" i="103"/>
  <c r="AU188" i="103"/>
  <c r="AI188" i="103"/>
  <c r="BT187" i="103"/>
  <c r="AY187" i="103"/>
  <c r="BX186" i="103"/>
  <c r="BC186" i="103"/>
  <c r="AQ186" i="103"/>
  <c r="AE186" i="103"/>
  <c r="S186" i="103"/>
  <c r="G186" i="103"/>
  <c r="CN185" i="103"/>
  <c r="CB185" i="103"/>
  <c r="BG185" i="103"/>
  <c r="AU185" i="103"/>
  <c r="AI185" i="103"/>
  <c r="BT184" i="103"/>
  <c r="AY184" i="103"/>
  <c r="BX183" i="103"/>
  <c r="BC183" i="103"/>
  <c r="AQ183" i="103"/>
  <c r="AE183" i="103"/>
  <c r="S183" i="103"/>
  <c r="G183" i="103"/>
  <c r="CN182" i="103"/>
  <c r="CB182" i="103"/>
  <c r="BG182" i="103"/>
  <c r="AU182" i="103"/>
  <c r="AI182" i="103"/>
  <c r="BT181" i="103"/>
  <c r="AY181" i="103"/>
  <c r="BX180" i="103"/>
  <c r="BC180" i="103"/>
  <c r="AQ180" i="103"/>
  <c r="AE180" i="103"/>
  <c r="S180" i="103"/>
  <c r="G180" i="103"/>
  <c r="CN179" i="103"/>
  <c r="CB179" i="103"/>
  <c r="BG179" i="103"/>
  <c r="AU179" i="103"/>
  <c r="AI179" i="103"/>
  <c r="BT178" i="103"/>
  <c r="AY178" i="103"/>
  <c r="BX177" i="103"/>
  <c r="BC177" i="103"/>
  <c r="AQ177" i="103"/>
  <c r="AE177" i="103"/>
  <c r="S177" i="103"/>
  <c r="G177" i="103"/>
  <c r="CN176" i="103"/>
  <c r="CB176" i="103"/>
  <c r="BG176" i="103"/>
  <c r="AU176" i="103"/>
  <c r="AI176" i="103"/>
  <c r="BT175" i="103"/>
  <c r="AY175" i="103"/>
  <c r="BX174" i="103"/>
  <c r="BC174" i="103"/>
  <c r="AQ174" i="103"/>
  <c r="AE174" i="103"/>
  <c r="S174" i="103"/>
  <c r="G174" i="103"/>
  <c r="CN173" i="103"/>
  <c r="CB173" i="103"/>
  <c r="AN173" i="103" s="1"/>
  <c r="BG173" i="103"/>
  <c r="AU173" i="103"/>
  <c r="AI173" i="103"/>
  <c r="BT172" i="103"/>
  <c r="AY172" i="103"/>
  <c r="BX171" i="103"/>
  <c r="BC171" i="103"/>
  <c r="AQ171" i="103"/>
  <c r="AE171" i="103"/>
  <c r="S171" i="103"/>
  <c r="G171" i="103"/>
  <c r="CN170" i="103"/>
  <c r="CB170" i="103"/>
  <c r="AN170" i="103" s="1"/>
  <c r="BG170" i="103"/>
  <c r="AU170" i="103"/>
  <c r="AI170" i="103"/>
  <c r="BT169" i="103"/>
  <c r="AY169" i="103"/>
  <c r="BX168" i="103"/>
  <c r="BC168" i="103"/>
  <c r="AQ168" i="103"/>
  <c r="AE168" i="103"/>
  <c r="S168" i="103"/>
  <c r="G168" i="103"/>
  <c r="CN167" i="103"/>
  <c r="CB167" i="103"/>
  <c r="BG167" i="103"/>
  <c r="AU167" i="103"/>
  <c r="AI167" i="103"/>
  <c r="BT166" i="103"/>
  <c r="AY166" i="103"/>
  <c r="BX165" i="103"/>
  <c r="BC165" i="103"/>
  <c r="AQ165" i="103"/>
  <c r="AE165" i="103"/>
  <c r="S165" i="103"/>
  <c r="G165" i="103"/>
  <c r="CN164" i="103"/>
  <c r="CB164" i="103"/>
  <c r="AN164" i="103" s="1"/>
  <c r="BG164" i="103"/>
  <c r="AU164" i="103"/>
  <c r="AI164" i="103"/>
  <c r="BT163" i="103"/>
  <c r="AY163" i="103"/>
  <c r="AW203" i="103"/>
  <c r="S202" i="103"/>
  <c r="AE200" i="103"/>
  <c r="BC198" i="103"/>
  <c r="AQ198" i="103"/>
  <c r="AE198" i="103"/>
  <c r="S198" i="103"/>
  <c r="G198" i="103"/>
  <c r="CN197" i="103"/>
  <c r="CB197" i="103"/>
  <c r="BG197" i="103"/>
  <c r="AI197" i="103"/>
  <c r="CE196" i="103"/>
  <c r="BS196" i="103"/>
  <c r="AX196" i="103"/>
  <c r="N196" i="103"/>
  <c r="BW195" i="103"/>
  <c r="AD195" i="103"/>
  <c r="CA194" i="103"/>
  <c r="BF194" i="103"/>
  <c r="AT194" i="103"/>
  <c r="AH194" i="103"/>
  <c r="V194" i="103"/>
  <c r="CE193" i="103"/>
  <c r="BS193" i="103"/>
  <c r="AX193" i="103"/>
  <c r="N193" i="103"/>
  <c r="BW192" i="103"/>
  <c r="AD192" i="103"/>
  <c r="CA191" i="103"/>
  <c r="BF191" i="103"/>
  <c r="AT191" i="103"/>
  <c r="AH191" i="103"/>
  <c r="V191" i="103"/>
  <c r="CE190" i="103"/>
  <c r="BS190" i="103"/>
  <c r="AX190" i="103"/>
  <c r="N190" i="103"/>
  <c r="BW189" i="103"/>
  <c r="AP189" i="103"/>
  <c r="AD189" i="103"/>
  <c r="CA188" i="103"/>
  <c r="BF188" i="103"/>
  <c r="AT188" i="103"/>
  <c r="AH188" i="103"/>
  <c r="V188" i="103"/>
  <c r="CE187" i="103"/>
  <c r="BS187" i="103"/>
  <c r="AX187" i="103"/>
  <c r="N187" i="103"/>
  <c r="BW186" i="103"/>
  <c r="AP186" i="103"/>
  <c r="AD186" i="103"/>
  <c r="CA185" i="103"/>
  <c r="BF185" i="103"/>
  <c r="AT185" i="103"/>
  <c r="AH185" i="103"/>
  <c r="V185" i="103"/>
  <c r="CE184" i="103"/>
  <c r="BS184" i="103"/>
  <c r="AX184" i="103"/>
  <c r="N184" i="103"/>
  <c r="BW183" i="103"/>
  <c r="AP183" i="103"/>
  <c r="AD183" i="103"/>
  <c r="CA182" i="103"/>
  <c r="BF182" i="103"/>
  <c r="AT182" i="103"/>
  <c r="AH182" i="103"/>
  <c r="V182" i="103"/>
  <c r="CE181" i="103"/>
  <c r="BS181" i="103"/>
  <c r="AX181" i="103"/>
  <c r="N181" i="103"/>
  <c r="BW180" i="103"/>
  <c r="AP180" i="103"/>
  <c r="AD180" i="103"/>
  <c r="CA179" i="103"/>
  <c r="BF179" i="103"/>
  <c r="AT179" i="103"/>
  <c r="AH179" i="103"/>
  <c r="V179" i="103"/>
  <c r="CE178" i="103"/>
  <c r="BS178" i="103"/>
  <c r="AX178" i="103"/>
  <c r="N178" i="103"/>
  <c r="BW177" i="103"/>
  <c r="AP177" i="103"/>
  <c r="AD177" i="103"/>
  <c r="CA176" i="103"/>
  <c r="BF176" i="103"/>
  <c r="AT176" i="103"/>
  <c r="AH176" i="103"/>
  <c r="V176" i="103"/>
  <c r="CE175" i="103"/>
  <c r="BS175" i="103"/>
  <c r="AX175" i="103"/>
  <c r="N175" i="103"/>
  <c r="BW174" i="103"/>
  <c r="AP174" i="103"/>
  <c r="AD174" i="103"/>
  <c r="CA173" i="103"/>
  <c r="BF173" i="103"/>
  <c r="AT173" i="103"/>
  <c r="AH173" i="103"/>
  <c r="V173" i="103"/>
  <c r="CE172" i="103"/>
  <c r="BS172" i="103"/>
  <c r="AX172" i="103"/>
  <c r="N172" i="103"/>
  <c r="BW171" i="103"/>
  <c r="AP171" i="103"/>
  <c r="AD171" i="103"/>
  <c r="Q202" i="103"/>
  <c r="CB199" i="103"/>
  <c r="G199" i="103"/>
  <c r="AD198" i="103"/>
  <c r="CA197" i="103"/>
  <c r="BF197" i="103"/>
  <c r="AT197" i="103"/>
  <c r="AH197" i="103"/>
  <c r="V197" i="103"/>
  <c r="CD196" i="103"/>
  <c r="AW196" i="103"/>
  <c r="AK196" i="103"/>
  <c r="BV195" i="103"/>
  <c r="Q195" i="103"/>
  <c r="BZ194" i="103"/>
  <c r="BE194" i="103"/>
  <c r="AS194" i="103"/>
  <c r="AG194" i="103"/>
  <c r="I194" i="103"/>
  <c r="CD193" i="103"/>
  <c r="AW193" i="103"/>
  <c r="AK193" i="103"/>
  <c r="BV192" i="103"/>
  <c r="Q192" i="103"/>
  <c r="BZ191" i="103"/>
  <c r="BE191" i="103"/>
  <c r="AS191" i="103"/>
  <c r="AG191" i="103"/>
  <c r="I191" i="103"/>
  <c r="CD190" i="103"/>
  <c r="AW190" i="103"/>
  <c r="AK190" i="103"/>
  <c r="BV189" i="103"/>
  <c r="AO189" i="103"/>
  <c r="Q189" i="103"/>
  <c r="BZ188" i="103"/>
  <c r="BE188" i="103"/>
  <c r="AS188" i="103"/>
  <c r="AG188" i="103"/>
  <c r="I188" i="103"/>
  <c r="CD187" i="103"/>
  <c r="AW187" i="103"/>
  <c r="AK187" i="103"/>
  <c r="BV186" i="103"/>
  <c r="AO186" i="103"/>
  <c r="Q186" i="103"/>
  <c r="BZ185" i="103"/>
  <c r="BE185" i="103"/>
  <c r="AS185" i="103"/>
  <c r="AG185" i="103"/>
  <c r="I185" i="103"/>
  <c r="CD184" i="103"/>
  <c r="AW184" i="103"/>
  <c r="AK184" i="103"/>
  <c r="BV183" i="103"/>
  <c r="AO183" i="103"/>
  <c r="Q183" i="103"/>
  <c r="BZ182" i="103"/>
  <c r="BE182" i="103"/>
  <c r="AS182" i="103"/>
  <c r="AG182" i="103"/>
  <c r="I182" i="103"/>
  <c r="CD181" i="103"/>
  <c r="AW181" i="103"/>
  <c r="AK181" i="103"/>
  <c r="BV180" i="103"/>
  <c r="AO180" i="103"/>
  <c r="Q180" i="103"/>
  <c r="BZ179" i="103"/>
  <c r="BE179" i="103"/>
  <c r="AS179" i="103"/>
  <c r="AG179" i="103"/>
  <c r="I179" i="103"/>
  <c r="CD178" i="103"/>
  <c r="AW178" i="103"/>
  <c r="AK178" i="103"/>
  <c r="BV177" i="103"/>
  <c r="AO177" i="103"/>
  <c r="Q177" i="103"/>
  <c r="BZ176" i="103"/>
  <c r="BE176" i="103"/>
  <c r="AS176" i="103"/>
  <c r="AG176" i="103"/>
  <c r="I176" i="103"/>
  <c r="CD175" i="103"/>
  <c r="AW175" i="103"/>
  <c r="AK175" i="103"/>
  <c r="BV174" i="103"/>
  <c r="AO174" i="103"/>
  <c r="Q174" i="103"/>
  <c r="BZ173" i="103"/>
  <c r="BE173" i="103"/>
  <c r="AS173" i="103"/>
  <c r="AG173" i="103"/>
  <c r="I173" i="103"/>
  <c r="CD172" i="103"/>
  <c r="AW172" i="103"/>
  <c r="AK172" i="103"/>
  <c r="BV171" i="103"/>
  <c r="AO171" i="103"/>
  <c r="Q171" i="103"/>
  <c r="BZ170" i="103"/>
  <c r="BE170" i="103"/>
  <c r="AS170" i="103"/>
  <c r="AG170" i="103"/>
  <c r="I170" i="103"/>
  <c r="CD169" i="103"/>
  <c r="AW169" i="103"/>
  <c r="AK169" i="103"/>
  <c r="BV168" i="103"/>
  <c r="AO168" i="103"/>
  <c r="Q168" i="103"/>
  <c r="BZ167" i="103"/>
  <c r="BE167" i="103"/>
  <c r="AS167" i="103"/>
  <c r="AG167" i="103"/>
  <c r="I167" i="103"/>
  <c r="CD166" i="103"/>
  <c r="AW166" i="103"/>
  <c r="AK166" i="103"/>
  <c r="BV165" i="103"/>
  <c r="AO165" i="103"/>
  <c r="Q165" i="103"/>
  <c r="BZ164" i="103"/>
  <c r="BE164" i="103"/>
  <c r="AS164" i="103"/>
  <c r="AG164" i="103"/>
  <c r="I164" i="103"/>
  <c r="CD163" i="103"/>
  <c r="AW163" i="103"/>
  <c r="AK163" i="103"/>
  <c r="G202" i="103"/>
  <c r="BG201" i="103"/>
  <c r="I201" i="103"/>
  <c r="BX199" i="103"/>
  <c r="CC198" i="103"/>
  <c r="Q198" i="103"/>
  <c r="BZ197" i="103"/>
  <c r="BE197" i="103"/>
  <c r="AS197" i="103"/>
  <c r="AG197" i="103"/>
  <c r="I197" i="103"/>
  <c r="CC196" i="103"/>
  <c r="BQ196" i="103"/>
  <c r="AJ196" i="103"/>
  <c r="CS195" i="103"/>
  <c r="BU195" i="103"/>
  <c r="AZ195" i="103"/>
  <c r="P195" i="103"/>
  <c r="BY194" i="103"/>
  <c r="AF194" i="103"/>
  <c r="T194" i="103"/>
  <c r="CC193" i="103"/>
  <c r="BQ193" i="103"/>
  <c r="AJ193" i="103"/>
  <c r="CS192" i="103"/>
  <c r="BU192" i="103"/>
  <c r="AZ192" i="103"/>
  <c r="P192" i="103"/>
  <c r="BY191" i="103"/>
  <c r="AR191" i="103"/>
  <c r="AR192" i="103" s="1"/>
  <c r="AF191" i="103"/>
  <c r="T191" i="103"/>
  <c r="CC190" i="103"/>
  <c r="BQ190" i="103"/>
  <c r="AV190" i="103"/>
  <c r="AJ190" i="103"/>
  <c r="CS189" i="103"/>
  <c r="BU189" i="103"/>
  <c r="AZ189" i="103"/>
  <c r="P189" i="103"/>
  <c r="BY188" i="103"/>
  <c r="AR188" i="103"/>
  <c r="AF188" i="103"/>
  <c r="T188" i="103"/>
  <c r="CC187" i="103"/>
  <c r="BQ187" i="103"/>
  <c r="AV187" i="103"/>
  <c r="AJ187" i="103"/>
  <c r="CS186" i="103"/>
  <c r="BU186" i="103"/>
  <c r="AZ186" i="103"/>
  <c r="P186" i="103"/>
  <c r="BY185" i="103"/>
  <c r="AR185" i="103"/>
  <c r="AF185" i="103"/>
  <c r="T185" i="103"/>
  <c r="CC184" i="103"/>
  <c r="BQ184" i="103"/>
  <c r="AV184" i="103"/>
  <c r="AJ184" i="103"/>
  <c r="CS183" i="103"/>
  <c r="BU183" i="103"/>
  <c r="AZ183" i="103"/>
  <c r="P183" i="103"/>
  <c r="BY182" i="103"/>
  <c r="AR182" i="103"/>
  <c r="AF182" i="103"/>
  <c r="T182" i="103"/>
  <c r="CC181" i="103"/>
  <c r="BQ181" i="103"/>
  <c r="AV181" i="103"/>
  <c r="AJ181" i="103"/>
  <c r="CS180" i="103"/>
  <c r="BU180" i="103"/>
  <c r="AZ180" i="103"/>
  <c r="P180" i="103"/>
  <c r="BY179" i="103"/>
  <c r="AR179" i="103"/>
  <c r="AF179" i="103"/>
  <c r="T179" i="103"/>
  <c r="CC178" i="103"/>
  <c r="BQ178" i="103"/>
  <c r="AV178" i="103"/>
  <c r="AJ178" i="103"/>
  <c r="CS177" i="103"/>
  <c r="BU177" i="103"/>
  <c r="AZ177" i="103"/>
  <c r="P177" i="103"/>
  <c r="BY176" i="103"/>
  <c r="AR176" i="103"/>
  <c r="AF176" i="103"/>
  <c r="T176" i="103"/>
  <c r="CC175" i="103"/>
  <c r="BQ175" i="103"/>
  <c r="AV175" i="103"/>
  <c r="AJ175" i="103"/>
  <c r="CS174" i="103"/>
  <c r="BU174" i="103"/>
  <c r="AZ174" i="103"/>
  <c r="P174" i="103"/>
  <c r="BY173" i="103"/>
  <c r="AR173" i="103"/>
  <c r="AF173" i="103"/>
  <c r="T173" i="103"/>
  <c r="CC172" i="103"/>
  <c r="BQ172" i="103"/>
  <c r="AV172" i="103"/>
  <c r="AJ172" i="103"/>
  <c r="CS171" i="103"/>
  <c r="BU171" i="103"/>
  <c r="AZ171" i="103"/>
  <c r="P171" i="103"/>
  <c r="BY170" i="103"/>
  <c r="AR170" i="103"/>
  <c r="AF170" i="103"/>
  <c r="T170" i="103"/>
  <c r="CC169" i="103"/>
  <c r="BQ169" i="103"/>
  <c r="AV169" i="103"/>
  <c r="AJ169" i="103"/>
  <c r="CS168" i="103"/>
  <c r="BU168" i="103"/>
  <c r="AZ168" i="103"/>
  <c r="P168" i="103"/>
  <c r="BY167" i="103"/>
  <c r="AR167" i="103"/>
  <c r="AF167" i="103"/>
  <c r="T167" i="103"/>
  <c r="CC166" i="103"/>
  <c r="BQ166" i="103"/>
  <c r="AV166" i="103"/>
  <c r="AJ166" i="103"/>
  <c r="CS165" i="103"/>
  <c r="BU165" i="103"/>
  <c r="AZ165" i="103"/>
  <c r="P165" i="103"/>
  <c r="BY164" i="103"/>
  <c r="AR164" i="103"/>
  <c r="AF164" i="103"/>
  <c r="T164" i="103"/>
  <c r="CC163" i="103"/>
  <c r="BQ163" i="103"/>
  <c r="AV163" i="103"/>
  <c r="AJ163" i="103"/>
  <c r="BC202" i="103"/>
  <c r="BE201" i="103"/>
  <c r="AY200" i="103"/>
  <c r="S200" i="103"/>
  <c r="BV199" i="103"/>
  <c r="AQ199" i="103"/>
  <c r="CB198" i="103"/>
  <c r="AN198" i="103" s="1"/>
  <c r="AZ198" i="103"/>
  <c r="P198" i="103"/>
  <c r="BY197" i="103"/>
  <c r="AF197" i="103"/>
  <c r="T197" i="103"/>
  <c r="CN196" i="103"/>
  <c r="CB196" i="103"/>
  <c r="AN196" i="103" s="1"/>
  <c r="BG196" i="103"/>
  <c r="AI196" i="103"/>
  <c r="BT195" i="103"/>
  <c r="AY195" i="103"/>
  <c r="BX194" i="103"/>
  <c r="BC194" i="103"/>
  <c r="AQ194" i="103"/>
  <c r="AE194" i="103"/>
  <c r="S194" i="103"/>
  <c r="G194" i="103"/>
  <c r="CN193" i="103"/>
  <c r="CB193" i="103"/>
  <c r="AN193" i="103" s="1"/>
  <c r="BG193" i="103"/>
  <c r="AI193" i="103"/>
  <c r="BT192" i="103"/>
  <c r="AY192" i="103"/>
  <c r="BX191" i="103"/>
  <c r="BC191" i="103"/>
  <c r="AQ191" i="103"/>
  <c r="AQ192" i="103" s="1"/>
  <c r="AE191" i="103"/>
  <c r="S191" i="103"/>
  <c r="G191" i="103"/>
  <c r="CN190" i="103"/>
  <c r="CB190" i="103"/>
  <c r="BG190" i="103"/>
  <c r="AU190" i="103"/>
  <c r="AI190" i="103"/>
  <c r="BT189" i="103"/>
  <c r="AY189" i="103"/>
  <c r="BX188" i="103"/>
  <c r="BC188" i="103"/>
  <c r="AQ188" i="103"/>
  <c r="AE188" i="103"/>
  <c r="S188" i="103"/>
  <c r="G188" i="103"/>
  <c r="CN187" i="103"/>
  <c r="CB187" i="103"/>
  <c r="BG187" i="103"/>
  <c r="AU187" i="103"/>
  <c r="AI187" i="103"/>
  <c r="BT186" i="103"/>
  <c r="AY186" i="103"/>
  <c r="BX185" i="103"/>
  <c r="BC185" i="103"/>
  <c r="AQ185" i="103"/>
  <c r="AE185" i="103"/>
  <c r="S185" i="103"/>
  <c r="G185" i="103"/>
  <c r="CN184" i="103"/>
  <c r="CB184" i="103"/>
  <c r="BG184" i="103"/>
  <c r="AU184" i="103"/>
  <c r="AI184" i="103"/>
  <c r="BT183" i="103"/>
  <c r="AY183" i="103"/>
  <c r="BX182" i="103"/>
  <c r="BC182" i="103"/>
  <c r="AQ182" i="103"/>
  <c r="AE182" i="103"/>
  <c r="S182" i="103"/>
  <c r="G182" i="103"/>
  <c r="CN181" i="103"/>
  <c r="CB181" i="103"/>
  <c r="BG181" i="103"/>
  <c r="AU181" i="103"/>
  <c r="AI181" i="103"/>
  <c r="BT180" i="103"/>
  <c r="AY180" i="103"/>
  <c r="BX179" i="103"/>
  <c r="BC179" i="103"/>
  <c r="AQ179" i="103"/>
  <c r="AE179" i="103"/>
  <c r="S179" i="103"/>
  <c r="G179" i="103"/>
  <c r="CN178" i="103"/>
  <c r="CB178" i="103"/>
  <c r="BG178" i="103"/>
  <c r="AU178" i="103"/>
  <c r="AI178" i="103"/>
  <c r="BT177" i="103"/>
  <c r="AY177" i="103"/>
  <c r="BX176" i="103"/>
  <c r="BC176" i="103"/>
  <c r="AQ176" i="103"/>
  <c r="AE176" i="103"/>
  <c r="S176" i="103"/>
  <c r="G176" i="103"/>
  <c r="CN175" i="103"/>
  <c r="CB175" i="103"/>
  <c r="AN175" i="103" s="1"/>
  <c r="BG175" i="103"/>
  <c r="AU175" i="103"/>
  <c r="AI175" i="103"/>
  <c r="BT174" i="103"/>
  <c r="AY174" i="103"/>
  <c r="BX173" i="103"/>
  <c r="BC173" i="103"/>
  <c r="AQ173" i="103"/>
  <c r="AE173" i="103"/>
  <c r="S173" i="103"/>
  <c r="G173" i="103"/>
  <c r="CN172" i="103"/>
  <c r="CB172" i="103"/>
  <c r="AN172" i="103" s="1"/>
  <c r="BG172" i="103"/>
  <c r="AU172" i="103"/>
  <c r="AI172" i="103"/>
  <c r="BT171" i="103"/>
  <c r="AY171" i="103"/>
  <c r="BX170" i="103"/>
  <c r="BC170" i="103"/>
  <c r="AQ170" i="103"/>
  <c r="AE170" i="103"/>
  <c r="S170" i="103"/>
  <c r="G170" i="103"/>
  <c r="CN169" i="103"/>
  <c r="CB169" i="103"/>
  <c r="BG169" i="103"/>
  <c r="AU169" i="103"/>
  <c r="AI169" i="103"/>
  <c r="BT168" i="103"/>
  <c r="AY168" i="103"/>
  <c r="BX167" i="103"/>
  <c r="BC167" i="103"/>
  <c r="AQ167" i="103"/>
  <c r="AE167" i="103"/>
  <c r="S167" i="103"/>
  <c r="G167" i="103"/>
  <c r="CN166" i="103"/>
  <c r="CB166" i="103"/>
  <c r="AN166" i="103" s="1"/>
  <c r="BG166" i="103"/>
  <c r="AU166" i="103"/>
  <c r="AI166" i="103"/>
  <c r="BT165" i="103"/>
  <c r="AY165" i="103"/>
  <c r="BX164" i="103"/>
  <c r="BC164" i="103"/>
  <c r="AQ164" i="103"/>
  <c r="AE164" i="103"/>
  <c r="S164" i="103"/>
  <c r="G164" i="103"/>
  <c r="CN163" i="103"/>
  <c r="CB163" i="103"/>
  <c r="BG163" i="103"/>
  <c r="AU163" i="103"/>
  <c r="AI163" i="103"/>
  <c r="AW200" i="103"/>
  <c r="BZ198" i="103"/>
  <c r="AY198" i="103"/>
  <c r="BX197" i="103"/>
  <c r="BC197" i="103"/>
  <c r="AQ197" i="103"/>
  <c r="AE197" i="103"/>
  <c r="S197" i="103"/>
  <c r="G197" i="103"/>
  <c r="CA196" i="103"/>
  <c r="BF196" i="103"/>
  <c r="AT196" i="103"/>
  <c r="AH196" i="103"/>
  <c r="V196" i="103"/>
  <c r="CE195" i="103"/>
  <c r="BS195" i="103"/>
  <c r="AX195" i="103"/>
  <c r="N195" i="103"/>
  <c r="BW194" i="103"/>
  <c r="AD194" i="103"/>
  <c r="CA193" i="103"/>
  <c r="BF193" i="103"/>
  <c r="AT193" i="103"/>
  <c r="AH193" i="103"/>
  <c r="V193" i="103"/>
  <c r="CE192" i="103"/>
  <c r="BS192" i="103"/>
  <c r="AX192" i="103"/>
  <c r="N192" i="103"/>
  <c r="BW191" i="103"/>
  <c r="AP191" i="103"/>
  <c r="AD191" i="103"/>
  <c r="CA190" i="103"/>
  <c r="BF190" i="103"/>
  <c r="AT190" i="103"/>
  <c r="AH190" i="103"/>
  <c r="V190" i="103"/>
  <c r="CE189" i="103"/>
  <c r="BS189" i="103"/>
  <c r="AX189" i="103"/>
  <c r="N189" i="103"/>
  <c r="BW188" i="103"/>
  <c r="AP188" i="103"/>
  <c r="AD188" i="103"/>
  <c r="CA187" i="103"/>
  <c r="BF187" i="103"/>
  <c r="AT187" i="103"/>
  <c r="AH187" i="103"/>
  <c r="V187" i="103"/>
  <c r="CE186" i="103"/>
  <c r="BS186" i="103"/>
  <c r="AX186" i="103"/>
  <c r="N186" i="103"/>
  <c r="BW185" i="103"/>
  <c r="AP185" i="103"/>
  <c r="AD185" i="103"/>
  <c r="CA184" i="103"/>
  <c r="BF184" i="103"/>
  <c r="AT184" i="103"/>
  <c r="AH184" i="103"/>
  <c r="V184" i="103"/>
  <c r="CE183" i="103"/>
  <c r="BS183" i="103"/>
  <c r="AX183" i="103"/>
  <c r="N183" i="103"/>
  <c r="BW182" i="103"/>
  <c r="AP182" i="103"/>
  <c r="AD182" i="103"/>
  <c r="CA181" i="103"/>
  <c r="BF181" i="103"/>
  <c r="AT181" i="103"/>
  <c r="AH181" i="103"/>
  <c r="V181" i="103"/>
  <c r="CE180" i="103"/>
  <c r="BS180" i="103"/>
  <c r="AX180" i="103"/>
  <c r="N180" i="103"/>
  <c r="BW179" i="103"/>
  <c r="AP179" i="103"/>
  <c r="AD179" i="103"/>
  <c r="CA178" i="103"/>
  <c r="BF178" i="103"/>
  <c r="AT178" i="103"/>
  <c r="AH178" i="103"/>
  <c r="V178" i="103"/>
  <c r="CE177" i="103"/>
  <c r="BS177" i="103"/>
  <c r="AX177" i="103"/>
  <c r="N177" i="103"/>
  <c r="BW176" i="103"/>
  <c r="AP176" i="103"/>
  <c r="AD176" i="103"/>
  <c r="CA175" i="103"/>
  <c r="BF175" i="103"/>
  <c r="AT175" i="103"/>
  <c r="AH175" i="103"/>
  <c r="V175" i="103"/>
  <c r="CE174" i="103"/>
  <c r="BS174" i="103"/>
  <c r="AX174" i="103"/>
  <c r="N174" i="103"/>
  <c r="BW173" i="103"/>
  <c r="AP173" i="103"/>
  <c r="AD173" i="103"/>
  <c r="CA172" i="103"/>
  <c r="BF172" i="103"/>
  <c r="AT172" i="103"/>
  <c r="AH172" i="103"/>
  <c r="V172" i="103"/>
  <c r="CE171" i="103"/>
  <c r="BS171" i="103"/>
  <c r="AX171" i="103"/>
  <c r="N171" i="103"/>
  <c r="BW170" i="103"/>
  <c r="AP170" i="103"/>
  <c r="AD170" i="103"/>
  <c r="CA169" i="103"/>
  <c r="BF169" i="103"/>
  <c r="AT169" i="103"/>
  <c r="AH169" i="103"/>
  <c r="V169" i="103"/>
  <c r="CE168" i="103"/>
  <c r="BS168" i="103"/>
  <c r="AX168" i="103"/>
  <c r="N168" i="103"/>
  <c r="BW167" i="103"/>
  <c r="AP167" i="103"/>
  <c r="AD167" i="103"/>
  <c r="CA166" i="103"/>
  <c r="BF166" i="103"/>
  <c r="AT166" i="103"/>
  <c r="AH166" i="103"/>
  <c r="V166" i="103"/>
  <c r="CE165" i="103"/>
  <c r="BS165" i="103"/>
  <c r="AX165" i="103"/>
  <c r="N165" i="103"/>
  <c r="BW164" i="103"/>
  <c r="AP164" i="103"/>
  <c r="AD164" i="103"/>
  <c r="CA163" i="103"/>
  <c r="BF163" i="103"/>
  <c r="AT163" i="103"/>
  <c r="AH163" i="103"/>
  <c r="V163" i="103"/>
  <c r="AK203" i="103"/>
  <c r="BY198" i="103"/>
  <c r="AX198" i="103"/>
  <c r="N198" i="103"/>
  <c r="BW197" i="103"/>
  <c r="AD197" i="103"/>
  <c r="BZ196" i="103"/>
  <c r="BE196" i="103"/>
  <c r="AS196" i="103"/>
  <c r="AG196" i="103"/>
  <c r="I196" i="103"/>
  <c r="CD195" i="103"/>
  <c r="AW195" i="103"/>
  <c r="AK195" i="103"/>
  <c r="BV194" i="103"/>
  <c r="Q194" i="103"/>
  <c r="BZ193" i="103"/>
  <c r="BE193" i="103"/>
  <c r="AS193" i="103"/>
  <c r="AG193" i="103"/>
  <c r="I193" i="103"/>
  <c r="CD192" i="103"/>
  <c r="AW192" i="103"/>
  <c r="AK192" i="103"/>
  <c r="BV191" i="103"/>
  <c r="AO191" i="103"/>
  <c r="Q191" i="103"/>
  <c r="BZ190" i="103"/>
  <c r="BE190" i="103"/>
  <c r="AS190" i="103"/>
  <c r="AG190" i="103"/>
  <c r="I190" i="103"/>
  <c r="CD189" i="103"/>
  <c r="AW189" i="103"/>
  <c r="AK189" i="103"/>
  <c r="BV188" i="103"/>
  <c r="AO188" i="103"/>
  <c r="Q188" i="103"/>
  <c r="BZ187" i="103"/>
  <c r="BE187" i="103"/>
  <c r="AS187" i="103"/>
  <c r="AG187" i="103"/>
  <c r="I187" i="103"/>
  <c r="CD186" i="103"/>
  <c r="AW186" i="103"/>
  <c r="AK186" i="103"/>
  <c r="BV185" i="103"/>
  <c r="AO185" i="103"/>
  <c r="Q185" i="103"/>
  <c r="BZ184" i="103"/>
  <c r="BE184" i="103"/>
  <c r="AS184" i="103"/>
  <c r="AG184" i="103"/>
  <c r="I184" i="103"/>
  <c r="CD183" i="103"/>
  <c r="AW183" i="103"/>
  <c r="AK183" i="103"/>
  <c r="BV182" i="103"/>
  <c r="AO182" i="103"/>
  <c r="Q182" i="103"/>
  <c r="BZ181" i="103"/>
  <c r="BE181" i="103"/>
  <c r="AS181" i="103"/>
  <c r="AG181" i="103"/>
  <c r="I181" i="103"/>
  <c r="CD180" i="103"/>
  <c r="AW180" i="103"/>
  <c r="AK180" i="103"/>
  <c r="BV179" i="103"/>
  <c r="AO179" i="103"/>
  <c r="Q179" i="103"/>
  <c r="BZ178" i="103"/>
  <c r="BE178" i="103"/>
  <c r="AS178" i="103"/>
  <c r="AG178" i="103"/>
  <c r="I178" i="103"/>
  <c r="CD177" i="103"/>
  <c r="AW177" i="103"/>
  <c r="AK177" i="103"/>
  <c r="BV176" i="103"/>
  <c r="AO176" i="103"/>
  <c r="Q176" i="103"/>
  <c r="BZ175" i="103"/>
  <c r="BE175" i="103"/>
  <c r="AS175" i="103"/>
  <c r="AG175" i="103"/>
  <c r="I175" i="103"/>
  <c r="CD174" i="103"/>
  <c r="AW174" i="103"/>
  <c r="AK174" i="103"/>
  <c r="BV173" i="103"/>
  <c r="AO173" i="103"/>
  <c r="Q173" i="103"/>
  <c r="BZ172" i="103"/>
  <c r="BE172" i="103"/>
  <c r="AS172" i="103"/>
  <c r="AG172" i="103"/>
  <c r="I172" i="103"/>
  <c r="CD171" i="103"/>
  <c r="AW171" i="103"/>
  <c r="AK171" i="103"/>
  <c r="BV170" i="103"/>
  <c r="AO170" i="103"/>
  <c r="Q170" i="103"/>
  <c r="BZ169" i="103"/>
  <c r="BE169" i="103"/>
  <c r="AS169" i="103"/>
  <c r="AG169" i="103"/>
  <c r="I169" i="103"/>
  <c r="CD168" i="103"/>
  <c r="AW168" i="103"/>
  <c r="AK168" i="103"/>
  <c r="BV167" i="103"/>
  <c r="AO167" i="103"/>
  <c r="Q167" i="103"/>
  <c r="BZ166" i="103"/>
  <c r="BE166" i="103"/>
  <c r="AS166" i="103"/>
  <c r="AG166" i="103"/>
  <c r="I166" i="103"/>
  <c r="CD165" i="103"/>
  <c r="AW165" i="103"/>
  <c r="AK165" i="103"/>
  <c r="BV164" i="103"/>
  <c r="AO164" i="103"/>
  <c r="Q164" i="103"/>
  <c r="BZ163" i="103"/>
  <c r="BE163" i="103"/>
  <c r="AS163" i="103"/>
  <c r="AG163" i="103"/>
  <c r="BW168" i="103"/>
  <c r="AT164" i="103"/>
  <c r="BV162" i="103"/>
  <c r="AO162" i="103"/>
  <c r="Q162" i="103"/>
  <c r="BZ161" i="103"/>
  <c r="BE161" i="103"/>
  <c r="AS161" i="103"/>
  <c r="AG161" i="103"/>
  <c r="I161" i="103"/>
  <c r="CD160" i="103"/>
  <c r="BR160" i="103"/>
  <c r="AW160" i="103"/>
  <c r="AK160" i="103"/>
  <c r="BV159" i="103"/>
  <c r="AO159" i="103"/>
  <c r="Q159" i="103"/>
  <c r="BZ158" i="103"/>
  <c r="BE158" i="103"/>
  <c r="AS158" i="103"/>
  <c r="AG158" i="103"/>
  <c r="I158" i="103"/>
  <c r="CD157" i="103"/>
  <c r="BR157" i="103"/>
  <c r="AK157" i="103"/>
  <c r="BV156" i="103"/>
  <c r="AO156" i="103"/>
  <c r="Q156" i="103"/>
  <c r="BZ155" i="103"/>
  <c r="BE155" i="103"/>
  <c r="AS155" i="103"/>
  <c r="AG155" i="103"/>
  <c r="I155" i="103"/>
  <c r="CD154" i="103"/>
  <c r="BR154" i="103"/>
  <c r="AW154" i="103"/>
  <c r="AK154" i="103"/>
  <c r="BV153" i="103"/>
  <c r="AO153" i="103"/>
  <c r="Q153" i="103"/>
  <c r="BZ152" i="103"/>
  <c r="BE152" i="103"/>
  <c r="AS152" i="103"/>
  <c r="AG152" i="103"/>
  <c r="I152" i="103"/>
  <c r="CD151" i="103"/>
  <c r="BR151" i="103"/>
  <c r="AW151" i="103"/>
  <c r="AK151" i="103"/>
  <c r="BV150" i="103"/>
  <c r="AO150" i="103"/>
  <c r="Q150" i="103"/>
  <c r="BZ149" i="103"/>
  <c r="BE149" i="103"/>
  <c r="AS149" i="103"/>
  <c r="AG149" i="103"/>
  <c r="I149" i="103"/>
  <c r="CD148" i="103"/>
  <c r="BR148" i="103"/>
  <c r="AW148" i="103"/>
  <c r="AK148" i="103"/>
  <c r="BV147" i="103"/>
  <c r="AO147" i="103"/>
  <c r="Q147" i="103"/>
  <c r="BZ146" i="103"/>
  <c r="BE146" i="103"/>
  <c r="AS146" i="103"/>
  <c r="AG146" i="103"/>
  <c r="I146" i="103"/>
  <c r="CD145" i="103"/>
  <c r="BR145" i="103"/>
  <c r="AW145" i="103"/>
  <c r="AK145" i="103"/>
  <c r="BV144" i="103"/>
  <c r="AO144" i="103"/>
  <c r="Q144" i="103"/>
  <c r="BZ143" i="103"/>
  <c r="BE143" i="103"/>
  <c r="AS143" i="103"/>
  <c r="AG143" i="103"/>
  <c r="I143" i="103"/>
  <c r="CD142" i="103"/>
  <c r="BR142" i="103"/>
  <c r="AW142" i="103"/>
  <c r="AK142" i="103"/>
  <c r="BV141" i="103"/>
  <c r="AO141" i="103"/>
  <c r="Q141" i="103"/>
  <c r="BZ140" i="103"/>
  <c r="BE140" i="103"/>
  <c r="AS140" i="103"/>
  <c r="AG140" i="103"/>
  <c r="I140" i="103"/>
  <c r="CD139" i="103"/>
  <c r="BR139" i="103"/>
  <c r="AW139" i="103"/>
  <c r="AK139" i="103"/>
  <c r="BV138" i="103"/>
  <c r="AO138" i="103"/>
  <c r="Q138" i="103"/>
  <c r="BZ137" i="103"/>
  <c r="BE137" i="103"/>
  <c r="AS137" i="103"/>
  <c r="AG137" i="103"/>
  <c r="I137" i="103"/>
  <c r="CD136" i="103"/>
  <c r="BR136" i="103"/>
  <c r="AW136" i="103"/>
  <c r="AK136" i="103"/>
  <c r="BV135" i="103"/>
  <c r="AO135" i="103"/>
  <c r="Q135" i="103"/>
  <c r="BZ134" i="103"/>
  <c r="BE134" i="103"/>
  <c r="AS134" i="103"/>
  <c r="AG134" i="103"/>
  <c r="I134" i="103"/>
  <c r="CD133" i="103"/>
  <c r="BR133" i="103"/>
  <c r="AW133" i="103"/>
  <c r="AK133" i="103"/>
  <c r="BV132" i="103"/>
  <c r="AO132" i="103"/>
  <c r="Q132" i="103"/>
  <c r="BZ131" i="103"/>
  <c r="BE131" i="103"/>
  <c r="AS131" i="103"/>
  <c r="AG131" i="103"/>
  <c r="I131" i="103"/>
  <c r="CD130" i="103"/>
  <c r="AW130" i="103"/>
  <c r="AK130" i="103"/>
  <c r="BV129" i="103"/>
  <c r="AO129" i="103"/>
  <c r="Q129" i="103"/>
  <c r="BZ128" i="103"/>
  <c r="BE128" i="103"/>
  <c r="AS128" i="103"/>
  <c r="AG128" i="103"/>
  <c r="I128" i="103"/>
  <c r="CD127" i="103"/>
  <c r="AW127" i="103"/>
  <c r="CE169" i="103"/>
  <c r="AP165" i="103"/>
  <c r="AH164" i="103"/>
  <c r="AF163" i="103"/>
  <c r="BU162" i="103"/>
  <c r="AZ162" i="103"/>
  <c r="P162" i="103"/>
  <c r="BY161" i="103"/>
  <c r="AR161" i="103"/>
  <c r="AF161" i="103"/>
  <c r="T161" i="103"/>
  <c r="CC160" i="103"/>
  <c r="BQ160" i="103"/>
  <c r="AV160" i="103"/>
  <c r="AJ160" i="103"/>
  <c r="CS159" i="103"/>
  <c r="BU159" i="103"/>
  <c r="AZ159" i="103"/>
  <c r="P159" i="103"/>
  <c r="BY158" i="103"/>
  <c r="AR158" i="103"/>
  <c r="AF158" i="103"/>
  <c r="T158" i="103"/>
  <c r="CC157" i="103"/>
  <c r="BQ157" i="103"/>
  <c r="AJ157" i="103"/>
  <c r="CS156" i="103"/>
  <c r="BU156" i="103"/>
  <c r="AZ156" i="103"/>
  <c r="P156" i="103"/>
  <c r="BY155" i="103"/>
  <c r="AR155" i="103"/>
  <c r="AF155" i="103"/>
  <c r="T155" i="103"/>
  <c r="CC154" i="103"/>
  <c r="BQ154" i="103"/>
  <c r="AV154" i="103"/>
  <c r="AJ154" i="103"/>
  <c r="CS153" i="103"/>
  <c r="BU153" i="103"/>
  <c r="AZ153" i="103"/>
  <c r="P153" i="103"/>
  <c r="BY152" i="103"/>
  <c r="AR152" i="103"/>
  <c r="AF152" i="103"/>
  <c r="T152" i="103"/>
  <c r="CC151" i="103"/>
  <c r="BQ151" i="103"/>
  <c r="AV151" i="103"/>
  <c r="AJ151" i="103"/>
  <c r="CS150" i="103"/>
  <c r="BU150" i="103"/>
  <c r="AZ150" i="103"/>
  <c r="P150" i="103"/>
  <c r="BY149" i="103"/>
  <c r="AR149" i="103"/>
  <c r="AF149" i="103"/>
  <c r="T149" i="103"/>
  <c r="CC148" i="103"/>
  <c r="BQ148" i="103"/>
  <c r="AV148" i="103"/>
  <c r="AJ148" i="103"/>
  <c r="CS147" i="103"/>
  <c r="BU147" i="103"/>
  <c r="AZ147" i="103"/>
  <c r="P147" i="103"/>
  <c r="BY146" i="103"/>
  <c r="AR146" i="103"/>
  <c r="AF146" i="103"/>
  <c r="T146" i="103"/>
  <c r="CC145" i="103"/>
  <c r="BQ145" i="103"/>
  <c r="AV145" i="103"/>
  <c r="AJ145" i="103"/>
  <c r="CS144" i="103"/>
  <c r="BU144" i="103"/>
  <c r="AZ144" i="103"/>
  <c r="P144" i="103"/>
  <c r="BY143" i="103"/>
  <c r="AR143" i="103"/>
  <c r="AF143" i="103"/>
  <c r="T143" i="103"/>
  <c r="CC142" i="103"/>
  <c r="BQ142" i="103"/>
  <c r="AV142" i="103"/>
  <c r="AJ142" i="103"/>
  <c r="CS141" i="103"/>
  <c r="BU141" i="103"/>
  <c r="AZ141" i="103"/>
  <c r="P141" i="103"/>
  <c r="BY140" i="103"/>
  <c r="AR140" i="103"/>
  <c r="AF140" i="103"/>
  <c r="T140" i="103"/>
  <c r="CC139" i="103"/>
  <c r="BQ139" i="103"/>
  <c r="AV139" i="103"/>
  <c r="AJ139" i="103"/>
  <c r="CS138" i="103"/>
  <c r="BU138" i="103"/>
  <c r="AZ138" i="103"/>
  <c r="P138" i="103"/>
  <c r="BY137" i="103"/>
  <c r="AR137" i="103"/>
  <c r="AF137" i="103"/>
  <c r="T137" i="103"/>
  <c r="CC136" i="103"/>
  <c r="BQ136" i="103"/>
  <c r="AV136" i="103"/>
  <c r="AJ136" i="103"/>
  <c r="CS135" i="103"/>
  <c r="BU135" i="103"/>
  <c r="AZ135" i="103"/>
  <c r="P135" i="103"/>
  <c r="BY134" i="103"/>
  <c r="AR134" i="103"/>
  <c r="AF134" i="103"/>
  <c r="T134" i="103"/>
  <c r="CC133" i="103"/>
  <c r="BQ133" i="103"/>
  <c r="AV133" i="103"/>
  <c r="AJ133" i="103"/>
  <c r="CS132" i="103"/>
  <c r="BU132" i="103"/>
  <c r="AZ132" i="103"/>
  <c r="P132" i="103"/>
  <c r="BY131" i="103"/>
  <c r="AR131" i="103"/>
  <c r="AF131" i="103"/>
  <c r="T131" i="103"/>
  <c r="CC130" i="103"/>
  <c r="BC130" i="103" s="1"/>
  <c r="BQ130" i="103"/>
  <c r="AJ130" i="103"/>
  <c r="CS129" i="103"/>
  <c r="BU129" i="103"/>
  <c r="AZ129" i="103"/>
  <c r="P129" i="103"/>
  <c r="BY128" i="103"/>
  <c r="AR128" i="103"/>
  <c r="AF128" i="103"/>
  <c r="T128" i="103"/>
  <c r="CC127" i="103"/>
  <c r="BC127" i="103" s="1"/>
  <c r="BQ127" i="103"/>
  <c r="AJ127" i="103"/>
  <c r="CA170" i="103"/>
  <c r="BS169" i="103"/>
  <c r="BF167" i="103"/>
  <c r="AX166" i="103"/>
  <c r="AD165" i="103"/>
  <c r="V164" i="103"/>
  <c r="BT162" i="103"/>
  <c r="AY162" i="103"/>
  <c r="BX161" i="103"/>
  <c r="BC161" i="103"/>
  <c r="AQ161" i="103"/>
  <c r="AE161" i="103"/>
  <c r="S161" i="103"/>
  <c r="G161" i="103"/>
  <c r="CN160" i="103"/>
  <c r="CB160" i="103"/>
  <c r="AN160" i="103" s="1"/>
  <c r="BG160" i="103"/>
  <c r="AU160" i="103"/>
  <c r="AI160" i="103"/>
  <c r="BT159" i="103"/>
  <c r="AY159" i="103"/>
  <c r="BX158" i="103"/>
  <c r="BC158" i="103"/>
  <c r="AQ158" i="103"/>
  <c r="AE158" i="103"/>
  <c r="S158" i="103"/>
  <c r="G158" i="103"/>
  <c r="CN157" i="103"/>
  <c r="CB157" i="103"/>
  <c r="AN157" i="103" s="1"/>
  <c r="BG157" i="103"/>
  <c r="AI157" i="103"/>
  <c r="BT156" i="103"/>
  <c r="AY156" i="103"/>
  <c r="BX155" i="103"/>
  <c r="BC155" i="103"/>
  <c r="AQ155" i="103"/>
  <c r="AE155" i="103"/>
  <c r="S155" i="103"/>
  <c r="G155" i="103"/>
  <c r="CN154" i="103"/>
  <c r="CB154" i="103"/>
  <c r="AN154" i="103" s="1"/>
  <c r="BG154" i="103"/>
  <c r="AU154" i="103"/>
  <c r="AI154" i="103"/>
  <c r="BT153" i="103"/>
  <c r="AY153" i="103"/>
  <c r="BX152" i="103"/>
  <c r="BC152" i="103"/>
  <c r="AQ152" i="103"/>
  <c r="AE152" i="103"/>
  <c r="S152" i="103"/>
  <c r="G152" i="103"/>
  <c r="CN151" i="103"/>
  <c r="CB151" i="103"/>
  <c r="AN151" i="103" s="1"/>
  <c r="BG151" i="103"/>
  <c r="AU151" i="103"/>
  <c r="AI151" i="103"/>
  <c r="BT150" i="103"/>
  <c r="AY150" i="103"/>
  <c r="BX149" i="103"/>
  <c r="BC149" i="103"/>
  <c r="AQ149" i="103"/>
  <c r="AE149" i="103"/>
  <c r="S149" i="103"/>
  <c r="G149" i="103"/>
  <c r="CN148" i="103"/>
  <c r="CB148" i="103"/>
  <c r="AN148" i="103" s="1"/>
  <c r="BG148" i="103"/>
  <c r="AU148" i="103"/>
  <c r="AI148" i="103"/>
  <c r="BT147" i="103"/>
  <c r="AY147" i="103"/>
  <c r="BX146" i="103"/>
  <c r="BC146" i="103"/>
  <c r="AQ146" i="103"/>
  <c r="AE146" i="103"/>
  <c r="S146" i="103"/>
  <c r="G146" i="103"/>
  <c r="CN145" i="103"/>
  <c r="CB145" i="103"/>
  <c r="AN145" i="103" s="1"/>
  <c r="BG145" i="103"/>
  <c r="AU145" i="103"/>
  <c r="AI145" i="103"/>
  <c r="BT144" i="103"/>
  <c r="AY144" i="103"/>
  <c r="BX143" i="103"/>
  <c r="BC143" i="103"/>
  <c r="AQ143" i="103"/>
  <c r="AE143" i="103"/>
  <c r="S143" i="103"/>
  <c r="G143" i="103"/>
  <c r="CN142" i="103"/>
  <c r="CB142" i="103"/>
  <c r="AN142" i="103" s="1"/>
  <c r="BG142" i="103"/>
  <c r="AU142" i="103"/>
  <c r="AI142" i="103"/>
  <c r="BT141" i="103"/>
  <c r="AY141" i="103"/>
  <c r="BX140" i="103"/>
  <c r="BC140" i="103"/>
  <c r="AQ140" i="103"/>
  <c r="AE140" i="103"/>
  <c r="S140" i="103"/>
  <c r="G140" i="103"/>
  <c r="CN139" i="103"/>
  <c r="CB139" i="103"/>
  <c r="AN139" i="103" s="1"/>
  <c r="BG139" i="103"/>
  <c r="AU139" i="103"/>
  <c r="AI139" i="103"/>
  <c r="BT138" i="103"/>
  <c r="AY138" i="103"/>
  <c r="BX137" i="103"/>
  <c r="BC137" i="103"/>
  <c r="AQ137" i="103"/>
  <c r="AE137" i="103"/>
  <c r="S137" i="103"/>
  <c r="G137" i="103"/>
  <c r="CN136" i="103"/>
  <c r="CB136" i="103"/>
  <c r="AN136" i="103" s="1"/>
  <c r="BG136" i="103"/>
  <c r="AU136" i="103"/>
  <c r="AI136" i="103"/>
  <c r="BT135" i="103"/>
  <c r="AY135" i="103"/>
  <c r="BX134" i="103"/>
  <c r="BC134" i="103"/>
  <c r="AQ134" i="103"/>
  <c r="AE134" i="103"/>
  <c r="S134" i="103"/>
  <c r="G134" i="103"/>
  <c r="CN133" i="103"/>
  <c r="CB133" i="103"/>
  <c r="AN133" i="103" s="1"/>
  <c r="BG133" i="103"/>
  <c r="AU133" i="103"/>
  <c r="AI133" i="103"/>
  <c r="BT132" i="103"/>
  <c r="AY132" i="103"/>
  <c r="BX131" i="103"/>
  <c r="BC131" i="103"/>
  <c r="AQ131" i="103"/>
  <c r="AE131" i="103"/>
  <c r="S131" i="103"/>
  <c r="G131" i="103"/>
  <c r="CN130" i="103"/>
  <c r="CB130" i="103"/>
  <c r="AN130" i="103" s="1"/>
  <c r="BG130" i="103"/>
  <c r="AU130" i="103"/>
  <c r="AI130" i="103"/>
  <c r="BT129" i="103"/>
  <c r="AY129" i="103"/>
  <c r="BX128" i="103"/>
  <c r="AQ128" i="103"/>
  <c r="AE128" i="103"/>
  <c r="S128" i="103"/>
  <c r="G128" i="103"/>
  <c r="CN127" i="103"/>
  <c r="CB127" i="103"/>
  <c r="AN127" i="103" s="1"/>
  <c r="BG127" i="103"/>
  <c r="AI127" i="103"/>
  <c r="AT167" i="103"/>
  <c r="CS162" i="103"/>
  <c r="CE162" i="103"/>
  <c r="BS162" i="103"/>
  <c r="AX162" i="103"/>
  <c r="N162" i="103"/>
  <c r="BW161" i="103"/>
  <c r="AP161" i="103"/>
  <c r="AD161" i="103"/>
  <c r="CA160" i="103"/>
  <c r="BF160" i="103"/>
  <c r="AT160" i="103"/>
  <c r="AH160" i="103"/>
  <c r="V160" i="103"/>
  <c r="CE159" i="103"/>
  <c r="BS159" i="103"/>
  <c r="AX159" i="103"/>
  <c r="N159" i="103"/>
  <c r="BW158" i="103"/>
  <c r="AP158" i="103"/>
  <c r="AD158" i="103"/>
  <c r="CA157" i="103"/>
  <c r="BF157" i="103"/>
  <c r="AT157" i="103"/>
  <c r="AH157" i="103"/>
  <c r="V157" i="103"/>
  <c r="CE156" i="103"/>
  <c r="BS156" i="103"/>
  <c r="AX156" i="103"/>
  <c r="N156" i="103"/>
  <c r="BW155" i="103"/>
  <c r="AP155" i="103"/>
  <c r="AD155" i="103"/>
  <c r="CA154" i="103"/>
  <c r="BF154" i="103"/>
  <c r="AT154" i="103"/>
  <c r="AH154" i="103"/>
  <c r="V154" i="103"/>
  <c r="CE153" i="103"/>
  <c r="BS153" i="103"/>
  <c r="AX153" i="103"/>
  <c r="N153" i="103"/>
  <c r="BW152" i="103"/>
  <c r="AP152" i="103"/>
  <c r="AD152" i="103"/>
  <c r="CA151" i="103"/>
  <c r="BF151" i="103"/>
  <c r="AT151" i="103"/>
  <c r="AH151" i="103"/>
  <c r="V151" i="103"/>
  <c r="CE150" i="103"/>
  <c r="BS150" i="103"/>
  <c r="AX150" i="103"/>
  <c r="N150" i="103"/>
  <c r="BW149" i="103"/>
  <c r="AP149" i="103"/>
  <c r="AD149" i="103"/>
  <c r="CA148" i="103"/>
  <c r="BF148" i="103"/>
  <c r="AT148" i="103"/>
  <c r="AH148" i="103"/>
  <c r="V148" i="103"/>
  <c r="CE147" i="103"/>
  <c r="BS147" i="103"/>
  <c r="AX147" i="103"/>
  <c r="N147" i="103"/>
  <c r="BW146" i="103"/>
  <c r="AP146" i="103"/>
  <c r="AD146" i="103"/>
  <c r="CA145" i="103"/>
  <c r="BF145" i="103"/>
  <c r="AT145" i="103"/>
  <c r="AH145" i="103"/>
  <c r="V145" i="103"/>
  <c r="CE144" i="103"/>
  <c r="BS144" i="103"/>
  <c r="AX144" i="103"/>
  <c r="N144" i="103"/>
  <c r="BW143" i="103"/>
  <c r="AP143" i="103"/>
  <c r="AD143" i="103"/>
  <c r="CA142" i="103"/>
  <c r="BF142" i="103"/>
  <c r="AT142" i="103"/>
  <c r="AH142" i="103"/>
  <c r="V142" i="103"/>
  <c r="CE141" i="103"/>
  <c r="BS141" i="103"/>
  <c r="AX141" i="103"/>
  <c r="N141" i="103"/>
  <c r="BW140" i="103"/>
  <c r="AP140" i="103"/>
  <c r="AD140" i="103"/>
  <c r="CA139" i="103"/>
  <c r="BF139" i="103"/>
  <c r="AT139" i="103"/>
  <c r="AH139" i="103"/>
  <c r="V139" i="103"/>
  <c r="AP168" i="103"/>
  <c r="AH167" i="103"/>
  <c r="CD162" i="103"/>
  <c r="AW162" i="103"/>
  <c r="AK162" i="103"/>
  <c r="BV161" i="103"/>
  <c r="AO161" i="103"/>
  <c r="Q161" i="103"/>
  <c r="BZ160" i="103"/>
  <c r="BE160" i="103"/>
  <c r="AS160" i="103"/>
  <c r="AG160" i="103"/>
  <c r="I160" i="103"/>
  <c r="CD159" i="103"/>
  <c r="BR159" i="103"/>
  <c r="AW159" i="103"/>
  <c r="AK159" i="103"/>
  <c r="BV158" i="103"/>
  <c r="AO158" i="103"/>
  <c r="Q158" i="103"/>
  <c r="BZ157" i="103"/>
  <c r="BE157" i="103"/>
  <c r="AS157" i="103"/>
  <c r="AG157" i="103"/>
  <c r="I157" i="103"/>
  <c r="CD156" i="103"/>
  <c r="BR156" i="103"/>
  <c r="AW156" i="103"/>
  <c r="AK156" i="103"/>
  <c r="BV155" i="103"/>
  <c r="AO155" i="103"/>
  <c r="Q155" i="103"/>
  <c r="BZ154" i="103"/>
  <c r="BE154" i="103"/>
  <c r="AS154" i="103"/>
  <c r="AG154" i="103"/>
  <c r="I154" i="103"/>
  <c r="CD153" i="103"/>
  <c r="BR153" i="103"/>
  <c r="AW153" i="103"/>
  <c r="AK153" i="103"/>
  <c r="BV152" i="103"/>
  <c r="AO152" i="103"/>
  <c r="Q152" i="103"/>
  <c r="BZ151" i="103"/>
  <c r="BE151" i="103"/>
  <c r="AS151" i="103"/>
  <c r="AG151" i="103"/>
  <c r="I151" i="103"/>
  <c r="CD150" i="103"/>
  <c r="BR150" i="103"/>
  <c r="AW150" i="103"/>
  <c r="AK150" i="103"/>
  <c r="BV149" i="103"/>
  <c r="AO149" i="103"/>
  <c r="Q149" i="103"/>
  <c r="BZ148" i="103"/>
  <c r="BE148" i="103"/>
  <c r="AS148" i="103"/>
  <c r="AG148" i="103"/>
  <c r="I148" i="103"/>
  <c r="CD147" i="103"/>
  <c r="BR147" i="103"/>
  <c r="AW147" i="103"/>
  <c r="AK147" i="103"/>
  <c r="BV146" i="103"/>
  <c r="AO146" i="103"/>
  <c r="Q146" i="103"/>
  <c r="BZ145" i="103"/>
  <c r="BE145" i="103"/>
  <c r="AS145" i="103"/>
  <c r="AG145" i="103"/>
  <c r="I145" i="103"/>
  <c r="CD144" i="103"/>
  <c r="BR144" i="103"/>
  <c r="AW144" i="103"/>
  <c r="AK144" i="103"/>
  <c r="BV143" i="103"/>
  <c r="AO143" i="103"/>
  <c r="Q143" i="103"/>
  <c r="BZ142" i="103"/>
  <c r="BE142" i="103"/>
  <c r="AS142" i="103"/>
  <c r="AG142" i="103"/>
  <c r="I142" i="103"/>
  <c r="CD141" i="103"/>
  <c r="BR141" i="103"/>
  <c r="AW141" i="103"/>
  <c r="AK141" i="103"/>
  <c r="BV140" i="103"/>
  <c r="AO140" i="103"/>
  <c r="Q140" i="103"/>
  <c r="BZ139" i="103"/>
  <c r="BE139" i="103"/>
  <c r="AS139" i="103"/>
  <c r="AG139" i="103"/>
  <c r="I139" i="103"/>
  <c r="CD138" i="103"/>
  <c r="BR138" i="103"/>
  <c r="AW138" i="103"/>
  <c r="AK138" i="103"/>
  <c r="BV137" i="103"/>
  <c r="AO137" i="103"/>
  <c r="Q137" i="103"/>
  <c r="BZ136" i="103"/>
  <c r="BE136" i="103"/>
  <c r="AS136" i="103"/>
  <c r="AG136" i="103"/>
  <c r="I136" i="103"/>
  <c r="CD135" i="103"/>
  <c r="BR135" i="103"/>
  <c r="AW135" i="103"/>
  <c r="AK135" i="103"/>
  <c r="BV134" i="103"/>
  <c r="AO134" i="103"/>
  <c r="Q134" i="103"/>
  <c r="BZ133" i="103"/>
  <c r="BE133" i="103"/>
  <c r="AS133" i="103"/>
  <c r="AG133" i="103"/>
  <c r="I133" i="103"/>
  <c r="CD132" i="103"/>
  <c r="BR132" i="103"/>
  <c r="AW132" i="103"/>
  <c r="AK132" i="103"/>
  <c r="BV131" i="103"/>
  <c r="AO131" i="103"/>
  <c r="Q131" i="103"/>
  <c r="BZ130" i="103"/>
  <c r="BE130" i="103"/>
  <c r="AS130" i="103"/>
  <c r="AG130" i="103"/>
  <c r="I130" i="103"/>
  <c r="CD129" i="103"/>
  <c r="AW129" i="103"/>
  <c r="BF170" i="103"/>
  <c r="AX169" i="103"/>
  <c r="AD168" i="103"/>
  <c r="V167" i="103"/>
  <c r="N166" i="103"/>
  <c r="T163" i="103"/>
  <c r="CC162" i="103"/>
  <c r="BQ162" i="103"/>
  <c r="AV162" i="103"/>
  <c r="AJ162" i="103"/>
  <c r="CS161" i="103"/>
  <c r="BU161" i="103"/>
  <c r="AZ161" i="103"/>
  <c r="P161" i="103"/>
  <c r="BY160" i="103"/>
  <c r="AR160" i="103"/>
  <c r="AF160" i="103"/>
  <c r="T160" i="103"/>
  <c r="CC159" i="103"/>
  <c r="BQ159" i="103"/>
  <c r="AV159" i="103"/>
  <c r="AJ159" i="103"/>
  <c r="CS158" i="103"/>
  <c r="BU158" i="103"/>
  <c r="AZ158" i="103"/>
  <c r="P158" i="103"/>
  <c r="BY157" i="103"/>
  <c r="AR157" i="103"/>
  <c r="AF157" i="103"/>
  <c r="T157" i="103"/>
  <c r="CC156" i="103"/>
  <c r="BQ156" i="103"/>
  <c r="AV156" i="103"/>
  <c r="AJ156" i="103"/>
  <c r="CS155" i="103"/>
  <c r="BU155" i="103"/>
  <c r="AZ155" i="103"/>
  <c r="P155" i="103"/>
  <c r="BY154" i="103"/>
  <c r="AR154" i="103"/>
  <c r="AF154" i="103"/>
  <c r="T154" i="103"/>
  <c r="CC153" i="103"/>
  <c r="BQ153" i="103"/>
  <c r="AV153" i="103"/>
  <c r="AJ153" i="103"/>
  <c r="CS152" i="103"/>
  <c r="BU152" i="103"/>
  <c r="AZ152" i="103"/>
  <c r="P152" i="103"/>
  <c r="BY151" i="103"/>
  <c r="AR151" i="103"/>
  <c r="AF151" i="103"/>
  <c r="T151" i="103"/>
  <c r="CC150" i="103"/>
  <c r="BQ150" i="103"/>
  <c r="AV150" i="103"/>
  <c r="AJ150" i="103"/>
  <c r="CS149" i="103"/>
  <c r="BU149" i="103"/>
  <c r="AZ149" i="103"/>
  <c r="P149" i="103"/>
  <c r="BY148" i="103"/>
  <c r="AR148" i="103"/>
  <c r="AF148" i="103"/>
  <c r="T148" i="103"/>
  <c r="CC147" i="103"/>
  <c r="BQ147" i="103"/>
  <c r="AV147" i="103"/>
  <c r="CS146" i="103"/>
  <c r="BU146" i="103"/>
  <c r="AZ146" i="103"/>
  <c r="P146" i="103"/>
  <c r="BY145" i="103"/>
  <c r="AR145" i="103"/>
  <c r="AF145" i="103"/>
  <c r="T145" i="103"/>
  <c r="CC144" i="103"/>
  <c r="BQ144" i="103"/>
  <c r="AV144" i="103"/>
  <c r="AJ144" i="103"/>
  <c r="CS143" i="103"/>
  <c r="BU143" i="103"/>
  <c r="AZ143" i="103"/>
  <c r="P143" i="103"/>
  <c r="BY142" i="103"/>
  <c r="AR142" i="103"/>
  <c r="AF142" i="103"/>
  <c r="T142" i="103"/>
  <c r="CC141" i="103"/>
  <c r="BQ141" i="103"/>
  <c r="AV141" i="103"/>
  <c r="AJ141" i="103"/>
  <c r="CS140" i="103"/>
  <c r="BU140" i="103"/>
  <c r="AZ140" i="103"/>
  <c r="P140" i="103"/>
  <c r="BY139" i="103"/>
  <c r="AR139" i="103"/>
  <c r="AF139" i="103"/>
  <c r="T139" i="103"/>
  <c r="CC138" i="103"/>
  <c r="BQ138" i="103"/>
  <c r="AV138" i="103"/>
  <c r="AJ138" i="103"/>
  <c r="CS137" i="103"/>
  <c r="BU137" i="103"/>
  <c r="AZ137" i="103"/>
  <c r="P137" i="103"/>
  <c r="BY136" i="103"/>
  <c r="AR136" i="103"/>
  <c r="AF136" i="103"/>
  <c r="T136" i="103"/>
  <c r="CC135" i="103"/>
  <c r="BQ135" i="103"/>
  <c r="AV135" i="103"/>
  <c r="AJ135" i="103"/>
  <c r="CS134" i="103"/>
  <c r="BU134" i="103"/>
  <c r="AZ134" i="103"/>
  <c r="P134" i="103"/>
  <c r="BY133" i="103"/>
  <c r="AR133" i="103"/>
  <c r="AF133" i="103"/>
  <c r="T133" i="103"/>
  <c r="CC132" i="103"/>
  <c r="BQ132" i="103"/>
  <c r="AV132" i="103"/>
  <c r="AJ132" i="103"/>
  <c r="CS131" i="103"/>
  <c r="BU131" i="103"/>
  <c r="AZ131" i="103"/>
  <c r="P131" i="103"/>
  <c r="BY130" i="103"/>
  <c r="AR130" i="103"/>
  <c r="AF130" i="103"/>
  <c r="T130" i="103"/>
  <c r="CC129" i="103"/>
  <c r="BC129" i="103" s="1"/>
  <c r="BQ129" i="103"/>
  <c r="AJ129" i="103"/>
  <c r="CS128" i="103"/>
  <c r="BU128" i="103"/>
  <c r="AZ128" i="103"/>
  <c r="P128" i="103"/>
  <c r="BY127" i="103"/>
  <c r="AR127" i="103"/>
  <c r="AF127" i="103"/>
  <c r="AT170" i="103"/>
  <c r="N163" i="103"/>
  <c r="CB162" i="103"/>
  <c r="BG162" i="103"/>
  <c r="AU162" i="103"/>
  <c r="AI162" i="103"/>
  <c r="BT161" i="103"/>
  <c r="AY161" i="103"/>
  <c r="BX160" i="103"/>
  <c r="BC160" i="103"/>
  <c r="AQ160" i="103"/>
  <c r="AE160" i="103"/>
  <c r="S160" i="103"/>
  <c r="G160" i="103"/>
  <c r="CN159" i="103"/>
  <c r="CB159" i="103"/>
  <c r="AN159" i="103" s="1"/>
  <c r="BG159" i="103"/>
  <c r="AU159" i="103"/>
  <c r="AI159" i="103"/>
  <c r="BT158" i="103"/>
  <c r="AY158" i="103"/>
  <c r="BX157" i="103"/>
  <c r="BC157" i="103"/>
  <c r="AQ157" i="103"/>
  <c r="AE157" i="103"/>
  <c r="S157" i="103"/>
  <c r="G157" i="103"/>
  <c r="CN156" i="103"/>
  <c r="CB156" i="103"/>
  <c r="BG156" i="103"/>
  <c r="AU156" i="103"/>
  <c r="AI156" i="103"/>
  <c r="BT155" i="103"/>
  <c r="AY155" i="103"/>
  <c r="BX154" i="103"/>
  <c r="BC154" i="103"/>
  <c r="AQ154" i="103"/>
  <c r="AE154" i="103"/>
  <c r="S154" i="103"/>
  <c r="G154" i="103"/>
  <c r="CN153" i="103"/>
  <c r="CB153" i="103"/>
  <c r="AN153" i="103" s="1"/>
  <c r="BG153" i="103"/>
  <c r="AU153" i="103"/>
  <c r="AI153" i="103"/>
  <c r="BT152" i="103"/>
  <c r="AY152" i="103"/>
  <c r="BX151" i="103"/>
  <c r="BC151" i="103"/>
  <c r="AQ151" i="103"/>
  <c r="AE151" i="103"/>
  <c r="S151" i="103"/>
  <c r="G151" i="103"/>
  <c r="CN150" i="103"/>
  <c r="CB150" i="103"/>
  <c r="BG150" i="103"/>
  <c r="AU150" i="103"/>
  <c r="AI150" i="103"/>
  <c r="BT149" i="103"/>
  <c r="AY149" i="103"/>
  <c r="BX148" i="103"/>
  <c r="BC148" i="103"/>
  <c r="AQ148" i="103"/>
  <c r="AE148" i="103"/>
  <c r="S148" i="103"/>
  <c r="G148" i="103"/>
  <c r="CN147" i="103"/>
  <c r="CB147" i="103"/>
  <c r="AN147" i="103" s="1"/>
  <c r="BG147" i="103"/>
  <c r="AU147" i="103"/>
  <c r="AI147" i="103"/>
  <c r="BT146" i="103"/>
  <c r="AY146" i="103"/>
  <c r="BX145" i="103"/>
  <c r="BC145" i="103"/>
  <c r="AQ145" i="103"/>
  <c r="AE145" i="103"/>
  <c r="S145" i="103"/>
  <c r="G145" i="103"/>
  <c r="CN144" i="103"/>
  <c r="CB144" i="103"/>
  <c r="BG144" i="103"/>
  <c r="AU144" i="103"/>
  <c r="AI144" i="103"/>
  <c r="BT143" i="103"/>
  <c r="AY143" i="103"/>
  <c r="BX142" i="103"/>
  <c r="BC142" i="103"/>
  <c r="AQ142" i="103"/>
  <c r="AE142" i="103"/>
  <c r="S142" i="103"/>
  <c r="G142" i="103"/>
  <c r="CN141" i="103"/>
  <c r="CB141" i="103"/>
  <c r="AN141" i="103" s="1"/>
  <c r="BG141" i="103"/>
  <c r="AU141" i="103"/>
  <c r="AI141" i="103"/>
  <c r="BT140" i="103"/>
  <c r="AY140" i="103"/>
  <c r="BX139" i="103"/>
  <c r="BC139" i="103"/>
  <c r="AQ139" i="103"/>
  <c r="AE139" i="103"/>
  <c r="S139" i="103"/>
  <c r="G139" i="103"/>
  <c r="CN138" i="103"/>
  <c r="CB138" i="103"/>
  <c r="BG138" i="103"/>
  <c r="AU138" i="103"/>
  <c r="AI138" i="103"/>
  <c r="BT137" i="103"/>
  <c r="AY137" i="103"/>
  <c r="BX136" i="103"/>
  <c r="BC136" i="103"/>
  <c r="AQ136" i="103"/>
  <c r="AE136" i="103"/>
  <c r="S136" i="103"/>
  <c r="G136" i="103"/>
  <c r="CN135" i="103"/>
  <c r="CB135" i="103"/>
  <c r="AN135" i="103" s="1"/>
  <c r="BG135" i="103"/>
  <c r="AU135" i="103"/>
  <c r="AI135" i="103"/>
  <c r="BT134" i="103"/>
  <c r="AY134" i="103"/>
  <c r="BX133" i="103"/>
  <c r="BC133" i="103"/>
  <c r="AQ133" i="103"/>
  <c r="AE133" i="103"/>
  <c r="S133" i="103"/>
  <c r="G133" i="103"/>
  <c r="CN132" i="103"/>
  <c r="CB132" i="103"/>
  <c r="BG132" i="103"/>
  <c r="AU132" i="103"/>
  <c r="AI132" i="103"/>
  <c r="BT131" i="103"/>
  <c r="AY131" i="103"/>
  <c r="BX130" i="103"/>
  <c r="AQ130" i="103"/>
  <c r="AE130" i="103"/>
  <c r="S130" i="103"/>
  <c r="G130" i="103"/>
  <c r="CN129" i="103"/>
  <c r="CB129" i="103"/>
  <c r="BG129" i="103"/>
  <c r="AI129" i="103"/>
  <c r="BT128" i="103"/>
  <c r="AY128" i="103"/>
  <c r="BX127" i="103"/>
  <c r="AQ127" i="103"/>
  <c r="AH170" i="103"/>
  <c r="CE163" i="103"/>
  <c r="CN162" i="103"/>
  <c r="CA162" i="103"/>
  <c r="BF162" i="103"/>
  <c r="AT162" i="103"/>
  <c r="AH162" i="103"/>
  <c r="V162" i="103"/>
  <c r="CE161" i="103"/>
  <c r="BS161" i="103"/>
  <c r="AX161" i="103"/>
  <c r="N161" i="103"/>
  <c r="BW160" i="103"/>
  <c r="AP160" i="103"/>
  <c r="AD160" i="103"/>
  <c r="CA159" i="103"/>
  <c r="BF159" i="103"/>
  <c r="AT159" i="103"/>
  <c r="AH159" i="103"/>
  <c r="V159" i="103"/>
  <c r="CE158" i="103"/>
  <c r="BS158" i="103"/>
  <c r="AX158" i="103"/>
  <c r="N158" i="103"/>
  <c r="BW157" i="103"/>
  <c r="AP157" i="103"/>
  <c r="AD157" i="103"/>
  <c r="CA156" i="103"/>
  <c r="BF156" i="103"/>
  <c r="AT156" i="103"/>
  <c r="AH156" i="103"/>
  <c r="V156" i="103"/>
  <c r="CE155" i="103"/>
  <c r="BS155" i="103"/>
  <c r="AX155" i="103"/>
  <c r="N155" i="103"/>
  <c r="BW154" i="103"/>
  <c r="AP154" i="103"/>
  <c r="AD154" i="103"/>
  <c r="CA153" i="103"/>
  <c r="BF153" i="103"/>
  <c r="AT153" i="103"/>
  <c r="AH153" i="103"/>
  <c r="V153" i="103"/>
  <c r="CE152" i="103"/>
  <c r="BS152" i="103"/>
  <c r="AX152" i="103"/>
  <c r="N152" i="103"/>
  <c r="BW151" i="103"/>
  <c r="AP151" i="103"/>
  <c r="AD151" i="103"/>
  <c r="CA150" i="103"/>
  <c r="BF150" i="103"/>
  <c r="AT150" i="103"/>
  <c r="AH150" i="103"/>
  <c r="V150" i="103"/>
  <c r="CE149" i="103"/>
  <c r="BS149" i="103"/>
  <c r="AX149" i="103"/>
  <c r="N149" i="103"/>
  <c r="BW148" i="103"/>
  <c r="AP148" i="103"/>
  <c r="AD148" i="103"/>
  <c r="CA147" i="103"/>
  <c r="BF147" i="103"/>
  <c r="AT147" i="103"/>
  <c r="AH147" i="103"/>
  <c r="V147" i="103"/>
  <c r="CE146" i="103"/>
  <c r="BS146" i="103"/>
  <c r="AX146" i="103"/>
  <c r="N146" i="103"/>
  <c r="BW145" i="103"/>
  <c r="AP145" i="103"/>
  <c r="AD145" i="103"/>
  <c r="CA144" i="103"/>
  <c r="BF144" i="103"/>
  <c r="AT144" i="103"/>
  <c r="AH144" i="103"/>
  <c r="V144" i="103"/>
  <c r="CE143" i="103"/>
  <c r="BS143" i="103"/>
  <c r="AX143" i="103"/>
  <c r="N143" i="103"/>
  <c r="BW142" i="103"/>
  <c r="AP142" i="103"/>
  <c r="AD142" i="103"/>
  <c r="CA141" i="103"/>
  <c r="BF141" i="103"/>
  <c r="AT141" i="103"/>
  <c r="AH141" i="103"/>
  <c r="V141" i="103"/>
  <c r="CE140" i="103"/>
  <c r="BS140" i="103"/>
  <c r="AX140" i="103"/>
  <c r="N140" i="103"/>
  <c r="BW139" i="103"/>
  <c r="AP139" i="103"/>
  <c r="AD139" i="103"/>
  <c r="CA138" i="103"/>
  <c r="BF138" i="103"/>
  <c r="AT138" i="103"/>
  <c r="AH138" i="103"/>
  <c r="V138" i="103"/>
  <c r="CE137" i="103"/>
  <c r="BS137" i="103"/>
  <c r="AX137" i="103"/>
  <c r="N137" i="103"/>
  <c r="BW136" i="103"/>
  <c r="AP136" i="103"/>
  <c r="AD136" i="103"/>
  <c r="CA135" i="103"/>
  <c r="BF135" i="103"/>
  <c r="AT135" i="103"/>
  <c r="AH135" i="103"/>
  <c r="V135" i="103"/>
  <c r="CE134" i="103"/>
  <c r="BS134" i="103"/>
  <c r="AX134" i="103"/>
  <c r="N134" i="103"/>
  <c r="BW133" i="103"/>
  <c r="AP133" i="103"/>
  <c r="AD133" i="103"/>
  <c r="CA132" i="103"/>
  <c r="BF132" i="103"/>
  <c r="AT132" i="103"/>
  <c r="AH132" i="103"/>
  <c r="V132" i="103"/>
  <c r="CE131" i="103"/>
  <c r="BS131" i="103"/>
  <c r="AX131" i="103"/>
  <c r="N131" i="103"/>
  <c r="BW130" i="103"/>
  <c r="AP130" i="103"/>
  <c r="AD130" i="103"/>
  <c r="CA129" i="103"/>
  <c r="BF129" i="103"/>
  <c r="AT129" i="103"/>
  <c r="AH129" i="103"/>
  <c r="V129" i="103"/>
  <c r="CE128" i="103"/>
  <c r="BS128" i="103"/>
  <c r="AX128" i="103"/>
  <c r="N128" i="103"/>
  <c r="BW127" i="103"/>
  <c r="AP127" i="103"/>
  <c r="AD127" i="103"/>
  <c r="V170" i="103"/>
  <c r="N169" i="103"/>
  <c r="CA164" i="103"/>
  <c r="BS163" i="103"/>
  <c r="BZ162" i="103"/>
  <c r="BE162" i="103"/>
  <c r="AS162" i="103"/>
  <c r="AG162" i="103"/>
  <c r="I162" i="103"/>
  <c r="CD161" i="103"/>
  <c r="BR161" i="103"/>
  <c r="AW161" i="103"/>
  <c r="AK161" i="103"/>
  <c r="BV160" i="103"/>
  <c r="AO160" i="103"/>
  <c r="Q160" i="103"/>
  <c r="BZ159" i="103"/>
  <c r="BE159" i="103"/>
  <c r="AS159" i="103"/>
  <c r="AG159" i="103"/>
  <c r="I159" i="103"/>
  <c r="CD158" i="103"/>
  <c r="BR158" i="103"/>
  <c r="AK158" i="103"/>
  <c r="BV157" i="103"/>
  <c r="AO157" i="103"/>
  <c r="Q157" i="103"/>
  <c r="BZ156" i="103"/>
  <c r="BE156" i="103"/>
  <c r="AS156" i="103"/>
  <c r="AG156" i="103"/>
  <c r="I156" i="103"/>
  <c r="CD155" i="103"/>
  <c r="BR155" i="103"/>
  <c r="AW155" i="103"/>
  <c r="AK155" i="103"/>
  <c r="BV154" i="103"/>
  <c r="AO154" i="103"/>
  <c r="Q154" i="103"/>
  <c r="BZ153" i="103"/>
  <c r="BE153" i="103"/>
  <c r="AS153" i="103"/>
  <c r="AG153" i="103"/>
  <c r="I153" i="103"/>
  <c r="CD152" i="103"/>
  <c r="BR152" i="103"/>
  <c r="AW152" i="103"/>
  <c r="AK152" i="103"/>
  <c r="BV151" i="103"/>
  <c r="AO151" i="103"/>
  <c r="Q151" i="103"/>
  <c r="BZ150" i="103"/>
  <c r="BE150" i="103"/>
  <c r="AS150" i="103"/>
  <c r="AG150" i="103"/>
  <c r="I150" i="103"/>
  <c r="CD149" i="103"/>
  <c r="BR149" i="103"/>
  <c r="AW149" i="103"/>
  <c r="AK149" i="103"/>
  <c r="BV148" i="103"/>
  <c r="AO148" i="103"/>
  <c r="Q148" i="103"/>
  <c r="BZ147" i="103"/>
  <c r="BE147" i="103"/>
  <c r="AS147" i="103"/>
  <c r="AG147" i="103"/>
  <c r="I147" i="103"/>
  <c r="CD146" i="103"/>
  <c r="BR146" i="103"/>
  <c r="AW146" i="103"/>
  <c r="AK146" i="103"/>
  <c r="BV145" i="103"/>
  <c r="AO145" i="103"/>
  <c r="Q145" i="103"/>
  <c r="BZ144" i="103"/>
  <c r="BE144" i="103"/>
  <c r="AS144" i="103"/>
  <c r="AG144" i="103"/>
  <c r="I144" i="103"/>
  <c r="CD143" i="103"/>
  <c r="BR143" i="103"/>
  <c r="AW143" i="103"/>
  <c r="AK143" i="103"/>
  <c r="BV142" i="103"/>
  <c r="AO142" i="103"/>
  <c r="Q142" i="103"/>
  <c r="BZ141" i="103"/>
  <c r="BE141" i="103"/>
  <c r="AS141" i="103"/>
  <c r="AG141" i="103"/>
  <c r="I141" i="103"/>
  <c r="CD140" i="103"/>
  <c r="BR140" i="103"/>
  <c r="AW140" i="103"/>
  <c r="AK140" i="103"/>
  <c r="BV139" i="103"/>
  <c r="AO139" i="103"/>
  <c r="Q139" i="103"/>
  <c r="BZ138" i="103"/>
  <c r="BE138" i="103"/>
  <c r="AS138" i="103"/>
  <c r="AG138" i="103"/>
  <c r="I138" i="103"/>
  <c r="CD137" i="103"/>
  <c r="BR137" i="103"/>
  <c r="AW137" i="103"/>
  <c r="AK137" i="103"/>
  <c r="BV136" i="103"/>
  <c r="AO136" i="103"/>
  <c r="Q136" i="103"/>
  <c r="BZ135" i="103"/>
  <c r="BE135" i="103"/>
  <c r="AS135" i="103"/>
  <c r="AG135" i="103"/>
  <c r="I135" i="103"/>
  <c r="CD134" i="103"/>
  <c r="BR134" i="103"/>
  <c r="AW134" i="103"/>
  <c r="AK134" i="103"/>
  <c r="BV133" i="103"/>
  <c r="AO133" i="103"/>
  <c r="Q133" i="103"/>
  <c r="BZ132" i="103"/>
  <c r="BE132" i="103"/>
  <c r="AS132" i="103"/>
  <c r="AG132" i="103"/>
  <c r="I132" i="103"/>
  <c r="CD131" i="103"/>
  <c r="BR131" i="103"/>
  <c r="AW131" i="103"/>
  <c r="AK131" i="103"/>
  <c r="BV130" i="103"/>
  <c r="AO130" i="103"/>
  <c r="Q130" i="103"/>
  <c r="BZ129" i="103"/>
  <c r="BE129" i="103"/>
  <c r="AS129" i="103"/>
  <c r="AG129" i="103"/>
  <c r="I129" i="103"/>
  <c r="CD128" i="103"/>
  <c r="AW128" i="103"/>
  <c r="AK128" i="103"/>
  <c r="BV127" i="103"/>
  <c r="AO127" i="103"/>
  <c r="Q127" i="103"/>
  <c r="BW165" i="103"/>
  <c r="I163" i="103"/>
  <c r="BY162" i="103"/>
  <c r="AR162" i="103"/>
  <c r="AF162" i="103"/>
  <c r="T162" i="103"/>
  <c r="CC161" i="103"/>
  <c r="BQ161" i="103"/>
  <c r="AV161" i="103"/>
  <c r="AJ161" i="103"/>
  <c r="CS160" i="103"/>
  <c r="BU160" i="103"/>
  <c r="AZ160" i="103"/>
  <c r="P160" i="103"/>
  <c r="BY159" i="103"/>
  <c r="AR159" i="103"/>
  <c r="AF159" i="103"/>
  <c r="T159" i="103"/>
  <c r="CC158" i="103"/>
  <c r="BQ158" i="103"/>
  <c r="AV158" i="103"/>
  <c r="AJ158" i="103"/>
  <c r="CS157" i="103"/>
  <c r="BU157" i="103"/>
  <c r="AZ157" i="103"/>
  <c r="P157" i="103"/>
  <c r="BY156" i="103"/>
  <c r="AR156" i="103"/>
  <c r="AF156" i="103"/>
  <c r="T156" i="103"/>
  <c r="CC155" i="103"/>
  <c r="BQ155" i="103"/>
  <c r="AV155" i="103"/>
  <c r="AJ155" i="103"/>
  <c r="CS154" i="103"/>
  <c r="BU154" i="103"/>
  <c r="AZ154" i="103"/>
  <c r="P154" i="103"/>
  <c r="BY153" i="103"/>
  <c r="AR153" i="103"/>
  <c r="AF153" i="103"/>
  <c r="T153" i="103"/>
  <c r="CC152" i="103"/>
  <c r="BQ152" i="103"/>
  <c r="AV152" i="103"/>
  <c r="AJ152" i="103"/>
  <c r="CS151" i="103"/>
  <c r="BU151" i="103"/>
  <c r="AZ151" i="103"/>
  <c r="P151" i="103"/>
  <c r="BY150" i="103"/>
  <c r="AR150" i="103"/>
  <c r="AF150" i="103"/>
  <c r="T150" i="103"/>
  <c r="CC149" i="103"/>
  <c r="BQ149" i="103"/>
  <c r="AV149" i="103"/>
  <c r="AJ149" i="103"/>
  <c r="CS148" i="103"/>
  <c r="BU148" i="103"/>
  <c r="AZ148" i="103"/>
  <c r="P148" i="103"/>
  <c r="BY147" i="103"/>
  <c r="AR147" i="103"/>
  <c r="AF147" i="103"/>
  <c r="T147" i="103"/>
  <c r="CC146" i="103"/>
  <c r="BQ146" i="103"/>
  <c r="AV146" i="103"/>
  <c r="AJ146" i="103"/>
  <c r="CS145" i="103"/>
  <c r="BU145" i="103"/>
  <c r="AZ145" i="103"/>
  <c r="P145" i="103"/>
  <c r="BY144" i="103"/>
  <c r="AR144" i="103"/>
  <c r="AF144" i="103"/>
  <c r="T144" i="103"/>
  <c r="CC143" i="103"/>
  <c r="BQ143" i="103"/>
  <c r="AV143" i="103"/>
  <c r="AJ143" i="103"/>
  <c r="CS142" i="103"/>
  <c r="BU142" i="103"/>
  <c r="AZ142" i="103"/>
  <c r="P142" i="103"/>
  <c r="BY141" i="103"/>
  <c r="AR141" i="103"/>
  <c r="AF141" i="103"/>
  <c r="T141" i="103"/>
  <c r="CC140" i="103"/>
  <c r="BQ140" i="103"/>
  <c r="AV140" i="103"/>
  <c r="AJ140" i="103"/>
  <c r="CS139" i="103"/>
  <c r="BU139" i="103"/>
  <c r="AZ139" i="103"/>
  <c r="P139" i="103"/>
  <c r="BY138" i="103"/>
  <c r="AR138" i="103"/>
  <c r="AF138" i="103"/>
  <c r="T138" i="103"/>
  <c r="CC137" i="103"/>
  <c r="BQ137" i="103"/>
  <c r="CE166" i="103"/>
  <c r="BX162" i="103"/>
  <c r="BC162" i="103"/>
  <c r="AQ162" i="103"/>
  <c r="AE162" i="103"/>
  <c r="S162" i="103"/>
  <c r="G162" i="103"/>
  <c r="CN161" i="103"/>
  <c r="CB161" i="103"/>
  <c r="BG161" i="103"/>
  <c r="AU161" i="103"/>
  <c r="AI161" i="103"/>
  <c r="BT160" i="103"/>
  <c r="AY160" i="103"/>
  <c r="BX159" i="103"/>
  <c r="BC159" i="103"/>
  <c r="AQ159" i="103"/>
  <c r="AE159" i="103"/>
  <c r="S159" i="103"/>
  <c r="G159" i="103"/>
  <c r="CN158" i="103"/>
  <c r="CB158" i="103"/>
  <c r="AN158" i="103" s="1"/>
  <c r="BG158" i="103"/>
  <c r="AU158" i="103"/>
  <c r="AI158" i="103"/>
  <c r="BT157" i="103"/>
  <c r="AY157" i="103"/>
  <c r="BX156" i="103"/>
  <c r="BC156" i="103"/>
  <c r="AQ156" i="103"/>
  <c r="AE156" i="103"/>
  <c r="S156" i="103"/>
  <c r="G156" i="103"/>
  <c r="CN155" i="103"/>
  <c r="CB155" i="103"/>
  <c r="BG155" i="103"/>
  <c r="AU155" i="103"/>
  <c r="AI155" i="103"/>
  <c r="BT154" i="103"/>
  <c r="AY154" i="103"/>
  <c r="BX153" i="103"/>
  <c r="BC153" i="103"/>
  <c r="AQ153" i="103"/>
  <c r="AE153" i="103"/>
  <c r="S153" i="103"/>
  <c r="G153" i="103"/>
  <c r="CN152" i="103"/>
  <c r="CB152" i="103"/>
  <c r="BG152" i="103"/>
  <c r="AU152" i="103"/>
  <c r="AI152" i="103"/>
  <c r="BT151" i="103"/>
  <c r="AY151" i="103"/>
  <c r="BX150" i="103"/>
  <c r="BC150" i="103"/>
  <c r="AQ150" i="103"/>
  <c r="AE150" i="103"/>
  <c r="S150" i="103"/>
  <c r="G150" i="103"/>
  <c r="CN149" i="103"/>
  <c r="CB149" i="103"/>
  <c r="AN149" i="103" s="1"/>
  <c r="BG149" i="103"/>
  <c r="AU149" i="103"/>
  <c r="AI149" i="103"/>
  <c r="BT148" i="103"/>
  <c r="AY148" i="103"/>
  <c r="BX147" i="103"/>
  <c r="BC147" i="103"/>
  <c r="AQ147" i="103"/>
  <c r="AE147" i="103"/>
  <c r="S147" i="103"/>
  <c r="G147" i="103"/>
  <c r="CN146" i="103"/>
  <c r="CB146" i="103"/>
  <c r="AN146" i="103" s="1"/>
  <c r="BG146" i="103"/>
  <c r="AU146" i="103"/>
  <c r="AI146" i="103"/>
  <c r="BT145" i="103"/>
  <c r="AY145" i="103"/>
  <c r="BX144" i="103"/>
  <c r="BC144" i="103"/>
  <c r="AQ144" i="103"/>
  <c r="AE144" i="103"/>
  <c r="S144" i="103"/>
  <c r="G144" i="103"/>
  <c r="CN143" i="103"/>
  <c r="CB143" i="103"/>
  <c r="BG143" i="103"/>
  <c r="AU143" i="103"/>
  <c r="AI143" i="103"/>
  <c r="BT142" i="103"/>
  <c r="AY142" i="103"/>
  <c r="BX141" i="103"/>
  <c r="BC141" i="103"/>
  <c r="AQ141" i="103"/>
  <c r="AE141" i="103"/>
  <c r="S141" i="103"/>
  <c r="G141" i="103"/>
  <c r="CN140" i="103"/>
  <c r="CB140" i="103"/>
  <c r="AN140" i="103" s="1"/>
  <c r="BG140" i="103"/>
  <c r="AU140" i="103"/>
  <c r="AI140" i="103"/>
  <c r="BT139" i="103"/>
  <c r="AY139" i="103"/>
  <c r="BX138" i="103"/>
  <c r="BC138" i="103"/>
  <c r="AQ138" i="103"/>
  <c r="AE138" i="103"/>
  <c r="S138" i="103"/>
  <c r="G138" i="103"/>
  <c r="CN137" i="103"/>
  <c r="CB137" i="103"/>
  <c r="BG137" i="103"/>
  <c r="AU137" i="103"/>
  <c r="AI137" i="103"/>
  <c r="BT136" i="103"/>
  <c r="AY136" i="103"/>
  <c r="BX135" i="103"/>
  <c r="BC135" i="103"/>
  <c r="AQ135" i="103"/>
  <c r="AE135" i="103"/>
  <c r="S135" i="103"/>
  <c r="G135" i="103"/>
  <c r="CN134" i="103"/>
  <c r="CB134" i="103"/>
  <c r="BG134" i="103"/>
  <c r="AU134" i="103"/>
  <c r="AI134" i="103"/>
  <c r="BT133" i="103"/>
  <c r="AY133" i="103"/>
  <c r="BX132" i="103"/>
  <c r="BC132" i="103"/>
  <c r="AQ132" i="103"/>
  <c r="AE132" i="103"/>
  <c r="S132" i="103"/>
  <c r="G132" i="103"/>
  <c r="CN131" i="103"/>
  <c r="CB131" i="103"/>
  <c r="AN131" i="103" s="1"/>
  <c r="BG131" i="103"/>
  <c r="AU131" i="103"/>
  <c r="AI131" i="103"/>
  <c r="BT130" i="103"/>
  <c r="AY130" i="103"/>
  <c r="BX129" i="103"/>
  <c r="AQ129" i="103"/>
  <c r="AE129" i="103"/>
  <c r="S129" i="103"/>
  <c r="G129" i="103"/>
  <c r="CN128" i="103"/>
  <c r="CB128" i="103"/>
  <c r="AN128" i="103" s="1"/>
  <c r="BG128" i="103"/>
  <c r="AI128" i="103"/>
  <c r="BT127" i="103"/>
  <c r="AY127" i="103"/>
  <c r="CA167" i="103"/>
  <c r="BS166" i="103"/>
  <c r="BF164" i="103"/>
  <c r="AX163" i="103"/>
  <c r="G163" i="103"/>
  <c r="BW162" i="103"/>
  <c r="AP162" i="103"/>
  <c r="AD162" i="103"/>
  <c r="CA161" i="103"/>
  <c r="BF161" i="103"/>
  <c r="AT161" i="103"/>
  <c r="AH161" i="103"/>
  <c r="V161" i="103"/>
  <c r="CE160" i="103"/>
  <c r="BS160" i="103"/>
  <c r="AX160" i="103"/>
  <c r="N160" i="103"/>
  <c r="BW159" i="103"/>
  <c r="AP159" i="103"/>
  <c r="AD159" i="103"/>
  <c r="CA158" i="103"/>
  <c r="BF158" i="103"/>
  <c r="AT158" i="103"/>
  <c r="AH158" i="103"/>
  <c r="V158" i="103"/>
  <c r="CE157" i="103"/>
  <c r="BS157" i="103"/>
  <c r="AX157" i="103"/>
  <c r="N157" i="103"/>
  <c r="BW156" i="103"/>
  <c r="AP156" i="103"/>
  <c r="AD156" i="103"/>
  <c r="CA155" i="103"/>
  <c r="BF155" i="103"/>
  <c r="AT155" i="103"/>
  <c r="AH155" i="103"/>
  <c r="V155" i="103"/>
  <c r="CE154" i="103"/>
  <c r="BS154" i="103"/>
  <c r="AX154" i="103"/>
  <c r="N154" i="103"/>
  <c r="BW153" i="103"/>
  <c r="AP153" i="103"/>
  <c r="AD153" i="103"/>
  <c r="CA152" i="103"/>
  <c r="BF152" i="103"/>
  <c r="AT152" i="103"/>
  <c r="AH152" i="103"/>
  <c r="V152" i="103"/>
  <c r="CE151" i="103"/>
  <c r="BS151" i="103"/>
  <c r="AX151" i="103"/>
  <c r="N151" i="103"/>
  <c r="BW150" i="103"/>
  <c r="AP150" i="103"/>
  <c r="AD150" i="103"/>
  <c r="CA149" i="103"/>
  <c r="BF149" i="103"/>
  <c r="AT149" i="103"/>
  <c r="AH149" i="103"/>
  <c r="V149" i="103"/>
  <c r="CE148" i="103"/>
  <c r="BS148" i="103"/>
  <c r="AX148" i="103"/>
  <c r="N148" i="103"/>
  <c r="BW147" i="103"/>
  <c r="AP147" i="103"/>
  <c r="AD147" i="103"/>
  <c r="CA146" i="103"/>
  <c r="BF146" i="103"/>
  <c r="AT146" i="103"/>
  <c r="AH146" i="103"/>
  <c r="V146" i="103"/>
  <c r="CE145" i="103"/>
  <c r="BS145" i="103"/>
  <c r="AX145" i="103"/>
  <c r="N145" i="103"/>
  <c r="BW144" i="103"/>
  <c r="AP144" i="103"/>
  <c r="AD144" i="103"/>
  <c r="CA143" i="103"/>
  <c r="BF143" i="103"/>
  <c r="AT143" i="103"/>
  <c r="AH143" i="103"/>
  <c r="V143" i="103"/>
  <c r="CE142" i="103"/>
  <c r="BS142" i="103"/>
  <c r="AX142" i="103"/>
  <c r="N142" i="103"/>
  <c r="BW141" i="103"/>
  <c r="AP141" i="103"/>
  <c r="AD141" i="103"/>
  <c r="CA140" i="103"/>
  <c r="BF140" i="103"/>
  <c r="AT140" i="103"/>
  <c r="AH140" i="103"/>
  <c r="V140" i="103"/>
  <c r="CE139" i="103"/>
  <c r="BS139" i="103"/>
  <c r="AX139" i="103"/>
  <c r="N139" i="103"/>
  <c r="BW138" i="103"/>
  <c r="AP138" i="103"/>
  <c r="AD138" i="103"/>
  <c r="CA137" i="103"/>
  <c r="BF137" i="103"/>
  <c r="AT137" i="103"/>
  <c r="AH137" i="103"/>
  <c r="V137" i="103"/>
  <c r="CE136" i="103"/>
  <c r="BS136" i="103"/>
  <c r="AX136" i="103"/>
  <c r="N136" i="103"/>
  <c r="BW135" i="103"/>
  <c r="AP135" i="103"/>
  <c r="AD135" i="103"/>
  <c r="CA134" i="103"/>
  <c r="BF134" i="103"/>
  <c r="AT134" i="103"/>
  <c r="AH134" i="103"/>
  <c r="V134" i="103"/>
  <c r="CE133" i="103"/>
  <c r="BS133" i="103"/>
  <c r="AX133" i="103"/>
  <c r="N133" i="103"/>
  <c r="BW132" i="103"/>
  <c r="AP132" i="103"/>
  <c r="AD132" i="103"/>
  <c r="CA131" i="103"/>
  <c r="BF131" i="103"/>
  <c r="AT131" i="103"/>
  <c r="AH131" i="103"/>
  <c r="V131" i="103"/>
  <c r="CE130" i="103"/>
  <c r="BS130" i="103"/>
  <c r="AX130" i="103"/>
  <c r="N130" i="103"/>
  <c r="BW129" i="103"/>
  <c r="AP129" i="103"/>
  <c r="AD129" i="103"/>
  <c r="CA128" i="103"/>
  <c r="BF128" i="103"/>
  <c r="AT128" i="103"/>
  <c r="AH128" i="103"/>
  <c r="V128" i="103"/>
  <c r="CE127" i="103"/>
  <c r="BS127" i="103"/>
  <c r="AX127" i="103"/>
  <c r="AP137" i="103"/>
  <c r="CA136" i="103"/>
  <c r="V136" i="103"/>
  <c r="AV134" i="103"/>
  <c r="BY129" i="103"/>
  <c r="AK129" i="103"/>
  <c r="S127" i="103"/>
  <c r="BZ126" i="103"/>
  <c r="BE126" i="103"/>
  <c r="AS126" i="103"/>
  <c r="AG126" i="103"/>
  <c r="I126" i="103"/>
  <c r="CD125" i="103"/>
  <c r="AW125" i="103"/>
  <c r="AK125" i="103"/>
  <c r="BV124" i="103"/>
  <c r="AO124" i="103"/>
  <c r="Q124" i="103"/>
  <c r="BZ123" i="103"/>
  <c r="BE123" i="103"/>
  <c r="AS123" i="103"/>
  <c r="AG123" i="103"/>
  <c r="I123" i="103"/>
  <c r="CD122" i="103"/>
  <c r="AW122" i="103"/>
  <c r="AK122" i="103"/>
  <c r="BV121" i="103"/>
  <c r="AO121" i="103"/>
  <c r="Q121" i="103"/>
  <c r="BZ120" i="103"/>
  <c r="BE120" i="103"/>
  <c r="AS120" i="103"/>
  <c r="AG120" i="103"/>
  <c r="I120" i="103"/>
  <c r="CD119" i="103"/>
  <c r="AW119" i="103"/>
  <c r="AK119" i="103"/>
  <c r="BV118" i="103"/>
  <c r="AO118" i="103"/>
  <c r="Q118" i="103"/>
  <c r="BZ117" i="103"/>
  <c r="BE117" i="103"/>
  <c r="AS117" i="103"/>
  <c r="AG117" i="103"/>
  <c r="I117" i="103"/>
  <c r="CD116" i="103"/>
  <c r="AW116" i="103"/>
  <c r="AK116" i="103"/>
  <c r="BV115" i="103"/>
  <c r="AO115" i="103"/>
  <c r="Q115" i="103"/>
  <c r="BZ114" i="103"/>
  <c r="BE114" i="103"/>
  <c r="AS114" i="103"/>
  <c r="AG114" i="103"/>
  <c r="I114" i="103"/>
  <c r="CD113" i="103"/>
  <c r="AW113" i="103"/>
  <c r="AK113" i="103"/>
  <c r="BV112" i="103"/>
  <c r="AO112" i="103"/>
  <c r="Q112" i="103"/>
  <c r="BZ111" i="103"/>
  <c r="BE111" i="103"/>
  <c r="AS111" i="103"/>
  <c r="AG111" i="103"/>
  <c r="I111" i="103"/>
  <c r="CD110" i="103"/>
  <c r="AW110" i="103"/>
  <c r="AK110" i="103"/>
  <c r="BV109" i="103"/>
  <c r="AO109" i="103"/>
  <c r="Q109" i="103"/>
  <c r="BZ108" i="103"/>
  <c r="BE108" i="103"/>
  <c r="AS108" i="103"/>
  <c r="AG108" i="103"/>
  <c r="CC107" i="103"/>
  <c r="BC107" i="103" s="1"/>
  <c r="BQ107" i="103"/>
  <c r="AJ107" i="103"/>
  <c r="BT106" i="103"/>
  <c r="AY106" i="103"/>
  <c r="BX105" i="103"/>
  <c r="AQ105" i="103"/>
  <c r="AE105" i="103"/>
  <c r="S105" i="103"/>
  <c r="G105" i="103"/>
  <c r="CN104" i="103"/>
  <c r="CB104" i="103"/>
  <c r="AN104" i="103" s="1"/>
  <c r="BG104" i="103"/>
  <c r="AI104" i="103"/>
  <c r="BT103" i="103"/>
  <c r="AY103" i="103"/>
  <c r="BX102" i="103"/>
  <c r="AQ102" i="103"/>
  <c r="AE102" i="103"/>
  <c r="S102" i="103"/>
  <c r="CA101" i="103"/>
  <c r="BF101" i="103"/>
  <c r="AT101" i="103"/>
  <c r="AH101" i="103"/>
  <c r="V101" i="103"/>
  <c r="CE100" i="103"/>
  <c r="BS100" i="103"/>
  <c r="AX100" i="103"/>
  <c r="N100" i="103"/>
  <c r="BW99" i="103"/>
  <c r="AP99" i="103"/>
  <c r="AD99" i="103"/>
  <c r="CA98" i="103"/>
  <c r="BF98" i="103"/>
  <c r="AT98" i="103"/>
  <c r="AH98" i="103"/>
  <c r="V98" i="103"/>
  <c r="CE97" i="103"/>
  <c r="BS97" i="103"/>
  <c r="AX97" i="103"/>
  <c r="N97" i="103"/>
  <c r="BW96" i="103"/>
  <c r="AP96" i="103"/>
  <c r="AD96" i="103"/>
  <c r="CA95" i="103"/>
  <c r="BF95" i="103"/>
  <c r="AT95" i="103"/>
  <c r="AH95" i="103"/>
  <c r="V95" i="103"/>
  <c r="CE94" i="103"/>
  <c r="BS94" i="103"/>
  <c r="AX94" i="103"/>
  <c r="N94" i="103"/>
  <c r="BW93" i="103"/>
  <c r="AP93" i="103"/>
  <c r="AD93" i="103"/>
  <c r="CA92" i="103"/>
  <c r="BF92" i="103"/>
  <c r="AT92" i="103"/>
  <c r="AH92" i="103"/>
  <c r="V92" i="103"/>
  <c r="CE91" i="103"/>
  <c r="BS91" i="103"/>
  <c r="AX91" i="103"/>
  <c r="N138" i="103"/>
  <c r="AJ137" i="103"/>
  <c r="BU136" i="103"/>
  <c r="P136" i="103"/>
  <c r="AP134" i="103"/>
  <c r="CA133" i="103"/>
  <c r="V133" i="103"/>
  <c r="AV131" i="103"/>
  <c r="AH130" i="103"/>
  <c r="BS129" i="103"/>
  <c r="AF129" i="103"/>
  <c r="CC128" i="103"/>
  <c r="BC128" i="103" s="1"/>
  <c r="AK127" i="103"/>
  <c r="P127" i="103"/>
  <c r="BY126" i="103"/>
  <c r="AR126" i="103"/>
  <c r="AF126" i="103"/>
  <c r="T126" i="103"/>
  <c r="CC125" i="103"/>
  <c r="BC125" i="103" s="1"/>
  <c r="BQ125" i="103"/>
  <c r="AJ125" i="103"/>
  <c r="CS124" i="103"/>
  <c r="BU124" i="103"/>
  <c r="AZ124" i="103"/>
  <c r="P124" i="103"/>
  <c r="BY123" i="103"/>
  <c r="AR123" i="103"/>
  <c r="AF123" i="103"/>
  <c r="T123" i="103"/>
  <c r="CC122" i="103"/>
  <c r="BC122" i="103" s="1"/>
  <c r="BQ122" i="103"/>
  <c r="AJ122" i="103"/>
  <c r="CS121" i="103"/>
  <c r="BU121" i="103"/>
  <c r="AZ121" i="103"/>
  <c r="P121" i="103"/>
  <c r="BY120" i="103"/>
  <c r="AR120" i="103"/>
  <c r="AF120" i="103"/>
  <c r="T120" i="103"/>
  <c r="CC119" i="103"/>
  <c r="BC119" i="103" s="1"/>
  <c r="BQ119" i="103"/>
  <c r="AJ119" i="103"/>
  <c r="CS118" i="103"/>
  <c r="BU118" i="103"/>
  <c r="AZ118" i="103"/>
  <c r="P118" i="103"/>
  <c r="BY117" i="103"/>
  <c r="AR117" i="103"/>
  <c r="AF117" i="103"/>
  <c r="T117" i="103"/>
  <c r="CC116" i="103"/>
  <c r="BC116" i="103" s="1"/>
  <c r="BQ116" i="103"/>
  <c r="AJ116" i="103"/>
  <c r="CS115" i="103"/>
  <c r="BU115" i="103"/>
  <c r="AZ115" i="103"/>
  <c r="P115" i="103"/>
  <c r="BY114" i="103"/>
  <c r="AR114" i="103"/>
  <c r="AF114" i="103"/>
  <c r="T114" i="103"/>
  <c r="CC113" i="103"/>
  <c r="BC113" i="103" s="1"/>
  <c r="BQ113" i="103"/>
  <c r="AJ113" i="103"/>
  <c r="CS112" i="103"/>
  <c r="BU112" i="103"/>
  <c r="AZ112" i="103"/>
  <c r="P112" i="103"/>
  <c r="BY111" i="103"/>
  <c r="AR111" i="103"/>
  <c r="AF111" i="103"/>
  <c r="T111" i="103"/>
  <c r="CC110" i="103"/>
  <c r="BC110" i="103" s="1"/>
  <c r="BQ110" i="103"/>
  <c r="AJ110" i="103"/>
  <c r="CS109" i="103"/>
  <c r="BU109" i="103"/>
  <c r="AZ109" i="103"/>
  <c r="P109" i="103"/>
  <c r="BY108" i="103"/>
  <c r="AR108" i="103"/>
  <c r="AF108" i="103"/>
  <c r="T108" i="103"/>
  <c r="G108" i="103"/>
  <c r="CN107" i="103"/>
  <c r="CB107" i="103"/>
  <c r="AN107" i="103" s="1"/>
  <c r="BG107" i="103"/>
  <c r="AI107" i="103"/>
  <c r="CE106" i="103"/>
  <c r="BS106" i="103"/>
  <c r="AX106" i="103"/>
  <c r="N106" i="103"/>
  <c r="BW105" i="103"/>
  <c r="AP105" i="103"/>
  <c r="AD105" i="103"/>
  <c r="CA104" i="103"/>
  <c r="BF104" i="103"/>
  <c r="AT104" i="103"/>
  <c r="AH104" i="103"/>
  <c r="V104" i="103"/>
  <c r="CE103" i="103"/>
  <c r="BS103" i="103"/>
  <c r="AX103" i="103"/>
  <c r="N103" i="103"/>
  <c r="BW102" i="103"/>
  <c r="AP102" i="103"/>
  <c r="AD102" i="103"/>
  <c r="E102" i="103"/>
  <c r="BZ101" i="103"/>
  <c r="BE101" i="103"/>
  <c r="AS101" i="103"/>
  <c r="AG101" i="103"/>
  <c r="I101" i="103"/>
  <c r="CD100" i="103"/>
  <c r="BR100" i="103"/>
  <c r="AW100" i="103"/>
  <c r="AK100" i="103"/>
  <c r="BV99" i="103"/>
  <c r="AO99" i="103"/>
  <c r="Q99" i="103"/>
  <c r="BZ98" i="103"/>
  <c r="BE98" i="103"/>
  <c r="AS98" i="103"/>
  <c r="AG98" i="103"/>
  <c r="I98" i="103"/>
  <c r="CD97" i="103"/>
  <c r="BR97" i="103"/>
  <c r="AW97" i="103"/>
  <c r="AK97" i="103"/>
  <c r="BV96" i="103"/>
  <c r="AO96" i="103"/>
  <c r="Q96" i="103"/>
  <c r="BZ95" i="103"/>
  <c r="BE95" i="103"/>
  <c r="AS95" i="103"/>
  <c r="AG95" i="103"/>
  <c r="I95" i="103"/>
  <c r="CD94" i="103"/>
  <c r="BR94" i="103"/>
  <c r="AW94" i="103"/>
  <c r="AK94" i="103"/>
  <c r="BV93" i="103"/>
  <c r="AO93" i="103"/>
  <c r="Q93" i="103"/>
  <c r="BZ92" i="103"/>
  <c r="BE92" i="103"/>
  <c r="AS92" i="103"/>
  <c r="AG92" i="103"/>
  <c r="I92" i="103"/>
  <c r="CD91" i="103"/>
  <c r="BR91" i="103"/>
  <c r="AW91" i="103"/>
  <c r="AD137" i="103"/>
  <c r="AJ134" i="103"/>
  <c r="BU133" i="103"/>
  <c r="P133" i="103"/>
  <c r="AP131" i="103"/>
  <c r="CA130" i="103"/>
  <c r="BW128" i="103"/>
  <c r="AH127" i="103"/>
  <c r="BX126" i="103"/>
  <c r="AQ126" i="103"/>
  <c r="AE126" i="103"/>
  <c r="S126" i="103"/>
  <c r="G126" i="103"/>
  <c r="CN125" i="103"/>
  <c r="CB125" i="103"/>
  <c r="AN125" i="103" s="1"/>
  <c r="BG125" i="103"/>
  <c r="AI125" i="103"/>
  <c r="BT124" i="103"/>
  <c r="AY124" i="103"/>
  <c r="BX123" i="103"/>
  <c r="AQ123" i="103"/>
  <c r="AE123" i="103"/>
  <c r="S123" i="103"/>
  <c r="G123" i="103"/>
  <c r="CN122" i="103"/>
  <c r="CB122" i="103"/>
  <c r="AN122" i="103" s="1"/>
  <c r="BG122" i="103"/>
  <c r="AI122" i="103"/>
  <c r="BT121" i="103"/>
  <c r="AY121" i="103"/>
  <c r="BX120" i="103"/>
  <c r="AQ120" i="103"/>
  <c r="AE120" i="103"/>
  <c r="S120" i="103"/>
  <c r="G120" i="103"/>
  <c r="CN119" i="103"/>
  <c r="CB119" i="103"/>
  <c r="AN119" i="103" s="1"/>
  <c r="BG119" i="103"/>
  <c r="AI119" i="103"/>
  <c r="BT118" i="103"/>
  <c r="AY118" i="103"/>
  <c r="BX117" i="103"/>
  <c r="AQ117" i="103"/>
  <c r="AE117" i="103"/>
  <c r="S117" i="103"/>
  <c r="G117" i="103"/>
  <c r="CN116" i="103"/>
  <c r="CB116" i="103"/>
  <c r="AN116" i="103" s="1"/>
  <c r="BG116" i="103"/>
  <c r="AI116" i="103"/>
  <c r="BT115" i="103"/>
  <c r="AY115" i="103"/>
  <c r="BX114" i="103"/>
  <c r="AQ114" i="103"/>
  <c r="AE114" i="103"/>
  <c r="S114" i="103"/>
  <c r="G114" i="103"/>
  <c r="CN113" i="103"/>
  <c r="CB113" i="103"/>
  <c r="AN113" i="103" s="1"/>
  <c r="BG113" i="103"/>
  <c r="AI113" i="103"/>
  <c r="BT112" i="103"/>
  <c r="AY112" i="103"/>
  <c r="BX111" i="103"/>
  <c r="AQ111" i="103"/>
  <c r="AE111" i="103"/>
  <c r="S111" i="103"/>
  <c r="G111" i="103"/>
  <c r="CN110" i="103"/>
  <c r="CB110" i="103"/>
  <c r="AN110" i="103" s="1"/>
  <c r="BG110" i="103"/>
  <c r="AI110" i="103"/>
  <c r="BT109" i="103"/>
  <c r="AY109" i="103"/>
  <c r="BX108" i="103"/>
  <c r="AQ108" i="103"/>
  <c r="AE108" i="103"/>
  <c r="S108" i="103"/>
  <c r="CA107" i="103"/>
  <c r="BF107" i="103"/>
  <c r="AT107" i="103"/>
  <c r="AH107" i="103"/>
  <c r="V107" i="103"/>
  <c r="I107" i="103"/>
  <c r="CD106" i="103"/>
  <c r="AW106" i="103"/>
  <c r="AK106" i="103"/>
  <c r="BV105" i="103"/>
  <c r="AO105" i="103"/>
  <c r="Q105" i="103"/>
  <c r="BZ104" i="103"/>
  <c r="BE104" i="103"/>
  <c r="AS104" i="103"/>
  <c r="AG104" i="103"/>
  <c r="I104" i="103"/>
  <c r="CD103" i="103"/>
  <c r="AW103" i="103"/>
  <c r="AK103" i="103"/>
  <c r="BV102" i="103"/>
  <c r="AO102" i="103"/>
  <c r="Q102" i="103"/>
  <c r="BY101" i="103"/>
  <c r="AR101" i="103"/>
  <c r="AF101" i="103"/>
  <c r="T101" i="103"/>
  <c r="CC100" i="103"/>
  <c r="BC100" i="103" s="1"/>
  <c r="BQ100" i="103"/>
  <c r="AJ100" i="103"/>
  <c r="CS99" i="103"/>
  <c r="BU99" i="103"/>
  <c r="AZ99" i="103"/>
  <c r="P99" i="103"/>
  <c r="BY98" i="103"/>
  <c r="AR98" i="103"/>
  <c r="AF98" i="103"/>
  <c r="T98" i="103"/>
  <c r="CC97" i="103"/>
  <c r="BC97" i="103" s="1"/>
  <c r="BQ97" i="103"/>
  <c r="AJ97" i="103"/>
  <c r="CS96" i="103"/>
  <c r="BU96" i="103"/>
  <c r="AZ96" i="103"/>
  <c r="P96" i="103"/>
  <c r="BY95" i="103"/>
  <c r="AR95" i="103"/>
  <c r="AF95" i="103"/>
  <c r="T95" i="103"/>
  <c r="CC94" i="103"/>
  <c r="BC94" i="103" s="1"/>
  <c r="BQ94" i="103"/>
  <c r="AJ94" i="103"/>
  <c r="CS93" i="103"/>
  <c r="BU93" i="103"/>
  <c r="AZ93" i="103"/>
  <c r="P93" i="103"/>
  <c r="BY92" i="103"/>
  <c r="AR92" i="103"/>
  <c r="AF92" i="103"/>
  <c r="T92" i="103"/>
  <c r="CC91" i="103"/>
  <c r="BC91" i="103" s="1"/>
  <c r="BQ91" i="103"/>
  <c r="AD134" i="103"/>
  <c r="AJ131" i="103"/>
  <c r="BU130" i="103"/>
  <c r="V130" i="103"/>
  <c r="BV128" i="103"/>
  <c r="AP128" i="103"/>
  <c r="AG127" i="103"/>
  <c r="N127" i="103"/>
  <c r="BW126" i="103"/>
  <c r="AP126" i="103"/>
  <c r="AD126" i="103"/>
  <c r="CA125" i="103"/>
  <c r="BF125" i="103"/>
  <c r="AT125" i="103"/>
  <c r="AH125" i="103"/>
  <c r="V125" i="103"/>
  <c r="CE124" i="103"/>
  <c r="BS124" i="103"/>
  <c r="AX124" i="103"/>
  <c r="N124" i="103"/>
  <c r="BW123" i="103"/>
  <c r="AP123" i="103"/>
  <c r="AD123" i="103"/>
  <c r="CA122" i="103"/>
  <c r="BF122" i="103"/>
  <c r="AT122" i="103"/>
  <c r="AH122" i="103"/>
  <c r="V122" i="103"/>
  <c r="CE121" i="103"/>
  <c r="BS121" i="103"/>
  <c r="AX121" i="103"/>
  <c r="N121" i="103"/>
  <c r="BW120" i="103"/>
  <c r="AP120" i="103"/>
  <c r="AD120" i="103"/>
  <c r="CA119" i="103"/>
  <c r="BF119" i="103"/>
  <c r="AT119" i="103"/>
  <c r="AH119" i="103"/>
  <c r="V119" i="103"/>
  <c r="CE118" i="103"/>
  <c r="BS118" i="103"/>
  <c r="AX118" i="103"/>
  <c r="N118" i="103"/>
  <c r="BW117" i="103"/>
  <c r="AP117" i="103"/>
  <c r="AD117" i="103"/>
  <c r="CA116" i="103"/>
  <c r="BF116" i="103"/>
  <c r="AT116" i="103"/>
  <c r="AH116" i="103"/>
  <c r="V116" i="103"/>
  <c r="CE115" i="103"/>
  <c r="BS115" i="103"/>
  <c r="AX115" i="103"/>
  <c r="N115" i="103"/>
  <c r="BW114" i="103"/>
  <c r="AP114" i="103"/>
  <c r="AD114" i="103"/>
  <c r="CA113" i="103"/>
  <c r="BF113" i="103"/>
  <c r="AT113" i="103"/>
  <c r="AH113" i="103"/>
  <c r="V113" i="103"/>
  <c r="CE112" i="103"/>
  <c r="BS112" i="103"/>
  <c r="AX112" i="103"/>
  <c r="N112" i="103"/>
  <c r="BW111" i="103"/>
  <c r="AP111" i="103"/>
  <c r="AD111" i="103"/>
  <c r="CA110" i="103"/>
  <c r="BF110" i="103"/>
  <c r="AT110" i="103"/>
  <c r="AH110" i="103"/>
  <c r="V110" i="103"/>
  <c r="CE109" i="103"/>
  <c r="BS109" i="103"/>
  <c r="AX109" i="103"/>
  <c r="N109" i="103"/>
  <c r="BW108" i="103"/>
  <c r="AP108" i="103"/>
  <c r="AD108" i="103"/>
  <c r="BZ107" i="103"/>
  <c r="BE107" i="103"/>
  <c r="AS107" i="103"/>
  <c r="AG107" i="103"/>
  <c r="CC106" i="103"/>
  <c r="BC106" i="103" s="1"/>
  <c r="BQ106" i="103"/>
  <c r="AJ106" i="103"/>
  <c r="CS105" i="103"/>
  <c r="BU105" i="103"/>
  <c r="AZ105" i="103"/>
  <c r="P105" i="103"/>
  <c r="BY104" i="103"/>
  <c r="AR104" i="103"/>
  <c r="AF104" i="103"/>
  <c r="T104" i="103"/>
  <c r="CC103" i="103"/>
  <c r="BC103" i="103" s="1"/>
  <c r="BQ103" i="103"/>
  <c r="AJ103" i="103"/>
  <c r="CS102" i="103"/>
  <c r="BU102" i="103"/>
  <c r="AZ102" i="103"/>
  <c r="P102" i="103"/>
  <c r="BX101" i="103"/>
  <c r="AQ101" i="103"/>
  <c r="AE101" i="103"/>
  <c r="S101" i="103"/>
  <c r="G101" i="103"/>
  <c r="CN100" i="103"/>
  <c r="CB100" i="103"/>
  <c r="AN100" i="103" s="1"/>
  <c r="BG100" i="103"/>
  <c r="AI100" i="103"/>
  <c r="BT99" i="103"/>
  <c r="AY99" i="103"/>
  <c r="BX98" i="103"/>
  <c r="AQ98" i="103"/>
  <c r="AE98" i="103"/>
  <c r="S98" i="103"/>
  <c r="G98" i="103"/>
  <c r="CN97" i="103"/>
  <c r="CB97" i="103"/>
  <c r="AN97" i="103" s="1"/>
  <c r="BG97" i="103"/>
  <c r="AI97" i="103"/>
  <c r="BT96" i="103"/>
  <c r="AY96" i="103"/>
  <c r="BX95" i="103"/>
  <c r="AQ95" i="103"/>
  <c r="AE95" i="103"/>
  <c r="AX135" i="103"/>
  <c r="CC134" i="103"/>
  <c r="AD131" i="103"/>
  <c r="P130" i="103"/>
  <c r="T129" i="103"/>
  <c r="BQ128" i="103"/>
  <c r="AO128" i="103"/>
  <c r="CS127" i="103"/>
  <c r="AE127" i="103"/>
  <c r="BV126" i="103"/>
  <c r="AO126" i="103"/>
  <c r="Q126" i="103"/>
  <c r="BZ125" i="103"/>
  <c r="BE125" i="103"/>
  <c r="AS125" i="103"/>
  <c r="AG125" i="103"/>
  <c r="I125" i="103"/>
  <c r="CD124" i="103"/>
  <c r="AW124" i="103"/>
  <c r="AK124" i="103"/>
  <c r="BV123" i="103"/>
  <c r="AO123" i="103"/>
  <c r="Q123" i="103"/>
  <c r="BZ122" i="103"/>
  <c r="BE122" i="103"/>
  <c r="AS122" i="103"/>
  <c r="AG122" i="103"/>
  <c r="I122" i="103"/>
  <c r="CD121" i="103"/>
  <c r="AW121" i="103"/>
  <c r="AK121" i="103"/>
  <c r="BV120" i="103"/>
  <c r="AO120" i="103"/>
  <c r="Q120" i="103"/>
  <c r="BZ119" i="103"/>
  <c r="BE119" i="103"/>
  <c r="AS119" i="103"/>
  <c r="AG119" i="103"/>
  <c r="I119" i="103"/>
  <c r="CD118" i="103"/>
  <c r="AW118" i="103"/>
  <c r="AK118" i="103"/>
  <c r="BV117" i="103"/>
  <c r="AO117" i="103"/>
  <c r="Q117" i="103"/>
  <c r="BZ116" i="103"/>
  <c r="BE116" i="103"/>
  <c r="AS116" i="103"/>
  <c r="AG116" i="103"/>
  <c r="I116" i="103"/>
  <c r="CD115" i="103"/>
  <c r="AW115" i="103"/>
  <c r="AK115" i="103"/>
  <c r="BV114" i="103"/>
  <c r="AO114" i="103"/>
  <c r="Q114" i="103"/>
  <c r="BZ113" i="103"/>
  <c r="BE113" i="103"/>
  <c r="AS113" i="103"/>
  <c r="AG113" i="103"/>
  <c r="I113" i="103"/>
  <c r="CD112" i="103"/>
  <c r="AW112" i="103"/>
  <c r="AK112" i="103"/>
  <c r="BV111" i="103"/>
  <c r="AO111" i="103"/>
  <c r="Q111" i="103"/>
  <c r="BZ110" i="103"/>
  <c r="BE110" i="103"/>
  <c r="AS110" i="103"/>
  <c r="AG110" i="103"/>
  <c r="I110" i="103"/>
  <c r="CD109" i="103"/>
  <c r="AW109" i="103"/>
  <c r="AK109" i="103"/>
  <c r="BV108" i="103"/>
  <c r="AO108" i="103"/>
  <c r="Q108" i="103"/>
  <c r="BY107" i="103"/>
  <c r="AR107" i="103"/>
  <c r="AF107" i="103"/>
  <c r="T107" i="103"/>
  <c r="G107" i="103"/>
  <c r="CN106" i="103"/>
  <c r="CB106" i="103"/>
  <c r="AN106" i="103" s="1"/>
  <c r="BG106" i="103"/>
  <c r="AI106" i="103"/>
  <c r="BT105" i="103"/>
  <c r="AY105" i="103"/>
  <c r="BX104" i="103"/>
  <c r="AQ104" i="103"/>
  <c r="AE104" i="103"/>
  <c r="S104" i="103"/>
  <c r="G104" i="103"/>
  <c r="CN103" i="103"/>
  <c r="CB103" i="103"/>
  <c r="AN103" i="103" s="1"/>
  <c r="BG103" i="103"/>
  <c r="AI103" i="103"/>
  <c r="BT102" i="103"/>
  <c r="AY102" i="103"/>
  <c r="BW101" i="103"/>
  <c r="AP101" i="103"/>
  <c r="AD101" i="103"/>
  <c r="CA100" i="103"/>
  <c r="BF100" i="103"/>
  <c r="AT100" i="103"/>
  <c r="AH100" i="103"/>
  <c r="V100" i="103"/>
  <c r="CE99" i="103"/>
  <c r="BS99" i="103"/>
  <c r="AX99" i="103"/>
  <c r="N99" i="103"/>
  <c r="BW98" i="103"/>
  <c r="AP98" i="103"/>
  <c r="AD98" i="103"/>
  <c r="CA97" i="103"/>
  <c r="BF97" i="103"/>
  <c r="AT97" i="103"/>
  <c r="AH97" i="103"/>
  <c r="V97" i="103"/>
  <c r="BW137" i="103"/>
  <c r="AR135" i="103"/>
  <c r="BW134" i="103"/>
  <c r="AX132" i="103"/>
  <c r="CC131" i="103"/>
  <c r="N129" i="103"/>
  <c r="AJ128" i="103"/>
  <c r="BF127" i="103"/>
  <c r="CS126" i="103"/>
  <c r="BU126" i="103"/>
  <c r="AZ126" i="103"/>
  <c r="P126" i="103"/>
  <c r="BY125" i="103"/>
  <c r="AR125" i="103"/>
  <c r="AF125" i="103"/>
  <c r="T125" i="103"/>
  <c r="CC124" i="103"/>
  <c r="BC124" i="103" s="1"/>
  <c r="BQ124" i="103"/>
  <c r="AJ124" i="103"/>
  <c r="CS123" i="103"/>
  <c r="BU123" i="103"/>
  <c r="AZ123" i="103"/>
  <c r="P123" i="103"/>
  <c r="BY122" i="103"/>
  <c r="AR122" i="103"/>
  <c r="AF122" i="103"/>
  <c r="T122" i="103"/>
  <c r="CC121" i="103"/>
  <c r="BC121" i="103" s="1"/>
  <c r="BQ121" i="103"/>
  <c r="AJ121" i="103"/>
  <c r="CS120" i="103"/>
  <c r="BU120" i="103"/>
  <c r="AZ120" i="103"/>
  <c r="P120" i="103"/>
  <c r="BY119" i="103"/>
  <c r="AR119" i="103"/>
  <c r="AF119" i="103"/>
  <c r="T119" i="103"/>
  <c r="CC118" i="103"/>
  <c r="BC118" i="103" s="1"/>
  <c r="BQ118" i="103"/>
  <c r="AJ118" i="103"/>
  <c r="CS117" i="103"/>
  <c r="BU117" i="103"/>
  <c r="AZ117" i="103"/>
  <c r="P117" i="103"/>
  <c r="BY116" i="103"/>
  <c r="AR116" i="103"/>
  <c r="AF116" i="103"/>
  <c r="T116" i="103"/>
  <c r="CC115" i="103"/>
  <c r="BC115" i="103" s="1"/>
  <c r="BQ115" i="103"/>
  <c r="AJ115" i="103"/>
  <c r="CS114" i="103"/>
  <c r="BU114" i="103"/>
  <c r="AZ114" i="103"/>
  <c r="P114" i="103"/>
  <c r="BY113" i="103"/>
  <c r="AR113" i="103"/>
  <c r="AF113" i="103"/>
  <c r="T113" i="103"/>
  <c r="CC112" i="103"/>
  <c r="BC112" i="103" s="1"/>
  <c r="BQ112" i="103"/>
  <c r="AJ112" i="103"/>
  <c r="CS111" i="103"/>
  <c r="BU111" i="103"/>
  <c r="AZ111" i="103"/>
  <c r="P111" i="103"/>
  <c r="BY110" i="103"/>
  <c r="AR110" i="103"/>
  <c r="AF110" i="103"/>
  <c r="T110" i="103"/>
  <c r="CC109" i="103"/>
  <c r="BC109" i="103" s="1"/>
  <c r="BQ109" i="103"/>
  <c r="AJ109" i="103"/>
  <c r="CS108" i="103"/>
  <c r="BU108" i="103"/>
  <c r="AZ108" i="103"/>
  <c r="P108" i="103"/>
  <c r="BX107" i="103"/>
  <c r="AQ107" i="103"/>
  <c r="AE107" i="103"/>
  <c r="S107" i="103"/>
  <c r="CA106" i="103"/>
  <c r="BF106" i="103"/>
  <c r="AT106" i="103"/>
  <c r="AH106" i="103"/>
  <c r="V106" i="103"/>
  <c r="CE105" i="103"/>
  <c r="BS105" i="103"/>
  <c r="AX105" i="103"/>
  <c r="N105" i="103"/>
  <c r="BW104" i="103"/>
  <c r="AP104" i="103"/>
  <c r="AD104" i="103"/>
  <c r="CA103" i="103"/>
  <c r="BF103" i="103"/>
  <c r="AT103" i="103"/>
  <c r="AH103" i="103"/>
  <c r="V103" i="103"/>
  <c r="CE102" i="103"/>
  <c r="BS102" i="103"/>
  <c r="AX102" i="103"/>
  <c r="N102" i="103"/>
  <c r="BV101" i="103"/>
  <c r="AO101" i="103"/>
  <c r="Q101" i="103"/>
  <c r="BZ100" i="103"/>
  <c r="BE100" i="103"/>
  <c r="AS100" i="103"/>
  <c r="AG100" i="103"/>
  <c r="I100" i="103"/>
  <c r="CD99" i="103"/>
  <c r="BR99" i="103"/>
  <c r="AW99" i="103"/>
  <c r="AK99" i="103"/>
  <c r="BV98" i="103"/>
  <c r="AO98" i="103"/>
  <c r="Q98" i="103"/>
  <c r="BZ97" i="103"/>
  <c r="BE97" i="103"/>
  <c r="AS97" i="103"/>
  <c r="AG97" i="103"/>
  <c r="I97" i="103"/>
  <c r="CD96" i="103"/>
  <c r="BR96" i="103"/>
  <c r="AW96" i="103"/>
  <c r="AK96" i="103"/>
  <c r="BV95" i="103"/>
  <c r="AO95" i="103"/>
  <c r="Q95" i="103"/>
  <c r="BZ94" i="103"/>
  <c r="BE94" i="103"/>
  <c r="AS94" i="103"/>
  <c r="AG94" i="103"/>
  <c r="I94" i="103"/>
  <c r="CD93" i="103"/>
  <c r="BR93" i="103"/>
  <c r="AW93" i="103"/>
  <c r="AK93" i="103"/>
  <c r="BV92" i="103"/>
  <c r="AO92" i="103"/>
  <c r="Q92" i="103"/>
  <c r="BZ91" i="103"/>
  <c r="BE91" i="103"/>
  <c r="AS91" i="103"/>
  <c r="AG91" i="103"/>
  <c r="CE138" i="103"/>
  <c r="BF136" i="103"/>
  <c r="BQ134" i="103"/>
  <c r="AR132" i="103"/>
  <c r="BW131" i="103"/>
  <c r="AD128" i="103"/>
  <c r="BE127" i="103"/>
  <c r="BT126" i="103"/>
  <c r="AY126" i="103"/>
  <c r="BX125" i="103"/>
  <c r="AQ125" i="103"/>
  <c r="AE125" i="103"/>
  <c r="S125" i="103"/>
  <c r="G125" i="103"/>
  <c r="CN124" i="103"/>
  <c r="CB124" i="103"/>
  <c r="BG124" i="103"/>
  <c r="AI124" i="103"/>
  <c r="BT123" i="103"/>
  <c r="AY123" i="103"/>
  <c r="BX122" i="103"/>
  <c r="AQ122" i="103"/>
  <c r="AE122" i="103"/>
  <c r="S122" i="103"/>
  <c r="G122" i="103"/>
  <c r="CN121" i="103"/>
  <c r="CB121" i="103"/>
  <c r="BG121" i="103"/>
  <c r="AI121" i="103"/>
  <c r="BT120" i="103"/>
  <c r="AY120" i="103"/>
  <c r="BX119" i="103"/>
  <c r="AQ119" i="103"/>
  <c r="AE119" i="103"/>
  <c r="S119" i="103"/>
  <c r="G119" i="103"/>
  <c r="CN118" i="103"/>
  <c r="CB118" i="103"/>
  <c r="AN118" i="103" s="1"/>
  <c r="BG118" i="103"/>
  <c r="AI118" i="103"/>
  <c r="BT117" i="103"/>
  <c r="AY117" i="103"/>
  <c r="BX116" i="103"/>
  <c r="AQ116" i="103"/>
  <c r="AE116" i="103"/>
  <c r="S116" i="103"/>
  <c r="G116" i="103"/>
  <c r="CN115" i="103"/>
  <c r="CB115" i="103"/>
  <c r="AN115" i="103" s="1"/>
  <c r="BG115" i="103"/>
  <c r="AI115" i="103"/>
  <c r="BT114" i="103"/>
  <c r="AY114" i="103"/>
  <c r="BX113" i="103"/>
  <c r="AQ113" i="103"/>
  <c r="AE113" i="103"/>
  <c r="S113" i="103"/>
  <c r="G113" i="103"/>
  <c r="CN112" i="103"/>
  <c r="CB112" i="103"/>
  <c r="AN112" i="103" s="1"/>
  <c r="BG112" i="103"/>
  <c r="AI112" i="103"/>
  <c r="BT111" i="103"/>
  <c r="AY111" i="103"/>
  <c r="BX110" i="103"/>
  <c r="AQ110" i="103"/>
  <c r="AE110" i="103"/>
  <c r="S110" i="103"/>
  <c r="G110" i="103"/>
  <c r="CN109" i="103"/>
  <c r="CB109" i="103"/>
  <c r="BG109" i="103"/>
  <c r="AI109" i="103"/>
  <c r="BT108" i="103"/>
  <c r="AY108" i="103"/>
  <c r="BW107" i="103"/>
  <c r="AP107" i="103"/>
  <c r="AD107" i="103"/>
  <c r="BZ106" i="103"/>
  <c r="BE106" i="103"/>
  <c r="AS106" i="103"/>
  <c r="AG106" i="103"/>
  <c r="I106" i="103"/>
  <c r="CD105" i="103"/>
  <c r="AW105" i="103"/>
  <c r="AK105" i="103"/>
  <c r="BV104" i="103"/>
  <c r="AO104" i="103"/>
  <c r="Q104" i="103"/>
  <c r="BZ103" i="103"/>
  <c r="BE103" i="103"/>
  <c r="AS103" i="103"/>
  <c r="AG103" i="103"/>
  <c r="I103" i="103"/>
  <c r="CD102" i="103"/>
  <c r="AW102" i="103"/>
  <c r="AK102" i="103"/>
  <c r="CS101" i="103"/>
  <c r="BU101" i="103"/>
  <c r="AZ101" i="103"/>
  <c r="P101" i="103"/>
  <c r="BY100" i="103"/>
  <c r="AR100" i="103"/>
  <c r="AF100" i="103"/>
  <c r="T100" i="103"/>
  <c r="CC99" i="103"/>
  <c r="BC99" i="103" s="1"/>
  <c r="BQ99" i="103"/>
  <c r="AJ99" i="103"/>
  <c r="CS98" i="103"/>
  <c r="BU98" i="103"/>
  <c r="AZ98" i="103"/>
  <c r="P98" i="103"/>
  <c r="BY97" i="103"/>
  <c r="AR97" i="103"/>
  <c r="AF97" i="103"/>
  <c r="T97" i="103"/>
  <c r="CC96" i="103"/>
  <c r="BC96" i="103" s="1"/>
  <c r="BQ96" i="103"/>
  <c r="AJ96" i="103"/>
  <c r="CS95" i="103"/>
  <c r="BU95" i="103"/>
  <c r="AZ95" i="103"/>
  <c r="P95" i="103"/>
  <c r="BY94" i="103"/>
  <c r="AR94" i="103"/>
  <c r="AF94" i="103"/>
  <c r="T94" i="103"/>
  <c r="CC93" i="103"/>
  <c r="BC93" i="103" s="1"/>
  <c r="BQ93" i="103"/>
  <c r="AJ93" i="103"/>
  <c r="CS92" i="103"/>
  <c r="BU92" i="103"/>
  <c r="AZ92" i="103"/>
  <c r="P92" i="103"/>
  <c r="BS138" i="103"/>
  <c r="AZ136" i="103"/>
  <c r="AF135" i="103"/>
  <c r="BF133" i="103"/>
  <c r="BQ131" i="103"/>
  <c r="AX129" i="103"/>
  <c r="AZ127" i="103"/>
  <c r="CE126" i="103"/>
  <c r="BS126" i="103"/>
  <c r="AX126" i="103"/>
  <c r="N126" i="103"/>
  <c r="BW125" i="103"/>
  <c r="AP125" i="103"/>
  <c r="AD125" i="103"/>
  <c r="CA124" i="103"/>
  <c r="BF124" i="103"/>
  <c r="AT124" i="103"/>
  <c r="AH124" i="103"/>
  <c r="V124" i="103"/>
  <c r="CE123" i="103"/>
  <c r="BS123" i="103"/>
  <c r="AX123" i="103"/>
  <c r="N123" i="103"/>
  <c r="BW122" i="103"/>
  <c r="AP122" i="103"/>
  <c r="AD122" i="103"/>
  <c r="CA121" i="103"/>
  <c r="BF121" i="103"/>
  <c r="AT121" i="103"/>
  <c r="AH121" i="103"/>
  <c r="V121" i="103"/>
  <c r="CE120" i="103"/>
  <c r="BS120" i="103"/>
  <c r="AX120" i="103"/>
  <c r="N120" i="103"/>
  <c r="BW119" i="103"/>
  <c r="AP119" i="103"/>
  <c r="AD119" i="103"/>
  <c r="CA118" i="103"/>
  <c r="BF118" i="103"/>
  <c r="AT118" i="103"/>
  <c r="AH118" i="103"/>
  <c r="V118" i="103"/>
  <c r="CE117" i="103"/>
  <c r="BS117" i="103"/>
  <c r="AX117" i="103"/>
  <c r="N117" i="103"/>
  <c r="BW116" i="103"/>
  <c r="AP116" i="103"/>
  <c r="AD116" i="103"/>
  <c r="CA115" i="103"/>
  <c r="BF115" i="103"/>
  <c r="AT115" i="103"/>
  <c r="AH115" i="103"/>
  <c r="V115" i="103"/>
  <c r="CE114" i="103"/>
  <c r="BS114" i="103"/>
  <c r="AX114" i="103"/>
  <c r="N114" i="103"/>
  <c r="BW113" i="103"/>
  <c r="AP113" i="103"/>
  <c r="AD113" i="103"/>
  <c r="CA112" i="103"/>
  <c r="BF112" i="103"/>
  <c r="AT112" i="103"/>
  <c r="AH112" i="103"/>
  <c r="V112" i="103"/>
  <c r="CE111" i="103"/>
  <c r="BS111" i="103"/>
  <c r="AX111" i="103"/>
  <c r="N111" i="103"/>
  <c r="BW110" i="103"/>
  <c r="AP110" i="103"/>
  <c r="AD110" i="103"/>
  <c r="CA109" i="103"/>
  <c r="BF109" i="103"/>
  <c r="AT109" i="103"/>
  <c r="AH109" i="103"/>
  <c r="V109" i="103"/>
  <c r="CE108" i="103"/>
  <c r="BS108" i="103"/>
  <c r="AX108" i="103"/>
  <c r="N108" i="103"/>
  <c r="BV107" i="103"/>
  <c r="AO107" i="103"/>
  <c r="Q107" i="103"/>
  <c r="BY106" i="103"/>
  <c r="AR106" i="103"/>
  <c r="AF106" i="103"/>
  <c r="T106" i="103"/>
  <c r="CC105" i="103"/>
  <c r="BC105" i="103" s="1"/>
  <c r="BQ105" i="103"/>
  <c r="AJ105" i="103"/>
  <c r="CS104" i="103"/>
  <c r="BU104" i="103"/>
  <c r="AZ104" i="103"/>
  <c r="P104" i="103"/>
  <c r="BY103" i="103"/>
  <c r="AR103" i="103"/>
  <c r="AF103" i="103"/>
  <c r="T103" i="103"/>
  <c r="CC102" i="103"/>
  <c r="BC102" i="103" s="1"/>
  <c r="BQ102" i="103"/>
  <c r="AJ102" i="103"/>
  <c r="BT101" i="103"/>
  <c r="AY101" i="103"/>
  <c r="BX100" i="103"/>
  <c r="AQ100" i="103"/>
  <c r="AE100" i="103"/>
  <c r="S100" i="103"/>
  <c r="G100" i="103"/>
  <c r="CN99" i="103"/>
  <c r="CB99" i="103"/>
  <c r="AN99" i="103" s="1"/>
  <c r="BG99" i="103"/>
  <c r="AI99" i="103"/>
  <c r="BT98" i="103"/>
  <c r="AY98" i="103"/>
  <c r="BX97" i="103"/>
  <c r="AQ97" i="103"/>
  <c r="AE97" i="103"/>
  <c r="S97" i="103"/>
  <c r="G97" i="103"/>
  <c r="CN96" i="103"/>
  <c r="CB96" i="103"/>
  <c r="BG96" i="103"/>
  <c r="AI96" i="103"/>
  <c r="BT95" i="103"/>
  <c r="AY95" i="103"/>
  <c r="BX94" i="103"/>
  <c r="AQ94" i="103"/>
  <c r="AE94" i="103"/>
  <c r="S94" i="103"/>
  <c r="G94" i="103"/>
  <c r="CN93" i="103"/>
  <c r="CB93" i="103"/>
  <c r="AN93" i="103" s="1"/>
  <c r="BG93" i="103"/>
  <c r="AI93" i="103"/>
  <c r="BT92" i="103"/>
  <c r="AY92" i="103"/>
  <c r="BX91" i="103"/>
  <c r="AT136" i="103"/>
  <c r="CE135" i="103"/>
  <c r="AZ133" i="103"/>
  <c r="AF132" i="103"/>
  <c r="BF130" i="103"/>
  <c r="CA127" i="103"/>
  <c r="I127" i="103"/>
  <c r="CD126" i="103"/>
  <c r="AW126" i="103"/>
  <c r="AK126" i="103"/>
  <c r="BV125" i="103"/>
  <c r="AO125" i="103"/>
  <c r="Q125" i="103"/>
  <c r="BZ124" i="103"/>
  <c r="BE124" i="103"/>
  <c r="AS124" i="103"/>
  <c r="AG124" i="103"/>
  <c r="I124" i="103"/>
  <c r="CD123" i="103"/>
  <c r="AW123" i="103"/>
  <c r="AK123" i="103"/>
  <c r="BV122" i="103"/>
  <c r="AO122" i="103"/>
  <c r="Q122" i="103"/>
  <c r="BZ121" i="103"/>
  <c r="BE121" i="103"/>
  <c r="AS121" i="103"/>
  <c r="AG121" i="103"/>
  <c r="I121" i="103"/>
  <c r="CD120" i="103"/>
  <c r="AW120" i="103"/>
  <c r="AK120" i="103"/>
  <c r="BV119" i="103"/>
  <c r="AO119" i="103"/>
  <c r="Q119" i="103"/>
  <c r="BZ118" i="103"/>
  <c r="BE118" i="103"/>
  <c r="AS118" i="103"/>
  <c r="AG118" i="103"/>
  <c r="I118" i="103"/>
  <c r="CD117" i="103"/>
  <c r="AW117" i="103"/>
  <c r="AK117" i="103"/>
  <c r="BV116" i="103"/>
  <c r="AO116" i="103"/>
  <c r="Q116" i="103"/>
  <c r="BZ115" i="103"/>
  <c r="BE115" i="103"/>
  <c r="AS115" i="103"/>
  <c r="AG115" i="103"/>
  <c r="I115" i="103"/>
  <c r="CD114" i="103"/>
  <c r="AW114" i="103"/>
  <c r="AK114" i="103"/>
  <c r="BV113" i="103"/>
  <c r="AO113" i="103"/>
  <c r="Q113" i="103"/>
  <c r="BZ112" i="103"/>
  <c r="BE112" i="103"/>
  <c r="AS112" i="103"/>
  <c r="AG112" i="103"/>
  <c r="I112" i="103"/>
  <c r="CD111" i="103"/>
  <c r="AW111" i="103"/>
  <c r="AK111" i="103"/>
  <c r="BV110" i="103"/>
  <c r="AO110" i="103"/>
  <c r="Q110" i="103"/>
  <c r="BZ109" i="103"/>
  <c r="BE109" i="103"/>
  <c r="AS109" i="103"/>
  <c r="AG109" i="103"/>
  <c r="I109" i="103"/>
  <c r="CD108" i="103"/>
  <c r="AW108" i="103"/>
  <c r="AK108" i="103"/>
  <c r="CS107" i="103"/>
  <c r="BU107" i="103"/>
  <c r="AZ107" i="103"/>
  <c r="P107" i="103"/>
  <c r="BX106" i="103"/>
  <c r="AQ106" i="103"/>
  <c r="AE106" i="103"/>
  <c r="S106" i="103"/>
  <c r="G106" i="103"/>
  <c r="CN105" i="103"/>
  <c r="CB105" i="103"/>
  <c r="AN105" i="103" s="1"/>
  <c r="BG105" i="103"/>
  <c r="AI105" i="103"/>
  <c r="BT104" i="103"/>
  <c r="AY104" i="103"/>
  <c r="BX103" i="103"/>
  <c r="AQ103" i="103"/>
  <c r="AE103" i="103"/>
  <c r="S103" i="103"/>
  <c r="G103" i="103"/>
  <c r="CN102" i="103"/>
  <c r="CB102" i="103"/>
  <c r="AN102" i="103" s="1"/>
  <c r="BG102" i="103"/>
  <c r="AI102" i="103"/>
  <c r="CE101" i="103"/>
  <c r="BS101" i="103"/>
  <c r="AX101" i="103"/>
  <c r="N101" i="103"/>
  <c r="BW100" i="103"/>
  <c r="AP100" i="103"/>
  <c r="AD100" i="103"/>
  <c r="CA99" i="103"/>
  <c r="BF99" i="103"/>
  <c r="AT99" i="103"/>
  <c r="AH99" i="103"/>
  <c r="V99" i="103"/>
  <c r="CE98" i="103"/>
  <c r="BS98" i="103"/>
  <c r="AX98" i="103"/>
  <c r="N98" i="103"/>
  <c r="BW97" i="103"/>
  <c r="AP97" i="103"/>
  <c r="AD97" i="103"/>
  <c r="CA96" i="103"/>
  <c r="BF96" i="103"/>
  <c r="AT96" i="103"/>
  <c r="AH96" i="103"/>
  <c r="V96" i="103"/>
  <c r="CE95" i="103"/>
  <c r="BS95" i="103"/>
  <c r="AX95" i="103"/>
  <c r="N95" i="103"/>
  <c r="BW94" i="103"/>
  <c r="AP94" i="103"/>
  <c r="AD94" i="103"/>
  <c r="CA93" i="103"/>
  <c r="BF93" i="103"/>
  <c r="AT93" i="103"/>
  <c r="AH93" i="103"/>
  <c r="V93" i="103"/>
  <c r="CE92" i="103"/>
  <c r="BS92" i="103"/>
  <c r="AX92" i="103"/>
  <c r="N92" i="103"/>
  <c r="BW91" i="103"/>
  <c r="AP91" i="103"/>
  <c r="CS136" i="103"/>
  <c r="BY135" i="103"/>
  <c r="T135" i="103"/>
  <c r="AT133" i="103"/>
  <c r="CE132" i="103"/>
  <c r="AZ130" i="103"/>
  <c r="BZ127" i="103"/>
  <c r="V127" i="103"/>
  <c r="CC126" i="103"/>
  <c r="BC126" i="103" s="1"/>
  <c r="BQ126" i="103"/>
  <c r="AJ126" i="103"/>
  <c r="CS125" i="103"/>
  <c r="BU125" i="103"/>
  <c r="AZ125" i="103"/>
  <c r="P125" i="103"/>
  <c r="BY124" i="103"/>
  <c r="AR124" i="103"/>
  <c r="AF124" i="103"/>
  <c r="T124" i="103"/>
  <c r="CC123" i="103"/>
  <c r="BC123" i="103" s="1"/>
  <c r="BQ123" i="103"/>
  <c r="AJ123" i="103"/>
  <c r="CS122" i="103"/>
  <c r="BU122" i="103"/>
  <c r="AZ122" i="103"/>
  <c r="P122" i="103"/>
  <c r="BY121" i="103"/>
  <c r="AR121" i="103"/>
  <c r="AF121" i="103"/>
  <c r="T121" i="103"/>
  <c r="CC120" i="103"/>
  <c r="BC120" i="103" s="1"/>
  <c r="BQ120" i="103"/>
  <c r="AJ120" i="103"/>
  <c r="CS119" i="103"/>
  <c r="BU119" i="103"/>
  <c r="AZ119" i="103"/>
  <c r="P119" i="103"/>
  <c r="BY118" i="103"/>
  <c r="AR118" i="103"/>
  <c r="AF118" i="103"/>
  <c r="T118" i="103"/>
  <c r="CC117" i="103"/>
  <c r="BC117" i="103" s="1"/>
  <c r="BQ117" i="103"/>
  <c r="AJ117" i="103"/>
  <c r="CS116" i="103"/>
  <c r="BU116" i="103"/>
  <c r="AZ116" i="103"/>
  <c r="P116" i="103"/>
  <c r="BY115" i="103"/>
  <c r="AR115" i="103"/>
  <c r="AF115" i="103"/>
  <c r="T115" i="103"/>
  <c r="CC114" i="103"/>
  <c r="BC114" i="103" s="1"/>
  <c r="BQ114" i="103"/>
  <c r="AJ114" i="103"/>
  <c r="CS113" i="103"/>
  <c r="BU113" i="103"/>
  <c r="AZ113" i="103"/>
  <c r="P113" i="103"/>
  <c r="BY112" i="103"/>
  <c r="AR112" i="103"/>
  <c r="AF112" i="103"/>
  <c r="T112" i="103"/>
  <c r="CC111" i="103"/>
  <c r="BC111" i="103" s="1"/>
  <c r="BQ111" i="103"/>
  <c r="AJ111" i="103"/>
  <c r="CS110" i="103"/>
  <c r="BU110" i="103"/>
  <c r="AZ110" i="103"/>
  <c r="P110" i="103"/>
  <c r="BY109" i="103"/>
  <c r="AR109" i="103"/>
  <c r="AF109" i="103"/>
  <c r="T109" i="103"/>
  <c r="CC108" i="103"/>
  <c r="BC108" i="103" s="1"/>
  <c r="BQ108" i="103"/>
  <c r="AJ108" i="103"/>
  <c r="BT107" i="103"/>
  <c r="AY107" i="103"/>
  <c r="BW106" i="103"/>
  <c r="AP106" i="103"/>
  <c r="AD106" i="103"/>
  <c r="CA105" i="103"/>
  <c r="BF105" i="103"/>
  <c r="AT105" i="103"/>
  <c r="AH105" i="103"/>
  <c r="V105" i="103"/>
  <c r="CE104" i="103"/>
  <c r="BS104" i="103"/>
  <c r="AX104" i="103"/>
  <c r="N104" i="103"/>
  <c r="BW103" i="103"/>
  <c r="AP103" i="103"/>
  <c r="AD103" i="103"/>
  <c r="CA102" i="103"/>
  <c r="BF102" i="103"/>
  <c r="AT102" i="103"/>
  <c r="AH102" i="103"/>
  <c r="V102" i="103"/>
  <c r="CD101" i="103"/>
  <c r="AW101" i="103"/>
  <c r="AK101" i="103"/>
  <c r="BV100" i="103"/>
  <c r="AO100" i="103"/>
  <c r="Q100" i="103"/>
  <c r="BZ99" i="103"/>
  <c r="BE99" i="103"/>
  <c r="AS99" i="103"/>
  <c r="AG99" i="103"/>
  <c r="I99" i="103"/>
  <c r="CD98" i="103"/>
  <c r="BR98" i="103"/>
  <c r="AW98" i="103"/>
  <c r="AK98" i="103"/>
  <c r="BV97" i="103"/>
  <c r="AO97" i="103"/>
  <c r="Q97" i="103"/>
  <c r="BZ96" i="103"/>
  <c r="BE96" i="103"/>
  <c r="AS96" i="103"/>
  <c r="AG96" i="103"/>
  <c r="I96" i="103"/>
  <c r="CD95" i="103"/>
  <c r="BR95" i="103"/>
  <c r="AW95" i="103"/>
  <c r="AK95" i="103"/>
  <c r="BV94" i="103"/>
  <c r="AO94" i="103"/>
  <c r="Q94" i="103"/>
  <c r="BZ93" i="103"/>
  <c r="BE93" i="103"/>
  <c r="AS93" i="103"/>
  <c r="AG93" i="103"/>
  <c r="I93" i="103"/>
  <c r="CD92" i="103"/>
  <c r="BR92" i="103"/>
  <c r="AW92" i="103"/>
  <c r="AK92" i="103"/>
  <c r="BV91" i="103"/>
  <c r="AO91" i="103"/>
  <c r="AX138" i="103"/>
  <c r="AH136" i="103"/>
  <c r="BS135" i="103"/>
  <c r="N135" i="103"/>
  <c r="CS133" i="103"/>
  <c r="BY132" i="103"/>
  <c r="T132" i="103"/>
  <c r="AR129" i="103"/>
  <c r="Q128" i="103"/>
  <c r="BU127" i="103"/>
  <c r="AT127" i="103"/>
  <c r="G127" i="103"/>
  <c r="CN126" i="103"/>
  <c r="CB126" i="103"/>
  <c r="BG126" i="103"/>
  <c r="AI126" i="103"/>
  <c r="BT125" i="103"/>
  <c r="AY125" i="103"/>
  <c r="BX124" i="103"/>
  <c r="AQ124" i="103"/>
  <c r="AE124" i="103"/>
  <c r="S124" i="103"/>
  <c r="G124" i="103"/>
  <c r="CN123" i="103"/>
  <c r="CB123" i="103"/>
  <c r="AN123" i="103" s="1"/>
  <c r="BG123" i="103"/>
  <c r="AI123" i="103"/>
  <c r="BT122" i="103"/>
  <c r="AY122" i="103"/>
  <c r="BX121" i="103"/>
  <c r="AQ121" i="103"/>
  <c r="AE121" i="103"/>
  <c r="S121" i="103"/>
  <c r="G121" i="103"/>
  <c r="CN120" i="103"/>
  <c r="CB120" i="103"/>
  <c r="BG120" i="103"/>
  <c r="AI120" i="103"/>
  <c r="BT119" i="103"/>
  <c r="AY119" i="103"/>
  <c r="BX118" i="103"/>
  <c r="AQ118" i="103"/>
  <c r="AE118" i="103"/>
  <c r="S118" i="103"/>
  <c r="G118" i="103"/>
  <c r="CN117" i="103"/>
  <c r="CB117" i="103"/>
  <c r="BG117" i="103"/>
  <c r="AI117" i="103"/>
  <c r="BT116" i="103"/>
  <c r="AY116" i="103"/>
  <c r="BX115" i="103"/>
  <c r="AQ115" i="103"/>
  <c r="AE115" i="103"/>
  <c r="S115" i="103"/>
  <c r="G115" i="103"/>
  <c r="CN114" i="103"/>
  <c r="CB114" i="103"/>
  <c r="BG114" i="103"/>
  <c r="AI114" i="103"/>
  <c r="BT113" i="103"/>
  <c r="AY113" i="103"/>
  <c r="BX112" i="103"/>
  <c r="AQ112" i="103"/>
  <c r="AE112" i="103"/>
  <c r="S112" i="103"/>
  <c r="G112" i="103"/>
  <c r="CN111" i="103"/>
  <c r="CB111" i="103"/>
  <c r="BG111" i="103"/>
  <c r="AI111" i="103"/>
  <c r="BT110" i="103"/>
  <c r="AY110" i="103"/>
  <c r="BX109" i="103"/>
  <c r="AQ109" i="103"/>
  <c r="AE109" i="103"/>
  <c r="S109" i="103"/>
  <c r="G109" i="103"/>
  <c r="CN108" i="103"/>
  <c r="CB108" i="103"/>
  <c r="BG108" i="103"/>
  <c r="AI108" i="103"/>
  <c r="CE107" i="103"/>
  <c r="BS107" i="103"/>
  <c r="AX107" i="103"/>
  <c r="N107" i="103"/>
  <c r="BV106" i="103"/>
  <c r="AO106" i="103"/>
  <c r="Q106" i="103"/>
  <c r="BZ105" i="103"/>
  <c r="BE105" i="103"/>
  <c r="AS105" i="103"/>
  <c r="AG105" i="103"/>
  <c r="I105" i="103"/>
  <c r="CD104" i="103"/>
  <c r="AW104" i="103"/>
  <c r="AK104" i="103"/>
  <c r="BV103" i="103"/>
  <c r="AO103" i="103"/>
  <c r="Q103" i="103"/>
  <c r="BZ102" i="103"/>
  <c r="BE102" i="103"/>
  <c r="AS102" i="103"/>
  <c r="AG102" i="103"/>
  <c r="I102" i="103"/>
  <c r="CC101" i="103"/>
  <c r="BC101" i="103" s="1"/>
  <c r="BQ101" i="103"/>
  <c r="AJ101" i="103"/>
  <c r="CS100" i="103"/>
  <c r="BU100" i="103"/>
  <c r="AZ100" i="103"/>
  <c r="P100" i="103"/>
  <c r="BY99" i="103"/>
  <c r="AR99" i="103"/>
  <c r="AF99" i="103"/>
  <c r="T99" i="103"/>
  <c r="CC98" i="103"/>
  <c r="BC98" i="103" s="1"/>
  <c r="BQ98" i="103"/>
  <c r="AJ98" i="103"/>
  <c r="CS97" i="103"/>
  <c r="BU97" i="103"/>
  <c r="AZ97" i="103"/>
  <c r="P97" i="103"/>
  <c r="BY96" i="103"/>
  <c r="AR96" i="103"/>
  <c r="AF96" i="103"/>
  <c r="T96" i="103"/>
  <c r="CC95" i="103"/>
  <c r="BC95" i="103" s="1"/>
  <c r="BQ95" i="103"/>
  <c r="AJ95" i="103"/>
  <c r="CS94" i="103"/>
  <c r="BU94" i="103"/>
  <c r="AZ94" i="103"/>
  <c r="P94" i="103"/>
  <c r="BY93" i="103"/>
  <c r="AR93" i="103"/>
  <c r="AF93" i="103"/>
  <c r="T93" i="103"/>
  <c r="CC92" i="103"/>
  <c r="BC92" i="103" s="1"/>
  <c r="BQ92" i="103"/>
  <c r="AJ92" i="103"/>
  <c r="CS91" i="103"/>
  <c r="BU91" i="103"/>
  <c r="AZ91" i="103"/>
  <c r="AV137" i="103"/>
  <c r="AH133" i="103"/>
  <c r="BS132" i="103"/>
  <c r="N132" i="103"/>
  <c r="CS130" i="103"/>
  <c r="AT130" i="103"/>
  <c r="CE129" i="103"/>
  <c r="AS127" i="103"/>
  <c r="T127" i="103"/>
  <c r="CA126" i="103"/>
  <c r="BF126" i="103"/>
  <c r="AT126" i="103"/>
  <c r="AH126" i="103"/>
  <c r="V126" i="103"/>
  <c r="CE125" i="103"/>
  <c r="BS125" i="103"/>
  <c r="AX125" i="103"/>
  <c r="N125" i="103"/>
  <c r="BW124" i="103"/>
  <c r="AP124" i="103"/>
  <c r="AD124" i="103"/>
  <c r="CA123" i="103"/>
  <c r="BF123" i="103"/>
  <c r="AT123" i="103"/>
  <c r="AH123" i="103"/>
  <c r="V123" i="103"/>
  <c r="CE122" i="103"/>
  <c r="BS122" i="103"/>
  <c r="AX122" i="103"/>
  <c r="N122" i="103"/>
  <c r="BW121" i="103"/>
  <c r="AP121" i="103"/>
  <c r="AD121" i="103"/>
  <c r="CA120" i="103"/>
  <c r="BF120" i="103"/>
  <c r="AT120" i="103"/>
  <c r="AH120" i="103"/>
  <c r="V120" i="103"/>
  <c r="CE119" i="103"/>
  <c r="BS119" i="103"/>
  <c r="AX119" i="103"/>
  <c r="N119" i="103"/>
  <c r="BW118" i="103"/>
  <c r="AP118" i="103"/>
  <c r="AD118" i="103"/>
  <c r="CA117" i="103"/>
  <c r="BF117" i="103"/>
  <c r="AT117" i="103"/>
  <c r="AH117" i="103"/>
  <c r="V117" i="103"/>
  <c r="CE116" i="103"/>
  <c r="BS116" i="103"/>
  <c r="AX116" i="103"/>
  <c r="N116" i="103"/>
  <c r="BW115" i="103"/>
  <c r="AP115" i="103"/>
  <c r="AD115" i="103"/>
  <c r="CA114" i="103"/>
  <c r="BF114" i="103"/>
  <c r="AT114" i="103"/>
  <c r="AH114" i="103"/>
  <c r="V114" i="103"/>
  <c r="CE113" i="103"/>
  <c r="BS113" i="103"/>
  <c r="AX113" i="103"/>
  <c r="N113" i="103"/>
  <c r="BW112" i="103"/>
  <c r="AP112" i="103"/>
  <c r="AD112" i="103"/>
  <c r="CA111" i="103"/>
  <c r="BF111" i="103"/>
  <c r="AT111" i="103"/>
  <c r="AH111" i="103"/>
  <c r="V111" i="103"/>
  <c r="CE110" i="103"/>
  <c r="BS110" i="103"/>
  <c r="AX110" i="103"/>
  <c r="N110" i="103"/>
  <c r="BW109" i="103"/>
  <c r="AP109" i="103"/>
  <c r="AD109" i="103"/>
  <c r="CA108" i="103"/>
  <c r="BF108" i="103"/>
  <c r="AT108" i="103"/>
  <c r="AH108" i="103"/>
  <c r="V108" i="103"/>
  <c r="I108" i="103"/>
  <c r="CD107" i="103"/>
  <c r="P103" i="103"/>
  <c r="AF102" i="103"/>
  <c r="AQ96" i="103"/>
  <c r="BW95" i="103"/>
  <c r="CB94" i="103"/>
  <c r="BT91" i="103"/>
  <c r="AY91" i="103"/>
  <c r="AE91" i="103"/>
  <c r="CA90" i="103"/>
  <c r="BF90" i="103"/>
  <c r="AT90" i="103"/>
  <c r="AH90" i="103"/>
  <c r="V90" i="103"/>
  <c r="CE89" i="103"/>
  <c r="BS89" i="103"/>
  <c r="AX89" i="103"/>
  <c r="N89" i="103"/>
  <c r="BW88" i="103"/>
  <c r="AP88" i="103"/>
  <c r="AD88" i="103"/>
  <c r="CA87" i="103"/>
  <c r="BF87" i="103"/>
  <c r="AT87" i="103"/>
  <c r="AH87" i="103"/>
  <c r="V87" i="103"/>
  <c r="CE86" i="103"/>
  <c r="BS86" i="103"/>
  <c r="AX86" i="103"/>
  <c r="N86" i="103"/>
  <c r="BV85" i="103"/>
  <c r="AO85" i="103"/>
  <c r="Q85" i="103"/>
  <c r="BZ84" i="103"/>
  <c r="BE84" i="103"/>
  <c r="AS84" i="103"/>
  <c r="AG84" i="103"/>
  <c r="I84" i="103"/>
  <c r="CD83" i="103"/>
  <c r="BR83" i="103"/>
  <c r="AW83" i="103"/>
  <c r="AK83" i="103"/>
  <c r="BV82" i="103"/>
  <c r="AO82" i="103"/>
  <c r="Q82" i="103"/>
  <c r="BZ81" i="103"/>
  <c r="BE81" i="103"/>
  <c r="AS81" i="103"/>
  <c r="AG81" i="103"/>
  <c r="I81" i="103"/>
  <c r="CD80" i="103"/>
  <c r="BR80" i="103"/>
  <c r="AW80" i="103"/>
  <c r="AK80" i="103"/>
  <c r="BV79" i="103"/>
  <c r="AO79" i="103"/>
  <c r="Q79" i="103"/>
  <c r="BZ78" i="103"/>
  <c r="BE78" i="103"/>
  <c r="AS78" i="103"/>
  <c r="AG78" i="103"/>
  <c r="I78" i="103"/>
  <c r="CD77" i="103"/>
  <c r="BR77" i="103"/>
  <c r="AW77" i="103"/>
  <c r="AK77" i="103"/>
  <c r="BV76" i="103"/>
  <c r="AO76" i="103"/>
  <c r="Q76" i="103"/>
  <c r="BZ75" i="103"/>
  <c r="AS75" i="103"/>
  <c r="AG75" i="103"/>
  <c r="I75" i="103"/>
  <c r="CD74" i="103"/>
  <c r="BR74" i="103"/>
  <c r="AW74" i="103"/>
  <c r="AK74" i="103"/>
  <c r="BV73" i="103"/>
  <c r="AO73" i="103"/>
  <c r="Q73" i="103"/>
  <c r="BZ72" i="103"/>
  <c r="BE72" i="103"/>
  <c r="AS72" i="103"/>
  <c r="AG72" i="103"/>
  <c r="I72" i="103"/>
  <c r="CD71" i="103"/>
  <c r="BR71" i="103"/>
  <c r="AW71" i="103"/>
  <c r="AK71" i="103"/>
  <c r="BV70" i="103"/>
  <c r="AO70" i="103"/>
  <c r="Q70" i="103"/>
  <c r="BZ69" i="103"/>
  <c r="BE69" i="103"/>
  <c r="AS69" i="103"/>
  <c r="AG69" i="103"/>
  <c r="I69" i="103"/>
  <c r="CD68" i="103"/>
  <c r="BR68" i="103"/>
  <c r="AW68" i="103"/>
  <c r="AK68" i="103"/>
  <c r="BV67" i="103"/>
  <c r="AO67" i="103"/>
  <c r="Q67" i="103"/>
  <c r="BZ66" i="103"/>
  <c r="BE66" i="103"/>
  <c r="AS66" i="103"/>
  <c r="AG66" i="103"/>
  <c r="I66" i="103"/>
  <c r="CC65" i="103"/>
  <c r="BC65" i="103" s="1"/>
  <c r="BQ65" i="103"/>
  <c r="AJ65" i="103"/>
  <c r="BT64" i="103"/>
  <c r="AY64" i="103"/>
  <c r="BX63" i="103"/>
  <c r="AE63" i="103"/>
  <c r="S63" i="103"/>
  <c r="G63" i="103"/>
  <c r="CN62" i="103"/>
  <c r="CB62" i="103"/>
  <c r="AN62" i="103" s="1"/>
  <c r="BG62" i="103"/>
  <c r="AI62" i="103"/>
  <c r="BT61" i="103"/>
  <c r="AY61" i="103"/>
  <c r="BX60" i="103"/>
  <c r="S60" i="103"/>
  <c r="G60" i="103"/>
  <c r="CN59" i="103"/>
  <c r="CB59" i="103"/>
  <c r="AN59" i="103" s="1"/>
  <c r="BG59" i="103"/>
  <c r="AI59" i="103"/>
  <c r="BT58" i="103"/>
  <c r="AY58" i="103"/>
  <c r="BX57" i="103"/>
  <c r="S57" i="103"/>
  <c r="G57" i="103"/>
  <c r="CN56" i="103"/>
  <c r="CB56" i="103"/>
  <c r="AN56" i="103" s="1"/>
  <c r="BG56" i="103"/>
  <c r="AI56" i="103"/>
  <c r="BT55" i="103"/>
  <c r="AY55" i="103"/>
  <c r="BU106" i="103"/>
  <c r="T102" i="103"/>
  <c r="AI101" i="103"/>
  <c r="BG98" i="103"/>
  <c r="CE96" i="103"/>
  <c r="S95" i="103"/>
  <c r="CA94" i="103"/>
  <c r="AE93" i="103"/>
  <c r="G92" i="103"/>
  <c r="AD91" i="103"/>
  <c r="Q91" i="103"/>
  <c r="BZ90" i="103"/>
  <c r="BE90" i="103"/>
  <c r="AS90" i="103"/>
  <c r="AG90" i="103"/>
  <c r="I90" i="103"/>
  <c r="CD89" i="103"/>
  <c r="BR89" i="103"/>
  <c r="AW89" i="103"/>
  <c r="AK89" i="103"/>
  <c r="BV88" i="103"/>
  <c r="AO88" i="103"/>
  <c r="Q88" i="103"/>
  <c r="BZ87" i="103"/>
  <c r="BE87" i="103"/>
  <c r="AS87" i="103"/>
  <c r="AG87" i="103"/>
  <c r="I87" i="103"/>
  <c r="CD86" i="103"/>
  <c r="BR86" i="103"/>
  <c r="AW86" i="103"/>
  <c r="AK86" i="103"/>
  <c r="CS85" i="103"/>
  <c r="BU85" i="103"/>
  <c r="AZ85" i="103"/>
  <c r="P85" i="103"/>
  <c r="BY84" i="103"/>
  <c r="AR84" i="103"/>
  <c r="AF84" i="103"/>
  <c r="T84" i="103"/>
  <c r="CC83" i="103"/>
  <c r="BC83" i="103" s="1"/>
  <c r="BQ83" i="103"/>
  <c r="AJ83" i="103"/>
  <c r="CS82" i="103"/>
  <c r="BU82" i="103"/>
  <c r="AZ82" i="103"/>
  <c r="P82" i="103"/>
  <c r="BY81" i="103"/>
  <c r="AR81" i="103"/>
  <c r="AF81" i="103"/>
  <c r="T81" i="103"/>
  <c r="CC80" i="103"/>
  <c r="BC80" i="103" s="1"/>
  <c r="BQ80" i="103"/>
  <c r="AJ80" i="103"/>
  <c r="CS79" i="103"/>
  <c r="BU79" i="103"/>
  <c r="AZ79" i="103"/>
  <c r="P79" i="103"/>
  <c r="BY78" i="103"/>
  <c r="AR78" i="103"/>
  <c r="AF78" i="103"/>
  <c r="T78" i="103"/>
  <c r="CC77" i="103"/>
  <c r="BC77" i="103" s="1"/>
  <c r="BQ77" i="103"/>
  <c r="AJ77" i="103"/>
  <c r="BU76" i="103"/>
  <c r="AZ76" i="103"/>
  <c r="P76" i="103"/>
  <c r="BY75" i="103"/>
  <c r="AR75" i="103"/>
  <c r="AF75" i="103"/>
  <c r="T75" i="103"/>
  <c r="CC74" i="103"/>
  <c r="BC74" i="103" s="1"/>
  <c r="BQ74" i="103"/>
  <c r="AJ74" i="103"/>
  <c r="CS73" i="103"/>
  <c r="BU73" i="103"/>
  <c r="AZ73" i="103"/>
  <c r="P73" i="103"/>
  <c r="BY72" i="103"/>
  <c r="AR72" i="103"/>
  <c r="AF72" i="103"/>
  <c r="T72" i="103"/>
  <c r="CC71" i="103"/>
  <c r="BC71" i="103" s="1"/>
  <c r="BQ71" i="103"/>
  <c r="AJ71" i="103"/>
  <c r="CS70" i="103"/>
  <c r="BU70" i="103"/>
  <c r="AZ70" i="103"/>
  <c r="P70" i="103"/>
  <c r="BY69" i="103"/>
  <c r="AR69" i="103"/>
  <c r="AF69" i="103"/>
  <c r="T69" i="103"/>
  <c r="CC68" i="103"/>
  <c r="BC68" i="103" s="1"/>
  <c r="BQ68" i="103"/>
  <c r="AJ68" i="103"/>
  <c r="CS67" i="103"/>
  <c r="BU67" i="103"/>
  <c r="AZ67" i="103"/>
  <c r="P67" i="103"/>
  <c r="BY66" i="103"/>
  <c r="AR66" i="103"/>
  <c r="AF66" i="103"/>
  <c r="T66" i="103"/>
  <c r="CN65" i="103"/>
  <c r="CB65" i="103"/>
  <c r="AN65" i="103" s="1"/>
  <c r="BG65" i="103"/>
  <c r="AI65" i="103"/>
  <c r="CE64" i="103"/>
  <c r="BS64" i="103"/>
  <c r="AX64" i="103"/>
  <c r="N64" i="103"/>
  <c r="BW63" i="103"/>
  <c r="AP63" i="103"/>
  <c r="AD63" i="103"/>
  <c r="CA62" i="103"/>
  <c r="BF62" i="103"/>
  <c r="AT62" i="103"/>
  <c r="AH62" i="103"/>
  <c r="V62" i="103"/>
  <c r="CE61" i="103"/>
  <c r="BS61" i="103"/>
  <c r="AX61" i="103"/>
  <c r="N61" i="103"/>
  <c r="BW60" i="103"/>
  <c r="AP60" i="103"/>
  <c r="AD60" i="103"/>
  <c r="CA59" i="103"/>
  <c r="BF59" i="103"/>
  <c r="AT59" i="103"/>
  <c r="AH59" i="103"/>
  <c r="V59" i="103"/>
  <c r="CE58" i="103"/>
  <c r="BS58" i="103"/>
  <c r="AX58" i="103"/>
  <c r="N58" i="103"/>
  <c r="BW57" i="103"/>
  <c r="AP57" i="103"/>
  <c r="AD57" i="103"/>
  <c r="CA56" i="103"/>
  <c r="BF56" i="103"/>
  <c r="AT56" i="103"/>
  <c r="AH56" i="103"/>
  <c r="V56" i="103"/>
  <c r="CE55" i="103"/>
  <c r="BS55" i="103"/>
  <c r="BY105" i="103"/>
  <c r="CS103" i="103"/>
  <c r="G102" i="103"/>
  <c r="AY97" i="103"/>
  <c r="BX96" i="103"/>
  <c r="AE96" i="103"/>
  <c r="BT94" i="103"/>
  <c r="AT94" i="103"/>
  <c r="CB92" i="103"/>
  <c r="AN92" i="103" s="1"/>
  <c r="P91" i="103"/>
  <c r="BY90" i="103"/>
  <c r="AR90" i="103"/>
  <c r="AF90" i="103"/>
  <c r="T90" i="103"/>
  <c r="CC89" i="103"/>
  <c r="BC89" i="103" s="1"/>
  <c r="BQ89" i="103"/>
  <c r="AJ89" i="103"/>
  <c r="CS88" i="103"/>
  <c r="BU88" i="103"/>
  <c r="AZ88" i="103"/>
  <c r="P88" i="103"/>
  <c r="BY87" i="103"/>
  <c r="AR87" i="103"/>
  <c r="AF87" i="103"/>
  <c r="T87" i="103"/>
  <c r="CC86" i="103"/>
  <c r="BC86" i="103" s="1"/>
  <c r="BQ86" i="103"/>
  <c r="AJ86" i="103"/>
  <c r="BT85" i="103"/>
  <c r="AY85" i="103"/>
  <c r="BX84" i="103"/>
  <c r="AQ84" i="103"/>
  <c r="AE84" i="103"/>
  <c r="S84" i="103"/>
  <c r="G84" i="103"/>
  <c r="CN83" i="103"/>
  <c r="CB83" i="103"/>
  <c r="AN83" i="103" s="1"/>
  <c r="BG83" i="103"/>
  <c r="AI83" i="103"/>
  <c r="BT82" i="103"/>
  <c r="AY82" i="103"/>
  <c r="BX81" i="103"/>
  <c r="AQ81" i="103"/>
  <c r="AE81" i="103"/>
  <c r="S81" i="103"/>
  <c r="G81" i="103"/>
  <c r="CN80" i="103"/>
  <c r="CB80" i="103"/>
  <c r="AN80" i="103" s="1"/>
  <c r="BG80" i="103"/>
  <c r="AI80" i="103"/>
  <c r="BT79" i="103"/>
  <c r="AY79" i="103"/>
  <c r="BX78" i="103"/>
  <c r="AQ78" i="103"/>
  <c r="AE78" i="103"/>
  <c r="S78" i="103"/>
  <c r="G78" i="103"/>
  <c r="CN77" i="103"/>
  <c r="CB77" i="103"/>
  <c r="BG77" i="103"/>
  <c r="AI77" i="103"/>
  <c r="BT76" i="103"/>
  <c r="AY76" i="103"/>
  <c r="BX75" i="103"/>
  <c r="AQ75" i="103"/>
  <c r="AE75" i="103"/>
  <c r="S75" i="103"/>
  <c r="G75" i="103"/>
  <c r="CN74" i="103"/>
  <c r="CB74" i="103"/>
  <c r="AN74" i="103" s="1"/>
  <c r="BG74" i="103"/>
  <c r="AI74" i="103"/>
  <c r="BT73" i="103"/>
  <c r="AY73" i="103"/>
  <c r="BX72" i="103"/>
  <c r="AQ72" i="103"/>
  <c r="AE72" i="103"/>
  <c r="S72" i="103"/>
  <c r="G72" i="103"/>
  <c r="CN71" i="103"/>
  <c r="CB71" i="103"/>
  <c r="AN71" i="103" s="1"/>
  <c r="BG71" i="103"/>
  <c r="AI71" i="103"/>
  <c r="BT70" i="103"/>
  <c r="AY70" i="103"/>
  <c r="BX69" i="103"/>
  <c r="AE69" i="103"/>
  <c r="S69" i="103"/>
  <c r="G69" i="103"/>
  <c r="CN68" i="103"/>
  <c r="CB68" i="103"/>
  <c r="AN68" i="103" s="1"/>
  <c r="BG68" i="103"/>
  <c r="AI68" i="103"/>
  <c r="BT67" i="103"/>
  <c r="AY67" i="103"/>
  <c r="BX66" i="103"/>
  <c r="AE66" i="103"/>
  <c r="S66" i="103"/>
  <c r="G66" i="103"/>
  <c r="CA65" i="103"/>
  <c r="BF65" i="103"/>
  <c r="AT65" i="103"/>
  <c r="AH65" i="103"/>
  <c r="V65" i="103"/>
  <c r="CD64" i="103"/>
  <c r="BR64" i="103"/>
  <c r="AW64" i="103"/>
  <c r="AK64" i="103"/>
  <c r="BV63" i="103"/>
  <c r="AO63" i="103"/>
  <c r="Q63" i="103"/>
  <c r="BZ62" i="103"/>
  <c r="BE62" i="103"/>
  <c r="AS62" i="103"/>
  <c r="AG62" i="103"/>
  <c r="I62" i="103"/>
  <c r="CD61" i="103"/>
  <c r="BR61" i="103"/>
  <c r="AW61" i="103"/>
  <c r="AK61" i="103"/>
  <c r="BV60" i="103"/>
  <c r="AO60" i="103"/>
  <c r="Q60" i="103"/>
  <c r="BZ59" i="103"/>
  <c r="BE59" i="103"/>
  <c r="AS59" i="103"/>
  <c r="AG59" i="103"/>
  <c r="I59" i="103"/>
  <c r="CD58" i="103"/>
  <c r="BR58" i="103"/>
  <c r="AW58" i="103"/>
  <c r="AK58" i="103"/>
  <c r="BV57" i="103"/>
  <c r="AO57" i="103"/>
  <c r="Q57" i="103"/>
  <c r="BZ56" i="103"/>
  <c r="BE56" i="103"/>
  <c r="AS56" i="103"/>
  <c r="AG56" i="103"/>
  <c r="I56" i="103"/>
  <c r="CD55" i="103"/>
  <c r="BR55" i="103"/>
  <c r="AW107" i="103"/>
  <c r="CC104" i="103"/>
  <c r="BC104" i="103" s="1"/>
  <c r="AQ99" i="103"/>
  <c r="BS96" i="103"/>
  <c r="BX92" i="103"/>
  <c r="AT91" i="103"/>
  <c r="BX90" i="103"/>
  <c r="AQ90" i="103"/>
  <c r="AE90" i="103"/>
  <c r="S90" i="103"/>
  <c r="G90" i="103"/>
  <c r="CN89" i="103"/>
  <c r="CB89" i="103"/>
  <c r="AN89" i="103" s="1"/>
  <c r="BG89" i="103"/>
  <c r="AI89" i="103"/>
  <c r="BT88" i="103"/>
  <c r="AY88" i="103"/>
  <c r="BX87" i="103"/>
  <c r="AQ87" i="103"/>
  <c r="AE87" i="103"/>
  <c r="S87" i="103"/>
  <c r="G87" i="103"/>
  <c r="CN86" i="103"/>
  <c r="CB86" i="103"/>
  <c r="AN86" i="103" s="1"/>
  <c r="BG86" i="103"/>
  <c r="AI86" i="103"/>
  <c r="CE85" i="103"/>
  <c r="BS85" i="103"/>
  <c r="AX85" i="103"/>
  <c r="N85" i="103"/>
  <c r="BW84" i="103"/>
  <c r="AP84" i="103"/>
  <c r="AD84" i="103"/>
  <c r="CA83" i="103"/>
  <c r="BF83" i="103"/>
  <c r="AT83" i="103"/>
  <c r="AH83" i="103"/>
  <c r="V83" i="103"/>
  <c r="CE82" i="103"/>
  <c r="BS82" i="103"/>
  <c r="AX82" i="103"/>
  <c r="N82" i="103"/>
  <c r="BW81" i="103"/>
  <c r="AP81" i="103"/>
  <c r="AD81" i="103"/>
  <c r="CA80" i="103"/>
  <c r="BF80" i="103"/>
  <c r="AT80" i="103"/>
  <c r="AH80" i="103"/>
  <c r="V80" i="103"/>
  <c r="CE79" i="103"/>
  <c r="AX79" i="103"/>
  <c r="N79" i="103"/>
  <c r="BW78" i="103"/>
  <c r="AP78" i="103"/>
  <c r="AD78" i="103"/>
  <c r="CA77" i="103"/>
  <c r="BF77" i="103"/>
  <c r="AT77" i="103"/>
  <c r="AH77" i="103"/>
  <c r="V77" i="103"/>
  <c r="CE76" i="103"/>
  <c r="AX76" i="103"/>
  <c r="N76" i="103"/>
  <c r="BW75" i="103"/>
  <c r="AP75" i="103"/>
  <c r="AD75" i="103"/>
  <c r="CA74" i="103"/>
  <c r="BF74" i="103"/>
  <c r="AT74" i="103"/>
  <c r="AH74" i="103"/>
  <c r="V74" i="103"/>
  <c r="CE73" i="103"/>
  <c r="BS73" i="103"/>
  <c r="AX73" i="103"/>
  <c r="N73" i="103"/>
  <c r="BW72" i="103"/>
  <c r="AP72" i="103"/>
  <c r="AD72" i="103"/>
  <c r="CA71" i="103"/>
  <c r="BF71" i="103"/>
  <c r="AT71" i="103"/>
  <c r="AH71" i="103"/>
  <c r="V71" i="103"/>
  <c r="CE70" i="103"/>
  <c r="BS70" i="103"/>
  <c r="AX70" i="103"/>
  <c r="N70" i="103"/>
  <c r="BW69" i="103"/>
  <c r="AP69" i="103"/>
  <c r="AD69" i="103"/>
  <c r="CA68" i="103"/>
  <c r="BF68" i="103"/>
  <c r="AT68" i="103"/>
  <c r="AH68" i="103"/>
  <c r="V68" i="103"/>
  <c r="CE67" i="103"/>
  <c r="BS67" i="103"/>
  <c r="AX67" i="103"/>
  <c r="N67" i="103"/>
  <c r="BW66" i="103"/>
  <c r="AP66" i="103"/>
  <c r="AD66" i="103"/>
  <c r="BZ65" i="103"/>
  <c r="BE65" i="103"/>
  <c r="AS65" i="103"/>
  <c r="AG65" i="103"/>
  <c r="I65" i="103"/>
  <c r="CC64" i="103"/>
  <c r="BC64" i="103" s="1"/>
  <c r="BQ64" i="103"/>
  <c r="AJ64" i="103"/>
  <c r="CS63" i="103"/>
  <c r="BU63" i="103"/>
  <c r="AZ63" i="103"/>
  <c r="P63" i="103"/>
  <c r="BY62" i="103"/>
  <c r="AR62" i="103"/>
  <c r="AF62" i="103"/>
  <c r="T62" i="103"/>
  <c r="CC61" i="103"/>
  <c r="BC61" i="103" s="1"/>
  <c r="BQ61" i="103"/>
  <c r="AJ61" i="103"/>
  <c r="CS60" i="103"/>
  <c r="BU60" i="103"/>
  <c r="AZ60" i="103"/>
  <c r="P60" i="103"/>
  <c r="BY59" i="103"/>
  <c r="AR59" i="103"/>
  <c r="AF59" i="103"/>
  <c r="T59" i="103"/>
  <c r="CC58" i="103"/>
  <c r="BC58" i="103" s="1"/>
  <c r="BQ58" i="103"/>
  <c r="AJ58" i="103"/>
  <c r="CS57" i="103"/>
  <c r="BU57" i="103"/>
  <c r="AZ57" i="103"/>
  <c r="P57" i="103"/>
  <c r="BY56" i="103"/>
  <c r="AR56" i="103"/>
  <c r="AF56" i="103"/>
  <c r="T56" i="103"/>
  <c r="CC55" i="103"/>
  <c r="BC55" i="103" s="1"/>
  <c r="BQ55" i="103"/>
  <c r="AZ106" i="103"/>
  <c r="BQ104" i="103"/>
  <c r="BU103" i="103"/>
  <c r="AE99" i="103"/>
  <c r="AI98" i="103"/>
  <c r="S96" i="103"/>
  <c r="G95" i="103"/>
  <c r="AI94" i="103"/>
  <c r="S93" i="103"/>
  <c r="BW92" i="103"/>
  <c r="AQ92" i="103"/>
  <c r="AR91" i="103"/>
  <c r="N91" i="103"/>
  <c r="BW90" i="103"/>
  <c r="AP90" i="103"/>
  <c r="AD90" i="103"/>
  <c r="CA89" i="103"/>
  <c r="BF89" i="103"/>
  <c r="AT89" i="103"/>
  <c r="AH89" i="103"/>
  <c r="V89" i="103"/>
  <c r="CE88" i="103"/>
  <c r="BS88" i="103"/>
  <c r="AX88" i="103"/>
  <c r="N88" i="103"/>
  <c r="BW87" i="103"/>
  <c r="AP87" i="103"/>
  <c r="AD87" i="103"/>
  <c r="CA86" i="103"/>
  <c r="BF86" i="103"/>
  <c r="AT86" i="103"/>
  <c r="AH86" i="103"/>
  <c r="V86" i="103"/>
  <c r="CD85" i="103"/>
  <c r="BR85" i="103"/>
  <c r="AW85" i="103"/>
  <c r="AK85" i="103"/>
  <c r="BV84" i="103"/>
  <c r="AO84" i="103"/>
  <c r="Q84" i="103"/>
  <c r="BZ83" i="103"/>
  <c r="BE83" i="103"/>
  <c r="AS83" i="103"/>
  <c r="AG83" i="103"/>
  <c r="I83" i="103"/>
  <c r="CD82" i="103"/>
  <c r="BR82" i="103"/>
  <c r="AW82" i="103"/>
  <c r="AK82" i="103"/>
  <c r="BV81" i="103"/>
  <c r="AO81" i="103"/>
  <c r="Q81" i="103"/>
  <c r="BZ80" i="103"/>
  <c r="BE80" i="103"/>
  <c r="AS80" i="103"/>
  <c r="AG80" i="103"/>
  <c r="I80" i="103"/>
  <c r="CD79" i="103"/>
  <c r="BR79" i="103"/>
  <c r="AW79" i="103"/>
  <c r="AK79" i="103"/>
  <c r="BV78" i="103"/>
  <c r="AO78" i="103"/>
  <c r="Q78" i="103"/>
  <c r="BZ77" i="103"/>
  <c r="BE77" i="103"/>
  <c r="AS77" i="103"/>
  <c r="AG77" i="103"/>
  <c r="I77" i="103"/>
  <c r="CD76" i="103"/>
  <c r="BR76" i="103"/>
  <c r="AW76" i="103"/>
  <c r="AK76" i="103"/>
  <c r="BV75" i="103"/>
  <c r="AO75" i="103"/>
  <c r="Q75" i="103"/>
  <c r="BZ74" i="103"/>
  <c r="BE74" i="103"/>
  <c r="AS74" i="103"/>
  <c r="AG74" i="103"/>
  <c r="I74" i="103"/>
  <c r="CD73" i="103"/>
  <c r="BR73" i="103"/>
  <c r="AW73" i="103"/>
  <c r="AK73" i="103"/>
  <c r="BV72" i="103"/>
  <c r="AO72" i="103"/>
  <c r="Q72" i="103"/>
  <c r="BZ71" i="103"/>
  <c r="BE71" i="103"/>
  <c r="AS71" i="103"/>
  <c r="AG71" i="103"/>
  <c r="I71" i="103"/>
  <c r="CD70" i="103"/>
  <c r="AW70" i="103"/>
  <c r="AK70" i="103"/>
  <c r="BV69" i="103"/>
  <c r="AO69" i="103"/>
  <c r="Q69" i="103"/>
  <c r="BZ68" i="103"/>
  <c r="BE68" i="103"/>
  <c r="AS68" i="103"/>
  <c r="AG68" i="103"/>
  <c r="I68" i="103"/>
  <c r="CD67" i="103"/>
  <c r="BR67" i="103"/>
  <c r="AW67" i="103"/>
  <c r="AK67" i="103"/>
  <c r="BV66" i="103"/>
  <c r="AO66" i="103"/>
  <c r="Q66" i="103"/>
  <c r="BY65" i="103"/>
  <c r="AR65" i="103"/>
  <c r="AF65" i="103"/>
  <c r="T65" i="103"/>
  <c r="CN64" i="103"/>
  <c r="CB64" i="103"/>
  <c r="AN64" i="103" s="1"/>
  <c r="BG64" i="103"/>
  <c r="AI64" i="103"/>
  <c r="BT63" i="103"/>
  <c r="AY63" i="103"/>
  <c r="BX62" i="103"/>
  <c r="AE62" i="103"/>
  <c r="S62" i="103"/>
  <c r="G62" i="103"/>
  <c r="CN61" i="103"/>
  <c r="CB61" i="103"/>
  <c r="AN61" i="103" s="1"/>
  <c r="BG61" i="103"/>
  <c r="AI61" i="103"/>
  <c r="BT60" i="103"/>
  <c r="AY60" i="103"/>
  <c r="BX59" i="103"/>
  <c r="S59" i="103"/>
  <c r="G59" i="103"/>
  <c r="CN58" i="103"/>
  <c r="CB58" i="103"/>
  <c r="BG58" i="103"/>
  <c r="AI58" i="103"/>
  <c r="BT57" i="103"/>
  <c r="AY57" i="103"/>
  <c r="BX56" i="103"/>
  <c r="AE56" i="103"/>
  <c r="S56" i="103"/>
  <c r="G56" i="103"/>
  <c r="CN55" i="103"/>
  <c r="CB55" i="103"/>
  <c r="AN55" i="103" s="1"/>
  <c r="BY102" i="103"/>
  <c r="S99" i="103"/>
  <c r="N96" i="103"/>
  <c r="BG95" i="103"/>
  <c r="AH94" i="103"/>
  <c r="AP92" i="103"/>
  <c r="AQ91" i="103"/>
  <c r="BV90" i="103"/>
  <c r="AO90" i="103"/>
  <c r="Q90" i="103"/>
  <c r="BZ89" i="103"/>
  <c r="BE89" i="103"/>
  <c r="AS89" i="103"/>
  <c r="AG89" i="103"/>
  <c r="I89" i="103"/>
  <c r="CD88" i="103"/>
  <c r="BR88" i="103"/>
  <c r="AW88" i="103"/>
  <c r="AK88" i="103"/>
  <c r="BV87" i="103"/>
  <c r="AO87" i="103"/>
  <c r="Q87" i="103"/>
  <c r="BZ86" i="103"/>
  <c r="BE86" i="103"/>
  <c r="AS86" i="103"/>
  <c r="AG86" i="103"/>
  <c r="I86" i="103"/>
  <c r="CC85" i="103"/>
  <c r="BC85" i="103" s="1"/>
  <c r="BQ85" i="103"/>
  <c r="AJ85" i="103"/>
  <c r="CS84" i="103"/>
  <c r="BU84" i="103"/>
  <c r="AZ84" i="103"/>
  <c r="P84" i="103"/>
  <c r="BY83" i="103"/>
  <c r="AR83" i="103"/>
  <c r="AF83" i="103"/>
  <c r="T83" i="103"/>
  <c r="CC82" i="103"/>
  <c r="BC82" i="103" s="1"/>
  <c r="BQ82" i="103"/>
  <c r="AJ82" i="103"/>
  <c r="CS81" i="103"/>
  <c r="BU81" i="103"/>
  <c r="AZ81" i="103"/>
  <c r="P81" i="103"/>
  <c r="BY80" i="103"/>
  <c r="AR80" i="103"/>
  <c r="AF80" i="103"/>
  <c r="T80" i="103"/>
  <c r="CC79" i="103"/>
  <c r="BC79" i="103" s="1"/>
  <c r="BQ79" i="103"/>
  <c r="AJ79" i="103"/>
  <c r="BU78" i="103"/>
  <c r="AZ78" i="103"/>
  <c r="P78" i="103"/>
  <c r="BY77" i="103"/>
  <c r="AR77" i="103"/>
  <c r="AF77" i="103"/>
  <c r="T77" i="103"/>
  <c r="CC76" i="103"/>
  <c r="BC76" i="103" s="1"/>
  <c r="BQ76" i="103"/>
  <c r="AJ76" i="103"/>
  <c r="BU75" i="103"/>
  <c r="AZ75" i="103"/>
  <c r="P75" i="103"/>
  <c r="BY74" i="103"/>
  <c r="AR74" i="103"/>
  <c r="AF74" i="103"/>
  <c r="T74" i="103"/>
  <c r="CC73" i="103"/>
  <c r="BC73" i="103" s="1"/>
  <c r="BQ73" i="103"/>
  <c r="AJ73" i="103"/>
  <c r="CS72" i="103"/>
  <c r="BU72" i="103"/>
  <c r="AZ72" i="103"/>
  <c r="P72" i="103"/>
  <c r="BY71" i="103"/>
  <c r="AR71" i="103"/>
  <c r="AF71" i="103"/>
  <c r="T71" i="103"/>
  <c r="CC70" i="103"/>
  <c r="BQ70" i="103"/>
  <c r="AJ70" i="103"/>
  <c r="CS69" i="103"/>
  <c r="BU69" i="103"/>
  <c r="AZ69" i="103"/>
  <c r="P69" i="103"/>
  <c r="BY68" i="103"/>
  <c r="AR68" i="103"/>
  <c r="AF68" i="103"/>
  <c r="T68" i="103"/>
  <c r="CC67" i="103"/>
  <c r="BC67" i="103" s="1"/>
  <c r="BQ67" i="103"/>
  <c r="AJ67" i="103"/>
  <c r="CS66" i="103"/>
  <c r="BU66" i="103"/>
  <c r="AZ66" i="103"/>
  <c r="P66" i="103"/>
  <c r="BX65" i="103"/>
  <c r="AE65" i="103"/>
  <c r="S65" i="103"/>
  <c r="CA64" i="103"/>
  <c r="BF64" i="103"/>
  <c r="AT64" i="103"/>
  <c r="AH64" i="103"/>
  <c r="V64" i="103"/>
  <c r="CE63" i="103"/>
  <c r="BS63" i="103"/>
  <c r="AX63" i="103"/>
  <c r="N63" i="103"/>
  <c r="BW62" i="103"/>
  <c r="AP62" i="103"/>
  <c r="AD62" i="103"/>
  <c r="CA61" i="103"/>
  <c r="BF61" i="103"/>
  <c r="AT61" i="103"/>
  <c r="AH61" i="103"/>
  <c r="V61" i="103"/>
  <c r="CE60" i="103"/>
  <c r="BS60" i="103"/>
  <c r="AX60" i="103"/>
  <c r="N60" i="103"/>
  <c r="BW59" i="103"/>
  <c r="AP59" i="103"/>
  <c r="AD59" i="103"/>
  <c r="CA58" i="103"/>
  <c r="BF58" i="103"/>
  <c r="AT58" i="103"/>
  <c r="AH58" i="103"/>
  <c r="V58" i="103"/>
  <c r="CE57" i="103"/>
  <c r="BS57" i="103"/>
  <c r="AX57" i="103"/>
  <c r="N57" i="103"/>
  <c r="BW56" i="103"/>
  <c r="AP56" i="103"/>
  <c r="AD56" i="103"/>
  <c r="CA55" i="103"/>
  <c r="BF55" i="103"/>
  <c r="AK107" i="103"/>
  <c r="CN101" i="103"/>
  <c r="G99" i="103"/>
  <c r="G96" i="103"/>
  <c r="AY93" i="103"/>
  <c r="N93" i="103"/>
  <c r="AI92" i="103"/>
  <c r="CN91" i="103"/>
  <c r="CS90" i="103"/>
  <c r="BU90" i="103"/>
  <c r="AZ90" i="103"/>
  <c r="P90" i="103"/>
  <c r="BY89" i="103"/>
  <c r="AR89" i="103"/>
  <c r="AF89" i="103"/>
  <c r="T89" i="103"/>
  <c r="CC88" i="103"/>
  <c r="BC88" i="103" s="1"/>
  <c r="BQ88" i="103"/>
  <c r="AJ88" i="103"/>
  <c r="CS87" i="103"/>
  <c r="BU87" i="103"/>
  <c r="AZ87" i="103"/>
  <c r="P87" i="103"/>
  <c r="BY86" i="103"/>
  <c r="AR86" i="103"/>
  <c r="AF86" i="103"/>
  <c r="T86" i="103"/>
  <c r="CN85" i="103"/>
  <c r="CB85" i="103"/>
  <c r="AN85" i="103" s="1"/>
  <c r="BG85" i="103"/>
  <c r="AI85" i="103"/>
  <c r="BT84" i="103"/>
  <c r="AY84" i="103"/>
  <c r="BX83" i="103"/>
  <c r="AQ83" i="103"/>
  <c r="AE83" i="103"/>
  <c r="S83" i="103"/>
  <c r="G83" i="103"/>
  <c r="CN82" i="103"/>
  <c r="CB82" i="103"/>
  <c r="AN82" i="103" s="1"/>
  <c r="BG82" i="103"/>
  <c r="AI82" i="103"/>
  <c r="BT81" i="103"/>
  <c r="AY81" i="103"/>
  <c r="BX80" i="103"/>
  <c r="AQ80" i="103"/>
  <c r="AE80" i="103"/>
  <c r="S80" i="103"/>
  <c r="G80" i="103"/>
  <c r="CN79" i="103"/>
  <c r="CB79" i="103"/>
  <c r="BG79" i="103"/>
  <c r="AI79" i="103"/>
  <c r="BT78" i="103"/>
  <c r="AY78" i="103"/>
  <c r="BX77" i="103"/>
  <c r="AQ77" i="103"/>
  <c r="AE77" i="103"/>
  <c r="S77" i="103"/>
  <c r="G77" i="103"/>
  <c r="CN76" i="103"/>
  <c r="CB76" i="103"/>
  <c r="BG76" i="103"/>
  <c r="AI76" i="103"/>
  <c r="BT75" i="103"/>
  <c r="AY75" i="103"/>
  <c r="BX74" i="103"/>
  <c r="AQ74" i="103"/>
  <c r="AE74" i="103"/>
  <c r="S74" i="103"/>
  <c r="G74" i="103"/>
  <c r="CN73" i="103"/>
  <c r="CB73" i="103"/>
  <c r="AN73" i="103" s="1"/>
  <c r="BG73" i="103"/>
  <c r="AI73" i="103"/>
  <c r="BT72" i="103"/>
  <c r="AY72" i="103"/>
  <c r="BX71" i="103"/>
  <c r="AQ71" i="103"/>
  <c r="AE71" i="103"/>
  <c r="S71" i="103"/>
  <c r="G71" i="103"/>
  <c r="CN70" i="103"/>
  <c r="CB70" i="103"/>
  <c r="BG70" i="103"/>
  <c r="AI70" i="103"/>
  <c r="BT69" i="103"/>
  <c r="AY69" i="103"/>
  <c r="BX68" i="103"/>
  <c r="AE68" i="103"/>
  <c r="S68" i="103"/>
  <c r="G68" i="103"/>
  <c r="CN67" i="103"/>
  <c r="CB67" i="103"/>
  <c r="BG67" i="103"/>
  <c r="AI67" i="103"/>
  <c r="BT66" i="103"/>
  <c r="AY66" i="103"/>
  <c r="BW65" i="103"/>
  <c r="AP65" i="103"/>
  <c r="AD65" i="103"/>
  <c r="E65" i="103"/>
  <c r="BZ64" i="103"/>
  <c r="BE64" i="103"/>
  <c r="AS64" i="103"/>
  <c r="AG64" i="103"/>
  <c r="I64" i="103"/>
  <c r="CD63" i="103"/>
  <c r="BR63" i="103"/>
  <c r="AW63" i="103"/>
  <c r="AK63" i="103"/>
  <c r="BV62" i="103"/>
  <c r="AO62" i="103"/>
  <c r="Q62" i="103"/>
  <c r="BZ61" i="103"/>
  <c r="BE61" i="103"/>
  <c r="AS61" i="103"/>
  <c r="AG61" i="103"/>
  <c r="I61" i="103"/>
  <c r="CD60" i="103"/>
  <c r="BR60" i="103"/>
  <c r="AW60" i="103"/>
  <c r="AK60" i="103"/>
  <c r="BV59" i="103"/>
  <c r="AO59" i="103"/>
  <c r="Q59" i="103"/>
  <c r="BZ58" i="103"/>
  <c r="BE58" i="103"/>
  <c r="AS58" i="103"/>
  <c r="AG58" i="103"/>
  <c r="I58" i="103"/>
  <c r="CD57" i="103"/>
  <c r="BR57" i="103"/>
  <c r="AW57" i="103"/>
  <c r="AK57" i="103"/>
  <c r="BV56" i="103"/>
  <c r="AO56" i="103"/>
  <c r="Q56" i="103"/>
  <c r="BZ55" i="103"/>
  <c r="AZ103" i="103"/>
  <c r="CB101" i="103"/>
  <c r="AN101" i="103" s="1"/>
  <c r="CE93" i="103"/>
  <c r="AX93" i="103"/>
  <c r="G93" i="103"/>
  <c r="AE92" i="103"/>
  <c r="AK91" i="103"/>
  <c r="BT90" i="103"/>
  <c r="AY90" i="103"/>
  <c r="BX89" i="103"/>
  <c r="AQ89" i="103"/>
  <c r="AE89" i="103"/>
  <c r="S89" i="103"/>
  <c r="G89" i="103"/>
  <c r="CN88" i="103"/>
  <c r="CB88" i="103"/>
  <c r="AN88" i="103" s="1"/>
  <c r="BG88" i="103"/>
  <c r="AI88" i="103"/>
  <c r="BT87" i="103"/>
  <c r="AY87" i="103"/>
  <c r="BX86" i="103"/>
  <c r="AQ86" i="103"/>
  <c r="AE86" i="103"/>
  <c r="S86" i="103"/>
  <c r="G86" i="103"/>
  <c r="CA85" i="103"/>
  <c r="BF85" i="103"/>
  <c r="AT85" i="103"/>
  <c r="AH85" i="103"/>
  <c r="V85" i="103"/>
  <c r="CE84" i="103"/>
  <c r="BS84" i="103"/>
  <c r="AX84" i="103"/>
  <c r="N84" i="103"/>
  <c r="BW83" i="103"/>
  <c r="AP83" i="103"/>
  <c r="AD83" i="103"/>
  <c r="CA82" i="103"/>
  <c r="BF82" i="103"/>
  <c r="AT82" i="103"/>
  <c r="AH82" i="103"/>
  <c r="V82" i="103"/>
  <c r="CE81" i="103"/>
  <c r="BS81" i="103"/>
  <c r="AX81" i="103"/>
  <c r="N81" i="103"/>
  <c r="BW80" i="103"/>
  <c r="AP80" i="103"/>
  <c r="AD80" i="103"/>
  <c r="CA79" i="103"/>
  <c r="BF79" i="103"/>
  <c r="AT79" i="103"/>
  <c r="AH79" i="103"/>
  <c r="V79" i="103"/>
  <c r="CE78" i="103"/>
  <c r="AX78" i="103"/>
  <c r="N78" i="103"/>
  <c r="BW77" i="103"/>
  <c r="AP77" i="103"/>
  <c r="AD77" i="103"/>
  <c r="CA76" i="103"/>
  <c r="BF76" i="103"/>
  <c r="AT76" i="103"/>
  <c r="AH76" i="103"/>
  <c r="V76" i="103"/>
  <c r="CE75" i="103"/>
  <c r="AX75" i="103"/>
  <c r="N75" i="103"/>
  <c r="BW74" i="103"/>
  <c r="AP74" i="103"/>
  <c r="AD74" i="103"/>
  <c r="CA73" i="103"/>
  <c r="BF73" i="103"/>
  <c r="AT73" i="103"/>
  <c r="AH73" i="103"/>
  <c r="V73" i="103"/>
  <c r="CE72" i="103"/>
  <c r="BS72" i="103"/>
  <c r="AX72" i="103"/>
  <c r="N72" i="103"/>
  <c r="BW71" i="103"/>
  <c r="AP71" i="103"/>
  <c r="AD71" i="103"/>
  <c r="CA70" i="103"/>
  <c r="BF70" i="103"/>
  <c r="AT70" i="103"/>
  <c r="AH70" i="103"/>
  <c r="V70" i="103"/>
  <c r="CE69" i="103"/>
  <c r="BS69" i="103"/>
  <c r="AX69" i="103"/>
  <c r="N69" i="103"/>
  <c r="BW68" i="103"/>
  <c r="AP68" i="103"/>
  <c r="AD68" i="103"/>
  <c r="CA67" i="103"/>
  <c r="BF67" i="103"/>
  <c r="AT67" i="103"/>
  <c r="AH67" i="103"/>
  <c r="V67" i="103"/>
  <c r="CE66" i="103"/>
  <c r="BS66" i="103"/>
  <c r="AX66" i="103"/>
  <c r="N66" i="103"/>
  <c r="BV65" i="103"/>
  <c r="AO65" i="103"/>
  <c r="Q65" i="103"/>
  <c r="BY64" i="103"/>
  <c r="AR64" i="103"/>
  <c r="AF64" i="103"/>
  <c r="T64" i="103"/>
  <c r="CC63" i="103"/>
  <c r="BC63" i="103" s="1"/>
  <c r="BQ63" i="103"/>
  <c r="AJ63" i="103"/>
  <c r="CS62" i="103"/>
  <c r="BU62" i="103"/>
  <c r="AZ62" i="103"/>
  <c r="P62" i="103"/>
  <c r="BY61" i="103"/>
  <c r="AR61" i="103"/>
  <c r="AF61" i="103"/>
  <c r="T61" i="103"/>
  <c r="CC60" i="103"/>
  <c r="BC60" i="103" s="1"/>
  <c r="BQ60" i="103"/>
  <c r="AJ60" i="103"/>
  <c r="CS59" i="103"/>
  <c r="BU59" i="103"/>
  <c r="AZ59" i="103"/>
  <c r="P59" i="103"/>
  <c r="BY58" i="103"/>
  <c r="AR58" i="103"/>
  <c r="AF58" i="103"/>
  <c r="T58" i="103"/>
  <c r="CC57" i="103"/>
  <c r="BC57" i="103" s="1"/>
  <c r="BQ57" i="103"/>
  <c r="AJ57" i="103"/>
  <c r="CS56" i="103"/>
  <c r="BU56" i="103"/>
  <c r="AZ56" i="103"/>
  <c r="P56" i="103"/>
  <c r="BY55" i="103"/>
  <c r="AR105" i="103"/>
  <c r="BT100" i="103"/>
  <c r="V94" i="103"/>
  <c r="BX93" i="103"/>
  <c r="AD92" i="103"/>
  <c r="AJ91" i="103"/>
  <c r="V91" i="103"/>
  <c r="CE90" i="103"/>
  <c r="BS90" i="103"/>
  <c r="AX90" i="103"/>
  <c r="N90" i="103"/>
  <c r="BW89" i="103"/>
  <c r="AP89" i="103"/>
  <c r="AD89" i="103"/>
  <c r="CA88" i="103"/>
  <c r="BF88" i="103"/>
  <c r="AT88" i="103"/>
  <c r="AH88" i="103"/>
  <c r="V88" i="103"/>
  <c r="CE87" i="103"/>
  <c r="BS87" i="103"/>
  <c r="AX87" i="103"/>
  <c r="N87" i="103"/>
  <c r="BW86" i="103"/>
  <c r="AP86" i="103"/>
  <c r="AD86" i="103"/>
  <c r="BZ85" i="103"/>
  <c r="BE85" i="103"/>
  <c r="AS85" i="103"/>
  <c r="AG85" i="103"/>
  <c r="I85" i="103"/>
  <c r="CD84" i="103"/>
  <c r="BR84" i="103"/>
  <c r="AW84" i="103"/>
  <c r="AK84" i="103"/>
  <c r="BV83" i="103"/>
  <c r="AO83" i="103"/>
  <c r="Q83" i="103"/>
  <c r="BZ82" i="103"/>
  <c r="BE82" i="103"/>
  <c r="AS82" i="103"/>
  <c r="AG82" i="103"/>
  <c r="I82" i="103"/>
  <c r="CD81" i="103"/>
  <c r="BR81" i="103"/>
  <c r="AW81" i="103"/>
  <c r="AK81" i="103"/>
  <c r="BV80" i="103"/>
  <c r="AO80" i="103"/>
  <c r="Q80" i="103"/>
  <c r="BZ79" i="103"/>
  <c r="BE79" i="103"/>
  <c r="AS79" i="103"/>
  <c r="AG79" i="103"/>
  <c r="I79" i="103"/>
  <c r="CD78" i="103"/>
  <c r="BR78" i="103"/>
  <c r="AW78" i="103"/>
  <c r="AK78" i="103"/>
  <c r="BV77" i="103"/>
  <c r="AO77" i="103"/>
  <c r="Q77" i="103"/>
  <c r="BZ76" i="103"/>
  <c r="BE76" i="103"/>
  <c r="AS76" i="103"/>
  <c r="AG76" i="103"/>
  <c r="I76" i="103"/>
  <c r="CD75" i="103"/>
  <c r="BR75" i="103"/>
  <c r="AW75" i="103"/>
  <c r="AK75" i="103"/>
  <c r="BV74" i="103"/>
  <c r="AO74" i="103"/>
  <c r="Q74" i="103"/>
  <c r="BZ73" i="103"/>
  <c r="BE73" i="103"/>
  <c r="AS73" i="103"/>
  <c r="AG73" i="103"/>
  <c r="I73" i="103"/>
  <c r="CD72" i="103"/>
  <c r="BR72" i="103"/>
  <c r="AW72" i="103"/>
  <c r="AK72" i="103"/>
  <c r="BV71" i="103"/>
  <c r="AO71" i="103"/>
  <c r="Q71" i="103"/>
  <c r="BZ70" i="103"/>
  <c r="BE70" i="103"/>
  <c r="AS70" i="103"/>
  <c r="AG70" i="103"/>
  <c r="I70" i="103"/>
  <c r="CD69" i="103"/>
  <c r="BR69" i="103"/>
  <c r="AW69" i="103"/>
  <c r="AK69" i="103"/>
  <c r="BV68" i="103"/>
  <c r="AO68" i="103"/>
  <c r="Q68" i="103"/>
  <c r="BZ67" i="103"/>
  <c r="BE67" i="103"/>
  <c r="AS67" i="103"/>
  <c r="AG67" i="103"/>
  <c r="I67" i="103"/>
  <c r="CD66" i="103"/>
  <c r="BR66" i="103"/>
  <c r="AW66" i="103"/>
  <c r="AK66" i="103"/>
  <c r="CS65" i="103"/>
  <c r="BU65" i="103"/>
  <c r="AZ65" i="103"/>
  <c r="P65" i="103"/>
  <c r="BX64" i="103"/>
  <c r="AE64" i="103"/>
  <c r="S64" i="103"/>
  <c r="G64" i="103"/>
  <c r="CN63" i="103"/>
  <c r="CB63" i="103"/>
  <c r="BG63" i="103"/>
  <c r="AI63" i="103"/>
  <c r="BT62" i="103"/>
  <c r="AY62" i="103"/>
  <c r="BX61" i="103"/>
  <c r="AE61" i="103"/>
  <c r="S61" i="103"/>
  <c r="G61" i="103"/>
  <c r="CN60" i="103"/>
  <c r="CB60" i="103"/>
  <c r="AN60" i="103" s="1"/>
  <c r="BG60" i="103"/>
  <c r="AI60" i="103"/>
  <c r="BT59" i="103"/>
  <c r="AY59" i="103"/>
  <c r="BX58" i="103"/>
  <c r="S58" i="103"/>
  <c r="G58" i="103"/>
  <c r="CN57" i="103"/>
  <c r="CB57" i="103"/>
  <c r="AN57" i="103" s="1"/>
  <c r="BG57" i="103"/>
  <c r="AI57" i="103"/>
  <c r="BT56" i="103"/>
  <c r="AY56" i="103"/>
  <c r="BX55" i="103"/>
  <c r="P106" i="103"/>
  <c r="AF105" i="103"/>
  <c r="AJ104" i="103"/>
  <c r="BX99" i="103"/>
  <c r="CN98" i="103"/>
  <c r="AX96" i="103"/>
  <c r="CN95" i="103"/>
  <c r="AP95" i="103"/>
  <c r="CN94" i="103"/>
  <c r="BG94" i="103"/>
  <c r="BT93" i="103"/>
  <c r="CB91" i="103"/>
  <c r="BG91" i="103"/>
  <c r="AI91" i="103"/>
  <c r="I91" i="103"/>
  <c r="CD90" i="103"/>
  <c r="BR90" i="103"/>
  <c r="AW90" i="103"/>
  <c r="AK90" i="103"/>
  <c r="BV89" i="103"/>
  <c r="AO89" i="103"/>
  <c r="Q89" i="103"/>
  <c r="BZ88" i="103"/>
  <c r="BE88" i="103"/>
  <c r="AS88" i="103"/>
  <c r="AG88" i="103"/>
  <c r="I88" i="103"/>
  <c r="CD87" i="103"/>
  <c r="BR87" i="103"/>
  <c r="AW87" i="103"/>
  <c r="AK87" i="103"/>
  <c r="BV86" i="103"/>
  <c r="AO86" i="103"/>
  <c r="Q86" i="103"/>
  <c r="BY85" i="103"/>
  <c r="AR85" i="103"/>
  <c r="AF85" i="103"/>
  <c r="T85" i="103"/>
  <c r="CC84" i="103"/>
  <c r="BC84" i="103" s="1"/>
  <c r="BQ84" i="103"/>
  <c r="AJ84" i="103"/>
  <c r="CS83" i="103"/>
  <c r="BU83" i="103"/>
  <c r="AZ83" i="103"/>
  <c r="P83" i="103"/>
  <c r="BY82" i="103"/>
  <c r="AR82" i="103"/>
  <c r="AF82" i="103"/>
  <c r="T82" i="103"/>
  <c r="CC81" i="103"/>
  <c r="BC81" i="103" s="1"/>
  <c r="BQ81" i="103"/>
  <c r="AJ81" i="103"/>
  <c r="CS80" i="103"/>
  <c r="BU80" i="103"/>
  <c r="AZ80" i="103"/>
  <c r="P80" i="103"/>
  <c r="BY79" i="103"/>
  <c r="AR79" i="103"/>
  <c r="AF79" i="103"/>
  <c r="T79" i="103"/>
  <c r="CC78" i="103"/>
  <c r="BC78" i="103" s="1"/>
  <c r="BQ78" i="103"/>
  <c r="AJ78" i="103"/>
  <c r="BU77" i="103"/>
  <c r="AZ77" i="103"/>
  <c r="P77" i="103"/>
  <c r="BY76" i="103"/>
  <c r="AR76" i="103"/>
  <c r="AF76" i="103"/>
  <c r="T76" i="103"/>
  <c r="CC75" i="103"/>
  <c r="BC75" i="103" s="1"/>
  <c r="BQ75" i="103"/>
  <c r="AJ75" i="103"/>
  <c r="CS74" i="103"/>
  <c r="BU74" i="103"/>
  <c r="AZ74" i="103"/>
  <c r="P74" i="103"/>
  <c r="BY73" i="103"/>
  <c r="AR73" i="103"/>
  <c r="AF73" i="103"/>
  <c r="T73" i="103"/>
  <c r="CC72" i="103"/>
  <c r="BC72" i="103" s="1"/>
  <c r="BQ72" i="103"/>
  <c r="AJ72" i="103"/>
  <c r="CS71" i="103"/>
  <c r="BU71" i="103"/>
  <c r="AZ71" i="103"/>
  <c r="P71" i="103"/>
  <c r="BY70" i="103"/>
  <c r="AR70" i="103"/>
  <c r="AF70" i="103"/>
  <c r="T70" i="103"/>
  <c r="CC69" i="103"/>
  <c r="BC69" i="103" s="1"/>
  <c r="BQ69" i="103"/>
  <c r="AJ69" i="103"/>
  <c r="CS68" i="103"/>
  <c r="BU68" i="103"/>
  <c r="AZ68" i="103"/>
  <c r="P68" i="103"/>
  <c r="BY67" i="103"/>
  <c r="AR67" i="103"/>
  <c r="AF67" i="103"/>
  <c r="T67" i="103"/>
  <c r="CC66" i="103"/>
  <c r="BC66" i="103" s="1"/>
  <c r="BQ66" i="103"/>
  <c r="AJ66" i="103"/>
  <c r="BT65" i="103"/>
  <c r="AY65" i="103"/>
  <c r="BW64" i="103"/>
  <c r="AP64" i="103"/>
  <c r="AD64" i="103"/>
  <c r="CA63" i="103"/>
  <c r="BF63" i="103"/>
  <c r="AT63" i="103"/>
  <c r="AH63" i="103"/>
  <c r="V63" i="103"/>
  <c r="CE62" i="103"/>
  <c r="BS62" i="103"/>
  <c r="AX62" i="103"/>
  <c r="N62" i="103"/>
  <c r="BW61" i="103"/>
  <c r="AP61" i="103"/>
  <c r="AD61" i="103"/>
  <c r="CA60" i="103"/>
  <c r="BF60" i="103"/>
  <c r="AT60" i="103"/>
  <c r="AH60" i="103"/>
  <c r="V60" i="103"/>
  <c r="CE59" i="103"/>
  <c r="BS59" i="103"/>
  <c r="AX59" i="103"/>
  <c r="N59" i="103"/>
  <c r="BW58" i="103"/>
  <c r="AP58" i="103"/>
  <c r="AD58" i="103"/>
  <c r="CA57" i="103"/>
  <c r="BF57" i="103"/>
  <c r="AT57" i="103"/>
  <c r="AH57" i="103"/>
  <c r="V57" i="103"/>
  <c r="CE56" i="103"/>
  <c r="BS56" i="103"/>
  <c r="AX56" i="103"/>
  <c r="N56" i="103"/>
  <c r="BW55" i="103"/>
  <c r="T105" i="103"/>
  <c r="BG101" i="103"/>
  <c r="CB98" i="103"/>
  <c r="AI95" i="103"/>
  <c r="BF94" i="103"/>
  <c r="BS93" i="103"/>
  <c r="AQ93" i="103"/>
  <c r="S92" i="103"/>
  <c r="CA91" i="103"/>
  <c r="BF91" i="103"/>
  <c r="AH91" i="103"/>
  <c r="T91" i="103"/>
  <c r="CC90" i="103"/>
  <c r="BC90" i="103" s="1"/>
  <c r="BQ90" i="103"/>
  <c r="AJ90" i="103"/>
  <c r="CS89" i="103"/>
  <c r="BU89" i="103"/>
  <c r="AZ89" i="103"/>
  <c r="P89" i="103"/>
  <c r="BY88" i="103"/>
  <c r="AR88" i="103"/>
  <c r="AF88" i="103"/>
  <c r="T88" i="103"/>
  <c r="CC87" i="103"/>
  <c r="BC87" i="103" s="1"/>
  <c r="BQ87" i="103"/>
  <c r="AJ87" i="103"/>
  <c r="CS86" i="103"/>
  <c r="BU86" i="103"/>
  <c r="AZ86" i="103"/>
  <c r="P86" i="103"/>
  <c r="BX85" i="103"/>
  <c r="AQ85" i="103"/>
  <c r="AE85" i="103"/>
  <c r="S85" i="103"/>
  <c r="G85" i="103"/>
  <c r="CN84" i="103"/>
  <c r="CB84" i="103"/>
  <c r="AN84" i="103" s="1"/>
  <c r="BG84" i="103"/>
  <c r="AI84" i="103"/>
  <c r="BT83" i="103"/>
  <c r="AY83" i="103"/>
  <c r="BX82" i="103"/>
  <c r="AQ82" i="103"/>
  <c r="AE82" i="103"/>
  <c r="S82" i="103"/>
  <c r="G82" i="103"/>
  <c r="CN81" i="103"/>
  <c r="CB81" i="103"/>
  <c r="BG81" i="103"/>
  <c r="AI81" i="103"/>
  <c r="BT80" i="103"/>
  <c r="AY80" i="103"/>
  <c r="BX79" i="103"/>
  <c r="AQ79" i="103"/>
  <c r="AE79" i="103"/>
  <c r="S79" i="103"/>
  <c r="G79" i="103"/>
  <c r="CN78" i="103"/>
  <c r="CB78" i="103"/>
  <c r="AN78" i="103" s="1"/>
  <c r="BG78" i="103"/>
  <c r="AI78" i="103"/>
  <c r="BT77" i="103"/>
  <c r="AY77" i="103"/>
  <c r="BX76" i="103"/>
  <c r="AQ76" i="103"/>
  <c r="AE76" i="103"/>
  <c r="S76" i="103"/>
  <c r="G76" i="103"/>
  <c r="CN75" i="103"/>
  <c r="CB75" i="103"/>
  <c r="AN75" i="103" s="1"/>
  <c r="AI75" i="103"/>
  <c r="BT74" i="103"/>
  <c r="AY74" i="103"/>
  <c r="BX73" i="103"/>
  <c r="AQ73" i="103"/>
  <c r="AE73" i="103"/>
  <c r="S73" i="103"/>
  <c r="G73" i="103"/>
  <c r="CN72" i="103"/>
  <c r="CB72" i="103"/>
  <c r="BG72" i="103"/>
  <c r="AI72" i="103"/>
  <c r="BT71" i="103"/>
  <c r="AY71" i="103"/>
  <c r="BX70" i="103"/>
  <c r="AQ70" i="103"/>
  <c r="AE70" i="103"/>
  <c r="S70" i="103"/>
  <c r="G70" i="103"/>
  <c r="CN69" i="103"/>
  <c r="CB69" i="103"/>
  <c r="BG69" i="103"/>
  <c r="AI69" i="103"/>
  <c r="BT68" i="103"/>
  <c r="AY68" i="103"/>
  <c r="BX67" i="103"/>
  <c r="AE67" i="103"/>
  <c r="S67" i="103"/>
  <c r="G67" i="103"/>
  <c r="CN66" i="103"/>
  <c r="CB66" i="103"/>
  <c r="AN66" i="103" s="1"/>
  <c r="BG66" i="103"/>
  <c r="AI66" i="103"/>
  <c r="CE65" i="103"/>
  <c r="BS65" i="103"/>
  <c r="AX65" i="103"/>
  <c r="N65" i="103"/>
  <c r="BV64" i="103"/>
  <c r="AO64" i="103"/>
  <c r="Q64" i="103"/>
  <c r="BZ63" i="103"/>
  <c r="BE63" i="103"/>
  <c r="AS63" i="103"/>
  <c r="AG63" i="103"/>
  <c r="I63" i="103"/>
  <c r="CD62" i="103"/>
  <c r="BR62" i="103"/>
  <c r="AW62" i="103"/>
  <c r="AK62" i="103"/>
  <c r="BV61" i="103"/>
  <c r="AO61" i="103"/>
  <c r="Q61" i="103"/>
  <c r="BZ60" i="103"/>
  <c r="BE60" i="103"/>
  <c r="AS60" i="103"/>
  <c r="AG60" i="103"/>
  <c r="I60" i="103"/>
  <c r="CD59" i="103"/>
  <c r="BR59" i="103"/>
  <c r="AW59" i="103"/>
  <c r="AK59" i="103"/>
  <c r="BV58" i="103"/>
  <c r="AO58" i="103"/>
  <c r="Q58" i="103"/>
  <c r="BZ57" i="103"/>
  <c r="BE57" i="103"/>
  <c r="AS57" i="103"/>
  <c r="AG57" i="103"/>
  <c r="I57" i="103"/>
  <c r="CD56" i="103"/>
  <c r="BR56" i="103"/>
  <c r="AW56" i="103"/>
  <c r="AK56" i="103"/>
  <c r="BV55" i="103"/>
  <c r="CS106" i="103"/>
  <c r="AR102" i="103"/>
  <c r="AY100" i="103"/>
  <c r="BT97" i="103"/>
  <c r="CB95" i="103"/>
  <c r="AD95" i="103"/>
  <c r="AY94" i="103"/>
  <c r="CN92" i="103"/>
  <c r="BG92" i="103"/>
  <c r="BY91" i="103"/>
  <c r="AF91" i="103"/>
  <c r="S91" i="103"/>
  <c r="G91" i="103"/>
  <c r="CN90" i="103"/>
  <c r="CB90" i="103"/>
  <c r="BG90" i="103"/>
  <c r="AI90" i="103"/>
  <c r="BT89" i="103"/>
  <c r="AY89" i="103"/>
  <c r="BX88" i="103"/>
  <c r="AQ88" i="103"/>
  <c r="AE88" i="103"/>
  <c r="S88" i="103"/>
  <c r="G88" i="103"/>
  <c r="CN87" i="103"/>
  <c r="CB87" i="103"/>
  <c r="BG87" i="103"/>
  <c r="AI87" i="103"/>
  <c r="BT86" i="103"/>
  <c r="AY86" i="103"/>
  <c r="BW85" i="103"/>
  <c r="AP85" i="103"/>
  <c r="AD85" i="103"/>
  <c r="CA84" i="103"/>
  <c r="BF84" i="103"/>
  <c r="AT84" i="103"/>
  <c r="AH84" i="103"/>
  <c r="V84" i="103"/>
  <c r="CE83" i="103"/>
  <c r="BS83" i="103"/>
  <c r="AX83" i="103"/>
  <c r="N83" i="103"/>
  <c r="BW82" i="103"/>
  <c r="AP82" i="103"/>
  <c r="AD82" i="103"/>
  <c r="CA81" i="103"/>
  <c r="BF81" i="103"/>
  <c r="AT81" i="103"/>
  <c r="AH81" i="103"/>
  <c r="V81" i="103"/>
  <c r="CE80" i="103"/>
  <c r="BS80" i="103"/>
  <c r="AX80" i="103"/>
  <c r="N80" i="103"/>
  <c r="BW79" i="103"/>
  <c r="AP79" i="103"/>
  <c r="AD79" i="103"/>
  <c r="CA78" i="103"/>
  <c r="BF78" i="103"/>
  <c r="AT78" i="103"/>
  <c r="AH78" i="103"/>
  <c r="V78" i="103"/>
  <c r="CE77" i="103"/>
  <c r="AX77" i="103"/>
  <c r="N77" i="103"/>
  <c r="BW76" i="103"/>
  <c r="AP76" i="103"/>
  <c r="AD76" i="103"/>
  <c r="CA75" i="103"/>
  <c r="AT75" i="103"/>
  <c r="AH75" i="103"/>
  <c r="V75" i="103"/>
  <c r="CE74" i="103"/>
  <c r="BS74" i="103"/>
  <c r="AX74" i="103"/>
  <c r="N74" i="103"/>
  <c r="BW73" i="103"/>
  <c r="AP73" i="103"/>
  <c r="AD73" i="103"/>
  <c r="CA72" i="103"/>
  <c r="BF72" i="103"/>
  <c r="AT72" i="103"/>
  <c r="AH72" i="103"/>
  <c r="V72" i="103"/>
  <c r="CE71" i="103"/>
  <c r="BS71" i="103"/>
  <c r="AX71" i="103"/>
  <c r="N71" i="103"/>
  <c r="BW70" i="103"/>
  <c r="AP70" i="103"/>
  <c r="AD70" i="103"/>
  <c r="CA69" i="103"/>
  <c r="BF69" i="103"/>
  <c r="AT69" i="103"/>
  <c r="AH69" i="103"/>
  <c r="V69" i="103"/>
  <c r="CE68" i="103"/>
  <c r="BS68" i="103"/>
  <c r="AX68" i="103"/>
  <c r="N68" i="103"/>
  <c r="BW67" i="103"/>
  <c r="AP67" i="103"/>
  <c r="AD67" i="103"/>
  <c r="CA66" i="103"/>
  <c r="BF66" i="103"/>
  <c r="AT66" i="103"/>
  <c r="AH66" i="103"/>
  <c r="V66" i="103"/>
  <c r="CD65" i="103"/>
  <c r="BR65" i="103"/>
  <c r="AW65" i="103"/>
  <c r="AK65" i="103"/>
  <c r="CS64" i="103"/>
  <c r="BU64" i="103"/>
  <c r="AZ64" i="103"/>
  <c r="P64" i="103"/>
  <c r="BY63" i="103"/>
  <c r="AR63" i="103"/>
  <c r="AF63" i="103"/>
  <c r="T63" i="103"/>
  <c r="BF15" i="103"/>
  <c r="BS17" i="103"/>
  <c r="AY20" i="103"/>
  <c r="CB27" i="103"/>
  <c r="AN27" i="103" s="1"/>
  <c r="G34" i="103"/>
  <c r="CC36" i="103"/>
  <c r="BC36" i="103" s="1"/>
  <c r="V40" i="103"/>
  <c r="AD41" i="103"/>
  <c r="BG46" i="103"/>
  <c r="AR50" i="103"/>
  <c r="AY11" i="103"/>
  <c r="BT11" i="103"/>
  <c r="AI12" i="103"/>
  <c r="BG12" i="103"/>
  <c r="CB12" i="103"/>
  <c r="CN12" i="103"/>
  <c r="G13" i="103"/>
  <c r="S13" i="103"/>
  <c r="AE13" i="103"/>
  <c r="AQ13" i="103"/>
  <c r="BX13" i="103"/>
  <c r="AY14" i="103"/>
  <c r="BT14" i="103"/>
  <c r="AI15" i="103"/>
  <c r="BG15" i="103"/>
  <c r="CB15" i="103"/>
  <c r="AN15" i="103" s="1"/>
  <c r="CN15" i="103"/>
  <c r="G16" i="103"/>
  <c r="S16" i="103"/>
  <c r="AE16" i="103"/>
  <c r="AQ16" i="103"/>
  <c r="BX16" i="103"/>
  <c r="AY17" i="103"/>
  <c r="BT17" i="103"/>
  <c r="AI18" i="103"/>
  <c r="BG18" i="103"/>
  <c r="CB18" i="103"/>
  <c r="AN18" i="103" s="1"/>
  <c r="CN18" i="103"/>
  <c r="G19" i="103"/>
  <c r="S19" i="103"/>
  <c r="AE19" i="103"/>
  <c r="AQ19" i="103"/>
  <c r="BX19" i="103"/>
  <c r="P20" i="103"/>
  <c r="AZ20" i="103"/>
  <c r="BU20" i="103"/>
  <c r="CS20" i="103"/>
  <c r="AJ21" i="103"/>
  <c r="BQ21" i="103"/>
  <c r="CC21" i="103"/>
  <c r="T22" i="103"/>
  <c r="AF22" i="103"/>
  <c r="AR22" i="103"/>
  <c r="BY22" i="103"/>
  <c r="P23" i="103"/>
  <c r="AZ23" i="103"/>
  <c r="BU23" i="103"/>
  <c r="CS23" i="103"/>
  <c r="AJ24" i="103"/>
  <c r="BQ24" i="103"/>
  <c r="CC24" i="103"/>
  <c r="BC24" i="103" s="1"/>
  <c r="T25" i="103"/>
  <c r="AF25" i="103"/>
  <c r="AR25" i="103"/>
  <c r="BY25" i="103"/>
  <c r="P26" i="103"/>
  <c r="AZ26" i="103"/>
  <c r="BU26" i="103"/>
  <c r="CS26" i="103"/>
  <c r="AJ27" i="103"/>
  <c r="BQ27" i="103"/>
  <c r="CC27" i="103"/>
  <c r="T28" i="103"/>
  <c r="AF28" i="103"/>
  <c r="AR28" i="103"/>
  <c r="BY28" i="103"/>
  <c r="P29" i="103"/>
  <c r="AZ29" i="103"/>
  <c r="BU29" i="103"/>
  <c r="CS29" i="103"/>
  <c r="AJ30" i="103"/>
  <c r="BQ30" i="103"/>
  <c r="CC30" i="103"/>
  <c r="T31" i="103"/>
  <c r="AF31" i="103"/>
  <c r="AR31" i="103"/>
  <c r="BY31" i="103"/>
  <c r="P32" i="103"/>
  <c r="AZ32" i="103"/>
  <c r="BU32" i="103"/>
  <c r="CS32" i="103"/>
  <c r="AJ33" i="103"/>
  <c r="BQ33" i="103"/>
  <c r="CC33" i="103"/>
  <c r="BC33" i="103" s="1"/>
  <c r="T34" i="103"/>
  <c r="AF34" i="103"/>
  <c r="AR34" i="103"/>
  <c r="BY34" i="103"/>
  <c r="P35" i="103"/>
  <c r="AZ35" i="103"/>
  <c r="BU35" i="103"/>
  <c r="CS35" i="103"/>
  <c r="AK36" i="103"/>
  <c r="AW36" i="103"/>
  <c r="CD36" i="103"/>
  <c r="V37" i="103"/>
  <c r="AH37" i="103"/>
  <c r="AT37" i="103"/>
  <c r="BF37" i="103"/>
  <c r="CA37" i="103"/>
  <c r="G38" i="103"/>
  <c r="S38" i="103"/>
  <c r="AE38" i="103"/>
  <c r="AQ38" i="103"/>
  <c r="BX38" i="103"/>
  <c r="AY39" i="103"/>
  <c r="BT39" i="103"/>
  <c r="AI40" i="103"/>
  <c r="BG40" i="103"/>
  <c r="CB40" i="103"/>
  <c r="AN40" i="103" s="1"/>
  <c r="CN40" i="103"/>
  <c r="G41" i="103"/>
  <c r="S41" i="103"/>
  <c r="AE41" i="103"/>
  <c r="AQ41" i="103"/>
  <c r="BX41" i="103"/>
  <c r="AY42" i="103"/>
  <c r="BT42" i="103"/>
  <c r="AI43" i="103"/>
  <c r="BG43" i="103"/>
  <c r="CB43" i="103"/>
  <c r="AN43" i="103" s="1"/>
  <c r="CN43" i="103"/>
  <c r="G44" i="103"/>
  <c r="S44" i="103"/>
  <c r="AE44" i="103"/>
  <c r="BX44" i="103"/>
  <c r="AY45" i="103"/>
  <c r="BT45" i="103"/>
  <c r="AJ46" i="103"/>
  <c r="BQ46" i="103"/>
  <c r="CC46" i="103"/>
  <c r="BC46" i="103" s="1"/>
  <c r="T47" i="103"/>
  <c r="AF47" i="103"/>
  <c r="AR47" i="103"/>
  <c r="BY47" i="103"/>
  <c r="Q48" i="103"/>
  <c r="AO48" i="103"/>
  <c r="BV48" i="103"/>
  <c r="AK49" i="103"/>
  <c r="AW49" i="103"/>
  <c r="BR49" i="103"/>
  <c r="CD49" i="103"/>
  <c r="I50" i="103"/>
  <c r="AG50" i="103"/>
  <c r="AS50" i="103"/>
  <c r="BE50" i="103"/>
  <c r="BZ50" i="103"/>
  <c r="Q51" i="103"/>
  <c r="AO51" i="103"/>
  <c r="BV51" i="103"/>
  <c r="AK52" i="103"/>
  <c r="AW52" i="103"/>
  <c r="BR52" i="103"/>
  <c r="CD52" i="103"/>
  <c r="I53" i="103"/>
  <c r="V53" i="103"/>
  <c r="AH53" i="103"/>
  <c r="AT53" i="103"/>
  <c r="BF53" i="103"/>
  <c r="CA53" i="103"/>
  <c r="AD54" i="103"/>
  <c r="AP54" i="103"/>
  <c r="BW54" i="103"/>
  <c r="N55" i="103"/>
  <c r="AX55" i="103"/>
  <c r="CC56" i="103"/>
  <c r="BC56" i="103" s="1"/>
  <c r="AJ62" i="103"/>
  <c r="AT12" i="103"/>
  <c r="AP13" i="103"/>
  <c r="V15" i="103"/>
  <c r="V18" i="103"/>
  <c r="CA18" i="103"/>
  <c r="CN21" i="103"/>
  <c r="BT26" i="103"/>
  <c r="G28" i="103"/>
  <c r="CN30" i="103"/>
  <c r="AQ34" i="103"/>
  <c r="BQ36" i="103"/>
  <c r="BS42" i="103"/>
  <c r="CA43" i="103"/>
  <c r="N45" i="103"/>
  <c r="BX47" i="103"/>
  <c r="BU51" i="103"/>
  <c r="BQ52" i="103"/>
  <c r="AG53" i="103"/>
  <c r="Q54" i="103"/>
  <c r="AK55" i="103"/>
  <c r="P11" i="103"/>
  <c r="AZ11" i="103"/>
  <c r="BU11" i="103"/>
  <c r="CS11" i="103"/>
  <c r="AJ12" i="103"/>
  <c r="BQ12" i="103"/>
  <c r="CC12" i="103"/>
  <c r="T13" i="103"/>
  <c r="AF13" i="103"/>
  <c r="AR13" i="103"/>
  <c r="BY13" i="103"/>
  <c r="P14" i="103"/>
  <c r="AZ14" i="103"/>
  <c r="BU14" i="103"/>
  <c r="CS14" i="103"/>
  <c r="AJ15" i="103"/>
  <c r="BQ15" i="103"/>
  <c r="CC15" i="103"/>
  <c r="T16" i="103"/>
  <c r="AF16" i="103"/>
  <c r="AR16" i="103"/>
  <c r="BY16" i="103"/>
  <c r="P17" i="103"/>
  <c r="AZ17" i="103"/>
  <c r="BU17" i="103"/>
  <c r="CS17" i="103"/>
  <c r="AJ18" i="103"/>
  <c r="BQ18" i="103"/>
  <c r="CC18" i="103"/>
  <c r="BC18" i="103" s="1"/>
  <c r="T19" i="103"/>
  <c r="AF19" i="103"/>
  <c r="AR19" i="103"/>
  <c r="BY19" i="103"/>
  <c r="Q20" i="103"/>
  <c r="AO20" i="103"/>
  <c r="BV20" i="103"/>
  <c r="AK21" i="103"/>
  <c r="AW21" i="103"/>
  <c r="CD21" i="103"/>
  <c r="I22" i="103"/>
  <c r="AG22" i="103"/>
  <c r="AS22" i="103"/>
  <c r="BE22" i="103"/>
  <c r="BZ22" i="103"/>
  <c r="Q23" i="103"/>
  <c r="AO23" i="103"/>
  <c r="BV23" i="103"/>
  <c r="AK24" i="103"/>
  <c r="AW24" i="103"/>
  <c r="CD24" i="103"/>
  <c r="I25" i="103"/>
  <c r="AG25" i="103"/>
  <c r="AS25" i="103"/>
  <c r="BE25" i="103"/>
  <c r="BZ25" i="103"/>
  <c r="Q26" i="103"/>
  <c r="AO26" i="103"/>
  <c r="BV26" i="103"/>
  <c r="AK27" i="103"/>
  <c r="AW27" i="103"/>
  <c r="CD27" i="103"/>
  <c r="I28" i="103"/>
  <c r="AG28" i="103"/>
  <c r="AS28" i="103"/>
  <c r="BE28" i="103"/>
  <c r="BZ28" i="103"/>
  <c r="Q29" i="103"/>
  <c r="AO29" i="103"/>
  <c r="BV29" i="103"/>
  <c r="AK30" i="103"/>
  <c r="AW30" i="103"/>
  <c r="CD30" i="103"/>
  <c r="I31" i="103"/>
  <c r="AG31" i="103"/>
  <c r="AS31" i="103"/>
  <c r="BE31" i="103"/>
  <c r="BZ31" i="103"/>
  <c r="Q32" i="103"/>
  <c r="AO32" i="103"/>
  <c r="BV32" i="103"/>
  <c r="AK33" i="103"/>
  <c r="AW33" i="103"/>
  <c r="CD33" i="103"/>
  <c r="I34" i="103"/>
  <c r="AG34" i="103"/>
  <c r="AS34" i="103"/>
  <c r="BE34" i="103"/>
  <c r="BZ34" i="103"/>
  <c r="Q35" i="103"/>
  <c r="AO35" i="103"/>
  <c r="BV35" i="103"/>
  <c r="N36" i="103"/>
  <c r="AX36" i="103"/>
  <c r="BS36" i="103"/>
  <c r="CE36" i="103"/>
  <c r="AI37" i="103"/>
  <c r="BG37" i="103"/>
  <c r="CB37" i="103"/>
  <c r="CN37" i="103"/>
  <c r="T38" i="103"/>
  <c r="AF38" i="103"/>
  <c r="AR38" i="103"/>
  <c r="BY38" i="103"/>
  <c r="P39" i="103"/>
  <c r="AZ39" i="103"/>
  <c r="BU39" i="103"/>
  <c r="CS39" i="103"/>
  <c r="AJ40" i="103"/>
  <c r="BQ40" i="103"/>
  <c r="CC40" i="103"/>
  <c r="BC40" i="103" s="1"/>
  <c r="T41" i="103"/>
  <c r="AF41" i="103"/>
  <c r="AR41" i="103"/>
  <c r="BY41" i="103"/>
  <c r="P42" i="103"/>
  <c r="AZ42" i="103"/>
  <c r="BU42" i="103"/>
  <c r="CS42" i="103"/>
  <c r="AJ43" i="103"/>
  <c r="BQ43" i="103"/>
  <c r="CC43" i="103"/>
  <c r="BC43" i="103" s="1"/>
  <c r="T44" i="103"/>
  <c r="AF44" i="103"/>
  <c r="AR44" i="103"/>
  <c r="BY44" i="103"/>
  <c r="P45" i="103"/>
  <c r="AZ45" i="103"/>
  <c r="BU45" i="103"/>
  <c r="CS45" i="103"/>
  <c r="AK46" i="103"/>
  <c r="AW46" i="103"/>
  <c r="BR46" i="103"/>
  <c r="CD46" i="103"/>
  <c r="I47" i="103"/>
  <c r="AG47" i="103"/>
  <c r="AS47" i="103"/>
  <c r="BE47" i="103"/>
  <c r="BZ47" i="103"/>
  <c r="AD48" i="103"/>
  <c r="AP48" i="103"/>
  <c r="BW48" i="103"/>
  <c r="N49" i="103"/>
  <c r="AX49" i="103"/>
  <c r="BS49" i="103"/>
  <c r="CE49" i="103"/>
  <c r="V50" i="103"/>
  <c r="AH50" i="103"/>
  <c r="AT50" i="103"/>
  <c r="BF50" i="103"/>
  <c r="CA50" i="103"/>
  <c r="AD51" i="103"/>
  <c r="AP51" i="103"/>
  <c r="BW51" i="103"/>
  <c r="N52" i="103"/>
  <c r="AX52" i="103"/>
  <c r="BS52" i="103"/>
  <c r="CE52" i="103"/>
  <c r="AI53" i="103"/>
  <c r="BG53" i="103"/>
  <c r="CB53" i="103"/>
  <c r="CN53" i="103"/>
  <c r="G54" i="103"/>
  <c r="S54" i="103"/>
  <c r="AE54" i="103"/>
  <c r="BX54" i="103"/>
  <c r="AZ55" i="103"/>
  <c r="CS55" i="103"/>
  <c r="BY57" i="103"/>
  <c r="N11" i="103"/>
  <c r="AH12" i="103"/>
  <c r="AX17" i="103"/>
  <c r="BW19" i="103"/>
  <c r="BX22" i="103"/>
  <c r="BT23" i="103"/>
  <c r="G25" i="103"/>
  <c r="AY26" i="103"/>
  <c r="AE28" i="103"/>
  <c r="AQ31" i="103"/>
  <c r="AP38" i="103"/>
  <c r="V43" i="103"/>
  <c r="AD44" i="103"/>
  <c r="AX45" i="103"/>
  <c r="CB46" i="103"/>
  <c r="AN46" i="103" s="1"/>
  <c r="BQ49" i="103"/>
  <c r="AW55" i="103"/>
  <c r="Q11" i="103"/>
  <c r="BV11" i="103"/>
  <c r="AK12" i="103"/>
  <c r="AW12" i="103"/>
  <c r="CD12" i="103"/>
  <c r="I13" i="103"/>
  <c r="AG13" i="103"/>
  <c r="AS13" i="103"/>
  <c r="BE13" i="103"/>
  <c r="BZ13" i="103"/>
  <c r="Q14" i="103"/>
  <c r="AO14" i="103"/>
  <c r="BV14" i="103"/>
  <c r="AK15" i="103"/>
  <c r="AW15" i="103"/>
  <c r="CD15" i="103"/>
  <c r="I16" i="103"/>
  <c r="AG16" i="103"/>
  <c r="AS16" i="103"/>
  <c r="BE16" i="103"/>
  <c r="BZ16" i="103"/>
  <c r="Q17" i="103"/>
  <c r="AO17" i="103"/>
  <c r="BV17" i="103"/>
  <c r="AK18" i="103"/>
  <c r="AW18" i="103"/>
  <c r="CD18" i="103"/>
  <c r="I19" i="103"/>
  <c r="AG19" i="103"/>
  <c r="AS19" i="103"/>
  <c r="BE19" i="103"/>
  <c r="BZ19" i="103"/>
  <c r="AD20" i="103"/>
  <c r="AP20" i="103"/>
  <c r="BW20" i="103"/>
  <c r="N21" i="103"/>
  <c r="AX21" i="103"/>
  <c r="BS21" i="103"/>
  <c r="CE21" i="103"/>
  <c r="V22" i="103"/>
  <c r="AH22" i="103"/>
  <c r="AT22" i="103"/>
  <c r="BF22" i="103"/>
  <c r="CA22" i="103"/>
  <c r="AD23" i="103"/>
  <c r="AP23" i="103"/>
  <c r="BW23" i="103"/>
  <c r="N24" i="103"/>
  <c r="AX24" i="103"/>
  <c r="BS24" i="103"/>
  <c r="CE24" i="103"/>
  <c r="V25" i="103"/>
  <c r="AH25" i="103"/>
  <c r="AT25" i="103"/>
  <c r="BF25" i="103"/>
  <c r="CA25" i="103"/>
  <c r="AD26" i="103"/>
  <c r="AP26" i="103"/>
  <c r="BW26" i="103"/>
  <c r="N27" i="103"/>
  <c r="AX27" i="103"/>
  <c r="BS27" i="103"/>
  <c r="CE27" i="103"/>
  <c r="V28" i="103"/>
  <c r="AH28" i="103"/>
  <c r="AT28" i="103"/>
  <c r="BF28" i="103"/>
  <c r="CA28" i="103"/>
  <c r="AD29" i="103"/>
  <c r="AP29" i="103"/>
  <c r="BW29" i="103"/>
  <c r="N30" i="103"/>
  <c r="AX30" i="103"/>
  <c r="BS30" i="103"/>
  <c r="CE30" i="103"/>
  <c r="V31" i="103"/>
  <c r="AH31" i="103"/>
  <c r="AT31" i="103"/>
  <c r="BF31" i="103"/>
  <c r="CA31" i="103"/>
  <c r="AD32" i="103"/>
  <c r="AP32" i="103"/>
  <c r="BW32" i="103"/>
  <c r="N33" i="103"/>
  <c r="AX33" i="103"/>
  <c r="BS33" i="103"/>
  <c r="CE33" i="103"/>
  <c r="V34" i="103"/>
  <c r="AH34" i="103"/>
  <c r="AT34" i="103"/>
  <c r="BF34" i="103"/>
  <c r="CA34" i="103"/>
  <c r="AD35" i="103"/>
  <c r="AP35" i="103"/>
  <c r="BW35" i="103"/>
  <c r="AY36" i="103"/>
  <c r="BT36" i="103"/>
  <c r="AJ37" i="103"/>
  <c r="BQ37" i="103"/>
  <c r="CC37" i="103"/>
  <c r="I38" i="103"/>
  <c r="AG38" i="103"/>
  <c r="AS38" i="103"/>
  <c r="BE38" i="103"/>
  <c r="BZ38" i="103"/>
  <c r="Q39" i="103"/>
  <c r="AO39" i="103"/>
  <c r="BV39" i="103"/>
  <c r="AK40" i="103"/>
  <c r="AW40" i="103"/>
  <c r="CD40" i="103"/>
  <c r="I41" i="103"/>
  <c r="AG41" i="103"/>
  <c r="AS41" i="103"/>
  <c r="BE41" i="103"/>
  <c r="BZ41" i="103"/>
  <c r="Q42" i="103"/>
  <c r="BV42" i="103"/>
  <c r="AK43" i="103"/>
  <c r="AW43" i="103"/>
  <c r="BR43" i="103"/>
  <c r="CD43" i="103"/>
  <c r="I44" i="103"/>
  <c r="AG44" i="103"/>
  <c r="AS44" i="103"/>
  <c r="BE44" i="103"/>
  <c r="BZ44" i="103"/>
  <c r="Q45" i="103"/>
  <c r="AO45" i="103"/>
  <c r="BV45" i="103"/>
  <c r="N46" i="103"/>
  <c r="AX46" i="103"/>
  <c r="BS46" i="103"/>
  <c r="CE46" i="103"/>
  <c r="V47" i="103"/>
  <c r="AH47" i="103"/>
  <c r="AT47" i="103"/>
  <c r="BF47" i="103"/>
  <c r="CA47" i="103"/>
  <c r="S48" i="103"/>
  <c r="AE48" i="103"/>
  <c r="BX48" i="103"/>
  <c r="AY49" i="103"/>
  <c r="BT49" i="103"/>
  <c r="AI50" i="103"/>
  <c r="BG50" i="103"/>
  <c r="CB50" i="103"/>
  <c r="AN50" i="103" s="1"/>
  <c r="CN50" i="103"/>
  <c r="G51" i="103"/>
  <c r="S51" i="103"/>
  <c r="AE51" i="103"/>
  <c r="BX51" i="103"/>
  <c r="AY52" i="103"/>
  <c r="BT52" i="103"/>
  <c r="AJ53" i="103"/>
  <c r="BQ53" i="103"/>
  <c r="CC53" i="103"/>
  <c r="BC53" i="103" s="1"/>
  <c r="T54" i="103"/>
  <c r="AF54" i="103"/>
  <c r="AR54" i="103"/>
  <c r="BY54" i="103"/>
  <c r="P55" i="103"/>
  <c r="BU58" i="103"/>
  <c r="BQ59" i="103"/>
  <c r="AZ61" i="103"/>
  <c r="U12" i="58"/>
  <c r="N12" i="58" s="1"/>
  <c r="S13" i="58"/>
  <c r="U18" i="58"/>
  <c r="N18" i="58" s="1"/>
  <c r="S19" i="58"/>
  <c r="U24" i="58"/>
  <c r="N24" i="58" s="1"/>
  <c r="S25" i="58"/>
  <c r="U30" i="58"/>
  <c r="N30" i="58" s="1"/>
  <c r="S31" i="58"/>
  <c r="U36" i="58"/>
  <c r="N36" i="58" s="1"/>
  <c r="S37" i="58"/>
  <c r="U42" i="58"/>
  <c r="S43" i="58"/>
  <c r="U48" i="58"/>
  <c r="N48" i="58" s="1"/>
  <c r="S49" i="58"/>
  <c r="U54" i="58"/>
  <c r="N54" i="58" s="1"/>
  <c r="S55" i="58"/>
  <c r="U60" i="58"/>
  <c r="N60" i="58" s="1"/>
  <c r="S61" i="58"/>
  <c r="V66" i="58"/>
  <c r="U69" i="58"/>
  <c r="N69" i="58" s="1"/>
  <c r="U71" i="58"/>
  <c r="N71" i="58" s="1"/>
  <c r="T156" i="58"/>
  <c r="X156" i="58" s="1"/>
  <c r="V12" i="58"/>
  <c r="T13" i="58"/>
  <c r="X13" i="58" s="1"/>
  <c r="V18" i="58"/>
  <c r="T19" i="58"/>
  <c r="X19" i="58" s="1"/>
  <c r="V24" i="58"/>
  <c r="T25" i="58"/>
  <c r="X25" i="58" s="1"/>
  <c r="V30" i="58"/>
  <c r="T31" i="58"/>
  <c r="X31" i="58" s="1"/>
  <c r="V36" i="58"/>
  <c r="T37" i="58"/>
  <c r="X37" i="58" s="1"/>
  <c r="V42" i="58"/>
  <c r="T43" i="58"/>
  <c r="X43" i="58" s="1"/>
  <c r="V48" i="58"/>
  <c r="T49" i="58"/>
  <c r="X49" i="58" s="1"/>
  <c r="V54" i="58"/>
  <c r="T55" i="58"/>
  <c r="X55" i="58" s="1"/>
  <c r="V60" i="58"/>
  <c r="T61" i="58"/>
  <c r="X61" i="58" s="1"/>
  <c r="U75" i="58"/>
  <c r="N75" i="58" s="1"/>
  <c r="U136" i="58"/>
  <c r="N136" i="58" s="1"/>
  <c r="U13" i="58"/>
  <c r="N13" i="58" s="1"/>
  <c r="S14" i="58"/>
  <c r="U19" i="58"/>
  <c r="N19" i="58" s="1"/>
  <c r="S20" i="58"/>
  <c r="U25" i="58"/>
  <c r="N25" i="58" s="1"/>
  <c r="S26" i="58"/>
  <c r="U31" i="58"/>
  <c r="N31" i="58" s="1"/>
  <c r="S32" i="58"/>
  <c r="U37" i="58"/>
  <c r="N37" i="58" s="1"/>
  <c r="S38" i="58"/>
  <c r="U43" i="58"/>
  <c r="N43" i="58" s="1"/>
  <c r="S44" i="58"/>
  <c r="U49" i="58"/>
  <c r="N49" i="58" s="1"/>
  <c r="S50" i="58"/>
  <c r="U55" i="58"/>
  <c r="N55" i="58" s="1"/>
  <c r="S56" i="58"/>
  <c r="U61" i="58"/>
  <c r="N61" i="58" s="1"/>
  <c r="S62" i="58"/>
  <c r="U81" i="58"/>
  <c r="N81" i="58" s="1"/>
  <c r="T374" i="58"/>
  <c r="X374" i="58" s="1"/>
  <c r="V373" i="58"/>
  <c r="T368" i="58"/>
  <c r="X368" i="58" s="1"/>
  <c r="V367" i="58"/>
  <c r="T362" i="58"/>
  <c r="X362" i="58" s="1"/>
  <c r="V361" i="58"/>
  <c r="T356" i="58"/>
  <c r="X356" i="58" s="1"/>
  <c r="V355" i="58"/>
  <c r="T350" i="58"/>
  <c r="X350" i="58" s="1"/>
  <c r="V349" i="58"/>
  <c r="T344" i="58"/>
  <c r="X344" i="58" s="1"/>
  <c r="V343" i="58"/>
  <c r="S374" i="58"/>
  <c r="U373" i="58"/>
  <c r="N373" i="58" s="1"/>
  <c r="S368" i="58"/>
  <c r="U367" i="58"/>
  <c r="N367" i="58" s="1"/>
  <c r="S362" i="58"/>
  <c r="U361" i="58"/>
  <c r="N361" i="58" s="1"/>
  <c r="S356" i="58"/>
  <c r="U355" i="58"/>
  <c r="N355" i="58" s="1"/>
  <c r="S350" i="58"/>
  <c r="U349" i="58"/>
  <c r="N349" i="58" s="1"/>
  <c r="S344" i="58"/>
  <c r="U343" i="58"/>
  <c r="N343" i="58" s="1"/>
  <c r="T373" i="58"/>
  <c r="X373" i="58" s="1"/>
  <c r="V372" i="58"/>
  <c r="T367" i="58"/>
  <c r="X367" i="58" s="1"/>
  <c r="V366" i="58"/>
  <c r="T361" i="58"/>
  <c r="X361" i="58" s="1"/>
  <c r="V360" i="58"/>
  <c r="T355" i="58"/>
  <c r="X355" i="58" s="1"/>
  <c r="V354" i="58"/>
  <c r="T349" i="58"/>
  <c r="X349" i="58" s="1"/>
  <c r="V348" i="58"/>
  <c r="T343" i="58"/>
  <c r="X343" i="58" s="1"/>
  <c r="V342" i="58"/>
  <c r="S373" i="58"/>
  <c r="U372" i="58"/>
  <c r="N372" i="58" s="1"/>
  <c r="S367" i="58"/>
  <c r="U366" i="58"/>
  <c r="N366" i="58" s="1"/>
  <c r="S361" i="58"/>
  <c r="U360" i="58"/>
  <c r="N360" i="58" s="1"/>
  <c r="S355" i="58"/>
  <c r="U354" i="58"/>
  <c r="N354" i="58" s="1"/>
  <c r="S349" i="58"/>
  <c r="U348" i="58"/>
  <c r="N348" i="58" s="1"/>
  <c r="S343" i="58"/>
  <c r="U342" i="58"/>
  <c r="N342" i="58" s="1"/>
  <c r="T372" i="58"/>
  <c r="X372" i="58" s="1"/>
  <c r="V371" i="58"/>
  <c r="T366" i="58"/>
  <c r="X366" i="58" s="1"/>
  <c r="V365" i="58"/>
  <c r="T360" i="58"/>
  <c r="X360" i="58" s="1"/>
  <c r="V359" i="58"/>
  <c r="T354" i="58"/>
  <c r="X354" i="58" s="1"/>
  <c r="V353" i="58"/>
  <c r="T348" i="58"/>
  <c r="X348" i="58" s="1"/>
  <c r="V347" i="58"/>
  <c r="T342" i="58"/>
  <c r="X342" i="58" s="1"/>
  <c r="V341" i="58"/>
  <c r="S372" i="58"/>
  <c r="U371" i="58"/>
  <c r="N371" i="58" s="1"/>
  <c r="S366" i="58"/>
  <c r="U365" i="58"/>
  <c r="N365" i="58" s="1"/>
  <c r="S360" i="58"/>
  <c r="U359" i="58"/>
  <c r="N359" i="58" s="1"/>
  <c r="S354" i="58"/>
  <c r="U353" i="58"/>
  <c r="N353" i="58" s="1"/>
  <c r="S348" i="58"/>
  <c r="U347" i="58"/>
  <c r="N347" i="58" s="1"/>
  <c r="S342" i="58"/>
  <c r="U341" i="58"/>
  <c r="N341" i="58" s="1"/>
  <c r="T371" i="58"/>
  <c r="X371" i="58" s="1"/>
  <c r="V370" i="58"/>
  <c r="T365" i="58"/>
  <c r="X365" i="58" s="1"/>
  <c r="V364" i="58"/>
  <c r="T359" i="58"/>
  <c r="X359" i="58" s="1"/>
  <c r="V358" i="58"/>
  <c r="T353" i="58"/>
  <c r="X353" i="58" s="1"/>
  <c r="V352" i="58"/>
  <c r="T347" i="58"/>
  <c r="X347" i="58" s="1"/>
  <c r="V346" i="58"/>
  <c r="T341" i="58"/>
  <c r="X341" i="58" s="1"/>
  <c r="V340" i="58"/>
  <c r="S371" i="58"/>
  <c r="U370" i="58"/>
  <c r="N370" i="58" s="1"/>
  <c r="S365" i="58"/>
  <c r="U364" i="58"/>
  <c r="N364" i="58" s="1"/>
  <c r="S359" i="58"/>
  <c r="U358" i="58"/>
  <c r="N358" i="58" s="1"/>
  <c r="S353" i="58"/>
  <c r="U352" i="58"/>
  <c r="N352" i="58" s="1"/>
  <c r="S347" i="58"/>
  <c r="U346" i="58"/>
  <c r="N346" i="58" s="1"/>
  <c r="S341" i="58"/>
  <c r="U340" i="58"/>
  <c r="N340" i="58" s="1"/>
  <c r="V375" i="58"/>
  <c r="T370" i="58"/>
  <c r="X370" i="58" s="1"/>
  <c r="V369" i="58"/>
  <c r="T364" i="58"/>
  <c r="X364" i="58" s="1"/>
  <c r="V363" i="58"/>
  <c r="T358" i="58"/>
  <c r="X358" i="58" s="1"/>
  <c r="V357" i="58"/>
  <c r="T352" i="58"/>
  <c r="X352" i="58" s="1"/>
  <c r="V351" i="58"/>
  <c r="T346" i="58"/>
  <c r="X346" i="58" s="1"/>
  <c r="V345" i="58"/>
  <c r="T340" i="58"/>
  <c r="X340" i="58" s="1"/>
  <c r="U375" i="58"/>
  <c r="N375" i="58" s="1"/>
  <c r="S370" i="58"/>
  <c r="U369" i="58"/>
  <c r="N369" i="58" s="1"/>
  <c r="S364" i="58"/>
  <c r="U363" i="58"/>
  <c r="N363" i="58" s="1"/>
  <c r="S358" i="58"/>
  <c r="U357" i="58"/>
  <c r="N357" i="58" s="1"/>
  <c r="S352" i="58"/>
  <c r="U351" i="58"/>
  <c r="N351" i="58" s="1"/>
  <c r="S346" i="58"/>
  <c r="U345" i="58"/>
  <c r="T375" i="58"/>
  <c r="X375" i="58" s="1"/>
  <c r="V374" i="58"/>
  <c r="T369" i="58"/>
  <c r="X369" i="58" s="1"/>
  <c r="V368" i="58"/>
  <c r="T363" i="58"/>
  <c r="X363" i="58" s="1"/>
  <c r="V362" i="58"/>
  <c r="T357" i="58"/>
  <c r="X357" i="58" s="1"/>
  <c r="V356" i="58"/>
  <c r="T351" i="58"/>
  <c r="X351" i="58" s="1"/>
  <c r="V350" i="58"/>
  <c r="T345" i="58"/>
  <c r="V344" i="58"/>
  <c r="U350" i="58"/>
  <c r="N350" i="58" s="1"/>
  <c r="S336" i="58"/>
  <c r="U335" i="58"/>
  <c r="N335" i="58" s="1"/>
  <c r="S330" i="58"/>
  <c r="U329" i="58"/>
  <c r="N329" i="58" s="1"/>
  <c r="S324" i="58"/>
  <c r="U323" i="58"/>
  <c r="N323" i="58" s="1"/>
  <c r="S318" i="58"/>
  <c r="U317" i="58"/>
  <c r="N317" i="58" s="1"/>
  <c r="S312" i="58"/>
  <c r="U311" i="58"/>
  <c r="N311" i="58" s="1"/>
  <c r="S306" i="58"/>
  <c r="U305" i="58"/>
  <c r="N305" i="58" s="1"/>
  <c r="S300" i="58"/>
  <c r="U299" i="58"/>
  <c r="N299" i="58" s="1"/>
  <c r="S294" i="58"/>
  <c r="U293" i="58"/>
  <c r="N293" i="58" s="1"/>
  <c r="S288" i="58"/>
  <c r="U287" i="58"/>
  <c r="N287" i="58" s="1"/>
  <c r="S282" i="58"/>
  <c r="U281" i="58"/>
  <c r="N281" i="58" s="1"/>
  <c r="S276" i="58"/>
  <c r="U275" i="58"/>
  <c r="N275" i="58" s="1"/>
  <c r="S270" i="58"/>
  <c r="U269" i="58"/>
  <c r="N269" i="58" s="1"/>
  <c r="U344" i="58"/>
  <c r="N344" i="58" s="1"/>
  <c r="T335" i="58"/>
  <c r="X335" i="58" s="1"/>
  <c r="V334" i="58"/>
  <c r="T329" i="58"/>
  <c r="X329" i="58" s="1"/>
  <c r="V328" i="58"/>
  <c r="T323" i="58"/>
  <c r="X323" i="58" s="1"/>
  <c r="V322" i="58"/>
  <c r="T317" i="58"/>
  <c r="X317" i="58" s="1"/>
  <c r="V316" i="58"/>
  <c r="T311" i="58"/>
  <c r="X311" i="58" s="1"/>
  <c r="V310" i="58"/>
  <c r="T305" i="58"/>
  <c r="X305" i="58" s="1"/>
  <c r="V304" i="58"/>
  <c r="T299" i="58"/>
  <c r="X299" i="58" s="1"/>
  <c r="V298" i="58"/>
  <c r="T293" i="58"/>
  <c r="X293" i="58" s="1"/>
  <c r="V292" i="58"/>
  <c r="T287" i="58"/>
  <c r="X287" i="58" s="1"/>
  <c r="V286" i="58"/>
  <c r="T281" i="58"/>
  <c r="X281" i="58" s="1"/>
  <c r="V280" i="58"/>
  <c r="T275" i="58"/>
  <c r="X275" i="58" s="1"/>
  <c r="V274" i="58"/>
  <c r="T269" i="58"/>
  <c r="X269" i="58" s="1"/>
  <c r="V268" i="58"/>
  <c r="S335" i="58"/>
  <c r="U334" i="58"/>
  <c r="N334" i="58" s="1"/>
  <c r="S329" i="58"/>
  <c r="U328" i="58"/>
  <c r="N328" i="58" s="1"/>
  <c r="S323" i="58"/>
  <c r="U322" i="58"/>
  <c r="N322" i="58" s="1"/>
  <c r="S317" i="58"/>
  <c r="U316" i="58"/>
  <c r="N316" i="58" s="1"/>
  <c r="S311" i="58"/>
  <c r="U310" i="58"/>
  <c r="N310" i="58" s="1"/>
  <c r="S305" i="58"/>
  <c r="U304" i="58"/>
  <c r="N304" i="58" s="1"/>
  <c r="S299" i="58"/>
  <c r="U298" i="58"/>
  <c r="N298" i="58" s="1"/>
  <c r="S293" i="58"/>
  <c r="U292" i="58"/>
  <c r="N292" i="58" s="1"/>
  <c r="S287" i="58"/>
  <c r="U286" i="58"/>
  <c r="N286" i="58" s="1"/>
  <c r="S281" i="58"/>
  <c r="U280" i="58"/>
  <c r="N280" i="58" s="1"/>
  <c r="S275" i="58"/>
  <c r="U274" i="58"/>
  <c r="N274" i="58" s="1"/>
  <c r="S269" i="58"/>
  <c r="U268" i="58"/>
  <c r="N268" i="58" s="1"/>
  <c r="V339" i="58"/>
  <c r="T334" i="58"/>
  <c r="X334" i="58" s="1"/>
  <c r="V333" i="58"/>
  <c r="T328" i="58"/>
  <c r="X328" i="58" s="1"/>
  <c r="V327" i="58"/>
  <c r="T322" i="58"/>
  <c r="X322" i="58" s="1"/>
  <c r="V321" i="58"/>
  <c r="T316" i="58"/>
  <c r="X316" i="58" s="1"/>
  <c r="V315" i="58"/>
  <c r="T310" i="58"/>
  <c r="X310" i="58" s="1"/>
  <c r="V309" i="58"/>
  <c r="T304" i="58"/>
  <c r="X304" i="58" s="1"/>
  <c r="V303" i="58"/>
  <c r="T298" i="58"/>
  <c r="X298" i="58" s="1"/>
  <c r="V297" i="58"/>
  <c r="T292" i="58"/>
  <c r="X292" i="58" s="1"/>
  <c r="V291" i="58"/>
  <c r="T286" i="58"/>
  <c r="X286" i="58" s="1"/>
  <c r="V285" i="58"/>
  <c r="T280" i="58"/>
  <c r="X280" i="58" s="1"/>
  <c r="V279" i="58"/>
  <c r="T274" i="58"/>
  <c r="X274" i="58" s="1"/>
  <c r="V273" i="58"/>
  <c r="U339" i="58"/>
  <c r="N339" i="58" s="1"/>
  <c r="S334" i="58"/>
  <c r="U333" i="58"/>
  <c r="N333" i="58" s="1"/>
  <c r="S328" i="58"/>
  <c r="U327" i="58"/>
  <c r="N327" i="58" s="1"/>
  <c r="S322" i="58"/>
  <c r="U321" i="58"/>
  <c r="N321" i="58" s="1"/>
  <c r="S316" i="58"/>
  <c r="U315" i="58"/>
  <c r="S310" i="58"/>
  <c r="U309" i="58"/>
  <c r="N309" i="58" s="1"/>
  <c r="S304" i="58"/>
  <c r="U303" i="58"/>
  <c r="N303" i="58" s="1"/>
  <c r="S298" i="58"/>
  <c r="U297" i="58"/>
  <c r="N297" i="58" s="1"/>
  <c r="S292" i="58"/>
  <c r="U291" i="58"/>
  <c r="N291" i="58" s="1"/>
  <c r="S286" i="58"/>
  <c r="U285" i="58"/>
  <c r="N285" i="58" s="1"/>
  <c r="S280" i="58"/>
  <c r="U279" i="58"/>
  <c r="N279" i="58" s="1"/>
  <c r="S274" i="58"/>
  <c r="U273" i="58"/>
  <c r="N273" i="58" s="1"/>
  <c r="T339" i="58"/>
  <c r="X339" i="58" s="1"/>
  <c r="V338" i="58"/>
  <c r="T333" i="58"/>
  <c r="X333" i="58" s="1"/>
  <c r="V332" i="58"/>
  <c r="T327" i="58"/>
  <c r="X327" i="58" s="1"/>
  <c r="V326" i="58"/>
  <c r="T321" i="58"/>
  <c r="X321" i="58" s="1"/>
  <c r="V320" i="58"/>
  <c r="T315" i="58"/>
  <c r="V314" i="58"/>
  <c r="T309" i="58"/>
  <c r="X309" i="58" s="1"/>
  <c r="V308" i="58"/>
  <c r="T303" i="58"/>
  <c r="X303" i="58" s="1"/>
  <c r="V302" i="58"/>
  <c r="T297" i="58"/>
  <c r="X297" i="58" s="1"/>
  <c r="V296" i="58"/>
  <c r="T291" i="58"/>
  <c r="X291" i="58" s="1"/>
  <c r="V290" i="58"/>
  <c r="T285" i="58"/>
  <c r="X285" i="58" s="1"/>
  <c r="V284" i="58"/>
  <c r="T279" i="58"/>
  <c r="X279" i="58" s="1"/>
  <c r="V278" i="58"/>
  <c r="T273" i="58"/>
  <c r="X273" i="58" s="1"/>
  <c r="V272" i="58"/>
  <c r="S375" i="58"/>
  <c r="S339" i="58"/>
  <c r="U338" i="58"/>
  <c r="N338" i="58" s="1"/>
  <c r="S333" i="58"/>
  <c r="U332" i="58"/>
  <c r="N332" i="58" s="1"/>
  <c r="S327" i="58"/>
  <c r="U326" i="58"/>
  <c r="N326" i="58" s="1"/>
  <c r="S321" i="58"/>
  <c r="U320" i="58"/>
  <c r="N320" i="58" s="1"/>
  <c r="S315" i="58"/>
  <c r="U314" i="58"/>
  <c r="N314" i="58" s="1"/>
  <c r="S309" i="58"/>
  <c r="U308" i="58"/>
  <c r="N308" i="58" s="1"/>
  <c r="S303" i="58"/>
  <c r="U302" i="58"/>
  <c r="N302" i="58" s="1"/>
  <c r="S297" i="58"/>
  <c r="U296" i="58"/>
  <c r="N296" i="58" s="1"/>
  <c r="S291" i="58"/>
  <c r="U290" i="58"/>
  <c r="N290" i="58" s="1"/>
  <c r="S369" i="58"/>
  <c r="T338" i="58"/>
  <c r="X338" i="58" s="1"/>
  <c r="V337" i="58"/>
  <c r="T332" i="58"/>
  <c r="X332" i="58" s="1"/>
  <c r="V331" i="58"/>
  <c r="T326" i="58"/>
  <c r="X326" i="58" s="1"/>
  <c r="V325" i="58"/>
  <c r="T320" i="58"/>
  <c r="X320" i="58" s="1"/>
  <c r="V319" i="58"/>
  <c r="T314" i="58"/>
  <c r="X314" i="58" s="1"/>
  <c r="V313" i="58"/>
  <c r="T308" i="58"/>
  <c r="X308" i="58" s="1"/>
  <c r="V307" i="58"/>
  <c r="T302" i="58"/>
  <c r="X302" i="58" s="1"/>
  <c r="V301" i="58"/>
  <c r="T296" i="58"/>
  <c r="X296" i="58" s="1"/>
  <c r="V295" i="58"/>
  <c r="T290" i="58"/>
  <c r="X290" i="58" s="1"/>
  <c r="V289" i="58"/>
  <c r="T284" i="58"/>
  <c r="V283" i="58"/>
  <c r="T278" i="58"/>
  <c r="X278" i="58" s="1"/>
  <c r="V277" i="58"/>
  <c r="T272" i="58"/>
  <c r="X272" i="58" s="1"/>
  <c r="V271" i="58"/>
  <c r="U374" i="58"/>
  <c r="N374" i="58" s="1"/>
  <c r="S363" i="58"/>
  <c r="S338" i="58"/>
  <c r="U337" i="58"/>
  <c r="N337" i="58" s="1"/>
  <c r="S332" i="58"/>
  <c r="U331" i="58"/>
  <c r="N331" i="58" s="1"/>
  <c r="S326" i="58"/>
  <c r="U325" i="58"/>
  <c r="N325" i="58" s="1"/>
  <c r="S320" i="58"/>
  <c r="U319" i="58"/>
  <c r="N319" i="58" s="1"/>
  <c r="S314" i="58"/>
  <c r="U313" i="58"/>
  <c r="N313" i="58" s="1"/>
  <c r="S308" i="58"/>
  <c r="U307" i="58"/>
  <c r="N307" i="58" s="1"/>
  <c r="S302" i="58"/>
  <c r="U301" i="58"/>
  <c r="N301" i="58" s="1"/>
  <c r="S296" i="58"/>
  <c r="U295" i="58"/>
  <c r="N295" i="58" s="1"/>
  <c r="S290" i="58"/>
  <c r="U289" i="58"/>
  <c r="N289" i="58" s="1"/>
  <c r="S284" i="58"/>
  <c r="U283" i="58"/>
  <c r="N283" i="58" s="1"/>
  <c r="S278" i="58"/>
  <c r="U277" i="58"/>
  <c r="N277" i="58" s="1"/>
  <c r="S272" i="58"/>
  <c r="U271" i="58"/>
  <c r="N271" i="58" s="1"/>
  <c r="U368" i="58"/>
  <c r="N368" i="58" s="1"/>
  <c r="S357" i="58"/>
  <c r="T337" i="58"/>
  <c r="X337" i="58" s="1"/>
  <c r="V336" i="58"/>
  <c r="T331" i="58"/>
  <c r="X331" i="58" s="1"/>
  <c r="V330" i="58"/>
  <c r="T325" i="58"/>
  <c r="X325" i="58" s="1"/>
  <c r="V324" i="58"/>
  <c r="T319" i="58"/>
  <c r="X319" i="58" s="1"/>
  <c r="V318" i="58"/>
  <c r="T313" i="58"/>
  <c r="X313" i="58" s="1"/>
  <c r="V312" i="58"/>
  <c r="T307" i="58"/>
  <c r="X307" i="58" s="1"/>
  <c r="V306" i="58"/>
  <c r="T301" i="58"/>
  <c r="X301" i="58" s="1"/>
  <c r="V300" i="58"/>
  <c r="T295" i="58"/>
  <c r="X295" i="58" s="1"/>
  <c r="V294" i="58"/>
  <c r="T289" i="58"/>
  <c r="X289" i="58" s="1"/>
  <c r="V288" i="58"/>
  <c r="T283" i="58"/>
  <c r="X283" i="58" s="1"/>
  <c r="V282" i="58"/>
  <c r="T277" i="58"/>
  <c r="X277" i="58" s="1"/>
  <c r="V276" i="58"/>
  <c r="T271" i="58"/>
  <c r="X271" i="58" s="1"/>
  <c r="V270" i="58"/>
  <c r="U362" i="58"/>
  <c r="N362" i="58" s="1"/>
  <c r="S351" i="58"/>
  <c r="S340" i="58"/>
  <c r="S337" i="58"/>
  <c r="U336" i="58"/>
  <c r="N336" i="58" s="1"/>
  <c r="S331" i="58"/>
  <c r="U330" i="58"/>
  <c r="N330" i="58" s="1"/>
  <c r="S325" i="58"/>
  <c r="U324" i="58"/>
  <c r="N324" i="58" s="1"/>
  <c r="S319" i="58"/>
  <c r="U318" i="58"/>
  <c r="N318" i="58" s="1"/>
  <c r="S313" i="58"/>
  <c r="U312" i="58"/>
  <c r="N312" i="58" s="1"/>
  <c r="S307" i="58"/>
  <c r="U306" i="58"/>
  <c r="N306" i="58" s="1"/>
  <c r="S301" i="58"/>
  <c r="U300" i="58"/>
  <c r="N300" i="58" s="1"/>
  <c r="S295" i="58"/>
  <c r="U294" i="58"/>
  <c r="N294" i="58" s="1"/>
  <c r="S289" i="58"/>
  <c r="U288" i="58"/>
  <c r="N288" i="58" s="1"/>
  <c r="S283" i="58"/>
  <c r="U282" i="58"/>
  <c r="N282" i="58" s="1"/>
  <c r="S277" i="58"/>
  <c r="U276" i="58"/>
  <c r="N276" i="58" s="1"/>
  <c r="S271" i="58"/>
  <c r="U270" i="58"/>
  <c r="N270" i="58" s="1"/>
  <c r="U284" i="58"/>
  <c r="S273" i="58"/>
  <c r="T263" i="58"/>
  <c r="X263" i="58" s="1"/>
  <c r="V262" i="58"/>
  <c r="T257" i="58"/>
  <c r="X257" i="58" s="1"/>
  <c r="V256" i="58"/>
  <c r="T251" i="58"/>
  <c r="X251" i="58" s="1"/>
  <c r="V250" i="58"/>
  <c r="T245" i="58"/>
  <c r="X245" i="58" s="1"/>
  <c r="V244" i="58"/>
  <c r="T239" i="58"/>
  <c r="X239" i="58" s="1"/>
  <c r="V238" i="58"/>
  <c r="T233" i="58"/>
  <c r="X233" i="58" s="1"/>
  <c r="V232" i="58"/>
  <c r="T227" i="58"/>
  <c r="X227" i="58" s="1"/>
  <c r="V226" i="58"/>
  <c r="T221" i="58"/>
  <c r="X221" i="58" s="1"/>
  <c r="V220" i="58"/>
  <c r="T215" i="58"/>
  <c r="X215" i="58" s="1"/>
  <c r="V214" i="58"/>
  <c r="T209" i="58"/>
  <c r="X209" i="58" s="1"/>
  <c r="V208" i="58"/>
  <c r="T203" i="58"/>
  <c r="X203" i="58" s="1"/>
  <c r="V202" i="58"/>
  <c r="T336" i="58"/>
  <c r="X336" i="58" s="1"/>
  <c r="V281" i="58"/>
  <c r="T270" i="58"/>
  <c r="X270" i="58" s="1"/>
  <c r="S263" i="58"/>
  <c r="U262" i="58"/>
  <c r="N262" i="58" s="1"/>
  <c r="S257" i="58"/>
  <c r="U256" i="58"/>
  <c r="N256" i="58" s="1"/>
  <c r="S251" i="58"/>
  <c r="U250" i="58"/>
  <c r="N250" i="58" s="1"/>
  <c r="S245" i="58"/>
  <c r="U244" i="58"/>
  <c r="N244" i="58" s="1"/>
  <c r="S239" i="58"/>
  <c r="U238" i="58"/>
  <c r="N238" i="58" s="1"/>
  <c r="S233" i="58"/>
  <c r="U232" i="58"/>
  <c r="N232" i="58" s="1"/>
  <c r="S227" i="58"/>
  <c r="U226" i="58"/>
  <c r="N226" i="58" s="1"/>
  <c r="S221" i="58"/>
  <c r="U220" i="58"/>
  <c r="N220" i="58" s="1"/>
  <c r="S215" i="58"/>
  <c r="U214" i="58"/>
  <c r="N214" i="58" s="1"/>
  <c r="S209" i="58"/>
  <c r="U208" i="58"/>
  <c r="N208" i="58" s="1"/>
  <c r="S203" i="58"/>
  <c r="U202" i="58"/>
  <c r="N202" i="58" s="1"/>
  <c r="U356" i="58"/>
  <c r="N356" i="58" s="1"/>
  <c r="T330" i="58"/>
  <c r="X330" i="58" s="1"/>
  <c r="U278" i="58"/>
  <c r="N278" i="58" s="1"/>
  <c r="T268" i="58"/>
  <c r="X268" i="58" s="1"/>
  <c r="V267" i="58"/>
  <c r="T262" i="58"/>
  <c r="X262" i="58" s="1"/>
  <c r="V261" i="58"/>
  <c r="T256" i="58"/>
  <c r="X256" i="58" s="1"/>
  <c r="V255" i="58"/>
  <c r="T250" i="58"/>
  <c r="X250" i="58" s="1"/>
  <c r="V249" i="58"/>
  <c r="T244" i="58"/>
  <c r="X244" i="58" s="1"/>
  <c r="V243" i="58"/>
  <c r="T238" i="58"/>
  <c r="X238" i="58" s="1"/>
  <c r="V237" i="58"/>
  <c r="T232" i="58"/>
  <c r="X232" i="58" s="1"/>
  <c r="V231" i="58"/>
  <c r="T226" i="58"/>
  <c r="X226" i="58" s="1"/>
  <c r="V225" i="58"/>
  <c r="T220" i="58"/>
  <c r="X220" i="58" s="1"/>
  <c r="V219" i="58"/>
  <c r="T214" i="58"/>
  <c r="X214" i="58" s="1"/>
  <c r="V213" i="58"/>
  <c r="T208" i="58"/>
  <c r="X208" i="58" s="1"/>
  <c r="V207" i="58"/>
  <c r="T202" i="58"/>
  <c r="X202" i="58" s="1"/>
  <c r="V201" i="58"/>
  <c r="V335" i="58"/>
  <c r="T324" i="58"/>
  <c r="X324" i="58" s="1"/>
  <c r="V275" i="58"/>
  <c r="S268" i="58"/>
  <c r="U267" i="58"/>
  <c r="N267" i="58" s="1"/>
  <c r="S262" i="58"/>
  <c r="U261" i="58"/>
  <c r="N261" i="58" s="1"/>
  <c r="S256" i="58"/>
  <c r="U255" i="58"/>
  <c r="N255" i="58" s="1"/>
  <c r="S250" i="58"/>
  <c r="U249" i="58"/>
  <c r="N249" i="58" s="1"/>
  <c r="S244" i="58"/>
  <c r="U243" i="58"/>
  <c r="N243" i="58" s="1"/>
  <c r="S238" i="58"/>
  <c r="U237" i="58"/>
  <c r="N237" i="58" s="1"/>
  <c r="S232" i="58"/>
  <c r="U231" i="58"/>
  <c r="N231" i="58" s="1"/>
  <c r="S226" i="58"/>
  <c r="U225" i="58"/>
  <c r="N225" i="58" s="1"/>
  <c r="S220" i="58"/>
  <c r="U219" i="58"/>
  <c r="N219" i="58" s="1"/>
  <c r="S214" i="58"/>
  <c r="U213" i="58"/>
  <c r="N213" i="58" s="1"/>
  <c r="S208" i="58"/>
  <c r="U207" i="58"/>
  <c r="N207" i="58" s="1"/>
  <c r="S202" i="58"/>
  <c r="U201" i="58"/>
  <c r="N201" i="58" s="1"/>
  <c r="S345" i="58"/>
  <c r="V329" i="58"/>
  <c r="T318" i="58"/>
  <c r="X318" i="58" s="1"/>
  <c r="U272" i="58"/>
  <c r="N272" i="58" s="1"/>
  <c r="T267" i="58"/>
  <c r="X267" i="58" s="1"/>
  <c r="V266" i="58"/>
  <c r="T261" i="58"/>
  <c r="X261" i="58" s="1"/>
  <c r="V260" i="58"/>
  <c r="T255" i="58"/>
  <c r="X255" i="58" s="1"/>
  <c r="V254" i="58"/>
  <c r="T249" i="58"/>
  <c r="X249" i="58" s="1"/>
  <c r="V248" i="58"/>
  <c r="T243" i="58"/>
  <c r="X243" i="58" s="1"/>
  <c r="V242" i="58"/>
  <c r="T237" i="58"/>
  <c r="X237" i="58" s="1"/>
  <c r="V236" i="58"/>
  <c r="T231" i="58"/>
  <c r="X231" i="58" s="1"/>
  <c r="V230" i="58"/>
  <c r="T225" i="58"/>
  <c r="X225" i="58" s="1"/>
  <c r="V224" i="58"/>
  <c r="T219" i="58"/>
  <c r="X219" i="58" s="1"/>
  <c r="V218" i="58"/>
  <c r="T213" i="58"/>
  <c r="X213" i="58" s="1"/>
  <c r="V212" i="58"/>
  <c r="T207" i="58"/>
  <c r="X207" i="58" s="1"/>
  <c r="V206" i="58"/>
  <c r="T201" i="58"/>
  <c r="X201" i="58" s="1"/>
  <c r="V200" i="58"/>
  <c r="V323" i="58"/>
  <c r="T312" i="58"/>
  <c r="X312" i="58" s="1"/>
  <c r="V269" i="58"/>
  <c r="S267" i="58"/>
  <c r="U266" i="58"/>
  <c r="N266" i="58" s="1"/>
  <c r="S261" i="58"/>
  <c r="U260" i="58"/>
  <c r="N260" i="58" s="1"/>
  <c r="S255" i="58"/>
  <c r="U254" i="58"/>
  <c r="S249" i="58"/>
  <c r="U248" i="58"/>
  <c r="N248" i="58" s="1"/>
  <c r="S243" i="58"/>
  <c r="U242" i="58"/>
  <c r="N242" i="58" s="1"/>
  <c r="S237" i="58"/>
  <c r="U236" i="58"/>
  <c r="N236" i="58" s="1"/>
  <c r="S231" i="58"/>
  <c r="U230" i="58"/>
  <c r="N230" i="58" s="1"/>
  <c r="S225" i="58"/>
  <c r="U224" i="58"/>
  <c r="N224" i="58" s="1"/>
  <c r="S219" i="58"/>
  <c r="U218" i="58"/>
  <c r="N218" i="58" s="1"/>
  <c r="S213" i="58"/>
  <c r="U212" i="58"/>
  <c r="N212" i="58" s="1"/>
  <c r="S207" i="58"/>
  <c r="U206" i="58"/>
  <c r="N206" i="58" s="1"/>
  <c r="S201" i="58"/>
  <c r="U200" i="58"/>
  <c r="N200" i="58" s="1"/>
  <c r="V317" i="58"/>
  <c r="T306" i="58"/>
  <c r="X306" i="58" s="1"/>
  <c r="T266" i="58"/>
  <c r="X266" i="58" s="1"/>
  <c r="V265" i="58"/>
  <c r="T260" i="58"/>
  <c r="X260" i="58" s="1"/>
  <c r="V259" i="58"/>
  <c r="T254" i="58"/>
  <c r="V253" i="58"/>
  <c r="T248" i="58"/>
  <c r="X248" i="58" s="1"/>
  <c r="V247" i="58"/>
  <c r="T242" i="58"/>
  <c r="X242" i="58" s="1"/>
  <c r="V241" i="58"/>
  <c r="T236" i="58"/>
  <c r="X236" i="58" s="1"/>
  <c r="V235" i="58"/>
  <c r="T230" i="58"/>
  <c r="X230" i="58" s="1"/>
  <c r="V229" i="58"/>
  <c r="T224" i="58"/>
  <c r="X224" i="58" s="1"/>
  <c r="V223" i="58"/>
  <c r="T218" i="58"/>
  <c r="X218" i="58" s="1"/>
  <c r="V217" i="58"/>
  <c r="T212" i="58"/>
  <c r="X212" i="58" s="1"/>
  <c r="V211" i="58"/>
  <c r="T206" i="58"/>
  <c r="X206" i="58" s="1"/>
  <c r="V205" i="58"/>
  <c r="T200" i="58"/>
  <c r="X200" i="58" s="1"/>
  <c r="V199" i="58"/>
  <c r="V311" i="58"/>
  <c r="T300" i="58"/>
  <c r="X300" i="58" s="1"/>
  <c r="S266" i="58"/>
  <c r="U265" i="58"/>
  <c r="N265" i="58" s="1"/>
  <c r="S260" i="58"/>
  <c r="U259" i="58"/>
  <c r="N259" i="58" s="1"/>
  <c r="S254" i="58"/>
  <c r="U253" i="58"/>
  <c r="N253" i="58" s="1"/>
  <c r="S248" i="58"/>
  <c r="U247" i="58"/>
  <c r="N247" i="58" s="1"/>
  <c r="S242" i="58"/>
  <c r="U241" i="58"/>
  <c r="N241" i="58" s="1"/>
  <c r="S236" i="58"/>
  <c r="U235" i="58"/>
  <c r="N235" i="58" s="1"/>
  <c r="S230" i="58"/>
  <c r="U229" i="58"/>
  <c r="N229" i="58" s="1"/>
  <c r="S224" i="58"/>
  <c r="U223" i="58"/>
  <c r="S218" i="58"/>
  <c r="U217" i="58"/>
  <c r="N217" i="58" s="1"/>
  <c r="S212" i="58"/>
  <c r="U211" i="58"/>
  <c r="N211" i="58" s="1"/>
  <c r="S206" i="58"/>
  <c r="U205" i="58"/>
  <c r="N205" i="58" s="1"/>
  <c r="S200" i="58"/>
  <c r="U199" i="58"/>
  <c r="N199" i="58" s="1"/>
  <c r="V305" i="58"/>
  <c r="T294" i="58"/>
  <c r="X294" i="58" s="1"/>
  <c r="S285" i="58"/>
  <c r="T265" i="58"/>
  <c r="X265" i="58" s="1"/>
  <c r="V264" i="58"/>
  <c r="T259" i="58"/>
  <c r="X259" i="58" s="1"/>
  <c r="V258" i="58"/>
  <c r="T253" i="58"/>
  <c r="X253" i="58" s="1"/>
  <c r="V252" i="58"/>
  <c r="T247" i="58"/>
  <c r="X247" i="58" s="1"/>
  <c r="V246" i="58"/>
  <c r="T241" i="58"/>
  <c r="X241" i="58" s="1"/>
  <c r="V240" i="58"/>
  <c r="T235" i="58"/>
  <c r="X235" i="58" s="1"/>
  <c r="V234" i="58"/>
  <c r="T229" i="58"/>
  <c r="X229" i="58" s="1"/>
  <c r="V228" i="58"/>
  <c r="T223" i="58"/>
  <c r="V222" i="58"/>
  <c r="T217" i="58"/>
  <c r="X217" i="58" s="1"/>
  <c r="V216" i="58"/>
  <c r="T211" i="58"/>
  <c r="X211" i="58" s="1"/>
  <c r="V210" i="58"/>
  <c r="T205" i="58"/>
  <c r="X205" i="58" s="1"/>
  <c r="V204" i="58"/>
  <c r="T199" i="58"/>
  <c r="X199" i="58" s="1"/>
  <c r="V299" i="58"/>
  <c r="T288" i="58"/>
  <c r="X288" i="58" s="1"/>
  <c r="T282" i="58"/>
  <c r="X282" i="58" s="1"/>
  <c r="S265" i="58"/>
  <c r="U264" i="58"/>
  <c r="N264" i="58" s="1"/>
  <c r="S259" i="58"/>
  <c r="U258" i="58"/>
  <c r="N258" i="58" s="1"/>
  <c r="S253" i="58"/>
  <c r="U252" i="58"/>
  <c r="N252" i="58" s="1"/>
  <c r="S247" i="58"/>
  <c r="U246" i="58"/>
  <c r="N246" i="58" s="1"/>
  <c r="S241" i="58"/>
  <c r="U240" i="58"/>
  <c r="N240" i="58" s="1"/>
  <c r="S235" i="58"/>
  <c r="U234" i="58"/>
  <c r="N234" i="58" s="1"/>
  <c r="S229" i="58"/>
  <c r="U228" i="58"/>
  <c r="N228" i="58" s="1"/>
  <c r="S223" i="58"/>
  <c r="U222" i="58"/>
  <c r="N222" i="58" s="1"/>
  <c r="S217" i="58"/>
  <c r="U216" i="58"/>
  <c r="N216" i="58" s="1"/>
  <c r="S211" i="58"/>
  <c r="U210" i="58"/>
  <c r="N210" i="58" s="1"/>
  <c r="S205" i="58"/>
  <c r="U204" i="58"/>
  <c r="N204" i="58" s="1"/>
  <c r="S199" i="58"/>
  <c r="U198" i="58"/>
  <c r="N198" i="58" s="1"/>
  <c r="V287" i="58"/>
  <c r="T276" i="58"/>
  <c r="X276" i="58" s="1"/>
  <c r="S264" i="58"/>
  <c r="U263" i="58"/>
  <c r="N263" i="58" s="1"/>
  <c r="S258" i="58"/>
  <c r="U257" i="58"/>
  <c r="N257" i="58" s="1"/>
  <c r="S252" i="58"/>
  <c r="U251" i="58"/>
  <c r="N251" i="58" s="1"/>
  <c r="S246" i="58"/>
  <c r="U245" i="58"/>
  <c r="N245" i="58" s="1"/>
  <c r="S240" i="58"/>
  <c r="U239" i="58"/>
  <c r="N239" i="58" s="1"/>
  <c r="S234" i="58"/>
  <c r="U233" i="58"/>
  <c r="N233" i="58" s="1"/>
  <c r="S228" i="58"/>
  <c r="U227" i="58"/>
  <c r="N227" i="58" s="1"/>
  <c r="S222" i="58"/>
  <c r="U221" i="58"/>
  <c r="N221" i="58" s="1"/>
  <c r="S216" i="58"/>
  <c r="U215" i="58"/>
  <c r="N215" i="58" s="1"/>
  <c r="S210" i="58"/>
  <c r="U209" i="58"/>
  <c r="N209" i="58" s="1"/>
  <c r="S204" i="58"/>
  <c r="U203" i="58"/>
  <c r="N203" i="58" s="1"/>
  <c r="V293" i="58"/>
  <c r="V233" i="58"/>
  <c r="T222" i="58"/>
  <c r="X222" i="58" s="1"/>
  <c r="S198" i="58"/>
  <c r="U197" i="58"/>
  <c r="N197" i="58" s="1"/>
  <c r="S192" i="58"/>
  <c r="U191" i="58"/>
  <c r="N191" i="58" s="1"/>
  <c r="S186" i="58"/>
  <c r="U185" i="58"/>
  <c r="N185" i="58" s="1"/>
  <c r="S180" i="58"/>
  <c r="U179" i="58"/>
  <c r="N179" i="58" s="1"/>
  <c r="S174" i="58"/>
  <c r="U173" i="58"/>
  <c r="N173" i="58" s="1"/>
  <c r="S168" i="58"/>
  <c r="U167" i="58"/>
  <c r="N167" i="58" s="1"/>
  <c r="S162" i="58"/>
  <c r="U161" i="58"/>
  <c r="N161" i="58" s="1"/>
  <c r="S156" i="58"/>
  <c r="U155" i="58"/>
  <c r="N155" i="58" s="1"/>
  <c r="S150" i="58"/>
  <c r="U149" i="58"/>
  <c r="N149" i="58" s="1"/>
  <c r="S144" i="58"/>
  <c r="U143" i="58"/>
  <c r="N143" i="58" s="1"/>
  <c r="S138" i="58"/>
  <c r="U137" i="58"/>
  <c r="N137" i="58" s="1"/>
  <c r="S132" i="58"/>
  <c r="U131" i="58"/>
  <c r="S126" i="58"/>
  <c r="V227" i="58"/>
  <c r="T216" i="58"/>
  <c r="X216" i="58" s="1"/>
  <c r="T197" i="58"/>
  <c r="X197" i="58" s="1"/>
  <c r="V196" i="58"/>
  <c r="T191" i="58"/>
  <c r="X191" i="58" s="1"/>
  <c r="V190" i="58"/>
  <c r="T185" i="58"/>
  <c r="X185" i="58" s="1"/>
  <c r="V184" i="58"/>
  <c r="T179" i="58"/>
  <c r="X179" i="58" s="1"/>
  <c r="V178" i="58"/>
  <c r="T173" i="58"/>
  <c r="X173" i="58" s="1"/>
  <c r="V172" i="58"/>
  <c r="T167" i="58"/>
  <c r="X167" i="58" s="1"/>
  <c r="V166" i="58"/>
  <c r="T161" i="58"/>
  <c r="X161" i="58" s="1"/>
  <c r="V160" i="58"/>
  <c r="T155" i="58"/>
  <c r="X155" i="58" s="1"/>
  <c r="V154" i="58"/>
  <c r="T149" i="58"/>
  <c r="X149" i="58" s="1"/>
  <c r="V148" i="58"/>
  <c r="T143" i="58"/>
  <c r="X143" i="58" s="1"/>
  <c r="V142" i="58"/>
  <c r="T137" i="58"/>
  <c r="X137" i="58" s="1"/>
  <c r="V136" i="58"/>
  <c r="T131" i="58"/>
  <c r="V130" i="58"/>
  <c r="V221" i="58"/>
  <c r="T210" i="58"/>
  <c r="X210" i="58" s="1"/>
  <c r="S197" i="58"/>
  <c r="U196" i="58"/>
  <c r="N196" i="58" s="1"/>
  <c r="S191" i="58"/>
  <c r="U190" i="58"/>
  <c r="N190" i="58" s="1"/>
  <c r="S185" i="58"/>
  <c r="U184" i="58"/>
  <c r="N184" i="58" s="1"/>
  <c r="S179" i="58"/>
  <c r="U178" i="58"/>
  <c r="N178" i="58" s="1"/>
  <c r="S173" i="58"/>
  <c r="V215" i="58"/>
  <c r="T204" i="58"/>
  <c r="X204" i="58" s="1"/>
  <c r="T196" i="58"/>
  <c r="X196" i="58" s="1"/>
  <c r="V195" i="58"/>
  <c r="T190" i="58"/>
  <c r="X190" i="58" s="1"/>
  <c r="V189" i="58"/>
  <c r="T184" i="58"/>
  <c r="X184" i="58" s="1"/>
  <c r="V183" i="58"/>
  <c r="T178" i="58"/>
  <c r="X178" i="58" s="1"/>
  <c r="V177" i="58"/>
  <c r="T172" i="58"/>
  <c r="X172" i="58" s="1"/>
  <c r="V171" i="58"/>
  <c r="T166" i="58"/>
  <c r="X166" i="58" s="1"/>
  <c r="V165" i="58"/>
  <c r="T160" i="58"/>
  <c r="X160" i="58" s="1"/>
  <c r="V159" i="58"/>
  <c r="T154" i="58"/>
  <c r="X154" i="58" s="1"/>
  <c r="V153" i="58"/>
  <c r="T148" i="58"/>
  <c r="X148" i="58" s="1"/>
  <c r="V147" i="58"/>
  <c r="T142" i="58"/>
  <c r="X142" i="58" s="1"/>
  <c r="V141" i="58"/>
  <c r="T136" i="58"/>
  <c r="X136" i="58" s="1"/>
  <c r="V135" i="58"/>
  <c r="T130" i="58"/>
  <c r="X130" i="58" s="1"/>
  <c r="V129" i="58"/>
  <c r="S279" i="58"/>
  <c r="V209" i="58"/>
  <c r="S196" i="58"/>
  <c r="U195" i="58"/>
  <c r="N195" i="58" s="1"/>
  <c r="S190" i="58"/>
  <c r="U189" i="58"/>
  <c r="N189" i="58" s="1"/>
  <c r="S184" i="58"/>
  <c r="U183" i="58"/>
  <c r="N183" i="58" s="1"/>
  <c r="S178" i="58"/>
  <c r="U177" i="58"/>
  <c r="N177" i="58" s="1"/>
  <c r="S172" i="58"/>
  <c r="U171" i="58"/>
  <c r="N171" i="58" s="1"/>
  <c r="S166" i="58"/>
  <c r="U165" i="58"/>
  <c r="N165" i="58" s="1"/>
  <c r="S160" i="58"/>
  <c r="U159" i="58"/>
  <c r="N159" i="58" s="1"/>
  <c r="S154" i="58"/>
  <c r="U153" i="58"/>
  <c r="N153" i="58" s="1"/>
  <c r="S148" i="58"/>
  <c r="U147" i="58"/>
  <c r="N147" i="58" s="1"/>
  <c r="S142" i="58"/>
  <c r="U141" i="58"/>
  <c r="N141" i="58" s="1"/>
  <c r="S136" i="58"/>
  <c r="U135" i="58"/>
  <c r="N135" i="58" s="1"/>
  <c r="S130" i="58"/>
  <c r="U129" i="58"/>
  <c r="N129" i="58" s="1"/>
  <c r="T258" i="58"/>
  <c r="X258" i="58" s="1"/>
  <c r="S195" i="58"/>
  <c r="U194" i="58"/>
  <c r="N194" i="58" s="1"/>
  <c r="S189" i="58"/>
  <c r="U188" i="58"/>
  <c r="N188" i="58" s="1"/>
  <c r="S183" i="58"/>
  <c r="U182" i="58"/>
  <c r="N182" i="58" s="1"/>
  <c r="S177" i="58"/>
  <c r="U176" i="58"/>
  <c r="N176" i="58" s="1"/>
  <c r="S171" i="58"/>
  <c r="U170" i="58"/>
  <c r="N170" i="58" s="1"/>
  <c r="S165" i="58"/>
  <c r="U164" i="58"/>
  <c r="N164" i="58" s="1"/>
  <c r="S159" i="58"/>
  <c r="U158" i="58"/>
  <c r="N158" i="58" s="1"/>
  <c r="S153" i="58"/>
  <c r="U152" i="58"/>
  <c r="N152" i="58" s="1"/>
  <c r="S147" i="58"/>
  <c r="U146" i="58"/>
  <c r="N146" i="58" s="1"/>
  <c r="S141" i="58"/>
  <c r="U140" i="58"/>
  <c r="N140" i="58" s="1"/>
  <c r="S135" i="58"/>
  <c r="U134" i="58"/>
  <c r="N134" i="58" s="1"/>
  <c r="V263" i="58"/>
  <c r="T252" i="58"/>
  <c r="X252" i="58" s="1"/>
  <c r="T194" i="58"/>
  <c r="X194" i="58" s="1"/>
  <c r="V193" i="58"/>
  <c r="T188" i="58"/>
  <c r="X188" i="58" s="1"/>
  <c r="V187" i="58"/>
  <c r="T182" i="58"/>
  <c r="X182" i="58" s="1"/>
  <c r="V181" i="58"/>
  <c r="T176" i="58"/>
  <c r="X176" i="58" s="1"/>
  <c r="V175" i="58"/>
  <c r="T170" i="58"/>
  <c r="X170" i="58" s="1"/>
  <c r="V169" i="58"/>
  <c r="T164" i="58"/>
  <c r="X164" i="58" s="1"/>
  <c r="V163" i="58"/>
  <c r="T158" i="58"/>
  <c r="X158" i="58" s="1"/>
  <c r="V157" i="58"/>
  <c r="T152" i="58"/>
  <c r="X152" i="58" s="1"/>
  <c r="V151" i="58"/>
  <c r="T146" i="58"/>
  <c r="X146" i="58" s="1"/>
  <c r="V145" i="58"/>
  <c r="T140" i="58"/>
  <c r="X140" i="58" s="1"/>
  <c r="V139" i="58"/>
  <c r="T134" i="58"/>
  <c r="X134" i="58" s="1"/>
  <c r="V133" i="58"/>
  <c r="T128" i="58"/>
  <c r="X128" i="58" s="1"/>
  <c r="V127" i="58"/>
  <c r="V257" i="58"/>
  <c r="T246" i="58"/>
  <c r="X246" i="58" s="1"/>
  <c r="S194" i="58"/>
  <c r="U193" i="58"/>
  <c r="N193" i="58" s="1"/>
  <c r="S188" i="58"/>
  <c r="U187" i="58"/>
  <c r="N187" i="58" s="1"/>
  <c r="S182" i="58"/>
  <c r="U181" i="58"/>
  <c r="N181" i="58" s="1"/>
  <c r="S176" i="58"/>
  <c r="U175" i="58"/>
  <c r="N175" i="58" s="1"/>
  <c r="S170" i="58"/>
  <c r="U169" i="58"/>
  <c r="N169" i="58" s="1"/>
  <c r="S164" i="58"/>
  <c r="U163" i="58"/>
  <c r="N163" i="58" s="1"/>
  <c r="S158" i="58"/>
  <c r="U157" i="58"/>
  <c r="N157" i="58" s="1"/>
  <c r="S152" i="58"/>
  <c r="U151" i="58"/>
  <c r="N151" i="58" s="1"/>
  <c r="S146" i="58"/>
  <c r="U145" i="58"/>
  <c r="N145" i="58" s="1"/>
  <c r="S140" i="58"/>
  <c r="U139" i="58"/>
  <c r="N139" i="58" s="1"/>
  <c r="S134" i="58"/>
  <c r="U133" i="58"/>
  <c r="N133" i="58" s="1"/>
  <c r="V251" i="58"/>
  <c r="T240" i="58"/>
  <c r="X240" i="58" s="1"/>
  <c r="T193" i="58"/>
  <c r="X193" i="58" s="1"/>
  <c r="V192" i="58"/>
  <c r="T187" i="58"/>
  <c r="X187" i="58" s="1"/>
  <c r="V186" i="58"/>
  <c r="T181" i="58"/>
  <c r="X181" i="58" s="1"/>
  <c r="V180" i="58"/>
  <c r="T175" i="58"/>
  <c r="X175" i="58" s="1"/>
  <c r="V174" i="58"/>
  <c r="T169" i="58"/>
  <c r="X169" i="58" s="1"/>
  <c r="V168" i="58"/>
  <c r="T163" i="58"/>
  <c r="X163" i="58" s="1"/>
  <c r="V162" i="58"/>
  <c r="T157" i="58"/>
  <c r="X157" i="58" s="1"/>
  <c r="V156" i="58"/>
  <c r="T151" i="58"/>
  <c r="X151" i="58" s="1"/>
  <c r="V150" i="58"/>
  <c r="T145" i="58"/>
  <c r="X145" i="58" s="1"/>
  <c r="V144" i="58"/>
  <c r="T139" i="58"/>
  <c r="X139" i="58" s="1"/>
  <c r="V138" i="58"/>
  <c r="T133" i="58"/>
  <c r="X133" i="58" s="1"/>
  <c r="V132" i="58"/>
  <c r="T127" i="58"/>
  <c r="X127" i="58" s="1"/>
  <c r="V126" i="58"/>
  <c r="V245" i="58"/>
  <c r="T234" i="58"/>
  <c r="X234" i="58" s="1"/>
  <c r="V198" i="58"/>
  <c r="S193" i="58"/>
  <c r="U192" i="58"/>
  <c r="S187" i="58"/>
  <c r="U186" i="58"/>
  <c r="N186" i="58" s="1"/>
  <c r="S181" i="58"/>
  <c r="U180" i="58"/>
  <c r="N180" i="58" s="1"/>
  <c r="S175" i="58"/>
  <c r="U174" i="58"/>
  <c r="N174" i="58" s="1"/>
  <c r="S169" i="58"/>
  <c r="U168" i="58"/>
  <c r="N168" i="58" s="1"/>
  <c r="S163" i="58"/>
  <c r="U162" i="58"/>
  <c r="S157" i="58"/>
  <c r="U156" i="58"/>
  <c r="N156" i="58" s="1"/>
  <c r="S151" i="58"/>
  <c r="U150" i="58"/>
  <c r="N150" i="58" s="1"/>
  <c r="S145" i="58"/>
  <c r="U144" i="58"/>
  <c r="N144" i="58" s="1"/>
  <c r="S139" i="58"/>
  <c r="U138" i="58"/>
  <c r="N138" i="58" s="1"/>
  <c r="T189" i="58"/>
  <c r="X189" i="58" s="1"/>
  <c r="T165" i="58"/>
  <c r="X165" i="58" s="1"/>
  <c r="V152" i="58"/>
  <c r="T141" i="58"/>
  <c r="X141" i="58" s="1"/>
  <c r="U132" i="58"/>
  <c r="N132" i="58" s="1"/>
  <c r="S131" i="58"/>
  <c r="S129" i="58"/>
  <c r="U128" i="58"/>
  <c r="N128" i="58" s="1"/>
  <c r="S123" i="58"/>
  <c r="U122" i="58"/>
  <c r="N122" i="58" s="1"/>
  <c r="S117" i="58"/>
  <c r="U116" i="58"/>
  <c r="N116" i="58" s="1"/>
  <c r="S111" i="58"/>
  <c r="U110" i="58"/>
  <c r="N110" i="58" s="1"/>
  <c r="S105" i="58"/>
  <c r="U104" i="58"/>
  <c r="N104" i="58" s="1"/>
  <c r="S99" i="58"/>
  <c r="U98" i="58"/>
  <c r="N98" i="58" s="1"/>
  <c r="S93" i="58"/>
  <c r="U92" i="58"/>
  <c r="N92" i="58" s="1"/>
  <c r="S87" i="58"/>
  <c r="U86" i="58"/>
  <c r="N86" i="58" s="1"/>
  <c r="S81" i="58"/>
  <c r="U80" i="58"/>
  <c r="N80" i="58" s="1"/>
  <c r="S75" i="58"/>
  <c r="U74" i="58"/>
  <c r="N74" i="58" s="1"/>
  <c r="S69" i="58"/>
  <c r="U68" i="58"/>
  <c r="N68" i="58" s="1"/>
  <c r="V197" i="58"/>
  <c r="T186" i="58"/>
  <c r="X186" i="58" s="1"/>
  <c r="V161" i="58"/>
  <c r="T150" i="58"/>
  <c r="X150" i="58" s="1"/>
  <c r="V137" i="58"/>
  <c r="T132" i="58"/>
  <c r="X132" i="58" s="1"/>
  <c r="S128" i="58"/>
  <c r="U127" i="58"/>
  <c r="N127" i="58" s="1"/>
  <c r="T122" i="58"/>
  <c r="X122" i="58" s="1"/>
  <c r="V121" i="58"/>
  <c r="T116" i="58"/>
  <c r="X116" i="58" s="1"/>
  <c r="V115" i="58"/>
  <c r="T110" i="58"/>
  <c r="X110" i="58" s="1"/>
  <c r="V109" i="58"/>
  <c r="T104" i="58"/>
  <c r="X104" i="58" s="1"/>
  <c r="V103" i="58"/>
  <c r="T98" i="58"/>
  <c r="X98" i="58" s="1"/>
  <c r="V97" i="58"/>
  <c r="T92" i="58"/>
  <c r="X92" i="58" s="1"/>
  <c r="V91" i="58"/>
  <c r="T86" i="58"/>
  <c r="X86" i="58" s="1"/>
  <c r="V85" i="58"/>
  <c r="T80" i="58"/>
  <c r="X80" i="58" s="1"/>
  <c r="V79" i="58"/>
  <c r="T74" i="58"/>
  <c r="X74" i="58" s="1"/>
  <c r="V73" i="58"/>
  <c r="T68" i="58"/>
  <c r="X68" i="58" s="1"/>
  <c r="V67" i="58"/>
  <c r="V194" i="58"/>
  <c r="T183" i="58"/>
  <c r="X183" i="58" s="1"/>
  <c r="U172" i="58"/>
  <c r="N172" i="58" s="1"/>
  <c r="S161" i="58"/>
  <c r="U148" i="58"/>
  <c r="N148" i="58" s="1"/>
  <c r="S137" i="58"/>
  <c r="S133" i="58"/>
  <c r="S127" i="58"/>
  <c r="S122" i="58"/>
  <c r="U121" i="58"/>
  <c r="N121" i="58" s="1"/>
  <c r="S116" i="58"/>
  <c r="U115" i="58"/>
  <c r="N115" i="58" s="1"/>
  <c r="S110" i="58"/>
  <c r="U109" i="58"/>
  <c r="N109" i="58" s="1"/>
  <c r="S104" i="58"/>
  <c r="U103" i="58"/>
  <c r="N103" i="58" s="1"/>
  <c r="S98" i="58"/>
  <c r="U97" i="58"/>
  <c r="N97" i="58" s="1"/>
  <c r="S92" i="58"/>
  <c r="U91" i="58"/>
  <c r="N91" i="58" s="1"/>
  <c r="S86" i="58"/>
  <c r="U85" i="58"/>
  <c r="N85" i="58" s="1"/>
  <c r="S80" i="58"/>
  <c r="U79" i="58"/>
  <c r="N79" i="58" s="1"/>
  <c r="S74" i="58"/>
  <c r="U73" i="58"/>
  <c r="N73" i="58" s="1"/>
  <c r="S68" i="58"/>
  <c r="U67" i="58"/>
  <c r="N67" i="58" s="1"/>
  <c r="V191" i="58"/>
  <c r="T180" i="58"/>
  <c r="X180" i="58" s="1"/>
  <c r="V170" i="58"/>
  <c r="T159" i="58"/>
  <c r="X159" i="58" s="1"/>
  <c r="V146" i="58"/>
  <c r="V134" i="58"/>
  <c r="T121" i="58"/>
  <c r="X121" i="58" s="1"/>
  <c r="V120" i="58"/>
  <c r="T115" i="58"/>
  <c r="X115" i="58" s="1"/>
  <c r="V114" i="58"/>
  <c r="T109" i="58"/>
  <c r="X109" i="58" s="1"/>
  <c r="V108" i="58"/>
  <c r="T103" i="58"/>
  <c r="X103" i="58" s="1"/>
  <c r="V102" i="58"/>
  <c r="T97" i="58"/>
  <c r="X97" i="58" s="1"/>
  <c r="V96" i="58"/>
  <c r="T91" i="58"/>
  <c r="X91" i="58" s="1"/>
  <c r="V90" i="58"/>
  <c r="T85" i="58"/>
  <c r="X85" i="58" s="1"/>
  <c r="V84" i="58"/>
  <c r="T79" i="58"/>
  <c r="X79" i="58" s="1"/>
  <c r="V78" i="58"/>
  <c r="T73" i="58"/>
  <c r="X73" i="58" s="1"/>
  <c r="V72" i="58"/>
  <c r="T67" i="58"/>
  <c r="X67" i="58" s="1"/>
  <c r="V188" i="58"/>
  <c r="T177" i="58"/>
  <c r="X177" i="58" s="1"/>
  <c r="T168" i="58"/>
  <c r="X168" i="58" s="1"/>
  <c r="V155" i="58"/>
  <c r="T144" i="58"/>
  <c r="X144" i="58" s="1"/>
  <c r="S121" i="58"/>
  <c r="U120" i="58"/>
  <c r="N120" i="58" s="1"/>
  <c r="S115" i="58"/>
  <c r="U114" i="58"/>
  <c r="N114" i="58" s="1"/>
  <c r="S109" i="58"/>
  <c r="U108" i="58"/>
  <c r="N108" i="58" s="1"/>
  <c r="S103" i="58"/>
  <c r="U102" i="58"/>
  <c r="N102" i="58" s="1"/>
  <c r="S97" i="58"/>
  <c r="U96" i="58"/>
  <c r="N96" i="58" s="1"/>
  <c r="S91" i="58"/>
  <c r="U90" i="58"/>
  <c r="N90" i="58" s="1"/>
  <c r="S85" i="58"/>
  <c r="U84" i="58"/>
  <c r="N84" i="58" s="1"/>
  <c r="S79" i="58"/>
  <c r="U78" i="58"/>
  <c r="N78" i="58" s="1"/>
  <c r="S73" i="58"/>
  <c r="U72" i="58"/>
  <c r="N72" i="58" s="1"/>
  <c r="S67" i="58"/>
  <c r="V239" i="58"/>
  <c r="V185" i="58"/>
  <c r="T174" i="58"/>
  <c r="X174" i="58" s="1"/>
  <c r="U166" i="58"/>
  <c r="N166" i="58" s="1"/>
  <c r="S155" i="58"/>
  <c r="U142" i="58"/>
  <c r="N142" i="58" s="1"/>
  <c r="U126" i="58"/>
  <c r="N126" i="58" s="1"/>
  <c r="V125" i="58"/>
  <c r="T120" i="58"/>
  <c r="X120" i="58" s="1"/>
  <c r="V119" i="58"/>
  <c r="T114" i="58"/>
  <c r="X114" i="58" s="1"/>
  <c r="V113" i="58"/>
  <c r="T108" i="58"/>
  <c r="X108" i="58" s="1"/>
  <c r="V107" i="58"/>
  <c r="T102" i="58"/>
  <c r="X102" i="58" s="1"/>
  <c r="V101" i="58"/>
  <c r="T96" i="58"/>
  <c r="X96" i="58" s="1"/>
  <c r="V95" i="58"/>
  <c r="T90" i="58"/>
  <c r="X90" i="58" s="1"/>
  <c r="V89" i="58"/>
  <c r="T84" i="58"/>
  <c r="X84" i="58" s="1"/>
  <c r="V83" i="58"/>
  <c r="T78" i="58"/>
  <c r="X78" i="58" s="1"/>
  <c r="V77" i="58"/>
  <c r="T72" i="58"/>
  <c r="X72" i="58" s="1"/>
  <c r="V71" i="58"/>
  <c r="T66" i="58"/>
  <c r="X66" i="58" s="1"/>
  <c r="V203" i="58"/>
  <c r="V182" i="58"/>
  <c r="V164" i="58"/>
  <c r="T153" i="58"/>
  <c r="X153" i="58" s="1"/>
  <c r="V140" i="58"/>
  <c r="T126" i="58"/>
  <c r="X126" i="58" s="1"/>
  <c r="U125" i="58"/>
  <c r="N125" i="58" s="1"/>
  <c r="S120" i="58"/>
  <c r="U119" i="58"/>
  <c r="N119" i="58" s="1"/>
  <c r="S114" i="58"/>
  <c r="U113" i="58"/>
  <c r="N113" i="58" s="1"/>
  <c r="S108" i="58"/>
  <c r="U107" i="58"/>
  <c r="N107" i="58" s="1"/>
  <c r="S102" i="58"/>
  <c r="U101" i="58"/>
  <c r="S96" i="58"/>
  <c r="U95" i="58"/>
  <c r="N95" i="58" s="1"/>
  <c r="S90" i="58"/>
  <c r="U89" i="58"/>
  <c r="N89" i="58" s="1"/>
  <c r="S84" i="58"/>
  <c r="U83" i="58"/>
  <c r="N83" i="58" s="1"/>
  <c r="S78" i="58"/>
  <c r="U77" i="58"/>
  <c r="N77" i="58" s="1"/>
  <c r="V179" i="58"/>
  <c r="T162" i="58"/>
  <c r="V149" i="58"/>
  <c r="T138" i="58"/>
  <c r="X138" i="58" s="1"/>
  <c r="T135" i="58"/>
  <c r="X135" i="58" s="1"/>
  <c r="T125" i="58"/>
  <c r="X125" i="58" s="1"/>
  <c r="V124" i="58"/>
  <c r="T119" i="58"/>
  <c r="X119" i="58" s="1"/>
  <c r="V118" i="58"/>
  <c r="T113" i="58"/>
  <c r="X113" i="58" s="1"/>
  <c r="V112" i="58"/>
  <c r="T107" i="58"/>
  <c r="X107" i="58" s="1"/>
  <c r="V106" i="58"/>
  <c r="T101" i="58"/>
  <c r="V100" i="58"/>
  <c r="T95" i="58"/>
  <c r="X95" i="58" s="1"/>
  <c r="V94" i="58"/>
  <c r="T89" i="58"/>
  <c r="X89" i="58" s="1"/>
  <c r="V88" i="58"/>
  <c r="T83" i="58"/>
  <c r="X83" i="58" s="1"/>
  <c r="V82" i="58"/>
  <c r="T77" i="58"/>
  <c r="X77" i="58" s="1"/>
  <c r="V76" i="58"/>
  <c r="T71" i="58"/>
  <c r="X71" i="58" s="1"/>
  <c r="T264" i="58"/>
  <c r="X264" i="58" s="1"/>
  <c r="V176" i="58"/>
  <c r="U160" i="58"/>
  <c r="N160" i="58" s="1"/>
  <c r="S149" i="58"/>
  <c r="S125" i="58"/>
  <c r="U124" i="58"/>
  <c r="N124" i="58" s="1"/>
  <c r="S119" i="58"/>
  <c r="U118" i="58"/>
  <c r="N118" i="58" s="1"/>
  <c r="S113" i="58"/>
  <c r="U112" i="58"/>
  <c r="N112" i="58" s="1"/>
  <c r="S107" i="58"/>
  <c r="U106" i="58"/>
  <c r="N106" i="58" s="1"/>
  <c r="S101" i="58"/>
  <c r="U100" i="58"/>
  <c r="N100" i="58" s="1"/>
  <c r="S95" i="58"/>
  <c r="U94" i="58"/>
  <c r="N94" i="58" s="1"/>
  <c r="S89" i="58"/>
  <c r="U88" i="58"/>
  <c r="N88" i="58" s="1"/>
  <c r="S83" i="58"/>
  <c r="U82" i="58"/>
  <c r="N82" i="58" s="1"/>
  <c r="S77" i="58"/>
  <c r="U76" i="58"/>
  <c r="N76" i="58" s="1"/>
  <c r="S71" i="58"/>
  <c r="U70" i="58"/>
  <c r="T228" i="58"/>
  <c r="X228" i="58" s="1"/>
  <c r="T198" i="58"/>
  <c r="X198" i="58" s="1"/>
  <c r="V173" i="58"/>
  <c r="T171" i="58"/>
  <c r="X171" i="58" s="1"/>
  <c r="V158" i="58"/>
  <c r="T147" i="58"/>
  <c r="X147" i="58" s="1"/>
  <c r="T124" i="58"/>
  <c r="X124" i="58" s="1"/>
  <c r="V123" i="58"/>
  <c r="T118" i="58"/>
  <c r="X118" i="58" s="1"/>
  <c r="V117" i="58"/>
  <c r="T112" i="58"/>
  <c r="X112" i="58" s="1"/>
  <c r="V111" i="58"/>
  <c r="T106" i="58"/>
  <c r="X106" i="58" s="1"/>
  <c r="V105" i="58"/>
  <c r="T100" i="58"/>
  <c r="X100" i="58" s="1"/>
  <c r="V99" i="58"/>
  <c r="T94" i="58"/>
  <c r="X94" i="58" s="1"/>
  <c r="V93" i="58"/>
  <c r="T88" i="58"/>
  <c r="X88" i="58" s="1"/>
  <c r="V87" i="58"/>
  <c r="T82" i="58"/>
  <c r="X82" i="58" s="1"/>
  <c r="V81" i="58"/>
  <c r="T76" i="58"/>
  <c r="X76" i="58" s="1"/>
  <c r="V75" i="58"/>
  <c r="T70" i="58"/>
  <c r="V69" i="58"/>
  <c r="T192" i="58"/>
  <c r="S167" i="58"/>
  <c r="U154" i="58"/>
  <c r="N154" i="58" s="1"/>
  <c r="S143" i="58"/>
  <c r="V131" i="58"/>
  <c r="T129" i="58"/>
  <c r="X129" i="58" s="1"/>
  <c r="V128" i="58"/>
  <c r="T123" i="58"/>
  <c r="X123" i="58" s="1"/>
  <c r="V122" i="58"/>
  <c r="T117" i="58"/>
  <c r="X117" i="58" s="1"/>
  <c r="V116" i="58"/>
  <c r="T111" i="58"/>
  <c r="X111" i="58" s="1"/>
  <c r="V110" i="58"/>
  <c r="T105" i="58"/>
  <c r="X105" i="58" s="1"/>
  <c r="V104" i="58"/>
  <c r="T99" i="58"/>
  <c r="X99" i="58" s="1"/>
  <c r="V98" i="58"/>
  <c r="T93" i="58"/>
  <c r="X93" i="58" s="1"/>
  <c r="V92" i="58"/>
  <c r="T87" i="58"/>
  <c r="X87" i="58" s="1"/>
  <c r="V86" i="58"/>
  <c r="T81" i="58"/>
  <c r="X81" i="58" s="1"/>
  <c r="V80" i="58"/>
  <c r="T75" i="58"/>
  <c r="X75" i="58" s="1"/>
  <c r="V74" i="58"/>
  <c r="T69" i="58"/>
  <c r="X69" i="58" s="1"/>
  <c r="V68" i="58"/>
  <c r="V13" i="58"/>
  <c r="T14" i="58"/>
  <c r="X14" i="58" s="1"/>
  <c r="V19" i="58"/>
  <c r="T20" i="58"/>
  <c r="X20" i="58" s="1"/>
  <c r="V25" i="58"/>
  <c r="T26" i="58"/>
  <c r="X26" i="58" s="1"/>
  <c r="V31" i="58"/>
  <c r="T32" i="58"/>
  <c r="X32" i="58" s="1"/>
  <c r="V37" i="58"/>
  <c r="T38" i="58"/>
  <c r="X38" i="58" s="1"/>
  <c r="V43" i="58"/>
  <c r="T44" i="58"/>
  <c r="X44" i="58" s="1"/>
  <c r="V49" i="58"/>
  <c r="T50" i="58"/>
  <c r="X50" i="58" s="1"/>
  <c r="V55" i="58"/>
  <c r="T56" i="58"/>
  <c r="X56" i="58" s="1"/>
  <c r="V61" i="58"/>
  <c r="T62" i="58"/>
  <c r="X62" i="58" s="1"/>
  <c r="S76" i="58"/>
  <c r="U87" i="58"/>
  <c r="N87" i="58" s="1"/>
  <c r="U14" i="58"/>
  <c r="N14" i="58" s="1"/>
  <c r="S15" i="58"/>
  <c r="U20" i="58"/>
  <c r="N20" i="58" s="1"/>
  <c r="S21" i="58"/>
  <c r="U26" i="58"/>
  <c r="N26" i="58" s="1"/>
  <c r="S27" i="58"/>
  <c r="U32" i="58"/>
  <c r="N32" i="58" s="1"/>
  <c r="S33" i="58"/>
  <c r="U38" i="58"/>
  <c r="N38" i="58" s="1"/>
  <c r="S39" i="58"/>
  <c r="U44" i="58"/>
  <c r="N44" i="58" s="1"/>
  <c r="S45" i="58"/>
  <c r="U50" i="58"/>
  <c r="N50" i="58" s="1"/>
  <c r="S51" i="58"/>
  <c r="U56" i="58"/>
  <c r="N56" i="58" s="1"/>
  <c r="S57" i="58"/>
  <c r="U62" i="58"/>
  <c r="N62" i="58" s="1"/>
  <c r="S63" i="58"/>
  <c r="S72" i="58"/>
  <c r="S82" i="58"/>
  <c r="U93" i="58"/>
  <c r="N93" i="58" s="1"/>
  <c r="V14" i="58"/>
  <c r="T15" i="58"/>
  <c r="X15" i="58" s="1"/>
  <c r="V20" i="58"/>
  <c r="T21" i="58"/>
  <c r="X21" i="58" s="1"/>
  <c r="V26" i="58"/>
  <c r="T27" i="58"/>
  <c r="X27" i="58" s="1"/>
  <c r="V32" i="58"/>
  <c r="T33" i="58"/>
  <c r="X33" i="58" s="1"/>
  <c r="V38" i="58"/>
  <c r="T39" i="58"/>
  <c r="X39" i="58" s="1"/>
  <c r="V44" i="58"/>
  <c r="T45" i="58"/>
  <c r="X45" i="58" s="1"/>
  <c r="V50" i="58"/>
  <c r="T51" i="58"/>
  <c r="X51" i="58" s="1"/>
  <c r="V56" i="58"/>
  <c r="T57" i="58"/>
  <c r="X57" i="58" s="1"/>
  <c r="V62" i="58"/>
  <c r="T63" i="58"/>
  <c r="X63" i="58" s="1"/>
  <c r="S88" i="58"/>
  <c r="U99" i="58"/>
  <c r="N99" i="58" s="1"/>
  <c r="V143" i="58"/>
  <c r="T195" i="58"/>
  <c r="X195" i="58" s="1"/>
  <c r="U15" i="58"/>
  <c r="N15" i="58" s="1"/>
  <c r="S16" i="58"/>
  <c r="U21" i="58"/>
  <c r="N21" i="58" s="1"/>
  <c r="S22" i="58"/>
  <c r="U27" i="58"/>
  <c r="N27" i="58" s="1"/>
  <c r="S28" i="58"/>
  <c r="U33" i="58"/>
  <c r="N33" i="58" s="1"/>
  <c r="S34" i="58"/>
  <c r="U39" i="58"/>
  <c r="N39" i="58" s="1"/>
  <c r="S40" i="58"/>
  <c r="U45" i="58"/>
  <c r="N45" i="58" s="1"/>
  <c r="S46" i="58"/>
  <c r="U51" i="58"/>
  <c r="N51" i="58" s="1"/>
  <c r="S52" i="58"/>
  <c r="U57" i="58"/>
  <c r="N57" i="58" s="1"/>
  <c r="S58" i="58"/>
  <c r="U63" i="58"/>
  <c r="N63" i="58" s="1"/>
  <c r="S64" i="58"/>
  <c r="S70" i="58"/>
  <c r="S94" i="58"/>
  <c r="U105" i="58"/>
  <c r="N105" i="58" s="1"/>
  <c r="V167" i="58"/>
  <c r="V15" i="58"/>
  <c r="T16" i="58"/>
  <c r="X16" i="58" s="1"/>
  <c r="V21" i="58"/>
  <c r="T22" i="58"/>
  <c r="X22" i="58" s="1"/>
  <c r="V27" i="58"/>
  <c r="T28" i="58"/>
  <c r="X28" i="58" s="1"/>
  <c r="V33" i="58"/>
  <c r="T34" i="58"/>
  <c r="X34" i="58" s="1"/>
  <c r="V39" i="58"/>
  <c r="T40" i="58"/>
  <c r="X40" i="58" s="1"/>
  <c r="V45" i="58"/>
  <c r="T46" i="58"/>
  <c r="X46" i="58" s="1"/>
  <c r="V51" i="58"/>
  <c r="T52" i="58"/>
  <c r="X52" i="58" s="1"/>
  <c r="V57" i="58"/>
  <c r="T58" i="58"/>
  <c r="X58" i="58" s="1"/>
  <c r="V63" i="58"/>
  <c r="T64" i="58"/>
  <c r="X64" i="58" s="1"/>
  <c r="V70" i="58"/>
  <c r="S100" i="58"/>
  <c r="U111" i="58"/>
  <c r="N111" i="58" s="1"/>
  <c r="S11" i="58"/>
  <c r="U16" i="58"/>
  <c r="N16" i="58" s="1"/>
  <c r="S17" i="58"/>
  <c r="U22" i="58"/>
  <c r="N22" i="58" s="1"/>
  <c r="S23" i="58"/>
  <c r="U28" i="58"/>
  <c r="N28" i="58" s="1"/>
  <c r="S29" i="58"/>
  <c r="U34" i="58"/>
  <c r="N34" i="58" s="1"/>
  <c r="S35" i="58"/>
  <c r="U40" i="58"/>
  <c r="N40" i="58" s="1"/>
  <c r="S41" i="58"/>
  <c r="U46" i="58"/>
  <c r="N46" i="58" s="1"/>
  <c r="S47" i="58"/>
  <c r="U52" i="58"/>
  <c r="N52" i="58" s="1"/>
  <c r="S53" i="58"/>
  <c r="U58" i="58"/>
  <c r="N58" i="58" s="1"/>
  <c r="S59" i="58"/>
  <c r="U64" i="58"/>
  <c r="N64" i="58" s="1"/>
  <c r="S65" i="58"/>
  <c r="S106" i="58"/>
  <c r="U117" i="58"/>
  <c r="N117" i="58" s="1"/>
  <c r="U130" i="58"/>
  <c r="N130" i="58" s="1"/>
  <c r="T11" i="58"/>
  <c r="V16" i="58"/>
  <c r="T17" i="58"/>
  <c r="X17" i="58" s="1"/>
  <c r="V22" i="58"/>
  <c r="T23" i="58"/>
  <c r="X23" i="58" s="1"/>
  <c r="V28" i="58"/>
  <c r="T29" i="58"/>
  <c r="X29" i="58" s="1"/>
  <c r="V34" i="58"/>
  <c r="T35" i="58"/>
  <c r="X35" i="58" s="1"/>
  <c r="V40" i="58"/>
  <c r="T41" i="58"/>
  <c r="X41" i="58" s="1"/>
  <c r="V46" i="58"/>
  <c r="T47" i="58"/>
  <c r="X47" i="58" s="1"/>
  <c r="V52" i="58"/>
  <c r="T53" i="58"/>
  <c r="X53" i="58" s="1"/>
  <c r="V58" i="58"/>
  <c r="T59" i="58"/>
  <c r="X59" i="58" s="1"/>
  <c r="V64" i="58"/>
  <c r="T65" i="58"/>
  <c r="X65" i="58" s="1"/>
  <c r="S112" i="58"/>
  <c r="U123" i="58"/>
  <c r="N123" i="58" s="1"/>
  <c r="U11" i="58"/>
  <c r="S12" i="58"/>
  <c r="U17" i="58"/>
  <c r="N17" i="58" s="1"/>
  <c r="S18" i="58"/>
  <c r="U23" i="58"/>
  <c r="N23" i="58" s="1"/>
  <c r="S24" i="58"/>
  <c r="U29" i="58"/>
  <c r="N29" i="58" s="1"/>
  <c r="S30" i="58"/>
  <c r="U35" i="58"/>
  <c r="N35" i="58" s="1"/>
  <c r="S36" i="58"/>
  <c r="U41" i="58"/>
  <c r="N41" i="58" s="1"/>
  <c r="S42" i="58"/>
  <c r="U47" i="58"/>
  <c r="N47" i="58" s="1"/>
  <c r="S48" i="58"/>
  <c r="U53" i="58"/>
  <c r="N53" i="58" s="1"/>
  <c r="S54" i="58"/>
  <c r="U59" i="58"/>
  <c r="N59" i="58" s="1"/>
  <c r="S60" i="58"/>
  <c r="U65" i="58"/>
  <c r="N65" i="58" s="1"/>
  <c r="S66" i="58"/>
  <c r="S118" i="58"/>
  <c r="V11" i="58"/>
  <c r="T12" i="58"/>
  <c r="X12" i="58" s="1"/>
  <c r="V17" i="58"/>
  <c r="T18" i="58"/>
  <c r="X18" i="58" s="1"/>
  <c r="V23" i="58"/>
  <c r="T24" i="58"/>
  <c r="X24" i="58" s="1"/>
  <c r="V29" i="58"/>
  <c r="T30" i="58"/>
  <c r="X30" i="58" s="1"/>
  <c r="V35" i="58"/>
  <c r="T36" i="58"/>
  <c r="X36" i="58" s="1"/>
  <c r="V41" i="58"/>
  <c r="T42" i="58"/>
  <c r="V47" i="58"/>
  <c r="T48" i="58"/>
  <c r="X48" i="58" s="1"/>
  <c r="V53" i="58"/>
  <c r="T54" i="58"/>
  <c r="X54" i="58" s="1"/>
  <c r="V59" i="58"/>
  <c r="T60" i="58"/>
  <c r="X60" i="58" s="1"/>
  <c r="V65" i="58"/>
  <c r="U66" i="58"/>
  <c r="N66" i="58" s="1"/>
  <c r="S124" i="58"/>
  <c r="M25" i="37"/>
  <c r="H27" i="37"/>
  <c r="I26" i="37"/>
  <c r="J25" i="37"/>
  <c r="K24" i="37"/>
  <c r="O20" i="37"/>
  <c r="G27" i="37"/>
  <c r="H26" i="37"/>
  <c r="I25" i="37"/>
  <c r="J24" i="37"/>
  <c r="N20" i="37"/>
  <c r="F27" i="37"/>
  <c r="G26" i="37"/>
  <c r="H25" i="37"/>
  <c r="I24" i="37"/>
  <c r="M20" i="37"/>
  <c r="E27" i="37"/>
  <c r="F26" i="37"/>
  <c r="G25" i="37"/>
  <c r="H24" i="37"/>
  <c r="L20" i="37"/>
  <c r="P27" i="37"/>
  <c r="E26" i="37"/>
  <c r="F25" i="37"/>
  <c r="G24" i="37"/>
  <c r="K20" i="37"/>
  <c r="O27" i="37"/>
  <c r="P26" i="37"/>
  <c r="E25" i="37"/>
  <c r="F24" i="37"/>
  <c r="J20" i="37"/>
  <c r="N27" i="37"/>
  <c r="O26" i="37"/>
  <c r="P25" i="37"/>
  <c r="E24" i="37"/>
  <c r="I20" i="37"/>
  <c r="M27" i="37"/>
  <c r="N26" i="37"/>
  <c r="O25" i="37"/>
  <c r="P24" i="37"/>
  <c r="H20" i="37"/>
  <c r="I27" i="37"/>
  <c r="J26" i="37"/>
  <c r="K25" i="37"/>
  <c r="L24" i="37"/>
  <c r="P20" i="37"/>
  <c r="E20" i="37"/>
  <c r="K26" i="37"/>
  <c r="F20" i="37"/>
  <c r="L26" i="37"/>
  <c r="F36" i="37"/>
  <c r="F10" i="37"/>
  <c r="G20" i="37"/>
  <c r="M26" i="37"/>
  <c r="M24" i="37"/>
  <c r="J27" i="37"/>
  <c r="O24" i="37"/>
  <c r="L27" i="37"/>
  <c r="L25" i="37"/>
  <c r="I4" i="36"/>
  <c r="I5" i="36"/>
  <c r="I6" i="36"/>
  <c r="I7" i="36"/>
  <c r="I8" i="36"/>
  <c r="I10" i="36"/>
  <c r="I11" i="36"/>
  <c r="I12" i="36"/>
  <c r="I19" i="36"/>
  <c r="H33" i="36"/>
  <c r="H34" i="36"/>
  <c r="H35" i="36"/>
  <c r="H36" i="36"/>
  <c r="H39" i="36"/>
  <c r="H40" i="36"/>
  <c r="H41" i="36"/>
  <c r="M4" i="36"/>
  <c r="M5" i="36"/>
  <c r="M6" i="36"/>
  <c r="M7" i="36"/>
  <c r="M8" i="36"/>
  <c r="M10" i="36"/>
  <c r="M11" i="36"/>
  <c r="M12" i="36"/>
  <c r="M19" i="36"/>
  <c r="L33" i="36"/>
  <c r="L34" i="36"/>
  <c r="L35" i="36"/>
  <c r="L36" i="36"/>
  <c r="L39" i="36"/>
  <c r="L40" i="36"/>
  <c r="L41" i="36"/>
  <c r="N4" i="36"/>
  <c r="N5" i="36"/>
  <c r="N6" i="36"/>
  <c r="N7" i="36"/>
  <c r="N8" i="36"/>
  <c r="N10" i="36"/>
  <c r="N11" i="36"/>
  <c r="N12" i="36"/>
  <c r="N19" i="36"/>
  <c r="M33" i="36"/>
  <c r="M34" i="36"/>
  <c r="M35" i="36"/>
  <c r="M36" i="36"/>
  <c r="M39" i="36"/>
  <c r="M40" i="36"/>
  <c r="M41" i="36"/>
  <c r="O4" i="36"/>
  <c r="O5" i="36"/>
  <c r="O6" i="36"/>
  <c r="O7" i="36"/>
  <c r="O8" i="36"/>
  <c r="O10" i="36"/>
  <c r="O11" i="36"/>
  <c r="O12" i="36"/>
  <c r="O19" i="36"/>
  <c r="N33" i="36"/>
  <c r="N34" i="36"/>
  <c r="N35" i="36"/>
  <c r="N36" i="36"/>
  <c r="N39" i="36"/>
  <c r="N40" i="36"/>
  <c r="N41" i="36"/>
  <c r="P4" i="36"/>
  <c r="P5" i="36"/>
  <c r="P6" i="36"/>
  <c r="P7" i="36"/>
  <c r="P8" i="36"/>
  <c r="P10" i="36"/>
  <c r="P11" i="36"/>
  <c r="P12" i="36"/>
  <c r="P19" i="36"/>
  <c r="O33" i="36"/>
  <c r="O34" i="36"/>
  <c r="O35" i="36"/>
  <c r="O36" i="36"/>
  <c r="O39" i="36"/>
  <c r="O40" i="36"/>
  <c r="O41" i="36"/>
  <c r="Q4" i="36"/>
  <c r="Q5" i="36"/>
  <c r="Q6" i="36"/>
  <c r="Q7" i="36"/>
  <c r="Q8" i="36"/>
  <c r="Q10" i="36"/>
  <c r="Q11" i="36"/>
  <c r="Q12" i="36"/>
  <c r="Q19" i="36"/>
  <c r="P33" i="36"/>
  <c r="P34" i="36"/>
  <c r="P35" i="36"/>
  <c r="P36" i="36"/>
  <c r="P39" i="36"/>
  <c r="P40" i="36"/>
  <c r="P41" i="36"/>
  <c r="F4" i="36"/>
  <c r="F5" i="36"/>
  <c r="F6" i="36"/>
  <c r="F7" i="36"/>
  <c r="F8" i="36"/>
  <c r="F10" i="36"/>
  <c r="F11" i="36"/>
  <c r="F12" i="36"/>
  <c r="F19" i="36"/>
  <c r="Q33" i="36"/>
  <c r="Q34" i="36"/>
  <c r="Q35" i="36"/>
  <c r="Q36" i="36"/>
  <c r="Q39" i="36"/>
  <c r="Q40" i="36"/>
  <c r="Q41" i="36"/>
  <c r="G4" i="36"/>
  <c r="G5" i="36"/>
  <c r="G6" i="36"/>
  <c r="G7" i="36"/>
  <c r="G8" i="36"/>
  <c r="G10" i="36"/>
  <c r="G11" i="36"/>
  <c r="G12" i="36"/>
  <c r="G19" i="36"/>
  <c r="F33" i="36"/>
  <c r="F34" i="36"/>
  <c r="F35" i="36"/>
  <c r="F36" i="36"/>
  <c r="F39" i="36"/>
  <c r="F40" i="36"/>
  <c r="H4" i="36"/>
  <c r="H5" i="36"/>
  <c r="H6" i="36"/>
  <c r="H7" i="36"/>
  <c r="H8" i="36"/>
  <c r="H10" i="36"/>
  <c r="H11" i="36"/>
  <c r="H12" i="36"/>
  <c r="H19" i="36"/>
  <c r="G33" i="36"/>
  <c r="G34" i="36"/>
  <c r="G35" i="36"/>
  <c r="G36" i="36"/>
  <c r="G39" i="36"/>
  <c r="G40" i="36"/>
  <c r="AM148" i="103" l="1"/>
  <c r="O16" i="68"/>
  <c r="O35" i="68" s="1"/>
  <c r="O7" i="68"/>
  <c r="O26" i="68" s="1"/>
  <c r="G25" i="11"/>
  <c r="D25" i="11"/>
  <c r="G30" i="11"/>
  <c r="D30" i="11"/>
  <c r="G23" i="11"/>
  <c r="D23" i="11"/>
  <c r="G28" i="11"/>
  <c r="D28" i="11"/>
  <c r="G26" i="11"/>
  <c r="D26" i="11"/>
  <c r="O14" i="68"/>
  <c r="O33" i="68" s="1"/>
  <c r="G31" i="11"/>
  <c r="D31" i="11"/>
  <c r="G24" i="11"/>
  <c r="D24" i="11"/>
  <c r="O15" i="68"/>
  <c r="O34" i="68" s="1"/>
  <c r="D29" i="11"/>
  <c r="G29" i="11"/>
  <c r="D22" i="11"/>
  <c r="G22" i="11"/>
  <c r="O17" i="68"/>
  <c r="O36" i="68" s="1"/>
  <c r="G27" i="11"/>
  <c r="D27" i="11"/>
  <c r="AH8" i="17"/>
  <c r="AG8" i="17"/>
  <c r="U90" i="103"/>
  <c r="U93" i="103"/>
  <c r="U92" i="103"/>
  <c r="U83" i="103"/>
  <c r="U87" i="103"/>
  <c r="U84" i="103"/>
  <c r="U100" i="103"/>
  <c r="U81" i="103"/>
  <c r="U97" i="103"/>
  <c r="U94" i="103"/>
  <c r="U89" i="103"/>
  <c r="U85" i="103"/>
  <c r="U86" i="103"/>
  <c r="U91" i="103"/>
  <c r="U82" i="103"/>
  <c r="U88" i="103"/>
  <c r="U99" i="103"/>
  <c r="U98" i="103"/>
  <c r="U96" i="103"/>
  <c r="U95" i="103"/>
  <c r="AU379" i="103"/>
  <c r="C19" i="104"/>
  <c r="BB104" i="103"/>
  <c r="BB130" i="103"/>
  <c r="CM130" i="103" s="1"/>
  <c r="BB127" i="103"/>
  <c r="CM127" i="103" s="1"/>
  <c r="CO127" i="103" s="1"/>
  <c r="BB121" i="103"/>
  <c r="CM121" i="103" s="1"/>
  <c r="CG121" i="103" s="1"/>
  <c r="BB107" i="103"/>
  <c r="CM107" i="103" s="1"/>
  <c r="CO107" i="103" s="1"/>
  <c r="BB108" i="103"/>
  <c r="CM108" i="103" s="1"/>
  <c r="BB111" i="103"/>
  <c r="CM111" i="103" s="1"/>
  <c r="CG111" i="103" s="1"/>
  <c r="BB114" i="103"/>
  <c r="BB117" i="103"/>
  <c r="CM117" i="103" s="1"/>
  <c r="CO117" i="103" s="1"/>
  <c r="BB120" i="103"/>
  <c r="CM120" i="103" s="1"/>
  <c r="BB123" i="103"/>
  <c r="CM123" i="103" s="1"/>
  <c r="BB126" i="103"/>
  <c r="CM126" i="103" s="1"/>
  <c r="BB128" i="103"/>
  <c r="CM128" i="103" s="1"/>
  <c r="CO128" i="103" s="1"/>
  <c r="BB103" i="103"/>
  <c r="CM103" i="103" s="1"/>
  <c r="CG103" i="103" s="1"/>
  <c r="BB106" i="103"/>
  <c r="CM106" i="103" s="1"/>
  <c r="CG106" i="103" s="1"/>
  <c r="BB110" i="103"/>
  <c r="BB113" i="103"/>
  <c r="CM113" i="103" s="1"/>
  <c r="BB116" i="103"/>
  <c r="BB119" i="103"/>
  <c r="CM119" i="103" s="1"/>
  <c r="CO119" i="103" s="1"/>
  <c r="BB122" i="103"/>
  <c r="BB125" i="103"/>
  <c r="CM125" i="103" s="1"/>
  <c r="BB102" i="103"/>
  <c r="CM102" i="103" s="1"/>
  <c r="BB105" i="103"/>
  <c r="CM105" i="103" s="1"/>
  <c r="CG105" i="103" s="1"/>
  <c r="BB129" i="103"/>
  <c r="CM129" i="103" s="1"/>
  <c r="BB109" i="103"/>
  <c r="CM109" i="103" s="1"/>
  <c r="CO109" i="103" s="1"/>
  <c r="BB112" i="103"/>
  <c r="CM112" i="103" s="1"/>
  <c r="CG112" i="103" s="1"/>
  <c r="BB115" i="103"/>
  <c r="CM115" i="103" s="1"/>
  <c r="BB118" i="103"/>
  <c r="CM118" i="103" s="1"/>
  <c r="CO118" i="103" s="1"/>
  <c r="BB124" i="103"/>
  <c r="CM124" i="103" s="1"/>
  <c r="CG124" i="103" s="1"/>
  <c r="BB101" i="103"/>
  <c r="BD122" i="103"/>
  <c r="E23" i="37"/>
  <c r="N23" i="37"/>
  <c r="H23" i="37"/>
  <c r="I18" i="37"/>
  <c r="F16" i="37"/>
  <c r="E18" i="37"/>
  <c r="N18" i="37"/>
  <c r="H18" i="37"/>
  <c r="I17" i="37"/>
  <c r="E17" i="37"/>
  <c r="N17" i="37"/>
  <c r="H17" i="37"/>
  <c r="I36" i="37"/>
  <c r="I9" i="37"/>
  <c r="N16" i="37"/>
  <c r="H16" i="37"/>
  <c r="K16" i="37"/>
  <c r="P23" i="37"/>
  <c r="M23" i="37"/>
  <c r="K18" i="37"/>
  <c r="K17" i="37"/>
  <c r="G23" i="37"/>
  <c r="P18" i="37"/>
  <c r="M18" i="37"/>
  <c r="J16" i="37"/>
  <c r="E16" i="37"/>
  <c r="G18" i="37"/>
  <c r="P17" i="37"/>
  <c r="M17" i="37"/>
  <c r="K23" i="37"/>
  <c r="H36" i="37"/>
  <c r="P16" i="37"/>
  <c r="M16" i="37"/>
  <c r="I16" i="37"/>
  <c r="F23" i="37"/>
  <c r="L23" i="37"/>
  <c r="J18" i="37"/>
  <c r="I23" i="37"/>
  <c r="O23" i="37"/>
  <c r="F18" i="37"/>
  <c r="O18" i="37"/>
  <c r="L18" i="37"/>
  <c r="G17" i="37"/>
  <c r="G16" i="37"/>
  <c r="F17" i="37"/>
  <c r="O17" i="37"/>
  <c r="L17" i="37"/>
  <c r="J23" i="37"/>
  <c r="H37" i="37"/>
  <c r="O16" i="37"/>
  <c r="L16" i="37"/>
  <c r="J17" i="37"/>
  <c r="AH155" i="23"/>
  <c r="J156" i="23"/>
  <c r="D156" i="23"/>
  <c r="H156" i="23"/>
  <c r="N156" i="23"/>
  <c r="AE156" i="23"/>
  <c r="Z156" i="23"/>
  <c r="AC156" i="23"/>
  <c r="U156" i="23"/>
  <c r="AA156" i="23"/>
  <c r="R156" i="23"/>
  <c r="C156" i="23"/>
  <c r="AD156" i="23"/>
  <c r="AK156" i="23"/>
  <c r="AJ156" i="23"/>
  <c r="I156" i="23"/>
  <c r="AI156" i="23"/>
  <c r="AB156" i="23"/>
  <c r="N155" i="23"/>
  <c r="J155" i="23"/>
  <c r="D155" i="23"/>
  <c r="H155" i="23"/>
  <c r="C155" i="23"/>
  <c r="AD155" i="23"/>
  <c r="AE155" i="23"/>
  <c r="I155" i="23"/>
  <c r="AC155" i="23"/>
  <c r="U155" i="23"/>
  <c r="AA155" i="23"/>
  <c r="Z155" i="23"/>
  <c r="AK155" i="23"/>
  <c r="AI155" i="23"/>
  <c r="R155" i="23"/>
  <c r="AJ155" i="23"/>
  <c r="AB155" i="23"/>
  <c r="J154" i="23"/>
  <c r="N154" i="23"/>
  <c r="H154" i="23"/>
  <c r="D154" i="23"/>
  <c r="AJ154" i="23"/>
  <c r="AK154" i="23"/>
  <c r="AD154" i="23"/>
  <c r="Z154" i="23"/>
  <c r="C154" i="23"/>
  <c r="AC154" i="23"/>
  <c r="AI154" i="23"/>
  <c r="AE154" i="23"/>
  <c r="I154" i="23"/>
  <c r="U154" i="23"/>
  <c r="R154" i="23"/>
  <c r="AA154" i="23"/>
  <c r="AB154" i="23"/>
  <c r="AF8" i="17"/>
  <c r="E40" i="64"/>
  <c r="K15" i="62"/>
  <c r="BB78" i="103"/>
  <c r="CM78" i="103" s="1"/>
  <c r="BB76" i="103"/>
  <c r="BB77" i="103"/>
  <c r="CM77" i="103" s="1"/>
  <c r="BB72" i="103"/>
  <c r="BB75" i="103"/>
  <c r="CM75" i="103" s="1"/>
  <c r="BB100" i="103"/>
  <c r="CM100" i="103" s="1"/>
  <c r="CG100" i="103" s="1"/>
  <c r="BB90" i="103"/>
  <c r="CM90" i="103" s="1"/>
  <c r="CO90" i="103" s="1"/>
  <c r="BB84" i="103"/>
  <c r="BB87" i="103"/>
  <c r="CM87" i="103" s="1"/>
  <c r="BB81" i="103"/>
  <c r="CM81" i="103" s="1"/>
  <c r="CG81" i="103" s="1"/>
  <c r="BB80" i="103"/>
  <c r="CM80" i="103" s="1"/>
  <c r="CG80" i="103" s="1"/>
  <c r="BB74" i="103"/>
  <c r="CM74" i="103" s="1"/>
  <c r="CO74" i="103" s="1"/>
  <c r="BB97" i="103"/>
  <c r="BB94" i="103"/>
  <c r="CM94" i="103" s="1"/>
  <c r="CO94" i="103" s="1"/>
  <c r="BB91" i="103"/>
  <c r="CM91" i="103" s="1"/>
  <c r="BB85" i="103"/>
  <c r="CM85" i="103" s="1"/>
  <c r="CO85" i="103" s="1"/>
  <c r="BB82" i="103"/>
  <c r="CM82" i="103" s="1"/>
  <c r="CO82" i="103" s="1"/>
  <c r="BB99" i="103"/>
  <c r="CM99" i="103" s="1"/>
  <c r="BB88" i="103"/>
  <c r="CM88" i="103" s="1"/>
  <c r="BB79" i="103"/>
  <c r="CM79" i="103" s="1"/>
  <c r="CO79" i="103" s="1"/>
  <c r="BB89" i="103"/>
  <c r="BB98" i="103"/>
  <c r="CM98" i="103" s="1"/>
  <c r="CG98" i="103" s="1"/>
  <c r="BB96" i="103"/>
  <c r="CM96" i="103" s="1"/>
  <c r="BB86" i="103"/>
  <c r="CM86" i="103" s="1"/>
  <c r="CO86" i="103" s="1"/>
  <c r="BB95" i="103"/>
  <c r="CM95" i="103" s="1"/>
  <c r="CG95" i="103" s="1"/>
  <c r="BB93" i="103"/>
  <c r="CM93" i="103" s="1"/>
  <c r="BB73" i="103"/>
  <c r="CM73" i="103" s="1"/>
  <c r="BB83" i="103"/>
  <c r="CM83" i="103" s="1"/>
  <c r="BB92" i="103"/>
  <c r="CM92" i="103" s="1"/>
  <c r="CG92" i="103" s="1"/>
  <c r="BB71" i="103"/>
  <c r="CM71" i="103" s="1"/>
  <c r="S155" i="23"/>
  <c r="V155" i="23"/>
  <c r="S156" i="23"/>
  <c r="V156" i="23"/>
  <c r="S154" i="23"/>
  <c r="V154" i="23"/>
  <c r="D128" i="23"/>
  <c r="AB149" i="23"/>
  <c r="J150" i="23"/>
  <c r="J153" i="23"/>
  <c r="AB150" i="23"/>
  <c r="AB153" i="23"/>
  <c r="D152" i="23"/>
  <c r="D149" i="23"/>
  <c r="J152" i="23"/>
  <c r="D151" i="23"/>
  <c r="J127" i="23"/>
  <c r="J147" i="23"/>
  <c r="D126" i="23"/>
  <c r="J128" i="23"/>
  <c r="J126" i="23"/>
  <c r="J149" i="23"/>
  <c r="D147" i="23"/>
  <c r="D129" i="23"/>
  <c r="D150" i="23"/>
  <c r="D153" i="23"/>
  <c r="J151" i="23"/>
  <c r="AB152" i="23"/>
  <c r="J129" i="23"/>
  <c r="AB151" i="23"/>
  <c r="D127" i="23"/>
  <c r="D148" i="23"/>
  <c r="J148" i="23"/>
  <c r="AB148" i="23"/>
  <c r="AB147" i="23"/>
  <c r="J146" i="23"/>
  <c r="D146" i="23"/>
  <c r="AB146" i="23"/>
  <c r="D145" i="23"/>
  <c r="J145" i="23"/>
  <c r="AB145" i="23"/>
  <c r="J144" i="23"/>
  <c r="D144" i="23"/>
  <c r="AB144" i="23"/>
  <c r="J143" i="23"/>
  <c r="D143" i="23"/>
  <c r="AB143" i="23"/>
  <c r="D142" i="23"/>
  <c r="J142" i="23"/>
  <c r="AB142" i="23"/>
  <c r="J141" i="23"/>
  <c r="D141" i="23"/>
  <c r="AB141" i="23"/>
  <c r="J140" i="23"/>
  <c r="D140" i="23"/>
  <c r="AB140" i="23"/>
  <c r="D139" i="23"/>
  <c r="J139" i="23"/>
  <c r="AB139" i="23"/>
  <c r="D138" i="23"/>
  <c r="J138" i="23"/>
  <c r="AB138" i="23"/>
  <c r="J137" i="23"/>
  <c r="D137" i="23"/>
  <c r="AB137" i="23"/>
  <c r="J136" i="23"/>
  <c r="D136" i="23"/>
  <c r="AB136" i="23"/>
  <c r="D135" i="23"/>
  <c r="J135" i="23"/>
  <c r="AB135" i="23"/>
  <c r="J134" i="23"/>
  <c r="D134" i="23"/>
  <c r="AB134" i="23"/>
  <c r="J133" i="23"/>
  <c r="D133" i="23"/>
  <c r="AB133" i="23"/>
  <c r="D132" i="23"/>
  <c r="J132" i="23"/>
  <c r="AB132" i="23"/>
  <c r="D131" i="23"/>
  <c r="J131" i="23"/>
  <c r="AB131" i="23"/>
  <c r="J130" i="23"/>
  <c r="D130" i="23"/>
  <c r="AB127" i="23"/>
  <c r="AB129" i="23"/>
  <c r="AB126" i="23"/>
  <c r="AB128" i="23"/>
  <c r="AB130" i="23"/>
  <c r="BB56" i="103"/>
  <c r="CM56" i="103" s="1"/>
  <c r="CO56" i="103" s="1"/>
  <c r="BC70" i="103"/>
  <c r="BB70" i="103" s="1"/>
  <c r="BB43" i="103"/>
  <c r="CM43" i="103" s="1"/>
  <c r="CO43" i="103" s="1"/>
  <c r="BB63" i="103"/>
  <c r="CM63" i="103" s="1"/>
  <c r="BB44" i="103"/>
  <c r="CM44" i="103" s="1"/>
  <c r="BB53" i="103"/>
  <c r="CM53" i="103" s="1"/>
  <c r="CG53" i="103" s="1"/>
  <c r="BB45" i="103"/>
  <c r="CM45" i="103" s="1"/>
  <c r="BB66" i="103"/>
  <c r="CM66" i="103" s="1"/>
  <c r="CO66" i="103" s="1"/>
  <c r="BB60" i="103"/>
  <c r="BB57" i="103"/>
  <c r="CM57" i="103" s="1"/>
  <c r="CO57" i="103" s="1"/>
  <c r="BB48" i="103"/>
  <c r="CM48" i="103" s="1"/>
  <c r="CO48" i="103" s="1"/>
  <c r="BB62" i="103"/>
  <c r="BB51" i="103"/>
  <c r="CM51" i="103" s="1"/>
  <c r="CO51" i="103" s="1"/>
  <c r="BB49" i="103"/>
  <c r="CM49" i="103" s="1"/>
  <c r="BB47" i="103"/>
  <c r="CM47" i="103" s="1"/>
  <c r="CO47" i="103" s="1"/>
  <c r="BB52" i="103"/>
  <c r="CM52" i="103" s="1"/>
  <c r="BB65" i="103"/>
  <c r="CM65" i="103" s="1"/>
  <c r="CG65" i="103" s="1"/>
  <c r="BB67" i="103"/>
  <c r="CM67" i="103" s="1"/>
  <c r="CO67" i="103" s="1"/>
  <c r="BB64" i="103"/>
  <c r="CM64" i="103" s="1"/>
  <c r="BB68" i="103"/>
  <c r="CM68" i="103" s="1"/>
  <c r="CO68" i="103" s="1"/>
  <c r="BB50" i="103"/>
  <c r="CM50" i="103" s="1"/>
  <c r="CO50" i="103" s="1"/>
  <c r="BB61" i="103"/>
  <c r="CM61" i="103" s="1"/>
  <c r="BB58" i="103"/>
  <c r="CM58" i="103" s="1"/>
  <c r="BB54" i="103"/>
  <c r="CM54" i="103" s="1"/>
  <c r="BB69" i="103"/>
  <c r="CM69" i="103" s="1"/>
  <c r="CG69" i="103" s="1"/>
  <c r="BB55" i="103"/>
  <c r="CM55" i="103" s="1"/>
  <c r="CO55" i="103" s="1"/>
  <c r="BB46" i="103"/>
  <c r="CM46" i="103" s="1"/>
  <c r="CO46" i="103" s="1"/>
  <c r="BB59" i="103"/>
  <c r="CM59" i="103" s="1"/>
  <c r="CO59" i="103" s="1"/>
  <c r="BD42" i="103"/>
  <c r="BB42" i="103"/>
  <c r="CE460" i="7"/>
  <c r="CE459" i="7"/>
  <c r="H40" i="30"/>
  <c r="C39" i="30"/>
  <c r="I39" i="30" s="1"/>
  <c r="H373" i="103"/>
  <c r="E373" i="103" s="1"/>
  <c r="O373" i="103"/>
  <c r="L373" i="103" s="1"/>
  <c r="H355" i="103"/>
  <c r="E355" i="103" s="1"/>
  <c r="H353" i="103"/>
  <c r="E353" i="103" s="1"/>
  <c r="H358" i="103"/>
  <c r="E358" i="103" s="1"/>
  <c r="O354" i="103"/>
  <c r="L354" i="103" s="1"/>
  <c r="O357" i="103"/>
  <c r="L357" i="103" s="1"/>
  <c r="O358" i="103"/>
  <c r="L358" i="103" s="1"/>
  <c r="H357" i="103"/>
  <c r="E357" i="103" s="1"/>
  <c r="O355" i="103"/>
  <c r="L355" i="103" s="1"/>
  <c r="H354" i="103"/>
  <c r="E354" i="103" s="1"/>
  <c r="O353" i="103"/>
  <c r="L353" i="103" s="1"/>
  <c r="AM375" i="103"/>
  <c r="CH375" i="103" s="1"/>
  <c r="AM371" i="103"/>
  <c r="CH371" i="103" s="1"/>
  <c r="AM372" i="103"/>
  <c r="CH372" i="103" s="1"/>
  <c r="CF372" i="103" s="1"/>
  <c r="AM374" i="103"/>
  <c r="CH374" i="103" s="1"/>
  <c r="CF374" i="103" s="1"/>
  <c r="AM373" i="103"/>
  <c r="CH373" i="103" s="1"/>
  <c r="CF373" i="103" s="1"/>
  <c r="AM370" i="103"/>
  <c r="Q9" i="36"/>
  <c r="Q13" i="36" s="1"/>
  <c r="H374" i="103"/>
  <c r="E374" i="103" s="1"/>
  <c r="O374" i="103"/>
  <c r="L374" i="103" s="1"/>
  <c r="H372" i="103"/>
  <c r="E372" i="103" s="1"/>
  <c r="O372" i="103"/>
  <c r="L372" i="103" s="1"/>
  <c r="H371" i="103"/>
  <c r="E371" i="103" s="1"/>
  <c r="O371" i="103"/>
  <c r="L371" i="103" s="1"/>
  <c r="H370" i="103"/>
  <c r="E370" i="103" s="1"/>
  <c r="O370" i="103"/>
  <c r="L370" i="103" s="1"/>
  <c r="H369" i="103"/>
  <c r="E369" i="103" s="1"/>
  <c r="O369" i="103"/>
  <c r="L369" i="103" s="1"/>
  <c r="O368" i="103"/>
  <c r="L368" i="103" s="1"/>
  <c r="H368" i="103"/>
  <c r="E368" i="103" s="1"/>
  <c r="O367" i="103"/>
  <c r="L367" i="103" s="1"/>
  <c r="H367" i="103"/>
  <c r="E367" i="103" s="1"/>
  <c r="O366" i="103"/>
  <c r="L366" i="103" s="1"/>
  <c r="H366" i="103"/>
  <c r="E366" i="103" s="1"/>
  <c r="H365" i="103"/>
  <c r="E365" i="103" s="1"/>
  <c r="O365" i="103"/>
  <c r="L365" i="103" s="1"/>
  <c r="O364" i="103"/>
  <c r="L364" i="103" s="1"/>
  <c r="H364" i="103"/>
  <c r="E364" i="103" s="1"/>
  <c r="H363" i="103"/>
  <c r="E363" i="103" s="1"/>
  <c r="O363" i="103"/>
  <c r="L363" i="103" s="1"/>
  <c r="H362" i="103"/>
  <c r="E362" i="103" s="1"/>
  <c r="O362" i="103"/>
  <c r="L362" i="103" s="1"/>
  <c r="H361" i="103"/>
  <c r="E361" i="103" s="1"/>
  <c r="O361" i="103"/>
  <c r="L361" i="103" s="1"/>
  <c r="H360" i="103"/>
  <c r="E360" i="103" s="1"/>
  <c r="O360" i="103"/>
  <c r="L360" i="103" s="1"/>
  <c r="H359" i="103"/>
  <c r="E359" i="103" s="1"/>
  <c r="O359" i="103"/>
  <c r="L359" i="103" s="1"/>
  <c r="H356" i="103"/>
  <c r="E356" i="103" s="1"/>
  <c r="O356" i="103"/>
  <c r="L356" i="103" s="1"/>
  <c r="H352" i="103"/>
  <c r="E352" i="103" s="1"/>
  <c r="O352" i="103"/>
  <c r="L352" i="103" s="1"/>
  <c r="O351" i="103"/>
  <c r="L351" i="103" s="1"/>
  <c r="H351" i="103"/>
  <c r="E351" i="103" s="1"/>
  <c r="H350" i="103"/>
  <c r="E350" i="103" s="1"/>
  <c r="O350" i="103"/>
  <c r="L350" i="103" s="1"/>
  <c r="H349" i="103"/>
  <c r="E349" i="103" s="1"/>
  <c r="O349" i="103"/>
  <c r="L349" i="103" s="1"/>
  <c r="AM369" i="103"/>
  <c r="AM366" i="103"/>
  <c r="AM351" i="103"/>
  <c r="AM360" i="103"/>
  <c r="AM364" i="103"/>
  <c r="AM348" i="103"/>
  <c r="AM363" i="103"/>
  <c r="AM357" i="103"/>
  <c r="AM354" i="103"/>
  <c r="AM355" i="103"/>
  <c r="AM350" i="103"/>
  <c r="AM352" i="103"/>
  <c r="AM361" i="103"/>
  <c r="AM368" i="103"/>
  <c r="AM367" i="103"/>
  <c r="AM353" i="103"/>
  <c r="AM362" i="103"/>
  <c r="AM358" i="103"/>
  <c r="AM349" i="103"/>
  <c r="AM346" i="103"/>
  <c r="AM356" i="103"/>
  <c r="AM359" i="103"/>
  <c r="AM365" i="103"/>
  <c r="AM347" i="103"/>
  <c r="H348" i="103"/>
  <c r="E348" i="103" s="1"/>
  <c r="O348" i="103"/>
  <c r="L348" i="103" s="1"/>
  <c r="H347" i="103"/>
  <c r="E347" i="103" s="1"/>
  <c r="O347" i="103"/>
  <c r="L347" i="103" s="1"/>
  <c r="H346" i="103"/>
  <c r="E346" i="103" s="1"/>
  <c r="O346" i="103"/>
  <c r="L346" i="103" s="1"/>
  <c r="H345" i="103"/>
  <c r="E345" i="103" s="1"/>
  <c r="O345" i="103"/>
  <c r="L345" i="103" s="1"/>
  <c r="H12" i="62"/>
  <c r="O375" i="103"/>
  <c r="H375" i="103"/>
  <c r="E375" i="103" s="1"/>
  <c r="C15" i="62"/>
  <c r="E15" i="62" s="1"/>
  <c r="F14" i="62"/>
  <c r="C14" i="62"/>
  <c r="E14" i="62" s="1"/>
  <c r="G15" i="62"/>
  <c r="H15" i="62" s="1"/>
  <c r="I14" i="62"/>
  <c r="J14" i="62" s="1"/>
  <c r="AB15" i="17"/>
  <c r="BB357" i="103"/>
  <c r="CM357" i="103" s="1"/>
  <c r="BB367" i="103"/>
  <c r="CM367" i="103" s="1"/>
  <c r="CO367" i="103" s="1"/>
  <c r="BB365" i="103"/>
  <c r="CM365" i="103" s="1"/>
  <c r="BB353" i="103"/>
  <c r="CM353" i="103" s="1"/>
  <c r="BB362" i="103"/>
  <c r="CM362" i="103" s="1"/>
  <c r="BB355" i="103"/>
  <c r="CM355" i="103" s="1"/>
  <c r="CO355" i="103" s="1"/>
  <c r="BB375" i="103"/>
  <c r="BB366" i="103"/>
  <c r="BB351" i="103"/>
  <c r="CM351" i="103" s="1"/>
  <c r="CO351" i="103" s="1"/>
  <c r="BB372" i="103"/>
  <c r="BB349" i="103"/>
  <c r="BB374" i="103"/>
  <c r="CM374" i="103" s="1"/>
  <c r="BB370" i="103"/>
  <c r="BB369" i="103"/>
  <c r="CM369" i="103" s="1"/>
  <c r="BB350" i="103"/>
  <c r="CM350" i="103" s="1"/>
  <c r="BB358" i="103"/>
  <c r="CM358" i="103" s="1"/>
  <c r="BB354" i="103"/>
  <c r="CM354" i="103" s="1"/>
  <c r="CG354" i="103" s="1"/>
  <c r="BB373" i="103"/>
  <c r="CM373" i="103" s="1"/>
  <c r="CG373" i="103" s="1"/>
  <c r="BB356" i="103"/>
  <c r="CM356" i="103" s="1"/>
  <c r="BB361" i="103"/>
  <c r="BB346" i="103"/>
  <c r="CM346" i="103" s="1"/>
  <c r="BB347" i="103"/>
  <c r="CM347" i="103" s="1"/>
  <c r="BB360" i="103"/>
  <c r="CM360" i="103" s="1"/>
  <c r="CO360" i="103" s="1"/>
  <c r="BB364" i="103"/>
  <c r="BB371" i="103"/>
  <c r="CM371" i="103" s="1"/>
  <c r="CO371" i="103" s="1"/>
  <c r="BB368" i="103"/>
  <c r="CM368" i="103" s="1"/>
  <c r="BB363" i="103"/>
  <c r="CM363" i="103" s="1"/>
  <c r="CO363" i="103" s="1"/>
  <c r="BB359" i="103"/>
  <c r="CM359" i="103" s="1"/>
  <c r="BB352" i="103"/>
  <c r="BB348" i="103"/>
  <c r="CM348" i="103" s="1"/>
  <c r="CO348" i="103" s="1"/>
  <c r="BB345" i="103"/>
  <c r="CM345" i="103" s="1"/>
  <c r="CO345" i="103" s="1"/>
  <c r="AH141" i="23"/>
  <c r="V149" i="23"/>
  <c r="V136" i="23"/>
  <c r="V135" i="23"/>
  <c r="V133" i="23"/>
  <c r="V150" i="23"/>
  <c r="V138" i="23"/>
  <c r="E37" i="30"/>
  <c r="V152" i="23"/>
  <c r="V137" i="23"/>
  <c r="V147" i="23"/>
  <c r="V134" i="23"/>
  <c r="AV387" i="103"/>
  <c r="AU387" i="103"/>
  <c r="AK136" i="23"/>
  <c r="Z137" i="23"/>
  <c r="AI136" i="23"/>
  <c r="AC134" i="23"/>
  <c r="AI137" i="23"/>
  <c r="AA133" i="23"/>
  <c r="AJ134" i="23"/>
  <c r="AJ137" i="23"/>
  <c r="Z134" i="23"/>
  <c r="AD136" i="23"/>
  <c r="AI133" i="23"/>
  <c r="AD134" i="23"/>
  <c r="AI134" i="23"/>
  <c r="AK133" i="23"/>
  <c r="AE135" i="23"/>
  <c r="AD133" i="23"/>
  <c r="AJ133" i="23"/>
  <c r="AC135" i="23"/>
  <c r="AJ136" i="23"/>
  <c r="AI135" i="23"/>
  <c r="AA137" i="23"/>
  <c r="AA135" i="23"/>
  <c r="AC133" i="23"/>
  <c r="AK137" i="23"/>
  <c r="AK135" i="23"/>
  <c r="AE137" i="23"/>
  <c r="AD135" i="23"/>
  <c r="AA134" i="23"/>
  <c r="AC136" i="23"/>
  <c r="AK134" i="23"/>
  <c r="Z135" i="23"/>
  <c r="Z136" i="23"/>
  <c r="AJ135" i="23"/>
  <c r="AE134" i="23"/>
  <c r="Z133" i="23"/>
  <c r="AE133" i="23"/>
  <c r="AE136" i="23"/>
  <c r="AA136" i="23"/>
  <c r="AC137" i="23"/>
  <c r="AD137" i="23"/>
  <c r="AC129" i="23"/>
  <c r="AK127" i="23"/>
  <c r="AI132" i="23"/>
  <c r="V131" i="23"/>
  <c r="AC126" i="23"/>
  <c r="AI129" i="23"/>
  <c r="AD127" i="23"/>
  <c r="AA132" i="23"/>
  <c r="AI126" i="23"/>
  <c r="AK132" i="23"/>
  <c r="V129" i="23"/>
  <c r="AD132" i="23"/>
  <c r="AA131" i="23"/>
  <c r="AJ126" i="23"/>
  <c r="AJ129" i="23"/>
  <c r="AJ132" i="23"/>
  <c r="Z132" i="23"/>
  <c r="AA129" i="23"/>
  <c r="AK131" i="23"/>
  <c r="AE127" i="23"/>
  <c r="AE130" i="23"/>
  <c r="Z129" i="23"/>
  <c r="AK129" i="23"/>
  <c r="Z130" i="23"/>
  <c r="AD129" i="23"/>
  <c r="AA128" i="23"/>
  <c r="AA126" i="23"/>
  <c r="V128" i="23"/>
  <c r="Z126" i="23"/>
  <c r="AE131" i="23"/>
  <c r="Z127" i="23"/>
  <c r="AK128" i="23"/>
  <c r="AK126" i="23"/>
  <c r="V132" i="23"/>
  <c r="AC127" i="23"/>
  <c r="AH130" i="23"/>
  <c r="AD126" i="23"/>
  <c r="AJ128" i="23"/>
  <c r="AJ131" i="23"/>
  <c r="AC131" i="23"/>
  <c r="AC130" i="23"/>
  <c r="AE126" i="23"/>
  <c r="AE129" i="23"/>
  <c r="AE132" i="23"/>
  <c r="Z131" i="23"/>
  <c r="AI130" i="23"/>
  <c r="AC128" i="23"/>
  <c r="V127" i="23"/>
  <c r="AJ127" i="23"/>
  <c r="AI131" i="23"/>
  <c r="AA130" i="23"/>
  <c r="Z128" i="23"/>
  <c r="AD131" i="23"/>
  <c r="V126" i="23"/>
  <c r="AI127" i="23"/>
  <c r="AI128" i="23"/>
  <c r="AK130" i="23"/>
  <c r="AJ130" i="23"/>
  <c r="AE128" i="23"/>
  <c r="AC132" i="23"/>
  <c r="AA127" i="23"/>
  <c r="AD130" i="23"/>
  <c r="AD128" i="23"/>
  <c r="V130" i="23"/>
  <c r="P9" i="36"/>
  <c r="P13" i="36" s="1"/>
  <c r="V153" i="23"/>
  <c r="Z153" i="23"/>
  <c r="AC153" i="23"/>
  <c r="AE153" i="23"/>
  <c r="AA153" i="23"/>
  <c r="AK153" i="23"/>
  <c r="AJ153" i="23"/>
  <c r="AD153" i="23"/>
  <c r="AI153" i="23"/>
  <c r="AE8" i="17"/>
  <c r="AI152" i="23"/>
  <c r="AD152" i="23"/>
  <c r="AJ152" i="23"/>
  <c r="Z152" i="23"/>
  <c r="AA152" i="23"/>
  <c r="AK152" i="23"/>
  <c r="AE152" i="23"/>
  <c r="AC152" i="23"/>
  <c r="AD8" i="17"/>
  <c r="V151" i="23"/>
  <c r="AI151" i="23"/>
  <c r="AE151" i="23"/>
  <c r="AJ151" i="23"/>
  <c r="Z151" i="23"/>
  <c r="AA151" i="23"/>
  <c r="AK151" i="23"/>
  <c r="AC151" i="23"/>
  <c r="AD151" i="23"/>
  <c r="AC8" i="17"/>
  <c r="AD150" i="23"/>
  <c r="AJ150" i="23"/>
  <c r="AI150" i="23"/>
  <c r="AA150" i="23"/>
  <c r="AK150" i="23"/>
  <c r="Z150" i="23"/>
  <c r="AC150" i="23"/>
  <c r="AE150" i="23"/>
  <c r="AB8" i="17"/>
  <c r="AA149" i="23"/>
  <c r="AK149" i="23"/>
  <c r="AE149" i="23"/>
  <c r="AC149" i="23"/>
  <c r="AJ149" i="23"/>
  <c r="AI149" i="23"/>
  <c r="Z149" i="23"/>
  <c r="AD149" i="23"/>
  <c r="AA8" i="17"/>
  <c r="V148" i="23"/>
  <c r="Z148" i="23"/>
  <c r="AA148" i="23"/>
  <c r="AK148" i="23"/>
  <c r="AC148" i="23"/>
  <c r="AI148" i="23"/>
  <c r="AD148" i="23"/>
  <c r="AJ148" i="23"/>
  <c r="AE148" i="23"/>
  <c r="Z8" i="17"/>
  <c r="AA147" i="23"/>
  <c r="Z147" i="23"/>
  <c r="AC147" i="23"/>
  <c r="AE147" i="23"/>
  <c r="AK147" i="23"/>
  <c r="AD147" i="23"/>
  <c r="AJ147" i="23"/>
  <c r="AI147" i="23"/>
  <c r="Y8" i="17"/>
  <c r="AK146" i="23"/>
  <c r="AJ146" i="23"/>
  <c r="Z146" i="23"/>
  <c r="AI146" i="23"/>
  <c r="AA146" i="23"/>
  <c r="AC146" i="23"/>
  <c r="AE146" i="23"/>
  <c r="AD146" i="23"/>
  <c r="V146" i="23"/>
  <c r="X8" i="17"/>
  <c r="AK145" i="23"/>
  <c r="V145" i="23"/>
  <c r="AJ145" i="23"/>
  <c r="AC145" i="23"/>
  <c r="AD145" i="23"/>
  <c r="Z145" i="23"/>
  <c r="AI145" i="23"/>
  <c r="AE145" i="23"/>
  <c r="AA145" i="23"/>
  <c r="W8" i="17"/>
  <c r="V144" i="23"/>
  <c r="AA144" i="23"/>
  <c r="AK144" i="23"/>
  <c r="Z144" i="23"/>
  <c r="AD144" i="23"/>
  <c r="AJ144" i="23"/>
  <c r="AI144" i="23"/>
  <c r="AC144" i="23"/>
  <c r="AE144" i="23"/>
  <c r="V8" i="17"/>
  <c r="V143" i="23"/>
  <c r="AC143" i="23"/>
  <c r="AA143" i="23"/>
  <c r="AE143" i="23"/>
  <c r="AJ143" i="23"/>
  <c r="AD143" i="23"/>
  <c r="AK143" i="23"/>
  <c r="Z143" i="23"/>
  <c r="AI143" i="23"/>
  <c r="BB332" i="103"/>
  <c r="CM332" i="103" s="1"/>
  <c r="CO332" i="103" s="1"/>
  <c r="BB335" i="103"/>
  <c r="BB330" i="103"/>
  <c r="CM330" i="103" s="1"/>
  <c r="BB334" i="103"/>
  <c r="BB329" i="103"/>
  <c r="CM329" i="103" s="1"/>
  <c r="CO329" i="103" s="1"/>
  <c r="BB328" i="103"/>
  <c r="BB333" i="103"/>
  <c r="BB331" i="103"/>
  <c r="CM331" i="103" s="1"/>
  <c r="U8" i="17"/>
  <c r="V142" i="23"/>
  <c r="AC142" i="23"/>
  <c r="AA142" i="23"/>
  <c r="AK142" i="23"/>
  <c r="Z142" i="23"/>
  <c r="AD142" i="23"/>
  <c r="AE142" i="23"/>
  <c r="AJ142" i="23"/>
  <c r="AI142" i="23"/>
  <c r="T8" i="17"/>
  <c r="V141" i="23"/>
  <c r="AE141" i="23"/>
  <c r="AI141" i="23"/>
  <c r="AA141" i="23"/>
  <c r="AK141" i="23"/>
  <c r="AJ141" i="23"/>
  <c r="Z141" i="23"/>
  <c r="AC141" i="23"/>
  <c r="AD141" i="23"/>
  <c r="S8" i="17"/>
  <c r="V140" i="23"/>
  <c r="AA140" i="23"/>
  <c r="AK140" i="23"/>
  <c r="AE140" i="23"/>
  <c r="AI140" i="23"/>
  <c r="Z140" i="23"/>
  <c r="AC140" i="23"/>
  <c r="AD140" i="23"/>
  <c r="AJ140" i="23"/>
  <c r="R8" i="17"/>
  <c r="V139" i="23"/>
  <c r="AE139" i="23"/>
  <c r="AJ139" i="23"/>
  <c r="AD139" i="23"/>
  <c r="AI139" i="23"/>
  <c r="AC139" i="23"/>
  <c r="Z139" i="23"/>
  <c r="AA139" i="23"/>
  <c r="AK139" i="23"/>
  <c r="Q8" i="17"/>
  <c r="O8" i="68"/>
  <c r="O27" i="68" s="1"/>
  <c r="O13" i="62"/>
  <c r="O15" i="62"/>
  <c r="M15" i="62"/>
  <c r="O12" i="62"/>
  <c r="O14" i="62"/>
  <c r="M12" i="62"/>
  <c r="M14" i="62"/>
  <c r="M13" i="62"/>
  <c r="AI138" i="23"/>
  <c r="AA138" i="23"/>
  <c r="AK138" i="23"/>
  <c r="Z138" i="23"/>
  <c r="AJ138" i="23"/>
  <c r="AC138" i="23"/>
  <c r="AE138" i="23"/>
  <c r="AD138" i="23"/>
  <c r="G8" i="17"/>
  <c r="O8" i="17"/>
  <c r="L8" i="17"/>
  <c r="I8" i="17"/>
  <c r="N8" i="17"/>
  <c r="F8" i="17"/>
  <c r="K8" i="17"/>
  <c r="H8" i="17"/>
  <c r="J8" i="17"/>
  <c r="E8" i="17"/>
  <c r="O28" i="64"/>
  <c r="P28" i="64" s="1"/>
  <c r="M8" i="17"/>
  <c r="D8" i="17"/>
  <c r="C16" i="104"/>
  <c r="O37" i="64"/>
  <c r="P37" i="64" s="1"/>
  <c r="C15" i="104"/>
  <c r="O36" i="64"/>
  <c r="P36" i="64" s="1"/>
  <c r="C14" i="104"/>
  <c r="O35" i="64"/>
  <c r="P35" i="64" s="1"/>
  <c r="C22" i="104"/>
  <c r="O31" i="64"/>
  <c r="C21" i="104"/>
  <c r="O30" i="64"/>
  <c r="P30" i="64" s="1"/>
  <c r="C20" i="104"/>
  <c r="O29" i="64"/>
  <c r="P29" i="64" s="1"/>
  <c r="C13" i="104"/>
  <c r="O27" i="64"/>
  <c r="P27" i="64" s="1"/>
  <c r="C12" i="104"/>
  <c r="O26" i="64"/>
  <c r="P8" i="17"/>
  <c r="BH386" i="103"/>
  <c r="BK380" i="103"/>
  <c r="BK385" i="103"/>
  <c r="BH381" i="103"/>
  <c r="BH384" i="103"/>
  <c r="BH378" i="103"/>
  <c r="BH382" i="103"/>
  <c r="BJ385" i="103"/>
  <c r="BH383" i="103"/>
  <c r="BH377" i="103"/>
  <c r="BH379" i="103"/>
  <c r="BH385" i="103"/>
  <c r="BH380" i="103"/>
  <c r="BI385" i="103"/>
  <c r="BK381" i="103"/>
  <c r="BH387" i="103"/>
  <c r="BI380" i="103"/>
  <c r="BJ380" i="103"/>
  <c r="BH376" i="103"/>
  <c r="S142" i="23"/>
  <c r="S136" i="23"/>
  <c r="S145" i="23"/>
  <c r="S133" i="23"/>
  <c r="S144" i="23"/>
  <c r="S132" i="23"/>
  <c r="S143" i="23"/>
  <c r="AM126" i="23"/>
  <c r="S131" i="23"/>
  <c r="S129" i="23"/>
  <c r="S130" i="23"/>
  <c r="S126" i="23"/>
  <c r="S146" i="23"/>
  <c r="S141" i="23"/>
  <c r="S140" i="23"/>
  <c r="S137" i="23"/>
  <c r="S128" i="23"/>
  <c r="S139" i="23"/>
  <c r="S135" i="23"/>
  <c r="S138" i="23"/>
  <c r="S127" i="23"/>
  <c r="BD318" i="103"/>
  <c r="AV386" i="103"/>
  <c r="BD315" i="103"/>
  <c r="BD326" i="103"/>
  <c r="AU386" i="103"/>
  <c r="BD341" i="103"/>
  <c r="AR386" i="103"/>
  <c r="BD319" i="103"/>
  <c r="BD337" i="103"/>
  <c r="BD339" i="103"/>
  <c r="BD328" i="103"/>
  <c r="BD332" i="103"/>
  <c r="BD333" i="103"/>
  <c r="BD336" i="103"/>
  <c r="BD344" i="103"/>
  <c r="BD334" i="103"/>
  <c r="BD338" i="103"/>
  <c r="AQ386" i="103"/>
  <c r="BD321" i="103"/>
  <c r="BD316" i="103"/>
  <c r="BD331" i="103"/>
  <c r="BD327" i="103"/>
  <c r="BD335" i="103"/>
  <c r="BD340" i="103"/>
  <c r="BD323" i="103"/>
  <c r="BD325" i="103"/>
  <c r="S134" i="23"/>
  <c r="BD342" i="103"/>
  <c r="BD343" i="103"/>
  <c r="AP386" i="103"/>
  <c r="BD322" i="103"/>
  <c r="BD324" i="103"/>
  <c r="BD320" i="103"/>
  <c r="BD330" i="103"/>
  <c r="BD329" i="103"/>
  <c r="AO386" i="103"/>
  <c r="BD317" i="103"/>
  <c r="I27" i="30"/>
  <c r="A7" i="31"/>
  <c r="B14" i="102"/>
  <c r="C14" i="102" s="1"/>
  <c r="B8" i="31"/>
  <c r="B42" i="31"/>
  <c r="A42" i="31" s="1"/>
  <c r="Z15" i="17"/>
  <c r="AN298" i="103"/>
  <c r="AM298" i="103" s="1"/>
  <c r="AN296" i="103"/>
  <c r="CI296" i="103" s="1"/>
  <c r="CL296" i="103" s="1"/>
  <c r="AN286" i="103"/>
  <c r="AN300" i="103"/>
  <c r="CI300" i="103" s="1"/>
  <c r="CK300" i="103" s="1"/>
  <c r="AN299" i="103"/>
  <c r="AM299" i="103" s="1"/>
  <c r="AN310" i="103"/>
  <c r="AN289" i="103"/>
  <c r="AN302" i="103"/>
  <c r="AN292" i="103"/>
  <c r="AN305" i="103"/>
  <c r="AN295" i="103"/>
  <c r="AM295" i="103" s="1"/>
  <c r="AN285" i="103"/>
  <c r="AM285" i="103" s="1"/>
  <c r="AN309" i="103"/>
  <c r="AM309" i="103" s="1"/>
  <c r="AN312" i="103"/>
  <c r="CI312" i="103" s="1"/>
  <c r="CK312" i="103" s="1"/>
  <c r="AN308" i="103"/>
  <c r="AM308" i="103" s="1"/>
  <c r="AN311" i="103"/>
  <c r="CI311" i="103" s="1"/>
  <c r="CK311" i="103" s="1"/>
  <c r="AN314" i="103"/>
  <c r="AN288" i="103"/>
  <c r="AN313" i="103"/>
  <c r="AN284" i="103"/>
  <c r="AN291" i="103"/>
  <c r="AN301" i="103"/>
  <c r="CI301" i="103" s="1"/>
  <c r="CK301" i="103" s="1"/>
  <c r="S152" i="23"/>
  <c r="AN297" i="103"/>
  <c r="AM297" i="103" s="1"/>
  <c r="O9" i="36"/>
  <c r="O13" i="36" s="1"/>
  <c r="I30" i="30"/>
  <c r="S153" i="23"/>
  <c r="I18" i="30"/>
  <c r="CP309" i="103"/>
  <c r="CQ309" i="103" s="1"/>
  <c r="I15" i="30"/>
  <c r="S151" i="23"/>
  <c r="S150" i="23"/>
  <c r="AM87" i="22"/>
  <c r="AK67" i="22"/>
  <c r="Q118" i="67"/>
  <c r="AM42" i="22"/>
  <c r="AK24" i="22"/>
  <c r="Q18" i="67"/>
  <c r="AK65" i="22"/>
  <c r="Q89" i="67"/>
  <c r="AM65" i="22"/>
  <c r="AM81" i="22"/>
  <c r="AK91" i="22"/>
  <c r="AM88" i="22"/>
  <c r="Q66" i="67"/>
  <c r="AM94" i="22"/>
  <c r="Q114" i="67"/>
  <c r="AM122" i="22"/>
  <c r="AK89" i="22"/>
  <c r="AM35" i="22"/>
  <c r="Q24" i="67"/>
  <c r="Q80" i="67"/>
  <c r="AM60" i="22"/>
  <c r="AK58" i="22"/>
  <c r="AM106" i="22"/>
  <c r="AM76" i="22"/>
  <c r="Q85" i="67"/>
  <c r="AK107" i="22"/>
  <c r="AK101" i="22"/>
  <c r="Q21" i="67"/>
  <c r="AK87" i="22"/>
  <c r="AK120" i="22"/>
  <c r="AK96" i="22"/>
  <c r="AM55" i="22"/>
  <c r="AM39" i="22"/>
  <c r="AK21" i="22"/>
  <c r="Q15" i="67"/>
  <c r="AM48" i="22"/>
  <c r="Q92" i="67"/>
  <c r="AK75" i="22"/>
  <c r="Q58" i="67"/>
  <c r="Q75" i="67"/>
  <c r="AM84" i="22"/>
  <c r="AK79" i="22"/>
  <c r="Q107" i="67"/>
  <c r="AM91" i="22"/>
  <c r="AK83" i="22"/>
  <c r="AM97" i="22"/>
  <c r="Q117" i="67"/>
  <c r="AM125" i="22"/>
  <c r="AM126" i="22"/>
  <c r="Q110" i="67"/>
  <c r="AK113" i="22"/>
  <c r="AK138" i="22"/>
  <c r="AK147" i="22"/>
  <c r="AK156" i="22"/>
  <c r="Q168" i="67"/>
  <c r="AM171" i="22"/>
  <c r="Q180" i="67"/>
  <c r="AM183" i="22"/>
  <c r="Q192" i="67"/>
  <c r="AK166" i="22"/>
  <c r="AK184" i="22"/>
  <c r="Q169" i="67"/>
  <c r="AM172" i="22"/>
  <c r="Q181" i="67"/>
  <c r="AM184" i="22"/>
  <c r="Q193" i="67"/>
  <c r="AK170" i="22"/>
  <c r="AK188" i="22"/>
  <c r="AM170" i="22"/>
  <c r="Q179" i="67"/>
  <c r="AM182" i="22"/>
  <c r="Q191" i="67"/>
  <c r="Q208" i="67"/>
  <c r="AM225" i="22"/>
  <c r="AK223" i="22"/>
  <c r="Q209" i="67"/>
  <c r="AM226" i="22"/>
  <c r="AK215" i="22"/>
  <c r="AM209" i="22"/>
  <c r="Q228" i="67"/>
  <c r="AM245" i="22"/>
  <c r="AK201" i="22"/>
  <c r="Q259" i="67"/>
  <c r="AK249" i="22"/>
  <c r="BU259" i="103"/>
  <c r="BU256" i="103"/>
  <c r="Q242" i="67"/>
  <c r="AK238" i="22"/>
  <c r="BT260" i="103"/>
  <c r="AM238" i="22"/>
  <c r="Q258" i="67"/>
  <c r="AK251" i="22"/>
  <c r="BU258" i="103"/>
  <c r="Q269" i="67"/>
  <c r="Q272" i="67"/>
  <c r="BU266" i="103"/>
  <c r="BT267" i="103"/>
  <c r="BT271" i="103"/>
  <c r="Q312" i="67"/>
  <c r="Q328" i="67"/>
  <c r="Q304" i="67"/>
  <c r="Q338" i="67"/>
  <c r="Q314" i="67"/>
  <c r="Q330" i="67"/>
  <c r="Q346" i="67"/>
  <c r="AM347" i="22"/>
  <c r="Q362" i="67"/>
  <c r="AM359" i="22"/>
  <c r="Q374" i="67"/>
  <c r="AK363" i="22"/>
  <c r="AM336" i="22"/>
  <c r="AM351" i="22"/>
  <c r="Q366" i="67"/>
  <c r="AM363" i="22"/>
  <c r="Q378" i="67"/>
  <c r="AM343" i="22"/>
  <c r="AK347" i="22"/>
  <c r="Q385" i="67"/>
  <c r="Q384" i="67"/>
  <c r="AM54" i="22"/>
  <c r="AK39" i="22"/>
  <c r="AM19" i="22"/>
  <c r="Q29" i="67"/>
  <c r="AM22" i="22"/>
  <c r="AM50" i="22"/>
  <c r="AM63" i="22"/>
  <c r="AK112" i="22"/>
  <c r="Q44" i="67"/>
  <c r="AK36" i="22"/>
  <c r="Q12" i="67"/>
  <c r="Q61" i="67"/>
  <c r="AK66" i="22"/>
  <c r="AM69" i="22"/>
  <c r="Q78" i="67"/>
  <c r="AK61" i="22"/>
  <c r="AM100" i="22"/>
  <c r="AK92" i="22"/>
  <c r="AM110" i="22"/>
  <c r="Q120" i="67"/>
  <c r="Q69" i="67"/>
  <c r="AK15" i="22"/>
  <c r="AM58" i="22"/>
  <c r="AM29" i="22"/>
  <c r="Q67" i="67"/>
  <c r="AM77" i="22"/>
  <c r="Q86" i="67"/>
  <c r="AK78" i="22"/>
  <c r="AK57" i="22"/>
  <c r="AM90" i="22"/>
  <c r="AK82" i="22"/>
  <c r="Q56" i="67"/>
  <c r="Q73" i="67"/>
  <c r="AM82" i="22"/>
  <c r="AK74" i="22"/>
  <c r="AK86" i="22"/>
  <c r="Q53" i="67"/>
  <c r="AM32" i="22"/>
  <c r="AK56" i="22"/>
  <c r="Q40" i="67"/>
  <c r="AK33" i="22"/>
  <c r="AM20" i="22"/>
  <c r="AM64" i="22"/>
  <c r="AK59" i="22"/>
  <c r="AM89" i="22"/>
  <c r="AK90" i="22"/>
  <c r="AM56" i="22"/>
  <c r="Q64" i="67"/>
  <c r="AM72" i="22"/>
  <c r="Q81" i="67"/>
  <c r="AK70" i="22"/>
  <c r="Q88" i="67"/>
  <c r="Q94" i="67"/>
  <c r="AM113" i="22"/>
  <c r="Q123" i="67"/>
  <c r="AK46" i="22"/>
  <c r="AK52" i="22"/>
  <c r="Q33" i="67"/>
  <c r="AM26" i="22"/>
  <c r="Q70" i="67"/>
  <c r="AM80" i="22"/>
  <c r="Q59" i="67"/>
  <c r="AK64" i="22"/>
  <c r="AM67" i="22"/>
  <c r="Q76" i="67"/>
  <c r="AM85" i="22"/>
  <c r="AM133" i="22"/>
  <c r="AK95" i="22"/>
  <c r="AM74" i="22"/>
  <c r="AM95" i="22"/>
  <c r="AM99" i="22"/>
  <c r="Q113" i="67"/>
  <c r="AM121" i="22"/>
  <c r="Q54" i="67"/>
  <c r="AK30" i="22"/>
  <c r="AM17" i="22"/>
  <c r="Q47" i="67"/>
  <c r="AK69" i="22"/>
  <c r="AK81" i="22"/>
  <c r="AM59" i="22"/>
  <c r="AK60" i="22"/>
  <c r="AM75" i="22"/>
  <c r="Q84" i="67"/>
  <c r="AK73" i="22"/>
  <c r="AK85" i="22"/>
  <c r="Q91" i="67"/>
  <c r="AK77" i="22"/>
  <c r="Q97" i="67"/>
  <c r="AM116" i="22"/>
  <c r="Q126" i="67"/>
  <c r="AK18" i="22"/>
  <c r="AM79" i="22"/>
  <c r="Q30" i="67"/>
  <c r="AM23" i="22"/>
  <c r="AK62" i="22"/>
  <c r="Q74" i="67"/>
  <c r="AM83" i="22"/>
  <c r="AK88" i="22"/>
  <c r="AM103" i="22"/>
  <c r="Q62" i="67"/>
  <c r="AM70" i="22"/>
  <c r="Q79" i="67"/>
  <c r="AM136" i="22"/>
  <c r="AM92" i="22"/>
  <c r="Q83" i="67"/>
  <c r="Q60" i="67"/>
  <c r="Q37" i="67"/>
  <c r="AM45" i="22"/>
  <c r="AK27" i="22"/>
  <c r="AM14" i="22"/>
  <c r="Q36" i="67"/>
  <c r="AK49" i="22"/>
  <c r="AM62" i="22"/>
  <c r="Q68" i="67"/>
  <c r="AM78" i="22"/>
  <c r="Q87" i="67"/>
  <c r="Q100" i="67"/>
  <c r="AK98" i="22"/>
  <c r="Q111" i="67"/>
  <c r="AM119" i="22"/>
  <c r="Q129" i="67"/>
  <c r="AK40" i="22"/>
  <c r="Q50" i="67"/>
  <c r="Q27" i="67"/>
  <c r="AM68" i="22"/>
  <c r="Q77" i="67"/>
  <c r="AM86" i="22"/>
  <c r="AK84" i="22"/>
  <c r="AK63" i="22"/>
  <c r="Q90" i="67"/>
  <c r="AM66" i="22"/>
  <c r="AK76" i="22"/>
  <c r="AM57" i="22"/>
  <c r="Q65" i="67"/>
  <c r="AM73" i="22"/>
  <c r="Q82" i="67"/>
  <c r="AK68" i="22"/>
  <c r="AK80" i="22"/>
  <c r="AK104" i="22"/>
  <c r="AK117" i="22"/>
  <c r="Q101" i="67"/>
  <c r="Q138" i="67"/>
  <c r="Q115" i="67"/>
  <c r="AM123" i="22"/>
  <c r="AK109" i="22"/>
  <c r="AK127" i="22"/>
  <c r="AM96" i="22"/>
  <c r="AM118" i="22"/>
  <c r="Q128" i="67"/>
  <c r="AK110" i="22"/>
  <c r="AK134" i="22"/>
  <c r="AK143" i="22"/>
  <c r="AK152" i="22"/>
  <c r="AK161" i="22"/>
  <c r="AM198" i="22"/>
  <c r="AM195" i="22"/>
  <c r="AK181" i="22"/>
  <c r="AK167" i="22"/>
  <c r="AK185" i="22"/>
  <c r="AM194" i="22"/>
  <c r="AM219" i="22"/>
  <c r="AK217" i="22"/>
  <c r="AM248" i="22"/>
  <c r="AM232" i="22"/>
  <c r="AM220" i="22"/>
  <c r="AK209" i="22"/>
  <c r="AM203" i="22"/>
  <c r="Q222" i="67"/>
  <c r="AK246" i="22"/>
  <c r="Q301" i="67"/>
  <c r="AM252" i="22"/>
  <c r="Q252" i="67"/>
  <c r="AK245" i="22"/>
  <c r="BU272" i="103"/>
  <c r="BT273" i="103"/>
  <c r="BT277" i="103"/>
  <c r="Q309" i="67"/>
  <c r="Q335" i="67"/>
  <c r="AK322" i="22"/>
  <c r="Q311" i="67"/>
  <c r="Q327" i="67"/>
  <c r="Q343" i="67"/>
  <c r="AK339" i="22"/>
  <c r="AK369" i="22"/>
  <c r="AM333" i="22"/>
  <c r="AK334" i="22"/>
  <c r="AK343" i="22"/>
  <c r="AM340" i="22"/>
  <c r="AK353" i="22"/>
  <c r="Q386" i="67"/>
  <c r="AK42" i="22"/>
  <c r="Q57" i="67"/>
  <c r="Q32" i="67"/>
  <c r="AM25" i="22"/>
  <c r="AM53" i="22"/>
  <c r="Q45" i="67"/>
  <c r="AK31" i="22"/>
  <c r="AM49" i="22"/>
  <c r="Q108" i="67"/>
  <c r="AK105" i="22"/>
  <c r="Q144" i="67"/>
  <c r="Q153" i="67"/>
  <c r="Q162" i="67"/>
  <c r="AM134" i="22"/>
  <c r="AM143" i="22"/>
  <c r="AM152" i="22"/>
  <c r="AM161" i="22"/>
  <c r="AM141" i="22"/>
  <c r="AM150" i="22"/>
  <c r="AM159" i="22"/>
  <c r="AK139" i="22"/>
  <c r="AK148" i="22"/>
  <c r="AK157" i="22"/>
  <c r="AK171" i="22"/>
  <c r="AK189" i="22"/>
  <c r="AK199" i="22"/>
  <c r="AM197" i="22"/>
  <c r="Q205" i="67"/>
  <c r="AM222" i="22"/>
  <c r="AK220" i="22"/>
  <c r="Q206" i="67"/>
  <c r="AM223" i="22"/>
  <c r="Q241" i="67"/>
  <c r="AK212" i="22"/>
  <c r="AM206" i="22"/>
  <c r="Q225" i="67"/>
  <c r="Q256" i="67"/>
  <c r="AK235" i="22"/>
  <c r="Q255" i="67"/>
  <c r="AK248" i="22"/>
  <c r="BU269" i="103"/>
  <c r="BT270" i="103"/>
  <c r="Q300" i="67"/>
  <c r="BT274" i="103"/>
  <c r="AK329" i="22"/>
  <c r="AM329" i="22"/>
  <c r="AK321" i="22"/>
  <c r="AK330" i="22"/>
  <c r="Q319" i="67"/>
  <c r="AM321" i="22"/>
  <c r="AK348" i="22"/>
  <c r="Q350" i="67"/>
  <c r="AK358" i="22"/>
  <c r="Q358" i="67"/>
  <c r="AM355" i="22"/>
  <c r="Q370" i="67"/>
  <c r="AM367" i="22"/>
  <c r="AK338" i="22"/>
  <c r="AK368" i="22"/>
  <c r="AK374" i="22"/>
  <c r="AK373" i="22"/>
  <c r="AK55" i="22"/>
  <c r="AK32" i="22"/>
  <c r="AM37" i="22"/>
  <c r="Q55" i="67"/>
  <c r="Q41" i="67"/>
  <c r="AM18" i="22"/>
  <c r="AM36" i="22"/>
  <c r="Q25" i="67"/>
  <c r="AK47" i="22"/>
  <c r="AK28" i="22"/>
  <c r="AK94" i="22"/>
  <c r="AM139" i="22"/>
  <c r="AM148" i="22"/>
  <c r="AM157" i="22"/>
  <c r="Q132" i="67"/>
  <c r="Q142" i="67"/>
  <c r="Q151" i="67"/>
  <c r="Q160" i="67"/>
  <c r="Q140" i="67"/>
  <c r="Q149" i="67"/>
  <c r="Q158" i="67"/>
  <c r="AK130" i="22"/>
  <c r="AK174" i="22"/>
  <c r="AK192" i="22"/>
  <c r="Q211" i="67"/>
  <c r="AK226" i="22"/>
  <c r="Q212" i="67"/>
  <c r="AK218" i="22"/>
  <c r="Q235" i="67"/>
  <c r="AK243" i="22"/>
  <c r="AM212" i="22"/>
  <c r="Q232" i="67"/>
  <c r="AK204" i="22"/>
  <c r="Q233" i="67"/>
  <c r="Q263" i="67"/>
  <c r="BT265" i="103"/>
  <c r="AK252" i="22"/>
  <c r="BU265" i="103"/>
  <c r="Q245" i="67"/>
  <c r="AK241" i="22"/>
  <c r="BT257" i="103"/>
  <c r="AM241" i="22"/>
  <c r="Q279" i="67"/>
  <c r="Q291" i="67"/>
  <c r="AK254" i="22"/>
  <c r="AK320" i="22"/>
  <c r="AK326" i="22"/>
  <c r="AK317" i="22"/>
  <c r="Q303" i="67"/>
  <c r="BT268" i="103"/>
  <c r="BU283" i="103"/>
  <c r="AM324" i="22"/>
  <c r="Q353" i="67"/>
  <c r="AK352" i="22"/>
  <c r="Q342" i="67"/>
  <c r="AK362" i="22"/>
  <c r="AM374" i="22"/>
  <c r="AM44" i="22"/>
  <c r="AK29" i="22"/>
  <c r="Q38" i="67"/>
  <c r="AM15" i="22"/>
  <c r="AM61" i="22"/>
  <c r="AM33" i="22"/>
  <c r="Q22" i="67"/>
  <c r="AK123" i="22"/>
  <c r="AM98" i="22"/>
  <c r="AM111" i="22"/>
  <c r="Q121" i="67"/>
  <c r="AK115" i="22"/>
  <c r="Q93" i="67"/>
  <c r="Q116" i="67"/>
  <c r="AM124" i="22"/>
  <c r="AK116" i="22"/>
  <c r="AK137" i="22"/>
  <c r="AK146" i="22"/>
  <c r="AK155" i="22"/>
  <c r="AK195" i="22"/>
  <c r="AK169" i="22"/>
  <c r="AK187" i="22"/>
  <c r="AK173" i="22"/>
  <c r="AK191" i="22"/>
  <c r="Q204" i="67"/>
  <c r="AK198" i="22"/>
  <c r="Q214" i="67"/>
  <c r="Q244" i="67"/>
  <c r="Q215" i="67"/>
  <c r="AK221" i="22"/>
  <c r="Q238" i="67"/>
  <c r="AM215" i="22"/>
  <c r="AK207" i="22"/>
  <c r="Q236" i="67"/>
  <c r="BT262" i="103"/>
  <c r="BU262" i="103"/>
  <c r="Q282" i="67"/>
  <c r="Q248" i="67"/>
  <c r="AK244" i="22"/>
  <c r="AM244" i="22"/>
  <c r="BT281" i="103"/>
  <c r="Q274" i="67"/>
  <c r="Q277" i="67"/>
  <c r="Q280" i="67"/>
  <c r="Q283" i="67"/>
  <c r="Q286" i="67"/>
  <c r="Q289" i="67"/>
  <c r="BU280" i="103"/>
  <c r="Q315" i="67"/>
  <c r="Q331" i="67"/>
  <c r="Q307" i="67"/>
  <c r="Q322" i="67"/>
  <c r="AK325" i="22"/>
  <c r="Q317" i="67"/>
  <c r="Q333" i="67"/>
  <c r="Q349" i="67"/>
  <c r="AK333" i="22"/>
  <c r="AK342" i="22"/>
  <c r="AK357" i="22"/>
  <c r="AM339" i="22"/>
  <c r="AK337" i="22"/>
  <c r="AK367" i="22"/>
  <c r="Q361" i="67"/>
  <c r="AM358" i="22"/>
  <c r="Q373" i="67"/>
  <c r="AM370" i="22"/>
  <c r="AM16" i="22"/>
  <c r="Q26" i="67"/>
  <c r="AK25" i="22"/>
  <c r="Q51" i="67"/>
  <c r="AM104" i="22"/>
  <c r="AK99" i="22"/>
  <c r="Q131" i="67"/>
  <c r="Q106" i="67"/>
  <c r="Q147" i="67"/>
  <c r="Q156" i="67"/>
  <c r="Q165" i="67"/>
  <c r="AM137" i="22"/>
  <c r="AM146" i="22"/>
  <c r="AM155" i="22"/>
  <c r="Q130" i="67"/>
  <c r="AM135" i="22"/>
  <c r="AM144" i="22"/>
  <c r="AM153" i="22"/>
  <c r="AM162" i="22"/>
  <c r="AK133" i="22"/>
  <c r="AK142" i="22"/>
  <c r="AK151" i="22"/>
  <c r="AK160" i="22"/>
  <c r="AK177" i="22"/>
  <c r="Q171" i="67"/>
  <c r="AM174" i="22"/>
  <c r="Q183" i="67"/>
  <c r="AM186" i="22"/>
  <c r="Q195" i="67"/>
  <c r="AK203" i="22"/>
  <c r="Q172" i="67"/>
  <c r="AM175" i="22"/>
  <c r="Q184" i="67"/>
  <c r="AM187" i="22"/>
  <c r="Q196" i="67"/>
  <c r="AK194" i="22"/>
  <c r="Q170" i="67"/>
  <c r="AM173" i="22"/>
  <c r="Q182" i="67"/>
  <c r="AM185" i="22"/>
  <c r="Q194" i="67"/>
  <c r="Q217" i="67"/>
  <c r="AK237" i="22"/>
  <c r="Q218" i="67"/>
  <c r="AM239" i="22"/>
  <c r="AM236" i="22"/>
  <c r="AM218" i="22"/>
  <c r="AK210" i="22"/>
  <c r="Q239" i="67"/>
  <c r="Q295" i="67"/>
  <c r="Q267" i="67"/>
  <c r="Q251" i="67"/>
  <c r="AK247" i="22"/>
  <c r="AM247" i="22"/>
  <c r="BT278" i="103"/>
  <c r="BU277" i="103"/>
  <c r="Q340" i="67"/>
  <c r="AM317" i="22"/>
  <c r="AK324" i="22"/>
  <c r="AM327" i="22"/>
  <c r="AM319" i="22"/>
  <c r="AM335" i="22"/>
  <c r="AM350" i="22"/>
  <c r="Q365" i="67"/>
  <c r="AM362" i="22"/>
  <c r="Q377" i="67"/>
  <c r="Q357" i="67"/>
  <c r="AM354" i="22"/>
  <c r="Q369" i="67"/>
  <c r="AM366" i="22"/>
  <c r="Q345" i="67"/>
  <c r="AK341" i="22"/>
  <c r="AK356" i="22"/>
  <c r="AM373" i="22"/>
  <c r="AM372" i="22"/>
  <c r="AM41" i="22"/>
  <c r="AK26" i="22"/>
  <c r="AK19" i="22"/>
  <c r="Q63" i="67"/>
  <c r="Q19" i="67"/>
  <c r="AM30" i="22"/>
  <c r="AK126" i="22"/>
  <c r="AM101" i="22"/>
  <c r="AM114" i="22"/>
  <c r="Q124" i="67"/>
  <c r="AK118" i="22"/>
  <c r="Q96" i="67"/>
  <c r="AK97" i="22"/>
  <c r="AM109" i="22"/>
  <c r="Q119" i="67"/>
  <c r="AM127" i="22"/>
  <c r="AK119" i="22"/>
  <c r="AK128" i="22"/>
  <c r="AK141" i="22"/>
  <c r="AK150" i="22"/>
  <c r="AK159" i="22"/>
  <c r="AK200" i="22"/>
  <c r="AK172" i="22"/>
  <c r="AK190" i="22"/>
  <c r="Q200" i="67"/>
  <c r="AK176" i="22"/>
  <c r="AK197" i="22"/>
  <c r="AM201" i="22"/>
  <c r="Q220" i="67"/>
  <c r="Q234" i="67"/>
  <c r="AM202" i="22"/>
  <c r="Q221" i="67"/>
  <c r="AK228" i="22"/>
  <c r="Q253" i="67"/>
  <c r="AM221" i="22"/>
  <c r="AM235" i="22"/>
  <c r="AK213" i="22"/>
  <c r="BU255" i="103"/>
  <c r="AM251" i="22"/>
  <c r="BT256" i="103"/>
  <c r="Q270" i="67"/>
  <c r="Q273" i="67"/>
  <c r="Q254" i="67"/>
  <c r="AK250" i="22"/>
  <c r="AM250" i="22"/>
  <c r="BT264" i="103"/>
  <c r="BU264" i="103"/>
  <c r="BT275" i="103"/>
  <c r="BU282" i="103"/>
  <c r="BU274" i="103"/>
  <c r="Q334" i="67"/>
  <c r="Q310" i="67"/>
  <c r="Q326" i="67"/>
  <c r="Q336" i="67"/>
  <c r="Q352" i="67"/>
  <c r="AK351" i="22"/>
  <c r="AM342" i="22"/>
  <c r="AK361" i="22"/>
  <c r="AM371" i="22"/>
  <c r="AK372" i="22"/>
  <c r="AK376" i="22"/>
  <c r="AM38" i="22"/>
  <c r="AK20" i="22"/>
  <c r="AM13" i="22"/>
  <c r="AM34" i="22"/>
  <c r="Q23" i="67"/>
  <c r="Q52" i="67"/>
  <c r="AK44" i="22"/>
  <c r="AM46" i="22"/>
  <c r="AK22" i="22"/>
  <c r="AK53" i="22"/>
  <c r="AM51" i="22"/>
  <c r="AM107" i="22"/>
  <c r="Q109" i="67"/>
  <c r="AM142" i="22"/>
  <c r="AM151" i="22"/>
  <c r="AM160" i="22"/>
  <c r="AM128" i="22"/>
  <c r="Q136" i="67"/>
  <c r="Q145" i="67"/>
  <c r="Q154" i="67"/>
  <c r="Q163" i="67"/>
  <c r="Q133" i="67"/>
  <c r="Q143" i="67"/>
  <c r="Q152" i="67"/>
  <c r="Q161" i="67"/>
  <c r="AK180" i="22"/>
  <c r="Q199" i="67"/>
  <c r="AM204" i="22"/>
  <c r="Q223" i="67"/>
  <c r="AK202" i="22"/>
  <c r="Q237" i="67"/>
  <c r="AK227" i="22"/>
  <c r="AM205" i="22"/>
  <c r="Q224" i="67"/>
  <c r="AM227" i="22"/>
  <c r="AK231" i="22"/>
  <c r="Q207" i="67"/>
  <c r="AK216" i="22"/>
  <c r="AM254" i="22"/>
  <c r="AM237" i="22"/>
  <c r="Q257" i="67"/>
  <c r="AK253" i="22"/>
  <c r="BU260" i="103"/>
  <c r="AM253" i="22"/>
  <c r="BT261" i="103"/>
  <c r="BU261" i="103"/>
  <c r="BT272" i="103"/>
  <c r="Q296" i="67"/>
  <c r="BU279" i="103"/>
  <c r="BU271" i="103"/>
  <c r="Q318" i="67"/>
  <c r="AM320" i="22"/>
  <c r="AM330" i="22"/>
  <c r="Q320" i="67"/>
  <c r="AM322" i="22"/>
  <c r="AK332" i="22"/>
  <c r="AM338" i="22"/>
  <c r="AK366" i="22"/>
  <c r="Q348" i="67"/>
  <c r="AM349" i="22"/>
  <c r="Q364" i="67"/>
  <c r="AM361" i="22"/>
  <c r="Q376" i="67"/>
  <c r="AK350" i="22"/>
  <c r="Q46" i="67"/>
  <c r="AK23" i="22"/>
  <c r="AM47" i="22"/>
  <c r="AK16" i="22"/>
  <c r="Q16" i="67"/>
  <c r="Q48" i="67"/>
  <c r="Q34" i="67"/>
  <c r="AM27" i="22"/>
  <c r="AK111" i="22"/>
  <c r="Q95" i="67"/>
  <c r="AM117" i="22"/>
  <c r="Q127" i="67"/>
  <c r="AM108" i="22"/>
  <c r="AK121" i="22"/>
  <c r="Q99" i="67"/>
  <c r="AK103" i="22"/>
  <c r="AM112" i="22"/>
  <c r="Q122" i="67"/>
  <c r="AK122" i="22"/>
  <c r="AK131" i="22"/>
  <c r="AK140" i="22"/>
  <c r="AK149" i="22"/>
  <c r="AK158" i="22"/>
  <c r="AM199" i="22"/>
  <c r="AM165" i="22"/>
  <c r="Q174" i="67"/>
  <c r="AM177" i="22"/>
  <c r="Q186" i="67"/>
  <c r="AM189" i="22"/>
  <c r="Q202" i="67"/>
  <c r="AK175" i="22"/>
  <c r="AK196" i="22"/>
  <c r="AM166" i="22"/>
  <c r="Q175" i="67"/>
  <c r="AM178" i="22"/>
  <c r="Q187" i="67"/>
  <c r="AM190" i="22"/>
  <c r="AK179" i="22"/>
  <c r="AM164" i="22"/>
  <c r="Q173" i="67"/>
  <c r="AM176" i="22"/>
  <c r="Q185" i="67"/>
  <c r="AM188" i="22"/>
  <c r="Q201" i="67"/>
  <c r="AM207" i="22"/>
  <c r="Q226" i="67"/>
  <c r="AK205" i="22"/>
  <c r="AK230" i="22"/>
  <c r="Q247" i="67"/>
  <c r="AM208" i="22"/>
  <c r="Q227" i="67"/>
  <c r="AK240" i="22"/>
  <c r="AM230" i="22"/>
  <c r="AM242" i="22"/>
  <c r="AK234" i="22"/>
  <c r="Q210" i="67"/>
  <c r="AK219" i="22"/>
  <c r="AM228" i="22"/>
  <c r="AM240" i="22"/>
  <c r="Q260" i="67"/>
  <c r="Q264" i="67"/>
  <c r="BU257" i="103"/>
  <c r="BT255" i="103"/>
  <c r="BT269" i="103"/>
  <c r="BU276" i="103"/>
  <c r="Q275" i="67"/>
  <c r="Q278" i="67"/>
  <c r="Q281" i="67"/>
  <c r="Q284" i="67"/>
  <c r="Q287" i="67"/>
  <c r="Q290" i="67"/>
  <c r="BU268" i="103"/>
  <c r="Q337" i="67"/>
  <c r="Q313" i="67"/>
  <c r="Q329" i="67"/>
  <c r="AK319" i="22"/>
  <c r="AK328" i="22"/>
  <c r="Q305" i="67"/>
  <c r="Q339" i="67"/>
  <c r="AM353" i="22"/>
  <c r="Q368" i="67"/>
  <c r="AM365" i="22"/>
  <c r="Q380" i="67"/>
  <c r="AK336" i="22"/>
  <c r="AK345" i="22"/>
  <c r="AM345" i="22"/>
  <c r="Q360" i="67"/>
  <c r="AM357" i="22"/>
  <c r="Q372" i="67"/>
  <c r="AM369" i="22"/>
  <c r="AK340" i="22"/>
  <c r="AK355" i="22"/>
  <c r="AM334" i="22"/>
  <c r="AK371" i="22"/>
  <c r="AK365" i="22"/>
  <c r="AM376" i="22"/>
  <c r="AM375" i="22"/>
  <c r="AK17" i="22"/>
  <c r="Q17" i="67"/>
  <c r="AM31" i="22"/>
  <c r="Q20" i="67"/>
  <c r="AK54" i="22"/>
  <c r="Q49" i="67"/>
  <c r="AK41" i="22"/>
  <c r="AK100" i="22"/>
  <c r="Q141" i="67"/>
  <c r="Q150" i="67"/>
  <c r="Q159" i="67"/>
  <c r="AM131" i="22"/>
  <c r="AM140" i="22"/>
  <c r="AM149" i="22"/>
  <c r="AM158" i="22"/>
  <c r="AM138" i="22"/>
  <c r="AM147" i="22"/>
  <c r="AM156" i="22"/>
  <c r="AK136" i="22"/>
  <c r="AK145" i="22"/>
  <c r="AK154" i="22"/>
  <c r="AK165" i="22"/>
  <c r="AK183" i="22"/>
  <c r="Q203" i="67"/>
  <c r="AK229" i="22"/>
  <c r="AM210" i="22"/>
  <c r="AK208" i="22"/>
  <c r="AK233" i="22"/>
  <c r="AM211" i="22"/>
  <c r="Q231" i="67"/>
  <c r="AM233" i="22"/>
  <c r="Q213" i="67"/>
  <c r="AK222" i="22"/>
  <c r="AM231" i="22"/>
  <c r="AM234" i="22"/>
  <c r="AM243" i="22"/>
  <c r="Q271" i="67"/>
  <c r="Q265" i="67"/>
  <c r="Q268" i="67"/>
  <c r="Q243" i="67"/>
  <c r="Q285" i="67"/>
  <c r="AK236" i="22"/>
  <c r="BT266" i="103"/>
  <c r="BU281" i="103"/>
  <c r="Q299" i="67"/>
  <c r="BT282" i="103"/>
  <c r="BU273" i="103"/>
  <c r="Q294" i="67"/>
  <c r="AM323" i="22"/>
  <c r="AK318" i="22"/>
  <c r="AK327" i="22"/>
  <c r="AM325" i="22"/>
  <c r="AM341" i="22"/>
  <c r="AK360" i="22"/>
  <c r="Q381" i="67"/>
  <c r="Q344" i="67"/>
  <c r="AK370" i="22"/>
  <c r="Q351" i="67"/>
  <c r="AK335" i="22"/>
  <c r="AK344" i="22"/>
  <c r="Q383" i="67"/>
  <c r="AK45" i="22"/>
  <c r="AK48" i="22"/>
  <c r="AK38" i="22"/>
  <c r="AK13" i="22"/>
  <c r="AM40" i="22"/>
  <c r="Q13" i="67"/>
  <c r="AK50" i="22"/>
  <c r="AK37" i="22"/>
  <c r="Q31" i="67"/>
  <c r="AM24" i="22"/>
  <c r="AK114" i="22"/>
  <c r="Q98" i="67"/>
  <c r="Q112" i="67"/>
  <c r="AM120" i="22"/>
  <c r="AK124" i="22"/>
  <c r="AK129" i="22"/>
  <c r="AM93" i="22"/>
  <c r="Q102" i="67"/>
  <c r="AK106" i="22"/>
  <c r="AM115" i="22"/>
  <c r="Q125" i="67"/>
  <c r="AK125" i="22"/>
  <c r="AK135" i="22"/>
  <c r="AK144" i="22"/>
  <c r="AK153" i="22"/>
  <c r="AK162" i="22"/>
  <c r="AK178" i="22"/>
  <c r="AK164" i="22"/>
  <c r="AK182" i="22"/>
  <c r="AK232" i="22"/>
  <c r="AM213" i="22"/>
  <c r="AK211" i="22"/>
  <c r="AM214" i="22"/>
  <c r="Q216" i="67"/>
  <c r="AK225" i="22"/>
  <c r="Q266" i="67"/>
  <c r="BT259" i="103"/>
  <c r="Q276" i="67"/>
  <c r="Q288" i="67"/>
  <c r="AM246" i="22"/>
  <c r="BT263" i="103"/>
  <c r="Q246" i="67"/>
  <c r="Q298" i="67"/>
  <c r="AK239" i="22"/>
  <c r="BT258" i="103"/>
  <c r="BU278" i="103"/>
  <c r="BT279" i="103"/>
  <c r="BU270" i="103"/>
  <c r="AK323" i="22"/>
  <c r="BT283" i="103"/>
  <c r="AM332" i="22"/>
  <c r="Q306" i="67"/>
  <c r="Q321" i="67"/>
  <c r="Q316" i="67"/>
  <c r="Q332" i="67"/>
  <c r="AK331" i="22"/>
  <c r="AM331" i="22"/>
  <c r="Q308" i="67"/>
  <c r="Q323" i="67"/>
  <c r="AK349" i="22"/>
  <c r="AM337" i="22"/>
  <c r="AM352" i="22"/>
  <c r="Q367" i="67"/>
  <c r="AM364" i="22"/>
  <c r="Q379" i="67"/>
  <c r="AK359" i="22"/>
  <c r="AK14" i="22"/>
  <c r="Q14" i="67"/>
  <c r="Q35" i="67"/>
  <c r="AM28" i="22"/>
  <c r="AK34" i="22"/>
  <c r="AM52" i="22"/>
  <c r="Q105" i="67"/>
  <c r="AK108" i="22"/>
  <c r="AK93" i="22"/>
  <c r="AM105" i="22"/>
  <c r="AM130" i="22"/>
  <c r="AM145" i="22"/>
  <c r="AM154" i="22"/>
  <c r="Q139" i="67"/>
  <c r="Q148" i="67"/>
  <c r="Q157" i="67"/>
  <c r="AM129" i="22"/>
  <c r="Q137" i="67"/>
  <c r="Q146" i="67"/>
  <c r="Q155" i="67"/>
  <c r="Q164" i="67"/>
  <c r="AK168" i="22"/>
  <c r="AK186" i="22"/>
  <c r="AM168" i="22"/>
  <c r="Q177" i="67"/>
  <c r="AM180" i="22"/>
  <c r="Q189" i="67"/>
  <c r="AM192" i="22"/>
  <c r="AM169" i="22"/>
  <c r="Q178" i="67"/>
  <c r="AM181" i="22"/>
  <c r="Q190" i="67"/>
  <c r="AM196" i="22"/>
  <c r="AM167" i="22"/>
  <c r="Q176" i="67"/>
  <c r="AM179" i="22"/>
  <c r="Q188" i="67"/>
  <c r="AM191" i="22"/>
  <c r="AM216" i="22"/>
  <c r="AK214" i="22"/>
  <c r="AM229" i="22"/>
  <c r="AM217" i="22"/>
  <c r="Q240" i="67"/>
  <c r="AK206" i="22"/>
  <c r="Q250" i="67"/>
  <c r="AM200" i="22"/>
  <c r="Q219" i="67"/>
  <c r="AM249" i="22"/>
  <c r="BU263" i="103"/>
  <c r="Q249" i="67"/>
  <c r="AK242" i="22"/>
  <c r="BU275" i="103"/>
  <c r="Q302" i="67"/>
  <c r="BT276" i="103"/>
  <c r="BU267" i="103"/>
  <c r="Q297" i="67"/>
  <c r="BT280" i="103"/>
  <c r="AM326" i="22"/>
  <c r="Q341" i="67"/>
  <c r="AM318" i="22"/>
  <c r="AM328" i="22"/>
  <c r="AM344" i="22"/>
  <c r="Q359" i="67"/>
  <c r="AM356" i="22"/>
  <c r="Q371" i="67"/>
  <c r="AM368" i="22"/>
  <c r="AK354" i="22"/>
  <c r="Q347" i="67"/>
  <c r="AM348" i="22"/>
  <c r="Q363" i="67"/>
  <c r="AM360" i="22"/>
  <c r="Q375" i="67"/>
  <c r="AK364" i="22"/>
  <c r="Q354" i="67"/>
  <c r="Q382" i="67"/>
  <c r="AK375" i="22"/>
  <c r="Q39" i="67"/>
  <c r="AK35" i="22"/>
  <c r="AK51" i="22"/>
  <c r="Q28" i="67"/>
  <c r="AM21" i="22"/>
  <c r="S149" i="23"/>
  <c r="S148" i="23"/>
  <c r="E12" i="62"/>
  <c r="BD384" i="103"/>
  <c r="O167" i="23" s="1"/>
  <c r="P167" i="23" s="1"/>
  <c r="CU388" i="103"/>
  <c r="CT388" i="103"/>
  <c r="B16" i="62"/>
  <c r="K16" i="62" s="1"/>
  <c r="F15" i="62"/>
  <c r="AV385" i="103"/>
  <c r="AU385" i="103"/>
  <c r="I37" i="30"/>
  <c r="I13" i="30"/>
  <c r="I21" i="30"/>
  <c r="I31" i="30"/>
  <c r="AR385" i="103"/>
  <c r="AQ385" i="103"/>
  <c r="S147" i="23"/>
  <c r="I32" i="30"/>
  <c r="I34" i="30"/>
  <c r="I10" i="30"/>
  <c r="I11" i="30"/>
  <c r="I16" i="30"/>
  <c r="AP385" i="103"/>
  <c r="I29" i="30"/>
  <c r="I22" i="30"/>
  <c r="I40" i="30"/>
  <c r="I33" i="30"/>
  <c r="I25" i="30"/>
  <c r="I24" i="30"/>
  <c r="I17" i="30"/>
  <c r="I20" i="30"/>
  <c r="I23" i="30"/>
  <c r="I36" i="30"/>
  <c r="I12" i="30"/>
  <c r="I19" i="30"/>
  <c r="BD306" i="103"/>
  <c r="I38" i="30"/>
  <c r="I14" i="30"/>
  <c r="I35" i="30"/>
  <c r="I26" i="30"/>
  <c r="I28" i="30"/>
  <c r="BD314" i="103"/>
  <c r="BD313" i="103"/>
  <c r="BD310" i="103"/>
  <c r="BD307" i="103"/>
  <c r="BD312" i="103"/>
  <c r="BD311" i="103"/>
  <c r="BD309" i="103"/>
  <c r="BD308" i="103"/>
  <c r="AO385" i="103"/>
  <c r="BD305" i="103"/>
  <c r="I37" i="37"/>
  <c r="L15" i="62"/>
  <c r="L13" i="62"/>
  <c r="L16" i="62"/>
  <c r="L14" i="62"/>
  <c r="K14" i="62"/>
  <c r="K13" i="62"/>
  <c r="I10" i="37"/>
  <c r="BD39" i="103"/>
  <c r="BM137" i="103"/>
  <c r="BB132" i="103"/>
  <c r="CM132" i="103" s="1"/>
  <c r="CO132" i="103" s="1"/>
  <c r="H10" i="37"/>
  <c r="BM306" i="103"/>
  <c r="BD113" i="103"/>
  <c r="BB310" i="103"/>
  <c r="CM310" i="103" s="1"/>
  <c r="CO310" i="103" s="1"/>
  <c r="BD45" i="103"/>
  <c r="BB170" i="103"/>
  <c r="CM170" i="103" s="1"/>
  <c r="CG170" i="103" s="1"/>
  <c r="BB163" i="103"/>
  <c r="CM163" i="103" s="1"/>
  <c r="CO163" i="103" s="1"/>
  <c r="BB175" i="103"/>
  <c r="CM175" i="103" s="1"/>
  <c r="CO175" i="103" s="1"/>
  <c r="BB187" i="103"/>
  <c r="CM187" i="103" s="1"/>
  <c r="BB318" i="103"/>
  <c r="CM318" i="103" s="1"/>
  <c r="CO318" i="103" s="1"/>
  <c r="H9" i="37"/>
  <c r="BM144" i="103"/>
  <c r="BM153" i="103"/>
  <c r="BB168" i="103"/>
  <c r="CM168" i="103" s="1"/>
  <c r="CG168" i="103" s="1"/>
  <c r="BD17" i="103"/>
  <c r="BD190" i="103"/>
  <c r="AM49" i="103"/>
  <c r="BM146" i="103"/>
  <c r="BB134" i="103"/>
  <c r="CM134" i="103" s="1"/>
  <c r="CG134" i="103" s="1"/>
  <c r="BD143" i="103"/>
  <c r="BM158" i="103"/>
  <c r="BB161" i="103"/>
  <c r="CM161" i="103" s="1"/>
  <c r="CO161" i="103" s="1"/>
  <c r="BB184" i="103"/>
  <c r="CM184" i="103" s="1"/>
  <c r="BB165" i="103"/>
  <c r="CM165" i="103" s="1"/>
  <c r="CG165" i="103" s="1"/>
  <c r="BB177" i="103"/>
  <c r="CM177" i="103" s="1"/>
  <c r="CG177" i="103" s="1"/>
  <c r="BB189" i="103"/>
  <c r="CM189" i="103" s="1"/>
  <c r="CG189" i="103" s="1"/>
  <c r="BD359" i="103"/>
  <c r="BB285" i="103"/>
  <c r="CM285" i="103" s="1"/>
  <c r="CO285" i="103" s="1"/>
  <c r="BD365" i="103"/>
  <c r="BB152" i="103"/>
  <c r="CM152" i="103" s="1"/>
  <c r="BM161" i="103"/>
  <c r="BD139" i="103"/>
  <c r="BD166" i="103"/>
  <c r="BB338" i="103"/>
  <c r="CM338" i="103" s="1"/>
  <c r="CO338" i="103" s="1"/>
  <c r="BB312" i="103"/>
  <c r="CM312" i="103" s="1"/>
  <c r="CO312" i="103" s="1"/>
  <c r="BB323" i="103"/>
  <c r="CM323" i="103" s="1"/>
  <c r="CO323" i="103" s="1"/>
  <c r="BB341" i="103"/>
  <c r="CM341" i="103" s="1"/>
  <c r="CO341" i="103" s="1"/>
  <c r="BM149" i="103"/>
  <c r="BM152" i="103"/>
  <c r="BD83" i="103"/>
  <c r="BB324" i="103"/>
  <c r="CM324" i="103" s="1"/>
  <c r="AM239" i="103"/>
  <c r="AM219" i="103"/>
  <c r="BM140" i="103"/>
  <c r="BB166" i="103"/>
  <c r="CM166" i="103" s="1"/>
  <c r="CG166" i="103" s="1"/>
  <c r="BB143" i="103"/>
  <c r="CM143" i="103" s="1"/>
  <c r="CO143" i="103" s="1"/>
  <c r="BD186" i="103"/>
  <c r="BB188" i="103"/>
  <c r="CM188" i="103" s="1"/>
  <c r="CG188" i="103" s="1"/>
  <c r="BB156" i="103"/>
  <c r="CM156" i="103" s="1"/>
  <c r="CO156" i="103" s="1"/>
  <c r="BB190" i="103"/>
  <c r="CM190" i="103" s="1"/>
  <c r="CO190" i="103" s="1"/>
  <c r="BB342" i="103"/>
  <c r="CM342" i="103" s="1"/>
  <c r="CG342" i="103" s="1"/>
  <c r="AM338" i="103"/>
  <c r="BD171" i="103"/>
  <c r="BB321" i="103"/>
  <c r="CM321" i="103" s="1"/>
  <c r="BD356" i="103"/>
  <c r="BB140" i="103"/>
  <c r="CM140" i="103" s="1"/>
  <c r="CO140" i="103" s="1"/>
  <c r="BB171" i="103"/>
  <c r="CM171" i="103" s="1"/>
  <c r="CO171" i="103" s="1"/>
  <c r="BB311" i="103"/>
  <c r="CM311" i="103" s="1"/>
  <c r="BM309" i="103"/>
  <c r="AM251" i="103"/>
  <c r="BB16" i="103"/>
  <c r="CM16" i="103" s="1"/>
  <c r="BD128" i="103"/>
  <c r="BB147" i="103"/>
  <c r="CM147" i="103" s="1"/>
  <c r="CO147" i="103" s="1"/>
  <c r="BB149" i="103"/>
  <c r="CM149" i="103" s="1"/>
  <c r="AE381" i="103"/>
  <c r="BB185" i="103"/>
  <c r="CM185" i="103" s="1"/>
  <c r="CO185" i="103" s="1"/>
  <c r="BB192" i="103"/>
  <c r="CM192" i="103" s="1"/>
  <c r="CG192" i="103" s="1"/>
  <c r="BB174" i="103"/>
  <c r="CM174" i="103" s="1"/>
  <c r="CG174" i="103" s="1"/>
  <c r="BB186" i="103"/>
  <c r="CM186" i="103" s="1"/>
  <c r="CG186" i="103" s="1"/>
  <c r="BD369" i="103"/>
  <c r="BB23" i="103"/>
  <c r="CM23" i="103" s="1"/>
  <c r="CO23" i="103" s="1"/>
  <c r="BD183" i="103"/>
  <c r="AM133" i="103"/>
  <c r="BB169" i="103"/>
  <c r="CM169" i="103" s="1"/>
  <c r="CO169" i="103" s="1"/>
  <c r="BB299" i="103"/>
  <c r="CM299" i="103" s="1"/>
  <c r="AM89" i="103"/>
  <c r="J9" i="36"/>
  <c r="J13" i="36" s="1"/>
  <c r="AM207" i="103"/>
  <c r="AM166" i="103"/>
  <c r="BB173" i="103"/>
  <c r="CM173" i="103" s="1"/>
  <c r="CG173" i="103" s="1"/>
  <c r="BB137" i="103"/>
  <c r="CM137" i="103" s="1"/>
  <c r="CO137" i="103" s="1"/>
  <c r="BB153" i="103"/>
  <c r="CM153" i="103" s="1"/>
  <c r="BD146" i="103"/>
  <c r="BD155" i="103"/>
  <c r="BB300" i="103"/>
  <c r="CM300" i="103" s="1"/>
  <c r="CO300" i="103" s="1"/>
  <c r="AM74" i="103"/>
  <c r="BD72" i="103"/>
  <c r="BB136" i="103"/>
  <c r="CM136" i="103" s="1"/>
  <c r="CO136" i="103" s="1"/>
  <c r="BB145" i="103"/>
  <c r="CM145" i="103" s="1"/>
  <c r="BB154" i="103"/>
  <c r="CM154" i="103" s="1"/>
  <c r="CO154" i="103" s="1"/>
  <c r="BB191" i="103"/>
  <c r="CM191" i="103" s="1"/>
  <c r="CG191" i="103" s="1"/>
  <c r="BB167" i="103"/>
  <c r="CM167" i="103" s="1"/>
  <c r="CO167" i="103" s="1"/>
  <c r="BD14" i="103"/>
  <c r="BB155" i="103"/>
  <c r="CM155" i="103" s="1"/>
  <c r="BD191" i="103"/>
  <c r="BB294" i="103"/>
  <c r="CM294" i="103" s="1"/>
  <c r="CO294" i="103" s="1"/>
  <c r="BB297" i="103"/>
  <c r="CM297" i="103" s="1"/>
  <c r="F15" i="17"/>
  <c r="BB319" i="103"/>
  <c r="CM319" i="103" s="1"/>
  <c r="CG319" i="103" s="1"/>
  <c r="BB138" i="103"/>
  <c r="CM138" i="103" s="1"/>
  <c r="CO138" i="103" s="1"/>
  <c r="BD163" i="103"/>
  <c r="BB317" i="103"/>
  <c r="CM317" i="103" s="1"/>
  <c r="CO317" i="103" s="1"/>
  <c r="BB308" i="103"/>
  <c r="CM308" i="103" s="1"/>
  <c r="CO308" i="103" s="1"/>
  <c r="BB309" i="103"/>
  <c r="AM151" i="103"/>
  <c r="BB162" i="103"/>
  <c r="CM162" i="103" s="1"/>
  <c r="BD149" i="103"/>
  <c r="BD184" i="103"/>
  <c r="AM34" i="103"/>
  <c r="AM22" i="103"/>
  <c r="BB158" i="103"/>
  <c r="CM158" i="103" s="1"/>
  <c r="BB298" i="103"/>
  <c r="CM298" i="103" s="1"/>
  <c r="BB295" i="103"/>
  <c r="CM295" i="103" s="1"/>
  <c r="CO295" i="103" s="1"/>
  <c r="AM83" i="103"/>
  <c r="BD187" i="103"/>
  <c r="BB326" i="103"/>
  <c r="CM326" i="103" s="1"/>
  <c r="CO326" i="103" s="1"/>
  <c r="AM27" i="103"/>
  <c r="BD71" i="103"/>
  <c r="BM134" i="103"/>
  <c r="BD98" i="103"/>
  <c r="BB135" i="103"/>
  <c r="CM135" i="103" s="1"/>
  <c r="CO135" i="103" s="1"/>
  <c r="BD161" i="103"/>
  <c r="BD172" i="103"/>
  <c r="BB288" i="103"/>
  <c r="CM288" i="103" s="1"/>
  <c r="CO288" i="103" s="1"/>
  <c r="BB146" i="103"/>
  <c r="CM146" i="103" s="1"/>
  <c r="CO146" i="103" s="1"/>
  <c r="BD175" i="103"/>
  <c r="BD61" i="103"/>
  <c r="BB305" i="103"/>
  <c r="CM305" i="103" s="1"/>
  <c r="CO305" i="103" s="1"/>
  <c r="BD69" i="103"/>
  <c r="BD60" i="103"/>
  <c r="BB339" i="103"/>
  <c r="CM339" i="103" s="1"/>
  <c r="CO339" i="103" s="1"/>
  <c r="AM33" i="103"/>
  <c r="H15" i="17"/>
  <c r="AM31" i="103"/>
  <c r="AM192" i="103"/>
  <c r="AM13" i="103"/>
  <c r="AM97" i="103"/>
  <c r="BD126" i="103"/>
  <c r="BD66" i="103"/>
  <c r="AM127" i="103"/>
  <c r="BD125" i="103"/>
  <c r="BB301" i="103"/>
  <c r="CM301" i="103" s="1"/>
  <c r="I9" i="36"/>
  <c r="I13" i="36" s="1"/>
  <c r="BU376" i="103"/>
  <c r="BD81" i="103"/>
  <c r="BB322" i="103"/>
  <c r="CM322" i="103" s="1"/>
  <c r="CO322" i="103" s="1"/>
  <c r="L9" i="36"/>
  <c r="L13" i="36" s="1"/>
  <c r="F9" i="36"/>
  <c r="AM29" i="103"/>
  <c r="BD114" i="103"/>
  <c r="T15" i="17"/>
  <c r="AM42" i="103"/>
  <c r="BD65" i="103"/>
  <c r="BB304" i="103"/>
  <c r="CM304" i="103" s="1"/>
  <c r="CO304" i="103" s="1"/>
  <c r="K9" i="36"/>
  <c r="K13" i="36" s="1"/>
  <c r="R15" i="17"/>
  <c r="AM119" i="103"/>
  <c r="BB291" i="103"/>
  <c r="CM291" i="103" s="1"/>
  <c r="AM183" i="103"/>
  <c r="BB133" i="103"/>
  <c r="CM133" i="103" s="1"/>
  <c r="BB142" i="103"/>
  <c r="CM142" i="103" s="1"/>
  <c r="BB151" i="103"/>
  <c r="CM151" i="103" s="1"/>
  <c r="BB160" i="103"/>
  <c r="CM160" i="103" s="1"/>
  <c r="CO160" i="103" s="1"/>
  <c r="AM323" i="103"/>
  <c r="BB340" i="103"/>
  <c r="CM340" i="103" s="1"/>
  <c r="CO340" i="103" s="1"/>
  <c r="BD119" i="103"/>
  <c r="AM233" i="103"/>
  <c r="M9" i="36"/>
  <c r="M13" i="36" s="1"/>
  <c r="AM174" i="103"/>
  <c r="AM60" i="103"/>
  <c r="AM165" i="103"/>
  <c r="BB286" i="103"/>
  <c r="CM286" i="103" s="1"/>
  <c r="AM20" i="103"/>
  <c r="P15" i="17"/>
  <c r="BD20" i="103"/>
  <c r="BT376" i="103"/>
  <c r="AM86" i="103"/>
  <c r="BD63" i="103"/>
  <c r="AM106" i="103"/>
  <c r="AT381" i="103"/>
  <c r="AW381" i="103"/>
  <c r="BB172" i="103"/>
  <c r="CM172" i="103" s="1"/>
  <c r="V386" i="103"/>
  <c r="AM331" i="103"/>
  <c r="BB343" i="103"/>
  <c r="CM343" i="103" s="1"/>
  <c r="AM51" i="103"/>
  <c r="J9" i="37"/>
  <c r="J37" i="37"/>
  <c r="H9" i="36"/>
  <c r="H13" i="36" s="1"/>
  <c r="AM110" i="103"/>
  <c r="S381" i="103"/>
  <c r="BB180" i="103"/>
  <c r="CM180" i="103" s="1"/>
  <c r="CO180" i="103" s="1"/>
  <c r="BB307" i="103"/>
  <c r="CM307" i="103" s="1"/>
  <c r="AM35" i="103"/>
  <c r="J10" i="37"/>
  <c r="J36" i="37"/>
  <c r="BD35" i="103"/>
  <c r="AQ378" i="103"/>
  <c r="BD89" i="103"/>
  <c r="AM186" i="103"/>
  <c r="BB179" i="103"/>
  <c r="CM179" i="103" s="1"/>
  <c r="BD189" i="103"/>
  <c r="AM191" i="103"/>
  <c r="AM226" i="103"/>
  <c r="BD360" i="103"/>
  <c r="BD352" i="103"/>
  <c r="BD88" i="103"/>
  <c r="V380" i="58"/>
  <c r="AM17" i="103"/>
  <c r="AM82" i="103"/>
  <c r="BD173" i="103"/>
  <c r="BB178" i="103"/>
  <c r="CM178" i="103" s="1"/>
  <c r="AM215" i="103"/>
  <c r="BB292" i="103"/>
  <c r="CM292" i="103" s="1"/>
  <c r="CO292" i="103" s="1"/>
  <c r="BM312" i="103"/>
  <c r="AM334" i="103"/>
  <c r="BD347" i="103"/>
  <c r="AM32" i="103"/>
  <c r="G9" i="36"/>
  <c r="G13" i="36" s="1"/>
  <c r="BB20" i="103"/>
  <c r="CM20" i="103" s="1"/>
  <c r="CO20" i="103" s="1"/>
  <c r="BD32" i="103"/>
  <c r="BE378" i="103"/>
  <c r="BD62" i="103"/>
  <c r="BD150" i="103"/>
  <c r="AM177" i="103"/>
  <c r="BB164" i="103"/>
  <c r="CM164" i="103" s="1"/>
  <c r="BB183" i="103"/>
  <c r="CM183" i="103" s="1"/>
  <c r="CO183" i="103" s="1"/>
  <c r="AM326" i="103"/>
  <c r="BB344" i="103"/>
  <c r="CM344" i="103" s="1"/>
  <c r="CO344" i="103" s="1"/>
  <c r="BD106" i="103"/>
  <c r="BD107" i="103"/>
  <c r="AM168" i="103"/>
  <c r="AM329" i="103"/>
  <c r="BB336" i="103"/>
  <c r="CM336" i="103" s="1"/>
  <c r="CO336" i="103" s="1"/>
  <c r="BD100" i="103"/>
  <c r="BX381" i="103"/>
  <c r="BM143" i="103"/>
  <c r="BD133" i="103"/>
  <c r="BD151" i="103"/>
  <c r="BB182" i="103"/>
  <c r="CM182" i="103" s="1"/>
  <c r="BB181" i="103"/>
  <c r="CM181" i="103" s="1"/>
  <c r="CO181" i="103" s="1"/>
  <c r="BB287" i="103"/>
  <c r="CM287" i="103" s="1"/>
  <c r="CO287" i="103" s="1"/>
  <c r="N9" i="36"/>
  <c r="N13" i="36" s="1"/>
  <c r="AM54" i="103"/>
  <c r="BB32" i="103"/>
  <c r="CM32" i="103" s="1"/>
  <c r="CO32" i="103" s="1"/>
  <c r="AM56" i="103"/>
  <c r="BB139" i="103"/>
  <c r="CM139" i="103" s="1"/>
  <c r="BB148" i="103"/>
  <c r="CM148" i="103" s="1"/>
  <c r="CO148" i="103" s="1"/>
  <c r="BB157" i="103"/>
  <c r="BD363" i="103"/>
  <c r="AM26" i="103"/>
  <c r="AM39" i="103"/>
  <c r="BD26" i="103"/>
  <c r="BT381" i="103"/>
  <c r="AM212" i="103"/>
  <c r="AM242" i="103"/>
  <c r="AM241" i="103"/>
  <c r="BB306" i="103"/>
  <c r="CM306" i="103" s="1"/>
  <c r="BB290" i="103"/>
  <c r="CM290" i="103" s="1"/>
  <c r="CO290" i="103" s="1"/>
  <c r="BU387" i="103"/>
  <c r="V378" i="58"/>
  <c r="BD96" i="103"/>
  <c r="BF380" i="103"/>
  <c r="BB144" i="103"/>
  <c r="CM144" i="103" s="1"/>
  <c r="CO144" i="103" s="1"/>
  <c r="AM164" i="103"/>
  <c r="AG386" i="103"/>
  <c r="AM244" i="103"/>
  <c r="AM316" i="103"/>
  <c r="BB303" i="103"/>
  <c r="CM303" i="103" s="1"/>
  <c r="CS386" i="103"/>
  <c r="AM23" i="103"/>
  <c r="BD23" i="103"/>
  <c r="AM92" i="103"/>
  <c r="AM103" i="103"/>
  <c r="BD136" i="103"/>
  <c r="BB176" i="103"/>
  <c r="CM176" i="103" s="1"/>
  <c r="BB313" i="103"/>
  <c r="CM313" i="103" s="1"/>
  <c r="K37" i="37"/>
  <c r="K9" i="37"/>
  <c r="G36" i="37"/>
  <c r="G10" i="37"/>
  <c r="AA34" i="22"/>
  <c r="D33" i="67"/>
  <c r="Y78" i="22"/>
  <c r="O77" i="58"/>
  <c r="C79" i="67"/>
  <c r="AG194" i="22"/>
  <c r="CI193" i="103"/>
  <c r="CK193" i="103" s="1"/>
  <c r="AG174" i="22"/>
  <c r="CI173" i="103"/>
  <c r="CK173" i="103" s="1"/>
  <c r="AG207" i="22"/>
  <c r="CI206" i="103"/>
  <c r="CK206" i="103" s="1"/>
  <c r="CI318" i="103"/>
  <c r="CK318" i="103" s="1"/>
  <c r="AM318" i="103"/>
  <c r="CI357" i="103"/>
  <c r="CK357" i="103" s="1"/>
  <c r="CI375" i="103"/>
  <c r="CK375" i="103" s="1"/>
  <c r="CP28" i="103"/>
  <c r="BB28" i="103"/>
  <c r="H22" i="22"/>
  <c r="O21" i="103"/>
  <c r="K39" i="22"/>
  <c r="L39" i="22" s="1"/>
  <c r="F38" i="58"/>
  <c r="U38" i="103"/>
  <c r="BC30" i="103"/>
  <c r="AG58" i="22"/>
  <c r="CI57" i="103"/>
  <c r="CK57" i="103" s="1"/>
  <c r="AK72" i="22"/>
  <c r="AM71" i="103"/>
  <c r="C78" i="22"/>
  <c r="C77" i="58"/>
  <c r="U69" i="22"/>
  <c r="Q68" i="58"/>
  <c r="N69" i="67"/>
  <c r="AI71" i="22"/>
  <c r="BS378" i="103"/>
  <c r="W81" i="22"/>
  <c r="P80" i="58"/>
  <c r="H82" i="67"/>
  <c r="CP84" i="103"/>
  <c r="CQ84" i="103" s="1"/>
  <c r="AM64" i="103"/>
  <c r="AG100" i="22"/>
  <c r="CI99" i="103"/>
  <c r="CK99" i="103" s="1"/>
  <c r="AM101" i="103"/>
  <c r="AG147" i="22"/>
  <c r="CI146" i="103"/>
  <c r="CK146" i="103" s="1"/>
  <c r="AG173" i="22"/>
  <c r="CI172" i="103"/>
  <c r="CK172" i="103" s="1"/>
  <c r="AM172" i="103"/>
  <c r="AG221" i="22"/>
  <c r="CI220" i="103"/>
  <c r="CK220" i="103" s="1"/>
  <c r="AM220" i="103"/>
  <c r="CM263" i="103"/>
  <c r="CG263" i="103" s="1"/>
  <c r="CI321" i="103"/>
  <c r="CK321" i="103" s="1"/>
  <c r="AM321" i="103"/>
  <c r="AM322" i="103"/>
  <c r="S390" i="58"/>
  <c r="S377" i="58"/>
  <c r="AG47" i="22"/>
  <c r="CI46" i="103"/>
  <c r="CK46" i="103" s="1"/>
  <c r="Y41" i="22"/>
  <c r="O40" i="58"/>
  <c r="C40" i="67"/>
  <c r="CP44" i="103"/>
  <c r="W41" i="22"/>
  <c r="P40" i="58"/>
  <c r="H40" i="67"/>
  <c r="E87" i="22"/>
  <c r="H86" i="103"/>
  <c r="AG74" i="22"/>
  <c r="CI73" i="103"/>
  <c r="CK73" i="103" s="1"/>
  <c r="AG76" i="22"/>
  <c r="CI75" i="103"/>
  <c r="CK75" i="103" s="1"/>
  <c r="AM75" i="103"/>
  <c r="AN77" i="103"/>
  <c r="K76" i="22"/>
  <c r="L76" i="22" s="1"/>
  <c r="F75" i="58"/>
  <c r="U75" i="103"/>
  <c r="AG105" i="22"/>
  <c r="CI104" i="103"/>
  <c r="CK104" i="103" s="1"/>
  <c r="AG159" i="22"/>
  <c r="CI158" i="103"/>
  <c r="CK158" i="103" s="1"/>
  <c r="AM158" i="103"/>
  <c r="AG197" i="22"/>
  <c r="CI196" i="103"/>
  <c r="CK196" i="103" s="1"/>
  <c r="AM173" i="103"/>
  <c r="AM238" i="103"/>
  <c r="AM325" i="103"/>
  <c r="CI360" i="103"/>
  <c r="CK360" i="103" s="1"/>
  <c r="AG50" i="22"/>
  <c r="CI49" i="103"/>
  <c r="CK49" i="103" s="1"/>
  <c r="CP25" i="103"/>
  <c r="BB25" i="103"/>
  <c r="AM46" i="103"/>
  <c r="C51" i="22"/>
  <c r="C50" i="58"/>
  <c r="Q65" i="22"/>
  <c r="E65" i="67"/>
  <c r="AG66" i="22"/>
  <c r="CI65" i="103"/>
  <c r="CK65" i="103" s="1"/>
  <c r="Q75" i="22"/>
  <c r="E76" i="67"/>
  <c r="AA71" i="22"/>
  <c r="M72" i="67"/>
  <c r="AK378" i="103"/>
  <c r="D72" i="67"/>
  <c r="Q119" i="22"/>
  <c r="E121" i="67"/>
  <c r="AM193" i="103"/>
  <c r="AG165" i="22"/>
  <c r="CI164" i="103"/>
  <c r="CK164" i="103" s="1"/>
  <c r="AG224" i="22"/>
  <c r="CI223" i="103"/>
  <c r="CL223" i="103" s="1"/>
  <c r="CI324" i="103"/>
  <c r="CK324" i="103" s="1"/>
  <c r="AM324" i="103"/>
  <c r="G37" i="37"/>
  <c r="G9" i="37"/>
  <c r="V376" i="58"/>
  <c r="T389" i="58"/>
  <c r="T376" i="58"/>
  <c r="X11" i="58"/>
  <c r="X376" i="58" s="1"/>
  <c r="H34" i="22"/>
  <c r="O33" i="103"/>
  <c r="H78" i="22"/>
  <c r="O77" i="103"/>
  <c r="W88" i="22"/>
  <c r="P87" i="58"/>
  <c r="H89" i="67"/>
  <c r="S65" i="22"/>
  <c r="K65" i="67"/>
  <c r="BQ378" i="103"/>
  <c r="Q72" i="67"/>
  <c r="S66" i="22"/>
  <c r="K66" i="67"/>
  <c r="AM65" i="103"/>
  <c r="W69" i="22"/>
  <c r="P68" i="58"/>
  <c r="H69" i="67"/>
  <c r="CP72" i="103"/>
  <c r="AG150" i="22"/>
  <c r="CI149" i="103"/>
  <c r="CK149" i="103" s="1"/>
  <c r="AM149" i="103"/>
  <c r="AM196" i="103"/>
  <c r="AG209" i="22"/>
  <c r="CI208" i="103"/>
  <c r="CK208" i="103" s="1"/>
  <c r="AM208" i="103"/>
  <c r="AG239" i="22"/>
  <c r="CI238" i="103"/>
  <c r="CK238" i="103" s="1"/>
  <c r="CI363" i="103"/>
  <c r="CK363" i="103" s="1"/>
  <c r="CI358" i="103"/>
  <c r="CK358" i="103" s="1"/>
  <c r="P37" i="37"/>
  <c r="P9" i="37"/>
  <c r="S396" i="58"/>
  <c r="S383" i="58"/>
  <c r="H46" i="22"/>
  <c r="O45" i="103"/>
  <c r="AG19" i="22"/>
  <c r="CI18" i="103"/>
  <c r="CK18" i="103" s="1"/>
  <c r="K64" i="22"/>
  <c r="L64" i="22" s="1"/>
  <c r="F63" i="58"/>
  <c r="U63" i="103"/>
  <c r="AG79" i="22"/>
  <c r="CI78" i="103"/>
  <c r="CK78" i="103" s="1"/>
  <c r="W96" i="22"/>
  <c r="P95" i="58"/>
  <c r="H97" i="67"/>
  <c r="F63" i="22"/>
  <c r="D62" i="58"/>
  <c r="W59" i="22"/>
  <c r="P58" i="58"/>
  <c r="H59" i="67"/>
  <c r="CP62" i="103"/>
  <c r="W102" i="22"/>
  <c r="P101" i="58"/>
  <c r="AI379" i="103"/>
  <c r="H104" i="67"/>
  <c r="AG103" i="22"/>
  <c r="CI102" i="103"/>
  <c r="CK102" i="103" s="1"/>
  <c r="AG136" i="22"/>
  <c r="CI135" i="103"/>
  <c r="CK135" i="103" s="1"/>
  <c r="AG160" i="22"/>
  <c r="CI159" i="103"/>
  <c r="CK159" i="103" s="1"/>
  <c r="AG176" i="22"/>
  <c r="CI175" i="103"/>
  <c r="CK175" i="103" s="1"/>
  <c r="AG202" i="22"/>
  <c r="CI201" i="103"/>
  <c r="CK201" i="103" s="1"/>
  <c r="AM201" i="103"/>
  <c r="CI325" i="103"/>
  <c r="CK325" i="103" s="1"/>
  <c r="CP23" i="103"/>
  <c r="AM50" i="103"/>
  <c r="F37" i="37"/>
  <c r="F9" i="37"/>
  <c r="E37" i="37"/>
  <c r="E9" i="37"/>
  <c r="P36" i="37"/>
  <c r="P10" i="37"/>
  <c r="S393" i="58"/>
  <c r="S380" i="58"/>
  <c r="AM44" i="103"/>
  <c r="CP18" i="103"/>
  <c r="CQ18" i="103" s="1"/>
  <c r="BB18" i="103"/>
  <c r="F15" i="22"/>
  <c r="D14" i="58"/>
  <c r="Q42" i="22"/>
  <c r="E41" i="67"/>
  <c r="S89" i="22"/>
  <c r="K90" i="67"/>
  <c r="AM88" i="103"/>
  <c r="S60" i="22"/>
  <c r="K60" i="67"/>
  <c r="AM59" i="103"/>
  <c r="Y69" i="22"/>
  <c r="O68" i="58"/>
  <c r="C69" i="67"/>
  <c r="AG113" i="22"/>
  <c r="CI112" i="103"/>
  <c r="CK112" i="103" s="1"/>
  <c r="AG212" i="22"/>
  <c r="CI211" i="103"/>
  <c r="CK211" i="103" s="1"/>
  <c r="AM211" i="103"/>
  <c r="AG216" i="22"/>
  <c r="CI215" i="103"/>
  <c r="CK215" i="103" s="1"/>
  <c r="AG238" i="22"/>
  <c r="CI237" i="103"/>
  <c r="CK237" i="103" s="1"/>
  <c r="CM256" i="103"/>
  <c r="CO256" i="103" s="1"/>
  <c r="AG245" i="22"/>
  <c r="CI244" i="103"/>
  <c r="CK244" i="103" s="1"/>
  <c r="CM264" i="103"/>
  <c r="CO264" i="103" s="1"/>
  <c r="CI348" i="103"/>
  <c r="CK348" i="103" s="1"/>
  <c r="T377" i="58"/>
  <c r="T390" i="58"/>
  <c r="X42" i="58"/>
  <c r="X377" i="58" s="1"/>
  <c r="S397" i="58"/>
  <c r="S384" i="58"/>
  <c r="H12" i="22"/>
  <c r="N376" i="103"/>
  <c r="O11" i="103"/>
  <c r="S17" i="22"/>
  <c r="K16" i="67"/>
  <c r="AM16" i="103"/>
  <c r="CP24" i="103"/>
  <c r="BB24" i="103"/>
  <c r="AG16" i="22"/>
  <c r="CI15" i="103"/>
  <c r="CK15" i="103" s="1"/>
  <c r="AN81" i="103"/>
  <c r="W85" i="22"/>
  <c r="P84" i="58"/>
  <c r="H86" i="67"/>
  <c r="F87" i="22"/>
  <c r="D86" i="58"/>
  <c r="U65" i="22"/>
  <c r="Q64" i="58"/>
  <c r="N65" i="67"/>
  <c r="AG67" i="22"/>
  <c r="CI66" i="103"/>
  <c r="CK66" i="103" s="1"/>
  <c r="AM66" i="103"/>
  <c r="C60" i="22"/>
  <c r="C59" i="58"/>
  <c r="AG106" i="22"/>
  <c r="CI105" i="103"/>
  <c r="CK105" i="103" s="1"/>
  <c r="AG129" i="22"/>
  <c r="CI128" i="103"/>
  <c r="CK128" i="103" s="1"/>
  <c r="AM128" i="103"/>
  <c r="AG141" i="22"/>
  <c r="CI140" i="103"/>
  <c r="CK140" i="103" s="1"/>
  <c r="AM140" i="103"/>
  <c r="AG167" i="22"/>
  <c r="CI166" i="103"/>
  <c r="CK166" i="103" s="1"/>
  <c r="AM175" i="103"/>
  <c r="AG195" i="22"/>
  <c r="CI194" i="103"/>
  <c r="CK194" i="103" s="1"/>
  <c r="CM261" i="103"/>
  <c r="CO261" i="103" s="1"/>
  <c r="CI319" i="103"/>
  <c r="CK319" i="103" s="1"/>
  <c r="CI322" i="103"/>
  <c r="CK322" i="103" s="1"/>
  <c r="AG51" i="22"/>
  <c r="CI50" i="103"/>
  <c r="CK50" i="103" s="1"/>
  <c r="AA44" i="22"/>
  <c r="M44" i="67"/>
  <c r="D44" i="67"/>
  <c r="AA22" i="22"/>
  <c r="D21" i="67"/>
  <c r="AG44" i="22"/>
  <c r="CI43" i="103"/>
  <c r="CK43" i="103" s="1"/>
  <c r="CP36" i="103"/>
  <c r="BB36" i="103"/>
  <c r="AG102" i="22"/>
  <c r="CI101" i="103"/>
  <c r="CK101" i="103" s="1"/>
  <c r="AG83" i="22"/>
  <c r="CI82" i="103"/>
  <c r="CK82" i="103" s="1"/>
  <c r="F58" i="22"/>
  <c r="D57" i="58"/>
  <c r="AI97" i="22"/>
  <c r="H62" i="22"/>
  <c r="O61" i="103"/>
  <c r="K67" i="22"/>
  <c r="L67" i="22" s="1"/>
  <c r="F66" i="58"/>
  <c r="U66" i="103"/>
  <c r="K85" i="22"/>
  <c r="L85" i="22" s="1"/>
  <c r="F84" i="58"/>
  <c r="AG124" i="22"/>
  <c r="CI123" i="103"/>
  <c r="CK123" i="103" s="1"/>
  <c r="AG116" i="22"/>
  <c r="CI115" i="103"/>
  <c r="CK115" i="103" s="1"/>
  <c r="AG228" i="22"/>
  <c r="CI227" i="103"/>
  <c r="CK227" i="103" s="1"/>
  <c r="AG219" i="22"/>
  <c r="CI218" i="103"/>
  <c r="CK218" i="103" s="1"/>
  <c r="AM218" i="103"/>
  <c r="AG232" i="22"/>
  <c r="CI231" i="103"/>
  <c r="CK231" i="103" s="1"/>
  <c r="N37" i="37"/>
  <c r="N9" i="37"/>
  <c r="M36" i="37"/>
  <c r="M10" i="37"/>
  <c r="U386" i="58"/>
  <c r="N315" i="58"/>
  <c r="I46" i="22"/>
  <c r="E45" i="58"/>
  <c r="Y45" i="58" s="1"/>
  <c r="R45" i="103"/>
  <c r="CP33" i="103"/>
  <c r="BB33" i="103"/>
  <c r="W73" i="22"/>
  <c r="P72" i="58"/>
  <c r="H74" i="67"/>
  <c r="CP76" i="103"/>
  <c r="AI88" i="22"/>
  <c r="E100" i="22"/>
  <c r="H99" i="103"/>
  <c r="AG85" i="22"/>
  <c r="CI84" i="103"/>
  <c r="CK84" i="103" s="1"/>
  <c r="AM84" i="103"/>
  <c r="AG171" i="22"/>
  <c r="CI170" i="103"/>
  <c r="CK170" i="103" s="1"/>
  <c r="AG34" i="22"/>
  <c r="CI33" i="103"/>
  <c r="CK33" i="103" s="1"/>
  <c r="AM18" i="103"/>
  <c r="O36" i="37"/>
  <c r="O10" i="37"/>
  <c r="M37" i="37"/>
  <c r="M9" i="37"/>
  <c r="L10" i="37"/>
  <c r="L36" i="37"/>
  <c r="AN69" i="103"/>
  <c r="AG86" i="22"/>
  <c r="CI85" i="103"/>
  <c r="CK85" i="103" s="1"/>
  <c r="AG119" i="22"/>
  <c r="CI118" i="103"/>
  <c r="CK118" i="103" s="1"/>
  <c r="AG132" i="22"/>
  <c r="CI131" i="103"/>
  <c r="CK131" i="103" s="1"/>
  <c r="AM131" i="103"/>
  <c r="AG204" i="22"/>
  <c r="CI203" i="103"/>
  <c r="CK203" i="103" s="1"/>
  <c r="CI316" i="103"/>
  <c r="CK316" i="103" s="1"/>
  <c r="CI349" i="103"/>
  <c r="CK349" i="103" s="1"/>
  <c r="O37" i="37"/>
  <c r="O9" i="37"/>
  <c r="N36" i="37"/>
  <c r="N10" i="37"/>
  <c r="S389" i="58"/>
  <c r="S376" i="58"/>
  <c r="L37" i="37"/>
  <c r="L9" i="37"/>
  <c r="K36" i="37"/>
  <c r="K10" i="37"/>
  <c r="U376" i="58"/>
  <c r="N11" i="58"/>
  <c r="AG56" i="22"/>
  <c r="CI55" i="103"/>
  <c r="CL55" i="103" s="1"/>
  <c r="AM55" i="103"/>
  <c r="C20" i="22"/>
  <c r="C19" i="58"/>
  <c r="CP40" i="103"/>
  <c r="BB40" i="103"/>
  <c r="AG41" i="22"/>
  <c r="CI40" i="103"/>
  <c r="CK40" i="103" s="1"/>
  <c r="BC21" i="103"/>
  <c r="AG28" i="22"/>
  <c r="CI27" i="103"/>
  <c r="CK27" i="103" s="1"/>
  <c r="C59" i="22"/>
  <c r="C58" i="58"/>
  <c r="AG62" i="22"/>
  <c r="CI61" i="103"/>
  <c r="CK61" i="103" s="1"/>
  <c r="U81" i="22"/>
  <c r="Q80" i="58"/>
  <c r="N82" i="67"/>
  <c r="AI83" i="22"/>
  <c r="S88" i="22"/>
  <c r="K89" i="67"/>
  <c r="AM146" i="103"/>
  <c r="AG142" i="22"/>
  <c r="CI141" i="103"/>
  <c r="CK141" i="103" s="1"/>
  <c r="AG154" i="22"/>
  <c r="CI153" i="103"/>
  <c r="CK153" i="103" s="1"/>
  <c r="AG199" i="22"/>
  <c r="CI198" i="103"/>
  <c r="CK198" i="103" s="1"/>
  <c r="AM170" i="103"/>
  <c r="AM231" i="103"/>
  <c r="AG214" i="22"/>
  <c r="CI213" i="103"/>
  <c r="CK213" i="103" s="1"/>
  <c r="AM213" i="103"/>
  <c r="AM237" i="103"/>
  <c r="S378" i="58"/>
  <c r="S391" i="58"/>
  <c r="U378" i="58"/>
  <c r="N70" i="58"/>
  <c r="V379" i="58"/>
  <c r="U380" i="58"/>
  <c r="N131" i="58"/>
  <c r="S400" i="58"/>
  <c r="S387" i="58"/>
  <c r="T385" i="58"/>
  <c r="X284" i="58"/>
  <c r="X385" i="58" s="1"/>
  <c r="T398" i="58"/>
  <c r="T386" i="58"/>
  <c r="T399" i="58"/>
  <c r="X315" i="58"/>
  <c r="X386" i="58" s="1"/>
  <c r="N15" i="17"/>
  <c r="CP55" i="103"/>
  <c r="Q27" i="22"/>
  <c r="E26" i="67"/>
  <c r="I15" i="22"/>
  <c r="E14" i="58"/>
  <c r="Y14" i="58" s="1"/>
  <c r="R14" i="103"/>
  <c r="AK12" i="22"/>
  <c r="BV376" i="103"/>
  <c r="CP34" i="103"/>
  <c r="U13" i="22"/>
  <c r="Q12" i="58"/>
  <c r="N12" i="67"/>
  <c r="E55" i="22"/>
  <c r="H54" i="103"/>
  <c r="H50" i="22"/>
  <c r="O49" i="103"/>
  <c r="C48" i="22"/>
  <c r="C47" i="58"/>
  <c r="F46" i="22"/>
  <c r="D45" i="58"/>
  <c r="BU377" i="103"/>
  <c r="S39" i="22"/>
  <c r="K38" i="67"/>
  <c r="C32" i="22"/>
  <c r="C31" i="58"/>
  <c r="AG15" i="22"/>
  <c r="CI14" i="103"/>
  <c r="CK14" i="103" s="1"/>
  <c r="CS376" i="103"/>
  <c r="AY377" i="103"/>
  <c r="Y34" i="22"/>
  <c r="O33" i="58"/>
  <c r="C33" i="67"/>
  <c r="K32" i="22"/>
  <c r="L32" i="22" s="1"/>
  <c r="F31" i="58"/>
  <c r="U31" i="103"/>
  <c r="Y25" i="22"/>
  <c r="O24" i="58"/>
  <c r="C24" i="67"/>
  <c r="K23" i="22"/>
  <c r="L23" i="22" s="1"/>
  <c r="F22" i="58"/>
  <c r="U22" i="103"/>
  <c r="E14" i="22"/>
  <c r="H13" i="103"/>
  <c r="E13" i="103" s="1"/>
  <c r="AA66" i="22"/>
  <c r="M66" i="67"/>
  <c r="D66" i="67"/>
  <c r="U73" i="22"/>
  <c r="Q72" i="58"/>
  <c r="N74" i="67"/>
  <c r="AI75" i="22"/>
  <c r="U85" i="22"/>
  <c r="Q84" i="58"/>
  <c r="N86" i="67"/>
  <c r="C61" i="22"/>
  <c r="C60" i="58"/>
  <c r="BD64" i="103"/>
  <c r="E68" i="22"/>
  <c r="H67" i="103"/>
  <c r="E80" i="22"/>
  <c r="H79" i="103"/>
  <c r="K89" i="22"/>
  <c r="L89" i="22" s="1"/>
  <c r="F88" i="58"/>
  <c r="Y91" i="22"/>
  <c r="O90" i="58"/>
  <c r="C92" i="67"/>
  <c r="H60" i="22"/>
  <c r="O59" i="103"/>
  <c r="AG72" i="22"/>
  <c r="CI71" i="103"/>
  <c r="CK71" i="103" s="1"/>
  <c r="AG81" i="22"/>
  <c r="CI80" i="103"/>
  <c r="CK80" i="103" s="1"/>
  <c r="F107" i="22"/>
  <c r="D106" i="58"/>
  <c r="W64" i="22"/>
  <c r="P63" i="58"/>
  <c r="H64" i="67"/>
  <c r="F66" i="22"/>
  <c r="D65" i="58"/>
  <c r="CP96" i="103"/>
  <c r="Y58" i="22"/>
  <c r="O57" i="58"/>
  <c r="C58" i="67"/>
  <c r="K65" i="22"/>
  <c r="L65" i="22" s="1"/>
  <c r="F64" i="58"/>
  <c r="U64" i="103"/>
  <c r="H70" i="22"/>
  <c r="O69" i="103"/>
  <c r="H82" i="22"/>
  <c r="O81" i="103"/>
  <c r="AG107" i="22"/>
  <c r="CI106" i="103"/>
  <c r="CK106" i="103" s="1"/>
  <c r="AA61" i="22"/>
  <c r="M61" i="67"/>
  <c r="D61" i="67"/>
  <c r="I63" i="22"/>
  <c r="E62" i="58"/>
  <c r="Y62" i="58" s="1"/>
  <c r="R62" i="103"/>
  <c r="W68" i="22"/>
  <c r="P67" i="58"/>
  <c r="H68" i="67"/>
  <c r="CP71" i="103"/>
  <c r="W80" i="22"/>
  <c r="P79" i="58"/>
  <c r="H81" i="67"/>
  <c r="CP83" i="103"/>
  <c r="CR83" i="103" s="1"/>
  <c r="S87" i="22"/>
  <c r="K88" i="67"/>
  <c r="Q60" i="22"/>
  <c r="E60" i="67"/>
  <c r="F67" i="22"/>
  <c r="D66" i="58"/>
  <c r="S69" i="22"/>
  <c r="K69" i="67"/>
  <c r="F76" i="22"/>
  <c r="D75" i="58"/>
  <c r="S78" i="22"/>
  <c r="K79" i="67"/>
  <c r="F85" i="22"/>
  <c r="D84" i="58"/>
  <c r="K66" i="22"/>
  <c r="L66" i="22" s="1"/>
  <c r="F65" i="58"/>
  <c r="U65" i="103"/>
  <c r="I73" i="22"/>
  <c r="E72" i="58"/>
  <c r="Y72" i="58" s="1"/>
  <c r="R72" i="103"/>
  <c r="AA80" i="22"/>
  <c r="D81" i="67"/>
  <c r="M81" i="67"/>
  <c r="I82" i="22"/>
  <c r="E81" i="58"/>
  <c r="Y81" i="58" s="1"/>
  <c r="R81" i="103"/>
  <c r="H89" i="22"/>
  <c r="O88" i="103"/>
  <c r="W99" i="22"/>
  <c r="P98" i="58"/>
  <c r="H100" i="67"/>
  <c r="K60" i="22"/>
  <c r="L60" i="22" s="1"/>
  <c r="F59" i="58"/>
  <c r="U59" i="103"/>
  <c r="Y62" i="22"/>
  <c r="O61" i="58"/>
  <c r="C62" i="67"/>
  <c r="AX378" i="103"/>
  <c r="Q76" i="22"/>
  <c r="E77" i="67"/>
  <c r="AA62" i="22"/>
  <c r="M62" i="67"/>
  <c r="D62" i="67"/>
  <c r="I64" i="22"/>
  <c r="E63" i="58"/>
  <c r="Y63" i="58" s="1"/>
  <c r="R63" i="103"/>
  <c r="E76" i="22"/>
  <c r="H75" i="103"/>
  <c r="K88" i="22"/>
  <c r="L88" i="22" s="1"/>
  <c r="F87" i="58"/>
  <c r="Y90" i="22"/>
  <c r="O89" i="58"/>
  <c r="C91" i="67"/>
  <c r="U57" i="22"/>
  <c r="Q56" i="58"/>
  <c r="N57" i="67"/>
  <c r="AI59" i="22"/>
  <c r="AZ378" i="103"/>
  <c r="AA87" i="22"/>
  <c r="M88" i="67"/>
  <c r="D88" i="67"/>
  <c r="I89" i="22"/>
  <c r="E88" i="58"/>
  <c r="Y88" i="58" s="1"/>
  <c r="R88" i="103"/>
  <c r="W63" i="22"/>
  <c r="P62" i="58"/>
  <c r="H63" i="67"/>
  <c r="C70" i="22"/>
  <c r="C69" i="58"/>
  <c r="BD73" i="103"/>
  <c r="C79" i="22"/>
  <c r="C78" i="58"/>
  <c r="BD82" i="103"/>
  <c r="U88" i="22"/>
  <c r="Q87" i="58"/>
  <c r="N89" i="67"/>
  <c r="AI90" i="22"/>
  <c r="H114" i="22"/>
  <c r="O113" i="103"/>
  <c r="H126" i="22"/>
  <c r="O125" i="103"/>
  <c r="C106" i="22"/>
  <c r="C105" i="58"/>
  <c r="CP109" i="103"/>
  <c r="W118" i="22"/>
  <c r="P117" i="58"/>
  <c r="H120" i="67"/>
  <c r="CP121" i="103"/>
  <c r="S110" i="22"/>
  <c r="K112" i="67"/>
  <c r="F117" i="22"/>
  <c r="D116" i="58"/>
  <c r="S119" i="22"/>
  <c r="K121" i="67"/>
  <c r="F126" i="22"/>
  <c r="D125" i="58"/>
  <c r="U97" i="22"/>
  <c r="Q96" i="58"/>
  <c r="N98" i="67"/>
  <c r="AI99" i="22"/>
  <c r="AA118" i="22"/>
  <c r="M120" i="67"/>
  <c r="D120" i="67"/>
  <c r="CP91" i="103"/>
  <c r="W100" i="22"/>
  <c r="P99" i="58"/>
  <c r="H101" i="67"/>
  <c r="K107" i="22"/>
  <c r="L107" i="22" s="1"/>
  <c r="F106" i="58"/>
  <c r="U106" i="103"/>
  <c r="H112" i="22"/>
  <c r="O111" i="103"/>
  <c r="H124" i="22"/>
  <c r="O123" i="103"/>
  <c r="Y94" i="22"/>
  <c r="O93" i="58"/>
  <c r="C95" i="67"/>
  <c r="K101" i="22"/>
  <c r="L101" i="22" s="1"/>
  <c r="F100" i="58"/>
  <c r="W113" i="22"/>
  <c r="P112" i="58"/>
  <c r="H115" i="67"/>
  <c r="CP116" i="103"/>
  <c r="W125" i="22"/>
  <c r="P124" i="58"/>
  <c r="H127" i="67"/>
  <c r="BD95" i="103"/>
  <c r="C101" i="22"/>
  <c r="C100" i="58"/>
  <c r="C120" i="22"/>
  <c r="C119" i="58"/>
  <c r="F131" i="22"/>
  <c r="D130" i="58"/>
  <c r="AQ379" i="103"/>
  <c r="H116" i="22"/>
  <c r="O115" i="103"/>
  <c r="H128" i="22"/>
  <c r="O127" i="103"/>
  <c r="K93" i="22"/>
  <c r="L93" i="22" s="1"/>
  <c r="F92" i="58"/>
  <c r="Y95" i="22"/>
  <c r="O94" i="58"/>
  <c r="C96" i="67"/>
  <c r="K102" i="22"/>
  <c r="L102" i="22" s="1"/>
  <c r="F101" i="58"/>
  <c r="T379" i="103"/>
  <c r="U101" i="103"/>
  <c r="AA107" i="22"/>
  <c r="D109" i="67"/>
  <c r="M109" i="67"/>
  <c r="AA95" i="22"/>
  <c r="M96" i="67"/>
  <c r="D96" i="67"/>
  <c r="I97" i="22"/>
  <c r="E96" i="58"/>
  <c r="Y96" i="58" s="1"/>
  <c r="R96" i="103"/>
  <c r="AN121" i="103"/>
  <c r="AI130" i="22"/>
  <c r="Q97" i="22"/>
  <c r="E98" i="67"/>
  <c r="V379" i="103"/>
  <c r="CP105" i="103"/>
  <c r="C112" i="22"/>
  <c r="C111" i="58"/>
  <c r="C124" i="22"/>
  <c r="C123" i="58"/>
  <c r="AA130" i="22"/>
  <c r="M132" i="67"/>
  <c r="D132" i="67"/>
  <c r="U138" i="22"/>
  <c r="Q137" i="58"/>
  <c r="N141" i="67"/>
  <c r="U147" i="22"/>
  <c r="Q146" i="58"/>
  <c r="N150" i="67"/>
  <c r="U156" i="22"/>
  <c r="Q155" i="58"/>
  <c r="N159" i="67"/>
  <c r="CP129" i="103"/>
  <c r="E133" i="22"/>
  <c r="H132" i="103"/>
  <c r="CP138" i="103"/>
  <c r="CQ138" i="103" s="1"/>
  <c r="E142" i="22"/>
  <c r="H141" i="103"/>
  <c r="CP147" i="103"/>
  <c r="E151" i="22"/>
  <c r="H150" i="103"/>
  <c r="CP156" i="103"/>
  <c r="E160" i="22"/>
  <c r="H159" i="103"/>
  <c r="BM155" i="103"/>
  <c r="BD127" i="103"/>
  <c r="C133" i="22"/>
  <c r="C132" i="58"/>
  <c r="I137" i="22"/>
  <c r="E136" i="58"/>
  <c r="Y136" i="58" s="1"/>
  <c r="R136" i="103"/>
  <c r="AA150" i="22"/>
  <c r="M153" i="67"/>
  <c r="D153" i="67"/>
  <c r="BD157" i="103"/>
  <c r="Q128" i="22"/>
  <c r="E130" i="67"/>
  <c r="CE380" i="103"/>
  <c r="H135" i="22"/>
  <c r="O134" i="103"/>
  <c r="H144" i="22"/>
  <c r="O143" i="103"/>
  <c r="H153" i="22"/>
  <c r="O152" i="103"/>
  <c r="H162" i="22"/>
  <c r="O161" i="103"/>
  <c r="W133" i="22"/>
  <c r="P132" i="58"/>
  <c r="H136" i="67"/>
  <c r="W142" i="22"/>
  <c r="P141" i="58"/>
  <c r="H145" i="67"/>
  <c r="W151" i="22"/>
  <c r="P150" i="58"/>
  <c r="H154" i="67"/>
  <c r="W160" i="22"/>
  <c r="P159" i="58"/>
  <c r="H163" i="67"/>
  <c r="CS380" i="103"/>
  <c r="AO380" i="103"/>
  <c r="BD131" i="103"/>
  <c r="C143" i="22"/>
  <c r="C142" i="58"/>
  <c r="I147" i="22"/>
  <c r="E146" i="58"/>
  <c r="Y146" i="58" s="1"/>
  <c r="R146" i="103"/>
  <c r="AA160" i="22"/>
  <c r="M163" i="67"/>
  <c r="D163" i="67"/>
  <c r="W128" i="22"/>
  <c r="P127" i="58"/>
  <c r="H130" i="67"/>
  <c r="AQ380" i="103"/>
  <c r="Q166" i="22"/>
  <c r="E170" i="67"/>
  <c r="S164" i="22"/>
  <c r="K168" i="67"/>
  <c r="AG380" i="103"/>
  <c r="BD135" i="103"/>
  <c r="C147" i="22"/>
  <c r="C146" i="58"/>
  <c r="I151" i="22"/>
  <c r="E150" i="58"/>
  <c r="Y150" i="58" s="1"/>
  <c r="R150" i="103"/>
  <c r="C173" i="22"/>
  <c r="C172" i="58"/>
  <c r="C185" i="22"/>
  <c r="C184" i="58"/>
  <c r="Q168" i="22"/>
  <c r="E172" i="67"/>
  <c r="AI172" i="22"/>
  <c r="Q177" i="22"/>
  <c r="E181" i="67"/>
  <c r="AI181" i="22"/>
  <c r="Q186" i="22"/>
  <c r="E190" i="67"/>
  <c r="AI190" i="22"/>
  <c r="W164" i="22"/>
  <c r="P163" i="58"/>
  <c r="H168" i="67"/>
  <c r="W173" i="22"/>
  <c r="P172" i="58"/>
  <c r="H177" i="67"/>
  <c r="W182" i="22"/>
  <c r="P181" i="58"/>
  <c r="H186" i="67"/>
  <c r="W191" i="22"/>
  <c r="P190" i="58"/>
  <c r="H195" i="67"/>
  <c r="K198" i="22"/>
  <c r="L198" i="22" s="1"/>
  <c r="F197" i="58"/>
  <c r="U197" i="103"/>
  <c r="AG178" i="22"/>
  <c r="CI177" i="103"/>
  <c r="CK177" i="103" s="1"/>
  <c r="S180" i="22"/>
  <c r="K184" i="67"/>
  <c r="F193" i="22"/>
  <c r="D192" i="58"/>
  <c r="P382" i="103"/>
  <c r="S195" i="22"/>
  <c r="K200" i="67"/>
  <c r="I172" i="22"/>
  <c r="E171" i="58"/>
  <c r="Y171" i="58" s="1"/>
  <c r="R171" i="103"/>
  <c r="I184" i="22"/>
  <c r="E183" i="58"/>
  <c r="Y183" i="58" s="1"/>
  <c r="R183" i="103"/>
  <c r="AA194" i="22"/>
  <c r="D199" i="67"/>
  <c r="M199" i="67"/>
  <c r="Q199" i="22"/>
  <c r="E204" i="67"/>
  <c r="Q175" i="22"/>
  <c r="E179" i="67"/>
  <c r="AI179" i="22"/>
  <c r="Q184" i="22"/>
  <c r="E188" i="67"/>
  <c r="AI188" i="22"/>
  <c r="Q193" i="22"/>
  <c r="E198" i="67"/>
  <c r="AD382" i="103"/>
  <c r="W171" i="22"/>
  <c r="P170" i="58"/>
  <c r="H175" i="67"/>
  <c r="W180" i="22"/>
  <c r="P179" i="58"/>
  <c r="H184" i="67"/>
  <c r="W189" i="22"/>
  <c r="P188" i="58"/>
  <c r="H193" i="67"/>
  <c r="AE382" i="103"/>
  <c r="E196" i="22"/>
  <c r="H195" i="103"/>
  <c r="AN178" i="103"/>
  <c r="S181" i="22"/>
  <c r="K185" i="67"/>
  <c r="C199" i="22"/>
  <c r="C198" i="58"/>
  <c r="I164" i="22"/>
  <c r="E163" i="58"/>
  <c r="Y163" i="58" s="1"/>
  <c r="R163" i="103"/>
  <c r="I176" i="22"/>
  <c r="E175" i="58"/>
  <c r="Y175" i="58" s="1"/>
  <c r="R175" i="103"/>
  <c r="I188" i="22"/>
  <c r="E187" i="58"/>
  <c r="Y187" i="58" s="1"/>
  <c r="R187" i="103"/>
  <c r="AG382" i="103"/>
  <c r="W202" i="22"/>
  <c r="P201" i="58"/>
  <c r="H207" i="67"/>
  <c r="V382" i="103"/>
  <c r="AI195" i="22"/>
  <c r="E194" i="22"/>
  <c r="H193" i="103"/>
  <c r="AN176" i="103"/>
  <c r="S179" i="22"/>
  <c r="K183" i="67"/>
  <c r="F192" i="22"/>
  <c r="D191" i="58"/>
  <c r="S194" i="22"/>
  <c r="K199" i="67"/>
  <c r="CN383" i="103"/>
  <c r="I232" i="22"/>
  <c r="E231" i="58"/>
  <c r="Y231" i="58" s="1"/>
  <c r="R231" i="103"/>
  <c r="S235" i="22"/>
  <c r="K241" i="67"/>
  <c r="Y206" i="22"/>
  <c r="O205" i="58"/>
  <c r="C211" i="67"/>
  <c r="AG211" i="22"/>
  <c r="CI210" i="103"/>
  <c r="CK210" i="103" s="1"/>
  <c r="Y218" i="22"/>
  <c r="O217" i="58"/>
  <c r="C223" i="67"/>
  <c r="AG223" i="22"/>
  <c r="CI222" i="103"/>
  <c r="CK222" i="103" s="1"/>
  <c r="AI230" i="22"/>
  <c r="H233" i="22"/>
  <c r="O232" i="103"/>
  <c r="I208" i="22"/>
  <c r="E207" i="58"/>
  <c r="Y207" i="58" s="1"/>
  <c r="R207" i="103"/>
  <c r="I226" i="22"/>
  <c r="E225" i="58"/>
  <c r="Y225" i="58" s="1"/>
  <c r="R225" i="103"/>
  <c r="K242" i="22"/>
  <c r="L242" i="22" s="1"/>
  <c r="F241" i="58"/>
  <c r="U241" i="103"/>
  <c r="U201" i="22"/>
  <c r="Q200" i="58"/>
  <c r="N206" i="67"/>
  <c r="U219" i="22"/>
  <c r="Q218" i="58"/>
  <c r="N224" i="67"/>
  <c r="AX383" i="103"/>
  <c r="K229" i="22"/>
  <c r="L229" i="22" s="1"/>
  <c r="F228" i="58"/>
  <c r="U228" i="103"/>
  <c r="W201" i="22"/>
  <c r="P200" i="58"/>
  <c r="H206" i="67"/>
  <c r="CP204" i="103"/>
  <c r="CQ204" i="103" s="1"/>
  <c r="W213" i="22"/>
  <c r="P212" i="58"/>
  <c r="H218" i="67"/>
  <c r="CP216" i="103"/>
  <c r="CQ216" i="103" s="1"/>
  <c r="W225" i="22"/>
  <c r="P224" i="58"/>
  <c r="H231" i="67"/>
  <c r="K211" i="22"/>
  <c r="L211" i="22" s="1"/>
  <c r="F210" i="58"/>
  <c r="U210" i="103"/>
  <c r="K223" i="22"/>
  <c r="L223" i="22" s="1"/>
  <c r="F222" i="58"/>
  <c r="U222" i="103"/>
  <c r="I212" i="22"/>
  <c r="E211" i="58"/>
  <c r="Y211" i="58" s="1"/>
  <c r="R211" i="103"/>
  <c r="CP226" i="103"/>
  <c r="CQ226" i="103" s="1"/>
  <c r="U202" i="22"/>
  <c r="Q201" i="58"/>
  <c r="N207" i="67"/>
  <c r="U220" i="22"/>
  <c r="Q219" i="58"/>
  <c r="N225" i="67"/>
  <c r="Y232" i="22"/>
  <c r="O231" i="58"/>
  <c r="C238" i="67"/>
  <c r="F249" i="22"/>
  <c r="D248" i="58"/>
  <c r="W211" i="22"/>
  <c r="P210" i="58"/>
  <c r="H216" i="67"/>
  <c r="CP214" i="103"/>
  <c r="CR214" i="103" s="1"/>
  <c r="W223" i="22"/>
  <c r="P222" i="58"/>
  <c r="H228" i="67"/>
  <c r="F201" i="22"/>
  <c r="D200" i="58"/>
  <c r="S203" i="22"/>
  <c r="K208" i="67"/>
  <c r="F213" i="22"/>
  <c r="D212" i="58"/>
  <c r="S215" i="22"/>
  <c r="K220" i="67"/>
  <c r="F225" i="22"/>
  <c r="D224" i="58"/>
  <c r="AI229" i="22"/>
  <c r="H232" i="22"/>
  <c r="O231" i="103"/>
  <c r="AG246" i="22"/>
  <c r="CI245" i="103"/>
  <c r="CK245" i="103" s="1"/>
  <c r="I201" i="22"/>
  <c r="E200" i="58"/>
  <c r="Y200" i="58" s="1"/>
  <c r="R200" i="103"/>
  <c r="I219" i="22"/>
  <c r="E218" i="58"/>
  <c r="Y218" i="58" s="1"/>
  <c r="R218" i="103"/>
  <c r="BE383" i="103"/>
  <c r="U212" i="22"/>
  <c r="Q211" i="58"/>
  <c r="N217" i="67"/>
  <c r="CA383" i="103"/>
  <c r="Y230" i="22"/>
  <c r="O229" i="58"/>
  <c r="C236" i="67"/>
  <c r="CP241" i="103"/>
  <c r="CQ241" i="103" s="1"/>
  <c r="W253" i="22"/>
  <c r="P252" i="58"/>
  <c r="H259" i="67"/>
  <c r="AY384" i="103"/>
  <c r="AG258" i="22"/>
  <c r="CI257" i="103"/>
  <c r="CK257" i="103" s="1"/>
  <c r="F261" i="22"/>
  <c r="D260" i="58"/>
  <c r="C276" i="22"/>
  <c r="C275" i="58"/>
  <c r="AG255" i="22"/>
  <c r="AN384" i="103"/>
  <c r="CI254" i="103"/>
  <c r="CL254" i="103" s="1"/>
  <c r="I258" i="22"/>
  <c r="E257" i="58"/>
  <c r="Y257" i="58" s="1"/>
  <c r="R257" i="103"/>
  <c r="I261" i="22"/>
  <c r="E260" i="58"/>
  <c r="Y260" i="58" s="1"/>
  <c r="R260" i="103"/>
  <c r="K282" i="22"/>
  <c r="L282" i="22" s="1"/>
  <c r="F281" i="58"/>
  <c r="U281" i="103"/>
  <c r="C251" i="22"/>
  <c r="C250" i="58"/>
  <c r="H259" i="22"/>
  <c r="O258" i="103"/>
  <c r="F271" i="22"/>
  <c r="D270" i="58"/>
  <c r="BE386" i="103"/>
  <c r="U254" i="22"/>
  <c r="Q253" i="58"/>
  <c r="N260" i="67"/>
  <c r="H308" i="22"/>
  <c r="N149" i="23"/>
  <c r="O307" i="103"/>
  <c r="E246" i="22"/>
  <c r="H245" i="103"/>
  <c r="AA300" i="22"/>
  <c r="M308" i="67"/>
  <c r="D308" i="67"/>
  <c r="F235" i="22"/>
  <c r="D234" i="58"/>
  <c r="S237" i="22"/>
  <c r="K243" i="67"/>
  <c r="F247" i="22"/>
  <c r="D246" i="58"/>
  <c r="S249" i="22"/>
  <c r="K255" i="67"/>
  <c r="I250" i="22"/>
  <c r="E249" i="58"/>
  <c r="Y249" i="58" s="1"/>
  <c r="R249" i="103"/>
  <c r="BE384" i="103"/>
  <c r="Q238" i="22"/>
  <c r="E244" i="67"/>
  <c r="AI248" i="22"/>
  <c r="H251" i="22"/>
  <c r="O250" i="103"/>
  <c r="CM255" i="103"/>
  <c r="CO255" i="103" s="1"/>
  <c r="S262" i="22"/>
  <c r="K269" i="67"/>
  <c r="K265" i="22"/>
  <c r="L265" i="22" s="1"/>
  <c r="F264" i="58"/>
  <c r="U264" i="103"/>
  <c r="K285" i="22"/>
  <c r="L285" i="22" s="1"/>
  <c r="U126" i="23"/>
  <c r="F284" i="58"/>
  <c r="T385" i="103"/>
  <c r="U284" i="103"/>
  <c r="E247" i="22"/>
  <c r="H246" i="103"/>
  <c r="I263" i="22"/>
  <c r="E262" i="58"/>
  <c r="Y262" i="58" s="1"/>
  <c r="R262" i="103"/>
  <c r="I266" i="22"/>
  <c r="E265" i="58"/>
  <c r="Y265" i="58" s="1"/>
  <c r="R265" i="103"/>
  <c r="H305" i="22"/>
  <c r="N146" i="23"/>
  <c r="O304" i="103"/>
  <c r="Y243" i="22"/>
  <c r="O242" i="58"/>
  <c r="C249" i="67"/>
  <c r="AN247" i="103"/>
  <c r="Y255" i="22"/>
  <c r="O254" i="58"/>
  <c r="C262" i="67"/>
  <c r="AJ384" i="103"/>
  <c r="I286" i="22"/>
  <c r="R127" i="23"/>
  <c r="E285" i="58"/>
  <c r="Y285" i="58" s="1"/>
  <c r="R285" i="103"/>
  <c r="AK295" i="22"/>
  <c r="I248" i="22"/>
  <c r="E247" i="58"/>
  <c r="Y247" i="58" s="1"/>
  <c r="R247" i="103"/>
  <c r="U259" i="22"/>
  <c r="Q258" i="58"/>
  <c r="N266" i="67"/>
  <c r="Q236" i="22"/>
  <c r="E242" i="67"/>
  <c r="AI246" i="22"/>
  <c r="H249" i="22"/>
  <c r="O248" i="103"/>
  <c r="Q254" i="22"/>
  <c r="E260" i="67"/>
  <c r="S263" i="22"/>
  <c r="K270" i="67"/>
  <c r="K266" i="22"/>
  <c r="L266" i="22" s="1"/>
  <c r="F265" i="58"/>
  <c r="U265" i="103"/>
  <c r="AI269" i="22"/>
  <c r="AI272" i="22"/>
  <c r="AI275" i="22"/>
  <c r="AI278" i="22"/>
  <c r="AI281" i="22"/>
  <c r="AI284" i="22"/>
  <c r="Q289" i="22"/>
  <c r="E297" i="67"/>
  <c r="AI293" i="22"/>
  <c r="I302" i="22"/>
  <c r="R143" i="23"/>
  <c r="E301" i="58"/>
  <c r="Y301" i="58" s="1"/>
  <c r="R301" i="103"/>
  <c r="W294" i="22"/>
  <c r="P293" i="58"/>
  <c r="H302" i="67"/>
  <c r="AI300" i="22"/>
  <c r="Y276" i="22"/>
  <c r="O275" i="58"/>
  <c r="C283" i="67"/>
  <c r="AM286" i="22"/>
  <c r="S295" i="22"/>
  <c r="K303" i="67"/>
  <c r="AK290" i="22"/>
  <c r="C297" i="22"/>
  <c r="C138" i="23"/>
  <c r="C296" i="58"/>
  <c r="H291" i="22"/>
  <c r="N132" i="23"/>
  <c r="O290" i="103"/>
  <c r="W308" i="22"/>
  <c r="P307" i="58"/>
  <c r="H316" i="67"/>
  <c r="W268" i="22"/>
  <c r="P267" i="58"/>
  <c r="H275" i="67"/>
  <c r="W271" i="22"/>
  <c r="P270" i="58"/>
  <c r="H278" i="67"/>
  <c r="W274" i="22"/>
  <c r="P273" i="58"/>
  <c r="H281" i="67"/>
  <c r="W277" i="22"/>
  <c r="P276" i="58"/>
  <c r="H284" i="67"/>
  <c r="W280" i="22"/>
  <c r="P279" i="58"/>
  <c r="H287" i="67"/>
  <c r="W283" i="22"/>
  <c r="P282" i="58"/>
  <c r="H290" i="67"/>
  <c r="BT385" i="103"/>
  <c r="CP289" i="103"/>
  <c r="CQ289" i="103" s="1"/>
  <c r="E293" i="22"/>
  <c r="H134" i="23"/>
  <c r="H292" i="103"/>
  <c r="P303" i="67"/>
  <c r="BL294" i="103"/>
  <c r="C303" i="22"/>
  <c r="C144" i="23"/>
  <c r="C302" i="58"/>
  <c r="H333" i="22"/>
  <c r="O332" i="103"/>
  <c r="AG270" i="22"/>
  <c r="CI269" i="103"/>
  <c r="CL269" i="103" s="1"/>
  <c r="F273" i="22"/>
  <c r="D272" i="58"/>
  <c r="S278" i="22"/>
  <c r="K285" i="67"/>
  <c r="K281" i="22"/>
  <c r="L281" i="22" s="1"/>
  <c r="F280" i="58"/>
  <c r="U280" i="103"/>
  <c r="W302" i="22"/>
  <c r="P301" i="58"/>
  <c r="H310" i="67"/>
  <c r="E321" i="22"/>
  <c r="H320" i="103"/>
  <c r="E320" i="103" s="1"/>
  <c r="AA268" i="22"/>
  <c r="D275" i="67"/>
  <c r="M275" i="67"/>
  <c r="AA271" i="22"/>
  <c r="M278" i="67"/>
  <c r="D278" i="67"/>
  <c r="AA274" i="22"/>
  <c r="D281" i="67"/>
  <c r="M281" i="67"/>
  <c r="AA277" i="22"/>
  <c r="M284" i="67"/>
  <c r="D284" i="67"/>
  <c r="AA280" i="22"/>
  <c r="D287" i="67"/>
  <c r="M287" i="67"/>
  <c r="AA283" i="22"/>
  <c r="M290" i="67"/>
  <c r="D290" i="67"/>
  <c r="E299" i="22"/>
  <c r="H140" i="23"/>
  <c r="H298" i="103"/>
  <c r="E312" i="22"/>
  <c r="H153" i="23"/>
  <c r="H311" i="103"/>
  <c r="E311" i="103" s="1"/>
  <c r="CP320" i="103"/>
  <c r="CQ320" i="103" s="1"/>
  <c r="BZ386" i="103"/>
  <c r="AE385" i="103"/>
  <c r="H309" i="22"/>
  <c r="N150" i="23"/>
  <c r="O308" i="103"/>
  <c r="CP298" i="103"/>
  <c r="CQ298" i="103" s="1"/>
  <c r="E302" i="22"/>
  <c r="H143" i="23"/>
  <c r="H301" i="103"/>
  <c r="P312" i="67"/>
  <c r="BL303" i="103"/>
  <c r="CP310" i="103"/>
  <c r="CQ310" i="103" s="1"/>
  <c r="E314" i="22"/>
  <c r="H313" i="103"/>
  <c r="E313" i="103" s="1"/>
  <c r="W319" i="22"/>
  <c r="P318" i="58"/>
  <c r="H328" i="67"/>
  <c r="CP325" i="103"/>
  <c r="CQ325" i="103" s="1"/>
  <c r="K332" i="22"/>
  <c r="L332" i="22" s="1"/>
  <c r="F331" i="58"/>
  <c r="U331" i="103"/>
  <c r="F306" i="22"/>
  <c r="I147" i="23"/>
  <c r="D305" i="58"/>
  <c r="K308" i="22"/>
  <c r="L308" i="22" s="1"/>
  <c r="U149" i="23"/>
  <c r="F307" i="58"/>
  <c r="U307" i="103"/>
  <c r="Y310" i="22"/>
  <c r="O309" i="58"/>
  <c r="C318" i="67"/>
  <c r="Q325" i="67"/>
  <c r="BQ386" i="103"/>
  <c r="F324" i="22"/>
  <c r="D323" i="58"/>
  <c r="S326" i="22"/>
  <c r="K335" i="67"/>
  <c r="AA298" i="22"/>
  <c r="M306" i="67"/>
  <c r="D306" i="67"/>
  <c r="C302" i="22"/>
  <c r="C143" i="23"/>
  <c r="C301" i="58"/>
  <c r="AA304" i="22"/>
  <c r="M312" i="67"/>
  <c r="D312" i="67"/>
  <c r="C308" i="22"/>
  <c r="C149" i="23"/>
  <c r="C307" i="58"/>
  <c r="AA310" i="22"/>
  <c r="M318" i="67"/>
  <c r="D318" i="67"/>
  <c r="C314" i="22"/>
  <c r="C313" i="58"/>
  <c r="AA316" i="22"/>
  <c r="D325" i="67"/>
  <c r="M325" i="67"/>
  <c r="AK386" i="103"/>
  <c r="AA325" i="22"/>
  <c r="M334" i="67"/>
  <c r="D334" i="67"/>
  <c r="Q300" i="22"/>
  <c r="E308" i="67"/>
  <c r="AI304" i="22"/>
  <c r="Q309" i="22"/>
  <c r="E317" i="67"/>
  <c r="AI313" i="22"/>
  <c r="U326" i="22"/>
  <c r="Q325" i="58"/>
  <c r="N335" i="67"/>
  <c r="F304" i="22"/>
  <c r="I145" i="23"/>
  <c r="D303" i="58"/>
  <c r="K306" i="22"/>
  <c r="L306" i="22" s="1"/>
  <c r="U147" i="23"/>
  <c r="F305" i="58"/>
  <c r="U305" i="103"/>
  <c r="Y308" i="22"/>
  <c r="O307" i="58"/>
  <c r="C316" i="67"/>
  <c r="BM313" i="103"/>
  <c r="BU386" i="103"/>
  <c r="Y326" i="22"/>
  <c r="O325" i="58"/>
  <c r="C335" i="67"/>
  <c r="U333" i="22"/>
  <c r="Q332" i="58"/>
  <c r="N342" i="67"/>
  <c r="U327" i="22"/>
  <c r="Q326" i="58"/>
  <c r="N336" i="67"/>
  <c r="W306" i="22"/>
  <c r="P305" i="58"/>
  <c r="H314" i="67"/>
  <c r="E331" i="22"/>
  <c r="H330" i="103"/>
  <c r="E330" i="103" s="1"/>
  <c r="Y333" i="22"/>
  <c r="O332" i="58"/>
  <c r="C342" i="67"/>
  <c r="F299" i="22"/>
  <c r="I140" i="23"/>
  <c r="D298" i="58"/>
  <c r="K301" i="22"/>
  <c r="L301" i="22" s="1"/>
  <c r="U142" i="23"/>
  <c r="F300" i="58"/>
  <c r="U300" i="103"/>
  <c r="Y303" i="22"/>
  <c r="O302" i="58"/>
  <c r="C311" i="67"/>
  <c r="BM308" i="103"/>
  <c r="AM313" i="22"/>
  <c r="Y318" i="22"/>
  <c r="O317" i="58"/>
  <c r="C327" i="67"/>
  <c r="Y330" i="22"/>
  <c r="O329" i="58"/>
  <c r="C339" i="67"/>
  <c r="W343" i="22"/>
  <c r="P342" i="58"/>
  <c r="H352" i="67"/>
  <c r="AY387" i="103"/>
  <c r="K338" i="22"/>
  <c r="L338" i="22" s="1"/>
  <c r="F337" i="58"/>
  <c r="U337" i="103"/>
  <c r="AZ387" i="103"/>
  <c r="AA334" i="22"/>
  <c r="D343" i="67"/>
  <c r="M343" i="67"/>
  <c r="AA343" i="22"/>
  <c r="M352" i="67"/>
  <c r="D352" i="67"/>
  <c r="C356" i="22"/>
  <c r="C355" i="58"/>
  <c r="AA358" i="22"/>
  <c r="D368" i="67"/>
  <c r="M368" i="67"/>
  <c r="AI334" i="22"/>
  <c r="H337" i="22"/>
  <c r="O336" i="103"/>
  <c r="Q342" i="22"/>
  <c r="E351" i="67"/>
  <c r="H352" i="22"/>
  <c r="H364" i="22"/>
  <c r="E336" i="22"/>
  <c r="H335" i="103"/>
  <c r="E335" i="103" s="1"/>
  <c r="CP347" i="103"/>
  <c r="W356" i="22"/>
  <c r="P355" i="58"/>
  <c r="H366" i="67"/>
  <c r="CP359" i="103"/>
  <c r="W368" i="22"/>
  <c r="P367" i="58"/>
  <c r="H378" i="67"/>
  <c r="F337" i="22"/>
  <c r="D336" i="58"/>
  <c r="S339" i="22"/>
  <c r="K348" i="67"/>
  <c r="K351" i="22"/>
  <c r="L351" i="22" s="1"/>
  <c r="F350" i="58"/>
  <c r="U350" i="103"/>
  <c r="Y353" i="22"/>
  <c r="O352" i="58"/>
  <c r="C363" i="67"/>
  <c r="K360" i="22"/>
  <c r="L360" i="22" s="1"/>
  <c r="F359" i="58"/>
  <c r="U359" i="103"/>
  <c r="Y362" i="22"/>
  <c r="O361" i="58"/>
  <c r="C372" i="67"/>
  <c r="K369" i="22"/>
  <c r="L369" i="22" s="1"/>
  <c r="F368" i="58"/>
  <c r="U368" i="103"/>
  <c r="AA371" i="22"/>
  <c r="M381" i="67"/>
  <c r="S16" i="68" s="1"/>
  <c r="D381" i="67"/>
  <c r="AO387" i="103"/>
  <c r="BD345" i="103"/>
  <c r="I361" i="22"/>
  <c r="E360" i="58"/>
  <c r="Y360" i="58" s="1"/>
  <c r="R360" i="103"/>
  <c r="U363" i="22"/>
  <c r="Q362" i="58"/>
  <c r="N373" i="67"/>
  <c r="AI365" i="22"/>
  <c r="E337" i="22"/>
  <c r="H336" i="103"/>
  <c r="E336" i="103" s="1"/>
  <c r="CP348" i="103"/>
  <c r="W357" i="22"/>
  <c r="P356" i="58"/>
  <c r="H367" i="67"/>
  <c r="CP360" i="103"/>
  <c r="W369" i="22"/>
  <c r="P368" i="58"/>
  <c r="H379" i="67"/>
  <c r="F371" i="22"/>
  <c r="D370" i="58"/>
  <c r="J370" i="103"/>
  <c r="F335" i="22"/>
  <c r="D334" i="58"/>
  <c r="S337" i="22"/>
  <c r="K346" i="67"/>
  <c r="F347" i="22"/>
  <c r="D346" i="58"/>
  <c r="S349" i="22"/>
  <c r="K359" i="67"/>
  <c r="F356" i="22"/>
  <c r="D355" i="58"/>
  <c r="S358" i="22"/>
  <c r="K368" i="67"/>
  <c r="F365" i="22"/>
  <c r="D364" i="58"/>
  <c r="S367" i="22"/>
  <c r="K377" i="67"/>
  <c r="BZ387" i="103"/>
  <c r="I353" i="22"/>
  <c r="E352" i="58"/>
  <c r="Y352" i="58" s="1"/>
  <c r="R352" i="103"/>
  <c r="C364" i="22"/>
  <c r="C363" i="58"/>
  <c r="AA366" i="22"/>
  <c r="M376" i="67"/>
  <c r="D376" i="67"/>
  <c r="Q356" i="22"/>
  <c r="E366" i="67"/>
  <c r="Q368" i="22"/>
  <c r="E378" i="67"/>
  <c r="W375" i="22"/>
  <c r="P374" i="58"/>
  <c r="H385" i="67"/>
  <c r="AA11" i="68" s="1"/>
  <c r="CI373" i="103"/>
  <c r="CK373" i="103" s="1"/>
  <c r="H375" i="22"/>
  <c r="H376" i="22"/>
  <c r="C375" i="22"/>
  <c r="C374" i="58"/>
  <c r="W50" i="22"/>
  <c r="P49" i="58"/>
  <c r="H50" i="67"/>
  <c r="I45" i="22"/>
  <c r="E44" i="58"/>
  <c r="Y44" i="58" s="1"/>
  <c r="R44" i="103"/>
  <c r="AA43" i="22"/>
  <c r="M43" i="67"/>
  <c r="D43" i="67"/>
  <c r="AK377" i="103"/>
  <c r="K38" i="22"/>
  <c r="L38" i="22" s="1"/>
  <c r="F37" i="58"/>
  <c r="U37" i="103"/>
  <c r="BB34" i="103"/>
  <c r="H33" i="22"/>
  <c r="O32" i="103"/>
  <c r="H21" i="22"/>
  <c r="O20" i="103"/>
  <c r="S44" i="22"/>
  <c r="K44" i="67"/>
  <c r="F42" i="22"/>
  <c r="D41" i="58"/>
  <c r="BD34" i="103"/>
  <c r="AA33" i="22"/>
  <c r="D32" i="67"/>
  <c r="BD22" i="103"/>
  <c r="AA21" i="22"/>
  <c r="D20" i="67"/>
  <c r="W43" i="22"/>
  <c r="P42" i="58"/>
  <c r="H43" i="67"/>
  <c r="AI377" i="103"/>
  <c r="AG29" i="22"/>
  <c r="CI28" i="103"/>
  <c r="CK28" i="103" s="1"/>
  <c r="CN376" i="103"/>
  <c r="Q17" i="22"/>
  <c r="E16" i="67"/>
  <c r="AI45" i="22"/>
  <c r="U43" i="22"/>
  <c r="Q42" i="58"/>
  <c r="AH377" i="103"/>
  <c r="N43" i="67"/>
  <c r="I38" i="22"/>
  <c r="E37" i="58"/>
  <c r="Y37" i="58" s="1"/>
  <c r="R37" i="103"/>
  <c r="S56" i="22"/>
  <c r="K56" i="67"/>
  <c r="F54" i="22"/>
  <c r="D53" i="58"/>
  <c r="J53" i="103"/>
  <c r="W52" i="22"/>
  <c r="P51" i="58"/>
  <c r="H52" i="67"/>
  <c r="Q47" i="22"/>
  <c r="E47" i="67"/>
  <c r="AA45" i="22"/>
  <c r="D45" i="67"/>
  <c r="M45" i="67"/>
  <c r="F38" i="22"/>
  <c r="D37" i="58"/>
  <c r="U36" i="22"/>
  <c r="Q35" i="58"/>
  <c r="N35" i="67"/>
  <c r="AI26" i="22"/>
  <c r="U24" i="22"/>
  <c r="Q23" i="58"/>
  <c r="N23" i="67"/>
  <c r="I19" i="22"/>
  <c r="E18" i="58"/>
  <c r="Y18" i="58" s="1"/>
  <c r="R18" i="103"/>
  <c r="AG376" i="103"/>
  <c r="W55" i="22"/>
  <c r="P54" i="58"/>
  <c r="H55" i="67"/>
  <c r="Y45" i="22"/>
  <c r="O44" i="58"/>
  <c r="C45" i="67"/>
  <c r="BD27" i="103"/>
  <c r="AA26" i="22"/>
  <c r="D25" i="67"/>
  <c r="S12" i="22"/>
  <c r="K11" i="67"/>
  <c r="AF376" i="103"/>
  <c r="C52" i="22"/>
  <c r="C51" i="58"/>
  <c r="Y35" i="22"/>
  <c r="O34" i="58"/>
  <c r="C34" i="67"/>
  <c r="K33" i="22"/>
  <c r="L33" i="22" s="1"/>
  <c r="F32" i="58"/>
  <c r="U32" i="103"/>
  <c r="Y26" i="22"/>
  <c r="O25" i="58"/>
  <c r="C25" i="67"/>
  <c r="K24" i="22"/>
  <c r="L24" i="22" s="1"/>
  <c r="F23" i="58"/>
  <c r="U23" i="103"/>
  <c r="W17" i="22"/>
  <c r="P16" i="58"/>
  <c r="H16" i="67"/>
  <c r="E12" i="22"/>
  <c r="G376" i="103"/>
  <c r="H11" i="103"/>
  <c r="E11" i="103" s="1"/>
  <c r="Q43" i="22"/>
  <c r="AD377" i="103"/>
  <c r="E43" i="67"/>
  <c r="K97" i="22"/>
  <c r="L97" i="22" s="1"/>
  <c r="F96" i="58"/>
  <c r="Y99" i="22"/>
  <c r="O98" i="58"/>
  <c r="C100" i="67"/>
  <c r="AI108" i="22"/>
  <c r="CD379" i="103"/>
  <c r="H105" i="22"/>
  <c r="O104" i="103"/>
  <c r="AG117" i="22"/>
  <c r="CI116" i="103"/>
  <c r="CK116" i="103" s="1"/>
  <c r="AG126" i="22"/>
  <c r="CI125" i="103"/>
  <c r="CK125" i="103" s="1"/>
  <c r="H102" i="22"/>
  <c r="N379" i="103"/>
  <c r="O101" i="103"/>
  <c r="E107" i="22"/>
  <c r="H106" i="103"/>
  <c r="C116" i="22"/>
  <c r="C115" i="58"/>
  <c r="C128" i="22"/>
  <c r="C127" i="58"/>
  <c r="AY379" i="103"/>
  <c r="F105" i="22"/>
  <c r="D104" i="58"/>
  <c r="S107" i="22"/>
  <c r="K109" i="67"/>
  <c r="Q117" i="22"/>
  <c r="E119" i="67"/>
  <c r="S136" i="22"/>
  <c r="K139" i="67"/>
  <c r="F99" i="22"/>
  <c r="D98" i="58"/>
  <c r="S101" i="22"/>
  <c r="K102" i="67"/>
  <c r="Q108" i="22"/>
  <c r="E110" i="67"/>
  <c r="AI103" i="22"/>
  <c r="Y110" i="22"/>
  <c r="O109" i="58"/>
  <c r="C112" i="67"/>
  <c r="K117" i="22"/>
  <c r="L117" i="22" s="1"/>
  <c r="F116" i="58"/>
  <c r="U116" i="103"/>
  <c r="Y119" i="22"/>
  <c r="O118" i="58"/>
  <c r="C121" i="67"/>
  <c r="K126" i="22"/>
  <c r="L126" i="22" s="1"/>
  <c r="F125" i="58"/>
  <c r="U125" i="103"/>
  <c r="U98" i="22"/>
  <c r="Q97" i="58"/>
  <c r="N99" i="67"/>
  <c r="AI100" i="22"/>
  <c r="BW379" i="103"/>
  <c r="E108" i="22"/>
  <c r="H107" i="103"/>
  <c r="I115" i="22"/>
  <c r="E114" i="58"/>
  <c r="Y114" i="58" s="1"/>
  <c r="R114" i="103"/>
  <c r="I127" i="22"/>
  <c r="E126" i="58"/>
  <c r="Y126" i="58" s="1"/>
  <c r="R126" i="103"/>
  <c r="Q132" i="22"/>
  <c r="E135" i="67"/>
  <c r="AD380" i="103"/>
  <c r="W98" i="22"/>
  <c r="P97" i="58"/>
  <c r="H99" i="67"/>
  <c r="AM99" i="103"/>
  <c r="BC379" i="103"/>
  <c r="CP101" i="103"/>
  <c r="Q109" i="22"/>
  <c r="E111" i="67"/>
  <c r="Q121" i="22"/>
  <c r="E123" i="67"/>
  <c r="S93" i="22"/>
  <c r="K94" i="67"/>
  <c r="F100" i="22"/>
  <c r="D99" i="58"/>
  <c r="S102" i="22"/>
  <c r="K104" i="67"/>
  <c r="AF379" i="103"/>
  <c r="C105" i="22"/>
  <c r="C104" i="58"/>
  <c r="E112" i="22"/>
  <c r="H111" i="103"/>
  <c r="E124" i="22"/>
  <c r="H123" i="103"/>
  <c r="C93" i="22"/>
  <c r="C92" i="58"/>
  <c r="C102" i="22"/>
  <c r="C101" i="58"/>
  <c r="I379" i="103"/>
  <c r="H104" i="22"/>
  <c r="O103" i="103"/>
  <c r="E109" i="22"/>
  <c r="H108" i="103"/>
  <c r="U131" i="22"/>
  <c r="Q130" i="58"/>
  <c r="N133" i="67"/>
  <c r="AI92" i="22"/>
  <c r="U102" i="22"/>
  <c r="Q101" i="58"/>
  <c r="N104" i="67"/>
  <c r="AH379" i="103"/>
  <c r="I119" i="22"/>
  <c r="E118" i="58"/>
  <c r="Y118" i="58" s="1"/>
  <c r="R118" i="103"/>
  <c r="U129" i="22"/>
  <c r="Q128" i="58"/>
  <c r="N131" i="67"/>
  <c r="AI131" i="22"/>
  <c r="Q136" i="22"/>
  <c r="E139" i="67"/>
  <c r="AI140" i="22"/>
  <c r="Q145" i="22"/>
  <c r="E148" i="67"/>
  <c r="AI149" i="22"/>
  <c r="Q154" i="22"/>
  <c r="E157" i="67"/>
  <c r="AI158" i="22"/>
  <c r="Q163" i="22"/>
  <c r="E167" i="67"/>
  <c r="AD381" i="103"/>
  <c r="P138" i="67"/>
  <c r="BL134" i="103"/>
  <c r="P147" i="67"/>
  <c r="BL143" i="103"/>
  <c r="P156" i="67"/>
  <c r="BL152" i="103"/>
  <c r="P165" i="67"/>
  <c r="BL161" i="103"/>
  <c r="C148" i="22"/>
  <c r="C147" i="58"/>
  <c r="I152" i="22"/>
  <c r="E151" i="58"/>
  <c r="Y151" i="58" s="1"/>
  <c r="R151" i="103"/>
  <c r="U171" i="22"/>
  <c r="Q170" i="58"/>
  <c r="N175" i="67"/>
  <c r="F135" i="22"/>
  <c r="D134" i="58"/>
  <c r="F141" i="22"/>
  <c r="D140" i="58"/>
  <c r="F147" i="22"/>
  <c r="D146" i="58"/>
  <c r="F153" i="22"/>
  <c r="D152" i="58"/>
  <c r="F159" i="22"/>
  <c r="D158" i="58"/>
  <c r="AA139" i="22"/>
  <c r="D142" i="67"/>
  <c r="M142" i="67"/>
  <c r="C158" i="22"/>
  <c r="C157" i="58"/>
  <c r="I162" i="22"/>
  <c r="E161" i="58"/>
  <c r="Y161" i="58" s="1"/>
  <c r="R161" i="103"/>
  <c r="U140" i="22"/>
  <c r="Q139" i="58"/>
  <c r="N143" i="67"/>
  <c r="U149" i="22"/>
  <c r="Q148" i="58"/>
  <c r="N152" i="67"/>
  <c r="U158" i="22"/>
  <c r="Q157" i="58"/>
  <c r="N161" i="67"/>
  <c r="BC380" i="103"/>
  <c r="CP131" i="103"/>
  <c r="E135" i="22"/>
  <c r="H134" i="103"/>
  <c r="CP140" i="103"/>
  <c r="CQ140" i="103" s="1"/>
  <c r="E144" i="22"/>
  <c r="H143" i="103"/>
  <c r="CP149" i="103"/>
  <c r="E153" i="22"/>
  <c r="H152" i="103"/>
  <c r="CP158" i="103"/>
  <c r="CQ158" i="103" s="1"/>
  <c r="E162" i="22"/>
  <c r="H161" i="103"/>
  <c r="F136" i="22"/>
  <c r="D135" i="58"/>
  <c r="F142" i="22"/>
  <c r="D141" i="58"/>
  <c r="F148" i="22"/>
  <c r="D147" i="58"/>
  <c r="F154" i="22"/>
  <c r="D153" i="58"/>
  <c r="F160" i="22"/>
  <c r="D159" i="58"/>
  <c r="U165" i="22"/>
  <c r="Q164" i="58"/>
  <c r="N169" i="67"/>
  <c r="AS380" i="103"/>
  <c r="AA143" i="22"/>
  <c r="M146" i="67"/>
  <c r="D146" i="67"/>
  <c r="C162" i="22"/>
  <c r="C161" i="58"/>
  <c r="I168" i="22"/>
  <c r="E167" i="58"/>
  <c r="Y167" i="58" s="1"/>
  <c r="R167" i="103"/>
  <c r="I180" i="22"/>
  <c r="E179" i="58"/>
  <c r="Y179" i="58" s="1"/>
  <c r="R179" i="103"/>
  <c r="I192" i="22"/>
  <c r="E191" i="58"/>
  <c r="Y191" i="58" s="1"/>
  <c r="R191" i="103"/>
  <c r="AA204" i="22"/>
  <c r="M209" i="67"/>
  <c r="D209" i="67"/>
  <c r="H166" i="22"/>
  <c r="O165" i="103"/>
  <c r="H175" i="22"/>
  <c r="O174" i="103"/>
  <c r="H184" i="22"/>
  <c r="O183" i="103"/>
  <c r="H193" i="22"/>
  <c r="N382" i="103"/>
  <c r="O192" i="103"/>
  <c r="E198" i="22"/>
  <c r="H197" i="103"/>
  <c r="CP194" i="103"/>
  <c r="CQ194" i="103" s="1"/>
  <c r="S198" i="22"/>
  <c r="K203" i="67"/>
  <c r="F172" i="22"/>
  <c r="D171" i="58"/>
  <c r="K174" i="22"/>
  <c r="L174" i="22" s="1"/>
  <c r="F173" i="58"/>
  <c r="U173" i="103"/>
  <c r="Y176" i="22"/>
  <c r="O175" i="58"/>
  <c r="C180" i="67"/>
  <c r="AG193" i="22"/>
  <c r="CI192" i="103"/>
  <c r="CK192" i="103" s="1"/>
  <c r="AA170" i="22"/>
  <c r="M174" i="67"/>
  <c r="D174" i="67"/>
  <c r="AA182" i="22"/>
  <c r="M186" i="67"/>
  <c r="D186" i="67"/>
  <c r="H173" i="22"/>
  <c r="O172" i="103"/>
  <c r="H182" i="22"/>
  <c r="O181" i="103"/>
  <c r="H191" i="22"/>
  <c r="O190" i="103"/>
  <c r="BC382" i="103"/>
  <c r="CP192" i="103"/>
  <c r="CQ192" i="103" s="1"/>
  <c r="F173" i="22"/>
  <c r="D172" i="58"/>
  <c r="K175" i="22"/>
  <c r="L175" i="22" s="1"/>
  <c r="F174" i="58"/>
  <c r="U174" i="103"/>
  <c r="Y177" i="22"/>
  <c r="O176" i="58"/>
  <c r="C181" i="67"/>
  <c r="AA174" i="22"/>
  <c r="D178" i="67"/>
  <c r="M178" i="67"/>
  <c r="AA186" i="22"/>
  <c r="D190" i="67"/>
  <c r="M190" i="67"/>
  <c r="AS382" i="103"/>
  <c r="C196" i="22"/>
  <c r="C195" i="58"/>
  <c r="AI198" i="22"/>
  <c r="U166" i="22"/>
  <c r="Q165" i="58"/>
  <c r="N170" i="67"/>
  <c r="U175" i="22"/>
  <c r="Q174" i="58"/>
  <c r="N179" i="67"/>
  <c r="U184" i="22"/>
  <c r="Q183" i="58"/>
  <c r="N188" i="67"/>
  <c r="U193" i="22"/>
  <c r="Q192" i="58"/>
  <c r="N198" i="67"/>
  <c r="AH382" i="103"/>
  <c r="CP163" i="103"/>
  <c r="E167" i="22"/>
  <c r="H166" i="103"/>
  <c r="CP172" i="103"/>
  <c r="CR172" i="103" s="1"/>
  <c r="E176" i="22"/>
  <c r="H175" i="103"/>
  <c r="CP181" i="103"/>
  <c r="CR181" i="103" s="1"/>
  <c r="E185" i="22"/>
  <c r="H184" i="103"/>
  <c r="CP190" i="103"/>
  <c r="CQ190" i="103" s="1"/>
  <c r="F171" i="22"/>
  <c r="D170" i="58"/>
  <c r="K173" i="22"/>
  <c r="L173" i="22" s="1"/>
  <c r="F172" i="58"/>
  <c r="U172" i="103"/>
  <c r="Y175" i="22"/>
  <c r="O174" i="58"/>
  <c r="C179" i="67"/>
  <c r="AG192" i="22"/>
  <c r="CI191" i="103"/>
  <c r="CK191" i="103" s="1"/>
  <c r="W200" i="22"/>
  <c r="P199" i="58"/>
  <c r="H205" i="67"/>
  <c r="E213" i="22"/>
  <c r="H212" i="103"/>
  <c r="E225" i="22"/>
  <c r="H224" i="103"/>
  <c r="AA230" i="22"/>
  <c r="D236" i="67"/>
  <c r="M236" i="67"/>
  <c r="K204" i="22"/>
  <c r="L204" i="22" s="1"/>
  <c r="F203" i="58"/>
  <c r="U203" i="103"/>
  <c r="K216" i="22"/>
  <c r="L216" i="22" s="1"/>
  <c r="F215" i="58"/>
  <c r="U215" i="103"/>
  <c r="U228" i="22"/>
  <c r="Q227" i="58"/>
  <c r="N234" i="67"/>
  <c r="F240" i="22"/>
  <c r="D239" i="58"/>
  <c r="C201" i="22"/>
  <c r="C200" i="58"/>
  <c r="AA206" i="22"/>
  <c r="D211" i="67"/>
  <c r="M211" i="67"/>
  <c r="C219" i="22"/>
  <c r="C218" i="58"/>
  <c r="AA224" i="22"/>
  <c r="D230" i="67"/>
  <c r="M230" i="67"/>
  <c r="AK383" i="103"/>
  <c r="E232" i="22"/>
  <c r="H231" i="103"/>
  <c r="Y235" i="22"/>
  <c r="O234" i="58"/>
  <c r="C241" i="67"/>
  <c r="AI206" i="22"/>
  <c r="H209" i="22"/>
  <c r="O208" i="103"/>
  <c r="Q214" i="22"/>
  <c r="E219" i="67"/>
  <c r="AI224" i="22"/>
  <c r="BS383" i="103"/>
  <c r="F227" i="22"/>
  <c r="D226" i="58"/>
  <c r="J226" i="103"/>
  <c r="S229" i="22"/>
  <c r="K235" i="67"/>
  <c r="F243" i="22"/>
  <c r="D242" i="58"/>
  <c r="I230" i="22"/>
  <c r="E229" i="58"/>
  <c r="Y229" i="58" s="1"/>
  <c r="R229" i="103"/>
  <c r="F209" i="22"/>
  <c r="D208" i="58"/>
  <c r="S211" i="22"/>
  <c r="K216" i="67"/>
  <c r="F221" i="22"/>
  <c r="D220" i="58"/>
  <c r="S223" i="22"/>
  <c r="K228" i="67"/>
  <c r="AI228" i="22"/>
  <c r="H231" i="22"/>
  <c r="O230" i="103"/>
  <c r="C205" i="22"/>
  <c r="C204" i="58"/>
  <c r="AA210" i="22"/>
  <c r="M215" i="67"/>
  <c r="D215" i="67"/>
  <c r="C223" i="22"/>
  <c r="C222" i="58"/>
  <c r="E233" i="22"/>
  <c r="H232" i="103"/>
  <c r="AI207" i="22"/>
  <c r="H210" i="22"/>
  <c r="O209" i="103"/>
  <c r="Q215" i="22"/>
  <c r="E220" i="67"/>
  <c r="AI225" i="22"/>
  <c r="K230" i="22"/>
  <c r="L230" i="22" s="1"/>
  <c r="F229" i="58"/>
  <c r="U229" i="103"/>
  <c r="AI235" i="22"/>
  <c r="I228" i="22"/>
  <c r="E227" i="58"/>
  <c r="Y227" i="58" s="1"/>
  <c r="R227" i="103"/>
  <c r="AG201" i="22"/>
  <c r="CI200" i="103"/>
  <c r="CK200" i="103" s="1"/>
  <c r="Y208" i="22"/>
  <c r="O207" i="58"/>
  <c r="C213" i="67"/>
  <c r="AG213" i="22"/>
  <c r="CI212" i="103"/>
  <c r="CK212" i="103" s="1"/>
  <c r="Y220" i="22"/>
  <c r="O219" i="58"/>
  <c r="C225" i="67"/>
  <c r="AG225" i="22"/>
  <c r="CI224" i="103"/>
  <c r="CK224" i="103" s="1"/>
  <c r="U227" i="22"/>
  <c r="Q226" i="58"/>
  <c r="N233" i="67"/>
  <c r="C212" i="22"/>
  <c r="C211" i="58"/>
  <c r="AA217" i="22"/>
  <c r="M222" i="67"/>
  <c r="D222" i="67"/>
  <c r="W230" i="22"/>
  <c r="P229" i="58"/>
  <c r="H236" i="67"/>
  <c r="AI199" i="22"/>
  <c r="H202" i="22"/>
  <c r="O201" i="103"/>
  <c r="Q207" i="22"/>
  <c r="E212" i="67"/>
  <c r="AI217" i="22"/>
  <c r="H220" i="22"/>
  <c r="O219" i="103"/>
  <c r="Q225" i="22"/>
  <c r="E231" i="67"/>
  <c r="K228" i="22"/>
  <c r="L228" i="22" s="1"/>
  <c r="F227" i="58"/>
  <c r="U227" i="103"/>
  <c r="F237" i="22"/>
  <c r="D236" i="58"/>
  <c r="E248" i="22"/>
  <c r="H247" i="103"/>
  <c r="W256" i="22"/>
  <c r="P255" i="58"/>
  <c r="H263" i="67"/>
  <c r="AG261" i="22"/>
  <c r="CI260" i="103"/>
  <c r="CK260" i="103" s="1"/>
  <c r="AZ384" i="103"/>
  <c r="Y269" i="22"/>
  <c r="O268" i="58"/>
  <c r="C276" i="67"/>
  <c r="AA275" i="22"/>
  <c r="D282" i="67"/>
  <c r="M282" i="67"/>
  <c r="AA293" i="22"/>
  <c r="M301" i="67"/>
  <c r="D301" i="67"/>
  <c r="AI241" i="22"/>
  <c r="H244" i="22"/>
  <c r="O243" i="103"/>
  <c r="Q249" i="22"/>
  <c r="E255" i="67"/>
  <c r="U257" i="22"/>
  <c r="Q256" i="58"/>
  <c r="N264" i="67"/>
  <c r="I271" i="22"/>
  <c r="E270" i="58"/>
  <c r="Y270" i="58" s="1"/>
  <c r="R270" i="103"/>
  <c r="S282" i="22"/>
  <c r="K289" i="67"/>
  <c r="CP242" i="103"/>
  <c r="CQ242" i="103" s="1"/>
  <c r="W254" i="22"/>
  <c r="P253" i="58"/>
  <c r="H260" i="67"/>
  <c r="W257" i="22"/>
  <c r="P256" i="58"/>
  <c r="H264" i="67"/>
  <c r="AA263" i="22"/>
  <c r="D270" i="67"/>
  <c r="M270" i="67"/>
  <c r="AA266" i="22"/>
  <c r="M273" i="67"/>
  <c r="D273" i="67"/>
  <c r="AG235" i="22"/>
  <c r="CI234" i="103"/>
  <c r="CK234" i="103" s="1"/>
  <c r="Y242" i="22"/>
  <c r="O241" i="58"/>
  <c r="C248" i="67"/>
  <c r="AG247" i="22"/>
  <c r="CI246" i="103"/>
  <c r="CK246" i="103" s="1"/>
  <c r="Y254" i="22"/>
  <c r="O253" i="58"/>
  <c r="C260" i="67"/>
  <c r="AA260" i="22"/>
  <c r="M267" i="67"/>
  <c r="D267" i="67"/>
  <c r="Q304" i="22"/>
  <c r="E312" i="67"/>
  <c r="C243" i="22"/>
  <c r="C242" i="58"/>
  <c r="AA248" i="22"/>
  <c r="D254" i="67"/>
  <c r="M254" i="67"/>
  <c r="AG271" i="22"/>
  <c r="CI270" i="103"/>
  <c r="CK270" i="103" s="1"/>
  <c r="C285" i="22"/>
  <c r="C126" i="23"/>
  <c r="C284" i="58"/>
  <c r="I385" i="103"/>
  <c r="U246" i="22"/>
  <c r="Q245" i="58"/>
  <c r="N252" i="67"/>
  <c r="S265" i="22"/>
  <c r="K272" i="67"/>
  <c r="Y272" i="22"/>
  <c r="O271" i="58"/>
  <c r="C279" i="67"/>
  <c r="K12" i="62"/>
  <c r="BE385" i="103"/>
  <c r="W237" i="22"/>
  <c r="P236" i="58"/>
  <c r="H243" i="67"/>
  <c r="CP243" i="103"/>
  <c r="CQ243" i="103" s="1"/>
  <c r="W255" i="22"/>
  <c r="P254" i="58"/>
  <c r="H262" i="67"/>
  <c r="AI384" i="103"/>
  <c r="Y258" i="22"/>
  <c r="O257" i="58"/>
  <c r="C265" i="67"/>
  <c r="F286" i="22"/>
  <c r="I127" i="23"/>
  <c r="D285" i="58"/>
  <c r="K241" i="22"/>
  <c r="L241" i="22" s="1"/>
  <c r="F240" i="58"/>
  <c r="U240" i="103"/>
  <c r="K253" i="22"/>
  <c r="L253" i="22" s="1"/>
  <c r="F252" i="58"/>
  <c r="U252" i="103"/>
  <c r="AA258" i="22"/>
  <c r="M265" i="67"/>
  <c r="D265" i="67"/>
  <c r="AA261" i="22"/>
  <c r="D268" i="67"/>
  <c r="M268" i="67"/>
  <c r="H264" i="22"/>
  <c r="O263" i="103"/>
  <c r="H267" i="22"/>
  <c r="O266" i="103"/>
  <c r="AK296" i="22"/>
  <c r="C241" i="22"/>
  <c r="C240" i="58"/>
  <c r="AA246" i="22"/>
  <c r="D252" i="67"/>
  <c r="M252" i="67"/>
  <c r="U244" i="22"/>
  <c r="Q243" i="58"/>
  <c r="N250" i="67"/>
  <c r="Q257" i="22"/>
  <c r="E264" i="67"/>
  <c r="S266" i="22"/>
  <c r="K273" i="67"/>
  <c r="BN385" i="103"/>
  <c r="H287" i="22"/>
  <c r="N128" i="23"/>
  <c r="O286" i="103"/>
  <c r="H296" i="22"/>
  <c r="N137" i="23"/>
  <c r="O295" i="103"/>
  <c r="E324" i="22"/>
  <c r="H323" i="103"/>
  <c r="E323" i="103" s="1"/>
  <c r="K268" i="22"/>
  <c r="L268" i="22" s="1"/>
  <c r="F267" i="58"/>
  <c r="U267" i="103"/>
  <c r="Y279" i="22"/>
  <c r="O278" i="58"/>
  <c r="C286" i="67"/>
  <c r="F287" i="22"/>
  <c r="D286" i="58"/>
  <c r="I128" i="23"/>
  <c r="K289" i="22"/>
  <c r="L289" i="22" s="1"/>
  <c r="U130" i="23"/>
  <c r="F288" i="58"/>
  <c r="U288" i="103"/>
  <c r="Y291" i="22"/>
  <c r="O290" i="58"/>
  <c r="C299" i="67"/>
  <c r="AA270" i="22"/>
  <c r="M277" i="67"/>
  <c r="D277" i="67"/>
  <c r="AA273" i="22"/>
  <c r="D280" i="67"/>
  <c r="M280" i="67"/>
  <c r="AA276" i="22"/>
  <c r="M283" i="67"/>
  <c r="D283" i="67"/>
  <c r="AA279" i="22"/>
  <c r="D286" i="67"/>
  <c r="M286" i="67"/>
  <c r="AA282" i="22"/>
  <c r="M289" i="67"/>
  <c r="D289" i="67"/>
  <c r="AA285" i="22"/>
  <c r="D293" i="67"/>
  <c r="M293" i="67"/>
  <c r="AK385" i="103"/>
  <c r="C289" i="22"/>
  <c r="C130" i="23"/>
  <c r="C288" i="58"/>
  <c r="AA291" i="22"/>
  <c r="D299" i="67"/>
  <c r="M299" i="67"/>
  <c r="C295" i="22"/>
  <c r="C136" i="23"/>
  <c r="C294" i="58"/>
  <c r="Q269" i="22"/>
  <c r="E276" i="67"/>
  <c r="Q272" i="22"/>
  <c r="E279" i="67"/>
  <c r="Q275" i="22"/>
  <c r="E282" i="67"/>
  <c r="Q278" i="22"/>
  <c r="E285" i="67"/>
  <c r="Q281" i="22"/>
  <c r="E288" i="67"/>
  <c r="Q284" i="22"/>
  <c r="E291" i="67"/>
  <c r="W286" i="22"/>
  <c r="P285" i="58"/>
  <c r="H294" i="67"/>
  <c r="AG273" i="22"/>
  <c r="CI272" i="103"/>
  <c r="CK272" i="103" s="1"/>
  <c r="F276" i="22"/>
  <c r="D275" i="58"/>
  <c r="S281" i="22"/>
  <c r="K288" i="67"/>
  <c r="K284" i="22"/>
  <c r="L284" i="22" s="1"/>
  <c r="F283" i="58"/>
  <c r="U283" i="103"/>
  <c r="BM285" i="103"/>
  <c r="AM290" i="22"/>
  <c r="AK302" i="22"/>
  <c r="AK285" i="22"/>
  <c r="BV385" i="103"/>
  <c r="AK291" i="22"/>
  <c r="AA299" i="22"/>
  <c r="M307" i="67"/>
  <c r="D307" i="67"/>
  <c r="H268" i="22"/>
  <c r="O267" i="103"/>
  <c r="H271" i="22"/>
  <c r="O270" i="103"/>
  <c r="H274" i="22"/>
  <c r="O273" i="103"/>
  <c r="H277" i="22"/>
  <c r="O276" i="103"/>
  <c r="H280" i="22"/>
  <c r="O279" i="103"/>
  <c r="H283" i="22"/>
  <c r="O282" i="103"/>
  <c r="U290" i="22"/>
  <c r="Q289" i="58"/>
  <c r="N298" i="67"/>
  <c r="CP266" i="103"/>
  <c r="CR266" i="103" s="1"/>
  <c r="CP269" i="103"/>
  <c r="CQ269" i="103" s="1"/>
  <c r="CP272" i="103"/>
  <c r="CQ272" i="103" s="1"/>
  <c r="CP275" i="103"/>
  <c r="CQ275" i="103" s="1"/>
  <c r="CP278" i="103"/>
  <c r="CQ278" i="103" s="1"/>
  <c r="CP281" i="103"/>
  <c r="CQ281" i="103" s="1"/>
  <c r="BC385" i="103"/>
  <c r="CP284" i="103"/>
  <c r="CQ284" i="103" s="1"/>
  <c r="E288" i="22"/>
  <c r="H129" i="23"/>
  <c r="H287" i="103"/>
  <c r="P298" i="67"/>
  <c r="BL289" i="103"/>
  <c r="I314" i="22"/>
  <c r="E313" i="58"/>
  <c r="Y313" i="58" s="1"/>
  <c r="R313" i="103"/>
  <c r="AI318" i="22"/>
  <c r="H321" i="22"/>
  <c r="O320" i="103"/>
  <c r="Q326" i="22"/>
  <c r="E335" i="67"/>
  <c r="W307" i="22"/>
  <c r="P306" i="58"/>
  <c r="H315" i="67"/>
  <c r="CB386" i="103"/>
  <c r="S332" i="22"/>
  <c r="K341" i="67"/>
  <c r="AM299" i="22"/>
  <c r="S308" i="22"/>
  <c r="K316" i="67"/>
  <c r="CC386" i="103"/>
  <c r="Y319" i="22"/>
  <c r="O318" i="58"/>
  <c r="C328" i="67"/>
  <c r="CI323" i="103"/>
  <c r="CK323" i="103" s="1"/>
  <c r="AA331" i="22"/>
  <c r="M340" i="67"/>
  <c r="D340" i="67"/>
  <c r="U360" i="22"/>
  <c r="Q359" i="58"/>
  <c r="N370" i="67"/>
  <c r="AW386" i="103"/>
  <c r="I318" i="22"/>
  <c r="E317" i="58"/>
  <c r="Y317" i="58" s="1"/>
  <c r="R317" i="103"/>
  <c r="C323" i="22"/>
  <c r="C322" i="58"/>
  <c r="I327" i="22"/>
  <c r="E326" i="58"/>
  <c r="Y326" i="58" s="1"/>
  <c r="R326" i="103"/>
  <c r="U332" i="22"/>
  <c r="Q331" i="58"/>
  <c r="N341" i="67"/>
  <c r="Q349" i="22"/>
  <c r="E359" i="67"/>
  <c r="H298" i="22"/>
  <c r="N139" i="23"/>
  <c r="O297" i="103"/>
  <c r="H307" i="22"/>
  <c r="N148" i="23"/>
  <c r="O306" i="103"/>
  <c r="H316" i="22"/>
  <c r="N386" i="103"/>
  <c r="O315" i="103"/>
  <c r="L315" i="103" s="1"/>
  <c r="Q321" i="22"/>
  <c r="E330" i="67"/>
  <c r="AI341" i="22"/>
  <c r="AM297" i="22"/>
  <c r="AN303" i="103"/>
  <c r="S306" i="22"/>
  <c r="K314" i="67"/>
  <c r="K324" i="22"/>
  <c r="L324" i="22" s="1"/>
  <c r="F323" i="58"/>
  <c r="U323" i="103"/>
  <c r="I313" i="22"/>
  <c r="E312" i="58"/>
  <c r="Y312" i="58" s="1"/>
  <c r="R312" i="103"/>
  <c r="Q322" i="22"/>
  <c r="E331" i="67"/>
  <c r="W321" i="22"/>
  <c r="P320" i="58"/>
  <c r="H330" i="67"/>
  <c r="CP327" i="103"/>
  <c r="CR327" i="103" s="1"/>
  <c r="K331" i="22"/>
  <c r="L331" i="22" s="1"/>
  <c r="F330" i="58"/>
  <c r="U330" i="103"/>
  <c r="S301" i="22"/>
  <c r="K309" i="67"/>
  <c r="F314" i="22"/>
  <c r="D313" i="58"/>
  <c r="K316" i="22"/>
  <c r="L316" i="22" s="1"/>
  <c r="F315" i="58"/>
  <c r="T386" i="103"/>
  <c r="U315" i="103"/>
  <c r="K328" i="22"/>
  <c r="L328" i="22" s="1"/>
  <c r="F327" i="58"/>
  <c r="U327" i="103"/>
  <c r="E338" i="22"/>
  <c r="H337" i="103"/>
  <c r="E337" i="103" s="1"/>
  <c r="E353" i="22"/>
  <c r="E365" i="22"/>
  <c r="F336" i="22"/>
  <c r="D335" i="58"/>
  <c r="S338" i="22"/>
  <c r="K347" i="67"/>
  <c r="K350" i="22"/>
  <c r="L350" i="22" s="1"/>
  <c r="F349" i="58"/>
  <c r="U349" i="103"/>
  <c r="Y352" i="22"/>
  <c r="O351" i="58"/>
  <c r="C362" i="67"/>
  <c r="K359" i="22"/>
  <c r="L359" i="22" s="1"/>
  <c r="F358" i="58"/>
  <c r="U358" i="103"/>
  <c r="Y361" i="22"/>
  <c r="O360" i="58"/>
  <c r="C371" i="67"/>
  <c r="K368" i="22"/>
  <c r="L368" i="22" s="1"/>
  <c r="F367" i="58"/>
  <c r="U367" i="103"/>
  <c r="Y370" i="22"/>
  <c r="O369" i="58"/>
  <c r="C380" i="67"/>
  <c r="I336" i="22"/>
  <c r="E335" i="58"/>
  <c r="Y335" i="58" s="1"/>
  <c r="R335" i="103"/>
  <c r="C341" i="22"/>
  <c r="C340" i="58"/>
  <c r="I345" i="22"/>
  <c r="E344" i="58"/>
  <c r="Y344" i="58" s="1"/>
  <c r="R344" i="103"/>
  <c r="I360" i="22"/>
  <c r="E359" i="58"/>
  <c r="Y359" i="58" s="1"/>
  <c r="R359" i="103"/>
  <c r="C371" i="22"/>
  <c r="C370" i="58"/>
  <c r="Q357" i="22"/>
  <c r="E367" i="67"/>
  <c r="Q369" i="22"/>
  <c r="E379" i="67"/>
  <c r="W344" i="22"/>
  <c r="P343" i="58"/>
  <c r="H353" i="67"/>
  <c r="CI336" i="103"/>
  <c r="CK336" i="103" s="1"/>
  <c r="Y344" i="22"/>
  <c r="O343" i="58"/>
  <c r="C353" i="67"/>
  <c r="F349" i="22"/>
  <c r="D348" i="58"/>
  <c r="S351" i="22"/>
  <c r="K361" i="67"/>
  <c r="F358" i="22"/>
  <c r="D357" i="58"/>
  <c r="S360" i="22"/>
  <c r="K370" i="67"/>
  <c r="F367" i="22"/>
  <c r="D366" i="58"/>
  <c r="S369" i="22"/>
  <c r="K379" i="67"/>
  <c r="C351" i="22"/>
  <c r="C350" i="58"/>
  <c r="AA353" i="22"/>
  <c r="M363" i="67"/>
  <c r="D363" i="67"/>
  <c r="H368" i="22"/>
  <c r="CP333" i="103"/>
  <c r="W345" i="22"/>
  <c r="P344" i="58"/>
  <c r="H354" i="67"/>
  <c r="CI370" i="103"/>
  <c r="CK370" i="103" s="1"/>
  <c r="CI334" i="103"/>
  <c r="CK334" i="103" s="1"/>
  <c r="Y342" i="22"/>
  <c r="O341" i="58"/>
  <c r="C351" i="67"/>
  <c r="CI346" i="103"/>
  <c r="CK346" i="103" s="1"/>
  <c r="CI355" i="103"/>
  <c r="CK355" i="103" s="1"/>
  <c r="CI364" i="103"/>
  <c r="CL364" i="103" s="1"/>
  <c r="AA336" i="22"/>
  <c r="D345" i="67"/>
  <c r="M345" i="67"/>
  <c r="AA345" i="22"/>
  <c r="M354" i="67"/>
  <c r="D354" i="67"/>
  <c r="I368" i="22"/>
  <c r="E367" i="58"/>
  <c r="Y367" i="58" s="1"/>
  <c r="R367" i="103"/>
  <c r="AI336" i="22"/>
  <c r="H339" i="22"/>
  <c r="O338" i="103"/>
  <c r="Q344" i="22"/>
  <c r="E353" i="67"/>
  <c r="U349" i="22"/>
  <c r="Q348" i="58"/>
  <c r="N359" i="67"/>
  <c r="AI351" i="22"/>
  <c r="U361" i="22"/>
  <c r="Q360" i="58"/>
  <c r="N371" i="67"/>
  <c r="AI363" i="22"/>
  <c r="C376" i="22"/>
  <c r="C375" i="58"/>
  <c r="W374" i="22"/>
  <c r="P373" i="58"/>
  <c r="H384" i="67"/>
  <c r="Y11" i="68" s="1"/>
  <c r="F376" i="22"/>
  <c r="D375" i="58"/>
  <c r="U372" i="22"/>
  <c r="Q371" i="58"/>
  <c r="N382" i="67"/>
  <c r="U17" i="68" s="1"/>
  <c r="AI374" i="22"/>
  <c r="U47" i="22"/>
  <c r="Q46" i="58"/>
  <c r="N47" i="67"/>
  <c r="AI30" i="22"/>
  <c r="U28" i="22"/>
  <c r="Q27" i="58"/>
  <c r="N27" i="67"/>
  <c r="W56" i="22"/>
  <c r="P55" i="58"/>
  <c r="H56" i="67"/>
  <c r="Q51" i="22"/>
  <c r="E51" i="67"/>
  <c r="Y46" i="22"/>
  <c r="O45" i="58"/>
  <c r="C46" i="67"/>
  <c r="K44" i="22"/>
  <c r="L44" i="22" s="1"/>
  <c r="F43" i="58"/>
  <c r="U43" i="103"/>
  <c r="I35" i="22"/>
  <c r="E34" i="58"/>
  <c r="Y34" i="58" s="1"/>
  <c r="R34" i="103"/>
  <c r="I23" i="22"/>
  <c r="E22" i="58"/>
  <c r="Y22" i="58" s="1"/>
  <c r="R22" i="103"/>
  <c r="AG14" i="22"/>
  <c r="CI13" i="103"/>
  <c r="CL13" i="103" s="1"/>
  <c r="U56" i="22"/>
  <c r="Q55" i="58"/>
  <c r="N56" i="67"/>
  <c r="S31" i="22"/>
  <c r="K30" i="67"/>
  <c r="F29" i="22"/>
  <c r="D28" i="58"/>
  <c r="S22" i="22"/>
  <c r="K21" i="67"/>
  <c r="W15" i="22"/>
  <c r="P14" i="58"/>
  <c r="H14" i="67"/>
  <c r="CB376" i="103"/>
  <c r="Q14" i="22"/>
  <c r="E13" i="67"/>
  <c r="CP46" i="103"/>
  <c r="V377" i="103"/>
  <c r="W33" i="22"/>
  <c r="P32" i="58"/>
  <c r="H32" i="67"/>
  <c r="W21" i="22"/>
  <c r="P20" i="58"/>
  <c r="H20" i="67"/>
  <c r="Q16" i="22"/>
  <c r="E15" i="67"/>
  <c r="K56" i="22"/>
  <c r="L56" i="22" s="1"/>
  <c r="F55" i="58"/>
  <c r="U55" i="103"/>
  <c r="Q31" i="22"/>
  <c r="E30" i="67"/>
  <c r="C12" i="22"/>
  <c r="C11" i="58"/>
  <c r="I376" i="103"/>
  <c r="U52" i="22"/>
  <c r="Q51" i="58"/>
  <c r="N52" i="67"/>
  <c r="I28" i="22"/>
  <c r="E27" i="58"/>
  <c r="Y27" i="58" s="1"/>
  <c r="R27" i="103"/>
  <c r="F19" i="22"/>
  <c r="D18" i="58"/>
  <c r="K12" i="22"/>
  <c r="L12" i="22" s="1"/>
  <c r="F11" i="58"/>
  <c r="T376" i="103"/>
  <c r="U11" i="103"/>
  <c r="H54" i="22"/>
  <c r="O53" i="103"/>
  <c r="L53" i="103" s="1"/>
  <c r="AA38" i="22"/>
  <c r="D37" i="67"/>
  <c r="CP32" i="103"/>
  <c r="W29" i="22"/>
  <c r="P28" i="58"/>
  <c r="H28" i="67"/>
  <c r="CP20" i="103"/>
  <c r="CQ20" i="103" s="1"/>
  <c r="AI19" i="22"/>
  <c r="U17" i="22"/>
  <c r="Q16" i="58"/>
  <c r="N16" i="67"/>
  <c r="Q12" i="22"/>
  <c r="E11" i="67"/>
  <c r="AD376" i="103"/>
  <c r="V381" i="58"/>
  <c r="V386" i="58"/>
  <c r="L15" i="17"/>
  <c r="X15" i="17"/>
  <c r="F56" i="22"/>
  <c r="D55" i="58"/>
  <c r="W51" i="22"/>
  <c r="P50" i="58"/>
  <c r="H51" i="67"/>
  <c r="AK43" i="22"/>
  <c r="BV377" i="103"/>
  <c r="C39" i="22"/>
  <c r="C38" i="58"/>
  <c r="AI31" i="22"/>
  <c r="U29" i="22"/>
  <c r="Q28" i="58"/>
  <c r="N28" i="67"/>
  <c r="I12" i="22"/>
  <c r="E11" i="58"/>
  <c r="Q376" i="103"/>
  <c r="R11" i="103"/>
  <c r="Q52" i="22"/>
  <c r="E52" i="67"/>
  <c r="AZ377" i="103"/>
  <c r="I36" i="22"/>
  <c r="E35" i="58"/>
  <c r="Y35" i="58" s="1"/>
  <c r="R35" i="103"/>
  <c r="I24" i="22"/>
  <c r="E23" i="58"/>
  <c r="Y23" i="58" s="1"/>
  <c r="R23" i="103"/>
  <c r="Y19" i="22"/>
  <c r="O18" i="58"/>
  <c r="C18" i="67"/>
  <c r="K17" i="22"/>
  <c r="L17" i="22" s="1"/>
  <c r="F16" i="58"/>
  <c r="U16" i="103"/>
  <c r="Q55" i="22"/>
  <c r="E55" i="67"/>
  <c r="AA53" i="22"/>
  <c r="D53" i="67"/>
  <c r="M53" i="67"/>
  <c r="S48" i="22"/>
  <c r="K48" i="67"/>
  <c r="AG36" i="22"/>
  <c r="CI35" i="103"/>
  <c r="CK35" i="103" s="1"/>
  <c r="AG27" i="22"/>
  <c r="CI26" i="103"/>
  <c r="CK26" i="103" s="1"/>
  <c r="CP19" i="103"/>
  <c r="CQ19" i="103" s="1"/>
  <c r="W16" i="22"/>
  <c r="P15" i="58"/>
  <c r="H15" i="67"/>
  <c r="S64" i="22"/>
  <c r="K64" i="67"/>
  <c r="Q71" i="22"/>
  <c r="AD378" i="103"/>
  <c r="E72" i="67"/>
  <c r="Q83" i="22"/>
  <c r="E84" i="67"/>
  <c r="AG87" i="22"/>
  <c r="CI86" i="103"/>
  <c r="CK86" i="103" s="1"/>
  <c r="U58" i="22"/>
  <c r="Q57" i="58"/>
  <c r="N58" i="67"/>
  <c r="AI60" i="22"/>
  <c r="K68" i="22"/>
  <c r="L68" i="22" s="1"/>
  <c r="F67" i="58"/>
  <c r="U67" i="103"/>
  <c r="Y70" i="22"/>
  <c r="O69" i="58"/>
  <c r="C70" i="67"/>
  <c r="K77" i="22"/>
  <c r="L77" i="22" s="1"/>
  <c r="F76" i="58"/>
  <c r="U76" i="103"/>
  <c r="Y79" i="22"/>
  <c r="O78" i="58"/>
  <c r="C80" i="67"/>
  <c r="K86" i="22"/>
  <c r="L86" i="22" s="1"/>
  <c r="F85" i="58"/>
  <c r="E62" i="22"/>
  <c r="H61" i="103"/>
  <c r="AA73" i="22"/>
  <c r="D74" i="67"/>
  <c r="M74" i="67"/>
  <c r="I75" i="22"/>
  <c r="E74" i="58"/>
  <c r="Y74" i="58" s="1"/>
  <c r="R74" i="103"/>
  <c r="AA82" i="22"/>
  <c r="M83" i="67"/>
  <c r="D83" i="67"/>
  <c r="I84" i="22"/>
  <c r="E83" i="58"/>
  <c r="Y83" i="58" s="1"/>
  <c r="R83" i="103"/>
  <c r="H91" i="22"/>
  <c r="O90" i="103"/>
  <c r="AG63" i="22"/>
  <c r="CI62" i="103"/>
  <c r="CK62" i="103" s="1"/>
  <c r="U68" i="22"/>
  <c r="Q67" i="58"/>
  <c r="N68" i="67"/>
  <c r="AI70" i="22"/>
  <c r="U80" i="22"/>
  <c r="Q79" i="58"/>
  <c r="N81" i="67"/>
  <c r="AI82" i="22"/>
  <c r="AA92" i="22"/>
  <c r="D93" i="67"/>
  <c r="M93" i="67"/>
  <c r="E78" i="22"/>
  <c r="H77" i="103"/>
  <c r="CN379" i="103"/>
  <c r="H58" i="22"/>
  <c r="O57" i="103"/>
  <c r="CC378" i="103"/>
  <c r="C69" i="22"/>
  <c r="C68" i="58"/>
  <c r="AW378" i="103"/>
  <c r="U87" i="22"/>
  <c r="Q86" i="58"/>
  <c r="N88" i="67"/>
  <c r="AI89" i="22"/>
  <c r="CE378" i="103"/>
  <c r="H74" i="22"/>
  <c r="O73" i="103"/>
  <c r="H86" i="22"/>
  <c r="O85" i="103"/>
  <c r="E91" i="22"/>
  <c r="H90" i="103"/>
  <c r="AY378" i="103"/>
  <c r="S67" i="22"/>
  <c r="K67" i="67"/>
  <c r="BU378" i="103"/>
  <c r="F74" i="22"/>
  <c r="D73" i="58"/>
  <c r="S76" i="22"/>
  <c r="K77" i="67"/>
  <c r="F83" i="22"/>
  <c r="D82" i="58"/>
  <c r="S85" i="22"/>
  <c r="K86" i="67"/>
  <c r="K103" i="22"/>
  <c r="L103" i="22" s="1"/>
  <c r="F102" i="58"/>
  <c r="U102" i="103"/>
  <c r="E61" i="22"/>
  <c r="H60" i="103"/>
  <c r="U112" i="22"/>
  <c r="Q111" i="58"/>
  <c r="N114" i="67"/>
  <c r="AI114" i="22"/>
  <c r="U124" i="22"/>
  <c r="Q123" i="58"/>
  <c r="N126" i="67"/>
  <c r="AI126" i="22"/>
  <c r="F95" i="22"/>
  <c r="D94" i="58"/>
  <c r="S97" i="22"/>
  <c r="K98" i="67"/>
  <c r="E116" i="22"/>
  <c r="H115" i="103"/>
  <c r="E128" i="22"/>
  <c r="H127" i="103"/>
  <c r="H136" i="22"/>
  <c r="O135" i="103"/>
  <c r="AA96" i="22"/>
  <c r="D97" i="67"/>
  <c r="M97" i="67"/>
  <c r="I98" i="22"/>
  <c r="E97" i="58"/>
  <c r="Y97" i="58" s="1"/>
  <c r="R97" i="103"/>
  <c r="Q95" i="22"/>
  <c r="E96" i="67"/>
  <c r="AX379" i="103"/>
  <c r="CP103" i="103"/>
  <c r="I111" i="22"/>
  <c r="E110" i="58"/>
  <c r="Y110" i="58" s="1"/>
  <c r="R110" i="103"/>
  <c r="I123" i="22"/>
  <c r="E122" i="58"/>
  <c r="Y122" i="58" s="1"/>
  <c r="R122" i="103"/>
  <c r="E98" i="22"/>
  <c r="H97" i="103"/>
  <c r="BT379" i="103"/>
  <c r="U110" i="22"/>
  <c r="Q109" i="58"/>
  <c r="N112" i="67"/>
  <c r="AI112" i="22"/>
  <c r="U122" i="22"/>
  <c r="Q121" i="58"/>
  <c r="N124" i="67"/>
  <c r="AI124" i="22"/>
  <c r="AN98" i="103"/>
  <c r="AA106" i="22"/>
  <c r="M108" i="67"/>
  <c r="D108" i="67"/>
  <c r="E111" i="22"/>
  <c r="H110" i="103"/>
  <c r="E123" i="22"/>
  <c r="H122" i="103"/>
  <c r="H106" i="22"/>
  <c r="O105" i="103"/>
  <c r="F115" i="22"/>
  <c r="D114" i="58"/>
  <c r="S117" i="22"/>
  <c r="K119" i="67"/>
  <c r="F124" i="22"/>
  <c r="D123" i="58"/>
  <c r="S126" i="22"/>
  <c r="K128" i="67"/>
  <c r="Y129" i="22"/>
  <c r="O128" i="58"/>
  <c r="C131" i="67"/>
  <c r="AM102" i="103"/>
  <c r="CP104" i="103"/>
  <c r="CQ104" i="103" s="1"/>
  <c r="K108" i="22"/>
  <c r="L108" i="22" s="1"/>
  <c r="F107" i="58"/>
  <c r="U107" i="103"/>
  <c r="AA113" i="22"/>
  <c r="D115" i="67"/>
  <c r="M115" i="67"/>
  <c r="AA125" i="22"/>
  <c r="D127" i="67"/>
  <c r="M127" i="67"/>
  <c r="U114" i="22"/>
  <c r="Q113" i="58"/>
  <c r="N116" i="67"/>
  <c r="AI116" i="22"/>
  <c r="U126" i="22"/>
  <c r="Q125" i="58"/>
  <c r="N128" i="67"/>
  <c r="AR379" i="103"/>
  <c r="CP108" i="103"/>
  <c r="W117" i="22"/>
  <c r="P116" i="58"/>
  <c r="H119" i="67"/>
  <c r="AM118" i="103"/>
  <c r="CP120" i="103"/>
  <c r="AG379" i="103"/>
  <c r="K109" i="22"/>
  <c r="L109" i="22" s="1"/>
  <c r="F108" i="58"/>
  <c r="U108" i="103"/>
  <c r="Y111" i="22"/>
  <c r="O110" i="58"/>
  <c r="C113" i="67"/>
  <c r="K118" i="22"/>
  <c r="L118" i="22" s="1"/>
  <c r="F117" i="58"/>
  <c r="U117" i="103"/>
  <c r="Y120" i="22"/>
  <c r="O119" i="58"/>
  <c r="C122" i="67"/>
  <c r="K127" i="22"/>
  <c r="L127" i="22" s="1"/>
  <c r="F126" i="58"/>
  <c r="U126" i="103"/>
  <c r="AV380" i="103"/>
  <c r="H95" i="22"/>
  <c r="O94" i="103"/>
  <c r="AT379" i="103"/>
  <c r="AA117" i="22"/>
  <c r="D119" i="67"/>
  <c r="M119" i="67"/>
  <c r="BD118" i="103"/>
  <c r="AG131" i="22"/>
  <c r="CI130" i="103"/>
  <c r="CK130" i="103" s="1"/>
  <c r="H134" i="22"/>
  <c r="O133" i="103"/>
  <c r="H143" i="22"/>
  <c r="O142" i="103"/>
  <c r="H152" i="22"/>
  <c r="O151" i="103"/>
  <c r="H161" i="22"/>
  <c r="O160" i="103"/>
  <c r="AP381" i="103"/>
  <c r="W138" i="22"/>
  <c r="P137" i="58"/>
  <c r="H141" i="67"/>
  <c r="W147" i="22"/>
  <c r="P146" i="58"/>
  <c r="H150" i="67"/>
  <c r="W156" i="22"/>
  <c r="P155" i="58"/>
  <c r="H159" i="67"/>
  <c r="F143" i="22"/>
  <c r="D142" i="58"/>
  <c r="F149" i="22"/>
  <c r="D148" i="58"/>
  <c r="F155" i="22"/>
  <c r="D154" i="58"/>
  <c r="F161" i="22"/>
  <c r="D160" i="58"/>
  <c r="I131" i="22"/>
  <c r="E130" i="58"/>
  <c r="Y130" i="58" s="1"/>
  <c r="R130" i="103"/>
  <c r="AA144" i="22"/>
  <c r="M147" i="67"/>
  <c r="D147" i="67"/>
  <c r="C163" i="22"/>
  <c r="C162" i="58"/>
  <c r="I381" i="103"/>
  <c r="U133" i="22"/>
  <c r="Q132" i="58"/>
  <c r="N136" i="67"/>
  <c r="U142" i="22"/>
  <c r="Q141" i="58"/>
  <c r="N145" i="67"/>
  <c r="U151" i="22"/>
  <c r="Q150" i="58"/>
  <c r="N154" i="67"/>
  <c r="U160" i="22"/>
  <c r="Q159" i="58"/>
  <c r="N163" i="67"/>
  <c r="E131" i="22"/>
  <c r="H130" i="103"/>
  <c r="CP136" i="103"/>
  <c r="CR136" i="103" s="1"/>
  <c r="E140" i="22"/>
  <c r="H139" i="103"/>
  <c r="CP145" i="103"/>
  <c r="E149" i="22"/>
  <c r="H148" i="103"/>
  <c r="CP154" i="103"/>
  <c r="E158" i="22"/>
  <c r="H157" i="103"/>
  <c r="K131" i="22"/>
  <c r="L131" i="22" s="1"/>
  <c r="F130" i="58"/>
  <c r="U130" i="103"/>
  <c r="Y133" i="22"/>
  <c r="O132" i="58"/>
  <c r="C136" i="67"/>
  <c r="AN134" i="103"/>
  <c r="K137" i="22"/>
  <c r="L137" i="22" s="1"/>
  <c r="F136" i="58"/>
  <c r="U136" i="103"/>
  <c r="Y139" i="22"/>
  <c r="O138" i="58"/>
  <c r="C142" i="67"/>
  <c r="K143" i="22"/>
  <c r="L143" i="22" s="1"/>
  <c r="F142" i="58"/>
  <c r="U142" i="103"/>
  <c r="Y145" i="22"/>
  <c r="O144" i="58"/>
  <c r="C148" i="67"/>
  <c r="K149" i="22"/>
  <c r="L149" i="22" s="1"/>
  <c r="F148" i="58"/>
  <c r="U148" i="103"/>
  <c r="Y151" i="22"/>
  <c r="O150" i="58"/>
  <c r="C154" i="67"/>
  <c r="AN152" i="103"/>
  <c r="K155" i="22"/>
  <c r="L155" i="22" s="1"/>
  <c r="F154" i="58"/>
  <c r="U154" i="103"/>
  <c r="Y157" i="22"/>
  <c r="O156" i="58"/>
  <c r="C160" i="67"/>
  <c r="K161" i="22"/>
  <c r="L161" i="22" s="1"/>
  <c r="F160" i="58"/>
  <c r="U160" i="103"/>
  <c r="Y163" i="22"/>
  <c r="O162" i="58"/>
  <c r="C167" i="67"/>
  <c r="AJ381" i="103"/>
  <c r="AK132" i="22"/>
  <c r="BV380" i="103"/>
  <c r="C137" i="22"/>
  <c r="C136" i="58"/>
  <c r="I141" i="22"/>
  <c r="E140" i="58"/>
  <c r="Y140" i="58" s="1"/>
  <c r="R140" i="103"/>
  <c r="AA154" i="22"/>
  <c r="M157" i="67"/>
  <c r="D157" i="67"/>
  <c r="AI142" i="22"/>
  <c r="Q147" i="22"/>
  <c r="E150" i="67"/>
  <c r="AI151" i="22"/>
  <c r="Q156" i="22"/>
  <c r="E159" i="67"/>
  <c r="AI160" i="22"/>
  <c r="P140" i="67"/>
  <c r="BL136" i="103"/>
  <c r="P149" i="67"/>
  <c r="BL145" i="103"/>
  <c r="P158" i="67"/>
  <c r="BL154" i="103"/>
  <c r="K132" i="22"/>
  <c r="L132" i="22" s="1"/>
  <c r="F131" i="58"/>
  <c r="T380" i="103"/>
  <c r="U131" i="103"/>
  <c r="Y134" i="22"/>
  <c r="O133" i="58"/>
  <c r="C137" i="67"/>
  <c r="K138" i="22"/>
  <c r="L138" i="22" s="1"/>
  <c r="F137" i="58"/>
  <c r="U137" i="103"/>
  <c r="Y140" i="22"/>
  <c r="O139" i="58"/>
  <c r="C143" i="67"/>
  <c r="K144" i="22"/>
  <c r="L144" i="22" s="1"/>
  <c r="F143" i="58"/>
  <c r="U143" i="103"/>
  <c r="Y146" i="22"/>
  <c r="O145" i="58"/>
  <c r="C149" i="67"/>
  <c r="AM147" i="103"/>
  <c r="K150" i="22"/>
  <c r="L150" i="22" s="1"/>
  <c r="F149" i="58"/>
  <c r="U149" i="103"/>
  <c r="Y152" i="22"/>
  <c r="O151" i="58"/>
  <c r="C155" i="67"/>
  <c r="K156" i="22"/>
  <c r="L156" i="22" s="1"/>
  <c r="F155" i="58"/>
  <c r="U155" i="103"/>
  <c r="Y158" i="22"/>
  <c r="O157" i="58"/>
  <c r="C161" i="67"/>
  <c r="K162" i="22"/>
  <c r="L162" i="22" s="1"/>
  <c r="F161" i="58"/>
  <c r="U161" i="103"/>
  <c r="BE380" i="103"/>
  <c r="C141" i="22"/>
  <c r="C140" i="58"/>
  <c r="I145" i="22"/>
  <c r="E144" i="58"/>
  <c r="Y144" i="58" s="1"/>
  <c r="R144" i="103"/>
  <c r="AA158" i="22"/>
  <c r="D161" i="67"/>
  <c r="M161" i="67"/>
  <c r="AA166" i="22"/>
  <c r="M170" i="67"/>
  <c r="D170" i="67"/>
  <c r="BD167" i="103"/>
  <c r="AA178" i="22"/>
  <c r="M182" i="67"/>
  <c r="D182" i="67"/>
  <c r="BD179" i="103"/>
  <c r="AA190" i="22"/>
  <c r="M194" i="67"/>
  <c r="D194" i="67"/>
  <c r="AX382" i="103"/>
  <c r="CP167" i="103"/>
  <c r="CQ167" i="103" s="1"/>
  <c r="E171" i="22"/>
  <c r="H170" i="103"/>
  <c r="CP176" i="103"/>
  <c r="CQ176" i="103" s="1"/>
  <c r="E180" i="22"/>
  <c r="H179" i="103"/>
  <c r="CP185" i="103"/>
  <c r="CQ185" i="103" s="1"/>
  <c r="E189" i="22"/>
  <c r="H188" i="103"/>
  <c r="AY382" i="103"/>
  <c r="AG172" i="22"/>
  <c r="CI171" i="103"/>
  <c r="CK171" i="103" s="1"/>
  <c r="S174" i="22"/>
  <c r="K178" i="67"/>
  <c r="F187" i="22"/>
  <c r="D186" i="58"/>
  <c r="K189" i="22"/>
  <c r="L189" i="22" s="1"/>
  <c r="F188" i="58"/>
  <c r="U188" i="103"/>
  <c r="Y191" i="22"/>
  <c r="O190" i="58"/>
  <c r="C195" i="67"/>
  <c r="AZ382" i="103"/>
  <c r="C198" i="22"/>
  <c r="C197" i="58"/>
  <c r="C197" i="103"/>
  <c r="C168" i="22"/>
  <c r="C167" i="58"/>
  <c r="C180" i="22"/>
  <c r="C179" i="58"/>
  <c r="C192" i="22"/>
  <c r="C191" i="58"/>
  <c r="AA197" i="22"/>
  <c r="M202" i="67"/>
  <c r="D202" i="67"/>
  <c r="Q196" i="22"/>
  <c r="E201" i="67"/>
  <c r="CP165" i="103"/>
  <c r="E169" i="22"/>
  <c r="H168" i="103"/>
  <c r="CP174" i="103"/>
  <c r="CQ174" i="103" s="1"/>
  <c r="E178" i="22"/>
  <c r="H177" i="103"/>
  <c r="CP183" i="103"/>
  <c r="CQ183" i="103" s="1"/>
  <c r="E187" i="22"/>
  <c r="H186" i="103"/>
  <c r="S175" i="22"/>
  <c r="K179" i="67"/>
  <c r="F188" i="22"/>
  <c r="D187" i="58"/>
  <c r="K190" i="22"/>
  <c r="L190" i="22" s="1"/>
  <c r="F189" i="58"/>
  <c r="U189" i="103"/>
  <c r="Y192" i="22"/>
  <c r="O191" i="58"/>
  <c r="C196" i="67"/>
  <c r="F197" i="22"/>
  <c r="D196" i="58"/>
  <c r="C172" i="22"/>
  <c r="C171" i="58"/>
  <c r="C184" i="22"/>
  <c r="C183" i="58"/>
  <c r="BE382" i="103"/>
  <c r="Q164" i="22"/>
  <c r="E168" i="67"/>
  <c r="AI168" i="22"/>
  <c r="Q173" i="22"/>
  <c r="E177" i="67"/>
  <c r="AI177" i="22"/>
  <c r="Q182" i="22"/>
  <c r="E186" i="67"/>
  <c r="AI186" i="22"/>
  <c r="Q191" i="22"/>
  <c r="E195" i="67"/>
  <c r="AT382" i="103"/>
  <c r="S173" i="22"/>
  <c r="K177" i="67"/>
  <c r="F186" i="22"/>
  <c r="D185" i="58"/>
  <c r="K188" i="22"/>
  <c r="L188" i="22" s="1"/>
  <c r="F187" i="58"/>
  <c r="U187" i="103"/>
  <c r="Y190" i="22"/>
  <c r="O189" i="58"/>
  <c r="C194" i="67"/>
  <c r="K197" i="22"/>
  <c r="L197" i="22" s="1"/>
  <c r="F196" i="58"/>
  <c r="U196" i="103"/>
  <c r="E201" i="22"/>
  <c r="H200" i="103"/>
  <c r="W206" i="22"/>
  <c r="P205" i="58"/>
  <c r="H211" i="67"/>
  <c r="CP209" i="103"/>
  <c r="CQ209" i="103" s="1"/>
  <c r="W218" i="22"/>
  <c r="P217" i="58"/>
  <c r="H223" i="67"/>
  <c r="CP221" i="103"/>
  <c r="CQ221" i="103" s="1"/>
  <c r="F202" i="22"/>
  <c r="D201" i="58"/>
  <c r="S204" i="22"/>
  <c r="K209" i="67"/>
  <c r="F214" i="22"/>
  <c r="D213" i="58"/>
  <c r="S216" i="22"/>
  <c r="K221" i="67"/>
  <c r="F226" i="22"/>
  <c r="D225" i="58"/>
  <c r="AI233" i="22"/>
  <c r="I211" i="22"/>
  <c r="E210" i="58"/>
  <c r="Y210" i="58" s="1"/>
  <c r="R210" i="103"/>
  <c r="AW383" i="103"/>
  <c r="CP228" i="103"/>
  <c r="CQ228" i="103" s="1"/>
  <c r="U204" i="22"/>
  <c r="Q203" i="58"/>
  <c r="N209" i="67"/>
  <c r="U222" i="22"/>
  <c r="Q221" i="58"/>
  <c r="N227" i="67"/>
  <c r="CE383" i="103"/>
  <c r="AG227" i="22"/>
  <c r="CI226" i="103"/>
  <c r="CK226" i="103" s="1"/>
  <c r="Y234" i="22"/>
  <c r="O233" i="58"/>
  <c r="C240" i="67"/>
  <c r="E211" i="22"/>
  <c r="H210" i="103"/>
  <c r="E223" i="22"/>
  <c r="H222" i="103"/>
  <c r="AA228" i="22"/>
  <c r="D234" i="67"/>
  <c r="M234" i="67"/>
  <c r="S248" i="22"/>
  <c r="K254" i="67"/>
  <c r="Y204" i="22"/>
  <c r="O203" i="58"/>
  <c r="C209" i="67"/>
  <c r="Y216" i="22"/>
  <c r="O215" i="58"/>
  <c r="C221" i="67"/>
  <c r="I215" i="22"/>
  <c r="E214" i="58"/>
  <c r="Y214" i="58" s="1"/>
  <c r="R214" i="103"/>
  <c r="CP229" i="103"/>
  <c r="CQ229" i="103" s="1"/>
  <c r="U205" i="22"/>
  <c r="Q204" i="58"/>
  <c r="N210" i="67"/>
  <c r="U223" i="22"/>
  <c r="Q222" i="58"/>
  <c r="N228" i="67"/>
  <c r="F228" i="22"/>
  <c r="D227" i="58"/>
  <c r="S230" i="22"/>
  <c r="K236" i="67"/>
  <c r="K236" i="22"/>
  <c r="L236" i="22" s="1"/>
  <c r="F235" i="58"/>
  <c r="U235" i="103"/>
  <c r="E209" i="22"/>
  <c r="H208" i="103"/>
  <c r="E221" i="22"/>
  <c r="H220" i="103"/>
  <c r="W226" i="22"/>
  <c r="P225" i="58"/>
  <c r="H232" i="67"/>
  <c r="K206" i="22"/>
  <c r="L206" i="22" s="1"/>
  <c r="F205" i="58"/>
  <c r="U205" i="103"/>
  <c r="K218" i="22"/>
  <c r="L218" i="22" s="1"/>
  <c r="F217" i="58"/>
  <c r="U217" i="103"/>
  <c r="AI232" i="22"/>
  <c r="AA247" i="22"/>
  <c r="D253" i="67"/>
  <c r="M253" i="67"/>
  <c r="I204" i="22"/>
  <c r="E203" i="58"/>
  <c r="Y203" i="58" s="1"/>
  <c r="R203" i="103"/>
  <c r="I222" i="22"/>
  <c r="E221" i="58"/>
  <c r="Y221" i="58" s="1"/>
  <c r="R221" i="103"/>
  <c r="BZ383" i="103"/>
  <c r="U215" i="22"/>
  <c r="Q214" i="58"/>
  <c r="N220" i="67"/>
  <c r="S228" i="22"/>
  <c r="K234" i="67"/>
  <c r="W238" i="22"/>
  <c r="P237" i="58"/>
  <c r="H244" i="67"/>
  <c r="CP244" i="103"/>
  <c r="CQ244" i="103" s="1"/>
  <c r="AM291" i="22"/>
  <c r="BZ384" i="103"/>
  <c r="AA259" i="22"/>
  <c r="M266" i="67"/>
  <c r="D266" i="67"/>
  <c r="H262" i="22"/>
  <c r="O261" i="103"/>
  <c r="H265" i="22"/>
  <c r="O264" i="103"/>
  <c r="K270" i="22"/>
  <c r="L270" i="22" s="1"/>
  <c r="F269" i="58"/>
  <c r="U269" i="103"/>
  <c r="Y293" i="22"/>
  <c r="O292" i="58"/>
  <c r="C301" i="67"/>
  <c r="C254" i="22"/>
  <c r="C253" i="58"/>
  <c r="AI259" i="22"/>
  <c r="W263" i="22"/>
  <c r="P262" i="58"/>
  <c r="H270" i="67"/>
  <c r="W266" i="22"/>
  <c r="P265" i="58"/>
  <c r="H273" i="67"/>
  <c r="U239" i="22"/>
  <c r="Q238" i="58"/>
  <c r="N245" i="67"/>
  <c r="E249" i="22"/>
  <c r="H248" i="103"/>
  <c r="K240" i="22"/>
  <c r="L240" i="22" s="1"/>
  <c r="F239" i="58"/>
  <c r="U239" i="103"/>
  <c r="K252" i="22"/>
  <c r="L252" i="22" s="1"/>
  <c r="F251" i="58"/>
  <c r="U251" i="103"/>
  <c r="Y257" i="22"/>
  <c r="O256" i="58"/>
  <c r="C264" i="67"/>
  <c r="H263" i="22"/>
  <c r="O262" i="103"/>
  <c r="H266" i="22"/>
  <c r="O265" i="103"/>
  <c r="I235" i="22"/>
  <c r="E234" i="58"/>
  <c r="Y234" i="58" s="1"/>
  <c r="R234" i="103"/>
  <c r="I253" i="22"/>
  <c r="E252" i="58"/>
  <c r="Y252" i="58" s="1"/>
  <c r="R252" i="103"/>
  <c r="H236" i="22"/>
  <c r="O235" i="103"/>
  <c r="Q241" i="22"/>
  <c r="E247" i="67"/>
  <c r="AI251" i="22"/>
  <c r="H254" i="22"/>
  <c r="O253" i="103"/>
  <c r="H257" i="22"/>
  <c r="O256" i="103"/>
  <c r="CP258" i="103"/>
  <c r="CQ258" i="103" s="1"/>
  <c r="F263" i="22"/>
  <c r="D262" i="58"/>
  <c r="K273" i="22"/>
  <c r="L273" i="22" s="1"/>
  <c r="F272" i="58"/>
  <c r="U272" i="103"/>
  <c r="Y296" i="22"/>
  <c r="O295" i="58"/>
  <c r="C304" i="67"/>
  <c r="E250" i="22"/>
  <c r="H249" i="103"/>
  <c r="BG384" i="103"/>
  <c r="BU254" i="103"/>
  <c r="Y261" i="22"/>
  <c r="O260" i="58"/>
  <c r="C268" i="67"/>
  <c r="AA264" i="22"/>
  <c r="M271" i="67"/>
  <c r="D271" i="67"/>
  <c r="AG267" i="22"/>
  <c r="CI266" i="103"/>
  <c r="CK266" i="103" s="1"/>
  <c r="F239" i="22"/>
  <c r="D238" i="58"/>
  <c r="S241" i="22"/>
  <c r="K247" i="67"/>
  <c r="F251" i="22"/>
  <c r="D250" i="58"/>
  <c r="S253" i="22"/>
  <c r="K259" i="67"/>
  <c r="Q262" i="67"/>
  <c r="BQ384" i="103"/>
  <c r="I251" i="22"/>
  <c r="E250" i="58"/>
  <c r="Y250" i="58" s="1"/>
  <c r="R250" i="103"/>
  <c r="AG385" i="103"/>
  <c r="Q239" i="22"/>
  <c r="E245" i="67"/>
  <c r="AI249" i="22"/>
  <c r="H252" i="22"/>
  <c r="O251" i="103"/>
  <c r="CP259" i="103"/>
  <c r="CQ259" i="103" s="1"/>
  <c r="F264" i="22"/>
  <c r="D263" i="58"/>
  <c r="V385" i="103"/>
  <c r="CP288" i="103"/>
  <c r="CQ288" i="103" s="1"/>
  <c r="E292" i="22"/>
  <c r="H133" i="23"/>
  <c r="H291" i="103"/>
  <c r="P302" i="67"/>
  <c r="BL293" i="103"/>
  <c r="P304" i="67"/>
  <c r="BL295" i="103"/>
  <c r="S268" i="22"/>
  <c r="K275" i="67"/>
  <c r="K271" i="22"/>
  <c r="L271" i="22" s="1"/>
  <c r="F270" i="58"/>
  <c r="U270" i="103"/>
  <c r="Y282" i="22"/>
  <c r="O281" i="58"/>
  <c r="C289" i="67"/>
  <c r="S289" i="22"/>
  <c r="K297" i="67"/>
  <c r="AW385" i="103"/>
  <c r="AA303" i="22"/>
  <c r="D311" i="67"/>
  <c r="M311" i="67"/>
  <c r="CP308" i="103"/>
  <c r="CR308" i="103" s="1"/>
  <c r="CM268" i="103"/>
  <c r="CO268" i="103" s="1"/>
  <c r="CM271" i="103"/>
  <c r="CO271" i="103" s="1"/>
  <c r="CM274" i="103"/>
  <c r="CO274" i="103" s="1"/>
  <c r="CM277" i="103"/>
  <c r="CO277" i="103" s="1"/>
  <c r="CM280" i="103"/>
  <c r="CO280" i="103" s="1"/>
  <c r="CM283" i="103"/>
  <c r="CO283" i="103" s="1"/>
  <c r="U289" i="22"/>
  <c r="Q288" i="58"/>
  <c r="N297" i="67"/>
  <c r="E303" i="22"/>
  <c r="H144" i="23"/>
  <c r="H302" i="103"/>
  <c r="AG276" i="22"/>
  <c r="CI275" i="103"/>
  <c r="CK275" i="103" s="1"/>
  <c r="F279" i="22"/>
  <c r="D278" i="58"/>
  <c r="S284" i="22"/>
  <c r="K291" i="67"/>
  <c r="F291" i="22"/>
  <c r="I132" i="23"/>
  <c r="D290" i="58"/>
  <c r="K293" i="22"/>
  <c r="L293" i="22" s="1"/>
  <c r="U134" i="23"/>
  <c r="F292" i="58"/>
  <c r="U292" i="103"/>
  <c r="Y295" i="22"/>
  <c r="O294" i="58"/>
  <c r="C303" i="67"/>
  <c r="P319" i="67"/>
  <c r="BL310" i="103"/>
  <c r="AA286" i="22"/>
  <c r="M294" i="67"/>
  <c r="D294" i="67"/>
  <c r="C290" i="22"/>
  <c r="C131" i="23"/>
  <c r="C289" i="58"/>
  <c r="AA292" i="22"/>
  <c r="M300" i="67"/>
  <c r="D300" i="67"/>
  <c r="C296" i="22"/>
  <c r="C137" i="23"/>
  <c r="C295" i="58"/>
  <c r="BW385" i="103"/>
  <c r="Q288" i="22"/>
  <c r="E296" i="67"/>
  <c r="AI292" i="22"/>
  <c r="U298" i="22"/>
  <c r="Q297" i="58"/>
  <c r="N306" i="67"/>
  <c r="W293" i="22"/>
  <c r="P292" i="58"/>
  <c r="H301" i="67"/>
  <c r="U307" i="22"/>
  <c r="Q306" i="58"/>
  <c r="N315" i="67"/>
  <c r="U316" i="22"/>
  <c r="Q315" i="58"/>
  <c r="N325" i="67"/>
  <c r="AH386" i="103"/>
  <c r="BB325" i="103"/>
  <c r="CN386" i="103"/>
  <c r="W322" i="22"/>
  <c r="P321" i="58"/>
  <c r="H331" i="67"/>
  <c r="CP328" i="103"/>
  <c r="AI353" i="22"/>
  <c r="F300" i="22"/>
  <c r="I141" i="23"/>
  <c r="D299" i="58"/>
  <c r="K302" i="22"/>
  <c r="L302" i="22" s="1"/>
  <c r="U143" i="23"/>
  <c r="F301" i="58"/>
  <c r="U301" i="103"/>
  <c r="Y304" i="22"/>
  <c r="O303" i="58"/>
  <c r="C312" i="67"/>
  <c r="AM314" i="22"/>
  <c r="K317" i="22"/>
  <c r="L317" i="22" s="1"/>
  <c r="F316" i="58"/>
  <c r="U316" i="103"/>
  <c r="K329" i="22"/>
  <c r="L329" i="22" s="1"/>
  <c r="F328" i="58"/>
  <c r="U328" i="103"/>
  <c r="I333" i="22"/>
  <c r="E332" i="58"/>
  <c r="Y332" i="58" s="1"/>
  <c r="R332" i="103"/>
  <c r="I300" i="22"/>
  <c r="R141" i="23"/>
  <c r="E299" i="58"/>
  <c r="Y299" i="58" s="1"/>
  <c r="R299" i="103"/>
  <c r="I306" i="22"/>
  <c r="R147" i="23"/>
  <c r="E305" i="58"/>
  <c r="Y305" i="58" s="1"/>
  <c r="R305" i="103"/>
  <c r="I312" i="22"/>
  <c r="R153" i="23"/>
  <c r="E311" i="58"/>
  <c r="Y311" i="58" s="1"/>
  <c r="R311" i="103"/>
  <c r="AX386" i="103"/>
  <c r="BB320" i="103"/>
  <c r="U329" i="22"/>
  <c r="Q328" i="58"/>
  <c r="N338" i="67"/>
  <c r="W332" i="22"/>
  <c r="P331" i="58"/>
  <c r="H341" i="67"/>
  <c r="U351" i="22"/>
  <c r="Q350" i="58"/>
  <c r="N361" i="67"/>
  <c r="F298" i="22"/>
  <c r="I139" i="23"/>
  <c r="D297" i="58"/>
  <c r="K300" i="22"/>
  <c r="L300" i="22" s="1"/>
  <c r="U141" i="23"/>
  <c r="F299" i="58"/>
  <c r="U299" i="103"/>
  <c r="Y302" i="22"/>
  <c r="O301" i="58"/>
  <c r="C310" i="67"/>
  <c r="BM307" i="103"/>
  <c r="AM312" i="22"/>
  <c r="F322" i="22"/>
  <c r="D321" i="58"/>
  <c r="S324" i="22"/>
  <c r="K333" i="67"/>
  <c r="AA332" i="22"/>
  <c r="M341" i="67"/>
  <c r="D341" i="67"/>
  <c r="U339" i="22"/>
  <c r="Q338" i="58"/>
  <c r="N348" i="67"/>
  <c r="AA320" i="22"/>
  <c r="M329" i="67"/>
  <c r="D329" i="67"/>
  <c r="AA329" i="22"/>
  <c r="D338" i="67"/>
  <c r="M338" i="67"/>
  <c r="U330" i="22"/>
  <c r="Q329" i="58"/>
  <c r="N339" i="67"/>
  <c r="CP300" i="103"/>
  <c r="CR300" i="103" s="1"/>
  <c r="E304" i="22"/>
  <c r="H145" i="23"/>
  <c r="H303" i="103"/>
  <c r="P314" i="67"/>
  <c r="BL305" i="103"/>
  <c r="CP312" i="103"/>
  <c r="CQ312" i="103" s="1"/>
  <c r="E316" i="22"/>
  <c r="G386" i="103"/>
  <c r="H315" i="103"/>
  <c r="E315" i="103" s="1"/>
  <c r="S331" i="22"/>
  <c r="K340" i="67"/>
  <c r="Y297" i="22"/>
  <c r="O296" i="58"/>
  <c r="C305" i="67"/>
  <c r="BM302" i="103"/>
  <c r="AM307" i="22"/>
  <c r="S316" i="22"/>
  <c r="K325" i="67"/>
  <c r="AF386" i="103"/>
  <c r="F326" i="22"/>
  <c r="D325" i="58"/>
  <c r="S328" i="22"/>
  <c r="K337" i="67"/>
  <c r="AA333" i="22"/>
  <c r="M342" i="67"/>
  <c r="D342" i="67"/>
  <c r="CP334" i="103"/>
  <c r="W346" i="22"/>
  <c r="P345" i="58"/>
  <c r="H356" i="67"/>
  <c r="AI387" i="103"/>
  <c r="CP349" i="103"/>
  <c r="W358" i="22"/>
  <c r="P357" i="58"/>
  <c r="H368" i="67"/>
  <c r="CP361" i="103"/>
  <c r="W370" i="22"/>
  <c r="P369" i="58"/>
  <c r="H380" i="67"/>
  <c r="CI335" i="103"/>
  <c r="Y343" i="22"/>
  <c r="O342" i="58"/>
  <c r="C352" i="67"/>
  <c r="F348" i="22"/>
  <c r="D347" i="58"/>
  <c r="S350" i="22"/>
  <c r="K360" i="67"/>
  <c r="F357" i="22"/>
  <c r="D356" i="58"/>
  <c r="S359" i="22"/>
  <c r="K369" i="67"/>
  <c r="F366" i="22"/>
  <c r="D365" i="58"/>
  <c r="S368" i="22"/>
  <c r="K378" i="67"/>
  <c r="C350" i="22"/>
  <c r="C349" i="58"/>
  <c r="AA352" i="22"/>
  <c r="D362" i="67"/>
  <c r="M362" i="67"/>
  <c r="AI337" i="22"/>
  <c r="H340" i="22"/>
  <c r="O339" i="103"/>
  <c r="Q345" i="22"/>
  <c r="E354" i="67"/>
  <c r="U350" i="22"/>
  <c r="Q349" i="58"/>
  <c r="N360" i="67"/>
  <c r="AI352" i="22"/>
  <c r="U362" i="22"/>
  <c r="Q361" i="58"/>
  <c r="N372" i="67"/>
  <c r="AI364" i="22"/>
  <c r="E339" i="22"/>
  <c r="H338" i="103"/>
  <c r="E338" i="103" s="1"/>
  <c r="BT387" i="103"/>
  <c r="E354" i="22"/>
  <c r="E366" i="22"/>
  <c r="K342" i="22"/>
  <c r="L342" i="22" s="1"/>
  <c r="F341" i="58"/>
  <c r="U341" i="103"/>
  <c r="CS387" i="103"/>
  <c r="AA338" i="22"/>
  <c r="M347" i="67"/>
  <c r="D347" i="67"/>
  <c r="AK346" i="22"/>
  <c r="BV387" i="103"/>
  <c r="I355" i="22"/>
  <c r="E354" i="58"/>
  <c r="Y354" i="58" s="1"/>
  <c r="R354" i="103"/>
  <c r="C366" i="22"/>
  <c r="C365" i="58"/>
  <c r="AA368" i="22"/>
  <c r="D378" i="67"/>
  <c r="M378" i="67"/>
  <c r="Q361" i="22"/>
  <c r="E371" i="67"/>
  <c r="E340" i="22"/>
  <c r="H339" i="103"/>
  <c r="E339" i="103" s="1"/>
  <c r="BG387" i="103"/>
  <c r="E355" i="22"/>
  <c r="E367" i="22"/>
  <c r="K340" i="22"/>
  <c r="L340" i="22" s="1"/>
  <c r="F339" i="58"/>
  <c r="U339" i="103"/>
  <c r="C334" i="22"/>
  <c r="C333" i="58"/>
  <c r="I338" i="22"/>
  <c r="E337" i="58"/>
  <c r="Y337" i="58" s="1"/>
  <c r="R337" i="103"/>
  <c r="C343" i="22"/>
  <c r="C342" i="58"/>
  <c r="AW387" i="103"/>
  <c r="I347" i="22"/>
  <c r="E346" i="58"/>
  <c r="Y346" i="58" s="1"/>
  <c r="R346" i="103"/>
  <c r="C358" i="22"/>
  <c r="C357" i="58"/>
  <c r="AA360" i="22"/>
  <c r="M370" i="67"/>
  <c r="D370" i="67"/>
  <c r="BD367" i="103"/>
  <c r="U334" i="22"/>
  <c r="Q333" i="58"/>
  <c r="N343" i="67"/>
  <c r="CA387" i="103"/>
  <c r="H354" i="22"/>
  <c r="H366" i="22"/>
  <c r="E373" i="22"/>
  <c r="Y372" i="22"/>
  <c r="O371" i="58"/>
  <c r="C382" i="67"/>
  <c r="U7" i="68" s="1"/>
  <c r="U373" i="22"/>
  <c r="Q372" i="58"/>
  <c r="N383" i="67"/>
  <c r="W17" i="68" s="1"/>
  <c r="AI375" i="22"/>
  <c r="W373" i="22"/>
  <c r="P372" i="58"/>
  <c r="H383" i="67"/>
  <c r="W11" i="68" s="1"/>
  <c r="F375" i="22"/>
  <c r="D374" i="58"/>
  <c r="I372" i="22"/>
  <c r="E371" i="58"/>
  <c r="Y371" i="58" s="1"/>
  <c r="R371" i="103"/>
  <c r="U374" i="22"/>
  <c r="Q373" i="58"/>
  <c r="N384" i="67"/>
  <c r="Y17" i="68" s="1"/>
  <c r="AI376" i="22"/>
  <c r="S54" i="22"/>
  <c r="K54" i="67"/>
  <c r="Q35" i="22"/>
  <c r="E34" i="67"/>
  <c r="Q23" i="22"/>
  <c r="E22" i="67"/>
  <c r="C16" i="22"/>
  <c r="C15" i="58"/>
  <c r="CP47" i="103"/>
  <c r="BD47" i="103"/>
  <c r="CC377" i="103"/>
  <c r="C28" i="22"/>
  <c r="C27" i="58"/>
  <c r="S16" i="22"/>
  <c r="K15" i="67"/>
  <c r="F14" i="22"/>
  <c r="D13" i="58"/>
  <c r="BD50" i="103"/>
  <c r="S47" i="22"/>
  <c r="K47" i="67"/>
  <c r="Y33" i="22"/>
  <c r="O32" i="58"/>
  <c r="C32" i="67"/>
  <c r="K31" i="22"/>
  <c r="L31" i="22" s="1"/>
  <c r="F30" i="58"/>
  <c r="U30" i="103"/>
  <c r="Y24" i="22"/>
  <c r="O23" i="58"/>
  <c r="C23" i="67"/>
  <c r="K22" i="22"/>
  <c r="L22" i="22" s="1"/>
  <c r="F21" i="58"/>
  <c r="U21" i="103"/>
  <c r="Q39" i="22"/>
  <c r="E38" i="67"/>
  <c r="CE376" i="103"/>
  <c r="AA55" i="22"/>
  <c r="M55" i="67"/>
  <c r="D55" i="67"/>
  <c r="S50" i="22"/>
  <c r="K50" i="67"/>
  <c r="H45" i="22"/>
  <c r="O44" i="103"/>
  <c r="E28" i="22"/>
  <c r="H27" i="103"/>
  <c r="E27" i="103" s="1"/>
  <c r="C40" i="22"/>
  <c r="C39" i="58"/>
  <c r="H26" i="22"/>
  <c r="O25" i="103"/>
  <c r="BD15" i="103"/>
  <c r="AA14" i="22"/>
  <c r="D13" i="67"/>
  <c r="K58" i="22"/>
  <c r="L58" i="22" s="1"/>
  <c r="F57" i="58"/>
  <c r="U57" i="103"/>
  <c r="BD46" i="103"/>
  <c r="S40" i="22"/>
  <c r="K39" i="67"/>
  <c r="C33" i="22"/>
  <c r="C32" i="58"/>
  <c r="C21" i="22"/>
  <c r="C20" i="58"/>
  <c r="C20" i="103"/>
  <c r="Y14" i="22"/>
  <c r="O13" i="58"/>
  <c r="C13" i="67"/>
  <c r="F47" i="22"/>
  <c r="D46" i="58"/>
  <c r="J46" i="103"/>
  <c r="W45" i="22"/>
  <c r="P44" i="58"/>
  <c r="H45" i="67"/>
  <c r="E40" i="22"/>
  <c r="H39" i="103"/>
  <c r="BD36" i="103"/>
  <c r="W48" i="22"/>
  <c r="P47" i="58"/>
  <c r="H48" i="67"/>
  <c r="E36" i="22"/>
  <c r="H35" i="103"/>
  <c r="E35" i="103" s="1"/>
  <c r="E24" i="22"/>
  <c r="H23" i="103"/>
  <c r="E23" i="103" s="1"/>
  <c r="V385" i="58"/>
  <c r="V377" i="58"/>
  <c r="AA41" i="22"/>
  <c r="D40" i="67"/>
  <c r="Q36" i="22"/>
  <c r="E35" i="67"/>
  <c r="Q24" i="22"/>
  <c r="E23" i="67"/>
  <c r="AG43" i="22"/>
  <c r="CI42" i="103"/>
  <c r="CL42" i="103" s="1"/>
  <c r="C29" i="22"/>
  <c r="C28" i="58"/>
  <c r="AZ376" i="103"/>
  <c r="AI43" i="22"/>
  <c r="BS377" i="103"/>
  <c r="K48" i="22"/>
  <c r="L48" i="22" s="1"/>
  <c r="F47" i="58"/>
  <c r="U47" i="103"/>
  <c r="F36" i="22"/>
  <c r="D35" i="58"/>
  <c r="S29" i="22"/>
  <c r="K28" i="67"/>
  <c r="F27" i="22"/>
  <c r="D26" i="58"/>
  <c r="AP378" i="103"/>
  <c r="U76" i="22"/>
  <c r="Q75" i="58"/>
  <c r="N77" i="67"/>
  <c r="AI78" i="22"/>
  <c r="AM93" i="103"/>
  <c r="AA57" i="22"/>
  <c r="D57" i="67"/>
  <c r="M57" i="67"/>
  <c r="I59" i="22"/>
  <c r="E58" i="58"/>
  <c r="Y58" i="58" s="1"/>
  <c r="R58" i="103"/>
  <c r="H66" i="22"/>
  <c r="O65" i="103"/>
  <c r="E71" i="22"/>
  <c r="G378" i="103"/>
  <c r="H70" i="103"/>
  <c r="E83" i="22"/>
  <c r="H82" i="103"/>
  <c r="BG379" i="103"/>
  <c r="H63" i="22"/>
  <c r="O62" i="103"/>
  <c r="S68" i="22"/>
  <c r="K68" i="67"/>
  <c r="F75" i="22"/>
  <c r="D74" i="58"/>
  <c r="S77" i="22"/>
  <c r="K78" i="67"/>
  <c r="F84" i="22"/>
  <c r="D83" i="58"/>
  <c r="S86" i="22"/>
  <c r="K87" i="67"/>
  <c r="AA91" i="22"/>
  <c r="M92" i="67"/>
  <c r="D92" i="67"/>
  <c r="CP58" i="103"/>
  <c r="C71" i="22"/>
  <c r="C70" i="58"/>
  <c r="I378" i="103"/>
  <c r="BD74" i="103"/>
  <c r="C80" i="22"/>
  <c r="C79" i="58"/>
  <c r="H73" i="22"/>
  <c r="O72" i="103"/>
  <c r="H85" i="22"/>
  <c r="O84" i="103"/>
  <c r="W71" i="22"/>
  <c r="P70" i="58"/>
  <c r="H72" i="67"/>
  <c r="AI378" i="103"/>
  <c r="CP74" i="103"/>
  <c r="W83" i="22"/>
  <c r="P82" i="58"/>
  <c r="H84" i="67"/>
  <c r="K90" i="22"/>
  <c r="L90" i="22" s="1"/>
  <c r="F89" i="58"/>
  <c r="Q63" i="22"/>
  <c r="E63" i="67"/>
  <c r="K72" i="22"/>
  <c r="L72" i="22" s="1"/>
  <c r="F71" i="58"/>
  <c r="U71" i="103"/>
  <c r="Y74" i="22"/>
  <c r="O73" i="58"/>
  <c r="C75" i="67"/>
  <c r="K81" i="22"/>
  <c r="L81" i="22" s="1"/>
  <c r="F80" i="58"/>
  <c r="U80" i="103"/>
  <c r="Y83" i="22"/>
  <c r="O82" i="58"/>
  <c r="C84" i="67"/>
  <c r="C90" i="22"/>
  <c r="C89" i="58"/>
  <c r="E57" i="22"/>
  <c r="H56" i="103"/>
  <c r="H92" i="22"/>
  <c r="O91" i="103"/>
  <c r="Q67" i="22"/>
  <c r="E67" i="67"/>
  <c r="Q79" i="22"/>
  <c r="E80" i="67"/>
  <c r="CP87" i="103"/>
  <c r="E67" i="22"/>
  <c r="H66" i="103"/>
  <c r="BT378" i="103"/>
  <c r="E79" i="22"/>
  <c r="H78" i="103"/>
  <c r="U60" i="22"/>
  <c r="Q59" i="58"/>
  <c r="N60" i="67"/>
  <c r="AI62" i="22"/>
  <c r="CS378" i="103"/>
  <c r="CP57" i="103"/>
  <c r="I68" i="22"/>
  <c r="E67" i="58"/>
  <c r="Y67" i="58" s="1"/>
  <c r="R67" i="103"/>
  <c r="AA75" i="22"/>
  <c r="M76" i="67"/>
  <c r="D76" i="67"/>
  <c r="I77" i="22"/>
  <c r="E76" i="58"/>
  <c r="Y76" i="58" s="1"/>
  <c r="R76" i="103"/>
  <c r="AA84" i="22"/>
  <c r="D85" i="67"/>
  <c r="M85" i="67"/>
  <c r="I86" i="22"/>
  <c r="E85" i="58"/>
  <c r="Y85" i="58" s="1"/>
  <c r="R85" i="103"/>
  <c r="U91" i="22"/>
  <c r="Q90" i="58"/>
  <c r="N92" i="67"/>
  <c r="H117" i="22"/>
  <c r="O116" i="103"/>
  <c r="AN94" i="103"/>
  <c r="W109" i="22"/>
  <c r="P108" i="58"/>
  <c r="H111" i="67"/>
  <c r="CP112" i="103"/>
  <c r="W121" i="22"/>
  <c r="P120" i="58"/>
  <c r="H123" i="67"/>
  <c r="AM122" i="103"/>
  <c r="CP124" i="103"/>
  <c r="AI136" i="22"/>
  <c r="C94" i="22"/>
  <c r="C93" i="58"/>
  <c r="BD97" i="103"/>
  <c r="U103" i="22"/>
  <c r="Q102" i="58"/>
  <c r="N105" i="67"/>
  <c r="AI105" i="22"/>
  <c r="K113" i="22"/>
  <c r="L113" i="22" s="1"/>
  <c r="F112" i="58"/>
  <c r="U112" i="103"/>
  <c r="Y115" i="22"/>
  <c r="O114" i="58"/>
  <c r="C117" i="67"/>
  <c r="K122" i="22"/>
  <c r="L122" i="22" s="1"/>
  <c r="F121" i="58"/>
  <c r="U121" i="103"/>
  <c r="Y124" i="22"/>
  <c r="O123" i="58"/>
  <c r="C126" i="67"/>
  <c r="BM131" i="103"/>
  <c r="U100" i="22"/>
  <c r="Q99" i="58"/>
  <c r="N101" i="67"/>
  <c r="AI102" i="22"/>
  <c r="BS379" i="103"/>
  <c r="AA109" i="22"/>
  <c r="D111" i="67"/>
  <c r="M111" i="67"/>
  <c r="BD110" i="103"/>
  <c r="AA121" i="22"/>
  <c r="D123" i="67"/>
  <c r="M123" i="67"/>
  <c r="CP94" i="103"/>
  <c r="H115" i="22"/>
  <c r="O114" i="103"/>
  <c r="H127" i="22"/>
  <c r="O126" i="103"/>
  <c r="C104" i="22"/>
  <c r="C103" i="58"/>
  <c r="W116" i="22"/>
  <c r="P115" i="58"/>
  <c r="H118" i="67"/>
  <c r="CP119" i="103"/>
  <c r="AA97" i="22"/>
  <c r="D98" i="67"/>
  <c r="M98" i="67"/>
  <c r="I99" i="22"/>
  <c r="E98" i="58"/>
  <c r="Y98" i="58" s="1"/>
  <c r="R98" i="103"/>
  <c r="CP107" i="103"/>
  <c r="AN114" i="103"/>
  <c r="H130" i="22"/>
  <c r="O129" i="103"/>
  <c r="S108" i="22"/>
  <c r="K110" i="67"/>
  <c r="C111" i="22"/>
  <c r="C110" i="58"/>
  <c r="C123" i="22"/>
  <c r="C122" i="58"/>
  <c r="BX379" i="103"/>
  <c r="K105" i="22"/>
  <c r="L105" i="22" s="1"/>
  <c r="F104" i="58"/>
  <c r="U104" i="103"/>
  <c r="Y107" i="22"/>
  <c r="O106" i="58"/>
  <c r="C109" i="67"/>
  <c r="H119" i="22"/>
  <c r="O118" i="103"/>
  <c r="AP380" i="103"/>
  <c r="AS379" i="103"/>
  <c r="AI104" i="22"/>
  <c r="S109" i="22"/>
  <c r="K111" i="67"/>
  <c r="F116" i="22"/>
  <c r="D115" i="58"/>
  <c r="S118" i="22"/>
  <c r="K120" i="67"/>
  <c r="F125" i="22"/>
  <c r="D124" i="58"/>
  <c r="S127" i="22"/>
  <c r="K129" i="67"/>
  <c r="Q100" i="22"/>
  <c r="E101" i="67"/>
  <c r="BF379" i="103"/>
  <c r="W105" i="22"/>
  <c r="P104" i="58"/>
  <c r="H107" i="67"/>
  <c r="C115" i="22"/>
  <c r="C114" i="58"/>
  <c r="C127" i="22"/>
  <c r="C126" i="58"/>
  <c r="BB131" i="103"/>
  <c r="V380" i="103"/>
  <c r="W129" i="22"/>
  <c r="P128" i="58"/>
  <c r="H131" i="67"/>
  <c r="AM130" i="103"/>
  <c r="AM139" i="103"/>
  <c r="AM157" i="103"/>
  <c r="K139" i="22"/>
  <c r="L139" i="22" s="1"/>
  <c r="F138" i="58"/>
  <c r="U138" i="103"/>
  <c r="Y141" i="22"/>
  <c r="O140" i="58"/>
  <c r="C144" i="67"/>
  <c r="AG143" i="22"/>
  <c r="CI142" i="103"/>
  <c r="CK142" i="103" s="1"/>
  <c r="K145" i="22"/>
  <c r="L145" i="22" s="1"/>
  <c r="F144" i="58"/>
  <c r="U144" i="103"/>
  <c r="Y147" i="22"/>
  <c r="O146" i="58"/>
  <c r="C150" i="67"/>
  <c r="AG149" i="22"/>
  <c r="CI148" i="103"/>
  <c r="CK148" i="103" s="1"/>
  <c r="K151" i="22"/>
  <c r="L151" i="22" s="1"/>
  <c r="F150" i="58"/>
  <c r="U150" i="103"/>
  <c r="Y153" i="22"/>
  <c r="O152" i="58"/>
  <c r="C156" i="67"/>
  <c r="AG155" i="22"/>
  <c r="CI154" i="103"/>
  <c r="CK154" i="103" s="1"/>
  <c r="K157" i="22"/>
  <c r="L157" i="22" s="1"/>
  <c r="F156" i="58"/>
  <c r="U156" i="103"/>
  <c r="Y159" i="22"/>
  <c r="O158" i="58"/>
  <c r="C162" i="67"/>
  <c r="AG161" i="22"/>
  <c r="CI160" i="103"/>
  <c r="CK160" i="103" s="1"/>
  <c r="K163" i="22"/>
  <c r="L163" i="22" s="1"/>
  <c r="F162" i="58"/>
  <c r="T381" i="103"/>
  <c r="U162" i="103"/>
  <c r="AA129" i="22"/>
  <c r="D131" i="67"/>
  <c r="M131" i="67"/>
  <c r="BD130" i="103"/>
  <c r="C142" i="22"/>
  <c r="C141" i="58"/>
  <c r="I146" i="22"/>
  <c r="E145" i="58"/>
  <c r="Y145" i="58" s="1"/>
  <c r="R145" i="103"/>
  <c r="AA159" i="22"/>
  <c r="D162" i="67"/>
  <c r="M162" i="67"/>
  <c r="AG381" i="103"/>
  <c r="Q131" i="22"/>
  <c r="E133" i="67"/>
  <c r="AI135" i="22"/>
  <c r="Q140" i="22"/>
  <c r="E143" i="67"/>
  <c r="AI144" i="22"/>
  <c r="Q149" i="22"/>
  <c r="E152" i="67"/>
  <c r="AI153" i="22"/>
  <c r="Q158" i="22"/>
  <c r="E161" i="67"/>
  <c r="AI162" i="22"/>
  <c r="CP127" i="103"/>
  <c r="P136" i="67"/>
  <c r="BL132" i="103"/>
  <c r="P145" i="67"/>
  <c r="BL141" i="103"/>
  <c r="P154" i="67"/>
  <c r="BL150" i="103"/>
  <c r="P163" i="67"/>
  <c r="BL159" i="103"/>
  <c r="F129" i="22"/>
  <c r="D128" i="58"/>
  <c r="S131" i="22"/>
  <c r="K133" i="67"/>
  <c r="S137" i="22"/>
  <c r="K140" i="67"/>
  <c r="S143" i="22"/>
  <c r="K146" i="67"/>
  <c r="S149" i="22"/>
  <c r="K152" i="67"/>
  <c r="S155" i="22"/>
  <c r="K158" i="67"/>
  <c r="S161" i="22"/>
  <c r="K164" i="67"/>
  <c r="AV381" i="103"/>
  <c r="AA133" i="22"/>
  <c r="M136" i="67"/>
  <c r="D136" i="67"/>
  <c r="BD140" i="103"/>
  <c r="C152" i="22"/>
  <c r="C151" i="58"/>
  <c r="I156" i="22"/>
  <c r="E155" i="58"/>
  <c r="Y155" i="58" s="1"/>
  <c r="R155" i="103"/>
  <c r="H145" i="22"/>
  <c r="O144" i="103"/>
  <c r="H154" i="22"/>
  <c r="O153" i="103"/>
  <c r="H163" i="22"/>
  <c r="N381" i="103"/>
  <c r="O162" i="103"/>
  <c r="W131" i="22"/>
  <c r="P130" i="58"/>
  <c r="H133" i="67"/>
  <c r="BX380" i="103"/>
  <c r="W140" i="22"/>
  <c r="P139" i="58"/>
  <c r="H143" i="67"/>
  <c r="W149" i="22"/>
  <c r="P148" i="58"/>
  <c r="H152" i="67"/>
  <c r="W158" i="22"/>
  <c r="P157" i="58"/>
  <c r="H161" i="67"/>
  <c r="F130" i="22"/>
  <c r="D129" i="58"/>
  <c r="S132" i="22"/>
  <c r="K135" i="67"/>
  <c r="AF380" i="103"/>
  <c r="S138" i="22"/>
  <c r="K141" i="67"/>
  <c r="S144" i="22"/>
  <c r="K147" i="67"/>
  <c r="S150" i="22"/>
  <c r="K153" i="67"/>
  <c r="S156" i="22"/>
  <c r="K159" i="67"/>
  <c r="S162" i="22"/>
  <c r="K165" i="67"/>
  <c r="I130" i="22"/>
  <c r="E129" i="58"/>
  <c r="Y129" i="58" s="1"/>
  <c r="R129" i="103"/>
  <c r="AA137" i="22"/>
  <c r="M140" i="67"/>
  <c r="D140" i="67"/>
  <c r="BD144" i="103"/>
  <c r="C156" i="22"/>
  <c r="C155" i="58"/>
  <c r="I160" i="22"/>
  <c r="E159" i="58"/>
  <c r="Y159" i="58" s="1"/>
  <c r="R159" i="103"/>
  <c r="C176" i="22"/>
  <c r="C175" i="58"/>
  <c r="C188" i="22"/>
  <c r="C187" i="58"/>
  <c r="U164" i="22"/>
  <c r="Q163" i="58"/>
  <c r="N168" i="67"/>
  <c r="U173" i="22"/>
  <c r="Q172" i="58"/>
  <c r="N177" i="67"/>
  <c r="U182" i="22"/>
  <c r="Q181" i="58"/>
  <c r="N186" i="67"/>
  <c r="U191" i="22"/>
  <c r="Q190" i="58"/>
  <c r="N195" i="67"/>
  <c r="AI193" i="22"/>
  <c r="BS382" i="103"/>
  <c r="H196" i="22"/>
  <c r="O195" i="103"/>
  <c r="BT382" i="103"/>
  <c r="CP202" i="103"/>
  <c r="CR202" i="103" s="1"/>
  <c r="F166" i="22"/>
  <c r="D165" i="58"/>
  <c r="K168" i="22"/>
  <c r="L168" i="22" s="1"/>
  <c r="F167" i="58"/>
  <c r="U167" i="103"/>
  <c r="Y170" i="22"/>
  <c r="O169" i="58"/>
  <c r="C174" i="67"/>
  <c r="AG187" i="22"/>
  <c r="CI186" i="103"/>
  <c r="CK186" i="103" s="1"/>
  <c r="S189" i="22"/>
  <c r="K193" i="67"/>
  <c r="F196" i="22"/>
  <c r="D195" i="58"/>
  <c r="C202" i="22"/>
  <c r="C201" i="58"/>
  <c r="I175" i="22"/>
  <c r="E174" i="58"/>
  <c r="Y174" i="58" s="1"/>
  <c r="R174" i="103"/>
  <c r="I187" i="22"/>
  <c r="E186" i="58"/>
  <c r="Y186" i="58" s="1"/>
  <c r="R186" i="103"/>
  <c r="E200" i="22"/>
  <c r="H199" i="103"/>
  <c r="U180" i="22"/>
  <c r="Q179" i="58"/>
  <c r="N184" i="67"/>
  <c r="U189" i="22"/>
  <c r="Q188" i="58"/>
  <c r="N193" i="67"/>
  <c r="BW382" i="103"/>
  <c r="E199" i="22"/>
  <c r="H198" i="103"/>
  <c r="BX382" i="103"/>
  <c r="K199" i="22"/>
  <c r="L199" i="22" s="1"/>
  <c r="F198" i="58"/>
  <c r="U198" i="103"/>
  <c r="F167" i="22"/>
  <c r="D166" i="58"/>
  <c r="K169" i="22"/>
  <c r="L169" i="22" s="1"/>
  <c r="F168" i="58"/>
  <c r="U168" i="103"/>
  <c r="Y171" i="22"/>
  <c r="O170" i="58"/>
  <c r="C175" i="67"/>
  <c r="AN187" i="103"/>
  <c r="S190" i="22"/>
  <c r="K194" i="67"/>
  <c r="I167" i="22"/>
  <c r="E166" i="58"/>
  <c r="Y166" i="58" s="1"/>
  <c r="R166" i="103"/>
  <c r="I179" i="22"/>
  <c r="E178" i="58"/>
  <c r="Y178" i="58" s="1"/>
  <c r="R178" i="103"/>
  <c r="I191" i="22"/>
  <c r="E190" i="58"/>
  <c r="Y190" i="58" s="1"/>
  <c r="R190" i="103"/>
  <c r="H171" i="22"/>
  <c r="O170" i="103"/>
  <c r="H180" i="22"/>
  <c r="O179" i="103"/>
  <c r="H189" i="22"/>
  <c r="O188" i="103"/>
  <c r="BF382" i="103"/>
  <c r="U196" i="22"/>
  <c r="Q195" i="58"/>
  <c r="N201" i="67"/>
  <c r="W199" i="22"/>
  <c r="P198" i="58"/>
  <c r="H204" i="67"/>
  <c r="W172" i="22"/>
  <c r="P171" i="58"/>
  <c r="H176" i="67"/>
  <c r="W181" i="22"/>
  <c r="P180" i="58"/>
  <c r="H185" i="67"/>
  <c r="W190" i="22"/>
  <c r="P189" i="58"/>
  <c r="H194" i="67"/>
  <c r="E197" i="22"/>
  <c r="H196" i="103"/>
  <c r="F165" i="22"/>
  <c r="D164" i="58"/>
  <c r="K167" i="22"/>
  <c r="L167" i="22" s="1"/>
  <c r="F166" i="58"/>
  <c r="U166" i="103"/>
  <c r="Y169" i="22"/>
  <c r="O168" i="58"/>
  <c r="C173" i="67"/>
  <c r="AN185" i="103"/>
  <c r="S188" i="22"/>
  <c r="K192" i="67"/>
  <c r="F195" i="22"/>
  <c r="D194" i="58"/>
  <c r="S197" i="22"/>
  <c r="K202" i="67"/>
  <c r="C228" i="22"/>
  <c r="C227" i="58"/>
  <c r="AA233" i="22"/>
  <c r="M239" i="67"/>
  <c r="D239" i="67"/>
  <c r="E236" i="22"/>
  <c r="H235" i="103"/>
  <c r="Y209" i="22"/>
  <c r="O208" i="58"/>
  <c r="C214" i="67"/>
  <c r="Y221" i="22"/>
  <c r="O220" i="58"/>
  <c r="C226" i="67"/>
  <c r="AG226" i="22"/>
  <c r="CI225" i="103"/>
  <c r="CK225" i="103" s="1"/>
  <c r="U231" i="22"/>
  <c r="Q230" i="58"/>
  <c r="N237" i="67"/>
  <c r="C204" i="22"/>
  <c r="C203" i="58"/>
  <c r="AA209" i="22"/>
  <c r="M214" i="67"/>
  <c r="D214" i="67"/>
  <c r="C222" i="22"/>
  <c r="C221" i="58"/>
  <c r="C236" i="22"/>
  <c r="C235" i="58"/>
  <c r="AI209" i="22"/>
  <c r="H212" i="22"/>
  <c r="O211" i="103"/>
  <c r="Q217" i="22"/>
  <c r="E222" i="67"/>
  <c r="K232" i="22"/>
  <c r="L232" i="22" s="1"/>
  <c r="F231" i="58"/>
  <c r="U231" i="103"/>
  <c r="W204" i="22"/>
  <c r="P203" i="58"/>
  <c r="H209" i="67"/>
  <c r="CP207" i="103"/>
  <c r="CQ207" i="103" s="1"/>
  <c r="W216" i="22"/>
  <c r="P215" i="58"/>
  <c r="H221" i="67"/>
  <c r="CP219" i="103"/>
  <c r="CQ219" i="103" s="1"/>
  <c r="I233" i="22"/>
  <c r="E232" i="58"/>
  <c r="Y232" i="58" s="1"/>
  <c r="R232" i="103"/>
  <c r="Y241" i="22"/>
  <c r="O240" i="58"/>
  <c r="C247" i="67"/>
  <c r="K202" i="22"/>
  <c r="L202" i="22" s="1"/>
  <c r="F201" i="58"/>
  <c r="U201" i="103"/>
  <c r="K214" i="22"/>
  <c r="L214" i="22" s="1"/>
  <c r="F213" i="58"/>
  <c r="U213" i="103"/>
  <c r="K226" i="22"/>
  <c r="L226" i="22" s="1"/>
  <c r="F225" i="58"/>
  <c r="U225" i="103"/>
  <c r="AI231" i="22"/>
  <c r="H234" i="22"/>
  <c r="O233" i="103"/>
  <c r="AG240" i="22"/>
  <c r="CI239" i="103"/>
  <c r="CK239" i="103" s="1"/>
  <c r="C208" i="22"/>
  <c r="C207" i="58"/>
  <c r="AA213" i="22"/>
  <c r="D218" i="67"/>
  <c r="M218" i="67"/>
  <c r="C226" i="22"/>
  <c r="C225" i="58"/>
  <c r="AM227" i="103"/>
  <c r="Q200" i="22"/>
  <c r="E205" i="67"/>
  <c r="AI210" i="22"/>
  <c r="H213" i="22"/>
  <c r="O212" i="103"/>
  <c r="Q218" i="22"/>
  <c r="E223" i="67"/>
  <c r="AM203" i="103"/>
  <c r="CP205" i="103"/>
  <c r="CR205" i="103" s="1"/>
  <c r="W214" i="22"/>
  <c r="P213" i="58"/>
  <c r="H219" i="67"/>
  <c r="CP217" i="103"/>
  <c r="CR217" i="103" s="1"/>
  <c r="I231" i="22"/>
  <c r="E230" i="58"/>
  <c r="Y230" i="58" s="1"/>
  <c r="R230" i="103"/>
  <c r="F204" i="22"/>
  <c r="D203" i="58"/>
  <c r="S206" i="22"/>
  <c r="K211" i="67"/>
  <c r="F216" i="22"/>
  <c r="D215" i="58"/>
  <c r="S218" i="22"/>
  <c r="K223" i="67"/>
  <c r="U230" i="22"/>
  <c r="Q229" i="58"/>
  <c r="N236" i="67"/>
  <c r="AG249" i="22"/>
  <c r="CI248" i="103"/>
  <c r="CK248" i="103" s="1"/>
  <c r="AA202" i="22"/>
  <c r="D207" i="67"/>
  <c r="M207" i="67"/>
  <c r="C215" i="22"/>
  <c r="C214" i="58"/>
  <c r="AA220" i="22"/>
  <c r="D225" i="67"/>
  <c r="M225" i="67"/>
  <c r="W233" i="22"/>
  <c r="P232" i="58"/>
  <c r="H239" i="67"/>
  <c r="AI202" i="22"/>
  <c r="H205" i="22"/>
  <c r="O204" i="103"/>
  <c r="Q210" i="22"/>
  <c r="E215" i="67"/>
  <c r="AI220" i="22"/>
  <c r="H223" i="22"/>
  <c r="O222" i="103"/>
  <c r="Y233" i="22"/>
  <c r="O232" i="58"/>
  <c r="C239" i="67"/>
  <c r="E251" i="22"/>
  <c r="H250" i="103"/>
  <c r="I264" i="22"/>
  <c r="E263" i="58"/>
  <c r="Y263" i="58" s="1"/>
  <c r="R263" i="103"/>
  <c r="I267" i="22"/>
  <c r="E266" i="58"/>
  <c r="Y266" i="58" s="1"/>
  <c r="R266" i="103"/>
  <c r="AG280" i="22"/>
  <c r="CI279" i="103"/>
  <c r="CK279" i="103" s="1"/>
  <c r="Y253" i="22"/>
  <c r="O252" i="58"/>
  <c r="C259" i="67"/>
  <c r="CS384" i="103"/>
  <c r="BM292" i="103"/>
  <c r="C257" i="22"/>
  <c r="C256" i="58"/>
  <c r="F277" i="22"/>
  <c r="D276" i="58"/>
  <c r="AI244" i="22"/>
  <c r="H247" i="22"/>
  <c r="O246" i="103"/>
  <c r="Q252" i="22"/>
  <c r="E258" i="67"/>
  <c r="Y263" i="22"/>
  <c r="O262" i="58"/>
  <c r="C270" i="67"/>
  <c r="I283" i="22"/>
  <c r="E282" i="58"/>
  <c r="Y282" i="58" s="1"/>
  <c r="R282" i="103"/>
  <c r="AK292" i="22"/>
  <c r="W239" i="22"/>
  <c r="P238" i="58"/>
  <c r="H245" i="67"/>
  <c r="CP245" i="103"/>
  <c r="CQ245" i="103" s="1"/>
  <c r="P313" i="67"/>
  <c r="BL304" i="103"/>
  <c r="F238" i="22"/>
  <c r="D237" i="58"/>
  <c r="S240" i="22"/>
  <c r="K246" i="67"/>
  <c r="F250" i="22"/>
  <c r="D249" i="58"/>
  <c r="S252" i="22"/>
  <c r="K258" i="67"/>
  <c r="C246" i="22"/>
  <c r="C245" i="58"/>
  <c r="AA251" i="22"/>
  <c r="M257" i="67"/>
  <c r="D257" i="67"/>
  <c r="I256" i="22"/>
  <c r="E255" i="58"/>
  <c r="Y255" i="58" s="1"/>
  <c r="R255" i="103"/>
  <c r="Q259" i="22"/>
  <c r="E266" i="67"/>
  <c r="E262" i="22"/>
  <c r="H261" i="103"/>
  <c r="E265" i="22"/>
  <c r="H264" i="103"/>
  <c r="C273" i="22"/>
  <c r="C272" i="58"/>
  <c r="U249" i="22"/>
  <c r="Q248" i="58"/>
  <c r="N255" i="67"/>
  <c r="AG263" i="22"/>
  <c r="CI262" i="103"/>
  <c r="CK262" i="103" s="1"/>
  <c r="F266" i="22"/>
  <c r="D265" i="58"/>
  <c r="W240" i="22"/>
  <c r="P239" i="58"/>
  <c r="H246" i="67"/>
  <c r="CP246" i="103"/>
  <c r="CR246" i="103" s="1"/>
  <c r="AA290" i="22"/>
  <c r="D298" i="67"/>
  <c r="M298" i="67"/>
  <c r="E318" i="22"/>
  <c r="H317" i="103"/>
  <c r="E317" i="103" s="1"/>
  <c r="Y246" i="22"/>
  <c r="O245" i="58"/>
  <c r="C252" i="67"/>
  <c r="AN250" i="103"/>
  <c r="CC384" i="103"/>
  <c r="AI264" i="22"/>
  <c r="I268" i="22"/>
  <c r="E267" i="58"/>
  <c r="Y267" i="58" s="1"/>
  <c r="R267" i="103"/>
  <c r="S279" i="22"/>
  <c r="K286" i="67"/>
  <c r="C244" i="22"/>
  <c r="C243" i="58"/>
  <c r="AA249" i="22"/>
  <c r="M255" i="67"/>
  <c r="D255" i="67"/>
  <c r="U247" i="22"/>
  <c r="Q246" i="58"/>
  <c r="N253" i="67"/>
  <c r="AG264" i="22"/>
  <c r="CI263" i="103"/>
  <c r="CK263" i="103" s="1"/>
  <c r="F267" i="22"/>
  <c r="D266" i="58"/>
  <c r="U270" i="22"/>
  <c r="Q269" i="58"/>
  <c r="N277" i="67"/>
  <c r="U273" i="22"/>
  <c r="Q272" i="58"/>
  <c r="N280" i="67"/>
  <c r="U276" i="22"/>
  <c r="Q275" i="58"/>
  <c r="N283" i="67"/>
  <c r="U279" i="22"/>
  <c r="Q278" i="58"/>
  <c r="N286" i="67"/>
  <c r="U282" i="22"/>
  <c r="Q281" i="58"/>
  <c r="N289" i="67"/>
  <c r="U285" i="22"/>
  <c r="Q284" i="58"/>
  <c r="N293" i="67"/>
  <c r="AH385" i="103"/>
  <c r="U294" i="22"/>
  <c r="Q293" i="58"/>
  <c r="N302" i="67"/>
  <c r="I311" i="22"/>
  <c r="R152" i="23"/>
  <c r="E310" i="58"/>
  <c r="Y310" i="58" s="1"/>
  <c r="R310" i="103"/>
  <c r="CP317" i="103"/>
  <c r="CQ317" i="103" s="1"/>
  <c r="W267" i="22"/>
  <c r="P266" i="58"/>
  <c r="H274" i="67"/>
  <c r="W270" i="22"/>
  <c r="P269" i="58"/>
  <c r="H277" i="67"/>
  <c r="W273" i="22"/>
  <c r="P272" i="58"/>
  <c r="H280" i="67"/>
  <c r="W276" i="22"/>
  <c r="P275" i="58"/>
  <c r="H283" i="67"/>
  <c r="W279" i="22"/>
  <c r="P278" i="58"/>
  <c r="H286" i="67"/>
  <c r="W282" i="22"/>
  <c r="P281" i="58"/>
  <c r="H289" i="67"/>
  <c r="W285" i="22"/>
  <c r="P284" i="58"/>
  <c r="H293" i="67"/>
  <c r="AI385" i="103"/>
  <c r="CP302" i="103"/>
  <c r="CQ302" i="103" s="1"/>
  <c r="S271" i="22"/>
  <c r="K278" i="67"/>
  <c r="K274" i="22"/>
  <c r="L274" i="22" s="1"/>
  <c r="F273" i="58"/>
  <c r="U273" i="103"/>
  <c r="Y285" i="22"/>
  <c r="O284" i="58"/>
  <c r="C293" i="67"/>
  <c r="AJ385" i="103"/>
  <c r="BM290" i="103"/>
  <c r="AM295" i="22"/>
  <c r="AA306" i="22"/>
  <c r="M314" i="67"/>
  <c r="D314" i="67"/>
  <c r="U312" i="22"/>
  <c r="Q311" i="58"/>
  <c r="N320" i="67"/>
  <c r="I323" i="22"/>
  <c r="E322" i="58"/>
  <c r="Y322" i="58" s="1"/>
  <c r="R322" i="103"/>
  <c r="I287" i="22"/>
  <c r="R128" i="23"/>
  <c r="E286" i="58"/>
  <c r="Y286" i="58" s="1"/>
  <c r="R286" i="103"/>
  <c r="I293" i="22"/>
  <c r="R134" i="23"/>
  <c r="E292" i="58"/>
  <c r="Y292" i="58" s="1"/>
  <c r="R292" i="103"/>
  <c r="U342" i="22"/>
  <c r="Q341" i="58"/>
  <c r="N351" i="67"/>
  <c r="Q287" i="22"/>
  <c r="E295" i="67"/>
  <c r="AI291" i="22"/>
  <c r="Q296" i="22"/>
  <c r="E304" i="67"/>
  <c r="Q310" i="22"/>
  <c r="E318" i="67"/>
  <c r="C325" i="22"/>
  <c r="C324" i="58"/>
  <c r="P294" i="67"/>
  <c r="BL285" i="103"/>
  <c r="CP292" i="103"/>
  <c r="CQ292" i="103" s="1"/>
  <c r="E296" i="22"/>
  <c r="H137" i="23"/>
  <c r="H295" i="103"/>
  <c r="I304" i="22"/>
  <c r="R145" i="23"/>
  <c r="E303" i="58"/>
  <c r="Y303" i="58" s="1"/>
  <c r="R303" i="103"/>
  <c r="AG279" i="22"/>
  <c r="CI278" i="103"/>
  <c r="CK278" i="103" s="1"/>
  <c r="F282" i="22"/>
  <c r="D281" i="58"/>
  <c r="AN290" i="103"/>
  <c r="S293" i="22"/>
  <c r="K301" i="67"/>
  <c r="Q298" i="22"/>
  <c r="E306" i="67"/>
  <c r="AA324" i="22"/>
  <c r="D333" i="67"/>
  <c r="M333" i="67"/>
  <c r="AI314" i="22"/>
  <c r="AI268" i="22"/>
  <c r="AI271" i="22"/>
  <c r="AI274" i="22"/>
  <c r="AI277" i="22"/>
  <c r="AI280" i="22"/>
  <c r="AI283" i="22"/>
  <c r="H286" i="22"/>
  <c r="N127" i="23"/>
  <c r="O285" i="103"/>
  <c r="H295" i="22"/>
  <c r="N136" i="23"/>
  <c r="O294" i="103"/>
  <c r="C313" i="22"/>
  <c r="C312" i="58"/>
  <c r="AK299" i="22"/>
  <c r="I326" i="22"/>
  <c r="E325" i="58"/>
  <c r="Y325" i="58" s="1"/>
  <c r="R325" i="103"/>
  <c r="Q305" i="22"/>
  <c r="E313" i="67"/>
  <c r="AI309" i="22"/>
  <c r="Q314" i="22"/>
  <c r="E322" i="67"/>
  <c r="AT386" i="103"/>
  <c r="AI321" i="22"/>
  <c r="H324" i="22"/>
  <c r="O323" i="103"/>
  <c r="Q329" i="22"/>
  <c r="E338" i="67"/>
  <c r="Q340" i="22"/>
  <c r="E349" i="67"/>
  <c r="CP301" i="103"/>
  <c r="CQ301" i="103" s="1"/>
  <c r="E305" i="22"/>
  <c r="H146" i="23"/>
  <c r="H304" i="103"/>
  <c r="P315" i="67"/>
  <c r="BL306" i="103"/>
  <c r="CP313" i="103"/>
  <c r="CR313" i="103" s="1"/>
  <c r="E317" i="22"/>
  <c r="H316" i="103"/>
  <c r="E316" i="103" s="1"/>
  <c r="S302" i="22"/>
  <c r="K310" i="67"/>
  <c r="F315" i="22"/>
  <c r="D314" i="58"/>
  <c r="S317" i="22"/>
  <c r="K326" i="67"/>
  <c r="F327" i="22"/>
  <c r="D326" i="58"/>
  <c r="S329" i="22"/>
  <c r="K338" i="67"/>
  <c r="BR386" i="103"/>
  <c r="U305" i="22"/>
  <c r="Q304" i="58"/>
  <c r="N313" i="67"/>
  <c r="U314" i="22"/>
  <c r="Q313" i="58"/>
  <c r="N322" i="67"/>
  <c r="AI316" i="22"/>
  <c r="BS386" i="103"/>
  <c r="H319" i="22"/>
  <c r="O318" i="103"/>
  <c r="Q324" i="22"/>
  <c r="E333" i="67"/>
  <c r="H353" i="22"/>
  <c r="S300" i="22"/>
  <c r="K308" i="67"/>
  <c r="F313" i="22"/>
  <c r="D312" i="58"/>
  <c r="K315" i="22"/>
  <c r="L315" i="22" s="1"/>
  <c r="F314" i="58"/>
  <c r="U314" i="103"/>
  <c r="Y317" i="22"/>
  <c r="O316" i="58"/>
  <c r="C326" i="67"/>
  <c r="Y329" i="22"/>
  <c r="O328" i="58"/>
  <c r="C338" i="67"/>
  <c r="C318" i="22"/>
  <c r="C317" i="58"/>
  <c r="I322" i="22"/>
  <c r="E321" i="58"/>
  <c r="Y321" i="58" s="1"/>
  <c r="R321" i="103"/>
  <c r="C327" i="22"/>
  <c r="C326" i="58"/>
  <c r="Q331" i="22"/>
  <c r="E340" i="67"/>
  <c r="AI359" i="22"/>
  <c r="H320" i="22"/>
  <c r="O319" i="103"/>
  <c r="Q325" i="22"/>
  <c r="E334" i="67"/>
  <c r="W333" i="22"/>
  <c r="P332" i="58"/>
  <c r="H342" i="67"/>
  <c r="W297" i="22"/>
  <c r="P296" i="58"/>
  <c r="H305" i="67"/>
  <c r="W309" i="22"/>
  <c r="P308" i="58"/>
  <c r="H317" i="67"/>
  <c r="S386" i="103"/>
  <c r="W324" i="22"/>
  <c r="P323" i="58"/>
  <c r="H333" i="67"/>
  <c r="F308" i="22"/>
  <c r="I149" i="23"/>
  <c r="D307" i="58"/>
  <c r="K310" i="22"/>
  <c r="L310" i="22" s="1"/>
  <c r="U151" i="23"/>
  <c r="F309" i="58"/>
  <c r="U309" i="103"/>
  <c r="Y312" i="22"/>
  <c r="O311" i="58"/>
  <c r="C320" i="67"/>
  <c r="Y321" i="22"/>
  <c r="O320" i="58"/>
  <c r="C330" i="67"/>
  <c r="E341" i="22"/>
  <c r="H340" i="103"/>
  <c r="E340" i="103" s="1"/>
  <c r="K341" i="22"/>
  <c r="L341" i="22" s="1"/>
  <c r="F340" i="58"/>
  <c r="U340" i="103"/>
  <c r="CI347" i="103"/>
  <c r="CK347" i="103" s="1"/>
  <c r="CI356" i="103"/>
  <c r="CK356" i="103" s="1"/>
  <c r="CI365" i="103"/>
  <c r="CL365" i="103" s="1"/>
  <c r="I354" i="22"/>
  <c r="E353" i="58"/>
  <c r="Y353" i="58" s="1"/>
  <c r="R353" i="103"/>
  <c r="C365" i="22"/>
  <c r="C364" i="58"/>
  <c r="AA367" i="22"/>
  <c r="M377" i="67"/>
  <c r="D377" i="67"/>
  <c r="U371" i="22"/>
  <c r="Q370" i="58"/>
  <c r="N381" i="67"/>
  <c r="S17" i="68" s="1"/>
  <c r="U335" i="22"/>
  <c r="Q334" i="58"/>
  <c r="N344" i="67"/>
  <c r="H355" i="22"/>
  <c r="H367" i="22"/>
  <c r="CP335" i="103"/>
  <c r="W347" i="22"/>
  <c r="P346" i="58"/>
  <c r="H357" i="67"/>
  <c r="CP350" i="103"/>
  <c r="W359" i="22"/>
  <c r="P358" i="58"/>
  <c r="H369" i="67"/>
  <c r="CP362" i="103"/>
  <c r="Y371" i="22"/>
  <c r="O370" i="58"/>
  <c r="C381" i="67"/>
  <c r="S7" i="68" s="1"/>
  <c r="F340" i="22"/>
  <c r="D339" i="58"/>
  <c r="S342" i="22"/>
  <c r="K351" i="67"/>
  <c r="C336" i="22"/>
  <c r="C335" i="58"/>
  <c r="I340" i="22"/>
  <c r="E339" i="58"/>
  <c r="Y339" i="58" s="1"/>
  <c r="R339" i="103"/>
  <c r="C345" i="22"/>
  <c r="C344" i="58"/>
  <c r="AA347" i="22"/>
  <c r="M357" i="67"/>
  <c r="D357" i="67"/>
  <c r="BD354" i="103"/>
  <c r="I370" i="22"/>
  <c r="E369" i="58"/>
  <c r="Y369" i="58" s="1"/>
  <c r="R369" i="103"/>
  <c r="U366" i="22"/>
  <c r="Q365" i="58"/>
  <c r="N376" i="67"/>
  <c r="AI368" i="22"/>
  <c r="CP336" i="103"/>
  <c r="CQ336" i="103" s="1"/>
  <c r="W348" i="22"/>
  <c r="P347" i="58"/>
  <c r="H358" i="67"/>
  <c r="CP351" i="103"/>
  <c r="W360" i="22"/>
  <c r="P359" i="58"/>
  <c r="H370" i="67"/>
  <c r="CP363" i="103"/>
  <c r="F338" i="22"/>
  <c r="D337" i="58"/>
  <c r="S340" i="22"/>
  <c r="K349" i="67"/>
  <c r="K352" i="22"/>
  <c r="L352" i="22" s="1"/>
  <c r="F351" i="58"/>
  <c r="U351" i="103"/>
  <c r="Y354" i="22"/>
  <c r="O353" i="58"/>
  <c r="C364" i="67"/>
  <c r="K361" i="22"/>
  <c r="L361" i="22" s="1"/>
  <c r="F360" i="58"/>
  <c r="U360" i="103"/>
  <c r="Y363" i="22"/>
  <c r="O362" i="58"/>
  <c r="C373" i="67"/>
  <c r="K370" i="22"/>
  <c r="L370" i="22" s="1"/>
  <c r="F369" i="58"/>
  <c r="U369" i="103"/>
  <c r="BD346" i="103"/>
  <c r="I362" i="22"/>
  <c r="E361" i="58"/>
  <c r="Y361" i="58" s="1"/>
  <c r="R361" i="103"/>
  <c r="AI339" i="22"/>
  <c r="H342" i="22"/>
  <c r="O341" i="103"/>
  <c r="Q347" i="22"/>
  <c r="E357" i="67"/>
  <c r="Q359" i="22"/>
  <c r="E369" i="67"/>
  <c r="AA372" i="22"/>
  <c r="M382" i="67"/>
  <c r="U16" i="68" s="1"/>
  <c r="D382" i="67"/>
  <c r="BD371" i="103"/>
  <c r="I373" i="22"/>
  <c r="E372" i="58"/>
  <c r="Y372" i="58" s="1"/>
  <c r="R372" i="103"/>
  <c r="Y56" i="22"/>
  <c r="O55" i="58"/>
  <c r="C56" i="67"/>
  <c r="K54" i="22"/>
  <c r="L54" i="22" s="1"/>
  <c r="F53" i="58"/>
  <c r="U53" i="103"/>
  <c r="CP50" i="103"/>
  <c r="AM48" i="103"/>
  <c r="C47" i="22"/>
  <c r="C46" i="58"/>
  <c r="BD41" i="103"/>
  <c r="AA40" i="22"/>
  <c r="D39" i="67"/>
  <c r="H30" i="22"/>
  <c r="O29" i="103"/>
  <c r="BD19" i="103"/>
  <c r="AA18" i="22"/>
  <c r="D17" i="67"/>
  <c r="U53" i="22"/>
  <c r="Q52" i="58"/>
  <c r="N53" i="67"/>
  <c r="I48" i="22"/>
  <c r="E47" i="58"/>
  <c r="Y47" i="58" s="1"/>
  <c r="R47" i="103"/>
  <c r="Q43" i="67"/>
  <c r="BQ377" i="103"/>
  <c r="AG39" i="22"/>
  <c r="CI38" i="103"/>
  <c r="CK38" i="103" s="1"/>
  <c r="BD31" i="103"/>
  <c r="AA30" i="22"/>
  <c r="D29" i="67"/>
  <c r="Y18" i="22"/>
  <c r="O17" i="58"/>
  <c r="C17" i="67"/>
  <c r="K16" i="22"/>
  <c r="L16" i="22" s="1"/>
  <c r="F15" i="58"/>
  <c r="U15" i="103"/>
  <c r="I51" i="22"/>
  <c r="E50" i="58"/>
  <c r="Y50" i="58" s="1"/>
  <c r="R50" i="103"/>
  <c r="AA49" i="22"/>
  <c r="M49" i="67"/>
  <c r="D49" i="67"/>
  <c r="K47" i="22"/>
  <c r="L47" i="22" s="1"/>
  <c r="F46" i="58"/>
  <c r="U46" i="103"/>
  <c r="CP43" i="103"/>
  <c r="CQ43" i="103" s="1"/>
  <c r="W40" i="22"/>
  <c r="P39" i="58"/>
  <c r="H39" i="67"/>
  <c r="BG376" i="103"/>
  <c r="Y52" i="22"/>
  <c r="O51" i="58"/>
  <c r="C52" i="67"/>
  <c r="K50" i="22"/>
  <c r="L50" i="22" s="1"/>
  <c r="F49" i="58"/>
  <c r="U49" i="103"/>
  <c r="AI42" i="22"/>
  <c r="U40" i="22"/>
  <c r="Q39" i="58"/>
  <c r="N39" i="67"/>
  <c r="AI20" i="22"/>
  <c r="U18" i="22"/>
  <c r="Q17" i="58"/>
  <c r="N17" i="67"/>
  <c r="AP376" i="103"/>
  <c r="CP52" i="103"/>
  <c r="W49" i="22"/>
  <c r="P48" i="58"/>
  <c r="H49" i="67"/>
  <c r="AO377" i="103"/>
  <c r="BD43" i="103"/>
  <c r="AA42" i="22"/>
  <c r="D41" i="67"/>
  <c r="M41" i="67"/>
  <c r="M42" i="67" s="1"/>
  <c r="AI35" i="22"/>
  <c r="U33" i="22"/>
  <c r="Q32" i="58"/>
  <c r="N32" i="67"/>
  <c r="AI23" i="22"/>
  <c r="U21" i="22"/>
  <c r="Q20" i="58"/>
  <c r="N20" i="67"/>
  <c r="I16" i="22"/>
  <c r="E15" i="58"/>
  <c r="Y15" i="58" s="1"/>
  <c r="R15" i="103"/>
  <c r="I47" i="22"/>
  <c r="E46" i="58"/>
  <c r="Y46" i="58" s="1"/>
  <c r="R46" i="103"/>
  <c r="Y42" i="22"/>
  <c r="O41" i="58"/>
  <c r="C41" i="67"/>
  <c r="K40" i="22"/>
  <c r="L40" i="22" s="1"/>
  <c r="F39" i="58"/>
  <c r="U39" i="103"/>
  <c r="AA35" i="22"/>
  <c r="D34" i="67"/>
  <c r="BD24" i="103"/>
  <c r="AA23" i="22"/>
  <c r="D22" i="67"/>
  <c r="Q56" i="22"/>
  <c r="E56" i="67"/>
  <c r="I37" i="22"/>
  <c r="E36" i="58"/>
  <c r="Y36" i="58" s="1"/>
  <c r="R36" i="103"/>
  <c r="S30" i="22"/>
  <c r="K29" i="67"/>
  <c r="F28" i="22"/>
  <c r="D27" i="58"/>
  <c r="S21" i="22"/>
  <c r="K20" i="67"/>
  <c r="BC17" i="103"/>
  <c r="AM15" i="103"/>
  <c r="W14" i="22"/>
  <c r="P13" i="58"/>
  <c r="H13" i="67"/>
  <c r="BD55" i="103"/>
  <c r="S52" i="22"/>
  <c r="K52" i="67"/>
  <c r="F50" i="22"/>
  <c r="D49" i="58"/>
  <c r="U45" i="22"/>
  <c r="Q44" i="58"/>
  <c r="N45" i="67"/>
  <c r="Q40" i="22"/>
  <c r="E39" i="67"/>
  <c r="H19" i="22"/>
  <c r="O18" i="103"/>
  <c r="T382" i="58"/>
  <c r="T395" i="58"/>
  <c r="X192" i="58"/>
  <c r="X382" i="58" s="1"/>
  <c r="J15" i="17"/>
  <c r="V15" i="17"/>
  <c r="U48" i="22"/>
  <c r="Q47" i="58"/>
  <c r="N48" i="67"/>
  <c r="I43" i="22"/>
  <c r="E42" i="58"/>
  <c r="Q377" i="103"/>
  <c r="R42" i="103"/>
  <c r="H31" i="22"/>
  <c r="O30" i="103"/>
  <c r="C17" i="22"/>
  <c r="C16" i="58"/>
  <c r="E26" i="22"/>
  <c r="H25" i="103"/>
  <c r="E25" i="103" s="1"/>
  <c r="S45" i="22"/>
  <c r="K45" i="67"/>
  <c r="F43" i="22"/>
  <c r="D42" i="58"/>
  <c r="P377" i="103"/>
  <c r="AA31" i="22"/>
  <c r="D30" i="67"/>
  <c r="AG12" i="22"/>
  <c r="CI11" i="103"/>
  <c r="CL11" i="103" s="1"/>
  <c r="Y63" i="22"/>
  <c r="O62" i="58"/>
  <c r="C63" i="67"/>
  <c r="CP41" i="103"/>
  <c r="CR41" i="103" s="1"/>
  <c r="U38" i="22"/>
  <c r="Q37" i="58"/>
  <c r="N37" i="67"/>
  <c r="Y31" i="22"/>
  <c r="O30" i="58"/>
  <c r="C30" i="67"/>
  <c r="K29" i="22"/>
  <c r="L29" i="22" s="1"/>
  <c r="F28" i="58"/>
  <c r="U28" i="103"/>
  <c r="Y22" i="22"/>
  <c r="O21" i="58"/>
  <c r="C21" i="67"/>
  <c r="H69" i="22"/>
  <c r="O68" i="103"/>
  <c r="H81" i="22"/>
  <c r="O80" i="103"/>
  <c r="W91" i="22"/>
  <c r="P90" i="58"/>
  <c r="H92" i="67"/>
  <c r="BD58" i="103"/>
  <c r="C64" i="22"/>
  <c r="C63" i="58"/>
  <c r="CP67" i="103"/>
  <c r="S378" i="103"/>
  <c r="W76" i="22"/>
  <c r="P75" i="58"/>
  <c r="H77" i="67"/>
  <c r="CP79" i="103"/>
  <c r="K92" i="22"/>
  <c r="L92" i="22" s="1"/>
  <c r="F91" i="58"/>
  <c r="AG104" i="22"/>
  <c r="CI103" i="103"/>
  <c r="CK103" i="103" s="1"/>
  <c r="AG75" i="22"/>
  <c r="CI74" i="103"/>
  <c r="CK74" i="103" s="1"/>
  <c r="AG84" i="22"/>
  <c r="CI83" i="103"/>
  <c r="CK83" i="103" s="1"/>
  <c r="C89" i="22"/>
  <c r="C88" i="58"/>
  <c r="AG378" i="103"/>
  <c r="U89" i="22"/>
  <c r="Q88" i="58"/>
  <c r="N90" i="67"/>
  <c r="AI91" i="22"/>
  <c r="K59" i="22"/>
  <c r="L59" i="22" s="1"/>
  <c r="F58" i="58"/>
  <c r="U58" i="103"/>
  <c r="Y61" i="22"/>
  <c r="O60" i="58"/>
  <c r="C61" i="67"/>
  <c r="V378" i="103"/>
  <c r="Q78" i="22"/>
  <c r="E79" i="67"/>
  <c r="E90" i="22"/>
  <c r="H89" i="103"/>
  <c r="I57" i="22"/>
  <c r="E56" i="58"/>
  <c r="Y56" i="58" s="1"/>
  <c r="R56" i="103"/>
  <c r="AA64" i="22"/>
  <c r="D64" i="67"/>
  <c r="M64" i="67"/>
  <c r="Q66" i="22"/>
  <c r="E66" i="67"/>
  <c r="BG378" i="103"/>
  <c r="F88" i="22"/>
  <c r="D87" i="58"/>
  <c r="S90" i="22"/>
  <c r="K91" i="67"/>
  <c r="AI58" i="22"/>
  <c r="F70" i="22"/>
  <c r="D69" i="58"/>
  <c r="S72" i="22"/>
  <c r="K73" i="67"/>
  <c r="F79" i="22"/>
  <c r="D78" i="58"/>
  <c r="S81" i="22"/>
  <c r="K82" i="67"/>
  <c r="W62" i="22"/>
  <c r="P61" i="58"/>
  <c r="H62" i="67"/>
  <c r="CD378" i="103"/>
  <c r="AA74" i="22"/>
  <c r="M75" i="67"/>
  <c r="D75" i="67"/>
  <c r="I76" i="22"/>
  <c r="E75" i="58"/>
  <c r="Y75" i="58" s="1"/>
  <c r="R75" i="103"/>
  <c r="AA83" i="22"/>
  <c r="M84" i="67"/>
  <c r="D84" i="67"/>
  <c r="I85" i="22"/>
  <c r="E84" i="58"/>
  <c r="Y84" i="58" s="1"/>
  <c r="R84" i="103"/>
  <c r="K63" i="22"/>
  <c r="L63" i="22" s="1"/>
  <c r="F62" i="58"/>
  <c r="U62" i="103"/>
  <c r="Y65" i="22"/>
  <c r="O64" i="58"/>
  <c r="C65" i="67"/>
  <c r="U72" i="22"/>
  <c r="Q71" i="58"/>
  <c r="N73" i="67"/>
  <c r="AI74" i="22"/>
  <c r="U84" i="22"/>
  <c r="Q83" i="58"/>
  <c r="N85" i="67"/>
  <c r="AI86" i="22"/>
  <c r="I58" i="22"/>
  <c r="E57" i="58"/>
  <c r="Y57" i="58" s="1"/>
  <c r="R57" i="103"/>
  <c r="AA65" i="22"/>
  <c r="D65" i="67"/>
  <c r="M65" i="67"/>
  <c r="W72" i="22"/>
  <c r="P71" i="58"/>
  <c r="H73" i="67"/>
  <c r="AM73" i="103"/>
  <c r="CP75" i="103"/>
  <c r="W84" i="22"/>
  <c r="P83" i="58"/>
  <c r="H85" i="67"/>
  <c r="AM85" i="103"/>
  <c r="K91" i="22"/>
  <c r="L91" i="22" s="1"/>
  <c r="F90" i="58"/>
  <c r="H65" i="22"/>
  <c r="O64" i="103"/>
  <c r="AA90" i="22"/>
  <c r="M91" i="67"/>
  <c r="D91" i="67"/>
  <c r="I92" i="22"/>
  <c r="E91" i="58"/>
  <c r="Y91" i="58" s="1"/>
  <c r="R91" i="103"/>
  <c r="Y66" i="22"/>
  <c r="O65" i="58"/>
  <c r="C66" i="67"/>
  <c r="BD67" i="103"/>
  <c r="C73" i="22"/>
  <c r="C72" i="58"/>
  <c r="BD76" i="103"/>
  <c r="C82" i="22"/>
  <c r="C81" i="58"/>
  <c r="BD85" i="103"/>
  <c r="CP99" i="103"/>
  <c r="Q110" i="22"/>
  <c r="E112" i="67"/>
  <c r="Q122" i="22"/>
  <c r="E124" i="67"/>
  <c r="I104" i="22"/>
  <c r="E103" i="58"/>
  <c r="Y103" i="58" s="1"/>
  <c r="R103" i="103"/>
  <c r="U137" i="22"/>
  <c r="Q136" i="58"/>
  <c r="N140" i="67"/>
  <c r="AM107" i="103"/>
  <c r="F111" i="22"/>
  <c r="D110" i="58"/>
  <c r="S113" i="22"/>
  <c r="K115" i="67"/>
  <c r="F120" i="22"/>
  <c r="D119" i="58"/>
  <c r="S122" i="22"/>
  <c r="K124" i="67"/>
  <c r="H93" i="22"/>
  <c r="O92" i="103"/>
  <c r="CE379" i="103"/>
  <c r="C119" i="22"/>
  <c r="C118" i="58"/>
  <c r="Y103" i="22"/>
  <c r="O102" i="58"/>
  <c r="C105" i="67"/>
  <c r="Q120" i="22"/>
  <c r="E122" i="67"/>
  <c r="AI139" i="22"/>
  <c r="K95" i="22"/>
  <c r="L95" i="22" s="1"/>
  <c r="F94" i="58"/>
  <c r="Y97" i="22"/>
  <c r="O96" i="58"/>
  <c r="C98" i="67"/>
  <c r="Q129" i="22"/>
  <c r="E131" i="67"/>
  <c r="C95" i="22"/>
  <c r="C94" i="58"/>
  <c r="U104" i="22"/>
  <c r="Q103" i="58"/>
  <c r="N106" i="67"/>
  <c r="AI106" i="22"/>
  <c r="CC380" i="103"/>
  <c r="U101" i="22"/>
  <c r="Q100" i="58"/>
  <c r="N102" i="67"/>
  <c r="I118" i="22"/>
  <c r="E117" i="58"/>
  <c r="Y117" i="58" s="1"/>
  <c r="R117" i="103"/>
  <c r="W101" i="22"/>
  <c r="P100" i="58"/>
  <c r="H102" i="67"/>
  <c r="F103" i="22"/>
  <c r="D102" i="58"/>
  <c r="S105" i="22"/>
  <c r="K107" i="67"/>
  <c r="Q112" i="22"/>
  <c r="E114" i="67"/>
  <c r="Q124" i="22"/>
  <c r="E126" i="67"/>
  <c r="K96" i="22"/>
  <c r="L96" i="22" s="1"/>
  <c r="F95" i="58"/>
  <c r="Y98" i="22"/>
  <c r="O97" i="58"/>
  <c r="C99" i="67"/>
  <c r="AM102" i="22"/>
  <c r="BY379" i="103"/>
  <c r="C108" i="22"/>
  <c r="C107" i="58"/>
  <c r="E115" i="22"/>
  <c r="H114" i="103"/>
  <c r="E127" i="22"/>
  <c r="H126" i="103"/>
  <c r="AA98" i="22"/>
  <c r="M99" i="67"/>
  <c r="D99" i="67"/>
  <c r="I100" i="22"/>
  <c r="E99" i="58"/>
  <c r="Y99" i="58" s="1"/>
  <c r="R99" i="103"/>
  <c r="BE379" i="103"/>
  <c r="H107" i="22"/>
  <c r="O106" i="103"/>
  <c r="AN124" i="103"/>
  <c r="U93" i="22"/>
  <c r="Q92" i="58"/>
  <c r="N94" i="67"/>
  <c r="AI95" i="22"/>
  <c r="I110" i="22"/>
  <c r="E109" i="58"/>
  <c r="Y109" i="58" s="1"/>
  <c r="R109" i="103"/>
  <c r="I122" i="22"/>
  <c r="E121" i="58"/>
  <c r="Y121" i="58" s="1"/>
  <c r="R121" i="103"/>
  <c r="U132" i="22"/>
  <c r="Q131" i="58"/>
  <c r="N135" i="67"/>
  <c r="AH380" i="103"/>
  <c r="U141" i="22"/>
  <c r="Q140" i="58"/>
  <c r="N144" i="67"/>
  <c r="U150" i="22"/>
  <c r="Q149" i="58"/>
  <c r="N153" i="67"/>
  <c r="U159" i="22"/>
  <c r="Q158" i="58"/>
  <c r="N162" i="67"/>
  <c r="CP132" i="103"/>
  <c r="E136" i="22"/>
  <c r="H135" i="103"/>
  <c r="CP141" i="103"/>
  <c r="CQ141" i="103" s="1"/>
  <c r="E145" i="22"/>
  <c r="H144" i="103"/>
  <c r="CP150" i="103"/>
  <c r="E154" i="22"/>
  <c r="H153" i="103"/>
  <c r="CP159" i="103"/>
  <c r="E163" i="22"/>
  <c r="G381" i="103"/>
  <c r="H162" i="103"/>
  <c r="S139" i="22"/>
  <c r="K142" i="67"/>
  <c r="S145" i="22"/>
  <c r="K148" i="67"/>
  <c r="S151" i="22"/>
  <c r="K154" i="67"/>
  <c r="S157" i="22"/>
  <c r="K160" i="67"/>
  <c r="S163" i="22"/>
  <c r="K167" i="67"/>
  <c r="AF381" i="103"/>
  <c r="AA138" i="22"/>
  <c r="M141" i="67"/>
  <c r="D141" i="67"/>
  <c r="BD145" i="103"/>
  <c r="C157" i="22"/>
  <c r="C156" i="58"/>
  <c r="I161" i="22"/>
  <c r="E160" i="58"/>
  <c r="Y160" i="58" s="1"/>
  <c r="R160" i="103"/>
  <c r="AS381" i="103"/>
  <c r="H138" i="22"/>
  <c r="O137" i="103"/>
  <c r="H147" i="22"/>
  <c r="O146" i="103"/>
  <c r="H156" i="22"/>
  <c r="O155" i="103"/>
  <c r="W136" i="22"/>
  <c r="P135" i="58"/>
  <c r="H139" i="67"/>
  <c r="W145" i="22"/>
  <c r="P144" i="58"/>
  <c r="H148" i="67"/>
  <c r="W154" i="22"/>
  <c r="P153" i="58"/>
  <c r="H157" i="67"/>
  <c r="W163" i="22"/>
  <c r="P162" i="58"/>
  <c r="H167" i="67"/>
  <c r="AI381" i="103"/>
  <c r="C131" i="22"/>
  <c r="C130" i="58"/>
  <c r="I135" i="22"/>
  <c r="E134" i="58"/>
  <c r="Y134" i="58" s="1"/>
  <c r="R134" i="103"/>
  <c r="AA148" i="22"/>
  <c r="M151" i="67"/>
  <c r="D151" i="67"/>
  <c r="AX381" i="103"/>
  <c r="AM141" i="103"/>
  <c r="AM159" i="103"/>
  <c r="AI170" i="22"/>
  <c r="AN129" i="103"/>
  <c r="AR380" i="103"/>
  <c r="BD129" i="103"/>
  <c r="BZ380" i="103"/>
  <c r="C135" i="22"/>
  <c r="C134" i="58"/>
  <c r="I139" i="22"/>
  <c r="E138" i="58"/>
  <c r="Y138" i="58" s="1"/>
  <c r="R138" i="103"/>
  <c r="AA152" i="22"/>
  <c r="D155" i="67"/>
  <c r="M155" i="67"/>
  <c r="BD159" i="103"/>
  <c r="I171" i="22"/>
  <c r="E170" i="58"/>
  <c r="Y170" i="58" s="1"/>
  <c r="R170" i="103"/>
  <c r="I183" i="22"/>
  <c r="E182" i="58"/>
  <c r="Y182" i="58" s="1"/>
  <c r="R182" i="103"/>
  <c r="I195" i="22"/>
  <c r="E194" i="58"/>
  <c r="Y194" i="58" s="1"/>
  <c r="R194" i="103"/>
  <c r="AI166" i="22"/>
  <c r="Q171" i="22"/>
  <c r="E175" i="67"/>
  <c r="AI175" i="22"/>
  <c r="Q180" i="22"/>
  <c r="E184" i="67"/>
  <c r="AI184" i="22"/>
  <c r="Q189" i="22"/>
  <c r="E193" i="67"/>
  <c r="CE382" i="103"/>
  <c r="W167" i="22"/>
  <c r="P166" i="58"/>
  <c r="H171" i="67"/>
  <c r="W176" i="22"/>
  <c r="P175" i="58"/>
  <c r="H180" i="67"/>
  <c r="W185" i="22"/>
  <c r="P184" i="58"/>
  <c r="H189" i="67"/>
  <c r="W194" i="22"/>
  <c r="P193" i="58"/>
  <c r="H199" i="67"/>
  <c r="F199" i="22"/>
  <c r="D198" i="58"/>
  <c r="AG166" i="22"/>
  <c r="CI165" i="103"/>
  <c r="CK165" i="103" s="1"/>
  <c r="S168" i="22"/>
  <c r="K172" i="67"/>
  <c r="F181" i="22"/>
  <c r="D180" i="58"/>
  <c r="K183" i="22"/>
  <c r="L183" i="22" s="1"/>
  <c r="F182" i="58"/>
  <c r="U182" i="103"/>
  <c r="Y185" i="22"/>
  <c r="O184" i="58"/>
  <c r="C189" i="67"/>
  <c r="BU382" i="103"/>
  <c r="AN195" i="103"/>
  <c r="AA173" i="22"/>
  <c r="D177" i="67"/>
  <c r="M177" i="67"/>
  <c r="BD174" i="103"/>
  <c r="AA185" i="22"/>
  <c r="D189" i="67"/>
  <c r="M189" i="67"/>
  <c r="C195" i="22"/>
  <c r="C194" i="58"/>
  <c r="AI173" i="22"/>
  <c r="Q178" i="22"/>
  <c r="E182" i="67"/>
  <c r="AI182" i="22"/>
  <c r="Q187" i="22"/>
  <c r="E191" i="67"/>
  <c r="AI191" i="22"/>
  <c r="H194" i="22"/>
  <c r="O193" i="103"/>
  <c r="W165" i="22"/>
  <c r="P164" i="58"/>
  <c r="H169" i="67"/>
  <c r="W174" i="22"/>
  <c r="P173" i="58"/>
  <c r="H178" i="67"/>
  <c r="W183" i="22"/>
  <c r="P182" i="58"/>
  <c r="H187" i="67"/>
  <c r="W192" i="22"/>
  <c r="P191" i="58"/>
  <c r="H196" i="67"/>
  <c r="CP195" i="103"/>
  <c r="CQ195" i="103" s="1"/>
  <c r="S199" i="22"/>
  <c r="K204" i="67"/>
  <c r="S169" i="22"/>
  <c r="K173" i="67"/>
  <c r="F182" i="22"/>
  <c r="D181" i="58"/>
  <c r="K184" i="22"/>
  <c r="L184" i="22" s="1"/>
  <c r="F183" i="58"/>
  <c r="U183" i="103"/>
  <c r="Y186" i="22"/>
  <c r="O185" i="58"/>
  <c r="C190" i="67"/>
  <c r="AA165" i="22"/>
  <c r="M169" i="67"/>
  <c r="D169" i="67"/>
  <c r="AA177" i="22"/>
  <c r="M181" i="67"/>
  <c r="D181" i="67"/>
  <c r="BD178" i="103"/>
  <c r="AA189" i="22"/>
  <c r="M193" i="67"/>
  <c r="D193" i="67"/>
  <c r="BZ382" i="103"/>
  <c r="U199" i="22"/>
  <c r="Q198" i="58"/>
  <c r="N204" i="67"/>
  <c r="CP193" i="103"/>
  <c r="CQ193" i="103" s="1"/>
  <c r="S167" i="22"/>
  <c r="K171" i="67"/>
  <c r="F180" i="22"/>
  <c r="D179" i="58"/>
  <c r="K182" i="22"/>
  <c r="L182" i="22" s="1"/>
  <c r="F181" i="58"/>
  <c r="U181" i="103"/>
  <c r="Y184" i="22"/>
  <c r="O183" i="58"/>
  <c r="C188" i="67"/>
  <c r="E204" i="22"/>
  <c r="H203" i="103"/>
  <c r="E216" i="22"/>
  <c r="H215" i="103"/>
  <c r="CP224" i="103"/>
  <c r="CR224" i="103" s="1"/>
  <c r="K207" i="22"/>
  <c r="L207" i="22" s="1"/>
  <c r="F206" i="58"/>
  <c r="U206" i="103"/>
  <c r="K219" i="22"/>
  <c r="L219" i="22" s="1"/>
  <c r="F218" i="58"/>
  <c r="U218" i="103"/>
  <c r="C242" i="22"/>
  <c r="C241" i="58"/>
  <c r="I214" i="22"/>
  <c r="E213" i="58"/>
  <c r="Y213" i="58" s="1"/>
  <c r="R213" i="103"/>
  <c r="CD383" i="103"/>
  <c r="CP231" i="103"/>
  <c r="CR231" i="103" s="1"/>
  <c r="U207" i="22"/>
  <c r="Q206" i="58"/>
  <c r="N212" i="67"/>
  <c r="U225" i="22"/>
  <c r="Q224" i="58"/>
  <c r="N231" i="67"/>
  <c r="F230" i="22"/>
  <c r="D229" i="58"/>
  <c r="S232" i="22"/>
  <c r="K238" i="67"/>
  <c r="AA235" i="22"/>
  <c r="D241" i="67"/>
  <c r="M241" i="67"/>
  <c r="C245" i="22"/>
  <c r="C244" i="58"/>
  <c r="AA231" i="22"/>
  <c r="M237" i="67"/>
  <c r="D237" i="67"/>
  <c r="F200" i="22"/>
  <c r="D199" i="58"/>
  <c r="S202" i="22"/>
  <c r="K207" i="67"/>
  <c r="F212" i="22"/>
  <c r="D211" i="58"/>
  <c r="S214" i="22"/>
  <c r="K219" i="67"/>
  <c r="F224" i="22"/>
  <c r="D223" i="58"/>
  <c r="P383" i="103"/>
  <c r="S226" i="22"/>
  <c r="K232" i="67"/>
  <c r="U229" i="22"/>
  <c r="Q228" i="58"/>
  <c r="N235" i="67"/>
  <c r="I218" i="22"/>
  <c r="E217" i="58"/>
  <c r="Y217" i="58" s="1"/>
  <c r="R217" i="103"/>
  <c r="CP232" i="103"/>
  <c r="CQ232" i="103" s="1"/>
  <c r="U208" i="22"/>
  <c r="Q207" i="58"/>
  <c r="N213" i="67"/>
  <c r="U226" i="22"/>
  <c r="Q225" i="58"/>
  <c r="N232" i="67"/>
  <c r="K233" i="22"/>
  <c r="L233" i="22" s="1"/>
  <c r="F232" i="58"/>
  <c r="U232" i="103"/>
  <c r="AA229" i="22"/>
  <c r="D235" i="67"/>
  <c r="M235" i="67"/>
  <c r="Y211" i="22"/>
  <c r="O210" i="58"/>
  <c r="C216" i="67"/>
  <c r="Y223" i="22"/>
  <c r="O222" i="58"/>
  <c r="C228" i="67"/>
  <c r="I207" i="22"/>
  <c r="E206" i="58"/>
  <c r="Y206" i="58" s="1"/>
  <c r="R206" i="103"/>
  <c r="I225" i="22"/>
  <c r="E224" i="58"/>
  <c r="Y224" i="58" s="1"/>
  <c r="R224" i="103"/>
  <c r="E228" i="22"/>
  <c r="H227" i="103"/>
  <c r="U200" i="22"/>
  <c r="Q199" i="58"/>
  <c r="N205" i="67"/>
  <c r="U218" i="22"/>
  <c r="Q217" i="58"/>
  <c r="N223" i="67"/>
  <c r="K231" i="22"/>
  <c r="L231" i="22" s="1"/>
  <c r="F230" i="58"/>
  <c r="U230" i="103"/>
  <c r="C239" i="22"/>
  <c r="C238" i="58"/>
  <c r="W241" i="22"/>
  <c r="P240" i="58"/>
  <c r="H247" i="67"/>
  <c r="CP247" i="103"/>
  <c r="CQ247" i="103" s="1"/>
  <c r="Q267" i="22"/>
  <c r="E274" i="67"/>
  <c r="K251" i="22"/>
  <c r="L251" i="22" s="1"/>
  <c r="F250" i="58"/>
  <c r="U250" i="103"/>
  <c r="AI262" i="22"/>
  <c r="AI265" i="22"/>
  <c r="BZ385" i="103"/>
  <c r="K294" i="22"/>
  <c r="L294" i="22" s="1"/>
  <c r="U135" i="23"/>
  <c r="F293" i="58"/>
  <c r="U293" i="103"/>
  <c r="AA281" i="22"/>
  <c r="D288" i="67"/>
  <c r="M288" i="67"/>
  <c r="F295" i="22"/>
  <c r="I136" i="23"/>
  <c r="D294" i="58"/>
  <c r="U242" i="22"/>
  <c r="Q241" i="58"/>
  <c r="N248" i="67"/>
  <c r="E261" i="22"/>
  <c r="H260" i="103"/>
  <c r="Y266" i="22"/>
  <c r="O265" i="58"/>
  <c r="C273" i="67"/>
  <c r="E252" i="22"/>
  <c r="H251" i="103"/>
  <c r="Y260" i="22"/>
  <c r="O259" i="58"/>
  <c r="C267" i="67"/>
  <c r="I308" i="22"/>
  <c r="R149" i="23"/>
  <c r="E307" i="58"/>
  <c r="Y307" i="58" s="1"/>
  <c r="R307" i="103"/>
  <c r="Y245" i="22"/>
  <c r="O244" i="58"/>
  <c r="C251" i="67"/>
  <c r="AN249" i="103"/>
  <c r="AI263" i="22"/>
  <c r="AI266" i="22"/>
  <c r="AI311" i="22"/>
  <c r="I238" i="22"/>
  <c r="E237" i="58"/>
  <c r="Y237" i="58" s="1"/>
  <c r="R237" i="103"/>
  <c r="CM258" i="103"/>
  <c r="CO258" i="103" s="1"/>
  <c r="AM288" i="22"/>
  <c r="AI236" i="22"/>
  <c r="H239" i="22"/>
  <c r="O238" i="103"/>
  <c r="Q244" i="22"/>
  <c r="E250" i="67"/>
  <c r="AI254" i="22"/>
  <c r="AI257" i="22"/>
  <c r="AG266" i="22"/>
  <c r="CI265" i="103"/>
  <c r="CK265" i="103" s="1"/>
  <c r="I298" i="22"/>
  <c r="R139" i="23"/>
  <c r="E297" i="58"/>
  <c r="Y297" i="58" s="1"/>
  <c r="R297" i="103"/>
  <c r="E235" i="22"/>
  <c r="H234" i="103"/>
  <c r="E253" i="22"/>
  <c r="H252" i="103"/>
  <c r="CB384" i="103"/>
  <c r="F268" i="22"/>
  <c r="D267" i="58"/>
  <c r="AA321" i="22"/>
  <c r="M330" i="67"/>
  <c r="D330" i="67"/>
  <c r="K244" i="22"/>
  <c r="L244" i="22" s="1"/>
  <c r="F243" i="58"/>
  <c r="U243" i="103"/>
  <c r="K256" i="22"/>
  <c r="L256" i="22" s="1"/>
  <c r="F255" i="58"/>
  <c r="U255" i="103"/>
  <c r="AK289" i="22"/>
  <c r="I236" i="22"/>
  <c r="E235" i="58"/>
  <c r="Y235" i="58" s="1"/>
  <c r="R235" i="103"/>
  <c r="I254" i="22"/>
  <c r="E253" i="58"/>
  <c r="Y253" i="58" s="1"/>
  <c r="R253" i="103"/>
  <c r="Q260" i="22"/>
  <c r="E267" i="67"/>
  <c r="E263" i="22"/>
  <c r="H262" i="103"/>
  <c r="E266" i="22"/>
  <c r="H265" i="103"/>
  <c r="AI234" i="22"/>
  <c r="H237" i="22"/>
  <c r="O236" i="103"/>
  <c r="Q242" i="22"/>
  <c r="E248" i="67"/>
  <c r="AI252" i="22"/>
  <c r="H255" i="22"/>
  <c r="N384" i="103"/>
  <c r="O254" i="103"/>
  <c r="AT385" i="103"/>
  <c r="AI287" i="22"/>
  <c r="Q292" i="22"/>
  <c r="E300" i="67"/>
  <c r="BG385" i="103"/>
  <c r="AA327" i="22"/>
  <c r="M336" i="67"/>
  <c r="D336" i="67"/>
  <c r="F269" i="22"/>
  <c r="D268" i="58"/>
  <c r="S274" i="22"/>
  <c r="K281" i="67"/>
  <c r="K277" i="22"/>
  <c r="L277" i="22" s="1"/>
  <c r="F276" i="58"/>
  <c r="U276" i="103"/>
  <c r="F296" i="22"/>
  <c r="I137" i="23"/>
  <c r="D295" i="58"/>
  <c r="H270" i="22"/>
  <c r="O269" i="103"/>
  <c r="H273" i="22"/>
  <c r="O272" i="103"/>
  <c r="H276" i="22"/>
  <c r="O275" i="103"/>
  <c r="H279" i="22"/>
  <c r="O278" i="103"/>
  <c r="H282" i="22"/>
  <c r="O281" i="103"/>
  <c r="H285" i="22"/>
  <c r="N126" i="23"/>
  <c r="N385" i="103"/>
  <c r="O284" i="103"/>
  <c r="H294" i="22"/>
  <c r="N135" i="23"/>
  <c r="O293" i="103"/>
  <c r="W311" i="22"/>
  <c r="P310" i="58"/>
  <c r="H319" i="67"/>
  <c r="W289" i="22"/>
  <c r="P288" i="58"/>
  <c r="H297" i="67"/>
  <c r="Q299" i="22"/>
  <c r="E307" i="67"/>
  <c r="W323" i="22"/>
  <c r="P322" i="58"/>
  <c r="H332" i="67"/>
  <c r="Y268" i="22"/>
  <c r="O267" i="58"/>
  <c r="C275" i="67"/>
  <c r="AG282" i="22"/>
  <c r="CI281" i="103"/>
  <c r="CK281" i="103" s="1"/>
  <c r="F285" i="22"/>
  <c r="I126" i="23"/>
  <c r="D284" i="58"/>
  <c r="P385" i="103"/>
  <c r="K287" i="22"/>
  <c r="L287" i="22" s="1"/>
  <c r="F286" i="58"/>
  <c r="U128" i="23"/>
  <c r="U286" i="103"/>
  <c r="Y289" i="22"/>
  <c r="O288" i="58"/>
  <c r="C297" i="67"/>
  <c r="BM294" i="103"/>
  <c r="AA305" i="22"/>
  <c r="M313" i="67"/>
  <c r="D313" i="67"/>
  <c r="C269" i="22"/>
  <c r="C268" i="58"/>
  <c r="C272" i="22"/>
  <c r="C271" i="58"/>
  <c r="C275" i="22"/>
  <c r="C274" i="58"/>
  <c r="C278" i="22"/>
  <c r="C277" i="58"/>
  <c r="C281" i="22"/>
  <c r="C280" i="58"/>
  <c r="C284" i="22"/>
  <c r="C283" i="58"/>
  <c r="I288" i="22"/>
  <c r="R129" i="23"/>
  <c r="E287" i="58"/>
  <c r="Y287" i="58" s="1"/>
  <c r="R287" i="103"/>
  <c r="I294" i="22"/>
  <c r="R135" i="23"/>
  <c r="E293" i="58"/>
  <c r="Y293" i="58" s="1"/>
  <c r="R293" i="103"/>
  <c r="AI299" i="22"/>
  <c r="BX385" i="103"/>
  <c r="CP287" i="103"/>
  <c r="CR287" i="103" s="1"/>
  <c r="E291" i="22"/>
  <c r="H132" i="23"/>
  <c r="H290" i="103"/>
  <c r="P301" i="67"/>
  <c r="BL292" i="103"/>
  <c r="E300" i="22"/>
  <c r="H141" i="23"/>
  <c r="H299" i="103"/>
  <c r="CP314" i="103"/>
  <c r="CR314" i="103" s="1"/>
  <c r="H303" i="22"/>
  <c r="N144" i="23"/>
  <c r="O302" i="103"/>
  <c r="H312" i="22"/>
  <c r="N153" i="23"/>
  <c r="O311" i="103"/>
  <c r="BF386" i="103"/>
  <c r="U319" i="22"/>
  <c r="Q318" i="58"/>
  <c r="N328" i="67"/>
  <c r="E332" i="22"/>
  <c r="H331" i="103"/>
  <c r="E331" i="103" s="1"/>
  <c r="W310" i="22"/>
  <c r="P309" i="58"/>
  <c r="H318" i="67"/>
  <c r="W325" i="22"/>
  <c r="P324" i="58"/>
  <c r="H334" i="67"/>
  <c r="F333" i="22"/>
  <c r="D332" i="58"/>
  <c r="Y298" i="22"/>
  <c r="O297" i="58"/>
  <c r="C306" i="67"/>
  <c r="BM303" i="103"/>
  <c r="AM308" i="22"/>
  <c r="Y322" i="22"/>
  <c r="O321" i="58"/>
  <c r="C331" i="67"/>
  <c r="CI326" i="103"/>
  <c r="CK326" i="103" s="1"/>
  <c r="Q334" i="22"/>
  <c r="E343" i="67"/>
  <c r="CD386" i="103"/>
  <c r="AA319" i="22"/>
  <c r="M328" i="67"/>
  <c r="D328" i="67"/>
  <c r="AA328" i="22"/>
  <c r="D337" i="67"/>
  <c r="M337" i="67"/>
  <c r="AI298" i="22"/>
  <c r="Q303" i="22"/>
  <c r="E311" i="67"/>
  <c r="AI307" i="22"/>
  <c r="Q312" i="22"/>
  <c r="E320" i="67"/>
  <c r="CE386" i="103"/>
  <c r="U345" i="22"/>
  <c r="Q344" i="58"/>
  <c r="N354" i="67"/>
  <c r="BM301" i="103"/>
  <c r="AM306" i="22"/>
  <c r="S315" i="22"/>
  <c r="K323" i="67"/>
  <c r="K327" i="22"/>
  <c r="L327" i="22" s="1"/>
  <c r="F326" i="58"/>
  <c r="U326" i="103"/>
  <c r="AK313" i="22"/>
  <c r="Q337" i="22"/>
  <c r="E346" i="67"/>
  <c r="AE386" i="103"/>
  <c r="E319" i="22"/>
  <c r="H318" i="103"/>
  <c r="E318" i="103" s="1"/>
  <c r="BM296" i="103"/>
  <c r="AM301" i="22"/>
  <c r="AN307" i="103"/>
  <c r="S310" i="22"/>
  <c r="K318" i="67"/>
  <c r="AM316" i="22"/>
  <c r="BY386" i="103"/>
  <c r="K319" i="22"/>
  <c r="L319" i="22" s="1"/>
  <c r="F318" i="58"/>
  <c r="U318" i="103"/>
  <c r="CP337" i="103"/>
  <c r="E356" i="22"/>
  <c r="E368" i="22"/>
  <c r="F339" i="22"/>
  <c r="D338" i="58"/>
  <c r="S341" i="22"/>
  <c r="K350" i="67"/>
  <c r="AA337" i="22"/>
  <c r="M346" i="67"/>
  <c r="D346" i="67"/>
  <c r="AA346" i="22"/>
  <c r="D356" i="67"/>
  <c r="M356" i="67"/>
  <c r="AK387" i="103"/>
  <c r="BD353" i="103"/>
  <c r="I369" i="22"/>
  <c r="E368" i="58"/>
  <c r="Y368" i="58" s="1"/>
  <c r="R368" i="103"/>
  <c r="AI340" i="22"/>
  <c r="H343" i="22"/>
  <c r="O342" i="103"/>
  <c r="Q348" i="22"/>
  <c r="E358" i="67"/>
  <c r="Q360" i="22"/>
  <c r="E370" i="67"/>
  <c r="E342" i="22"/>
  <c r="H341" i="103"/>
  <c r="E341" i="103" s="1"/>
  <c r="Y335" i="22"/>
  <c r="O334" i="58"/>
  <c r="C344" i="67"/>
  <c r="AN339" i="103"/>
  <c r="Y347" i="22"/>
  <c r="O346" i="58"/>
  <c r="C357" i="67"/>
  <c r="K354" i="22"/>
  <c r="L354" i="22" s="1"/>
  <c r="F353" i="58"/>
  <c r="U353" i="103"/>
  <c r="Y356" i="22"/>
  <c r="O355" i="58"/>
  <c r="C366" i="67"/>
  <c r="K363" i="22"/>
  <c r="L363" i="22" s="1"/>
  <c r="F362" i="58"/>
  <c r="U362" i="103"/>
  <c r="Y365" i="22"/>
  <c r="O364" i="58"/>
  <c r="C375" i="67"/>
  <c r="I349" i="22"/>
  <c r="E348" i="58"/>
  <c r="Y348" i="58" s="1"/>
  <c r="R348" i="103"/>
  <c r="C360" i="22"/>
  <c r="C359" i="58"/>
  <c r="AA362" i="22"/>
  <c r="D372" i="67"/>
  <c r="M372" i="67"/>
  <c r="E343" i="22"/>
  <c r="H342" i="103"/>
  <c r="E342" i="103" s="1"/>
  <c r="AN337" i="103"/>
  <c r="Y345" i="22"/>
  <c r="O344" i="58"/>
  <c r="C354" i="67"/>
  <c r="F350" i="22"/>
  <c r="D349" i="58"/>
  <c r="S352" i="22"/>
  <c r="K362" i="67"/>
  <c r="F359" i="22"/>
  <c r="D358" i="58"/>
  <c r="S361" i="22"/>
  <c r="K371" i="67"/>
  <c r="F368" i="22"/>
  <c r="D367" i="58"/>
  <c r="S370" i="22"/>
  <c r="K380" i="67"/>
  <c r="C352" i="22"/>
  <c r="C351" i="58"/>
  <c r="AA354" i="22"/>
  <c r="M364" i="67"/>
  <c r="D364" i="67"/>
  <c r="BD361" i="103"/>
  <c r="U337" i="22"/>
  <c r="Q336" i="58"/>
  <c r="N346" i="67"/>
  <c r="U352" i="22"/>
  <c r="Q351" i="58"/>
  <c r="N362" i="67"/>
  <c r="AI354" i="22"/>
  <c r="U364" i="22"/>
  <c r="Q363" i="58"/>
  <c r="N374" i="67"/>
  <c r="AI366" i="22"/>
  <c r="I374" i="22"/>
  <c r="E373" i="58"/>
  <c r="Y373" i="58" s="1"/>
  <c r="R373" i="103"/>
  <c r="Q372" i="22"/>
  <c r="E382" i="67"/>
  <c r="U8" i="68" s="1"/>
  <c r="K372" i="22"/>
  <c r="L372" i="22" s="1"/>
  <c r="F371" i="58"/>
  <c r="U371" i="103"/>
  <c r="Y374" i="22"/>
  <c r="O373" i="58"/>
  <c r="C384" i="67"/>
  <c r="Y7" i="68" s="1"/>
  <c r="BD372" i="103"/>
  <c r="U375" i="22"/>
  <c r="Q374" i="58"/>
  <c r="N385" i="67"/>
  <c r="AA17" i="68" s="1"/>
  <c r="E54" i="22"/>
  <c r="H53" i="103"/>
  <c r="I42" i="22"/>
  <c r="E41" i="58"/>
  <c r="Y41" i="58" s="1"/>
  <c r="R41" i="103"/>
  <c r="AI27" i="22"/>
  <c r="U25" i="22"/>
  <c r="Q24" i="58"/>
  <c r="N24" i="67"/>
  <c r="I20" i="22"/>
  <c r="E19" i="58"/>
  <c r="Y19" i="58" s="1"/>
  <c r="R19" i="103"/>
  <c r="BB41" i="103"/>
  <c r="S41" i="22"/>
  <c r="K40" i="67"/>
  <c r="F39" i="22"/>
  <c r="D38" i="58"/>
  <c r="U37" i="22"/>
  <c r="Q36" i="58"/>
  <c r="N36" i="67"/>
  <c r="I32" i="22"/>
  <c r="E31" i="58"/>
  <c r="Y31" i="58" s="1"/>
  <c r="R31" i="103"/>
  <c r="AI55" i="22"/>
  <c r="E47" i="22"/>
  <c r="H46" i="103"/>
  <c r="AQ377" i="103"/>
  <c r="AG35" i="22"/>
  <c r="CI34" i="103"/>
  <c r="CK34" i="103" s="1"/>
  <c r="AN25" i="103"/>
  <c r="BC15" i="103"/>
  <c r="W12" i="22"/>
  <c r="P11" i="58"/>
  <c r="H11" i="67"/>
  <c r="AI376" i="103"/>
  <c r="S37" i="22"/>
  <c r="K36" i="67"/>
  <c r="W30" i="22"/>
  <c r="P29" i="58"/>
  <c r="H29" i="67"/>
  <c r="Q13" i="22"/>
  <c r="E12" i="67"/>
  <c r="AX377" i="103"/>
  <c r="U16" i="22"/>
  <c r="Q15" i="58"/>
  <c r="N15" i="67"/>
  <c r="I44" i="22"/>
  <c r="E43" i="58"/>
  <c r="Y43" i="58" s="1"/>
  <c r="R43" i="103"/>
  <c r="Q28" i="22"/>
  <c r="E27" i="67"/>
  <c r="AI51" i="22"/>
  <c r="U49" i="22"/>
  <c r="Q48" i="58"/>
  <c r="N49" i="67"/>
  <c r="Q37" i="22"/>
  <c r="E36" i="67"/>
  <c r="I25" i="22"/>
  <c r="E24" i="58"/>
  <c r="Y24" i="58" s="1"/>
  <c r="R24" i="103"/>
  <c r="BD52" i="103"/>
  <c r="W42" i="22"/>
  <c r="P41" i="58"/>
  <c r="H41" i="67"/>
  <c r="Y32" i="22"/>
  <c r="O31" i="58"/>
  <c r="C31" i="67"/>
  <c r="K30" i="22"/>
  <c r="L30" i="22" s="1"/>
  <c r="F29" i="58"/>
  <c r="U29" i="103"/>
  <c r="Y23" i="22"/>
  <c r="O22" i="58"/>
  <c r="C22" i="67"/>
  <c r="K21" i="22"/>
  <c r="L21" i="22" s="1"/>
  <c r="F20" i="58"/>
  <c r="U20" i="103"/>
  <c r="K51" i="22"/>
  <c r="L51" i="22" s="1"/>
  <c r="F50" i="58"/>
  <c r="U50" i="103"/>
  <c r="E32" i="22"/>
  <c r="H31" i="103"/>
  <c r="E31" i="103" s="1"/>
  <c r="I56" i="22"/>
  <c r="E55" i="58"/>
  <c r="Y55" i="58" s="1"/>
  <c r="R55" i="103"/>
  <c r="AA54" i="22"/>
  <c r="M54" i="67"/>
  <c r="D54" i="67"/>
  <c r="K52" i="22"/>
  <c r="L52" i="22" s="1"/>
  <c r="F51" i="58"/>
  <c r="U51" i="103"/>
  <c r="BC29" i="103"/>
  <c r="W26" i="22"/>
  <c r="P25" i="58"/>
  <c r="H25" i="67"/>
  <c r="AI16" i="22"/>
  <c r="U14" i="22"/>
  <c r="Q13" i="58"/>
  <c r="N13" i="67"/>
  <c r="U382" i="58"/>
  <c r="N192" i="58"/>
  <c r="S382" i="58"/>
  <c r="S395" i="58"/>
  <c r="T396" i="58"/>
  <c r="T383" i="58"/>
  <c r="X223" i="58"/>
  <c r="X383" i="58" s="1"/>
  <c r="U385" i="58"/>
  <c r="N284" i="58"/>
  <c r="N345" i="58"/>
  <c r="U387" i="58"/>
  <c r="V387" i="58"/>
  <c r="CP51" i="103"/>
  <c r="AI28" i="22"/>
  <c r="U26" i="22"/>
  <c r="Q25" i="58"/>
  <c r="N25" i="67"/>
  <c r="AA19" i="22"/>
  <c r="D18" i="67"/>
  <c r="W54" i="22"/>
  <c r="P53" i="58"/>
  <c r="H54" i="67"/>
  <c r="Q49" i="22"/>
  <c r="E49" i="67"/>
  <c r="AA47" i="22"/>
  <c r="D47" i="67"/>
  <c r="M47" i="67"/>
  <c r="K45" i="22"/>
  <c r="L45" i="22" s="1"/>
  <c r="F44" i="58"/>
  <c r="U44" i="103"/>
  <c r="I33" i="22"/>
  <c r="E32" i="58"/>
  <c r="Y32" i="58" s="1"/>
  <c r="R32" i="103"/>
  <c r="I21" i="22"/>
  <c r="E20" i="58"/>
  <c r="Y20" i="58" s="1"/>
  <c r="R20" i="103"/>
  <c r="S14" i="22"/>
  <c r="K13" i="67"/>
  <c r="F12" i="22"/>
  <c r="D11" i="58"/>
  <c r="P376" i="103"/>
  <c r="BD51" i="103"/>
  <c r="E45" i="22"/>
  <c r="H44" i="103"/>
  <c r="CP16" i="103"/>
  <c r="AM14" i="103"/>
  <c r="W13" i="22"/>
  <c r="P12" i="58"/>
  <c r="H12" i="67"/>
  <c r="E35" i="22"/>
  <c r="H34" i="103"/>
  <c r="E34" i="103" s="1"/>
  <c r="Q74" i="22"/>
  <c r="E75" i="67"/>
  <c r="Q86" i="22"/>
  <c r="E87" i="67"/>
  <c r="Q96" i="22"/>
  <c r="E97" i="67"/>
  <c r="AI66" i="22"/>
  <c r="AE378" i="103"/>
  <c r="F90" i="22"/>
  <c r="D89" i="58"/>
  <c r="U92" i="22"/>
  <c r="Q91" i="58"/>
  <c r="N93" i="67"/>
  <c r="K106" i="22"/>
  <c r="L106" i="22" s="1"/>
  <c r="F105" i="58"/>
  <c r="U105" i="103"/>
  <c r="U61" i="22"/>
  <c r="Q60" i="58"/>
  <c r="N61" i="67"/>
  <c r="AI63" i="22"/>
  <c r="E65" i="22"/>
  <c r="H64" i="103"/>
  <c r="AS378" i="103"/>
  <c r="F57" i="22"/>
  <c r="D56" i="58"/>
  <c r="S59" i="22"/>
  <c r="K59" i="67"/>
  <c r="I66" i="22"/>
  <c r="E65" i="58"/>
  <c r="Y65" i="58" s="1"/>
  <c r="R65" i="103"/>
  <c r="U71" i="22"/>
  <c r="Q70" i="58"/>
  <c r="N72" i="67"/>
  <c r="AH378" i="103"/>
  <c r="AI73" i="22"/>
  <c r="U83" i="22"/>
  <c r="Q82" i="58"/>
  <c r="N84" i="67"/>
  <c r="AI85" i="22"/>
  <c r="CP86" i="103"/>
  <c r="E94" i="22"/>
  <c r="H93" i="103"/>
  <c r="BD56" i="103"/>
  <c r="C62" i="22"/>
  <c r="C61" i="58"/>
  <c r="E69" i="22"/>
  <c r="H68" i="103"/>
  <c r="E81" i="22"/>
  <c r="H80" i="103"/>
  <c r="AN87" i="103"/>
  <c r="AA108" i="22"/>
  <c r="D110" i="67"/>
  <c r="M110" i="67"/>
  <c r="H61" i="22"/>
  <c r="O60" i="103"/>
  <c r="CP93" i="103"/>
  <c r="I67" i="22"/>
  <c r="E66" i="58"/>
  <c r="Y66" i="58" s="1"/>
  <c r="R66" i="103"/>
  <c r="C72" i="22"/>
  <c r="C71" i="58"/>
  <c r="BD75" i="103"/>
  <c r="C81" i="22"/>
  <c r="C80" i="58"/>
  <c r="BD84" i="103"/>
  <c r="U90" i="22"/>
  <c r="Q89" i="58"/>
  <c r="N91" i="67"/>
  <c r="F61" i="22"/>
  <c r="D60" i="58"/>
  <c r="S63" i="22"/>
  <c r="K63" i="67"/>
  <c r="H77" i="22"/>
  <c r="O76" i="103"/>
  <c r="BD57" i="103"/>
  <c r="C63" i="22"/>
  <c r="C62" i="58"/>
  <c r="F89" i="22"/>
  <c r="D88" i="58"/>
  <c r="S91" i="22"/>
  <c r="K92" i="67"/>
  <c r="AM100" i="103"/>
  <c r="Q58" i="22"/>
  <c r="E58" i="67"/>
  <c r="K70" i="22"/>
  <c r="L70" i="22" s="1"/>
  <c r="F69" i="58"/>
  <c r="U69" i="103"/>
  <c r="Y72" i="22"/>
  <c r="O71" i="58"/>
  <c r="C73" i="67"/>
  <c r="K79" i="22"/>
  <c r="L79" i="22" s="1"/>
  <c r="F78" i="58"/>
  <c r="U78" i="103"/>
  <c r="Y81" i="22"/>
  <c r="O80" i="58"/>
  <c r="C82" i="67"/>
  <c r="C88" i="22"/>
  <c r="C87" i="58"/>
  <c r="Q92" i="22"/>
  <c r="E93" i="67"/>
  <c r="E64" i="22"/>
  <c r="H63" i="103"/>
  <c r="Q89" i="22"/>
  <c r="E90" i="67"/>
  <c r="S103" i="22"/>
  <c r="K105" i="67"/>
  <c r="U115" i="22"/>
  <c r="Q114" i="58"/>
  <c r="N117" i="67"/>
  <c r="AI117" i="22"/>
  <c r="U127" i="22"/>
  <c r="Q126" i="58"/>
  <c r="N129" i="67"/>
  <c r="Y93" i="22"/>
  <c r="O92" i="58"/>
  <c r="C94" i="67"/>
  <c r="K100" i="22"/>
  <c r="L100" i="22" s="1"/>
  <c r="F99" i="58"/>
  <c r="Y102" i="22"/>
  <c r="O101" i="58"/>
  <c r="C104" i="67"/>
  <c r="AJ379" i="103"/>
  <c r="BD103" i="103"/>
  <c r="E119" i="22"/>
  <c r="H118" i="103"/>
  <c r="I129" i="22"/>
  <c r="E128" i="58"/>
  <c r="Y128" i="58" s="1"/>
  <c r="R128" i="103"/>
  <c r="AG111" i="22"/>
  <c r="CI110" i="103"/>
  <c r="CK110" i="103" s="1"/>
  <c r="AG120" i="22"/>
  <c r="CI119" i="103"/>
  <c r="CK119" i="103" s="1"/>
  <c r="Q98" i="22"/>
  <c r="E99" i="67"/>
  <c r="W103" i="22"/>
  <c r="P102" i="58"/>
  <c r="H105" i="67"/>
  <c r="AM104" i="103"/>
  <c r="CP106" i="103"/>
  <c r="I114" i="22"/>
  <c r="E113" i="58"/>
  <c r="Y113" i="58" s="1"/>
  <c r="R113" i="103"/>
  <c r="I126" i="22"/>
  <c r="E125" i="58"/>
  <c r="Y125" i="58" s="1"/>
  <c r="R125" i="103"/>
  <c r="S133" i="22"/>
  <c r="K136" i="67"/>
  <c r="E101" i="22"/>
  <c r="H100" i="103"/>
  <c r="I108" i="22"/>
  <c r="E107" i="58"/>
  <c r="Y107" i="58" s="1"/>
  <c r="R107" i="103"/>
  <c r="U113" i="22"/>
  <c r="Q112" i="58"/>
  <c r="N115" i="67"/>
  <c r="AI115" i="22"/>
  <c r="U125" i="22"/>
  <c r="Q124" i="58"/>
  <c r="N127" i="67"/>
  <c r="AI127" i="22"/>
  <c r="F93" i="22"/>
  <c r="D92" i="58"/>
  <c r="S95" i="22"/>
  <c r="K96" i="67"/>
  <c r="F102" i="22"/>
  <c r="D101" i="58"/>
  <c r="P379" i="103"/>
  <c r="E114" i="22"/>
  <c r="H113" i="103"/>
  <c r="E126" i="22"/>
  <c r="H125" i="103"/>
  <c r="K111" i="22"/>
  <c r="L111" i="22" s="1"/>
  <c r="F110" i="58"/>
  <c r="U110" i="103"/>
  <c r="Y113" i="22"/>
  <c r="O112" i="58"/>
  <c r="C115" i="67"/>
  <c r="K120" i="22"/>
  <c r="L120" i="22" s="1"/>
  <c r="F119" i="58"/>
  <c r="U119" i="103"/>
  <c r="Y122" i="22"/>
  <c r="O121" i="58"/>
  <c r="C124" i="67"/>
  <c r="W104" i="22"/>
  <c r="P103" i="58"/>
  <c r="H106" i="67"/>
  <c r="AM105" i="103"/>
  <c r="AA116" i="22"/>
  <c r="D118" i="67"/>
  <c r="M118" i="67"/>
  <c r="BD117" i="103"/>
  <c r="U117" i="22"/>
  <c r="Q116" i="58"/>
  <c r="N119" i="67"/>
  <c r="AI119" i="22"/>
  <c r="F94" i="22"/>
  <c r="D93" i="58"/>
  <c r="S96" i="22"/>
  <c r="K97" i="67"/>
  <c r="I103" i="22"/>
  <c r="E102" i="58"/>
  <c r="Y102" i="58" s="1"/>
  <c r="R102" i="103"/>
  <c r="CP111" i="103"/>
  <c r="W120" i="22"/>
  <c r="P119" i="58"/>
  <c r="H122" i="67"/>
  <c r="CP123" i="103"/>
  <c r="F134" i="22"/>
  <c r="D133" i="58"/>
  <c r="C96" i="22"/>
  <c r="C95" i="58"/>
  <c r="BD99" i="103"/>
  <c r="H98" i="22"/>
  <c r="O97" i="103"/>
  <c r="CA379" i="103"/>
  <c r="BD109" i="103"/>
  <c r="AA120" i="22"/>
  <c r="D122" i="67"/>
  <c r="M122" i="67"/>
  <c r="BD121" i="103"/>
  <c r="AT380" i="103"/>
  <c r="AI134" i="22"/>
  <c r="Q139" i="22"/>
  <c r="E142" i="67"/>
  <c r="AI143" i="22"/>
  <c r="Q148" i="22"/>
  <c r="E151" i="67"/>
  <c r="AI152" i="22"/>
  <c r="Q157" i="22"/>
  <c r="E160" i="67"/>
  <c r="AI161" i="22"/>
  <c r="BW381" i="103"/>
  <c r="P141" i="67"/>
  <c r="BL137" i="103"/>
  <c r="P150" i="67"/>
  <c r="BL146" i="103"/>
  <c r="P159" i="67"/>
  <c r="BL155" i="103"/>
  <c r="AR381" i="103"/>
  <c r="C136" i="22"/>
  <c r="C135" i="58"/>
  <c r="I140" i="22"/>
  <c r="E139" i="58"/>
  <c r="Y139" i="58" s="1"/>
  <c r="R139" i="103"/>
  <c r="AA153" i="22"/>
  <c r="D156" i="67"/>
  <c r="M156" i="67"/>
  <c r="BD160" i="103"/>
  <c r="BE381" i="103"/>
  <c r="H129" i="22"/>
  <c r="O128" i="103"/>
  <c r="V381" i="103"/>
  <c r="AU381" i="103"/>
  <c r="BM132" i="103"/>
  <c r="BM138" i="103"/>
  <c r="BM150" i="103"/>
  <c r="BM156" i="103"/>
  <c r="Q167" i="67"/>
  <c r="BQ381" i="103"/>
  <c r="BD134" i="103"/>
  <c r="C146" i="22"/>
  <c r="C145" i="58"/>
  <c r="I150" i="22"/>
  <c r="E149" i="58"/>
  <c r="Y149" i="58" s="1"/>
  <c r="R149" i="103"/>
  <c r="AA163" i="22"/>
  <c r="D167" i="67"/>
  <c r="M167" i="67"/>
  <c r="AK381" i="103"/>
  <c r="U143" i="22"/>
  <c r="Q142" i="58"/>
  <c r="N146" i="67"/>
  <c r="U152" i="22"/>
  <c r="Q151" i="58"/>
  <c r="N155" i="67"/>
  <c r="U161" i="22"/>
  <c r="Q160" i="58"/>
  <c r="N164" i="67"/>
  <c r="E129" i="22"/>
  <c r="H128" i="103"/>
  <c r="CP134" i="103"/>
  <c r="CQ134" i="103" s="1"/>
  <c r="E138" i="22"/>
  <c r="H137" i="103"/>
  <c r="CP143" i="103"/>
  <c r="E147" i="22"/>
  <c r="H146" i="103"/>
  <c r="CP152" i="103"/>
  <c r="E156" i="22"/>
  <c r="H155" i="103"/>
  <c r="CP161" i="103"/>
  <c r="BM133" i="103"/>
  <c r="BM139" i="103"/>
  <c r="BM145" i="103"/>
  <c r="BM151" i="103"/>
  <c r="BM157" i="103"/>
  <c r="BD138" i="103"/>
  <c r="C150" i="22"/>
  <c r="C149" i="58"/>
  <c r="I154" i="22"/>
  <c r="E153" i="58"/>
  <c r="Y153" i="58" s="1"/>
  <c r="R153" i="103"/>
  <c r="AA169" i="22"/>
  <c r="D173" i="67"/>
  <c r="M173" i="67"/>
  <c r="BD170" i="103"/>
  <c r="AA181" i="22"/>
  <c r="D185" i="67"/>
  <c r="M185" i="67"/>
  <c r="BD182" i="103"/>
  <c r="AA193" i="22"/>
  <c r="M198" i="67"/>
  <c r="D198" i="67"/>
  <c r="AK382" i="103"/>
  <c r="H169" i="22"/>
  <c r="O168" i="103"/>
  <c r="H178" i="22"/>
  <c r="O177" i="103"/>
  <c r="H187" i="22"/>
  <c r="O186" i="103"/>
  <c r="AI196" i="22"/>
  <c r="CP197" i="103"/>
  <c r="CQ197" i="103" s="1"/>
  <c r="Y164" i="22"/>
  <c r="O163" i="58"/>
  <c r="C168" i="67"/>
  <c r="AG181" i="22"/>
  <c r="CI180" i="103"/>
  <c r="CK180" i="103" s="1"/>
  <c r="S183" i="22"/>
  <c r="K187" i="67"/>
  <c r="CS382" i="103"/>
  <c r="E203" i="22"/>
  <c r="H202" i="103"/>
  <c r="C171" i="22"/>
  <c r="C170" i="58"/>
  <c r="C183" i="22"/>
  <c r="C182" i="58"/>
  <c r="H176" i="22"/>
  <c r="O175" i="103"/>
  <c r="H185" i="22"/>
  <c r="O184" i="103"/>
  <c r="Y165" i="22"/>
  <c r="O164" i="58"/>
  <c r="C169" i="67"/>
  <c r="AN181" i="103"/>
  <c r="S184" i="22"/>
  <c r="K188" i="67"/>
  <c r="C175" i="22"/>
  <c r="C174" i="58"/>
  <c r="C187" i="22"/>
  <c r="C186" i="58"/>
  <c r="U169" i="22"/>
  <c r="Q168" i="58"/>
  <c r="N173" i="67"/>
  <c r="U178" i="22"/>
  <c r="Q177" i="58"/>
  <c r="N182" i="67"/>
  <c r="U187" i="22"/>
  <c r="Q186" i="58"/>
  <c r="N191" i="67"/>
  <c r="CA382" i="103"/>
  <c r="CP166" i="103"/>
  <c r="CR166" i="103" s="1"/>
  <c r="E170" i="22"/>
  <c r="H169" i="103"/>
  <c r="CP175" i="103"/>
  <c r="CQ175" i="103" s="1"/>
  <c r="E179" i="22"/>
  <c r="H178" i="103"/>
  <c r="CP184" i="103"/>
  <c r="CQ184" i="103" s="1"/>
  <c r="E188" i="22"/>
  <c r="H187" i="103"/>
  <c r="Y199" i="22"/>
  <c r="O198" i="58"/>
  <c r="C204" i="67"/>
  <c r="AN179" i="103"/>
  <c r="S182" i="22"/>
  <c r="K186" i="67"/>
  <c r="CP200" i="103"/>
  <c r="CR200" i="103" s="1"/>
  <c r="W209" i="22"/>
  <c r="P208" i="58"/>
  <c r="H214" i="67"/>
  <c r="AM210" i="103"/>
  <c r="CP212" i="103"/>
  <c r="CR212" i="103" s="1"/>
  <c r="W221" i="22"/>
  <c r="P220" i="58"/>
  <c r="H226" i="67"/>
  <c r="AM222" i="103"/>
  <c r="C231" i="22"/>
  <c r="C230" i="58"/>
  <c r="F205" i="22"/>
  <c r="D204" i="58"/>
  <c r="S207" i="22"/>
  <c r="K212" i="67"/>
  <c r="F217" i="22"/>
  <c r="D216" i="58"/>
  <c r="S219" i="22"/>
  <c r="K224" i="67"/>
  <c r="U234" i="22"/>
  <c r="Q233" i="58"/>
  <c r="N240" i="67"/>
  <c r="C207" i="22"/>
  <c r="C206" i="58"/>
  <c r="AA212" i="22"/>
  <c r="D217" i="67"/>
  <c r="M217" i="67"/>
  <c r="C225" i="22"/>
  <c r="C224" i="58"/>
  <c r="AM229" i="103"/>
  <c r="Q202" i="22"/>
  <c r="E207" i="67"/>
  <c r="AI212" i="22"/>
  <c r="H215" i="22"/>
  <c r="O214" i="103"/>
  <c r="Q220" i="22"/>
  <c r="E225" i="67"/>
  <c r="AG230" i="22"/>
  <c r="CI229" i="103"/>
  <c r="CL229" i="103" s="1"/>
  <c r="U236" i="22"/>
  <c r="Q235" i="58"/>
  <c r="N242" i="67"/>
  <c r="E202" i="22"/>
  <c r="H201" i="103"/>
  <c r="E214" i="22"/>
  <c r="H213" i="103"/>
  <c r="E226" i="22"/>
  <c r="H225" i="103"/>
  <c r="S242" i="22"/>
  <c r="K248" i="67"/>
  <c r="AN199" i="103"/>
  <c r="Y207" i="22"/>
  <c r="O206" i="58"/>
  <c r="C212" i="67"/>
  <c r="Y219" i="22"/>
  <c r="O218" i="58"/>
  <c r="C224" i="67"/>
  <c r="AA241" i="22"/>
  <c r="D247" i="67"/>
  <c r="M247" i="67"/>
  <c r="C211" i="22"/>
  <c r="C210" i="58"/>
  <c r="AA216" i="22"/>
  <c r="M221" i="67"/>
  <c r="D221" i="67"/>
  <c r="AM230" i="103"/>
  <c r="Q203" i="22"/>
  <c r="E208" i="67"/>
  <c r="AI213" i="22"/>
  <c r="H216" i="22"/>
  <c r="O215" i="103"/>
  <c r="Q221" i="22"/>
  <c r="E226" i="67"/>
  <c r="F231" i="22"/>
  <c r="D230" i="58"/>
  <c r="S233" i="22"/>
  <c r="K239" i="67"/>
  <c r="E212" i="22"/>
  <c r="H211" i="103"/>
  <c r="E224" i="22"/>
  <c r="G383" i="103"/>
  <c r="H223" i="103"/>
  <c r="I234" i="22"/>
  <c r="E233" i="58"/>
  <c r="Y233" i="58" s="1"/>
  <c r="R233" i="103"/>
  <c r="Y247" i="22"/>
  <c r="O246" i="58"/>
  <c r="C253" i="67"/>
  <c r="K209" i="22"/>
  <c r="L209" i="22" s="1"/>
  <c r="F208" i="58"/>
  <c r="U208" i="103"/>
  <c r="K221" i="22"/>
  <c r="L221" i="22" s="1"/>
  <c r="F220" i="58"/>
  <c r="U220" i="103"/>
  <c r="U233" i="22"/>
  <c r="Q232" i="58"/>
  <c r="N239" i="67"/>
  <c r="C200" i="22"/>
  <c r="C199" i="58"/>
  <c r="AA205" i="22"/>
  <c r="M210" i="67"/>
  <c r="D210" i="67"/>
  <c r="C218" i="22"/>
  <c r="C217" i="58"/>
  <c r="AA223" i="22"/>
  <c r="M228" i="67"/>
  <c r="D228" i="67"/>
  <c r="AI205" i="22"/>
  <c r="H208" i="22"/>
  <c r="O207" i="103"/>
  <c r="Q213" i="22"/>
  <c r="E218" i="67"/>
  <c r="AI223" i="22"/>
  <c r="H226" i="22"/>
  <c r="O225" i="103"/>
  <c r="F229" i="22"/>
  <c r="D228" i="58"/>
  <c r="S231" i="22"/>
  <c r="K237" i="67"/>
  <c r="AM245" i="103"/>
  <c r="E254" i="22"/>
  <c r="H253" i="103"/>
  <c r="Y259" i="22"/>
  <c r="O258" i="58"/>
  <c r="C266" i="67"/>
  <c r="AA262" i="22"/>
  <c r="D269" i="67"/>
  <c r="M269" i="67"/>
  <c r="AA265" i="22"/>
  <c r="M272" i="67"/>
  <c r="D272" i="67"/>
  <c r="AG268" i="22"/>
  <c r="CI267" i="103"/>
  <c r="CL267" i="103" s="1"/>
  <c r="C282" i="22"/>
  <c r="C281" i="58"/>
  <c r="C294" i="22"/>
  <c r="C135" i="23"/>
  <c r="C293" i="58"/>
  <c r="S251" i="22"/>
  <c r="K257" i="67"/>
  <c r="Y256" i="22"/>
  <c r="O255" i="58"/>
  <c r="C263" i="67"/>
  <c r="I249" i="22"/>
  <c r="E248" i="58"/>
  <c r="Y248" i="58" s="1"/>
  <c r="R248" i="103"/>
  <c r="U260" i="22"/>
  <c r="Q259" i="58"/>
  <c r="N267" i="67"/>
  <c r="C300" i="22"/>
  <c r="C141" i="23"/>
  <c r="C299" i="58"/>
  <c r="Q237" i="22"/>
  <c r="E243" i="67"/>
  <c r="AI247" i="22"/>
  <c r="H250" i="22"/>
  <c r="O249" i="103"/>
  <c r="Q255" i="22"/>
  <c r="E262" i="67"/>
  <c r="AD384" i="103"/>
  <c r="S294" i="22"/>
  <c r="K302" i="67"/>
  <c r="W242" i="22"/>
  <c r="P241" i="58"/>
  <c r="H248" i="67"/>
  <c r="CP248" i="103"/>
  <c r="CQ248" i="103" s="1"/>
  <c r="C264" i="22"/>
  <c r="C263" i="58"/>
  <c r="C267" i="22"/>
  <c r="C266" i="58"/>
  <c r="E309" i="22"/>
  <c r="H150" i="23"/>
  <c r="H308" i="103"/>
  <c r="E308" i="103" s="1"/>
  <c r="K243" i="22"/>
  <c r="L243" i="22" s="1"/>
  <c r="F242" i="58"/>
  <c r="U242" i="103"/>
  <c r="K255" i="22"/>
  <c r="L255" i="22" s="1"/>
  <c r="F254" i="58"/>
  <c r="T384" i="103"/>
  <c r="U254" i="103"/>
  <c r="C261" i="22"/>
  <c r="C260" i="58"/>
  <c r="AA236" i="22"/>
  <c r="D242" i="67"/>
  <c r="M242" i="67"/>
  <c r="C249" i="22"/>
  <c r="C248" i="58"/>
  <c r="AA254" i="22"/>
  <c r="D260" i="67"/>
  <c r="M260" i="67"/>
  <c r="AA257" i="22"/>
  <c r="D264" i="67"/>
  <c r="M264" i="67"/>
  <c r="AK311" i="22"/>
  <c r="U252" i="22"/>
  <c r="Q251" i="58"/>
  <c r="N258" i="67"/>
  <c r="W243" i="22"/>
  <c r="P242" i="58"/>
  <c r="H249" i="67"/>
  <c r="CP249" i="103"/>
  <c r="CQ249" i="103" s="1"/>
  <c r="CN384" i="103"/>
  <c r="K259" i="22"/>
  <c r="L259" i="22" s="1"/>
  <c r="F258" i="58"/>
  <c r="U258" i="103"/>
  <c r="AA272" i="22"/>
  <c r="M279" i="67"/>
  <c r="D279" i="67"/>
  <c r="F242" i="22"/>
  <c r="D241" i="58"/>
  <c r="S244" i="22"/>
  <c r="K250" i="67"/>
  <c r="F254" i="22"/>
  <c r="D253" i="58"/>
  <c r="S256" i="22"/>
  <c r="K263" i="67"/>
  <c r="C259" i="22"/>
  <c r="C258" i="58"/>
  <c r="I280" i="22"/>
  <c r="E279" i="58"/>
  <c r="Y279" i="58" s="1"/>
  <c r="R279" i="103"/>
  <c r="H311" i="22"/>
  <c r="N152" i="23"/>
  <c r="O310" i="103"/>
  <c r="C247" i="22"/>
  <c r="C246" i="58"/>
  <c r="AA252" i="22"/>
  <c r="D258" i="67"/>
  <c r="M258" i="67"/>
  <c r="I257" i="22"/>
  <c r="E256" i="58"/>
  <c r="Y256" i="58" s="1"/>
  <c r="R256" i="103"/>
  <c r="CM259" i="103"/>
  <c r="CG259" i="103" s="1"/>
  <c r="U250" i="22"/>
  <c r="Q249" i="58"/>
  <c r="N256" i="67"/>
  <c r="AX384" i="103"/>
  <c r="L12" i="62"/>
  <c r="BF385" i="103"/>
  <c r="H290" i="22"/>
  <c r="N131" i="23"/>
  <c r="O289" i="103"/>
  <c r="AI297" i="22"/>
  <c r="P293" i="67"/>
  <c r="BL284" i="103"/>
  <c r="CP291" i="103"/>
  <c r="CR291" i="103" s="1"/>
  <c r="E295" i="22"/>
  <c r="H136" i="23"/>
  <c r="H294" i="103"/>
  <c r="Q313" i="22"/>
  <c r="E321" i="67"/>
  <c r="Q332" i="22"/>
  <c r="E341" i="67"/>
  <c r="AG269" i="22"/>
  <c r="CI268" i="103"/>
  <c r="CK268" i="103" s="1"/>
  <c r="F272" i="22"/>
  <c r="D271" i="58"/>
  <c r="S277" i="22"/>
  <c r="K284" i="67"/>
  <c r="K280" i="22"/>
  <c r="L280" i="22" s="1"/>
  <c r="F279" i="58"/>
  <c r="U279" i="103"/>
  <c r="BM284" i="103"/>
  <c r="AM289" i="22"/>
  <c r="CP323" i="103"/>
  <c r="CQ323" i="103" s="1"/>
  <c r="C268" i="22"/>
  <c r="C267" i="58"/>
  <c r="C271" i="22"/>
  <c r="C270" i="58"/>
  <c r="C274" i="22"/>
  <c r="C273" i="58"/>
  <c r="C277" i="22"/>
  <c r="C276" i="58"/>
  <c r="C280" i="22"/>
  <c r="C279" i="58"/>
  <c r="C283" i="22"/>
  <c r="C282" i="58"/>
  <c r="BR385" i="103"/>
  <c r="C304" i="22"/>
  <c r="C145" i="23"/>
  <c r="C303" i="58"/>
  <c r="AX385" i="103"/>
  <c r="E269" i="22"/>
  <c r="H268" i="103"/>
  <c r="E272" i="22"/>
  <c r="H271" i="103"/>
  <c r="E275" i="22"/>
  <c r="H274" i="103"/>
  <c r="E278" i="22"/>
  <c r="H277" i="103"/>
  <c r="E281" i="22"/>
  <c r="H280" i="103"/>
  <c r="E284" i="22"/>
  <c r="H283" i="103"/>
  <c r="W305" i="22"/>
  <c r="P304" i="58"/>
  <c r="H313" i="67"/>
  <c r="Y271" i="22"/>
  <c r="O270" i="58"/>
  <c r="C278" i="67"/>
  <c r="S287" i="22"/>
  <c r="K295" i="67"/>
  <c r="U293" i="22"/>
  <c r="Q292" i="58"/>
  <c r="N301" i="67"/>
  <c r="W269" i="22"/>
  <c r="P268" i="58"/>
  <c r="H276" i="67"/>
  <c r="W272" i="22"/>
  <c r="P271" i="58"/>
  <c r="H279" i="67"/>
  <c r="W275" i="22"/>
  <c r="P274" i="58"/>
  <c r="H282" i="67"/>
  <c r="W278" i="22"/>
  <c r="P277" i="58"/>
  <c r="H285" i="67"/>
  <c r="W281" i="22"/>
  <c r="P280" i="58"/>
  <c r="H288" i="67"/>
  <c r="W284" i="22"/>
  <c r="P283" i="58"/>
  <c r="H291" i="67"/>
  <c r="W296" i="22"/>
  <c r="P295" i="58"/>
  <c r="H304" i="67"/>
  <c r="U300" i="22"/>
  <c r="Q299" i="58"/>
  <c r="N308" i="67"/>
  <c r="Q307" i="22"/>
  <c r="E315" i="67"/>
  <c r="CP326" i="103"/>
  <c r="CR326" i="103" s="1"/>
  <c r="AI324" i="22"/>
  <c r="H327" i="22"/>
  <c r="O326" i="103"/>
  <c r="E320" i="22"/>
  <c r="H319" i="103"/>
  <c r="E319" i="103" s="1"/>
  <c r="CI332" i="103"/>
  <c r="CK332" i="103" s="1"/>
  <c r="F309" i="22"/>
  <c r="I150" i="23"/>
  <c r="D308" i="58"/>
  <c r="K311" i="22"/>
  <c r="L311" i="22" s="1"/>
  <c r="U152" i="23"/>
  <c r="F310" i="58"/>
  <c r="U310" i="103"/>
  <c r="Y313" i="22"/>
  <c r="O312" i="58"/>
  <c r="C321" i="67"/>
  <c r="K320" i="22"/>
  <c r="L320" i="22" s="1"/>
  <c r="F319" i="58"/>
  <c r="U319" i="103"/>
  <c r="AK300" i="22"/>
  <c r="AK306" i="22"/>
  <c r="AK312" i="22"/>
  <c r="C317" i="22"/>
  <c r="C316" i="58"/>
  <c r="I321" i="22"/>
  <c r="E320" i="58"/>
  <c r="Y320" i="58" s="1"/>
  <c r="R320" i="103"/>
  <c r="C326" i="22"/>
  <c r="C325" i="58"/>
  <c r="I330" i="22"/>
  <c r="E329" i="58"/>
  <c r="Y329" i="58" s="1"/>
  <c r="R329" i="103"/>
  <c r="H301" i="22"/>
  <c r="N142" i="23"/>
  <c r="O300" i="103"/>
  <c r="BB302" i="103"/>
  <c r="H310" i="22"/>
  <c r="N151" i="23"/>
  <c r="O309" i="103"/>
  <c r="AI319" i="22"/>
  <c r="H322" i="22"/>
  <c r="O321" i="103"/>
  <c r="Q327" i="22"/>
  <c r="E336" i="67"/>
  <c r="F307" i="22"/>
  <c r="I148" i="23"/>
  <c r="D306" i="58"/>
  <c r="K309" i="22"/>
  <c r="L309" i="22" s="1"/>
  <c r="U150" i="23"/>
  <c r="F308" i="58"/>
  <c r="U308" i="103"/>
  <c r="Y311" i="22"/>
  <c r="O310" i="58"/>
  <c r="C319" i="67"/>
  <c r="F325" i="22"/>
  <c r="D324" i="58"/>
  <c r="S327" i="22"/>
  <c r="K336" i="67"/>
  <c r="C312" i="22"/>
  <c r="C153" i="23"/>
  <c r="C311" i="58"/>
  <c r="AA314" i="22"/>
  <c r="D322" i="67"/>
  <c r="M322" i="67"/>
  <c r="AI320" i="22"/>
  <c r="H323" i="22"/>
  <c r="O322" i="103"/>
  <c r="Q328" i="22"/>
  <c r="E337" i="67"/>
  <c r="P305" i="67"/>
  <c r="BL296" i="103"/>
  <c r="CP303" i="103"/>
  <c r="CQ303" i="103" s="1"/>
  <c r="E307" i="22"/>
  <c r="H148" i="23"/>
  <c r="H306" i="103"/>
  <c r="E306" i="103" s="1"/>
  <c r="P317" i="67"/>
  <c r="BL308" i="103"/>
  <c r="BC386" i="103"/>
  <c r="CP315" i="103"/>
  <c r="CR315" i="103" s="1"/>
  <c r="W327" i="22"/>
  <c r="P326" i="58"/>
  <c r="H336" i="67"/>
  <c r="F332" i="22"/>
  <c r="D331" i="58"/>
  <c r="AI344" i="22"/>
  <c r="F302" i="22"/>
  <c r="I143" i="23"/>
  <c r="D301" i="58"/>
  <c r="K304" i="22"/>
  <c r="L304" i="22" s="1"/>
  <c r="U145" i="23"/>
  <c r="F303" i="58"/>
  <c r="U303" i="103"/>
  <c r="Y306" i="22"/>
  <c r="O305" i="58"/>
  <c r="C314" i="67"/>
  <c r="BM311" i="103"/>
  <c r="F317" i="22"/>
  <c r="D316" i="58"/>
  <c r="S319" i="22"/>
  <c r="K328" i="67"/>
  <c r="F329" i="22"/>
  <c r="D328" i="58"/>
  <c r="AM335" i="103"/>
  <c r="E344" i="22"/>
  <c r="H343" i="103"/>
  <c r="E343" i="103" s="1"/>
  <c r="CB387" i="103"/>
  <c r="W349" i="22"/>
  <c r="P348" i="58"/>
  <c r="H359" i="67"/>
  <c r="CP352" i="103"/>
  <c r="W361" i="22"/>
  <c r="P360" i="58"/>
  <c r="H371" i="67"/>
  <c r="CP364" i="103"/>
  <c r="Y334" i="22"/>
  <c r="O333" i="58"/>
  <c r="C343" i="67"/>
  <c r="CI338" i="103"/>
  <c r="CL338" i="103" s="1"/>
  <c r="Y346" i="22"/>
  <c r="O345" i="58"/>
  <c r="C356" i="67"/>
  <c r="AJ387" i="103"/>
  <c r="K353" i="22"/>
  <c r="L353" i="22" s="1"/>
  <c r="F352" i="58"/>
  <c r="U352" i="103"/>
  <c r="Y355" i="22"/>
  <c r="O354" i="58"/>
  <c r="C365" i="67"/>
  <c r="K362" i="22"/>
  <c r="L362" i="22" s="1"/>
  <c r="F361" i="58"/>
  <c r="U361" i="103"/>
  <c r="Y364" i="22"/>
  <c r="O363" i="58"/>
  <c r="C374" i="67"/>
  <c r="C335" i="22"/>
  <c r="C334" i="58"/>
  <c r="I339" i="22"/>
  <c r="E338" i="58"/>
  <c r="Y338" i="58" s="1"/>
  <c r="R338" i="103"/>
  <c r="C344" i="22"/>
  <c r="C343" i="58"/>
  <c r="I348" i="22"/>
  <c r="E347" i="58"/>
  <c r="Y347" i="58" s="1"/>
  <c r="R347" i="103"/>
  <c r="C359" i="22"/>
  <c r="C358" i="58"/>
  <c r="AA361" i="22"/>
  <c r="M371" i="67"/>
  <c r="D371" i="67"/>
  <c r="BD368" i="103"/>
  <c r="U338" i="22"/>
  <c r="Q337" i="58"/>
  <c r="N347" i="67"/>
  <c r="U353" i="22"/>
  <c r="Q352" i="58"/>
  <c r="N363" i="67"/>
  <c r="AI355" i="22"/>
  <c r="U365" i="22"/>
  <c r="Q364" i="58"/>
  <c r="N375" i="67"/>
  <c r="AI367" i="22"/>
  <c r="CP338" i="103"/>
  <c r="CR338" i="103" s="1"/>
  <c r="E357" i="22"/>
  <c r="E369" i="22"/>
  <c r="K345" i="22"/>
  <c r="L345" i="22" s="1"/>
  <c r="F344" i="58"/>
  <c r="U344" i="103"/>
  <c r="F352" i="22"/>
  <c r="D351" i="58"/>
  <c r="S354" i="22"/>
  <c r="K364" i="67"/>
  <c r="F361" i="22"/>
  <c r="D360" i="58"/>
  <c r="S363" i="22"/>
  <c r="K373" i="67"/>
  <c r="F370" i="22"/>
  <c r="D369" i="58"/>
  <c r="AS387" i="103"/>
  <c r="BD348" i="103"/>
  <c r="I364" i="22"/>
  <c r="E363" i="58"/>
  <c r="Y363" i="58" s="1"/>
  <c r="R363" i="103"/>
  <c r="Q364" i="22"/>
  <c r="E374" i="67"/>
  <c r="CP339" i="103"/>
  <c r="CR339" i="103" s="1"/>
  <c r="E358" i="22"/>
  <c r="E370" i="22"/>
  <c r="K343" i="22"/>
  <c r="L343" i="22" s="1"/>
  <c r="F342" i="58"/>
  <c r="U342" i="103"/>
  <c r="AA339" i="22"/>
  <c r="M348" i="67"/>
  <c r="D348" i="67"/>
  <c r="I356" i="22"/>
  <c r="E355" i="58"/>
  <c r="Y355" i="58" s="1"/>
  <c r="R355" i="103"/>
  <c r="C367" i="22"/>
  <c r="C366" i="58"/>
  <c r="AA369" i="22"/>
  <c r="D379" i="67"/>
  <c r="M379" i="67"/>
  <c r="AI342" i="22"/>
  <c r="H345" i="22"/>
  <c r="O344" i="103"/>
  <c r="H357" i="22"/>
  <c r="H369" i="22"/>
  <c r="E376" i="22"/>
  <c r="BD373" i="103"/>
  <c r="U376" i="22"/>
  <c r="Q375" i="58"/>
  <c r="N386" i="67"/>
  <c r="AC17" i="68" s="1"/>
  <c r="W376" i="22"/>
  <c r="P375" i="58"/>
  <c r="H386" i="67"/>
  <c r="AC11" i="68" s="1"/>
  <c r="Y373" i="22"/>
  <c r="O372" i="58"/>
  <c r="C383" i="67"/>
  <c r="W7" i="68" s="1"/>
  <c r="S372" i="22"/>
  <c r="K382" i="67"/>
  <c r="U14" i="68" s="1"/>
  <c r="W37" i="22"/>
  <c r="P36" i="58"/>
  <c r="H36" i="67"/>
  <c r="Q32" i="22"/>
  <c r="E31" i="67"/>
  <c r="C13" i="22"/>
  <c r="C12" i="58"/>
  <c r="Y43" i="22"/>
  <c r="O42" i="58"/>
  <c r="C43" i="67"/>
  <c r="AJ377" i="103"/>
  <c r="K41" i="22"/>
  <c r="L41" i="22" s="1"/>
  <c r="F40" i="58"/>
  <c r="U40" i="103"/>
  <c r="C25" i="22"/>
  <c r="C24" i="58"/>
  <c r="AG20" i="22"/>
  <c r="CI19" i="103"/>
  <c r="CK19" i="103" s="1"/>
  <c r="AR376" i="103"/>
  <c r="U19" i="22"/>
  <c r="Q18" i="58"/>
  <c r="N18" i="67"/>
  <c r="F35" i="22"/>
  <c r="D34" i="58"/>
  <c r="S28" i="22"/>
  <c r="K27" i="67"/>
  <c r="F26" i="22"/>
  <c r="D25" i="58"/>
  <c r="E19" i="22"/>
  <c r="H18" i="103"/>
  <c r="Y53" i="22"/>
  <c r="O52" i="58"/>
  <c r="C53" i="67"/>
  <c r="BD53" i="103"/>
  <c r="H42" i="22"/>
  <c r="O41" i="103"/>
  <c r="K37" i="22"/>
  <c r="L37" i="22" s="1"/>
  <c r="F36" i="58"/>
  <c r="U36" i="103"/>
  <c r="E25" i="22"/>
  <c r="H24" i="103"/>
  <c r="E24" i="103" s="1"/>
  <c r="H20" i="22"/>
  <c r="O19" i="103"/>
  <c r="CA376" i="103"/>
  <c r="U41" i="22"/>
  <c r="Q40" i="58"/>
  <c r="N40" i="67"/>
  <c r="H15" i="22"/>
  <c r="O14" i="103"/>
  <c r="Y55" i="22"/>
  <c r="O54" i="58"/>
  <c r="C55" i="67"/>
  <c r="AI48" i="22"/>
  <c r="H35" i="22"/>
  <c r="O34" i="103"/>
  <c r="H23" i="22"/>
  <c r="O22" i="103"/>
  <c r="AO376" i="103"/>
  <c r="BD12" i="103"/>
  <c r="W47" i="22"/>
  <c r="P46" i="58"/>
  <c r="H47" i="67"/>
  <c r="C30" i="22"/>
  <c r="C29" i="58"/>
  <c r="S18" i="22"/>
  <c r="K17" i="67"/>
  <c r="F16" i="22"/>
  <c r="D15" i="58"/>
  <c r="AI46" i="22"/>
  <c r="I53" i="22"/>
  <c r="E52" i="58"/>
  <c r="Y52" i="58" s="1"/>
  <c r="R52" i="103"/>
  <c r="AA51" i="22"/>
  <c r="D51" i="67"/>
  <c r="M51" i="67"/>
  <c r="CP45" i="103"/>
  <c r="AM43" i="103"/>
  <c r="W28" i="22"/>
  <c r="P27" i="58"/>
  <c r="H27" i="67"/>
  <c r="U42" i="22"/>
  <c r="Q41" i="58"/>
  <c r="N41" i="67"/>
  <c r="E33" i="22"/>
  <c r="H32" i="103"/>
  <c r="E32" i="103" s="1"/>
  <c r="E21" i="22"/>
  <c r="H20" i="103"/>
  <c r="E20" i="103" s="1"/>
  <c r="BC22" i="103"/>
  <c r="X345" i="58"/>
  <c r="X387" i="58" s="1"/>
  <c r="T387" i="58"/>
  <c r="T400" i="58"/>
  <c r="S55" i="22"/>
  <c r="K55" i="67"/>
  <c r="Y38" i="22"/>
  <c r="O37" i="58"/>
  <c r="C37" i="67"/>
  <c r="Q33" i="22"/>
  <c r="E32" i="67"/>
  <c r="Q21" i="22"/>
  <c r="E20" i="67"/>
  <c r="W38" i="22"/>
  <c r="P37" i="58"/>
  <c r="H37" i="67"/>
  <c r="C26" i="22"/>
  <c r="C25" i="58"/>
  <c r="Y16" i="22"/>
  <c r="O15" i="58"/>
  <c r="C15" i="67"/>
  <c r="K14" i="22"/>
  <c r="L14" i="22" s="1"/>
  <c r="F13" i="58"/>
  <c r="U13" i="103"/>
  <c r="AA56" i="22"/>
  <c r="M56" i="67"/>
  <c r="D56" i="67"/>
  <c r="I52" i="22"/>
  <c r="E51" i="58"/>
  <c r="Y51" i="58" s="1"/>
  <c r="R51" i="103"/>
  <c r="AA50" i="22"/>
  <c r="M50" i="67"/>
  <c r="D50" i="67"/>
  <c r="AG33" i="22"/>
  <c r="CI32" i="103"/>
  <c r="CK32" i="103" s="1"/>
  <c r="AG24" i="22"/>
  <c r="CI23" i="103"/>
  <c r="CK23" i="103" s="1"/>
  <c r="E20" i="22"/>
  <c r="H19" i="103"/>
  <c r="E19" i="103" s="1"/>
  <c r="F65" i="22"/>
  <c r="D64" i="58"/>
  <c r="U67" i="22"/>
  <c r="Q66" i="58"/>
  <c r="N67" i="67"/>
  <c r="AI69" i="22"/>
  <c r="BW378" i="103"/>
  <c r="U79" i="22"/>
  <c r="Q78" i="58"/>
  <c r="N80" i="67"/>
  <c r="AI81" i="22"/>
  <c r="E89" i="22"/>
  <c r="H88" i="103"/>
  <c r="E74" i="22"/>
  <c r="H73" i="103"/>
  <c r="E86" i="22"/>
  <c r="H85" i="103"/>
  <c r="AG90" i="22"/>
  <c r="CI89" i="103"/>
  <c r="CL89" i="103" s="1"/>
  <c r="K71" i="22"/>
  <c r="L71" i="22" s="1"/>
  <c r="F70" i="58"/>
  <c r="T378" i="103"/>
  <c r="U70" i="103"/>
  <c r="Y73" i="22"/>
  <c r="O72" i="58"/>
  <c r="C74" i="67"/>
  <c r="K80" i="22"/>
  <c r="L80" i="22" s="1"/>
  <c r="F79" i="58"/>
  <c r="U79" i="103"/>
  <c r="Y82" i="22"/>
  <c r="O81" i="58"/>
  <c r="C83" i="67"/>
  <c r="W58" i="22"/>
  <c r="P57" i="58"/>
  <c r="H58" i="67"/>
  <c r="CP61" i="103"/>
  <c r="AA67" i="22"/>
  <c r="M67" i="67"/>
  <c r="D67" i="67"/>
  <c r="I69" i="22"/>
  <c r="E68" i="58"/>
  <c r="Y68" i="58" s="1"/>
  <c r="R68" i="103"/>
  <c r="AA76" i="22"/>
  <c r="D77" i="67"/>
  <c r="M77" i="67"/>
  <c r="I78" i="22"/>
  <c r="E77" i="58"/>
  <c r="Y77" i="58" s="1"/>
  <c r="R77" i="103"/>
  <c r="AA85" i="22"/>
  <c r="D86" i="67"/>
  <c r="M86" i="67"/>
  <c r="Q87" i="22"/>
  <c r="E88" i="67"/>
  <c r="AG57" i="22"/>
  <c r="CI56" i="103"/>
  <c r="CK56" i="103" s="1"/>
  <c r="AT378" i="103"/>
  <c r="H76" i="22"/>
  <c r="O75" i="103"/>
  <c r="CB378" i="103"/>
  <c r="W74" i="22"/>
  <c r="P73" i="58"/>
  <c r="H75" i="67"/>
  <c r="CP77" i="103"/>
  <c r="W86" i="22"/>
  <c r="P85" i="58"/>
  <c r="H87" i="67"/>
  <c r="W93" i="22"/>
  <c r="P92" i="58"/>
  <c r="H94" i="67"/>
  <c r="I88" i="22"/>
  <c r="E87" i="58"/>
  <c r="Y87" i="58" s="1"/>
  <c r="R87" i="103"/>
  <c r="U95" i="22"/>
  <c r="Q94" i="58"/>
  <c r="N96" i="67"/>
  <c r="E60" i="22"/>
  <c r="H59" i="103"/>
  <c r="AG61" i="22"/>
  <c r="CI60" i="103"/>
  <c r="CL60" i="103" s="1"/>
  <c r="Q70" i="22"/>
  <c r="E70" i="67"/>
  <c r="Q82" i="22"/>
  <c r="E83" i="67"/>
  <c r="W87" i="22"/>
  <c r="P86" i="58"/>
  <c r="H88" i="67"/>
  <c r="CP90" i="103"/>
  <c r="E70" i="22"/>
  <c r="H69" i="103"/>
  <c r="E82" i="22"/>
  <c r="H81" i="103"/>
  <c r="AG89" i="22"/>
  <c r="CI88" i="103"/>
  <c r="CL88" i="103" s="1"/>
  <c r="E103" i="22"/>
  <c r="U63" i="22"/>
  <c r="Q62" i="58"/>
  <c r="N63" i="67"/>
  <c r="AI65" i="22"/>
  <c r="F68" i="22"/>
  <c r="D67" i="58"/>
  <c r="S70" i="22"/>
  <c r="K70" i="67"/>
  <c r="F77" i="22"/>
  <c r="D76" i="58"/>
  <c r="S79" i="22"/>
  <c r="K80" i="67"/>
  <c r="F86" i="22"/>
  <c r="D85" i="58"/>
  <c r="E93" i="22"/>
  <c r="H92" i="103"/>
  <c r="W57" i="22"/>
  <c r="P56" i="58"/>
  <c r="H57" i="67"/>
  <c r="CP60" i="103"/>
  <c r="F104" i="22"/>
  <c r="D103" i="58"/>
  <c r="H120" i="22"/>
  <c r="O119" i="103"/>
  <c r="H133" i="22"/>
  <c r="O132" i="103"/>
  <c r="F98" i="22"/>
  <c r="D97" i="58"/>
  <c r="S100" i="22"/>
  <c r="K101" i="67"/>
  <c r="W112" i="22"/>
  <c r="P111" i="58"/>
  <c r="H114" i="67"/>
  <c r="AM113" i="103"/>
  <c r="CP115" i="103"/>
  <c r="W124" i="22"/>
  <c r="P123" i="58"/>
  <c r="H126" i="67"/>
  <c r="AM125" i="103"/>
  <c r="AA99" i="22"/>
  <c r="M100" i="67"/>
  <c r="D100" i="67"/>
  <c r="I101" i="22"/>
  <c r="E100" i="58"/>
  <c r="Y100" i="58" s="1"/>
  <c r="R100" i="103"/>
  <c r="U106" i="22"/>
  <c r="Q105" i="58"/>
  <c r="N108" i="67"/>
  <c r="AI93" i="22"/>
  <c r="AA112" i="22"/>
  <c r="D114" i="67"/>
  <c r="M114" i="67"/>
  <c r="AA124" i="22"/>
  <c r="D126" i="67"/>
  <c r="M126" i="67"/>
  <c r="W94" i="22"/>
  <c r="P93" i="58"/>
  <c r="H95" i="67"/>
  <c r="CP97" i="103"/>
  <c r="H118" i="22"/>
  <c r="O117" i="103"/>
  <c r="AG93" i="22"/>
  <c r="CI92" i="103"/>
  <c r="CK92" i="103" s="1"/>
  <c r="C107" i="22"/>
  <c r="C106" i="58"/>
  <c r="CP110" i="103"/>
  <c r="W119" i="22"/>
  <c r="P118" i="58"/>
  <c r="H121" i="67"/>
  <c r="CP122" i="103"/>
  <c r="BW380" i="103"/>
  <c r="F109" i="22"/>
  <c r="D108" i="58"/>
  <c r="J108" i="103"/>
  <c r="S111" i="22"/>
  <c r="K113" i="67"/>
  <c r="F118" i="22"/>
  <c r="D117" i="58"/>
  <c r="S120" i="22"/>
  <c r="K122" i="67"/>
  <c r="F127" i="22"/>
  <c r="D126" i="58"/>
  <c r="Q99" i="22"/>
  <c r="E100" i="67"/>
  <c r="C114" i="22"/>
  <c r="C113" i="58"/>
  <c r="C126" i="22"/>
  <c r="C125" i="58"/>
  <c r="E99" i="22"/>
  <c r="H98" i="103"/>
  <c r="H110" i="22"/>
  <c r="O109" i="103"/>
  <c r="H122" i="22"/>
  <c r="O121" i="103"/>
  <c r="AG94" i="22"/>
  <c r="CI93" i="103"/>
  <c r="CK93" i="103" s="1"/>
  <c r="BD102" i="103"/>
  <c r="U108" i="22"/>
  <c r="Q107" i="58"/>
  <c r="N110" i="67"/>
  <c r="BZ379" i="103"/>
  <c r="U105" i="22"/>
  <c r="Q104" i="58"/>
  <c r="N107" i="67"/>
  <c r="AI107" i="22"/>
  <c r="K112" i="22"/>
  <c r="L112" i="22" s="1"/>
  <c r="F111" i="58"/>
  <c r="U111" i="103"/>
  <c r="Y114" i="22"/>
  <c r="O113" i="58"/>
  <c r="C116" i="67"/>
  <c r="K121" i="22"/>
  <c r="L121" i="22" s="1"/>
  <c r="F120" i="58"/>
  <c r="U120" i="103"/>
  <c r="Y123" i="22"/>
  <c r="O122" i="58"/>
  <c r="C125" i="67"/>
  <c r="Y108" i="22"/>
  <c r="O107" i="58"/>
  <c r="C110" i="67"/>
  <c r="C118" i="22"/>
  <c r="C117" i="58"/>
  <c r="Q130" i="22"/>
  <c r="E132" i="67"/>
  <c r="H137" i="22"/>
  <c r="O136" i="103"/>
  <c r="H146" i="22"/>
  <c r="O145" i="103"/>
  <c r="H155" i="22"/>
  <c r="O154" i="103"/>
  <c r="E164" i="22"/>
  <c r="H163" i="103"/>
  <c r="W132" i="22"/>
  <c r="P131" i="58"/>
  <c r="H135" i="67"/>
  <c r="AI380" i="103"/>
  <c r="W141" i="22"/>
  <c r="P140" i="58"/>
  <c r="H144" i="67"/>
  <c r="W150" i="22"/>
  <c r="P149" i="58"/>
  <c r="H153" i="67"/>
  <c r="W159" i="22"/>
  <c r="P158" i="58"/>
  <c r="H162" i="67"/>
  <c r="AA132" i="22"/>
  <c r="M135" i="67"/>
  <c r="D135" i="67"/>
  <c r="AK380" i="103"/>
  <c r="C151" i="22"/>
  <c r="C150" i="58"/>
  <c r="I155" i="22"/>
  <c r="E154" i="58"/>
  <c r="Y154" i="58" s="1"/>
  <c r="R154" i="103"/>
  <c r="U136" i="22"/>
  <c r="Q135" i="58"/>
  <c r="N139" i="67"/>
  <c r="U145" i="22"/>
  <c r="Q144" i="58"/>
  <c r="N148" i="67"/>
  <c r="U154" i="22"/>
  <c r="Q153" i="58"/>
  <c r="N157" i="67"/>
  <c r="U163" i="22"/>
  <c r="Q162" i="58"/>
  <c r="N167" i="67"/>
  <c r="AH381" i="103"/>
  <c r="CP130" i="103"/>
  <c r="E134" i="22"/>
  <c r="H133" i="103"/>
  <c r="CP139" i="103"/>
  <c r="CQ139" i="103" s="1"/>
  <c r="E143" i="22"/>
  <c r="H142" i="103"/>
  <c r="CP148" i="103"/>
  <c r="E152" i="22"/>
  <c r="H151" i="103"/>
  <c r="CP157" i="103"/>
  <c r="E161" i="22"/>
  <c r="H160" i="103"/>
  <c r="BG381" i="103"/>
  <c r="CC381" i="103"/>
  <c r="AA142" i="22"/>
  <c r="M145" i="67"/>
  <c r="D145" i="67"/>
  <c r="C161" i="22"/>
  <c r="C160" i="58"/>
  <c r="Q141" i="22"/>
  <c r="E144" i="67"/>
  <c r="AI145" i="22"/>
  <c r="Q150" i="22"/>
  <c r="E153" i="67"/>
  <c r="AI154" i="22"/>
  <c r="Q159" i="22"/>
  <c r="E162" i="67"/>
  <c r="AI163" i="22"/>
  <c r="BS381" i="103"/>
  <c r="P143" i="67"/>
  <c r="BL139" i="103"/>
  <c r="P152" i="67"/>
  <c r="BL148" i="103"/>
  <c r="P161" i="67"/>
  <c r="BL157" i="103"/>
  <c r="Y128" i="22"/>
  <c r="O127" i="58"/>
  <c r="C130" i="67"/>
  <c r="AM132" i="22"/>
  <c r="BY380" i="103"/>
  <c r="I133" i="22"/>
  <c r="E132" i="58"/>
  <c r="Y132" i="58" s="1"/>
  <c r="R132" i="103"/>
  <c r="AA146" i="22"/>
  <c r="D149" i="67"/>
  <c r="M149" i="67"/>
  <c r="BD153" i="103"/>
  <c r="C167" i="22"/>
  <c r="C166" i="58"/>
  <c r="C179" i="22"/>
  <c r="C178" i="58"/>
  <c r="C191" i="22"/>
  <c r="C190" i="58"/>
  <c r="AW382" i="103"/>
  <c r="Q198" i="22"/>
  <c r="E203" i="67"/>
  <c r="U194" i="22"/>
  <c r="Q193" i="58"/>
  <c r="N199" i="67"/>
  <c r="E165" i="22"/>
  <c r="H164" i="103"/>
  <c r="CP170" i="103"/>
  <c r="CQ170" i="103" s="1"/>
  <c r="E174" i="22"/>
  <c r="H173" i="103"/>
  <c r="CP179" i="103"/>
  <c r="CQ179" i="103" s="1"/>
  <c r="E183" i="22"/>
  <c r="H182" i="103"/>
  <c r="CP188" i="103"/>
  <c r="CR188" i="103" s="1"/>
  <c r="E192" i="22"/>
  <c r="H191" i="103"/>
  <c r="F175" i="22"/>
  <c r="D174" i="58"/>
  <c r="K177" i="22"/>
  <c r="L177" i="22" s="1"/>
  <c r="F176" i="58"/>
  <c r="U176" i="103"/>
  <c r="Y179" i="22"/>
  <c r="O178" i="58"/>
  <c r="C183" i="67"/>
  <c r="I166" i="22"/>
  <c r="E165" i="58"/>
  <c r="Y165" i="58" s="1"/>
  <c r="R165" i="103"/>
  <c r="I178" i="22"/>
  <c r="E177" i="58"/>
  <c r="Y177" i="58" s="1"/>
  <c r="R177" i="103"/>
  <c r="I190" i="22"/>
  <c r="E189" i="58"/>
  <c r="Y189" i="58" s="1"/>
  <c r="R189" i="103"/>
  <c r="I203" i="22"/>
  <c r="E202" i="58"/>
  <c r="Y202" i="58" s="1"/>
  <c r="R202" i="103"/>
  <c r="AI194" i="22"/>
  <c r="H197" i="22"/>
  <c r="O196" i="103"/>
  <c r="CP168" i="103"/>
  <c r="CQ168" i="103" s="1"/>
  <c r="E172" i="22"/>
  <c r="H171" i="103"/>
  <c r="CP177" i="103"/>
  <c r="CQ177" i="103" s="1"/>
  <c r="E181" i="22"/>
  <c r="H180" i="103"/>
  <c r="CP186" i="103"/>
  <c r="CR186" i="103" s="1"/>
  <c r="E190" i="22"/>
  <c r="H189" i="103"/>
  <c r="I200" i="22"/>
  <c r="E199" i="58"/>
  <c r="Y199" i="58" s="1"/>
  <c r="R199" i="103"/>
  <c r="F176" i="22"/>
  <c r="D175" i="58"/>
  <c r="K178" i="22"/>
  <c r="L178" i="22" s="1"/>
  <c r="F177" i="58"/>
  <c r="U177" i="103"/>
  <c r="Y180" i="22"/>
  <c r="O179" i="58"/>
  <c r="C184" i="67"/>
  <c r="Y195" i="22"/>
  <c r="O194" i="58"/>
  <c r="C200" i="67"/>
  <c r="I170" i="22"/>
  <c r="E169" i="58"/>
  <c r="Y169" i="58" s="1"/>
  <c r="R169" i="103"/>
  <c r="I182" i="22"/>
  <c r="E181" i="58"/>
  <c r="Y181" i="58" s="1"/>
  <c r="R181" i="103"/>
  <c r="I194" i="22"/>
  <c r="E193" i="58"/>
  <c r="Y193" i="58" s="1"/>
  <c r="R193" i="103"/>
  <c r="Q167" i="22"/>
  <c r="E171" i="67"/>
  <c r="AI171" i="22"/>
  <c r="Q176" i="22"/>
  <c r="E180" i="67"/>
  <c r="AI180" i="22"/>
  <c r="Q185" i="22"/>
  <c r="E189" i="67"/>
  <c r="AI189" i="22"/>
  <c r="Q194" i="22"/>
  <c r="E199" i="67"/>
  <c r="F174" i="22"/>
  <c r="D173" i="58"/>
  <c r="K176" i="22"/>
  <c r="L176" i="22" s="1"/>
  <c r="F175" i="58"/>
  <c r="U175" i="103"/>
  <c r="Y178" i="22"/>
  <c r="O177" i="58"/>
  <c r="C182" i="67"/>
  <c r="I198" i="22"/>
  <c r="E197" i="58"/>
  <c r="Y197" i="58" s="1"/>
  <c r="R197" i="103"/>
  <c r="I237" i="22"/>
  <c r="E236" i="58"/>
  <c r="Y236" i="58" s="1"/>
  <c r="R236" i="103"/>
  <c r="Y200" i="22"/>
  <c r="O199" i="58"/>
  <c r="C205" i="67"/>
  <c r="AG205" i="22"/>
  <c r="CI204" i="103"/>
  <c r="CK204" i="103" s="1"/>
  <c r="Y212" i="22"/>
  <c r="O211" i="58"/>
  <c r="C217" i="67"/>
  <c r="AG217" i="22"/>
  <c r="CI216" i="103"/>
  <c r="CK216" i="103" s="1"/>
  <c r="Y224" i="22"/>
  <c r="O223" i="58"/>
  <c r="C230" i="67"/>
  <c r="AJ383" i="103"/>
  <c r="Q229" i="22"/>
  <c r="E235" i="67"/>
  <c r="I217" i="22"/>
  <c r="E216" i="58"/>
  <c r="Y216" i="58" s="1"/>
  <c r="R216" i="103"/>
  <c r="W228" i="22"/>
  <c r="P227" i="58"/>
  <c r="H234" i="67"/>
  <c r="Y238" i="22"/>
  <c r="O237" i="58"/>
  <c r="C244" i="67"/>
  <c r="U210" i="22"/>
  <c r="Q209" i="58"/>
  <c r="N215" i="67"/>
  <c r="CP235" i="103"/>
  <c r="CQ235" i="103" s="1"/>
  <c r="W207" i="22"/>
  <c r="P206" i="58"/>
  <c r="H212" i="67"/>
  <c r="CP210" i="103"/>
  <c r="CQ210" i="103" s="1"/>
  <c r="W219" i="22"/>
  <c r="P218" i="58"/>
  <c r="H224" i="67"/>
  <c r="CP222" i="103"/>
  <c r="CQ222" i="103" s="1"/>
  <c r="C229" i="22"/>
  <c r="C228" i="58"/>
  <c r="AA234" i="22"/>
  <c r="D240" i="67"/>
  <c r="M240" i="67"/>
  <c r="K205" i="22"/>
  <c r="L205" i="22" s="1"/>
  <c r="F204" i="58"/>
  <c r="U204" i="103"/>
  <c r="K217" i="22"/>
  <c r="L217" i="22" s="1"/>
  <c r="F216" i="58"/>
  <c r="U216" i="103"/>
  <c r="AZ383" i="103"/>
  <c r="U232" i="22"/>
  <c r="Q231" i="58"/>
  <c r="N238" i="67"/>
  <c r="I221" i="22"/>
  <c r="E220" i="58"/>
  <c r="Y220" i="58" s="1"/>
  <c r="R220" i="103"/>
  <c r="W229" i="22"/>
  <c r="P228" i="58"/>
  <c r="H235" i="67"/>
  <c r="U211" i="22"/>
  <c r="Q210" i="58"/>
  <c r="N216" i="67"/>
  <c r="AG231" i="22"/>
  <c r="CI230" i="103"/>
  <c r="CK230" i="103" s="1"/>
  <c r="W205" i="22"/>
  <c r="P204" i="58"/>
  <c r="H210" i="67"/>
  <c r="AM206" i="103"/>
  <c r="CP208" i="103"/>
  <c r="CQ208" i="103" s="1"/>
  <c r="W217" i="22"/>
  <c r="P216" i="58"/>
  <c r="H222" i="67"/>
  <c r="CP220" i="103"/>
  <c r="CR220" i="103" s="1"/>
  <c r="S383" i="103"/>
  <c r="AA232" i="22"/>
  <c r="M238" i="67"/>
  <c r="D238" i="67"/>
  <c r="F207" i="22"/>
  <c r="D206" i="58"/>
  <c r="S209" i="22"/>
  <c r="K214" i="67"/>
  <c r="F219" i="22"/>
  <c r="D218" i="58"/>
  <c r="S221" i="22"/>
  <c r="K226" i="67"/>
  <c r="Q228" i="22"/>
  <c r="E234" i="67"/>
  <c r="I210" i="22"/>
  <c r="E209" i="58"/>
  <c r="Y209" i="58" s="1"/>
  <c r="R209" i="103"/>
  <c r="E231" i="22"/>
  <c r="H230" i="103"/>
  <c r="E237" i="22"/>
  <c r="H236" i="103"/>
  <c r="U203" i="22"/>
  <c r="Q202" i="58"/>
  <c r="N208" i="67"/>
  <c r="U221" i="22"/>
  <c r="Q220" i="58"/>
  <c r="N226" i="67"/>
  <c r="AG229" i="22"/>
  <c r="CI228" i="103"/>
  <c r="CK228" i="103" s="1"/>
  <c r="W244" i="22"/>
  <c r="P243" i="58"/>
  <c r="H250" i="67"/>
  <c r="CP250" i="103"/>
  <c r="CQ250" i="103" s="1"/>
  <c r="E257" i="22"/>
  <c r="H256" i="103"/>
  <c r="C260" i="22"/>
  <c r="C259" i="58"/>
  <c r="Y275" i="22"/>
  <c r="O274" i="58"/>
  <c r="C282" i="67"/>
  <c r="Y287" i="22"/>
  <c r="O286" i="58"/>
  <c r="C295" i="67"/>
  <c r="F283" i="22"/>
  <c r="D282" i="58"/>
  <c r="U245" i="22"/>
  <c r="Q244" i="58"/>
  <c r="N251" i="67"/>
  <c r="CM254" i="103"/>
  <c r="S276" i="22"/>
  <c r="K283" i="67"/>
  <c r="AS385" i="103"/>
  <c r="U357" i="22"/>
  <c r="Q356" i="58"/>
  <c r="N367" i="67"/>
  <c r="AM246" i="103"/>
  <c r="E255" i="22"/>
  <c r="G384" i="103"/>
  <c r="H254" i="103"/>
  <c r="E258" i="22"/>
  <c r="H257" i="103"/>
  <c r="U267" i="22"/>
  <c r="Q266" i="58"/>
  <c r="N274" i="67"/>
  <c r="F241" i="22"/>
  <c r="D240" i="58"/>
  <c r="S243" i="22"/>
  <c r="K249" i="67"/>
  <c r="F253" i="22"/>
  <c r="D252" i="58"/>
  <c r="S255" i="22"/>
  <c r="K262" i="67"/>
  <c r="AF384" i="103"/>
  <c r="Q316" i="22"/>
  <c r="E325" i="67"/>
  <c r="AD386" i="103"/>
  <c r="I241" i="22"/>
  <c r="E240" i="58"/>
  <c r="Y240" i="58" s="1"/>
  <c r="R240" i="103"/>
  <c r="H260" i="22"/>
  <c r="O259" i="103"/>
  <c r="CP261" i="103"/>
  <c r="CQ261" i="103" s="1"/>
  <c r="CP264" i="103"/>
  <c r="CQ264" i="103" s="1"/>
  <c r="AG277" i="22"/>
  <c r="CI276" i="103"/>
  <c r="CL276" i="103" s="1"/>
  <c r="AI239" i="22"/>
  <c r="H242" i="22"/>
  <c r="O241" i="103"/>
  <c r="Q247" i="22"/>
  <c r="E253" i="67"/>
  <c r="V384" i="103"/>
  <c r="W258" i="22"/>
  <c r="P257" i="58"/>
  <c r="H265" i="67"/>
  <c r="W261" i="22"/>
  <c r="P260" i="58"/>
  <c r="H268" i="67"/>
  <c r="Y278" i="22"/>
  <c r="O277" i="58"/>
  <c r="C285" i="67"/>
  <c r="Y290" i="22"/>
  <c r="O289" i="58"/>
  <c r="C298" i="67"/>
  <c r="C310" i="22"/>
  <c r="C151" i="23"/>
  <c r="C309" i="58"/>
  <c r="E238" i="22"/>
  <c r="H237" i="103"/>
  <c r="E256" i="22"/>
  <c r="H255" i="103"/>
  <c r="S259" i="22"/>
  <c r="K266" i="67"/>
  <c r="C262" i="22"/>
  <c r="C261" i="58"/>
  <c r="C261" i="103"/>
  <c r="C265" i="22"/>
  <c r="C264" i="58"/>
  <c r="F292" i="22"/>
  <c r="I133" i="23"/>
  <c r="D291" i="58"/>
  <c r="Y237" i="22"/>
  <c r="O236" i="58"/>
  <c r="C243" i="67"/>
  <c r="AG242" i="22"/>
  <c r="CI241" i="103"/>
  <c r="CK241" i="103" s="1"/>
  <c r="Y249" i="22"/>
  <c r="O248" i="58"/>
  <c r="C255" i="67"/>
  <c r="AN253" i="103"/>
  <c r="U262" i="22"/>
  <c r="Q261" i="58"/>
  <c r="N269" i="67"/>
  <c r="U265" i="22"/>
  <c r="Q264" i="58"/>
  <c r="N272" i="67"/>
  <c r="S291" i="22"/>
  <c r="K299" i="67"/>
  <c r="I239" i="22"/>
  <c r="E238" i="58"/>
  <c r="Y238" i="58" s="1"/>
  <c r="R238" i="103"/>
  <c r="AI237" i="22"/>
  <c r="H240" i="22"/>
  <c r="O239" i="103"/>
  <c r="Q245" i="22"/>
  <c r="E251" i="67"/>
  <c r="AI255" i="22"/>
  <c r="BS384" i="103"/>
  <c r="W259" i="22"/>
  <c r="P258" i="58"/>
  <c r="H266" i="67"/>
  <c r="CP311" i="103"/>
  <c r="CQ311" i="103" s="1"/>
  <c r="CB385" i="103"/>
  <c r="W288" i="22"/>
  <c r="P287" i="58"/>
  <c r="H296" i="67"/>
  <c r="W314" i="22"/>
  <c r="P313" i="58"/>
  <c r="H322" i="67"/>
  <c r="AG272" i="22"/>
  <c r="CI271" i="103"/>
  <c r="CL271" i="103" s="1"/>
  <c r="F275" i="22"/>
  <c r="D274" i="58"/>
  <c r="S280" i="22"/>
  <c r="K287" i="67"/>
  <c r="K283" i="22"/>
  <c r="L283" i="22" s="1"/>
  <c r="F282" i="58"/>
  <c r="U282" i="103"/>
  <c r="Q293" i="67"/>
  <c r="BQ385" i="103"/>
  <c r="F290" i="22"/>
  <c r="I131" i="23"/>
  <c r="D289" i="58"/>
  <c r="K292" i="22"/>
  <c r="L292" i="22" s="1"/>
  <c r="U133" i="23"/>
  <c r="F291" i="58"/>
  <c r="U291" i="103"/>
  <c r="Y294" i="22"/>
  <c r="O293" i="58"/>
  <c r="C302" i="67"/>
  <c r="CP295" i="103"/>
  <c r="CQ295" i="103" s="1"/>
  <c r="C307" i="22"/>
  <c r="C148" i="23"/>
  <c r="C306" i="58"/>
  <c r="CD385" i="103"/>
  <c r="AK287" i="22"/>
  <c r="AK293" i="22"/>
  <c r="AK298" i="22"/>
  <c r="AI267" i="22"/>
  <c r="AI270" i="22"/>
  <c r="AI273" i="22"/>
  <c r="AI276" i="22"/>
  <c r="AI279" i="22"/>
  <c r="AI282" i="22"/>
  <c r="U292" i="22"/>
  <c r="Q291" i="58"/>
  <c r="N300" i="67"/>
  <c r="AI305" i="22"/>
  <c r="E287" i="22"/>
  <c r="H128" i="23"/>
  <c r="H286" i="103"/>
  <c r="P297" i="67"/>
  <c r="BL288" i="103"/>
  <c r="AK305" i="22"/>
  <c r="Y274" i="22"/>
  <c r="O273" i="58"/>
  <c r="C281" i="67"/>
  <c r="AZ385" i="103"/>
  <c r="BM288" i="103"/>
  <c r="AM293" i="22"/>
  <c r="W299" i="22"/>
  <c r="P298" i="58"/>
  <c r="H307" i="67"/>
  <c r="BT386" i="103"/>
  <c r="CP296" i="103"/>
  <c r="CR296" i="103" s="1"/>
  <c r="AK301" i="22"/>
  <c r="BW386" i="103"/>
  <c r="W329" i="22"/>
  <c r="P328" i="58"/>
  <c r="H338" i="67"/>
  <c r="U269" i="22"/>
  <c r="Q268" i="58"/>
  <c r="N276" i="67"/>
  <c r="U272" i="22"/>
  <c r="Q271" i="58"/>
  <c r="N279" i="67"/>
  <c r="U275" i="22"/>
  <c r="Q274" i="58"/>
  <c r="N282" i="67"/>
  <c r="U278" i="22"/>
  <c r="Q277" i="58"/>
  <c r="N285" i="67"/>
  <c r="U281" i="22"/>
  <c r="Q280" i="58"/>
  <c r="N288" i="67"/>
  <c r="U284" i="22"/>
  <c r="Q283" i="58"/>
  <c r="N291" i="67"/>
  <c r="AI286" i="22"/>
  <c r="Q291" i="22"/>
  <c r="E299" i="67"/>
  <c r="AI295" i="22"/>
  <c r="H314" i="22"/>
  <c r="O313" i="103"/>
  <c r="BB315" i="103"/>
  <c r="U310" i="22"/>
  <c r="Q309" i="58"/>
  <c r="N318" i="67"/>
  <c r="CA386" i="103"/>
  <c r="U322" i="22"/>
  <c r="Q321" i="58"/>
  <c r="N331" i="67"/>
  <c r="CP304" i="103"/>
  <c r="CQ304" i="103" s="1"/>
  <c r="E308" i="22"/>
  <c r="H149" i="23"/>
  <c r="H307" i="103"/>
  <c r="E307" i="103" s="1"/>
  <c r="P318" i="67"/>
  <c r="BL309" i="103"/>
  <c r="CP316" i="103"/>
  <c r="CR316" i="103" s="1"/>
  <c r="W328" i="22"/>
  <c r="P327" i="58"/>
  <c r="H337" i="67"/>
  <c r="BM297" i="103"/>
  <c r="AM302" i="22"/>
  <c r="S311" i="22"/>
  <c r="K319" i="67"/>
  <c r="F318" i="22"/>
  <c r="D317" i="58"/>
  <c r="S320" i="22"/>
  <c r="K329" i="67"/>
  <c r="F330" i="22"/>
  <c r="D329" i="58"/>
  <c r="C332" i="22"/>
  <c r="C331" i="58"/>
  <c r="C299" i="22"/>
  <c r="C140" i="23"/>
  <c r="C298" i="58"/>
  <c r="AA301" i="22"/>
  <c r="D309" i="67"/>
  <c r="M309" i="67"/>
  <c r="C305" i="22"/>
  <c r="C146" i="23"/>
  <c r="C304" i="58"/>
  <c r="C6" i="104"/>
  <c r="AA307" i="22"/>
  <c r="D315" i="67"/>
  <c r="M315" i="67"/>
  <c r="C311" i="22"/>
  <c r="C152" i="23"/>
  <c r="C310" i="58"/>
  <c r="AA313" i="22"/>
  <c r="D321" i="67"/>
  <c r="M321" i="67"/>
  <c r="Q333" i="22"/>
  <c r="E342" i="67"/>
  <c r="U317" i="22"/>
  <c r="Q316" i="58"/>
  <c r="N326" i="67"/>
  <c r="K333" i="22"/>
  <c r="L333" i="22" s="1"/>
  <c r="F332" i="58"/>
  <c r="U332" i="103"/>
  <c r="BM295" i="103"/>
  <c r="AM300" i="22"/>
  <c r="AN306" i="103"/>
  <c r="S309" i="22"/>
  <c r="K317" i="67"/>
  <c r="Y320" i="22"/>
  <c r="O319" i="58"/>
  <c r="C329" i="67"/>
  <c r="Q352" i="22"/>
  <c r="E362" i="67"/>
  <c r="AA323" i="22"/>
  <c r="D332" i="67"/>
  <c r="M332" i="67"/>
  <c r="U318" i="22"/>
  <c r="Q317" i="58"/>
  <c r="N327" i="67"/>
  <c r="BB327" i="103"/>
  <c r="W300" i="22"/>
  <c r="P299" i="58"/>
  <c r="H308" i="67"/>
  <c r="W312" i="22"/>
  <c r="P311" i="58"/>
  <c r="H320" i="67"/>
  <c r="E322" i="22"/>
  <c r="H321" i="103"/>
  <c r="E321" i="103" s="1"/>
  <c r="CI331" i="103"/>
  <c r="CK331" i="103" s="1"/>
  <c r="AT387" i="103"/>
  <c r="S304" i="22"/>
  <c r="K312" i="67"/>
  <c r="Y324" i="22"/>
  <c r="O323" i="58"/>
  <c r="C333" i="67"/>
  <c r="AN328" i="103"/>
  <c r="H338" i="22"/>
  <c r="O337" i="103"/>
  <c r="W334" i="22"/>
  <c r="P333" i="58"/>
  <c r="H343" i="67"/>
  <c r="CP340" i="103"/>
  <c r="CN387" i="103"/>
  <c r="K344" i="22"/>
  <c r="L344" i="22" s="1"/>
  <c r="F343" i="58"/>
  <c r="U343" i="103"/>
  <c r="F351" i="22"/>
  <c r="D350" i="58"/>
  <c r="S353" i="22"/>
  <c r="K363" i="67"/>
  <c r="F360" i="22"/>
  <c r="D359" i="58"/>
  <c r="S362" i="22"/>
  <c r="K372" i="67"/>
  <c r="F369" i="22"/>
  <c r="D368" i="58"/>
  <c r="I363" i="22"/>
  <c r="E362" i="58"/>
  <c r="Y362" i="58" s="1"/>
  <c r="R362" i="103"/>
  <c r="AI343" i="22"/>
  <c r="H346" i="22"/>
  <c r="N387" i="103"/>
  <c r="H358" i="22"/>
  <c r="H370" i="22"/>
  <c r="AM336" i="103"/>
  <c r="E345" i="22"/>
  <c r="H344" i="103"/>
  <c r="E344" i="103" s="1"/>
  <c r="W350" i="22"/>
  <c r="P349" i="58"/>
  <c r="H360" i="67"/>
  <c r="CP353" i="103"/>
  <c r="CQ353" i="103" s="1"/>
  <c r="W362" i="22"/>
  <c r="P361" i="58"/>
  <c r="H372" i="67"/>
  <c r="CP365" i="103"/>
  <c r="F343" i="22"/>
  <c r="D342" i="58"/>
  <c r="S345" i="22"/>
  <c r="K354" i="67"/>
  <c r="CI351" i="103"/>
  <c r="CK351" i="103" s="1"/>
  <c r="CI369" i="103"/>
  <c r="CL369" i="103" s="1"/>
  <c r="AA341" i="22"/>
  <c r="D350" i="67"/>
  <c r="M350" i="67"/>
  <c r="BE387" i="103"/>
  <c r="C354" i="22"/>
  <c r="C353" i="58"/>
  <c r="AA356" i="22"/>
  <c r="D366" i="67"/>
  <c r="M366" i="67"/>
  <c r="U369" i="22"/>
  <c r="Q368" i="58"/>
  <c r="N379" i="67"/>
  <c r="E346" i="22"/>
  <c r="G387" i="103"/>
  <c r="W351" i="22"/>
  <c r="P350" i="58"/>
  <c r="H361" i="67"/>
  <c r="CP354" i="103"/>
  <c r="CQ354" i="103" s="1"/>
  <c r="W363" i="22"/>
  <c r="P362" i="58"/>
  <c r="H373" i="67"/>
  <c r="CP366" i="103"/>
  <c r="F341" i="22"/>
  <c r="D340" i="58"/>
  <c r="S343" i="22"/>
  <c r="K352" i="67"/>
  <c r="C337" i="22"/>
  <c r="C336" i="58"/>
  <c r="I341" i="22"/>
  <c r="E340" i="58"/>
  <c r="Y340" i="58" s="1"/>
  <c r="R340" i="103"/>
  <c r="C346" i="22"/>
  <c r="C345" i="58"/>
  <c r="I387" i="103"/>
  <c r="AA348" i="22"/>
  <c r="M358" i="67"/>
  <c r="D358" i="67"/>
  <c r="BD355" i="103"/>
  <c r="Q371" i="22"/>
  <c r="E381" i="67"/>
  <c r="S8" i="68" s="1"/>
  <c r="U340" i="22"/>
  <c r="Q339" i="58"/>
  <c r="N349" i="67"/>
  <c r="AX387" i="103"/>
  <c r="Q350" i="22"/>
  <c r="E360" i="67"/>
  <c r="Q362" i="22"/>
  <c r="E372" i="67"/>
  <c r="CP370" i="103"/>
  <c r="CP372" i="103"/>
  <c r="K373" i="22"/>
  <c r="L373" i="22" s="1"/>
  <c r="F372" i="58"/>
  <c r="U372" i="103"/>
  <c r="Y375" i="22"/>
  <c r="O374" i="58"/>
  <c r="C385" i="67"/>
  <c r="AA7" i="68" s="1"/>
  <c r="AA373" i="22"/>
  <c r="M383" i="67"/>
  <c r="W16" i="68" s="1"/>
  <c r="D383" i="67"/>
  <c r="E375" i="22"/>
  <c r="Q373" i="22"/>
  <c r="E383" i="67"/>
  <c r="W8" i="68" s="1"/>
  <c r="BD38" i="103"/>
  <c r="H27" i="22"/>
  <c r="O26" i="103"/>
  <c r="BD16" i="103"/>
  <c r="AA15" i="22"/>
  <c r="D14" i="67"/>
  <c r="CD376" i="103"/>
  <c r="AI52" i="22"/>
  <c r="U50" i="22"/>
  <c r="Q49" i="58"/>
  <c r="N50" i="67"/>
  <c r="BD28" i="103"/>
  <c r="AA27" i="22"/>
  <c r="D26" i="67"/>
  <c r="F20" i="22"/>
  <c r="D19" i="58"/>
  <c r="S13" i="22"/>
  <c r="K12" i="67"/>
  <c r="H18" i="22"/>
  <c r="O17" i="103"/>
  <c r="H55" i="22"/>
  <c r="O54" i="103"/>
  <c r="C53" i="22"/>
  <c r="C52" i="58"/>
  <c r="AM38" i="103"/>
  <c r="C37" i="22"/>
  <c r="C36" i="58"/>
  <c r="Y30" i="22"/>
  <c r="O29" i="58"/>
  <c r="C29" i="67"/>
  <c r="K28" i="22"/>
  <c r="L28" i="22" s="1"/>
  <c r="F27" i="58"/>
  <c r="U27" i="103"/>
  <c r="Y21" i="22"/>
  <c r="O20" i="58"/>
  <c r="C20" i="67"/>
  <c r="F52" i="22"/>
  <c r="D51" i="58"/>
  <c r="I54" i="22"/>
  <c r="E53" i="58"/>
  <c r="Y53" i="58" s="1"/>
  <c r="R53" i="103"/>
  <c r="AP377" i="103"/>
  <c r="AI39" i="22"/>
  <c r="AI17" i="22"/>
  <c r="U15" i="22"/>
  <c r="Q14" i="58"/>
  <c r="N14" i="67"/>
  <c r="H40" i="22"/>
  <c r="O39" i="103"/>
  <c r="CP49" i="103"/>
  <c r="BZ377" i="103"/>
  <c r="BD40" i="103"/>
  <c r="AA39" i="22"/>
  <c r="D38" i="67"/>
  <c r="AI32" i="22"/>
  <c r="U30" i="22"/>
  <c r="Q29" i="58"/>
  <c r="N29" i="67"/>
  <c r="I13" i="22"/>
  <c r="E12" i="58"/>
  <c r="Y12" i="58" s="1"/>
  <c r="R12" i="103"/>
  <c r="H51" i="22"/>
  <c r="O50" i="103"/>
  <c r="C49" i="22"/>
  <c r="C48" i="58"/>
  <c r="BD33" i="103"/>
  <c r="AA32" i="22"/>
  <c r="D31" i="67"/>
  <c r="BD21" i="103"/>
  <c r="Y20" i="22"/>
  <c r="O19" i="58"/>
  <c r="C19" i="67"/>
  <c r="K18" i="22"/>
  <c r="L18" i="22" s="1"/>
  <c r="F17" i="58"/>
  <c r="U17" i="103"/>
  <c r="BB19" i="103"/>
  <c r="BX377" i="103"/>
  <c r="AN24" i="103"/>
  <c r="BC14" i="103"/>
  <c r="F49" i="22"/>
  <c r="D48" i="58"/>
  <c r="J48" i="103"/>
  <c r="AI44" i="22"/>
  <c r="AN36" i="103"/>
  <c r="H16" i="22"/>
  <c r="O15" i="103"/>
  <c r="T378" i="58"/>
  <c r="T391" i="58"/>
  <c r="X70" i="58"/>
  <c r="X378" i="58" s="1"/>
  <c r="K55" i="22"/>
  <c r="L55" i="22" s="1"/>
  <c r="F54" i="58"/>
  <c r="U54" i="103"/>
  <c r="AI47" i="22"/>
  <c r="I40" i="22"/>
  <c r="E39" i="58"/>
  <c r="Y39" i="58" s="1"/>
  <c r="R39" i="103"/>
  <c r="H28" i="22"/>
  <c r="O27" i="103"/>
  <c r="C14" i="22"/>
  <c r="C13" i="58"/>
  <c r="AI53" i="22"/>
  <c r="U51" i="22"/>
  <c r="Q50" i="58"/>
  <c r="N51" i="67"/>
  <c r="AG40" i="22"/>
  <c r="CI39" i="103"/>
  <c r="CL39" i="103" s="1"/>
  <c r="BD29" i="103"/>
  <c r="AA28" i="22"/>
  <c r="D27" i="67"/>
  <c r="I55" i="22"/>
  <c r="E54" i="58"/>
  <c r="Y54" i="58" s="1"/>
  <c r="R54" i="103"/>
  <c r="E29" i="22"/>
  <c r="H28" i="103"/>
  <c r="E28" i="103" s="1"/>
  <c r="U54" i="22"/>
  <c r="Q53" i="58"/>
  <c r="N54" i="67"/>
  <c r="Y47" i="22"/>
  <c r="O46" i="58"/>
  <c r="C47" i="67"/>
  <c r="CP38" i="103"/>
  <c r="CR38" i="103" s="1"/>
  <c r="S35" i="22"/>
  <c r="K34" i="67"/>
  <c r="F33" i="22"/>
  <c r="D32" i="58"/>
  <c r="S26" i="22"/>
  <c r="K25" i="67"/>
  <c r="F24" i="22"/>
  <c r="D23" i="58"/>
  <c r="AY376" i="103"/>
  <c r="AG65" i="22"/>
  <c r="CI64" i="103"/>
  <c r="CK64" i="103" s="1"/>
  <c r="H72" i="22"/>
  <c r="O71" i="103"/>
  <c r="H84" i="22"/>
  <c r="O83" i="103"/>
  <c r="AA60" i="22"/>
  <c r="M60" i="67"/>
  <c r="D60" i="67"/>
  <c r="I62" i="22"/>
  <c r="E61" i="58"/>
  <c r="Y61" i="58" s="1"/>
  <c r="R61" i="103"/>
  <c r="W67" i="22"/>
  <c r="P66" i="58"/>
  <c r="H67" i="67"/>
  <c r="AM68" i="103"/>
  <c r="W79" i="22"/>
  <c r="P78" i="58"/>
  <c r="H80" i="67"/>
  <c r="AM80" i="103"/>
  <c r="CP82" i="103"/>
  <c r="Q59" i="22"/>
  <c r="E59" i="67"/>
  <c r="F69" i="22"/>
  <c r="D68" i="58"/>
  <c r="S71" i="22"/>
  <c r="K72" i="67"/>
  <c r="AF378" i="103"/>
  <c r="F78" i="22"/>
  <c r="D77" i="58"/>
  <c r="S80" i="22"/>
  <c r="K81" i="67"/>
  <c r="I87" i="22"/>
  <c r="E86" i="58"/>
  <c r="Y86" i="58" s="1"/>
  <c r="R86" i="103"/>
  <c r="BD68" i="103"/>
  <c r="C74" i="22"/>
  <c r="C73" i="58"/>
  <c r="BD77" i="103"/>
  <c r="C83" i="22"/>
  <c r="C82" i="58"/>
  <c r="Y92" i="22"/>
  <c r="O91" i="58"/>
  <c r="C93" i="67"/>
  <c r="Q69" i="22"/>
  <c r="E69" i="67"/>
  <c r="BF378" i="103"/>
  <c r="Q81" i="22"/>
  <c r="E82" i="67"/>
  <c r="CN378" i="103"/>
  <c r="H94" i="22"/>
  <c r="O93" i="103"/>
  <c r="U59" i="22"/>
  <c r="Q58" i="58"/>
  <c r="N59" i="67"/>
  <c r="AI61" i="22"/>
  <c r="Y68" i="22"/>
  <c r="O67" i="58"/>
  <c r="C68" i="67"/>
  <c r="K75" i="22"/>
  <c r="L75" i="22" s="1"/>
  <c r="F74" i="58"/>
  <c r="U74" i="103"/>
  <c r="Y77" i="22"/>
  <c r="O76" i="58"/>
  <c r="C78" i="67"/>
  <c r="K84" i="22"/>
  <c r="L84" i="22" s="1"/>
  <c r="F83" i="58"/>
  <c r="Y86" i="22"/>
  <c r="O85" i="58"/>
  <c r="C87" i="67"/>
  <c r="BD87" i="103"/>
  <c r="CP56" i="103"/>
  <c r="W65" i="22"/>
  <c r="P64" i="58"/>
  <c r="H65" i="67"/>
  <c r="Q88" i="22"/>
  <c r="E89" i="67"/>
  <c r="U75" i="22"/>
  <c r="Q74" i="58"/>
  <c r="N76" i="67"/>
  <c r="AI77" i="22"/>
  <c r="CP66" i="103"/>
  <c r="W75" i="22"/>
  <c r="P74" i="58"/>
  <c r="H76" i="67"/>
  <c r="CP78" i="103"/>
  <c r="AN67" i="103"/>
  <c r="AN76" i="103"/>
  <c r="AA69" i="22"/>
  <c r="D69" i="67"/>
  <c r="M69" i="67"/>
  <c r="I71" i="22"/>
  <c r="E70" i="58"/>
  <c r="Q378" i="103"/>
  <c r="R70" i="103"/>
  <c r="AA78" i="22"/>
  <c r="M79" i="67"/>
  <c r="D79" i="67"/>
  <c r="I80" i="22"/>
  <c r="E79" i="58"/>
  <c r="Y79" i="58" s="1"/>
  <c r="R79" i="103"/>
  <c r="H87" i="22"/>
  <c r="O86" i="103"/>
  <c r="Q113" i="22"/>
  <c r="E115" i="67"/>
  <c r="Q125" i="22"/>
  <c r="E127" i="67"/>
  <c r="AI133" i="22"/>
  <c r="AG98" i="22"/>
  <c r="CI97" i="103"/>
  <c r="CK97" i="103" s="1"/>
  <c r="BQ379" i="103"/>
  <c r="Q104" i="67"/>
  <c r="I107" i="22"/>
  <c r="E106" i="58"/>
  <c r="Y106" i="58" s="1"/>
  <c r="R106" i="103"/>
  <c r="BD91" i="103"/>
  <c r="C97" i="22"/>
  <c r="C96" i="58"/>
  <c r="Y109" i="22"/>
  <c r="O108" i="58"/>
  <c r="C111" i="67"/>
  <c r="K116" i="22"/>
  <c r="L116" i="22" s="1"/>
  <c r="F115" i="58"/>
  <c r="U115" i="103"/>
  <c r="Y118" i="22"/>
  <c r="O117" i="58"/>
  <c r="C120" i="67"/>
  <c r="K125" i="22"/>
  <c r="L125" i="22" s="1"/>
  <c r="F124" i="58"/>
  <c r="U124" i="103"/>
  <c r="Y127" i="22"/>
  <c r="O126" i="58"/>
  <c r="C129" i="67"/>
  <c r="K136" i="22"/>
  <c r="L136" i="22" s="1"/>
  <c r="F135" i="58"/>
  <c r="U135" i="103"/>
  <c r="H96" i="22"/>
  <c r="O95" i="103"/>
  <c r="C110" i="22"/>
  <c r="C109" i="58"/>
  <c r="C122" i="22"/>
  <c r="C121" i="58"/>
  <c r="Q111" i="22"/>
  <c r="E113" i="67"/>
  <c r="Q123" i="22"/>
  <c r="E125" i="67"/>
  <c r="AZ379" i="103"/>
  <c r="I93" i="22"/>
  <c r="E92" i="58"/>
  <c r="Y92" i="58" s="1"/>
  <c r="R92" i="103"/>
  <c r="AA100" i="22"/>
  <c r="D101" i="67"/>
  <c r="M101" i="67"/>
  <c r="I102" i="22"/>
  <c r="E101" i="58"/>
  <c r="Q379" i="103"/>
  <c r="R101" i="103"/>
  <c r="U107" i="22"/>
  <c r="Q106" i="58"/>
  <c r="N109" i="67"/>
  <c r="AN108" i="103"/>
  <c r="AN117" i="103"/>
  <c r="AN126" i="103"/>
  <c r="I109" i="22"/>
  <c r="E108" i="58"/>
  <c r="Y108" i="58" s="1"/>
  <c r="R108" i="103"/>
  <c r="I121" i="22"/>
  <c r="E120" i="58"/>
  <c r="Y120" i="58" s="1"/>
  <c r="R120" i="103"/>
  <c r="CP95" i="103"/>
  <c r="Q115" i="22"/>
  <c r="E117" i="67"/>
  <c r="Q127" i="22"/>
  <c r="E129" i="67"/>
  <c r="Y132" i="22"/>
  <c r="O131" i="58"/>
  <c r="C135" i="67"/>
  <c r="AJ380" i="103"/>
  <c r="E118" i="22"/>
  <c r="H117" i="103"/>
  <c r="Y135" i="22"/>
  <c r="O134" i="58"/>
  <c r="C138" i="67"/>
  <c r="F110" i="22"/>
  <c r="D109" i="58"/>
  <c r="S112" i="22"/>
  <c r="K114" i="67"/>
  <c r="F119" i="22"/>
  <c r="D118" i="58"/>
  <c r="S121" i="22"/>
  <c r="K123" i="67"/>
  <c r="F128" i="22"/>
  <c r="D127" i="58"/>
  <c r="U96" i="22"/>
  <c r="Q95" i="58"/>
  <c r="N97" i="67"/>
  <c r="AI98" i="22"/>
  <c r="I113" i="22"/>
  <c r="E112" i="58"/>
  <c r="Y112" i="58" s="1"/>
  <c r="R112" i="103"/>
  <c r="I125" i="22"/>
  <c r="E124" i="58"/>
  <c r="Y124" i="58" s="1"/>
  <c r="R124" i="103"/>
  <c r="AU380" i="103"/>
  <c r="AM142" i="103"/>
  <c r="AM160" i="103"/>
  <c r="AQ381" i="103"/>
  <c r="AM163" i="22"/>
  <c r="BY381" i="103"/>
  <c r="C130" i="22"/>
  <c r="C129" i="58"/>
  <c r="AW380" i="103"/>
  <c r="I134" i="22"/>
  <c r="E133" i="58"/>
  <c r="Y133" i="58" s="1"/>
  <c r="R133" i="103"/>
  <c r="AA147" i="22"/>
  <c r="D150" i="67"/>
  <c r="M150" i="67"/>
  <c r="BD154" i="103"/>
  <c r="BZ381" i="103"/>
  <c r="AI129" i="22"/>
  <c r="Q134" i="22"/>
  <c r="E137" i="67"/>
  <c r="AI138" i="22"/>
  <c r="Q143" i="22"/>
  <c r="E146" i="67"/>
  <c r="AI147" i="22"/>
  <c r="Q152" i="22"/>
  <c r="E155" i="67"/>
  <c r="AI156" i="22"/>
  <c r="Q161" i="22"/>
  <c r="E164" i="67"/>
  <c r="P139" i="67"/>
  <c r="BL135" i="103"/>
  <c r="P148" i="67"/>
  <c r="BL144" i="103"/>
  <c r="P157" i="67"/>
  <c r="BL153" i="103"/>
  <c r="F132" i="22"/>
  <c r="D131" i="58"/>
  <c r="P380" i="103"/>
  <c r="F138" i="22"/>
  <c r="D137" i="58"/>
  <c r="F144" i="22"/>
  <c r="D143" i="58"/>
  <c r="F150" i="22"/>
  <c r="D149" i="58"/>
  <c r="F156" i="22"/>
  <c r="D155" i="58"/>
  <c r="F162" i="22"/>
  <c r="D161" i="58"/>
  <c r="K164" i="22"/>
  <c r="L164" i="22" s="1"/>
  <c r="F163" i="58"/>
  <c r="U163" i="103"/>
  <c r="C140" i="22"/>
  <c r="C139" i="58"/>
  <c r="I144" i="22"/>
  <c r="E143" i="58"/>
  <c r="Y143" i="58" s="1"/>
  <c r="R143" i="103"/>
  <c r="AA157" i="22"/>
  <c r="D160" i="67"/>
  <c r="M160" i="67"/>
  <c r="H148" i="22"/>
  <c r="O147" i="103"/>
  <c r="H157" i="22"/>
  <c r="O156" i="103"/>
  <c r="CE381" i="103"/>
  <c r="W134" i="22"/>
  <c r="P133" i="58"/>
  <c r="H137" i="67"/>
  <c r="W143" i="22"/>
  <c r="P142" i="58"/>
  <c r="H146" i="67"/>
  <c r="W152" i="22"/>
  <c r="P151" i="58"/>
  <c r="H155" i="67"/>
  <c r="W161" i="22"/>
  <c r="P160" i="58"/>
  <c r="H164" i="67"/>
  <c r="F133" i="22"/>
  <c r="D132" i="58"/>
  <c r="F139" i="22"/>
  <c r="D138" i="58"/>
  <c r="F145" i="22"/>
  <c r="D144" i="58"/>
  <c r="F151" i="22"/>
  <c r="D150" i="58"/>
  <c r="F157" i="22"/>
  <c r="D156" i="58"/>
  <c r="F163" i="22"/>
  <c r="D162" i="58"/>
  <c r="P381" i="103"/>
  <c r="AA131" i="22"/>
  <c r="D133" i="67"/>
  <c r="M133" i="67"/>
  <c r="BD132" i="103"/>
  <c r="C144" i="22"/>
  <c r="C143" i="58"/>
  <c r="I148" i="22"/>
  <c r="E147" i="58"/>
  <c r="Y147" i="58" s="1"/>
  <c r="R147" i="103"/>
  <c r="AA161" i="22"/>
  <c r="M164" i="67"/>
  <c r="D164" i="67"/>
  <c r="I174" i="22"/>
  <c r="E173" i="58"/>
  <c r="Y173" i="58" s="1"/>
  <c r="R173" i="103"/>
  <c r="I186" i="22"/>
  <c r="E185" i="58"/>
  <c r="Y185" i="58" s="1"/>
  <c r="R185" i="103"/>
  <c r="AA196" i="22"/>
  <c r="D201" i="67"/>
  <c r="M201" i="67"/>
  <c r="U167" i="22"/>
  <c r="Q166" i="58"/>
  <c r="N171" i="67"/>
  <c r="U176" i="22"/>
  <c r="Q175" i="58"/>
  <c r="N180" i="67"/>
  <c r="U185" i="22"/>
  <c r="Q184" i="58"/>
  <c r="N189" i="67"/>
  <c r="W197" i="22"/>
  <c r="P196" i="58"/>
  <c r="H202" i="67"/>
  <c r="AG175" i="22"/>
  <c r="CI174" i="103"/>
  <c r="CK174" i="103" s="1"/>
  <c r="S177" i="22"/>
  <c r="K181" i="67"/>
  <c r="F190" i="22"/>
  <c r="D189" i="58"/>
  <c r="K192" i="22"/>
  <c r="L192" i="22" s="1"/>
  <c r="F191" i="58"/>
  <c r="U191" i="103"/>
  <c r="Y194" i="22"/>
  <c r="O193" i="58"/>
  <c r="C199" i="67"/>
  <c r="AA164" i="22"/>
  <c r="M168" i="67"/>
  <c r="D168" i="67"/>
  <c r="BD165" i="103"/>
  <c r="AA176" i="22"/>
  <c r="M180" i="67"/>
  <c r="D180" i="67"/>
  <c r="BD177" i="103"/>
  <c r="AA188" i="22"/>
  <c r="M192" i="67"/>
  <c r="D192" i="67"/>
  <c r="U198" i="22"/>
  <c r="Q197" i="58"/>
  <c r="N203" i="67"/>
  <c r="U174" i="22"/>
  <c r="Q173" i="58"/>
  <c r="N178" i="67"/>
  <c r="U183" i="22"/>
  <c r="Q182" i="58"/>
  <c r="N187" i="67"/>
  <c r="U192" i="22"/>
  <c r="Q191" i="58"/>
  <c r="N196" i="67"/>
  <c r="CP198" i="103"/>
  <c r="CQ198" i="103" s="1"/>
  <c r="W195" i="22"/>
  <c r="P194" i="58"/>
  <c r="H200" i="67"/>
  <c r="CP199" i="103"/>
  <c r="CQ199" i="103" s="1"/>
  <c r="S178" i="22"/>
  <c r="K182" i="67"/>
  <c r="F191" i="22"/>
  <c r="D190" i="58"/>
  <c r="K193" i="22"/>
  <c r="L193" i="22" s="1"/>
  <c r="F192" i="58"/>
  <c r="T382" i="103"/>
  <c r="U192" i="103"/>
  <c r="AA168" i="22"/>
  <c r="D172" i="67"/>
  <c r="M172" i="67"/>
  <c r="BD169" i="103"/>
  <c r="AA180" i="22"/>
  <c r="D184" i="67"/>
  <c r="M184" i="67"/>
  <c r="BD181" i="103"/>
  <c r="AA192" i="22"/>
  <c r="D196" i="67"/>
  <c r="M196" i="67"/>
  <c r="H165" i="22"/>
  <c r="O164" i="103"/>
  <c r="H174" i="22"/>
  <c r="O173" i="103"/>
  <c r="H183" i="22"/>
  <c r="O182" i="103"/>
  <c r="H192" i="22"/>
  <c r="O191" i="103"/>
  <c r="W166" i="22"/>
  <c r="P165" i="58"/>
  <c r="H170" i="67"/>
  <c r="W175" i="22"/>
  <c r="P174" i="58"/>
  <c r="H179" i="67"/>
  <c r="W184" i="22"/>
  <c r="P183" i="58"/>
  <c r="H188" i="67"/>
  <c r="W193" i="22"/>
  <c r="P192" i="58"/>
  <c r="H198" i="67"/>
  <c r="AI382" i="103"/>
  <c r="AM194" i="103"/>
  <c r="CP196" i="103"/>
  <c r="CQ196" i="103" s="1"/>
  <c r="S176" i="22"/>
  <c r="K180" i="67"/>
  <c r="F189" i="22"/>
  <c r="D188" i="58"/>
  <c r="K191" i="22"/>
  <c r="L191" i="22" s="1"/>
  <c r="F190" i="58"/>
  <c r="U190" i="103"/>
  <c r="Y193" i="22"/>
  <c r="O192" i="58"/>
  <c r="C198" i="67"/>
  <c r="AJ382" i="103"/>
  <c r="E207" i="22"/>
  <c r="H206" i="103"/>
  <c r="E219" i="22"/>
  <c r="H218" i="103"/>
  <c r="AM225" i="103"/>
  <c r="C234" i="22"/>
  <c r="C233" i="58"/>
  <c r="K210" i="22"/>
  <c r="L210" i="22" s="1"/>
  <c r="F209" i="58"/>
  <c r="U209" i="103"/>
  <c r="K222" i="22"/>
  <c r="L222" i="22" s="1"/>
  <c r="F221" i="58"/>
  <c r="U221" i="103"/>
  <c r="C210" i="22"/>
  <c r="C209" i="58"/>
  <c r="AA215" i="22"/>
  <c r="M220" i="67"/>
  <c r="D220" i="67"/>
  <c r="AM232" i="103"/>
  <c r="H200" i="22"/>
  <c r="O199" i="103"/>
  <c r="Q205" i="22"/>
  <c r="E210" i="67"/>
  <c r="AI215" i="22"/>
  <c r="H218" i="22"/>
  <c r="O217" i="103"/>
  <c r="Q223" i="22"/>
  <c r="E228" i="67"/>
  <c r="F233" i="22"/>
  <c r="D232" i="58"/>
  <c r="K248" i="22"/>
  <c r="L248" i="22" s="1"/>
  <c r="F247" i="58"/>
  <c r="U247" i="103"/>
  <c r="I243" i="22"/>
  <c r="E242" i="58"/>
  <c r="Y242" i="58" s="1"/>
  <c r="R242" i="103"/>
  <c r="F203" i="22"/>
  <c r="D202" i="58"/>
  <c r="S205" i="22"/>
  <c r="K210" i="67"/>
  <c r="F215" i="22"/>
  <c r="D214" i="58"/>
  <c r="S217" i="22"/>
  <c r="K222" i="67"/>
  <c r="Q227" i="22"/>
  <c r="E233" i="67"/>
  <c r="AM234" i="103"/>
  <c r="C214" i="22"/>
  <c r="C213" i="58"/>
  <c r="AA219" i="22"/>
  <c r="D224" i="67"/>
  <c r="M224" i="67"/>
  <c r="Y244" i="22"/>
  <c r="O243" i="58"/>
  <c r="C250" i="67"/>
  <c r="H201" i="22"/>
  <c r="O200" i="103"/>
  <c r="Q206" i="22"/>
  <c r="E211" i="67"/>
  <c r="AI216" i="22"/>
  <c r="H219" i="22"/>
  <c r="O218" i="103"/>
  <c r="Q224" i="22"/>
  <c r="E230" i="67"/>
  <c r="AD383" i="103"/>
  <c r="AE383" i="103"/>
  <c r="Y202" i="22"/>
  <c r="O201" i="58"/>
  <c r="C207" i="67"/>
  <c r="Y214" i="22"/>
  <c r="O213" i="58"/>
  <c r="C219" i="67"/>
  <c r="Y226" i="22"/>
  <c r="O225" i="58"/>
  <c r="C232" i="67"/>
  <c r="C203" i="22"/>
  <c r="C202" i="58"/>
  <c r="AA208" i="22"/>
  <c r="D213" i="67"/>
  <c r="M213" i="67"/>
  <c r="C221" i="22"/>
  <c r="C220" i="58"/>
  <c r="AA226" i="22"/>
  <c r="M232" i="67"/>
  <c r="D232" i="67"/>
  <c r="CP227" i="103"/>
  <c r="CQ227" i="103" s="1"/>
  <c r="AI208" i="22"/>
  <c r="H211" i="22"/>
  <c r="O210" i="103"/>
  <c r="Q216" i="22"/>
  <c r="E221" i="67"/>
  <c r="V383" i="103"/>
  <c r="AI226" i="22"/>
  <c r="K234" i="22"/>
  <c r="L234" i="22" s="1"/>
  <c r="F233" i="58"/>
  <c r="U233" i="103"/>
  <c r="E239" i="22"/>
  <c r="H238" i="103"/>
  <c r="AM248" i="103"/>
  <c r="C270" i="22"/>
  <c r="C269" i="58"/>
  <c r="I299" i="22"/>
  <c r="R140" i="23"/>
  <c r="E298" i="58"/>
  <c r="Y298" i="58" s="1"/>
  <c r="R298" i="103"/>
  <c r="K254" i="22"/>
  <c r="L254" i="22" s="1"/>
  <c r="F253" i="58"/>
  <c r="U253" i="103"/>
  <c r="U263" i="22"/>
  <c r="Q262" i="58"/>
  <c r="N270" i="67"/>
  <c r="U266" i="22"/>
  <c r="Q265" i="58"/>
  <c r="N273" i="67"/>
  <c r="K276" i="22"/>
  <c r="L276" i="22" s="1"/>
  <c r="F275" i="58"/>
  <c r="U275" i="103"/>
  <c r="BM286" i="103"/>
  <c r="I252" i="22"/>
  <c r="E251" i="58"/>
  <c r="Y251" i="58" s="1"/>
  <c r="R251" i="103"/>
  <c r="E264" i="22"/>
  <c r="H263" i="103"/>
  <c r="E267" i="22"/>
  <c r="H266" i="103"/>
  <c r="Q240" i="22"/>
  <c r="E246" i="67"/>
  <c r="AI250" i="22"/>
  <c r="H253" i="22"/>
  <c r="O252" i="103"/>
  <c r="CP257" i="103"/>
  <c r="CQ257" i="103" s="1"/>
  <c r="CP260" i="103"/>
  <c r="CQ260" i="103" s="1"/>
  <c r="K264" i="22"/>
  <c r="L264" i="22" s="1"/>
  <c r="F263" i="58"/>
  <c r="U263" i="103"/>
  <c r="AK286" i="22"/>
  <c r="I295" i="22"/>
  <c r="R136" i="23"/>
  <c r="E294" i="58"/>
  <c r="Y294" i="58" s="1"/>
  <c r="R294" i="103"/>
  <c r="W245" i="22"/>
  <c r="P244" i="58"/>
  <c r="H251" i="67"/>
  <c r="CP251" i="103"/>
  <c r="CQ251" i="103" s="1"/>
  <c r="S384" i="103"/>
  <c r="K258" i="22"/>
  <c r="L258" i="22" s="1"/>
  <c r="F257" i="58"/>
  <c r="U257" i="103"/>
  <c r="U315" i="22"/>
  <c r="Q314" i="58"/>
  <c r="N323" i="67"/>
  <c r="Y236" i="22"/>
  <c r="O235" i="58"/>
  <c r="C242" i="67"/>
  <c r="AN240" i="103"/>
  <c r="Y248" i="22"/>
  <c r="O247" i="58"/>
  <c r="C254" i="67"/>
  <c r="AN252" i="103"/>
  <c r="U264" i="22"/>
  <c r="Q263" i="58"/>
  <c r="N271" i="67"/>
  <c r="AA267" i="22"/>
  <c r="D274" i="67"/>
  <c r="M274" i="67"/>
  <c r="AA239" i="22"/>
  <c r="M245" i="67"/>
  <c r="D245" i="67"/>
  <c r="C252" i="22"/>
  <c r="C251" i="58"/>
  <c r="C291" i="22"/>
  <c r="C132" i="23"/>
  <c r="C290" i="58"/>
  <c r="C328" i="22"/>
  <c r="C327" i="58"/>
  <c r="U237" i="22"/>
  <c r="Q236" i="58"/>
  <c r="N243" i="67"/>
  <c r="U255" i="22"/>
  <c r="Q254" i="58"/>
  <c r="N262" i="67"/>
  <c r="AH384" i="103"/>
  <c r="K279" i="22"/>
  <c r="L279" i="22" s="1"/>
  <c r="F278" i="58"/>
  <c r="U278" i="103"/>
  <c r="BM289" i="103"/>
  <c r="CP234" i="103"/>
  <c r="CQ234" i="103" s="1"/>
  <c r="W246" i="22"/>
  <c r="P245" i="58"/>
  <c r="H252" i="67"/>
  <c r="CP252" i="103"/>
  <c r="CQ252" i="103" s="1"/>
  <c r="F274" i="22"/>
  <c r="D273" i="58"/>
  <c r="K247" i="22"/>
  <c r="L247" i="22" s="1"/>
  <c r="F246" i="58"/>
  <c r="U246" i="103"/>
  <c r="F257" i="22"/>
  <c r="D256" i="58"/>
  <c r="AA237" i="22"/>
  <c r="M243" i="67"/>
  <c r="D243" i="67"/>
  <c r="C250" i="22"/>
  <c r="C249" i="58"/>
  <c r="AA255" i="22"/>
  <c r="D262" i="67"/>
  <c r="M262" i="67"/>
  <c r="AK384" i="103"/>
  <c r="H258" i="22"/>
  <c r="O257" i="103"/>
  <c r="L257" i="103" s="1"/>
  <c r="H261" i="22"/>
  <c r="O260" i="103"/>
  <c r="CP262" i="103"/>
  <c r="CR262" i="103" s="1"/>
  <c r="CP265" i="103"/>
  <c r="CR265" i="103" s="1"/>
  <c r="U235" i="22"/>
  <c r="Q234" i="58"/>
  <c r="N241" i="67"/>
  <c r="U253" i="22"/>
  <c r="Q252" i="58"/>
  <c r="N259" i="67"/>
  <c r="CE384" i="103"/>
  <c r="Y262" i="22"/>
  <c r="O261" i="58"/>
  <c r="C269" i="67"/>
  <c r="Q268" i="22"/>
  <c r="E275" i="67"/>
  <c r="Q271" i="22"/>
  <c r="E278" i="67"/>
  <c r="Q274" i="22"/>
  <c r="E281" i="67"/>
  <c r="Q277" i="22"/>
  <c r="E284" i="67"/>
  <c r="Q280" i="22"/>
  <c r="E287" i="67"/>
  <c r="Q283" i="22"/>
  <c r="E290" i="67"/>
  <c r="CA385" i="103"/>
  <c r="U288" i="22"/>
  <c r="Q287" i="58"/>
  <c r="N296" i="67"/>
  <c r="I305" i="22"/>
  <c r="R146" i="23"/>
  <c r="E304" i="58"/>
  <c r="Y304" i="58" s="1"/>
  <c r="C8" i="104"/>
  <c r="R304" i="103"/>
  <c r="CN385" i="103"/>
  <c r="U306" i="22"/>
  <c r="Q305" i="58"/>
  <c r="N314" i="67"/>
  <c r="AG275" i="22"/>
  <c r="CI274" i="103"/>
  <c r="CK274" i="103" s="1"/>
  <c r="F278" i="22"/>
  <c r="D277" i="58"/>
  <c r="S283" i="22"/>
  <c r="K290" i="67"/>
  <c r="CC385" i="103"/>
  <c r="S292" i="22"/>
  <c r="K300" i="67"/>
  <c r="Q301" i="22"/>
  <c r="E309" i="67"/>
  <c r="C286" i="22"/>
  <c r="C127" i="23"/>
  <c r="C285" i="58"/>
  <c r="AA288" i="22"/>
  <c r="M296" i="67"/>
  <c r="D296" i="67"/>
  <c r="C292" i="22"/>
  <c r="C133" i="23"/>
  <c r="C291" i="58"/>
  <c r="AA294" i="22"/>
  <c r="M302" i="67"/>
  <c r="D302" i="67"/>
  <c r="AA312" i="22"/>
  <c r="M320" i="67"/>
  <c r="D320" i="67"/>
  <c r="AI285" i="22"/>
  <c r="BS385" i="103"/>
  <c r="Q290" i="22"/>
  <c r="E298" i="67"/>
  <c r="AI294" i="22"/>
  <c r="U297" i="22"/>
  <c r="Q296" i="58"/>
  <c r="N305" i="67"/>
  <c r="C306" i="22"/>
  <c r="C147" i="23"/>
  <c r="C305" i="58"/>
  <c r="I329" i="22"/>
  <c r="E328" i="58"/>
  <c r="Y328" i="58" s="1"/>
  <c r="R328" i="103"/>
  <c r="W292" i="22"/>
  <c r="P291" i="58"/>
  <c r="H300" i="67"/>
  <c r="Y277" i="22"/>
  <c r="O276" i="58"/>
  <c r="C284" i="67"/>
  <c r="F294" i="22"/>
  <c r="I135" i="23"/>
  <c r="D293" i="58"/>
  <c r="K296" i="22"/>
  <c r="L296" i="22" s="1"/>
  <c r="U137" i="23"/>
  <c r="F295" i="58"/>
  <c r="U295" i="103"/>
  <c r="I317" i="22"/>
  <c r="E316" i="58"/>
  <c r="Y316" i="58" s="1"/>
  <c r="R316" i="103"/>
  <c r="C331" i="22"/>
  <c r="C330" i="58"/>
  <c r="AK288" i="22"/>
  <c r="AK294" i="22"/>
  <c r="C298" i="22"/>
  <c r="C139" i="23"/>
  <c r="C297" i="58"/>
  <c r="H289" i="22"/>
  <c r="N130" i="23"/>
  <c r="O288" i="103"/>
  <c r="AK314" i="22"/>
  <c r="CP290" i="103"/>
  <c r="CR290" i="103" s="1"/>
  <c r="E294" i="22"/>
  <c r="H135" i="23"/>
  <c r="H293" i="103"/>
  <c r="AK307" i="22"/>
  <c r="AI303" i="22"/>
  <c r="Q308" i="22"/>
  <c r="E316" i="67"/>
  <c r="AI312" i="22"/>
  <c r="Q317" i="22"/>
  <c r="E326" i="67"/>
  <c r="AI327" i="22"/>
  <c r="H330" i="22"/>
  <c r="O329" i="103"/>
  <c r="CP331" i="103"/>
  <c r="W301" i="22"/>
  <c r="P300" i="58"/>
  <c r="H309" i="67"/>
  <c r="W313" i="22"/>
  <c r="P312" i="58"/>
  <c r="H321" i="67"/>
  <c r="E323" i="22"/>
  <c r="H322" i="103"/>
  <c r="E322" i="103" s="1"/>
  <c r="F303" i="22"/>
  <c r="I144" i="23"/>
  <c r="D302" i="58"/>
  <c r="K305" i="22"/>
  <c r="L305" i="22" s="1"/>
  <c r="U146" i="23"/>
  <c r="F304" i="58"/>
  <c r="C9" i="104"/>
  <c r="U304" i="103"/>
  <c r="Y307" i="22"/>
  <c r="O306" i="58"/>
  <c r="C315" i="67"/>
  <c r="CI317" i="103"/>
  <c r="CL317" i="103" s="1"/>
  <c r="Y325" i="22"/>
  <c r="O324" i="58"/>
  <c r="C334" i="67"/>
  <c r="CI329" i="103"/>
  <c r="CK329" i="103" s="1"/>
  <c r="U299" i="22"/>
  <c r="Q298" i="58"/>
  <c r="N307" i="67"/>
  <c r="U308" i="22"/>
  <c r="Q307" i="58"/>
  <c r="N316" i="67"/>
  <c r="AI322" i="22"/>
  <c r="H325" i="22"/>
  <c r="O324" i="103"/>
  <c r="Q330" i="22"/>
  <c r="E339" i="67"/>
  <c r="E333" i="22"/>
  <c r="H332" i="103"/>
  <c r="E332" i="103" s="1"/>
  <c r="S333" i="22"/>
  <c r="K342" i="67"/>
  <c r="F301" i="22"/>
  <c r="I142" i="23"/>
  <c r="D300" i="58"/>
  <c r="K303" i="22"/>
  <c r="L303" i="22" s="1"/>
  <c r="U144" i="23"/>
  <c r="F302" i="58"/>
  <c r="U302" i="103"/>
  <c r="Y305" i="22"/>
  <c r="O304" i="58"/>
  <c r="C313" i="67"/>
  <c r="BM310" i="103"/>
  <c r="AM315" i="22"/>
  <c r="K318" i="22"/>
  <c r="L318" i="22" s="1"/>
  <c r="F317" i="58"/>
  <c r="U317" i="103"/>
  <c r="K330" i="22"/>
  <c r="L330" i="22" s="1"/>
  <c r="F329" i="58"/>
  <c r="U329" i="103"/>
  <c r="C333" i="22"/>
  <c r="C332" i="58"/>
  <c r="I310" i="22"/>
  <c r="R151" i="23"/>
  <c r="E309" i="58"/>
  <c r="Y309" i="58" s="1"/>
  <c r="R309" i="103"/>
  <c r="I316" i="22"/>
  <c r="E315" i="58"/>
  <c r="Q386" i="103"/>
  <c r="R315" i="103"/>
  <c r="C321" i="22"/>
  <c r="C320" i="58"/>
  <c r="I325" i="22"/>
  <c r="E324" i="58"/>
  <c r="Y324" i="58" s="1"/>
  <c r="R324" i="103"/>
  <c r="C330" i="22"/>
  <c r="C329" i="58"/>
  <c r="H332" i="22"/>
  <c r="O331" i="103"/>
  <c r="BW387" i="103"/>
  <c r="AI323" i="22"/>
  <c r="H326" i="22"/>
  <c r="O325" i="103"/>
  <c r="H344" i="22"/>
  <c r="O343" i="103"/>
  <c r="BX386" i="103"/>
  <c r="CP318" i="103"/>
  <c r="CR318" i="103" s="1"/>
  <c r="W330" i="22"/>
  <c r="P329" i="58"/>
  <c r="H339" i="67"/>
  <c r="K298" i="22"/>
  <c r="L298" i="22" s="1"/>
  <c r="U139" i="23"/>
  <c r="F297" i="58"/>
  <c r="U297" i="103"/>
  <c r="Y300" i="22"/>
  <c r="O299" i="58"/>
  <c r="C308" i="67"/>
  <c r="BM305" i="103"/>
  <c r="AM310" i="22"/>
  <c r="K322" i="22"/>
  <c r="L322" i="22" s="1"/>
  <c r="F321" i="58"/>
  <c r="U321" i="103"/>
  <c r="E347" i="22"/>
  <c r="E359" i="22"/>
  <c r="E371" i="22"/>
  <c r="F342" i="22"/>
  <c r="D341" i="58"/>
  <c r="S344" i="22"/>
  <c r="K353" i="67"/>
  <c r="Q356" i="67"/>
  <c r="BQ387" i="103"/>
  <c r="CI350" i="103"/>
  <c r="CK350" i="103" s="1"/>
  <c r="CI359" i="103"/>
  <c r="CI368" i="103"/>
  <c r="BR387" i="103"/>
  <c r="C353" i="22"/>
  <c r="C352" i="58"/>
  <c r="AA355" i="22"/>
  <c r="M365" i="67"/>
  <c r="D365" i="67"/>
  <c r="BD362" i="103"/>
  <c r="U341" i="22"/>
  <c r="Q340" i="58"/>
  <c r="N350" i="67"/>
  <c r="Q351" i="22"/>
  <c r="E361" i="67"/>
  <c r="Q363" i="22"/>
  <c r="E373" i="67"/>
  <c r="W335" i="22"/>
  <c r="P334" i="58"/>
  <c r="H344" i="67"/>
  <c r="CP341" i="103"/>
  <c r="CR341" i="103" s="1"/>
  <c r="Y338" i="22"/>
  <c r="O337" i="58"/>
  <c r="C347" i="67"/>
  <c r="AN342" i="103"/>
  <c r="I334" i="22"/>
  <c r="E333" i="58"/>
  <c r="Y333" i="58" s="1"/>
  <c r="R333" i="103"/>
  <c r="C339" i="22"/>
  <c r="C338" i="58"/>
  <c r="I343" i="22"/>
  <c r="E342" i="58"/>
  <c r="Y342" i="58" s="1"/>
  <c r="R342" i="103"/>
  <c r="I358" i="22"/>
  <c r="E357" i="58"/>
  <c r="Y357" i="58" s="1"/>
  <c r="R357" i="103"/>
  <c r="C369" i="22"/>
  <c r="C368" i="58"/>
  <c r="H371" i="22"/>
  <c r="H362" i="22"/>
  <c r="W336" i="22"/>
  <c r="P335" i="58"/>
  <c r="H345" i="67"/>
  <c r="CP342" i="103"/>
  <c r="S387" i="103"/>
  <c r="Y336" i="22"/>
  <c r="O335" i="58"/>
  <c r="C345" i="67"/>
  <c r="AN340" i="103"/>
  <c r="Y348" i="22"/>
  <c r="O347" i="58"/>
  <c r="C358" i="67"/>
  <c r="K355" i="22"/>
  <c r="L355" i="22" s="1"/>
  <c r="F354" i="58"/>
  <c r="U354" i="103"/>
  <c r="Y357" i="22"/>
  <c r="O356" i="58"/>
  <c r="C367" i="67"/>
  <c r="K364" i="22"/>
  <c r="L364" i="22" s="1"/>
  <c r="F363" i="58"/>
  <c r="U363" i="103"/>
  <c r="Y366" i="22"/>
  <c r="O365" i="58"/>
  <c r="C376" i="67"/>
  <c r="AG387" i="103"/>
  <c r="I350" i="22"/>
  <c r="E349" i="58"/>
  <c r="Y349" i="58" s="1"/>
  <c r="R349" i="103"/>
  <c r="C361" i="22"/>
  <c r="C360" i="58"/>
  <c r="AA363" i="22"/>
  <c r="D373" i="67"/>
  <c r="M373" i="67"/>
  <c r="Q335" i="22"/>
  <c r="E344" i="67"/>
  <c r="AI345" i="22"/>
  <c r="U355" i="22"/>
  <c r="Q354" i="58"/>
  <c r="N365" i="67"/>
  <c r="AI357" i="22"/>
  <c r="U367" i="22"/>
  <c r="Q366" i="58"/>
  <c r="N377" i="67"/>
  <c r="AI369" i="22"/>
  <c r="S373" i="22"/>
  <c r="K383" i="67"/>
  <c r="W14" i="68" s="1"/>
  <c r="Q374" i="22"/>
  <c r="E384" i="67"/>
  <c r="Y8" i="68" s="1"/>
  <c r="E374" i="22"/>
  <c r="I375" i="22"/>
  <c r="E374" i="58"/>
  <c r="Y374" i="58" s="1"/>
  <c r="R374" i="103"/>
  <c r="Q375" i="22"/>
  <c r="E385" i="67"/>
  <c r="AA8" i="68" s="1"/>
  <c r="CP371" i="103"/>
  <c r="C372" i="22"/>
  <c r="C371" i="58"/>
  <c r="AA374" i="22"/>
  <c r="D384" i="67"/>
  <c r="M384" i="67"/>
  <c r="Y16" i="68" s="1"/>
  <c r="E51" i="22"/>
  <c r="H50" i="103"/>
  <c r="C44" i="22"/>
  <c r="C43" i="58"/>
  <c r="I39" i="22"/>
  <c r="E38" i="58"/>
  <c r="Y38" i="58" s="1"/>
  <c r="R38" i="103"/>
  <c r="AI36" i="22"/>
  <c r="U34" i="22"/>
  <c r="Q33" i="58"/>
  <c r="N33" i="67"/>
  <c r="AI24" i="22"/>
  <c r="U22" i="22"/>
  <c r="Q21" i="58"/>
  <c r="N21" i="67"/>
  <c r="I17" i="22"/>
  <c r="E16" i="58"/>
  <c r="Y16" i="58" s="1"/>
  <c r="R16" i="103"/>
  <c r="CP53" i="103"/>
  <c r="AG45" i="22"/>
  <c r="CI44" i="103"/>
  <c r="CK44" i="103" s="1"/>
  <c r="BC37" i="103"/>
  <c r="I29" i="22"/>
  <c r="E28" i="58"/>
  <c r="Y28" i="58" s="1"/>
  <c r="R28" i="103"/>
  <c r="Y15" i="22"/>
  <c r="O14" i="58"/>
  <c r="C14" i="67"/>
  <c r="K13" i="22"/>
  <c r="L13" i="22" s="1"/>
  <c r="F12" i="58"/>
  <c r="U12" i="103"/>
  <c r="CE377" i="103"/>
  <c r="E44" i="22"/>
  <c r="H43" i="103"/>
  <c r="BC12" i="103"/>
  <c r="S51" i="22"/>
  <c r="K51" i="67"/>
  <c r="W31" i="22"/>
  <c r="P30" i="58"/>
  <c r="H30" i="67"/>
  <c r="Y49" i="22"/>
  <c r="O48" i="58"/>
  <c r="C49" i="67"/>
  <c r="Q44" i="22"/>
  <c r="E44" i="67"/>
  <c r="AM28" i="103"/>
  <c r="W27" i="22"/>
  <c r="P26" i="58"/>
  <c r="H26" i="67"/>
  <c r="BF376" i="103"/>
  <c r="F59" i="22"/>
  <c r="D58" i="58"/>
  <c r="E53" i="22"/>
  <c r="H52" i="103"/>
  <c r="H48" i="22"/>
  <c r="O47" i="103"/>
  <c r="C46" i="22"/>
  <c r="C45" i="58"/>
  <c r="I41" i="22"/>
  <c r="E40" i="58"/>
  <c r="Y40" i="58" s="1"/>
  <c r="R40" i="103"/>
  <c r="E37" i="22"/>
  <c r="H36" i="103"/>
  <c r="Q25" i="22"/>
  <c r="E24" i="67"/>
  <c r="C18" i="22"/>
  <c r="C17" i="58"/>
  <c r="E23" i="22"/>
  <c r="H22" i="103"/>
  <c r="E22" i="103" s="1"/>
  <c r="E56" i="22"/>
  <c r="H55" i="103"/>
  <c r="S46" i="22"/>
  <c r="K46" i="67"/>
  <c r="F44" i="22"/>
  <c r="D43" i="58"/>
  <c r="Y39" i="22"/>
  <c r="O38" i="58"/>
  <c r="C38" i="67"/>
  <c r="I34" i="22"/>
  <c r="E33" i="58"/>
  <c r="Y33" i="58" s="1"/>
  <c r="R33" i="103"/>
  <c r="I22" i="22"/>
  <c r="E21" i="58"/>
  <c r="Y21" i="58" s="1"/>
  <c r="R21" i="103"/>
  <c r="Y48" i="22"/>
  <c r="O47" i="58"/>
  <c r="C48" i="67"/>
  <c r="AM40" i="103"/>
  <c r="W39" i="22"/>
  <c r="P38" i="58"/>
  <c r="H38" i="67"/>
  <c r="S36" i="22"/>
  <c r="K35" i="67"/>
  <c r="F34" i="22"/>
  <c r="D33" i="58"/>
  <c r="S27" i="22"/>
  <c r="K26" i="67"/>
  <c r="F25" i="22"/>
  <c r="D24" i="58"/>
  <c r="E18" i="22"/>
  <c r="H17" i="103"/>
  <c r="BX376" i="103"/>
  <c r="E48" i="22"/>
  <c r="H47" i="103"/>
  <c r="S49" i="22"/>
  <c r="K49" i="67"/>
  <c r="F37" i="22"/>
  <c r="D36" i="58"/>
  <c r="W35" i="22"/>
  <c r="P34" i="58"/>
  <c r="H34" i="67"/>
  <c r="BC26" i="103"/>
  <c r="W23" i="22"/>
  <c r="P22" i="58"/>
  <c r="H22" i="67"/>
  <c r="AI13" i="22"/>
  <c r="U379" i="58"/>
  <c r="N101" i="58"/>
  <c r="T393" i="58"/>
  <c r="T380" i="58"/>
  <c r="X131" i="58"/>
  <c r="X380" i="58" s="1"/>
  <c r="T397" i="58"/>
  <c r="T384" i="58"/>
  <c r="X254" i="58"/>
  <c r="X384" i="58" s="1"/>
  <c r="U384" i="58"/>
  <c r="N254" i="58"/>
  <c r="CP48" i="103"/>
  <c r="C45" i="22"/>
  <c r="C44" i="58"/>
  <c r="U35" i="22"/>
  <c r="Q34" i="58"/>
  <c r="N34" i="67"/>
  <c r="AI25" i="22"/>
  <c r="U23" i="22"/>
  <c r="Q22" i="58"/>
  <c r="N22" i="67"/>
  <c r="AA16" i="22"/>
  <c r="D15" i="67"/>
  <c r="CP54" i="103"/>
  <c r="S42" i="22"/>
  <c r="K41" i="67"/>
  <c r="F40" i="22"/>
  <c r="D39" i="58"/>
  <c r="AI37" i="22"/>
  <c r="I30" i="22"/>
  <c r="E29" i="58"/>
  <c r="Y29" i="58" s="1"/>
  <c r="R29" i="103"/>
  <c r="AG18" i="22"/>
  <c r="CI17" i="103"/>
  <c r="E42" i="22"/>
  <c r="H41" i="103"/>
  <c r="K35" i="22"/>
  <c r="L35" i="22" s="1"/>
  <c r="F34" i="58"/>
  <c r="U34" i="103"/>
  <c r="Y28" i="22"/>
  <c r="O27" i="58"/>
  <c r="C27" i="67"/>
  <c r="K26" i="22"/>
  <c r="L26" i="22" s="1"/>
  <c r="F25" i="58"/>
  <c r="U25" i="103"/>
  <c r="CP13" i="103"/>
  <c r="AM11" i="103"/>
  <c r="Q77" i="22"/>
  <c r="E78" i="67"/>
  <c r="C58" i="22"/>
  <c r="C57" i="58"/>
  <c r="Y88" i="22"/>
  <c r="O87" i="58"/>
  <c r="C89" i="67"/>
  <c r="U64" i="22"/>
  <c r="Q63" i="58"/>
  <c r="N64" i="67"/>
  <c r="AG69" i="22"/>
  <c r="CI68" i="103"/>
  <c r="AR378" i="103"/>
  <c r="BD86" i="103"/>
  <c r="C92" i="22"/>
  <c r="C91" i="58"/>
  <c r="BZ378" i="103"/>
  <c r="Q93" i="22"/>
  <c r="E94" i="67"/>
  <c r="K62" i="22"/>
  <c r="L62" i="22" s="1"/>
  <c r="F61" i="58"/>
  <c r="U61" i="103"/>
  <c r="Y64" i="22"/>
  <c r="O63" i="58"/>
  <c r="C64" i="67"/>
  <c r="U74" i="22"/>
  <c r="Q73" i="58"/>
  <c r="N75" i="67"/>
  <c r="AI76" i="22"/>
  <c r="U86" i="22"/>
  <c r="Q85" i="58"/>
  <c r="N87" i="67"/>
  <c r="CP89" i="103"/>
  <c r="AA58" i="22"/>
  <c r="D58" i="67"/>
  <c r="M58" i="67"/>
  <c r="I60" i="22"/>
  <c r="E59" i="58"/>
  <c r="Y59" i="58" s="1"/>
  <c r="R59" i="103"/>
  <c r="E72" i="22"/>
  <c r="H71" i="103"/>
  <c r="E84" i="22"/>
  <c r="H83" i="103"/>
  <c r="F91" i="22"/>
  <c r="D90" i="58"/>
  <c r="H64" i="22"/>
  <c r="O63" i="103"/>
  <c r="F73" i="22"/>
  <c r="D72" i="58"/>
  <c r="S75" i="22"/>
  <c r="K76" i="67"/>
  <c r="F82" i="22"/>
  <c r="D81" i="58"/>
  <c r="S84" i="22"/>
  <c r="K85" i="67"/>
  <c r="H97" i="22"/>
  <c r="O96" i="103"/>
  <c r="AA77" i="22"/>
  <c r="D78" i="67"/>
  <c r="M78" i="67"/>
  <c r="I79" i="22"/>
  <c r="E78" i="58"/>
  <c r="Y78" i="58" s="1"/>
  <c r="R78" i="103"/>
  <c r="AA86" i="22"/>
  <c r="M87" i="67"/>
  <c r="D87" i="67"/>
  <c r="W95" i="22"/>
  <c r="P94" i="58"/>
  <c r="H96" i="67"/>
  <c r="K57" i="22"/>
  <c r="L57" i="22" s="1"/>
  <c r="F56" i="58"/>
  <c r="U56" i="103"/>
  <c r="Y59" i="22"/>
  <c r="O58" i="58"/>
  <c r="C59" i="67"/>
  <c r="C66" i="22"/>
  <c r="C65" i="58"/>
  <c r="C65" i="103"/>
  <c r="H68" i="22"/>
  <c r="O67" i="103"/>
  <c r="H80" i="22"/>
  <c r="O79" i="103"/>
  <c r="AA59" i="22"/>
  <c r="D59" i="67"/>
  <c r="M59" i="67"/>
  <c r="I61" i="22"/>
  <c r="E60" i="58"/>
  <c r="Y60" i="58" s="1"/>
  <c r="R60" i="103"/>
  <c r="Y87" i="22"/>
  <c r="O86" i="58"/>
  <c r="C88" i="67"/>
  <c r="Q61" i="22"/>
  <c r="E61" i="67"/>
  <c r="W66" i="22"/>
  <c r="P65" i="58"/>
  <c r="H66" i="67"/>
  <c r="C67" i="22"/>
  <c r="C66" i="58"/>
  <c r="C66" i="103"/>
  <c r="AO378" i="103"/>
  <c r="BD70" i="103"/>
  <c r="C76" i="22"/>
  <c r="C75" i="58"/>
  <c r="BD79" i="103"/>
  <c r="C85" i="22"/>
  <c r="C84" i="58"/>
  <c r="U118" i="22"/>
  <c r="Q117" i="58"/>
  <c r="N120" i="67"/>
  <c r="AI120" i="22"/>
  <c r="U134" i="22"/>
  <c r="Q133" i="58"/>
  <c r="N137" i="67"/>
  <c r="CC379" i="103"/>
  <c r="AA105" i="22"/>
  <c r="D107" i="67"/>
  <c r="M107" i="67"/>
  <c r="E110" i="22"/>
  <c r="H109" i="103"/>
  <c r="E122" i="22"/>
  <c r="H121" i="103"/>
  <c r="Q104" i="22"/>
  <c r="E106" i="67"/>
  <c r="F114" i="22"/>
  <c r="D113" i="58"/>
  <c r="S116" i="22"/>
  <c r="K118" i="67"/>
  <c r="F123" i="22"/>
  <c r="D122" i="58"/>
  <c r="S125" i="22"/>
  <c r="K127" i="67"/>
  <c r="Q101" i="22"/>
  <c r="E102" i="67"/>
  <c r="W106" i="22"/>
  <c r="P105" i="58"/>
  <c r="H108" i="67"/>
  <c r="F108" i="22"/>
  <c r="D107" i="58"/>
  <c r="J107" i="103"/>
  <c r="I117" i="22"/>
  <c r="E116" i="58"/>
  <c r="Y116" i="58" s="1"/>
  <c r="R116" i="103"/>
  <c r="K104" i="22"/>
  <c r="L104" i="22" s="1"/>
  <c r="F103" i="58"/>
  <c r="U103" i="103"/>
  <c r="Y106" i="22"/>
  <c r="O105" i="58"/>
  <c r="C108" i="67"/>
  <c r="U116" i="22"/>
  <c r="Q115" i="58"/>
  <c r="N118" i="67"/>
  <c r="AI118" i="22"/>
  <c r="K98" i="22"/>
  <c r="L98" i="22" s="1"/>
  <c r="F97" i="58"/>
  <c r="Y100" i="22"/>
  <c r="O99" i="58"/>
  <c r="C101" i="67"/>
  <c r="E117" i="22"/>
  <c r="H116" i="103"/>
  <c r="BD92" i="103"/>
  <c r="C98" i="22"/>
  <c r="C97" i="58"/>
  <c r="AO379" i="103"/>
  <c r="BD101" i="103"/>
  <c r="W107" i="22"/>
  <c r="P106" i="58"/>
  <c r="H109" i="67"/>
  <c r="BD108" i="103"/>
  <c r="AA119" i="22"/>
  <c r="D121" i="67"/>
  <c r="M121" i="67"/>
  <c r="BD120" i="103"/>
  <c r="F106" i="22"/>
  <c r="D105" i="58"/>
  <c r="AI110" i="22"/>
  <c r="U120" i="22"/>
  <c r="Q119" i="58"/>
  <c r="N122" i="67"/>
  <c r="AI122" i="22"/>
  <c r="Q135" i="22"/>
  <c r="E138" i="67"/>
  <c r="K99" i="22"/>
  <c r="L99" i="22" s="1"/>
  <c r="F98" i="58"/>
  <c r="Y101" i="22"/>
  <c r="O100" i="58"/>
  <c r="C102" i="67"/>
  <c r="I106" i="22"/>
  <c r="E105" i="58"/>
  <c r="Y105" i="58" s="1"/>
  <c r="R105" i="103"/>
  <c r="W111" i="22"/>
  <c r="P110" i="58"/>
  <c r="H113" i="67"/>
  <c r="AM112" i="103"/>
  <c r="CP114" i="103"/>
  <c r="W123" i="22"/>
  <c r="P122" i="58"/>
  <c r="H125" i="67"/>
  <c r="CP126" i="103"/>
  <c r="Q138" i="22"/>
  <c r="E141" i="67"/>
  <c r="I94" i="22"/>
  <c r="E93" i="58"/>
  <c r="Y93" i="58" s="1"/>
  <c r="R93" i="103"/>
  <c r="AA101" i="22"/>
  <c r="D102" i="67"/>
  <c r="M102" i="67"/>
  <c r="Q103" i="22"/>
  <c r="E105" i="67"/>
  <c r="W108" i="22"/>
  <c r="P107" i="58"/>
  <c r="H110" i="67"/>
  <c r="AN109" i="103"/>
  <c r="AA128" i="22"/>
  <c r="D130" i="67"/>
  <c r="M130" i="67"/>
  <c r="F137" i="22"/>
  <c r="D136" i="58"/>
  <c r="H101" i="22"/>
  <c r="O100" i="103"/>
  <c r="E106" i="22"/>
  <c r="H105" i="103"/>
  <c r="AA111" i="22"/>
  <c r="D113" i="67"/>
  <c r="M113" i="67"/>
  <c r="BD112" i="103"/>
  <c r="AA123" i="22"/>
  <c r="D125" i="67"/>
  <c r="M125" i="67"/>
  <c r="BD124" i="103"/>
  <c r="CA380" i="103"/>
  <c r="U135" i="22"/>
  <c r="Q134" i="58"/>
  <c r="N138" i="67"/>
  <c r="U144" i="22"/>
  <c r="Q143" i="58"/>
  <c r="N147" i="67"/>
  <c r="U153" i="22"/>
  <c r="Q152" i="58"/>
  <c r="N156" i="67"/>
  <c r="U162" i="22"/>
  <c r="Q161" i="58"/>
  <c r="N165" i="67"/>
  <c r="E130" i="22"/>
  <c r="H129" i="103"/>
  <c r="BG380" i="103"/>
  <c r="CP135" i="103"/>
  <c r="CR135" i="103" s="1"/>
  <c r="E139" i="22"/>
  <c r="H138" i="103"/>
  <c r="CP144" i="103"/>
  <c r="E148" i="22"/>
  <c r="H147" i="103"/>
  <c r="CP153" i="103"/>
  <c r="E157" i="22"/>
  <c r="H156" i="103"/>
  <c r="BC381" i="103"/>
  <c r="CP162" i="103"/>
  <c r="F140" i="22"/>
  <c r="D139" i="58"/>
  <c r="F146" i="22"/>
  <c r="D145" i="58"/>
  <c r="F152" i="22"/>
  <c r="D151" i="58"/>
  <c r="F158" i="22"/>
  <c r="D157" i="58"/>
  <c r="C164" i="22"/>
  <c r="C163" i="58"/>
  <c r="C145" i="22"/>
  <c r="C144" i="58"/>
  <c r="I149" i="22"/>
  <c r="E148" i="58"/>
  <c r="Y148" i="58" s="1"/>
  <c r="R148" i="103"/>
  <c r="AA162" i="22"/>
  <c r="M165" i="67"/>
  <c r="D165" i="67"/>
  <c r="AI164" i="22"/>
  <c r="H132" i="22"/>
  <c r="N380" i="103"/>
  <c r="O131" i="103"/>
  <c r="H141" i="22"/>
  <c r="O140" i="103"/>
  <c r="H150" i="22"/>
  <c r="O149" i="103"/>
  <c r="H159" i="22"/>
  <c r="O158" i="103"/>
  <c r="BF381" i="103"/>
  <c r="W139" i="22"/>
  <c r="P138" i="58"/>
  <c r="H142" i="67"/>
  <c r="W148" i="22"/>
  <c r="P147" i="58"/>
  <c r="H151" i="67"/>
  <c r="W157" i="22"/>
  <c r="P156" i="58"/>
  <c r="H160" i="67"/>
  <c r="CB381" i="103"/>
  <c r="K134" i="22"/>
  <c r="L134" i="22" s="1"/>
  <c r="F133" i="58"/>
  <c r="U133" i="103"/>
  <c r="Y136" i="22"/>
  <c r="O135" i="58"/>
  <c r="C139" i="67"/>
  <c r="AN137" i="103"/>
  <c r="K140" i="22"/>
  <c r="L140" i="22" s="1"/>
  <c r="F139" i="58"/>
  <c r="U139" i="103"/>
  <c r="Y142" i="22"/>
  <c r="O141" i="58"/>
  <c r="C145" i="67"/>
  <c r="AN143" i="103"/>
  <c r="K146" i="22"/>
  <c r="L146" i="22" s="1"/>
  <c r="F145" i="58"/>
  <c r="U145" i="103"/>
  <c r="Y148" i="22"/>
  <c r="O147" i="58"/>
  <c r="C151" i="67"/>
  <c r="K152" i="22"/>
  <c r="L152" i="22" s="1"/>
  <c r="F151" i="58"/>
  <c r="U151" i="103"/>
  <c r="Y154" i="22"/>
  <c r="O153" i="58"/>
  <c r="C157" i="67"/>
  <c r="AN155" i="103"/>
  <c r="K158" i="22"/>
  <c r="L158" i="22" s="1"/>
  <c r="F157" i="58"/>
  <c r="U157" i="103"/>
  <c r="Y160" i="22"/>
  <c r="O159" i="58"/>
  <c r="C163" i="67"/>
  <c r="AN161" i="103"/>
  <c r="H167" i="22"/>
  <c r="O166" i="103"/>
  <c r="AA136" i="22"/>
  <c r="M139" i="67"/>
  <c r="D139" i="67"/>
  <c r="C155" i="22"/>
  <c r="C154" i="58"/>
  <c r="I159" i="22"/>
  <c r="E158" i="58"/>
  <c r="Y158" i="58" s="1"/>
  <c r="R158" i="103"/>
  <c r="CD381" i="103"/>
  <c r="CS381" i="103"/>
  <c r="AM135" i="103"/>
  <c r="AM153" i="103"/>
  <c r="AN132" i="103"/>
  <c r="K135" i="22"/>
  <c r="L135" i="22" s="1"/>
  <c r="F134" i="58"/>
  <c r="U134" i="103"/>
  <c r="Y137" i="22"/>
  <c r="O136" i="58"/>
  <c r="C140" i="67"/>
  <c r="AN138" i="103"/>
  <c r="K141" i="22"/>
  <c r="L141" i="22" s="1"/>
  <c r="F140" i="58"/>
  <c r="U140" i="103"/>
  <c r="Y143" i="22"/>
  <c r="O142" i="58"/>
  <c r="C146" i="67"/>
  <c r="AN144" i="103"/>
  <c r="K147" i="22"/>
  <c r="L147" i="22" s="1"/>
  <c r="F146" i="58"/>
  <c r="U146" i="103"/>
  <c r="Y149" i="22"/>
  <c r="O148" i="58"/>
  <c r="C152" i="67"/>
  <c r="AN150" i="103"/>
  <c r="K153" i="22"/>
  <c r="L153" i="22" s="1"/>
  <c r="F152" i="58"/>
  <c r="U152" i="103"/>
  <c r="Y155" i="22"/>
  <c r="O154" i="58"/>
  <c r="C158" i="67"/>
  <c r="AN156" i="103"/>
  <c r="K159" i="22"/>
  <c r="L159" i="22" s="1"/>
  <c r="F158" i="58"/>
  <c r="U158" i="103"/>
  <c r="Y161" i="22"/>
  <c r="O160" i="58"/>
  <c r="C164" i="67"/>
  <c r="AN162" i="103"/>
  <c r="C129" i="22"/>
  <c r="C128" i="58"/>
  <c r="AA140" i="22"/>
  <c r="D143" i="67"/>
  <c r="M143" i="67"/>
  <c r="BD147" i="103"/>
  <c r="C159" i="22"/>
  <c r="C158" i="58"/>
  <c r="I163" i="22"/>
  <c r="E162" i="58"/>
  <c r="Q381" i="103"/>
  <c r="R162" i="103"/>
  <c r="AA172" i="22"/>
  <c r="M176" i="67"/>
  <c r="D176" i="67"/>
  <c r="AA184" i="22"/>
  <c r="M188" i="67"/>
  <c r="D188" i="67"/>
  <c r="BD185" i="103"/>
  <c r="CD382" i="103"/>
  <c r="Q165" i="22"/>
  <c r="E169" i="67"/>
  <c r="AI169" i="22"/>
  <c r="Q174" i="22"/>
  <c r="E178" i="67"/>
  <c r="AI178" i="22"/>
  <c r="Q183" i="22"/>
  <c r="E187" i="67"/>
  <c r="AI187" i="22"/>
  <c r="Q192" i="22"/>
  <c r="E196" i="67"/>
  <c r="U197" i="22"/>
  <c r="Q196" i="58"/>
  <c r="N202" i="67"/>
  <c r="AM198" i="103"/>
  <c r="W170" i="22"/>
  <c r="P169" i="58"/>
  <c r="H174" i="67"/>
  <c r="W179" i="22"/>
  <c r="P178" i="58"/>
  <c r="H183" i="67"/>
  <c r="W188" i="22"/>
  <c r="P187" i="58"/>
  <c r="H192" i="67"/>
  <c r="F169" i="22"/>
  <c r="D168" i="58"/>
  <c r="K171" i="22"/>
  <c r="L171" i="22" s="1"/>
  <c r="F170" i="58"/>
  <c r="U170" i="103"/>
  <c r="Y173" i="22"/>
  <c r="O172" i="58"/>
  <c r="C177" i="67"/>
  <c r="AG190" i="22"/>
  <c r="CI189" i="103"/>
  <c r="S192" i="22"/>
  <c r="K196" i="67"/>
  <c r="C174" i="22"/>
  <c r="C173" i="58"/>
  <c r="C186" i="22"/>
  <c r="C185" i="58"/>
  <c r="Q172" i="22"/>
  <c r="E176" i="67"/>
  <c r="AI176" i="22"/>
  <c r="Q181" i="22"/>
  <c r="E185" i="67"/>
  <c r="AI185" i="22"/>
  <c r="Q190" i="22"/>
  <c r="E194" i="67"/>
  <c r="AI197" i="22"/>
  <c r="W168" i="22"/>
  <c r="P167" i="58"/>
  <c r="H172" i="67"/>
  <c r="W177" i="22"/>
  <c r="P176" i="58"/>
  <c r="H181" i="67"/>
  <c r="W186" i="22"/>
  <c r="P185" i="58"/>
  <c r="H190" i="67"/>
  <c r="AA201" i="22"/>
  <c r="D206" i="67"/>
  <c r="M206" i="67"/>
  <c r="F170" i="22"/>
  <c r="D169" i="58"/>
  <c r="K172" i="22"/>
  <c r="L172" i="22" s="1"/>
  <c r="F171" i="58"/>
  <c r="U171" i="103"/>
  <c r="Y174" i="22"/>
  <c r="O173" i="58"/>
  <c r="C178" i="67"/>
  <c r="AN190" i="103"/>
  <c r="S193" i="22"/>
  <c r="K198" i="67"/>
  <c r="AF382" i="103"/>
  <c r="AA198" i="22"/>
  <c r="M203" i="67"/>
  <c r="D203" i="67"/>
  <c r="AM200" i="103"/>
  <c r="C166" i="22"/>
  <c r="C165" i="58"/>
  <c r="C178" i="22"/>
  <c r="C177" i="58"/>
  <c r="C190" i="22"/>
  <c r="C189" i="58"/>
  <c r="I197" i="22"/>
  <c r="E196" i="58"/>
  <c r="Y196" i="58" s="1"/>
  <c r="R196" i="103"/>
  <c r="Q197" i="22"/>
  <c r="E202" i="67"/>
  <c r="BG382" i="103"/>
  <c r="F168" i="22"/>
  <c r="D167" i="58"/>
  <c r="K170" i="22"/>
  <c r="L170" i="22" s="1"/>
  <c r="F169" i="58"/>
  <c r="U169" i="103"/>
  <c r="Y172" i="22"/>
  <c r="O171" i="58"/>
  <c r="C176" i="67"/>
  <c r="AN188" i="103"/>
  <c r="S191" i="22"/>
  <c r="K195" i="67"/>
  <c r="CP203" i="103"/>
  <c r="CR203" i="103" s="1"/>
  <c r="W212" i="22"/>
  <c r="P211" i="58"/>
  <c r="H217" i="67"/>
  <c r="CP215" i="103"/>
  <c r="CR215" i="103" s="1"/>
  <c r="W224" i="22"/>
  <c r="P223" i="58"/>
  <c r="H230" i="67"/>
  <c r="AI383" i="103"/>
  <c r="K239" i="22"/>
  <c r="L239" i="22" s="1"/>
  <c r="F238" i="58"/>
  <c r="U238" i="103"/>
  <c r="F208" i="22"/>
  <c r="D207" i="58"/>
  <c r="S210" i="22"/>
  <c r="K215" i="67"/>
  <c r="F220" i="22"/>
  <c r="D219" i="58"/>
  <c r="S222" i="22"/>
  <c r="K227" i="67"/>
  <c r="Q230" i="67"/>
  <c r="BQ383" i="103"/>
  <c r="H227" i="22"/>
  <c r="O226" i="103"/>
  <c r="L226" i="103" s="1"/>
  <c r="Q232" i="22"/>
  <c r="E238" i="67"/>
  <c r="W235" i="22"/>
  <c r="P234" i="58"/>
  <c r="H241" i="67"/>
  <c r="Y250" i="22"/>
  <c r="O249" i="58"/>
  <c r="C256" i="67"/>
  <c r="I202" i="22"/>
  <c r="E201" i="58"/>
  <c r="Y201" i="58" s="1"/>
  <c r="R201" i="103"/>
  <c r="I220" i="22"/>
  <c r="E219" i="58"/>
  <c r="Y219" i="58" s="1"/>
  <c r="R219" i="103"/>
  <c r="W231" i="22"/>
  <c r="P230" i="58"/>
  <c r="H237" i="67"/>
  <c r="S239" i="22"/>
  <c r="K245" i="67"/>
  <c r="U213" i="22"/>
  <c r="Q212" i="58"/>
  <c r="N218" i="67"/>
  <c r="Y228" i="22"/>
  <c r="O227" i="58"/>
  <c r="C234" i="67"/>
  <c r="AG233" i="22"/>
  <c r="CI232" i="103"/>
  <c r="CL232" i="103" s="1"/>
  <c r="AG237" i="22"/>
  <c r="CI236" i="103"/>
  <c r="CL236" i="103" s="1"/>
  <c r="E205" i="22"/>
  <c r="H204" i="103"/>
  <c r="E217" i="22"/>
  <c r="H216" i="103"/>
  <c r="CP225" i="103"/>
  <c r="CQ225" i="103" s="1"/>
  <c r="C232" i="22"/>
  <c r="C231" i="58"/>
  <c r="H235" i="22"/>
  <c r="O234" i="103"/>
  <c r="AN202" i="103"/>
  <c r="Y210" i="22"/>
  <c r="O209" i="58"/>
  <c r="C215" i="67"/>
  <c r="AN214" i="103"/>
  <c r="Y222" i="22"/>
  <c r="O221" i="58"/>
  <c r="C227" i="67"/>
  <c r="BU383" i="103"/>
  <c r="F246" i="22"/>
  <c r="D245" i="58"/>
  <c r="I206" i="22"/>
  <c r="E205" i="58"/>
  <c r="Y205" i="58" s="1"/>
  <c r="R205" i="103"/>
  <c r="I224" i="22"/>
  <c r="E223" i="58"/>
  <c r="Q383" i="103"/>
  <c r="R223" i="103"/>
  <c r="W232" i="22"/>
  <c r="P231" i="58"/>
  <c r="H238" i="67"/>
  <c r="U214" i="22"/>
  <c r="Q213" i="58"/>
  <c r="N219" i="67"/>
  <c r="F234" i="22"/>
  <c r="D233" i="58"/>
  <c r="AG243" i="22"/>
  <c r="CI242" i="103"/>
  <c r="CK242" i="103" s="1"/>
  <c r="E215" i="22"/>
  <c r="H214" i="103"/>
  <c r="BC383" i="103"/>
  <c r="CP223" i="103"/>
  <c r="CQ223" i="103" s="1"/>
  <c r="C230" i="22"/>
  <c r="C229" i="58"/>
  <c r="K200" i="22"/>
  <c r="L200" i="22" s="1"/>
  <c r="F199" i="58"/>
  <c r="U199" i="103"/>
  <c r="K212" i="22"/>
  <c r="L212" i="22" s="1"/>
  <c r="F211" i="58"/>
  <c r="U211" i="103"/>
  <c r="K224" i="22"/>
  <c r="L224" i="22" s="1"/>
  <c r="F223" i="58"/>
  <c r="T383" i="103"/>
  <c r="U223" i="103"/>
  <c r="Q231" i="22"/>
  <c r="E237" i="67"/>
  <c r="I213" i="22"/>
  <c r="E212" i="58"/>
  <c r="Y212" i="58" s="1"/>
  <c r="R212" i="103"/>
  <c r="E234" i="22"/>
  <c r="H233" i="103"/>
  <c r="U206" i="22"/>
  <c r="Q205" i="58"/>
  <c r="N211" i="67"/>
  <c r="U224" i="22"/>
  <c r="Q223" i="58"/>
  <c r="N230" i="67"/>
  <c r="AH383" i="103"/>
  <c r="F232" i="22"/>
  <c r="D231" i="58"/>
  <c r="S234" i="22"/>
  <c r="K240" i="67"/>
  <c r="W247" i="22"/>
  <c r="P246" i="58"/>
  <c r="H253" i="67"/>
  <c r="CP253" i="103"/>
  <c r="CR253" i="103" s="1"/>
  <c r="AM285" i="22"/>
  <c r="BY385" i="103"/>
  <c r="CP299" i="103"/>
  <c r="CQ299" i="103" s="1"/>
  <c r="F252" i="22"/>
  <c r="D251" i="58"/>
  <c r="S254" i="22"/>
  <c r="K260" i="67"/>
  <c r="K288" i="22"/>
  <c r="L288" i="22" s="1"/>
  <c r="U129" i="23"/>
  <c r="F287" i="58"/>
  <c r="U287" i="103"/>
  <c r="AA250" i="22"/>
  <c r="M256" i="67"/>
  <c r="D256" i="67"/>
  <c r="AA287" i="22"/>
  <c r="M295" i="67"/>
  <c r="D295" i="67"/>
  <c r="H302" i="22"/>
  <c r="N143" i="23"/>
  <c r="O301" i="103"/>
  <c r="U248" i="22"/>
  <c r="Q247" i="58"/>
  <c r="N254" i="67"/>
  <c r="H256" i="22"/>
  <c r="O255" i="103"/>
  <c r="S264" i="22"/>
  <c r="K271" i="67"/>
  <c r="K267" i="22"/>
  <c r="L267" i="22" s="1"/>
  <c r="F266" i="58"/>
  <c r="U266" i="103"/>
  <c r="I277" i="22"/>
  <c r="E276" i="58"/>
  <c r="Y276" i="58" s="1"/>
  <c r="R276" i="103"/>
  <c r="E240" i="22"/>
  <c r="H239" i="103"/>
  <c r="AE384" i="103"/>
  <c r="S258" i="22"/>
  <c r="K265" i="67"/>
  <c r="K261" i="22"/>
  <c r="L261" i="22" s="1"/>
  <c r="F260" i="58"/>
  <c r="U260" i="103"/>
  <c r="K246" i="22"/>
  <c r="L246" i="22" s="1"/>
  <c r="F245" i="58"/>
  <c r="U245" i="103"/>
  <c r="F256" i="22"/>
  <c r="D255" i="58"/>
  <c r="I244" i="22"/>
  <c r="E243" i="58"/>
  <c r="Y243" i="58" s="1"/>
  <c r="R243" i="103"/>
  <c r="AI260" i="22"/>
  <c r="C279" i="22"/>
  <c r="C278" i="58"/>
  <c r="AI242" i="22"/>
  <c r="H245" i="22"/>
  <c r="O244" i="103"/>
  <c r="Q250" i="22"/>
  <c r="E256" i="67"/>
  <c r="AT384" i="103"/>
  <c r="Y264" i="22"/>
  <c r="O263" i="58"/>
  <c r="C271" i="67"/>
  <c r="K291" i="22"/>
  <c r="L291" i="22" s="1"/>
  <c r="U132" i="23"/>
  <c r="F290" i="58"/>
  <c r="U290" i="103"/>
  <c r="E241" i="22"/>
  <c r="H240" i="103"/>
  <c r="F260" i="22"/>
  <c r="D259" i="58"/>
  <c r="AA278" i="22"/>
  <c r="M285" i="67"/>
  <c r="D285" i="67"/>
  <c r="AA296" i="22"/>
  <c r="D304" i="67"/>
  <c r="M304" i="67"/>
  <c r="F245" i="22"/>
  <c r="D244" i="58"/>
  <c r="S247" i="22"/>
  <c r="K253" i="67"/>
  <c r="AG257" i="22"/>
  <c r="CI256" i="103"/>
  <c r="CL256" i="103" s="1"/>
  <c r="S273" i="22"/>
  <c r="K280" i="67"/>
  <c r="I292" i="22"/>
  <c r="R133" i="23"/>
  <c r="E291" i="58"/>
  <c r="Y291" i="58" s="1"/>
  <c r="R291" i="103"/>
  <c r="I242" i="22"/>
  <c r="E241" i="58"/>
  <c r="Y241" i="58" s="1"/>
  <c r="R241" i="103"/>
  <c r="AW384" i="103"/>
  <c r="AI240" i="22"/>
  <c r="H243" i="22"/>
  <c r="O242" i="103"/>
  <c r="Q248" i="22"/>
  <c r="E254" i="67"/>
  <c r="Y265" i="22"/>
  <c r="O264" i="58"/>
  <c r="C272" i="67"/>
  <c r="CM267" i="103"/>
  <c r="CM270" i="103"/>
  <c r="CG270" i="103" s="1"/>
  <c r="CM273" i="103"/>
  <c r="CG273" i="103" s="1"/>
  <c r="CM276" i="103"/>
  <c r="CG276" i="103" s="1"/>
  <c r="CM279" i="103"/>
  <c r="CG279" i="103" s="1"/>
  <c r="CM282" i="103"/>
  <c r="CG282" i="103" s="1"/>
  <c r="Q286" i="22"/>
  <c r="E294" i="67"/>
  <c r="AI290" i="22"/>
  <c r="Q295" i="22"/>
  <c r="E303" i="67"/>
  <c r="E268" i="22"/>
  <c r="H267" i="103"/>
  <c r="E271" i="22"/>
  <c r="H270" i="103"/>
  <c r="E274" i="22"/>
  <c r="H273" i="103"/>
  <c r="E277" i="22"/>
  <c r="H276" i="103"/>
  <c r="E280" i="22"/>
  <c r="H279" i="103"/>
  <c r="E283" i="22"/>
  <c r="H282" i="103"/>
  <c r="E286" i="22"/>
  <c r="H127" i="23"/>
  <c r="H285" i="103"/>
  <c r="P296" i="67"/>
  <c r="BL287" i="103"/>
  <c r="CP294" i="103"/>
  <c r="CR294" i="103" s="1"/>
  <c r="P307" i="67"/>
  <c r="BL298" i="103"/>
  <c r="H347" i="22"/>
  <c r="AG278" i="22"/>
  <c r="CI277" i="103"/>
  <c r="CK277" i="103" s="1"/>
  <c r="F281" i="22"/>
  <c r="D280" i="58"/>
  <c r="K286" i="22"/>
  <c r="L286" i="22" s="1"/>
  <c r="U127" i="23"/>
  <c r="F285" i="58"/>
  <c r="U285" i="103"/>
  <c r="Y288" i="22"/>
  <c r="O287" i="58"/>
  <c r="C296" i="67"/>
  <c r="BM293" i="103"/>
  <c r="CE385" i="103"/>
  <c r="H288" i="22"/>
  <c r="N129" i="23"/>
  <c r="O287" i="103"/>
  <c r="BB289" i="103"/>
  <c r="E315" i="22"/>
  <c r="H314" i="103"/>
  <c r="E314" i="103" s="1"/>
  <c r="CP268" i="103"/>
  <c r="CR268" i="103" s="1"/>
  <c r="CP271" i="103"/>
  <c r="CR271" i="103" s="1"/>
  <c r="CP274" i="103"/>
  <c r="CQ274" i="103" s="1"/>
  <c r="CP277" i="103"/>
  <c r="CQ277" i="103" s="1"/>
  <c r="CP280" i="103"/>
  <c r="CR280" i="103" s="1"/>
  <c r="CP283" i="103"/>
  <c r="AA297" i="22"/>
  <c r="D305" i="67"/>
  <c r="M305" i="67"/>
  <c r="C316" i="22"/>
  <c r="C315" i="58"/>
  <c r="I386" i="103"/>
  <c r="K269" i="22"/>
  <c r="L269" i="22" s="1"/>
  <c r="F268" i="58"/>
  <c r="U268" i="103"/>
  <c r="Y280" i="22"/>
  <c r="O279" i="58"/>
  <c r="C287" i="67"/>
  <c r="BU385" i="103"/>
  <c r="AM287" i="22"/>
  <c r="AN293" i="103"/>
  <c r="S296" i="22"/>
  <c r="K304" i="67"/>
  <c r="C287" i="22"/>
  <c r="C128" i="23"/>
  <c r="C286" i="58"/>
  <c r="AA289" i="22"/>
  <c r="D297" i="67"/>
  <c r="M297" i="67"/>
  <c r="C293" i="22"/>
  <c r="C134" i="23"/>
  <c r="C292" i="58"/>
  <c r="AA295" i="22"/>
  <c r="D303" i="67"/>
  <c r="M303" i="67"/>
  <c r="AA302" i="22"/>
  <c r="D310" i="67"/>
  <c r="M310" i="67"/>
  <c r="I301" i="22"/>
  <c r="R142" i="23"/>
  <c r="E300" i="58"/>
  <c r="Y300" i="58" s="1"/>
  <c r="R300" i="103"/>
  <c r="E327" i="22"/>
  <c r="H326" i="103"/>
  <c r="E326" i="103" s="1"/>
  <c r="W287" i="22"/>
  <c r="P286" i="58"/>
  <c r="H295" i="67"/>
  <c r="P316" i="67"/>
  <c r="BL307" i="103"/>
  <c r="H306" i="22"/>
  <c r="N147" i="23"/>
  <c r="O305" i="103"/>
  <c r="H315" i="22"/>
  <c r="O314" i="103"/>
  <c r="BB316" i="103"/>
  <c r="U325" i="22"/>
  <c r="Q324" i="58"/>
  <c r="N334" i="67"/>
  <c r="CP319" i="103"/>
  <c r="CQ319" i="103" s="1"/>
  <c r="Y331" i="22"/>
  <c r="O330" i="58"/>
  <c r="C340" i="67"/>
  <c r="AM296" i="22"/>
  <c r="S305" i="22"/>
  <c r="K313" i="67"/>
  <c r="K323" i="22"/>
  <c r="L323" i="22" s="1"/>
  <c r="F322" i="58"/>
  <c r="U322" i="103"/>
  <c r="I297" i="22"/>
  <c r="R138" i="23"/>
  <c r="E296" i="58"/>
  <c r="Y296" i="58" s="1"/>
  <c r="R296" i="103"/>
  <c r="I303" i="22"/>
  <c r="R144" i="23"/>
  <c r="E302" i="58"/>
  <c r="Y302" i="58" s="1"/>
  <c r="R302" i="103"/>
  <c r="I309" i="22"/>
  <c r="R150" i="23"/>
  <c r="E308" i="58"/>
  <c r="Y308" i="58" s="1"/>
  <c r="R308" i="103"/>
  <c r="I315" i="22"/>
  <c r="E314" i="58"/>
  <c r="Y314" i="58" s="1"/>
  <c r="R314" i="103"/>
  <c r="AA322" i="22"/>
  <c r="D331" i="67"/>
  <c r="M331" i="67"/>
  <c r="H331" i="22"/>
  <c r="O330" i="103"/>
  <c r="L330" i="103" s="1"/>
  <c r="Q297" i="22"/>
  <c r="E305" i="67"/>
  <c r="AI301" i="22"/>
  <c r="Q306" i="22"/>
  <c r="E314" i="67"/>
  <c r="AI310" i="22"/>
  <c r="Q315" i="22"/>
  <c r="E323" i="67"/>
  <c r="U320" i="22"/>
  <c r="Q319" i="58"/>
  <c r="N329" i="67"/>
  <c r="H335" i="22"/>
  <c r="O334" i="103"/>
  <c r="S303" i="22"/>
  <c r="K311" i="67"/>
  <c r="F316" i="22"/>
  <c r="D315" i="58"/>
  <c r="P386" i="103"/>
  <c r="S318" i="22"/>
  <c r="K327" i="67"/>
  <c r="F328" i="22"/>
  <c r="D327" i="58"/>
  <c r="S330" i="22"/>
  <c r="K339" i="67"/>
  <c r="AI347" i="22"/>
  <c r="U321" i="22"/>
  <c r="Q320" i="58"/>
  <c r="N330" i="67"/>
  <c r="E298" i="22"/>
  <c r="H139" i="23"/>
  <c r="H297" i="103"/>
  <c r="P308" i="67"/>
  <c r="BL299" i="103"/>
  <c r="CP306" i="103"/>
  <c r="CQ306" i="103" s="1"/>
  <c r="E310" i="22"/>
  <c r="H151" i="23"/>
  <c r="H309" i="103"/>
  <c r="E309" i="103" s="1"/>
  <c r="P320" i="67"/>
  <c r="BL311" i="103"/>
  <c r="E325" i="22"/>
  <c r="H324" i="103"/>
  <c r="E324" i="103" s="1"/>
  <c r="S298" i="22"/>
  <c r="K306" i="67"/>
  <c r="F311" i="22"/>
  <c r="I152" i="23"/>
  <c r="D310" i="58"/>
  <c r="K313" i="22"/>
  <c r="L313" i="22" s="1"/>
  <c r="F312" i="58"/>
  <c r="U312" i="103"/>
  <c r="Y315" i="22"/>
  <c r="O314" i="58"/>
  <c r="C323" i="67"/>
  <c r="F320" i="22"/>
  <c r="D319" i="58"/>
  <c r="S322" i="22"/>
  <c r="K331" i="67"/>
  <c r="W337" i="22"/>
  <c r="P336" i="58"/>
  <c r="H346" i="67"/>
  <c r="CP343" i="103"/>
  <c r="CR343" i="103" s="1"/>
  <c r="W352" i="22"/>
  <c r="P351" i="58"/>
  <c r="H362" i="67"/>
  <c r="CP355" i="103"/>
  <c r="CR355" i="103" s="1"/>
  <c r="W364" i="22"/>
  <c r="P363" i="58"/>
  <c r="H374" i="67"/>
  <c r="CP367" i="103"/>
  <c r="K371" i="22"/>
  <c r="L371" i="22" s="1"/>
  <c r="F370" i="58"/>
  <c r="U370" i="103"/>
  <c r="Y337" i="22"/>
  <c r="O336" i="58"/>
  <c r="C346" i="67"/>
  <c r="CI341" i="103"/>
  <c r="CL341" i="103" s="1"/>
  <c r="CC387" i="103"/>
  <c r="AA340" i="22"/>
  <c r="D349" i="67"/>
  <c r="M349" i="67"/>
  <c r="CD387" i="103"/>
  <c r="I357" i="22"/>
  <c r="E356" i="58"/>
  <c r="Y356" i="58" s="1"/>
  <c r="R356" i="103"/>
  <c r="C368" i="22"/>
  <c r="C367" i="58"/>
  <c r="AA370" i="22"/>
  <c r="D380" i="67"/>
  <c r="M380" i="67"/>
  <c r="E372" i="22"/>
  <c r="Q336" i="22"/>
  <c r="E345" i="67"/>
  <c r="AI346" i="22"/>
  <c r="BS387" i="103"/>
  <c r="U356" i="22"/>
  <c r="Q355" i="58"/>
  <c r="N366" i="67"/>
  <c r="AI358" i="22"/>
  <c r="U368" i="22"/>
  <c r="Q367" i="58"/>
  <c r="N378" i="67"/>
  <c r="AI370" i="22"/>
  <c r="E348" i="22"/>
  <c r="E360" i="22"/>
  <c r="K336" i="22"/>
  <c r="L336" i="22" s="1"/>
  <c r="F335" i="58"/>
  <c r="U335" i="103"/>
  <c r="K348" i="22"/>
  <c r="L348" i="22" s="1"/>
  <c r="F347" i="58"/>
  <c r="U347" i="103"/>
  <c r="Y350" i="22"/>
  <c r="O349" i="58"/>
  <c r="C360" i="67"/>
  <c r="K357" i="22"/>
  <c r="L357" i="22" s="1"/>
  <c r="F356" i="58"/>
  <c r="U356" i="103"/>
  <c r="Y359" i="22"/>
  <c r="O358" i="58"/>
  <c r="C369" i="67"/>
  <c r="K366" i="22"/>
  <c r="L366" i="22" s="1"/>
  <c r="F365" i="58"/>
  <c r="U365" i="103"/>
  <c r="Y368" i="22"/>
  <c r="O367" i="58"/>
  <c r="C378" i="67"/>
  <c r="BN387" i="103"/>
  <c r="C348" i="22"/>
  <c r="C347" i="58"/>
  <c r="AA350" i="22"/>
  <c r="D360" i="67"/>
  <c r="M360" i="67"/>
  <c r="BD357" i="103"/>
  <c r="Q367" i="22"/>
  <c r="E377" i="67"/>
  <c r="AE387" i="103"/>
  <c r="E349" i="22"/>
  <c r="E361" i="22"/>
  <c r="K334" i="22"/>
  <c r="L334" i="22" s="1"/>
  <c r="F333" i="58"/>
  <c r="U333" i="103"/>
  <c r="K346" i="22"/>
  <c r="L346" i="22" s="1"/>
  <c r="F345" i="58"/>
  <c r="T387" i="103"/>
  <c r="U345" i="103"/>
  <c r="F353" i="22"/>
  <c r="D352" i="58"/>
  <c r="S355" i="22"/>
  <c r="K365" i="67"/>
  <c r="F362" i="22"/>
  <c r="D361" i="58"/>
  <c r="S364" i="22"/>
  <c r="K374" i="67"/>
  <c r="I371" i="22"/>
  <c r="E370" i="58"/>
  <c r="Y370" i="58" s="1"/>
  <c r="R370" i="103"/>
  <c r="BD349" i="103"/>
  <c r="I365" i="22"/>
  <c r="E364" i="58"/>
  <c r="Y364" i="58" s="1"/>
  <c r="R364" i="103"/>
  <c r="U343" i="22"/>
  <c r="Q342" i="58"/>
  <c r="N352" i="67"/>
  <c r="H348" i="22"/>
  <c r="H360" i="22"/>
  <c r="C373" i="22"/>
  <c r="C372" i="58"/>
  <c r="AA375" i="22"/>
  <c r="D385" i="67"/>
  <c r="M385" i="67"/>
  <c r="AA16" i="68" s="1"/>
  <c r="BD374" i="103"/>
  <c r="K375" i="22"/>
  <c r="L375" i="22" s="1"/>
  <c r="F374" i="58"/>
  <c r="U374" i="103"/>
  <c r="I376" i="22"/>
  <c r="E375" i="58"/>
  <c r="Y375" i="58" s="1"/>
  <c r="R375" i="103"/>
  <c r="Q48" i="22"/>
  <c r="E48" i="67"/>
  <c r="AA46" i="22"/>
  <c r="D46" i="67"/>
  <c r="M46" i="67"/>
  <c r="CD377" i="103"/>
  <c r="Q29" i="22"/>
  <c r="E28" i="67"/>
  <c r="AW376" i="103"/>
  <c r="H52" i="22"/>
  <c r="O51" i="103"/>
  <c r="F45" i="22"/>
  <c r="D44" i="58"/>
  <c r="C34" i="22"/>
  <c r="C33" i="58"/>
  <c r="C22" i="22"/>
  <c r="C21" i="58"/>
  <c r="CC376" i="103"/>
  <c r="CN377" i="103"/>
  <c r="AG32" i="22"/>
  <c r="CI31" i="103"/>
  <c r="CL31" i="103" s="1"/>
  <c r="AG23" i="22"/>
  <c r="CI22" i="103"/>
  <c r="CL22" i="103" s="1"/>
  <c r="E16" i="22"/>
  <c r="H15" i="103"/>
  <c r="AQ376" i="103"/>
  <c r="Y50" i="22"/>
  <c r="O49" i="58"/>
  <c r="C50" i="67"/>
  <c r="CA377" i="103"/>
  <c r="H39" i="22"/>
  <c r="O38" i="103"/>
  <c r="E34" i="22"/>
  <c r="H33" i="103"/>
  <c r="E33" i="103" s="1"/>
  <c r="E22" i="22"/>
  <c r="H21" i="103"/>
  <c r="E21" i="103" s="1"/>
  <c r="H17" i="22"/>
  <c r="O16" i="103"/>
  <c r="AT376" i="103"/>
  <c r="S58" i="22"/>
  <c r="K58" i="67"/>
  <c r="BE377" i="103"/>
  <c r="H32" i="22"/>
  <c r="O31" i="103"/>
  <c r="AA20" i="22"/>
  <c r="D19" i="67"/>
  <c r="BZ376" i="103"/>
  <c r="Q20" i="22"/>
  <c r="E19" i="67"/>
  <c r="Q53" i="22"/>
  <c r="E53" i="67"/>
  <c r="K46" i="22"/>
  <c r="L46" i="22" s="1"/>
  <c r="F45" i="58"/>
  <c r="U45" i="103"/>
  <c r="AM43" i="22"/>
  <c r="BY377" i="103"/>
  <c r="C27" i="22"/>
  <c r="C26" i="58"/>
  <c r="AN12" i="103"/>
  <c r="Y37" i="22"/>
  <c r="O36" i="58"/>
  <c r="C36" i="67"/>
  <c r="U55" i="22"/>
  <c r="Q54" i="58"/>
  <c r="N55" i="67"/>
  <c r="BD49" i="103"/>
  <c r="BC377" i="103"/>
  <c r="CP42" i="103"/>
  <c r="K36" i="22"/>
  <c r="L36" i="22" s="1"/>
  <c r="F35" i="58"/>
  <c r="U35" i="103"/>
  <c r="Y29" i="22"/>
  <c r="O28" i="58"/>
  <c r="C28" i="67"/>
  <c r="K27" i="22"/>
  <c r="L27" i="22" s="1"/>
  <c r="F26" i="58"/>
  <c r="U26" i="103"/>
  <c r="Y51" i="22"/>
  <c r="O50" i="58"/>
  <c r="C51" i="67"/>
  <c r="K49" i="22"/>
  <c r="L49" i="22" s="1"/>
  <c r="F48" i="58"/>
  <c r="U48" i="103"/>
  <c r="H44" i="22"/>
  <c r="O43" i="103"/>
  <c r="AI41" i="22"/>
  <c r="U39" i="22"/>
  <c r="Q38" i="58"/>
  <c r="N38" i="67"/>
  <c r="E30" i="22"/>
  <c r="H29" i="103"/>
  <c r="E29" i="103" s="1"/>
  <c r="Q18" i="22"/>
  <c r="E17" i="67"/>
  <c r="AI15" i="22"/>
  <c r="S392" i="58"/>
  <c r="S379" i="58"/>
  <c r="T381" i="58"/>
  <c r="T394" i="58"/>
  <c r="X162" i="58"/>
  <c r="X381" i="58" s="1"/>
  <c r="U381" i="58"/>
  <c r="N162" i="58"/>
  <c r="S394" i="58"/>
  <c r="S381" i="58"/>
  <c r="U383" i="58"/>
  <c r="N223" i="58"/>
  <c r="V384" i="58"/>
  <c r="E52" i="22"/>
  <c r="H51" i="103"/>
  <c r="H47" i="22"/>
  <c r="O46" i="103"/>
  <c r="L46" i="103" s="1"/>
  <c r="Q30" i="22"/>
  <c r="E29" i="67"/>
  <c r="I18" i="22"/>
  <c r="E17" i="58"/>
  <c r="Y17" i="58" s="1"/>
  <c r="R17" i="103"/>
  <c r="Q45" i="22"/>
  <c r="E45" i="67"/>
  <c r="H53" i="22"/>
  <c r="O52" i="103"/>
  <c r="Y44" i="22"/>
  <c r="O43" i="58"/>
  <c r="C44" i="67"/>
  <c r="K42" i="22"/>
  <c r="L42" i="22" s="1"/>
  <c r="F41" i="58"/>
  <c r="U41" i="103"/>
  <c r="C35" i="22"/>
  <c r="C34" i="58"/>
  <c r="C23" i="22"/>
  <c r="C22" i="58"/>
  <c r="S20" i="22"/>
  <c r="K19" i="67"/>
  <c r="F18" i="22"/>
  <c r="D17" i="58"/>
  <c r="H56" i="22"/>
  <c r="O55" i="103"/>
  <c r="C54" i="22"/>
  <c r="C53" i="58"/>
  <c r="BD48" i="103"/>
  <c r="AA37" i="22"/>
  <c r="D36" i="67"/>
  <c r="E17" i="22"/>
  <c r="H16" i="103"/>
  <c r="AG52" i="22"/>
  <c r="CI51" i="103"/>
  <c r="CK51" i="103" s="1"/>
  <c r="U70" i="22"/>
  <c r="Q69" i="58"/>
  <c r="N70" i="67"/>
  <c r="AI72" i="22"/>
  <c r="U82" i="22"/>
  <c r="Q81" i="58"/>
  <c r="N83" i="67"/>
  <c r="AI84" i="22"/>
  <c r="E92" i="22"/>
  <c r="H91" i="103"/>
  <c r="BX378" i="103"/>
  <c r="E77" i="22"/>
  <c r="H76" i="103"/>
  <c r="H57" i="22"/>
  <c r="O56" i="103"/>
  <c r="W92" i="22"/>
  <c r="P91" i="58"/>
  <c r="H93" i="67"/>
  <c r="W61" i="22"/>
  <c r="P60" i="58"/>
  <c r="H61" i="67"/>
  <c r="AM62" i="103"/>
  <c r="CP64" i="103"/>
  <c r="Q90" i="22"/>
  <c r="E91" i="67"/>
  <c r="F60" i="22"/>
  <c r="D59" i="58"/>
  <c r="S62" i="22"/>
  <c r="K62" i="67"/>
  <c r="H67" i="22"/>
  <c r="O66" i="103"/>
  <c r="CA378" i="103"/>
  <c r="H79" i="22"/>
  <c r="O78" i="103"/>
  <c r="CB379" i="103"/>
  <c r="BD59" i="103"/>
  <c r="C65" i="22"/>
  <c r="C64" i="58"/>
  <c r="CP68" i="103"/>
  <c r="W77" i="22"/>
  <c r="P76" i="58"/>
  <c r="H78" i="67"/>
  <c r="AM78" i="103"/>
  <c r="CP80" i="103"/>
  <c r="AN90" i="103"/>
  <c r="Q57" i="22"/>
  <c r="E57" i="67"/>
  <c r="CP65" i="103"/>
  <c r="AN72" i="103"/>
  <c r="E63" i="22"/>
  <c r="H62" i="103"/>
  <c r="AA68" i="22"/>
  <c r="M68" i="67"/>
  <c r="D68" i="67"/>
  <c r="I70" i="22"/>
  <c r="E69" i="58"/>
  <c r="Y69" i="58" s="1"/>
  <c r="R69" i="103"/>
  <c r="C75" i="22"/>
  <c r="C74" i="58"/>
  <c r="BD78" i="103"/>
  <c r="C84" i="22"/>
  <c r="C83" i="58"/>
  <c r="E96" i="22"/>
  <c r="H95" i="103"/>
  <c r="S57" i="22"/>
  <c r="K57" i="67"/>
  <c r="F64" i="22"/>
  <c r="D63" i="58"/>
  <c r="Q73" i="22"/>
  <c r="E74" i="67"/>
  <c r="Q85" i="22"/>
  <c r="E86" i="67"/>
  <c r="W90" i="22"/>
  <c r="P89" i="58"/>
  <c r="H91" i="67"/>
  <c r="C57" i="22"/>
  <c r="C56" i="58"/>
  <c r="E73" i="22"/>
  <c r="H72" i="103"/>
  <c r="E85" i="22"/>
  <c r="H84" i="103"/>
  <c r="F92" i="22"/>
  <c r="D91" i="58"/>
  <c r="AI56" i="22"/>
  <c r="K73" i="22"/>
  <c r="L73" i="22" s="1"/>
  <c r="F72" i="58"/>
  <c r="U72" i="103"/>
  <c r="Y75" i="22"/>
  <c r="O74" i="58"/>
  <c r="C76" i="67"/>
  <c r="K82" i="22"/>
  <c r="L82" i="22" s="1"/>
  <c r="F81" i="58"/>
  <c r="Y84" i="22"/>
  <c r="O83" i="58"/>
  <c r="C85" i="67"/>
  <c r="C91" i="22"/>
  <c r="C90" i="58"/>
  <c r="W60" i="22"/>
  <c r="P59" i="58"/>
  <c r="H60" i="67"/>
  <c r="AM61" i="103"/>
  <c r="CP63" i="103"/>
  <c r="CQ63" i="103" s="1"/>
  <c r="AI87" i="22"/>
  <c r="C109" i="22"/>
  <c r="C108" i="58"/>
  <c r="H111" i="22"/>
  <c r="O110" i="103"/>
  <c r="H123" i="22"/>
  <c r="O122" i="103"/>
  <c r="K94" i="22"/>
  <c r="L94" i="22" s="1"/>
  <c r="F93" i="58"/>
  <c r="Y96" i="22"/>
  <c r="O95" i="58"/>
  <c r="C97" i="67"/>
  <c r="C103" i="22"/>
  <c r="C102" i="58"/>
  <c r="C102" i="103"/>
  <c r="W115" i="22"/>
  <c r="P114" i="58"/>
  <c r="H117" i="67"/>
  <c r="AM116" i="103"/>
  <c r="CP118" i="103"/>
  <c r="W127" i="22"/>
  <c r="P126" i="58"/>
  <c r="H129" i="67"/>
  <c r="K133" i="22"/>
  <c r="L133" i="22" s="1"/>
  <c r="F132" i="58"/>
  <c r="U132" i="103"/>
  <c r="AG114" i="22"/>
  <c r="CI113" i="103"/>
  <c r="CL113" i="103" s="1"/>
  <c r="AG123" i="22"/>
  <c r="CI122" i="103"/>
  <c r="CK122" i="103" s="1"/>
  <c r="AG137" i="22"/>
  <c r="CI136" i="103"/>
  <c r="CL136" i="103" s="1"/>
  <c r="U94" i="22"/>
  <c r="Q93" i="58"/>
  <c r="N95" i="67"/>
  <c r="AI96" i="22"/>
  <c r="AG108" i="22"/>
  <c r="CI107" i="103"/>
  <c r="CK107" i="103" s="1"/>
  <c r="AA115" i="22"/>
  <c r="D117" i="67"/>
  <c r="M117" i="67"/>
  <c r="BD116" i="103"/>
  <c r="AA127" i="22"/>
  <c r="D129" i="67"/>
  <c r="M129" i="67"/>
  <c r="W97" i="22"/>
  <c r="P96" i="58"/>
  <c r="H98" i="67"/>
  <c r="CP100" i="103"/>
  <c r="S104" i="22"/>
  <c r="K106" i="67"/>
  <c r="H109" i="22"/>
  <c r="O108" i="103"/>
  <c r="L108" i="103" s="1"/>
  <c r="H121" i="22"/>
  <c r="O120" i="103"/>
  <c r="F96" i="22"/>
  <c r="D95" i="58"/>
  <c r="S98" i="22"/>
  <c r="K99" i="67"/>
  <c r="BU379" i="103"/>
  <c r="W110" i="22"/>
  <c r="P109" i="58"/>
  <c r="H112" i="67"/>
  <c r="CP113" i="103"/>
  <c r="W122" i="22"/>
  <c r="P121" i="58"/>
  <c r="H124" i="67"/>
  <c r="AM123" i="103"/>
  <c r="CP125" i="103"/>
  <c r="Q105" i="22"/>
  <c r="E107" i="67"/>
  <c r="K114" i="22"/>
  <c r="L114" i="22" s="1"/>
  <c r="F113" i="58"/>
  <c r="U113" i="103"/>
  <c r="Y116" i="22"/>
  <c r="O115" i="58"/>
  <c r="C118" i="67"/>
  <c r="K123" i="22"/>
  <c r="L123" i="22" s="1"/>
  <c r="F122" i="58"/>
  <c r="U122" i="103"/>
  <c r="Y125" i="22"/>
  <c r="O124" i="58"/>
  <c r="C127" i="67"/>
  <c r="Q102" i="22"/>
  <c r="AD379" i="103"/>
  <c r="E104" i="67"/>
  <c r="C117" i="22"/>
  <c r="C116" i="58"/>
  <c r="E102" i="22"/>
  <c r="G379" i="103"/>
  <c r="H101" i="103"/>
  <c r="H113" i="22"/>
  <c r="O112" i="103"/>
  <c r="H125" i="22"/>
  <c r="O124" i="103"/>
  <c r="F97" i="22"/>
  <c r="D96" i="58"/>
  <c r="S99" i="22"/>
  <c r="K100" i="67"/>
  <c r="AA104" i="22"/>
  <c r="D106" i="67"/>
  <c r="M106" i="67"/>
  <c r="BD105" i="103"/>
  <c r="BD93" i="103"/>
  <c r="C99" i="22"/>
  <c r="C98" i="58"/>
  <c r="Q94" i="22"/>
  <c r="E95" i="67"/>
  <c r="CP102" i="103"/>
  <c r="C121" i="22"/>
  <c r="C120" i="58"/>
  <c r="Q133" i="22"/>
  <c r="E136" i="67"/>
  <c r="AI137" i="22"/>
  <c r="Q142" i="22"/>
  <c r="E145" i="67"/>
  <c r="AI146" i="22"/>
  <c r="Q151" i="22"/>
  <c r="E154" i="67"/>
  <c r="AI155" i="22"/>
  <c r="Q160" i="22"/>
  <c r="E163" i="67"/>
  <c r="P135" i="67"/>
  <c r="BL131" i="103"/>
  <c r="P144" i="67"/>
  <c r="BL140" i="103"/>
  <c r="P153" i="67"/>
  <c r="BL149" i="103"/>
  <c r="P162" i="67"/>
  <c r="BL158" i="103"/>
  <c r="AG140" i="22"/>
  <c r="CI139" i="103"/>
  <c r="CL139" i="103" s="1"/>
  <c r="K142" i="22"/>
  <c r="L142" i="22" s="1"/>
  <c r="F141" i="58"/>
  <c r="U141" i="103"/>
  <c r="Y144" i="22"/>
  <c r="O143" i="58"/>
  <c r="C147" i="67"/>
  <c r="AG146" i="22"/>
  <c r="CI145" i="103"/>
  <c r="CL145" i="103" s="1"/>
  <c r="K148" i="22"/>
  <c r="L148" i="22" s="1"/>
  <c r="F147" i="58"/>
  <c r="U147" i="103"/>
  <c r="Y150" i="22"/>
  <c r="O149" i="58"/>
  <c r="C153" i="67"/>
  <c r="AG152" i="22"/>
  <c r="CI151" i="103"/>
  <c r="CK151" i="103" s="1"/>
  <c r="K154" i="22"/>
  <c r="L154" i="22" s="1"/>
  <c r="F153" i="58"/>
  <c r="U153" i="103"/>
  <c r="Y156" i="22"/>
  <c r="O155" i="58"/>
  <c r="C159" i="67"/>
  <c r="AG158" i="22"/>
  <c r="CI157" i="103"/>
  <c r="CL157" i="103" s="1"/>
  <c r="K160" i="22"/>
  <c r="L160" i="22" s="1"/>
  <c r="F159" i="58"/>
  <c r="U159" i="103"/>
  <c r="Y162" i="22"/>
  <c r="O161" i="58"/>
  <c r="C165" i="67"/>
  <c r="AA141" i="22"/>
  <c r="D144" i="67"/>
  <c r="M144" i="67"/>
  <c r="BD148" i="103"/>
  <c r="C160" i="22"/>
  <c r="C159" i="58"/>
  <c r="AX380" i="103"/>
  <c r="W130" i="22"/>
  <c r="P129" i="58"/>
  <c r="H132" i="67"/>
  <c r="H164" i="22"/>
  <c r="O163" i="103"/>
  <c r="AZ380" i="103"/>
  <c r="S134" i="22"/>
  <c r="K137" i="67"/>
  <c r="S140" i="22"/>
  <c r="K143" i="67"/>
  <c r="S146" i="22"/>
  <c r="K149" i="67"/>
  <c r="S152" i="22"/>
  <c r="K155" i="67"/>
  <c r="S158" i="22"/>
  <c r="K161" i="67"/>
  <c r="C134" i="22"/>
  <c r="C133" i="58"/>
  <c r="I138" i="22"/>
  <c r="E137" i="58"/>
  <c r="Y137" i="58" s="1"/>
  <c r="R137" i="103"/>
  <c r="AA151" i="22"/>
  <c r="D154" i="67"/>
  <c r="M154" i="67"/>
  <c r="BD158" i="103"/>
  <c r="U168" i="22"/>
  <c r="Q167" i="58"/>
  <c r="N172" i="67"/>
  <c r="U146" i="22"/>
  <c r="Q145" i="58"/>
  <c r="N149" i="67"/>
  <c r="U155" i="22"/>
  <c r="Q154" i="58"/>
  <c r="N158" i="67"/>
  <c r="CP128" i="103"/>
  <c r="E132" i="22"/>
  <c r="G380" i="103"/>
  <c r="H131" i="103"/>
  <c r="CP137" i="103"/>
  <c r="CR137" i="103" s="1"/>
  <c r="E141" i="22"/>
  <c r="H140" i="103"/>
  <c r="CP146" i="103"/>
  <c r="E150" i="22"/>
  <c r="H149" i="103"/>
  <c r="CP155" i="103"/>
  <c r="E159" i="22"/>
  <c r="H158" i="103"/>
  <c r="AY381" i="103"/>
  <c r="S135" i="22"/>
  <c r="K138" i="67"/>
  <c r="S141" i="22"/>
  <c r="K144" i="67"/>
  <c r="S147" i="22"/>
  <c r="K150" i="67"/>
  <c r="S153" i="22"/>
  <c r="K156" i="67"/>
  <c r="S159" i="22"/>
  <c r="K162" i="67"/>
  <c r="AZ381" i="103"/>
  <c r="C138" i="22"/>
  <c r="C137" i="58"/>
  <c r="I142" i="22"/>
  <c r="E141" i="58"/>
  <c r="Y141" i="58" s="1"/>
  <c r="R141" i="103"/>
  <c r="AA155" i="22"/>
  <c r="M158" i="67"/>
  <c r="D158" i="67"/>
  <c r="AO381" i="103"/>
  <c r="BD162" i="103"/>
  <c r="C170" i="22"/>
  <c r="C169" i="58"/>
  <c r="C182" i="22"/>
  <c r="C181" i="58"/>
  <c r="C194" i="22"/>
  <c r="C193" i="58"/>
  <c r="H172" i="22"/>
  <c r="O171" i="103"/>
  <c r="H181" i="22"/>
  <c r="O180" i="103"/>
  <c r="H190" i="22"/>
  <c r="O189" i="103"/>
  <c r="AM171" i="103"/>
  <c r="AM180" i="103"/>
  <c r="AM189" i="103"/>
  <c r="AQ382" i="103"/>
  <c r="BD192" i="103"/>
  <c r="E195" i="22"/>
  <c r="H194" i="103"/>
  <c r="AG169" i="22"/>
  <c r="CI168" i="103"/>
  <c r="CL168" i="103" s="1"/>
  <c r="S171" i="22"/>
  <c r="K175" i="67"/>
  <c r="F184" i="22"/>
  <c r="D183" i="58"/>
  <c r="K186" i="22"/>
  <c r="L186" i="22" s="1"/>
  <c r="F185" i="58"/>
  <c r="U185" i="103"/>
  <c r="Y188" i="22"/>
  <c r="O187" i="58"/>
  <c r="C192" i="67"/>
  <c r="AR193" i="103"/>
  <c r="I199" i="22"/>
  <c r="E198" i="58"/>
  <c r="Y198" i="58" s="1"/>
  <c r="R198" i="103"/>
  <c r="I169" i="22"/>
  <c r="E168" i="58"/>
  <c r="Y168" i="58" s="1"/>
  <c r="R168" i="103"/>
  <c r="I181" i="22"/>
  <c r="E180" i="58"/>
  <c r="Y180" i="58" s="1"/>
  <c r="R180" i="103"/>
  <c r="I193" i="22"/>
  <c r="E192" i="58"/>
  <c r="Q382" i="103"/>
  <c r="R192" i="103"/>
  <c r="H179" i="22"/>
  <c r="O178" i="103"/>
  <c r="H188" i="22"/>
  <c r="O187" i="103"/>
  <c r="U195" i="22"/>
  <c r="Q194" i="58"/>
  <c r="N200" i="67"/>
  <c r="AN169" i="103"/>
  <c r="S172" i="22"/>
  <c r="K176" i="67"/>
  <c r="F185" i="22"/>
  <c r="D184" i="58"/>
  <c r="K187" i="22"/>
  <c r="L187" i="22" s="1"/>
  <c r="F186" i="58"/>
  <c r="U186" i="103"/>
  <c r="Y189" i="22"/>
  <c r="O188" i="58"/>
  <c r="C193" i="67"/>
  <c r="I173" i="22"/>
  <c r="E172" i="58"/>
  <c r="Y172" i="58" s="1"/>
  <c r="R172" i="103"/>
  <c r="I185" i="22"/>
  <c r="E184" i="58"/>
  <c r="Y184" i="58" s="1"/>
  <c r="R184" i="103"/>
  <c r="AA195" i="22"/>
  <c r="D200" i="67"/>
  <c r="M200" i="67"/>
  <c r="U172" i="22"/>
  <c r="Q171" i="58"/>
  <c r="N176" i="67"/>
  <c r="U181" i="22"/>
  <c r="Q180" i="58"/>
  <c r="N185" i="67"/>
  <c r="U190" i="22"/>
  <c r="Q189" i="58"/>
  <c r="N194" i="67"/>
  <c r="CP169" i="103"/>
  <c r="CR169" i="103" s="1"/>
  <c r="E173" i="22"/>
  <c r="H172" i="103"/>
  <c r="CP178" i="103"/>
  <c r="CQ178" i="103" s="1"/>
  <c r="E182" i="22"/>
  <c r="H181" i="103"/>
  <c r="CP187" i="103"/>
  <c r="CR187" i="103" s="1"/>
  <c r="E191" i="22"/>
  <c r="H190" i="103"/>
  <c r="AN167" i="103"/>
  <c r="AH131" i="23" s="1"/>
  <c r="S170" i="22"/>
  <c r="K174" i="67"/>
  <c r="F183" i="22"/>
  <c r="D182" i="58"/>
  <c r="K185" i="22"/>
  <c r="L185" i="22" s="1"/>
  <c r="F184" i="58"/>
  <c r="U184" i="103"/>
  <c r="Y187" i="22"/>
  <c r="O186" i="58"/>
  <c r="C191" i="67"/>
  <c r="Q198" i="67"/>
  <c r="BQ382" i="103"/>
  <c r="AA199" i="22"/>
  <c r="M204" i="67"/>
  <c r="D204" i="67"/>
  <c r="BG383" i="103"/>
  <c r="Y203" i="22"/>
  <c r="O202" i="58"/>
  <c r="C208" i="67"/>
  <c r="AG208" i="22"/>
  <c r="CI207" i="103"/>
  <c r="CL207" i="103" s="1"/>
  <c r="Y215" i="22"/>
  <c r="O214" i="58"/>
  <c r="C220" i="67"/>
  <c r="AG220" i="22"/>
  <c r="CI219" i="103"/>
  <c r="CL219" i="103" s="1"/>
  <c r="CC383" i="103"/>
  <c r="AA200" i="22"/>
  <c r="D205" i="67"/>
  <c r="M205" i="67"/>
  <c r="C213" i="22"/>
  <c r="C212" i="58"/>
  <c r="AA218" i="22"/>
  <c r="D223" i="67"/>
  <c r="M223" i="67"/>
  <c r="AI200" i="22"/>
  <c r="H203" i="22"/>
  <c r="O202" i="103"/>
  <c r="Q208" i="22"/>
  <c r="E213" i="67"/>
  <c r="AI218" i="22"/>
  <c r="H221" i="22"/>
  <c r="O220" i="103"/>
  <c r="Q226" i="22"/>
  <c r="E232" i="67"/>
  <c r="CP201" i="103"/>
  <c r="CQ201" i="103" s="1"/>
  <c r="W210" i="22"/>
  <c r="P209" i="58"/>
  <c r="H215" i="67"/>
  <c r="CP213" i="103"/>
  <c r="CQ213" i="103" s="1"/>
  <c r="W222" i="22"/>
  <c r="P221" i="58"/>
  <c r="H227" i="67"/>
  <c r="AM223" i="103"/>
  <c r="K245" i="22"/>
  <c r="L245" i="22" s="1"/>
  <c r="F244" i="58"/>
  <c r="U244" i="103"/>
  <c r="K208" i="22"/>
  <c r="L208" i="22" s="1"/>
  <c r="F207" i="58"/>
  <c r="U207" i="103"/>
  <c r="K220" i="22"/>
  <c r="L220" i="22" s="1"/>
  <c r="F219" i="58"/>
  <c r="U219" i="103"/>
  <c r="CS383" i="103"/>
  <c r="Q230" i="22"/>
  <c r="E236" i="67"/>
  <c r="C217" i="22"/>
  <c r="C216" i="58"/>
  <c r="AA222" i="22"/>
  <c r="M227" i="67"/>
  <c r="D227" i="67"/>
  <c r="S245" i="22"/>
  <c r="K251" i="67"/>
  <c r="AI201" i="22"/>
  <c r="H204" i="22"/>
  <c r="O203" i="103"/>
  <c r="Q209" i="22"/>
  <c r="E214" i="67"/>
  <c r="AI219" i="22"/>
  <c r="H222" i="22"/>
  <c r="O221" i="103"/>
  <c r="E227" i="22"/>
  <c r="H226" i="103"/>
  <c r="Y229" i="22"/>
  <c r="O228" i="58"/>
  <c r="C235" i="67"/>
  <c r="AG234" i="22"/>
  <c r="CI233" i="103"/>
  <c r="CL233" i="103" s="1"/>
  <c r="W208" i="22"/>
  <c r="P207" i="58"/>
  <c r="H213" i="67"/>
  <c r="CP211" i="103"/>
  <c r="CR211" i="103" s="1"/>
  <c r="W220" i="22"/>
  <c r="P219" i="58"/>
  <c r="H225" i="67"/>
  <c r="S200" i="22"/>
  <c r="K205" i="67"/>
  <c r="F210" i="22"/>
  <c r="D209" i="58"/>
  <c r="S212" i="22"/>
  <c r="K217" i="67"/>
  <c r="F222" i="22"/>
  <c r="D221" i="58"/>
  <c r="S224" i="22"/>
  <c r="K230" i="67"/>
  <c r="AF383" i="103"/>
  <c r="C206" i="22"/>
  <c r="C205" i="58"/>
  <c r="AA211" i="22"/>
  <c r="M216" i="67"/>
  <c r="D216" i="67"/>
  <c r="C224" i="22"/>
  <c r="C223" i="58"/>
  <c r="I383" i="103"/>
  <c r="CP230" i="103"/>
  <c r="CR230" i="103" s="1"/>
  <c r="Q201" i="22"/>
  <c r="E206" i="67"/>
  <c r="AI211" i="22"/>
  <c r="H214" i="22"/>
  <c r="O213" i="103"/>
  <c r="Q219" i="22"/>
  <c r="E224" i="67"/>
  <c r="AT383" i="103"/>
  <c r="Y227" i="22"/>
  <c r="O226" i="58"/>
  <c r="C233" i="67"/>
  <c r="E242" i="22"/>
  <c r="H241" i="103"/>
  <c r="CP256" i="103"/>
  <c r="CR256" i="103" s="1"/>
  <c r="K260" i="22"/>
  <c r="L260" i="22" s="1"/>
  <c r="F259" i="58"/>
  <c r="U259" i="103"/>
  <c r="C263" i="22"/>
  <c r="C262" i="58"/>
  <c r="C266" i="22"/>
  <c r="C265" i="58"/>
  <c r="AG252" i="22"/>
  <c r="CI251" i="103"/>
  <c r="CL251" i="103" s="1"/>
  <c r="K257" i="22"/>
  <c r="L257" i="22" s="1"/>
  <c r="F256" i="58"/>
  <c r="U256" i="103"/>
  <c r="I255" i="22"/>
  <c r="E254" i="58"/>
  <c r="Q384" i="103"/>
  <c r="R254" i="103"/>
  <c r="Q258" i="22"/>
  <c r="E265" i="67"/>
  <c r="Q261" i="22"/>
  <c r="E268" i="67"/>
  <c r="S267" i="22"/>
  <c r="K274" i="67"/>
  <c r="H238" i="22"/>
  <c r="O237" i="103"/>
  <c r="Q243" i="22"/>
  <c r="E249" i="67"/>
  <c r="AI253" i="22"/>
  <c r="F262" i="22"/>
  <c r="D261" i="58"/>
  <c r="S288" i="22"/>
  <c r="K296" i="67"/>
  <c r="CP236" i="103"/>
  <c r="CQ236" i="103" s="1"/>
  <c r="W248" i="22"/>
  <c r="P247" i="58"/>
  <c r="H254" i="67"/>
  <c r="BC384" i="103"/>
  <c r="CP254" i="103"/>
  <c r="S261" i="22"/>
  <c r="K268" i="67"/>
  <c r="F244" i="22"/>
  <c r="D243" i="58"/>
  <c r="S246" i="22"/>
  <c r="K252" i="67"/>
  <c r="AG256" i="22"/>
  <c r="CI255" i="103"/>
  <c r="CL255" i="103" s="1"/>
  <c r="CI330" i="103"/>
  <c r="CL330" i="103" s="1"/>
  <c r="C237" i="22"/>
  <c r="C236" i="58"/>
  <c r="AA242" i="22"/>
  <c r="D248" i="67"/>
  <c r="M248" i="67"/>
  <c r="C255" i="22"/>
  <c r="C254" i="58"/>
  <c r="I384" i="103"/>
  <c r="C258" i="22"/>
  <c r="C257" i="58"/>
  <c r="U240" i="22"/>
  <c r="Q239" i="58"/>
  <c r="N246" i="67"/>
  <c r="BF384" i="103"/>
  <c r="BT254" i="103"/>
  <c r="W317" i="22"/>
  <c r="P316" i="58"/>
  <c r="H326" i="67"/>
  <c r="CP237" i="103"/>
  <c r="CR237" i="103" s="1"/>
  <c r="W249" i="22"/>
  <c r="P248" i="58"/>
  <c r="H255" i="67"/>
  <c r="CP255" i="103"/>
  <c r="CR255" i="103" s="1"/>
  <c r="AG260" i="22"/>
  <c r="CI259" i="103"/>
  <c r="CL259" i="103" s="1"/>
  <c r="AI296" i="22"/>
  <c r="Y240" i="22"/>
  <c r="O239" i="58"/>
  <c r="C246" i="67"/>
  <c r="Y252" i="22"/>
  <c r="O251" i="58"/>
  <c r="C258" i="67"/>
  <c r="C235" i="22"/>
  <c r="C234" i="58"/>
  <c r="AA240" i="22"/>
  <c r="D246" i="67"/>
  <c r="M246" i="67"/>
  <c r="C253" i="22"/>
  <c r="C252" i="58"/>
  <c r="BW384" i="103"/>
  <c r="AI258" i="22"/>
  <c r="AI261" i="22"/>
  <c r="U238" i="22"/>
  <c r="Q237" i="58"/>
  <c r="N244" i="67"/>
  <c r="U256" i="22"/>
  <c r="Q255" i="58"/>
  <c r="N263" i="67"/>
  <c r="H299" i="22"/>
  <c r="N140" i="23"/>
  <c r="O298" i="103"/>
  <c r="H293" i="22"/>
  <c r="N134" i="23"/>
  <c r="O292" i="103"/>
  <c r="W326" i="22"/>
  <c r="P325" i="58"/>
  <c r="H335" i="67"/>
  <c r="W291" i="22"/>
  <c r="P290" i="58"/>
  <c r="H299" i="67"/>
  <c r="Y267" i="22"/>
  <c r="O266" i="58"/>
  <c r="C274" i="67"/>
  <c r="AG281" i="22"/>
  <c r="CI280" i="103"/>
  <c r="CL280" i="103" s="1"/>
  <c r="F284" i="22"/>
  <c r="D283" i="58"/>
  <c r="S286" i="22"/>
  <c r="K294" i="67"/>
  <c r="E297" i="22"/>
  <c r="H138" i="23"/>
  <c r="H296" i="103"/>
  <c r="AK308" i="22"/>
  <c r="I290" i="22"/>
  <c r="R131" i="23"/>
  <c r="E289" i="58"/>
  <c r="Y289" i="58" s="1"/>
  <c r="R289" i="103"/>
  <c r="I296" i="22"/>
  <c r="R137" i="23"/>
  <c r="E295" i="58"/>
  <c r="Y295" i="58" s="1"/>
  <c r="R295" i="103"/>
  <c r="E306" i="22"/>
  <c r="H147" i="23"/>
  <c r="H305" i="103"/>
  <c r="E305" i="103" s="1"/>
  <c r="U268" i="22"/>
  <c r="Q267" i="58"/>
  <c r="N275" i="67"/>
  <c r="U271" i="22"/>
  <c r="Q270" i="58"/>
  <c r="N278" i="67"/>
  <c r="U274" i="22"/>
  <c r="Q273" i="58"/>
  <c r="N281" i="67"/>
  <c r="U277" i="22"/>
  <c r="Q276" i="58"/>
  <c r="N284" i="67"/>
  <c r="U280" i="22"/>
  <c r="Q279" i="58"/>
  <c r="N287" i="67"/>
  <c r="U283" i="22"/>
  <c r="Q282" i="58"/>
  <c r="N290" i="67"/>
  <c r="U301" i="22"/>
  <c r="Q300" i="58"/>
  <c r="N309" i="67"/>
  <c r="CP329" i="103"/>
  <c r="CP286" i="103"/>
  <c r="CR286" i="103" s="1"/>
  <c r="E290" i="22"/>
  <c r="H131" i="23"/>
  <c r="H289" i="103"/>
  <c r="P300" i="67"/>
  <c r="BL291" i="103"/>
  <c r="C301" i="22"/>
  <c r="C142" i="23"/>
  <c r="C300" i="58"/>
  <c r="AA308" i="22"/>
  <c r="D316" i="67"/>
  <c r="M316" i="67"/>
  <c r="AS386" i="103"/>
  <c r="S269" i="22"/>
  <c r="K276" i="67"/>
  <c r="K272" i="22"/>
  <c r="L272" i="22" s="1"/>
  <c r="F271" i="58"/>
  <c r="U271" i="103"/>
  <c r="Y283" i="22"/>
  <c r="O282" i="58"/>
  <c r="C290" i="67"/>
  <c r="CS385" i="103"/>
  <c r="F288" i="22"/>
  <c r="I129" i="23"/>
  <c r="D287" i="58"/>
  <c r="K290" i="22"/>
  <c r="L290" i="22" s="1"/>
  <c r="U131" i="23"/>
  <c r="F289" i="58"/>
  <c r="U289" i="103"/>
  <c r="Y292" i="22"/>
  <c r="O291" i="58"/>
  <c r="C300" i="67"/>
  <c r="AI338" i="22"/>
  <c r="F331" i="22"/>
  <c r="D330" i="58"/>
  <c r="J330" i="103"/>
  <c r="U287" i="22"/>
  <c r="Q286" i="58"/>
  <c r="N295" i="67"/>
  <c r="U296" i="22"/>
  <c r="Q295" i="58"/>
  <c r="N304" i="67"/>
  <c r="Q320" i="22"/>
  <c r="E329" i="67"/>
  <c r="AI330" i="22"/>
  <c r="Q358" i="22"/>
  <c r="E368" i="67"/>
  <c r="P309" i="67"/>
  <c r="BL300" i="103"/>
  <c r="CP307" i="103"/>
  <c r="CR307" i="103" s="1"/>
  <c r="E311" i="22"/>
  <c r="H152" i="23"/>
  <c r="H310" i="103"/>
  <c r="E310" i="103" s="1"/>
  <c r="P321" i="67"/>
  <c r="BL312" i="103"/>
  <c r="AM317" i="103"/>
  <c r="E326" i="22"/>
  <c r="H325" i="103"/>
  <c r="E325" i="103" s="1"/>
  <c r="U336" i="22"/>
  <c r="Q335" i="58"/>
  <c r="N345" i="67"/>
  <c r="F297" i="22"/>
  <c r="I138" i="23"/>
  <c r="D296" i="58"/>
  <c r="K299" i="22"/>
  <c r="L299" i="22" s="1"/>
  <c r="U140" i="23"/>
  <c r="F298" i="58"/>
  <c r="U298" i="103"/>
  <c r="Y301" i="22"/>
  <c r="O300" i="58"/>
  <c r="C309" i="67"/>
  <c r="AM311" i="22"/>
  <c r="F321" i="22"/>
  <c r="D320" i="58"/>
  <c r="S323" i="22"/>
  <c r="K332" i="67"/>
  <c r="U348" i="22"/>
  <c r="Q347" i="58"/>
  <c r="N358" i="67"/>
  <c r="C320" i="22"/>
  <c r="C319" i="58"/>
  <c r="I324" i="22"/>
  <c r="E323" i="58"/>
  <c r="Y323" i="58" s="1"/>
  <c r="R323" i="103"/>
  <c r="C329" i="22"/>
  <c r="C328" i="58"/>
  <c r="BB296" i="103"/>
  <c r="H304" i="22"/>
  <c r="N145" i="23"/>
  <c r="O303" i="103"/>
  <c r="H313" i="22"/>
  <c r="O312" i="103"/>
  <c r="BB314" i="103"/>
  <c r="AI325" i="22"/>
  <c r="H328" i="22"/>
  <c r="O327" i="103"/>
  <c r="K297" i="22"/>
  <c r="L297" i="22" s="1"/>
  <c r="U138" i="23"/>
  <c r="F296" i="58"/>
  <c r="U296" i="103"/>
  <c r="Y299" i="22"/>
  <c r="O298" i="58"/>
  <c r="C307" i="67"/>
  <c r="BM304" i="103"/>
  <c r="AM309" i="22"/>
  <c r="AN315" i="103"/>
  <c r="Y323" i="22"/>
  <c r="O322" i="58"/>
  <c r="C332" i="67"/>
  <c r="AN327" i="103"/>
  <c r="AK316" i="22"/>
  <c r="BV386" i="103"/>
  <c r="AI332" i="22"/>
  <c r="AI326" i="22"/>
  <c r="H329" i="22"/>
  <c r="O328" i="103"/>
  <c r="CP330" i="103"/>
  <c r="W303" i="22"/>
  <c r="P302" i="58"/>
  <c r="H311" i="67"/>
  <c r="W315" i="22"/>
  <c r="P314" i="58"/>
  <c r="H323" i="67"/>
  <c r="CP321" i="103"/>
  <c r="CR321" i="103" s="1"/>
  <c r="BM299" i="103"/>
  <c r="AM304" i="22"/>
  <c r="S313" i="22"/>
  <c r="K321" i="67"/>
  <c r="Y327" i="22"/>
  <c r="O326" i="58"/>
  <c r="C336" i="67"/>
  <c r="Q346" i="22"/>
  <c r="E356" i="67"/>
  <c r="AD387" i="103"/>
  <c r="AM341" i="103"/>
  <c r="S371" i="22"/>
  <c r="K381" i="67"/>
  <c r="S14" i="68" s="1"/>
  <c r="K335" i="22"/>
  <c r="L335" i="22" s="1"/>
  <c r="F334" i="58"/>
  <c r="U334" i="103"/>
  <c r="K347" i="22"/>
  <c r="L347" i="22" s="1"/>
  <c r="F346" i="58"/>
  <c r="U346" i="103"/>
  <c r="Y349" i="22"/>
  <c r="O348" i="58"/>
  <c r="C359" i="67"/>
  <c r="K356" i="22"/>
  <c r="L356" i="22" s="1"/>
  <c r="F355" i="58"/>
  <c r="U355" i="103"/>
  <c r="Y358" i="22"/>
  <c r="O357" i="58"/>
  <c r="C368" i="67"/>
  <c r="K365" i="22"/>
  <c r="L365" i="22" s="1"/>
  <c r="F364" i="58"/>
  <c r="U364" i="103"/>
  <c r="Y367" i="22"/>
  <c r="O366" i="58"/>
  <c r="C377" i="67"/>
  <c r="C338" i="22"/>
  <c r="C337" i="58"/>
  <c r="I342" i="22"/>
  <c r="E341" i="58"/>
  <c r="Y341" i="58" s="1"/>
  <c r="R341" i="103"/>
  <c r="C347" i="22"/>
  <c r="C346" i="58"/>
  <c r="AA349" i="22"/>
  <c r="M359" i="67"/>
  <c r="D359" i="67"/>
  <c r="U344" i="22"/>
  <c r="Q343" i="58"/>
  <c r="N353" i="67"/>
  <c r="CE387" i="103"/>
  <c r="H349" i="22"/>
  <c r="H361" i="22"/>
  <c r="W338" i="22"/>
  <c r="P337" i="58"/>
  <c r="H347" i="67"/>
  <c r="CP344" i="103"/>
  <c r="W353" i="22"/>
  <c r="P352" i="58"/>
  <c r="H363" i="67"/>
  <c r="CP356" i="103"/>
  <c r="W365" i="22"/>
  <c r="P364" i="58"/>
  <c r="H375" i="67"/>
  <c r="CP368" i="103"/>
  <c r="F334" i="22"/>
  <c r="D333" i="58"/>
  <c r="S336" i="22"/>
  <c r="K345" i="67"/>
  <c r="F346" i="22"/>
  <c r="D345" i="58"/>
  <c r="P387" i="103"/>
  <c r="S348" i="22"/>
  <c r="K358" i="67"/>
  <c r="F355" i="22"/>
  <c r="D354" i="58"/>
  <c r="S357" i="22"/>
  <c r="K367" i="67"/>
  <c r="F364" i="22"/>
  <c r="D363" i="58"/>
  <c r="S366" i="22"/>
  <c r="K376" i="67"/>
  <c r="I352" i="22"/>
  <c r="E351" i="58"/>
  <c r="Y351" i="58" s="1"/>
  <c r="R351" i="103"/>
  <c r="C363" i="22"/>
  <c r="C362" i="58"/>
  <c r="AA365" i="22"/>
  <c r="M375" i="67"/>
  <c r="D375" i="67"/>
  <c r="AI371" i="22"/>
  <c r="AI362" i="22"/>
  <c r="W339" i="22"/>
  <c r="P338" i="58"/>
  <c r="H348" i="67"/>
  <c r="BC387" i="103"/>
  <c r="CP345" i="103"/>
  <c r="W354" i="22"/>
  <c r="P353" i="58"/>
  <c r="H364" i="67"/>
  <c r="CP357" i="103"/>
  <c r="CR357" i="103" s="1"/>
  <c r="W366" i="22"/>
  <c r="P365" i="58"/>
  <c r="H376" i="67"/>
  <c r="CP369" i="103"/>
  <c r="S334" i="22"/>
  <c r="K343" i="67"/>
  <c r="F344" i="22"/>
  <c r="D343" i="58"/>
  <c r="S346" i="22"/>
  <c r="K356" i="67"/>
  <c r="AF387" i="103"/>
  <c r="BD370" i="103"/>
  <c r="AA342" i="22"/>
  <c r="D351" i="67"/>
  <c r="M351" i="67"/>
  <c r="C355" i="22"/>
  <c r="C354" i="58"/>
  <c r="AA357" i="22"/>
  <c r="D367" i="67"/>
  <c r="M367" i="67"/>
  <c r="BD364" i="103"/>
  <c r="Q338" i="22"/>
  <c r="E347" i="67"/>
  <c r="V387" i="103"/>
  <c r="Q353" i="22"/>
  <c r="E363" i="67"/>
  <c r="Q365" i="22"/>
  <c r="E375" i="67"/>
  <c r="W372" i="22"/>
  <c r="P371" i="58"/>
  <c r="H382" i="67"/>
  <c r="U11" i="68" s="1"/>
  <c r="CP375" i="103"/>
  <c r="H372" i="22"/>
  <c r="K374" i="22"/>
  <c r="L374" i="22" s="1"/>
  <c r="F373" i="58"/>
  <c r="U373" i="103"/>
  <c r="Y376" i="22"/>
  <c r="O375" i="58"/>
  <c r="C386" i="67"/>
  <c r="AC7" i="68" s="1"/>
  <c r="H373" i="22"/>
  <c r="F373" i="22"/>
  <c r="D372" i="58"/>
  <c r="S375" i="22"/>
  <c r="K385" i="67"/>
  <c r="AA14" i="68" s="1"/>
  <c r="BD375" i="103"/>
  <c r="Q376" i="22"/>
  <c r="E386" i="67"/>
  <c r="AC8" i="68" s="1"/>
  <c r="AG55" i="22"/>
  <c r="CI54" i="103"/>
  <c r="CK54" i="103" s="1"/>
  <c r="W53" i="22"/>
  <c r="P52" i="58"/>
  <c r="H53" i="67"/>
  <c r="BR377" i="103"/>
  <c r="H36" i="22"/>
  <c r="O35" i="103"/>
  <c r="H24" i="22"/>
  <c r="O23" i="103"/>
  <c r="BD13" i="103"/>
  <c r="AA12" i="22"/>
  <c r="AK376" i="103"/>
  <c r="D11" i="67"/>
  <c r="F62" i="22"/>
  <c r="D61" i="58"/>
  <c r="AI49" i="22"/>
  <c r="Y40" i="22"/>
  <c r="O39" i="58"/>
  <c r="C39" i="67"/>
  <c r="AA36" i="22"/>
  <c r="D35" i="67"/>
  <c r="BD25" i="103"/>
  <c r="AA24" i="22"/>
  <c r="D23" i="67"/>
  <c r="AG17" i="22"/>
  <c r="CI16" i="103"/>
  <c r="CL16" i="103" s="1"/>
  <c r="BQ376" i="103"/>
  <c r="Q11" i="67"/>
  <c r="K61" i="22"/>
  <c r="L61" i="22" s="1"/>
  <c r="F60" i="58"/>
  <c r="U60" i="103"/>
  <c r="AG48" i="22"/>
  <c r="CI47" i="103"/>
  <c r="CK47" i="103" s="1"/>
  <c r="W46" i="22"/>
  <c r="P45" i="58"/>
  <c r="H46" i="67"/>
  <c r="CB377" i="103"/>
  <c r="S34" i="22"/>
  <c r="K33" i="67"/>
  <c r="F32" i="22"/>
  <c r="D31" i="58"/>
  <c r="S25" i="22"/>
  <c r="K24" i="67"/>
  <c r="F23" i="22"/>
  <c r="D22" i="58"/>
  <c r="AG49" i="22"/>
  <c r="CI48" i="103"/>
  <c r="CL48" i="103" s="1"/>
  <c r="W25" i="22"/>
  <c r="P24" i="58"/>
  <c r="H24" i="67"/>
  <c r="C56" i="22"/>
  <c r="C55" i="58"/>
  <c r="U46" i="22"/>
  <c r="Q45" i="58"/>
  <c r="N46" i="67"/>
  <c r="AI14" i="22"/>
  <c r="U12" i="22"/>
  <c r="Q11" i="58"/>
  <c r="AH376" i="103"/>
  <c r="N11" i="67"/>
  <c r="BC31" i="103"/>
  <c r="Y57" i="22"/>
  <c r="O56" i="58"/>
  <c r="C57" i="67"/>
  <c r="AS377" i="103"/>
  <c r="AI29" i="22"/>
  <c r="U27" i="22"/>
  <c r="Q26" i="58"/>
  <c r="N26" i="67"/>
  <c r="BD30" i="103"/>
  <c r="AA29" i="22"/>
  <c r="D28" i="67"/>
  <c r="S15" i="22"/>
  <c r="K14" i="67"/>
  <c r="F13" i="22"/>
  <c r="D12" i="58"/>
  <c r="AI12" i="22"/>
  <c r="BS376" i="103"/>
  <c r="I50" i="22"/>
  <c r="E49" i="58"/>
  <c r="Y49" i="58" s="1"/>
  <c r="R49" i="103"/>
  <c r="E46" i="22"/>
  <c r="H45" i="103"/>
  <c r="AE377" i="103"/>
  <c r="AI38" i="22"/>
  <c r="W20" i="22"/>
  <c r="P19" i="58"/>
  <c r="H19" i="67"/>
  <c r="BC11" i="103"/>
  <c r="U44" i="22"/>
  <c r="Q43" i="58"/>
  <c r="N44" i="67"/>
  <c r="E49" i="22"/>
  <c r="H48" i="103"/>
  <c r="BW377" i="103"/>
  <c r="H13" i="22"/>
  <c r="O12" i="103"/>
  <c r="V382" i="58"/>
  <c r="S398" i="58"/>
  <c r="S385" i="58"/>
  <c r="S386" i="58"/>
  <c r="S399" i="58"/>
  <c r="U377" i="58"/>
  <c r="N42" i="58"/>
  <c r="H25" i="22"/>
  <c r="O24" i="103"/>
  <c r="AI50" i="22"/>
  <c r="H37" i="22"/>
  <c r="O36" i="103"/>
  <c r="AA25" i="22"/>
  <c r="D24" i="67"/>
  <c r="K20" i="22"/>
  <c r="L20" i="22" s="1"/>
  <c r="F19" i="58"/>
  <c r="U19" i="103"/>
  <c r="Y13" i="22"/>
  <c r="O12" i="58"/>
  <c r="C12" i="67"/>
  <c r="I49" i="22"/>
  <c r="E48" i="58"/>
  <c r="Y48" i="58" s="1"/>
  <c r="R48" i="103"/>
  <c r="AM45" i="103"/>
  <c r="W44" i="22"/>
  <c r="P43" i="58"/>
  <c r="H44" i="67"/>
  <c r="AG30" i="22"/>
  <c r="CI29" i="103"/>
  <c r="CL29" i="103" s="1"/>
  <c r="AG21" i="22"/>
  <c r="CI20" i="103"/>
  <c r="CK20" i="103" s="1"/>
  <c r="AI18" i="22"/>
  <c r="H75" i="22"/>
  <c r="O74" i="103"/>
  <c r="CP88" i="103"/>
  <c r="W70" i="22"/>
  <c r="P69" i="58"/>
  <c r="H70" i="67"/>
  <c r="CP73" i="103"/>
  <c r="W82" i="22"/>
  <c r="P81" i="58"/>
  <c r="H83" i="67"/>
  <c r="CP85" i="103"/>
  <c r="Q62" i="22"/>
  <c r="E62" i="67"/>
  <c r="Y67" i="22"/>
  <c r="O66" i="58"/>
  <c r="C67" i="67"/>
  <c r="AM71" i="22"/>
  <c r="BY378" i="103"/>
  <c r="K74" i="22"/>
  <c r="L74" i="22" s="1"/>
  <c r="F73" i="58"/>
  <c r="U73" i="103"/>
  <c r="Y76" i="22"/>
  <c r="O75" i="58"/>
  <c r="C77" i="67"/>
  <c r="K83" i="22"/>
  <c r="L83" i="22" s="1"/>
  <c r="F82" i="58"/>
  <c r="Y85" i="22"/>
  <c r="O84" i="58"/>
  <c r="C86" i="67"/>
  <c r="Y105" i="22"/>
  <c r="O104" i="58"/>
  <c r="C107" i="67"/>
  <c r="AA70" i="22"/>
  <c r="D70" i="67"/>
  <c r="M70" i="67"/>
  <c r="I72" i="22"/>
  <c r="E71" i="58"/>
  <c r="Y71" i="58" s="1"/>
  <c r="R71" i="103"/>
  <c r="AA79" i="22"/>
  <c r="M80" i="67"/>
  <c r="D80" i="67"/>
  <c r="I81" i="22"/>
  <c r="E80" i="58"/>
  <c r="Y80" i="58" s="1"/>
  <c r="R80" i="103"/>
  <c r="AG60" i="22"/>
  <c r="CI59" i="103"/>
  <c r="CL59" i="103" s="1"/>
  <c r="Q72" i="22"/>
  <c r="E73" i="67"/>
  <c r="Q84" i="22"/>
  <c r="E85" i="67"/>
  <c r="U62" i="22"/>
  <c r="Q61" i="58"/>
  <c r="N62" i="67"/>
  <c r="AI64" i="22"/>
  <c r="AA89" i="22"/>
  <c r="D90" i="67"/>
  <c r="M90" i="67"/>
  <c r="I91" i="22"/>
  <c r="E90" i="58"/>
  <c r="Y90" i="58" s="1"/>
  <c r="R90" i="103"/>
  <c r="AM57" i="103"/>
  <c r="CP59" i="103"/>
  <c r="Q91" i="22"/>
  <c r="E92" i="67"/>
  <c r="AN63" i="103"/>
  <c r="AI68" i="22"/>
  <c r="U78" i="22"/>
  <c r="Q77" i="58"/>
  <c r="N79" i="67"/>
  <c r="AI80" i="22"/>
  <c r="U66" i="22"/>
  <c r="Q65" i="58"/>
  <c r="N66" i="67"/>
  <c r="CP69" i="103"/>
  <c r="W78" i="22"/>
  <c r="P77" i="58"/>
  <c r="H79" i="67"/>
  <c r="CP81" i="103"/>
  <c r="H59" i="22"/>
  <c r="O58" i="103"/>
  <c r="F71" i="22"/>
  <c r="D70" i="58"/>
  <c r="P378" i="103"/>
  <c r="S73" i="22"/>
  <c r="K74" i="67"/>
  <c r="F80" i="22"/>
  <c r="D79" i="58"/>
  <c r="S82" i="22"/>
  <c r="K83" i="67"/>
  <c r="AK71" i="22"/>
  <c r="BV378" i="103"/>
  <c r="H90" i="22"/>
  <c r="O89" i="103"/>
  <c r="Q116" i="22"/>
  <c r="E118" i="67"/>
  <c r="K128" i="22"/>
  <c r="L128" i="22" s="1"/>
  <c r="F127" i="58"/>
  <c r="U127" i="103"/>
  <c r="S94" i="22"/>
  <c r="K95" i="67"/>
  <c r="F101" i="22"/>
  <c r="D100" i="58"/>
  <c r="AA93" i="22"/>
  <c r="D94" i="67"/>
  <c r="M94" i="67"/>
  <c r="I95" i="22"/>
  <c r="E94" i="58"/>
  <c r="Y94" i="58" s="1"/>
  <c r="R94" i="103"/>
  <c r="AA102" i="22"/>
  <c r="D104" i="67"/>
  <c r="AK379" i="103"/>
  <c r="M104" i="67"/>
  <c r="H99" i="22"/>
  <c r="O98" i="103"/>
  <c r="E104" i="22"/>
  <c r="H103" i="103"/>
  <c r="C113" i="22"/>
  <c r="C112" i="58"/>
  <c r="C125" i="22"/>
  <c r="C124" i="58"/>
  <c r="Q114" i="22"/>
  <c r="E116" i="67"/>
  <c r="Q126" i="22"/>
  <c r="E128" i="67"/>
  <c r="AN95" i="103"/>
  <c r="CS379" i="103"/>
  <c r="I105" i="22"/>
  <c r="E104" i="58"/>
  <c r="Y104" i="58" s="1"/>
  <c r="R104" i="103"/>
  <c r="AK102" i="22"/>
  <c r="BV379" i="103"/>
  <c r="F112" i="22"/>
  <c r="D111" i="58"/>
  <c r="S114" i="22"/>
  <c r="K116" i="67"/>
  <c r="F121" i="22"/>
  <c r="D120" i="58"/>
  <c r="S123" i="22"/>
  <c r="K125" i="67"/>
  <c r="AP379" i="103"/>
  <c r="E105" i="22"/>
  <c r="H104" i="103"/>
  <c r="I112" i="22"/>
  <c r="E111" i="58"/>
  <c r="Y111" i="58" s="1"/>
  <c r="R111" i="103"/>
  <c r="I124" i="22"/>
  <c r="E123" i="58"/>
  <c r="Y123" i="58" s="1"/>
  <c r="R123" i="103"/>
  <c r="K130" i="22"/>
  <c r="L130" i="22" s="1"/>
  <c r="F129" i="58"/>
  <c r="U129" i="103"/>
  <c r="CP98" i="103"/>
  <c r="S379" i="103"/>
  <c r="Q118" i="22"/>
  <c r="E120" i="67"/>
  <c r="AN96" i="103"/>
  <c r="E121" i="22"/>
  <c r="H120" i="103"/>
  <c r="K115" i="22"/>
  <c r="L115" i="22" s="1"/>
  <c r="F114" i="58"/>
  <c r="U114" i="103"/>
  <c r="Y117" i="22"/>
  <c r="O116" i="58"/>
  <c r="C119" i="67"/>
  <c r="K124" i="22"/>
  <c r="L124" i="22" s="1"/>
  <c r="F123" i="58"/>
  <c r="U123" i="103"/>
  <c r="Y126" i="22"/>
  <c r="O125" i="58"/>
  <c r="C128" i="67"/>
  <c r="Y138" i="22"/>
  <c r="O137" i="58"/>
  <c r="C141" i="67"/>
  <c r="U99" i="22"/>
  <c r="Q98" i="58"/>
  <c r="N100" i="67"/>
  <c r="AI101" i="22"/>
  <c r="I116" i="22"/>
  <c r="E115" i="58"/>
  <c r="Y115" i="58" s="1"/>
  <c r="R115" i="103"/>
  <c r="AI128" i="22"/>
  <c r="H140" i="22"/>
  <c r="O139" i="103"/>
  <c r="H149" i="22"/>
  <c r="O148" i="103"/>
  <c r="H158" i="22"/>
  <c r="O157" i="103"/>
  <c r="AI167" i="22"/>
  <c r="CB380" i="103"/>
  <c r="W135" i="22"/>
  <c r="P134" i="58"/>
  <c r="H138" i="67"/>
  <c r="W144" i="22"/>
  <c r="P143" i="58"/>
  <c r="H147" i="67"/>
  <c r="W153" i="22"/>
  <c r="P152" i="58"/>
  <c r="H156" i="67"/>
  <c r="W162" i="22"/>
  <c r="P161" i="58"/>
  <c r="H165" i="67"/>
  <c r="S142" i="22"/>
  <c r="K145" i="67"/>
  <c r="S148" i="22"/>
  <c r="K151" i="67"/>
  <c r="S154" i="22"/>
  <c r="K157" i="67"/>
  <c r="S160" i="22"/>
  <c r="K163" i="67"/>
  <c r="BR380" i="103"/>
  <c r="C139" i="22"/>
  <c r="C138" i="58"/>
  <c r="I143" i="22"/>
  <c r="E142" i="58"/>
  <c r="Y142" i="58" s="1"/>
  <c r="R142" i="103"/>
  <c r="AA156" i="22"/>
  <c r="M159" i="67"/>
  <c r="D159" i="67"/>
  <c r="H170" i="22"/>
  <c r="O169" i="103"/>
  <c r="U130" i="22"/>
  <c r="Q129" i="58"/>
  <c r="N132" i="67"/>
  <c r="U139" i="22"/>
  <c r="Q138" i="58"/>
  <c r="N142" i="67"/>
  <c r="U148" i="22"/>
  <c r="Q147" i="58"/>
  <c r="N151" i="67"/>
  <c r="U157" i="22"/>
  <c r="Q156" i="58"/>
  <c r="N160" i="67"/>
  <c r="CA381" i="103"/>
  <c r="AY380" i="103"/>
  <c r="CP133" i="103"/>
  <c r="E137" i="22"/>
  <c r="H136" i="103"/>
  <c r="CP142" i="103"/>
  <c r="E146" i="22"/>
  <c r="H145" i="103"/>
  <c r="CP151" i="103"/>
  <c r="E155" i="22"/>
  <c r="H154" i="103"/>
  <c r="CP160" i="103"/>
  <c r="CR160" i="103" s="1"/>
  <c r="Y130" i="22"/>
  <c r="O129" i="58"/>
  <c r="C132" i="67"/>
  <c r="Q169" i="22"/>
  <c r="E173" i="67"/>
  <c r="BD137" i="103"/>
  <c r="C149" i="22"/>
  <c r="C148" i="58"/>
  <c r="I153" i="22"/>
  <c r="E152" i="58"/>
  <c r="Y152" i="58" s="1"/>
  <c r="R152" i="103"/>
  <c r="Q144" i="22"/>
  <c r="E147" i="67"/>
  <c r="AI148" i="22"/>
  <c r="Q153" i="22"/>
  <c r="E156" i="67"/>
  <c r="AI157" i="22"/>
  <c r="Q162" i="22"/>
  <c r="E165" i="67"/>
  <c r="S380" i="103"/>
  <c r="P137" i="67"/>
  <c r="BL133" i="103"/>
  <c r="P146" i="67"/>
  <c r="BL142" i="103"/>
  <c r="P155" i="67"/>
  <c r="BL151" i="103"/>
  <c r="P164" i="67"/>
  <c r="BL160" i="103"/>
  <c r="K129" i="22"/>
  <c r="L129" i="22" s="1"/>
  <c r="F128" i="58"/>
  <c r="U128" i="103"/>
  <c r="Y131" i="22"/>
  <c r="O130" i="58"/>
  <c r="C133" i="67"/>
  <c r="AA134" i="22"/>
  <c r="D137" i="67"/>
  <c r="M137" i="67"/>
  <c r="BD141" i="103"/>
  <c r="C153" i="22"/>
  <c r="C152" i="58"/>
  <c r="I157" i="22"/>
  <c r="E156" i="58"/>
  <c r="Y156" i="58" s="1"/>
  <c r="R156" i="103"/>
  <c r="I165" i="22"/>
  <c r="E164" i="58"/>
  <c r="Y164" i="58" s="1"/>
  <c r="R164" i="103"/>
  <c r="I177" i="22"/>
  <c r="E176" i="58"/>
  <c r="Y176" i="58" s="1"/>
  <c r="R176" i="103"/>
  <c r="I189" i="22"/>
  <c r="E188" i="58"/>
  <c r="Y188" i="58" s="1"/>
  <c r="R188" i="103"/>
  <c r="H199" i="22"/>
  <c r="O198" i="103"/>
  <c r="CP164" i="103"/>
  <c r="E168" i="22"/>
  <c r="H167" i="103"/>
  <c r="CP173" i="103"/>
  <c r="CR173" i="103" s="1"/>
  <c r="E177" i="22"/>
  <c r="H176" i="103"/>
  <c r="CP182" i="103"/>
  <c r="CR182" i="103" s="1"/>
  <c r="E186" i="22"/>
  <c r="H185" i="103"/>
  <c r="CP191" i="103"/>
  <c r="CR191" i="103" s="1"/>
  <c r="K165" i="22"/>
  <c r="L165" i="22" s="1"/>
  <c r="F164" i="58"/>
  <c r="U164" i="103"/>
  <c r="Y167" i="22"/>
  <c r="O166" i="58"/>
  <c r="C171" i="67"/>
  <c r="AG184" i="22"/>
  <c r="CI183" i="103"/>
  <c r="CK183" i="103" s="1"/>
  <c r="S186" i="22"/>
  <c r="K190" i="67"/>
  <c r="Y197" i="22"/>
  <c r="O196" i="58"/>
  <c r="C202" i="67"/>
  <c r="AA167" i="22"/>
  <c r="D171" i="67"/>
  <c r="M171" i="67"/>
  <c r="BD168" i="103"/>
  <c r="AA179" i="22"/>
  <c r="D183" i="67"/>
  <c r="M183" i="67"/>
  <c r="BD180" i="103"/>
  <c r="AA191" i="22"/>
  <c r="D195" i="67"/>
  <c r="M195" i="67"/>
  <c r="W198" i="22"/>
  <c r="P197" i="58"/>
  <c r="H203" i="67"/>
  <c r="E166" i="22"/>
  <c r="H165" i="103"/>
  <c r="CP171" i="103"/>
  <c r="CR171" i="103" s="1"/>
  <c r="E175" i="22"/>
  <c r="H174" i="103"/>
  <c r="CP180" i="103"/>
  <c r="CR180" i="103" s="1"/>
  <c r="E184" i="22"/>
  <c r="H183" i="103"/>
  <c r="CP189" i="103"/>
  <c r="CR189" i="103" s="1"/>
  <c r="E193" i="22"/>
  <c r="G382" i="103"/>
  <c r="H192" i="103"/>
  <c r="F164" i="22"/>
  <c r="D163" i="58"/>
  <c r="K166" i="22"/>
  <c r="L166" i="22" s="1"/>
  <c r="F165" i="58"/>
  <c r="U165" i="103"/>
  <c r="Y168" i="22"/>
  <c r="O167" i="58"/>
  <c r="C172" i="67"/>
  <c r="AN184" i="103"/>
  <c r="S187" i="22"/>
  <c r="K191" i="67"/>
  <c r="AM193" i="22"/>
  <c r="BY382" i="103"/>
  <c r="K196" i="22"/>
  <c r="L196" i="22" s="1"/>
  <c r="F195" i="58"/>
  <c r="U195" i="103"/>
  <c r="AA171" i="22"/>
  <c r="M175" i="67"/>
  <c r="D175" i="67"/>
  <c r="AA183" i="22"/>
  <c r="M187" i="67"/>
  <c r="D187" i="67"/>
  <c r="AI165" i="22"/>
  <c r="Q170" i="22"/>
  <c r="E174" i="67"/>
  <c r="AI174" i="22"/>
  <c r="Q179" i="22"/>
  <c r="E183" i="67"/>
  <c r="AI183" i="22"/>
  <c r="Q188" i="22"/>
  <c r="E192" i="67"/>
  <c r="AI192" i="22"/>
  <c r="H195" i="22"/>
  <c r="O194" i="103"/>
  <c r="CB382" i="103"/>
  <c r="W196" i="22"/>
  <c r="P195" i="58"/>
  <c r="H201" i="67"/>
  <c r="F198" i="22"/>
  <c r="D197" i="58"/>
  <c r="Y166" i="22"/>
  <c r="O165" i="58"/>
  <c r="C170" i="67"/>
  <c r="AN182" i="103"/>
  <c r="S185" i="22"/>
  <c r="K189" i="67"/>
  <c r="CC382" i="103"/>
  <c r="Y196" i="22"/>
  <c r="O195" i="58"/>
  <c r="C201" i="67"/>
  <c r="E210" i="22"/>
  <c r="H209" i="103"/>
  <c r="E222" i="22"/>
  <c r="H221" i="103"/>
  <c r="I229" i="22"/>
  <c r="E228" i="58"/>
  <c r="Y228" i="58" s="1"/>
  <c r="R228" i="103"/>
  <c r="K201" i="22"/>
  <c r="L201" i="22" s="1"/>
  <c r="F200" i="58"/>
  <c r="U200" i="103"/>
  <c r="K213" i="22"/>
  <c r="L213" i="22" s="1"/>
  <c r="F212" i="58"/>
  <c r="U212" i="103"/>
  <c r="K225" i="22"/>
  <c r="L225" i="22" s="1"/>
  <c r="F224" i="58"/>
  <c r="U224" i="103"/>
  <c r="AI227" i="22"/>
  <c r="H230" i="22"/>
  <c r="O229" i="103"/>
  <c r="I205" i="22"/>
  <c r="E204" i="58"/>
  <c r="Y204" i="58" s="1"/>
  <c r="R204" i="103"/>
  <c r="I223" i="22"/>
  <c r="E222" i="58"/>
  <c r="Y222" i="58" s="1"/>
  <c r="R222" i="103"/>
  <c r="W234" i="22"/>
  <c r="P233" i="58"/>
  <c r="H240" i="67"/>
  <c r="I240" i="22"/>
  <c r="E239" i="58"/>
  <c r="Y239" i="58" s="1"/>
  <c r="R239" i="103"/>
  <c r="U216" i="22"/>
  <c r="Q215" i="58"/>
  <c r="N221" i="67"/>
  <c r="AA238" i="22"/>
  <c r="M244" i="67"/>
  <c r="D244" i="67"/>
  <c r="AY383" i="103"/>
  <c r="F206" i="22"/>
  <c r="D205" i="58"/>
  <c r="S208" i="22"/>
  <c r="K213" i="67"/>
  <c r="F218" i="22"/>
  <c r="D217" i="58"/>
  <c r="S220" i="22"/>
  <c r="K225" i="67"/>
  <c r="F236" i="22"/>
  <c r="D235" i="58"/>
  <c r="I209" i="22"/>
  <c r="E208" i="58"/>
  <c r="Y208" i="58" s="1"/>
  <c r="R208" i="103"/>
  <c r="AK224" i="22"/>
  <c r="BV383" i="103"/>
  <c r="U217" i="22"/>
  <c r="Q216" i="58"/>
  <c r="N222" i="67"/>
  <c r="BW383" i="103"/>
  <c r="K227" i="22"/>
  <c r="L227" i="22" s="1"/>
  <c r="F226" i="58"/>
  <c r="U226" i="103"/>
  <c r="AA244" i="22"/>
  <c r="M250" i="67"/>
  <c r="D250" i="67"/>
  <c r="BX383" i="103"/>
  <c r="C233" i="22"/>
  <c r="C232" i="58"/>
  <c r="Y205" i="22"/>
  <c r="O204" i="58"/>
  <c r="C210" i="67"/>
  <c r="AN209" i="103"/>
  <c r="Y217" i="22"/>
  <c r="O216" i="58"/>
  <c r="C222" i="67"/>
  <c r="AN221" i="103"/>
  <c r="H229" i="22"/>
  <c r="O228" i="103"/>
  <c r="Q234" i="22"/>
  <c r="E240" i="67"/>
  <c r="I216" i="22"/>
  <c r="E215" i="58"/>
  <c r="Y215" i="58" s="1"/>
  <c r="R215" i="103"/>
  <c r="AG383" i="103"/>
  <c r="AM228" i="103"/>
  <c r="U209" i="22"/>
  <c r="Q208" i="58"/>
  <c r="N214" i="67"/>
  <c r="BF383" i="103"/>
  <c r="CP238" i="103"/>
  <c r="CR238" i="103" s="1"/>
  <c r="W250" i="22"/>
  <c r="P249" i="58"/>
  <c r="H256" i="67"/>
  <c r="S260" i="22"/>
  <c r="K267" i="67"/>
  <c r="AG274" i="22"/>
  <c r="CI273" i="103"/>
  <c r="CL273" i="103" s="1"/>
  <c r="S257" i="22"/>
  <c r="K264" i="67"/>
  <c r="C248" i="22"/>
  <c r="C247" i="58"/>
  <c r="AA253" i="22"/>
  <c r="D259" i="67"/>
  <c r="M259" i="67"/>
  <c r="CA384" i="103"/>
  <c r="CM257" i="103"/>
  <c r="CG257" i="103" s="1"/>
  <c r="CM260" i="103"/>
  <c r="CO260" i="103" s="1"/>
  <c r="CP263" i="103"/>
  <c r="CQ263" i="103" s="1"/>
  <c r="AA269" i="22"/>
  <c r="D276" i="67"/>
  <c r="M276" i="67"/>
  <c r="U251" i="22"/>
  <c r="Q250" i="58"/>
  <c r="N257" i="67"/>
  <c r="AI256" i="22"/>
  <c r="AG262" i="22"/>
  <c r="CI261" i="103"/>
  <c r="CL261" i="103" s="1"/>
  <c r="F265" i="22"/>
  <c r="D264" i="58"/>
  <c r="E243" i="22"/>
  <c r="H242" i="103"/>
  <c r="F259" i="22"/>
  <c r="D258" i="58"/>
  <c r="Y239" i="22"/>
  <c r="O238" i="58"/>
  <c r="C245" i="67"/>
  <c r="AN243" i="103"/>
  <c r="Y251" i="22"/>
  <c r="O250" i="58"/>
  <c r="C257" i="67"/>
  <c r="I247" i="22"/>
  <c r="E246" i="58"/>
  <c r="Y246" i="58" s="1"/>
  <c r="R246" i="103"/>
  <c r="AG384" i="103"/>
  <c r="W264" i="22"/>
  <c r="P263" i="58"/>
  <c r="H271" i="67"/>
  <c r="AM294" i="22"/>
  <c r="Q235" i="22"/>
  <c r="E241" i="67"/>
  <c r="AI245" i="22"/>
  <c r="H248" i="22"/>
  <c r="O247" i="103"/>
  <c r="Q253" i="22"/>
  <c r="E259" i="67"/>
  <c r="W320" i="22"/>
  <c r="P319" i="58"/>
  <c r="H329" i="67"/>
  <c r="AM235" i="103"/>
  <c r="E244" i="22"/>
  <c r="H243" i="103"/>
  <c r="F280" i="22"/>
  <c r="D279" i="58"/>
  <c r="K238" i="22"/>
  <c r="L238" i="22" s="1"/>
  <c r="F237" i="58"/>
  <c r="U237" i="103"/>
  <c r="K250" i="22"/>
  <c r="L250" i="22" s="1"/>
  <c r="F249" i="58"/>
  <c r="U249" i="103"/>
  <c r="Q263" i="22"/>
  <c r="E270" i="67"/>
  <c r="Q266" i="22"/>
  <c r="E273" i="67"/>
  <c r="I274" i="22"/>
  <c r="E273" i="58"/>
  <c r="Y273" i="58" s="1"/>
  <c r="R273" i="103"/>
  <c r="S285" i="22"/>
  <c r="K293" i="67"/>
  <c r="AF385" i="103"/>
  <c r="I245" i="22"/>
  <c r="E244" i="58"/>
  <c r="Y244" i="58" s="1"/>
  <c r="R244" i="103"/>
  <c r="CD384" i="103"/>
  <c r="AI243" i="22"/>
  <c r="H246" i="22"/>
  <c r="O245" i="103"/>
  <c r="Q251" i="22"/>
  <c r="E257" i="67"/>
  <c r="H269" i="22"/>
  <c r="O268" i="103"/>
  <c r="H272" i="22"/>
  <c r="O271" i="103"/>
  <c r="H275" i="22"/>
  <c r="O274" i="103"/>
  <c r="H278" i="22"/>
  <c r="O277" i="103"/>
  <c r="H281" i="22"/>
  <c r="O280" i="103"/>
  <c r="H284" i="22"/>
  <c r="O283" i="103"/>
  <c r="CP305" i="103"/>
  <c r="CR305" i="103" s="1"/>
  <c r="H300" i="22"/>
  <c r="N141" i="23"/>
  <c r="O299" i="103"/>
  <c r="Y270" i="22"/>
  <c r="O269" i="58"/>
  <c r="C277" i="67"/>
  <c r="AG284" i="22"/>
  <c r="CI283" i="103"/>
  <c r="CL283" i="103" s="1"/>
  <c r="BM287" i="103"/>
  <c r="AM292" i="22"/>
  <c r="P322" i="67"/>
  <c r="BL313" i="103"/>
  <c r="U286" i="22"/>
  <c r="Q285" i="58"/>
  <c r="N294" i="67"/>
  <c r="U295" i="22"/>
  <c r="Q294" i="58"/>
  <c r="N303" i="67"/>
  <c r="I307" i="22"/>
  <c r="R148" i="23"/>
  <c r="E306" i="58"/>
  <c r="Y306" i="58" s="1"/>
  <c r="R306" i="103"/>
  <c r="AI317" i="22"/>
  <c r="W295" i="22"/>
  <c r="P294" i="58"/>
  <c r="H303" i="67"/>
  <c r="BN386" i="103"/>
  <c r="S272" i="22"/>
  <c r="K279" i="67"/>
  <c r="K275" i="22"/>
  <c r="L275" i="22" s="1"/>
  <c r="F274" i="58"/>
  <c r="U274" i="103"/>
  <c r="AN287" i="103"/>
  <c r="S290" i="22"/>
  <c r="K298" i="67"/>
  <c r="AP387" i="103"/>
  <c r="I270" i="22"/>
  <c r="E269" i="58"/>
  <c r="Y269" i="58" s="1"/>
  <c r="R269" i="103"/>
  <c r="I273" i="22"/>
  <c r="E272" i="58"/>
  <c r="Y272" i="58" s="1"/>
  <c r="R272" i="103"/>
  <c r="I276" i="22"/>
  <c r="E275" i="58"/>
  <c r="Y275" i="58" s="1"/>
  <c r="R275" i="103"/>
  <c r="I279" i="22"/>
  <c r="E278" i="58"/>
  <c r="Y278" i="58" s="1"/>
  <c r="R278" i="103"/>
  <c r="I282" i="22"/>
  <c r="E281" i="58"/>
  <c r="Y281" i="58" s="1"/>
  <c r="R281" i="103"/>
  <c r="I285" i="22"/>
  <c r="R126" i="23"/>
  <c r="E284" i="58"/>
  <c r="Q385" i="103"/>
  <c r="R284" i="103"/>
  <c r="I291" i="22"/>
  <c r="R132" i="23"/>
  <c r="E290" i="58"/>
  <c r="Y290" i="58" s="1"/>
  <c r="R290" i="103"/>
  <c r="P306" i="67"/>
  <c r="BL297" i="103"/>
  <c r="I320" i="22"/>
  <c r="E319" i="58"/>
  <c r="Y319" i="58" s="1"/>
  <c r="R319" i="103"/>
  <c r="Q270" i="22"/>
  <c r="E277" i="67"/>
  <c r="Q273" i="22"/>
  <c r="E280" i="67"/>
  <c r="Q276" i="22"/>
  <c r="E283" i="67"/>
  <c r="Q279" i="22"/>
  <c r="E286" i="67"/>
  <c r="Q282" i="22"/>
  <c r="E289" i="67"/>
  <c r="Q285" i="22"/>
  <c r="E293" i="67"/>
  <c r="AD385" i="103"/>
  <c r="AI289" i="22"/>
  <c r="Q294" i="22"/>
  <c r="E302" i="67"/>
  <c r="E270" i="22"/>
  <c r="H269" i="103"/>
  <c r="E273" i="22"/>
  <c r="H272" i="103"/>
  <c r="E276" i="22"/>
  <c r="H275" i="103"/>
  <c r="E279" i="22"/>
  <c r="H278" i="103"/>
  <c r="E282" i="22"/>
  <c r="H281" i="103"/>
  <c r="E285" i="22"/>
  <c r="H126" i="23"/>
  <c r="G385" i="103"/>
  <c r="H284" i="103"/>
  <c r="P295" i="67"/>
  <c r="BL286" i="103"/>
  <c r="CP293" i="103"/>
  <c r="CR293" i="103" s="1"/>
  <c r="H359" i="22"/>
  <c r="U304" i="22"/>
  <c r="Q303" i="58"/>
  <c r="N312" i="67"/>
  <c r="U313" i="22"/>
  <c r="Q312" i="58"/>
  <c r="N321" i="67"/>
  <c r="U328" i="22"/>
  <c r="Q327" i="58"/>
  <c r="N337" i="67"/>
  <c r="AM332" i="103"/>
  <c r="W304" i="22"/>
  <c r="P303" i="58"/>
  <c r="H312" i="67"/>
  <c r="W316" i="22"/>
  <c r="P315" i="58"/>
  <c r="H325" i="67"/>
  <c r="AI386" i="103"/>
  <c r="CP322" i="103"/>
  <c r="CR322" i="103" s="1"/>
  <c r="S299" i="22"/>
  <c r="K307" i="67"/>
  <c r="F312" i="22"/>
  <c r="I153" i="23"/>
  <c r="D311" i="58"/>
  <c r="K314" i="22"/>
  <c r="L314" i="22" s="1"/>
  <c r="F313" i="58"/>
  <c r="U313" i="103"/>
  <c r="Y316" i="22"/>
  <c r="O315" i="58"/>
  <c r="C325" i="67"/>
  <c r="AJ386" i="103"/>
  <c r="CI320" i="103"/>
  <c r="CL320" i="103" s="1"/>
  <c r="Y328" i="22"/>
  <c r="O327" i="58"/>
  <c r="C337" i="67"/>
  <c r="H350" i="22"/>
  <c r="AI331" i="22"/>
  <c r="H341" i="22"/>
  <c r="O340" i="103"/>
  <c r="U323" i="22"/>
  <c r="Q322" i="58"/>
  <c r="N332" i="67"/>
  <c r="CP332" i="103"/>
  <c r="S297" i="22"/>
  <c r="K305" i="67"/>
  <c r="F310" i="22"/>
  <c r="I151" i="23"/>
  <c r="D309" i="58"/>
  <c r="K312" i="22"/>
  <c r="L312" i="22" s="1"/>
  <c r="U153" i="23"/>
  <c r="F311" i="58"/>
  <c r="U311" i="103"/>
  <c r="Y314" i="22"/>
  <c r="O313" i="58"/>
  <c r="C322" i="67"/>
  <c r="AZ386" i="103"/>
  <c r="K321" i="22"/>
  <c r="L321" i="22" s="1"/>
  <c r="F320" i="58"/>
  <c r="U320" i="103"/>
  <c r="AK310" i="22"/>
  <c r="AA317" i="22"/>
  <c r="D326" i="67"/>
  <c r="M326" i="67"/>
  <c r="AA326" i="22"/>
  <c r="M335" i="67"/>
  <c r="D335" i="67"/>
  <c r="U324" i="22"/>
  <c r="Q323" i="58"/>
  <c r="N333" i="67"/>
  <c r="U354" i="22"/>
  <c r="Q353" i="58"/>
  <c r="N364" i="67"/>
  <c r="AM319" i="103"/>
  <c r="E328" i="22"/>
  <c r="H327" i="103"/>
  <c r="E327" i="103" s="1"/>
  <c r="Q355" i="22"/>
  <c r="E365" i="67"/>
  <c r="F305" i="22"/>
  <c r="I146" i="23"/>
  <c r="D304" i="58"/>
  <c r="C7" i="104"/>
  <c r="K307" i="22"/>
  <c r="L307" i="22" s="1"/>
  <c r="U148" i="23"/>
  <c r="F306" i="58"/>
  <c r="U306" i="103"/>
  <c r="Y309" i="22"/>
  <c r="O308" i="58"/>
  <c r="C317" i="67"/>
  <c r="BM314" i="103"/>
  <c r="K325" i="22"/>
  <c r="L325" i="22" s="1"/>
  <c r="F324" i="58"/>
  <c r="U324" i="103"/>
  <c r="W340" i="22"/>
  <c r="P339" i="58"/>
  <c r="H349" i="67"/>
  <c r="AQ387" i="103"/>
  <c r="E350" i="22"/>
  <c r="E362" i="22"/>
  <c r="S335" i="22"/>
  <c r="K344" i="67"/>
  <c r="F345" i="22"/>
  <c r="D344" i="58"/>
  <c r="S347" i="22"/>
  <c r="K357" i="67"/>
  <c r="F354" i="22"/>
  <c r="D353" i="58"/>
  <c r="S356" i="22"/>
  <c r="K366" i="67"/>
  <c r="F363" i="22"/>
  <c r="D362" i="58"/>
  <c r="S365" i="22"/>
  <c r="K375" i="67"/>
  <c r="I351" i="22"/>
  <c r="E350" i="58"/>
  <c r="Y350" i="58" s="1"/>
  <c r="R350" i="103"/>
  <c r="C362" i="22"/>
  <c r="C361" i="58"/>
  <c r="AA364" i="22"/>
  <c r="D374" i="67"/>
  <c r="M374" i="67"/>
  <c r="H334" i="22"/>
  <c r="O333" i="103"/>
  <c r="Q339" i="22"/>
  <c r="E348" i="67"/>
  <c r="Q354" i="22"/>
  <c r="E364" i="67"/>
  <c r="Q366" i="22"/>
  <c r="E376" i="67"/>
  <c r="W371" i="22"/>
  <c r="P370" i="58"/>
  <c r="H381" i="67"/>
  <c r="S11" i="68" s="1"/>
  <c r="AN333" i="103"/>
  <c r="AH144" i="23" s="1"/>
  <c r="Y341" i="22"/>
  <c r="O340" i="58"/>
  <c r="C350" i="67"/>
  <c r="AM345" i="103"/>
  <c r="AA335" i="22"/>
  <c r="D344" i="67"/>
  <c r="M344" i="67"/>
  <c r="AA344" i="22"/>
  <c r="M353" i="67"/>
  <c r="D353" i="67"/>
  <c r="BD351" i="103"/>
  <c r="I367" i="22"/>
  <c r="E366" i="58"/>
  <c r="Y366" i="58" s="1"/>
  <c r="R366" i="103"/>
  <c r="H365" i="22"/>
  <c r="E334" i="22"/>
  <c r="H333" i="103"/>
  <c r="E333" i="103" s="1"/>
  <c r="Y339" i="22"/>
  <c r="O338" i="58"/>
  <c r="C348" i="67"/>
  <c r="AN343" i="103"/>
  <c r="I335" i="22"/>
  <c r="E334" i="58"/>
  <c r="Y334" i="58" s="1"/>
  <c r="R334" i="103"/>
  <c r="C340" i="22"/>
  <c r="C339" i="58"/>
  <c r="I344" i="22"/>
  <c r="E343" i="58"/>
  <c r="Y343" i="58" s="1"/>
  <c r="R343" i="103"/>
  <c r="I359" i="22"/>
  <c r="E358" i="58"/>
  <c r="Y358" i="58" s="1"/>
  <c r="R358" i="103"/>
  <c r="C370" i="22"/>
  <c r="C369" i="58"/>
  <c r="BB337" i="103"/>
  <c r="U346" i="22"/>
  <c r="Q345" i="58"/>
  <c r="N356" i="67"/>
  <c r="AH387" i="103"/>
  <c r="AI348" i="22"/>
  <c r="U358" i="22"/>
  <c r="Q357" i="58"/>
  <c r="N368" i="67"/>
  <c r="AI360" i="22"/>
  <c r="U370" i="22"/>
  <c r="Q369" i="58"/>
  <c r="N380" i="67"/>
  <c r="K376" i="22"/>
  <c r="L376" i="22" s="1"/>
  <c r="F375" i="58"/>
  <c r="U375" i="103"/>
  <c r="F372" i="22"/>
  <c r="D371" i="58"/>
  <c r="S374" i="22"/>
  <c r="K384" i="67"/>
  <c r="Y14" i="68" s="1"/>
  <c r="CP374" i="103"/>
  <c r="CI372" i="103"/>
  <c r="CL372" i="103" s="1"/>
  <c r="F55" i="22"/>
  <c r="D54" i="58"/>
  <c r="AI33" i="22"/>
  <c r="U31" i="22"/>
  <c r="Q30" i="58"/>
  <c r="N30" i="67"/>
  <c r="AI21" i="22"/>
  <c r="I14" i="22"/>
  <c r="E13" i="58"/>
  <c r="Y13" i="58" s="1"/>
  <c r="R13" i="103"/>
  <c r="W34" i="22"/>
  <c r="P33" i="58"/>
  <c r="H33" i="67"/>
  <c r="S61" i="22"/>
  <c r="K61" i="67"/>
  <c r="I26" i="22"/>
  <c r="E25" i="58"/>
  <c r="Y25" i="58" s="1"/>
  <c r="R25" i="103"/>
  <c r="S19" i="22"/>
  <c r="K18" i="67"/>
  <c r="F17" i="22"/>
  <c r="D16" i="58"/>
  <c r="C38" i="22"/>
  <c r="C37" i="58"/>
  <c r="AN58" i="103"/>
  <c r="C50" i="22"/>
  <c r="C49" i="58"/>
  <c r="F48" i="22"/>
  <c r="D47" i="58"/>
  <c r="E41" i="22"/>
  <c r="H40" i="103"/>
  <c r="Y36" i="22"/>
  <c r="O35" i="58"/>
  <c r="C35" i="67"/>
  <c r="K34" i="22"/>
  <c r="L34" i="22" s="1"/>
  <c r="F33" i="58"/>
  <c r="U33" i="103"/>
  <c r="Y27" i="22"/>
  <c r="O26" i="58"/>
  <c r="C26" i="67"/>
  <c r="K25" i="22"/>
  <c r="L25" i="22" s="1"/>
  <c r="F24" i="58"/>
  <c r="U24" i="103"/>
  <c r="AM19" i="103"/>
  <c r="W18" i="22"/>
  <c r="P17" i="58"/>
  <c r="H17" i="67"/>
  <c r="S53" i="22"/>
  <c r="K53" i="67"/>
  <c r="F51" i="22"/>
  <c r="D50" i="58"/>
  <c r="AM47" i="103"/>
  <c r="BF377" i="103"/>
  <c r="Q41" i="22"/>
  <c r="E40" i="67"/>
  <c r="W36" i="22"/>
  <c r="P35" i="58"/>
  <c r="H35" i="67"/>
  <c r="BC27" i="103"/>
  <c r="W24" i="22"/>
  <c r="P23" i="58"/>
  <c r="H23" i="67"/>
  <c r="Q19" i="22"/>
  <c r="E18" i="67"/>
  <c r="V376" i="103"/>
  <c r="E50" i="22"/>
  <c r="H49" i="103"/>
  <c r="AG377" i="103"/>
  <c r="Q34" i="22"/>
  <c r="E33" i="67"/>
  <c r="Q22" i="22"/>
  <c r="E21" i="67"/>
  <c r="C15" i="22"/>
  <c r="C14" i="58"/>
  <c r="BE376" i="103"/>
  <c r="S43" i="22"/>
  <c r="AF377" i="103"/>
  <c r="K43" i="67"/>
  <c r="F41" i="22"/>
  <c r="D40" i="58"/>
  <c r="I31" i="22"/>
  <c r="E30" i="58"/>
  <c r="Y30" i="58" s="1"/>
  <c r="R30" i="103"/>
  <c r="Y17" i="22"/>
  <c r="O16" i="58"/>
  <c r="C16" i="67"/>
  <c r="K15" i="22"/>
  <c r="L15" i="22" s="1"/>
  <c r="F14" i="58"/>
  <c r="U14" i="103"/>
  <c r="AM12" i="22"/>
  <c r="BY376" i="103"/>
  <c r="S377" i="103"/>
  <c r="BC39" i="103"/>
  <c r="AN30" i="103"/>
  <c r="AN21" i="103"/>
  <c r="E15" i="22"/>
  <c r="H14" i="103"/>
  <c r="AE376" i="103"/>
  <c r="H43" i="22"/>
  <c r="N377" i="103"/>
  <c r="O42" i="103"/>
  <c r="AN52" i="103"/>
  <c r="Q46" i="22"/>
  <c r="E46" i="67"/>
  <c r="H41" i="22"/>
  <c r="O40" i="103"/>
  <c r="BC35" i="103"/>
  <c r="W32" i="22"/>
  <c r="P31" i="58"/>
  <c r="H31" i="67"/>
  <c r="U20" i="22"/>
  <c r="Q19" i="58"/>
  <c r="N19" i="67"/>
  <c r="BW376" i="103"/>
  <c r="AI40" i="22"/>
  <c r="AX376" i="103"/>
  <c r="T379" i="58"/>
  <c r="T392" i="58"/>
  <c r="X101" i="58"/>
  <c r="X379" i="58" s="1"/>
  <c r="V383" i="58"/>
  <c r="Y54" i="22"/>
  <c r="O53" i="58"/>
  <c r="C54" i="67"/>
  <c r="C42" i="22"/>
  <c r="C41" i="58"/>
  <c r="AI34" i="22"/>
  <c r="U32" i="22"/>
  <c r="Q31" i="58"/>
  <c r="N31" i="67"/>
  <c r="AI22" i="22"/>
  <c r="AA13" i="22"/>
  <c r="D12" i="67"/>
  <c r="BB13" i="103"/>
  <c r="AG46" i="22"/>
  <c r="CI45" i="103"/>
  <c r="CL45" i="103" s="1"/>
  <c r="CS377" i="103"/>
  <c r="I27" i="22"/>
  <c r="E26" i="58"/>
  <c r="Y26" i="58" s="1"/>
  <c r="R26" i="103"/>
  <c r="BT377" i="103"/>
  <c r="E39" i="22"/>
  <c r="H38" i="103"/>
  <c r="S32" i="22"/>
  <c r="K31" i="67"/>
  <c r="F30" i="22"/>
  <c r="D29" i="58"/>
  <c r="S23" i="22"/>
  <c r="K22" i="67"/>
  <c r="F21" i="22"/>
  <c r="D20" i="58"/>
  <c r="W19" i="22"/>
  <c r="P18" i="58"/>
  <c r="H18" i="67"/>
  <c r="Q68" i="22"/>
  <c r="E68" i="67"/>
  <c r="Q80" i="22"/>
  <c r="E81" i="67"/>
  <c r="S92" i="22"/>
  <c r="K93" i="67"/>
  <c r="AA63" i="22"/>
  <c r="D63" i="67"/>
  <c r="M63" i="67"/>
  <c r="I65" i="22"/>
  <c r="E64" i="58"/>
  <c r="Y64" i="58" s="1"/>
  <c r="R64" i="103"/>
  <c r="AI94" i="22"/>
  <c r="AI57" i="22"/>
  <c r="F72" i="22"/>
  <c r="D71" i="58"/>
  <c r="S74" i="22"/>
  <c r="K75" i="67"/>
  <c r="F81" i="22"/>
  <c r="D80" i="58"/>
  <c r="S83" i="22"/>
  <c r="K84" i="67"/>
  <c r="AA88" i="22"/>
  <c r="D89" i="67"/>
  <c r="M89" i="67"/>
  <c r="I90" i="22"/>
  <c r="E89" i="58"/>
  <c r="Y89" i="58" s="1"/>
  <c r="R89" i="103"/>
  <c r="S106" i="22"/>
  <c r="K108" i="67"/>
  <c r="E59" i="22"/>
  <c r="H58" i="103"/>
  <c r="C68" i="22"/>
  <c r="C67" i="58"/>
  <c r="C77" i="22"/>
  <c r="C76" i="58"/>
  <c r="BD80" i="103"/>
  <c r="C86" i="22"/>
  <c r="C85" i="58"/>
  <c r="H88" i="22"/>
  <c r="O87" i="103"/>
  <c r="AI67" i="22"/>
  <c r="U77" i="22"/>
  <c r="Q76" i="58"/>
  <c r="N78" i="67"/>
  <c r="AI79" i="22"/>
  <c r="W89" i="22"/>
  <c r="P88" i="58"/>
  <c r="H90" i="67"/>
  <c r="E75" i="22"/>
  <c r="H74" i="103"/>
  <c r="K87" i="22"/>
  <c r="L87" i="22" s="1"/>
  <c r="F86" i="58"/>
  <c r="Y89" i="22"/>
  <c r="O88" i="58"/>
  <c r="C90" i="67"/>
  <c r="E97" i="22"/>
  <c r="H96" i="103"/>
  <c r="K69" i="22"/>
  <c r="L69" i="22" s="1"/>
  <c r="F68" i="58"/>
  <c r="U68" i="103"/>
  <c r="Y71" i="22"/>
  <c r="O70" i="58"/>
  <c r="AJ378" i="103"/>
  <c r="C72" i="67"/>
  <c r="K78" i="22"/>
  <c r="L78" i="22" s="1"/>
  <c r="F77" i="58"/>
  <c r="U77" i="103"/>
  <c r="Y80" i="22"/>
  <c r="O79" i="58"/>
  <c r="C81" i="67"/>
  <c r="C87" i="22"/>
  <c r="C86" i="58"/>
  <c r="C86" i="103"/>
  <c r="BD90" i="103"/>
  <c r="H71" i="22"/>
  <c r="N378" i="103"/>
  <c r="O70" i="103"/>
  <c r="H83" i="22"/>
  <c r="O82" i="103"/>
  <c r="E88" i="22"/>
  <c r="H87" i="103"/>
  <c r="Q64" i="22"/>
  <c r="E64" i="67"/>
  <c r="AN70" i="103"/>
  <c r="AN79" i="103"/>
  <c r="E58" i="22"/>
  <c r="H57" i="103"/>
  <c r="AA72" i="22"/>
  <c r="D73" i="67"/>
  <c r="M73" i="67"/>
  <c r="I74" i="22"/>
  <c r="E73" i="58"/>
  <c r="Y73" i="58" s="1"/>
  <c r="R73" i="103"/>
  <c r="AA81" i="22"/>
  <c r="D82" i="67"/>
  <c r="M82" i="67"/>
  <c r="I83" i="22"/>
  <c r="E82" i="58"/>
  <c r="Y82" i="58" s="1"/>
  <c r="R82" i="103"/>
  <c r="CP92" i="103"/>
  <c r="CQ92" i="103" s="1"/>
  <c r="U109" i="22"/>
  <c r="Q108" i="58"/>
  <c r="N111" i="67"/>
  <c r="AI111" i="22"/>
  <c r="U121" i="22"/>
  <c r="Q120" i="58"/>
  <c r="N123" i="67"/>
  <c r="AI123" i="22"/>
  <c r="AN91" i="103"/>
  <c r="AG101" i="22"/>
  <c r="CI100" i="103"/>
  <c r="CL100" i="103" s="1"/>
  <c r="H108" i="22"/>
  <c r="O107" i="103"/>
  <c r="L107" i="103" s="1"/>
  <c r="E113" i="22"/>
  <c r="H112" i="103"/>
  <c r="E125" i="22"/>
  <c r="H124" i="103"/>
  <c r="AG134" i="22"/>
  <c r="CI133" i="103"/>
  <c r="CK133" i="103" s="1"/>
  <c r="BD94" i="103"/>
  <c r="C100" i="22"/>
  <c r="C99" i="58"/>
  <c r="AW379" i="103"/>
  <c r="Q107" i="22"/>
  <c r="E109" i="67"/>
  <c r="K110" i="22"/>
  <c r="L110" i="22" s="1"/>
  <c r="F109" i="58"/>
  <c r="U109" i="103"/>
  <c r="Y112" i="22"/>
  <c r="O111" i="58"/>
  <c r="C114" i="67"/>
  <c r="K119" i="22"/>
  <c r="L119" i="22" s="1"/>
  <c r="F118" i="58"/>
  <c r="U118" i="103"/>
  <c r="Y121" i="22"/>
  <c r="O120" i="58"/>
  <c r="C123" i="67"/>
  <c r="I120" i="22"/>
  <c r="E119" i="58"/>
  <c r="Y119" i="58" s="1"/>
  <c r="R119" i="103"/>
  <c r="E95" i="22"/>
  <c r="H94" i="103"/>
  <c r="AI109" i="22"/>
  <c r="U119" i="22"/>
  <c r="Q118" i="58"/>
  <c r="N121" i="67"/>
  <c r="AI121" i="22"/>
  <c r="Q135" i="67"/>
  <c r="BQ380" i="103"/>
  <c r="AA103" i="22"/>
  <c r="D105" i="67"/>
  <c r="M105" i="67"/>
  <c r="BD104" i="103"/>
  <c r="E120" i="22"/>
  <c r="H119" i="103"/>
  <c r="AA94" i="22"/>
  <c r="M95" i="67"/>
  <c r="D95" i="67"/>
  <c r="I96" i="22"/>
  <c r="E95" i="58"/>
  <c r="Y95" i="58" s="1"/>
  <c r="R95" i="103"/>
  <c r="H103" i="22"/>
  <c r="O102" i="103"/>
  <c r="AN111" i="103"/>
  <c r="AN120" i="103"/>
  <c r="H100" i="22"/>
  <c r="O99" i="103"/>
  <c r="AA110" i="22"/>
  <c r="M112" i="67"/>
  <c r="D112" i="67"/>
  <c r="BD111" i="103"/>
  <c r="AA122" i="22"/>
  <c r="M124" i="67"/>
  <c r="D124" i="67"/>
  <c r="BD123" i="103"/>
  <c r="AE379" i="103"/>
  <c r="Y104" i="22"/>
  <c r="O103" i="58"/>
  <c r="C106" i="67"/>
  <c r="U111" i="22"/>
  <c r="Q110" i="58"/>
  <c r="N113" i="67"/>
  <c r="AI113" i="22"/>
  <c r="U123" i="22"/>
  <c r="Q122" i="58"/>
  <c r="N125" i="67"/>
  <c r="AI125" i="22"/>
  <c r="W114" i="22"/>
  <c r="P113" i="58"/>
  <c r="H116" i="67"/>
  <c r="AM115" i="103"/>
  <c r="CP117" i="103"/>
  <c r="W126" i="22"/>
  <c r="P125" i="58"/>
  <c r="H128" i="67"/>
  <c r="U128" i="22"/>
  <c r="Q127" i="58"/>
  <c r="N130" i="67"/>
  <c r="Q106" i="22"/>
  <c r="E108" i="67"/>
  <c r="F113" i="22"/>
  <c r="D112" i="58"/>
  <c r="S115" i="22"/>
  <c r="K117" i="67"/>
  <c r="F122" i="22"/>
  <c r="D121" i="58"/>
  <c r="S124" i="22"/>
  <c r="K126" i="67"/>
  <c r="S130" i="22"/>
  <c r="K132" i="67"/>
  <c r="H139" i="22"/>
  <c r="O138" i="103"/>
  <c r="AA114" i="22"/>
  <c r="M116" i="67"/>
  <c r="D116" i="67"/>
  <c r="BD115" i="103"/>
  <c r="AA126" i="22"/>
  <c r="M128" i="67"/>
  <c r="D128" i="67"/>
  <c r="AG128" i="22"/>
  <c r="CI127" i="103"/>
  <c r="CL127" i="103" s="1"/>
  <c r="H131" i="22"/>
  <c r="O130" i="103"/>
  <c r="BB141" i="103"/>
  <c r="BB150" i="103"/>
  <c r="BB159" i="103"/>
  <c r="CN380" i="103"/>
  <c r="AM136" i="103"/>
  <c r="AM145" i="103"/>
  <c r="AM154" i="103"/>
  <c r="I128" i="22"/>
  <c r="E127" i="58"/>
  <c r="Y127" i="58" s="1"/>
  <c r="R127" i="103"/>
  <c r="CD380" i="103"/>
  <c r="AA135" i="22"/>
  <c r="D138" i="67"/>
  <c r="M138" i="67"/>
  <c r="BD142" i="103"/>
  <c r="C154" i="22"/>
  <c r="C153" i="58"/>
  <c r="I158" i="22"/>
  <c r="E157" i="58"/>
  <c r="Y157" i="58" s="1"/>
  <c r="R157" i="103"/>
  <c r="AI132" i="22"/>
  <c r="BS380" i="103"/>
  <c r="Q137" i="22"/>
  <c r="E140" i="67"/>
  <c r="AI141" i="22"/>
  <c r="Q146" i="22"/>
  <c r="E149" i="67"/>
  <c r="AI150" i="22"/>
  <c r="Q155" i="22"/>
  <c r="E158" i="67"/>
  <c r="AI159" i="22"/>
  <c r="CN381" i="103"/>
  <c r="BT380" i="103"/>
  <c r="P142" i="67"/>
  <c r="BL138" i="103"/>
  <c r="P151" i="67"/>
  <c r="BL147" i="103"/>
  <c r="P160" i="67"/>
  <c r="BL156" i="103"/>
  <c r="S128" i="22"/>
  <c r="K130" i="67"/>
  <c r="BU380" i="103"/>
  <c r="BM135" i="103"/>
  <c r="BM141" i="103"/>
  <c r="BM147" i="103"/>
  <c r="BM159" i="103"/>
  <c r="I132" i="22"/>
  <c r="E131" i="58"/>
  <c r="Q380" i="103"/>
  <c r="R131" i="103"/>
  <c r="AA145" i="22"/>
  <c r="D148" i="67"/>
  <c r="M148" i="67"/>
  <c r="BD152" i="103"/>
  <c r="H142" i="22"/>
  <c r="O141" i="103"/>
  <c r="H151" i="22"/>
  <c r="O150" i="103"/>
  <c r="H160" i="22"/>
  <c r="O159" i="103"/>
  <c r="AE380" i="103"/>
  <c r="W137" i="22"/>
  <c r="P136" i="58"/>
  <c r="H140" i="67"/>
  <c r="W146" i="22"/>
  <c r="P145" i="58"/>
  <c r="H149" i="67"/>
  <c r="W155" i="22"/>
  <c r="P154" i="58"/>
  <c r="H158" i="67"/>
  <c r="S129" i="22"/>
  <c r="K131" i="67"/>
  <c r="BM136" i="103"/>
  <c r="BM142" i="103"/>
  <c r="BM148" i="103"/>
  <c r="BM154" i="103"/>
  <c r="BM160" i="103"/>
  <c r="BU381" i="103"/>
  <c r="C132" i="22"/>
  <c r="C131" i="58"/>
  <c r="I380" i="103"/>
  <c r="I136" i="22"/>
  <c r="E135" i="58"/>
  <c r="Y135" i="58" s="1"/>
  <c r="R135" i="103"/>
  <c r="AA149" i="22"/>
  <c r="M152" i="67"/>
  <c r="D152" i="67"/>
  <c r="BD156" i="103"/>
  <c r="AK163" i="22"/>
  <c r="BV381" i="103"/>
  <c r="BD164" i="103"/>
  <c r="AA175" i="22"/>
  <c r="D179" i="67"/>
  <c r="M179" i="67"/>
  <c r="BD176" i="103"/>
  <c r="AA187" i="22"/>
  <c r="D191" i="67"/>
  <c r="M191" i="67"/>
  <c r="BD188" i="103"/>
  <c r="C197" i="22"/>
  <c r="C196" i="58"/>
  <c r="U170" i="22"/>
  <c r="Q169" i="58"/>
  <c r="N174" i="67"/>
  <c r="U179" i="22"/>
  <c r="Q178" i="58"/>
  <c r="N183" i="67"/>
  <c r="U188" i="22"/>
  <c r="Q187" i="58"/>
  <c r="N192" i="67"/>
  <c r="Q195" i="22"/>
  <c r="E200" i="67"/>
  <c r="S165" i="22"/>
  <c r="K169" i="67"/>
  <c r="F178" i="22"/>
  <c r="D177" i="58"/>
  <c r="K180" i="22"/>
  <c r="L180" i="22" s="1"/>
  <c r="F179" i="58"/>
  <c r="U179" i="103"/>
  <c r="Y182" i="22"/>
  <c r="O181" i="58"/>
  <c r="C186" i="67"/>
  <c r="K195" i="22"/>
  <c r="L195" i="22" s="1"/>
  <c r="F194" i="58"/>
  <c r="U194" i="103"/>
  <c r="C165" i="22"/>
  <c r="C164" i="58"/>
  <c r="C177" i="22"/>
  <c r="C176" i="58"/>
  <c r="C189" i="22"/>
  <c r="C188" i="58"/>
  <c r="AK193" i="22"/>
  <c r="BV382" i="103"/>
  <c r="I196" i="22"/>
  <c r="E195" i="58"/>
  <c r="Y195" i="58" s="1"/>
  <c r="R195" i="103"/>
  <c r="U177" i="22"/>
  <c r="Q176" i="58"/>
  <c r="N181" i="67"/>
  <c r="U186" i="22"/>
  <c r="Q185" i="58"/>
  <c r="N190" i="67"/>
  <c r="S382" i="103"/>
  <c r="Y198" i="22"/>
  <c r="O197" i="58"/>
  <c r="C203" i="67"/>
  <c r="AN163" i="103"/>
  <c r="S166" i="22"/>
  <c r="K170" i="67"/>
  <c r="F179" i="22"/>
  <c r="D178" i="58"/>
  <c r="K181" i="22"/>
  <c r="L181" i="22" s="1"/>
  <c r="F180" i="58"/>
  <c r="U180" i="103"/>
  <c r="Y183" i="22"/>
  <c r="O182" i="58"/>
  <c r="C187" i="67"/>
  <c r="F194" i="22"/>
  <c r="D193" i="58"/>
  <c r="S196" i="22"/>
  <c r="K201" i="67"/>
  <c r="C169" i="22"/>
  <c r="C168" i="58"/>
  <c r="C181" i="22"/>
  <c r="C180" i="58"/>
  <c r="C193" i="22"/>
  <c r="C192" i="58"/>
  <c r="I382" i="103"/>
  <c r="H198" i="22"/>
  <c r="O197" i="103"/>
  <c r="H168" i="22"/>
  <c r="O167" i="103"/>
  <c r="H177" i="22"/>
  <c r="O176" i="103"/>
  <c r="H186" i="22"/>
  <c r="O185" i="103"/>
  <c r="W169" i="22"/>
  <c r="P168" i="58"/>
  <c r="H173" i="67"/>
  <c r="W178" i="22"/>
  <c r="P177" i="58"/>
  <c r="H182" i="67"/>
  <c r="W187" i="22"/>
  <c r="P186" i="58"/>
  <c r="H191" i="67"/>
  <c r="CN382" i="103"/>
  <c r="AN197" i="103"/>
  <c r="F177" i="22"/>
  <c r="D176" i="58"/>
  <c r="K179" i="22"/>
  <c r="L179" i="22" s="1"/>
  <c r="F178" i="58"/>
  <c r="U178" i="103"/>
  <c r="Y181" i="22"/>
  <c r="O180" i="58"/>
  <c r="C185" i="67"/>
  <c r="K194" i="22"/>
  <c r="L194" i="22" s="1"/>
  <c r="F193" i="58"/>
  <c r="U193" i="103"/>
  <c r="W203" i="22"/>
  <c r="P202" i="58"/>
  <c r="H208" i="67"/>
  <c r="AM204" i="103"/>
  <c r="CP206" i="103"/>
  <c r="CR206" i="103" s="1"/>
  <c r="W215" i="22"/>
  <c r="P214" i="58"/>
  <c r="H220" i="67"/>
  <c r="AM216" i="103"/>
  <c r="CP218" i="103"/>
  <c r="CQ218" i="103" s="1"/>
  <c r="CB383" i="103"/>
  <c r="AA227" i="22"/>
  <c r="M233" i="67"/>
  <c r="D233" i="67"/>
  <c r="S201" i="22"/>
  <c r="K206" i="67"/>
  <c r="F211" i="22"/>
  <c r="D210" i="58"/>
  <c r="S213" i="22"/>
  <c r="K218" i="67"/>
  <c r="F223" i="22"/>
  <c r="D222" i="58"/>
  <c r="S225" i="22"/>
  <c r="K231" i="67"/>
  <c r="S236" i="22"/>
  <c r="K242" i="67"/>
  <c r="AA203" i="22"/>
  <c r="M208" i="67"/>
  <c r="D208" i="67"/>
  <c r="C216" i="22"/>
  <c r="C215" i="58"/>
  <c r="AA221" i="22"/>
  <c r="M226" i="67"/>
  <c r="D226" i="67"/>
  <c r="E229" i="22"/>
  <c r="H228" i="103"/>
  <c r="AI203" i="22"/>
  <c r="H206" i="22"/>
  <c r="O205" i="103"/>
  <c r="Q211" i="22"/>
  <c r="E216" i="67"/>
  <c r="AI221" i="22"/>
  <c r="H224" i="22"/>
  <c r="N383" i="103"/>
  <c r="O223" i="103"/>
  <c r="Y231" i="22"/>
  <c r="O230" i="58"/>
  <c r="C237" i="67"/>
  <c r="E208" i="22"/>
  <c r="H207" i="103"/>
  <c r="E220" i="22"/>
  <c r="H219" i="103"/>
  <c r="BT383" i="103"/>
  <c r="I227" i="22"/>
  <c r="E226" i="58"/>
  <c r="Y226" i="58" s="1"/>
  <c r="X226" i="103"/>
  <c r="R226" i="103"/>
  <c r="W236" i="22"/>
  <c r="P235" i="58"/>
  <c r="H242" i="67"/>
  <c r="Y201" i="22"/>
  <c r="O200" i="58"/>
  <c r="C206" i="67"/>
  <c r="AN205" i="103"/>
  <c r="Y213" i="22"/>
  <c r="O212" i="58"/>
  <c r="C218" i="67"/>
  <c r="AN217" i="103"/>
  <c r="Y225" i="22"/>
  <c r="O224" i="58"/>
  <c r="C231" i="67"/>
  <c r="H228" i="22"/>
  <c r="O227" i="103"/>
  <c r="Q233" i="22"/>
  <c r="E239" i="67"/>
  <c r="AG236" i="22"/>
  <c r="CI235" i="103"/>
  <c r="CL235" i="103" s="1"/>
  <c r="AA207" i="22"/>
  <c r="D212" i="67"/>
  <c r="M212" i="67"/>
  <c r="C220" i="22"/>
  <c r="C219" i="58"/>
  <c r="AA225" i="22"/>
  <c r="M231" i="67"/>
  <c r="D231" i="67"/>
  <c r="E230" i="22"/>
  <c r="H229" i="103"/>
  <c r="K235" i="22"/>
  <c r="L235" i="22" s="1"/>
  <c r="F234" i="58"/>
  <c r="U234" i="103"/>
  <c r="I246" i="22"/>
  <c r="E245" i="58"/>
  <c r="Y245" i="58" s="1"/>
  <c r="R245" i="103"/>
  <c r="AI204" i="22"/>
  <c r="H207" i="22"/>
  <c r="O206" i="103"/>
  <c r="Q212" i="22"/>
  <c r="E217" i="67"/>
  <c r="AI222" i="22"/>
  <c r="H225" i="22"/>
  <c r="O224" i="103"/>
  <c r="S227" i="22"/>
  <c r="K233" i="67"/>
  <c r="E206" i="22"/>
  <c r="H205" i="103"/>
  <c r="E218" i="22"/>
  <c r="H217" i="103"/>
  <c r="AM224" i="103"/>
  <c r="K203" i="22"/>
  <c r="L203" i="22" s="1"/>
  <c r="F202" i="58"/>
  <c r="U202" i="103"/>
  <c r="K215" i="22"/>
  <c r="L215" i="22" s="1"/>
  <c r="F214" i="58"/>
  <c r="U214" i="103"/>
  <c r="AM224" i="22"/>
  <c r="BY383" i="103"/>
  <c r="C227" i="22"/>
  <c r="C226" i="58"/>
  <c r="C226" i="103"/>
  <c r="C209" i="22"/>
  <c r="C208" i="58"/>
  <c r="AA214" i="22"/>
  <c r="D219" i="67"/>
  <c r="M219" i="67"/>
  <c r="AS383" i="103"/>
  <c r="W227" i="22"/>
  <c r="P226" i="58"/>
  <c r="H233" i="67"/>
  <c r="CP233" i="103"/>
  <c r="CQ233" i="103" s="1"/>
  <c r="Q204" i="22"/>
  <c r="E209" i="67"/>
  <c r="AI214" i="22"/>
  <c r="H217" i="22"/>
  <c r="O216" i="103"/>
  <c r="Q222" i="22"/>
  <c r="E227" i="67"/>
  <c r="AM236" i="103"/>
  <c r="E245" i="22"/>
  <c r="H244" i="103"/>
  <c r="F258" i="22"/>
  <c r="D257" i="58"/>
  <c r="J257" i="103"/>
  <c r="C288" i="22"/>
  <c r="C129" i="23"/>
  <c r="C287" i="58"/>
  <c r="F255" i="22"/>
  <c r="D254" i="58"/>
  <c r="P384" i="103"/>
  <c r="Q264" i="22"/>
  <c r="E271" i="67"/>
  <c r="Y281" i="22"/>
  <c r="O280" i="58"/>
  <c r="C288" i="67"/>
  <c r="AA256" i="22"/>
  <c r="D263" i="67"/>
  <c r="M263" i="67"/>
  <c r="F289" i="22"/>
  <c r="I130" i="23"/>
  <c r="D288" i="58"/>
  <c r="AI238" i="22"/>
  <c r="H241" i="22"/>
  <c r="O240" i="103"/>
  <c r="Q246" i="22"/>
  <c r="E252" i="67"/>
  <c r="W260" i="22"/>
  <c r="P259" i="58"/>
  <c r="H267" i="67"/>
  <c r="AG265" i="22"/>
  <c r="CI264" i="103"/>
  <c r="CL264" i="103" s="1"/>
  <c r="S270" i="22"/>
  <c r="K277" i="67"/>
  <c r="I289" i="22"/>
  <c r="R130" i="23"/>
  <c r="E288" i="58"/>
  <c r="Y288" i="58" s="1"/>
  <c r="R288" i="103"/>
  <c r="AK304" i="22"/>
  <c r="CP239" i="103"/>
  <c r="CR239" i="103" s="1"/>
  <c r="W251" i="22"/>
  <c r="P250" i="58"/>
  <c r="H257" i="67"/>
  <c r="AG259" i="22"/>
  <c r="CI258" i="103"/>
  <c r="CK258" i="103" s="1"/>
  <c r="I262" i="22"/>
  <c r="E261" i="58"/>
  <c r="Y261" i="58" s="1"/>
  <c r="R261" i="103"/>
  <c r="I265" i="22"/>
  <c r="E264" i="58"/>
  <c r="Y264" i="58" s="1"/>
  <c r="R264" i="103"/>
  <c r="U331" i="22"/>
  <c r="Q330" i="58"/>
  <c r="N340" i="67"/>
  <c r="K237" i="22"/>
  <c r="L237" i="22" s="1"/>
  <c r="F236" i="58"/>
  <c r="U236" i="103"/>
  <c r="K249" i="22"/>
  <c r="L249" i="22" s="1"/>
  <c r="F248" i="58"/>
  <c r="U248" i="103"/>
  <c r="I259" i="22"/>
  <c r="E258" i="58"/>
  <c r="Y258" i="58" s="1"/>
  <c r="R258" i="103"/>
  <c r="Q262" i="22"/>
  <c r="E269" i="67"/>
  <c r="Q265" i="22"/>
  <c r="E272" i="67"/>
  <c r="C240" i="22"/>
  <c r="C239" i="58"/>
  <c r="AA245" i="22"/>
  <c r="M251" i="67"/>
  <c r="D251" i="67"/>
  <c r="AS384" i="103"/>
  <c r="U258" i="22"/>
  <c r="Q257" i="58"/>
  <c r="N265" i="67"/>
  <c r="U261" i="22"/>
  <c r="Q260" i="58"/>
  <c r="N268" i="67"/>
  <c r="AG283" i="22"/>
  <c r="CI282" i="103"/>
  <c r="CL282" i="103" s="1"/>
  <c r="AN294" i="103"/>
  <c r="U243" i="22"/>
  <c r="Q242" i="58"/>
  <c r="N249" i="67"/>
  <c r="Q256" i="22"/>
  <c r="E263" i="67"/>
  <c r="E259" i="22"/>
  <c r="H258" i="103"/>
  <c r="K262" i="22"/>
  <c r="L262" i="22" s="1"/>
  <c r="F261" i="58"/>
  <c r="U261" i="103"/>
  <c r="Y284" i="22"/>
  <c r="O283" i="58"/>
  <c r="C291" i="67"/>
  <c r="CP240" i="103"/>
  <c r="CR240" i="103" s="1"/>
  <c r="W252" i="22"/>
  <c r="P251" i="58"/>
  <c r="H258" i="67"/>
  <c r="AA284" i="22"/>
  <c r="M291" i="67"/>
  <c r="D291" i="67"/>
  <c r="S238" i="22"/>
  <c r="K244" i="67"/>
  <c r="F248" i="22"/>
  <c r="D247" i="58"/>
  <c r="S250" i="22"/>
  <c r="K256" i="67"/>
  <c r="I260" i="22"/>
  <c r="E259" i="58"/>
  <c r="Y259" i="58" s="1"/>
  <c r="R259" i="103"/>
  <c r="CM262" i="103"/>
  <c r="CG262" i="103" s="1"/>
  <c r="CM265" i="103"/>
  <c r="CG265" i="103" s="1"/>
  <c r="C238" i="22"/>
  <c r="C237" i="58"/>
  <c r="AA243" i="22"/>
  <c r="M249" i="67"/>
  <c r="D249" i="67"/>
  <c r="C256" i="22"/>
  <c r="C255" i="58"/>
  <c r="W262" i="22"/>
  <c r="P261" i="58"/>
  <c r="H269" i="67"/>
  <c r="W265" i="22"/>
  <c r="P264" i="58"/>
  <c r="H272" i="67"/>
  <c r="U241" i="22"/>
  <c r="Q240" i="58"/>
  <c r="N247" i="67"/>
  <c r="E260" i="22"/>
  <c r="H259" i="103"/>
  <c r="K263" i="22"/>
  <c r="L263" i="22" s="1"/>
  <c r="F262" i="58"/>
  <c r="U262" i="103"/>
  <c r="P310" i="67"/>
  <c r="BL301" i="103"/>
  <c r="U291" i="22"/>
  <c r="Q290" i="58"/>
  <c r="N299" i="67"/>
  <c r="AA315" i="22"/>
  <c r="D323" i="67"/>
  <c r="M323" i="67"/>
  <c r="CP267" i="103"/>
  <c r="CR267" i="103" s="1"/>
  <c r="CP270" i="103"/>
  <c r="CR270" i="103" s="1"/>
  <c r="CP273" i="103"/>
  <c r="CQ273" i="103" s="1"/>
  <c r="CP276" i="103"/>
  <c r="CQ276" i="103" s="1"/>
  <c r="CP279" i="103"/>
  <c r="CR279" i="103" s="1"/>
  <c r="CP282" i="103"/>
  <c r="CR282" i="103" s="1"/>
  <c r="CP285" i="103"/>
  <c r="CR285" i="103" s="1"/>
  <c r="E289" i="22"/>
  <c r="H130" i="23"/>
  <c r="H288" i="103"/>
  <c r="P299" i="67"/>
  <c r="BL290" i="103"/>
  <c r="AI308" i="22"/>
  <c r="Y273" i="22"/>
  <c r="O272" i="58"/>
  <c r="C280" i="67"/>
  <c r="F293" i="22"/>
  <c r="I134" i="23"/>
  <c r="D292" i="58"/>
  <c r="K295" i="22"/>
  <c r="L295" i="22" s="1"/>
  <c r="U136" i="23"/>
  <c r="F294" i="58"/>
  <c r="U294" i="103"/>
  <c r="U303" i="22"/>
  <c r="Q302" i="58"/>
  <c r="N311" i="67"/>
  <c r="C319" i="22"/>
  <c r="C318" i="58"/>
  <c r="Y332" i="22"/>
  <c r="O331" i="58"/>
  <c r="C341" i="67"/>
  <c r="I269" i="22"/>
  <c r="E268" i="58"/>
  <c r="Y268" i="58" s="1"/>
  <c r="R268" i="103"/>
  <c r="I272" i="22"/>
  <c r="E271" i="58"/>
  <c r="Y271" i="58" s="1"/>
  <c r="R271" i="103"/>
  <c r="I275" i="22"/>
  <c r="E274" i="58"/>
  <c r="Y274" i="58" s="1"/>
  <c r="R274" i="103"/>
  <c r="I278" i="22"/>
  <c r="E277" i="58"/>
  <c r="Y277" i="58" s="1"/>
  <c r="R277" i="103"/>
  <c r="I281" i="22"/>
  <c r="E280" i="58"/>
  <c r="Y280" i="58" s="1"/>
  <c r="R280" i="103"/>
  <c r="I284" i="22"/>
  <c r="E283" i="58"/>
  <c r="Y283" i="58" s="1"/>
  <c r="R283" i="103"/>
  <c r="E330" i="22"/>
  <c r="H329" i="103"/>
  <c r="E329" i="103" s="1"/>
  <c r="AI288" i="22"/>
  <c r="Q293" i="22"/>
  <c r="E301" i="67"/>
  <c r="AA318" i="22"/>
  <c r="D327" i="67"/>
  <c r="M327" i="67"/>
  <c r="AY385" i="103"/>
  <c r="AI302" i="22"/>
  <c r="U309" i="22"/>
  <c r="Q308" i="58"/>
  <c r="N317" i="67"/>
  <c r="H317" i="22"/>
  <c r="O316" i="103"/>
  <c r="F270" i="22"/>
  <c r="D269" i="58"/>
  <c r="S275" i="22"/>
  <c r="K282" i="67"/>
  <c r="K278" i="22"/>
  <c r="L278" i="22" s="1"/>
  <c r="F277" i="58"/>
  <c r="U277" i="103"/>
  <c r="Y286" i="22"/>
  <c r="O285" i="58"/>
  <c r="C294" i="67"/>
  <c r="BM291" i="103"/>
  <c r="H297" i="22"/>
  <c r="N138" i="23"/>
  <c r="O296" i="103"/>
  <c r="AA309" i="22"/>
  <c r="D317" i="67"/>
  <c r="M317" i="67"/>
  <c r="BB266" i="103"/>
  <c r="BB269" i="103"/>
  <c r="BB272" i="103"/>
  <c r="BB275" i="103"/>
  <c r="BB278" i="103"/>
  <c r="BB281" i="103"/>
  <c r="BB284" i="103"/>
  <c r="H292" i="22"/>
  <c r="N133" i="23"/>
  <c r="O291" i="103"/>
  <c r="BB293" i="103"/>
  <c r="AY386" i="103"/>
  <c r="AA330" i="22"/>
  <c r="D339" i="67"/>
  <c r="M339" i="67"/>
  <c r="S385" i="103"/>
  <c r="W290" i="22"/>
  <c r="P289" i="58"/>
  <c r="H298" i="67"/>
  <c r="W298" i="22"/>
  <c r="P297" i="58"/>
  <c r="H306" i="67"/>
  <c r="C322" i="22"/>
  <c r="C321" i="58"/>
  <c r="Q302" i="22"/>
  <c r="E310" i="67"/>
  <c r="AI306" i="22"/>
  <c r="Q311" i="22"/>
  <c r="E319" i="67"/>
  <c r="AI315" i="22"/>
  <c r="H318" i="22"/>
  <c r="O317" i="103"/>
  <c r="Q323" i="22"/>
  <c r="E332" i="67"/>
  <c r="W331" i="22"/>
  <c r="P330" i="58"/>
  <c r="H340" i="67"/>
  <c r="BG386" i="103"/>
  <c r="AM320" i="103"/>
  <c r="E329" i="22"/>
  <c r="H328" i="103"/>
  <c r="E328" i="103" s="1"/>
  <c r="BF387" i="103"/>
  <c r="BM300" i="103"/>
  <c r="AM305" i="22"/>
  <c r="S314" i="22"/>
  <c r="K322" i="67"/>
  <c r="K326" i="22"/>
  <c r="L326" i="22" s="1"/>
  <c r="F325" i="58"/>
  <c r="U325" i="103"/>
  <c r="AK297" i="22"/>
  <c r="AK303" i="22"/>
  <c r="AK309" i="22"/>
  <c r="AK315" i="22"/>
  <c r="U302" i="22"/>
  <c r="Q301" i="58"/>
  <c r="N310" i="67"/>
  <c r="U311" i="22"/>
  <c r="Q310" i="58"/>
  <c r="N319" i="67"/>
  <c r="Q318" i="22"/>
  <c r="E327" i="67"/>
  <c r="AI328" i="22"/>
  <c r="AM330" i="103"/>
  <c r="AI356" i="22"/>
  <c r="Q343" i="22"/>
  <c r="E352" i="67"/>
  <c r="BM298" i="103"/>
  <c r="AM303" i="22"/>
  <c r="S312" i="22"/>
  <c r="K320" i="67"/>
  <c r="F319" i="22"/>
  <c r="D318" i="58"/>
  <c r="S321" i="22"/>
  <c r="K330" i="67"/>
  <c r="I331" i="22"/>
  <c r="E330" i="58"/>
  <c r="Y330" i="58" s="1"/>
  <c r="R330" i="103"/>
  <c r="AI335" i="22"/>
  <c r="C309" i="22"/>
  <c r="C150" i="23"/>
  <c r="C308" i="58"/>
  <c r="AA311" i="22"/>
  <c r="M319" i="67"/>
  <c r="D319" i="67"/>
  <c r="C315" i="22"/>
  <c r="C314" i="58"/>
  <c r="I319" i="22"/>
  <c r="E318" i="58"/>
  <c r="Y318" i="58" s="1"/>
  <c r="R318" i="103"/>
  <c r="C324" i="22"/>
  <c r="C323" i="58"/>
  <c r="I328" i="22"/>
  <c r="E327" i="58"/>
  <c r="Y327" i="58" s="1"/>
  <c r="R327" i="103"/>
  <c r="Q319" i="22"/>
  <c r="E328" i="67"/>
  <c r="AI329" i="22"/>
  <c r="H356" i="22"/>
  <c r="CP297" i="103"/>
  <c r="CQ297" i="103" s="1"/>
  <c r="E301" i="22"/>
  <c r="H142" i="23"/>
  <c r="H300" i="103"/>
  <c r="P311" i="67"/>
  <c r="BL302" i="103"/>
  <c r="E313" i="22"/>
  <c r="H312" i="103"/>
  <c r="E312" i="103" s="1"/>
  <c r="P323" i="67"/>
  <c r="BL314" i="103"/>
  <c r="W318" i="22"/>
  <c r="P317" i="58"/>
  <c r="H327" i="67"/>
  <c r="CP324" i="103"/>
  <c r="CQ324" i="103" s="1"/>
  <c r="AM298" i="22"/>
  <c r="AN304" i="103"/>
  <c r="S307" i="22"/>
  <c r="K315" i="67"/>
  <c r="F323" i="22"/>
  <c r="D322" i="58"/>
  <c r="S325" i="22"/>
  <c r="K334" i="67"/>
  <c r="I332" i="22"/>
  <c r="E331" i="58"/>
  <c r="Y331" i="58" s="1"/>
  <c r="R331" i="103"/>
  <c r="AI350" i="22"/>
  <c r="E335" i="22"/>
  <c r="H334" i="103"/>
  <c r="E334" i="103" s="1"/>
  <c r="AM344" i="103"/>
  <c r="CP346" i="103"/>
  <c r="W355" i="22"/>
  <c r="P354" i="58"/>
  <c r="H365" i="67"/>
  <c r="CP358" i="103"/>
  <c r="CQ358" i="103" s="1"/>
  <c r="W367" i="22"/>
  <c r="P366" i="58"/>
  <c r="H377" i="67"/>
  <c r="Y340" i="22"/>
  <c r="O339" i="58"/>
  <c r="C349" i="67"/>
  <c r="CI344" i="103"/>
  <c r="CL344" i="103" s="1"/>
  <c r="AR387" i="103"/>
  <c r="CI353" i="103"/>
  <c r="CL353" i="103" s="1"/>
  <c r="CI362" i="103"/>
  <c r="CL362" i="103" s="1"/>
  <c r="BD350" i="103"/>
  <c r="I366" i="22"/>
  <c r="E365" i="58"/>
  <c r="Y365" i="58" s="1"/>
  <c r="R365" i="103"/>
  <c r="U347" i="22"/>
  <c r="Q346" i="58"/>
  <c r="N357" i="67"/>
  <c r="AI349" i="22"/>
  <c r="U359" i="22"/>
  <c r="Q358" i="58"/>
  <c r="N369" i="67"/>
  <c r="AI361" i="22"/>
  <c r="W341" i="22"/>
  <c r="P340" i="58"/>
  <c r="H350" i="67"/>
  <c r="E351" i="22"/>
  <c r="E363" i="22"/>
  <c r="K339" i="22"/>
  <c r="L339" i="22" s="1"/>
  <c r="F338" i="58"/>
  <c r="U338" i="103"/>
  <c r="I337" i="22"/>
  <c r="E336" i="58"/>
  <c r="Y336" i="58" s="1"/>
  <c r="R336" i="103"/>
  <c r="C342" i="22"/>
  <c r="C341" i="58"/>
  <c r="I346" i="22"/>
  <c r="E345" i="58"/>
  <c r="Q387" i="103"/>
  <c r="R345" i="103"/>
  <c r="C357" i="22"/>
  <c r="C356" i="58"/>
  <c r="AA359" i="22"/>
  <c r="M369" i="67"/>
  <c r="D369" i="67"/>
  <c r="BD366" i="103"/>
  <c r="Q370" i="22"/>
  <c r="E380" i="67"/>
  <c r="W342" i="22"/>
  <c r="P341" i="58"/>
  <c r="H351" i="67"/>
  <c r="BX387" i="103"/>
  <c r="E352" i="22"/>
  <c r="E364" i="22"/>
  <c r="K337" i="22"/>
  <c r="L337" i="22" s="1"/>
  <c r="F336" i="58"/>
  <c r="U336" i="103"/>
  <c r="AM346" i="22"/>
  <c r="BY387" i="103"/>
  <c r="K349" i="22"/>
  <c r="L349" i="22" s="1"/>
  <c r="F348" i="58"/>
  <c r="U348" i="103"/>
  <c r="Y351" i="22"/>
  <c r="O350" i="58"/>
  <c r="C361" i="67"/>
  <c r="K358" i="22"/>
  <c r="L358" i="22" s="1"/>
  <c r="F357" i="58"/>
  <c r="U357" i="103"/>
  <c r="Y360" i="22"/>
  <c r="O359" i="58"/>
  <c r="C370" i="67"/>
  <c r="K367" i="22"/>
  <c r="L367" i="22" s="1"/>
  <c r="F366" i="58"/>
  <c r="U366" i="103"/>
  <c r="Y369" i="22"/>
  <c r="O368" i="58"/>
  <c r="C379" i="67"/>
  <c r="C349" i="22"/>
  <c r="C348" i="58"/>
  <c r="AA351" i="22"/>
  <c r="D361" i="67"/>
  <c r="M361" i="67"/>
  <c r="BD358" i="103"/>
  <c r="AI333" i="22"/>
  <c r="H336" i="22"/>
  <c r="O335" i="103"/>
  <c r="Q341" i="22"/>
  <c r="E350" i="67"/>
  <c r="H351" i="22"/>
  <c r="H363" i="22"/>
  <c r="F374" i="22"/>
  <c r="D373" i="58"/>
  <c r="S376" i="22"/>
  <c r="K386" i="67"/>
  <c r="AC14" i="68" s="1"/>
  <c r="AI372" i="22"/>
  <c r="CP373" i="103"/>
  <c r="CR373" i="103" s="1"/>
  <c r="C374" i="22"/>
  <c r="C373" i="58"/>
  <c r="AA376" i="22"/>
  <c r="D386" i="67"/>
  <c r="M386" i="67"/>
  <c r="AC16" i="68" s="1"/>
  <c r="AI373" i="22"/>
  <c r="H374" i="22"/>
  <c r="BD44" i="103"/>
  <c r="AW377" i="103"/>
  <c r="C41" i="22"/>
  <c r="C40" i="58"/>
  <c r="S38" i="22"/>
  <c r="K37" i="67"/>
  <c r="Q26" i="22"/>
  <c r="E25" i="67"/>
  <c r="C19" i="22"/>
  <c r="C18" i="58"/>
  <c r="Y60" i="22"/>
  <c r="O59" i="58"/>
  <c r="C60" i="67"/>
  <c r="H49" i="22"/>
  <c r="O48" i="103"/>
  <c r="L48" i="103" s="1"/>
  <c r="AR377" i="103"/>
  <c r="AN41" i="103"/>
  <c r="E38" i="22"/>
  <c r="H37" i="103"/>
  <c r="C31" i="22"/>
  <c r="C30" i="58"/>
  <c r="K19" i="22"/>
  <c r="L19" i="22" s="1"/>
  <c r="F18" i="58"/>
  <c r="U18" i="103"/>
  <c r="Y12" i="22"/>
  <c r="O11" i="58"/>
  <c r="AJ376" i="103"/>
  <c r="C11" i="67"/>
  <c r="Q54" i="22"/>
  <c r="E54" i="67"/>
  <c r="AA52" i="22"/>
  <c r="D52" i="67"/>
  <c r="M52" i="67"/>
  <c r="BG377" i="103"/>
  <c r="Q38" i="22"/>
  <c r="E37" i="67"/>
  <c r="E13" i="22"/>
  <c r="H12" i="103"/>
  <c r="E12" i="103" s="1"/>
  <c r="W22" i="22"/>
  <c r="P21" i="58"/>
  <c r="H21" i="67"/>
  <c r="K53" i="22"/>
  <c r="L53" i="22" s="1"/>
  <c r="F52" i="58"/>
  <c r="U52" i="103"/>
  <c r="AT377" i="103"/>
  <c r="BD37" i="103"/>
  <c r="E31" i="22"/>
  <c r="H30" i="103"/>
  <c r="E30" i="103" s="1"/>
  <c r="H14" i="22"/>
  <c r="O13" i="103"/>
  <c r="BD54" i="103"/>
  <c r="AN53" i="103"/>
  <c r="C43" i="22"/>
  <c r="C42" i="58"/>
  <c r="I377" i="103"/>
  <c r="AN37" i="103"/>
  <c r="H29" i="22"/>
  <c r="O28" i="103"/>
  <c r="BD18" i="103"/>
  <c r="AA17" i="22"/>
  <c r="D16" i="67"/>
  <c r="AS376" i="103"/>
  <c r="Q50" i="22"/>
  <c r="E50" i="67"/>
  <c r="AA48" i="22"/>
  <c r="M48" i="67"/>
  <c r="D48" i="67"/>
  <c r="K43" i="22"/>
  <c r="L43" i="22" s="1"/>
  <c r="F42" i="58"/>
  <c r="T377" i="103"/>
  <c r="U42" i="103"/>
  <c r="C36" i="22"/>
  <c r="C35" i="58"/>
  <c r="C24" i="22"/>
  <c r="C23" i="58"/>
  <c r="AI54" i="22"/>
  <c r="E43" i="22"/>
  <c r="G377" i="103"/>
  <c r="H42" i="103"/>
  <c r="H38" i="22"/>
  <c r="O37" i="103"/>
  <c r="S33" i="22"/>
  <c r="K32" i="67"/>
  <c r="F31" i="22"/>
  <c r="D30" i="58"/>
  <c r="S24" i="22"/>
  <c r="K23" i="67"/>
  <c r="F22" i="22"/>
  <c r="D21" i="58"/>
  <c r="S376" i="103"/>
  <c r="C55" i="22"/>
  <c r="C54" i="58"/>
  <c r="F53" i="22"/>
  <c r="D52" i="58"/>
  <c r="E27" i="22"/>
  <c r="H26" i="103"/>
  <c r="E26" i="103" s="1"/>
  <c r="Q15" i="22"/>
  <c r="E14" i="67"/>
  <c r="BB38" i="103"/>
  <c r="P26" i="11" l="1"/>
  <c r="W77" i="13" s="1"/>
  <c r="K26" i="11"/>
  <c r="K111" i="13" s="1"/>
  <c r="L26" i="11"/>
  <c r="K145" i="13" s="1"/>
  <c r="I26" i="11"/>
  <c r="K43" i="13" s="1"/>
  <c r="Q26" i="11"/>
  <c r="W111" i="13" s="1"/>
  <c r="S26" i="11"/>
  <c r="W179" i="13" s="1"/>
  <c r="N26" i="11"/>
  <c r="W9" i="13" s="1"/>
  <c r="O26" i="11"/>
  <c r="W43" i="13" s="1"/>
  <c r="R26" i="11"/>
  <c r="W145" i="13" s="1"/>
  <c r="J26" i="11"/>
  <c r="H26" i="11"/>
  <c r="K9" i="13" s="1"/>
  <c r="M26" i="11"/>
  <c r="K179" i="13" s="1"/>
  <c r="P22" i="11"/>
  <c r="W73" i="13" s="1"/>
  <c r="H22" i="11"/>
  <c r="K5" i="13" s="1"/>
  <c r="L22" i="11"/>
  <c r="K141" i="13" s="1"/>
  <c r="G145" i="13" s="1"/>
  <c r="N22" i="11"/>
  <c r="W5" i="13" s="1"/>
  <c r="O22" i="11"/>
  <c r="W39" i="13" s="1"/>
  <c r="J22" i="11"/>
  <c r="K22" i="11"/>
  <c r="K107" i="13" s="1"/>
  <c r="M22" i="11"/>
  <c r="K175" i="13" s="1"/>
  <c r="I22" i="11"/>
  <c r="K39" i="13" s="1"/>
  <c r="R22" i="11"/>
  <c r="W141" i="13" s="1"/>
  <c r="Q22" i="11"/>
  <c r="W107" i="13" s="1"/>
  <c r="S22" i="11"/>
  <c r="W175" i="13" s="1"/>
  <c r="P28" i="11"/>
  <c r="W79" i="13" s="1"/>
  <c r="R28" i="11"/>
  <c r="W147" i="13" s="1"/>
  <c r="N28" i="11"/>
  <c r="W11" i="13" s="1"/>
  <c r="Q28" i="11"/>
  <c r="W113" i="13" s="1"/>
  <c r="O28" i="11"/>
  <c r="W45" i="13" s="1"/>
  <c r="S28" i="11"/>
  <c r="W181" i="13" s="1"/>
  <c r="K28" i="11"/>
  <c r="K113" i="13" s="1"/>
  <c r="L28" i="11"/>
  <c r="K147" i="13" s="1"/>
  <c r="J28" i="11"/>
  <c r="M28" i="11"/>
  <c r="K181" i="13" s="1"/>
  <c r="H28" i="11"/>
  <c r="K11" i="13" s="1"/>
  <c r="I28" i="11"/>
  <c r="K45" i="13" s="1"/>
  <c r="P29" i="11"/>
  <c r="W80" i="13" s="1"/>
  <c r="Q29" i="11"/>
  <c r="W114" i="13" s="1"/>
  <c r="S29" i="11"/>
  <c r="W182" i="13" s="1"/>
  <c r="N29" i="11"/>
  <c r="W12" i="13" s="1"/>
  <c r="O29" i="11"/>
  <c r="W46" i="13" s="1"/>
  <c r="J29" i="11"/>
  <c r="R29" i="11"/>
  <c r="W148" i="13" s="1"/>
  <c r="H29" i="11"/>
  <c r="K12" i="13" s="1"/>
  <c r="I29" i="11"/>
  <c r="K46" i="13" s="1"/>
  <c r="K29" i="11"/>
  <c r="K114" i="13" s="1"/>
  <c r="M29" i="11"/>
  <c r="K182" i="13" s="1"/>
  <c r="L29" i="11"/>
  <c r="K148" i="13" s="1"/>
  <c r="P23" i="11"/>
  <c r="W74" i="13" s="1"/>
  <c r="N23" i="11"/>
  <c r="W6" i="13" s="1"/>
  <c r="O23" i="11"/>
  <c r="W40" i="13" s="1"/>
  <c r="R23" i="11"/>
  <c r="W142" i="13" s="1"/>
  <c r="H23" i="11"/>
  <c r="K6" i="13" s="1"/>
  <c r="J23" i="11"/>
  <c r="M23" i="11"/>
  <c r="K176" i="13" s="1"/>
  <c r="Q23" i="11"/>
  <c r="W108" i="13" s="1"/>
  <c r="K23" i="11"/>
  <c r="K108" i="13" s="1"/>
  <c r="L23" i="11"/>
  <c r="K142" i="13" s="1"/>
  <c r="I23" i="11"/>
  <c r="K40" i="13" s="1"/>
  <c r="S23" i="11"/>
  <c r="W176" i="13" s="1"/>
  <c r="P30" i="11"/>
  <c r="W81" i="13" s="1"/>
  <c r="H30" i="11"/>
  <c r="K13" i="13" s="1"/>
  <c r="M30" i="11"/>
  <c r="K183" i="13" s="1"/>
  <c r="I30" i="11"/>
  <c r="K47" i="13" s="1"/>
  <c r="N30" i="11"/>
  <c r="W13" i="13" s="1"/>
  <c r="O30" i="11"/>
  <c r="W47" i="13" s="1"/>
  <c r="R30" i="11"/>
  <c r="W149" i="13" s="1"/>
  <c r="K30" i="11"/>
  <c r="K115" i="13" s="1"/>
  <c r="J30" i="11"/>
  <c r="L30" i="11"/>
  <c r="K149" i="13" s="1"/>
  <c r="Q30" i="11"/>
  <c r="W115" i="13" s="1"/>
  <c r="S30" i="11"/>
  <c r="W183" i="13" s="1"/>
  <c r="P24" i="11"/>
  <c r="W75" i="13" s="1"/>
  <c r="O24" i="11"/>
  <c r="W41" i="13" s="1"/>
  <c r="K24" i="11"/>
  <c r="K109" i="13" s="1"/>
  <c r="L24" i="11"/>
  <c r="K143" i="13" s="1"/>
  <c r="J24" i="11"/>
  <c r="N24" i="11"/>
  <c r="W7" i="13" s="1"/>
  <c r="H24" i="11"/>
  <c r="K7" i="13" s="1"/>
  <c r="I24" i="11"/>
  <c r="K41" i="13" s="1"/>
  <c r="R24" i="11"/>
  <c r="W143" i="13" s="1"/>
  <c r="Q24" i="11"/>
  <c r="W109" i="13" s="1"/>
  <c r="S24" i="11"/>
  <c r="W177" i="13" s="1"/>
  <c r="M24" i="11"/>
  <c r="K177" i="13" s="1"/>
  <c r="P25" i="11"/>
  <c r="W76" i="13" s="1"/>
  <c r="O25" i="11"/>
  <c r="W42" i="13" s="1"/>
  <c r="J25" i="11"/>
  <c r="L25" i="11"/>
  <c r="K144" i="13" s="1"/>
  <c r="H25" i="11"/>
  <c r="K8" i="13" s="1"/>
  <c r="I25" i="11"/>
  <c r="K42" i="13" s="1"/>
  <c r="M25" i="11"/>
  <c r="K178" i="13" s="1"/>
  <c r="K25" i="11"/>
  <c r="K110" i="13" s="1"/>
  <c r="Q25" i="11"/>
  <c r="W110" i="13" s="1"/>
  <c r="S25" i="11"/>
  <c r="W178" i="13" s="1"/>
  <c r="N25" i="11"/>
  <c r="W8" i="13" s="1"/>
  <c r="R25" i="11"/>
  <c r="W144" i="13" s="1"/>
  <c r="P27" i="11"/>
  <c r="W78" i="13" s="1"/>
  <c r="H27" i="11"/>
  <c r="K10" i="13" s="1"/>
  <c r="I27" i="11"/>
  <c r="K44" i="13" s="1"/>
  <c r="S27" i="11"/>
  <c r="W180" i="13" s="1"/>
  <c r="N27" i="11"/>
  <c r="W10" i="13" s="1"/>
  <c r="O27" i="11"/>
  <c r="W44" i="13" s="1"/>
  <c r="M27" i="11"/>
  <c r="K180" i="13" s="1"/>
  <c r="Q27" i="11"/>
  <c r="W112" i="13" s="1"/>
  <c r="R27" i="11"/>
  <c r="W146" i="13" s="1"/>
  <c r="K27" i="11"/>
  <c r="K112" i="13" s="1"/>
  <c r="L27" i="11"/>
  <c r="K146" i="13" s="1"/>
  <c r="J27" i="11"/>
  <c r="P31" i="11"/>
  <c r="W82" i="13" s="1"/>
  <c r="J31" i="11"/>
  <c r="K31" i="11"/>
  <c r="K116" i="13" s="1"/>
  <c r="L31" i="11"/>
  <c r="K150" i="13" s="1"/>
  <c r="Q31" i="11"/>
  <c r="W116" i="13" s="1"/>
  <c r="H31" i="11"/>
  <c r="K14" i="13" s="1"/>
  <c r="I31" i="11"/>
  <c r="K48" i="13" s="1"/>
  <c r="R31" i="11"/>
  <c r="W150" i="13" s="1"/>
  <c r="M31" i="11"/>
  <c r="K184" i="13" s="1"/>
  <c r="N31" i="11"/>
  <c r="W14" i="13" s="1"/>
  <c r="O31" i="11"/>
  <c r="W48" i="13" s="1"/>
  <c r="S31" i="11"/>
  <c r="W184" i="13" s="1"/>
  <c r="CQ165" i="103"/>
  <c r="CR164" i="103"/>
  <c r="CQ163" i="103"/>
  <c r="CQ162" i="103"/>
  <c r="CR161" i="103"/>
  <c r="CQ159" i="103"/>
  <c r="CQ157" i="103"/>
  <c r="CQ156" i="103"/>
  <c r="CR155" i="103"/>
  <c r="CR154" i="103"/>
  <c r="CR153" i="103"/>
  <c r="CR152" i="103"/>
  <c r="CR151" i="103"/>
  <c r="CQ150" i="103"/>
  <c r="CQ149" i="103"/>
  <c r="CR148" i="103"/>
  <c r="CQ147" i="103"/>
  <c r="AH129" i="23"/>
  <c r="AH156" i="23"/>
  <c r="CR146" i="103"/>
  <c r="CQ145" i="103"/>
  <c r="CR143" i="103"/>
  <c r="CR142" i="103"/>
  <c r="CR133" i="103"/>
  <c r="CQ132" i="103"/>
  <c r="CQ131" i="103"/>
  <c r="AH138" i="23"/>
  <c r="AH149" i="23"/>
  <c r="AH134" i="23"/>
  <c r="CR130" i="103"/>
  <c r="CQ129" i="103"/>
  <c r="CQ128" i="103"/>
  <c r="CQ127" i="103"/>
  <c r="CQ126" i="103"/>
  <c r="CR125" i="103"/>
  <c r="CR124" i="103"/>
  <c r="CQ123" i="103"/>
  <c r="CQ122" i="103"/>
  <c r="CQ121" i="103"/>
  <c r="CQ120" i="103"/>
  <c r="CQ119" i="103"/>
  <c r="CR118" i="103"/>
  <c r="CR117" i="103"/>
  <c r="CQ116" i="103"/>
  <c r="CR115" i="103"/>
  <c r="CR114" i="103"/>
  <c r="CQ113" i="103"/>
  <c r="CQ112" i="103"/>
  <c r="CR111" i="103"/>
  <c r="CR110" i="103"/>
  <c r="CQ109" i="103"/>
  <c r="CQ108" i="103"/>
  <c r="CQ107" i="103"/>
  <c r="CQ106" i="103"/>
  <c r="CQ105" i="103"/>
  <c r="CQ103" i="103"/>
  <c r="CR102" i="103"/>
  <c r="CQ101" i="103"/>
  <c r="C16" i="62"/>
  <c r="G16" i="62"/>
  <c r="H16" i="62" s="1"/>
  <c r="F16" i="62"/>
  <c r="I16" i="62"/>
  <c r="J16" i="62" s="1"/>
  <c r="D16" i="62"/>
  <c r="O16" i="62"/>
  <c r="M16" i="62"/>
  <c r="N16" i="62" s="1"/>
  <c r="K14" i="37"/>
  <c r="G14" i="37"/>
  <c r="M14" i="37"/>
  <c r="I14" i="37"/>
  <c r="L14" i="37"/>
  <c r="N14" i="37"/>
  <c r="O14" i="37"/>
  <c r="J14" i="37"/>
  <c r="F14" i="37"/>
  <c r="H14" i="37"/>
  <c r="P14" i="37"/>
  <c r="E15" i="37"/>
  <c r="E14" i="37" s="1"/>
  <c r="Q156" i="23"/>
  <c r="AG155" i="23"/>
  <c r="AH154" i="23"/>
  <c r="AH133" i="23"/>
  <c r="AH135" i="23"/>
  <c r="AH146" i="23"/>
  <c r="AM70" i="103"/>
  <c r="AH143" i="23"/>
  <c r="AH132" i="23"/>
  <c r="AH128" i="23"/>
  <c r="CQ100" i="103"/>
  <c r="T156" i="23"/>
  <c r="W156" i="23"/>
  <c r="Q155" i="23"/>
  <c r="P156" i="23"/>
  <c r="Y156" i="23"/>
  <c r="P155" i="23"/>
  <c r="W155" i="23"/>
  <c r="CQ99" i="103"/>
  <c r="T155" i="23"/>
  <c r="Y155" i="23"/>
  <c r="Q154" i="23"/>
  <c r="P154" i="23"/>
  <c r="CR98" i="103"/>
  <c r="W154" i="23"/>
  <c r="T154" i="23"/>
  <c r="Y154" i="23"/>
  <c r="CQ97" i="103"/>
  <c r="CQ96" i="103"/>
  <c r="CQ95" i="103"/>
  <c r="CQ94" i="103"/>
  <c r="CQ93" i="103"/>
  <c r="CQ91" i="103"/>
  <c r="CR90" i="103"/>
  <c r="CQ89" i="103"/>
  <c r="CR88" i="103"/>
  <c r="CQ87" i="103"/>
  <c r="CQ86" i="103"/>
  <c r="CQ85" i="103"/>
  <c r="CR82" i="103"/>
  <c r="CR81" i="103"/>
  <c r="CR80" i="103"/>
  <c r="CQ79" i="103"/>
  <c r="CQ78" i="103"/>
  <c r="CR77" i="103"/>
  <c r="N15" i="62"/>
  <c r="CQ76" i="103"/>
  <c r="CR75" i="103"/>
  <c r="CR74" i="103"/>
  <c r="CR73" i="103"/>
  <c r="CQ72" i="103"/>
  <c r="CQ71" i="103"/>
  <c r="CP70" i="103"/>
  <c r="CR70" i="103" s="1"/>
  <c r="CM70" i="103"/>
  <c r="CG70" i="103" s="1"/>
  <c r="Y153" i="23"/>
  <c r="CR69" i="103"/>
  <c r="CR68" i="103"/>
  <c r="Y151" i="23"/>
  <c r="Y152" i="23"/>
  <c r="Y150" i="23"/>
  <c r="CQ67" i="103"/>
  <c r="CR66" i="103"/>
  <c r="CR65" i="103"/>
  <c r="Y137" i="23"/>
  <c r="Y142" i="23"/>
  <c r="Y144" i="23"/>
  <c r="Y139" i="23"/>
  <c r="Y149" i="23"/>
  <c r="Y129" i="23"/>
  <c r="Y145" i="23"/>
  <c r="Y143" i="23"/>
  <c r="Y136" i="23"/>
  <c r="Y126" i="23"/>
  <c r="Y138" i="23"/>
  <c r="Y140" i="23"/>
  <c r="Y148" i="23"/>
  <c r="Y131" i="23"/>
  <c r="Y128" i="23"/>
  <c r="Y141" i="23"/>
  <c r="Y135" i="23"/>
  <c r="Y130" i="23"/>
  <c r="Y147" i="23"/>
  <c r="Y132" i="23"/>
  <c r="Y133" i="23"/>
  <c r="Y127" i="23"/>
  <c r="Y134" i="23"/>
  <c r="Y146" i="23"/>
  <c r="AH137" i="23"/>
  <c r="AH142" i="23"/>
  <c r="AH147" i="23"/>
  <c r="CR64" i="103"/>
  <c r="CQ62" i="103"/>
  <c r="CQ61" i="103"/>
  <c r="CQ60" i="103"/>
  <c r="CR59" i="103"/>
  <c r="CQ58" i="103"/>
  <c r="CR57" i="103"/>
  <c r="CQ56" i="103"/>
  <c r="CQ55" i="103"/>
  <c r="CQ53" i="103"/>
  <c r="CR52" i="103"/>
  <c r="CR51" i="103"/>
  <c r="CQ50" i="103"/>
  <c r="CR49" i="103"/>
  <c r="CR48" i="103"/>
  <c r="CQ47" i="103"/>
  <c r="BC378" i="103"/>
  <c r="CQ46" i="103"/>
  <c r="CQ45" i="103"/>
  <c r="CQ44" i="103"/>
  <c r="CR42" i="103"/>
  <c r="AH145" i="23"/>
  <c r="AH136" i="23"/>
  <c r="AH140" i="23"/>
  <c r="AH127" i="23"/>
  <c r="F41" i="103"/>
  <c r="E41" i="103"/>
  <c r="CQ40" i="103"/>
  <c r="F40" i="103"/>
  <c r="E40" i="103"/>
  <c r="F39" i="103"/>
  <c r="E39" i="103"/>
  <c r="F38" i="103"/>
  <c r="C38" i="103" s="1"/>
  <c r="BI38" i="103" s="1"/>
  <c r="E38" i="103"/>
  <c r="F37" i="103"/>
  <c r="C37" i="103" s="1"/>
  <c r="BI37" i="103" s="1"/>
  <c r="E37" i="103"/>
  <c r="CQ36" i="103"/>
  <c r="F36" i="103"/>
  <c r="C36" i="103" s="1"/>
  <c r="BJ36" i="103" s="1"/>
  <c r="E36" i="103"/>
  <c r="CQ34" i="103"/>
  <c r="CQ33" i="103"/>
  <c r="CQ32" i="103"/>
  <c r="CQ28" i="103"/>
  <c r="CR25" i="103"/>
  <c r="CQ24" i="103"/>
  <c r="CQ23" i="103"/>
  <c r="CQ16" i="103"/>
  <c r="M357" i="103"/>
  <c r="J357" i="103" s="1"/>
  <c r="O186" i="13" s="1"/>
  <c r="CQ13" i="103"/>
  <c r="F8" i="104"/>
  <c r="G8" i="104" s="1"/>
  <c r="AB373" i="103"/>
  <c r="M373" i="103"/>
  <c r="J373" i="103" s="1"/>
  <c r="O202" i="13" s="1"/>
  <c r="O39" i="68"/>
  <c r="O40" i="68" s="1"/>
  <c r="O49" i="68" s="1"/>
  <c r="M354" i="103"/>
  <c r="J354" i="103" s="1"/>
  <c r="O183" i="13" s="1"/>
  <c r="AB355" i="103"/>
  <c r="AB358" i="103"/>
  <c r="M355" i="103"/>
  <c r="J355" i="103" s="1"/>
  <c r="O184" i="13" s="1"/>
  <c r="AB353" i="103"/>
  <c r="AB354" i="103"/>
  <c r="M353" i="103"/>
  <c r="J353" i="103" s="1"/>
  <c r="O182" i="13" s="1"/>
  <c r="AB357" i="103"/>
  <c r="M358" i="103"/>
  <c r="J358" i="103" s="1"/>
  <c r="O187" i="13" s="1"/>
  <c r="CH349" i="103"/>
  <c r="CR375" i="103"/>
  <c r="CF375" i="103"/>
  <c r="M372" i="103"/>
  <c r="J372" i="103" s="1"/>
  <c r="O201" i="13" s="1"/>
  <c r="M374" i="103"/>
  <c r="J374" i="103" s="1"/>
  <c r="O203" i="13" s="1"/>
  <c r="AC375" i="58"/>
  <c r="M375" i="58" s="1"/>
  <c r="AB375" i="58"/>
  <c r="K375" i="58" s="1"/>
  <c r="AA375" i="58"/>
  <c r="J375" i="58" s="1"/>
  <c r="Z375" i="58"/>
  <c r="I375" i="58" s="1"/>
  <c r="M375" i="103"/>
  <c r="J375" i="103" s="1"/>
  <c r="L375" i="103"/>
  <c r="AB374" i="103"/>
  <c r="AB372" i="103"/>
  <c r="CR374" i="103"/>
  <c r="AB374" i="58"/>
  <c r="K374" i="58" s="1"/>
  <c r="AA374" i="58"/>
  <c r="J374" i="58" s="1"/>
  <c r="Z374" i="58"/>
  <c r="I374" i="58" s="1"/>
  <c r="AC374" i="58"/>
  <c r="M374" i="58" s="1"/>
  <c r="AC373" i="58"/>
  <c r="M373" i="58" s="1"/>
  <c r="AB373" i="58"/>
  <c r="K373" i="58" s="1"/>
  <c r="AA373" i="58"/>
  <c r="J373" i="58" s="1"/>
  <c r="Z373" i="58"/>
  <c r="I373" i="58" s="1"/>
  <c r="M371" i="103"/>
  <c r="J371" i="103" s="1"/>
  <c r="O200" i="13" s="1"/>
  <c r="CQ372" i="103"/>
  <c r="AB369" i="103"/>
  <c r="M369" i="103"/>
  <c r="J369" i="103" s="1"/>
  <c r="O198" i="13" s="1"/>
  <c r="AC372" i="58"/>
  <c r="M372" i="58" s="1"/>
  <c r="AB372" i="58"/>
  <c r="K372" i="58" s="1"/>
  <c r="Z372" i="58"/>
  <c r="I372" i="58" s="1"/>
  <c r="AA372" i="58"/>
  <c r="J372" i="58" s="1"/>
  <c r="AB371" i="103"/>
  <c r="AB370" i="103"/>
  <c r="AC371" i="58"/>
  <c r="M371" i="58" s="1"/>
  <c r="AA371" i="58"/>
  <c r="J371" i="58" s="1"/>
  <c r="Z371" i="58"/>
  <c r="I371" i="58" s="1"/>
  <c r="AB371" i="58"/>
  <c r="K371" i="58" s="1"/>
  <c r="M367" i="103"/>
  <c r="J367" i="103" s="1"/>
  <c r="O196" i="13" s="1"/>
  <c r="O199" i="13"/>
  <c r="CQ370" i="103"/>
  <c r="AB368" i="103"/>
  <c r="M368" i="103"/>
  <c r="J368" i="103" s="1"/>
  <c r="O197" i="13" s="1"/>
  <c r="Z370" i="58"/>
  <c r="I370" i="58" s="1"/>
  <c r="AC370" i="58"/>
  <c r="M370" i="58" s="1"/>
  <c r="AB370" i="58"/>
  <c r="K370" i="58" s="1"/>
  <c r="AA370" i="58"/>
  <c r="J370" i="58" s="1"/>
  <c r="AB367" i="103"/>
  <c r="CR369" i="103"/>
  <c r="AC369" i="58"/>
  <c r="M369" i="58" s="1"/>
  <c r="AB369" i="58"/>
  <c r="K369" i="58" s="1"/>
  <c r="Z369" i="58"/>
  <c r="I369" i="58" s="1"/>
  <c r="AA369" i="58"/>
  <c r="J369" i="58" s="1"/>
  <c r="M366" i="103"/>
  <c r="J366" i="103" s="1"/>
  <c r="O195" i="13" s="1"/>
  <c r="AB366" i="103"/>
  <c r="CR368" i="103"/>
  <c r="AB368" i="58"/>
  <c r="K368" i="58" s="1"/>
  <c r="AA368" i="58"/>
  <c r="J368" i="58" s="1"/>
  <c r="Z368" i="58"/>
  <c r="I368" i="58" s="1"/>
  <c r="AC368" i="58"/>
  <c r="M368" i="58" s="1"/>
  <c r="M364" i="103"/>
  <c r="J364" i="103" s="1"/>
  <c r="O193" i="13" s="1"/>
  <c r="AB365" i="103"/>
  <c r="M365" i="103"/>
  <c r="J365" i="103" s="1"/>
  <c r="O194" i="13" s="1"/>
  <c r="AB364" i="103"/>
  <c r="CQ367" i="103"/>
  <c r="AA367" i="58"/>
  <c r="J367" i="58" s="1"/>
  <c r="Z367" i="58"/>
  <c r="I367" i="58" s="1"/>
  <c r="AC367" i="58"/>
  <c r="M367" i="58" s="1"/>
  <c r="AB367" i="58"/>
  <c r="K367" i="58" s="1"/>
  <c r="CR366" i="103"/>
  <c r="AB366" i="58"/>
  <c r="K366" i="58" s="1"/>
  <c r="Z366" i="58"/>
  <c r="I366" i="58" s="1"/>
  <c r="AA366" i="58"/>
  <c r="J366" i="58" s="1"/>
  <c r="AC366" i="58"/>
  <c r="M366" i="58" s="1"/>
  <c r="M363" i="103"/>
  <c r="J363" i="103" s="1"/>
  <c r="O192" i="13" s="1"/>
  <c r="CQ365" i="103"/>
  <c r="AA365" i="58"/>
  <c r="J365" i="58" s="1"/>
  <c r="AC365" i="58"/>
  <c r="M365" i="58" s="1"/>
  <c r="AB365" i="58"/>
  <c r="K365" i="58" s="1"/>
  <c r="Z365" i="58"/>
  <c r="I365" i="58" s="1"/>
  <c r="CQ364" i="103"/>
  <c r="M362" i="103"/>
  <c r="J362" i="103" s="1"/>
  <c r="O191" i="13" s="1"/>
  <c r="AB363" i="103"/>
  <c r="AB362" i="103"/>
  <c r="AB364" i="58"/>
  <c r="K364" i="58" s="1"/>
  <c r="AA364" i="58"/>
  <c r="J364" i="58" s="1"/>
  <c r="AC364" i="58"/>
  <c r="M364" i="58" s="1"/>
  <c r="Z364" i="58"/>
  <c r="I364" i="58" s="1"/>
  <c r="CQ363" i="103"/>
  <c r="Z363" i="58"/>
  <c r="I363" i="58" s="1"/>
  <c r="AB363" i="58"/>
  <c r="K363" i="58" s="1"/>
  <c r="AA363" i="58"/>
  <c r="J363" i="58" s="1"/>
  <c r="AC363" i="58"/>
  <c r="M363" i="58" s="1"/>
  <c r="M360" i="103"/>
  <c r="J360" i="103" s="1"/>
  <c r="O189" i="13" s="1"/>
  <c r="M361" i="103"/>
  <c r="J361" i="103" s="1"/>
  <c r="O190" i="13" s="1"/>
  <c r="AB361" i="103"/>
  <c r="CQ362" i="103"/>
  <c r="AB360" i="103"/>
  <c r="AB359" i="103"/>
  <c r="M359" i="103"/>
  <c r="J359" i="103" s="1"/>
  <c r="O188" i="13" s="1"/>
  <c r="AA362" i="58"/>
  <c r="J362" i="58" s="1"/>
  <c r="Z362" i="58"/>
  <c r="I362" i="58" s="1"/>
  <c r="AB362" i="58"/>
  <c r="K362" i="58" s="1"/>
  <c r="AC362" i="58"/>
  <c r="M362" i="58" s="1"/>
  <c r="CQ361" i="103"/>
  <c r="AC361" i="58"/>
  <c r="M361" i="58" s="1"/>
  <c r="AA361" i="58"/>
  <c r="J361" i="58" s="1"/>
  <c r="Z361" i="58"/>
  <c r="I361" i="58" s="1"/>
  <c r="AB361" i="58"/>
  <c r="K361" i="58" s="1"/>
  <c r="M356" i="103"/>
  <c r="J356" i="103" s="1"/>
  <c r="O185" i="13" s="1"/>
  <c r="CQ360" i="103"/>
  <c r="AA360" i="58"/>
  <c r="J360" i="58" s="1"/>
  <c r="Z360" i="58"/>
  <c r="I360" i="58" s="1"/>
  <c r="AC360" i="58"/>
  <c r="M360" i="58" s="1"/>
  <c r="AB360" i="58"/>
  <c r="K360" i="58" s="1"/>
  <c r="CQ359" i="103"/>
  <c r="Z359" i="58"/>
  <c r="I359" i="58" s="1"/>
  <c r="AC359" i="58"/>
  <c r="M359" i="58" s="1"/>
  <c r="AB359" i="58"/>
  <c r="K359" i="58" s="1"/>
  <c r="AA359" i="58"/>
  <c r="J359" i="58" s="1"/>
  <c r="M351" i="103"/>
  <c r="J351" i="103" s="1"/>
  <c r="O180" i="13" s="1"/>
  <c r="AC358" i="58"/>
  <c r="M358" i="58" s="1"/>
  <c r="AA358" i="58"/>
  <c r="J358" i="58" s="1"/>
  <c r="AB358" i="58"/>
  <c r="K358" i="58" s="1"/>
  <c r="Z358" i="58"/>
  <c r="I358" i="58" s="1"/>
  <c r="AB356" i="103"/>
  <c r="AB357" i="58"/>
  <c r="K357" i="58" s="1"/>
  <c r="Z357" i="58"/>
  <c r="I357" i="58" s="1"/>
  <c r="AC357" i="58"/>
  <c r="M357" i="58" s="1"/>
  <c r="AA357" i="58"/>
  <c r="J357" i="58" s="1"/>
  <c r="CQ356" i="103"/>
  <c r="AA356" i="58"/>
  <c r="J356" i="58" s="1"/>
  <c r="AB356" i="58"/>
  <c r="K356" i="58" s="1"/>
  <c r="Z356" i="58"/>
  <c r="I356" i="58" s="1"/>
  <c r="AC356" i="58"/>
  <c r="M356" i="58" s="1"/>
  <c r="AB355" i="58"/>
  <c r="K355" i="58" s="1"/>
  <c r="Z355" i="58"/>
  <c r="I355" i="58" s="1"/>
  <c r="AC355" i="58"/>
  <c r="M355" i="58" s="1"/>
  <c r="AA355" i="58"/>
  <c r="J355" i="58" s="1"/>
  <c r="AC354" i="58"/>
  <c r="M354" i="58" s="1"/>
  <c r="AA354" i="58"/>
  <c r="J354" i="58" s="1"/>
  <c r="Z354" i="58"/>
  <c r="I354" i="58" s="1"/>
  <c r="AB354" i="58"/>
  <c r="K354" i="58" s="1"/>
  <c r="AB352" i="103"/>
  <c r="AB350" i="103"/>
  <c r="M352" i="103"/>
  <c r="J352" i="103" s="1"/>
  <c r="O181" i="13" s="1"/>
  <c r="AA353" i="58"/>
  <c r="J353" i="58" s="1"/>
  <c r="AC353" i="58"/>
  <c r="M353" i="58" s="1"/>
  <c r="AB353" i="58"/>
  <c r="K353" i="58" s="1"/>
  <c r="Z353" i="58"/>
  <c r="I353" i="58" s="1"/>
  <c r="M350" i="103"/>
  <c r="J350" i="103" s="1"/>
  <c r="O179" i="13" s="1"/>
  <c r="CR352" i="103"/>
  <c r="AB352" i="58"/>
  <c r="K352" i="58" s="1"/>
  <c r="AC352" i="58"/>
  <c r="M352" i="58" s="1"/>
  <c r="Z352" i="58"/>
  <c r="I352" i="58" s="1"/>
  <c r="AA352" i="58"/>
  <c r="J352" i="58" s="1"/>
  <c r="AB351" i="103"/>
  <c r="AB349" i="103"/>
  <c r="CQ351" i="103"/>
  <c r="AC351" i="58"/>
  <c r="M351" i="58" s="1"/>
  <c r="AB351" i="58"/>
  <c r="K351" i="58" s="1"/>
  <c r="Z351" i="58"/>
  <c r="I351" i="58" s="1"/>
  <c r="AA351" i="58"/>
  <c r="J351" i="58" s="1"/>
  <c r="M349" i="103"/>
  <c r="J349" i="103" s="1"/>
  <c r="O178" i="13" s="1"/>
  <c r="CR350" i="103"/>
  <c r="Z350" i="58"/>
  <c r="I350" i="58" s="1"/>
  <c r="AA350" i="58"/>
  <c r="J350" i="58" s="1"/>
  <c r="AB350" i="58"/>
  <c r="K350" i="58" s="1"/>
  <c r="AC350" i="58"/>
  <c r="M350" i="58" s="1"/>
  <c r="CQ349" i="103"/>
  <c r="AB348" i="103"/>
  <c r="M348" i="103"/>
  <c r="J348" i="103" s="1"/>
  <c r="O177" i="13" s="1"/>
  <c r="M346" i="103"/>
  <c r="J346" i="103" s="1"/>
  <c r="O175" i="13" s="1"/>
  <c r="Z349" i="58"/>
  <c r="I349" i="58" s="1"/>
  <c r="AA349" i="58"/>
  <c r="J349" i="58" s="1"/>
  <c r="AB349" i="58"/>
  <c r="K349" i="58" s="1"/>
  <c r="AC349" i="58"/>
  <c r="M349" i="58" s="1"/>
  <c r="AB346" i="103"/>
  <c r="CR348" i="103"/>
  <c r="Z348" i="58"/>
  <c r="I348" i="58" s="1"/>
  <c r="AC348" i="58"/>
  <c r="M348" i="58" s="1"/>
  <c r="AA348" i="58"/>
  <c r="J348" i="58" s="1"/>
  <c r="AB348" i="58"/>
  <c r="K348" i="58" s="1"/>
  <c r="AB345" i="103"/>
  <c r="M347" i="103"/>
  <c r="J347" i="103" s="1"/>
  <c r="O176" i="13" s="1"/>
  <c r="AB347" i="103"/>
  <c r="E387" i="103"/>
  <c r="CQ347" i="103"/>
  <c r="Z347" i="58"/>
  <c r="I347" i="58" s="1"/>
  <c r="AA347" i="58"/>
  <c r="J347" i="58" s="1"/>
  <c r="AC347" i="58"/>
  <c r="M347" i="58" s="1"/>
  <c r="AB347" i="58"/>
  <c r="K347" i="58" s="1"/>
  <c r="CR346" i="103"/>
  <c r="Z346" i="58"/>
  <c r="I346" i="58" s="1"/>
  <c r="AA346" i="58"/>
  <c r="J346" i="58" s="1"/>
  <c r="AB346" i="58"/>
  <c r="K346" i="58" s="1"/>
  <c r="AC346" i="58"/>
  <c r="M346" i="58" s="1"/>
  <c r="CQ345" i="103"/>
  <c r="AG141" i="23"/>
  <c r="AH152" i="23"/>
  <c r="CR344" i="103"/>
  <c r="AG130" i="23"/>
  <c r="AH126" i="23"/>
  <c r="Z344" i="58"/>
  <c r="I344" i="58" s="1"/>
  <c r="AA344" i="58"/>
  <c r="J344" i="58" s="1"/>
  <c r="AC344" i="58"/>
  <c r="M344" i="58" s="1"/>
  <c r="AB344" i="58"/>
  <c r="K344" i="58" s="1"/>
  <c r="M344" i="103"/>
  <c r="J344" i="103" s="1"/>
  <c r="L344" i="103"/>
  <c r="M343" i="103"/>
  <c r="J343" i="103" s="1"/>
  <c r="L343" i="103"/>
  <c r="Z343" i="58"/>
  <c r="I343" i="58" s="1"/>
  <c r="AC343" i="58"/>
  <c r="M343" i="58" s="1"/>
  <c r="AB343" i="58"/>
  <c r="K343" i="58" s="1"/>
  <c r="AA343" i="58"/>
  <c r="J343" i="58" s="1"/>
  <c r="CR342" i="103"/>
  <c r="M342" i="103"/>
  <c r="J342" i="103" s="1"/>
  <c r="L342" i="103"/>
  <c r="AA342" i="58"/>
  <c r="J342" i="58" s="1"/>
  <c r="AC342" i="58"/>
  <c r="M342" i="58" s="1"/>
  <c r="AB342" i="58"/>
  <c r="K342" i="58" s="1"/>
  <c r="Z342" i="58"/>
  <c r="I342" i="58" s="1"/>
  <c r="M341" i="103"/>
  <c r="J341" i="103" s="1"/>
  <c r="L341" i="103"/>
  <c r="AB341" i="58"/>
  <c r="K341" i="58" s="1"/>
  <c r="AC341" i="58"/>
  <c r="M341" i="58" s="1"/>
  <c r="Z341" i="58"/>
  <c r="I341" i="58" s="1"/>
  <c r="AA341" i="58"/>
  <c r="J341" i="58" s="1"/>
  <c r="CR340" i="103"/>
  <c r="M340" i="103"/>
  <c r="J340" i="103" s="1"/>
  <c r="L340" i="103"/>
  <c r="AC340" i="58"/>
  <c r="M340" i="58" s="1"/>
  <c r="AB340" i="58"/>
  <c r="K340" i="58" s="1"/>
  <c r="AA340" i="58"/>
  <c r="J340" i="58" s="1"/>
  <c r="Z340" i="58"/>
  <c r="I340" i="58" s="1"/>
  <c r="M339" i="103"/>
  <c r="J339" i="103" s="1"/>
  <c r="L339" i="103"/>
  <c r="AC339" i="58"/>
  <c r="M339" i="58" s="1"/>
  <c r="Z339" i="58"/>
  <c r="I339" i="58" s="1"/>
  <c r="AB339" i="58"/>
  <c r="K339" i="58" s="1"/>
  <c r="AA339" i="58"/>
  <c r="J339" i="58" s="1"/>
  <c r="Z338" i="58"/>
  <c r="I338" i="58" s="1"/>
  <c r="AB338" i="58"/>
  <c r="K338" i="58" s="1"/>
  <c r="AC338" i="58"/>
  <c r="M338" i="58" s="1"/>
  <c r="AA338" i="58"/>
  <c r="J338" i="58" s="1"/>
  <c r="M338" i="103"/>
  <c r="J338" i="103" s="1"/>
  <c r="L338" i="103"/>
  <c r="CQ337" i="103"/>
  <c r="AC337" i="58"/>
  <c r="M337" i="58" s="1"/>
  <c r="AB337" i="58"/>
  <c r="K337" i="58" s="1"/>
  <c r="AA337" i="58"/>
  <c r="J337" i="58" s="1"/>
  <c r="Z337" i="58"/>
  <c r="I337" i="58" s="1"/>
  <c r="M337" i="103"/>
  <c r="J337" i="103" s="1"/>
  <c r="L337" i="103"/>
  <c r="M336" i="103"/>
  <c r="J336" i="103" s="1"/>
  <c r="L336" i="103"/>
  <c r="AC336" i="58"/>
  <c r="M336" i="58" s="1"/>
  <c r="AB336" i="58"/>
  <c r="K336" i="58" s="1"/>
  <c r="AA336" i="58"/>
  <c r="J336" i="58" s="1"/>
  <c r="Z336" i="58"/>
  <c r="I336" i="58" s="1"/>
  <c r="CM335" i="103"/>
  <c r="CG335" i="103" s="1"/>
  <c r="CQ335" i="103"/>
  <c r="CK335" i="103"/>
  <c r="M335" i="103"/>
  <c r="J335" i="103" s="1"/>
  <c r="L335" i="103"/>
  <c r="AB335" i="58"/>
  <c r="K335" i="58" s="1"/>
  <c r="Z335" i="58"/>
  <c r="I335" i="58" s="1"/>
  <c r="AC335" i="58"/>
  <c r="M335" i="58" s="1"/>
  <c r="AA335" i="58"/>
  <c r="J335" i="58" s="1"/>
  <c r="CQ334" i="103"/>
  <c r="M334" i="103"/>
  <c r="J334" i="103" s="1"/>
  <c r="L334" i="103"/>
  <c r="AB334" i="103" s="1"/>
  <c r="AC334" i="58"/>
  <c r="M334" i="58" s="1"/>
  <c r="Z334" i="58"/>
  <c r="I334" i="58" s="1"/>
  <c r="AB334" i="58"/>
  <c r="K334" i="58" s="1"/>
  <c r="AA334" i="58"/>
  <c r="J334" i="58" s="1"/>
  <c r="CQ333" i="103"/>
  <c r="M333" i="103"/>
  <c r="J333" i="103" s="1"/>
  <c r="L333" i="103"/>
  <c r="AC333" i="58"/>
  <c r="M333" i="58" s="1"/>
  <c r="AB333" i="58"/>
  <c r="K333" i="58" s="1"/>
  <c r="Z333" i="58"/>
  <c r="I333" i="58" s="1"/>
  <c r="AA333" i="58"/>
  <c r="J333" i="58" s="1"/>
  <c r="CR332" i="103"/>
  <c r="M332" i="103"/>
  <c r="J332" i="103" s="1"/>
  <c r="L332" i="103"/>
  <c r="AA332" i="58"/>
  <c r="J332" i="58" s="1"/>
  <c r="Z332" i="58"/>
  <c r="I332" i="58" s="1"/>
  <c r="AC332" i="58"/>
  <c r="M332" i="58" s="1"/>
  <c r="AB332" i="58"/>
  <c r="K332" i="58" s="1"/>
  <c r="CR331" i="103"/>
  <c r="AA331" i="58"/>
  <c r="J331" i="58" s="1"/>
  <c r="AC331" i="58"/>
  <c r="M331" i="58" s="1"/>
  <c r="AB331" i="58"/>
  <c r="K331" i="58" s="1"/>
  <c r="Z331" i="58"/>
  <c r="I331" i="58" s="1"/>
  <c r="M331" i="103"/>
  <c r="J331" i="103" s="1"/>
  <c r="L331" i="103"/>
  <c r="CQ330" i="103"/>
  <c r="AB330" i="103"/>
  <c r="O155" i="13"/>
  <c r="Z330" i="58"/>
  <c r="I330" i="58" s="1"/>
  <c r="AB330" i="58"/>
  <c r="K330" i="58" s="1"/>
  <c r="AA330" i="58"/>
  <c r="J330" i="58" s="1"/>
  <c r="AC330" i="58"/>
  <c r="M330" i="58" s="1"/>
  <c r="CR329" i="103"/>
  <c r="AC329" i="58"/>
  <c r="M329" i="58" s="1"/>
  <c r="AB329" i="58"/>
  <c r="K329" i="58" s="1"/>
  <c r="AA329" i="58"/>
  <c r="J329" i="58" s="1"/>
  <c r="Z329" i="58"/>
  <c r="I329" i="58" s="1"/>
  <c r="M329" i="103"/>
  <c r="J329" i="103" s="1"/>
  <c r="L329" i="103"/>
  <c r="R12" i="62"/>
  <c r="S12" i="62" s="1"/>
  <c r="R14" i="62"/>
  <c r="S14" i="62" s="1"/>
  <c r="R15" i="62"/>
  <c r="S15" i="62" s="1"/>
  <c r="R13" i="62"/>
  <c r="S13" i="62" s="1"/>
  <c r="R16" i="62"/>
  <c r="S16" i="62" s="1"/>
  <c r="AH139" i="23"/>
  <c r="CQ328" i="103"/>
  <c r="CM328" i="103"/>
  <c r="CO328" i="103" s="1"/>
  <c r="AB328" i="58"/>
  <c r="K328" i="58" s="1"/>
  <c r="Z328" i="58"/>
  <c r="I328" i="58" s="1"/>
  <c r="AC328" i="58"/>
  <c r="M328" i="58" s="1"/>
  <c r="AA328" i="58"/>
  <c r="J328" i="58" s="1"/>
  <c r="M328" i="103"/>
  <c r="J328" i="103" s="1"/>
  <c r="L328" i="103"/>
  <c r="Q14" i="64"/>
  <c r="F12" i="104"/>
  <c r="G12" i="104" s="1"/>
  <c r="D20" i="104"/>
  <c r="F13" i="104"/>
  <c r="G13" i="104" s="1"/>
  <c r="D15" i="104"/>
  <c r="F15" i="104"/>
  <c r="F16" i="104"/>
  <c r="D13" i="104"/>
  <c r="D16" i="104"/>
  <c r="F14" i="104"/>
  <c r="D22" i="104"/>
  <c r="D14" i="104"/>
  <c r="D12" i="104"/>
  <c r="D19" i="104"/>
  <c r="D21" i="104"/>
  <c r="D9" i="17"/>
  <c r="AM337" i="103"/>
  <c r="AH148" i="23"/>
  <c r="AM339" i="103"/>
  <c r="AH150" i="23"/>
  <c r="AM340" i="103"/>
  <c r="AH151" i="23"/>
  <c r="AM342" i="103"/>
  <c r="AH153" i="23"/>
  <c r="BI86" i="103"/>
  <c r="BJ86" i="103"/>
  <c r="BI20" i="103"/>
  <c r="BJ20" i="103"/>
  <c r="BI261" i="103"/>
  <c r="BJ261" i="103"/>
  <c r="BI65" i="103"/>
  <c r="BJ65" i="103"/>
  <c r="BH388" i="103"/>
  <c r="BI102" i="103"/>
  <c r="BJ102" i="103"/>
  <c r="BI66" i="103"/>
  <c r="BJ66" i="103"/>
  <c r="BI226" i="103"/>
  <c r="BJ226" i="103"/>
  <c r="BI197" i="103"/>
  <c r="BJ197" i="103"/>
  <c r="AB327" i="58"/>
  <c r="K327" i="58" s="1"/>
  <c r="AC327" i="58"/>
  <c r="M327" i="58" s="1"/>
  <c r="Z327" i="58"/>
  <c r="I327" i="58" s="1"/>
  <c r="AA327" i="58"/>
  <c r="J327" i="58" s="1"/>
  <c r="M327" i="103"/>
  <c r="J327" i="103" s="1"/>
  <c r="L327" i="103"/>
  <c r="P399" i="67"/>
  <c r="AC326" i="58"/>
  <c r="M326" i="58" s="1"/>
  <c r="AA326" i="58"/>
  <c r="J326" i="58" s="1"/>
  <c r="AB326" i="58"/>
  <c r="K326" i="58" s="1"/>
  <c r="Z326" i="58"/>
  <c r="I326" i="58" s="1"/>
  <c r="M326" i="103"/>
  <c r="J326" i="103" s="1"/>
  <c r="L326" i="103"/>
  <c r="M325" i="103"/>
  <c r="J325" i="103" s="1"/>
  <c r="L325" i="103"/>
  <c r="AB325" i="58"/>
  <c r="K325" i="58" s="1"/>
  <c r="Z325" i="58"/>
  <c r="I325" i="58" s="1"/>
  <c r="AC325" i="58"/>
  <c r="M325" i="58" s="1"/>
  <c r="AA325" i="58"/>
  <c r="J325" i="58" s="1"/>
  <c r="Q133" i="23"/>
  <c r="M324" i="103"/>
  <c r="J324" i="103" s="1"/>
  <c r="L324" i="103"/>
  <c r="AC324" i="58"/>
  <c r="M324" i="58" s="1"/>
  <c r="AA324" i="58"/>
  <c r="J324" i="58" s="1"/>
  <c r="AB324" i="58"/>
  <c r="K324" i="58" s="1"/>
  <c r="Z324" i="58"/>
  <c r="I324" i="58" s="1"/>
  <c r="AB323" i="58"/>
  <c r="K323" i="58" s="1"/>
  <c r="AA323" i="58"/>
  <c r="J323" i="58" s="1"/>
  <c r="AC323" i="58"/>
  <c r="M323" i="58" s="1"/>
  <c r="Z323" i="58"/>
  <c r="I323" i="58" s="1"/>
  <c r="M323" i="103"/>
  <c r="J323" i="103" s="1"/>
  <c r="L323" i="103"/>
  <c r="AB322" i="58"/>
  <c r="K322" i="58" s="1"/>
  <c r="AC322" i="58"/>
  <c r="M322" i="58" s="1"/>
  <c r="Z322" i="58"/>
  <c r="I322" i="58" s="1"/>
  <c r="AA322" i="58"/>
  <c r="J322" i="58" s="1"/>
  <c r="M322" i="103"/>
  <c r="J322" i="103" s="1"/>
  <c r="L322" i="103"/>
  <c r="AC321" i="58"/>
  <c r="M321" i="58" s="1"/>
  <c r="AB321" i="58"/>
  <c r="K321" i="58" s="1"/>
  <c r="AA321" i="58"/>
  <c r="J321" i="58" s="1"/>
  <c r="Z321" i="58"/>
  <c r="I321" i="58" s="1"/>
  <c r="M321" i="103"/>
  <c r="J321" i="103" s="1"/>
  <c r="L321" i="103"/>
  <c r="Q144" i="23"/>
  <c r="Q143" i="23"/>
  <c r="M320" i="103"/>
  <c r="J320" i="103" s="1"/>
  <c r="L320" i="103"/>
  <c r="AC320" i="58"/>
  <c r="M320" i="58" s="1"/>
  <c r="Z320" i="58"/>
  <c r="I320" i="58" s="1"/>
  <c r="AA320" i="58"/>
  <c r="J320" i="58" s="1"/>
  <c r="AB320" i="58"/>
  <c r="K320" i="58" s="1"/>
  <c r="Q140" i="23"/>
  <c r="Q139" i="23"/>
  <c r="Q141" i="23"/>
  <c r="Q134" i="23"/>
  <c r="Q131" i="23"/>
  <c r="Q136" i="23"/>
  <c r="Q137" i="23"/>
  <c r="Q132" i="23"/>
  <c r="Q128" i="23"/>
  <c r="Q146" i="23"/>
  <c r="Q135" i="23"/>
  <c r="Q126" i="23"/>
  <c r="Q129" i="23"/>
  <c r="Q138" i="23"/>
  <c r="Q127" i="23"/>
  <c r="Q142" i="23"/>
  <c r="Q130" i="23"/>
  <c r="Q145" i="23"/>
  <c r="D169" i="23"/>
  <c r="F169" i="23"/>
  <c r="H169" i="23"/>
  <c r="J169" i="23"/>
  <c r="BD386" i="103"/>
  <c r="Z319" i="58"/>
  <c r="I319" i="58" s="1"/>
  <c r="AA319" i="58"/>
  <c r="J319" i="58" s="1"/>
  <c r="AB319" i="58"/>
  <c r="K319" i="58" s="1"/>
  <c r="AC319" i="58"/>
  <c r="M319" i="58" s="1"/>
  <c r="M319" i="103"/>
  <c r="J319" i="103" s="1"/>
  <c r="L319" i="103"/>
  <c r="Z318" i="58"/>
  <c r="I318" i="58" s="1"/>
  <c r="AA318" i="58"/>
  <c r="J318" i="58" s="1"/>
  <c r="AB318" i="58"/>
  <c r="K318" i="58" s="1"/>
  <c r="AC318" i="58"/>
  <c r="M318" i="58" s="1"/>
  <c r="M318" i="103"/>
  <c r="J318" i="103" s="1"/>
  <c r="L318" i="103"/>
  <c r="M317" i="103"/>
  <c r="J317" i="103" s="1"/>
  <c r="L317" i="103"/>
  <c r="AB317" i="58"/>
  <c r="K317" i="58" s="1"/>
  <c r="Z317" i="58"/>
  <c r="I317" i="58" s="1"/>
  <c r="AC317" i="58"/>
  <c r="M317" i="58" s="1"/>
  <c r="AA317" i="58"/>
  <c r="J317" i="58" s="1"/>
  <c r="M316" i="103"/>
  <c r="J316" i="103" s="1"/>
  <c r="L316" i="103"/>
  <c r="AC316" i="58"/>
  <c r="M316" i="58" s="1"/>
  <c r="Z316" i="58"/>
  <c r="I316" i="58" s="1"/>
  <c r="AA316" i="58"/>
  <c r="J316" i="58" s="1"/>
  <c r="AB316" i="58"/>
  <c r="K316" i="58" s="1"/>
  <c r="E386" i="103"/>
  <c r="CI285" i="103"/>
  <c r="CL285" i="103" s="1"/>
  <c r="AM301" i="103"/>
  <c r="AM300" i="103"/>
  <c r="CI297" i="103"/>
  <c r="CK297" i="103" s="1"/>
  <c r="CI308" i="103"/>
  <c r="CK308" i="103" s="1"/>
  <c r="AM288" i="103"/>
  <c r="AM312" i="103"/>
  <c r="CI298" i="103"/>
  <c r="CL298" i="103" s="1"/>
  <c r="AM291" i="103"/>
  <c r="AB315" i="103"/>
  <c r="AM296" i="103"/>
  <c r="AM311" i="103"/>
  <c r="CI299" i="103"/>
  <c r="CK299" i="103" s="1"/>
  <c r="B15" i="102"/>
  <c r="C15" i="102" s="1"/>
  <c r="B9" i="31"/>
  <c r="B43" i="31"/>
  <c r="A43" i="31" s="1"/>
  <c r="A8" i="31"/>
  <c r="AM289" i="103"/>
  <c r="CI288" i="103"/>
  <c r="CK288" i="103" s="1"/>
  <c r="CI289" i="103"/>
  <c r="CK289" i="103" s="1"/>
  <c r="AM314" i="103"/>
  <c r="CI314" i="103"/>
  <c r="CL314" i="103" s="1"/>
  <c r="AM313" i="103"/>
  <c r="CI313" i="103"/>
  <c r="CK313" i="103" s="1"/>
  <c r="AM302" i="103"/>
  <c r="CI302" i="103"/>
  <c r="CL302" i="103" s="1"/>
  <c r="CI295" i="103"/>
  <c r="CK295" i="103" s="1"/>
  <c r="CI291" i="103"/>
  <c r="CK291" i="103" s="1"/>
  <c r="Q152" i="23"/>
  <c r="AM284" i="103"/>
  <c r="AM292" i="103"/>
  <c r="CI284" i="103"/>
  <c r="CK284" i="103" s="1"/>
  <c r="CI292" i="103"/>
  <c r="CK292" i="103" s="1"/>
  <c r="W129" i="23"/>
  <c r="W135" i="23"/>
  <c r="W127" i="23"/>
  <c r="W134" i="23"/>
  <c r="W132" i="23"/>
  <c r="W137" i="23"/>
  <c r="W143" i="23"/>
  <c r="W141" i="23"/>
  <c r="CI286" i="103"/>
  <c r="CK286" i="103" s="1"/>
  <c r="CI305" i="103"/>
  <c r="CK305" i="103" s="1"/>
  <c r="W136" i="23"/>
  <c r="AM305" i="103"/>
  <c r="W131" i="23"/>
  <c r="W146" i="23"/>
  <c r="W128" i="23"/>
  <c r="W142" i="23"/>
  <c r="W139" i="23"/>
  <c r="W145" i="23"/>
  <c r="AM290" i="103"/>
  <c r="W144" i="23"/>
  <c r="AM286" i="103"/>
  <c r="W138" i="23"/>
  <c r="W133" i="23"/>
  <c r="W152" i="23"/>
  <c r="W140" i="23"/>
  <c r="W130" i="23"/>
  <c r="Z314" i="58"/>
  <c r="I314" i="58" s="1"/>
  <c r="AA314" i="58"/>
  <c r="J314" i="58" s="1"/>
  <c r="AB314" i="58"/>
  <c r="K314" i="58" s="1"/>
  <c r="AC314" i="58"/>
  <c r="M314" i="58" s="1"/>
  <c r="M314" i="103"/>
  <c r="J314" i="103" s="1"/>
  <c r="L314" i="103"/>
  <c r="M313" i="103"/>
  <c r="J313" i="103" s="1"/>
  <c r="L313" i="103"/>
  <c r="Z313" i="58"/>
  <c r="I313" i="58" s="1"/>
  <c r="AC313" i="58"/>
  <c r="M313" i="58" s="1"/>
  <c r="AB313" i="58"/>
  <c r="K313" i="58" s="1"/>
  <c r="AA313" i="58"/>
  <c r="J313" i="58" s="1"/>
  <c r="Q153" i="23"/>
  <c r="M312" i="103"/>
  <c r="J312" i="103" s="1"/>
  <c r="L312" i="103"/>
  <c r="AA312" i="58"/>
  <c r="J312" i="58" s="1"/>
  <c r="AB312" i="58"/>
  <c r="K312" i="58" s="1"/>
  <c r="Z312" i="58"/>
  <c r="I312" i="58" s="1"/>
  <c r="AC312" i="58"/>
  <c r="M312" i="58" s="1"/>
  <c r="W153" i="23"/>
  <c r="AC311" i="58"/>
  <c r="M311" i="58" s="1"/>
  <c r="AB311" i="58"/>
  <c r="K311" i="58" s="1"/>
  <c r="Z311" i="58"/>
  <c r="I311" i="58" s="1"/>
  <c r="AA311" i="58"/>
  <c r="J311" i="58" s="1"/>
  <c r="M311" i="103"/>
  <c r="J311" i="103" s="1"/>
  <c r="L311" i="103"/>
  <c r="AC310" i="58"/>
  <c r="M310" i="58" s="1"/>
  <c r="AB310" i="58"/>
  <c r="K310" i="58" s="1"/>
  <c r="AA310" i="58"/>
  <c r="J310" i="58" s="1"/>
  <c r="Z310" i="58"/>
  <c r="I310" i="58" s="1"/>
  <c r="M310" i="103"/>
  <c r="J310" i="103" s="1"/>
  <c r="L310" i="103"/>
  <c r="Q151" i="23"/>
  <c r="CR309" i="103"/>
  <c r="CM309" i="103"/>
  <c r="CO309" i="103" s="1"/>
  <c r="W151" i="23"/>
  <c r="M309" i="103"/>
  <c r="J309" i="103" s="1"/>
  <c r="L309" i="103"/>
  <c r="AB309" i="58"/>
  <c r="K309" i="58" s="1"/>
  <c r="AA309" i="58"/>
  <c r="J309" i="58" s="1"/>
  <c r="Z309" i="58"/>
  <c r="I309" i="58" s="1"/>
  <c r="AC309" i="58"/>
  <c r="M309" i="58" s="1"/>
  <c r="Q150" i="23"/>
  <c r="W150" i="23"/>
  <c r="Q166" i="67"/>
  <c r="Q134" i="67"/>
  <c r="BU384" i="103"/>
  <c r="Q387" i="67"/>
  <c r="Q355" i="67"/>
  <c r="I42" i="30"/>
  <c r="Q103" i="67"/>
  <c r="Q229" i="67"/>
  <c r="Q71" i="67"/>
  <c r="Q42" i="67"/>
  <c r="Q292" i="67"/>
  <c r="Q324" i="67"/>
  <c r="BT384" i="103"/>
  <c r="BT388" i="103" s="1"/>
  <c r="Q261" i="67"/>
  <c r="Q197" i="67"/>
  <c r="C160" i="23"/>
  <c r="E167" i="23"/>
  <c r="L137" i="67"/>
  <c r="J335" i="22"/>
  <c r="W169" i="23"/>
  <c r="J205" i="22"/>
  <c r="E161" i="23"/>
  <c r="AM169" i="103"/>
  <c r="AM144" i="103"/>
  <c r="J94" i="22"/>
  <c r="J60" i="22"/>
  <c r="J343" i="22"/>
  <c r="G169" i="23"/>
  <c r="L179" i="67"/>
  <c r="E164" i="23"/>
  <c r="J113" i="22"/>
  <c r="X163" i="23"/>
  <c r="J109" i="22"/>
  <c r="AQ370" i="22"/>
  <c r="X166" i="23"/>
  <c r="J200" i="22"/>
  <c r="J166" i="22"/>
  <c r="J364" i="22"/>
  <c r="J257" i="22"/>
  <c r="AQ268" i="22"/>
  <c r="Y170" i="23"/>
  <c r="L170" i="67"/>
  <c r="J163" i="23"/>
  <c r="J122" i="22"/>
  <c r="J92" i="22"/>
  <c r="D160" i="23"/>
  <c r="L271" i="67"/>
  <c r="J268" i="22"/>
  <c r="L270" i="67"/>
  <c r="L232" i="67"/>
  <c r="F163" i="23"/>
  <c r="J141" i="22"/>
  <c r="J111" i="22"/>
  <c r="AQ14" i="22"/>
  <c r="AD169" i="23"/>
  <c r="AH98" i="23" s="1"/>
  <c r="L278" i="67"/>
  <c r="L241" i="67"/>
  <c r="L231" i="67"/>
  <c r="J228" i="22"/>
  <c r="AD165" i="23"/>
  <c r="AH94" i="23" s="1"/>
  <c r="T164" i="23"/>
  <c r="L265" i="67"/>
  <c r="J188" i="22"/>
  <c r="E165" i="23"/>
  <c r="L145" i="67"/>
  <c r="L87" i="67"/>
  <c r="L175" i="67"/>
  <c r="L118" i="67"/>
  <c r="AE165" i="22"/>
  <c r="CH56" i="103"/>
  <c r="R355" i="58"/>
  <c r="L355" i="58" s="1"/>
  <c r="R326" i="58"/>
  <c r="L326" i="58" s="1"/>
  <c r="AE192" i="22"/>
  <c r="AE36" i="22"/>
  <c r="AE234" i="22"/>
  <c r="AE134" i="22"/>
  <c r="F168" i="23"/>
  <c r="G170" i="23"/>
  <c r="AQ283" i="22"/>
  <c r="L266" i="67"/>
  <c r="AQ236" i="22"/>
  <c r="AQ46" i="22"/>
  <c r="H170" i="23"/>
  <c r="J50" i="22"/>
  <c r="AQ234" i="22"/>
  <c r="H165" i="23"/>
  <c r="AC163" i="23"/>
  <c r="AG92" i="23" s="1"/>
  <c r="L155" i="67"/>
  <c r="AQ257" i="22"/>
  <c r="J202" i="22"/>
  <c r="G161" i="23"/>
  <c r="L65" i="67"/>
  <c r="J40" i="22"/>
  <c r="F160" i="23"/>
  <c r="J241" i="22"/>
  <c r="AK259" i="22"/>
  <c r="J88" i="22"/>
  <c r="J78" i="22"/>
  <c r="J339" i="22"/>
  <c r="J234" i="22"/>
  <c r="V161" i="23"/>
  <c r="L289" i="67"/>
  <c r="AD168" i="23"/>
  <c r="AH97" i="23" s="1"/>
  <c r="AM129" i="103"/>
  <c r="J161" i="22"/>
  <c r="J256" i="22"/>
  <c r="L287" i="67"/>
  <c r="T161" i="23"/>
  <c r="J327" i="22"/>
  <c r="J162" i="22"/>
  <c r="V160" i="23"/>
  <c r="X167" i="23"/>
  <c r="J266" i="22"/>
  <c r="AM178" i="103"/>
  <c r="J82" i="22"/>
  <c r="L14" i="67"/>
  <c r="L27" i="67"/>
  <c r="AM81" i="103"/>
  <c r="L221" i="67"/>
  <c r="L139" i="67"/>
  <c r="L199" i="67"/>
  <c r="R329" i="58"/>
  <c r="L329" i="58" s="1"/>
  <c r="AE33" i="22"/>
  <c r="AE83" i="22"/>
  <c r="AE120" i="22"/>
  <c r="AE23" i="22"/>
  <c r="AQ128" i="22"/>
  <c r="AQ373" i="22"/>
  <c r="J276" i="22"/>
  <c r="J105" i="22"/>
  <c r="AQ60" i="22"/>
  <c r="L20" i="67"/>
  <c r="AQ17" i="22"/>
  <c r="G167" i="23"/>
  <c r="E169" i="23"/>
  <c r="C169" i="23"/>
  <c r="I166" i="23"/>
  <c r="J106" i="22"/>
  <c r="J39" i="22"/>
  <c r="J329" i="22"/>
  <c r="J243" i="22"/>
  <c r="I165" i="23"/>
  <c r="J87" i="22"/>
  <c r="J363" i="22"/>
  <c r="L248" i="67"/>
  <c r="J237" i="22"/>
  <c r="J133" i="22"/>
  <c r="J101" i="22"/>
  <c r="AM25" i="103"/>
  <c r="E166" i="23"/>
  <c r="J195" i="22"/>
  <c r="L85" i="67"/>
  <c r="J37" i="22"/>
  <c r="J167" i="22"/>
  <c r="J145" i="22"/>
  <c r="J23" i="22"/>
  <c r="W167" i="23"/>
  <c r="J180" i="22"/>
  <c r="J127" i="22"/>
  <c r="AD162" i="23"/>
  <c r="AH91" i="23" s="1"/>
  <c r="J45" i="22"/>
  <c r="AK273" i="22"/>
  <c r="J250" i="22"/>
  <c r="J258" i="22"/>
  <c r="AM176" i="103"/>
  <c r="T165" i="23"/>
  <c r="J63" i="22"/>
  <c r="AM69" i="103"/>
  <c r="L126" i="67"/>
  <c r="L171" i="67"/>
  <c r="L15" i="67"/>
  <c r="L226" i="67"/>
  <c r="CH346" i="103"/>
  <c r="AE24" i="22"/>
  <c r="AE40" i="22"/>
  <c r="R364" i="58"/>
  <c r="L364" i="58" s="1"/>
  <c r="AE55" i="22"/>
  <c r="R17" i="58"/>
  <c r="L17" i="58" s="1"/>
  <c r="CH51" i="103"/>
  <c r="R347" i="58"/>
  <c r="L347" i="58" s="1"/>
  <c r="R31" i="58"/>
  <c r="L31" i="58" s="1"/>
  <c r="AE35" i="22"/>
  <c r="AE167" i="22"/>
  <c r="J160" i="23"/>
  <c r="J328" i="22"/>
  <c r="AQ265" i="22"/>
  <c r="C165" i="23"/>
  <c r="J120" i="22"/>
  <c r="U160" i="23"/>
  <c r="J240" i="22"/>
  <c r="F162" i="23"/>
  <c r="AQ49" i="22"/>
  <c r="L55" i="67"/>
  <c r="T170" i="23"/>
  <c r="AQ260" i="22"/>
  <c r="AC162" i="23"/>
  <c r="AG91" i="23" s="1"/>
  <c r="AM90" i="103"/>
  <c r="J376" i="22"/>
  <c r="W166" i="23"/>
  <c r="J149" i="22"/>
  <c r="J161" i="23"/>
  <c r="J17" i="22"/>
  <c r="J148" i="22"/>
  <c r="J62" i="22"/>
  <c r="AQ40" i="22"/>
  <c r="J54" i="22"/>
  <c r="J203" i="22"/>
  <c r="I161" i="23"/>
  <c r="L23" i="67"/>
  <c r="J356" i="22"/>
  <c r="X162" i="23"/>
  <c r="L34" i="67"/>
  <c r="AD167" i="23"/>
  <c r="AH96" i="23" s="1"/>
  <c r="J139" i="22"/>
  <c r="J110" i="22"/>
  <c r="J100" i="22"/>
  <c r="AK261" i="22"/>
  <c r="J283" i="22"/>
  <c r="J267" i="22"/>
  <c r="J130" i="22"/>
  <c r="L158" i="67"/>
  <c r="C161" i="23"/>
  <c r="V169" i="23"/>
  <c r="J131" i="22"/>
  <c r="J24" i="22"/>
  <c r="J360" i="22"/>
  <c r="L268" i="67"/>
  <c r="L196" i="67"/>
  <c r="J219" i="22"/>
  <c r="J176" i="22"/>
  <c r="L86" i="67"/>
  <c r="J46" i="22"/>
  <c r="L84" i="67"/>
  <c r="L67" i="67"/>
  <c r="L105" i="67"/>
  <c r="L245" i="67"/>
  <c r="L58" i="67"/>
  <c r="AE169" i="22"/>
  <c r="AE107" i="22"/>
  <c r="AE21" i="22"/>
  <c r="AE30" i="22"/>
  <c r="R49" i="58"/>
  <c r="L49" i="58" s="1"/>
  <c r="D168" i="23"/>
  <c r="AD160" i="23"/>
  <c r="AH89" i="23" s="1"/>
  <c r="J351" i="22"/>
  <c r="AQ284" i="22"/>
  <c r="J229" i="22"/>
  <c r="AC165" i="23"/>
  <c r="AG94" i="23" s="1"/>
  <c r="AQ30" i="22"/>
  <c r="U170" i="23"/>
  <c r="AQ281" i="22"/>
  <c r="L52" i="67"/>
  <c r="J242" i="22"/>
  <c r="J277" i="22"/>
  <c r="G164" i="23"/>
  <c r="J117" i="22"/>
  <c r="L282" i="67"/>
  <c r="X165" i="23"/>
  <c r="H164" i="23"/>
  <c r="J93" i="22"/>
  <c r="J107" i="22"/>
  <c r="AC170" i="23"/>
  <c r="AG99" i="23" s="1"/>
  <c r="T169" i="23"/>
  <c r="L222" i="67"/>
  <c r="J194" i="22"/>
  <c r="Y163" i="23"/>
  <c r="AQ89" i="22"/>
  <c r="L19" i="67"/>
  <c r="AK268" i="22"/>
  <c r="J126" i="22"/>
  <c r="J85" i="22"/>
  <c r="L76" i="67"/>
  <c r="J362" i="22"/>
  <c r="J233" i="22"/>
  <c r="U163" i="23"/>
  <c r="I164" i="23"/>
  <c r="W161" i="23"/>
  <c r="AC161" i="23"/>
  <c r="AG90" i="23" s="1"/>
  <c r="J347" i="22"/>
  <c r="I163" i="23"/>
  <c r="J162" i="23"/>
  <c r="J368" i="22"/>
  <c r="J119" i="22"/>
  <c r="L128" i="67"/>
  <c r="J248" i="22"/>
  <c r="J263" i="22"/>
  <c r="L228" i="67"/>
  <c r="J232" i="22"/>
  <c r="J184" i="22"/>
  <c r="J137" i="22"/>
  <c r="L82" i="67"/>
  <c r="L219" i="67"/>
  <c r="L40" i="67"/>
  <c r="L209" i="67"/>
  <c r="L51" i="67"/>
  <c r="L217" i="67"/>
  <c r="Y161" i="23"/>
  <c r="L202" i="67"/>
  <c r="L77" i="67"/>
  <c r="AE178" i="22"/>
  <c r="AE187" i="22"/>
  <c r="R323" i="58"/>
  <c r="L323" i="58" s="1"/>
  <c r="R369" i="58"/>
  <c r="L369" i="58" s="1"/>
  <c r="AE75" i="22"/>
  <c r="AE208" i="22"/>
  <c r="J273" i="22"/>
  <c r="J274" i="22"/>
  <c r="AQ158" i="22"/>
  <c r="AQ140" i="22"/>
  <c r="AQ137" i="22"/>
  <c r="G166" i="23"/>
  <c r="J197" i="22"/>
  <c r="AM150" i="103"/>
  <c r="D162" i="23"/>
  <c r="J41" i="22"/>
  <c r="J334" i="22"/>
  <c r="J317" i="22"/>
  <c r="Y167" i="23"/>
  <c r="W165" i="23"/>
  <c r="E163" i="23"/>
  <c r="J13" i="22"/>
  <c r="J198" i="22"/>
  <c r="L32" i="67"/>
  <c r="J330" i="22"/>
  <c r="AC166" i="23"/>
  <c r="AG95" i="23" s="1"/>
  <c r="AM179" i="103"/>
  <c r="L185" i="67"/>
  <c r="Y164" i="23"/>
  <c r="J103" i="22"/>
  <c r="E162" i="23"/>
  <c r="L122" i="67"/>
  <c r="J66" i="22"/>
  <c r="H160" i="23"/>
  <c r="J42" i="22"/>
  <c r="J254" i="22"/>
  <c r="J225" i="22"/>
  <c r="J183" i="22"/>
  <c r="W164" i="23"/>
  <c r="J57" i="22"/>
  <c r="J340" i="22"/>
  <c r="AM250" i="103"/>
  <c r="J160" i="22"/>
  <c r="J156" i="22"/>
  <c r="J86" i="22"/>
  <c r="J68" i="22"/>
  <c r="AK258" i="22"/>
  <c r="J211" i="22"/>
  <c r="J75" i="22"/>
  <c r="J35" i="22"/>
  <c r="AQ365" i="22"/>
  <c r="L280" i="67"/>
  <c r="J271" i="22"/>
  <c r="L218" i="67"/>
  <c r="J168" i="22"/>
  <c r="J115" i="22"/>
  <c r="J353" i="22"/>
  <c r="AQ270" i="22"/>
  <c r="AM247" i="103"/>
  <c r="L182" i="67"/>
  <c r="J147" i="22"/>
  <c r="J64" i="22"/>
  <c r="L238" i="67"/>
  <c r="L144" i="67"/>
  <c r="L47" i="67"/>
  <c r="L177" i="67"/>
  <c r="AE242" i="22"/>
  <c r="CH334" i="103"/>
  <c r="AE84" i="22"/>
  <c r="AE220" i="22"/>
  <c r="G163" i="23"/>
  <c r="J96" i="22"/>
  <c r="AQ321" i="22"/>
  <c r="J157" i="22"/>
  <c r="AQ331" i="22"/>
  <c r="U166" i="23"/>
  <c r="AQ220" i="22"/>
  <c r="D164" i="23"/>
  <c r="J371" i="22"/>
  <c r="I170" i="23"/>
  <c r="L249" i="67"/>
  <c r="U165" i="23"/>
  <c r="J22" i="22"/>
  <c r="J29" i="22"/>
  <c r="J325" i="22"/>
  <c r="V167" i="23"/>
  <c r="J186" i="22"/>
  <c r="J80" i="22"/>
  <c r="J221" i="22"/>
  <c r="J190" i="22"/>
  <c r="W163" i="23"/>
  <c r="L57" i="67"/>
  <c r="AQ90" i="22"/>
  <c r="X170" i="23"/>
  <c r="L276" i="67"/>
  <c r="J140" i="22"/>
  <c r="J21" i="22"/>
  <c r="J44" i="22"/>
  <c r="J369" i="22"/>
  <c r="AM249" i="103"/>
  <c r="J218" i="22"/>
  <c r="J104" i="22"/>
  <c r="L106" i="67"/>
  <c r="J47" i="22"/>
  <c r="J370" i="22"/>
  <c r="J264" i="22"/>
  <c r="J146" i="22"/>
  <c r="J253" i="22"/>
  <c r="L233" i="67"/>
  <c r="J36" i="22"/>
  <c r="J345" i="22"/>
  <c r="J318" i="22"/>
  <c r="U162" i="23"/>
  <c r="L119" i="67"/>
  <c r="AB167" i="23"/>
  <c r="J201" i="22"/>
  <c r="J164" i="22"/>
  <c r="L73" i="67"/>
  <c r="L115" i="67"/>
  <c r="W162" i="23"/>
  <c r="L80" i="67"/>
  <c r="L214" i="67"/>
  <c r="L50" i="67"/>
  <c r="L75" i="67"/>
  <c r="AE243" i="22"/>
  <c r="CH110" i="103"/>
  <c r="AE240" i="22"/>
  <c r="AQ363" i="22"/>
  <c r="J260" i="22"/>
  <c r="J259" i="22"/>
  <c r="AD161" i="23"/>
  <c r="AH90" i="23" s="1"/>
  <c r="X169" i="23"/>
  <c r="L48" i="67"/>
  <c r="AQ256" i="22"/>
  <c r="L125" i="67"/>
  <c r="AQ237" i="22"/>
  <c r="J159" i="22"/>
  <c r="J375" i="22"/>
  <c r="AQ318" i="22"/>
  <c r="AK274" i="22"/>
  <c r="AM76" i="103"/>
  <c r="C170" i="23"/>
  <c r="AQ277" i="22"/>
  <c r="U167" i="23"/>
  <c r="J217" i="22"/>
  <c r="J182" i="22"/>
  <c r="J69" i="22"/>
  <c r="J53" i="22"/>
  <c r="Y165" i="23"/>
  <c r="J154" i="22"/>
  <c r="J114" i="22"/>
  <c r="L113" i="67"/>
  <c r="J56" i="22"/>
  <c r="J25" i="22"/>
  <c r="J51" i="22"/>
  <c r="L38" i="67"/>
  <c r="J354" i="22"/>
  <c r="AK282" i="22"/>
  <c r="AM187" i="103"/>
  <c r="L164" i="67"/>
  <c r="L146" i="67"/>
  <c r="F161" i="23"/>
  <c r="J372" i="22"/>
  <c r="X164" i="23"/>
  <c r="J98" i="22"/>
  <c r="L63" i="67"/>
  <c r="L253" i="67"/>
  <c r="Y166" i="23"/>
  <c r="V162" i="23"/>
  <c r="C162" i="23"/>
  <c r="T160" i="23"/>
  <c r="J19" i="22"/>
  <c r="J361" i="22"/>
  <c r="J212" i="22"/>
  <c r="J226" i="22"/>
  <c r="J172" i="22"/>
  <c r="I162" i="23"/>
  <c r="J73" i="22"/>
  <c r="L207" i="67"/>
  <c r="L162" i="67"/>
  <c r="L150" i="67"/>
  <c r="AE213" i="22"/>
  <c r="R370" i="58"/>
  <c r="L370" i="58" s="1"/>
  <c r="H161" i="23"/>
  <c r="R165" i="58"/>
  <c r="L165" i="58" s="1"/>
  <c r="I160" i="23"/>
  <c r="AQ354" i="22"/>
  <c r="AQ101" i="22"/>
  <c r="X161" i="23"/>
  <c r="J282" i="22"/>
  <c r="J270" i="22"/>
  <c r="AQ274" i="22"/>
  <c r="Y162" i="23"/>
  <c r="AQ252" i="22"/>
  <c r="AM167" i="103"/>
  <c r="AG131" i="23" s="1"/>
  <c r="AQ169" i="22"/>
  <c r="T162" i="23"/>
  <c r="J206" i="22"/>
  <c r="J30" i="22"/>
  <c r="J358" i="22"/>
  <c r="T166" i="23"/>
  <c r="J134" i="22"/>
  <c r="AM67" i="103"/>
  <c r="L235" i="67"/>
  <c r="J210" i="22"/>
  <c r="L94" i="67"/>
  <c r="J348" i="22"/>
  <c r="I167" i="23"/>
  <c r="AK266" i="22"/>
  <c r="J108" i="22"/>
  <c r="J236" i="22"/>
  <c r="J207" i="22"/>
  <c r="J171" i="22"/>
  <c r="V163" i="23"/>
  <c r="J191" i="22"/>
  <c r="J187" i="22"/>
  <c r="J59" i="22"/>
  <c r="AK279" i="22"/>
  <c r="J251" i="22"/>
  <c r="J222" i="22"/>
  <c r="L133" i="67"/>
  <c r="L88" i="67"/>
  <c r="L28" i="67"/>
  <c r="H162" i="23"/>
  <c r="L109" i="67"/>
  <c r="L204" i="67"/>
  <c r="L224" i="67"/>
  <c r="L131" i="67"/>
  <c r="L251" i="67"/>
  <c r="CH316" i="103"/>
  <c r="CF316" i="103" s="1"/>
  <c r="AE216" i="22"/>
  <c r="CH331" i="103"/>
  <c r="AE87" i="22"/>
  <c r="AE61" i="22"/>
  <c r="R365" i="58"/>
  <c r="L365" i="58" s="1"/>
  <c r="AE98" i="22"/>
  <c r="AE152" i="22"/>
  <c r="H168" i="23"/>
  <c r="J170" i="23"/>
  <c r="J227" i="22"/>
  <c r="C163" i="23"/>
  <c r="J27" i="22"/>
  <c r="J31" i="22"/>
  <c r="V170" i="23"/>
  <c r="AQ297" i="22"/>
  <c r="AC168" i="23"/>
  <c r="AG97" i="23" s="1"/>
  <c r="J352" i="22"/>
  <c r="G165" i="23"/>
  <c r="AQ146" i="22"/>
  <c r="AQ114" i="22"/>
  <c r="AQ233" i="22"/>
  <c r="AD163" i="23"/>
  <c r="AH92" i="23" s="1"/>
  <c r="B61" i="13"/>
  <c r="J34" i="22"/>
  <c r="J174" i="22"/>
  <c r="J125" i="22"/>
  <c r="J121" i="22"/>
  <c r="L99" i="67"/>
  <c r="U161" i="23"/>
  <c r="J55" i="22"/>
  <c r="AQ272" i="22"/>
  <c r="L210" i="67"/>
  <c r="J178" i="22"/>
  <c r="V164" i="23"/>
  <c r="T167" i="23"/>
  <c r="J150" i="22"/>
  <c r="J129" i="22"/>
  <c r="J33" i="22"/>
  <c r="J32" i="22"/>
  <c r="L273" i="67"/>
  <c r="J238" i="22"/>
  <c r="J214" i="22"/>
  <c r="J135" i="22"/>
  <c r="J16" i="22"/>
  <c r="L286" i="67"/>
  <c r="L255" i="67"/>
  <c r="L191" i="67"/>
  <c r="J99" i="22"/>
  <c r="W170" i="23"/>
  <c r="U169" i="23"/>
  <c r="J333" i="22"/>
  <c r="L274" i="67"/>
  <c r="J235" i="22"/>
  <c r="J215" i="22"/>
  <c r="C164" i="23"/>
  <c r="AM98" i="103"/>
  <c r="J123" i="22"/>
  <c r="L26" i="67"/>
  <c r="J28" i="22"/>
  <c r="J230" i="22"/>
  <c r="J38" i="22"/>
  <c r="Y169" i="23"/>
  <c r="L252" i="67"/>
  <c r="L216" i="67"/>
  <c r="J97" i="22"/>
  <c r="L62" i="67"/>
  <c r="L121" i="67"/>
  <c r="L44" i="67"/>
  <c r="L180" i="67"/>
  <c r="L66" i="67"/>
  <c r="L107" i="67"/>
  <c r="L212" i="67"/>
  <c r="CH244" i="103"/>
  <c r="CJ244" i="103" s="1"/>
  <c r="AE27" i="22"/>
  <c r="R349" i="58"/>
  <c r="L349" i="58" s="1"/>
  <c r="AE175" i="22"/>
  <c r="AE28" i="22"/>
  <c r="AE90" i="22"/>
  <c r="AQ345" i="22"/>
  <c r="AD166" i="23"/>
  <c r="AH95" i="23" s="1"/>
  <c r="AM79" i="103"/>
  <c r="J245" i="22"/>
  <c r="J72" i="22"/>
  <c r="J49" i="22"/>
  <c r="C167" i="23"/>
  <c r="C166" i="23"/>
  <c r="J173" i="22"/>
  <c r="J244" i="22"/>
  <c r="J220" i="22"/>
  <c r="L45" i="67"/>
  <c r="J350" i="22"/>
  <c r="G162" i="23"/>
  <c r="AM24" i="103"/>
  <c r="J341" i="22"/>
  <c r="AK271" i="22"/>
  <c r="J239" i="22"/>
  <c r="AM253" i="103"/>
  <c r="AC167" i="23"/>
  <c r="AG96" i="23" s="1"/>
  <c r="L237" i="67"/>
  <c r="J170" i="22"/>
  <c r="L95" i="67"/>
  <c r="J52" i="22"/>
  <c r="AQ339" i="22"/>
  <c r="J321" i="22"/>
  <c r="J20" i="22"/>
  <c r="J374" i="22"/>
  <c r="J349" i="22"/>
  <c r="U164" i="23"/>
  <c r="AC164" i="23"/>
  <c r="AG93" i="23" s="1"/>
  <c r="J118" i="22"/>
  <c r="J76" i="22"/>
  <c r="AQ366" i="22"/>
  <c r="J326" i="22"/>
  <c r="AK257" i="22"/>
  <c r="J231" i="22"/>
  <c r="L246" i="67"/>
  <c r="J338" i="22"/>
  <c r="J355" i="22"/>
  <c r="I169" i="23"/>
  <c r="AK276" i="22"/>
  <c r="L206" i="67"/>
  <c r="W160" i="23"/>
  <c r="Y160" i="23"/>
  <c r="J208" i="22"/>
  <c r="H163" i="23"/>
  <c r="J89" i="22"/>
  <c r="L157" i="67"/>
  <c r="L33" i="67"/>
  <c r="L234" i="67"/>
  <c r="L108" i="67"/>
  <c r="L153" i="67"/>
  <c r="L169" i="67"/>
  <c r="L101" i="67"/>
  <c r="CH103" i="103"/>
  <c r="AE184" i="22"/>
  <c r="AE14" i="22"/>
  <c r="R33" i="58"/>
  <c r="L33" i="58" s="1"/>
  <c r="AE252" i="22"/>
  <c r="J168" i="23"/>
  <c r="AC160" i="23"/>
  <c r="AG89" i="23" s="1"/>
  <c r="AM37" i="103"/>
  <c r="J279" i="22"/>
  <c r="F170" i="23"/>
  <c r="AQ262" i="22"/>
  <c r="AM209" i="103"/>
  <c r="L188" i="67"/>
  <c r="J177" i="22"/>
  <c r="J95" i="22"/>
  <c r="E170" i="23"/>
  <c r="AQ208" i="22"/>
  <c r="L110" i="67"/>
  <c r="AQ342" i="22"/>
  <c r="L285" i="67"/>
  <c r="V166" i="23"/>
  <c r="D161" i="23"/>
  <c r="J252" i="22"/>
  <c r="J144" i="22"/>
  <c r="AD170" i="23"/>
  <c r="AH99" i="23" s="1"/>
  <c r="AK256" i="22"/>
  <c r="J155" i="22"/>
  <c r="X160" i="23"/>
  <c r="J280" i="22"/>
  <c r="AK260" i="22"/>
  <c r="J249" i="22"/>
  <c r="AM199" i="103"/>
  <c r="AQ230" i="22"/>
  <c r="J164" i="23"/>
  <c r="J67" i="22"/>
  <c r="AK263" i="22"/>
  <c r="AM124" i="103"/>
  <c r="J58" i="22"/>
  <c r="E160" i="23"/>
  <c r="G160" i="23"/>
  <c r="J48" i="22"/>
  <c r="J373" i="22"/>
  <c r="J322" i="22"/>
  <c r="J323" i="22"/>
  <c r="J179" i="22"/>
  <c r="J175" i="22"/>
  <c r="AD164" i="23"/>
  <c r="AH93" i="23" s="1"/>
  <c r="L152" i="67"/>
  <c r="J77" i="22"/>
  <c r="AC169" i="23"/>
  <c r="AG98" i="23" s="1"/>
  <c r="L283" i="67"/>
  <c r="J204" i="22"/>
  <c r="L176" i="67"/>
  <c r="F164" i="23"/>
  <c r="J84" i="22"/>
  <c r="L35" i="67"/>
  <c r="J336" i="22"/>
  <c r="V165" i="23"/>
  <c r="J192" i="22"/>
  <c r="J152" i="22"/>
  <c r="T163" i="23"/>
  <c r="D170" i="23"/>
  <c r="J261" i="22"/>
  <c r="J151" i="22"/>
  <c r="D163" i="23"/>
  <c r="J15" i="22"/>
  <c r="AQ56" i="22"/>
  <c r="L200" i="67"/>
  <c r="L244" i="67"/>
  <c r="L163" i="67"/>
  <c r="L18" i="67"/>
  <c r="L178" i="67"/>
  <c r="AE93" i="22"/>
  <c r="AE227" i="22"/>
  <c r="CH42" i="103"/>
  <c r="AE128" i="22"/>
  <c r="AE193" i="22"/>
  <c r="R338" i="58"/>
  <c r="L338" i="58" s="1"/>
  <c r="AB308" i="58"/>
  <c r="K308" i="58" s="1"/>
  <c r="AA308" i="58"/>
  <c r="J308" i="58" s="1"/>
  <c r="Z308" i="58"/>
  <c r="I308" i="58" s="1"/>
  <c r="AC308" i="58"/>
  <c r="M308" i="58" s="1"/>
  <c r="M308" i="103"/>
  <c r="J308" i="103" s="1"/>
  <c r="L308" i="103"/>
  <c r="Q149" i="23"/>
  <c r="W149" i="23"/>
  <c r="Q148" i="23"/>
  <c r="M307" i="103"/>
  <c r="J307" i="103" s="1"/>
  <c r="L307" i="103"/>
  <c r="AB307" i="58"/>
  <c r="K307" i="58" s="1"/>
  <c r="AA307" i="58"/>
  <c r="J307" i="58" s="1"/>
  <c r="Z307" i="58"/>
  <c r="I307" i="58" s="1"/>
  <c r="AC307" i="58"/>
  <c r="M307" i="58" s="1"/>
  <c r="W148" i="23"/>
  <c r="AC306" i="58"/>
  <c r="M306" i="58" s="1"/>
  <c r="AB306" i="58"/>
  <c r="K306" i="58" s="1"/>
  <c r="AA306" i="58"/>
  <c r="J306" i="58" s="1"/>
  <c r="Z306" i="58"/>
  <c r="I306" i="58" s="1"/>
  <c r="M306" i="103"/>
  <c r="J306" i="103" s="1"/>
  <c r="L306" i="103"/>
  <c r="B17" i="62"/>
  <c r="W147" i="23"/>
  <c r="Z305" i="58"/>
  <c r="I305" i="58" s="1"/>
  <c r="AC305" i="58"/>
  <c r="M305" i="58" s="1"/>
  <c r="AB305" i="58"/>
  <c r="K305" i="58" s="1"/>
  <c r="AA305" i="58"/>
  <c r="J305" i="58" s="1"/>
  <c r="M305" i="103"/>
  <c r="J305" i="103" s="1"/>
  <c r="L305" i="103"/>
  <c r="Q147" i="23"/>
  <c r="N14" i="62"/>
  <c r="F42" i="30"/>
  <c r="G42" i="30"/>
  <c r="E42" i="30"/>
  <c r="C42" i="30"/>
  <c r="BD385" i="103"/>
  <c r="N13" i="62"/>
  <c r="N11" i="64"/>
  <c r="N14" i="64"/>
  <c r="N12" i="64"/>
  <c r="CL227" i="103"/>
  <c r="CL33" i="103"/>
  <c r="CL61" i="103"/>
  <c r="CL346" i="103"/>
  <c r="CR96" i="103"/>
  <c r="CL198" i="103"/>
  <c r="CL43" i="103"/>
  <c r="CR34" i="103"/>
  <c r="CL319" i="103"/>
  <c r="CL175" i="103"/>
  <c r="CL78" i="103"/>
  <c r="CL196" i="103"/>
  <c r="CR44" i="103"/>
  <c r="CL348" i="103"/>
  <c r="CL75" i="103"/>
  <c r="CR198" i="103"/>
  <c r="CR281" i="103"/>
  <c r="CH97" i="103"/>
  <c r="CR335" i="103"/>
  <c r="CL173" i="103"/>
  <c r="CR158" i="103"/>
  <c r="AA221" i="103"/>
  <c r="AA207" i="103"/>
  <c r="CR121" i="103"/>
  <c r="CR71" i="103"/>
  <c r="CR229" i="103"/>
  <c r="CL153" i="103"/>
  <c r="CR190" i="103"/>
  <c r="CL244" i="103"/>
  <c r="CL131" i="103"/>
  <c r="CR40" i="103"/>
  <c r="CL324" i="103"/>
  <c r="CO63" i="103"/>
  <c r="CG63" i="103"/>
  <c r="CR184" i="103"/>
  <c r="CR259" i="103"/>
  <c r="CR325" i="103"/>
  <c r="CL85" i="103"/>
  <c r="CR248" i="103"/>
  <c r="CL312" i="103"/>
  <c r="AA326" i="103"/>
  <c r="AA305" i="103"/>
  <c r="AA187" i="103"/>
  <c r="CR192" i="103"/>
  <c r="CL105" i="103"/>
  <c r="CR101" i="103"/>
  <c r="AA140" i="103"/>
  <c r="CL370" i="103"/>
  <c r="AA114" i="103"/>
  <c r="CL326" i="103"/>
  <c r="CL228" i="103"/>
  <c r="AE104" i="22"/>
  <c r="G160" i="58"/>
  <c r="CR295" i="103"/>
  <c r="CH29" i="103"/>
  <c r="CL279" i="103"/>
  <c r="CL164" i="103"/>
  <c r="AA151" i="103"/>
  <c r="CL270" i="103"/>
  <c r="CR86" i="103"/>
  <c r="AA87" i="103"/>
  <c r="CR163" i="103"/>
  <c r="AA37" i="103"/>
  <c r="AA354" i="103"/>
  <c r="CR168" i="103"/>
  <c r="CL192" i="103"/>
  <c r="AA22" i="103"/>
  <c r="CR156" i="103"/>
  <c r="AA18" i="103"/>
  <c r="AA81" i="103"/>
  <c r="CR18" i="103"/>
  <c r="CL241" i="103"/>
  <c r="AA249" i="103"/>
  <c r="CR360" i="103"/>
  <c r="CR109" i="103"/>
  <c r="AA307" i="103"/>
  <c r="CL28" i="103"/>
  <c r="AA43" i="103"/>
  <c r="CH251" i="103"/>
  <c r="CF251" i="103" s="1"/>
  <c r="R251" i="58"/>
  <c r="L251" i="58" s="1"/>
  <c r="R29" i="58"/>
  <c r="L29" i="58" s="1"/>
  <c r="AA214" i="103"/>
  <c r="CR323" i="103"/>
  <c r="CL86" i="103"/>
  <c r="R186" i="58"/>
  <c r="L186" i="58" s="1"/>
  <c r="CR23" i="103"/>
  <c r="CO102" i="103"/>
  <c r="CG102" i="103"/>
  <c r="CL65" i="103"/>
  <c r="CL180" i="103"/>
  <c r="CL160" i="103"/>
  <c r="CL50" i="103"/>
  <c r="CL119" i="103"/>
  <c r="CL107" i="103"/>
  <c r="CR311" i="103"/>
  <c r="AA209" i="103"/>
  <c r="AA102" i="103"/>
  <c r="AA160" i="103"/>
  <c r="AA85" i="103"/>
  <c r="AA263" i="103"/>
  <c r="CR179" i="103"/>
  <c r="G76" i="58"/>
  <c r="CR199" i="103"/>
  <c r="CR201" i="103"/>
  <c r="AA27" i="103"/>
  <c r="AA240" i="103"/>
  <c r="CR45" i="103"/>
  <c r="CL135" i="103"/>
  <c r="CL18" i="103"/>
  <c r="CR243" i="103"/>
  <c r="CL334" i="103"/>
  <c r="CR210" i="103"/>
  <c r="CL213" i="103"/>
  <c r="CL215" i="103"/>
  <c r="CL272" i="103"/>
  <c r="AA158" i="103"/>
  <c r="CL82" i="103"/>
  <c r="AA146" i="103"/>
  <c r="CR209" i="103"/>
  <c r="AA324" i="103"/>
  <c r="AA348" i="103"/>
  <c r="CH192" i="103"/>
  <c r="CJ192" i="103" s="1"/>
  <c r="CL44" i="103"/>
  <c r="CL142" i="103"/>
  <c r="CL191" i="103"/>
  <c r="AA117" i="103"/>
  <c r="CR55" i="103"/>
  <c r="G299" i="58"/>
  <c r="AA255" i="103"/>
  <c r="CL177" i="103"/>
  <c r="AA270" i="103"/>
  <c r="G148" i="58"/>
  <c r="AA179" i="103"/>
  <c r="CL323" i="103"/>
  <c r="CL172" i="103"/>
  <c r="CR213" i="103"/>
  <c r="CR60" i="103"/>
  <c r="AA49" i="103"/>
  <c r="CL46" i="103"/>
  <c r="R192" i="58"/>
  <c r="L192" i="58" s="1"/>
  <c r="AA118" i="103"/>
  <c r="AA154" i="103"/>
  <c r="CR127" i="103"/>
  <c r="CL23" i="103"/>
  <c r="AA24" i="103"/>
  <c r="CL159" i="103"/>
  <c r="G11" i="53"/>
  <c r="J11" i="53" s="1"/>
  <c r="CL49" i="103"/>
  <c r="CR108" i="103"/>
  <c r="AA171" i="103"/>
  <c r="CR310" i="103"/>
  <c r="CR241" i="103"/>
  <c r="AA211" i="103"/>
  <c r="CG85" i="103"/>
  <c r="CR194" i="103"/>
  <c r="CO83" i="103"/>
  <c r="CG83" i="103"/>
  <c r="AA225" i="103"/>
  <c r="CL84" i="103"/>
  <c r="CL125" i="103"/>
  <c r="CG57" i="103"/>
  <c r="R298" i="58"/>
  <c r="L298" i="58" s="1"/>
  <c r="CG255" i="103"/>
  <c r="CL103" i="103"/>
  <c r="CR221" i="103"/>
  <c r="CR333" i="103"/>
  <c r="CL27" i="103"/>
  <c r="G164" i="58"/>
  <c r="CL206" i="103"/>
  <c r="CH338" i="103"/>
  <c r="AA136" i="103"/>
  <c r="CL222" i="103"/>
  <c r="AA183" i="103"/>
  <c r="CR275" i="103"/>
  <c r="CH323" i="103"/>
  <c r="CJ323" i="103" s="1"/>
  <c r="AA262" i="103"/>
  <c r="CL99" i="103"/>
  <c r="CO44" i="103"/>
  <c r="CG44" i="103"/>
  <c r="CO71" i="103"/>
  <c r="CG71" i="103"/>
  <c r="CH186" i="103"/>
  <c r="CJ186" i="103" s="1"/>
  <c r="CR122" i="103"/>
  <c r="CR304" i="103"/>
  <c r="CL216" i="103"/>
  <c r="CO45" i="103"/>
  <c r="CG45" i="103"/>
  <c r="CO343" i="103"/>
  <c r="CG343" i="103"/>
  <c r="CO93" i="103"/>
  <c r="CG93" i="103"/>
  <c r="CO187" i="103"/>
  <c r="CG187" i="103"/>
  <c r="AE50" i="22"/>
  <c r="AA238" i="103"/>
  <c r="CR278" i="103"/>
  <c r="CH177" i="103"/>
  <c r="CJ177" i="103" s="1"/>
  <c r="R177" i="58"/>
  <c r="L177" i="58" s="1"/>
  <c r="CL350" i="103"/>
  <c r="CH369" i="103"/>
  <c r="CH166" i="103"/>
  <c r="CJ166" i="103" s="1"/>
  <c r="R166" i="58"/>
  <c r="L166" i="58" s="1"/>
  <c r="CR36" i="103"/>
  <c r="CH106" i="103"/>
  <c r="CH20" i="103"/>
  <c r="R106" i="58"/>
  <c r="L106" i="58" s="1"/>
  <c r="R20" i="58"/>
  <c r="L20" i="58" s="1"/>
  <c r="CH49" i="103"/>
  <c r="CG371" i="103"/>
  <c r="G173" i="58"/>
  <c r="AA350" i="103"/>
  <c r="AA310" i="103"/>
  <c r="AA362" i="103"/>
  <c r="AA329" i="103"/>
  <c r="CR106" i="103"/>
  <c r="R346" i="58"/>
  <c r="L346" i="58" s="1"/>
  <c r="CR336" i="103"/>
  <c r="CL336" i="103"/>
  <c r="AA84" i="103"/>
  <c r="AA288" i="103"/>
  <c r="AA205" i="103"/>
  <c r="CL140" i="103"/>
  <c r="CG180" i="103"/>
  <c r="CG323" i="103"/>
  <c r="AA218" i="103"/>
  <c r="CG161" i="103"/>
  <c r="AA247" i="103"/>
  <c r="CH39" i="103"/>
  <c r="AA35" i="103"/>
  <c r="AA62" i="103"/>
  <c r="CO152" i="103"/>
  <c r="CG152" i="103"/>
  <c r="CR147" i="103"/>
  <c r="AA50" i="103"/>
  <c r="CO299" i="103"/>
  <c r="CG299" i="103"/>
  <c r="CO125" i="103"/>
  <c r="CG125" i="103"/>
  <c r="CO61" i="103"/>
  <c r="CG61" i="103"/>
  <c r="CR263" i="103"/>
  <c r="G239" i="58"/>
  <c r="CL20" i="103"/>
  <c r="AA309" i="103"/>
  <c r="G287" i="58"/>
  <c r="AA257" i="103"/>
  <c r="AA36" i="103"/>
  <c r="CG169" i="103"/>
  <c r="CR242" i="103"/>
  <c r="CH119" i="103"/>
  <c r="R119" i="58"/>
  <c r="L119" i="58" s="1"/>
  <c r="G368" i="58"/>
  <c r="CR289" i="103"/>
  <c r="CH239" i="103"/>
  <c r="CF239" i="103" s="1"/>
  <c r="R51" i="58"/>
  <c r="L51" i="58" s="1"/>
  <c r="R239" i="58"/>
  <c r="L239" i="58" s="1"/>
  <c r="CH22" i="103"/>
  <c r="AE52" i="22"/>
  <c r="G125" i="58"/>
  <c r="R22" i="58"/>
  <c r="L22" i="58" s="1"/>
  <c r="CR67" i="103"/>
  <c r="G213" i="58"/>
  <c r="CR334" i="103"/>
  <c r="CR328" i="103"/>
  <c r="CR43" i="103"/>
  <c r="CL101" i="103"/>
  <c r="CL242" i="103"/>
  <c r="AA332" i="103"/>
  <c r="AA30" i="103"/>
  <c r="CL375" i="103"/>
  <c r="AA363" i="103"/>
  <c r="CL193" i="103"/>
  <c r="AE245" i="22"/>
  <c r="AA300" i="103"/>
  <c r="CL325" i="103"/>
  <c r="CR119" i="103"/>
  <c r="AE111" i="22"/>
  <c r="G229" i="58"/>
  <c r="C42" i="13"/>
  <c r="AA360" i="103"/>
  <c r="AA233" i="103"/>
  <c r="CL218" i="103"/>
  <c r="CL57" i="103"/>
  <c r="AA16" i="103"/>
  <c r="CL118" i="103"/>
  <c r="R212" i="58"/>
  <c r="L212" i="58" s="1"/>
  <c r="CO313" i="103"/>
  <c r="CG313" i="103"/>
  <c r="CO182" i="103"/>
  <c r="CG182" i="103"/>
  <c r="CH326" i="103"/>
  <c r="R42" i="58"/>
  <c r="L42" i="58" s="1"/>
  <c r="AE43" i="22"/>
  <c r="CH364" i="103"/>
  <c r="CH35" i="103"/>
  <c r="CO78" i="103"/>
  <c r="CG78" i="103"/>
  <c r="CO149" i="103"/>
  <c r="CG149" i="103"/>
  <c r="CO155" i="103"/>
  <c r="CG155" i="103"/>
  <c r="CO184" i="103"/>
  <c r="CG184" i="103"/>
  <c r="CO365" i="103"/>
  <c r="CG365" i="103"/>
  <c r="CO358" i="103"/>
  <c r="CG358" i="103"/>
  <c r="CO356" i="103"/>
  <c r="CG356" i="103"/>
  <c r="CO158" i="103"/>
  <c r="CG158" i="103"/>
  <c r="CO52" i="103"/>
  <c r="CG52" i="103"/>
  <c r="CL47" i="103"/>
  <c r="G37" i="58"/>
  <c r="CR261" i="103"/>
  <c r="CL166" i="103"/>
  <c r="CG310" i="103"/>
  <c r="CL212" i="103"/>
  <c r="CH298" i="103"/>
  <c r="CJ298" i="103" s="1"/>
  <c r="CR84" i="103"/>
  <c r="AE34" i="22"/>
  <c r="CR177" i="103"/>
  <c r="AA191" i="103"/>
  <c r="CL19" i="103"/>
  <c r="CL268" i="103"/>
  <c r="AA352" i="103"/>
  <c r="CR174" i="103"/>
  <c r="CG94" i="103"/>
  <c r="R39" i="58"/>
  <c r="L39" i="58" s="1"/>
  <c r="CG260" i="103"/>
  <c r="AA346" i="103"/>
  <c r="CG280" i="103"/>
  <c r="AA369" i="103"/>
  <c r="CH183" i="103"/>
  <c r="R35" i="58"/>
  <c r="L35" i="58" s="1"/>
  <c r="CH89" i="103"/>
  <c r="AE57" i="22"/>
  <c r="CR347" i="103"/>
  <c r="CR140" i="103"/>
  <c r="CR170" i="103"/>
  <c r="AA40" i="103"/>
  <c r="R183" i="58"/>
  <c r="L183" i="58" s="1"/>
  <c r="CH13" i="103"/>
  <c r="R89" i="58"/>
  <c r="L89" i="58" s="1"/>
  <c r="CH54" i="103"/>
  <c r="C112" i="13"/>
  <c r="AA19" i="103"/>
  <c r="G252" i="58"/>
  <c r="AA292" i="103"/>
  <c r="R13" i="58"/>
  <c r="L13" i="58" s="1"/>
  <c r="CH226" i="103"/>
  <c r="CH127" i="103"/>
  <c r="R54" i="58"/>
  <c r="L54" i="58" s="1"/>
  <c r="CH174" i="103"/>
  <c r="R226" i="58"/>
  <c r="L226" i="58" s="1"/>
  <c r="R127" i="58"/>
  <c r="L127" i="58" s="1"/>
  <c r="CH27" i="103"/>
  <c r="CH355" i="103"/>
  <c r="AA147" i="103"/>
  <c r="CR47" i="103"/>
  <c r="R174" i="58"/>
  <c r="L174" i="58" s="1"/>
  <c r="R27" i="58"/>
  <c r="L27" i="58" s="1"/>
  <c r="CH23" i="103"/>
  <c r="AA57" i="103"/>
  <c r="CR258" i="103"/>
  <c r="CR28" i="103"/>
  <c r="CH191" i="103"/>
  <c r="CJ191" i="103" s="1"/>
  <c r="R23" i="58"/>
  <c r="L23" i="58" s="1"/>
  <c r="CR207" i="103"/>
  <c r="CG109" i="103"/>
  <c r="R191" i="58"/>
  <c r="L191" i="58" s="1"/>
  <c r="CH33" i="103"/>
  <c r="G237" i="58"/>
  <c r="CR185" i="103"/>
  <c r="G168" i="58"/>
  <c r="CR87" i="103"/>
  <c r="G181" i="58"/>
  <c r="G74" i="58"/>
  <c r="CR320" i="103"/>
  <c r="AA51" i="103"/>
  <c r="CG47" i="103"/>
  <c r="AA33" i="103"/>
  <c r="CG175" i="103"/>
  <c r="CG82" i="103"/>
  <c r="CR58" i="103"/>
  <c r="CL329" i="103"/>
  <c r="AA266" i="103"/>
  <c r="R215" i="58"/>
  <c r="L215" i="58" s="1"/>
  <c r="AA165" i="103"/>
  <c r="CR150" i="103"/>
  <c r="AA109" i="103"/>
  <c r="CG163" i="103"/>
  <c r="CG117" i="103"/>
  <c r="CR107" i="103"/>
  <c r="CR354" i="103"/>
  <c r="CL349" i="103"/>
  <c r="AA253" i="103"/>
  <c r="CR145" i="103"/>
  <c r="CG363" i="103"/>
  <c r="CG264" i="103"/>
  <c r="CL148" i="103"/>
  <c r="CO88" i="103"/>
  <c r="CG88" i="103"/>
  <c r="CO64" i="103"/>
  <c r="CG64" i="103"/>
  <c r="CO142" i="103"/>
  <c r="CG142" i="103"/>
  <c r="CO162" i="103"/>
  <c r="CG162" i="103"/>
  <c r="CO129" i="103"/>
  <c r="CG129" i="103"/>
  <c r="CO73" i="103"/>
  <c r="CG73" i="103"/>
  <c r="CR100" i="103"/>
  <c r="AE166" i="22"/>
  <c r="CK269" i="103"/>
  <c r="AA265" i="103"/>
  <c r="CH215" i="103"/>
  <c r="CJ215" i="103" s="1"/>
  <c r="R331" i="58"/>
  <c r="L331" i="58" s="1"/>
  <c r="G265" i="58"/>
  <c r="CR129" i="103"/>
  <c r="CH92" i="103"/>
  <c r="C44" i="13"/>
  <c r="AA325" i="103"/>
  <c r="CR306" i="103"/>
  <c r="G361" i="58"/>
  <c r="CR126" i="103"/>
  <c r="AA267" i="103"/>
  <c r="R92" i="58"/>
  <c r="L92" i="58" s="1"/>
  <c r="CG300" i="103"/>
  <c r="CG360" i="103"/>
  <c r="CL322" i="103"/>
  <c r="CR204" i="103"/>
  <c r="CR227" i="103"/>
  <c r="AA76" i="103"/>
  <c r="CR317" i="103"/>
  <c r="AA334" i="103"/>
  <c r="CL106" i="103"/>
  <c r="CL93" i="103"/>
  <c r="G232" i="58"/>
  <c r="CG304" i="103"/>
  <c r="CR349" i="103"/>
  <c r="CL231" i="103"/>
  <c r="CL133" i="103"/>
  <c r="CR292" i="103"/>
  <c r="CG144" i="103"/>
  <c r="C113" i="13"/>
  <c r="CL71" i="103"/>
  <c r="CL183" i="103"/>
  <c r="AA94" i="103"/>
  <c r="AA129" i="103"/>
  <c r="G169" i="58"/>
  <c r="CR244" i="103"/>
  <c r="G166" i="58"/>
  <c r="CH165" i="103"/>
  <c r="CR24" i="103"/>
  <c r="CG317" i="103"/>
  <c r="CH17" i="103"/>
  <c r="AE18" i="22"/>
  <c r="CO357" i="103"/>
  <c r="CG357" i="103"/>
  <c r="AA31" i="103"/>
  <c r="CR167" i="103"/>
  <c r="AA47" i="103"/>
  <c r="CL321" i="103"/>
  <c r="AA126" i="103"/>
  <c r="CG339" i="103"/>
  <c r="CG290" i="103"/>
  <c r="CL363" i="103"/>
  <c r="G220" i="58"/>
  <c r="CL170" i="103"/>
  <c r="CG340" i="103"/>
  <c r="CL92" i="103"/>
  <c r="CL239" i="103"/>
  <c r="AA96" i="103"/>
  <c r="AA72" i="103"/>
  <c r="CL211" i="103"/>
  <c r="G133" i="58"/>
  <c r="CL332" i="103"/>
  <c r="CG90" i="103"/>
  <c r="CR301" i="103"/>
  <c r="CG50" i="103"/>
  <c r="CR356" i="103"/>
  <c r="CG258" i="103"/>
  <c r="AA21" i="103"/>
  <c r="G40" i="58"/>
  <c r="CG295" i="103"/>
  <c r="CG66" i="103"/>
  <c r="CL123" i="103"/>
  <c r="G66" i="58"/>
  <c r="R168" i="58"/>
  <c r="L168" i="58" s="1"/>
  <c r="CQ169" i="103"/>
  <c r="AA121" i="103"/>
  <c r="AA172" i="103"/>
  <c r="CR358" i="103"/>
  <c r="AA351" i="103"/>
  <c r="AA63" i="103"/>
  <c r="AA149" i="103"/>
  <c r="CO130" i="103"/>
  <c r="CG130" i="103"/>
  <c r="CO58" i="103"/>
  <c r="CG58" i="103"/>
  <c r="CO87" i="103"/>
  <c r="CG87" i="103"/>
  <c r="CO96" i="103"/>
  <c r="CG96" i="103"/>
  <c r="CO286" i="103"/>
  <c r="CG286" i="103"/>
  <c r="CO151" i="103"/>
  <c r="CG151" i="103"/>
  <c r="CO331" i="103"/>
  <c r="CG331" i="103"/>
  <c r="CO49" i="103"/>
  <c r="CG49" i="103"/>
  <c r="CO362" i="103"/>
  <c r="CG362" i="103"/>
  <c r="CO368" i="103"/>
  <c r="CG368" i="103"/>
  <c r="CO139" i="103"/>
  <c r="CG139" i="103"/>
  <c r="CO353" i="103"/>
  <c r="CG353" i="103"/>
  <c r="CO369" i="103"/>
  <c r="CG369" i="103"/>
  <c r="CO297" i="103"/>
  <c r="CG297" i="103"/>
  <c r="CO301" i="103"/>
  <c r="CG301" i="103"/>
  <c r="CO324" i="103"/>
  <c r="CG324" i="103"/>
  <c r="CO374" i="103"/>
  <c r="CG374" i="103"/>
  <c r="CL226" i="103"/>
  <c r="G328" i="58"/>
  <c r="CL73" i="103"/>
  <c r="CL358" i="103"/>
  <c r="CG127" i="103"/>
  <c r="R110" i="58"/>
  <c r="L110" i="58" s="1"/>
  <c r="R103" i="58"/>
  <c r="L103" i="58" s="1"/>
  <c r="R244" i="58"/>
  <c r="L244" i="58" s="1"/>
  <c r="CL32" i="103"/>
  <c r="CR288" i="103"/>
  <c r="CL14" i="103"/>
  <c r="AA347" i="103"/>
  <c r="AA317" i="103"/>
  <c r="CR353" i="103"/>
  <c r="CG43" i="103"/>
  <c r="CL351" i="103"/>
  <c r="CG329" i="103"/>
  <c r="AA349" i="103"/>
  <c r="CR85" i="103"/>
  <c r="CR132" i="103"/>
  <c r="CG261" i="103"/>
  <c r="CG143" i="103"/>
  <c r="F13" i="36"/>
  <c r="CL246" i="103"/>
  <c r="AA315" i="103"/>
  <c r="CR13" i="103"/>
  <c r="AA194" i="103"/>
  <c r="CR312" i="103"/>
  <c r="G216" i="58"/>
  <c r="AA55" i="103"/>
  <c r="G305" i="58"/>
  <c r="CL171" i="103"/>
  <c r="AA32" i="103"/>
  <c r="CG256" i="103"/>
  <c r="CL116" i="103"/>
  <c r="AA44" i="103"/>
  <c r="CL373" i="103"/>
  <c r="CL66" i="103"/>
  <c r="CG277" i="103"/>
  <c r="CR72" i="103"/>
  <c r="CR370" i="103"/>
  <c r="CR232" i="103"/>
  <c r="G23" i="58"/>
  <c r="CG48" i="103"/>
  <c r="CL74" i="103"/>
  <c r="CH83" i="103"/>
  <c r="CG274" i="103"/>
  <c r="G286" i="58"/>
  <c r="CL104" i="103"/>
  <c r="CG181" i="103"/>
  <c r="CL34" i="103"/>
  <c r="CH295" i="103"/>
  <c r="G54" i="58"/>
  <c r="G255" i="58"/>
  <c r="AA103" i="103"/>
  <c r="R83" i="58"/>
  <c r="L83" i="58" s="1"/>
  <c r="CL201" i="103"/>
  <c r="CG67" i="103"/>
  <c r="CH74" i="103"/>
  <c r="R295" i="58"/>
  <c r="L295" i="58" s="1"/>
  <c r="CH26" i="103"/>
  <c r="CQ270" i="103"/>
  <c r="CL300" i="103"/>
  <c r="CL301" i="103"/>
  <c r="CL102" i="103"/>
  <c r="AA34" i="103"/>
  <c r="CR123" i="103"/>
  <c r="CG367" i="103"/>
  <c r="CL112" i="103"/>
  <c r="CH207" i="103"/>
  <c r="CJ207" i="103" s="1"/>
  <c r="R74" i="58"/>
  <c r="L74" i="58" s="1"/>
  <c r="R26" i="58"/>
  <c r="L26" i="58" s="1"/>
  <c r="G369" i="58"/>
  <c r="CL130" i="103"/>
  <c r="AA74" i="103"/>
  <c r="CL238" i="103"/>
  <c r="AA299" i="103"/>
  <c r="CG154" i="103"/>
  <c r="R207" i="58"/>
  <c r="L207" i="58" s="1"/>
  <c r="C49" i="13"/>
  <c r="CG183" i="103"/>
  <c r="CR62" i="103"/>
  <c r="AA12" i="103"/>
  <c r="CL51" i="103"/>
  <c r="F9" i="104"/>
  <c r="G9" i="104" s="1"/>
  <c r="CQ296" i="103"/>
  <c r="CK29" i="103"/>
  <c r="AA328" i="103"/>
  <c r="AA88" i="103"/>
  <c r="AA244" i="103"/>
  <c r="AA23" i="103"/>
  <c r="CQ341" i="103"/>
  <c r="AA155" i="103"/>
  <c r="CO303" i="103"/>
  <c r="CG303" i="103"/>
  <c r="CO164" i="103"/>
  <c r="CG164" i="103"/>
  <c r="CO179" i="103"/>
  <c r="CG179" i="103"/>
  <c r="CO145" i="103"/>
  <c r="CG145" i="103"/>
  <c r="CO16" i="103"/>
  <c r="CG16" i="103"/>
  <c r="CO321" i="103"/>
  <c r="CG321" i="103"/>
  <c r="CL230" i="103"/>
  <c r="G99" i="58"/>
  <c r="AA361" i="103"/>
  <c r="CO98" i="103"/>
  <c r="AA192" i="103"/>
  <c r="CK271" i="103"/>
  <c r="CG322" i="103"/>
  <c r="AE32" i="22"/>
  <c r="CH168" i="103"/>
  <c r="CR225" i="103"/>
  <c r="CL40" i="103"/>
  <c r="CL316" i="103"/>
  <c r="CL204" i="103"/>
  <c r="CR363" i="103"/>
  <c r="CL275" i="103"/>
  <c r="AA371" i="103"/>
  <c r="CL318" i="103"/>
  <c r="AA101" i="103"/>
  <c r="CH133" i="103"/>
  <c r="AA229" i="103"/>
  <c r="G41" i="58"/>
  <c r="AA167" i="103"/>
  <c r="AA145" i="103"/>
  <c r="AA359" i="103"/>
  <c r="CL35" i="103"/>
  <c r="CG136" i="103"/>
  <c r="CH347" i="103"/>
  <c r="R133" i="58"/>
  <c r="L133" i="58" s="1"/>
  <c r="CR367" i="103"/>
  <c r="G308" i="58"/>
  <c r="CR330" i="103"/>
  <c r="G188" i="58"/>
  <c r="CR372" i="103"/>
  <c r="CL220" i="103"/>
  <c r="G360" i="58"/>
  <c r="AU388" i="103"/>
  <c r="AA282" i="103"/>
  <c r="AA216" i="103"/>
  <c r="CR50" i="103"/>
  <c r="CH308" i="103"/>
  <c r="CJ308" i="103" s="1"/>
  <c r="CL165" i="103"/>
  <c r="CR193" i="103"/>
  <c r="CL56" i="103"/>
  <c r="AA83" i="103"/>
  <c r="CG308" i="103"/>
  <c r="CG128" i="103"/>
  <c r="AA58" i="103"/>
  <c r="CQ217" i="103"/>
  <c r="AA112" i="103"/>
  <c r="AA217" i="103"/>
  <c r="R308" i="58"/>
  <c r="L308" i="58" s="1"/>
  <c r="CR274" i="103"/>
  <c r="G117" i="58"/>
  <c r="AA182" i="103"/>
  <c r="CL355" i="103"/>
  <c r="G227" i="58"/>
  <c r="CH34" i="103"/>
  <c r="CH242" i="103"/>
  <c r="AA258" i="103"/>
  <c r="AA237" i="103"/>
  <c r="CG332" i="103"/>
  <c r="CG23" i="103"/>
  <c r="CG344" i="103"/>
  <c r="G62" i="58"/>
  <c r="G187" i="58"/>
  <c r="R34" i="58"/>
  <c r="L34" i="58" s="1"/>
  <c r="R242" i="58"/>
  <c r="L242" i="58" s="1"/>
  <c r="CG74" i="103"/>
  <c r="CG86" i="103"/>
  <c r="CG283" i="103"/>
  <c r="AA241" i="103"/>
  <c r="G108" i="58"/>
  <c r="CO80" i="103"/>
  <c r="AA260" i="103"/>
  <c r="AA20" i="103"/>
  <c r="CH219" i="103"/>
  <c r="AA38" i="103"/>
  <c r="CR32" i="103"/>
  <c r="CQ307" i="103"/>
  <c r="R219" i="58"/>
  <c r="L219" i="58" s="1"/>
  <c r="AA227" i="103"/>
  <c r="CR178" i="103"/>
  <c r="CG326" i="103"/>
  <c r="AA26" i="103"/>
  <c r="G189" i="58"/>
  <c r="CL265" i="103"/>
  <c r="CR46" i="103"/>
  <c r="CH31" i="103"/>
  <c r="R316" i="58"/>
  <c r="L316" i="58" s="1"/>
  <c r="CR299" i="103"/>
  <c r="AA14" i="103"/>
  <c r="AA144" i="103"/>
  <c r="CO298" i="103"/>
  <c r="CG298" i="103"/>
  <c r="CO350" i="103"/>
  <c r="CG350" i="103"/>
  <c r="CO347" i="103"/>
  <c r="CG347" i="103"/>
  <c r="CO311" i="103"/>
  <c r="CG311" i="103"/>
  <c r="AS388" i="103"/>
  <c r="R97" i="58"/>
  <c r="L97" i="58" s="1"/>
  <c r="AA234" i="103"/>
  <c r="AA374" i="103"/>
  <c r="CL208" i="103"/>
  <c r="CG292" i="103"/>
  <c r="AA344" i="103"/>
  <c r="AA276" i="103"/>
  <c r="CG351" i="103"/>
  <c r="S388" i="103"/>
  <c r="AA178" i="103"/>
  <c r="CG287" i="103"/>
  <c r="AA174" i="103"/>
  <c r="CL115" i="103"/>
  <c r="AA203" i="103"/>
  <c r="CR319" i="103"/>
  <c r="G300" i="58"/>
  <c r="AA116" i="103"/>
  <c r="AA293" i="103"/>
  <c r="CH151" i="103"/>
  <c r="CL128" i="103"/>
  <c r="CR351" i="103"/>
  <c r="CL110" i="103"/>
  <c r="CR63" i="103"/>
  <c r="CH86" i="103"/>
  <c r="R151" i="58"/>
  <c r="L151" i="58" s="1"/>
  <c r="CL174" i="103"/>
  <c r="G196" i="58"/>
  <c r="CL194" i="103"/>
  <c r="CL257" i="103"/>
  <c r="G116" i="58"/>
  <c r="CL274" i="103"/>
  <c r="CR222" i="103"/>
  <c r="AA368" i="103"/>
  <c r="CR302" i="103"/>
  <c r="G10" i="53"/>
  <c r="J10" i="53" s="1"/>
  <c r="AA213" i="103"/>
  <c r="CR91" i="103"/>
  <c r="BW388" i="103"/>
  <c r="CL335" i="103"/>
  <c r="CG348" i="103"/>
  <c r="CG271" i="103"/>
  <c r="G154" i="58"/>
  <c r="CL357" i="103"/>
  <c r="AA219" i="103"/>
  <c r="G98" i="58"/>
  <c r="AA113" i="103"/>
  <c r="CG137" i="103"/>
  <c r="CL225" i="103"/>
  <c r="CR103" i="103"/>
  <c r="CR223" i="103"/>
  <c r="AA333" i="103"/>
  <c r="AA52" i="103"/>
  <c r="G341" i="58"/>
  <c r="CK344" i="103"/>
  <c r="CG20" i="103"/>
  <c r="AA256" i="103"/>
  <c r="G83" i="58"/>
  <c r="CG148" i="103"/>
  <c r="CR138" i="103"/>
  <c r="CG132" i="103"/>
  <c r="CL122" i="103"/>
  <c r="CG32" i="103"/>
  <c r="CO306" i="103"/>
  <c r="CG306" i="103"/>
  <c r="CO307" i="103"/>
  <c r="CG307" i="103"/>
  <c r="CO172" i="103"/>
  <c r="CG172" i="103"/>
  <c r="CO291" i="103"/>
  <c r="CG291" i="103"/>
  <c r="CO123" i="103"/>
  <c r="CG123" i="103"/>
  <c r="CO359" i="103"/>
  <c r="CG359" i="103"/>
  <c r="CO91" i="103"/>
  <c r="CG91" i="103"/>
  <c r="CO75" i="103"/>
  <c r="CG75" i="103"/>
  <c r="CO113" i="103"/>
  <c r="CG113" i="103"/>
  <c r="CO153" i="103"/>
  <c r="CG153" i="103"/>
  <c r="CO176" i="103"/>
  <c r="CG176" i="103"/>
  <c r="CO126" i="103"/>
  <c r="CG126" i="103"/>
  <c r="CO330" i="103"/>
  <c r="CG330" i="103"/>
  <c r="CL151" i="103"/>
  <c r="AX388" i="103"/>
  <c r="CK296" i="103"/>
  <c r="CL245" i="103"/>
  <c r="CL158" i="103"/>
  <c r="CK31" i="103"/>
  <c r="AA322" i="103"/>
  <c r="CH233" i="103"/>
  <c r="CQ314" i="103"/>
  <c r="CQ308" i="103"/>
  <c r="CO263" i="103"/>
  <c r="CG312" i="103"/>
  <c r="CR264" i="103"/>
  <c r="G339" i="58"/>
  <c r="AA243" i="103"/>
  <c r="G53" i="58"/>
  <c r="R233" i="58"/>
  <c r="L233" i="58" s="1"/>
  <c r="CH212" i="103"/>
  <c r="CR105" i="103"/>
  <c r="CR234" i="103"/>
  <c r="CL260" i="103"/>
  <c r="AA41" i="103"/>
  <c r="CR112" i="103"/>
  <c r="CR219" i="103"/>
  <c r="CH32" i="103"/>
  <c r="CG288" i="103"/>
  <c r="CL281" i="103"/>
  <c r="CR361" i="103"/>
  <c r="CG160" i="103"/>
  <c r="R32" i="58"/>
  <c r="L32" i="58" s="1"/>
  <c r="CG318" i="103"/>
  <c r="CM157" i="103"/>
  <c r="CG157" i="103" s="1"/>
  <c r="CH329" i="103"/>
  <c r="CH82" i="103"/>
  <c r="G356" i="58"/>
  <c r="CQ211" i="103"/>
  <c r="G56" i="58"/>
  <c r="AA279" i="103"/>
  <c r="CR303" i="103"/>
  <c r="CG79" i="103"/>
  <c r="CG341" i="103"/>
  <c r="CR298" i="103"/>
  <c r="R82" i="58"/>
  <c r="L82" i="58" s="1"/>
  <c r="G323" i="58"/>
  <c r="CQ280" i="103"/>
  <c r="CO276" i="103"/>
  <c r="CG146" i="103"/>
  <c r="CL203" i="103"/>
  <c r="CR272" i="103"/>
  <c r="CR149" i="103"/>
  <c r="CR216" i="103"/>
  <c r="CH285" i="103"/>
  <c r="G153" i="58"/>
  <c r="CR337" i="103"/>
  <c r="CR247" i="103"/>
  <c r="AA45" i="103"/>
  <c r="G65" i="58"/>
  <c r="CR97" i="103"/>
  <c r="CL266" i="103"/>
  <c r="AA110" i="103"/>
  <c r="CL38" i="103"/>
  <c r="CL154" i="103"/>
  <c r="CG336" i="103"/>
  <c r="CH241" i="103"/>
  <c r="R285" i="58"/>
  <c r="L285" i="58" s="1"/>
  <c r="U377" i="103"/>
  <c r="CR128" i="103"/>
  <c r="G354" i="58"/>
  <c r="G367" i="58"/>
  <c r="G84" i="58"/>
  <c r="AA163" i="103"/>
  <c r="CG355" i="103"/>
  <c r="CL210" i="103"/>
  <c r="CG294" i="103"/>
  <c r="R241" i="58"/>
  <c r="L241" i="58" s="1"/>
  <c r="G321" i="58"/>
  <c r="G208" i="58"/>
  <c r="CL64" i="103"/>
  <c r="AA29" i="103"/>
  <c r="CL83" i="103"/>
  <c r="CR362" i="103"/>
  <c r="CR176" i="103"/>
  <c r="G138" i="58"/>
  <c r="G55" i="58"/>
  <c r="CL360" i="103"/>
  <c r="AA321" i="103"/>
  <c r="G332" i="58"/>
  <c r="AA230" i="103"/>
  <c r="CO108" i="103"/>
  <c r="CG108" i="103"/>
  <c r="CO120" i="103"/>
  <c r="CG120" i="103"/>
  <c r="CL356" i="103"/>
  <c r="R334" i="58"/>
  <c r="L334" i="58" s="1"/>
  <c r="CL62" i="103"/>
  <c r="CR104" i="103"/>
  <c r="CQ240" i="103"/>
  <c r="CK60" i="103"/>
  <c r="CH370" i="103"/>
  <c r="CJ370" i="103" s="1"/>
  <c r="CQ206" i="103"/>
  <c r="AA210" i="103"/>
  <c r="CR157" i="103"/>
  <c r="CR165" i="103"/>
  <c r="AA176" i="103"/>
  <c r="CR19" i="103"/>
  <c r="CQ355" i="103"/>
  <c r="CL277" i="103"/>
  <c r="CO188" i="103"/>
  <c r="CL234" i="103"/>
  <c r="CR20" i="103"/>
  <c r="CQ348" i="103"/>
  <c r="CQ220" i="103"/>
  <c r="AA286" i="103"/>
  <c r="CO53" i="103"/>
  <c r="G143" i="58"/>
  <c r="CQ38" i="103"/>
  <c r="AA206" i="103"/>
  <c r="CQ266" i="103"/>
  <c r="AA228" i="103"/>
  <c r="CQ142" i="103"/>
  <c r="CK282" i="103"/>
  <c r="CQ189" i="103"/>
  <c r="CQ74" i="103"/>
  <c r="CQ68" i="103"/>
  <c r="CK236" i="103"/>
  <c r="AA312" i="103"/>
  <c r="CO100" i="103"/>
  <c r="AA15" i="103"/>
  <c r="AA125" i="103"/>
  <c r="CQ143" i="103"/>
  <c r="CK372" i="103"/>
  <c r="AA120" i="103"/>
  <c r="AA91" i="103"/>
  <c r="CQ130" i="103"/>
  <c r="AD15" i="17"/>
  <c r="CR56" i="103"/>
  <c r="CQ136" i="103"/>
  <c r="CO95" i="103"/>
  <c r="CK168" i="103"/>
  <c r="CO54" i="103"/>
  <c r="CG54" i="103"/>
  <c r="CO346" i="103"/>
  <c r="CG346" i="103"/>
  <c r="CO77" i="103"/>
  <c r="CG77" i="103"/>
  <c r="CO99" i="103"/>
  <c r="CG99" i="103"/>
  <c r="CO115" i="103"/>
  <c r="CG115" i="103"/>
  <c r="CO178" i="103"/>
  <c r="CG178" i="103"/>
  <c r="CO133" i="103"/>
  <c r="CG133" i="103"/>
  <c r="CG56" i="103"/>
  <c r="CQ344" i="103"/>
  <c r="CK255" i="103"/>
  <c r="CG135" i="103"/>
  <c r="CQ366" i="103"/>
  <c r="CL237" i="103"/>
  <c r="CR131" i="103"/>
  <c r="CO174" i="103"/>
  <c r="CK55" i="103"/>
  <c r="R56" i="58"/>
  <c r="L56" i="58" s="1"/>
  <c r="C42" i="67"/>
  <c r="G373" i="58"/>
  <c r="CL15" i="103"/>
  <c r="AA242" i="103"/>
  <c r="R86" i="58"/>
  <c r="L86" i="58" s="1"/>
  <c r="CK280" i="103"/>
  <c r="CQ256" i="103"/>
  <c r="AA181" i="103"/>
  <c r="O41" i="13"/>
  <c r="CO166" i="103"/>
  <c r="CQ48" i="103"/>
  <c r="CK276" i="103"/>
  <c r="CO111" i="103"/>
  <c r="CG285" i="103"/>
  <c r="CK229" i="103"/>
  <c r="CQ152" i="103"/>
  <c r="CQ202" i="103"/>
  <c r="CK42" i="103"/>
  <c r="CQ181" i="103"/>
  <c r="CQ25" i="103"/>
  <c r="CO265" i="103"/>
  <c r="CR99" i="103"/>
  <c r="G85" i="58"/>
  <c r="CG268" i="103"/>
  <c r="CG119" i="103"/>
  <c r="CO273" i="103"/>
  <c r="CR53" i="103"/>
  <c r="CL26" i="103"/>
  <c r="CL80" i="103"/>
  <c r="CH60" i="103"/>
  <c r="G226" i="58"/>
  <c r="CQ293" i="103"/>
  <c r="AA200" i="103"/>
  <c r="AA373" i="103"/>
  <c r="G75" i="58"/>
  <c r="CR245" i="103"/>
  <c r="CQ339" i="103"/>
  <c r="G270" i="58"/>
  <c r="CL262" i="103"/>
  <c r="AA367" i="103"/>
  <c r="CG338" i="103"/>
  <c r="CO165" i="103"/>
  <c r="CR226" i="103"/>
  <c r="BZ388" i="103"/>
  <c r="CQ315" i="103"/>
  <c r="CG68" i="103"/>
  <c r="R60" i="58"/>
  <c r="L60" i="58" s="1"/>
  <c r="CH164" i="103"/>
  <c r="AA124" i="103"/>
  <c r="CR33" i="103"/>
  <c r="CO81" i="103"/>
  <c r="CR284" i="103"/>
  <c r="CL278" i="103"/>
  <c r="AA175" i="103"/>
  <c r="CQ326" i="103"/>
  <c r="G267" i="58"/>
  <c r="CG190" i="103"/>
  <c r="CG305" i="103"/>
  <c r="CQ205" i="103"/>
  <c r="CL200" i="103"/>
  <c r="BB381" i="103"/>
  <c r="CG140" i="103"/>
  <c r="AA272" i="103"/>
  <c r="AA284" i="103"/>
  <c r="CR76" i="103"/>
  <c r="G137" i="58"/>
  <c r="CH365" i="103"/>
  <c r="CQ253" i="103"/>
  <c r="AA98" i="103"/>
  <c r="CR16" i="103"/>
  <c r="CR139" i="103"/>
  <c r="CQ77" i="103"/>
  <c r="AA46" i="103"/>
  <c r="CO354" i="103"/>
  <c r="AA250" i="103"/>
  <c r="AA231" i="103"/>
  <c r="CK13" i="103"/>
  <c r="R164" i="58"/>
  <c r="L164" i="58" s="1"/>
  <c r="G215" i="58"/>
  <c r="AA119" i="103"/>
  <c r="G67" i="58"/>
  <c r="G124" i="58"/>
  <c r="CQ343" i="103"/>
  <c r="G57" i="58"/>
  <c r="CL347" i="103"/>
  <c r="G130" i="58"/>
  <c r="CL141" i="103"/>
  <c r="CL224" i="103"/>
  <c r="CR359" i="103"/>
  <c r="G18" i="58"/>
  <c r="G219" i="58"/>
  <c r="G180" i="58"/>
  <c r="CG46" i="103"/>
  <c r="CR235" i="103"/>
  <c r="AA185" i="103"/>
  <c r="CL149" i="103"/>
  <c r="CG118" i="103"/>
  <c r="G34" i="58"/>
  <c r="CR183" i="103"/>
  <c r="CR364" i="103"/>
  <c r="G9" i="53"/>
  <c r="J9" i="53" s="1"/>
  <c r="CL146" i="103"/>
  <c r="CK338" i="103"/>
  <c r="CQ161" i="103"/>
  <c r="AA252" i="103"/>
  <c r="CQ350" i="103"/>
  <c r="G314" i="58"/>
  <c r="CR365" i="103"/>
  <c r="CO173" i="103"/>
  <c r="CO103" i="103"/>
  <c r="CR277" i="103"/>
  <c r="CQ230" i="103"/>
  <c r="AA190" i="103"/>
  <c r="CQ137" i="103"/>
  <c r="G102" i="58"/>
  <c r="CQ265" i="103"/>
  <c r="CR116" i="103"/>
  <c r="G35" i="58"/>
  <c r="G86" i="58"/>
  <c r="BE388" i="103"/>
  <c r="V388" i="103"/>
  <c r="G337" i="58"/>
  <c r="CG51" i="103"/>
  <c r="AA297" i="103"/>
  <c r="CO279" i="103"/>
  <c r="AA138" i="103"/>
  <c r="CK39" i="103"/>
  <c r="CG107" i="103"/>
  <c r="CQ279" i="103"/>
  <c r="CO373" i="103"/>
  <c r="CR113" i="103"/>
  <c r="CQ42" i="103"/>
  <c r="CQ200" i="103"/>
  <c r="CR175" i="103"/>
  <c r="CQ224" i="103"/>
  <c r="CK364" i="103"/>
  <c r="AA327" i="103"/>
  <c r="CK219" i="103"/>
  <c r="CQ294" i="103"/>
  <c r="CQ342" i="103"/>
  <c r="CQ318" i="103"/>
  <c r="CQ188" i="103"/>
  <c r="CR120" i="103"/>
  <c r="CQ357" i="103"/>
  <c r="CQ82" i="103"/>
  <c r="CQ110" i="103"/>
  <c r="CQ115" i="103"/>
  <c r="CQ51" i="103"/>
  <c r="CQ246" i="103"/>
  <c r="AA278" i="103"/>
  <c r="CQ81" i="103"/>
  <c r="CR236" i="103"/>
  <c r="CO342" i="103"/>
  <c r="CQ111" i="103"/>
  <c r="CQ88" i="103"/>
  <c r="CQ375" i="103"/>
  <c r="CQ146" i="103"/>
  <c r="CK22" i="103"/>
  <c r="G43" i="58"/>
  <c r="CQ66" i="103"/>
  <c r="CO121" i="103"/>
  <c r="G176" i="58"/>
  <c r="CQ374" i="103"/>
  <c r="G231" i="58"/>
  <c r="G297" i="58"/>
  <c r="CQ172" i="103"/>
  <c r="CO106" i="103"/>
  <c r="CO168" i="103"/>
  <c r="CK259" i="103"/>
  <c r="CK251" i="103"/>
  <c r="G159" i="58"/>
  <c r="CO270" i="103"/>
  <c r="CQ114" i="103"/>
  <c r="CK353" i="103"/>
  <c r="CQ322" i="103"/>
  <c r="AA104" i="103"/>
  <c r="CQ262" i="103"/>
  <c r="CO170" i="103"/>
  <c r="CQ166" i="103"/>
  <c r="G203" i="58"/>
  <c r="G30" i="58"/>
  <c r="CQ239" i="103"/>
  <c r="CQ369" i="103"/>
  <c r="CO134" i="103"/>
  <c r="CK256" i="103"/>
  <c r="CQ98" i="103"/>
  <c r="CQ135" i="103"/>
  <c r="CO69" i="103"/>
  <c r="CK317" i="103"/>
  <c r="CQ352" i="103"/>
  <c r="G174" i="58"/>
  <c r="CQ231" i="103"/>
  <c r="CQ52" i="103"/>
  <c r="CQ154" i="103"/>
  <c r="CQ187" i="103"/>
  <c r="CQ316" i="103"/>
  <c r="CO257" i="103"/>
  <c r="CK273" i="103"/>
  <c r="CQ173" i="103"/>
  <c r="CQ160" i="103"/>
  <c r="CK59" i="103"/>
  <c r="CQ368" i="103"/>
  <c r="CQ286" i="103"/>
  <c r="CO124" i="103"/>
  <c r="CK369" i="103"/>
  <c r="CO186" i="103"/>
  <c r="G225" i="58"/>
  <c r="AG312" i="22"/>
  <c r="L320" i="67"/>
  <c r="J319" i="22"/>
  <c r="AA318" i="103"/>
  <c r="CM293" i="103"/>
  <c r="CG293" i="103" s="1"/>
  <c r="AC277" i="58"/>
  <c r="M277" i="58" s="1"/>
  <c r="AB277" i="58"/>
  <c r="K277" i="58" s="1"/>
  <c r="Z277" i="58"/>
  <c r="I277" i="58" s="1"/>
  <c r="AA277" i="58"/>
  <c r="J277" i="58" s="1"/>
  <c r="M216" i="103"/>
  <c r="J216" i="103" s="1"/>
  <c r="L216" i="103"/>
  <c r="M224" i="103"/>
  <c r="J224" i="103" s="1"/>
  <c r="L224" i="103"/>
  <c r="F219" i="103"/>
  <c r="AC219" i="103"/>
  <c r="E219" i="103"/>
  <c r="AE217" i="22"/>
  <c r="R216" i="58"/>
  <c r="L216" i="58" s="1"/>
  <c r="CH216" i="103"/>
  <c r="CF216" i="103" s="1"/>
  <c r="M197" i="103"/>
  <c r="L197" i="103"/>
  <c r="J196" i="22"/>
  <c r="AA195" i="103"/>
  <c r="AC135" i="58"/>
  <c r="M135" i="58" s="1"/>
  <c r="AB135" i="58"/>
  <c r="K135" i="58" s="1"/>
  <c r="Z135" i="58"/>
  <c r="I135" i="58" s="1"/>
  <c r="AA135" i="58"/>
  <c r="J135" i="58" s="1"/>
  <c r="CM150" i="103"/>
  <c r="CG150" i="103" s="1"/>
  <c r="AB119" i="58"/>
  <c r="K119" i="58" s="1"/>
  <c r="AC119" i="58"/>
  <c r="M119" i="58" s="1"/>
  <c r="Z119" i="58"/>
  <c r="I119" i="58" s="1"/>
  <c r="AA119" i="58"/>
  <c r="J119" i="58" s="1"/>
  <c r="AB82" i="58"/>
  <c r="K82" i="58" s="1"/>
  <c r="AA82" i="58"/>
  <c r="J82" i="58" s="1"/>
  <c r="Z82" i="58"/>
  <c r="I82" i="58" s="1"/>
  <c r="AC82" i="58"/>
  <c r="M82" i="58" s="1"/>
  <c r="J90" i="22"/>
  <c r="AA89" i="103"/>
  <c r="CM13" i="103"/>
  <c r="CG13" i="103" s="1"/>
  <c r="M40" i="103"/>
  <c r="J40" i="103" s="1"/>
  <c r="L40" i="103"/>
  <c r="CI354" i="103"/>
  <c r="CL354" i="103" s="1"/>
  <c r="R319" i="58"/>
  <c r="L319" i="58" s="1"/>
  <c r="CH319" i="103"/>
  <c r="CF319" i="103" s="1"/>
  <c r="CR324" i="103"/>
  <c r="F278" i="103"/>
  <c r="AC278" i="103"/>
  <c r="E278" i="103"/>
  <c r="AK283" i="22"/>
  <c r="J307" i="22"/>
  <c r="T148" i="23"/>
  <c r="AA306" i="103"/>
  <c r="M274" i="103"/>
  <c r="J274" i="103" s="1"/>
  <c r="L274" i="103"/>
  <c r="M245" i="103"/>
  <c r="J245" i="103" s="1"/>
  <c r="L245" i="103"/>
  <c r="U168" i="23"/>
  <c r="J216" i="22"/>
  <c r="AA215" i="103"/>
  <c r="AG222" i="22"/>
  <c r="CI221" i="103"/>
  <c r="CL221" i="103" s="1"/>
  <c r="AM221" i="103"/>
  <c r="AC165" i="103"/>
  <c r="F165" i="103"/>
  <c r="E165" i="103"/>
  <c r="F185" i="103"/>
  <c r="AC185" i="103"/>
  <c r="E185" i="103"/>
  <c r="Z152" i="58"/>
  <c r="I152" i="58" s="1"/>
  <c r="AA152" i="58"/>
  <c r="J152" i="58" s="1"/>
  <c r="AB152" i="58"/>
  <c r="K152" i="58" s="1"/>
  <c r="AC152" i="58"/>
  <c r="M152" i="58" s="1"/>
  <c r="F154" i="103"/>
  <c r="AC154" i="103"/>
  <c r="E154" i="103"/>
  <c r="CQ133" i="103"/>
  <c r="Z142" i="58"/>
  <c r="I142" i="58" s="1"/>
  <c r="AC142" i="58"/>
  <c r="M142" i="58" s="1"/>
  <c r="AB142" i="58"/>
  <c r="K142" i="58" s="1"/>
  <c r="AA142" i="58"/>
  <c r="J142" i="58" s="1"/>
  <c r="M148" i="103"/>
  <c r="J148" i="103" s="1"/>
  <c r="L148" i="103"/>
  <c r="AG96" i="22"/>
  <c r="CI95" i="103"/>
  <c r="CL95" i="103" s="1"/>
  <c r="AM95" i="103"/>
  <c r="M24" i="103"/>
  <c r="J24" i="103" s="1"/>
  <c r="L24" i="103"/>
  <c r="M12" i="103"/>
  <c r="J12" i="103" s="1"/>
  <c r="L12" i="103"/>
  <c r="Z49" i="58"/>
  <c r="I49" i="58" s="1"/>
  <c r="AB49" i="58"/>
  <c r="K49" i="58" s="1"/>
  <c r="AC49" i="58"/>
  <c r="M49" i="58" s="1"/>
  <c r="AA49" i="58"/>
  <c r="J49" i="58" s="1"/>
  <c r="CP387" i="103"/>
  <c r="G346" i="58"/>
  <c r="F310" i="103"/>
  <c r="AC310" i="103"/>
  <c r="F296" i="103"/>
  <c r="AC296" i="103"/>
  <c r="E296" i="103"/>
  <c r="CL258" i="103"/>
  <c r="K261" i="67"/>
  <c r="K397" i="67"/>
  <c r="J193" i="22"/>
  <c r="R382" i="103"/>
  <c r="F194" i="103"/>
  <c r="AC194" i="103"/>
  <c r="E194" i="103"/>
  <c r="P166" i="67"/>
  <c r="P394" i="67"/>
  <c r="CM110" i="103"/>
  <c r="CG110" i="103" s="1"/>
  <c r="AE62" i="22"/>
  <c r="R61" i="58"/>
  <c r="L61" i="58" s="1"/>
  <c r="CH61" i="103"/>
  <c r="AC76" i="103"/>
  <c r="F76" i="103"/>
  <c r="E76" i="103"/>
  <c r="M55" i="103"/>
  <c r="J55" i="103" s="1"/>
  <c r="L55" i="103"/>
  <c r="U387" i="103"/>
  <c r="AC309" i="103"/>
  <c r="F309" i="103"/>
  <c r="P134" i="23"/>
  <c r="CR283" i="103"/>
  <c r="CQ283" i="103"/>
  <c r="AK275" i="22"/>
  <c r="P396" i="58"/>
  <c r="P383" i="58"/>
  <c r="J163" i="22"/>
  <c r="R381" i="103"/>
  <c r="AA162" i="103"/>
  <c r="CK68" i="103"/>
  <c r="CL68" i="103"/>
  <c r="AG332" i="22"/>
  <c r="L341" i="67"/>
  <c r="R374" i="58"/>
  <c r="L374" i="58" s="1"/>
  <c r="CJ374" i="103"/>
  <c r="AG319" i="22"/>
  <c r="L328" i="67"/>
  <c r="CQ373" i="103"/>
  <c r="CK362" i="103"/>
  <c r="R344" i="58"/>
  <c r="L344" i="58" s="1"/>
  <c r="CH344" i="103"/>
  <c r="F328" i="103"/>
  <c r="AC328" i="103"/>
  <c r="M291" i="103"/>
  <c r="J291" i="103" s="1"/>
  <c r="L291" i="103"/>
  <c r="CQ282" i="103"/>
  <c r="AK281" i="22"/>
  <c r="J265" i="22"/>
  <c r="AA264" i="103"/>
  <c r="O383" i="103"/>
  <c r="M223" i="103"/>
  <c r="L223" i="103"/>
  <c r="Z195" i="58"/>
  <c r="I195" i="58" s="1"/>
  <c r="AB195" i="58"/>
  <c r="K195" i="58" s="1"/>
  <c r="AC195" i="58"/>
  <c r="M195" i="58" s="1"/>
  <c r="AA195" i="58"/>
  <c r="J195" i="58" s="1"/>
  <c r="CM141" i="103"/>
  <c r="CG141" i="103" s="1"/>
  <c r="AC112" i="103"/>
  <c r="F112" i="103"/>
  <c r="E112" i="103"/>
  <c r="AA89" i="58"/>
  <c r="J89" i="58" s="1"/>
  <c r="AB89" i="58"/>
  <c r="K89" i="58" s="1"/>
  <c r="AC89" i="58"/>
  <c r="M89" i="58" s="1"/>
  <c r="Z89" i="58"/>
  <c r="I89" i="58" s="1"/>
  <c r="R372" i="58"/>
  <c r="L372" i="58" s="1"/>
  <c r="CJ372" i="103"/>
  <c r="N387" i="67"/>
  <c r="AC333" i="103"/>
  <c r="F333" i="103"/>
  <c r="AN387" i="103"/>
  <c r="CI345" i="103"/>
  <c r="CK345" i="103" s="1"/>
  <c r="K399" i="67"/>
  <c r="K324" i="67"/>
  <c r="AC215" i="58"/>
  <c r="M215" i="58" s="1"/>
  <c r="Z215" i="58"/>
  <c r="I215" i="58" s="1"/>
  <c r="AA215" i="58"/>
  <c r="J215" i="58" s="1"/>
  <c r="AB215" i="58"/>
  <c r="K215" i="58" s="1"/>
  <c r="AC239" i="58"/>
  <c r="M239" i="58" s="1"/>
  <c r="AB239" i="58"/>
  <c r="K239" i="58" s="1"/>
  <c r="AA239" i="58"/>
  <c r="J239" i="58" s="1"/>
  <c r="Z239" i="58"/>
  <c r="I239" i="58" s="1"/>
  <c r="CI361" i="103"/>
  <c r="CL361" i="103" s="1"/>
  <c r="R367" i="58"/>
  <c r="L367" i="58" s="1"/>
  <c r="CH367" i="103"/>
  <c r="AK280" i="22"/>
  <c r="G236" i="58"/>
  <c r="E397" i="58"/>
  <c r="E384" i="58"/>
  <c r="Y254" i="58"/>
  <c r="AB172" i="58"/>
  <c r="K172" i="58" s="1"/>
  <c r="AA172" i="58"/>
  <c r="J172" i="58" s="1"/>
  <c r="Z172" i="58"/>
  <c r="I172" i="58" s="1"/>
  <c r="AC172" i="58"/>
  <c r="M172" i="58" s="1"/>
  <c r="J199" i="22"/>
  <c r="AA198" i="103"/>
  <c r="M180" i="103"/>
  <c r="J180" i="103" s="1"/>
  <c r="L180" i="103"/>
  <c r="CO112" i="103"/>
  <c r="F62" i="103"/>
  <c r="AC62" i="103"/>
  <c r="E62" i="103"/>
  <c r="M66" i="103"/>
  <c r="L66" i="103"/>
  <c r="AG13" i="22"/>
  <c r="CI12" i="103"/>
  <c r="CL12" i="103" s="1"/>
  <c r="AN376" i="103"/>
  <c r="AM12" i="103"/>
  <c r="G21" i="58"/>
  <c r="AW388" i="103"/>
  <c r="CM372" i="103"/>
  <c r="CG372" i="103" s="1"/>
  <c r="F359" i="103"/>
  <c r="AC359" i="103"/>
  <c r="CK341" i="103"/>
  <c r="CI293" i="103"/>
  <c r="CL293" i="103" s="1"/>
  <c r="AM293" i="103"/>
  <c r="CO282" i="103"/>
  <c r="F240" i="103"/>
  <c r="AC240" i="103"/>
  <c r="E240" i="103"/>
  <c r="F396" i="58"/>
  <c r="F383" i="58"/>
  <c r="J224" i="22"/>
  <c r="R383" i="103"/>
  <c r="AA223" i="103"/>
  <c r="AG203" i="22"/>
  <c r="CI202" i="103"/>
  <c r="CL202" i="103" s="1"/>
  <c r="AM202" i="103"/>
  <c r="G185" i="58"/>
  <c r="G128" i="58"/>
  <c r="AG162" i="22"/>
  <c r="CI161" i="103"/>
  <c r="CL161" i="103" s="1"/>
  <c r="AM161" i="103"/>
  <c r="M100" i="103"/>
  <c r="J100" i="103" s="1"/>
  <c r="L100" i="103"/>
  <c r="J61" i="22"/>
  <c r="AA60" i="103"/>
  <c r="AA71" i="103"/>
  <c r="AG352" i="22"/>
  <c r="L362" i="67"/>
  <c r="AG301" i="22"/>
  <c r="L309" i="67"/>
  <c r="O376" i="58"/>
  <c r="O389" i="58"/>
  <c r="R371" i="58"/>
  <c r="L371" i="58" s="1"/>
  <c r="CJ371" i="103"/>
  <c r="P150" i="23"/>
  <c r="F329" i="103"/>
  <c r="AC329" i="103"/>
  <c r="J275" i="22"/>
  <c r="AA274" i="103"/>
  <c r="AB264" i="58"/>
  <c r="K264" i="58" s="1"/>
  <c r="AA264" i="58"/>
  <c r="J264" i="58" s="1"/>
  <c r="Z264" i="58"/>
  <c r="I264" i="58" s="1"/>
  <c r="AC264" i="58"/>
  <c r="M264" i="58" s="1"/>
  <c r="F217" i="103"/>
  <c r="AC217" i="103"/>
  <c r="E217" i="103"/>
  <c r="F228" i="103"/>
  <c r="AC228" i="103"/>
  <c r="E228" i="103"/>
  <c r="M130" i="103"/>
  <c r="J130" i="103" s="1"/>
  <c r="L130" i="103"/>
  <c r="CM89" i="103"/>
  <c r="CG89" i="103" s="1"/>
  <c r="BB378" i="103"/>
  <c r="J65" i="22"/>
  <c r="AA64" i="103"/>
  <c r="Q400" i="58"/>
  <c r="Q387" i="58"/>
  <c r="J344" i="22"/>
  <c r="AA343" i="103"/>
  <c r="CK320" i="103"/>
  <c r="AA281" i="58"/>
  <c r="J281" i="58" s="1"/>
  <c r="Z281" i="58"/>
  <c r="I281" i="58" s="1"/>
  <c r="AB281" i="58"/>
  <c r="K281" i="58" s="1"/>
  <c r="AC281" i="58"/>
  <c r="M281" i="58" s="1"/>
  <c r="AB269" i="58"/>
  <c r="K269" i="58" s="1"/>
  <c r="AC269" i="58"/>
  <c r="M269" i="58" s="1"/>
  <c r="AA269" i="58"/>
  <c r="J269" i="58" s="1"/>
  <c r="Z269" i="58"/>
  <c r="I269" i="58" s="1"/>
  <c r="CR276" i="103"/>
  <c r="CK283" i="103"/>
  <c r="M271" i="103"/>
  <c r="J271" i="103" s="1"/>
  <c r="L271" i="103"/>
  <c r="CQ238" i="103"/>
  <c r="F183" i="103"/>
  <c r="AC183" i="103"/>
  <c r="E183" i="103"/>
  <c r="CQ164" i="103"/>
  <c r="G152" i="58"/>
  <c r="CQ151" i="103"/>
  <c r="M139" i="103"/>
  <c r="J139" i="103" s="1"/>
  <c r="L139" i="103"/>
  <c r="F103" i="103"/>
  <c r="AC103" i="103"/>
  <c r="E103" i="103"/>
  <c r="M134" i="67"/>
  <c r="AE46" i="22"/>
  <c r="R45" i="58"/>
  <c r="L45" i="58" s="1"/>
  <c r="CH45" i="103"/>
  <c r="CK48" i="103"/>
  <c r="D42" i="67"/>
  <c r="CI352" i="103"/>
  <c r="CL352" i="103" s="1"/>
  <c r="J342" i="22"/>
  <c r="AA341" i="103"/>
  <c r="R341" i="58"/>
  <c r="L341" i="58" s="1"/>
  <c r="CH341" i="103"/>
  <c r="CM296" i="103"/>
  <c r="CG296" i="103" s="1"/>
  <c r="J290" i="22"/>
  <c r="T131" i="23"/>
  <c r="CQ255" i="103"/>
  <c r="M237" i="103"/>
  <c r="J237" i="103" s="1"/>
  <c r="L237" i="103"/>
  <c r="CK233" i="103"/>
  <c r="M220" i="103"/>
  <c r="J220" i="103" s="1"/>
  <c r="L220" i="103"/>
  <c r="F172" i="103"/>
  <c r="AC172" i="103"/>
  <c r="E172" i="103"/>
  <c r="E382" i="58"/>
  <c r="E395" i="58"/>
  <c r="Y192" i="58"/>
  <c r="AA198" i="58"/>
  <c r="J198" i="58" s="1"/>
  <c r="Z198" i="58"/>
  <c r="I198" i="58" s="1"/>
  <c r="AC198" i="58"/>
  <c r="M198" i="58" s="1"/>
  <c r="AB198" i="58"/>
  <c r="K198" i="58" s="1"/>
  <c r="BD381" i="103"/>
  <c r="CK139" i="103"/>
  <c r="CQ125" i="103"/>
  <c r="CK113" i="103"/>
  <c r="CQ118" i="103"/>
  <c r="M110" i="103"/>
  <c r="J110" i="103" s="1"/>
  <c r="L110" i="103"/>
  <c r="N394" i="58"/>
  <c r="N381" i="58"/>
  <c r="AT388" i="103"/>
  <c r="AQ23" i="22"/>
  <c r="F400" i="58"/>
  <c r="F387" i="58"/>
  <c r="AC348" i="103"/>
  <c r="F348" i="103"/>
  <c r="D386" i="58"/>
  <c r="D399" i="58"/>
  <c r="J315" i="22"/>
  <c r="J297" i="22"/>
  <c r="T138" i="23"/>
  <c r="F276" i="103"/>
  <c r="AC276" i="103"/>
  <c r="E276" i="103"/>
  <c r="N261" i="67"/>
  <c r="J213" i="22"/>
  <c r="AA212" i="103"/>
  <c r="CP383" i="103"/>
  <c r="M234" i="103"/>
  <c r="J234" i="103" s="1"/>
  <c r="L234" i="103"/>
  <c r="AA204" i="103"/>
  <c r="AB219" i="58"/>
  <c r="K219" i="58" s="1"/>
  <c r="AA219" i="58"/>
  <c r="J219" i="58" s="1"/>
  <c r="Z219" i="58"/>
  <c r="I219" i="58" s="1"/>
  <c r="AC219" i="58"/>
  <c r="M219" i="58" s="1"/>
  <c r="G165" i="58"/>
  <c r="E394" i="58"/>
  <c r="E381" i="58"/>
  <c r="Y162" i="58"/>
  <c r="AN380" i="103"/>
  <c r="AC158" i="58"/>
  <c r="M158" i="58" s="1"/>
  <c r="Z158" i="58"/>
  <c r="I158" i="58" s="1"/>
  <c r="AA158" i="58"/>
  <c r="J158" i="58" s="1"/>
  <c r="AB158" i="58"/>
  <c r="K158" i="58" s="1"/>
  <c r="CR92" i="103"/>
  <c r="F71" i="103"/>
  <c r="AC71" i="103"/>
  <c r="E71" i="103"/>
  <c r="AQ61" i="22"/>
  <c r="AG324" i="22"/>
  <c r="L333" i="67"/>
  <c r="AG42" i="22"/>
  <c r="CI41" i="103"/>
  <c r="CL41" i="103" s="1"/>
  <c r="AM41" i="103"/>
  <c r="AA95" i="58"/>
  <c r="J95" i="58" s="1"/>
  <c r="Z95" i="58"/>
  <c r="I95" i="58" s="1"/>
  <c r="AC95" i="58"/>
  <c r="M95" i="58" s="1"/>
  <c r="AB95" i="58"/>
  <c r="K95" i="58" s="1"/>
  <c r="F57" i="103"/>
  <c r="AC57" i="103"/>
  <c r="E57" i="103"/>
  <c r="M87" i="103"/>
  <c r="J87" i="103" s="1"/>
  <c r="L87" i="103"/>
  <c r="Z64" i="58"/>
  <c r="I64" i="58" s="1"/>
  <c r="AB64" i="58"/>
  <c r="K64" i="58" s="1"/>
  <c r="AA64" i="58"/>
  <c r="J64" i="58" s="1"/>
  <c r="AC64" i="58"/>
  <c r="M64" i="58" s="1"/>
  <c r="K391" i="67"/>
  <c r="K71" i="67"/>
  <c r="CI343" i="103"/>
  <c r="CL343" i="103" s="1"/>
  <c r="CM366" i="103"/>
  <c r="CG366" i="103" s="1"/>
  <c r="H355" i="67"/>
  <c r="R332" i="58"/>
  <c r="L332" i="58" s="1"/>
  <c r="CH332" i="103"/>
  <c r="F275" i="103"/>
  <c r="AC275" i="103"/>
  <c r="E275" i="103"/>
  <c r="M247" i="103"/>
  <c r="J247" i="103" s="1"/>
  <c r="L247" i="103"/>
  <c r="F242" i="103"/>
  <c r="AC242" i="103"/>
  <c r="E242" i="103"/>
  <c r="Z204" i="58"/>
  <c r="I204" i="58" s="1"/>
  <c r="AC204" i="58"/>
  <c r="M204" i="58" s="1"/>
  <c r="AB204" i="58"/>
  <c r="K204" i="58" s="1"/>
  <c r="AA204" i="58"/>
  <c r="J204" i="58" s="1"/>
  <c r="AC176" i="58"/>
  <c r="M176" i="58" s="1"/>
  <c r="Z176" i="58"/>
  <c r="I176" i="58" s="1"/>
  <c r="AA176" i="58"/>
  <c r="J176" i="58" s="1"/>
  <c r="AB176" i="58"/>
  <c r="K176" i="58" s="1"/>
  <c r="F120" i="103"/>
  <c r="AC120" i="103"/>
  <c r="E120" i="103"/>
  <c r="F104" i="103"/>
  <c r="AC104" i="103"/>
  <c r="E104" i="103"/>
  <c r="M89" i="103"/>
  <c r="J89" i="103" s="1"/>
  <c r="L89" i="103"/>
  <c r="BS388" i="103"/>
  <c r="Y159" i="23"/>
  <c r="AK388" i="103"/>
  <c r="CI310" i="103"/>
  <c r="CL310" i="103" s="1"/>
  <c r="AM310" i="103"/>
  <c r="CR273" i="103"/>
  <c r="AB289" i="58"/>
  <c r="K289" i="58" s="1"/>
  <c r="AA289" i="58"/>
  <c r="J289" i="58" s="1"/>
  <c r="Z289" i="58"/>
  <c r="I289" i="58" s="1"/>
  <c r="AC289" i="58"/>
  <c r="M289" i="58" s="1"/>
  <c r="M292" i="103"/>
  <c r="J292" i="103" s="1"/>
  <c r="L292" i="103"/>
  <c r="G257" i="58"/>
  <c r="C396" i="58"/>
  <c r="C383" i="58"/>
  <c r="G223" i="58"/>
  <c r="M171" i="103"/>
  <c r="J171" i="103" s="1"/>
  <c r="L171" i="103"/>
  <c r="F140" i="103"/>
  <c r="AC140" i="103"/>
  <c r="E140" i="103"/>
  <c r="J138" i="22"/>
  <c r="AA137" i="103"/>
  <c r="AE117" i="22"/>
  <c r="R116" i="58"/>
  <c r="L116" i="58" s="1"/>
  <c r="CH116" i="103"/>
  <c r="AG91" i="22"/>
  <c r="CI90" i="103"/>
  <c r="CL90" i="103" s="1"/>
  <c r="G64" i="58"/>
  <c r="J18" i="22"/>
  <c r="AA17" i="103"/>
  <c r="G26" i="58"/>
  <c r="CM334" i="103"/>
  <c r="CG334" i="103" s="1"/>
  <c r="Q396" i="58"/>
  <c r="Q383" i="58"/>
  <c r="AB212" i="58"/>
  <c r="K212" i="58" s="1"/>
  <c r="Z212" i="58"/>
  <c r="I212" i="58" s="1"/>
  <c r="AC212" i="58"/>
  <c r="M212" i="58" s="1"/>
  <c r="AA212" i="58"/>
  <c r="J212" i="58" s="1"/>
  <c r="E396" i="58"/>
  <c r="E383" i="58"/>
  <c r="Y223" i="58"/>
  <c r="F204" i="103"/>
  <c r="AC204" i="103"/>
  <c r="E204" i="103"/>
  <c r="AG163" i="22"/>
  <c r="AN381" i="103"/>
  <c r="CI162" i="103"/>
  <c r="AM162" i="103"/>
  <c r="M149" i="103"/>
  <c r="J149" i="103" s="1"/>
  <c r="L149" i="103"/>
  <c r="CQ144" i="103"/>
  <c r="CR144" i="103"/>
  <c r="M47" i="103"/>
  <c r="J47" i="103" s="1"/>
  <c r="L47" i="103"/>
  <c r="CP12" i="103"/>
  <c r="BB12" i="103"/>
  <c r="G352" i="58"/>
  <c r="AG320" i="22"/>
  <c r="L329" i="67"/>
  <c r="CM364" i="103"/>
  <c r="CG364" i="103" s="1"/>
  <c r="AG38" i="22"/>
  <c r="CI37" i="103"/>
  <c r="CL37" i="103" s="1"/>
  <c r="J337" i="22"/>
  <c r="AA336" i="103"/>
  <c r="F334" i="103"/>
  <c r="AC334" i="103"/>
  <c r="Z274" i="58"/>
  <c r="I274" i="58" s="1"/>
  <c r="AC274" i="58"/>
  <c r="M274" i="58" s="1"/>
  <c r="AB274" i="58"/>
  <c r="K274" i="58" s="1"/>
  <c r="AA274" i="58"/>
  <c r="J274" i="58" s="1"/>
  <c r="AG198" i="22"/>
  <c r="CI197" i="103"/>
  <c r="CL197" i="103" s="1"/>
  <c r="AM197" i="103"/>
  <c r="BB377" i="103"/>
  <c r="CM42" i="103"/>
  <c r="CO42" i="103" s="1"/>
  <c r="H377" i="103"/>
  <c r="AC42" i="103"/>
  <c r="F42" i="103"/>
  <c r="E42" i="103"/>
  <c r="J366" i="22"/>
  <c r="AA365" i="103"/>
  <c r="CR233" i="103"/>
  <c r="C382" i="58"/>
  <c r="C395" i="58"/>
  <c r="G192" i="58"/>
  <c r="C380" i="58"/>
  <c r="C393" i="58"/>
  <c r="G131" i="58"/>
  <c r="AE155" i="22"/>
  <c r="R154" i="58"/>
  <c r="L154" i="58" s="1"/>
  <c r="CH154" i="103"/>
  <c r="M138" i="103"/>
  <c r="J138" i="103" s="1"/>
  <c r="L138" i="103"/>
  <c r="C103" i="67"/>
  <c r="AG22" i="22"/>
  <c r="CI21" i="103"/>
  <c r="CL21" i="103" s="1"/>
  <c r="AM21" i="103"/>
  <c r="AE48" i="22"/>
  <c r="R47" i="58"/>
  <c r="L47" i="58" s="1"/>
  <c r="CH47" i="103"/>
  <c r="AE20" i="22"/>
  <c r="R19" i="58"/>
  <c r="L19" i="58" s="1"/>
  <c r="CH19" i="103"/>
  <c r="CM337" i="103"/>
  <c r="CG337" i="103" s="1"/>
  <c r="C355" i="67"/>
  <c r="P386" i="58"/>
  <c r="P399" i="58"/>
  <c r="H385" i="103"/>
  <c r="F284" i="103"/>
  <c r="AC284" i="103"/>
  <c r="E284" i="103"/>
  <c r="AA275" i="103"/>
  <c r="J291" i="22"/>
  <c r="T132" i="23"/>
  <c r="AA290" i="103"/>
  <c r="M268" i="103"/>
  <c r="J268" i="103" s="1"/>
  <c r="L268" i="103"/>
  <c r="F243" i="103"/>
  <c r="AC243" i="103"/>
  <c r="E243" i="103"/>
  <c r="J247" i="22"/>
  <c r="AA246" i="103"/>
  <c r="AG244" i="22"/>
  <c r="CI243" i="103"/>
  <c r="CL243" i="103" s="1"/>
  <c r="AM243" i="103"/>
  <c r="F221" i="103"/>
  <c r="AC221" i="103"/>
  <c r="E221" i="103"/>
  <c r="CQ182" i="103"/>
  <c r="CO191" i="103"/>
  <c r="J124" i="22"/>
  <c r="AA123" i="103"/>
  <c r="D134" i="67"/>
  <c r="AA48" i="58"/>
  <c r="J48" i="58" s="1"/>
  <c r="Z48" i="58"/>
  <c r="I48" i="58" s="1"/>
  <c r="AB48" i="58"/>
  <c r="K48" i="58" s="1"/>
  <c r="AC48" i="58"/>
  <c r="M48" i="58" s="1"/>
  <c r="F48" i="103"/>
  <c r="AC48" i="103"/>
  <c r="E48" i="103"/>
  <c r="K401" i="67"/>
  <c r="K387" i="67"/>
  <c r="CQ321" i="103"/>
  <c r="AK264" i="22"/>
  <c r="CK330" i="103"/>
  <c r="CP384" i="103"/>
  <c r="CR254" i="103"/>
  <c r="F190" i="103"/>
  <c r="AC190" i="103"/>
  <c r="E190" i="103"/>
  <c r="AR194" i="103"/>
  <c r="BB193" i="103"/>
  <c r="BD193" i="103"/>
  <c r="Z137" i="58"/>
  <c r="I137" i="58" s="1"/>
  <c r="AC137" i="58"/>
  <c r="M137" i="58" s="1"/>
  <c r="AB137" i="58"/>
  <c r="K137" i="58" s="1"/>
  <c r="AA137" i="58"/>
  <c r="J137" i="58" s="1"/>
  <c r="G120" i="58"/>
  <c r="AE124" i="22"/>
  <c r="R123" i="58"/>
  <c r="L123" i="58" s="1"/>
  <c r="CH123" i="103"/>
  <c r="J70" i="22"/>
  <c r="AA69" i="103"/>
  <c r="CQ64" i="103"/>
  <c r="AA17" i="58"/>
  <c r="J17" i="58" s="1"/>
  <c r="AC17" i="58"/>
  <c r="M17" i="58" s="1"/>
  <c r="Z17" i="58"/>
  <c r="I17" i="58" s="1"/>
  <c r="AB17" i="58"/>
  <c r="K17" i="58" s="1"/>
  <c r="N396" i="58"/>
  <c r="N383" i="58"/>
  <c r="G33" i="58"/>
  <c r="G372" i="58"/>
  <c r="CM370" i="103"/>
  <c r="CG370" i="103" s="1"/>
  <c r="CM289" i="103"/>
  <c r="CG289" i="103" s="1"/>
  <c r="M244" i="103"/>
  <c r="J244" i="103" s="1"/>
  <c r="L244" i="103"/>
  <c r="M255" i="103"/>
  <c r="J255" i="103" s="1"/>
  <c r="L255" i="103"/>
  <c r="CQ215" i="103"/>
  <c r="AG189" i="22"/>
  <c r="CI188" i="103"/>
  <c r="CL188" i="103" s="1"/>
  <c r="AM188" i="103"/>
  <c r="AE201" i="22"/>
  <c r="R200" i="58"/>
  <c r="L200" i="58" s="1"/>
  <c r="CH200" i="103"/>
  <c r="CF200" i="103" s="1"/>
  <c r="AG138" i="22"/>
  <c r="CI137" i="103"/>
  <c r="CL137" i="103" s="1"/>
  <c r="AM137" i="103"/>
  <c r="AC148" i="58"/>
  <c r="M148" i="58" s="1"/>
  <c r="AA148" i="58"/>
  <c r="J148" i="58" s="1"/>
  <c r="Z148" i="58"/>
  <c r="I148" i="58" s="1"/>
  <c r="AB148" i="58"/>
  <c r="K148" i="58" s="1"/>
  <c r="AC138" i="103"/>
  <c r="F138" i="103"/>
  <c r="E138" i="103"/>
  <c r="G338" i="58"/>
  <c r="AG322" i="22"/>
  <c r="L331" i="67"/>
  <c r="M28" i="103"/>
  <c r="J28" i="103" s="1"/>
  <c r="L28" i="103"/>
  <c r="M37" i="103"/>
  <c r="L37" i="103"/>
  <c r="F30" i="103"/>
  <c r="AC30" i="103"/>
  <c r="CM352" i="103"/>
  <c r="CG352" i="103" s="1"/>
  <c r="G318" i="58"/>
  <c r="F258" i="103"/>
  <c r="AC258" i="103"/>
  <c r="E258" i="103"/>
  <c r="R320" i="58"/>
  <c r="L320" i="58" s="1"/>
  <c r="CH320" i="103"/>
  <c r="CF320" i="103" s="1"/>
  <c r="BB385" i="103"/>
  <c r="CM284" i="103"/>
  <c r="CO284" i="103" s="1"/>
  <c r="J262" i="22"/>
  <c r="AA261" i="103"/>
  <c r="CK264" i="103"/>
  <c r="AG218" i="22"/>
  <c r="CI217" i="103"/>
  <c r="CL217" i="103" s="1"/>
  <c r="AM217" i="103"/>
  <c r="AA42" i="103"/>
  <c r="C390" i="58"/>
  <c r="C377" i="58"/>
  <c r="G42" i="58"/>
  <c r="F12" i="103"/>
  <c r="AC12" i="103"/>
  <c r="F362" i="103"/>
  <c r="AC362" i="103"/>
  <c r="CM281" i="103"/>
  <c r="CG281" i="103" s="1"/>
  <c r="J284" i="22"/>
  <c r="AA283" i="103"/>
  <c r="J272" i="22"/>
  <c r="AA271" i="103"/>
  <c r="AA261" i="58"/>
  <c r="J261" i="58" s="1"/>
  <c r="Z261" i="58"/>
  <c r="I261" i="58" s="1"/>
  <c r="AB261" i="58"/>
  <c r="K261" i="58" s="1"/>
  <c r="AC261" i="58"/>
  <c r="M261" i="58" s="1"/>
  <c r="F244" i="103"/>
  <c r="AC244" i="103"/>
  <c r="E244" i="103"/>
  <c r="CK235" i="103"/>
  <c r="M159" i="103"/>
  <c r="J159" i="103" s="1"/>
  <c r="L159" i="103"/>
  <c r="J132" i="22"/>
  <c r="R380" i="103"/>
  <c r="CK127" i="103"/>
  <c r="BB379" i="103"/>
  <c r="CM101" i="103"/>
  <c r="CO101" i="103" s="1"/>
  <c r="F87" i="103"/>
  <c r="AC87" i="103"/>
  <c r="E87" i="103"/>
  <c r="AA26" i="58"/>
  <c r="J26" i="58" s="1"/>
  <c r="AC26" i="58"/>
  <c r="M26" i="58" s="1"/>
  <c r="AB26" i="58"/>
  <c r="K26" i="58" s="1"/>
  <c r="Z26" i="58"/>
  <c r="I26" i="58" s="1"/>
  <c r="AG31" i="22"/>
  <c r="CI30" i="103"/>
  <c r="CL30" i="103" s="1"/>
  <c r="AM30" i="103"/>
  <c r="F49" i="103"/>
  <c r="AC49" i="103"/>
  <c r="E49" i="103"/>
  <c r="G49" i="58"/>
  <c r="J14" i="22"/>
  <c r="AA13" i="103"/>
  <c r="O386" i="58"/>
  <c r="O399" i="58"/>
  <c r="AC290" i="58"/>
  <c r="M290" i="58" s="1"/>
  <c r="AB290" i="58"/>
  <c r="K290" i="58" s="1"/>
  <c r="AA290" i="58"/>
  <c r="J290" i="58" s="1"/>
  <c r="Z290" i="58"/>
  <c r="I290" i="58" s="1"/>
  <c r="AC278" i="58"/>
  <c r="M278" i="58" s="1"/>
  <c r="AB278" i="58"/>
  <c r="K278" i="58" s="1"/>
  <c r="AA278" i="58"/>
  <c r="J278" i="58" s="1"/>
  <c r="Z278" i="58"/>
  <c r="I278" i="58" s="1"/>
  <c r="CQ305" i="103"/>
  <c r="AB273" i="58"/>
  <c r="K273" i="58" s="1"/>
  <c r="Z273" i="58"/>
  <c r="I273" i="58" s="1"/>
  <c r="AA273" i="58"/>
  <c r="J273" i="58" s="1"/>
  <c r="AC273" i="58"/>
  <c r="M273" i="58" s="1"/>
  <c r="AB246" i="58"/>
  <c r="K246" i="58" s="1"/>
  <c r="AA246" i="58"/>
  <c r="J246" i="58" s="1"/>
  <c r="Z246" i="58"/>
  <c r="I246" i="58" s="1"/>
  <c r="AC246" i="58"/>
  <c r="M246" i="58" s="1"/>
  <c r="AG210" i="22"/>
  <c r="CI209" i="103"/>
  <c r="CL209" i="103" s="1"/>
  <c r="CQ180" i="103"/>
  <c r="F176" i="103"/>
  <c r="AC176" i="103"/>
  <c r="E176" i="103"/>
  <c r="F145" i="103"/>
  <c r="AC145" i="103"/>
  <c r="E145" i="103"/>
  <c r="M169" i="103"/>
  <c r="J169" i="103" s="1"/>
  <c r="L169" i="103"/>
  <c r="Z123" i="58"/>
  <c r="I123" i="58" s="1"/>
  <c r="AC123" i="58"/>
  <c r="M123" i="58" s="1"/>
  <c r="AA123" i="58"/>
  <c r="J123" i="58" s="1"/>
  <c r="AB123" i="58"/>
  <c r="K123" i="58" s="1"/>
  <c r="CQ59" i="103"/>
  <c r="AA71" i="58"/>
  <c r="J71" i="58" s="1"/>
  <c r="AB71" i="58"/>
  <c r="K71" i="58" s="1"/>
  <c r="AC71" i="58"/>
  <c r="M71" i="58" s="1"/>
  <c r="Z71" i="58"/>
  <c r="I71" i="58" s="1"/>
  <c r="N390" i="58"/>
  <c r="N377" i="58"/>
  <c r="AA48" i="103"/>
  <c r="CL54" i="103"/>
  <c r="D400" i="58"/>
  <c r="D387" i="58"/>
  <c r="E387" i="67"/>
  <c r="CI327" i="103"/>
  <c r="AM327" i="103"/>
  <c r="P142" i="23"/>
  <c r="CQ329" i="103"/>
  <c r="CQ254" i="103"/>
  <c r="M213" i="103"/>
  <c r="J213" i="103" s="1"/>
  <c r="L213" i="103"/>
  <c r="M203" i="103"/>
  <c r="J203" i="103" s="1"/>
  <c r="L203" i="103"/>
  <c r="G212" i="58"/>
  <c r="AG170" i="22"/>
  <c r="CI169" i="103"/>
  <c r="CL169" i="103" s="1"/>
  <c r="J181" i="22"/>
  <c r="AA180" i="103"/>
  <c r="AE190" i="22"/>
  <c r="R189" i="58"/>
  <c r="L189" i="58" s="1"/>
  <c r="CH189" i="103"/>
  <c r="CF189" i="103" s="1"/>
  <c r="F158" i="103"/>
  <c r="AC158" i="103"/>
  <c r="E158" i="103"/>
  <c r="CK145" i="103"/>
  <c r="M124" i="103"/>
  <c r="J124" i="103" s="1"/>
  <c r="L124" i="103"/>
  <c r="F84" i="103"/>
  <c r="AC84" i="103"/>
  <c r="E84" i="103"/>
  <c r="AC69" i="58"/>
  <c r="M69" i="58" s="1"/>
  <c r="Z69" i="58"/>
  <c r="I69" i="58" s="1"/>
  <c r="AA69" i="58"/>
  <c r="J69" i="58" s="1"/>
  <c r="AB69" i="58"/>
  <c r="K69" i="58" s="1"/>
  <c r="CQ80" i="103"/>
  <c r="AE63" i="22"/>
  <c r="R62" i="58"/>
  <c r="L62" i="58" s="1"/>
  <c r="CH62" i="103"/>
  <c r="J365" i="22"/>
  <c r="AA364" i="103"/>
  <c r="F347" i="103"/>
  <c r="AC347" i="103"/>
  <c r="C386" i="58"/>
  <c r="C399" i="58"/>
  <c r="G315" i="58"/>
  <c r="AA285" i="103"/>
  <c r="F273" i="103"/>
  <c r="AC273" i="103"/>
  <c r="E273" i="103"/>
  <c r="AK262" i="22"/>
  <c r="AA239" i="103"/>
  <c r="Z196" i="58"/>
  <c r="I196" i="58" s="1"/>
  <c r="AC196" i="58"/>
  <c r="M196" i="58" s="1"/>
  <c r="AB196" i="58"/>
  <c r="K196" i="58" s="1"/>
  <c r="AA196" i="58"/>
  <c r="J196" i="58" s="1"/>
  <c r="G158" i="58"/>
  <c r="M140" i="103"/>
  <c r="J140" i="103" s="1"/>
  <c r="L140" i="103"/>
  <c r="AC109" i="103"/>
  <c r="F109" i="103"/>
  <c r="E109" i="103"/>
  <c r="M63" i="103"/>
  <c r="J63" i="103" s="1"/>
  <c r="L63" i="103"/>
  <c r="F52" i="103"/>
  <c r="AC52" i="103"/>
  <c r="E52" i="103"/>
  <c r="AA370" i="103"/>
  <c r="AG357" i="22"/>
  <c r="L367" i="67"/>
  <c r="AG347" i="22"/>
  <c r="L357" i="67"/>
  <c r="AG350" i="22"/>
  <c r="L360" i="67"/>
  <c r="F363" i="103"/>
  <c r="AC363" i="103"/>
  <c r="R356" i="58"/>
  <c r="L356" i="58" s="1"/>
  <c r="CH356" i="103"/>
  <c r="F300" i="103"/>
  <c r="AC300" i="103"/>
  <c r="E300" i="103"/>
  <c r="J331" i="22"/>
  <c r="AA330" i="103"/>
  <c r="CM278" i="103"/>
  <c r="CG278" i="103" s="1"/>
  <c r="AC283" i="58"/>
  <c r="M283" i="58" s="1"/>
  <c r="AB283" i="58"/>
  <c r="K283" i="58" s="1"/>
  <c r="AA283" i="58"/>
  <c r="J283" i="58" s="1"/>
  <c r="Z283" i="58"/>
  <c r="I283" i="58" s="1"/>
  <c r="AB271" i="58"/>
  <c r="K271" i="58" s="1"/>
  <c r="AA271" i="58"/>
  <c r="J271" i="58" s="1"/>
  <c r="Z271" i="58"/>
  <c r="I271" i="58" s="1"/>
  <c r="AC271" i="58"/>
  <c r="M271" i="58" s="1"/>
  <c r="F288" i="103"/>
  <c r="AC288" i="103"/>
  <c r="E288" i="103"/>
  <c r="F259" i="103"/>
  <c r="AC259" i="103"/>
  <c r="E259" i="103"/>
  <c r="D384" i="58"/>
  <c r="D397" i="58"/>
  <c r="M206" i="103"/>
  <c r="J206" i="103" s="1"/>
  <c r="L206" i="103"/>
  <c r="F229" i="103"/>
  <c r="AC229" i="103"/>
  <c r="E229" i="103"/>
  <c r="AB226" i="58"/>
  <c r="K226" i="58" s="1"/>
  <c r="AA226" i="58"/>
  <c r="J226" i="58" s="1"/>
  <c r="Z226" i="58"/>
  <c r="I226" i="58" s="1"/>
  <c r="AC226" i="58"/>
  <c r="M226" i="58" s="1"/>
  <c r="F207" i="103"/>
  <c r="AC207" i="103"/>
  <c r="E207" i="103"/>
  <c r="M185" i="103"/>
  <c r="J185" i="103" s="1"/>
  <c r="L185" i="103"/>
  <c r="AG164" i="22"/>
  <c r="CI163" i="103"/>
  <c r="CL163" i="103" s="1"/>
  <c r="AM163" i="103"/>
  <c r="AE146" i="22"/>
  <c r="R145" i="58"/>
  <c r="L145" i="58" s="1"/>
  <c r="CH145" i="103"/>
  <c r="M99" i="103"/>
  <c r="J99" i="103" s="1"/>
  <c r="L99" i="103"/>
  <c r="J74" i="22"/>
  <c r="AA73" i="103"/>
  <c r="AG80" i="22"/>
  <c r="CI79" i="103"/>
  <c r="CL79" i="103" s="1"/>
  <c r="O378" i="58"/>
  <c r="O391" i="58"/>
  <c r="F58" i="103"/>
  <c r="AC58" i="103"/>
  <c r="E58" i="103"/>
  <c r="AG53" i="22"/>
  <c r="CI52" i="103"/>
  <c r="CL52" i="103" s="1"/>
  <c r="AM52" i="103"/>
  <c r="AN377" i="103"/>
  <c r="CP39" i="103"/>
  <c r="BB39" i="103"/>
  <c r="Z13" i="58"/>
  <c r="I13" i="58" s="1"/>
  <c r="AA13" i="58"/>
  <c r="J13" i="58" s="1"/>
  <c r="AB13" i="58"/>
  <c r="K13" i="58" s="1"/>
  <c r="AC13" i="58"/>
  <c r="M13" i="58" s="1"/>
  <c r="J367" i="22"/>
  <c r="AA366" i="103"/>
  <c r="CI333" i="103"/>
  <c r="CL333" i="103" s="1"/>
  <c r="AM333" i="103"/>
  <c r="AG144" i="23" s="1"/>
  <c r="F361" i="103"/>
  <c r="AC361" i="103"/>
  <c r="F272" i="103"/>
  <c r="AC272" i="103"/>
  <c r="E272" i="103"/>
  <c r="T168" i="23"/>
  <c r="M283" i="103"/>
  <c r="J283" i="103" s="1"/>
  <c r="L283" i="103"/>
  <c r="AE236" i="22"/>
  <c r="R235" i="58"/>
  <c r="L235" i="58" s="1"/>
  <c r="CH235" i="103"/>
  <c r="CF235" i="103" s="1"/>
  <c r="M229" i="103"/>
  <c r="J229" i="103" s="1"/>
  <c r="L229" i="103"/>
  <c r="AG185" i="22"/>
  <c r="CI184" i="103"/>
  <c r="CL184" i="103" s="1"/>
  <c r="AM184" i="103"/>
  <c r="J165" i="22"/>
  <c r="AA164" i="103"/>
  <c r="D378" i="58"/>
  <c r="D391" i="58"/>
  <c r="AE58" i="22"/>
  <c r="R57" i="58"/>
  <c r="L57" i="58" s="1"/>
  <c r="CH57" i="103"/>
  <c r="CP31" i="103"/>
  <c r="BB31" i="103"/>
  <c r="AQ43" i="22"/>
  <c r="BQ388" i="103"/>
  <c r="M23" i="103"/>
  <c r="J23" i="103" s="1"/>
  <c r="L23" i="103"/>
  <c r="J324" i="22"/>
  <c r="AA323" i="103"/>
  <c r="F325" i="103"/>
  <c r="AC325" i="103"/>
  <c r="M298" i="103"/>
  <c r="J298" i="103" s="1"/>
  <c r="L298" i="103"/>
  <c r="Z180" i="58"/>
  <c r="I180" i="58" s="1"/>
  <c r="AC180" i="58"/>
  <c r="M180" i="58" s="1"/>
  <c r="AA180" i="58"/>
  <c r="J180" i="58" s="1"/>
  <c r="AB180" i="58"/>
  <c r="K180" i="58" s="1"/>
  <c r="G193" i="58"/>
  <c r="E134" i="67"/>
  <c r="G90" i="58"/>
  <c r="AA95" i="103"/>
  <c r="F91" i="103"/>
  <c r="AC91" i="103"/>
  <c r="E91" i="103"/>
  <c r="M43" i="103"/>
  <c r="J43" i="103" s="1"/>
  <c r="L43" i="103"/>
  <c r="M31" i="103"/>
  <c r="J31" i="103" s="1"/>
  <c r="L31" i="103"/>
  <c r="F21" i="103"/>
  <c r="AC21" i="103"/>
  <c r="CM361" i="103"/>
  <c r="CG361" i="103" s="1"/>
  <c r="J309" i="22"/>
  <c r="T150" i="23"/>
  <c r="AA308" i="103"/>
  <c r="F326" i="103"/>
  <c r="AC326" i="103"/>
  <c r="AA273" i="103"/>
  <c r="AA241" i="58"/>
  <c r="J241" i="58" s="1"/>
  <c r="AC241" i="58"/>
  <c r="M241" i="58" s="1"/>
  <c r="Z241" i="58"/>
  <c r="I241" i="58" s="1"/>
  <c r="AB241" i="58"/>
  <c r="K241" i="58" s="1"/>
  <c r="Z243" i="58"/>
  <c r="I243" i="58" s="1"/>
  <c r="AA243" i="58"/>
  <c r="J243" i="58" s="1"/>
  <c r="AB243" i="58"/>
  <c r="K243" i="58" s="1"/>
  <c r="AC243" i="58"/>
  <c r="M243" i="58" s="1"/>
  <c r="F239" i="103"/>
  <c r="AC239" i="103"/>
  <c r="E239" i="103"/>
  <c r="M96" i="103"/>
  <c r="J96" i="103" s="1"/>
  <c r="L96" i="103"/>
  <c r="Z59" i="58"/>
  <c r="I59" i="58" s="1"/>
  <c r="AB59" i="58"/>
  <c r="K59" i="58" s="1"/>
  <c r="AA59" i="58"/>
  <c r="J59" i="58" s="1"/>
  <c r="AC59" i="58"/>
  <c r="M59" i="58" s="1"/>
  <c r="AQ32" i="22"/>
  <c r="AC21" i="58"/>
  <c r="M21" i="58" s="1"/>
  <c r="AB21" i="58"/>
  <c r="K21" i="58" s="1"/>
  <c r="AA21" i="58"/>
  <c r="J21" i="58" s="1"/>
  <c r="Z21" i="58"/>
  <c r="I21" i="58" s="1"/>
  <c r="AC36" i="103"/>
  <c r="CL368" i="103"/>
  <c r="CK368" i="103"/>
  <c r="AG348" i="22"/>
  <c r="L358" i="67"/>
  <c r="AG313" i="22"/>
  <c r="L321" i="67"/>
  <c r="AG358" i="22"/>
  <c r="L368" i="67"/>
  <c r="J346" i="22"/>
  <c r="R387" i="103"/>
  <c r="AA345" i="103"/>
  <c r="CI309" i="103"/>
  <c r="CL309" i="103" s="1"/>
  <c r="CM275" i="103"/>
  <c r="CG275" i="103" s="1"/>
  <c r="AA259" i="103"/>
  <c r="AE205" i="22"/>
  <c r="R204" i="58"/>
  <c r="L204" i="58" s="1"/>
  <c r="CH204" i="103"/>
  <c r="CF204" i="103" s="1"/>
  <c r="M150" i="103"/>
  <c r="J150" i="103" s="1"/>
  <c r="L150" i="103"/>
  <c r="E393" i="58"/>
  <c r="E380" i="58"/>
  <c r="Y131" i="58"/>
  <c r="J158" i="22"/>
  <c r="AA157" i="103"/>
  <c r="AA73" i="58"/>
  <c r="J73" i="58" s="1"/>
  <c r="AC73" i="58"/>
  <c r="M73" i="58" s="1"/>
  <c r="AB73" i="58"/>
  <c r="K73" i="58" s="1"/>
  <c r="Z73" i="58"/>
  <c r="I73" i="58" s="1"/>
  <c r="AG71" i="22"/>
  <c r="AN378" i="103"/>
  <c r="CI70" i="103"/>
  <c r="CK70" i="103" s="1"/>
  <c r="M82" i="103"/>
  <c r="J82" i="103" s="1"/>
  <c r="L82" i="103"/>
  <c r="O377" i="103"/>
  <c r="M42" i="103"/>
  <c r="L42" i="103"/>
  <c r="AG59" i="22"/>
  <c r="CI58" i="103"/>
  <c r="CL58" i="103" s="1"/>
  <c r="AM58" i="103"/>
  <c r="J26" i="22"/>
  <c r="AA25" i="103"/>
  <c r="E324" i="67"/>
  <c r="AB244" i="58"/>
  <c r="K244" i="58" s="1"/>
  <c r="AA244" i="58"/>
  <c r="J244" i="58" s="1"/>
  <c r="Z244" i="58"/>
  <c r="I244" i="58" s="1"/>
  <c r="AC244" i="58"/>
  <c r="M244" i="58" s="1"/>
  <c r="M194" i="103"/>
  <c r="J194" i="103" s="1"/>
  <c r="L194" i="103"/>
  <c r="F174" i="103"/>
  <c r="AC174" i="103"/>
  <c r="E174" i="103"/>
  <c r="M198" i="103"/>
  <c r="J198" i="103" s="1"/>
  <c r="L198" i="103"/>
  <c r="Z164" i="58"/>
  <c r="I164" i="58" s="1"/>
  <c r="AB164" i="58"/>
  <c r="K164" i="58" s="1"/>
  <c r="AC164" i="58"/>
  <c r="M164" i="58" s="1"/>
  <c r="AA164" i="58"/>
  <c r="J164" i="58" s="1"/>
  <c r="J116" i="22"/>
  <c r="AA115" i="103"/>
  <c r="AG97" i="22"/>
  <c r="CI96" i="103"/>
  <c r="CL96" i="103" s="1"/>
  <c r="AM96" i="103"/>
  <c r="M98" i="103"/>
  <c r="J98" i="103" s="1"/>
  <c r="L98" i="103"/>
  <c r="J91" i="22"/>
  <c r="AA90" i="103"/>
  <c r="M36" i="103"/>
  <c r="L36" i="103"/>
  <c r="N42" i="67"/>
  <c r="R373" i="58"/>
  <c r="L373" i="58" s="1"/>
  <c r="CJ373" i="103"/>
  <c r="G362" i="58"/>
  <c r="CM314" i="103"/>
  <c r="CG314" i="103" s="1"/>
  <c r="F305" i="103"/>
  <c r="AC305" i="103"/>
  <c r="C384" i="58"/>
  <c r="C397" i="58"/>
  <c r="G254" i="58"/>
  <c r="G262" i="58"/>
  <c r="F241" i="103"/>
  <c r="AC241" i="103"/>
  <c r="E241" i="103"/>
  <c r="AA226" i="103"/>
  <c r="AE181" i="22"/>
  <c r="R180" i="58"/>
  <c r="L180" i="58" s="1"/>
  <c r="CH180" i="103"/>
  <c r="CF180" i="103" s="1"/>
  <c r="AA131" i="103"/>
  <c r="CM114" i="103"/>
  <c r="CG114" i="103" s="1"/>
  <c r="AC95" i="103"/>
  <c r="F95" i="103"/>
  <c r="E95" i="103"/>
  <c r="AE79" i="22"/>
  <c r="R78" i="58"/>
  <c r="L78" i="58" s="1"/>
  <c r="CH78" i="103"/>
  <c r="M56" i="103"/>
  <c r="J56" i="103" s="1"/>
  <c r="L56" i="103"/>
  <c r="F324" i="103"/>
  <c r="AC324" i="103"/>
  <c r="CR297" i="103"/>
  <c r="F214" i="103"/>
  <c r="AC214" i="103"/>
  <c r="E214" i="103"/>
  <c r="CR218" i="103"/>
  <c r="AB201" i="58"/>
  <c r="K201" i="58" s="1"/>
  <c r="Z201" i="58"/>
  <c r="I201" i="58" s="1"/>
  <c r="AC201" i="58"/>
  <c r="M201" i="58" s="1"/>
  <c r="AA201" i="58"/>
  <c r="J201" i="58" s="1"/>
  <c r="CG171" i="103"/>
  <c r="CL189" i="103"/>
  <c r="CK189" i="103"/>
  <c r="AG139" i="22"/>
  <c r="CI138" i="103"/>
  <c r="CL138" i="103" s="1"/>
  <c r="AM138" i="103"/>
  <c r="O380" i="103"/>
  <c r="M131" i="103"/>
  <c r="L131" i="103"/>
  <c r="AC156" i="103"/>
  <c r="F156" i="103"/>
  <c r="E156" i="103"/>
  <c r="AC41" i="103"/>
  <c r="CP37" i="103"/>
  <c r="BB37" i="103"/>
  <c r="CL359" i="103"/>
  <c r="CK359" i="103"/>
  <c r="F358" i="103"/>
  <c r="AC358" i="103"/>
  <c r="CM38" i="103"/>
  <c r="CG38" i="103" s="1"/>
  <c r="AG54" i="22"/>
  <c r="CI53" i="103"/>
  <c r="CL53" i="103" s="1"/>
  <c r="AM53" i="103"/>
  <c r="J332" i="22"/>
  <c r="AA331" i="103"/>
  <c r="CI304" i="103"/>
  <c r="CL304" i="103" s="1"/>
  <c r="R330" i="58"/>
  <c r="L330" i="58" s="1"/>
  <c r="CH330" i="103"/>
  <c r="CM272" i="103"/>
  <c r="CG272" i="103" s="1"/>
  <c r="M296" i="103"/>
  <c r="J296" i="103" s="1"/>
  <c r="L296" i="103"/>
  <c r="J281" i="22"/>
  <c r="AA280" i="103"/>
  <c r="J269" i="22"/>
  <c r="AA268" i="103"/>
  <c r="CO262" i="103"/>
  <c r="AE237" i="22"/>
  <c r="R236" i="58"/>
  <c r="L236" i="58" s="1"/>
  <c r="CH236" i="103"/>
  <c r="CF236" i="103" s="1"/>
  <c r="W226" i="103"/>
  <c r="BR226" i="103"/>
  <c r="F205" i="103"/>
  <c r="AC205" i="103"/>
  <c r="E205" i="103"/>
  <c r="M205" i="103"/>
  <c r="J205" i="103" s="1"/>
  <c r="L205" i="103"/>
  <c r="AQ224" i="22"/>
  <c r="M176" i="103"/>
  <c r="J176" i="103" s="1"/>
  <c r="L176" i="103"/>
  <c r="Z157" i="58"/>
  <c r="I157" i="58" s="1"/>
  <c r="AB157" i="58"/>
  <c r="K157" i="58" s="1"/>
  <c r="AC157" i="58"/>
  <c r="M157" i="58" s="1"/>
  <c r="AA157" i="58"/>
  <c r="J157" i="58" s="1"/>
  <c r="J128" i="22"/>
  <c r="AA127" i="103"/>
  <c r="AE137" i="22"/>
  <c r="R136" i="58"/>
  <c r="L136" i="58" s="1"/>
  <c r="CH136" i="103"/>
  <c r="CQ117" i="103"/>
  <c r="AG121" i="22"/>
  <c r="CI120" i="103"/>
  <c r="CL120" i="103" s="1"/>
  <c r="AM120" i="103"/>
  <c r="AC124" i="103"/>
  <c r="F124" i="103"/>
  <c r="E124" i="103"/>
  <c r="CK100" i="103"/>
  <c r="AC38" i="103"/>
  <c r="CP27" i="103"/>
  <c r="BB27" i="103"/>
  <c r="AC40" i="103"/>
  <c r="Z25" i="58"/>
  <c r="I25" i="58" s="1"/>
  <c r="AC25" i="58"/>
  <c r="M25" i="58" s="1"/>
  <c r="AA25" i="58"/>
  <c r="J25" i="58" s="1"/>
  <c r="AB25" i="58"/>
  <c r="K25" i="58" s="1"/>
  <c r="CO319" i="103"/>
  <c r="J320" i="22"/>
  <c r="AA319" i="103"/>
  <c r="J285" i="22"/>
  <c r="T126" i="23"/>
  <c r="R385" i="103"/>
  <c r="AC275" i="58"/>
  <c r="M275" i="58" s="1"/>
  <c r="AA275" i="58"/>
  <c r="J275" i="58" s="1"/>
  <c r="AB275" i="58"/>
  <c r="K275" i="58" s="1"/>
  <c r="Z275" i="58"/>
  <c r="I275" i="58" s="1"/>
  <c r="AK267" i="22"/>
  <c r="M280" i="103"/>
  <c r="J280" i="103" s="1"/>
  <c r="L280" i="103"/>
  <c r="G247" i="58"/>
  <c r="M228" i="103"/>
  <c r="J228" i="103" s="1"/>
  <c r="L228" i="103"/>
  <c r="H382" i="103"/>
  <c r="F192" i="103"/>
  <c r="AC192" i="103"/>
  <c r="E192" i="103"/>
  <c r="CO189" i="103"/>
  <c r="AC115" i="58"/>
  <c r="M115" i="58" s="1"/>
  <c r="Z115" i="58"/>
  <c r="I115" i="58" s="1"/>
  <c r="AA115" i="58"/>
  <c r="J115" i="58" s="1"/>
  <c r="AB115" i="58"/>
  <c r="K115" i="58" s="1"/>
  <c r="J112" i="22"/>
  <c r="AA111" i="103"/>
  <c r="Z94" i="58"/>
  <c r="I94" i="58" s="1"/>
  <c r="AC94" i="58"/>
  <c r="M94" i="58" s="1"/>
  <c r="AB94" i="58"/>
  <c r="K94" i="58" s="1"/>
  <c r="AA94" i="58"/>
  <c r="J94" i="58" s="1"/>
  <c r="AC90" i="58"/>
  <c r="M90" i="58" s="1"/>
  <c r="Z90" i="58"/>
  <c r="I90" i="58" s="1"/>
  <c r="AA90" i="58"/>
  <c r="J90" i="58" s="1"/>
  <c r="AB90" i="58"/>
  <c r="K90" i="58" s="1"/>
  <c r="AC45" i="103"/>
  <c r="F45" i="103"/>
  <c r="E45" i="103"/>
  <c r="V159" i="23"/>
  <c r="AH388" i="103"/>
  <c r="CK16" i="103"/>
  <c r="M35" i="103"/>
  <c r="J35" i="103" s="1"/>
  <c r="L35" i="103"/>
  <c r="AC226" i="103"/>
  <c r="E226" i="103"/>
  <c r="M202" i="103"/>
  <c r="J202" i="103" s="1"/>
  <c r="L202" i="103"/>
  <c r="CK207" i="103"/>
  <c r="J185" i="22"/>
  <c r="AA184" i="103"/>
  <c r="M187" i="103"/>
  <c r="J187" i="103" s="1"/>
  <c r="L187" i="103"/>
  <c r="J142" i="22"/>
  <c r="AA141" i="103"/>
  <c r="CQ155" i="103"/>
  <c r="H380" i="103"/>
  <c r="AC131" i="103"/>
  <c r="F131" i="103"/>
  <c r="E131" i="103"/>
  <c r="M163" i="103"/>
  <c r="J163" i="103" s="1"/>
  <c r="L163" i="103"/>
  <c r="CQ102" i="103"/>
  <c r="M112" i="103"/>
  <c r="J112" i="103" s="1"/>
  <c r="L112" i="103"/>
  <c r="CK136" i="103"/>
  <c r="BR102" i="103"/>
  <c r="B107" i="13"/>
  <c r="AG73" i="22"/>
  <c r="CI72" i="103"/>
  <c r="CL72" i="103" s="1"/>
  <c r="AM72" i="103"/>
  <c r="F29" i="103"/>
  <c r="AC29" i="103"/>
  <c r="G8" i="53"/>
  <c r="H159" i="23"/>
  <c r="AQ388" i="103"/>
  <c r="J357" i="22"/>
  <c r="AA356" i="103"/>
  <c r="R353" i="58"/>
  <c r="L353" i="58" s="1"/>
  <c r="CH353" i="103"/>
  <c r="CQ271" i="103"/>
  <c r="F282" i="103"/>
  <c r="AC282" i="103"/>
  <c r="E282" i="103"/>
  <c r="F270" i="103"/>
  <c r="AC270" i="103"/>
  <c r="E270" i="103"/>
  <c r="AA205" i="58"/>
  <c r="J205" i="58" s="1"/>
  <c r="AC205" i="58"/>
  <c r="M205" i="58" s="1"/>
  <c r="Z205" i="58"/>
  <c r="I205" i="58" s="1"/>
  <c r="AB205" i="58"/>
  <c r="K205" i="58" s="1"/>
  <c r="AG215" i="22"/>
  <c r="CI214" i="103"/>
  <c r="CL214" i="103" s="1"/>
  <c r="AM214" i="103"/>
  <c r="AG156" i="22"/>
  <c r="CI155" i="103"/>
  <c r="CL155" i="103" s="1"/>
  <c r="AM155" i="103"/>
  <c r="AA156" i="103"/>
  <c r="AB93" i="58"/>
  <c r="K93" i="58" s="1"/>
  <c r="AA93" i="58"/>
  <c r="J93" i="58" s="1"/>
  <c r="Z93" i="58"/>
  <c r="I93" i="58" s="1"/>
  <c r="AC93" i="58"/>
  <c r="M93" i="58" s="1"/>
  <c r="CQ54" i="103"/>
  <c r="CR54" i="103"/>
  <c r="CR371" i="103"/>
  <c r="CQ371" i="103"/>
  <c r="AG351" i="22"/>
  <c r="L361" i="67"/>
  <c r="AG374" i="22"/>
  <c r="L384" i="67"/>
  <c r="Y15" i="68" s="1"/>
  <c r="AG206" i="22"/>
  <c r="CI205" i="103"/>
  <c r="CL205" i="103" s="1"/>
  <c r="AM205" i="103"/>
  <c r="M141" i="103"/>
  <c r="J141" i="103" s="1"/>
  <c r="L141" i="103"/>
  <c r="AC127" i="58"/>
  <c r="M127" i="58" s="1"/>
  <c r="AA127" i="58"/>
  <c r="J127" i="58" s="1"/>
  <c r="AB127" i="58"/>
  <c r="K127" i="58" s="1"/>
  <c r="Z127" i="58"/>
  <c r="I127" i="58" s="1"/>
  <c r="AE116" i="22"/>
  <c r="R115" i="58"/>
  <c r="L115" i="58" s="1"/>
  <c r="CH115" i="103"/>
  <c r="AG112" i="22"/>
  <c r="CI111" i="103"/>
  <c r="CL111" i="103" s="1"/>
  <c r="F94" i="103"/>
  <c r="AC94" i="103"/>
  <c r="E94" i="103"/>
  <c r="O378" i="103"/>
  <c r="M70" i="103"/>
  <c r="L70" i="103"/>
  <c r="J359" i="22"/>
  <c r="AA358" i="103"/>
  <c r="F281" i="103"/>
  <c r="AC281" i="103"/>
  <c r="E281" i="103"/>
  <c r="F269" i="103"/>
  <c r="AC269" i="103"/>
  <c r="E269" i="103"/>
  <c r="G168" i="23"/>
  <c r="D8" i="104"/>
  <c r="AE229" i="22"/>
  <c r="R228" i="58"/>
  <c r="L228" i="58" s="1"/>
  <c r="CH228" i="103"/>
  <c r="CF228" i="103" s="1"/>
  <c r="J209" i="22"/>
  <c r="AA208" i="103"/>
  <c r="J223" i="22"/>
  <c r="AA222" i="103"/>
  <c r="AG183" i="22"/>
  <c r="CI182" i="103"/>
  <c r="CL182" i="103" s="1"/>
  <c r="AM182" i="103"/>
  <c r="AB111" i="58"/>
  <c r="K111" i="58" s="1"/>
  <c r="AA111" i="58"/>
  <c r="J111" i="58" s="1"/>
  <c r="Z111" i="58"/>
  <c r="I111" i="58" s="1"/>
  <c r="AC111" i="58"/>
  <c r="M111" i="58" s="1"/>
  <c r="Z104" i="58"/>
  <c r="I104" i="58" s="1"/>
  <c r="AB104" i="58"/>
  <c r="K104" i="58" s="1"/>
  <c r="AC104" i="58"/>
  <c r="M104" i="58" s="1"/>
  <c r="AA104" i="58"/>
  <c r="J104" i="58" s="1"/>
  <c r="J81" i="22"/>
  <c r="AA80" i="103"/>
  <c r="Q389" i="58"/>
  <c r="Q376" i="58"/>
  <c r="CL311" i="103"/>
  <c r="R317" i="58"/>
  <c r="L317" i="58" s="1"/>
  <c r="CH317" i="103"/>
  <c r="CF317" i="103" s="1"/>
  <c r="G234" i="58"/>
  <c r="G205" i="58"/>
  <c r="AE224" i="22"/>
  <c r="R223" i="58"/>
  <c r="CH223" i="103"/>
  <c r="AG168" i="22"/>
  <c r="CI167" i="103"/>
  <c r="CL167" i="103" s="1"/>
  <c r="F181" i="103"/>
  <c r="AC181" i="103"/>
  <c r="E181" i="103"/>
  <c r="AC184" i="58"/>
  <c r="M184" i="58" s="1"/>
  <c r="AA184" i="58"/>
  <c r="J184" i="58" s="1"/>
  <c r="Z184" i="58"/>
  <c r="I184" i="58" s="1"/>
  <c r="AB184" i="58"/>
  <c r="K184" i="58" s="1"/>
  <c r="J169" i="22"/>
  <c r="AA168" i="103"/>
  <c r="AE172" i="22"/>
  <c r="R171" i="58"/>
  <c r="L171" i="58" s="1"/>
  <c r="CH171" i="103"/>
  <c r="CF171" i="103" s="1"/>
  <c r="AA141" i="58"/>
  <c r="J141" i="58" s="1"/>
  <c r="Z141" i="58"/>
  <c r="I141" i="58" s="1"/>
  <c r="AB141" i="58"/>
  <c r="K141" i="58" s="1"/>
  <c r="AC141" i="58"/>
  <c r="M141" i="58" s="1"/>
  <c r="CM122" i="103"/>
  <c r="CG122" i="103" s="1"/>
  <c r="AC300" i="58"/>
  <c r="M300" i="58" s="1"/>
  <c r="AB300" i="58"/>
  <c r="K300" i="58" s="1"/>
  <c r="AA300" i="58"/>
  <c r="J300" i="58" s="1"/>
  <c r="Z300" i="58"/>
  <c r="I300" i="58" s="1"/>
  <c r="AK277" i="22"/>
  <c r="AB276" i="58"/>
  <c r="K276" i="58" s="1"/>
  <c r="AA276" i="58"/>
  <c r="J276" i="58" s="1"/>
  <c r="AC276" i="58"/>
  <c r="M276" i="58" s="1"/>
  <c r="Z276" i="58"/>
  <c r="I276" i="58" s="1"/>
  <c r="M301" i="103"/>
  <c r="J301" i="103" s="1"/>
  <c r="L301" i="103"/>
  <c r="K396" i="67"/>
  <c r="K229" i="67"/>
  <c r="AE136" i="22"/>
  <c r="R135" i="58"/>
  <c r="L135" i="58" s="1"/>
  <c r="CH135" i="103"/>
  <c r="AG110" i="22"/>
  <c r="CI109" i="103"/>
  <c r="CL109" i="103" s="1"/>
  <c r="AM109" i="103"/>
  <c r="AE113" i="22"/>
  <c r="R112" i="58"/>
  <c r="L112" i="58" s="1"/>
  <c r="CH112" i="103"/>
  <c r="F116" i="103"/>
  <c r="AC116" i="103"/>
  <c r="E116" i="103"/>
  <c r="AC116" i="58"/>
  <c r="M116" i="58" s="1"/>
  <c r="AA116" i="58"/>
  <c r="J116" i="58" s="1"/>
  <c r="Z116" i="58"/>
  <c r="I116" i="58" s="1"/>
  <c r="AB116" i="58"/>
  <c r="K116" i="58" s="1"/>
  <c r="BF388" i="103"/>
  <c r="AQ12" i="22"/>
  <c r="AG335" i="22"/>
  <c r="L344" i="67"/>
  <c r="G348" i="58"/>
  <c r="E400" i="58"/>
  <c r="E387" i="58"/>
  <c r="Y345" i="58"/>
  <c r="CM269" i="103"/>
  <c r="CG269" i="103" s="1"/>
  <c r="AC280" i="58"/>
  <c r="M280" i="58" s="1"/>
  <c r="AB280" i="58"/>
  <c r="K280" i="58" s="1"/>
  <c r="AA280" i="58"/>
  <c r="J280" i="58" s="1"/>
  <c r="Z280" i="58"/>
  <c r="I280" i="58" s="1"/>
  <c r="J289" i="22"/>
  <c r="T130" i="23"/>
  <c r="CI294" i="103"/>
  <c r="CL294" i="103" s="1"/>
  <c r="AM294" i="103"/>
  <c r="P129" i="23"/>
  <c r="M227" i="103"/>
  <c r="J227" i="103" s="1"/>
  <c r="L227" i="103"/>
  <c r="M167" i="103"/>
  <c r="J167" i="103" s="1"/>
  <c r="L167" i="103"/>
  <c r="CM104" i="103"/>
  <c r="CG104" i="103" s="1"/>
  <c r="AG92" i="22"/>
  <c r="CI91" i="103"/>
  <c r="CL91" i="103" s="1"/>
  <c r="AM91" i="103"/>
  <c r="CK45" i="103"/>
  <c r="CP35" i="103"/>
  <c r="BB35" i="103"/>
  <c r="AE388" i="103"/>
  <c r="AF4" i="103"/>
  <c r="AA30" i="58"/>
  <c r="J30" i="58" s="1"/>
  <c r="AC30" i="58"/>
  <c r="M30" i="58" s="1"/>
  <c r="Z30" i="58"/>
  <c r="I30" i="58" s="1"/>
  <c r="AB30" i="58"/>
  <c r="K30" i="58" s="1"/>
  <c r="G14" i="58"/>
  <c r="AM343" i="103"/>
  <c r="F327" i="103"/>
  <c r="AC327" i="103"/>
  <c r="AA281" i="103"/>
  <c r="AA269" i="103"/>
  <c r="E398" i="58"/>
  <c r="E385" i="58"/>
  <c r="Y284" i="58"/>
  <c r="M277" i="103"/>
  <c r="J277" i="103" s="1"/>
  <c r="L277" i="103"/>
  <c r="CK261" i="103"/>
  <c r="AB208" i="58"/>
  <c r="K208" i="58" s="1"/>
  <c r="AA208" i="58"/>
  <c r="J208" i="58" s="1"/>
  <c r="Z208" i="58"/>
  <c r="I208" i="58" s="1"/>
  <c r="AC208" i="58"/>
  <c r="M208" i="58" s="1"/>
  <c r="Z222" i="58"/>
  <c r="I222" i="58" s="1"/>
  <c r="AC222" i="58"/>
  <c r="M222" i="58" s="1"/>
  <c r="AB222" i="58"/>
  <c r="K222" i="58" s="1"/>
  <c r="AA222" i="58"/>
  <c r="J222" i="58" s="1"/>
  <c r="F209" i="103"/>
  <c r="AC209" i="103"/>
  <c r="E209" i="103"/>
  <c r="CQ171" i="103"/>
  <c r="F167" i="103"/>
  <c r="AC167" i="103"/>
  <c r="E167" i="103"/>
  <c r="J189" i="22"/>
  <c r="AA188" i="103"/>
  <c r="F136" i="103"/>
  <c r="AC136" i="103"/>
  <c r="E136" i="103"/>
  <c r="M157" i="103"/>
  <c r="J157" i="103" s="1"/>
  <c r="L157" i="103"/>
  <c r="G112" i="58"/>
  <c r="CM60" i="103"/>
  <c r="CG60" i="103" s="1"/>
  <c r="CQ69" i="103"/>
  <c r="AC80" i="58"/>
  <c r="M80" i="58" s="1"/>
  <c r="AA80" i="58"/>
  <c r="J80" i="58" s="1"/>
  <c r="Z80" i="58"/>
  <c r="I80" i="58" s="1"/>
  <c r="AB80" i="58"/>
  <c r="K80" i="58" s="1"/>
  <c r="BC376" i="103"/>
  <c r="CP11" i="103"/>
  <c r="BB11" i="103"/>
  <c r="AN386" i="103"/>
  <c r="CI315" i="103"/>
  <c r="CK315" i="103" s="1"/>
  <c r="AM315" i="103"/>
  <c r="AA289" i="103"/>
  <c r="J296" i="22"/>
  <c r="T137" i="23"/>
  <c r="AA295" i="103"/>
  <c r="CQ237" i="103"/>
  <c r="M178" i="103"/>
  <c r="J178" i="103" s="1"/>
  <c r="L178" i="103"/>
  <c r="AC168" i="58"/>
  <c r="M168" i="58" s="1"/>
  <c r="AB168" i="58"/>
  <c r="K168" i="58" s="1"/>
  <c r="AA168" i="58"/>
  <c r="J168" i="58" s="1"/>
  <c r="Z168" i="58"/>
  <c r="I168" i="58" s="1"/>
  <c r="F149" i="103"/>
  <c r="AC149" i="103"/>
  <c r="E149" i="103"/>
  <c r="BL380" i="103"/>
  <c r="M120" i="103"/>
  <c r="J120" i="103" s="1"/>
  <c r="L120" i="103"/>
  <c r="M122" i="103"/>
  <c r="J122" i="103" s="1"/>
  <c r="L122" i="103"/>
  <c r="F72" i="103"/>
  <c r="AC72" i="103"/>
  <c r="E72" i="103"/>
  <c r="CQ65" i="103"/>
  <c r="M78" i="103"/>
  <c r="J78" i="103" s="1"/>
  <c r="L78" i="103"/>
  <c r="G22" i="58"/>
  <c r="M52" i="103"/>
  <c r="J52" i="103" s="1"/>
  <c r="L52" i="103"/>
  <c r="F33" i="103"/>
  <c r="AC33" i="103"/>
  <c r="F15" i="103"/>
  <c r="AC15" i="103"/>
  <c r="E15" i="103"/>
  <c r="M51" i="103"/>
  <c r="J51" i="103" s="1"/>
  <c r="L51" i="103"/>
  <c r="F360" i="103"/>
  <c r="AC360" i="103"/>
  <c r="CR345" i="103"/>
  <c r="J303" i="22"/>
  <c r="T144" i="23"/>
  <c r="AA302" i="103"/>
  <c r="CM316" i="103"/>
  <c r="CG316" i="103" s="1"/>
  <c r="CQ268" i="103"/>
  <c r="CO267" i="103"/>
  <c r="CG267" i="103"/>
  <c r="F216" i="103"/>
  <c r="AC216" i="103"/>
  <c r="E216" i="103"/>
  <c r="CK232" i="103"/>
  <c r="CQ203" i="103"/>
  <c r="AG157" i="22"/>
  <c r="CI156" i="103"/>
  <c r="CL156" i="103" s="1"/>
  <c r="AM156" i="103"/>
  <c r="AC129" i="103"/>
  <c r="F129" i="103"/>
  <c r="E129" i="103"/>
  <c r="J79" i="22"/>
  <c r="AA78" i="103"/>
  <c r="CK17" i="103"/>
  <c r="CL17" i="103"/>
  <c r="Z40" i="58"/>
  <c r="I40" i="58" s="1"/>
  <c r="AB40" i="58"/>
  <c r="K40" i="58" s="1"/>
  <c r="AA40" i="58"/>
  <c r="J40" i="58" s="1"/>
  <c r="AC40" i="58"/>
  <c r="M40" i="58" s="1"/>
  <c r="AC312" i="103"/>
  <c r="F312" i="103"/>
  <c r="AB268" i="58"/>
  <c r="K268" i="58" s="1"/>
  <c r="AC268" i="58"/>
  <c r="M268" i="58" s="1"/>
  <c r="AA268" i="58"/>
  <c r="J268" i="58" s="1"/>
  <c r="Z268" i="58"/>
  <c r="I268" i="58" s="1"/>
  <c r="Z258" i="58"/>
  <c r="I258" i="58" s="1"/>
  <c r="AC258" i="58"/>
  <c r="M258" i="58" s="1"/>
  <c r="AB258" i="58"/>
  <c r="K258" i="58" s="1"/>
  <c r="AA258" i="58"/>
  <c r="J258" i="58" s="1"/>
  <c r="M13" i="103"/>
  <c r="J13" i="103" s="1"/>
  <c r="L13" i="103"/>
  <c r="AC37" i="103"/>
  <c r="CM375" i="103"/>
  <c r="CG375" i="103" s="1"/>
  <c r="F350" i="103"/>
  <c r="AC350" i="103"/>
  <c r="CM266" i="103"/>
  <c r="CG266" i="103" s="1"/>
  <c r="BB384" i="103"/>
  <c r="AA259" i="58"/>
  <c r="J259" i="58" s="1"/>
  <c r="AC259" i="58"/>
  <c r="M259" i="58" s="1"/>
  <c r="Z259" i="58"/>
  <c r="I259" i="58" s="1"/>
  <c r="AB259" i="58"/>
  <c r="K259" i="58" s="1"/>
  <c r="AC288" i="58"/>
  <c r="M288" i="58" s="1"/>
  <c r="AB288" i="58"/>
  <c r="K288" i="58" s="1"/>
  <c r="AA288" i="58"/>
  <c r="J288" i="58" s="1"/>
  <c r="Z288" i="58"/>
  <c r="I288" i="58" s="1"/>
  <c r="AE225" i="22"/>
  <c r="R224" i="58"/>
  <c r="L224" i="58" s="1"/>
  <c r="CH224" i="103"/>
  <c r="CF224" i="103" s="1"/>
  <c r="J246" i="22"/>
  <c r="AA245" i="103"/>
  <c r="F26" i="103"/>
  <c r="AC26" i="103"/>
  <c r="F390" i="58"/>
  <c r="F377" i="58"/>
  <c r="X159" i="23"/>
  <c r="AJ388" i="103"/>
  <c r="CI371" i="103"/>
  <c r="CL371" i="103" s="1"/>
  <c r="AC351" i="103"/>
  <c r="F351" i="103"/>
  <c r="R368" i="58"/>
  <c r="L368" i="58" s="1"/>
  <c r="CH368" i="103"/>
  <c r="CQ346" i="103"/>
  <c r="J278" i="22"/>
  <c r="AA277" i="103"/>
  <c r="AK270" i="22"/>
  <c r="CQ285" i="103"/>
  <c r="CQ267" i="103"/>
  <c r="M240" i="103"/>
  <c r="J240" i="103" s="1"/>
  <c r="L240" i="103"/>
  <c r="AC245" i="58"/>
  <c r="M245" i="58" s="1"/>
  <c r="AB245" i="58"/>
  <c r="K245" i="58" s="1"/>
  <c r="AA245" i="58"/>
  <c r="J245" i="58" s="1"/>
  <c r="Z245" i="58"/>
  <c r="I245" i="58" s="1"/>
  <c r="J136" i="22"/>
  <c r="AA135" i="103"/>
  <c r="CM159" i="103"/>
  <c r="CG159" i="103" s="1"/>
  <c r="AC102" i="103"/>
  <c r="M102" i="103"/>
  <c r="L102" i="103"/>
  <c r="F119" i="103"/>
  <c r="AC119" i="103"/>
  <c r="E119" i="103"/>
  <c r="J83" i="22"/>
  <c r="AA82" i="103"/>
  <c r="F96" i="103"/>
  <c r="AC96" i="103"/>
  <c r="E96" i="103"/>
  <c r="F74" i="103"/>
  <c r="AC74" i="103"/>
  <c r="E74" i="103"/>
  <c r="AC14" i="103"/>
  <c r="F14" i="103"/>
  <c r="E14" i="103"/>
  <c r="F349" i="103"/>
  <c r="AC349" i="103"/>
  <c r="CQ332" i="103"/>
  <c r="AB272" i="58"/>
  <c r="K272" i="58" s="1"/>
  <c r="AA272" i="58"/>
  <c r="J272" i="58" s="1"/>
  <c r="Z272" i="58"/>
  <c r="I272" i="58" s="1"/>
  <c r="AC272" i="58"/>
  <c r="M272" i="58" s="1"/>
  <c r="CI287" i="103"/>
  <c r="CL287" i="103" s="1"/>
  <c r="AM287" i="103"/>
  <c r="AN385" i="103"/>
  <c r="M299" i="103"/>
  <c r="J299" i="103" s="1"/>
  <c r="L299" i="103"/>
  <c r="AK272" i="22"/>
  <c r="AB228" i="58"/>
  <c r="K228" i="58" s="1"/>
  <c r="AA228" i="58"/>
  <c r="J228" i="58" s="1"/>
  <c r="Z228" i="58"/>
  <c r="I228" i="58" s="1"/>
  <c r="AC228" i="58"/>
  <c r="M228" i="58" s="1"/>
  <c r="CQ191" i="103"/>
  <c r="AA188" i="58"/>
  <c r="J188" i="58" s="1"/>
  <c r="AC188" i="58"/>
  <c r="M188" i="58" s="1"/>
  <c r="AB188" i="58"/>
  <c r="K188" i="58" s="1"/>
  <c r="Z188" i="58"/>
  <c r="I188" i="58" s="1"/>
  <c r="AB156" i="58"/>
  <c r="K156" i="58" s="1"/>
  <c r="Z156" i="58"/>
  <c r="I156" i="58" s="1"/>
  <c r="AC156" i="58"/>
  <c r="M156" i="58" s="1"/>
  <c r="AA156" i="58"/>
  <c r="J156" i="58" s="1"/>
  <c r="J153" i="22"/>
  <c r="AA152" i="103"/>
  <c r="J143" i="22"/>
  <c r="AA142" i="103"/>
  <c r="M58" i="103"/>
  <c r="J58" i="103" s="1"/>
  <c r="L58" i="103"/>
  <c r="AG64" i="22"/>
  <c r="CI63" i="103"/>
  <c r="CL63" i="103" s="1"/>
  <c r="AM63" i="103"/>
  <c r="CQ73" i="103"/>
  <c r="M74" i="103"/>
  <c r="J74" i="103" s="1"/>
  <c r="L74" i="103"/>
  <c r="AM304" i="103"/>
  <c r="M303" i="103"/>
  <c r="J303" i="103" s="1"/>
  <c r="L303" i="103"/>
  <c r="G319" i="58"/>
  <c r="F289" i="103"/>
  <c r="AC289" i="103"/>
  <c r="E289" i="103"/>
  <c r="AC295" i="58"/>
  <c r="M295" i="58" s="1"/>
  <c r="AB295" i="58"/>
  <c r="K295" i="58" s="1"/>
  <c r="Z295" i="58"/>
  <c r="I295" i="58" s="1"/>
  <c r="AA295" i="58"/>
  <c r="J295" i="58" s="1"/>
  <c r="AA296" i="103"/>
  <c r="AK265" i="22"/>
  <c r="J255" i="22"/>
  <c r="R384" i="103"/>
  <c r="AA254" i="103"/>
  <c r="M221" i="103"/>
  <c r="J221" i="103" s="1"/>
  <c r="L221" i="103"/>
  <c r="M189" i="103"/>
  <c r="J189" i="103" s="1"/>
  <c r="L189" i="103"/>
  <c r="CK157" i="103"/>
  <c r="H379" i="103"/>
  <c r="F101" i="103"/>
  <c r="AC101" i="103"/>
  <c r="E101" i="103"/>
  <c r="AM111" i="103"/>
  <c r="AC16" i="103"/>
  <c r="F16" i="103"/>
  <c r="E16" i="103"/>
  <c r="F51" i="103"/>
  <c r="AC51" i="103"/>
  <c r="E51" i="103"/>
  <c r="CC388" i="103"/>
  <c r="F371" i="103"/>
  <c r="AC371" i="103"/>
  <c r="AB302" i="58"/>
  <c r="K302" i="58" s="1"/>
  <c r="AA302" i="58"/>
  <c r="J302" i="58" s="1"/>
  <c r="Z302" i="58"/>
  <c r="I302" i="58" s="1"/>
  <c r="AC302" i="58"/>
  <c r="M302" i="58" s="1"/>
  <c r="G292" i="58"/>
  <c r="AA314" i="103"/>
  <c r="AB291" i="58"/>
  <c r="K291" i="58" s="1"/>
  <c r="AA291" i="58"/>
  <c r="J291" i="58" s="1"/>
  <c r="Z291" i="58"/>
  <c r="I291" i="58" s="1"/>
  <c r="AC291" i="58"/>
  <c r="M291" i="58" s="1"/>
  <c r="F233" i="103"/>
  <c r="AC233" i="103"/>
  <c r="E233" i="103"/>
  <c r="U383" i="103"/>
  <c r="H261" i="67"/>
  <c r="G177" i="58"/>
  <c r="AG191" i="22"/>
  <c r="CI190" i="103"/>
  <c r="CL190" i="103" s="1"/>
  <c r="AM190" i="103"/>
  <c r="G163" i="58"/>
  <c r="CQ153" i="103"/>
  <c r="AA105" i="103"/>
  <c r="AG333" i="22"/>
  <c r="L342" i="67"/>
  <c r="AA29" i="58"/>
  <c r="J29" i="58" s="1"/>
  <c r="AC29" i="58"/>
  <c r="M29" i="58" s="1"/>
  <c r="Z29" i="58"/>
  <c r="I29" i="58" s="1"/>
  <c r="AB29" i="58"/>
  <c r="K29" i="58" s="1"/>
  <c r="G44" i="58"/>
  <c r="N384" i="58"/>
  <c r="N397" i="58"/>
  <c r="AA38" i="58"/>
  <c r="J38" i="58" s="1"/>
  <c r="AC38" i="58"/>
  <c r="M38" i="58" s="1"/>
  <c r="AB38" i="58"/>
  <c r="K38" i="58" s="1"/>
  <c r="Z38" i="58"/>
  <c r="I38" i="58" s="1"/>
  <c r="F346" i="103"/>
  <c r="AC346" i="103"/>
  <c r="J310" i="22"/>
  <c r="T151" i="23"/>
  <c r="F322" i="103"/>
  <c r="AC322" i="103"/>
  <c r="P132" i="23"/>
  <c r="M199" i="103"/>
  <c r="J199" i="103" s="1"/>
  <c r="L199" i="103"/>
  <c r="M182" i="103"/>
  <c r="J182" i="103" s="1"/>
  <c r="L182" i="103"/>
  <c r="G139" i="58"/>
  <c r="F117" i="103"/>
  <c r="AC117" i="103"/>
  <c r="E117" i="103"/>
  <c r="AG127" i="22"/>
  <c r="CI126" i="103"/>
  <c r="CL126" i="103" s="1"/>
  <c r="AM126" i="103"/>
  <c r="CO92" i="103"/>
  <c r="G13" i="58"/>
  <c r="M54" i="103"/>
  <c r="J54" i="103" s="1"/>
  <c r="L54" i="103"/>
  <c r="C400" i="58"/>
  <c r="C387" i="58"/>
  <c r="G345" i="58"/>
  <c r="G310" i="58"/>
  <c r="G261" i="58"/>
  <c r="Z240" i="58"/>
  <c r="I240" i="58" s="1"/>
  <c r="AC240" i="58"/>
  <c r="M240" i="58" s="1"/>
  <c r="AB240" i="58"/>
  <c r="K240" i="58" s="1"/>
  <c r="AA240" i="58"/>
  <c r="J240" i="58" s="1"/>
  <c r="AA216" i="58"/>
  <c r="J216" i="58" s="1"/>
  <c r="Z216" i="58"/>
  <c r="I216" i="58" s="1"/>
  <c r="AC216" i="58"/>
  <c r="M216" i="58" s="1"/>
  <c r="AB216" i="58"/>
  <c r="K216" i="58" s="1"/>
  <c r="AC181" i="58"/>
  <c r="M181" i="58" s="1"/>
  <c r="AA181" i="58"/>
  <c r="J181" i="58" s="1"/>
  <c r="Z181" i="58"/>
  <c r="I181" i="58" s="1"/>
  <c r="AB181" i="58"/>
  <c r="K181" i="58" s="1"/>
  <c r="AA189" i="103"/>
  <c r="Z165" i="58"/>
  <c r="I165" i="58" s="1"/>
  <c r="AB165" i="58"/>
  <c r="K165" i="58" s="1"/>
  <c r="AC165" i="58"/>
  <c r="M165" i="58" s="1"/>
  <c r="AA165" i="58"/>
  <c r="J165" i="58" s="1"/>
  <c r="G178" i="58"/>
  <c r="AC132" i="58"/>
  <c r="M132" i="58" s="1"/>
  <c r="Z132" i="58"/>
  <c r="I132" i="58" s="1"/>
  <c r="AB132" i="58"/>
  <c r="K132" i="58" s="1"/>
  <c r="AA132" i="58"/>
  <c r="J132" i="58" s="1"/>
  <c r="CQ148" i="103"/>
  <c r="M166" i="67"/>
  <c r="M154" i="103"/>
  <c r="J154" i="103" s="1"/>
  <c r="L154" i="103"/>
  <c r="AC92" i="103"/>
  <c r="F92" i="103"/>
  <c r="E92" i="103"/>
  <c r="CK88" i="103"/>
  <c r="AC85" i="103"/>
  <c r="F85" i="103"/>
  <c r="E85" i="103"/>
  <c r="F88" i="103"/>
  <c r="AC88" i="103"/>
  <c r="E88" i="103"/>
  <c r="F356" i="103"/>
  <c r="AC356" i="103"/>
  <c r="G316" i="58"/>
  <c r="G273" i="58"/>
  <c r="G263" i="58"/>
  <c r="P135" i="23"/>
  <c r="AE223" i="22"/>
  <c r="R222" i="58"/>
  <c r="L222" i="58" s="1"/>
  <c r="CH222" i="103"/>
  <c r="CF222" i="103" s="1"/>
  <c r="F128" i="103"/>
  <c r="AC128" i="103"/>
  <c r="E128" i="103"/>
  <c r="AA107" i="58"/>
  <c r="J107" i="58" s="1"/>
  <c r="AB107" i="58"/>
  <c r="K107" i="58" s="1"/>
  <c r="AC107" i="58"/>
  <c r="M107" i="58" s="1"/>
  <c r="Z107" i="58"/>
  <c r="I107" i="58" s="1"/>
  <c r="AC118" i="103"/>
  <c r="F118" i="103"/>
  <c r="E118" i="103"/>
  <c r="F64" i="103"/>
  <c r="AC64" i="103"/>
  <c r="E64" i="103"/>
  <c r="AG327" i="22"/>
  <c r="L336" i="67"/>
  <c r="R299" i="58"/>
  <c r="L299" i="58" s="1"/>
  <c r="CH299" i="103"/>
  <c r="CF299" i="103" s="1"/>
  <c r="J294" i="22"/>
  <c r="T135" i="23"/>
  <c r="G280" i="58"/>
  <c r="G268" i="58"/>
  <c r="J298" i="22"/>
  <c r="T139" i="23"/>
  <c r="AC144" i="103"/>
  <c r="F144" i="103"/>
  <c r="E144" i="103"/>
  <c r="AA117" i="58"/>
  <c r="J117" i="58" s="1"/>
  <c r="Z117" i="58"/>
  <c r="I117" i="58" s="1"/>
  <c r="AC117" i="58"/>
  <c r="M117" i="58" s="1"/>
  <c r="AB117" i="58"/>
  <c r="K117" i="58" s="1"/>
  <c r="G81" i="58"/>
  <c r="AA91" i="58"/>
  <c r="J91" i="58" s="1"/>
  <c r="AC91" i="58"/>
  <c r="M91" i="58" s="1"/>
  <c r="Z91" i="58"/>
  <c r="I91" i="58" s="1"/>
  <c r="AB91" i="58"/>
  <c r="K91" i="58" s="1"/>
  <c r="G46" i="58"/>
  <c r="CQ313" i="103"/>
  <c r="G272" i="58"/>
  <c r="AA235" i="103"/>
  <c r="AA199" i="103"/>
  <c r="Z129" i="58"/>
  <c r="I129" i="58" s="1"/>
  <c r="AA129" i="58"/>
  <c r="J129" i="58" s="1"/>
  <c r="AC129" i="58"/>
  <c r="M129" i="58" s="1"/>
  <c r="AB129" i="58"/>
  <c r="K129" i="58" s="1"/>
  <c r="G110" i="58"/>
  <c r="G103" i="58"/>
  <c r="CR61" i="103"/>
  <c r="AC82" i="103"/>
  <c r="F82" i="103"/>
  <c r="E82" i="103"/>
  <c r="AC39" i="103"/>
  <c r="G365" i="58"/>
  <c r="G349" i="58"/>
  <c r="CM320" i="103"/>
  <c r="CG320" i="103" s="1"/>
  <c r="AB299" i="58"/>
  <c r="K299" i="58" s="1"/>
  <c r="AA299" i="58"/>
  <c r="J299" i="58" s="1"/>
  <c r="Z299" i="58"/>
  <c r="I299" i="58" s="1"/>
  <c r="AC299" i="58"/>
  <c r="M299" i="58" s="1"/>
  <c r="M256" i="103"/>
  <c r="J256" i="103" s="1"/>
  <c r="L256" i="103"/>
  <c r="AA252" i="58"/>
  <c r="J252" i="58" s="1"/>
  <c r="Z252" i="58"/>
  <c r="I252" i="58" s="1"/>
  <c r="AC252" i="58"/>
  <c r="M252" i="58" s="1"/>
  <c r="AB252" i="58"/>
  <c r="K252" i="58" s="1"/>
  <c r="M261" i="103"/>
  <c r="L261" i="103"/>
  <c r="F208" i="103"/>
  <c r="AC208" i="103"/>
  <c r="E208" i="103"/>
  <c r="AG148" i="22"/>
  <c r="CI147" i="103"/>
  <c r="CL147" i="103" s="1"/>
  <c r="AA130" i="103"/>
  <c r="AA110" i="58"/>
  <c r="J110" i="58" s="1"/>
  <c r="Z110" i="58"/>
  <c r="I110" i="58" s="1"/>
  <c r="AB110" i="58"/>
  <c r="K110" i="58" s="1"/>
  <c r="AC110" i="58"/>
  <c r="M110" i="58" s="1"/>
  <c r="I159" i="23"/>
  <c r="T388" i="103"/>
  <c r="AG356" i="22"/>
  <c r="L366" i="67"/>
  <c r="Y168" i="23"/>
  <c r="M295" i="103"/>
  <c r="J295" i="103" s="1"/>
  <c r="L295" i="103"/>
  <c r="H292" i="67"/>
  <c r="G211" i="58"/>
  <c r="CG185" i="103"/>
  <c r="AC134" i="103"/>
  <c r="F134" i="103"/>
  <c r="E134" i="103"/>
  <c r="CG156" i="103"/>
  <c r="N134" i="67"/>
  <c r="G104" i="58"/>
  <c r="F106" i="103"/>
  <c r="AC106" i="103"/>
  <c r="E106" i="103"/>
  <c r="CM34" i="103"/>
  <c r="CG34" i="103" s="1"/>
  <c r="AA301" i="103"/>
  <c r="AC285" i="58"/>
  <c r="M285" i="58" s="1"/>
  <c r="AB285" i="58"/>
  <c r="K285" i="58" s="1"/>
  <c r="AA285" i="58"/>
  <c r="J285" i="58" s="1"/>
  <c r="Z285" i="58"/>
  <c r="I285" i="58" s="1"/>
  <c r="F245" i="103"/>
  <c r="AC245" i="103"/>
  <c r="E245" i="103"/>
  <c r="M258" i="103"/>
  <c r="J258" i="103" s="1"/>
  <c r="L258" i="103"/>
  <c r="AC218" i="58"/>
  <c r="M218" i="58" s="1"/>
  <c r="AA218" i="58"/>
  <c r="J218" i="58" s="1"/>
  <c r="AB218" i="58"/>
  <c r="K218" i="58" s="1"/>
  <c r="Z218" i="58"/>
  <c r="I218" i="58" s="1"/>
  <c r="AC231" i="58"/>
  <c r="M231" i="58" s="1"/>
  <c r="AA231" i="58"/>
  <c r="J231" i="58" s="1"/>
  <c r="Z231" i="58"/>
  <c r="I231" i="58" s="1"/>
  <c r="AB231" i="58"/>
  <c r="K231" i="58" s="1"/>
  <c r="E229" i="67"/>
  <c r="G172" i="58"/>
  <c r="F75" i="103"/>
  <c r="AC75" i="103"/>
  <c r="E75" i="103"/>
  <c r="AC72" i="58"/>
  <c r="M72" i="58" s="1"/>
  <c r="AB72" i="58"/>
  <c r="K72" i="58" s="1"/>
  <c r="Z72" i="58"/>
  <c r="I72" i="58" s="1"/>
  <c r="AA72" i="58"/>
  <c r="J72" i="58" s="1"/>
  <c r="AE232" i="22"/>
  <c r="R231" i="58"/>
  <c r="L231" i="58" s="1"/>
  <c r="CH231" i="103"/>
  <c r="CF231" i="103" s="1"/>
  <c r="CM40" i="103"/>
  <c r="CG40" i="103" s="1"/>
  <c r="F99" i="103"/>
  <c r="AC99" i="103"/>
  <c r="E99" i="103"/>
  <c r="G291" i="58"/>
  <c r="G249" i="58"/>
  <c r="N292" i="67"/>
  <c r="F238" i="103"/>
  <c r="AC238" i="103"/>
  <c r="E238" i="103"/>
  <c r="M210" i="103"/>
  <c r="J210" i="103" s="1"/>
  <c r="L210" i="103"/>
  <c r="AE235" i="22"/>
  <c r="R234" i="58"/>
  <c r="L234" i="58" s="1"/>
  <c r="CH234" i="103"/>
  <c r="CF234" i="103" s="1"/>
  <c r="C229" i="67"/>
  <c r="M147" i="103"/>
  <c r="J147" i="103" s="1"/>
  <c r="L147" i="103"/>
  <c r="AG118" i="22"/>
  <c r="CI117" i="103"/>
  <c r="CL117" i="103" s="1"/>
  <c r="Z86" i="58"/>
  <c r="I86" i="58" s="1"/>
  <c r="AB86" i="58"/>
  <c r="K86" i="58" s="1"/>
  <c r="AC86" i="58"/>
  <c r="M86" i="58" s="1"/>
  <c r="AA86" i="58"/>
  <c r="J86" i="58" s="1"/>
  <c r="AA28" i="103"/>
  <c r="G48" i="58"/>
  <c r="R351" i="58"/>
  <c r="L351" i="58" s="1"/>
  <c r="CH351" i="103"/>
  <c r="P152" i="23"/>
  <c r="G309" i="58"/>
  <c r="H384" i="103"/>
  <c r="F254" i="103"/>
  <c r="AC254" i="103"/>
  <c r="E254" i="103"/>
  <c r="AC236" i="58"/>
  <c r="M236" i="58" s="1"/>
  <c r="AA236" i="58"/>
  <c r="J236" i="58" s="1"/>
  <c r="AB236" i="58"/>
  <c r="K236" i="58" s="1"/>
  <c r="Z236" i="58"/>
  <c r="I236" i="58" s="1"/>
  <c r="F189" i="103"/>
  <c r="AC189" i="103"/>
  <c r="E189" i="103"/>
  <c r="Z202" i="58"/>
  <c r="I202" i="58" s="1"/>
  <c r="AC202" i="58"/>
  <c r="M202" i="58" s="1"/>
  <c r="AB202" i="58"/>
  <c r="K202" i="58" s="1"/>
  <c r="AA202" i="58"/>
  <c r="J202" i="58" s="1"/>
  <c r="F173" i="103"/>
  <c r="AC173" i="103"/>
  <c r="E173" i="103"/>
  <c r="N197" i="67"/>
  <c r="AC51" i="58"/>
  <c r="M51" i="58" s="1"/>
  <c r="AB51" i="58"/>
  <c r="K51" i="58" s="1"/>
  <c r="Z51" i="58"/>
  <c r="I51" i="58" s="1"/>
  <c r="AA51" i="58"/>
  <c r="J51" i="58" s="1"/>
  <c r="F18" i="103"/>
  <c r="AC18" i="103"/>
  <c r="E18" i="103"/>
  <c r="F369" i="103"/>
  <c r="AC369" i="103"/>
  <c r="G311" i="58"/>
  <c r="F319" i="103"/>
  <c r="AC319" i="103"/>
  <c r="BM385" i="103"/>
  <c r="M289" i="103"/>
  <c r="J289" i="103" s="1"/>
  <c r="L289" i="103"/>
  <c r="CR260" i="103"/>
  <c r="M214" i="103"/>
  <c r="J214" i="103" s="1"/>
  <c r="L214" i="103"/>
  <c r="F187" i="103"/>
  <c r="AC187" i="103"/>
  <c r="E187" i="103"/>
  <c r="M197" i="67"/>
  <c r="M128" i="103"/>
  <c r="J128" i="103" s="1"/>
  <c r="L128" i="103"/>
  <c r="G135" i="58"/>
  <c r="AE106" i="22"/>
  <c r="R105" i="58"/>
  <c r="L105" i="58" s="1"/>
  <c r="CH105" i="103"/>
  <c r="F113" i="103"/>
  <c r="AC113" i="103"/>
  <c r="E113" i="103"/>
  <c r="AA113" i="58"/>
  <c r="J113" i="58" s="1"/>
  <c r="Z113" i="58"/>
  <c r="I113" i="58" s="1"/>
  <c r="AB113" i="58"/>
  <c r="K113" i="58" s="1"/>
  <c r="AC113" i="58"/>
  <c r="M113" i="58" s="1"/>
  <c r="AA68" i="103"/>
  <c r="AA65" i="58"/>
  <c r="J65" i="58" s="1"/>
  <c r="AC65" i="58"/>
  <c r="M65" i="58" s="1"/>
  <c r="Z65" i="58"/>
  <c r="I65" i="58" s="1"/>
  <c r="AB65" i="58"/>
  <c r="K65" i="58" s="1"/>
  <c r="AB32" i="58"/>
  <c r="K32" i="58" s="1"/>
  <c r="Z32" i="58"/>
  <c r="I32" i="58" s="1"/>
  <c r="AA32" i="58"/>
  <c r="J32" i="58" s="1"/>
  <c r="AC32" i="58"/>
  <c r="M32" i="58" s="1"/>
  <c r="Z43" i="58"/>
  <c r="I43" i="58" s="1"/>
  <c r="AC43" i="58"/>
  <c r="M43" i="58" s="1"/>
  <c r="AA43" i="58"/>
  <c r="J43" i="58" s="1"/>
  <c r="AB43" i="58"/>
  <c r="K43" i="58" s="1"/>
  <c r="AA342" i="103"/>
  <c r="AC331" i="103"/>
  <c r="F331" i="103"/>
  <c r="AC293" i="58"/>
  <c r="M293" i="58" s="1"/>
  <c r="AB293" i="58"/>
  <c r="K293" i="58" s="1"/>
  <c r="AA293" i="58"/>
  <c r="J293" i="58" s="1"/>
  <c r="Z293" i="58"/>
  <c r="I293" i="58" s="1"/>
  <c r="Z297" i="58"/>
  <c r="I297" i="58" s="1"/>
  <c r="AC297" i="58"/>
  <c r="M297" i="58" s="1"/>
  <c r="AB297" i="58"/>
  <c r="K297" i="58" s="1"/>
  <c r="AA297" i="58"/>
  <c r="J297" i="58" s="1"/>
  <c r="M238" i="103"/>
  <c r="J238" i="103" s="1"/>
  <c r="L238" i="103"/>
  <c r="AB237" i="58"/>
  <c r="K237" i="58" s="1"/>
  <c r="Z237" i="58"/>
  <c r="I237" i="58" s="1"/>
  <c r="AC237" i="58"/>
  <c r="M237" i="58" s="1"/>
  <c r="AA237" i="58"/>
  <c r="J237" i="58" s="1"/>
  <c r="AC213" i="58"/>
  <c r="M213" i="58" s="1"/>
  <c r="AA213" i="58"/>
  <c r="J213" i="58" s="1"/>
  <c r="Z213" i="58"/>
  <c r="I213" i="58" s="1"/>
  <c r="AB213" i="58"/>
  <c r="K213" i="58" s="1"/>
  <c r="H381" i="103"/>
  <c r="AC162" i="103"/>
  <c r="F162" i="103"/>
  <c r="E162" i="103"/>
  <c r="AB121" i="58"/>
  <c r="K121" i="58" s="1"/>
  <c r="AA121" i="58"/>
  <c r="J121" i="58" s="1"/>
  <c r="Z121" i="58"/>
  <c r="I121" i="58" s="1"/>
  <c r="AC121" i="58"/>
  <c r="M121" i="58" s="1"/>
  <c r="AG125" i="22"/>
  <c r="CI124" i="103"/>
  <c r="CL124" i="103" s="1"/>
  <c r="F126" i="103"/>
  <c r="AC126" i="103"/>
  <c r="E126" i="103"/>
  <c r="AB103" i="58"/>
  <c r="K103" i="58" s="1"/>
  <c r="AA103" i="58"/>
  <c r="J103" i="58" s="1"/>
  <c r="Z103" i="58"/>
  <c r="I103" i="58" s="1"/>
  <c r="AC103" i="58"/>
  <c r="M103" i="58" s="1"/>
  <c r="F25" i="103"/>
  <c r="AC25" i="103"/>
  <c r="AE16" i="22"/>
  <c r="R15" i="58"/>
  <c r="L15" i="58" s="1"/>
  <c r="CH15" i="103"/>
  <c r="AB36" i="58"/>
  <c r="K36" i="58" s="1"/>
  <c r="AA36" i="58"/>
  <c r="J36" i="58" s="1"/>
  <c r="AC36" i="58"/>
  <c r="M36" i="58" s="1"/>
  <c r="Z36" i="58"/>
  <c r="I36" i="58" s="1"/>
  <c r="F159" i="23"/>
  <c r="AP388" i="103"/>
  <c r="G221" i="58"/>
  <c r="CL186" i="103"/>
  <c r="AB190" i="58"/>
  <c r="K190" i="58" s="1"/>
  <c r="AA190" i="58"/>
  <c r="J190" i="58" s="1"/>
  <c r="Z190" i="58"/>
  <c r="I190" i="58" s="1"/>
  <c r="AC190" i="58"/>
  <c r="M190" i="58" s="1"/>
  <c r="F199" i="103"/>
  <c r="AC199" i="103"/>
  <c r="E199" i="103"/>
  <c r="G201" i="58"/>
  <c r="K394" i="67"/>
  <c r="K166" i="67"/>
  <c r="AE140" i="22"/>
  <c r="R139" i="58"/>
  <c r="L139" i="58" s="1"/>
  <c r="CH139" i="103"/>
  <c r="G114" i="58"/>
  <c r="G93" i="58"/>
  <c r="AA66" i="103"/>
  <c r="M91" i="103"/>
  <c r="J91" i="103" s="1"/>
  <c r="L91" i="103"/>
  <c r="G79" i="58"/>
  <c r="G28" i="58"/>
  <c r="AA39" i="103"/>
  <c r="G357" i="58"/>
  <c r="AA339" i="103"/>
  <c r="K400" i="67"/>
  <c r="K355" i="67"/>
  <c r="M251" i="103"/>
  <c r="J251" i="103" s="1"/>
  <c r="L251" i="103"/>
  <c r="G253" i="58"/>
  <c r="BR197" i="103"/>
  <c r="G136" i="58"/>
  <c r="AG135" i="22"/>
  <c r="CI134" i="103"/>
  <c r="CL134" i="103" s="1"/>
  <c r="AM134" i="103"/>
  <c r="F130" i="103"/>
  <c r="AC130" i="103"/>
  <c r="E130" i="103"/>
  <c r="M73" i="103"/>
  <c r="J73" i="103" s="1"/>
  <c r="L73" i="103"/>
  <c r="CG55" i="103"/>
  <c r="M90" i="103"/>
  <c r="J90" i="103" s="1"/>
  <c r="L90" i="103"/>
  <c r="F389" i="58"/>
  <c r="F376" i="58"/>
  <c r="Z22" i="58"/>
  <c r="I22" i="58" s="1"/>
  <c r="AB22" i="58"/>
  <c r="K22" i="58" s="1"/>
  <c r="AA22" i="58"/>
  <c r="J22" i="58" s="1"/>
  <c r="AC22" i="58"/>
  <c r="M22" i="58" s="1"/>
  <c r="F364" i="103"/>
  <c r="AC364" i="103"/>
  <c r="CQ327" i="103"/>
  <c r="J313" i="22"/>
  <c r="CI303" i="103"/>
  <c r="CL303" i="103" s="1"/>
  <c r="AM303" i="103"/>
  <c r="M279" i="103"/>
  <c r="J279" i="103" s="1"/>
  <c r="L279" i="103"/>
  <c r="G294" i="58"/>
  <c r="M324" i="67"/>
  <c r="CR269" i="103"/>
  <c r="G240" i="58"/>
  <c r="P384" i="58"/>
  <c r="P397" i="58"/>
  <c r="G16" i="53"/>
  <c r="C168" i="23"/>
  <c r="D6" i="104"/>
  <c r="G222" i="58"/>
  <c r="G218" i="58"/>
  <c r="F184" i="103"/>
  <c r="AC184" i="103"/>
  <c r="E184" i="103"/>
  <c r="CR196" i="103"/>
  <c r="M174" i="103"/>
  <c r="J174" i="103" s="1"/>
  <c r="L174" i="103"/>
  <c r="AB179" i="58"/>
  <c r="K179" i="58" s="1"/>
  <c r="AA179" i="58"/>
  <c r="J179" i="58" s="1"/>
  <c r="AC179" i="58"/>
  <c r="M179" i="58" s="1"/>
  <c r="Z179" i="58"/>
  <c r="I179" i="58" s="1"/>
  <c r="CG147" i="103"/>
  <c r="Q392" i="58"/>
  <c r="Q379" i="58"/>
  <c r="AA126" i="58"/>
  <c r="J126" i="58" s="1"/>
  <c r="AB126" i="58"/>
  <c r="K126" i="58" s="1"/>
  <c r="AC126" i="58"/>
  <c r="M126" i="58" s="1"/>
  <c r="Z126" i="58"/>
  <c r="I126" i="58" s="1"/>
  <c r="AA106" i="103"/>
  <c r="U159" i="23"/>
  <c r="AF388" i="103"/>
  <c r="G301" i="58"/>
  <c r="J302" i="22"/>
  <c r="T143" i="23"/>
  <c r="CL248" i="103"/>
  <c r="AC257" i="58"/>
  <c r="M257" i="58" s="1"/>
  <c r="AB257" i="58"/>
  <c r="K257" i="58" s="1"/>
  <c r="AA257" i="58"/>
  <c r="J257" i="58" s="1"/>
  <c r="Z257" i="58"/>
  <c r="I257" i="58" s="1"/>
  <c r="M232" i="103"/>
  <c r="J232" i="103" s="1"/>
  <c r="L232" i="103"/>
  <c r="AG177" i="22"/>
  <c r="CI176" i="103"/>
  <c r="CL176" i="103" s="1"/>
  <c r="AG179" i="22"/>
  <c r="CI178" i="103"/>
  <c r="CL178" i="103" s="1"/>
  <c r="G132" i="58"/>
  <c r="M111" i="103"/>
  <c r="J111" i="103" s="1"/>
  <c r="L111" i="103"/>
  <c r="CR95" i="103"/>
  <c r="AB88" i="58"/>
  <c r="K88" i="58" s="1"/>
  <c r="AA88" i="58"/>
  <c r="J88" i="58" s="1"/>
  <c r="Z88" i="58"/>
  <c r="I88" i="58" s="1"/>
  <c r="AC88" i="58"/>
  <c r="M88" i="58" s="1"/>
  <c r="M88" i="103"/>
  <c r="J88" i="103" s="1"/>
  <c r="L88" i="103"/>
  <c r="G31" i="58"/>
  <c r="M49" i="103"/>
  <c r="J49" i="103" s="1"/>
  <c r="L49" i="103"/>
  <c r="AA99" i="103"/>
  <c r="AE129" i="22"/>
  <c r="R128" i="58"/>
  <c r="L128" i="58" s="1"/>
  <c r="CH128" i="103"/>
  <c r="R348" i="58"/>
  <c r="L348" i="58" s="1"/>
  <c r="CH348" i="103"/>
  <c r="CM18" i="103"/>
  <c r="CG18" i="103" s="1"/>
  <c r="AE202" i="22"/>
  <c r="R201" i="58"/>
  <c r="L201" i="58" s="1"/>
  <c r="CH201" i="103"/>
  <c r="CF201" i="103" s="1"/>
  <c r="AG364" i="22"/>
  <c r="L374" i="67"/>
  <c r="AE66" i="22"/>
  <c r="R65" i="58"/>
  <c r="L65" i="58" s="1"/>
  <c r="CH65" i="103"/>
  <c r="AE47" i="22"/>
  <c r="R46" i="58"/>
  <c r="L46" i="58" s="1"/>
  <c r="CH46" i="103"/>
  <c r="CM25" i="103"/>
  <c r="CG25" i="103" s="1"/>
  <c r="AG361" i="22"/>
  <c r="L371" i="67"/>
  <c r="CM28" i="103"/>
  <c r="CG28" i="103" s="1"/>
  <c r="AC147" i="103"/>
  <c r="F147" i="103"/>
  <c r="E147" i="103"/>
  <c r="F105" i="103"/>
  <c r="AC105" i="103"/>
  <c r="E105" i="103"/>
  <c r="AE29" i="22"/>
  <c r="R28" i="58"/>
  <c r="L28" i="58" s="1"/>
  <c r="CH28" i="103"/>
  <c r="F370" i="103"/>
  <c r="AC370" i="103"/>
  <c r="G330" i="58"/>
  <c r="P133" i="23"/>
  <c r="J305" i="22"/>
  <c r="T146" i="23"/>
  <c r="Q397" i="58"/>
  <c r="Q384" i="58"/>
  <c r="AC266" i="103"/>
  <c r="F266" i="103"/>
  <c r="E266" i="103"/>
  <c r="E261" i="67"/>
  <c r="AE233" i="22"/>
  <c r="R232" i="58"/>
  <c r="L232" i="58" s="1"/>
  <c r="CH232" i="103"/>
  <c r="CF232" i="103" s="1"/>
  <c r="F218" i="103"/>
  <c r="AC218" i="103"/>
  <c r="E218" i="103"/>
  <c r="O382" i="58"/>
  <c r="O395" i="58"/>
  <c r="M173" i="103"/>
  <c r="J173" i="103" s="1"/>
  <c r="L173" i="103"/>
  <c r="AG109" i="22"/>
  <c r="CI108" i="103"/>
  <c r="CL108" i="103" s="1"/>
  <c r="AM108" i="103"/>
  <c r="G121" i="58"/>
  <c r="AG77" i="22"/>
  <c r="CI76" i="103"/>
  <c r="CL76" i="103" s="1"/>
  <c r="G82" i="58"/>
  <c r="AE69" i="22"/>
  <c r="R68" i="58"/>
  <c r="L68" i="58" s="1"/>
  <c r="CH68" i="103"/>
  <c r="AY388" i="103"/>
  <c r="F28" i="103"/>
  <c r="AC28" i="103"/>
  <c r="M27" i="103"/>
  <c r="J27" i="103" s="1"/>
  <c r="L27" i="103"/>
  <c r="M17" i="103"/>
  <c r="J17" i="103" s="1"/>
  <c r="L17" i="103"/>
  <c r="M26" i="103"/>
  <c r="J26" i="103" s="1"/>
  <c r="L26" i="103"/>
  <c r="CG345" i="103"/>
  <c r="F321" i="103"/>
  <c r="AC321" i="103"/>
  <c r="P151" i="23"/>
  <c r="CO254" i="103"/>
  <c r="CR252" i="103"/>
  <c r="AC209" i="58"/>
  <c r="M209" i="58" s="1"/>
  <c r="AB209" i="58"/>
  <c r="K209" i="58" s="1"/>
  <c r="AA209" i="58"/>
  <c r="J209" i="58" s="1"/>
  <c r="Z209" i="58"/>
  <c r="I209" i="58" s="1"/>
  <c r="AA173" i="103"/>
  <c r="Q394" i="58"/>
  <c r="Q381" i="58"/>
  <c r="M145" i="103"/>
  <c r="J145" i="103" s="1"/>
  <c r="L145" i="103"/>
  <c r="M109" i="103"/>
  <c r="J109" i="103" s="1"/>
  <c r="L109" i="103"/>
  <c r="G113" i="58"/>
  <c r="CQ90" i="103"/>
  <c r="U378" i="103"/>
  <c r="BD376" i="103"/>
  <c r="M14" i="103"/>
  <c r="J14" i="103" s="1"/>
  <c r="L14" i="103"/>
  <c r="R335" i="58"/>
  <c r="L335" i="58" s="1"/>
  <c r="CH335" i="103"/>
  <c r="P153" i="23"/>
  <c r="F283" i="103"/>
  <c r="AC283" i="103"/>
  <c r="E283" i="103"/>
  <c r="F271" i="103"/>
  <c r="AC271" i="103"/>
  <c r="E271" i="103"/>
  <c r="CQ291" i="103"/>
  <c r="CO259" i="103"/>
  <c r="AB248" i="58"/>
  <c r="K248" i="58" s="1"/>
  <c r="Z248" i="58"/>
  <c r="I248" i="58" s="1"/>
  <c r="AC248" i="58"/>
  <c r="M248" i="58" s="1"/>
  <c r="AA248" i="58"/>
  <c r="J248" i="58" s="1"/>
  <c r="AA201" i="103"/>
  <c r="D229" i="67"/>
  <c r="F146" i="103"/>
  <c r="AC146" i="103"/>
  <c r="E146" i="103"/>
  <c r="D197" i="67"/>
  <c r="G87" i="58"/>
  <c r="G71" i="58"/>
  <c r="F68" i="103"/>
  <c r="AC68" i="103"/>
  <c r="E68" i="103"/>
  <c r="E159" i="23"/>
  <c r="P388" i="103"/>
  <c r="Z19" i="58"/>
  <c r="I19" i="58" s="1"/>
  <c r="AC19" i="58"/>
  <c r="M19" i="58" s="1"/>
  <c r="AA19" i="58"/>
  <c r="J19" i="58" s="1"/>
  <c r="AB19" i="58"/>
  <c r="K19" i="58" s="1"/>
  <c r="AA53" i="103"/>
  <c r="AC342" i="103"/>
  <c r="F342" i="103"/>
  <c r="F367" i="103"/>
  <c r="AC367" i="103"/>
  <c r="CI307" i="103"/>
  <c r="CL307" i="103" s="1"/>
  <c r="F318" i="103"/>
  <c r="AC318" i="103"/>
  <c r="M281" i="103"/>
  <c r="J281" i="103" s="1"/>
  <c r="L281" i="103"/>
  <c r="CR257" i="103"/>
  <c r="F227" i="103"/>
  <c r="AC227" i="103"/>
  <c r="E227" i="103"/>
  <c r="G244" i="58"/>
  <c r="M193" i="103"/>
  <c r="J193" i="103" s="1"/>
  <c r="L193" i="103"/>
  <c r="AA170" i="58"/>
  <c r="J170" i="58" s="1"/>
  <c r="Z170" i="58"/>
  <c r="I170" i="58" s="1"/>
  <c r="AB170" i="58"/>
  <c r="K170" i="58" s="1"/>
  <c r="AC170" i="58"/>
  <c r="M170" i="58" s="1"/>
  <c r="G134" i="58"/>
  <c r="M106" i="103"/>
  <c r="J106" i="103" s="1"/>
  <c r="L106" i="103"/>
  <c r="AE86" i="22"/>
  <c r="R85" i="58"/>
  <c r="L85" i="58" s="1"/>
  <c r="CH85" i="103"/>
  <c r="M80" i="103"/>
  <c r="J80" i="103" s="1"/>
  <c r="L80" i="103"/>
  <c r="CQ41" i="103"/>
  <c r="CP17" i="103"/>
  <c r="CR17" i="103" s="1"/>
  <c r="BB17" i="103"/>
  <c r="AC15" i="58"/>
  <c r="M15" i="58" s="1"/>
  <c r="AB15" i="58"/>
  <c r="K15" i="58" s="1"/>
  <c r="Z15" i="58"/>
  <c r="I15" i="58" s="1"/>
  <c r="AA15" i="58"/>
  <c r="J15" i="58" s="1"/>
  <c r="AE49" i="22"/>
  <c r="R48" i="58"/>
  <c r="L48" i="58" s="1"/>
  <c r="CH48" i="103"/>
  <c r="G344" i="58"/>
  <c r="CK365" i="103"/>
  <c r="F340" i="103"/>
  <c r="AC340" i="103"/>
  <c r="G317" i="58"/>
  <c r="P26" i="64"/>
  <c r="M294" i="103"/>
  <c r="J294" i="103" s="1"/>
  <c r="L294" i="103"/>
  <c r="J304" i="22"/>
  <c r="T145" i="23"/>
  <c r="AC263" i="58"/>
  <c r="M263" i="58" s="1"/>
  <c r="AB263" i="58"/>
  <c r="K263" i="58" s="1"/>
  <c r="AA263" i="58"/>
  <c r="J263" i="58" s="1"/>
  <c r="Z263" i="58"/>
  <c r="I263" i="58" s="1"/>
  <c r="M222" i="103"/>
  <c r="J222" i="103" s="1"/>
  <c r="L222" i="103"/>
  <c r="M212" i="103"/>
  <c r="J212" i="103" s="1"/>
  <c r="L212" i="103"/>
  <c r="AG188" i="22"/>
  <c r="CI187" i="103"/>
  <c r="CL187" i="103" s="1"/>
  <c r="G155" i="58"/>
  <c r="M153" i="103"/>
  <c r="J153" i="103" s="1"/>
  <c r="L153" i="103"/>
  <c r="CR93" i="103"/>
  <c r="BM380" i="103"/>
  <c r="AB85" i="58"/>
  <c r="K85" i="58" s="1"/>
  <c r="AA85" i="58"/>
  <c r="J85" i="58" s="1"/>
  <c r="AC85" i="58"/>
  <c r="M85" i="58" s="1"/>
  <c r="Z85" i="58"/>
  <c r="I85" i="58" s="1"/>
  <c r="AC66" i="103"/>
  <c r="E66" i="103"/>
  <c r="G89" i="58"/>
  <c r="Z58" i="58"/>
  <c r="I58" i="58" s="1"/>
  <c r="AB58" i="58"/>
  <c r="K58" i="58" s="1"/>
  <c r="AA58" i="58"/>
  <c r="J58" i="58" s="1"/>
  <c r="AC58" i="58"/>
  <c r="M58" i="58" s="1"/>
  <c r="AC339" i="103"/>
  <c r="F339" i="103"/>
  <c r="CI366" i="103"/>
  <c r="CL366" i="103" s="1"/>
  <c r="G295" i="58"/>
  <c r="M253" i="103"/>
  <c r="J253" i="103" s="1"/>
  <c r="L253" i="103"/>
  <c r="F210" i="103"/>
  <c r="AC210" i="103"/>
  <c r="E210" i="103"/>
  <c r="CR197" i="103"/>
  <c r="G197" i="58"/>
  <c r="AA144" i="58"/>
  <c r="J144" i="58" s="1"/>
  <c r="Z144" i="58"/>
  <c r="I144" i="58" s="1"/>
  <c r="AC144" i="58"/>
  <c r="M144" i="58" s="1"/>
  <c r="AB144" i="58"/>
  <c r="K144" i="58" s="1"/>
  <c r="AA148" i="103"/>
  <c r="M160" i="103"/>
  <c r="J160" i="103" s="1"/>
  <c r="L160" i="103"/>
  <c r="CR134" i="103"/>
  <c r="AA122" i="103"/>
  <c r="AG99" i="22"/>
  <c r="CI98" i="103"/>
  <c r="CL98" i="103" s="1"/>
  <c r="C159" i="23"/>
  <c r="I388" i="103"/>
  <c r="I391" i="103"/>
  <c r="CP385" i="103"/>
  <c r="P136" i="23"/>
  <c r="D324" i="67"/>
  <c r="N12" i="62"/>
  <c r="C398" i="58"/>
  <c r="C385" i="58"/>
  <c r="G284" i="58"/>
  <c r="G242" i="58"/>
  <c r="CG167" i="103"/>
  <c r="F152" i="103"/>
  <c r="AC152" i="103"/>
  <c r="E152" i="103"/>
  <c r="CP380" i="103"/>
  <c r="CG138" i="103"/>
  <c r="CO105" i="103"/>
  <c r="CP379" i="103"/>
  <c r="K390" i="67"/>
  <c r="K42" i="67"/>
  <c r="P143" i="23"/>
  <c r="F313" i="103"/>
  <c r="AC313" i="103"/>
  <c r="G296" i="58"/>
  <c r="AC301" i="58"/>
  <c r="M301" i="58" s="1"/>
  <c r="AB301" i="58"/>
  <c r="K301" i="58" s="1"/>
  <c r="AA301" i="58"/>
  <c r="J301" i="58" s="1"/>
  <c r="Z301" i="58"/>
  <c r="I301" i="58" s="1"/>
  <c r="M304" i="103"/>
  <c r="J304" i="103" s="1"/>
  <c r="L304" i="103"/>
  <c r="G15" i="53"/>
  <c r="Z175" i="58"/>
  <c r="I175" i="58" s="1"/>
  <c r="AB175" i="58"/>
  <c r="K175" i="58" s="1"/>
  <c r="AA175" i="58"/>
  <c r="J175" i="58" s="1"/>
  <c r="AC175" i="58"/>
  <c r="M175" i="58" s="1"/>
  <c r="G142" i="58"/>
  <c r="G123" i="58"/>
  <c r="AG122" i="22"/>
  <c r="CI121" i="103"/>
  <c r="CL121" i="103" s="1"/>
  <c r="M125" i="103"/>
  <c r="J125" i="103" s="1"/>
  <c r="L125" i="103"/>
  <c r="G78" i="58"/>
  <c r="AC67" i="103"/>
  <c r="F67" i="103"/>
  <c r="E67" i="103"/>
  <c r="N380" i="58"/>
  <c r="N393" i="58"/>
  <c r="AE171" i="22"/>
  <c r="R170" i="58"/>
  <c r="L170" i="58" s="1"/>
  <c r="CH170" i="103"/>
  <c r="CF170" i="103" s="1"/>
  <c r="CM381" i="103"/>
  <c r="CP21" i="103"/>
  <c r="CR21" i="103" s="1"/>
  <c r="BB21" i="103"/>
  <c r="AM132" i="103"/>
  <c r="M33" i="103"/>
  <c r="J33" i="103" s="1"/>
  <c r="L33" i="103"/>
  <c r="R325" i="58"/>
  <c r="L325" i="58" s="1"/>
  <c r="CH325" i="103"/>
  <c r="CF325" i="103" s="1"/>
  <c r="AG78" i="22"/>
  <c r="CI77" i="103"/>
  <c r="CL77" i="103" s="1"/>
  <c r="AM77" i="103"/>
  <c r="AA86" i="103"/>
  <c r="AG330" i="22"/>
  <c r="L339" i="67"/>
  <c r="F293" i="103"/>
  <c r="AC293" i="103"/>
  <c r="E293" i="103"/>
  <c r="G251" i="58"/>
  <c r="AG253" i="22"/>
  <c r="CI252" i="103"/>
  <c r="CL252" i="103" s="1"/>
  <c r="AM252" i="103"/>
  <c r="J299" i="22"/>
  <c r="T140" i="23"/>
  <c r="AC133" i="58"/>
  <c r="M133" i="58" s="1"/>
  <c r="AA133" i="58"/>
  <c r="J133" i="58" s="1"/>
  <c r="AB133" i="58"/>
  <c r="K133" i="58" s="1"/>
  <c r="Z133" i="58"/>
  <c r="I133" i="58" s="1"/>
  <c r="Z112" i="58"/>
  <c r="I112" i="58" s="1"/>
  <c r="AC112" i="58"/>
  <c r="M112" i="58" s="1"/>
  <c r="AB112" i="58"/>
  <c r="K112" i="58" s="1"/>
  <c r="AA112" i="58"/>
  <c r="J112" i="58" s="1"/>
  <c r="AA92" i="58"/>
  <c r="J92" i="58" s="1"/>
  <c r="Z92" i="58"/>
  <c r="I92" i="58" s="1"/>
  <c r="AB92" i="58"/>
  <c r="K92" i="58" s="1"/>
  <c r="AC92" i="58"/>
  <c r="M92" i="58" s="1"/>
  <c r="AG68" i="22"/>
  <c r="CI67" i="103"/>
  <c r="CL67" i="103" s="1"/>
  <c r="M50" i="103"/>
  <c r="J50" i="103" s="1"/>
  <c r="L50" i="103"/>
  <c r="F191" i="103"/>
  <c r="AC191" i="103"/>
  <c r="E191" i="103"/>
  <c r="F142" i="103"/>
  <c r="AC142" i="103"/>
  <c r="E142" i="103"/>
  <c r="AB154" i="58"/>
  <c r="K154" i="58" s="1"/>
  <c r="AA154" i="58"/>
  <c r="J154" i="58" s="1"/>
  <c r="Z154" i="58"/>
  <c r="I154" i="58" s="1"/>
  <c r="AC154" i="58"/>
  <c r="M154" i="58" s="1"/>
  <c r="M117" i="103"/>
  <c r="J117" i="103" s="1"/>
  <c r="L117" i="103"/>
  <c r="G25" i="58"/>
  <c r="AE44" i="22"/>
  <c r="R43" i="58"/>
  <c r="L43" i="58" s="1"/>
  <c r="CH43" i="103"/>
  <c r="D159" i="23"/>
  <c r="AO388" i="103"/>
  <c r="G366" i="58"/>
  <c r="G358" i="58"/>
  <c r="G282" i="58"/>
  <c r="BL385" i="103"/>
  <c r="G260" i="58"/>
  <c r="G281" i="58"/>
  <c r="H383" i="103"/>
  <c r="F223" i="103"/>
  <c r="AC223" i="103"/>
  <c r="E223" i="103"/>
  <c r="AE231" i="22"/>
  <c r="R230" i="58"/>
  <c r="L230" i="58" s="1"/>
  <c r="CH230" i="103"/>
  <c r="CF230" i="103" s="1"/>
  <c r="F225" i="103"/>
  <c r="AC225" i="103"/>
  <c r="E225" i="103"/>
  <c r="F201" i="103"/>
  <c r="AC201" i="103"/>
  <c r="E201" i="103"/>
  <c r="G182" i="58"/>
  <c r="M229" i="67"/>
  <c r="G12" i="53"/>
  <c r="G95" i="58"/>
  <c r="AA100" i="103"/>
  <c r="D376" i="58"/>
  <c r="D389" i="58"/>
  <c r="Z55" i="58"/>
  <c r="I55" i="58" s="1"/>
  <c r="AC55" i="58"/>
  <c r="M55" i="58" s="1"/>
  <c r="AA55" i="58"/>
  <c r="J55" i="58" s="1"/>
  <c r="AB55" i="58"/>
  <c r="K55" i="58" s="1"/>
  <c r="F53" i="103"/>
  <c r="AC53" i="103"/>
  <c r="E53" i="103"/>
  <c r="G277" i="58"/>
  <c r="O384" i="103"/>
  <c r="M254" i="103"/>
  <c r="L254" i="103"/>
  <c r="F265" i="103"/>
  <c r="AC265" i="103"/>
  <c r="E265" i="103"/>
  <c r="AQ255" i="22"/>
  <c r="AG250" i="22"/>
  <c r="CI249" i="103"/>
  <c r="CL249" i="103" s="1"/>
  <c r="AG130" i="22"/>
  <c r="CI129" i="103"/>
  <c r="CL129" i="103" s="1"/>
  <c r="H197" i="67"/>
  <c r="Z160" i="58"/>
  <c r="I160" i="58" s="1"/>
  <c r="AC160" i="58"/>
  <c r="M160" i="58" s="1"/>
  <c r="AB160" i="58"/>
  <c r="K160" i="58" s="1"/>
  <c r="AA160" i="58"/>
  <c r="J160" i="58" s="1"/>
  <c r="K395" i="67"/>
  <c r="K197" i="67"/>
  <c r="Z84" i="58"/>
  <c r="I84" i="58" s="1"/>
  <c r="AA84" i="58"/>
  <c r="J84" i="58" s="1"/>
  <c r="AC84" i="58"/>
  <c r="M84" i="58" s="1"/>
  <c r="AB84" i="58"/>
  <c r="K84" i="58" s="1"/>
  <c r="AA56" i="58"/>
  <c r="J56" i="58" s="1"/>
  <c r="AC56" i="58"/>
  <c r="M56" i="58" s="1"/>
  <c r="AB56" i="58"/>
  <c r="K56" i="58" s="1"/>
  <c r="Z56" i="58"/>
  <c r="I56" i="58" s="1"/>
  <c r="G88" i="58"/>
  <c r="AA340" i="103"/>
  <c r="AC303" i="58"/>
  <c r="M303" i="58" s="1"/>
  <c r="AB303" i="58"/>
  <c r="K303" i="58" s="1"/>
  <c r="AA303" i="58"/>
  <c r="J303" i="58" s="1"/>
  <c r="Z303" i="58"/>
  <c r="I303" i="58" s="1"/>
  <c r="AC267" i="58"/>
  <c r="M267" i="58" s="1"/>
  <c r="Z267" i="58"/>
  <c r="I267" i="58" s="1"/>
  <c r="AA267" i="58"/>
  <c r="J267" i="58" s="1"/>
  <c r="AB267" i="58"/>
  <c r="K267" i="58" s="1"/>
  <c r="F317" i="103"/>
  <c r="AC317" i="103"/>
  <c r="F264" i="103"/>
  <c r="AC264" i="103"/>
  <c r="E264" i="103"/>
  <c r="CR249" i="103"/>
  <c r="F198" i="103"/>
  <c r="AC198" i="103"/>
  <c r="E198" i="103"/>
  <c r="AE131" i="22"/>
  <c r="R130" i="58"/>
  <c r="L130" i="58" s="1"/>
  <c r="CH130" i="103"/>
  <c r="M126" i="103"/>
  <c r="J126" i="103" s="1"/>
  <c r="L126" i="103"/>
  <c r="F27" i="103"/>
  <c r="AC27" i="103"/>
  <c r="CE388" i="103"/>
  <c r="AA353" i="103"/>
  <c r="CM333" i="103"/>
  <c r="CG333" i="103" s="1"/>
  <c r="AA303" i="103"/>
  <c r="J312" i="22"/>
  <c r="T153" i="23"/>
  <c r="P137" i="23"/>
  <c r="AC221" i="58"/>
  <c r="M221" i="58" s="1"/>
  <c r="AB221" i="58"/>
  <c r="K221" i="58" s="1"/>
  <c r="AA221" i="58"/>
  <c r="J221" i="58" s="1"/>
  <c r="Z221" i="58"/>
  <c r="I221" i="58" s="1"/>
  <c r="AB210" i="58"/>
  <c r="K210" i="58" s="1"/>
  <c r="AA210" i="58"/>
  <c r="J210" i="58" s="1"/>
  <c r="Z210" i="58"/>
  <c r="I210" i="58" s="1"/>
  <c r="AC210" i="58"/>
  <c r="M210" i="58" s="1"/>
  <c r="G13" i="53"/>
  <c r="AC168" i="103"/>
  <c r="F168" i="103"/>
  <c r="E168" i="103"/>
  <c r="F148" i="103"/>
  <c r="AC148" i="103"/>
  <c r="E148" i="103"/>
  <c r="F122" i="103"/>
  <c r="AC122" i="103"/>
  <c r="E122" i="103"/>
  <c r="CR79" i="103"/>
  <c r="AA77" i="103"/>
  <c r="C376" i="58"/>
  <c r="C389" i="58"/>
  <c r="G11" i="58"/>
  <c r="G370" i="58"/>
  <c r="G340" i="58"/>
  <c r="J314" i="22"/>
  <c r="M276" i="103"/>
  <c r="J276" i="103" s="1"/>
  <c r="L276" i="103"/>
  <c r="AK255" i="22"/>
  <c r="BV384" i="103"/>
  <c r="P126" i="23"/>
  <c r="CR250" i="103"/>
  <c r="M219" i="103"/>
  <c r="J219" i="103" s="1"/>
  <c r="L219" i="103"/>
  <c r="F224" i="103"/>
  <c r="AC224" i="103"/>
  <c r="E224" i="103"/>
  <c r="L198" i="67"/>
  <c r="M165" i="103"/>
  <c r="J165" i="103" s="1"/>
  <c r="L165" i="103"/>
  <c r="AB161" i="58"/>
  <c r="K161" i="58" s="1"/>
  <c r="AA161" i="58"/>
  <c r="J161" i="58" s="1"/>
  <c r="Z161" i="58"/>
  <c r="I161" i="58" s="1"/>
  <c r="AC161" i="58"/>
  <c r="M161" i="58" s="1"/>
  <c r="CR159" i="103"/>
  <c r="CR141" i="103"/>
  <c r="AC151" i="58"/>
  <c r="M151" i="58" s="1"/>
  <c r="AA151" i="58"/>
  <c r="J151" i="58" s="1"/>
  <c r="AB151" i="58"/>
  <c r="K151" i="58" s="1"/>
  <c r="Z151" i="58"/>
  <c r="I151" i="58" s="1"/>
  <c r="M103" i="103"/>
  <c r="J103" i="103" s="1"/>
  <c r="L103" i="103"/>
  <c r="K393" i="67"/>
  <c r="K134" i="67"/>
  <c r="O379" i="103"/>
  <c r="M101" i="103"/>
  <c r="L101" i="103"/>
  <c r="AC336" i="103"/>
  <c r="F336" i="103"/>
  <c r="BD387" i="103"/>
  <c r="AA313" i="103"/>
  <c r="F292" i="103"/>
  <c r="AC292" i="103"/>
  <c r="E292" i="103"/>
  <c r="P138" i="23"/>
  <c r="F246" i="103"/>
  <c r="AC246" i="103"/>
  <c r="E246" i="103"/>
  <c r="CI384" i="103"/>
  <c r="D382" i="58"/>
  <c r="D395" i="58"/>
  <c r="AC141" i="103"/>
  <c r="F141" i="103"/>
  <c r="E141" i="103"/>
  <c r="AB63" i="58"/>
  <c r="K63" i="58" s="1"/>
  <c r="AC63" i="58"/>
  <c r="M63" i="58" s="1"/>
  <c r="AA63" i="58"/>
  <c r="J63" i="58" s="1"/>
  <c r="Z63" i="58"/>
  <c r="I63" i="58" s="1"/>
  <c r="M81" i="103"/>
  <c r="J81" i="103" s="1"/>
  <c r="L81" i="103"/>
  <c r="AA67" i="103"/>
  <c r="AG317" i="22"/>
  <c r="L326" i="67"/>
  <c r="AE132" i="22"/>
  <c r="R131" i="58"/>
  <c r="CH131" i="103"/>
  <c r="M61" i="103"/>
  <c r="J61" i="103" s="1"/>
  <c r="L61" i="103"/>
  <c r="L104" i="67"/>
  <c r="CM24" i="103"/>
  <c r="CG24" i="103" s="1"/>
  <c r="AG349" i="22"/>
  <c r="L359" i="67"/>
  <c r="H134" i="67"/>
  <c r="M45" i="103"/>
  <c r="J45" i="103" s="1"/>
  <c r="L45" i="103"/>
  <c r="CG59" i="103"/>
  <c r="D103" i="67"/>
  <c r="AC86" i="103"/>
  <c r="E86" i="103"/>
  <c r="AE102" i="22"/>
  <c r="R101" i="58"/>
  <c r="CH101" i="103"/>
  <c r="M79" i="103"/>
  <c r="J79" i="103" s="1"/>
  <c r="L79" i="103"/>
  <c r="Z78" i="58"/>
  <c r="I78" i="58" s="1"/>
  <c r="AA78" i="58"/>
  <c r="J78" i="58" s="1"/>
  <c r="AC78" i="58"/>
  <c r="M78" i="58" s="1"/>
  <c r="AB78" i="58"/>
  <c r="K78" i="58" s="1"/>
  <c r="F55" i="103"/>
  <c r="AC55" i="103"/>
  <c r="E55" i="103"/>
  <c r="G371" i="58"/>
  <c r="CI342" i="103"/>
  <c r="CL342" i="103" s="1"/>
  <c r="P139" i="23"/>
  <c r="AB304" i="58"/>
  <c r="K304" i="58" s="1"/>
  <c r="AA304" i="58"/>
  <c r="J304" i="58" s="1"/>
  <c r="Z304" i="58"/>
  <c r="I304" i="58" s="1"/>
  <c r="AC304" i="58"/>
  <c r="M304" i="58" s="1"/>
  <c r="M260" i="103"/>
  <c r="J260" i="103" s="1"/>
  <c r="L260" i="103"/>
  <c r="AC298" i="58"/>
  <c r="M298" i="58" s="1"/>
  <c r="AB298" i="58"/>
  <c r="K298" i="58" s="1"/>
  <c r="AA298" i="58"/>
  <c r="J298" i="58" s="1"/>
  <c r="Z298" i="58"/>
  <c r="I298" i="58" s="1"/>
  <c r="M218" i="103"/>
  <c r="J218" i="103" s="1"/>
  <c r="L218" i="103"/>
  <c r="AA242" i="58"/>
  <c r="J242" i="58" s="1"/>
  <c r="AB242" i="58"/>
  <c r="K242" i="58" s="1"/>
  <c r="Z242" i="58"/>
  <c r="I242" i="58" s="1"/>
  <c r="AC242" i="58"/>
  <c r="M242" i="58" s="1"/>
  <c r="M164" i="103"/>
  <c r="J164" i="103" s="1"/>
  <c r="L164" i="103"/>
  <c r="D380" i="58"/>
  <c r="D393" i="58"/>
  <c r="AE161" i="22"/>
  <c r="R160" i="58"/>
  <c r="L160" i="58" s="1"/>
  <c r="CH160" i="103"/>
  <c r="C166" i="67"/>
  <c r="Z120" i="58"/>
  <c r="I120" i="58" s="1"/>
  <c r="AA120" i="58"/>
  <c r="J120" i="58" s="1"/>
  <c r="AC120" i="58"/>
  <c r="M120" i="58" s="1"/>
  <c r="AB120" i="58"/>
  <c r="K120" i="58" s="1"/>
  <c r="AB106" i="58"/>
  <c r="K106" i="58" s="1"/>
  <c r="AA106" i="58"/>
  <c r="J106" i="58" s="1"/>
  <c r="Z106" i="58"/>
  <c r="I106" i="58" s="1"/>
  <c r="AC106" i="58"/>
  <c r="M106" i="58" s="1"/>
  <c r="J71" i="22"/>
  <c r="R378" i="103"/>
  <c r="M83" i="103"/>
  <c r="J83" i="103" s="1"/>
  <c r="L83" i="103"/>
  <c r="CP14" i="103"/>
  <c r="BB14" i="103"/>
  <c r="CQ340" i="103"/>
  <c r="E355" i="67"/>
  <c r="AE247" i="22"/>
  <c r="R246" i="58"/>
  <c r="L246" i="58" s="1"/>
  <c r="CH246" i="103"/>
  <c r="CF246" i="103" s="1"/>
  <c r="AA236" i="103"/>
  <c r="AB169" i="58"/>
  <c r="K169" i="58" s="1"/>
  <c r="AC169" i="58"/>
  <c r="M169" i="58" s="1"/>
  <c r="AA169" i="58"/>
  <c r="J169" i="58" s="1"/>
  <c r="Z169" i="58"/>
  <c r="I169" i="58" s="1"/>
  <c r="CQ186" i="103"/>
  <c r="M196" i="103"/>
  <c r="J196" i="103" s="1"/>
  <c r="L196" i="103"/>
  <c r="AC189" i="58"/>
  <c r="M189" i="58" s="1"/>
  <c r="Z189" i="58"/>
  <c r="I189" i="58" s="1"/>
  <c r="AB189" i="58"/>
  <c r="K189" i="58" s="1"/>
  <c r="AA189" i="58"/>
  <c r="J189" i="58" s="1"/>
  <c r="M136" i="103"/>
  <c r="J136" i="103" s="1"/>
  <c r="L136" i="103"/>
  <c r="AA59" i="103"/>
  <c r="F378" i="58"/>
  <c r="F391" i="58"/>
  <c r="CP22" i="103"/>
  <c r="BB22" i="103"/>
  <c r="C71" i="67"/>
  <c r="CI367" i="103"/>
  <c r="CL367" i="103" s="1"/>
  <c r="G334" i="58"/>
  <c r="Z256" i="58"/>
  <c r="I256" i="58" s="1"/>
  <c r="AC256" i="58"/>
  <c r="M256" i="58" s="1"/>
  <c r="AB256" i="58"/>
  <c r="K256" i="58" s="1"/>
  <c r="AA256" i="58"/>
  <c r="J256" i="58" s="1"/>
  <c r="Z279" i="58"/>
  <c r="I279" i="58" s="1"/>
  <c r="AA279" i="58"/>
  <c r="J279" i="58" s="1"/>
  <c r="AC279" i="58"/>
  <c r="M279" i="58" s="1"/>
  <c r="AB279" i="58"/>
  <c r="K279" i="58" s="1"/>
  <c r="M225" i="103"/>
  <c r="J225" i="103" s="1"/>
  <c r="L225" i="103"/>
  <c r="G199" i="58"/>
  <c r="G206" i="58"/>
  <c r="G186" i="58"/>
  <c r="F100" i="103"/>
  <c r="AC100" i="103"/>
  <c r="E100" i="103"/>
  <c r="AG88" i="22"/>
  <c r="CI87" i="103"/>
  <c r="CL87" i="103" s="1"/>
  <c r="CR78" i="103"/>
  <c r="AE15" i="22"/>
  <c r="R14" i="58"/>
  <c r="L14" i="58" s="1"/>
  <c r="CH14" i="103"/>
  <c r="N398" i="58"/>
  <c r="N385" i="58"/>
  <c r="F46" i="103"/>
  <c r="AC46" i="103"/>
  <c r="E46" i="103"/>
  <c r="M387" i="67"/>
  <c r="CQ287" i="103"/>
  <c r="J288" i="22"/>
  <c r="T129" i="23"/>
  <c r="M278" i="103"/>
  <c r="J278" i="103" s="1"/>
  <c r="L278" i="103"/>
  <c r="AB235" i="58"/>
  <c r="K235" i="58" s="1"/>
  <c r="AA235" i="58"/>
  <c r="J235" i="58" s="1"/>
  <c r="AC235" i="58"/>
  <c r="M235" i="58" s="1"/>
  <c r="Z235" i="58"/>
  <c r="I235" i="58" s="1"/>
  <c r="F260" i="103"/>
  <c r="AC260" i="103"/>
  <c r="E260" i="103"/>
  <c r="F203" i="103"/>
  <c r="AC203" i="103"/>
  <c r="E203" i="103"/>
  <c r="G194" i="58"/>
  <c r="AG196" i="22"/>
  <c r="CI195" i="103"/>
  <c r="CL195" i="103" s="1"/>
  <c r="AM195" i="103"/>
  <c r="P394" i="58"/>
  <c r="P381" i="58"/>
  <c r="G118" i="58"/>
  <c r="G72" i="58"/>
  <c r="G16" i="58"/>
  <c r="M29" i="103"/>
  <c r="J29" i="103" s="1"/>
  <c r="L29" i="103"/>
  <c r="F304" i="103"/>
  <c r="AC304" i="103"/>
  <c r="E304" i="103"/>
  <c r="J293" i="22"/>
  <c r="T134" i="23"/>
  <c r="X168" i="23"/>
  <c r="G207" i="58"/>
  <c r="M211" i="103"/>
  <c r="J211" i="103" s="1"/>
  <c r="L211" i="103"/>
  <c r="M144" i="103"/>
  <c r="J144" i="103" s="1"/>
  <c r="L144" i="103"/>
  <c r="U381" i="103"/>
  <c r="M129" i="103"/>
  <c r="J129" i="103" s="1"/>
  <c r="L129" i="103"/>
  <c r="AC67" i="58"/>
  <c r="M67" i="58" s="1"/>
  <c r="AB67" i="58"/>
  <c r="K67" i="58" s="1"/>
  <c r="Z67" i="58"/>
  <c r="I67" i="58" s="1"/>
  <c r="AA67" i="58"/>
  <c r="J67" i="58" s="1"/>
  <c r="CR89" i="103"/>
  <c r="M84" i="103"/>
  <c r="J84" i="103" s="1"/>
  <c r="L84" i="103"/>
  <c r="F35" i="103"/>
  <c r="AC35" i="103"/>
  <c r="BR20" i="103"/>
  <c r="G333" i="58"/>
  <c r="F366" i="103"/>
  <c r="AC366" i="103"/>
  <c r="F353" i="103"/>
  <c r="AC353" i="103"/>
  <c r="AC303" i="103"/>
  <c r="F303" i="103"/>
  <c r="E303" i="103"/>
  <c r="AA186" i="103"/>
  <c r="F179" i="103"/>
  <c r="AC179" i="103"/>
  <c r="E179" i="103"/>
  <c r="U380" i="103"/>
  <c r="AC130" i="58"/>
  <c r="M130" i="58" s="1"/>
  <c r="AA130" i="58"/>
  <c r="J130" i="58" s="1"/>
  <c r="Z130" i="58"/>
  <c r="I130" i="58" s="1"/>
  <c r="AB130" i="58"/>
  <c r="K130" i="58" s="1"/>
  <c r="M151" i="103"/>
  <c r="J151" i="103" s="1"/>
  <c r="L151" i="103"/>
  <c r="AA97" i="103"/>
  <c r="M135" i="103"/>
  <c r="J135" i="103" s="1"/>
  <c r="L135" i="103"/>
  <c r="F77" i="103"/>
  <c r="AC77" i="103"/>
  <c r="E77" i="103"/>
  <c r="AB83" i="58"/>
  <c r="K83" i="58" s="1"/>
  <c r="AC83" i="58"/>
  <c r="M83" i="58" s="1"/>
  <c r="Z83" i="58"/>
  <c r="I83" i="58" s="1"/>
  <c r="AA83" i="58"/>
  <c r="J83" i="58" s="1"/>
  <c r="AC229" i="58"/>
  <c r="M229" i="58" s="1"/>
  <c r="Z229" i="58"/>
  <c r="I229" i="58" s="1"/>
  <c r="AB229" i="58"/>
  <c r="K229" i="58" s="1"/>
  <c r="AA229" i="58"/>
  <c r="J229" i="58" s="1"/>
  <c r="AA224" i="103"/>
  <c r="N229" i="67"/>
  <c r="AN382" i="103"/>
  <c r="F123" i="103"/>
  <c r="AC123" i="103"/>
  <c r="E123" i="103"/>
  <c r="M104" i="103"/>
  <c r="J104" i="103" s="1"/>
  <c r="L104" i="103"/>
  <c r="Z37" i="58"/>
  <c r="I37" i="58" s="1"/>
  <c r="AC37" i="58"/>
  <c r="M37" i="58" s="1"/>
  <c r="AA37" i="58"/>
  <c r="J37" i="58" s="1"/>
  <c r="AB37" i="58"/>
  <c r="K37" i="58" s="1"/>
  <c r="CN388" i="103"/>
  <c r="G374" i="58"/>
  <c r="F330" i="103"/>
  <c r="AC330" i="103"/>
  <c r="AA311" i="103"/>
  <c r="AC249" i="58"/>
  <c r="M249" i="58" s="1"/>
  <c r="AA249" i="58"/>
  <c r="J249" i="58" s="1"/>
  <c r="Z249" i="58"/>
  <c r="I249" i="58" s="1"/>
  <c r="AB249" i="58"/>
  <c r="K249" i="58" s="1"/>
  <c r="G250" i="58"/>
  <c r="CK254" i="103"/>
  <c r="Z225" i="58"/>
  <c r="I225" i="58" s="1"/>
  <c r="AB225" i="58"/>
  <c r="K225" i="58" s="1"/>
  <c r="AA225" i="58"/>
  <c r="J225" i="58" s="1"/>
  <c r="AC225" i="58"/>
  <c r="M225" i="58" s="1"/>
  <c r="Z183" i="58"/>
  <c r="I183" i="58" s="1"/>
  <c r="AB183" i="58"/>
  <c r="K183" i="58" s="1"/>
  <c r="AA183" i="58"/>
  <c r="J183" i="58" s="1"/>
  <c r="AC183" i="58"/>
  <c r="M183" i="58" s="1"/>
  <c r="AA150" i="58"/>
  <c r="J150" i="58" s="1"/>
  <c r="AC150" i="58"/>
  <c r="M150" i="58" s="1"/>
  <c r="AB150" i="58"/>
  <c r="K150" i="58" s="1"/>
  <c r="Z150" i="58"/>
  <c r="I150" i="58" s="1"/>
  <c r="G119" i="58"/>
  <c r="M113" i="103"/>
  <c r="J113" i="103" s="1"/>
  <c r="L113" i="103"/>
  <c r="CQ83" i="103"/>
  <c r="AA62" i="58"/>
  <c r="J62" i="58" s="1"/>
  <c r="AC62" i="58"/>
  <c r="M62" i="58" s="1"/>
  <c r="AB62" i="58"/>
  <c r="K62" i="58" s="1"/>
  <c r="Z62" i="58"/>
  <c r="I62" i="58" s="1"/>
  <c r="AB14" i="58"/>
  <c r="K14" i="58" s="1"/>
  <c r="Z14" i="58"/>
  <c r="I14" i="58" s="1"/>
  <c r="AA14" i="58"/>
  <c r="J14" i="58" s="1"/>
  <c r="AC14" i="58"/>
  <c r="M14" i="58" s="1"/>
  <c r="G19" i="58"/>
  <c r="AM87" i="103"/>
  <c r="AN379" i="103"/>
  <c r="AG323" i="22"/>
  <c r="L332" i="67"/>
  <c r="G59" i="58"/>
  <c r="AE45" i="22"/>
  <c r="R44" i="58"/>
  <c r="L44" i="58" s="1"/>
  <c r="CH44" i="103"/>
  <c r="AE197" i="22"/>
  <c r="R196" i="58"/>
  <c r="L196" i="58" s="1"/>
  <c r="CH196" i="103"/>
  <c r="CF196" i="103" s="1"/>
  <c r="AE194" i="22"/>
  <c r="R193" i="58"/>
  <c r="L193" i="58" s="1"/>
  <c r="CH193" i="103"/>
  <c r="CF193" i="103" s="1"/>
  <c r="AE239" i="22"/>
  <c r="R238" i="58"/>
  <c r="L238" i="58" s="1"/>
  <c r="CH238" i="103"/>
  <c r="CF238" i="103" s="1"/>
  <c r="R375" i="58"/>
  <c r="L375" i="58" s="1"/>
  <c r="AC33" i="58"/>
  <c r="M33" i="58" s="1"/>
  <c r="AB33" i="58"/>
  <c r="K33" i="58" s="1"/>
  <c r="Z33" i="58"/>
  <c r="I33" i="58" s="1"/>
  <c r="AA33" i="58"/>
  <c r="J33" i="58" s="1"/>
  <c r="F373" i="103"/>
  <c r="AC373" i="103"/>
  <c r="J295" i="22"/>
  <c r="T136" i="23"/>
  <c r="F263" i="103"/>
  <c r="AC263" i="103"/>
  <c r="E263" i="103"/>
  <c r="AE195" i="22"/>
  <c r="R194" i="58"/>
  <c r="L194" i="58" s="1"/>
  <c r="CH194" i="103"/>
  <c r="CF194" i="103" s="1"/>
  <c r="O380" i="58"/>
  <c r="O393" i="58"/>
  <c r="G109" i="58"/>
  <c r="AB54" i="58"/>
  <c r="K54" i="58" s="1"/>
  <c r="AA54" i="58"/>
  <c r="J54" i="58" s="1"/>
  <c r="AC54" i="58"/>
  <c r="M54" i="58" s="1"/>
  <c r="Z54" i="58"/>
  <c r="I54" i="58" s="1"/>
  <c r="AC39" i="58"/>
  <c r="M39" i="58" s="1"/>
  <c r="AB39" i="58"/>
  <c r="K39" i="58" s="1"/>
  <c r="AA39" i="58"/>
  <c r="J39" i="58" s="1"/>
  <c r="Z39" i="58"/>
  <c r="I39" i="58" s="1"/>
  <c r="M15" i="103"/>
  <c r="J15" i="103" s="1"/>
  <c r="L15" i="103"/>
  <c r="G36" i="58"/>
  <c r="G298" i="58"/>
  <c r="Z238" i="58"/>
  <c r="I238" i="58" s="1"/>
  <c r="AC238" i="58"/>
  <c r="M238" i="58" s="1"/>
  <c r="AB238" i="58"/>
  <c r="K238" i="58" s="1"/>
  <c r="AA238" i="58"/>
  <c r="J238" i="58" s="1"/>
  <c r="AG254" i="22"/>
  <c r="CI253" i="103"/>
  <c r="CL253" i="103" s="1"/>
  <c r="F255" i="103"/>
  <c r="AC255" i="103"/>
  <c r="E255" i="103"/>
  <c r="F236" i="103"/>
  <c r="AC236" i="103"/>
  <c r="E236" i="103"/>
  <c r="CR208" i="103"/>
  <c r="F160" i="103"/>
  <c r="AC160" i="103"/>
  <c r="E160" i="103"/>
  <c r="H166" i="67"/>
  <c r="AB100" i="58"/>
  <c r="K100" i="58" s="1"/>
  <c r="AA100" i="58"/>
  <c r="J100" i="58" s="1"/>
  <c r="Z100" i="58"/>
  <c r="I100" i="58" s="1"/>
  <c r="AC100" i="58"/>
  <c r="M100" i="58" s="1"/>
  <c r="F59" i="103"/>
  <c r="AC59" i="103"/>
  <c r="E59" i="103"/>
  <c r="Z68" i="58"/>
  <c r="I68" i="58" s="1"/>
  <c r="AC68" i="58"/>
  <c r="M68" i="58" s="1"/>
  <c r="AB68" i="58"/>
  <c r="K68" i="58" s="1"/>
  <c r="AA68" i="58"/>
  <c r="J68" i="58" s="1"/>
  <c r="AC73" i="103"/>
  <c r="F73" i="103"/>
  <c r="E73" i="103"/>
  <c r="M22" i="103"/>
  <c r="J22" i="103" s="1"/>
  <c r="L22" i="103"/>
  <c r="J159" i="23"/>
  <c r="O390" i="58"/>
  <c r="O377" i="58"/>
  <c r="AA357" i="103"/>
  <c r="R350" i="58"/>
  <c r="L350" i="58" s="1"/>
  <c r="CH350" i="103"/>
  <c r="AC306" i="103"/>
  <c r="F306" i="103"/>
  <c r="G325" i="58"/>
  <c r="F280" i="103"/>
  <c r="AC280" i="103"/>
  <c r="E280" i="103"/>
  <c r="F268" i="103"/>
  <c r="AC268" i="103"/>
  <c r="E268" i="103"/>
  <c r="CG254" i="103"/>
  <c r="F308" i="103"/>
  <c r="AC308" i="103"/>
  <c r="AG180" i="22"/>
  <c r="CI179" i="103"/>
  <c r="CL179" i="103" s="1"/>
  <c r="AA153" i="58"/>
  <c r="J153" i="58" s="1"/>
  <c r="AC153" i="58"/>
  <c r="M153" i="58" s="1"/>
  <c r="Z153" i="58"/>
  <c r="I153" i="58" s="1"/>
  <c r="AB153" i="58"/>
  <c r="K153" i="58" s="1"/>
  <c r="Z102" i="58"/>
  <c r="I102" i="58" s="1"/>
  <c r="AA102" i="58"/>
  <c r="J102" i="58" s="1"/>
  <c r="AC102" i="58"/>
  <c r="M102" i="58" s="1"/>
  <c r="AB102" i="58"/>
  <c r="K102" i="58" s="1"/>
  <c r="Z66" i="58"/>
  <c r="I66" i="58" s="1"/>
  <c r="AB66" i="58"/>
  <c r="K66" i="58" s="1"/>
  <c r="AA66" i="58"/>
  <c r="J66" i="58" s="1"/>
  <c r="AC66" i="58"/>
  <c r="M66" i="58" s="1"/>
  <c r="G61" i="58"/>
  <c r="CP29" i="103"/>
  <c r="BB29" i="103"/>
  <c r="W159" i="23"/>
  <c r="AI388" i="103"/>
  <c r="D387" i="67"/>
  <c r="F299" i="103"/>
  <c r="AC299" i="103"/>
  <c r="E299" i="103"/>
  <c r="AC287" i="58"/>
  <c r="M287" i="58" s="1"/>
  <c r="AB287" i="58"/>
  <c r="K287" i="58" s="1"/>
  <c r="AA287" i="58"/>
  <c r="J287" i="58" s="1"/>
  <c r="Z287" i="58"/>
  <c r="I287" i="58" s="1"/>
  <c r="AC224" i="58"/>
  <c r="M224" i="58" s="1"/>
  <c r="AA224" i="58"/>
  <c r="J224" i="58" s="1"/>
  <c r="AB224" i="58"/>
  <c r="K224" i="58" s="1"/>
  <c r="Z224" i="58"/>
  <c r="I224" i="58" s="1"/>
  <c r="AC135" i="103"/>
  <c r="F135" i="103"/>
  <c r="E135" i="103"/>
  <c r="AA109" i="58"/>
  <c r="J109" i="58" s="1"/>
  <c r="Z109" i="58"/>
  <c r="I109" i="58" s="1"/>
  <c r="AC109" i="58"/>
  <c r="M109" i="58" s="1"/>
  <c r="AB109" i="58"/>
  <c r="K109" i="58" s="1"/>
  <c r="G94" i="58"/>
  <c r="G63" i="58"/>
  <c r="AA304" i="103"/>
  <c r="M285" i="103"/>
  <c r="J285" i="103" s="1"/>
  <c r="L285" i="103"/>
  <c r="Z292" i="58"/>
  <c r="I292" i="58" s="1"/>
  <c r="AC292" i="58"/>
  <c r="M292" i="58" s="1"/>
  <c r="AB292" i="58"/>
  <c r="K292" i="58" s="1"/>
  <c r="AA292" i="58"/>
  <c r="J292" i="58" s="1"/>
  <c r="C324" i="67"/>
  <c r="G245" i="58"/>
  <c r="G256" i="58"/>
  <c r="AA232" i="58"/>
  <c r="J232" i="58" s="1"/>
  <c r="Z232" i="58"/>
  <c r="I232" i="58" s="1"/>
  <c r="AC232" i="58"/>
  <c r="M232" i="58" s="1"/>
  <c r="AB232" i="58"/>
  <c r="K232" i="58" s="1"/>
  <c r="AG186" i="22"/>
  <c r="CI185" i="103"/>
  <c r="CL185" i="103" s="1"/>
  <c r="M188" i="103"/>
  <c r="J188" i="103" s="1"/>
  <c r="L188" i="103"/>
  <c r="Z178" i="58"/>
  <c r="I178" i="58" s="1"/>
  <c r="AC178" i="58"/>
  <c r="M178" i="58" s="1"/>
  <c r="AB178" i="58"/>
  <c r="K178" i="58" s="1"/>
  <c r="AA178" i="58"/>
  <c r="J178" i="58" s="1"/>
  <c r="AC186" i="58"/>
  <c r="M186" i="58" s="1"/>
  <c r="AB186" i="58"/>
  <c r="K186" i="58" s="1"/>
  <c r="AA186" i="58"/>
  <c r="J186" i="58" s="1"/>
  <c r="Z186" i="58"/>
  <c r="I186" i="58" s="1"/>
  <c r="CM116" i="103"/>
  <c r="CG116" i="103" s="1"/>
  <c r="AG95" i="22"/>
  <c r="CI94" i="103"/>
  <c r="CL94" i="103" s="1"/>
  <c r="AM94" i="103"/>
  <c r="H378" i="103"/>
  <c r="AC70" i="103"/>
  <c r="F70" i="103"/>
  <c r="E70" i="103"/>
  <c r="G20" i="58"/>
  <c r="AA234" i="58"/>
  <c r="J234" i="58" s="1"/>
  <c r="Z234" i="58"/>
  <c r="I234" i="58" s="1"/>
  <c r="AC234" i="58"/>
  <c r="M234" i="58" s="1"/>
  <c r="AB234" i="58"/>
  <c r="K234" i="58" s="1"/>
  <c r="AA220" i="103"/>
  <c r="G183" i="58"/>
  <c r="F186" i="103"/>
  <c r="AC186" i="103"/>
  <c r="E186" i="103"/>
  <c r="G191" i="58"/>
  <c r="G140" i="58"/>
  <c r="F97" i="103"/>
  <c r="AC97" i="103"/>
  <c r="E97" i="103"/>
  <c r="CB388" i="103"/>
  <c r="AA34" i="58"/>
  <c r="J34" i="58" s="1"/>
  <c r="AC34" i="58"/>
  <c r="M34" i="58" s="1"/>
  <c r="Z34" i="58"/>
  <c r="I34" i="58" s="1"/>
  <c r="AB34" i="58"/>
  <c r="K34" i="58" s="1"/>
  <c r="M273" i="103"/>
  <c r="J273" i="103" s="1"/>
  <c r="L273" i="103"/>
  <c r="M286" i="103"/>
  <c r="J286" i="103" s="1"/>
  <c r="L286" i="103"/>
  <c r="M266" i="103"/>
  <c r="J266" i="103" s="1"/>
  <c r="L266" i="103"/>
  <c r="M209" i="103"/>
  <c r="J209" i="103" s="1"/>
  <c r="L209" i="103"/>
  <c r="F231" i="103"/>
  <c r="AC231" i="103"/>
  <c r="E231" i="103"/>
  <c r="Q382" i="58"/>
  <c r="Q395" i="58"/>
  <c r="CO192" i="103"/>
  <c r="AC197" i="103"/>
  <c r="E197" i="103"/>
  <c r="Z167" i="58"/>
  <c r="I167" i="58" s="1"/>
  <c r="AC167" i="58"/>
  <c r="M167" i="58" s="1"/>
  <c r="AB167" i="58"/>
  <c r="K167" i="58" s="1"/>
  <c r="AA167" i="58"/>
  <c r="J167" i="58" s="1"/>
  <c r="AE100" i="22"/>
  <c r="R99" i="58"/>
  <c r="L99" i="58" s="1"/>
  <c r="CH99" i="103"/>
  <c r="AB114" i="58"/>
  <c r="K114" i="58" s="1"/>
  <c r="Z114" i="58"/>
  <c r="I114" i="58" s="1"/>
  <c r="AA114" i="58"/>
  <c r="J114" i="58" s="1"/>
  <c r="AC114" i="58"/>
  <c r="M114" i="58" s="1"/>
  <c r="G363" i="58"/>
  <c r="M355" i="67"/>
  <c r="G307" i="58"/>
  <c r="F311" i="103"/>
  <c r="AC311" i="103"/>
  <c r="AC247" i="58"/>
  <c r="M247" i="58" s="1"/>
  <c r="Z247" i="58"/>
  <c r="I247" i="58" s="1"/>
  <c r="AB247" i="58"/>
  <c r="K247" i="58" s="1"/>
  <c r="AA247" i="58"/>
  <c r="J247" i="58" s="1"/>
  <c r="C292" i="67"/>
  <c r="W126" i="23"/>
  <c r="U385" i="103"/>
  <c r="M250" i="103"/>
  <c r="J250" i="103" s="1"/>
  <c r="L250" i="103"/>
  <c r="AA200" i="58"/>
  <c r="J200" i="58" s="1"/>
  <c r="AB200" i="58"/>
  <c r="K200" i="58" s="1"/>
  <c r="Z200" i="58"/>
  <c r="I200" i="58" s="1"/>
  <c r="AC200" i="58"/>
  <c r="M200" i="58" s="1"/>
  <c r="BD380" i="103"/>
  <c r="M161" i="103"/>
  <c r="J161" i="103" s="1"/>
  <c r="L161" i="103"/>
  <c r="AC159" i="103"/>
  <c r="F159" i="103"/>
  <c r="E159" i="103"/>
  <c r="G111" i="58"/>
  <c r="M127" i="103"/>
  <c r="J127" i="103" s="1"/>
  <c r="L127" i="103"/>
  <c r="AA81" i="58"/>
  <c r="J81" i="58" s="1"/>
  <c r="Z81" i="58"/>
  <c r="I81" i="58" s="1"/>
  <c r="AC81" i="58"/>
  <c r="M81" i="58" s="1"/>
  <c r="AB81" i="58"/>
  <c r="K81" i="58" s="1"/>
  <c r="AA54" i="103"/>
  <c r="L135" i="67"/>
  <c r="AE19" i="22"/>
  <c r="R18" i="58"/>
  <c r="L18" i="58" s="1"/>
  <c r="CH18" i="103"/>
  <c r="AB45" i="58"/>
  <c r="K45" i="58" s="1"/>
  <c r="AC45" i="58"/>
  <c r="M45" i="58" s="1"/>
  <c r="AA45" i="58"/>
  <c r="J45" i="58" s="1"/>
  <c r="Z45" i="58"/>
  <c r="I45" i="58" s="1"/>
  <c r="O376" i="103"/>
  <c r="M11" i="103"/>
  <c r="L11" i="103"/>
  <c r="AE89" i="22"/>
  <c r="R88" i="58"/>
  <c r="L88" i="58" s="1"/>
  <c r="CH88" i="103"/>
  <c r="AE51" i="22"/>
  <c r="R50" i="58"/>
  <c r="L50" i="58" s="1"/>
  <c r="CH50" i="103"/>
  <c r="P392" i="58"/>
  <c r="P379" i="58"/>
  <c r="AM185" i="103"/>
  <c r="CM72" i="103"/>
  <c r="CG72" i="103" s="1"/>
  <c r="R324" i="58"/>
  <c r="L324" i="58" s="1"/>
  <c r="CH324" i="103"/>
  <c r="CF324" i="103" s="1"/>
  <c r="M103" i="67"/>
  <c r="AE76" i="22"/>
  <c r="R75" i="58"/>
  <c r="L75" i="58" s="1"/>
  <c r="CH75" i="103"/>
  <c r="AE173" i="22"/>
  <c r="R172" i="58"/>
  <c r="L172" i="58" s="1"/>
  <c r="CH172" i="103"/>
  <c r="CF172" i="103" s="1"/>
  <c r="AE72" i="22"/>
  <c r="R71" i="58"/>
  <c r="L71" i="58" s="1"/>
  <c r="CH71" i="103"/>
  <c r="AG376" i="22"/>
  <c r="L386" i="67"/>
  <c r="AC15" i="68" s="1"/>
  <c r="R318" i="58"/>
  <c r="L318" i="58" s="1"/>
  <c r="CH318" i="103"/>
  <c r="CF318" i="103" s="1"/>
  <c r="AG302" i="22"/>
  <c r="L310" i="67"/>
  <c r="CM349" i="103"/>
  <c r="CG349" i="103" s="1"/>
  <c r="G347" i="58"/>
  <c r="AB296" i="58"/>
  <c r="K296" i="58" s="1"/>
  <c r="AA296" i="58"/>
  <c r="J296" i="58" s="1"/>
  <c r="Z296" i="58"/>
  <c r="I296" i="58" s="1"/>
  <c r="AC296" i="58"/>
  <c r="M296" i="58" s="1"/>
  <c r="F314" i="103"/>
  <c r="AC314" i="103"/>
  <c r="F279" i="103"/>
  <c r="AC279" i="103"/>
  <c r="E279" i="103"/>
  <c r="F267" i="103"/>
  <c r="AC267" i="103"/>
  <c r="E267" i="103"/>
  <c r="M242" i="103"/>
  <c r="J242" i="103" s="1"/>
  <c r="L242" i="103"/>
  <c r="J292" i="22"/>
  <c r="T133" i="23"/>
  <c r="G278" i="58"/>
  <c r="AG145" i="22"/>
  <c r="CI144" i="103"/>
  <c r="CL144" i="103" s="1"/>
  <c r="AG144" i="22"/>
  <c r="CI143" i="103"/>
  <c r="CL143" i="103" s="1"/>
  <c r="AM143" i="103"/>
  <c r="G144" i="58"/>
  <c r="CP381" i="103"/>
  <c r="Z105" i="58"/>
  <c r="I105" i="58" s="1"/>
  <c r="AC105" i="58"/>
  <c r="M105" i="58" s="1"/>
  <c r="AA105" i="58"/>
  <c r="J105" i="58" s="1"/>
  <c r="AB105" i="58"/>
  <c r="K105" i="58" s="1"/>
  <c r="BD378" i="103"/>
  <c r="Z60" i="58"/>
  <c r="I60" i="58" s="1"/>
  <c r="AB60" i="58"/>
  <c r="K60" i="58" s="1"/>
  <c r="AA60" i="58"/>
  <c r="J60" i="58" s="1"/>
  <c r="AC60" i="58"/>
  <c r="M60" i="58" s="1"/>
  <c r="AE41" i="22"/>
  <c r="R40" i="58"/>
  <c r="L40" i="58" s="1"/>
  <c r="CH40" i="103"/>
  <c r="F50" i="103"/>
  <c r="AC50" i="103"/>
  <c r="E50" i="103"/>
  <c r="G320" i="58"/>
  <c r="O75" i="13"/>
  <c r="AB294" i="58"/>
  <c r="K294" i="58" s="1"/>
  <c r="AA294" i="58"/>
  <c r="J294" i="58" s="1"/>
  <c r="Z294" i="58"/>
  <c r="I294" i="58" s="1"/>
  <c r="AC294" i="58"/>
  <c r="M294" i="58" s="1"/>
  <c r="G202" i="58"/>
  <c r="M217" i="103"/>
  <c r="J217" i="103" s="1"/>
  <c r="L217" i="103"/>
  <c r="Z185" i="58"/>
  <c r="I185" i="58" s="1"/>
  <c r="AC185" i="58"/>
  <c r="M185" i="58" s="1"/>
  <c r="AB185" i="58"/>
  <c r="K185" i="58" s="1"/>
  <c r="AA185" i="58"/>
  <c r="J185" i="58" s="1"/>
  <c r="Z147" i="58"/>
  <c r="I147" i="58" s="1"/>
  <c r="AB147" i="58"/>
  <c r="K147" i="58" s="1"/>
  <c r="AC147" i="58"/>
  <c r="M147" i="58" s="1"/>
  <c r="AA147" i="58"/>
  <c r="J147" i="58" s="1"/>
  <c r="J102" i="22"/>
  <c r="R379" i="103"/>
  <c r="M86" i="103"/>
  <c r="L86" i="103"/>
  <c r="E378" i="58"/>
  <c r="E391" i="58"/>
  <c r="Y70" i="58"/>
  <c r="G73" i="58"/>
  <c r="AE81" i="22"/>
  <c r="R80" i="58"/>
  <c r="L80" i="58" s="1"/>
  <c r="CH80" i="103"/>
  <c r="AG25" i="22"/>
  <c r="CI24" i="103"/>
  <c r="CL24" i="103" s="1"/>
  <c r="AA12" i="58"/>
  <c r="J12" i="58" s="1"/>
  <c r="AC12" i="58"/>
  <c r="M12" i="58" s="1"/>
  <c r="Z12" i="58"/>
  <c r="I12" i="58" s="1"/>
  <c r="AB12" i="58"/>
  <c r="K12" i="58" s="1"/>
  <c r="CQ49" i="103"/>
  <c r="H387" i="103"/>
  <c r="AC345" i="103"/>
  <c r="F345" i="103"/>
  <c r="O387" i="103"/>
  <c r="M345" i="103"/>
  <c r="CM327" i="103"/>
  <c r="CG327" i="103" s="1"/>
  <c r="P140" i="23"/>
  <c r="F307" i="103"/>
  <c r="AC307" i="103"/>
  <c r="F286" i="103"/>
  <c r="AC286" i="103"/>
  <c r="E286" i="103"/>
  <c r="F180" i="103"/>
  <c r="AC180" i="103"/>
  <c r="E180" i="103"/>
  <c r="F164" i="103"/>
  <c r="AC164" i="103"/>
  <c r="E164" i="103"/>
  <c r="G150" i="58"/>
  <c r="P380" i="58"/>
  <c r="P393" i="58"/>
  <c r="AE114" i="22"/>
  <c r="R113" i="58"/>
  <c r="L113" i="58" s="1"/>
  <c r="CH113" i="103"/>
  <c r="M132" i="103"/>
  <c r="J132" i="103" s="1"/>
  <c r="L132" i="103"/>
  <c r="F81" i="103"/>
  <c r="AC81" i="103"/>
  <c r="E81" i="103"/>
  <c r="CO65" i="103"/>
  <c r="AC20" i="103"/>
  <c r="M41" i="103"/>
  <c r="J41" i="103" s="1"/>
  <c r="L41" i="103"/>
  <c r="AC357" i="103"/>
  <c r="F357" i="103"/>
  <c r="CQ338" i="103"/>
  <c r="G279" i="58"/>
  <c r="P324" i="67"/>
  <c r="U384" i="103"/>
  <c r="P141" i="23"/>
  <c r="CK267" i="103"/>
  <c r="F253" i="103"/>
  <c r="AC253" i="103"/>
  <c r="E253" i="103"/>
  <c r="CQ212" i="103"/>
  <c r="F178" i="103"/>
  <c r="AC178" i="103"/>
  <c r="E178" i="103"/>
  <c r="G170" i="58"/>
  <c r="Z149" i="58"/>
  <c r="I149" i="58" s="1"/>
  <c r="AC149" i="58"/>
  <c r="M149" i="58" s="1"/>
  <c r="AB149" i="58"/>
  <c r="K149" i="58" s="1"/>
  <c r="AA149" i="58"/>
  <c r="J149" i="58" s="1"/>
  <c r="D392" i="58"/>
  <c r="D379" i="58"/>
  <c r="AE105" i="22"/>
  <c r="R104" i="58"/>
  <c r="L104" i="58" s="1"/>
  <c r="CH104" i="103"/>
  <c r="F31" i="103"/>
  <c r="AC31" i="103"/>
  <c r="H42" i="67"/>
  <c r="G274" i="58"/>
  <c r="M275" i="103"/>
  <c r="J275" i="103" s="1"/>
  <c r="L275" i="103"/>
  <c r="F262" i="103"/>
  <c r="AC262" i="103"/>
  <c r="E262" i="103"/>
  <c r="F252" i="103"/>
  <c r="AC252" i="103"/>
  <c r="E252" i="103"/>
  <c r="G241" i="58"/>
  <c r="Z194" i="58"/>
  <c r="I194" i="58" s="1"/>
  <c r="AC194" i="58"/>
  <c r="M194" i="58" s="1"/>
  <c r="AA194" i="58"/>
  <c r="J194" i="58" s="1"/>
  <c r="AB194" i="58"/>
  <c r="K194" i="58" s="1"/>
  <c r="AE160" i="22"/>
  <c r="R159" i="58"/>
  <c r="L159" i="58" s="1"/>
  <c r="CH159" i="103"/>
  <c r="G156" i="58"/>
  <c r="AA99" i="58"/>
  <c r="J99" i="58" s="1"/>
  <c r="Z99" i="58"/>
  <c r="I99" i="58" s="1"/>
  <c r="AC99" i="58"/>
  <c r="M99" i="58" s="1"/>
  <c r="AB99" i="58"/>
  <c r="K99" i="58" s="1"/>
  <c r="F114" i="103"/>
  <c r="AC114" i="103"/>
  <c r="E114" i="103"/>
  <c r="F89" i="103"/>
  <c r="AC89" i="103"/>
  <c r="E89" i="103"/>
  <c r="M30" i="103"/>
  <c r="J30" i="103" s="1"/>
  <c r="L30" i="103"/>
  <c r="BD377" i="103"/>
  <c r="AA47" i="58"/>
  <c r="J47" i="58" s="1"/>
  <c r="AC47" i="58"/>
  <c r="M47" i="58" s="1"/>
  <c r="Z47" i="58"/>
  <c r="I47" i="58" s="1"/>
  <c r="AB47" i="58"/>
  <c r="K47" i="58" s="1"/>
  <c r="CI374" i="103"/>
  <c r="CL374" i="103" s="1"/>
  <c r="G364" i="58"/>
  <c r="CI290" i="103"/>
  <c r="CL290" i="103" s="1"/>
  <c r="O398" i="58"/>
  <c r="O385" i="58"/>
  <c r="AC261" i="103"/>
  <c r="E261" i="103"/>
  <c r="AA196" i="103"/>
  <c r="AC145" i="58"/>
  <c r="M145" i="58" s="1"/>
  <c r="AA145" i="58"/>
  <c r="J145" i="58" s="1"/>
  <c r="Z145" i="58"/>
  <c r="I145" i="58" s="1"/>
  <c r="AB145" i="58"/>
  <c r="K145" i="58" s="1"/>
  <c r="F394" i="58"/>
  <c r="F381" i="58"/>
  <c r="AG115" i="22"/>
  <c r="CI114" i="103"/>
  <c r="CL114" i="103" s="1"/>
  <c r="AM114" i="103"/>
  <c r="M114" i="103"/>
  <c r="J114" i="103" s="1"/>
  <c r="L114" i="103"/>
  <c r="CQ124" i="103"/>
  <c r="M116" i="103"/>
  <c r="J116" i="103" s="1"/>
  <c r="L116" i="103"/>
  <c r="C378" i="58"/>
  <c r="C391" i="58"/>
  <c r="G70" i="58"/>
  <c r="M62" i="103"/>
  <c r="J62" i="103" s="1"/>
  <c r="L62" i="103"/>
  <c r="AA70" i="103"/>
  <c r="G15" i="58"/>
  <c r="CM325" i="103"/>
  <c r="CG325" i="103" s="1"/>
  <c r="AA248" i="103"/>
  <c r="F220" i="103"/>
  <c r="AC220" i="103"/>
  <c r="E220" i="103"/>
  <c r="F393" i="58"/>
  <c r="F380" i="58"/>
  <c r="C197" i="67"/>
  <c r="AG153" i="22"/>
  <c r="CI152" i="103"/>
  <c r="CL152" i="103" s="1"/>
  <c r="AM152" i="103"/>
  <c r="M142" i="103"/>
  <c r="J142" i="103" s="1"/>
  <c r="L142" i="103"/>
  <c r="AE103" i="22"/>
  <c r="R102" i="58"/>
  <c r="L102" i="58" s="1"/>
  <c r="CH102" i="103"/>
  <c r="AC127" i="103"/>
  <c r="F127" i="103"/>
  <c r="E127" i="103"/>
  <c r="G38" i="58"/>
  <c r="F352" i="103"/>
  <c r="AC352" i="103"/>
  <c r="U386" i="103"/>
  <c r="F323" i="103"/>
  <c r="AC323" i="103"/>
  <c r="CR195" i="103"/>
  <c r="F175" i="103"/>
  <c r="AC175" i="103"/>
  <c r="E175" i="103"/>
  <c r="AA197" i="103"/>
  <c r="AA143" i="103"/>
  <c r="G157" i="58"/>
  <c r="G147" i="58"/>
  <c r="AG388" i="103"/>
  <c r="N71" i="67"/>
  <c r="D71" i="67"/>
  <c r="D355" i="67"/>
  <c r="P149" i="23"/>
  <c r="O384" i="58"/>
  <c r="O397" i="58"/>
  <c r="I168" i="23"/>
  <c r="D9" i="104"/>
  <c r="AC163" i="58"/>
  <c r="M163" i="58" s="1"/>
  <c r="AA163" i="58"/>
  <c r="J163" i="58" s="1"/>
  <c r="Z163" i="58"/>
  <c r="I163" i="58" s="1"/>
  <c r="AB163" i="58"/>
  <c r="K163" i="58" s="1"/>
  <c r="F195" i="103"/>
  <c r="AC195" i="103"/>
  <c r="E195" i="103"/>
  <c r="AA159" i="103"/>
  <c r="Z96" i="58"/>
  <c r="I96" i="58" s="1"/>
  <c r="AA96" i="58"/>
  <c r="J96" i="58" s="1"/>
  <c r="AC96" i="58"/>
  <c r="M96" i="58" s="1"/>
  <c r="AB96" i="58"/>
  <c r="K96" i="58" s="1"/>
  <c r="U379" i="103"/>
  <c r="G69" i="58"/>
  <c r="F54" i="103"/>
  <c r="AC54" i="103"/>
  <c r="E54" i="103"/>
  <c r="R358" i="58"/>
  <c r="L358" i="58" s="1"/>
  <c r="CH358" i="103"/>
  <c r="G58" i="58"/>
  <c r="CM62" i="103"/>
  <c r="CG62" i="103" s="1"/>
  <c r="AE219" i="22"/>
  <c r="R218" i="58"/>
  <c r="L218" i="58" s="1"/>
  <c r="CH218" i="103"/>
  <c r="CF218" i="103" s="1"/>
  <c r="CM36" i="103"/>
  <c r="CG36" i="103" s="1"/>
  <c r="AE67" i="22"/>
  <c r="R66" i="58"/>
  <c r="L66" i="58" s="1"/>
  <c r="CH66" i="103"/>
  <c r="AD159" i="23"/>
  <c r="AH88" i="23" s="1"/>
  <c r="N388" i="103"/>
  <c r="X388" i="58"/>
  <c r="G50" i="58"/>
  <c r="AM121" i="103"/>
  <c r="M21" i="103"/>
  <c r="J21" i="103" s="1"/>
  <c r="L21" i="103"/>
  <c r="G209" i="58"/>
  <c r="H229" i="67"/>
  <c r="D394" i="58"/>
  <c r="D381" i="58"/>
  <c r="G129" i="58"/>
  <c r="Z61" i="58"/>
  <c r="I61" i="58" s="1"/>
  <c r="AC61" i="58"/>
  <c r="M61" i="58" s="1"/>
  <c r="AA61" i="58"/>
  <c r="J61" i="58" s="1"/>
  <c r="AB61" i="58"/>
  <c r="K61" i="58" s="1"/>
  <c r="AE39" i="22"/>
  <c r="R38" i="58"/>
  <c r="L38" i="58" s="1"/>
  <c r="CH38" i="103"/>
  <c r="G336" i="58"/>
  <c r="F344" i="103"/>
  <c r="AC344" i="103"/>
  <c r="M259" i="103"/>
  <c r="J259" i="103" s="1"/>
  <c r="L259" i="103"/>
  <c r="F256" i="103"/>
  <c r="AC256" i="103"/>
  <c r="E256" i="103"/>
  <c r="AE207" i="22"/>
  <c r="R206" i="58"/>
  <c r="L206" i="58" s="1"/>
  <c r="CH206" i="103"/>
  <c r="CF206" i="103" s="1"/>
  <c r="C261" i="67"/>
  <c r="AB197" i="58"/>
  <c r="K197" i="58" s="1"/>
  <c r="AA197" i="58"/>
  <c r="J197" i="58" s="1"/>
  <c r="AC197" i="58"/>
  <c r="M197" i="58" s="1"/>
  <c r="Z197" i="58"/>
  <c r="I197" i="58" s="1"/>
  <c r="CR162" i="103"/>
  <c r="AA133" i="103"/>
  <c r="M75" i="103"/>
  <c r="J75" i="103" s="1"/>
  <c r="L75" i="103"/>
  <c r="M34" i="103"/>
  <c r="J34" i="103" s="1"/>
  <c r="L34" i="103"/>
  <c r="CA388" i="103"/>
  <c r="F368" i="103"/>
  <c r="AC368" i="103"/>
  <c r="G248" i="58"/>
  <c r="AE211" i="22"/>
  <c r="R210" i="58"/>
  <c r="L210" i="58" s="1"/>
  <c r="CH210" i="103"/>
  <c r="CF210" i="103" s="1"/>
  <c r="M186" i="103"/>
  <c r="J186" i="103" s="1"/>
  <c r="L186" i="103"/>
  <c r="AC137" i="103"/>
  <c r="F137" i="103"/>
  <c r="E137" i="103"/>
  <c r="C134" i="67"/>
  <c r="P376" i="58"/>
  <c r="P389" i="58"/>
  <c r="F341" i="103"/>
  <c r="AC341" i="103"/>
  <c r="F355" i="103"/>
  <c r="AC355" i="103"/>
  <c r="M293" i="103"/>
  <c r="J293" i="103" s="1"/>
  <c r="L293" i="103"/>
  <c r="AA251" i="103"/>
  <c r="D396" i="58"/>
  <c r="D383" i="58"/>
  <c r="M155" i="103"/>
  <c r="J155" i="103" s="1"/>
  <c r="L155" i="103"/>
  <c r="AC153" i="103"/>
  <c r="F153" i="103"/>
  <c r="E153" i="103"/>
  <c r="M92" i="103"/>
  <c r="J92" i="103" s="1"/>
  <c r="L92" i="103"/>
  <c r="AE108" i="22"/>
  <c r="R107" i="58"/>
  <c r="L107" i="58" s="1"/>
  <c r="CH107" i="103"/>
  <c r="AC57" i="58"/>
  <c r="M57" i="58" s="1"/>
  <c r="AB57" i="58"/>
  <c r="K57" i="58" s="1"/>
  <c r="AA57" i="58"/>
  <c r="J57" i="58" s="1"/>
  <c r="Z57" i="58"/>
  <c r="I57" i="58" s="1"/>
  <c r="M68" i="103"/>
  <c r="J68" i="103" s="1"/>
  <c r="L68" i="103"/>
  <c r="M18" i="103"/>
  <c r="J18" i="103" s="1"/>
  <c r="L18" i="103"/>
  <c r="G326" i="58"/>
  <c r="F295" i="103"/>
  <c r="AC295" i="103"/>
  <c r="E295" i="103"/>
  <c r="F250" i="103"/>
  <c r="AC250" i="103"/>
  <c r="E250" i="103"/>
  <c r="F196" i="103"/>
  <c r="AC196" i="103"/>
  <c r="E196" i="103"/>
  <c r="M179" i="103"/>
  <c r="J179" i="103" s="1"/>
  <c r="L179" i="103"/>
  <c r="Z155" i="58"/>
  <c r="I155" i="58" s="1"/>
  <c r="AB155" i="58"/>
  <c r="K155" i="58" s="1"/>
  <c r="AA155" i="58"/>
  <c r="J155" i="58" s="1"/>
  <c r="AC155" i="58"/>
  <c r="M155" i="58" s="1"/>
  <c r="AE123" i="22"/>
  <c r="R122" i="58"/>
  <c r="L122" i="58" s="1"/>
  <c r="CH122" i="103"/>
  <c r="AE94" i="22"/>
  <c r="R93" i="58"/>
  <c r="L93" i="58" s="1"/>
  <c r="CH93" i="103"/>
  <c r="M44" i="103"/>
  <c r="J44" i="103" s="1"/>
  <c r="L44" i="103"/>
  <c r="F372" i="103"/>
  <c r="AC372" i="103"/>
  <c r="J306" i="22"/>
  <c r="T147" i="23"/>
  <c r="F248" i="103"/>
  <c r="AC248" i="103"/>
  <c r="E248" i="103"/>
  <c r="O394" i="58"/>
  <c r="O381" i="58"/>
  <c r="AA139" i="103"/>
  <c r="C394" i="58"/>
  <c r="C381" i="58"/>
  <c r="G162" i="58"/>
  <c r="F90" i="103"/>
  <c r="AC90" i="103"/>
  <c r="E90" i="103"/>
  <c r="F61" i="103"/>
  <c r="AC61" i="103"/>
  <c r="E61" i="103"/>
  <c r="Z23" i="58"/>
  <c r="I23" i="58" s="1"/>
  <c r="AB23" i="58"/>
  <c r="K23" i="58" s="1"/>
  <c r="AA23" i="58"/>
  <c r="J23" i="58" s="1"/>
  <c r="AC23" i="58"/>
  <c r="M23" i="58" s="1"/>
  <c r="J12" i="22"/>
  <c r="R376" i="103"/>
  <c r="M270" i="103"/>
  <c r="J270" i="103" s="1"/>
  <c r="L270" i="103"/>
  <c r="M263" i="103"/>
  <c r="J263" i="103" s="1"/>
  <c r="L263" i="103"/>
  <c r="G204" i="58"/>
  <c r="G200" i="58"/>
  <c r="G195" i="58"/>
  <c r="M190" i="103"/>
  <c r="J190" i="103" s="1"/>
  <c r="L190" i="103"/>
  <c r="F143" i="103"/>
  <c r="AC143" i="103"/>
  <c r="E143" i="103"/>
  <c r="C392" i="58"/>
  <c r="C379" i="58"/>
  <c r="G101" i="58"/>
  <c r="G127" i="58"/>
  <c r="H376" i="103"/>
  <c r="AC11" i="103"/>
  <c r="F11" i="103"/>
  <c r="M71" i="67"/>
  <c r="G355" i="58"/>
  <c r="AA320" i="103"/>
  <c r="M290" i="103"/>
  <c r="J290" i="103" s="1"/>
  <c r="L290" i="103"/>
  <c r="M248" i="103"/>
  <c r="J248" i="103" s="1"/>
  <c r="L248" i="103"/>
  <c r="F398" i="58"/>
  <c r="F385" i="58"/>
  <c r="CR228" i="103"/>
  <c r="AC211" i="58"/>
  <c r="M211" i="58" s="1"/>
  <c r="Z211" i="58"/>
  <c r="I211" i="58" s="1"/>
  <c r="AB211" i="58"/>
  <c r="K211" i="58" s="1"/>
  <c r="AA211" i="58"/>
  <c r="J211" i="58" s="1"/>
  <c r="AA193" i="103"/>
  <c r="G146" i="58"/>
  <c r="M152" i="103"/>
  <c r="J152" i="103" s="1"/>
  <c r="L152" i="103"/>
  <c r="M69" i="103"/>
  <c r="J69" i="103" s="1"/>
  <c r="L69" i="103"/>
  <c r="G60" i="58"/>
  <c r="AE238" i="22"/>
  <c r="R237" i="58"/>
  <c r="L237" i="58" s="1"/>
  <c r="CH237" i="103"/>
  <c r="CF237" i="103" s="1"/>
  <c r="AE56" i="22"/>
  <c r="R55" i="58"/>
  <c r="L55" i="58" s="1"/>
  <c r="CH55" i="103"/>
  <c r="N376" i="58"/>
  <c r="N389" i="58"/>
  <c r="S388" i="58"/>
  <c r="AE212" i="22"/>
  <c r="R211" i="58"/>
  <c r="L211" i="58" s="1"/>
  <c r="CH211" i="103"/>
  <c r="CF211" i="103" s="1"/>
  <c r="AG326" i="22"/>
  <c r="L335" i="67"/>
  <c r="T388" i="58"/>
  <c r="AG325" i="22"/>
  <c r="L334" i="67"/>
  <c r="AE174" i="22"/>
  <c r="R173" i="58"/>
  <c r="L173" i="58" s="1"/>
  <c r="CH173" i="103"/>
  <c r="CF173" i="103" s="1"/>
  <c r="AG133" i="22"/>
  <c r="CI132" i="103"/>
  <c r="CL132" i="103" s="1"/>
  <c r="M166" i="103"/>
  <c r="J166" i="103" s="1"/>
  <c r="L166" i="103"/>
  <c r="BD379" i="103"/>
  <c r="M67" i="103"/>
  <c r="J67" i="103" s="1"/>
  <c r="L67" i="103"/>
  <c r="F83" i="103"/>
  <c r="AC83" i="103"/>
  <c r="E83" i="103"/>
  <c r="N392" i="58"/>
  <c r="N379" i="58"/>
  <c r="CP26" i="103"/>
  <c r="BB26" i="103"/>
  <c r="F47" i="103"/>
  <c r="AC47" i="103"/>
  <c r="E47" i="103"/>
  <c r="F22" i="103"/>
  <c r="AC22" i="103"/>
  <c r="F43" i="103"/>
  <c r="AC43" i="103"/>
  <c r="E43" i="103"/>
  <c r="J316" i="22"/>
  <c r="R386" i="103"/>
  <c r="CQ331" i="103"/>
  <c r="CQ290" i="103"/>
  <c r="G327" i="58"/>
  <c r="AG241" i="22"/>
  <c r="CI240" i="103"/>
  <c r="CL240" i="103" s="1"/>
  <c r="M252" i="103"/>
  <c r="J252" i="103" s="1"/>
  <c r="L252" i="103"/>
  <c r="F206" i="103"/>
  <c r="AC206" i="103"/>
  <c r="E206" i="103"/>
  <c r="P382" i="58"/>
  <c r="P395" i="58"/>
  <c r="AB108" i="58"/>
  <c r="K108" i="58" s="1"/>
  <c r="AC108" i="58"/>
  <c r="M108" i="58" s="1"/>
  <c r="Z108" i="58"/>
  <c r="I108" i="58" s="1"/>
  <c r="AA108" i="58"/>
  <c r="J108" i="58" s="1"/>
  <c r="E392" i="58"/>
  <c r="E379" i="58"/>
  <c r="Y101" i="58"/>
  <c r="M71" i="103"/>
  <c r="J71" i="103" s="1"/>
  <c r="L71" i="103"/>
  <c r="AG37" i="22"/>
  <c r="CI36" i="103"/>
  <c r="CL36" i="103" s="1"/>
  <c r="AM36" i="103"/>
  <c r="M39" i="103"/>
  <c r="J39" i="103" s="1"/>
  <c r="L39" i="103"/>
  <c r="BB386" i="103"/>
  <c r="CM315" i="103"/>
  <c r="CO315" i="103" s="1"/>
  <c r="M241" i="103"/>
  <c r="J241" i="103" s="1"/>
  <c r="L241" i="103"/>
  <c r="K292" i="67"/>
  <c r="K398" i="67"/>
  <c r="O396" i="58"/>
  <c r="O383" i="58"/>
  <c r="Z193" i="58"/>
  <c r="I193" i="58" s="1"/>
  <c r="AB193" i="58"/>
  <c r="K193" i="58" s="1"/>
  <c r="AC193" i="58"/>
  <c r="M193" i="58" s="1"/>
  <c r="AA193" i="58"/>
  <c r="J193" i="58" s="1"/>
  <c r="Z177" i="58"/>
  <c r="I177" i="58" s="1"/>
  <c r="AB177" i="58"/>
  <c r="K177" i="58" s="1"/>
  <c r="AA177" i="58"/>
  <c r="J177" i="58" s="1"/>
  <c r="AC177" i="58"/>
  <c r="M177" i="58" s="1"/>
  <c r="F182" i="103"/>
  <c r="AC182" i="103"/>
  <c r="E182" i="103"/>
  <c r="F133" i="103"/>
  <c r="AC133" i="103"/>
  <c r="E133" i="103"/>
  <c r="F98" i="103"/>
  <c r="AC98" i="103"/>
  <c r="E98" i="103"/>
  <c r="G106" i="58"/>
  <c r="M19" i="103"/>
  <c r="J19" i="103" s="1"/>
  <c r="L19" i="103"/>
  <c r="CM302" i="103"/>
  <c r="CG302" i="103" s="1"/>
  <c r="F277" i="103"/>
  <c r="AC277" i="103"/>
  <c r="E277" i="103"/>
  <c r="AK269" i="22"/>
  <c r="G258" i="58"/>
  <c r="F397" i="58"/>
  <c r="F384" i="58"/>
  <c r="E292" i="67"/>
  <c r="M215" i="103"/>
  <c r="J215" i="103" s="1"/>
  <c r="L215" i="103"/>
  <c r="G210" i="58"/>
  <c r="AE230" i="22"/>
  <c r="R229" i="58"/>
  <c r="L229" i="58" s="1"/>
  <c r="CH229" i="103"/>
  <c r="CF229" i="103" s="1"/>
  <c r="AA202" i="103"/>
  <c r="G149" i="58"/>
  <c r="M97" i="103"/>
  <c r="J97" i="103" s="1"/>
  <c r="L97" i="103"/>
  <c r="F125" i="103"/>
  <c r="AC125" i="103"/>
  <c r="E125" i="103"/>
  <c r="AB128" i="58"/>
  <c r="K128" i="58" s="1"/>
  <c r="Z128" i="58"/>
  <c r="I128" i="58" s="1"/>
  <c r="AC128" i="58"/>
  <c r="M128" i="58" s="1"/>
  <c r="AA128" i="58"/>
  <c r="J128" i="58" s="1"/>
  <c r="O392" i="58"/>
  <c r="O379" i="58"/>
  <c r="F63" i="103"/>
  <c r="AC63" i="103"/>
  <c r="E63" i="103"/>
  <c r="F80" i="103"/>
  <c r="AC80" i="103"/>
  <c r="E80" i="103"/>
  <c r="AA93" i="103"/>
  <c r="AA355" i="103"/>
  <c r="M272" i="103"/>
  <c r="J272" i="103" s="1"/>
  <c r="L272" i="103"/>
  <c r="AK284" i="22"/>
  <c r="J308" i="22"/>
  <c r="T149" i="23"/>
  <c r="F251" i="103"/>
  <c r="AC251" i="103"/>
  <c r="E251" i="103"/>
  <c r="AB217" i="58"/>
  <c r="K217" i="58" s="1"/>
  <c r="AA217" i="58"/>
  <c r="J217" i="58" s="1"/>
  <c r="AC217" i="58"/>
  <c r="M217" i="58" s="1"/>
  <c r="Z217" i="58"/>
  <c r="I217" i="58" s="1"/>
  <c r="AA153" i="103"/>
  <c r="M64" i="103"/>
  <c r="J64" i="103" s="1"/>
  <c r="L64" i="103"/>
  <c r="CQ75" i="103"/>
  <c r="CK11" i="103"/>
  <c r="D390" i="58"/>
  <c r="D377" i="58"/>
  <c r="BG388" i="103"/>
  <c r="J287" i="22"/>
  <c r="T128" i="23"/>
  <c r="V168" i="23"/>
  <c r="M246" i="103"/>
  <c r="J246" i="103" s="1"/>
  <c r="L246" i="103"/>
  <c r="M204" i="103"/>
  <c r="J204" i="103" s="1"/>
  <c r="L204" i="103"/>
  <c r="AE228" i="22"/>
  <c r="R227" i="58"/>
  <c r="L227" i="58" s="1"/>
  <c r="CH227" i="103"/>
  <c r="CF227" i="103" s="1"/>
  <c r="G175" i="58"/>
  <c r="BB380" i="103"/>
  <c r="CM131" i="103"/>
  <c r="CO131" i="103" s="1"/>
  <c r="CR94" i="103"/>
  <c r="CQ57" i="103"/>
  <c r="F78" i="103"/>
  <c r="AC78" i="103"/>
  <c r="E78" i="103"/>
  <c r="AA56" i="103"/>
  <c r="H103" i="67"/>
  <c r="M72" i="103"/>
  <c r="J72" i="103" s="1"/>
  <c r="L72" i="103"/>
  <c r="G32" i="58"/>
  <c r="M25" i="103"/>
  <c r="J25" i="103" s="1"/>
  <c r="L25" i="103"/>
  <c r="AA372" i="103"/>
  <c r="AA338" i="103"/>
  <c r="H387" i="67"/>
  <c r="H386" i="103"/>
  <c r="AC315" i="103"/>
  <c r="F315" i="103"/>
  <c r="CQ300" i="103"/>
  <c r="N355" i="67"/>
  <c r="F302" i="103"/>
  <c r="AC302" i="103"/>
  <c r="E302" i="103"/>
  <c r="M235" i="103"/>
  <c r="J235" i="103" s="1"/>
  <c r="L235" i="103"/>
  <c r="M265" i="103"/>
  <c r="J265" i="103" s="1"/>
  <c r="L265" i="103"/>
  <c r="AC203" i="58"/>
  <c r="M203" i="58" s="1"/>
  <c r="AB203" i="58"/>
  <c r="K203" i="58" s="1"/>
  <c r="AA203" i="58"/>
  <c r="J203" i="58" s="1"/>
  <c r="Z203" i="58"/>
  <c r="I203" i="58" s="1"/>
  <c r="F222" i="103"/>
  <c r="AC222" i="103"/>
  <c r="E222" i="103"/>
  <c r="G171" i="58"/>
  <c r="G179" i="58"/>
  <c r="F139" i="103"/>
  <c r="AC139" i="103"/>
  <c r="E139" i="103"/>
  <c r="M133" i="103"/>
  <c r="J133" i="103" s="1"/>
  <c r="L133" i="103"/>
  <c r="M94" i="103"/>
  <c r="J94" i="103" s="1"/>
  <c r="L94" i="103"/>
  <c r="AE119" i="22"/>
  <c r="R118" i="58"/>
  <c r="L118" i="58" s="1"/>
  <c r="CH118" i="103"/>
  <c r="F110" i="103"/>
  <c r="AC110" i="103"/>
  <c r="E110" i="103"/>
  <c r="Z122" i="58"/>
  <c r="I122" i="58" s="1"/>
  <c r="AB122" i="58"/>
  <c r="K122" i="58" s="1"/>
  <c r="AC122" i="58"/>
  <c r="M122" i="58" s="1"/>
  <c r="AA122" i="58"/>
  <c r="J122" i="58" s="1"/>
  <c r="M57" i="103"/>
  <c r="J57" i="103" s="1"/>
  <c r="L57" i="103"/>
  <c r="AA61" i="103"/>
  <c r="E103" i="67"/>
  <c r="G159" i="23"/>
  <c r="Q388" i="103"/>
  <c r="AB27" i="58"/>
  <c r="K27" i="58" s="1"/>
  <c r="AA27" i="58"/>
  <c r="J27" i="58" s="1"/>
  <c r="AC27" i="58"/>
  <c r="M27" i="58" s="1"/>
  <c r="Z27" i="58"/>
  <c r="I27" i="58" s="1"/>
  <c r="F386" i="58"/>
  <c r="F399" i="58"/>
  <c r="CL263" i="103"/>
  <c r="AK278" i="22"/>
  <c r="M243" i="103"/>
  <c r="J243" i="103" s="1"/>
  <c r="L243" i="103"/>
  <c r="O382" i="103"/>
  <c r="M192" i="103"/>
  <c r="L192" i="103"/>
  <c r="AA161" i="103"/>
  <c r="AB118" i="58"/>
  <c r="K118" i="58" s="1"/>
  <c r="AA118" i="58"/>
  <c r="J118" i="58" s="1"/>
  <c r="Z118" i="58"/>
  <c r="I118" i="58" s="1"/>
  <c r="AC118" i="58"/>
  <c r="M118" i="58" s="1"/>
  <c r="AA107" i="103"/>
  <c r="AA11" i="103"/>
  <c r="Q390" i="58"/>
  <c r="Q377" i="58"/>
  <c r="M20" i="103"/>
  <c r="L20" i="103"/>
  <c r="AA335" i="103"/>
  <c r="F298" i="103"/>
  <c r="AC298" i="103"/>
  <c r="E298" i="103"/>
  <c r="F320" i="103"/>
  <c r="AC320" i="103"/>
  <c r="G302" i="58"/>
  <c r="CR251" i="103"/>
  <c r="AC265" i="58"/>
  <c r="M265" i="58" s="1"/>
  <c r="Z265" i="58"/>
  <c r="I265" i="58" s="1"/>
  <c r="AB265" i="58"/>
  <c r="K265" i="58" s="1"/>
  <c r="AA265" i="58"/>
  <c r="J265" i="58" s="1"/>
  <c r="G17" i="53"/>
  <c r="G275" i="58"/>
  <c r="CQ214" i="103"/>
  <c r="F193" i="103"/>
  <c r="AC193" i="103"/>
  <c r="E193" i="103"/>
  <c r="AA171" i="58"/>
  <c r="J171" i="58" s="1"/>
  <c r="AC171" i="58"/>
  <c r="M171" i="58" s="1"/>
  <c r="Z171" i="58"/>
  <c r="I171" i="58" s="1"/>
  <c r="AB171" i="58"/>
  <c r="K171" i="58" s="1"/>
  <c r="AC132" i="103"/>
  <c r="F132" i="103"/>
  <c r="E132" i="103"/>
  <c r="F392" i="58"/>
  <c r="F379" i="58"/>
  <c r="CS388" i="103"/>
  <c r="AE214" i="22"/>
  <c r="R213" i="58"/>
  <c r="L213" i="58" s="1"/>
  <c r="CH213" i="103"/>
  <c r="CF213" i="103" s="1"/>
  <c r="U388" i="58"/>
  <c r="S401" i="58"/>
  <c r="AE85" i="22"/>
  <c r="R84" i="58"/>
  <c r="L84" i="58" s="1"/>
  <c r="CH84" i="103"/>
  <c r="N386" i="58"/>
  <c r="N399" i="58"/>
  <c r="AM307" i="103"/>
  <c r="AE209" i="22"/>
  <c r="R208" i="58"/>
  <c r="L208" i="58" s="1"/>
  <c r="CH208" i="103"/>
  <c r="CF208" i="103" s="1"/>
  <c r="AE150" i="22"/>
  <c r="R149" i="58"/>
  <c r="L149" i="58" s="1"/>
  <c r="CH149" i="103"/>
  <c r="M77" i="103"/>
  <c r="J77" i="103" s="1"/>
  <c r="L77" i="103"/>
  <c r="T401" i="58"/>
  <c r="R322" i="58"/>
  <c r="L322" i="58" s="1"/>
  <c r="CH322" i="103"/>
  <c r="CF322" i="103" s="1"/>
  <c r="G285" i="58"/>
  <c r="M292" i="67"/>
  <c r="AC251" i="58"/>
  <c r="M251" i="58" s="1"/>
  <c r="Z251" i="58"/>
  <c r="I251" i="58" s="1"/>
  <c r="AB251" i="58"/>
  <c r="K251" i="58" s="1"/>
  <c r="AA251" i="58"/>
  <c r="J251" i="58" s="1"/>
  <c r="G269" i="58"/>
  <c r="G233" i="58"/>
  <c r="U382" i="103"/>
  <c r="AC143" i="58"/>
  <c r="M143" i="58" s="1"/>
  <c r="AB143" i="58"/>
  <c r="K143" i="58" s="1"/>
  <c r="AA143" i="58"/>
  <c r="J143" i="58" s="1"/>
  <c r="Z143" i="58"/>
  <c r="I143" i="58" s="1"/>
  <c r="CM97" i="103"/>
  <c r="CG97" i="103" s="1"/>
  <c r="M93" i="103"/>
  <c r="J93" i="103" s="1"/>
  <c r="L93" i="103"/>
  <c r="K103" i="67"/>
  <c r="K392" i="67"/>
  <c r="G353" i="58"/>
  <c r="R336" i="58"/>
  <c r="L336" i="58" s="1"/>
  <c r="CH336" i="103"/>
  <c r="G304" i="58"/>
  <c r="G331" i="58"/>
  <c r="G306" i="58"/>
  <c r="G264" i="58"/>
  <c r="F257" i="103"/>
  <c r="AC257" i="103"/>
  <c r="E257" i="103"/>
  <c r="F230" i="103"/>
  <c r="AC230" i="103"/>
  <c r="E230" i="103"/>
  <c r="G228" i="58"/>
  <c r="G190" i="58"/>
  <c r="F163" i="103"/>
  <c r="AC163" i="103"/>
  <c r="E163" i="103"/>
  <c r="AA77" i="58"/>
  <c r="J77" i="58" s="1"/>
  <c r="Z77" i="58"/>
  <c r="I77" i="58" s="1"/>
  <c r="AC77" i="58"/>
  <c r="M77" i="58" s="1"/>
  <c r="AB77" i="58"/>
  <c r="K77" i="58" s="1"/>
  <c r="G29" i="58"/>
  <c r="G12" i="58"/>
  <c r="G343" i="58"/>
  <c r="M300" i="103"/>
  <c r="J300" i="103" s="1"/>
  <c r="L300" i="103"/>
  <c r="G276" i="58"/>
  <c r="F294" i="103"/>
  <c r="AC294" i="103"/>
  <c r="E294" i="103"/>
  <c r="G266" i="58"/>
  <c r="AE246" i="22"/>
  <c r="R245" i="58"/>
  <c r="L245" i="58" s="1"/>
  <c r="CH245" i="103"/>
  <c r="CF245" i="103" s="1"/>
  <c r="AG200" i="22"/>
  <c r="CI199" i="103"/>
  <c r="CL199" i="103" s="1"/>
  <c r="F213" i="103"/>
  <c r="AC213" i="103"/>
  <c r="E213" i="103"/>
  <c r="M184" i="103"/>
  <c r="J184" i="103" s="1"/>
  <c r="L184" i="103"/>
  <c r="F202" i="103"/>
  <c r="AC202" i="103"/>
  <c r="E202" i="103"/>
  <c r="M177" i="103"/>
  <c r="J177" i="103" s="1"/>
  <c r="L177" i="103"/>
  <c r="F155" i="103"/>
  <c r="AC155" i="103"/>
  <c r="E155" i="103"/>
  <c r="G145" i="58"/>
  <c r="AA125" i="58"/>
  <c r="J125" i="58" s="1"/>
  <c r="AB125" i="58"/>
  <c r="K125" i="58" s="1"/>
  <c r="AC125" i="58"/>
  <c r="M125" i="58" s="1"/>
  <c r="Z125" i="58"/>
  <c r="I125" i="58" s="1"/>
  <c r="AE101" i="22"/>
  <c r="R100" i="58"/>
  <c r="L100" i="58" s="1"/>
  <c r="CH100" i="103"/>
  <c r="M76" i="103"/>
  <c r="J76" i="103" s="1"/>
  <c r="L76" i="103"/>
  <c r="F93" i="103"/>
  <c r="AC93" i="103"/>
  <c r="E93" i="103"/>
  <c r="N103" i="67"/>
  <c r="AC44" i="103"/>
  <c r="F44" i="103"/>
  <c r="E44" i="103"/>
  <c r="AC20" i="58"/>
  <c r="M20" i="58" s="1"/>
  <c r="AA20" i="58"/>
  <c r="J20" i="58" s="1"/>
  <c r="AB20" i="58"/>
  <c r="K20" i="58" s="1"/>
  <c r="Z20" i="58"/>
  <c r="I20" i="58" s="1"/>
  <c r="AC24" i="58"/>
  <c r="M24" i="58" s="1"/>
  <c r="Z24" i="58"/>
  <c r="I24" i="58" s="1"/>
  <c r="AB24" i="58"/>
  <c r="K24" i="58" s="1"/>
  <c r="AA24" i="58"/>
  <c r="J24" i="58" s="1"/>
  <c r="CP15" i="103"/>
  <c r="BB15" i="103"/>
  <c r="CI337" i="103"/>
  <c r="CL337" i="103" s="1"/>
  <c r="G283" i="58"/>
  <c r="G271" i="58"/>
  <c r="E168" i="23"/>
  <c r="D7" i="104"/>
  <c r="F234" i="103"/>
  <c r="AC234" i="103"/>
  <c r="E234" i="103"/>
  <c r="M146" i="103"/>
  <c r="J146" i="103" s="1"/>
  <c r="L146" i="103"/>
  <c r="N166" i="67"/>
  <c r="G107" i="58"/>
  <c r="CL97" i="103"/>
  <c r="AE74" i="22"/>
  <c r="R73" i="58"/>
  <c r="L73" i="58" s="1"/>
  <c r="CH73" i="103"/>
  <c r="J43" i="22"/>
  <c r="R377" i="103"/>
  <c r="Z46" i="58"/>
  <c r="I46" i="58" s="1"/>
  <c r="AB46" i="58"/>
  <c r="K46" i="58" s="1"/>
  <c r="AA46" i="58"/>
  <c r="J46" i="58" s="1"/>
  <c r="AC46" i="58"/>
  <c r="M46" i="58" s="1"/>
  <c r="G335" i="58"/>
  <c r="F316" i="103"/>
  <c r="AC316" i="103"/>
  <c r="AB286" i="58"/>
  <c r="K286" i="58" s="1"/>
  <c r="AA286" i="58"/>
  <c r="J286" i="58" s="1"/>
  <c r="Z286" i="58"/>
  <c r="I286" i="58" s="1"/>
  <c r="AC286" i="58"/>
  <c r="M286" i="58" s="1"/>
  <c r="W168" i="23"/>
  <c r="AG251" i="22"/>
  <c r="CI250" i="103"/>
  <c r="CL250" i="103" s="1"/>
  <c r="M233" i="103"/>
  <c r="J233" i="103" s="1"/>
  <c r="L233" i="103"/>
  <c r="G235" i="58"/>
  <c r="M170" i="103"/>
  <c r="J170" i="103" s="1"/>
  <c r="L170" i="103"/>
  <c r="AC166" i="58"/>
  <c r="M166" i="58" s="1"/>
  <c r="AA166" i="58"/>
  <c r="J166" i="58" s="1"/>
  <c r="Z166" i="58"/>
  <c r="I166" i="58" s="1"/>
  <c r="AB166" i="58"/>
  <c r="K166" i="58" s="1"/>
  <c r="AB174" i="58"/>
  <c r="K174" i="58" s="1"/>
  <c r="Z174" i="58"/>
  <c r="I174" i="58" s="1"/>
  <c r="AA174" i="58"/>
  <c r="J174" i="58" s="1"/>
  <c r="AC174" i="58"/>
  <c r="M174" i="58" s="1"/>
  <c r="G141" i="58"/>
  <c r="AE158" i="22"/>
  <c r="R157" i="58"/>
  <c r="L157" i="58" s="1"/>
  <c r="CH157" i="103"/>
  <c r="M118" i="103"/>
  <c r="J118" i="103" s="1"/>
  <c r="L118" i="103"/>
  <c r="G122" i="58"/>
  <c r="Z76" i="58"/>
  <c r="I76" i="58" s="1"/>
  <c r="AC76" i="58"/>
  <c r="M76" i="58" s="1"/>
  <c r="AB76" i="58"/>
  <c r="K76" i="58" s="1"/>
  <c r="AA76" i="58"/>
  <c r="J76" i="58" s="1"/>
  <c r="F56" i="103"/>
  <c r="AC56" i="103"/>
  <c r="E56" i="103"/>
  <c r="P378" i="58"/>
  <c r="P391" i="58"/>
  <c r="AC65" i="103"/>
  <c r="M65" i="103"/>
  <c r="L65" i="103"/>
  <c r="G342" i="58"/>
  <c r="AC354" i="103"/>
  <c r="F354" i="103"/>
  <c r="F338" i="103"/>
  <c r="AC338" i="103"/>
  <c r="R359" i="58"/>
  <c r="L359" i="58" s="1"/>
  <c r="CH359" i="103"/>
  <c r="P400" i="58"/>
  <c r="P387" i="58"/>
  <c r="Q386" i="58"/>
  <c r="Q399" i="58"/>
  <c r="F249" i="103"/>
  <c r="AC249" i="103"/>
  <c r="E249" i="103"/>
  <c r="AM240" i="103"/>
  <c r="AA214" i="58"/>
  <c r="J214" i="58" s="1"/>
  <c r="Z214" i="58"/>
  <c r="I214" i="58" s="1"/>
  <c r="AC214" i="58"/>
  <c r="M214" i="58" s="1"/>
  <c r="AB214" i="58"/>
  <c r="K214" i="58" s="1"/>
  <c r="AA177" i="103"/>
  <c r="F170" i="103"/>
  <c r="AC170" i="103"/>
  <c r="E170" i="103"/>
  <c r="M105" i="103"/>
  <c r="J105" i="103" s="1"/>
  <c r="L105" i="103"/>
  <c r="F60" i="103"/>
  <c r="AC60" i="103"/>
  <c r="E60" i="103"/>
  <c r="M85" i="103"/>
  <c r="J85" i="103" s="1"/>
  <c r="L85" i="103"/>
  <c r="E389" i="58"/>
  <c r="E376" i="58"/>
  <c r="Y11" i="58"/>
  <c r="T159" i="23"/>
  <c r="AD388" i="103"/>
  <c r="G375" i="58"/>
  <c r="M297" i="103"/>
  <c r="J297" i="103" s="1"/>
  <c r="L297" i="103"/>
  <c r="M267" i="103"/>
  <c r="J267" i="103" s="1"/>
  <c r="L267" i="103"/>
  <c r="G288" i="58"/>
  <c r="M201" i="103"/>
  <c r="J201" i="103" s="1"/>
  <c r="L201" i="103"/>
  <c r="AA232" i="103"/>
  <c r="M261" i="67"/>
  <c r="F212" i="103"/>
  <c r="AC212" i="103"/>
  <c r="E212" i="103"/>
  <c r="CP382" i="103"/>
  <c r="M181" i="103"/>
  <c r="J181" i="103" s="1"/>
  <c r="L181" i="103"/>
  <c r="Z191" i="58"/>
  <c r="I191" i="58" s="1"/>
  <c r="AB191" i="58"/>
  <c r="K191" i="58" s="1"/>
  <c r="AA191" i="58"/>
  <c r="J191" i="58" s="1"/>
  <c r="AC191" i="58"/>
  <c r="M191" i="58" s="1"/>
  <c r="F161" i="103"/>
  <c r="AC161" i="103"/>
  <c r="E161" i="103"/>
  <c r="F111" i="103"/>
  <c r="AC111" i="103"/>
  <c r="E111" i="103"/>
  <c r="F107" i="103"/>
  <c r="AC107" i="103"/>
  <c r="E107" i="103"/>
  <c r="AC159" i="23"/>
  <c r="G388" i="103"/>
  <c r="AB18" i="58"/>
  <c r="K18" i="58" s="1"/>
  <c r="AA18" i="58"/>
  <c r="J18" i="58" s="1"/>
  <c r="AC18" i="58"/>
  <c r="M18" i="58" s="1"/>
  <c r="Z18" i="58"/>
  <c r="I18" i="58" s="1"/>
  <c r="F335" i="103"/>
  <c r="AC335" i="103"/>
  <c r="G313" i="58"/>
  <c r="AA298" i="103"/>
  <c r="P144" i="23"/>
  <c r="AG248" i="22"/>
  <c r="CI247" i="103"/>
  <c r="CL247" i="103" s="1"/>
  <c r="Z207" i="58"/>
  <c r="I207" i="58" s="1"/>
  <c r="AA207" i="58"/>
  <c r="J207" i="58" s="1"/>
  <c r="AB207" i="58"/>
  <c r="K207" i="58" s="1"/>
  <c r="AC207" i="58"/>
  <c r="M207" i="58" s="1"/>
  <c r="G198" i="58"/>
  <c r="G184" i="58"/>
  <c r="M143" i="103"/>
  <c r="J143" i="103" s="1"/>
  <c r="L143" i="103"/>
  <c r="AA132" i="103"/>
  <c r="M115" i="103"/>
  <c r="J115" i="103" s="1"/>
  <c r="L115" i="103"/>
  <c r="M123" i="103"/>
  <c r="J123" i="103" s="1"/>
  <c r="L123" i="103"/>
  <c r="AC79" i="103"/>
  <c r="F79" i="103"/>
  <c r="E79" i="103"/>
  <c r="CM76" i="103"/>
  <c r="CG76" i="103" s="1"/>
  <c r="AE176" i="22"/>
  <c r="R175" i="58"/>
  <c r="L175" i="58" s="1"/>
  <c r="CH175" i="103"/>
  <c r="CF175" i="103" s="1"/>
  <c r="AE141" i="22"/>
  <c r="R140" i="58"/>
  <c r="L140" i="58" s="1"/>
  <c r="CH140" i="103"/>
  <c r="AG359" i="22"/>
  <c r="L369" i="67"/>
  <c r="V388" i="58"/>
  <c r="AE159" i="22"/>
  <c r="R158" i="58"/>
  <c r="L158" i="58" s="1"/>
  <c r="CH158" i="103"/>
  <c r="R321" i="58"/>
  <c r="L321" i="58" s="1"/>
  <c r="CH321" i="103"/>
  <c r="CF321" i="103" s="1"/>
  <c r="AE221" i="22"/>
  <c r="R220" i="58"/>
  <c r="L220" i="58" s="1"/>
  <c r="CH220" i="103"/>
  <c r="CF220" i="103" s="1"/>
  <c r="AE65" i="22"/>
  <c r="R64" i="58"/>
  <c r="L64" i="58" s="1"/>
  <c r="CH64" i="103"/>
  <c r="R357" i="58"/>
  <c r="L357" i="58" s="1"/>
  <c r="CH357" i="103"/>
  <c r="CI340" i="103"/>
  <c r="CL340" i="103" s="1"/>
  <c r="E386" i="58"/>
  <c r="E399" i="58"/>
  <c r="Y315" i="58"/>
  <c r="F332" i="103"/>
  <c r="AC332" i="103"/>
  <c r="P147" i="23"/>
  <c r="P127" i="23"/>
  <c r="D292" i="67"/>
  <c r="M200" i="103"/>
  <c r="J200" i="103" s="1"/>
  <c r="L200" i="103"/>
  <c r="M191" i="103"/>
  <c r="J191" i="103" s="1"/>
  <c r="L191" i="103"/>
  <c r="Z173" i="58"/>
  <c r="I173" i="58" s="1"/>
  <c r="AC173" i="58"/>
  <c r="M173" i="58" s="1"/>
  <c r="AB173" i="58"/>
  <c r="K173" i="58" s="1"/>
  <c r="AA173" i="58"/>
  <c r="J173" i="58" s="1"/>
  <c r="M95" i="103"/>
  <c r="J95" i="103" s="1"/>
  <c r="L95" i="103"/>
  <c r="G96" i="58"/>
  <c r="AC79" i="58"/>
  <c r="M79" i="58" s="1"/>
  <c r="Z79" i="58"/>
  <c r="I79" i="58" s="1"/>
  <c r="AA79" i="58"/>
  <c r="J79" i="58" s="1"/>
  <c r="AB79" i="58"/>
  <c r="K79" i="58" s="1"/>
  <c r="CM19" i="103"/>
  <c r="CG19" i="103" s="1"/>
  <c r="G52" i="58"/>
  <c r="CD388" i="103"/>
  <c r="F374" i="103"/>
  <c r="AC374" i="103"/>
  <c r="BB387" i="103"/>
  <c r="P146" i="23"/>
  <c r="P148" i="23"/>
  <c r="M239" i="103"/>
  <c r="J239" i="103" s="1"/>
  <c r="L239" i="103"/>
  <c r="F237" i="103"/>
  <c r="AC237" i="103"/>
  <c r="E237" i="103"/>
  <c r="G259" i="58"/>
  <c r="AB199" i="58"/>
  <c r="K199" i="58" s="1"/>
  <c r="AA199" i="58"/>
  <c r="J199" i="58" s="1"/>
  <c r="AC199" i="58"/>
  <c r="M199" i="58" s="1"/>
  <c r="Z199" i="58"/>
  <c r="I199" i="58" s="1"/>
  <c r="F151" i="103"/>
  <c r="AC151" i="103"/>
  <c r="E151" i="103"/>
  <c r="M121" i="103"/>
  <c r="J121" i="103" s="1"/>
  <c r="L121" i="103"/>
  <c r="M119" i="103"/>
  <c r="J119" i="103" s="1"/>
  <c r="L119" i="103"/>
  <c r="CK89" i="103"/>
  <c r="AA52" i="58"/>
  <c r="J52" i="58" s="1"/>
  <c r="AC52" i="58"/>
  <c r="M52" i="58" s="1"/>
  <c r="Z52" i="58"/>
  <c r="I52" i="58" s="1"/>
  <c r="AB52" i="58"/>
  <c r="K52" i="58" s="1"/>
  <c r="G24" i="58"/>
  <c r="F375" i="103"/>
  <c r="AC375" i="103"/>
  <c r="C387" i="67"/>
  <c r="R362" i="58"/>
  <c r="L362" i="58" s="1"/>
  <c r="CH362" i="103"/>
  <c r="CL331" i="103"/>
  <c r="G303" i="58"/>
  <c r="AA294" i="103"/>
  <c r="G246" i="58"/>
  <c r="M249" i="103"/>
  <c r="J249" i="103" s="1"/>
  <c r="L249" i="103"/>
  <c r="M207" i="103"/>
  <c r="J207" i="103" s="1"/>
  <c r="L207" i="103"/>
  <c r="G217" i="58"/>
  <c r="AC233" i="58"/>
  <c r="M233" i="58" s="1"/>
  <c r="Z233" i="58"/>
  <c r="I233" i="58" s="1"/>
  <c r="AA233" i="58"/>
  <c r="J233" i="58" s="1"/>
  <c r="AB233" i="58"/>
  <c r="K233" i="58" s="1"/>
  <c r="F211" i="103"/>
  <c r="AC211" i="103"/>
  <c r="E211" i="103"/>
  <c r="G224" i="58"/>
  <c r="G230" i="58"/>
  <c r="AA169" i="103"/>
  <c r="Z139" i="58"/>
  <c r="I139" i="58" s="1"/>
  <c r="AB139" i="58"/>
  <c r="K139" i="58" s="1"/>
  <c r="AA139" i="58"/>
  <c r="J139" i="58" s="1"/>
  <c r="AC139" i="58"/>
  <c r="M139" i="58" s="1"/>
  <c r="G80" i="58"/>
  <c r="M60" i="103"/>
  <c r="J60" i="103" s="1"/>
  <c r="L60" i="103"/>
  <c r="Q378" i="58"/>
  <c r="Q391" i="58"/>
  <c r="N400" i="58"/>
  <c r="N387" i="58"/>
  <c r="AG26" i="22"/>
  <c r="CI25" i="103"/>
  <c r="CL25" i="103" s="1"/>
  <c r="G351" i="58"/>
  <c r="D398" i="58"/>
  <c r="D385" i="58"/>
  <c r="O385" i="103"/>
  <c r="M284" i="103"/>
  <c r="L284" i="103"/>
  <c r="M269" i="103"/>
  <c r="J269" i="103" s="1"/>
  <c r="L269" i="103"/>
  <c r="M236" i="103"/>
  <c r="J236" i="103" s="1"/>
  <c r="L236" i="103"/>
  <c r="AC206" i="58"/>
  <c r="M206" i="58" s="1"/>
  <c r="AA206" i="58"/>
  <c r="J206" i="58" s="1"/>
  <c r="AB206" i="58"/>
  <c r="K206" i="58" s="1"/>
  <c r="Z206" i="58"/>
  <c r="I206" i="58" s="1"/>
  <c r="F215" i="103"/>
  <c r="AC215" i="103"/>
  <c r="E215" i="103"/>
  <c r="AB182" i="58"/>
  <c r="K182" i="58" s="1"/>
  <c r="Z182" i="58"/>
  <c r="I182" i="58" s="1"/>
  <c r="AC182" i="58"/>
  <c r="M182" i="58" s="1"/>
  <c r="AA182" i="58"/>
  <c r="J182" i="58" s="1"/>
  <c r="AE142" i="22"/>
  <c r="R141" i="58"/>
  <c r="L141" i="58" s="1"/>
  <c r="CH141" i="103"/>
  <c r="AA134" i="58"/>
  <c r="J134" i="58" s="1"/>
  <c r="Z134" i="58"/>
  <c r="I134" i="58" s="1"/>
  <c r="AB134" i="58"/>
  <c r="K134" i="58" s="1"/>
  <c r="AC134" i="58"/>
  <c r="M134" i="58" s="1"/>
  <c r="Q393" i="58"/>
  <c r="Q380" i="58"/>
  <c r="AB75" i="58"/>
  <c r="K75" i="58" s="1"/>
  <c r="AA75" i="58"/>
  <c r="J75" i="58" s="1"/>
  <c r="Z75" i="58"/>
  <c r="I75" i="58" s="1"/>
  <c r="AC75" i="58"/>
  <c r="M75" i="58" s="1"/>
  <c r="AA316" i="103"/>
  <c r="G324" i="58"/>
  <c r="H324" i="67"/>
  <c r="J311" i="22"/>
  <c r="T152" i="23"/>
  <c r="N324" i="67"/>
  <c r="G243" i="58"/>
  <c r="G214" i="58"/>
  <c r="AB230" i="58"/>
  <c r="K230" i="58" s="1"/>
  <c r="AC230" i="58"/>
  <c r="M230" i="58" s="1"/>
  <c r="Z230" i="58"/>
  <c r="I230" i="58" s="1"/>
  <c r="AA230" i="58"/>
  <c r="J230" i="58" s="1"/>
  <c r="AE204" i="22"/>
  <c r="R203" i="58"/>
  <c r="L203" i="58" s="1"/>
  <c r="CH203" i="103"/>
  <c r="CF203" i="103" s="1"/>
  <c r="G151" i="58"/>
  <c r="G126" i="58"/>
  <c r="AC98" i="58"/>
  <c r="M98" i="58" s="1"/>
  <c r="AA98" i="58"/>
  <c r="J98" i="58" s="1"/>
  <c r="Z98" i="58"/>
  <c r="I98" i="58" s="1"/>
  <c r="AB98" i="58"/>
  <c r="K98" i="58" s="1"/>
  <c r="AA65" i="103"/>
  <c r="AZ388" i="103"/>
  <c r="G27" i="58"/>
  <c r="G289" i="58"/>
  <c r="F291" i="103"/>
  <c r="AC291" i="103"/>
  <c r="E291" i="103"/>
  <c r="M262" i="103"/>
  <c r="J262" i="103" s="1"/>
  <c r="L262" i="103"/>
  <c r="M264" i="103"/>
  <c r="J264" i="103" s="1"/>
  <c r="L264" i="103"/>
  <c r="F200" i="103"/>
  <c r="AC200" i="103"/>
  <c r="E200" i="103"/>
  <c r="F177" i="103"/>
  <c r="AC177" i="103"/>
  <c r="E177" i="103"/>
  <c r="AA170" i="103"/>
  <c r="AC140" i="58"/>
  <c r="M140" i="58" s="1"/>
  <c r="Z140" i="58"/>
  <c r="I140" i="58" s="1"/>
  <c r="AA140" i="58"/>
  <c r="J140" i="58" s="1"/>
  <c r="AB140" i="58"/>
  <c r="K140" i="58" s="1"/>
  <c r="F157" i="103"/>
  <c r="AC157" i="103"/>
  <c r="E157" i="103"/>
  <c r="AV388" i="103"/>
  <c r="Z97" i="58"/>
  <c r="I97" i="58" s="1"/>
  <c r="AC97" i="58"/>
  <c r="M97" i="58" s="1"/>
  <c r="AB97" i="58"/>
  <c r="K97" i="58" s="1"/>
  <c r="AA97" i="58"/>
  <c r="J97" i="58" s="1"/>
  <c r="E42" i="67"/>
  <c r="AG371" i="22"/>
  <c r="L381" i="67"/>
  <c r="S15" i="68" s="1"/>
  <c r="AG337" i="22"/>
  <c r="L346" i="67"/>
  <c r="F337" i="103"/>
  <c r="AC337" i="103"/>
  <c r="G322" i="58"/>
  <c r="F287" i="103"/>
  <c r="AC287" i="103"/>
  <c r="E287" i="103"/>
  <c r="P130" i="23"/>
  <c r="F247" i="103"/>
  <c r="AC247" i="103"/>
  <c r="E247" i="103"/>
  <c r="F232" i="103"/>
  <c r="AC232" i="103"/>
  <c r="E232" i="103"/>
  <c r="M230" i="103"/>
  <c r="J230" i="103" s="1"/>
  <c r="L230" i="103"/>
  <c r="M208" i="103"/>
  <c r="J208" i="103" s="1"/>
  <c r="L208" i="103"/>
  <c r="D261" i="67"/>
  <c r="AA166" i="103"/>
  <c r="AA108" i="103"/>
  <c r="E166" i="67"/>
  <c r="G115" i="58"/>
  <c r="G51" i="58"/>
  <c r="H71" i="67"/>
  <c r="M32" i="103"/>
  <c r="J32" i="103" s="1"/>
  <c r="L32" i="103"/>
  <c r="AA44" i="58"/>
  <c r="J44" i="58" s="1"/>
  <c r="AC44" i="58"/>
  <c r="M44" i="58" s="1"/>
  <c r="AB44" i="58"/>
  <c r="K44" i="58" s="1"/>
  <c r="Z44" i="58"/>
  <c r="I44" i="58" s="1"/>
  <c r="AA260" i="58"/>
  <c r="J260" i="58" s="1"/>
  <c r="AC260" i="58"/>
  <c r="M260" i="58" s="1"/>
  <c r="AB260" i="58"/>
  <c r="K260" i="58" s="1"/>
  <c r="Z260" i="58"/>
  <c r="I260" i="58" s="1"/>
  <c r="G14" i="53"/>
  <c r="M231" i="103"/>
  <c r="J231" i="103" s="1"/>
  <c r="L231" i="103"/>
  <c r="AC187" i="58"/>
  <c r="M187" i="58" s="1"/>
  <c r="AA187" i="58"/>
  <c r="J187" i="58" s="1"/>
  <c r="AB187" i="58"/>
  <c r="K187" i="58" s="1"/>
  <c r="Z187" i="58"/>
  <c r="I187" i="58" s="1"/>
  <c r="AB136" i="58"/>
  <c r="K136" i="58" s="1"/>
  <c r="AA136" i="58"/>
  <c r="J136" i="58" s="1"/>
  <c r="Z136" i="58"/>
  <c r="I136" i="58" s="1"/>
  <c r="AC136" i="58"/>
  <c r="M136" i="58" s="1"/>
  <c r="AC150" i="103"/>
  <c r="F150" i="103"/>
  <c r="E150" i="103"/>
  <c r="AA79" i="103"/>
  <c r="AC13" i="103"/>
  <c r="F13" i="103"/>
  <c r="AE147" i="22"/>
  <c r="R146" i="58"/>
  <c r="L146" i="58" s="1"/>
  <c r="CH146" i="103"/>
  <c r="AG82" i="22"/>
  <c r="CI81" i="103"/>
  <c r="CL81" i="103" s="1"/>
  <c r="AE17" i="22"/>
  <c r="R16" i="58"/>
  <c r="L16" i="58" s="1"/>
  <c r="CH16" i="103"/>
  <c r="AE60" i="22"/>
  <c r="R59" i="58"/>
  <c r="L59" i="58" s="1"/>
  <c r="CH59" i="103"/>
  <c r="CK223" i="103"/>
  <c r="R297" i="58"/>
  <c r="L297" i="58" s="1"/>
  <c r="CH297" i="103"/>
  <c r="CF297" i="103" s="1"/>
  <c r="CM84" i="103"/>
  <c r="CG84" i="103" s="1"/>
  <c r="CP30" i="103"/>
  <c r="BB30" i="103"/>
  <c r="CP377" i="103"/>
  <c r="M16" i="103"/>
  <c r="J16" i="103" s="1"/>
  <c r="L16" i="103"/>
  <c r="M38" i="103"/>
  <c r="L38" i="103"/>
  <c r="F297" i="103"/>
  <c r="AC297" i="103"/>
  <c r="E297" i="103"/>
  <c r="J301" i="22"/>
  <c r="T142" i="23"/>
  <c r="P128" i="23"/>
  <c r="M287" i="103"/>
  <c r="J287" i="103" s="1"/>
  <c r="L287" i="103"/>
  <c r="F285" i="103"/>
  <c r="AC285" i="103"/>
  <c r="E285" i="103"/>
  <c r="AE199" i="22"/>
  <c r="R198" i="58"/>
  <c r="L198" i="58" s="1"/>
  <c r="CH198" i="103"/>
  <c r="CF198" i="103" s="1"/>
  <c r="AG151" i="22"/>
  <c r="CI150" i="103"/>
  <c r="CL150" i="103" s="1"/>
  <c r="AE154" i="22"/>
  <c r="R153" i="58"/>
  <c r="L153" i="58" s="1"/>
  <c r="CH153" i="103"/>
  <c r="M158" i="103"/>
  <c r="J158" i="103" s="1"/>
  <c r="L158" i="103"/>
  <c r="G97" i="58"/>
  <c r="AC121" i="103"/>
  <c r="F121" i="103"/>
  <c r="E121" i="103"/>
  <c r="G91" i="58"/>
  <c r="AE12" i="22"/>
  <c r="R11" i="58"/>
  <c r="CH11" i="103"/>
  <c r="AC17" i="103"/>
  <c r="F17" i="103"/>
  <c r="E17" i="103"/>
  <c r="G17" i="58"/>
  <c r="G45" i="58"/>
  <c r="Z28" i="58"/>
  <c r="I28" i="58" s="1"/>
  <c r="AB28" i="58"/>
  <c r="K28" i="58" s="1"/>
  <c r="AA28" i="58"/>
  <c r="J28" i="58" s="1"/>
  <c r="AC28" i="58"/>
  <c r="M28" i="58" s="1"/>
  <c r="AA16" i="58"/>
  <c r="J16" i="58" s="1"/>
  <c r="AC16" i="58"/>
  <c r="M16" i="58" s="1"/>
  <c r="Z16" i="58"/>
  <c r="I16" i="58" s="1"/>
  <c r="AB16" i="58"/>
  <c r="K16" i="58" s="1"/>
  <c r="G329" i="58"/>
  <c r="M288" i="103"/>
  <c r="J288" i="103" s="1"/>
  <c r="L288" i="103"/>
  <c r="G290" i="58"/>
  <c r="AE249" i="22"/>
  <c r="R248" i="58"/>
  <c r="L248" i="58" s="1"/>
  <c r="CH248" i="103"/>
  <c r="CF248" i="103" s="1"/>
  <c r="AE226" i="22"/>
  <c r="R225" i="58"/>
  <c r="L225" i="58" s="1"/>
  <c r="CH225" i="103"/>
  <c r="CF225" i="103" s="1"/>
  <c r="F382" i="58"/>
  <c r="F395" i="58"/>
  <c r="M156" i="103"/>
  <c r="J156" i="103" s="1"/>
  <c r="L156" i="103"/>
  <c r="AE143" i="22"/>
  <c r="R142" i="58"/>
  <c r="L142" i="58" s="1"/>
  <c r="CH142" i="103"/>
  <c r="AB124" i="58"/>
  <c r="K124" i="58" s="1"/>
  <c r="AA124" i="58"/>
  <c r="J124" i="58" s="1"/>
  <c r="Z124" i="58"/>
  <c r="I124" i="58" s="1"/>
  <c r="AC124" i="58"/>
  <c r="M124" i="58" s="1"/>
  <c r="AA53" i="58"/>
  <c r="J53" i="58" s="1"/>
  <c r="AC53" i="58"/>
  <c r="M53" i="58" s="1"/>
  <c r="Z53" i="58"/>
  <c r="I53" i="58" s="1"/>
  <c r="AB53" i="58"/>
  <c r="K53" i="58" s="1"/>
  <c r="G18" i="53"/>
  <c r="CI328" i="103"/>
  <c r="CI306" i="103"/>
  <c r="CL306" i="103" s="1"/>
  <c r="AM306" i="103"/>
  <c r="BR261" i="103"/>
  <c r="Z220" i="58"/>
  <c r="I220" i="58" s="1"/>
  <c r="AC220" i="58"/>
  <c r="M220" i="58" s="1"/>
  <c r="AB220" i="58"/>
  <c r="K220" i="58" s="1"/>
  <c r="AA220" i="58"/>
  <c r="J220" i="58" s="1"/>
  <c r="AC171" i="103"/>
  <c r="F171" i="103"/>
  <c r="E171" i="103"/>
  <c r="CO177" i="103"/>
  <c r="D166" i="67"/>
  <c r="AE126" i="22"/>
  <c r="R125" i="58"/>
  <c r="L125" i="58" s="1"/>
  <c r="CH125" i="103"/>
  <c r="AA92" i="103"/>
  <c r="F69" i="103"/>
  <c r="AC69" i="103"/>
  <c r="E69" i="103"/>
  <c r="Z87" i="58"/>
  <c r="I87" i="58" s="1"/>
  <c r="AC87" i="58"/>
  <c r="M87" i="58" s="1"/>
  <c r="AA87" i="58"/>
  <c r="J87" i="58" s="1"/>
  <c r="AB87" i="58"/>
  <c r="K87" i="58" s="1"/>
  <c r="AC19" i="103"/>
  <c r="F19" i="103"/>
  <c r="F32" i="103"/>
  <c r="AC32" i="103"/>
  <c r="F24" i="103"/>
  <c r="AC24" i="103"/>
  <c r="AA375" i="103"/>
  <c r="O400" i="58"/>
  <c r="O387" i="58"/>
  <c r="F343" i="103"/>
  <c r="AC343" i="103"/>
  <c r="CP386" i="103"/>
  <c r="F274" i="103"/>
  <c r="AC274" i="103"/>
  <c r="E274" i="103"/>
  <c r="P145" i="23"/>
  <c r="G293" i="58"/>
  <c r="F169" i="103"/>
  <c r="AC169" i="103"/>
  <c r="E169" i="103"/>
  <c r="AG182" i="22"/>
  <c r="CI181" i="103"/>
  <c r="CL181" i="103" s="1"/>
  <c r="AM181" i="103"/>
  <c r="M175" i="103"/>
  <c r="J175" i="103" s="1"/>
  <c r="L175" i="103"/>
  <c r="M168" i="103"/>
  <c r="J168" i="103" s="1"/>
  <c r="L168" i="103"/>
  <c r="AA128" i="103"/>
  <c r="F34" i="103"/>
  <c r="AC34" i="103"/>
  <c r="N382" i="58"/>
  <c r="N395" i="58"/>
  <c r="Z31" i="58"/>
  <c r="I31" i="58" s="1"/>
  <c r="AB31" i="58"/>
  <c r="K31" i="58" s="1"/>
  <c r="AC31" i="58"/>
  <c r="M31" i="58" s="1"/>
  <c r="AA31" i="58"/>
  <c r="J31" i="58" s="1"/>
  <c r="CM41" i="103"/>
  <c r="CG41" i="103" s="1"/>
  <c r="Z41" i="58"/>
  <c r="I41" i="58" s="1"/>
  <c r="AB41" i="58"/>
  <c r="K41" i="58" s="1"/>
  <c r="AA41" i="58"/>
  <c r="J41" i="58" s="1"/>
  <c r="AC41" i="58"/>
  <c r="M41" i="58" s="1"/>
  <c r="G359" i="58"/>
  <c r="CI339" i="103"/>
  <c r="CL339" i="103" s="1"/>
  <c r="AM328" i="103"/>
  <c r="M302" i="103"/>
  <c r="J302" i="103" s="1"/>
  <c r="L302" i="103"/>
  <c r="F290" i="103"/>
  <c r="AC290" i="103"/>
  <c r="E290" i="103"/>
  <c r="AB253" i="58"/>
  <c r="K253" i="58" s="1"/>
  <c r="AA253" i="58"/>
  <c r="J253" i="58" s="1"/>
  <c r="AC253" i="58"/>
  <c r="M253" i="58" s="1"/>
  <c r="Z253" i="58"/>
  <c r="I253" i="58" s="1"/>
  <c r="G238" i="58"/>
  <c r="AB138" i="58"/>
  <c r="K138" i="58" s="1"/>
  <c r="Z138" i="58"/>
  <c r="I138" i="58" s="1"/>
  <c r="AA138" i="58"/>
  <c r="J138" i="58" s="1"/>
  <c r="AC138" i="58"/>
  <c r="M138" i="58" s="1"/>
  <c r="M137" i="103"/>
  <c r="J137" i="103" s="1"/>
  <c r="L137" i="103"/>
  <c r="E390" i="58"/>
  <c r="E377" i="58"/>
  <c r="Y42" i="58"/>
  <c r="AB50" i="58"/>
  <c r="K50" i="58" s="1"/>
  <c r="Z50" i="58"/>
  <c r="I50" i="58" s="1"/>
  <c r="AA50" i="58"/>
  <c r="J50" i="58" s="1"/>
  <c r="AC50" i="58"/>
  <c r="M50" i="58" s="1"/>
  <c r="G312" i="58"/>
  <c r="P398" i="58"/>
  <c r="P385" i="58"/>
  <c r="Q398" i="58"/>
  <c r="Q385" i="58"/>
  <c r="AB255" i="58"/>
  <c r="K255" i="58" s="1"/>
  <c r="Z255" i="58"/>
  <c r="I255" i="58" s="1"/>
  <c r="AC255" i="58"/>
  <c r="M255" i="58" s="1"/>
  <c r="AA255" i="58"/>
  <c r="J255" i="58" s="1"/>
  <c r="Z282" i="58"/>
  <c r="I282" i="58" s="1"/>
  <c r="AC282" i="58"/>
  <c r="M282" i="58" s="1"/>
  <c r="AB282" i="58"/>
  <c r="K282" i="58" s="1"/>
  <c r="AA282" i="58"/>
  <c r="J282" i="58" s="1"/>
  <c r="AB266" i="58"/>
  <c r="K266" i="58" s="1"/>
  <c r="Z266" i="58"/>
  <c r="I266" i="58" s="1"/>
  <c r="AA266" i="58"/>
  <c r="J266" i="58" s="1"/>
  <c r="AC266" i="58"/>
  <c r="M266" i="58" s="1"/>
  <c r="F235" i="103"/>
  <c r="AC235" i="103"/>
  <c r="E235" i="103"/>
  <c r="M195" i="103"/>
  <c r="J195" i="103" s="1"/>
  <c r="L195" i="103"/>
  <c r="Z159" i="58"/>
  <c r="I159" i="58" s="1"/>
  <c r="AB159" i="58"/>
  <c r="K159" i="58" s="1"/>
  <c r="AA159" i="58"/>
  <c r="J159" i="58" s="1"/>
  <c r="AC159" i="58"/>
  <c r="M159" i="58" s="1"/>
  <c r="O381" i="103"/>
  <c r="M162" i="103"/>
  <c r="L162" i="103"/>
  <c r="AE149" i="22"/>
  <c r="R148" i="58"/>
  <c r="L148" i="58" s="1"/>
  <c r="CH148" i="103"/>
  <c r="F23" i="103"/>
  <c r="AC23" i="103"/>
  <c r="G39" i="58"/>
  <c r="F365" i="103"/>
  <c r="AC365" i="103"/>
  <c r="J300" i="22"/>
  <c r="T141" i="23"/>
  <c r="P131" i="23"/>
  <c r="AA291" i="103"/>
  <c r="AA250" i="58"/>
  <c r="J250" i="58" s="1"/>
  <c r="Z250" i="58"/>
  <c r="I250" i="58" s="1"/>
  <c r="AC250" i="58"/>
  <c r="M250" i="58" s="1"/>
  <c r="AB250" i="58"/>
  <c r="K250" i="58" s="1"/>
  <c r="G167" i="58"/>
  <c r="F188" i="103"/>
  <c r="AC188" i="103"/>
  <c r="E188" i="103"/>
  <c r="AC115" i="103"/>
  <c r="F115" i="103"/>
  <c r="E115" i="103"/>
  <c r="G68" i="58"/>
  <c r="AA74" i="58"/>
  <c r="J74" i="58" s="1"/>
  <c r="Z74" i="58"/>
  <c r="I74" i="58" s="1"/>
  <c r="AB74" i="58"/>
  <c r="K74" i="58" s="1"/>
  <c r="AC74" i="58"/>
  <c r="M74" i="58" s="1"/>
  <c r="AA35" i="58"/>
  <c r="J35" i="58" s="1"/>
  <c r="AC35" i="58"/>
  <c r="M35" i="58" s="1"/>
  <c r="Z35" i="58"/>
  <c r="I35" i="58" s="1"/>
  <c r="AB35" i="58"/>
  <c r="K35" i="58" s="1"/>
  <c r="U376" i="103"/>
  <c r="G350" i="58"/>
  <c r="AA337" i="103"/>
  <c r="O386" i="103"/>
  <c r="M315" i="103"/>
  <c r="AA287" i="103"/>
  <c r="M282" i="103"/>
  <c r="J282" i="103" s="1"/>
  <c r="L282" i="103"/>
  <c r="AC270" i="58"/>
  <c r="M270" i="58" s="1"/>
  <c r="AB270" i="58"/>
  <c r="K270" i="58" s="1"/>
  <c r="AA270" i="58"/>
  <c r="J270" i="58" s="1"/>
  <c r="Z270" i="58"/>
  <c r="I270" i="58" s="1"/>
  <c r="AC227" i="58"/>
  <c r="M227" i="58" s="1"/>
  <c r="AB227" i="58"/>
  <c r="K227" i="58" s="1"/>
  <c r="AA227" i="58"/>
  <c r="J227" i="58" s="1"/>
  <c r="Z227" i="58"/>
  <c r="I227" i="58" s="1"/>
  <c r="F166" i="103"/>
  <c r="AC166" i="103"/>
  <c r="E166" i="103"/>
  <c r="M172" i="103"/>
  <c r="J172" i="103" s="1"/>
  <c r="L172" i="103"/>
  <c r="M183" i="103"/>
  <c r="J183" i="103" s="1"/>
  <c r="L183" i="103"/>
  <c r="G161" i="58"/>
  <c r="AA134" i="103"/>
  <c r="E197" i="67"/>
  <c r="F108" i="103"/>
  <c r="AC108" i="103"/>
  <c r="E108" i="103"/>
  <c r="G92" i="58"/>
  <c r="E71" i="67"/>
  <c r="P390" i="58"/>
  <c r="P377" i="58"/>
  <c r="F301" i="103"/>
  <c r="AC301" i="103"/>
  <c r="E301" i="103"/>
  <c r="J286" i="22"/>
  <c r="T127" i="23"/>
  <c r="AB262" i="58"/>
  <c r="K262" i="58" s="1"/>
  <c r="AA262" i="58"/>
  <c r="J262" i="58" s="1"/>
  <c r="Z262" i="58"/>
  <c r="I262" i="58" s="1"/>
  <c r="AC262" i="58"/>
  <c r="M262" i="58" s="1"/>
  <c r="AB146" i="58"/>
  <c r="K146" i="58" s="1"/>
  <c r="AC146" i="58"/>
  <c r="M146" i="58" s="1"/>
  <c r="AA146" i="58"/>
  <c r="J146" i="58" s="1"/>
  <c r="Z146" i="58"/>
  <c r="I146" i="58" s="1"/>
  <c r="M134" i="103"/>
  <c r="J134" i="103" s="1"/>
  <c r="L134" i="103"/>
  <c r="AA150" i="103"/>
  <c r="G100" i="58"/>
  <c r="G105" i="58"/>
  <c r="AA75" i="103"/>
  <c r="M59" i="103"/>
  <c r="J59" i="103" s="1"/>
  <c r="L59" i="103"/>
  <c r="G47" i="58"/>
  <c r="N378" i="58"/>
  <c r="N391" i="58"/>
  <c r="AG70" i="22"/>
  <c r="CI69" i="103"/>
  <c r="CL69" i="103" s="1"/>
  <c r="CM33" i="103"/>
  <c r="CG33" i="103" s="1"/>
  <c r="R363" i="58"/>
  <c r="L363" i="58" s="1"/>
  <c r="CH363" i="103"/>
  <c r="AN383" i="103"/>
  <c r="R360" i="58"/>
  <c r="L360" i="58" s="1"/>
  <c r="CH360" i="103"/>
  <c r="G77" i="58"/>
  <c r="AM117" i="103"/>
  <c r="CJ165" i="103" l="1"/>
  <c r="CF164" i="103"/>
  <c r="AG148" i="23"/>
  <c r="CF160" i="103"/>
  <c r="CF159" i="103"/>
  <c r="CF158" i="103"/>
  <c r="CF157" i="103"/>
  <c r="AO158" i="22" s="1"/>
  <c r="CF154" i="103"/>
  <c r="CF153" i="103"/>
  <c r="CF149" i="103"/>
  <c r="CF148" i="103"/>
  <c r="AG129" i="23"/>
  <c r="AG156" i="23"/>
  <c r="CF146" i="103"/>
  <c r="CF145" i="103"/>
  <c r="CF142" i="103"/>
  <c r="CF141" i="103"/>
  <c r="CF140" i="103"/>
  <c r="CF139" i="103"/>
  <c r="CF136" i="103"/>
  <c r="CF135" i="103"/>
  <c r="AG138" i="23"/>
  <c r="AL156" i="23"/>
  <c r="AG149" i="23"/>
  <c r="AG134" i="23"/>
  <c r="CF130" i="103"/>
  <c r="CF128" i="103"/>
  <c r="CF125" i="103"/>
  <c r="CF123" i="103"/>
  <c r="CO122" i="103"/>
  <c r="BA123" i="103"/>
  <c r="BA129" i="103"/>
  <c r="CF122" i="103"/>
  <c r="BA128" i="103"/>
  <c r="BA130" i="103"/>
  <c r="CF119" i="103"/>
  <c r="CF118" i="103"/>
  <c r="CF116" i="103"/>
  <c r="CF115" i="103"/>
  <c r="CF113" i="103"/>
  <c r="CF112" i="103"/>
  <c r="CJ110" i="103"/>
  <c r="I113" i="67" s="1"/>
  <c r="CF107" i="103"/>
  <c r="CJ106" i="103"/>
  <c r="I109" i="67" s="1"/>
  <c r="CF105" i="103"/>
  <c r="CF104" i="103"/>
  <c r="CJ103" i="103"/>
  <c r="I106" i="67" s="1"/>
  <c r="CF102" i="103"/>
  <c r="CJ101" i="103"/>
  <c r="I104" i="67" s="1"/>
  <c r="E16" i="62"/>
  <c r="R17" i="62"/>
  <c r="S17" i="62" s="1"/>
  <c r="I17" i="62"/>
  <c r="J17" i="62" s="1"/>
  <c r="D17" i="62"/>
  <c r="F17" i="62"/>
  <c r="G17" i="62"/>
  <c r="H17" i="62" s="1"/>
  <c r="C17" i="62"/>
  <c r="M17" i="62"/>
  <c r="O17" i="62"/>
  <c r="K17" i="62"/>
  <c r="AG154" i="23"/>
  <c r="AG133" i="23"/>
  <c r="AG143" i="23"/>
  <c r="AG135" i="23"/>
  <c r="AG132" i="23"/>
  <c r="AG128" i="23"/>
  <c r="AG146" i="23"/>
  <c r="CF100" i="103"/>
  <c r="AL155" i="23"/>
  <c r="CF99" i="103"/>
  <c r="AL154" i="23"/>
  <c r="CF97" i="103"/>
  <c r="CF93" i="103"/>
  <c r="CJ92" i="103"/>
  <c r="I94" i="67" s="1"/>
  <c r="CJ89" i="103"/>
  <c r="I91" i="67" s="1"/>
  <c r="CF88" i="103"/>
  <c r="CF86" i="103"/>
  <c r="CF85" i="103"/>
  <c r="CF84" i="103"/>
  <c r="CF83" i="103"/>
  <c r="CF80" i="103"/>
  <c r="CF78" i="103"/>
  <c r="BA77" i="103"/>
  <c r="CP378" i="103"/>
  <c r="CF75" i="103"/>
  <c r="CQ70" i="103"/>
  <c r="CF73" i="103"/>
  <c r="CF71" i="103"/>
  <c r="CO70" i="103"/>
  <c r="AG150" i="23"/>
  <c r="CF68" i="103"/>
  <c r="CF66" i="103"/>
  <c r="CF65" i="103"/>
  <c r="AG142" i="23"/>
  <c r="AG137" i="23"/>
  <c r="AG147" i="23"/>
  <c r="CF64" i="103"/>
  <c r="CF62" i="103"/>
  <c r="CF61" i="103"/>
  <c r="CF60" i="103"/>
  <c r="CF59" i="103"/>
  <c r="CF57" i="103"/>
  <c r="CJ56" i="103"/>
  <c r="I57" i="67" s="1"/>
  <c r="CF55" i="103"/>
  <c r="CF51" i="103"/>
  <c r="CF50" i="103"/>
  <c r="CJ49" i="103"/>
  <c r="I50" i="67" s="1"/>
  <c r="CF48" i="103"/>
  <c r="BC388" i="103"/>
  <c r="CF47" i="103"/>
  <c r="CF46" i="103"/>
  <c r="CF45" i="103"/>
  <c r="E376" i="103"/>
  <c r="CF44" i="103"/>
  <c r="CF43" i="103"/>
  <c r="CJ42" i="103"/>
  <c r="I43" i="67" s="1"/>
  <c r="AG153" i="23"/>
  <c r="AG152" i="23"/>
  <c r="AG145" i="23"/>
  <c r="AG136" i="23"/>
  <c r="AG140" i="23"/>
  <c r="AG127" i="23"/>
  <c r="BR38" i="103"/>
  <c r="BJ38" i="103"/>
  <c r="BL38" i="103" s="1"/>
  <c r="CF40" i="103"/>
  <c r="BR37" i="103"/>
  <c r="CR39" i="103"/>
  <c r="BJ37" i="103"/>
  <c r="P37" i="67" s="1"/>
  <c r="BR36" i="103"/>
  <c r="CF39" i="103"/>
  <c r="BI36" i="103"/>
  <c r="CF38" i="103"/>
  <c r="CR37" i="103"/>
  <c r="CR35" i="103"/>
  <c r="CR31" i="103"/>
  <c r="CJ31" i="103"/>
  <c r="I31" i="67" s="1"/>
  <c r="CR30" i="103"/>
  <c r="CR29" i="103"/>
  <c r="CF29" i="103"/>
  <c r="CF28" i="103"/>
  <c r="CR27" i="103"/>
  <c r="CJ27" i="103"/>
  <c r="I27" i="67" s="1"/>
  <c r="CR26" i="103"/>
  <c r="CR22" i="103"/>
  <c r="CJ22" i="103"/>
  <c r="I22" i="67" s="1"/>
  <c r="CJ20" i="103"/>
  <c r="I20" i="67" s="1"/>
  <c r="CF19" i="103"/>
  <c r="CF18" i="103"/>
  <c r="CF16" i="103"/>
  <c r="CR15" i="103"/>
  <c r="CF15" i="103"/>
  <c r="CR14" i="103"/>
  <c r="CF14" i="103"/>
  <c r="CJ13" i="103"/>
  <c r="I13" i="67" s="1"/>
  <c r="CR12" i="103"/>
  <c r="CQ11" i="103"/>
  <c r="CJ11" i="103"/>
  <c r="I11" i="67" s="1"/>
  <c r="AG151" i="23"/>
  <c r="CJ375" i="103"/>
  <c r="O204" i="13"/>
  <c r="L387" i="103"/>
  <c r="AB375" i="103"/>
  <c r="AB387" i="103" s="1"/>
  <c r="AO374" i="22"/>
  <c r="AO373" i="22"/>
  <c r="AL152" i="23"/>
  <c r="CF371" i="103"/>
  <c r="I381" i="67"/>
  <c r="S12" i="68" s="1"/>
  <c r="CJ369" i="103"/>
  <c r="AL149" i="23"/>
  <c r="CF368" i="103"/>
  <c r="CF367" i="103"/>
  <c r="CF365" i="103"/>
  <c r="CJ364" i="103"/>
  <c r="CF363" i="103"/>
  <c r="CF362" i="103"/>
  <c r="AL141" i="23"/>
  <c r="CF360" i="103"/>
  <c r="CF359" i="103"/>
  <c r="CF358" i="103"/>
  <c r="CF357" i="103"/>
  <c r="CF356" i="103"/>
  <c r="CF353" i="103"/>
  <c r="CF351" i="103"/>
  <c r="AL131" i="23"/>
  <c r="CF350" i="103"/>
  <c r="CJ349" i="103"/>
  <c r="D60" i="53"/>
  <c r="CF348" i="103"/>
  <c r="AL128" i="23"/>
  <c r="CJ346" i="103"/>
  <c r="Y387" i="58"/>
  <c r="Z345" i="58"/>
  <c r="AA345" i="58"/>
  <c r="AB345" i="58"/>
  <c r="AC345" i="58"/>
  <c r="AL137" i="23"/>
  <c r="AL136" i="23"/>
  <c r="AG336" i="22"/>
  <c r="AL135" i="23"/>
  <c r="AL129" i="23"/>
  <c r="AL130" i="23"/>
  <c r="AG126" i="23"/>
  <c r="AL127" i="23"/>
  <c r="AL134" i="23"/>
  <c r="AL133" i="23"/>
  <c r="AL132" i="23"/>
  <c r="CF344" i="103"/>
  <c r="O169" i="13"/>
  <c r="AB344" i="103"/>
  <c r="AB343" i="103"/>
  <c r="O168" i="13"/>
  <c r="AL153" i="23"/>
  <c r="O167" i="13"/>
  <c r="AB342" i="103"/>
  <c r="CF341" i="103"/>
  <c r="AB341" i="103"/>
  <c r="O166" i="13"/>
  <c r="O165" i="13"/>
  <c r="AL151" i="23"/>
  <c r="AB340" i="103"/>
  <c r="AL150" i="23"/>
  <c r="O164" i="13"/>
  <c r="AB339" i="103"/>
  <c r="CJ338" i="103"/>
  <c r="AB338" i="103"/>
  <c r="O163" i="13"/>
  <c r="AL148" i="23"/>
  <c r="O162" i="13"/>
  <c r="AB337" i="103"/>
  <c r="CF336" i="103"/>
  <c r="AL147" i="23"/>
  <c r="AB336" i="103"/>
  <c r="O161" i="13"/>
  <c r="CF335" i="103"/>
  <c r="L345" i="67"/>
  <c r="AL146" i="23"/>
  <c r="CO335" i="103"/>
  <c r="BA335" i="103" s="1"/>
  <c r="O160" i="13"/>
  <c r="AB335" i="103"/>
  <c r="CF334" i="103"/>
  <c r="AL145" i="23"/>
  <c r="O159" i="13"/>
  <c r="AB333" i="103"/>
  <c r="AL144" i="23"/>
  <c r="O158" i="13"/>
  <c r="CF332" i="103"/>
  <c r="AL143" i="23"/>
  <c r="O157" i="13"/>
  <c r="AB332" i="103"/>
  <c r="AL142" i="23"/>
  <c r="CJ331" i="103"/>
  <c r="O156" i="13"/>
  <c r="AB331" i="103"/>
  <c r="CF330" i="103"/>
  <c r="AL140" i="23"/>
  <c r="O154" i="13"/>
  <c r="AB329" i="103"/>
  <c r="CG328" i="103"/>
  <c r="BA328" i="103" s="1"/>
  <c r="AB328" i="103"/>
  <c r="AG139" i="23"/>
  <c r="CL328" i="103"/>
  <c r="O153" i="13"/>
  <c r="CH339" i="103"/>
  <c r="R339" i="58"/>
  <c r="L339" i="58" s="1"/>
  <c r="H339" i="58" s="1"/>
  <c r="CH340" i="103"/>
  <c r="R340" i="58"/>
  <c r="L340" i="58" s="1"/>
  <c r="H340" i="58" s="1"/>
  <c r="CH337" i="103"/>
  <c r="R337" i="58"/>
  <c r="L337" i="58" s="1"/>
  <c r="H337" i="58" s="1"/>
  <c r="CH342" i="103"/>
  <c r="R342" i="58"/>
  <c r="L342" i="58" s="1"/>
  <c r="H342" i="58" s="1"/>
  <c r="CL327" i="103"/>
  <c r="AB327" i="103"/>
  <c r="O152" i="13"/>
  <c r="O151" i="13"/>
  <c r="AB326" i="103"/>
  <c r="AB325" i="103"/>
  <c r="O150" i="13"/>
  <c r="O149" i="13"/>
  <c r="AB324" i="103"/>
  <c r="AB323" i="103"/>
  <c r="O148" i="13"/>
  <c r="O147" i="13"/>
  <c r="AB322" i="103"/>
  <c r="O146" i="13"/>
  <c r="AB321" i="103"/>
  <c r="AB320" i="103"/>
  <c r="O145" i="13"/>
  <c r="AB319" i="103"/>
  <c r="O169" i="23"/>
  <c r="P169" i="23" s="1"/>
  <c r="O144" i="13"/>
  <c r="AQ299" i="22"/>
  <c r="CH302" i="103"/>
  <c r="CF302" i="103" s="1"/>
  <c r="AQ303" i="22"/>
  <c r="CH291" i="103"/>
  <c r="CF291" i="103" s="1"/>
  <c r="AG293" i="22"/>
  <c r="AG314" i="22"/>
  <c r="R312" i="58"/>
  <c r="L312" i="58" s="1"/>
  <c r="H312" i="58" s="1"/>
  <c r="L293" i="67"/>
  <c r="CH288" i="103"/>
  <c r="CJ288" i="103" s="1"/>
  <c r="R313" i="58"/>
  <c r="L313" i="58" s="1"/>
  <c r="H313" i="58" s="1"/>
  <c r="AG309" i="22"/>
  <c r="AQ315" i="22"/>
  <c r="AG298" i="22"/>
  <c r="AG300" i="22"/>
  <c r="CH300" i="103"/>
  <c r="CF300" i="103" s="1"/>
  <c r="AG292" i="22"/>
  <c r="CH314" i="103"/>
  <c r="CF314" i="103" s="1"/>
  <c r="R311" i="58"/>
  <c r="L311" i="58" s="1"/>
  <c r="H311" i="58" s="1"/>
  <c r="CH301" i="103"/>
  <c r="CJ301" i="103" s="1"/>
  <c r="BU388" i="103"/>
  <c r="AG290" i="22"/>
  <c r="R296" i="58"/>
  <c r="L296" i="58" s="1"/>
  <c r="H296" i="58" s="1"/>
  <c r="AQ286" i="22"/>
  <c r="AG296" i="22"/>
  <c r="AG289" i="22"/>
  <c r="R289" i="58"/>
  <c r="L289" i="58" s="1"/>
  <c r="H289" i="58" s="1"/>
  <c r="O143" i="13"/>
  <c r="AB318" i="103"/>
  <c r="O142" i="13"/>
  <c r="AB317" i="103"/>
  <c r="D59" i="53"/>
  <c r="O141" i="13"/>
  <c r="R288" i="58"/>
  <c r="L288" i="58" s="1"/>
  <c r="H288" i="58" s="1"/>
  <c r="L317" i="67"/>
  <c r="CL308" i="103"/>
  <c r="R300" i="58"/>
  <c r="L300" i="58" s="1"/>
  <c r="H300" i="58" s="1"/>
  <c r="CL297" i="103"/>
  <c r="L306" i="67"/>
  <c r="CK285" i="103"/>
  <c r="R301" i="58"/>
  <c r="L301" i="58" s="1"/>
  <c r="H301" i="58" s="1"/>
  <c r="AB316" i="103"/>
  <c r="L386" i="103"/>
  <c r="R291" i="58"/>
  <c r="L291" i="58" s="1"/>
  <c r="H291" i="58" s="1"/>
  <c r="CH312" i="103"/>
  <c r="CF312" i="103" s="1"/>
  <c r="CK298" i="103"/>
  <c r="CH296" i="103"/>
  <c r="CF296" i="103" s="1"/>
  <c r="CK314" i="103"/>
  <c r="AG285" i="22"/>
  <c r="L300" i="67"/>
  <c r="L308" i="67"/>
  <c r="CL291" i="103"/>
  <c r="CH311" i="103"/>
  <c r="CF311" i="103" s="1"/>
  <c r="R314" i="58"/>
  <c r="L314" i="58" s="1"/>
  <c r="H314" i="58" s="1"/>
  <c r="CL299" i="103"/>
  <c r="CH289" i="103"/>
  <c r="CF289" i="103" s="1"/>
  <c r="L297" i="67"/>
  <c r="CL288" i="103"/>
  <c r="CL284" i="103"/>
  <c r="CH313" i="103"/>
  <c r="CF313" i="103" s="1"/>
  <c r="CL289" i="103"/>
  <c r="L298" i="67"/>
  <c r="B16" i="102"/>
  <c r="C16" i="102" s="1"/>
  <c r="B10" i="31"/>
  <c r="B44" i="31"/>
  <c r="A44" i="31" s="1"/>
  <c r="A9" i="31"/>
  <c r="CH286" i="103"/>
  <c r="CJ286" i="103" s="1"/>
  <c r="Y386" i="58"/>
  <c r="AA315" i="58"/>
  <c r="AC315" i="58"/>
  <c r="AB315" i="58"/>
  <c r="Z315" i="58"/>
  <c r="CL292" i="103"/>
  <c r="CL313" i="103"/>
  <c r="L322" i="67"/>
  <c r="L301" i="67"/>
  <c r="R302" i="58"/>
  <c r="L302" i="58" s="1"/>
  <c r="H302" i="58" s="1"/>
  <c r="CK302" i="103"/>
  <c r="CL295" i="103"/>
  <c r="L304" i="67"/>
  <c r="AG287" i="22"/>
  <c r="L295" i="67"/>
  <c r="AE145" i="22"/>
  <c r="AG306" i="22"/>
  <c r="CL286" i="103"/>
  <c r="AE80" i="22"/>
  <c r="R25" i="58"/>
  <c r="L25" i="58" s="1"/>
  <c r="H25" i="58" s="1"/>
  <c r="AE130" i="22"/>
  <c r="AE170" i="22"/>
  <c r="CH292" i="103"/>
  <c r="CF292" i="103" s="1"/>
  <c r="CH290" i="103"/>
  <c r="CF290" i="103" s="1"/>
  <c r="R292" i="58"/>
  <c r="L292" i="58" s="1"/>
  <c r="H292" i="58" s="1"/>
  <c r="CH284" i="103"/>
  <c r="CJ284" i="103" s="1"/>
  <c r="AE254" i="22"/>
  <c r="R76" i="58"/>
  <c r="L76" i="58" s="1"/>
  <c r="H76" i="58" s="1"/>
  <c r="CH199" i="103"/>
  <c r="CF199" i="103" s="1"/>
  <c r="R176" i="58"/>
  <c r="L176" i="58" s="1"/>
  <c r="H176" i="58" s="1"/>
  <c r="R290" i="58"/>
  <c r="L290" i="58" s="1"/>
  <c r="H290" i="58" s="1"/>
  <c r="R284" i="58"/>
  <c r="L284" i="58" s="1"/>
  <c r="AE99" i="22"/>
  <c r="AE250" i="22"/>
  <c r="AE180" i="22"/>
  <c r="AE251" i="22"/>
  <c r="CH124" i="103"/>
  <c r="AE168" i="22"/>
  <c r="AE248" i="22"/>
  <c r="AE82" i="22"/>
  <c r="AE38" i="22"/>
  <c r="CH24" i="103"/>
  <c r="AE188" i="22"/>
  <c r="CH150" i="103"/>
  <c r="AE210" i="22"/>
  <c r="CL305" i="103"/>
  <c r="CH67" i="103"/>
  <c r="AE91" i="22"/>
  <c r="L314" i="67"/>
  <c r="R69" i="58"/>
  <c r="L69" i="58" s="1"/>
  <c r="H69" i="58" s="1"/>
  <c r="R178" i="58"/>
  <c r="L178" i="58" s="1"/>
  <c r="H178" i="58" s="1"/>
  <c r="R286" i="58"/>
  <c r="L286" i="58" s="1"/>
  <c r="H286" i="58" s="1"/>
  <c r="CH305" i="103"/>
  <c r="CF305" i="103" s="1"/>
  <c r="R305" i="58"/>
  <c r="L305" i="58" s="1"/>
  <c r="H305" i="58" s="1"/>
  <c r="O136" i="13"/>
  <c r="AB314" i="103"/>
  <c r="O135" i="13"/>
  <c r="AB313" i="103"/>
  <c r="O134" i="13"/>
  <c r="AB312" i="103"/>
  <c r="O133" i="13"/>
  <c r="AB311" i="103"/>
  <c r="CG309" i="103"/>
  <c r="BA309" i="103" s="1"/>
  <c r="O132" i="13"/>
  <c r="AB310" i="103"/>
  <c r="CH169" i="103"/>
  <c r="CF169" i="103" s="1"/>
  <c r="R169" i="58"/>
  <c r="L169" i="58" s="1"/>
  <c r="H169" i="58" s="1"/>
  <c r="O131" i="13"/>
  <c r="R179" i="58"/>
  <c r="L179" i="58" s="1"/>
  <c r="H179" i="58" s="1"/>
  <c r="AB309" i="103"/>
  <c r="H326" i="58"/>
  <c r="CF110" i="103"/>
  <c r="R79" i="58"/>
  <c r="L79" i="58" s="1"/>
  <c r="H79" i="58" s="1"/>
  <c r="CH247" i="103"/>
  <c r="CF247" i="103" s="1"/>
  <c r="CH144" i="103"/>
  <c r="H349" i="58"/>
  <c r="R247" i="58"/>
  <c r="L247" i="58" s="1"/>
  <c r="H247" i="58" s="1"/>
  <c r="CH187" i="103"/>
  <c r="CF187" i="103" s="1"/>
  <c r="R187" i="58"/>
  <c r="L187" i="58" s="1"/>
  <c r="H187" i="58" s="1"/>
  <c r="R144" i="58"/>
  <c r="L144" i="58" s="1"/>
  <c r="H144" i="58" s="1"/>
  <c r="CH37" i="103"/>
  <c r="R37" i="58"/>
  <c r="L37" i="58" s="1"/>
  <c r="H37" i="58" s="1"/>
  <c r="CH98" i="103"/>
  <c r="R98" i="58"/>
  <c r="L98" i="58" s="1"/>
  <c r="H98" i="58" s="1"/>
  <c r="R150" i="58"/>
  <c r="L150" i="58" s="1"/>
  <c r="H150" i="58" s="1"/>
  <c r="AE151" i="22"/>
  <c r="CH79" i="103"/>
  <c r="CF346" i="103"/>
  <c r="CF244" i="103"/>
  <c r="CH209" i="103"/>
  <c r="CF209" i="103" s="1"/>
  <c r="R209" i="58"/>
  <c r="L209" i="58" s="1"/>
  <c r="H209" i="58" s="1"/>
  <c r="R67" i="58"/>
  <c r="L67" i="58" s="1"/>
  <c r="H67" i="58" s="1"/>
  <c r="CJ334" i="103"/>
  <c r="AE68" i="22"/>
  <c r="CF42" i="103"/>
  <c r="CH69" i="103"/>
  <c r="CH250" i="103"/>
  <c r="CF250" i="103" s="1"/>
  <c r="R250" i="58"/>
  <c r="L250" i="58" s="1"/>
  <c r="H250" i="58" s="1"/>
  <c r="AE70" i="22"/>
  <c r="R167" i="58"/>
  <c r="L167" i="58" s="1"/>
  <c r="H167" i="58" s="1"/>
  <c r="CH249" i="103"/>
  <c r="CF249" i="103" s="1"/>
  <c r="R249" i="58"/>
  <c r="L249" i="58" s="1"/>
  <c r="H249" i="58" s="1"/>
  <c r="AE179" i="22"/>
  <c r="CH253" i="103"/>
  <c r="CF253" i="103" s="1"/>
  <c r="H347" i="58"/>
  <c r="H338" i="58"/>
  <c r="R24" i="58"/>
  <c r="L24" i="58" s="1"/>
  <c r="H24" i="58" s="1"/>
  <c r="AE25" i="22"/>
  <c r="CH179" i="103"/>
  <c r="CF179" i="103" s="1"/>
  <c r="CJ316" i="103"/>
  <c r="CF56" i="103"/>
  <c r="AE77" i="22"/>
  <c r="R124" i="58"/>
  <c r="L124" i="58" s="1"/>
  <c r="H124" i="58" s="1"/>
  <c r="AE26" i="22"/>
  <c r="AE125" i="22"/>
  <c r="CH90" i="103"/>
  <c r="R90" i="58"/>
  <c r="L90" i="58" s="1"/>
  <c r="H90" i="58" s="1"/>
  <c r="CF331" i="103"/>
  <c r="CH129" i="103"/>
  <c r="H329" i="58"/>
  <c r="R129" i="58"/>
  <c r="L129" i="58" s="1"/>
  <c r="H129" i="58" s="1"/>
  <c r="CH76" i="103"/>
  <c r="CH25" i="103"/>
  <c r="CJ51" i="103"/>
  <c r="H365" i="58"/>
  <c r="AE177" i="22"/>
  <c r="CH167" i="103"/>
  <c r="CF167" i="103" s="1"/>
  <c r="H364" i="58"/>
  <c r="CH176" i="103"/>
  <c r="CF176" i="103" s="1"/>
  <c r="H323" i="58"/>
  <c r="CH178" i="103"/>
  <c r="CF178" i="103" s="1"/>
  <c r="H369" i="58"/>
  <c r="CH81" i="103"/>
  <c r="H370" i="58"/>
  <c r="R199" i="58"/>
  <c r="L199" i="58" s="1"/>
  <c r="H199" i="58" s="1"/>
  <c r="R253" i="58"/>
  <c r="L253" i="58" s="1"/>
  <c r="H253" i="58" s="1"/>
  <c r="AE200" i="22"/>
  <c r="R81" i="58"/>
  <c r="L81" i="58" s="1"/>
  <c r="H81" i="58" s="1"/>
  <c r="AH100" i="23"/>
  <c r="CF103" i="103"/>
  <c r="H355" i="58"/>
  <c r="D10" i="53"/>
  <c r="AQ180" i="22"/>
  <c r="AQ65" i="22"/>
  <c r="AQ129" i="22"/>
  <c r="AQ103" i="22"/>
  <c r="AQ227" i="22"/>
  <c r="AQ213" i="22"/>
  <c r="AQ119" i="22"/>
  <c r="AQ151" i="22"/>
  <c r="O160" i="23"/>
  <c r="P160" i="23" s="1"/>
  <c r="D18" i="53"/>
  <c r="AQ78" i="22"/>
  <c r="AF161" i="23"/>
  <c r="AJ90" i="23" s="1"/>
  <c r="AQ77" i="22"/>
  <c r="L239" i="67"/>
  <c r="AQ112" i="22"/>
  <c r="AQ206" i="22"/>
  <c r="L213" i="67"/>
  <c r="AQ97" i="22"/>
  <c r="AQ369" i="22"/>
  <c r="AE164" i="23"/>
  <c r="AI93" i="23" s="1"/>
  <c r="AQ355" i="22"/>
  <c r="AQ150" i="22"/>
  <c r="AQ201" i="22"/>
  <c r="L236" i="67"/>
  <c r="AQ16" i="22"/>
  <c r="L290" i="67"/>
  <c r="L61" i="67"/>
  <c r="AG297" i="22"/>
  <c r="AQ358" i="22"/>
  <c r="AQ275" i="22"/>
  <c r="AQ131" i="22"/>
  <c r="AQ302" i="22"/>
  <c r="AQ172" i="22"/>
  <c r="AQ333" i="22"/>
  <c r="I170" i="67"/>
  <c r="AQ134" i="22"/>
  <c r="AQ323" i="22"/>
  <c r="I196" i="67"/>
  <c r="AQ269" i="22"/>
  <c r="AQ194" i="22"/>
  <c r="I182" i="67"/>
  <c r="AQ217" i="22"/>
  <c r="AQ104" i="22"/>
  <c r="AQ19" i="22"/>
  <c r="AQ44" i="22"/>
  <c r="AB169" i="23"/>
  <c r="AG370" i="22"/>
  <c r="L267" i="67"/>
  <c r="AQ348" i="22"/>
  <c r="AQ246" i="22"/>
  <c r="AQ15" i="22"/>
  <c r="R258" i="67"/>
  <c r="AQ165" i="22"/>
  <c r="AQ154" i="22"/>
  <c r="AQ82" i="22"/>
  <c r="L91" i="67"/>
  <c r="AF168" i="23"/>
  <c r="AJ97" i="23" s="1"/>
  <c r="D11" i="53"/>
  <c r="AF163" i="23"/>
  <c r="AJ92" i="23" s="1"/>
  <c r="AF166" i="23"/>
  <c r="AJ95" i="23" s="1"/>
  <c r="AQ64" i="22"/>
  <c r="Q11" i="70"/>
  <c r="AE170" i="23"/>
  <c r="AI99" i="23" s="1"/>
  <c r="AQ164" i="22"/>
  <c r="AQ170" i="22"/>
  <c r="AQ31" i="22"/>
  <c r="AQ38" i="22"/>
  <c r="AQ42" i="22"/>
  <c r="AQ362" i="22"/>
  <c r="AF170" i="23"/>
  <c r="AJ99" i="23" s="1"/>
  <c r="AQ222" i="22"/>
  <c r="AG373" i="22"/>
  <c r="AQ235" i="22"/>
  <c r="AF160" i="23"/>
  <c r="AJ89" i="23" s="1"/>
  <c r="AG345" i="22"/>
  <c r="AQ266" i="22"/>
  <c r="AQ356" i="22"/>
  <c r="AQ57" i="22"/>
  <c r="AQ301" i="22"/>
  <c r="AQ33" i="22"/>
  <c r="AQ232" i="22"/>
  <c r="AQ167" i="22"/>
  <c r="AQ58" i="22"/>
  <c r="AQ337" i="22"/>
  <c r="AQ223" i="22"/>
  <c r="AQ136" i="22"/>
  <c r="AQ29" i="22"/>
  <c r="AQ193" i="22"/>
  <c r="AQ280" i="22"/>
  <c r="AQ199" i="22"/>
  <c r="AQ203" i="22"/>
  <c r="AQ241" i="22"/>
  <c r="D12" i="53"/>
  <c r="AQ253" i="22"/>
  <c r="AQ99" i="22"/>
  <c r="AQ249" i="22"/>
  <c r="AQ135" i="22"/>
  <c r="L90" i="67"/>
  <c r="L17" i="67"/>
  <c r="AQ121" i="22"/>
  <c r="AQ185" i="22"/>
  <c r="L130" i="67"/>
  <c r="AB163" i="23"/>
  <c r="AE166" i="23"/>
  <c r="AI95" i="23" s="1"/>
  <c r="AQ96" i="22"/>
  <c r="C44" i="30"/>
  <c r="AQ152" i="22"/>
  <c r="AQ258" i="22"/>
  <c r="L279" i="67"/>
  <c r="L29" i="67"/>
  <c r="AQ52" i="22"/>
  <c r="AQ124" i="22"/>
  <c r="AQ212" i="22"/>
  <c r="AQ322" i="22"/>
  <c r="AQ330" i="22"/>
  <c r="AQ219" i="22"/>
  <c r="AQ376" i="22"/>
  <c r="AQ178" i="22"/>
  <c r="AQ106" i="22"/>
  <c r="AQ76" i="22"/>
  <c r="O168" i="23"/>
  <c r="P168" i="23" s="1"/>
  <c r="F44" i="30"/>
  <c r="AQ70" i="22"/>
  <c r="AQ341" i="22"/>
  <c r="AQ98" i="22"/>
  <c r="AQ200" i="22"/>
  <c r="AQ264" i="22"/>
  <c r="AF169" i="23"/>
  <c r="AJ98" i="23" s="1"/>
  <c r="AQ115" i="22"/>
  <c r="AE162" i="23"/>
  <c r="AI91" i="23" s="1"/>
  <c r="AQ343" i="22"/>
  <c r="AQ360" i="22"/>
  <c r="AQ59" i="22"/>
  <c r="AB161" i="23"/>
  <c r="AQ80" i="22"/>
  <c r="AE163" i="23"/>
  <c r="AI92" i="23" s="1"/>
  <c r="AQ22" i="22"/>
  <c r="AQ198" i="22"/>
  <c r="L116" i="67"/>
  <c r="D13" i="53"/>
  <c r="L60" i="67"/>
  <c r="AG318" i="22"/>
  <c r="L284" i="67"/>
  <c r="AQ278" i="22"/>
  <c r="AQ63" i="22"/>
  <c r="D44" i="30"/>
  <c r="AQ195" i="22"/>
  <c r="AQ209" i="22"/>
  <c r="AQ166" i="22"/>
  <c r="AQ319" i="22"/>
  <c r="AQ35" i="22"/>
  <c r="AQ20" i="22"/>
  <c r="I191" i="67"/>
  <c r="AQ47" i="22"/>
  <c r="AQ83" i="22"/>
  <c r="AQ87" i="22"/>
  <c r="AQ349" i="22"/>
  <c r="AQ347" i="22"/>
  <c r="AQ371" i="22"/>
  <c r="AQ251" i="22"/>
  <c r="AQ153" i="22"/>
  <c r="AQ291" i="22"/>
  <c r="AQ25" i="22"/>
  <c r="AE161" i="23"/>
  <c r="AI90" i="23" s="1"/>
  <c r="BV388" i="103"/>
  <c r="AQ130" i="22"/>
  <c r="AQ109" i="22"/>
  <c r="AQ179" i="22"/>
  <c r="AQ304" i="22"/>
  <c r="AQ118" i="22"/>
  <c r="L140" i="67"/>
  <c r="L149" i="67"/>
  <c r="AQ189" i="22"/>
  <c r="L56" i="67"/>
  <c r="AQ361" i="22"/>
  <c r="AQ261" i="22"/>
  <c r="AQ336" i="22"/>
  <c r="AE309" i="22"/>
  <c r="I221" i="67"/>
  <c r="AQ350" i="22"/>
  <c r="AQ48" i="22"/>
  <c r="AQ141" i="22"/>
  <c r="AQ62" i="22"/>
  <c r="L272" i="67"/>
  <c r="L49" i="67"/>
  <c r="AQ294" i="22"/>
  <c r="AQ149" i="22"/>
  <c r="L275" i="67"/>
  <c r="D9" i="53"/>
  <c r="AQ188" i="22"/>
  <c r="AQ148" i="22"/>
  <c r="L143" i="67"/>
  <c r="AE165" i="23"/>
  <c r="AI94" i="23" s="1"/>
  <c r="L39" i="67"/>
  <c r="AG339" i="22"/>
  <c r="L173" i="67"/>
  <c r="AQ357" i="22"/>
  <c r="AQ211" i="22"/>
  <c r="AQ155" i="22"/>
  <c r="AQ175" i="22"/>
  <c r="AQ276" i="22"/>
  <c r="AQ105" i="22"/>
  <c r="AQ240" i="22"/>
  <c r="AQ94" i="22"/>
  <c r="AQ243" i="22"/>
  <c r="AQ126" i="22"/>
  <c r="AQ273" i="22"/>
  <c r="AQ108" i="22"/>
  <c r="AQ34" i="22"/>
  <c r="AQ26" i="22"/>
  <c r="O163" i="23"/>
  <c r="P163" i="23" s="1"/>
  <c r="AQ196" i="22"/>
  <c r="AQ250" i="22"/>
  <c r="AQ177" i="22"/>
  <c r="AE167" i="23"/>
  <c r="AI96" i="23" s="1"/>
  <c r="AQ288" i="22"/>
  <c r="H44" i="30"/>
  <c r="AQ110" i="22"/>
  <c r="AB160" i="23"/>
  <c r="AQ244" i="22"/>
  <c r="AQ91" i="22"/>
  <c r="O164" i="23"/>
  <c r="P164" i="23" s="1"/>
  <c r="AQ162" i="22"/>
  <c r="L281" i="67"/>
  <c r="AG354" i="22"/>
  <c r="L225" i="67"/>
  <c r="AQ147" i="22"/>
  <c r="AQ39" i="22"/>
  <c r="AQ123" i="22"/>
  <c r="AQ116" i="22"/>
  <c r="I213" i="67"/>
  <c r="AQ67" i="22"/>
  <c r="AQ352" i="22"/>
  <c r="AQ359" i="22"/>
  <c r="AQ93" i="22"/>
  <c r="AQ107" i="22"/>
  <c r="L277" i="67"/>
  <c r="AQ102" i="22"/>
  <c r="AO240" i="22"/>
  <c r="AQ21" i="22"/>
  <c r="AQ85" i="22"/>
  <c r="AQ50" i="22"/>
  <c r="AQ216" i="22"/>
  <c r="AQ120" i="22"/>
  <c r="AQ325" i="22"/>
  <c r="AQ174" i="22"/>
  <c r="AQ197" i="22"/>
  <c r="AQ228" i="22"/>
  <c r="AQ338" i="22"/>
  <c r="AF165" i="23"/>
  <c r="AJ94" i="23" s="1"/>
  <c r="AF162" i="23"/>
  <c r="AJ91" i="23" s="1"/>
  <c r="AQ375" i="22"/>
  <c r="AF167" i="23"/>
  <c r="AJ96" i="23" s="1"/>
  <c r="AQ144" i="22"/>
  <c r="D15" i="53"/>
  <c r="AQ368" i="22"/>
  <c r="L161" i="67"/>
  <c r="AQ295" i="22"/>
  <c r="AQ168" i="22"/>
  <c r="AQ183" i="22"/>
  <c r="AQ156" i="22"/>
  <c r="AQ139" i="22"/>
  <c r="L242" i="67"/>
  <c r="L240" i="67"/>
  <c r="L264" i="67"/>
  <c r="L13" i="67"/>
  <c r="AQ279" i="22"/>
  <c r="AQ238" i="22"/>
  <c r="AQ204" i="22"/>
  <c r="AQ226" i="22"/>
  <c r="AQ36" i="22"/>
  <c r="AQ205" i="22"/>
  <c r="AQ231" i="22"/>
  <c r="AQ113" i="22"/>
  <c r="AQ202" i="22"/>
  <c r="AQ374" i="22"/>
  <c r="AQ74" i="22"/>
  <c r="I251" i="67"/>
  <c r="AQ184" i="22"/>
  <c r="I171" i="67"/>
  <c r="AQ207" i="22"/>
  <c r="AQ192" i="22"/>
  <c r="AQ51" i="22"/>
  <c r="AQ242" i="22"/>
  <c r="AQ340" i="22"/>
  <c r="AQ37" i="22"/>
  <c r="O162" i="23"/>
  <c r="P162" i="23" s="1"/>
  <c r="O161" i="23"/>
  <c r="P161" i="23" s="1"/>
  <c r="AQ95" i="22"/>
  <c r="AQ127" i="22"/>
  <c r="AQ372" i="22"/>
  <c r="L269" i="67"/>
  <c r="L46" i="67"/>
  <c r="AQ54" i="22"/>
  <c r="AQ53" i="22"/>
  <c r="AQ210" i="22"/>
  <c r="AB164" i="23"/>
  <c r="AQ344" i="22"/>
  <c r="L291" i="67"/>
  <c r="L375" i="67"/>
  <c r="AQ225" i="22"/>
  <c r="AQ81" i="22"/>
  <c r="L243" i="67"/>
  <c r="AQ267" i="22"/>
  <c r="AQ317" i="22"/>
  <c r="AQ171" i="22"/>
  <c r="AQ72" i="22"/>
  <c r="AQ100" i="22"/>
  <c r="AQ160" i="22"/>
  <c r="AQ143" i="22"/>
  <c r="AQ214" i="22"/>
  <c r="AQ161" i="22"/>
  <c r="AQ229" i="22"/>
  <c r="AQ313" i="22"/>
  <c r="AQ132" i="22"/>
  <c r="AQ79" i="22"/>
  <c r="AQ182" i="22"/>
  <c r="D42" i="30"/>
  <c r="D8" i="53"/>
  <c r="AE169" i="23"/>
  <c r="AI98" i="23" s="1"/>
  <c r="AQ145" i="22"/>
  <c r="AQ186" i="22"/>
  <c r="AB162" i="23"/>
  <c r="AF164" i="23"/>
  <c r="AJ93" i="23" s="1"/>
  <c r="AQ68" i="22"/>
  <c r="AQ122" i="22"/>
  <c r="D16" i="53"/>
  <c r="AQ125" i="22"/>
  <c r="AQ191" i="22"/>
  <c r="AQ157" i="22"/>
  <c r="AE168" i="23"/>
  <c r="AI97" i="23" s="1"/>
  <c r="L102" i="67"/>
  <c r="L194" i="67"/>
  <c r="AQ334" i="22"/>
  <c r="D17" i="53"/>
  <c r="AQ218" i="22"/>
  <c r="AQ311" i="22"/>
  <c r="G44" i="30"/>
  <c r="AQ353" i="22"/>
  <c r="AB170" i="23"/>
  <c r="AQ69" i="22"/>
  <c r="AQ259" i="22"/>
  <c r="AQ142" i="22"/>
  <c r="AQ263" i="22"/>
  <c r="AQ27" i="22"/>
  <c r="L43" i="67"/>
  <c r="L288" i="67"/>
  <c r="AO317" i="22"/>
  <c r="AQ84" i="22"/>
  <c r="AQ282" i="22"/>
  <c r="L31" i="67"/>
  <c r="AQ111" i="22"/>
  <c r="AQ41" i="22"/>
  <c r="AQ117" i="22"/>
  <c r="AQ247" i="22"/>
  <c r="AE299" i="22"/>
  <c r="AQ326" i="22"/>
  <c r="AQ351" i="22"/>
  <c r="AQ28" i="22"/>
  <c r="AQ173" i="22"/>
  <c r="AQ45" i="22"/>
  <c r="AQ181" i="22"/>
  <c r="AQ271" i="22"/>
  <c r="AQ327" i="22"/>
  <c r="AQ245" i="22"/>
  <c r="AQ176" i="22"/>
  <c r="AQ248" i="22"/>
  <c r="AQ133" i="22"/>
  <c r="AB166" i="23"/>
  <c r="E44" i="30"/>
  <c r="AE160" i="23"/>
  <c r="AI89" i="23" s="1"/>
  <c r="D14" i="53"/>
  <c r="AQ254" i="22"/>
  <c r="AB165" i="23"/>
  <c r="AQ88" i="22"/>
  <c r="O170" i="23"/>
  <c r="P170" i="23" s="1"/>
  <c r="AQ367" i="22"/>
  <c r="AQ92" i="22"/>
  <c r="AQ215" i="22"/>
  <c r="AQ73" i="22"/>
  <c r="L16" i="67"/>
  <c r="AQ190" i="22"/>
  <c r="AQ310" i="22"/>
  <c r="AQ55" i="22"/>
  <c r="AQ138" i="22"/>
  <c r="AQ13" i="22"/>
  <c r="L69" i="67"/>
  <c r="L258" i="67"/>
  <c r="L22" i="67"/>
  <c r="L263" i="67"/>
  <c r="AQ159" i="22"/>
  <c r="AQ221" i="22"/>
  <c r="AQ239" i="22"/>
  <c r="AQ75" i="22"/>
  <c r="AQ364" i="22"/>
  <c r="AE324" i="22"/>
  <c r="AQ24" i="22"/>
  <c r="AQ324" i="22"/>
  <c r="I198" i="67"/>
  <c r="AQ335" i="22"/>
  <c r="AQ66" i="22"/>
  <c r="AQ86" i="22"/>
  <c r="AQ320" i="22"/>
  <c r="O130" i="13"/>
  <c r="AB308" i="103"/>
  <c r="AQ308" i="22"/>
  <c r="O129" i="13"/>
  <c r="AB307" i="103"/>
  <c r="AQ307" i="22"/>
  <c r="O128" i="13"/>
  <c r="AB306" i="103"/>
  <c r="B18" i="62"/>
  <c r="L17" i="62"/>
  <c r="O127" i="13"/>
  <c r="AB305" i="103"/>
  <c r="N13" i="64"/>
  <c r="CJ97" i="103"/>
  <c r="BA121" i="103"/>
  <c r="BA57" i="103"/>
  <c r="BA259" i="103"/>
  <c r="BA190" i="103"/>
  <c r="BA86" i="103"/>
  <c r="CJ39" i="103"/>
  <c r="BA63" i="103"/>
  <c r="BA23" i="103"/>
  <c r="BA147" i="103"/>
  <c r="BA310" i="103"/>
  <c r="BA329" i="103"/>
  <c r="BA295" i="103"/>
  <c r="CF349" i="103"/>
  <c r="BA340" i="103"/>
  <c r="BA168" i="103"/>
  <c r="H320" i="58"/>
  <c r="CJ29" i="103"/>
  <c r="L327" i="67"/>
  <c r="CJ251" i="103"/>
  <c r="L380" i="67"/>
  <c r="AG365" i="22"/>
  <c r="BA163" i="103"/>
  <c r="CJ119" i="103"/>
  <c r="BA174" i="103"/>
  <c r="H341" i="58"/>
  <c r="CF323" i="103"/>
  <c r="I333" i="67"/>
  <c r="CF192" i="103"/>
  <c r="BA109" i="103"/>
  <c r="H321" i="58"/>
  <c r="BA46" i="103"/>
  <c r="H324" i="58"/>
  <c r="AO252" i="22"/>
  <c r="BA102" i="103"/>
  <c r="H331" i="58"/>
  <c r="CF186" i="103"/>
  <c r="BA156" i="103"/>
  <c r="H346" i="58"/>
  <c r="H350" i="58"/>
  <c r="BA360" i="103"/>
  <c r="H353" i="58"/>
  <c r="BA117" i="103"/>
  <c r="BA85" i="103"/>
  <c r="BA161" i="103"/>
  <c r="BA127" i="103"/>
  <c r="CF177" i="103"/>
  <c r="BA177" i="103"/>
  <c r="BA323" i="103"/>
  <c r="BA280" i="103"/>
  <c r="BA187" i="103"/>
  <c r="BA175" i="103"/>
  <c r="BA71" i="103"/>
  <c r="BA262" i="103"/>
  <c r="BA305" i="103"/>
  <c r="CF338" i="103"/>
  <c r="BA106" i="103"/>
  <c r="BA255" i="103"/>
  <c r="BA180" i="103"/>
  <c r="BA285" i="103"/>
  <c r="CF20" i="103"/>
  <c r="BA164" i="103"/>
  <c r="BA336" i="103"/>
  <c r="BA148" i="103"/>
  <c r="BA185" i="103"/>
  <c r="H356" i="58"/>
  <c r="BA43" i="103"/>
  <c r="BA170" i="103"/>
  <c r="H317" i="58"/>
  <c r="BA260" i="103"/>
  <c r="BA368" i="103"/>
  <c r="BA317" i="103"/>
  <c r="CF49" i="103"/>
  <c r="BA44" i="103"/>
  <c r="CF106" i="103"/>
  <c r="L348" i="67"/>
  <c r="BA87" i="103"/>
  <c r="BA52" i="103"/>
  <c r="BA55" i="103"/>
  <c r="BA155" i="103"/>
  <c r="BA152" i="103"/>
  <c r="BA158" i="103"/>
  <c r="CJ239" i="103"/>
  <c r="BA182" i="103"/>
  <c r="BA297" i="103"/>
  <c r="BA273" i="103"/>
  <c r="BA93" i="103"/>
  <c r="CF166" i="103"/>
  <c r="BA353" i="103"/>
  <c r="BA160" i="103"/>
  <c r="H368" i="58"/>
  <c r="BA45" i="103"/>
  <c r="BA119" i="103"/>
  <c r="BA179" i="103"/>
  <c r="H367" i="58"/>
  <c r="BA83" i="103"/>
  <c r="BA288" i="103"/>
  <c r="BA331" i="103"/>
  <c r="BA268" i="103"/>
  <c r="BA263" i="103"/>
  <c r="BA90" i="103"/>
  <c r="I307" i="67"/>
  <c r="BA67" i="103"/>
  <c r="BA124" i="103"/>
  <c r="BA66" i="103"/>
  <c r="BA125" i="103"/>
  <c r="BA304" i="103"/>
  <c r="AM376" i="103"/>
  <c r="BA56" i="103"/>
  <c r="BA100" i="103"/>
  <c r="BA149" i="103"/>
  <c r="BA137" i="103"/>
  <c r="BA276" i="103"/>
  <c r="BA132" i="103"/>
  <c r="BA80" i="103"/>
  <c r="BA64" i="103"/>
  <c r="CF369" i="103"/>
  <c r="BA186" i="103"/>
  <c r="I317" i="67"/>
  <c r="BA107" i="103"/>
  <c r="CF308" i="103"/>
  <c r="BA343" i="103"/>
  <c r="BA339" i="103"/>
  <c r="BA374" i="103"/>
  <c r="BA363" i="103"/>
  <c r="H325" i="58"/>
  <c r="H330" i="58"/>
  <c r="BA308" i="103"/>
  <c r="BA300" i="103"/>
  <c r="H359" i="58"/>
  <c r="BA299" i="103"/>
  <c r="BA188" i="103"/>
  <c r="BA341" i="103"/>
  <c r="BA373" i="103"/>
  <c r="H351" i="58"/>
  <c r="CF191" i="103"/>
  <c r="BA274" i="103"/>
  <c r="BA367" i="103"/>
  <c r="BA169" i="103"/>
  <c r="CF89" i="103"/>
  <c r="BA73" i="103"/>
  <c r="H308" i="58"/>
  <c r="BA313" i="103"/>
  <c r="H316" i="58"/>
  <c r="BA94" i="103"/>
  <c r="BA292" i="103"/>
  <c r="CF298" i="103"/>
  <c r="BA61" i="103"/>
  <c r="BA88" i="103"/>
  <c r="BA140" i="103"/>
  <c r="CF165" i="103"/>
  <c r="BA96" i="103"/>
  <c r="BA184" i="103"/>
  <c r="CF13" i="103"/>
  <c r="BA144" i="103"/>
  <c r="BA256" i="103"/>
  <c r="CF22" i="103"/>
  <c r="BA136" i="103"/>
  <c r="CJ365" i="103"/>
  <c r="BA362" i="103"/>
  <c r="BA47" i="103"/>
  <c r="BA356" i="103"/>
  <c r="H332" i="58"/>
  <c r="CR386" i="103"/>
  <c r="BA265" i="103"/>
  <c r="BA354" i="103"/>
  <c r="BA81" i="103"/>
  <c r="BA48" i="103"/>
  <c r="BA258" i="103"/>
  <c r="CF27" i="103"/>
  <c r="BA358" i="103"/>
  <c r="L383" i="67"/>
  <c r="W15" i="68" s="1"/>
  <c r="BA319" i="103"/>
  <c r="BA264" i="103"/>
  <c r="H335" i="58"/>
  <c r="BA312" i="103"/>
  <c r="BA311" i="103"/>
  <c r="BA326" i="103"/>
  <c r="CF92" i="103"/>
  <c r="BA347" i="103"/>
  <c r="BA277" i="103"/>
  <c r="BA103" i="103"/>
  <c r="BA322" i="103"/>
  <c r="BA51" i="103"/>
  <c r="CF364" i="103"/>
  <c r="BA32" i="103"/>
  <c r="CJ35" i="103"/>
  <c r="CF35" i="103"/>
  <c r="BA365" i="103"/>
  <c r="BA303" i="103"/>
  <c r="BA183" i="103"/>
  <c r="BA357" i="103"/>
  <c r="CJ326" i="103"/>
  <c r="CF326" i="103"/>
  <c r="BA279" i="103"/>
  <c r="BA330" i="103"/>
  <c r="BA306" i="103"/>
  <c r="CJ355" i="103"/>
  <c r="CF355" i="103"/>
  <c r="CJ54" i="103"/>
  <c r="CF54" i="103"/>
  <c r="CJ183" i="103"/>
  <c r="CF183" i="103"/>
  <c r="BA95" i="103"/>
  <c r="BA74" i="103"/>
  <c r="BA270" i="103"/>
  <c r="BA261" i="103"/>
  <c r="BA369" i="103"/>
  <c r="BA58" i="103"/>
  <c r="CJ33" i="103"/>
  <c r="CF33" i="103"/>
  <c r="BA351" i="103"/>
  <c r="CJ174" i="103"/>
  <c r="CF174" i="103"/>
  <c r="CJ23" i="103"/>
  <c r="CF23" i="103"/>
  <c r="CJ127" i="103"/>
  <c r="CF127" i="103"/>
  <c r="CJ226" i="103"/>
  <c r="CF226" i="103"/>
  <c r="BA143" i="103"/>
  <c r="L354" i="67"/>
  <c r="BA142" i="103"/>
  <c r="H360" i="58"/>
  <c r="CF31" i="103"/>
  <c r="CF215" i="103"/>
  <c r="BA318" i="103"/>
  <c r="BA50" i="103"/>
  <c r="BA82" i="103"/>
  <c r="H344" i="58"/>
  <c r="L305" i="67"/>
  <c r="CJ83" i="103"/>
  <c r="BA113" i="103"/>
  <c r="BA172" i="103"/>
  <c r="H322" i="58"/>
  <c r="BA294" i="103"/>
  <c r="BA332" i="103"/>
  <c r="CJ86" i="103"/>
  <c r="BA112" i="103"/>
  <c r="BA176" i="103"/>
  <c r="CJ17" i="103"/>
  <c r="CF17" i="103"/>
  <c r="BA348" i="103"/>
  <c r="BA16" i="103"/>
  <c r="BA154" i="103"/>
  <c r="BA181" i="103"/>
  <c r="BA324" i="103"/>
  <c r="BA108" i="103"/>
  <c r="BA283" i="103"/>
  <c r="BA338" i="103"/>
  <c r="CF207" i="103"/>
  <c r="CM384" i="103"/>
  <c r="CG384" i="103"/>
  <c r="BA290" i="103"/>
  <c r="R246" i="67"/>
  <c r="CG381" i="103"/>
  <c r="BA151" i="103"/>
  <c r="C7" i="13"/>
  <c r="CJ61" i="103"/>
  <c r="BA173" i="103"/>
  <c r="BA282" i="103"/>
  <c r="CO325" i="103"/>
  <c r="CJ358" i="103"/>
  <c r="BA301" i="103"/>
  <c r="AM382" i="103"/>
  <c r="BA126" i="103"/>
  <c r="CF370" i="103"/>
  <c r="BA345" i="103"/>
  <c r="CR380" i="103"/>
  <c r="BA178" i="103"/>
  <c r="BA153" i="103"/>
  <c r="BA138" i="103"/>
  <c r="BA91" i="103"/>
  <c r="BA145" i="103"/>
  <c r="BA286" i="103"/>
  <c r="O113" i="13"/>
  <c r="C80" i="13"/>
  <c r="R326" i="67"/>
  <c r="CQ382" i="103"/>
  <c r="BA355" i="103"/>
  <c r="H334" i="58"/>
  <c r="BA344" i="103"/>
  <c r="CJ295" i="103"/>
  <c r="CF295" i="103"/>
  <c r="BA20" i="103"/>
  <c r="CJ26" i="103"/>
  <c r="CF26" i="103"/>
  <c r="BA291" i="103"/>
  <c r="CR382" i="103"/>
  <c r="BA79" i="103"/>
  <c r="BA139" i="103"/>
  <c r="CJ74" i="103"/>
  <c r="CF74" i="103"/>
  <c r="CM387" i="103"/>
  <c r="BA298" i="103"/>
  <c r="C57" i="13"/>
  <c r="C192" i="13"/>
  <c r="BA53" i="103"/>
  <c r="E13" i="104"/>
  <c r="E14" i="104"/>
  <c r="C29" i="104"/>
  <c r="E12" i="104"/>
  <c r="E9" i="104"/>
  <c r="BA135" i="103"/>
  <c r="BA98" i="103"/>
  <c r="CR385" i="103"/>
  <c r="E21" i="104"/>
  <c r="BA271" i="103"/>
  <c r="E19" i="104"/>
  <c r="BA342" i="103"/>
  <c r="E8" i="104"/>
  <c r="C170" i="13"/>
  <c r="E7" i="104"/>
  <c r="C163" i="13"/>
  <c r="E22" i="104"/>
  <c r="E20" i="104"/>
  <c r="E6" i="104"/>
  <c r="BA165" i="103"/>
  <c r="BA99" i="103"/>
  <c r="CQ383" i="103"/>
  <c r="BA350" i="103"/>
  <c r="O124" i="13"/>
  <c r="H374" i="58"/>
  <c r="BA166" i="103"/>
  <c r="BA118" i="103"/>
  <c r="C146" i="13"/>
  <c r="H375" i="58"/>
  <c r="H319" i="58"/>
  <c r="BA321" i="103"/>
  <c r="BA287" i="103"/>
  <c r="H68" i="58"/>
  <c r="CR381" i="103"/>
  <c r="C116" i="13"/>
  <c r="AM377" i="103"/>
  <c r="CJ168" i="103"/>
  <c r="CF168" i="103"/>
  <c r="CO352" i="103"/>
  <c r="CJ133" i="103"/>
  <c r="CF133" i="103"/>
  <c r="O74" i="13"/>
  <c r="BA111" i="103"/>
  <c r="H373" i="58"/>
  <c r="BA68" i="103"/>
  <c r="BA120" i="103"/>
  <c r="BA146" i="103"/>
  <c r="CR379" i="103"/>
  <c r="CJ347" i="103"/>
  <c r="CF347" i="103"/>
  <c r="CJ242" i="103"/>
  <c r="CF242" i="103"/>
  <c r="CJ34" i="103"/>
  <c r="CF34" i="103"/>
  <c r="CJ219" i="103"/>
  <c r="CF219" i="103"/>
  <c r="BA257" i="103"/>
  <c r="BA307" i="103"/>
  <c r="O82" i="13"/>
  <c r="BA105" i="103"/>
  <c r="CJ105" i="103"/>
  <c r="C52" i="13"/>
  <c r="H215" i="58"/>
  <c r="O47" i="13"/>
  <c r="O118" i="13"/>
  <c r="CJ151" i="103"/>
  <c r="CF151" i="103"/>
  <c r="BA59" i="103"/>
  <c r="BA69" i="103"/>
  <c r="BA359" i="103"/>
  <c r="H372" i="58"/>
  <c r="CJ359" i="103"/>
  <c r="H168" i="58"/>
  <c r="CQ380" i="103"/>
  <c r="AA376" i="103"/>
  <c r="H371" i="58"/>
  <c r="CJ130" i="103"/>
  <c r="H55" i="58"/>
  <c r="C200" i="13"/>
  <c r="C115" i="13"/>
  <c r="CK352" i="103"/>
  <c r="O39" i="13"/>
  <c r="CJ82" i="103"/>
  <c r="CF82" i="103"/>
  <c r="CJ329" i="103"/>
  <c r="CF329" i="103"/>
  <c r="CJ32" i="103"/>
  <c r="CF32" i="103"/>
  <c r="BA371" i="103"/>
  <c r="CJ241" i="103"/>
  <c r="CF241" i="103"/>
  <c r="CJ285" i="103"/>
  <c r="CF285" i="103"/>
  <c r="C90" i="13"/>
  <c r="O55" i="13"/>
  <c r="C147" i="13"/>
  <c r="O91" i="13"/>
  <c r="O85" i="13"/>
  <c r="CJ88" i="103"/>
  <c r="CK69" i="103"/>
  <c r="C121" i="13"/>
  <c r="CJ172" i="103"/>
  <c r="CJ212" i="103"/>
  <c r="CF212" i="103"/>
  <c r="O19" i="13"/>
  <c r="BA346" i="103"/>
  <c r="CJ233" i="103"/>
  <c r="CF233" i="103"/>
  <c r="CO157" i="103"/>
  <c r="H40" i="58"/>
  <c r="CJ236" i="103"/>
  <c r="CK209" i="103"/>
  <c r="O52" i="13"/>
  <c r="O121" i="13"/>
  <c r="BA92" i="103"/>
  <c r="CK169" i="103"/>
  <c r="CQ15" i="103"/>
  <c r="C95" i="13"/>
  <c r="C14" i="13"/>
  <c r="BA65" i="103"/>
  <c r="BA167" i="103"/>
  <c r="CJ139" i="103"/>
  <c r="CQ387" i="103"/>
  <c r="O10" i="13"/>
  <c r="CR387" i="103"/>
  <c r="H232" i="58"/>
  <c r="BA134" i="103"/>
  <c r="CJ102" i="103"/>
  <c r="CK90" i="103"/>
  <c r="BA133" i="103"/>
  <c r="O45" i="13"/>
  <c r="O80" i="13"/>
  <c r="CJ140" i="103"/>
  <c r="C81" i="13"/>
  <c r="AA384" i="103"/>
  <c r="CJ173" i="103"/>
  <c r="C27" i="13"/>
  <c r="H154" i="58"/>
  <c r="C199" i="13"/>
  <c r="BA189" i="103"/>
  <c r="C158" i="13"/>
  <c r="C152" i="13"/>
  <c r="C193" i="13"/>
  <c r="CK240" i="103"/>
  <c r="C161" i="13"/>
  <c r="C125" i="13"/>
  <c r="CJ194" i="103"/>
  <c r="CJ351" i="103"/>
  <c r="CK184" i="103"/>
  <c r="C180" i="13"/>
  <c r="CJ336" i="103"/>
  <c r="O123" i="13"/>
  <c r="CJ248" i="103"/>
  <c r="CK150" i="103"/>
  <c r="CJ237" i="103"/>
  <c r="C202" i="13"/>
  <c r="CK108" i="103"/>
  <c r="C75" i="13"/>
  <c r="C179" i="13"/>
  <c r="CJ115" i="103"/>
  <c r="O6" i="13"/>
  <c r="CJ60" i="103"/>
  <c r="BA115" i="103"/>
  <c r="C87" i="13"/>
  <c r="O67" i="13"/>
  <c r="CJ164" i="103"/>
  <c r="C109" i="13"/>
  <c r="CK156" i="103"/>
  <c r="CK24" i="103"/>
  <c r="CJ228" i="103"/>
  <c r="CJ122" i="103"/>
  <c r="O40" i="13"/>
  <c r="C185" i="13"/>
  <c r="O22" i="13"/>
  <c r="C76" i="13"/>
  <c r="C175" i="13"/>
  <c r="CJ235" i="103"/>
  <c r="CO289" i="103"/>
  <c r="BA289" i="103" s="1"/>
  <c r="C89" i="13"/>
  <c r="O28" i="13"/>
  <c r="CJ198" i="103"/>
  <c r="CJ64" i="103"/>
  <c r="CJ73" i="103"/>
  <c r="H229" i="58"/>
  <c r="CQ27" i="103"/>
  <c r="CK243" i="103"/>
  <c r="L364" i="67"/>
  <c r="CJ59" i="103"/>
  <c r="C153" i="13"/>
  <c r="CK21" i="103"/>
  <c r="O60" i="13"/>
  <c r="CO150" i="103"/>
  <c r="C143" i="13"/>
  <c r="C86" i="13"/>
  <c r="CJ14" i="103"/>
  <c r="CJ28" i="103"/>
  <c r="O32" i="13"/>
  <c r="CJ45" i="103"/>
  <c r="CK202" i="103"/>
  <c r="CO97" i="103"/>
  <c r="C53" i="13"/>
  <c r="CJ80" i="103"/>
  <c r="C102" i="13"/>
  <c r="CQ22" i="103"/>
  <c r="CK249" i="103"/>
  <c r="CK187" i="103"/>
  <c r="CJ335" i="103"/>
  <c r="CO314" i="103"/>
  <c r="CK333" i="103"/>
  <c r="CK52" i="103"/>
  <c r="CJ123" i="103"/>
  <c r="CK342" i="103"/>
  <c r="CK77" i="103"/>
  <c r="C20" i="13"/>
  <c r="O42" i="13"/>
  <c r="CJ322" i="103"/>
  <c r="C111" i="13"/>
  <c r="C25" i="13"/>
  <c r="CJ211" i="103"/>
  <c r="CJ15" i="103"/>
  <c r="CO278" i="103"/>
  <c r="BA278" i="103" s="1"/>
  <c r="CK354" i="103"/>
  <c r="CK339" i="103"/>
  <c r="CK287" i="103"/>
  <c r="CQ37" i="103"/>
  <c r="CO361" i="103"/>
  <c r="CJ57" i="103"/>
  <c r="CQ12" i="103"/>
  <c r="C123" i="13"/>
  <c r="C99" i="13"/>
  <c r="CK87" i="103"/>
  <c r="CJ128" i="103"/>
  <c r="C92" i="13"/>
  <c r="H92" i="58"/>
  <c r="CK181" i="103"/>
  <c r="CJ157" i="103"/>
  <c r="CJ213" i="103"/>
  <c r="H203" i="58"/>
  <c r="AA382" i="103"/>
  <c r="H133" i="58"/>
  <c r="CQ386" i="103"/>
  <c r="CK126" i="103"/>
  <c r="CK91" i="103"/>
  <c r="CR377" i="103"/>
  <c r="H148" i="58"/>
  <c r="CK309" i="103"/>
  <c r="BA191" i="103"/>
  <c r="O92" i="13"/>
  <c r="CJ360" i="103"/>
  <c r="H80" i="58"/>
  <c r="C126" i="13"/>
  <c r="O12" i="13"/>
  <c r="CJ175" i="103"/>
  <c r="C196" i="13"/>
  <c r="C79" i="13"/>
  <c r="CO302" i="103"/>
  <c r="BA302" i="103" s="1"/>
  <c r="CJ107" i="103"/>
  <c r="CK114" i="103"/>
  <c r="CK144" i="103"/>
  <c r="CJ75" i="103"/>
  <c r="CJ43" i="103"/>
  <c r="H219" i="58"/>
  <c r="C18" i="13"/>
  <c r="O16" i="13"/>
  <c r="CJ93" i="103"/>
  <c r="O57" i="13"/>
  <c r="C145" i="13"/>
  <c r="C83" i="13"/>
  <c r="C177" i="13"/>
  <c r="H84" i="58"/>
  <c r="CQ21" i="103"/>
  <c r="CO25" i="103"/>
  <c r="C133" i="13"/>
  <c r="C156" i="13"/>
  <c r="C54" i="13"/>
  <c r="AM385" i="103"/>
  <c r="CL376" i="103"/>
  <c r="C190" i="13"/>
  <c r="CO104" i="103"/>
  <c r="BA104" i="103" s="1"/>
  <c r="CK58" i="103"/>
  <c r="AA385" i="103"/>
  <c r="O73" i="13"/>
  <c r="CJ367" i="103"/>
  <c r="C51" i="13"/>
  <c r="C17" i="13"/>
  <c r="H51" i="58"/>
  <c r="H75" i="58"/>
  <c r="CQ377" i="103"/>
  <c r="CJ332" i="103"/>
  <c r="H227" i="58"/>
  <c r="CO84" i="103"/>
  <c r="BA84" i="103" s="1"/>
  <c r="CJ146" i="103"/>
  <c r="CK25" i="103"/>
  <c r="CJ321" i="103"/>
  <c r="CJ149" i="103"/>
  <c r="H99" i="58"/>
  <c r="CJ104" i="103"/>
  <c r="CJ50" i="103"/>
  <c r="H34" i="58"/>
  <c r="CJ350" i="103"/>
  <c r="H83" i="58"/>
  <c r="CJ160" i="103"/>
  <c r="CO24" i="103"/>
  <c r="C6" i="13"/>
  <c r="C48" i="13"/>
  <c r="CJ353" i="103"/>
  <c r="CJ62" i="103"/>
  <c r="CK137" i="103"/>
  <c r="O59" i="13"/>
  <c r="CJ116" i="103"/>
  <c r="CJ148" i="103"/>
  <c r="O51" i="13"/>
  <c r="CJ84" i="103"/>
  <c r="C32" i="13"/>
  <c r="CR383" i="103"/>
  <c r="CJ38" i="103"/>
  <c r="CK179" i="103"/>
  <c r="H130" i="58"/>
  <c r="CJ230" i="103"/>
  <c r="CJ170" i="103"/>
  <c r="CJ68" i="103"/>
  <c r="CJ46" i="103"/>
  <c r="CO18" i="103"/>
  <c r="BA18" i="103" s="1"/>
  <c r="CO320" i="103"/>
  <c r="CK72" i="103"/>
  <c r="C100" i="13"/>
  <c r="CJ204" i="103"/>
  <c r="C197" i="13"/>
  <c r="C168" i="13"/>
  <c r="CK41" i="103"/>
  <c r="CO349" i="103"/>
  <c r="CO116" i="103"/>
  <c r="CJ325" i="103"/>
  <c r="CJ85" i="103"/>
  <c r="C114" i="13"/>
  <c r="C19" i="13"/>
  <c r="H213" i="58"/>
  <c r="CO266" i="103"/>
  <c r="BA266" i="103" s="1"/>
  <c r="CO114" i="103"/>
  <c r="O18" i="13"/>
  <c r="O86" i="13"/>
  <c r="CK197" i="103"/>
  <c r="CK361" i="103"/>
  <c r="CO293" i="103"/>
  <c r="BA293" i="103" s="1"/>
  <c r="CO33" i="103"/>
  <c r="CJ16" i="103"/>
  <c r="O46" i="13"/>
  <c r="CO19" i="103"/>
  <c r="BA19" i="103" s="1"/>
  <c r="H174" i="58"/>
  <c r="C189" i="13"/>
  <c r="O50" i="13"/>
  <c r="H388" i="103"/>
  <c r="H204" i="58"/>
  <c r="C191" i="13"/>
  <c r="CJ66" i="103"/>
  <c r="CJ159" i="103"/>
  <c r="O108" i="13"/>
  <c r="H164" i="58"/>
  <c r="H56" i="58"/>
  <c r="H160" i="58"/>
  <c r="CO40" i="103"/>
  <c r="CK343" i="103"/>
  <c r="C157" i="13"/>
  <c r="H18" i="58"/>
  <c r="C155" i="13"/>
  <c r="H57" i="58"/>
  <c r="O29" i="13"/>
  <c r="AM380" i="103"/>
  <c r="CJ18" i="103"/>
  <c r="O8" i="13"/>
  <c r="C26" i="13"/>
  <c r="CO28" i="103"/>
  <c r="O117" i="13"/>
  <c r="O125" i="13"/>
  <c r="CK63" i="103"/>
  <c r="C47" i="13"/>
  <c r="CO60" i="103"/>
  <c r="CQ381" i="103"/>
  <c r="CQ35" i="103"/>
  <c r="CK109" i="103"/>
  <c r="C39" i="13"/>
  <c r="C101" i="13"/>
  <c r="H196" i="58"/>
  <c r="O15" i="13"/>
  <c r="CJ320" i="103"/>
  <c r="CJ47" i="103"/>
  <c r="C33" i="13"/>
  <c r="AA386" i="103"/>
  <c r="H208" i="58"/>
  <c r="H189" i="58"/>
  <c r="CR378" i="103"/>
  <c r="H116" i="58"/>
  <c r="H180" i="58"/>
  <c r="H239" i="58"/>
  <c r="C184" i="13"/>
  <c r="O109" i="13"/>
  <c r="H166" i="58"/>
  <c r="CJ245" i="103"/>
  <c r="H237" i="58"/>
  <c r="CK143" i="103"/>
  <c r="CO72" i="103"/>
  <c r="H231" i="58"/>
  <c r="H62" i="58"/>
  <c r="H297" i="58"/>
  <c r="CK252" i="103"/>
  <c r="CK76" i="103"/>
  <c r="CJ231" i="103"/>
  <c r="CJ135" i="103"/>
  <c r="CK138" i="103"/>
  <c r="CJ78" i="103"/>
  <c r="O49" i="13"/>
  <c r="C135" i="13"/>
  <c r="CJ55" i="103"/>
  <c r="O77" i="13"/>
  <c r="CO36" i="103"/>
  <c r="AM379" i="103"/>
  <c r="CJ318" i="103"/>
  <c r="H102" i="58"/>
  <c r="CK253" i="103"/>
  <c r="CJ196" i="103"/>
  <c r="C134" i="13"/>
  <c r="CK98" i="103"/>
  <c r="O24" i="13"/>
  <c r="CK307" i="103"/>
  <c r="C186" i="13"/>
  <c r="H86" i="58"/>
  <c r="AA379" i="103"/>
  <c r="CK205" i="103"/>
  <c r="CJ145" i="103"/>
  <c r="H226" i="58"/>
  <c r="CJ189" i="103"/>
  <c r="C91" i="13"/>
  <c r="CJ319" i="103"/>
  <c r="CO13" i="103"/>
  <c r="H153" i="58"/>
  <c r="H299" i="58"/>
  <c r="H43" i="58"/>
  <c r="H66" i="58"/>
  <c r="H225" i="58"/>
  <c r="H159" i="58"/>
  <c r="H35" i="58"/>
  <c r="H173" i="58"/>
  <c r="H54" i="58"/>
  <c r="H85" i="58"/>
  <c r="H65" i="58"/>
  <c r="H74" i="58"/>
  <c r="H220" i="58"/>
  <c r="H125" i="58"/>
  <c r="H23" i="58"/>
  <c r="H216" i="58"/>
  <c r="X108" i="103"/>
  <c r="C108" i="103"/>
  <c r="AB166" i="103"/>
  <c r="AB23" i="103"/>
  <c r="Y377" i="58"/>
  <c r="Z42" i="58"/>
  <c r="AB42" i="58"/>
  <c r="AA42" i="58"/>
  <c r="AC42" i="58"/>
  <c r="B181" i="13"/>
  <c r="D181" i="13" s="1"/>
  <c r="AB169" i="103"/>
  <c r="AB24" i="103"/>
  <c r="C55" i="13"/>
  <c r="CO41" i="103"/>
  <c r="BA41" i="103" s="1"/>
  <c r="CJ125" i="103"/>
  <c r="AB171" i="103"/>
  <c r="CK306" i="103"/>
  <c r="CQ30" i="103"/>
  <c r="X232" i="103"/>
  <c r="C232" i="103"/>
  <c r="X337" i="103"/>
  <c r="C337" i="103"/>
  <c r="AB157" i="103"/>
  <c r="X291" i="103"/>
  <c r="C291" i="103"/>
  <c r="W291" i="103" s="1"/>
  <c r="AB211" i="103"/>
  <c r="O64" i="13"/>
  <c r="AQ332" i="22"/>
  <c r="AB237" i="103"/>
  <c r="P66" i="67"/>
  <c r="BL65" i="103"/>
  <c r="CJ158" i="103"/>
  <c r="X335" i="103"/>
  <c r="C335" i="103"/>
  <c r="X161" i="103"/>
  <c r="C161" i="103"/>
  <c r="X170" i="103"/>
  <c r="C170" i="103"/>
  <c r="AE241" i="22"/>
  <c r="R240" i="58"/>
  <c r="L240" i="58" s="1"/>
  <c r="H240" i="58" s="1"/>
  <c r="CH240" i="103"/>
  <c r="CF240" i="103" s="1"/>
  <c r="AB234" i="103"/>
  <c r="H145" i="58"/>
  <c r="X320" i="103"/>
  <c r="C320" i="103"/>
  <c r="O58" i="13"/>
  <c r="O83" i="13"/>
  <c r="AB277" i="103"/>
  <c r="AB98" i="103"/>
  <c r="AO174" i="22"/>
  <c r="R178" i="67"/>
  <c r="AO212" i="22"/>
  <c r="R217" i="67"/>
  <c r="N388" i="58"/>
  <c r="X372" i="103"/>
  <c r="C372" i="103"/>
  <c r="C11" i="13"/>
  <c r="AB153" i="103"/>
  <c r="AB256" i="103"/>
  <c r="CK152" i="103"/>
  <c r="X220" i="103"/>
  <c r="C220" i="103"/>
  <c r="CK374" i="103"/>
  <c r="C23" i="13"/>
  <c r="AB114" i="103"/>
  <c r="AB253" i="103"/>
  <c r="X180" i="103"/>
  <c r="C180" i="103"/>
  <c r="X286" i="103"/>
  <c r="C286" i="103"/>
  <c r="W286" i="103" s="1"/>
  <c r="AO173" i="22"/>
  <c r="R177" i="67"/>
  <c r="L376" i="103"/>
  <c r="CJ99" i="103"/>
  <c r="X186" i="103"/>
  <c r="C186" i="103"/>
  <c r="X280" i="103"/>
  <c r="C280" i="103"/>
  <c r="X373" i="103"/>
  <c r="C373" i="103"/>
  <c r="N202" i="13" s="1"/>
  <c r="AO197" i="22"/>
  <c r="R202" i="67"/>
  <c r="AB123" i="103"/>
  <c r="X77" i="103"/>
  <c r="C77" i="103"/>
  <c r="C22" i="13"/>
  <c r="C85" i="13"/>
  <c r="X122" i="103"/>
  <c r="C122" i="103"/>
  <c r="AB168" i="103"/>
  <c r="H88" i="58"/>
  <c r="AB191" i="103"/>
  <c r="AE253" i="22"/>
  <c r="R252" i="58"/>
  <c r="L252" i="58" s="1"/>
  <c r="H252" i="58" s="1"/>
  <c r="CH252" i="103"/>
  <c r="CF252" i="103" s="1"/>
  <c r="AO171" i="22"/>
  <c r="R175" i="67"/>
  <c r="O68" i="13"/>
  <c r="O34" i="13"/>
  <c r="X146" i="103"/>
  <c r="C146" i="103"/>
  <c r="X283" i="103"/>
  <c r="C283" i="103"/>
  <c r="AB266" i="103"/>
  <c r="X370" i="103"/>
  <c r="C370" i="103"/>
  <c r="CK176" i="103"/>
  <c r="CK303" i="103"/>
  <c r="H136" i="58"/>
  <c r="AC381" i="103"/>
  <c r="O53" i="13"/>
  <c r="X238" i="103"/>
  <c r="C238" i="103"/>
  <c r="X106" i="103"/>
  <c r="C106" i="103"/>
  <c r="AB64" i="103"/>
  <c r="AE127" i="22"/>
  <c r="R126" i="58"/>
  <c r="L126" i="58" s="1"/>
  <c r="H126" i="58" s="1"/>
  <c r="CH126" i="103"/>
  <c r="CK190" i="103"/>
  <c r="E379" i="103"/>
  <c r="AB101" i="103"/>
  <c r="AE64" i="22"/>
  <c r="R63" i="58"/>
  <c r="L63" i="58" s="1"/>
  <c r="H63" i="58" s="1"/>
  <c r="CH63" i="103"/>
  <c r="AB74" i="103"/>
  <c r="X312" i="103"/>
  <c r="C312" i="103"/>
  <c r="CI386" i="103"/>
  <c r="CL315" i="103"/>
  <c r="O95" i="13"/>
  <c r="BA54" i="103"/>
  <c r="AB281" i="103"/>
  <c r="J8" i="53"/>
  <c r="F396" i="103"/>
  <c r="F380" i="103"/>
  <c r="X131" i="103"/>
  <c r="C131" i="103"/>
  <c r="G397" i="58"/>
  <c r="G384" i="58"/>
  <c r="X305" i="103"/>
  <c r="C305" i="103"/>
  <c r="C84" i="13"/>
  <c r="B29" i="13"/>
  <c r="AB36" i="103"/>
  <c r="C98" i="13"/>
  <c r="BA49" i="103"/>
  <c r="AE53" i="22"/>
  <c r="R52" i="58"/>
  <c r="CH52" i="103"/>
  <c r="CK163" i="103"/>
  <c r="AB259" i="103"/>
  <c r="X300" i="103"/>
  <c r="C300" i="103"/>
  <c r="W300" i="103" s="1"/>
  <c r="AB52" i="103"/>
  <c r="X145" i="103"/>
  <c r="C145" i="103"/>
  <c r="H49" i="58"/>
  <c r="P88" i="67"/>
  <c r="BL86" i="103"/>
  <c r="CO281" i="103"/>
  <c r="BA281" i="103" s="1"/>
  <c r="CK217" i="103"/>
  <c r="CK188" i="103"/>
  <c r="CR384" i="103"/>
  <c r="CK37" i="103"/>
  <c r="AB140" i="103"/>
  <c r="O114" i="13"/>
  <c r="R310" i="58"/>
  <c r="L310" i="58" s="1"/>
  <c r="H310" i="58" s="1"/>
  <c r="CH310" i="103"/>
  <c r="CF310" i="103" s="1"/>
  <c r="X57" i="103"/>
  <c r="C57" i="103"/>
  <c r="AB276" i="103"/>
  <c r="AG321" i="22"/>
  <c r="L330" i="67"/>
  <c r="X228" i="103"/>
  <c r="C228" i="103"/>
  <c r="O388" i="58"/>
  <c r="AB240" i="103"/>
  <c r="L383" i="103"/>
  <c r="AB76" i="103"/>
  <c r="C5" i="13"/>
  <c r="AB154" i="103"/>
  <c r="X165" i="103"/>
  <c r="C165" i="103"/>
  <c r="X166" i="103"/>
  <c r="C166" i="103"/>
  <c r="M386" i="103"/>
  <c r="J315" i="103"/>
  <c r="AF159" i="23"/>
  <c r="AJ88" i="23" s="1"/>
  <c r="U388" i="103"/>
  <c r="X23" i="103"/>
  <c r="C23" i="103"/>
  <c r="O7" i="13"/>
  <c r="R328" i="58"/>
  <c r="L328" i="58" s="1"/>
  <c r="H328" i="58" s="1"/>
  <c r="CH328" i="103"/>
  <c r="X34" i="103"/>
  <c r="C34" i="103"/>
  <c r="X169" i="103"/>
  <c r="C169" i="103"/>
  <c r="X343" i="103"/>
  <c r="C343" i="103"/>
  <c r="N168" i="13" s="1"/>
  <c r="X24" i="103"/>
  <c r="C24" i="103"/>
  <c r="X171" i="103"/>
  <c r="C171" i="103"/>
  <c r="CF11" i="103"/>
  <c r="AB200" i="103"/>
  <c r="X215" i="103"/>
  <c r="C215" i="103"/>
  <c r="O87" i="13"/>
  <c r="X375" i="103"/>
  <c r="C375" i="103"/>
  <c r="C124" i="13"/>
  <c r="CK340" i="103"/>
  <c r="AG88" i="23"/>
  <c r="AG100" i="23" s="1"/>
  <c r="AB212" i="103"/>
  <c r="O119" i="13"/>
  <c r="X60" i="103"/>
  <c r="C60" i="103"/>
  <c r="AB249" i="103"/>
  <c r="H122" i="58"/>
  <c r="C182" i="13"/>
  <c r="CK250" i="103"/>
  <c r="CK337" i="103"/>
  <c r="AB155" i="103"/>
  <c r="H29" i="58"/>
  <c r="X230" i="103"/>
  <c r="C230" i="103"/>
  <c r="AB298" i="103"/>
  <c r="C96" i="13"/>
  <c r="AB78" i="103"/>
  <c r="C60" i="13"/>
  <c r="AB251" i="103"/>
  <c r="H149" i="58"/>
  <c r="X22" i="103"/>
  <c r="C22" i="103"/>
  <c r="C178" i="13"/>
  <c r="H60" i="58"/>
  <c r="X61" i="103"/>
  <c r="C61" i="103"/>
  <c r="X196" i="103"/>
  <c r="C196" i="103"/>
  <c r="AB295" i="103"/>
  <c r="X153" i="103"/>
  <c r="C153" i="103"/>
  <c r="P401" i="58"/>
  <c r="X368" i="103"/>
  <c r="C368" i="103"/>
  <c r="AB195" i="103"/>
  <c r="X81" i="103"/>
  <c r="C81" i="103"/>
  <c r="F387" i="103"/>
  <c r="X345" i="103"/>
  <c r="C345" i="103"/>
  <c r="AB50" i="103"/>
  <c r="X279" i="103"/>
  <c r="C279" i="103"/>
  <c r="M376" i="103"/>
  <c r="J11" i="103"/>
  <c r="O21" i="13"/>
  <c r="X97" i="103"/>
  <c r="C97" i="103"/>
  <c r="H183" i="58"/>
  <c r="AE95" i="22"/>
  <c r="R94" i="58"/>
  <c r="L94" i="58" s="1"/>
  <c r="H94" i="58" s="1"/>
  <c r="CH94" i="103"/>
  <c r="X299" i="103"/>
  <c r="C299" i="103"/>
  <c r="W299" i="103" s="1"/>
  <c r="CM29" i="103"/>
  <c r="CG29" i="103" s="1"/>
  <c r="C15" i="13"/>
  <c r="AB59" i="103"/>
  <c r="AB236" i="103"/>
  <c r="X255" i="103"/>
  <c r="C255" i="103"/>
  <c r="AO195" i="22"/>
  <c r="R200" i="67"/>
  <c r="CJ238" i="103"/>
  <c r="H59" i="58"/>
  <c r="AB303" i="103"/>
  <c r="O23" i="13"/>
  <c r="AE196" i="22"/>
  <c r="R195" i="58"/>
  <c r="L195" i="58" s="1"/>
  <c r="H195" i="58" s="1"/>
  <c r="CH195" i="103"/>
  <c r="CJ195" i="103" s="1"/>
  <c r="O96" i="13"/>
  <c r="X46" i="103"/>
  <c r="C46" i="103"/>
  <c r="CK367" i="103"/>
  <c r="O30" i="13"/>
  <c r="CF101" i="103"/>
  <c r="C41" i="13"/>
  <c r="AB141" i="103"/>
  <c r="X292" i="103"/>
  <c r="C292" i="103"/>
  <c r="W292" i="103" s="1"/>
  <c r="X168" i="103"/>
  <c r="C168" i="103"/>
  <c r="CK129" i="103"/>
  <c r="AB53" i="103"/>
  <c r="D401" i="58"/>
  <c r="AO231" i="22"/>
  <c r="R237" i="67"/>
  <c r="C46" i="13"/>
  <c r="X293" i="103"/>
  <c r="C293" i="103"/>
  <c r="W293" i="103" s="1"/>
  <c r="R366" i="58"/>
  <c r="L366" i="58" s="1"/>
  <c r="H366" i="58" s="1"/>
  <c r="CH366" i="103"/>
  <c r="O116" i="13"/>
  <c r="H244" i="58"/>
  <c r="O99" i="13"/>
  <c r="X28" i="103"/>
  <c r="C28" i="103"/>
  <c r="X266" i="103"/>
  <c r="C266" i="103"/>
  <c r="AB147" i="103"/>
  <c r="X199" i="103"/>
  <c r="C199" i="103"/>
  <c r="X126" i="103"/>
  <c r="C126" i="103"/>
  <c r="H135" i="58"/>
  <c r="H48" i="58"/>
  <c r="AB88" i="103"/>
  <c r="H13" i="58"/>
  <c r="X322" i="103"/>
  <c r="C322" i="103"/>
  <c r="X51" i="103"/>
  <c r="C51" i="103"/>
  <c r="AC379" i="103"/>
  <c r="CL382" i="103"/>
  <c r="X119" i="103"/>
  <c r="C119" i="103"/>
  <c r="AB216" i="103"/>
  <c r="AB15" i="103"/>
  <c r="AB149" i="103"/>
  <c r="AG316" i="22"/>
  <c r="L325" i="67"/>
  <c r="AB136" i="103"/>
  <c r="R294" i="58"/>
  <c r="L294" i="58" s="1"/>
  <c r="H294" i="58" s="1"/>
  <c r="CH294" i="103"/>
  <c r="CF294" i="103" s="1"/>
  <c r="CF223" i="103"/>
  <c r="X282" i="103"/>
  <c r="C282" i="103"/>
  <c r="AC380" i="103"/>
  <c r="X40" i="103"/>
  <c r="C40" i="103"/>
  <c r="X205" i="103"/>
  <c r="C205" i="103"/>
  <c r="AE54" i="22"/>
  <c r="R53" i="58"/>
  <c r="L53" i="58" s="1"/>
  <c r="H53" i="58" s="1"/>
  <c r="CH53" i="103"/>
  <c r="AB41" i="103"/>
  <c r="X214" i="103"/>
  <c r="C214" i="103"/>
  <c r="AA380" i="103"/>
  <c r="AB174" i="103"/>
  <c r="AA387" i="103"/>
  <c r="CM31" i="103"/>
  <c r="CG31" i="103" s="1"/>
  <c r="H158" i="58"/>
  <c r="X84" i="103"/>
  <c r="C84" i="103"/>
  <c r="R327" i="58"/>
  <c r="L327" i="58" s="1"/>
  <c r="H327" i="58" s="1"/>
  <c r="CH327" i="103"/>
  <c r="AB87" i="103"/>
  <c r="AB12" i="103"/>
  <c r="CM193" i="103"/>
  <c r="CO193" i="103" s="1"/>
  <c r="X243" i="103"/>
  <c r="C243" i="103"/>
  <c r="CM12" i="103"/>
  <c r="CG12" i="103" s="1"/>
  <c r="G428" i="67"/>
  <c r="X71" i="103"/>
  <c r="C71" i="103"/>
  <c r="Y382" i="58"/>
  <c r="AA192" i="58"/>
  <c r="AB192" i="58"/>
  <c r="Z192" i="58"/>
  <c r="AC192" i="58"/>
  <c r="AE162" i="22"/>
  <c r="R161" i="58"/>
  <c r="L161" i="58" s="1"/>
  <c r="H161" i="58" s="1"/>
  <c r="CH161" i="103"/>
  <c r="AB112" i="103"/>
  <c r="M383" i="103"/>
  <c r="J223" i="103"/>
  <c r="X76" i="103"/>
  <c r="C76" i="103"/>
  <c r="AB296" i="103"/>
  <c r="X278" i="103"/>
  <c r="C278" i="103"/>
  <c r="AB32" i="103"/>
  <c r="H97" i="58"/>
  <c r="X157" i="103"/>
  <c r="C157" i="103"/>
  <c r="X211" i="103"/>
  <c r="C211" i="103"/>
  <c r="X237" i="103"/>
  <c r="C237" i="103"/>
  <c r="AB56" i="103"/>
  <c r="X234" i="103"/>
  <c r="C234" i="103"/>
  <c r="AB213" i="103"/>
  <c r="AB222" i="103"/>
  <c r="AO228" i="22"/>
  <c r="R234" i="67"/>
  <c r="X277" i="103"/>
  <c r="C277" i="103"/>
  <c r="X98" i="103"/>
  <c r="C98" i="103"/>
  <c r="AB206" i="103"/>
  <c r="AB248" i="103"/>
  <c r="CI376" i="103"/>
  <c r="P388" i="58"/>
  <c r="AO211" i="22"/>
  <c r="R216" i="67"/>
  <c r="X256" i="103"/>
  <c r="C256" i="103"/>
  <c r="AE148" i="22"/>
  <c r="R147" i="58"/>
  <c r="L147" i="58" s="1"/>
  <c r="H147" i="58" s="1"/>
  <c r="CH147" i="103"/>
  <c r="X114" i="103"/>
  <c r="C114" i="103"/>
  <c r="X253" i="103"/>
  <c r="C253" i="103"/>
  <c r="B13" i="13"/>
  <c r="AB20" i="103"/>
  <c r="AC387" i="103"/>
  <c r="AO325" i="22"/>
  <c r="R334" i="67"/>
  <c r="O388" i="103"/>
  <c r="AB159" i="103"/>
  <c r="H363" i="58"/>
  <c r="X308" i="103"/>
  <c r="C308" i="103"/>
  <c r="AB160" i="103"/>
  <c r="AO239" i="22"/>
  <c r="R245" i="67"/>
  <c r="X123" i="103"/>
  <c r="C123" i="103"/>
  <c r="BX384" i="103"/>
  <c r="X303" i="103"/>
  <c r="C303" i="103"/>
  <c r="W303" i="103" s="1"/>
  <c r="AO247" i="22"/>
  <c r="R253" i="67"/>
  <c r="X141" i="103"/>
  <c r="C141" i="103"/>
  <c r="W141" i="103" s="1"/>
  <c r="L379" i="103"/>
  <c r="AB148" i="103"/>
  <c r="D388" i="58"/>
  <c r="H358" i="58"/>
  <c r="X191" i="103"/>
  <c r="C191" i="103"/>
  <c r="AE78" i="22"/>
  <c r="R77" i="58"/>
  <c r="L77" i="58" s="1"/>
  <c r="H77" i="58" s="1"/>
  <c r="CH77" i="103"/>
  <c r="AE109" i="22"/>
  <c r="R108" i="58"/>
  <c r="L108" i="58" s="1"/>
  <c r="H108" i="58" s="1"/>
  <c r="CH108" i="103"/>
  <c r="AB218" i="103"/>
  <c r="X147" i="103"/>
  <c r="C147" i="103"/>
  <c r="H222" i="58"/>
  <c r="G437" i="67"/>
  <c r="AO235" i="22"/>
  <c r="R241" i="67"/>
  <c r="X64" i="103"/>
  <c r="C64" i="103"/>
  <c r="AB128" i="103"/>
  <c r="H177" i="58"/>
  <c r="AB16" i="103"/>
  <c r="F395" i="103"/>
  <c r="F379" i="103"/>
  <c r="X101" i="103"/>
  <c r="C101" i="103"/>
  <c r="X74" i="103"/>
  <c r="C74" i="103"/>
  <c r="AB102" i="103"/>
  <c r="CJ368" i="103"/>
  <c r="AB26" i="103"/>
  <c r="CO375" i="103"/>
  <c r="AE157" i="22"/>
  <c r="R156" i="58"/>
  <c r="L156" i="58" s="1"/>
  <c r="H156" i="58" s="1"/>
  <c r="CH156" i="103"/>
  <c r="CO316" i="103"/>
  <c r="BA316" i="103" s="1"/>
  <c r="R343" i="58"/>
  <c r="L343" i="58" s="1"/>
  <c r="H343" i="58" s="1"/>
  <c r="CH343" i="103"/>
  <c r="CO269" i="103"/>
  <c r="BA269" i="103" s="1"/>
  <c r="AE110" i="22"/>
  <c r="R109" i="58"/>
  <c r="L109" i="58" s="1"/>
  <c r="H109" i="58" s="1"/>
  <c r="CH109" i="103"/>
  <c r="CJ223" i="103"/>
  <c r="X281" i="103"/>
  <c r="C281" i="103"/>
  <c r="AB29" i="103"/>
  <c r="CM27" i="103"/>
  <c r="CG27" i="103" s="1"/>
  <c r="P233" i="67"/>
  <c r="BL226" i="103"/>
  <c r="CO272" i="103"/>
  <c r="BA272" i="103" s="1"/>
  <c r="X41" i="103"/>
  <c r="C41" i="103"/>
  <c r="BA171" i="103"/>
  <c r="AB95" i="103"/>
  <c r="AE71" i="22"/>
  <c r="R70" i="58"/>
  <c r="AM378" i="103"/>
  <c r="CH70" i="103"/>
  <c r="H193" i="58"/>
  <c r="AB229" i="103"/>
  <c r="X259" i="103"/>
  <c r="C259" i="103"/>
  <c r="CJ356" i="103"/>
  <c r="X52" i="103"/>
  <c r="C52" i="103"/>
  <c r="AB176" i="103"/>
  <c r="AB258" i="103"/>
  <c r="AB30" i="103"/>
  <c r="AB138" i="103"/>
  <c r="AR195" i="103"/>
  <c r="BB194" i="103"/>
  <c r="BD194" i="103"/>
  <c r="AG331" i="22"/>
  <c r="L340" i="67"/>
  <c r="E385" i="103"/>
  <c r="AB284" i="103"/>
  <c r="G382" i="58"/>
  <c r="G395" i="58"/>
  <c r="AE198" i="22"/>
  <c r="R197" i="58"/>
  <c r="L197" i="58" s="1"/>
  <c r="H197" i="58" s="1"/>
  <c r="CH197" i="103"/>
  <c r="CF197" i="103" s="1"/>
  <c r="X140" i="103"/>
  <c r="C140" i="103"/>
  <c r="W140" i="103" s="1"/>
  <c r="CK310" i="103"/>
  <c r="X276" i="103"/>
  <c r="C276" i="103"/>
  <c r="CO89" i="103"/>
  <c r="AE203" i="22"/>
  <c r="R202" i="58"/>
  <c r="L202" i="58" s="1"/>
  <c r="H202" i="58" s="1"/>
  <c r="CH202" i="103"/>
  <c r="CF202" i="103" s="1"/>
  <c r="X240" i="103"/>
  <c r="C240" i="103"/>
  <c r="CO372" i="103"/>
  <c r="H236" i="58"/>
  <c r="X112" i="103"/>
  <c r="C112" i="103"/>
  <c r="CJ344" i="103"/>
  <c r="X154" i="103"/>
  <c r="C154" i="103"/>
  <c r="AB219" i="103"/>
  <c r="AO226" i="22"/>
  <c r="R232" i="67"/>
  <c r="AO221" i="22"/>
  <c r="R226" i="67"/>
  <c r="AB107" i="103"/>
  <c r="Y376" i="58"/>
  <c r="AA11" i="58"/>
  <c r="AC11" i="58"/>
  <c r="Z11" i="58"/>
  <c r="AB11" i="58"/>
  <c r="C195" i="13"/>
  <c r="AB115" i="103"/>
  <c r="L381" i="103"/>
  <c r="CK328" i="103"/>
  <c r="CJ142" i="103"/>
  <c r="CJ225" i="103"/>
  <c r="L11" i="58"/>
  <c r="CK81" i="103"/>
  <c r="AB247" i="103"/>
  <c r="X200" i="103"/>
  <c r="C200" i="103"/>
  <c r="L385" i="103"/>
  <c r="C56" i="13"/>
  <c r="CJ362" i="103"/>
  <c r="CJ220" i="103"/>
  <c r="CO76" i="103"/>
  <c r="BA76" i="103" s="1"/>
  <c r="X212" i="103"/>
  <c r="C212" i="103"/>
  <c r="E388" i="58"/>
  <c r="C110" i="13"/>
  <c r="X249" i="103"/>
  <c r="C249" i="103"/>
  <c r="AB93" i="103"/>
  <c r="X155" i="103"/>
  <c r="C155" i="103"/>
  <c r="AB257" i="103"/>
  <c r="R307" i="58"/>
  <c r="L307" i="58" s="1"/>
  <c r="H307" i="58" s="1"/>
  <c r="CH307" i="103"/>
  <c r="CF307" i="103" s="1"/>
  <c r="X298" i="103"/>
  <c r="C298" i="103"/>
  <c r="W298" i="103" s="1"/>
  <c r="L382" i="103"/>
  <c r="C142" i="13"/>
  <c r="X78" i="103"/>
  <c r="C78" i="103"/>
  <c r="CJ227" i="103"/>
  <c r="X251" i="103"/>
  <c r="C251" i="103"/>
  <c r="AB63" i="103"/>
  <c r="AB125" i="103"/>
  <c r="C12" i="13"/>
  <c r="P67" i="67"/>
  <c r="BL66" i="103"/>
  <c r="CK132" i="103"/>
  <c r="C65" i="13"/>
  <c r="AE159" i="23"/>
  <c r="AI88" i="23" s="1"/>
  <c r="R388" i="103"/>
  <c r="AB90" i="103"/>
  <c r="C40" i="13"/>
  <c r="X295" i="103"/>
  <c r="C295" i="103"/>
  <c r="W295" i="103" s="1"/>
  <c r="C164" i="13"/>
  <c r="CJ210" i="103"/>
  <c r="H248" i="58"/>
  <c r="CJ218" i="103"/>
  <c r="X195" i="103"/>
  <c r="C195" i="103"/>
  <c r="CK290" i="103"/>
  <c r="AB252" i="103"/>
  <c r="H170" i="58"/>
  <c r="C141" i="13"/>
  <c r="X307" i="103"/>
  <c r="C307" i="103"/>
  <c r="Y378" i="58"/>
  <c r="AB70" i="58"/>
  <c r="AA70" i="58"/>
  <c r="Z70" i="58"/>
  <c r="AC70" i="58"/>
  <c r="X50" i="103"/>
  <c r="C50" i="103"/>
  <c r="AO319" i="22"/>
  <c r="R328" i="67"/>
  <c r="CJ324" i="103"/>
  <c r="X159" i="103"/>
  <c r="C159" i="103"/>
  <c r="H20" i="58"/>
  <c r="CK94" i="103"/>
  <c r="CK185" i="103"/>
  <c r="CQ29" i="103"/>
  <c r="X59" i="103"/>
  <c r="C59" i="103"/>
  <c r="X236" i="103"/>
  <c r="C236" i="103"/>
  <c r="C118" i="13"/>
  <c r="L262" i="67"/>
  <c r="CK384" i="103"/>
  <c r="C144" i="13"/>
  <c r="BL20" i="103"/>
  <c r="P20" i="67"/>
  <c r="H207" i="58"/>
  <c r="CK195" i="103"/>
  <c r="CJ246" i="103"/>
  <c r="AB246" i="103"/>
  <c r="M379" i="103"/>
  <c r="J101" i="103"/>
  <c r="CO333" i="103"/>
  <c r="C131" i="13"/>
  <c r="CL384" i="103"/>
  <c r="X53" i="103"/>
  <c r="C53" i="103"/>
  <c r="E16" i="53"/>
  <c r="AA11" i="70"/>
  <c r="H142" i="58"/>
  <c r="CK366" i="103"/>
  <c r="CM17" i="103"/>
  <c r="CG17" i="103" s="1"/>
  <c r="AB227" i="103"/>
  <c r="CJ65" i="103"/>
  <c r="CJ348" i="103"/>
  <c r="F388" i="58"/>
  <c r="C93" i="13"/>
  <c r="CK124" i="103"/>
  <c r="AB113" i="103"/>
  <c r="CK117" i="103"/>
  <c r="CJ234" i="103"/>
  <c r="AB75" i="103"/>
  <c r="O76" i="13"/>
  <c r="H104" i="58"/>
  <c r="BA75" i="103"/>
  <c r="X88" i="103"/>
  <c r="C88" i="103"/>
  <c r="X16" i="103"/>
  <c r="C16" i="103"/>
  <c r="AB96" i="103"/>
  <c r="X102" i="103"/>
  <c r="J102" i="103"/>
  <c r="B30" i="13"/>
  <c r="AB37" i="103"/>
  <c r="X216" i="103"/>
  <c r="C216" i="103"/>
  <c r="X15" i="103"/>
  <c r="C15" i="103"/>
  <c r="X149" i="103"/>
  <c r="C149" i="103"/>
  <c r="BB376" i="103"/>
  <c r="CM11" i="103"/>
  <c r="CO11" i="103" s="1"/>
  <c r="X136" i="103"/>
  <c r="C136" i="103"/>
  <c r="W136" i="103" s="1"/>
  <c r="CM35" i="103"/>
  <c r="CG35" i="103" s="1"/>
  <c r="AE92" i="22"/>
  <c r="R91" i="58"/>
  <c r="L91" i="58" s="1"/>
  <c r="H91" i="58" s="1"/>
  <c r="CH91" i="103"/>
  <c r="CK294" i="103"/>
  <c r="AM383" i="103"/>
  <c r="C117" i="13"/>
  <c r="O14" i="13"/>
  <c r="O43" i="13"/>
  <c r="AB124" i="103"/>
  <c r="CJ136" i="103"/>
  <c r="CK53" i="103"/>
  <c r="X95" i="103"/>
  <c r="C95" i="103"/>
  <c r="X174" i="103"/>
  <c r="C174" i="103"/>
  <c r="CI378" i="103"/>
  <c r="CL70" i="103"/>
  <c r="AB239" i="103"/>
  <c r="CQ31" i="103"/>
  <c r="AE185" i="22"/>
  <c r="R184" i="58"/>
  <c r="L184" i="58" s="1"/>
  <c r="H184" i="58" s="1"/>
  <c r="CH184" i="103"/>
  <c r="CF184" i="103" s="1"/>
  <c r="AB272" i="103"/>
  <c r="X361" i="103"/>
  <c r="C361" i="103"/>
  <c r="CK79" i="103"/>
  <c r="C59" i="13"/>
  <c r="AB158" i="103"/>
  <c r="O25" i="13"/>
  <c r="CK327" i="103"/>
  <c r="AB49" i="103"/>
  <c r="X87" i="103"/>
  <c r="C87" i="103"/>
  <c r="X12" i="103"/>
  <c r="C12" i="103"/>
  <c r="AO321" i="22"/>
  <c r="R330" i="67"/>
  <c r="X138" i="103"/>
  <c r="C138" i="103"/>
  <c r="W138" i="103" s="1"/>
  <c r="CO370" i="103"/>
  <c r="AC385" i="103"/>
  <c r="X334" i="103"/>
  <c r="C334" i="103"/>
  <c r="BI334" i="103" s="1"/>
  <c r="CO364" i="103"/>
  <c r="C183" i="13"/>
  <c r="AB104" i="103"/>
  <c r="CO366" i="103"/>
  <c r="CO296" i="103"/>
  <c r="BA296" i="103" s="1"/>
  <c r="R352" i="58"/>
  <c r="L352" i="58" s="1"/>
  <c r="H352" i="58" s="1"/>
  <c r="CH352" i="103"/>
  <c r="AB217" i="103"/>
  <c r="CK161" i="103"/>
  <c r="CO110" i="103"/>
  <c r="X296" i="103"/>
  <c r="C296" i="103"/>
  <c r="W296" i="103" s="1"/>
  <c r="X115" i="103"/>
  <c r="C115" i="103"/>
  <c r="X365" i="103"/>
  <c r="C365" i="103"/>
  <c r="M381" i="103"/>
  <c r="J162" i="103"/>
  <c r="C187" i="13"/>
  <c r="AB274" i="103"/>
  <c r="X32" i="103"/>
  <c r="C32" i="103"/>
  <c r="AB69" i="103"/>
  <c r="I18" i="53"/>
  <c r="H18" i="53"/>
  <c r="J18" i="53"/>
  <c r="H115" i="58"/>
  <c r="AB287" i="103"/>
  <c r="M385" i="103"/>
  <c r="J284" i="103"/>
  <c r="H246" i="58"/>
  <c r="O54" i="13"/>
  <c r="CI383" i="103"/>
  <c r="AO176" i="22"/>
  <c r="R180" i="67"/>
  <c r="C128" i="13"/>
  <c r="CK247" i="103"/>
  <c r="X107" i="103"/>
  <c r="C107" i="103"/>
  <c r="E401" i="58"/>
  <c r="X56" i="103"/>
  <c r="C56" i="103"/>
  <c r="H235" i="58"/>
  <c r="H107" i="58"/>
  <c r="X213" i="103"/>
  <c r="C213" i="103"/>
  <c r="AO323" i="22"/>
  <c r="R332" i="67"/>
  <c r="AO214" i="22"/>
  <c r="R219" i="67"/>
  <c r="AB193" i="103"/>
  <c r="M382" i="103"/>
  <c r="J192" i="103"/>
  <c r="AB110" i="103"/>
  <c r="X222" i="103"/>
  <c r="C222" i="103"/>
  <c r="F402" i="103"/>
  <c r="F386" i="103"/>
  <c r="X315" i="103"/>
  <c r="C315" i="103"/>
  <c r="H175" i="58"/>
  <c r="AE37" i="22"/>
  <c r="R36" i="58"/>
  <c r="L36" i="58" s="1"/>
  <c r="H36" i="58" s="1"/>
  <c r="CH36" i="103"/>
  <c r="X206" i="103"/>
  <c r="C206" i="103"/>
  <c r="AB47" i="103"/>
  <c r="AB143" i="103"/>
  <c r="O88" i="13"/>
  <c r="X248" i="103"/>
  <c r="C248" i="103"/>
  <c r="C64" i="13"/>
  <c r="X355" i="103"/>
  <c r="C355" i="103"/>
  <c r="N184" i="13" s="1"/>
  <c r="AO219" i="22"/>
  <c r="R224" i="67"/>
  <c r="H15" i="58"/>
  <c r="AB89" i="103"/>
  <c r="AB178" i="103"/>
  <c r="X314" i="103"/>
  <c r="C314" i="103"/>
  <c r="AB73" i="103"/>
  <c r="X160" i="103"/>
  <c r="C160" i="103"/>
  <c r="W160" i="103" s="1"/>
  <c r="AB260" i="103"/>
  <c r="P36" i="67"/>
  <c r="BL36" i="103"/>
  <c r="L101" i="58"/>
  <c r="AB224" i="103"/>
  <c r="X148" i="103"/>
  <c r="C148" i="103"/>
  <c r="J13" i="53"/>
  <c r="G432" i="67"/>
  <c r="H251" i="58"/>
  <c r="J15" i="53"/>
  <c r="X339" i="103"/>
  <c r="C339" i="103"/>
  <c r="CQ17" i="103"/>
  <c r="X342" i="103"/>
  <c r="C342" i="103"/>
  <c r="H113" i="58"/>
  <c r="C10" i="13"/>
  <c r="X218" i="103"/>
  <c r="C218" i="103"/>
  <c r="CO381" i="103"/>
  <c r="F401" i="58"/>
  <c r="AB130" i="103"/>
  <c r="O66" i="13"/>
  <c r="AB189" i="103"/>
  <c r="AO232" i="22"/>
  <c r="R238" i="67"/>
  <c r="CO34" i="103"/>
  <c r="AB208" i="103"/>
  <c r="H46" i="58"/>
  <c r="X128" i="103"/>
  <c r="C128" i="103"/>
  <c r="AB85" i="103"/>
  <c r="G400" i="58"/>
  <c r="G387" i="58"/>
  <c r="AB117" i="103"/>
  <c r="C194" i="13"/>
  <c r="D7" i="53"/>
  <c r="X351" i="103"/>
  <c r="C351" i="103"/>
  <c r="X26" i="103"/>
  <c r="C26" i="103"/>
  <c r="AB33" i="103"/>
  <c r="X327" i="103"/>
  <c r="C327" i="103"/>
  <c r="G433" i="67"/>
  <c r="AB181" i="103"/>
  <c r="L223" i="58"/>
  <c r="AO229" i="22"/>
  <c r="R235" i="67"/>
  <c r="AB94" i="103"/>
  <c r="X29" i="103"/>
  <c r="C29" i="103"/>
  <c r="C28" i="13"/>
  <c r="X124" i="103"/>
  <c r="C124" i="103"/>
  <c r="C188" i="13"/>
  <c r="BP226" i="103"/>
  <c r="BO226" i="103"/>
  <c r="BN226" i="103"/>
  <c r="Y226" i="103"/>
  <c r="L72" i="67"/>
  <c r="O120" i="13"/>
  <c r="X229" i="103"/>
  <c r="C229" i="103"/>
  <c r="AB288" i="103"/>
  <c r="X176" i="103"/>
  <c r="C176" i="103"/>
  <c r="AB244" i="103"/>
  <c r="G390" i="58"/>
  <c r="G377" i="58"/>
  <c r="X258" i="103"/>
  <c r="C258" i="103"/>
  <c r="X30" i="103"/>
  <c r="C30" i="103"/>
  <c r="AB190" i="103"/>
  <c r="AB48" i="103"/>
  <c r="F401" i="103"/>
  <c r="F385" i="103"/>
  <c r="X284" i="103"/>
  <c r="C284" i="103"/>
  <c r="N106" i="13" s="1"/>
  <c r="AE22" i="22"/>
  <c r="R21" i="58"/>
  <c r="L21" i="58" s="1"/>
  <c r="H21" i="58" s="1"/>
  <c r="CH21" i="103"/>
  <c r="AB204" i="103"/>
  <c r="G396" i="58"/>
  <c r="G383" i="58"/>
  <c r="H165" i="58"/>
  <c r="X66" i="103"/>
  <c r="J66" i="103"/>
  <c r="AG363" i="22"/>
  <c r="L373" i="67"/>
  <c r="AB194" i="103"/>
  <c r="G434" i="67"/>
  <c r="AE222" i="22"/>
  <c r="R221" i="58"/>
  <c r="L221" i="58" s="1"/>
  <c r="H221" i="58" s="1"/>
  <c r="CH221" i="103"/>
  <c r="CF221" i="103" s="1"/>
  <c r="X219" i="103"/>
  <c r="C219" i="103"/>
  <c r="AB301" i="103"/>
  <c r="AB188" i="103"/>
  <c r="X38" i="103"/>
  <c r="J38" i="103"/>
  <c r="W38" i="103" s="1"/>
  <c r="AO298" i="22"/>
  <c r="X247" i="103"/>
  <c r="C247" i="103"/>
  <c r="H151" i="58"/>
  <c r="X332" i="103"/>
  <c r="C332" i="103"/>
  <c r="BI332" i="103" s="1"/>
  <c r="H198" i="58"/>
  <c r="X93" i="103"/>
  <c r="C93" i="103"/>
  <c r="X257" i="103"/>
  <c r="C257" i="103"/>
  <c r="H285" i="58"/>
  <c r="AO209" i="22"/>
  <c r="R214" i="67"/>
  <c r="AC386" i="103"/>
  <c r="X63" i="103"/>
  <c r="C63" i="103"/>
  <c r="X125" i="103"/>
  <c r="C125" i="103"/>
  <c r="AO230" i="22"/>
  <c r="R236" i="67"/>
  <c r="AB133" i="103"/>
  <c r="Y379" i="58"/>
  <c r="AB101" i="58"/>
  <c r="AC101" i="58"/>
  <c r="Z101" i="58"/>
  <c r="AA101" i="58"/>
  <c r="AB83" i="103"/>
  <c r="AB11" i="103"/>
  <c r="X90" i="103"/>
  <c r="C90" i="103"/>
  <c r="H336" i="58"/>
  <c r="AB54" i="103"/>
  <c r="X352" i="103"/>
  <c r="C352" i="103"/>
  <c r="H38" i="58"/>
  <c r="X252" i="103"/>
  <c r="C252" i="103"/>
  <c r="X73" i="103"/>
  <c r="C73" i="103"/>
  <c r="AO194" i="22"/>
  <c r="R199" i="67"/>
  <c r="X330" i="103"/>
  <c r="C330" i="103"/>
  <c r="X353" i="103"/>
  <c r="C353" i="103"/>
  <c r="N182" i="13" s="1"/>
  <c r="AB35" i="103"/>
  <c r="H16" i="58"/>
  <c r="H194" i="58"/>
  <c r="CM22" i="103"/>
  <c r="CG22" i="103" s="1"/>
  <c r="CF131" i="103"/>
  <c r="X246" i="103"/>
  <c r="C246" i="103"/>
  <c r="X336" i="103"/>
  <c r="C336" i="103"/>
  <c r="AB265" i="103"/>
  <c r="E383" i="103"/>
  <c r="AB223" i="103"/>
  <c r="AE133" i="22"/>
  <c r="R132" i="58"/>
  <c r="L132" i="58" s="1"/>
  <c r="H132" i="58" s="1"/>
  <c r="CH132" i="103"/>
  <c r="H78" i="58"/>
  <c r="X227" i="103"/>
  <c r="C227" i="103"/>
  <c r="X318" i="103"/>
  <c r="C318" i="103"/>
  <c r="O159" i="23"/>
  <c r="P159" i="23" s="1"/>
  <c r="AO233" i="22"/>
  <c r="R239" i="67"/>
  <c r="B196" i="13"/>
  <c r="D196" i="13" s="1"/>
  <c r="AB184" i="103"/>
  <c r="P203" i="67"/>
  <c r="BL197" i="103"/>
  <c r="H357" i="58"/>
  <c r="X331" i="103"/>
  <c r="C331" i="103"/>
  <c r="X113" i="103"/>
  <c r="C113" i="103"/>
  <c r="E384" i="103"/>
  <c r="AB254" i="103"/>
  <c r="X75" i="103"/>
  <c r="C75" i="103"/>
  <c r="AB245" i="103"/>
  <c r="AB118" i="103"/>
  <c r="AO223" i="22"/>
  <c r="R228" i="67"/>
  <c r="X85" i="103"/>
  <c r="C85" i="103"/>
  <c r="X371" i="103"/>
  <c r="C371" i="103"/>
  <c r="X96" i="103"/>
  <c r="C96" i="103"/>
  <c r="CP376" i="103"/>
  <c r="CR11" i="103"/>
  <c r="AB209" i="103"/>
  <c r="Y385" i="58"/>
  <c r="AB284" i="58"/>
  <c r="AA284" i="58"/>
  <c r="Z284" i="58"/>
  <c r="AC284" i="58"/>
  <c r="AO172" i="22"/>
  <c r="R176" i="67"/>
  <c r="P105" i="67"/>
  <c r="BL102" i="103"/>
  <c r="X358" i="103"/>
  <c r="C358" i="103"/>
  <c r="N187" i="13" s="1"/>
  <c r="AE139" i="22"/>
  <c r="R138" i="58"/>
  <c r="L138" i="58" s="1"/>
  <c r="H138" i="58" s="1"/>
  <c r="CH138" i="103"/>
  <c r="AO181" i="22"/>
  <c r="R185" i="67"/>
  <c r="L377" i="103"/>
  <c r="X239" i="103"/>
  <c r="C239" i="103"/>
  <c r="AB91" i="103"/>
  <c r="X272" i="103"/>
  <c r="C272" i="103"/>
  <c r="R333" i="58"/>
  <c r="L333" i="58" s="1"/>
  <c r="H333" i="58" s="1"/>
  <c r="CH333" i="103"/>
  <c r="AB207" i="103"/>
  <c r="X158" i="103"/>
  <c r="C158" i="103"/>
  <c r="W158" i="103" s="1"/>
  <c r="X49" i="103"/>
  <c r="C49" i="103"/>
  <c r="H318" i="58"/>
  <c r="H33" i="58"/>
  <c r="AE244" i="22"/>
  <c r="R243" i="58"/>
  <c r="L243" i="58" s="1"/>
  <c r="H243" i="58" s="1"/>
  <c r="CH243" i="103"/>
  <c r="CF243" i="103" s="1"/>
  <c r="CO337" i="103"/>
  <c r="CJ154" i="103"/>
  <c r="C43" i="13"/>
  <c r="H64" i="58"/>
  <c r="BA192" i="103"/>
  <c r="X104" i="103"/>
  <c r="C104" i="103"/>
  <c r="AB275" i="103"/>
  <c r="AB172" i="103"/>
  <c r="AB103" i="103"/>
  <c r="X217" i="103"/>
  <c r="C217" i="103"/>
  <c r="X329" i="103"/>
  <c r="C329" i="103"/>
  <c r="R293" i="58"/>
  <c r="L293" i="58" s="1"/>
  <c r="H293" i="58" s="1"/>
  <c r="CH293" i="103"/>
  <c r="CF293" i="103" s="1"/>
  <c r="AB62" i="103"/>
  <c r="R345" i="58"/>
  <c r="AM387" i="103"/>
  <c r="CH345" i="103"/>
  <c r="BA78" i="103"/>
  <c r="CK221" i="103"/>
  <c r="AO320" i="22"/>
  <c r="R329" i="67"/>
  <c r="AE118" i="22"/>
  <c r="R117" i="58"/>
  <c r="L117" i="58" s="1"/>
  <c r="H117" i="58" s="1"/>
  <c r="CH117" i="103"/>
  <c r="CJ363" i="103"/>
  <c r="AE182" i="22"/>
  <c r="R181" i="58"/>
  <c r="L181" i="58" s="1"/>
  <c r="H181" i="58" s="1"/>
  <c r="CH181" i="103"/>
  <c r="CF181" i="103" s="1"/>
  <c r="X274" i="103"/>
  <c r="C274" i="103"/>
  <c r="X69" i="103"/>
  <c r="C69" i="103"/>
  <c r="C165" i="13"/>
  <c r="H45" i="58"/>
  <c r="C167" i="13"/>
  <c r="AO199" i="22"/>
  <c r="R204" i="67"/>
  <c r="AB285" i="103"/>
  <c r="C9" i="13"/>
  <c r="CJ297" i="103"/>
  <c r="CI385" i="103"/>
  <c r="AB150" i="103"/>
  <c r="O20" i="13"/>
  <c r="X287" i="103"/>
  <c r="C287" i="103"/>
  <c r="W287" i="103" s="1"/>
  <c r="CJ357" i="103"/>
  <c r="AO322" i="22"/>
  <c r="R331" i="67"/>
  <c r="AB111" i="103"/>
  <c r="O48" i="13"/>
  <c r="C78" i="13"/>
  <c r="CK199" i="103"/>
  <c r="AB163" i="103"/>
  <c r="CJ208" i="103"/>
  <c r="AB132" i="103"/>
  <c r="X193" i="103"/>
  <c r="C193" i="103"/>
  <c r="X110" i="103"/>
  <c r="C110" i="103"/>
  <c r="AB139" i="103"/>
  <c r="AB302" i="103"/>
  <c r="CJ229" i="103"/>
  <c r="CK36" i="103"/>
  <c r="X47" i="103"/>
  <c r="C47" i="103"/>
  <c r="O63" i="13"/>
  <c r="F392" i="103"/>
  <c r="F376" i="103"/>
  <c r="X11" i="103"/>
  <c r="C11" i="103"/>
  <c r="X143" i="103"/>
  <c r="C143" i="103"/>
  <c r="X341" i="103"/>
  <c r="C341" i="103"/>
  <c r="X323" i="103"/>
  <c r="C323" i="103"/>
  <c r="N79" i="13"/>
  <c r="AB261" i="103"/>
  <c r="X89" i="103"/>
  <c r="C89" i="103"/>
  <c r="AB262" i="103"/>
  <c r="AB31" i="103"/>
  <c r="X178" i="103"/>
  <c r="C178" i="103"/>
  <c r="X357" i="103"/>
  <c r="C357" i="103"/>
  <c r="N186" i="13" s="1"/>
  <c r="CJ113" i="103"/>
  <c r="AB164" i="103"/>
  <c r="CJ40" i="103"/>
  <c r="E378" i="103"/>
  <c r="AB70" i="103"/>
  <c r="H245" i="58"/>
  <c r="H298" i="58"/>
  <c r="CJ193" i="103"/>
  <c r="H119" i="58"/>
  <c r="AB304" i="103"/>
  <c r="CM378" i="103"/>
  <c r="X260" i="103"/>
  <c r="C260" i="103"/>
  <c r="AO161" i="22"/>
  <c r="R164" i="67"/>
  <c r="C176" i="13"/>
  <c r="B88" i="13"/>
  <c r="AB86" i="103"/>
  <c r="CJ131" i="103"/>
  <c r="X224" i="103"/>
  <c r="C224" i="103"/>
  <c r="O94" i="13"/>
  <c r="AB264" i="103"/>
  <c r="AB201" i="103"/>
  <c r="AC383" i="103"/>
  <c r="CK67" i="103"/>
  <c r="AO326" i="22"/>
  <c r="R335" i="67"/>
  <c r="C130" i="13"/>
  <c r="O126" i="13"/>
  <c r="X313" i="103"/>
  <c r="C313" i="103"/>
  <c r="AB210" i="103"/>
  <c r="H89" i="58"/>
  <c r="CJ48" i="103"/>
  <c r="CJ232" i="103"/>
  <c r="C45" i="13"/>
  <c r="O97" i="13"/>
  <c r="X364" i="103"/>
  <c r="C364" i="103"/>
  <c r="X130" i="103"/>
  <c r="C130" i="103"/>
  <c r="O111" i="13"/>
  <c r="X369" i="103"/>
  <c r="C369" i="103"/>
  <c r="X189" i="103"/>
  <c r="C189" i="103"/>
  <c r="AC384" i="103"/>
  <c r="AB99" i="103"/>
  <c r="X208" i="103"/>
  <c r="C208" i="103"/>
  <c r="X118" i="103"/>
  <c r="C118" i="103"/>
  <c r="CJ222" i="103"/>
  <c r="X356" i="103"/>
  <c r="C356" i="103"/>
  <c r="X117" i="103"/>
  <c r="C117" i="103"/>
  <c r="X346" i="103"/>
  <c r="C346" i="103"/>
  <c r="AB168" i="23"/>
  <c r="BA267" i="103"/>
  <c r="X33" i="103"/>
  <c r="C33" i="103"/>
  <c r="AB72" i="103"/>
  <c r="CJ171" i="103"/>
  <c r="X181" i="103"/>
  <c r="C181" i="103"/>
  <c r="CJ317" i="103"/>
  <c r="X94" i="103"/>
  <c r="C94" i="103"/>
  <c r="AO237" i="22"/>
  <c r="R243" i="67"/>
  <c r="CJ330" i="103"/>
  <c r="AG360" i="22"/>
  <c r="L370" i="67"/>
  <c r="AB156" i="103"/>
  <c r="CJ180" i="103"/>
  <c r="M377" i="103"/>
  <c r="J42" i="103"/>
  <c r="Y380" i="58"/>
  <c r="AB131" i="58"/>
  <c r="Z131" i="58"/>
  <c r="AC131" i="58"/>
  <c r="AA131" i="58"/>
  <c r="AO205" i="22"/>
  <c r="R210" i="67"/>
  <c r="R309" i="58"/>
  <c r="L309" i="58" s="1"/>
  <c r="H309" i="58" s="1"/>
  <c r="CH309" i="103"/>
  <c r="CF309" i="103" s="1"/>
  <c r="AB21" i="103"/>
  <c r="C16" i="13"/>
  <c r="CL380" i="103"/>
  <c r="AO236" i="22"/>
  <c r="R242" i="67"/>
  <c r="AB58" i="103"/>
  <c r="X288" i="103"/>
  <c r="C288" i="103"/>
  <c r="W288" i="103" s="1"/>
  <c r="C149" i="13"/>
  <c r="AB273" i="103"/>
  <c r="X244" i="103"/>
  <c r="C244" i="103"/>
  <c r="X37" i="103"/>
  <c r="J37" i="103"/>
  <c r="CJ200" i="103"/>
  <c r="X190" i="103"/>
  <c r="C190" i="103"/>
  <c r="X48" i="103"/>
  <c r="C48" i="103"/>
  <c r="E377" i="103"/>
  <c r="AB42" i="103"/>
  <c r="AE163" i="22"/>
  <c r="R162" i="58"/>
  <c r="AM381" i="103"/>
  <c r="CH162" i="103"/>
  <c r="X204" i="103"/>
  <c r="C204" i="103"/>
  <c r="AB120" i="103"/>
  <c r="AB242" i="103"/>
  <c r="CJ341" i="103"/>
  <c r="H128" i="58"/>
  <c r="AA383" i="103"/>
  <c r="CK293" i="103"/>
  <c r="AG342" i="22"/>
  <c r="L351" i="67"/>
  <c r="AE13" i="22"/>
  <c r="R12" i="58"/>
  <c r="L12" i="58" s="1"/>
  <c r="H12" i="58" s="1"/>
  <c r="CH12" i="103"/>
  <c r="CI387" i="103"/>
  <c r="CL345" i="103"/>
  <c r="X194" i="103"/>
  <c r="C194" i="103"/>
  <c r="X197" i="103"/>
  <c r="J197" i="103"/>
  <c r="W197" i="103" s="1"/>
  <c r="H105" i="58"/>
  <c r="X301" i="103"/>
  <c r="C301" i="103"/>
  <c r="W301" i="103" s="1"/>
  <c r="X188" i="103"/>
  <c r="C188" i="103"/>
  <c r="H17" i="58"/>
  <c r="AB297" i="103"/>
  <c r="X150" i="103"/>
  <c r="C150" i="103"/>
  <c r="J14" i="53"/>
  <c r="H230" i="58"/>
  <c r="C120" i="13"/>
  <c r="X338" i="103"/>
  <c r="C338" i="103"/>
  <c r="X316" i="103"/>
  <c r="C316" i="103"/>
  <c r="CM15" i="103"/>
  <c r="CG15" i="103" s="1"/>
  <c r="O122" i="13"/>
  <c r="H228" i="58"/>
  <c r="X132" i="103"/>
  <c r="C132" i="103"/>
  <c r="H32" i="58"/>
  <c r="L11" i="67"/>
  <c r="X133" i="103"/>
  <c r="C133" i="103"/>
  <c r="G435" i="67"/>
  <c r="CM386" i="103"/>
  <c r="CG315" i="103"/>
  <c r="AB43" i="103"/>
  <c r="CM26" i="103"/>
  <c r="CG26" i="103" s="1"/>
  <c r="X83" i="103"/>
  <c r="C83" i="103"/>
  <c r="BI83" i="103" s="1"/>
  <c r="AO238" i="22"/>
  <c r="R244" i="67"/>
  <c r="AC376" i="103"/>
  <c r="C94" i="13"/>
  <c r="AB137" i="103"/>
  <c r="CJ206" i="103"/>
  <c r="AE122" i="22"/>
  <c r="R121" i="58"/>
  <c r="L121" i="58" s="1"/>
  <c r="H121" i="58" s="1"/>
  <c r="CH121" i="103"/>
  <c r="X54" i="103"/>
  <c r="C54" i="103"/>
  <c r="C151" i="13"/>
  <c r="X86" i="103"/>
  <c r="J86" i="103"/>
  <c r="H140" i="58"/>
  <c r="F378" i="103"/>
  <c r="F394" i="103"/>
  <c r="X70" i="103"/>
  <c r="C70" i="103"/>
  <c r="O107" i="13"/>
  <c r="AB268" i="103"/>
  <c r="AE88" i="22"/>
  <c r="R87" i="58"/>
  <c r="L87" i="58" s="1"/>
  <c r="H87" i="58" s="1"/>
  <c r="CH87" i="103"/>
  <c r="X366" i="103"/>
  <c r="C366" i="103"/>
  <c r="X35" i="103"/>
  <c r="C35" i="103"/>
  <c r="H186" i="58"/>
  <c r="CM14" i="103"/>
  <c r="CG14" i="103" s="1"/>
  <c r="CQ379" i="103"/>
  <c r="AB198" i="103"/>
  <c r="X265" i="103"/>
  <c r="C265" i="103"/>
  <c r="F399" i="103"/>
  <c r="F383" i="103"/>
  <c r="X223" i="103"/>
  <c r="C223" i="103"/>
  <c r="AB142" i="103"/>
  <c r="CI379" i="103"/>
  <c r="AB152" i="103"/>
  <c r="H295" i="58"/>
  <c r="B62" i="13"/>
  <c r="AB66" i="103"/>
  <c r="C162" i="13"/>
  <c r="AB68" i="103"/>
  <c r="AB271" i="103"/>
  <c r="H82" i="58"/>
  <c r="X184" i="103"/>
  <c r="C184" i="103"/>
  <c r="AE135" i="22"/>
  <c r="R134" i="58"/>
  <c r="L134" i="58" s="1"/>
  <c r="H134" i="58" s="1"/>
  <c r="CH134" i="103"/>
  <c r="H93" i="58"/>
  <c r="AQ187" i="22"/>
  <c r="AB25" i="103"/>
  <c r="AB187" i="103"/>
  <c r="F384" i="103"/>
  <c r="F400" i="103"/>
  <c r="X254" i="103"/>
  <c r="C254" i="103"/>
  <c r="X245" i="103"/>
  <c r="C245" i="103"/>
  <c r="H211" i="58"/>
  <c r="AB39" i="103"/>
  <c r="H103" i="58"/>
  <c r="AB144" i="103"/>
  <c r="O11" i="13"/>
  <c r="C201" i="13"/>
  <c r="R287" i="58"/>
  <c r="L287" i="58" s="1"/>
  <c r="H287" i="58" s="1"/>
  <c r="CH287" i="103"/>
  <c r="CF287" i="103" s="1"/>
  <c r="AB14" i="103"/>
  <c r="H112" i="58"/>
  <c r="X209" i="103"/>
  <c r="C209" i="103"/>
  <c r="AB116" i="103"/>
  <c r="AO318" i="22"/>
  <c r="R327" i="67"/>
  <c r="AE183" i="22"/>
  <c r="R182" i="58"/>
  <c r="L182" i="58" s="1"/>
  <c r="H182" i="58" s="1"/>
  <c r="CH182" i="103"/>
  <c r="CF182" i="103" s="1"/>
  <c r="AE156" i="22"/>
  <c r="R155" i="58"/>
  <c r="L155" i="58" s="1"/>
  <c r="H155" i="58" s="1"/>
  <c r="CH155" i="103"/>
  <c r="AE215" i="22"/>
  <c r="R214" i="58"/>
  <c r="L214" i="58" s="1"/>
  <c r="H214" i="58" s="1"/>
  <c r="CH214" i="103"/>
  <c r="CF214" i="103" s="1"/>
  <c r="N41" i="13"/>
  <c r="AB226" i="103"/>
  <c r="E399" i="103"/>
  <c r="E395" i="103"/>
  <c r="E382" i="103"/>
  <c r="E394" i="103"/>
  <c r="AB192" i="103"/>
  <c r="B31" i="13"/>
  <c r="AB38" i="103"/>
  <c r="AE121" i="22"/>
  <c r="R120" i="58"/>
  <c r="L120" i="58" s="1"/>
  <c r="H120" i="58" s="1"/>
  <c r="CH120" i="103"/>
  <c r="CL383" i="103"/>
  <c r="X156" i="103"/>
  <c r="C156" i="103"/>
  <c r="X36" i="103"/>
  <c r="J36" i="103"/>
  <c r="X326" i="103"/>
  <c r="C326" i="103"/>
  <c r="X91" i="103"/>
  <c r="C91" i="103"/>
  <c r="X207" i="103"/>
  <c r="C207" i="103"/>
  <c r="X363" i="103"/>
  <c r="C363" i="103"/>
  <c r="AB109" i="103"/>
  <c r="AO190" i="22"/>
  <c r="R194" i="67"/>
  <c r="H212" i="58"/>
  <c r="CQ384" i="103"/>
  <c r="C181" i="13"/>
  <c r="AE31" i="22"/>
  <c r="R30" i="58"/>
  <c r="L30" i="58" s="1"/>
  <c r="H30" i="58" s="1"/>
  <c r="CH30" i="103"/>
  <c r="CM379" i="103"/>
  <c r="CG101" i="103"/>
  <c r="AO201" i="22"/>
  <c r="R206" i="67"/>
  <c r="AB221" i="103"/>
  <c r="F393" i="103"/>
  <c r="F377" i="103"/>
  <c r="X42" i="103"/>
  <c r="C42" i="103"/>
  <c r="Y383" i="58"/>
  <c r="AA223" i="58"/>
  <c r="AC223" i="58"/>
  <c r="Z223" i="58"/>
  <c r="AB223" i="58"/>
  <c r="X275" i="103"/>
  <c r="C275" i="103"/>
  <c r="BA254" i="103"/>
  <c r="BA162" i="103"/>
  <c r="X172" i="103"/>
  <c r="C172" i="103"/>
  <c r="X103" i="103"/>
  <c r="C103" i="103"/>
  <c r="AB159" i="23"/>
  <c r="AN388" i="103"/>
  <c r="X62" i="103"/>
  <c r="C62" i="103"/>
  <c r="R361" i="58"/>
  <c r="L361" i="58" s="1"/>
  <c r="H361" i="58" s="1"/>
  <c r="CH361" i="103"/>
  <c r="AG346" i="22"/>
  <c r="L356" i="67"/>
  <c r="AA381" i="103"/>
  <c r="X310" i="103"/>
  <c r="C310" i="103"/>
  <c r="AB185" i="103"/>
  <c r="H39" i="58"/>
  <c r="AB17" i="103"/>
  <c r="AB13" i="103"/>
  <c r="AB65" i="103"/>
  <c r="AB202" i="103"/>
  <c r="AB294" i="103"/>
  <c r="G429" i="67"/>
  <c r="X139" i="103"/>
  <c r="C139" i="103"/>
  <c r="W139" i="103" s="1"/>
  <c r="H171" i="58"/>
  <c r="X302" i="103"/>
  <c r="C302" i="103"/>
  <c r="W302" i="103" s="1"/>
  <c r="B194" i="13"/>
  <c r="AB182" i="103"/>
  <c r="G394" i="58"/>
  <c r="G381" i="58"/>
  <c r="AB250" i="103"/>
  <c r="X137" i="103"/>
  <c r="C137" i="103"/>
  <c r="W137" i="103" s="1"/>
  <c r="AO207" i="22"/>
  <c r="R212" i="67"/>
  <c r="H50" i="58"/>
  <c r="AB175" i="103"/>
  <c r="AB127" i="103"/>
  <c r="AA378" i="103"/>
  <c r="X262" i="103"/>
  <c r="C262" i="103"/>
  <c r="X31" i="103"/>
  <c r="C31" i="103"/>
  <c r="X164" i="103"/>
  <c r="C164" i="103"/>
  <c r="AB267" i="103"/>
  <c r="AE186" i="22"/>
  <c r="R185" i="58"/>
  <c r="L185" i="58" s="1"/>
  <c r="H185" i="58" s="1"/>
  <c r="CH185" i="103"/>
  <c r="CF185" i="103" s="1"/>
  <c r="AC378" i="103"/>
  <c r="AB135" i="103"/>
  <c r="H61" i="58"/>
  <c r="AB263" i="103"/>
  <c r="AB179" i="103"/>
  <c r="X304" i="103"/>
  <c r="C304" i="103"/>
  <c r="W304" i="103" s="1"/>
  <c r="AB203" i="103"/>
  <c r="AB100" i="103"/>
  <c r="L131" i="58"/>
  <c r="CQ385" i="103"/>
  <c r="G389" i="58"/>
  <c r="G376" i="58"/>
  <c r="AB27" i="103"/>
  <c r="X264" i="103"/>
  <c r="C264" i="103"/>
  <c r="L384" i="103"/>
  <c r="X201" i="103"/>
  <c r="C201" i="103"/>
  <c r="CM21" i="103"/>
  <c r="CG21" i="103" s="1"/>
  <c r="X210" i="103"/>
  <c r="C210" i="103"/>
  <c r="AO202" i="22"/>
  <c r="R207" i="67"/>
  <c r="H31" i="58"/>
  <c r="J16" i="53"/>
  <c r="AB18" i="103"/>
  <c r="X99" i="103"/>
  <c r="C99" i="103"/>
  <c r="X39" i="103"/>
  <c r="C39" i="103"/>
  <c r="H110" i="58"/>
  <c r="X144" i="103"/>
  <c r="C144" i="103"/>
  <c r="AB233" i="103"/>
  <c r="AB289" i="103"/>
  <c r="R304" i="58"/>
  <c r="L304" i="58" s="1"/>
  <c r="H304" i="58" s="1"/>
  <c r="CH304" i="103"/>
  <c r="CF304" i="103" s="1"/>
  <c r="X349" i="103"/>
  <c r="C349" i="103"/>
  <c r="X14" i="103"/>
  <c r="C14" i="103"/>
  <c r="CO159" i="103"/>
  <c r="CK371" i="103"/>
  <c r="AB129" i="103"/>
  <c r="X72" i="103"/>
  <c r="C72" i="103"/>
  <c r="AB167" i="103"/>
  <c r="H14" i="58"/>
  <c r="CK167" i="103"/>
  <c r="AE206" i="22"/>
  <c r="R205" i="58"/>
  <c r="L205" i="58" s="1"/>
  <c r="H205" i="58" s="1"/>
  <c r="CH205" i="103"/>
  <c r="CF205" i="103" s="1"/>
  <c r="AB270" i="103"/>
  <c r="AC382" i="103"/>
  <c r="AQ305" i="22"/>
  <c r="CO38" i="103"/>
  <c r="BA38" i="103" s="1"/>
  <c r="AB241" i="103"/>
  <c r="AE59" i="22"/>
  <c r="R58" i="58"/>
  <c r="L58" i="58" s="1"/>
  <c r="H58" i="58" s="1"/>
  <c r="CH58" i="103"/>
  <c r="AG369" i="22"/>
  <c r="L379" i="67"/>
  <c r="X21" i="103"/>
  <c r="C21" i="103"/>
  <c r="CL379" i="103"/>
  <c r="CM39" i="103"/>
  <c r="CG39" i="103" s="1"/>
  <c r="X58" i="103"/>
  <c r="C58" i="103"/>
  <c r="X109" i="103"/>
  <c r="C109" i="103"/>
  <c r="X273" i="103"/>
  <c r="C273" i="103"/>
  <c r="AA377" i="103"/>
  <c r="AC377" i="103"/>
  <c r="CI381" i="103"/>
  <c r="CL162" i="103"/>
  <c r="CO334" i="103"/>
  <c r="X120" i="103"/>
  <c r="C120" i="103"/>
  <c r="X242" i="103"/>
  <c r="C242" i="103"/>
  <c r="X359" i="103"/>
  <c r="C359" i="103"/>
  <c r="G436" i="67"/>
  <c r="AE96" i="22"/>
  <c r="R95" i="58"/>
  <c r="L95" i="58" s="1"/>
  <c r="H95" i="58" s="1"/>
  <c r="CH95" i="103"/>
  <c r="AO217" i="22"/>
  <c r="R222" i="67"/>
  <c r="AB290" i="103"/>
  <c r="AB19" i="103"/>
  <c r="X285" i="103"/>
  <c r="C285" i="103"/>
  <c r="W285" i="103" s="1"/>
  <c r="X111" i="103"/>
  <c r="C111" i="103"/>
  <c r="X163" i="103"/>
  <c r="C163" i="103"/>
  <c r="H47" i="58"/>
  <c r="AB108" i="103"/>
  <c r="AB235" i="103"/>
  <c r="X19" i="103"/>
  <c r="C19" i="103"/>
  <c r="AO249" i="22"/>
  <c r="R255" i="67"/>
  <c r="O110" i="13"/>
  <c r="X17" i="103"/>
  <c r="C17" i="103"/>
  <c r="CJ153" i="103"/>
  <c r="X297" i="103"/>
  <c r="C297" i="103"/>
  <c r="W297" i="103" s="1"/>
  <c r="X13" i="103"/>
  <c r="C13" i="103"/>
  <c r="AB177" i="103"/>
  <c r="H27" i="58"/>
  <c r="H224" i="58"/>
  <c r="AB151" i="103"/>
  <c r="C97" i="13"/>
  <c r="C203" i="13"/>
  <c r="AB79" i="103"/>
  <c r="O13" i="13"/>
  <c r="X65" i="103"/>
  <c r="J65" i="103"/>
  <c r="H141" i="58"/>
  <c r="CJ100" i="103"/>
  <c r="AO246" i="22"/>
  <c r="R252" i="67"/>
  <c r="X20" i="103"/>
  <c r="J20" i="103"/>
  <c r="W20" i="103" s="1"/>
  <c r="CJ118" i="103"/>
  <c r="C74" i="13"/>
  <c r="O90" i="13"/>
  <c r="AB80" i="103"/>
  <c r="H210" i="58"/>
  <c r="O56" i="13"/>
  <c r="X43" i="103"/>
  <c r="C43" i="103"/>
  <c r="CQ26" i="103"/>
  <c r="H127" i="58"/>
  <c r="X127" i="103"/>
  <c r="C127" i="103"/>
  <c r="C58" i="13"/>
  <c r="C119" i="13"/>
  <c r="H241" i="58"/>
  <c r="O93" i="13"/>
  <c r="C34" i="13"/>
  <c r="CO327" i="103"/>
  <c r="BA327" i="103" s="1"/>
  <c r="CJ71" i="103"/>
  <c r="C132" i="13"/>
  <c r="X311" i="103"/>
  <c r="C311" i="103"/>
  <c r="AB231" i="103"/>
  <c r="O84" i="13"/>
  <c r="H191" i="58"/>
  <c r="X135" i="103"/>
  <c r="C135" i="103"/>
  <c r="W135" i="103" s="1"/>
  <c r="X268" i="103"/>
  <c r="C268" i="103"/>
  <c r="C8" i="13"/>
  <c r="CJ44" i="103"/>
  <c r="C160" i="13"/>
  <c r="CI377" i="103"/>
  <c r="H206" i="58"/>
  <c r="CQ14" i="103"/>
  <c r="O78" i="13"/>
  <c r="AB55" i="103"/>
  <c r="G430" i="67"/>
  <c r="C401" i="58"/>
  <c r="X198" i="103"/>
  <c r="C198" i="103"/>
  <c r="M384" i="103"/>
  <c r="J254" i="103"/>
  <c r="AB225" i="103"/>
  <c r="X142" i="103"/>
  <c r="C142" i="103"/>
  <c r="CK121" i="103"/>
  <c r="G427" i="67"/>
  <c r="X152" i="103"/>
  <c r="C152" i="103"/>
  <c r="X340" i="103"/>
  <c r="C340" i="103"/>
  <c r="O5" i="13"/>
  <c r="X68" i="103"/>
  <c r="C68" i="103"/>
  <c r="X271" i="103"/>
  <c r="C271" i="103"/>
  <c r="C154" i="13"/>
  <c r="X321" i="103"/>
  <c r="C321" i="103"/>
  <c r="AB105" i="103"/>
  <c r="CJ201" i="103"/>
  <c r="CK178" i="103"/>
  <c r="CK134" i="103"/>
  <c r="G431" i="67"/>
  <c r="X25" i="103"/>
  <c r="C25" i="103"/>
  <c r="X187" i="103"/>
  <c r="C187" i="103"/>
  <c r="AB173" i="103"/>
  <c r="CG378" i="103"/>
  <c r="CK147" i="103"/>
  <c r="X261" i="103"/>
  <c r="J261" i="103"/>
  <c r="W261" i="103" s="1"/>
  <c r="CJ299" i="103"/>
  <c r="C50" i="13"/>
  <c r="H44" i="58"/>
  <c r="O33" i="13"/>
  <c r="AQ18" i="22"/>
  <c r="X129" i="103"/>
  <c r="C129" i="103"/>
  <c r="C166" i="13"/>
  <c r="X116" i="103"/>
  <c r="C116" i="103"/>
  <c r="H234" i="58"/>
  <c r="AQ312" i="22"/>
  <c r="CK182" i="103"/>
  <c r="AB269" i="103"/>
  <c r="CK111" i="103"/>
  <c r="C150" i="13"/>
  <c r="CK155" i="103"/>
  <c r="CK214" i="103"/>
  <c r="AE73" i="22"/>
  <c r="R72" i="58"/>
  <c r="L72" i="58" s="1"/>
  <c r="H72" i="58" s="1"/>
  <c r="CH72" i="103"/>
  <c r="AB45" i="103"/>
  <c r="F398" i="103"/>
  <c r="F382" i="103"/>
  <c r="X192" i="103"/>
  <c r="C192" i="103"/>
  <c r="CK120" i="103"/>
  <c r="O17" i="13"/>
  <c r="CK304" i="103"/>
  <c r="CM37" i="103"/>
  <c r="CG37" i="103" s="1"/>
  <c r="L380" i="103"/>
  <c r="H362" i="58"/>
  <c r="AE97" i="22"/>
  <c r="R96" i="58"/>
  <c r="L96" i="58" s="1"/>
  <c r="H96" i="58" s="1"/>
  <c r="CH96" i="103"/>
  <c r="C159" i="13"/>
  <c r="C24" i="13"/>
  <c r="CQ39" i="103"/>
  <c r="X347" i="103"/>
  <c r="C347" i="103"/>
  <c r="CK30" i="103"/>
  <c r="C21" i="13"/>
  <c r="AE138" i="22"/>
  <c r="R137" i="58"/>
  <c r="L137" i="58" s="1"/>
  <c r="H137" i="58" s="1"/>
  <c r="CH137" i="103"/>
  <c r="G438" i="67"/>
  <c r="X221" i="103"/>
  <c r="C221" i="103"/>
  <c r="CJ19" i="103"/>
  <c r="G393" i="58"/>
  <c r="G380" i="58"/>
  <c r="CK162" i="103"/>
  <c r="O62" i="13"/>
  <c r="B195" i="13"/>
  <c r="D195" i="13" s="1"/>
  <c r="AB183" i="103"/>
  <c r="CK12" i="103"/>
  <c r="X333" i="103"/>
  <c r="C333" i="103"/>
  <c r="BI333" i="103" s="1"/>
  <c r="CO141" i="103"/>
  <c r="BA141" i="103" s="1"/>
  <c r="AO375" i="22"/>
  <c r="R385" i="67"/>
  <c r="X185" i="103"/>
  <c r="C185" i="103"/>
  <c r="CJ216" i="103"/>
  <c r="H100" i="58"/>
  <c r="O100" i="13"/>
  <c r="H238" i="58"/>
  <c r="X290" i="103"/>
  <c r="C290" i="103"/>
  <c r="W290" i="103" s="1"/>
  <c r="R306" i="58"/>
  <c r="L306" i="58" s="1"/>
  <c r="H306" i="58" s="1"/>
  <c r="CH306" i="103"/>
  <c r="CF306" i="103" s="1"/>
  <c r="AB121" i="103"/>
  <c r="CM30" i="103"/>
  <c r="CG30" i="103" s="1"/>
  <c r="AB232" i="103"/>
  <c r="AB291" i="103"/>
  <c r="CJ203" i="103"/>
  <c r="CJ141" i="103"/>
  <c r="X79" i="103"/>
  <c r="C79" i="103"/>
  <c r="AB161" i="103"/>
  <c r="AB170" i="103"/>
  <c r="AB44" i="103"/>
  <c r="X202" i="103"/>
  <c r="C202" i="103"/>
  <c r="X294" i="103"/>
  <c r="C294" i="103"/>
  <c r="W294" i="103" s="1"/>
  <c r="CM380" i="103"/>
  <c r="CG131" i="103"/>
  <c r="O61" i="13"/>
  <c r="O27" i="13"/>
  <c r="X182" i="103"/>
  <c r="C182" i="103"/>
  <c r="C73" i="13"/>
  <c r="C63" i="13"/>
  <c r="O112" i="13"/>
  <c r="O81" i="13"/>
  <c r="X250" i="103"/>
  <c r="C250" i="103"/>
  <c r="O115" i="13"/>
  <c r="C198" i="13"/>
  <c r="C77" i="13"/>
  <c r="X344" i="103"/>
  <c r="C344" i="103"/>
  <c r="CO62" i="103"/>
  <c r="X175" i="103"/>
  <c r="C175" i="103"/>
  <c r="AE153" i="22"/>
  <c r="R152" i="58"/>
  <c r="L152" i="58" s="1"/>
  <c r="H152" i="58" s="1"/>
  <c r="CH152" i="103"/>
  <c r="AB220" i="103"/>
  <c r="AB180" i="103"/>
  <c r="AB286" i="103"/>
  <c r="X267" i="103"/>
  <c r="C267" i="103"/>
  <c r="O65" i="13"/>
  <c r="AB186" i="103"/>
  <c r="AB280" i="103"/>
  <c r="X263" i="103"/>
  <c r="C263" i="103"/>
  <c r="CI380" i="103"/>
  <c r="AB77" i="103"/>
  <c r="X179" i="103"/>
  <c r="C179" i="103"/>
  <c r="X203" i="103"/>
  <c r="C203" i="103"/>
  <c r="X100" i="103"/>
  <c r="C100" i="103"/>
  <c r="C108" i="13"/>
  <c r="O31" i="13"/>
  <c r="C388" i="58"/>
  <c r="AB122" i="103"/>
  <c r="X27" i="103"/>
  <c r="C27" i="103"/>
  <c r="X317" i="103"/>
  <c r="C317" i="103"/>
  <c r="C122" i="13"/>
  <c r="AB67" i="103"/>
  <c r="CI382" i="103"/>
  <c r="H242" i="58"/>
  <c r="C169" i="13"/>
  <c r="AG366" i="22"/>
  <c r="L376" i="67"/>
  <c r="C82" i="13"/>
  <c r="X367" i="103"/>
  <c r="C367" i="103"/>
  <c r="AB146" i="103"/>
  <c r="AB283" i="103"/>
  <c r="H218" i="58"/>
  <c r="R303" i="58"/>
  <c r="L303" i="58" s="1"/>
  <c r="H303" i="58" s="1"/>
  <c r="CH303" i="103"/>
  <c r="CF303" i="103" s="1"/>
  <c r="H201" i="58"/>
  <c r="E381" i="103"/>
  <c r="AB162" i="103"/>
  <c r="O26" i="13"/>
  <c r="X18" i="103"/>
  <c r="C18" i="103"/>
  <c r="AB238" i="103"/>
  <c r="H172" i="58"/>
  <c r="AB106" i="103"/>
  <c r="AB134" i="103"/>
  <c r="AB82" i="103"/>
  <c r="AO300" i="22"/>
  <c r="AB92" i="103"/>
  <c r="H139" i="58"/>
  <c r="AE191" i="22"/>
  <c r="R190" i="58"/>
  <c r="L190" i="58" s="1"/>
  <c r="H190" i="58" s="1"/>
  <c r="CH190" i="103"/>
  <c r="CF190" i="103" s="1"/>
  <c r="X233" i="103"/>
  <c r="C233" i="103"/>
  <c r="AE112" i="22"/>
  <c r="R111" i="58"/>
  <c r="L111" i="58" s="1"/>
  <c r="H111" i="58" s="1"/>
  <c r="CH111" i="103"/>
  <c r="X289" i="103"/>
  <c r="C289" i="103"/>
  <c r="W289" i="103" s="1"/>
  <c r="CJ224" i="103"/>
  <c r="X360" i="103"/>
  <c r="C360" i="103"/>
  <c r="H22" i="58"/>
  <c r="C127" i="13"/>
  <c r="X167" i="103"/>
  <c r="C167" i="103"/>
  <c r="H348" i="58"/>
  <c r="CJ112" i="103"/>
  <c r="Q388" i="58"/>
  <c r="L378" i="103"/>
  <c r="X270" i="103"/>
  <c r="C270" i="103"/>
  <c r="X45" i="103"/>
  <c r="C45" i="103"/>
  <c r="O98" i="13"/>
  <c r="M380" i="103"/>
  <c r="J131" i="103"/>
  <c r="X241" i="103"/>
  <c r="C241" i="103"/>
  <c r="CK96" i="103"/>
  <c r="CL377" i="103"/>
  <c r="O44" i="13"/>
  <c r="O101" i="13"/>
  <c r="AE164" i="22"/>
  <c r="R163" i="58"/>
  <c r="L163" i="58" s="1"/>
  <c r="H163" i="58" s="1"/>
  <c r="CH163" i="103"/>
  <c r="AB300" i="103"/>
  <c r="G386" i="58"/>
  <c r="G399" i="58"/>
  <c r="C129" i="13"/>
  <c r="AB145" i="103"/>
  <c r="X362" i="103"/>
  <c r="C362" i="103"/>
  <c r="AE218" i="22"/>
  <c r="R217" i="58"/>
  <c r="L217" i="58" s="1"/>
  <c r="H217" i="58" s="1"/>
  <c r="CH217" i="103"/>
  <c r="CF217" i="103" s="1"/>
  <c r="CM385" i="103"/>
  <c r="CG284" i="103"/>
  <c r="AE189" i="22"/>
  <c r="R188" i="58"/>
  <c r="L188" i="58" s="1"/>
  <c r="H188" i="58" s="1"/>
  <c r="CH188" i="103"/>
  <c r="CF188" i="103" s="1"/>
  <c r="CM377" i="103"/>
  <c r="CG42" i="103"/>
  <c r="H26" i="58"/>
  <c r="AB57" i="103"/>
  <c r="C148" i="13"/>
  <c r="O89" i="13"/>
  <c r="AB228" i="103"/>
  <c r="Y384" i="58"/>
  <c r="AA254" i="58"/>
  <c r="AC254" i="58"/>
  <c r="AB254" i="58"/>
  <c r="Z254" i="58"/>
  <c r="X309" i="103"/>
  <c r="C309" i="103"/>
  <c r="CK95" i="103"/>
  <c r="X235" i="103"/>
  <c r="C235" i="103"/>
  <c r="AB34" i="103"/>
  <c r="P269" i="67"/>
  <c r="BL261" i="103"/>
  <c r="X121" i="103"/>
  <c r="C121" i="103"/>
  <c r="L230" i="67"/>
  <c r="X177" i="103"/>
  <c r="C177" i="103"/>
  <c r="AO204" i="22"/>
  <c r="R209" i="67"/>
  <c r="AB215" i="103"/>
  <c r="X151" i="103"/>
  <c r="C151" i="103"/>
  <c r="X374" i="103"/>
  <c r="C374" i="103"/>
  <c r="AB60" i="103"/>
  <c r="X354" i="103"/>
  <c r="C354" i="103"/>
  <c r="N183" i="13" s="1"/>
  <c r="X44" i="103"/>
  <c r="C44" i="103"/>
  <c r="AB230" i="103"/>
  <c r="H233" i="58"/>
  <c r="J17" i="53"/>
  <c r="X80" i="103"/>
  <c r="C80" i="103"/>
  <c r="H106" i="58"/>
  <c r="AB22" i="103"/>
  <c r="N401" i="58"/>
  <c r="H146" i="58"/>
  <c r="G392" i="58"/>
  <c r="G379" i="58"/>
  <c r="H200" i="58"/>
  <c r="AB61" i="103"/>
  <c r="AB196" i="103"/>
  <c r="H157" i="58"/>
  <c r="G378" i="58"/>
  <c r="G391" i="58"/>
  <c r="AE115" i="22"/>
  <c r="R114" i="58"/>
  <c r="L114" i="58" s="1"/>
  <c r="H114" i="58" s="1"/>
  <c r="CH114" i="103"/>
  <c r="AB81" i="103"/>
  <c r="M387" i="103"/>
  <c r="J345" i="103"/>
  <c r="H73" i="58"/>
  <c r="AE144" i="22"/>
  <c r="R143" i="58"/>
  <c r="L143" i="58" s="1"/>
  <c r="H143" i="58" s="1"/>
  <c r="CH143" i="103"/>
  <c r="AB279" i="103"/>
  <c r="N9" i="13"/>
  <c r="P9" i="13" s="1"/>
  <c r="AB197" i="103"/>
  <c r="X231" i="103"/>
  <c r="C231" i="103"/>
  <c r="AB97" i="103"/>
  <c r="AB299" i="103"/>
  <c r="X306" i="103"/>
  <c r="C306" i="103"/>
  <c r="AB255" i="103"/>
  <c r="AO376" i="22"/>
  <c r="R386" i="67"/>
  <c r="H19" i="58"/>
  <c r="H118" i="58"/>
  <c r="AB46" i="103"/>
  <c r="X55" i="103"/>
  <c r="C55" i="103"/>
  <c r="AB292" i="103"/>
  <c r="J12" i="53"/>
  <c r="X225" i="103"/>
  <c r="C225" i="103"/>
  <c r="AB293" i="103"/>
  <c r="X67" i="103"/>
  <c r="C67" i="103"/>
  <c r="H123" i="58"/>
  <c r="G398" i="58"/>
  <c r="G385" i="58"/>
  <c r="H71" i="58"/>
  <c r="CG387" i="103"/>
  <c r="AB28" i="103"/>
  <c r="X105" i="103"/>
  <c r="C105" i="103"/>
  <c r="H28" i="58"/>
  <c r="AB199" i="103"/>
  <c r="AB126" i="103"/>
  <c r="F381" i="103"/>
  <c r="F397" i="103"/>
  <c r="X162" i="103"/>
  <c r="C162" i="103"/>
  <c r="X319" i="103"/>
  <c r="C319" i="103"/>
  <c r="X173" i="103"/>
  <c r="C173" i="103"/>
  <c r="X134" i="103"/>
  <c r="C134" i="103"/>
  <c r="W134" i="103" s="1"/>
  <c r="X82" i="103"/>
  <c r="C82" i="103"/>
  <c r="X92" i="103"/>
  <c r="C92" i="103"/>
  <c r="AB51" i="103"/>
  <c r="AB119" i="103"/>
  <c r="AO225" i="22"/>
  <c r="R231" i="67"/>
  <c r="X350" i="103"/>
  <c r="C350" i="103"/>
  <c r="R315" i="58"/>
  <c r="AM386" i="103"/>
  <c r="CH315" i="103"/>
  <c r="Q401" i="58"/>
  <c r="X269" i="103"/>
  <c r="C269" i="103"/>
  <c r="M378" i="103"/>
  <c r="J70" i="103"/>
  <c r="AB282" i="103"/>
  <c r="E380" i="103"/>
  <c r="AB131" i="103"/>
  <c r="AB40" i="103"/>
  <c r="AB205" i="103"/>
  <c r="AB214" i="103"/>
  <c r="X324" i="103"/>
  <c r="C324" i="103"/>
  <c r="CO275" i="103"/>
  <c r="X325" i="103"/>
  <c r="C325" i="103"/>
  <c r="AB84" i="103"/>
  <c r="AB243" i="103"/>
  <c r="AE42" i="22"/>
  <c r="R41" i="58"/>
  <c r="L41" i="58" s="1"/>
  <c r="H41" i="58" s="1"/>
  <c r="CH41" i="103"/>
  <c r="AB71" i="103"/>
  <c r="Y381" i="58"/>
  <c r="Z162" i="58"/>
  <c r="AC162" i="58"/>
  <c r="AB162" i="58"/>
  <c r="AA162" i="58"/>
  <c r="X348" i="103"/>
  <c r="C348" i="103"/>
  <c r="X183" i="103"/>
  <c r="C183" i="103"/>
  <c r="O401" i="58"/>
  <c r="X328" i="103"/>
  <c r="C328" i="103"/>
  <c r="AB165" i="103"/>
  <c r="AB278" i="103"/>
  <c r="R354" i="58"/>
  <c r="L354" i="58" s="1"/>
  <c r="H354" i="58" s="1"/>
  <c r="CH354" i="103"/>
  <c r="AO165" i="22" l="1"/>
  <c r="R169" i="67"/>
  <c r="CF163" i="103"/>
  <c r="CJ162" i="103"/>
  <c r="R161" i="67"/>
  <c r="AO149" i="22"/>
  <c r="AO136" i="22"/>
  <c r="R157" i="67"/>
  <c r="R140" i="67"/>
  <c r="AO155" i="22"/>
  <c r="AO140" i="22"/>
  <c r="AO141" i="22"/>
  <c r="AO159" i="22"/>
  <c r="R126" i="67"/>
  <c r="AO142" i="22"/>
  <c r="AO160" i="22"/>
  <c r="AO126" i="22"/>
  <c r="R146" i="67"/>
  <c r="AO129" i="22"/>
  <c r="AO146" i="22"/>
  <c r="AO131" i="22"/>
  <c r="AO147" i="22"/>
  <c r="AO150" i="22"/>
  <c r="W161" i="103"/>
  <c r="BN161" i="103" s="1"/>
  <c r="CF161" i="103"/>
  <c r="AO162" i="22" s="1"/>
  <c r="R162" i="67"/>
  <c r="AO154" i="22"/>
  <c r="R163" i="67"/>
  <c r="R158" i="67"/>
  <c r="BA159" i="103"/>
  <c r="W159" i="103"/>
  <c r="Y159" i="103" s="1"/>
  <c r="R153" i="67"/>
  <c r="W157" i="103"/>
  <c r="Y157" i="103" s="1"/>
  <c r="BA157" i="103"/>
  <c r="R152" i="67"/>
  <c r="W156" i="103"/>
  <c r="BN156" i="103" s="1"/>
  <c r="CF156" i="103"/>
  <c r="W155" i="103"/>
  <c r="BN155" i="103" s="1"/>
  <c r="CF155" i="103"/>
  <c r="W154" i="103"/>
  <c r="BN154" i="103" s="1"/>
  <c r="W153" i="103"/>
  <c r="BN153" i="103" s="1"/>
  <c r="W152" i="103"/>
  <c r="BP152" i="103" s="1"/>
  <c r="CF152" i="103"/>
  <c r="W151" i="103"/>
  <c r="Y151" i="103" s="1"/>
  <c r="W150" i="103"/>
  <c r="Y150" i="103" s="1"/>
  <c r="BA150" i="103"/>
  <c r="CF150" i="103"/>
  <c r="AO143" i="22"/>
  <c r="W149" i="103"/>
  <c r="BN149" i="103" s="1"/>
  <c r="R149" i="67"/>
  <c r="R150" i="67"/>
  <c r="W148" i="103"/>
  <c r="Y148" i="103" s="1"/>
  <c r="W147" i="103"/>
  <c r="BO147" i="103" s="1"/>
  <c r="CF147" i="103"/>
  <c r="R145" i="67"/>
  <c r="W146" i="103"/>
  <c r="BN146" i="103" s="1"/>
  <c r="R143" i="67"/>
  <c r="W145" i="103"/>
  <c r="BN145" i="103" s="1"/>
  <c r="W144" i="103"/>
  <c r="BN144" i="103" s="1"/>
  <c r="AO137" i="22"/>
  <c r="CF144" i="103"/>
  <c r="R144" i="67"/>
  <c r="W143" i="103"/>
  <c r="BP143" i="103" s="1"/>
  <c r="CF143" i="103"/>
  <c r="R139" i="67"/>
  <c r="W142" i="103"/>
  <c r="Y142" i="103" s="1"/>
  <c r="CF138" i="103"/>
  <c r="CF137" i="103"/>
  <c r="R131" i="67"/>
  <c r="CF134" i="103"/>
  <c r="W133" i="103"/>
  <c r="Y133" i="103" s="1"/>
  <c r="R133" i="67"/>
  <c r="W132" i="103"/>
  <c r="BO132" i="103" s="1"/>
  <c r="CF132" i="103"/>
  <c r="AO124" i="22"/>
  <c r="B140" i="13"/>
  <c r="C140" i="13"/>
  <c r="G147" i="13" s="1"/>
  <c r="R128" i="67"/>
  <c r="AO119" i="22"/>
  <c r="AO103" i="22"/>
  <c r="R122" i="67"/>
  <c r="AO105" i="22"/>
  <c r="AO106" i="22"/>
  <c r="AO123" i="22"/>
  <c r="R110" i="67"/>
  <c r="AO113" i="22"/>
  <c r="AO114" i="22"/>
  <c r="AO116" i="22"/>
  <c r="R119" i="67"/>
  <c r="CF129" i="103"/>
  <c r="CF126" i="103"/>
  <c r="R125" i="67"/>
  <c r="CF124" i="103"/>
  <c r="AO117" i="22"/>
  <c r="AO120" i="22"/>
  <c r="BA122" i="103"/>
  <c r="R121" i="67"/>
  <c r="R118" i="67"/>
  <c r="R116" i="67"/>
  <c r="CF121" i="103"/>
  <c r="R115" i="67"/>
  <c r="CF120" i="103"/>
  <c r="AO108" i="22"/>
  <c r="CF117" i="103"/>
  <c r="BA116" i="103"/>
  <c r="BA114" i="103"/>
  <c r="CF114" i="103"/>
  <c r="CF111" i="103"/>
  <c r="R108" i="67"/>
  <c r="BA110" i="103"/>
  <c r="R107" i="67"/>
  <c r="CF109" i="103"/>
  <c r="CF108" i="103"/>
  <c r="R105" i="67"/>
  <c r="W102" i="103"/>
  <c r="BN102" i="103" s="1"/>
  <c r="E17" i="62"/>
  <c r="N17" i="62"/>
  <c r="D18" i="62"/>
  <c r="G18" i="62"/>
  <c r="H18" i="62" s="1"/>
  <c r="F18" i="62"/>
  <c r="C18" i="62"/>
  <c r="I18" i="62"/>
  <c r="J18" i="62" s="1"/>
  <c r="M18" i="62"/>
  <c r="O18" i="62"/>
  <c r="K18" i="62"/>
  <c r="AO101" i="22"/>
  <c r="R102" i="67"/>
  <c r="AO79" i="22"/>
  <c r="AO100" i="22"/>
  <c r="R82" i="67"/>
  <c r="AO67" i="22"/>
  <c r="R85" i="67"/>
  <c r="AO69" i="22"/>
  <c r="AO85" i="22"/>
  <c r="R87" i="67"/>
  <c r="AO87" i="22"/>
  <c r="AO74" i="22"/>
  <c r="AO72" i="22"/>
  <c r="AO89" i="22"/>
  <c r="AO76" i="22"/>
  <c r="AO94" i="22"/>
  <c r="R99" i="67"/>
  <c r="R95" i="67"/>
  <c r="R101" i="67"/>
  <c r="AO98" i="22"/>
  <c r="CF98" i="103"/>
  <c r="BA97" i="103"/>
  <c r="CF96" i="103"/>
  <c r="R90" i="67"/>
  <c r="CF95" i="103"/>
  <c r="CF94" i="103"/>
  <c r="R86" i="67"/>
  <c r="AO86" i="22"/>
  <c r="CF91" i="103"/>
  <c r="CF90" i="103"/>
  <c r="R88" i="67"/>
  <c r="BA89" i="103"/>
  <c r="AO84" i="22"/>
  <c r="CF87" i="103"/>
  <c r="W86" i="103"/>
  <c r="Y86" i="103" s="1"/>
  <c r="AO81" i="22"/>
  <c r="R80" i="67"/>
  <c r="R77" i="67"/>
  <c r="BI82" i="103"/>
  <c r="CF81" i="103"/>
  <c r="R75" i="67"/>
  <c r="CF79" i="103"/>
  <c r="CF77" i="103"/>
  <c r="CF76" i="103"/>
  <c r="CP388" i="103"/>
  <c r="R69" i="67"/>
  <c r="BA70" i="103"/>
  <c r="CQ378" i="103"/>
  <c r="R73" i="67"/>
  <c r="BA72" i="103"/>
  <c r="R67" i="67"/>
  <c r="CF72" i="103"/>
  <c r="CJ70" i="103"/>
  <c r="I72" i="67" s="1"/>
  <c r="AO41" i="22"/>
  <c r="AO60" i="22"/>
  <c r="AO46" i="22"/>
  <c r="AO61" i="22"/>
  <c r="R47" i="67"/>
  <c r="AO62" i="22"/>
  <c r="AO48" i="22"/>
  <c r="R63" i="67"/>
  <c r="R65" i="67"/>
  <c r="R49" i="67"/>
  <c r="AO51" i="22"/>
  <c r="AO52" i="22"/>
  <c r="AO66" i="22"/>
  <c r="AO44" i="22"/>
  <c r="AO45" i="22"/>
  <c r="R58" i="67"/>
  <c r="R66" i="67"/>
  <c r="CF69" i="103"/>
  <c r="AO65" i="22"/>
  <c r="CF67" i="103"/>
  <c r="AO63" i="22"/>
  <c r="W66" i="103"/>
  <c r="Y66" i="103" s="1"/>
  <c r="R62" i="67"/>
  <c r="W65" i="103"/>
  <c r="BP65" i="103" s="1"/>
  <c r="CF63" i="103"/>
  <c r="R61" i="67"/>
  <c r="BA62" i="103"/>
  <c r="AO58" i="22"/>
  <c r="R60" i="67"/>
  <c r="BA60" i="103"/>
  <c r="R51" i="67"/>
  <c r="CF58" i="103"/>
  <c r="AO56" i="22"/>
  <c r="R56" i="67"/>
  <c r="AO49" i="22"/>
  <c r="R52" i="67"/>
  <c r="CF53" i="103"/>
  <c r="CJ52" i="103"/>
  <c r="I53" i="67" s="1"/>
  <c r="R48" i="67"/>
  <c r="AO47" i="22"/>
  <c r="R46" i="67"/>
  <c r="R45" i="67"/>
  <c r="R44" i="67"/>
  <c r="P38" i="67"/>
  <c r="R40" i="67"/>
  <c r="AO40" i="22"/>
  <c r="AO29" i="22"/>
  <c r="AO16" i="22"/>
  <c r="AO19" i="22"/>
  <c r="R19" i="67"/>
  <c r="AO39" i="22"/>
  <c r="CF41" i="103"/>
  <c r="BA40" i="103"/>
  <c r="R38" i="67"/>
  <c r="BL37" i="103"/>
  <c r="R39" i="67"/>
  <c r="W37" i="103"/>
  <c r="BO37" i="103" s="1"/>
  <c r="CF37" i="103"/>
  <c r="BA36" i="103"/>
  <c r="W36" i="103"/>
  <c r="Y36" i="103" s="1"/>
  <c r="CF36" i="103"/>
  <c r="BA34" i="103"/>
  <c r="BA33" i="103"/>
  <c r="CF30" i="103"/>
  <c r="AO30" i="22"/>
  <c r="R29" i="67"/>
  <c r="R28" i="67"/>
  <c r="BA28" i="103"/>
  <c r="BA25" i="103"/>
  <c r="CF25" i="103"/>
  <c r="BA24" i="103"/>
  <c r="CF24" i="103"/>
  <c r="AO20" i="22"/>
  <c r="R18" i="67"/>
  <c r="CF21" i="103"/>
  <c r="R15" i="67"/>
  <c r="AO17" i="22"/>
  <c r="R16" i="67"/>
  <c r="AO15" i="22"/>
  <c r="R14" i="67"/>
  <c r="BA13" i="103"/>
  <c r="CF12" i="103"/>
  <c r="CR376" i="103"/>
  <c r="CR388" i="103" s="1"/>
  <c r="F6" i="104"/>
  <c r="G6" i="104" s="1"/>
  <c r="AO345" i="22"/>
  <c r="AE350" i="22"/>
  <c r="AO364" i="22"/>
  <c r="AO351" i="22"/>
  <c r="I375" i="67"/>
  <c r="AO366" i="22"/>
  <c r="R362" i="67"/>
  <c r="R378" i="67"/>
  <c r="AO354" i="22"/>
  <c r="AO369" i="22"/>
  <c r="AO357" i="22"/>
  <c r="AO358" i="22"/>
  <c r="I380" i="67"/>
  <c r="AO359" i="22"/>
  <c r="I357" i="67"/>
  <c r="R370" i="67"/>
  <c r="AO372" i="22"/>
  <c r="AO361" i="22"/>
  <c r="AO349" i="22"/>
  <c r="AO363" i="22"/>
  <c r="BA375" i="103"/>
  <c r="N204" i="13"/>
  <c r="R384" i="67"/>
  <c r="R383" i="67"/>
  <c r="R382" i="67"/>
  <c r="AE371" i="22"/>
  <c r="N203" i="13"/>
  <c r="BA372" i="103"/>
  <c r="N201" i="13"/>
  <c r="N200" i="13"/>
  <c r="AE370" i="22"/>
  <c r="AO368" i="22"/>
  <c r="BA370" i="103"/>
  <c r="N199" i="13"/>
  <c r="R379" i="67"/>
  <c r="N198" i="13"/>
  <c r="R376" i="67"/>
  <c r="N197" i="13"/>
  <c r="R374" i="67"/>
  <c r="AE365" i="22"/>
  <c r="N196" i="13"/>
  <c r="BA366" i="103"/>
  <c r="N195" i="13"/>
  <c r="CF366" i="103"/>
  <c r="N194" i="13"/>
  <c r="R371" i="67"/>
  <c r="BA364" i="103"/>
  <c r="N193" i="13"/>
  <c r="R369" i="67"/>
  <c r="AO360" i="22"/>
  <c r="N192" i="13"/>
  <c r="R373" i="67"/>
  <c r="N191" i="13"/>
  <c r="R368" i="67"/>
  <c r="N190" i="13"/>
  <c r="BA361" i="103"/>
  <c r="R367" i="67"/>
  <c r="CF361" i="103"/>
  <c r="R364" i="67"/>
  <c r="N189" i="13"/>
  <c r="AO352" i="22"/>
  <c r="N188" i="13"/>
  <c r="N185" i="13"/>
  <c r="CF354" i="103"/>
  <c r="BA352" i="103"/>
  <c r="N181" i="13"/>
  <c r="CF352" i="103"/>
  <c r="I360" i="67"/>
  <c r="N180" i="13"/>
  <c r="R361" i="67"/>
  <c r="N179" i="13"/>
  <c r="R359" i="67"/>
  <c r="N178" i="13"/>
  <c r="BA349" i="103"/>
  <c r="N177" i="13"/>
  <c r="AE347" i="22"/>
  <c r="N176" i="13"/>
  <c r="N175" i="13"/>
  <c r="O174" i="13"/>
  <c r="S181" i="13" s="1"/>
  <c r="N174" i="13"/>
  <c r="AC387" i="58"/>
  <c r="M345" i="58"/>
  <c r="AB387" i="58"/>
  <c r="K345" i="58"/>
  <c r="AA387" i="58"/>
  <c r="J345" i="58"/>
  <c r="Z387" i="58"/>
  <c r="I345" i="58"/>
  <c r="BI347" i="103"/>
  <c r="BJ347" i="103"/>
  <c r="BI356" i="103"/>
  <c r="BJ356" i="103"/>
  <c r="BI352" i="103"/>
  <c r="BJ352" i="103"/>
  <c r="BI362" i="103"/>
  <c r="BJ362" i="103"/>
  <c r="BI366" i="103"/>
  <c r="BJ366" i="103"/>
  <c r="BI355" i="103"/>
  <c r="BJ355" i="103"/>
  <c r="BI361" i="103"/>
  <c r="BJ361" i="103"/>
  <c r="BI372" i="103"/>
  <c r="BJ372" i="103"/>
  <c r="BI360" i="103"/>
  <c r="BJ360" i="103"/>
  <c r="BI367" i="103"/>
  <c r="BJ367" i="103"/>
  <c r="BI375" i="103"/>
  <c r="BJ375" i="103"/>
  <c r="BI349" i="103"/>
  <c r="BJ349" i="103"/>
  <c r="BI365" i="103"/>
  <c r="BJ365" i="103"/>
  <c r="BI350" i="103"/>
  <c r="BJ350" i="103"/>
  <c r="BI354" i="103"/>
  <c r="BJ354" i="103"/>
  <c r="BI359" i="103"/>
  <c r="BJ359" i="103"/>
  <c r="BI348" i="103"/>
  <c r="BJ348" i="103"/>
  <c r="BI364" i="103"/>
  <c r="BJ364" i="103"/>
  <c r="BI357" i="103"/>
  <c r="BJ357" i="103"/>
  <c r="BI358" i="103"/>
  <c r="BJ358" i="103"/>
  <c r="BI346" i="103"/>
  <c r="BJ346" i="103"/>
  <c r="BI363" i="103"/>
  <c r="BJ363" i="103"/>
  <c r="BI353" i="103"/>
  <c r="BJ353" i="103"/>
  <c r="BI351" i="103"/>
  <c r="BJ351" i="103"/>
  <c r="BI370" i="103"/>
  <c r="BJ370" i="103"/>
  <c r="BI374" i="103"/>
  <c r="BJ374" i="103"/>
  <c r="BI368" i="103"/>
  <c r="BJ368" i="103"/>
  <c r="BI369" i="103"/>
  <c r="BJ369" i="103"/>
  <c r="BI371" i="103"/>
  <c r="BJ371" i="103"/>
  <c r="BI373" i="103"/>
  <c r="BJ373" i="103"/>
  <c r="BI345" i="103"/>
  <c r="BJ345" i="103"/>
  <c r="R354" i="67"/>
  <c r="R18" i="62"/>
  <c r="S18" i="62" s="1"/>
  <c r="N169" i="13"/>
  <c r="AO331" i="22"/>
  <c r="AO337" i="22"/>
  <c r="AO335" i="22"/>
  <c r="I341" i="67"/>
  <c r="AO342" i="22"/>
  <c r="AL139" i="23"/>
  <c r="I348" i="67"/>
  <c r="AQ328" i="22"/>
  <c r="R342" i="67"/>
  <c r="AO336" i="22"/>
  <c r="AL126" i="23"/>
  <c r="CF343" i="103"/>
  <c r="R351" i="67"/>
  <c r="N167" i="13"/>
  <c r="CF342" i="103"/>
  <c r="AE339" i="22"/>
  <c r="BI341" i="103"/>
  <c r="N166" i="13"/>
  <c r="CF340" i="103"/>
  <c r="BI340" i="103"/>
  <c r="N165" i="13"/>
  <c r="CF339" i="103"/>
  <c r="BI339" i="103"/>
  <c r="N164" i="13"/>
  <c r="BI338" i="103"/>
  <c r="N163" i="13"/>
  <c r="BA337" i="103"/>
  <c r="R346" i="67"/>
  <c r="CF337" i="103"/>
  <c r="N162" i="13"/>
  <c r="BI337" i="103"/>
  <c r="N161" i="13"/>
  <c r="BI336" i="103"/>
  <c r="N160" i="13"/>
  <c r="BI335" i="103"/>
  <c r="R345" i="67"/>
  <c r="R344" i="67"/>
  <c r="AO333" i="22"/>
  <c r="BA334" i="103"/>
  <c r="N159" i="13"/>
  <c r="BA333" i="103"/>
  <c r="N158" i="13"/>
  <c r="CF333" i="103"/>
  <c r="AE332" i="22"/>
  <c r="N157" i="13"/>
  <c r="R340" i="67"/>
  <c r="N156" i="13"/>
  <c r="N155" i="13"/>
  <c r="N154" i="13"/>
  <c r="AQ329" i="22"/>
  <c r="CJ339" i="103"/>
  <c r="CJ340" i="103"/>
  <c r="CJ337" i="103"/>
  <c r="N153" i="13"/>
  <c r="CJ342" i="103"/>
  <c r="CF328" i="103"/>
  <c r="O33" i="64"/>
  <c r="AL138" i="23"/>
  <c r="C17" i="104"/>
  <c r="O39" i="64"/>
  <c r="P39" i="64" s="1"/>
  <c r="C25" i="104"/>
  <c r="O34" i="64"/>
  <c r="P34" i="64" s="1"/>
  <c r="CF327" i="103"/>
  <c r="C24" i="104"/>
  <c r="BI105" i="103"/>
  <c r="BJ105" i="103"/>
  <c r="B11" i="13"/>
  <c r="BI18" i="103"/>
  <c r="BJ18" i="103"/>
  <c r="BI182" i="103"/>
  <c r="BM182" i="103" s="1"/>
  <c r="BJ182" i="103"/>
  <c r="B116" i="13"/>
  <c r="BI111" i="103"/>
  <c r="BJ111" i="103"/>
  <c r="BI42" i="103"/>
  <c r="BJ42" i="103"/>
  <c r="BI326" i="103"/>
  <c r="BJ326" i="103"/>
  <c r="BI184" i="103"/>
  <c r="BM184" i="103" s="1"/>
  <c r="BJ184" i="103"/>
  <c r="BI35" i="103"/>
  <c r="BJ35" i="103"/>
  <c r="BI316" i="103"/>
  <c r="BJ316" i="103"/>
  <c r="B96" i="13"/>
  <c r="BI94" i="103"/>
  <c r="BJ94" i="103"/>
  <c r="BI178" i="103"/>
  <c r="BM178" i="103" s="1"/>
  <c r="BJ178" i="103"/>
  <c r="BJ341" i="103"/>
  <c r="N29" i="13"/>
  <c r="P29" i="13" s="1"/>
  <c r="BI217" i="103"/>
  <c r="BJ217" i="103"/>
  <c r="BI246" i="103"/>
  <c r="BJ246" i="103"/>
  <c r="BI107" i="103"/>
  <c r="BJ107" i="103"/>
  <c r="BI240" i="103"/>
  <c r="BJ240" i="103"/>
  <c r="B128" i="13"/>
  <c r="BI123" i="103"/>
  <c r="BJ123" i="103"/>
  <c r="B56" i="13"/>
  <c r="BI60" i="103"/>
  <c r="BJ60" i="103"/>
  <c r="B27" i="13"/>
  <c r="BI34" i="103"/>
  <c r="BJ34" i="103"/>
  <c r="N98" i="13"/>
  <c r="BI280" i="103"/>
  <c r="BJ280" i="103"/>
  <c r="BJ335" i="103"/>
  <c r="BI173" i="103"/>
  <c r="BM173" i="103" s="1"/>
  <c r="BJ173" i="103"/>
  <c r="BI235" i="103"/>
  <c r="BJ235" i="103"/>
  <c r="N88" i="13"/>
  <c r="BI270" i="103"/>
  <c r="BJ270" i="103"/>
  <c r="N15" i="13"/>
  <c r="P15" i="13" s="1"/>
  <c r="BI203" i="103"/>
  <c r="BJ203" i="103"/>
  <c r="BI344" i="103"/>
  <c r="BJ344" i="103"/>
  <c r="B121" i="13"/>
  <c r="BI116" i="103"/>
  <c r="BJ116" i="103"/>
  <c r="BI321" i="103"/>
  <c r="BJ321" i="103"/>
  <c r="BI43" i="103"/>
  <c r="BJ43" i="103"/>
  <c r="BI273" i="103"/>
  <c r="BJ273" i="103"/>
  <c r="B184" i="13"/>
  <c r="BI172" i="103"/>
  <c r="BM172" i="103" s="1"/>
  <c r="BJ172" i="103"/>
  <c r="N72" i="13"/>
  <c r="BI254" i="103"/>
  <c r="BJ254" i="103"/>
  <c r="BI188" i="103"/>
  <c r="BM188" i="103" s="1"/>
  <c r="BJ188" i="103"/>
  <c r="N16" i="13"/>
  <c r="P16" i="13" s="1"/>
  <c r="BI204" i="103"/>
  <c r="BJ204" i="103"/>
  <c r="B201" i="13"/>
  <c r="BI189" i="103"/>
  <c r="BM189" i="103" s="1"/>
  <c r="BJ189" i="103"/>
  <c r="BI73" i="103"/>
  <c r="BJ73" i="103"/>
  <c r="BI93" i="103"/>
  <c r="BJ93" i="103"/>
  <c r="BI315" i="103"/>
  <c r="BJ315" i="103"/>
  <c r="BI12" i="103"/>
  <c r="BJ12" i="103"/>
  <c r="BI281" i="103"/>
  <c r="BJ281" i="103"/>
  <c r="N11" i="13"/>
  <c r="P11" i="13" s="1"/>
  <c r="BI199" i="103"/>
  <c r="BJ199" i="103"/>
  <c r="B177" i="13"/>
  <c r="BI165" i="103"/>
  <c r="BJ165" i="103"/>
  <c r="B127" i="13"/>
  <c r="BI122" i="103"/>
  <c r="BJ122" i="103"/>
  <c r="BI325" i="103"/>
  <c r="BJ325" i="103"/>
  <c r="N85" i="13"/>
  <c r="BI267" i="103"/>
  <c r="BJ267" i="103"/>
  <c r="BI242" i="103"/>
  <c r="BJ242" i="103"/>
  <c r="BI264" i="103"/>
  <c r="BJ264" i="103"/>
  <c r="BI164" i="103"/>
  <c r="BJ164" i="103"/>
  <c r="BI223" i="103"/>
  <c r="BJ223" i="103"/>
  <c r="BJ338" i="103"/>
  <c r="BI117" i="103"/>
  <c r="BJ117" i="103"/>
  <c r="B92" i="13"/>
  <c r="BI90" i="103"/>
  <c r="BJ90" i="103"/>
  <c r="BI327" i="103"/>
  <c r="BJ327" i="103"/>
  <c r="BI248" i="103"/>
  <c r="BJ248" i="103"/>
  <c r="BI200" i="103"/>
  <c r="BJ200" i="103"/>
  <c r="N49" i="13"/>
  <c r="BI234" i="103"/>
  <c r="BJ234" i="103"/>
  <c r="B53" i="13"/>
  <c r="BI57" i="103"/>
  <c r="BJ57" i="103"/>
  <c r="B198" i="13"/>
  <c r="BI186" i="103"/>
  <c r="BM186" i="103" s="1"/>
  <c r="BJ186" i="103"/>
  <c r="BJ337" i="103"/>
  <c r="BI319" i="103"/>
  <c r="BJ319" i="103"/>
  <c r="BI55" i="103"/>
  <c r="BJ55" i="103"/>
  <c r="BI231" i="103"/>
  <c r="BJ231" i="103"/>
  <c r="B189" i="13"/>
  <c r="BI177" i="103"/>
  <c r="BM177" i="103" s="1"/>
  <c r="BJ177" i="103"/>
  <c r="BI317" i="103"/>
  <c r="BJ317" i="103"/>
  <c r="BI179" i="103"/>
  <c r="BM179" i="103" s="1"/>
  <c r="BJ179" i="103"/>
  <c r="BI79" i="103"/>
  <c r="BJ79" i="103"/>
  <c r="B12" i="13"/>
  <c r="BI19" i="103"/>
  <c r="BJ19" i="103"/>
  <c r="B114" i="13"/>
  <c r="BI109" i="103"/>
  <c r="BJ109" i="103"/>
  <c r="B74" i="13"/>
  <c r="BI72" i="103"/>
  <c r="BJ72" i="103"/>
  <c r="B193" i="13"/>
  <c r="BI181" i="103"/>
  <c r="BM181" i="103" s="1"/>
  <c r="BJ181" i="103"/>
  <c r="BI110" i="103"/>
  <c r="BJ110" i="103"/>
  <c r="B130" i="13"/>
  <c r="BI125" i="103"/>
  <c r="BJ125" i="103"/>
  <c r="BI176" i="103"/>
  <c r="BM176" i="103" s="1"/>
  <c r="BJ176" i="103"/>
  <c r="BI124" i="103"/>
  <c r="BJ124" i="103"/>
  <c r="BI128" i="103"/>
  <c r="BJ128" i="103"/>
  <c r="N30" i="13"/>
  <c r="P30" i="13" s="1"/>
  <c r="BI218" i="103"/>
  <c r="BJ218" i="103"/>
  <c r="N25" i="13"/>
  <c r="P25" i="13" s="1"/>
  <c r="BI213" i="103"/>
  <c r="BJ213" i="103"/>
  <c r="BI115" i="103"/>
  <c r="BJ115" i="103"/>
  <c r="BI87" i="103"/>
  <c r="BJ87" i="103"/>
  <c r="N51" i="13"/>
  <c r="BI236" i="103"/>
  <c r="BJ236" i="103"/>
  <c r="N64" i="13"/>
  <c r="BI249" i="103"/>
  <c r="BJ249" i="103"/>
  <c r="BI52" i="103"/>
  <c r="BJ52" i="103"/>
  <c r="B60" i="13"/>
  <c r="BI64" i="103"/>
  <c r="BJ64" i="103"/>
  <c r="N68" i="13"/>
  <c r="BI253" i="103"/>
  <c r="BJ253" i="103"/>
  <c r="N58" i="13"/>
  <c r="BI243" i="103"/>
  <c r="BJ243" i="103"/>
  <c r="N17" i="13"/>
  <c r="P17" i="13" s="1"/>
  <c r="BI205" i="103"/>
  <c r="BJ205" i="103"/>
  <c r="B47" i="13"/>
  <c r="BI51" i="103"/>
  <c r="BJ51" i="103"/>
  <c r="N45" i="13"/>
  <c r="BI230" i="103"/>
  <c r="BJ230" i="103"/>
  <c r="N56" i="13"/>
  <c r="BI241" i="103"/>
  <c r="BJ241" i="103"/>
  <c r="B197" i="13"/>
  <c r="BI185" i="103"/>
  <c r="BM185" i="103" s="1"/>
  <c r="BJ185" i="103"/>
  <c r="B134" i="13"/>
  <c r="BI129" i="103"/>
  <c r="BJ129" i="103"/>
  <c r="B199" i="13"/>
  <c r="BI187" i="103"/>
  <c r="BM187" i="103" s="1"/>
  <c r="BJ187" i="103"/>
  <c r="BI271" i="103"/>
  <c r="BJ271" i="103"/>
  <c r="BI120" i="103"/>
  <c r="BJ120" i="103"/>
  <c r="BI31" i="103"/>
  <c r="BJ31" i="103"/>
  <c r="N59" i="13"/>
  <c r="BI244" i="103"/>
  <c r="BJ244" i="103"/>
  <c r="BI89" i="103"/>
  <c r="BJ89" i="103"/>
  <c r="B4" i="13"/>
  <c r="BI11" i="103"/>
  <c r="BJ11" i="103"/>
  <c r="N90" i="13"/>
  <c r="BI272" i="103"/>
  <c r="BJ272" i="103"/>
  <c r="N31" i="13"/>
  <c r="P31" i="13" s="1"/>
  <c r="BI219" i="103"/>
  <c r="BJ219" i="103"/>
  <c r="BI50" i="103"/>
  <c r="BJ50" i="103"/>
  <c r="BI41" i="103"/>
  <c r="BJ41" i="103"/>
  <c r="N84" i="13"/>
  <c r="BI266" i="103"/>
  <c r="BJ266" i="103"/>
  <c r="N97" i="13"/>
  <c r="BI279" i="103"/>
  <c r="BJ279" i="103"/>
  <c r="B183" i="13"/>
  <c r="BI171" i="103"/>
  <c r="BM171" i="103" s="1"/>
  <c r="BJ171" i="103"/>
  <c r="N47" i="13"/>
  <c r="BI232" i="103"/>
  <c r="BJ232" i="103"/>
  <c r="N87" i="13"/>
  <c r="BI269" i="103"/>
  <c r="BJ269" i="103"/>
  <c r="B174" i="13"/>
  <c r="BI162" i="103"/>
  <c r="BJ162" i="103"/>
  <c r="BI27" i="103"/>
  <c r="BJ27" i="103"/>
  <c r="BI127" i="103"/>
  <c r="BJ127" i="103"/>
  <c r="B6" i="13"/>
  <c r="BI13" i="103"/>
  <c r="BJ13" i="103"/>
  <c r="B54" i="13"/>
  <c r="BI58" i="103"/>
  <c r="BJ58" i="103"/>
  <c r="N93" i="13"/>
  <c r="BI275" i="103"/>
  <c r="BJ275" i="103"/>
  <c r="BI260" i="103"/>
  <c r="BJ260" i="103"/>
  <c r="BI193" i="103"/>
  <c r="BJ193" i="103"/>
  <c r="B77" i="13"/>
  <c r="BI75" i="103"/>
  <c r="BJ75" i="103"/>
  <c r="B59" i="13"/>
  <c r="BI63" i="103"/>
  <c r="BJ63" i="103"/>
  <c r="B19" i="13"/>
  <c r="BI26" i="103"/>
  <c r="BJ26" i="103"/>
  <c r="N34" i="13"/>
  <c r="P34" i="13" s="1"/>
  <c r="BI222" i="103"/>
  <c r="BJ222" i="103"/>
  <c r="BJ334" i="103"/>
  <c r="BI59" i="103"/>
  <c r="BJ59" i="103"/>
  <c r="BI114" i="103"/>
  <c r="BJ114" i="103"/>
  <c r="BI237" i="103"/>
  <c r="BJ237" i="103"/>
  <c r="N96" i="13"/>
  <c r="BI278" i="103"/>
  <c r="BJ278" i="103"/>
  <c r="B33" i="13"/>
  <c r="BI40" i="103"/>
  <c r="BJ40" i="103"/>
  <c r="BI322" i="103"/>
  <c r="BJ322" i="103"/>
  <c r="B15" i="13"/>
  <c r="BI22" i="103"/>
  <c r="BJ22" i="103"/>
  <c r="BI23" i="103"/>
  <c r="BJ23" i="103"/>
  <c r="B79" i="13"/>
  <c r="BI77" i="103"/>
  <c r="BJ77" i="103"/>
  <c r="BI328" i="103"/>
  <c r="BJ328" i="103"/>
  <c r="BI80" i="103"/>
  <c r="BJ80" i="103"/>
  <c r="BI121" i="103"/>
  <c r="BJ121" i="103"/>
  <c r="N65" i="13"/>
  <c r="BI250" i="103"/>
  <c r="BJ250" i="103"/>
  <c r="BI25" i="103"/>
  <c r="BJ25" i="103"/>
  <c r="B64" i="13"/>
  <c r="BI68" i="103"/>
  <c r="BJ68" i="103"/>
  <c r="BI262" i="103"/>
  <c r="BJ262" i="103"/>
  <c r="BI265" i="103"/>
  <c r="BJ265" i="103"/>
  <c r="BJ83" i="103"/>
  <c r="BI69" i="103"/>
  <c r="BJ69" i="103"/>
  <c r="BJ332" i="103"/>
  <c r="BI229" i="103"/>
  <c r="BJ229" i="103"/>
  <c r="B22" i="13"/>
  <c r="BI29" i="103"/>
  <c r="BJ29" i="103"/>
  <c r="B9" i="13"/>
  <c r="BI16" i="103"/>
  <c r="BJ16" i="103"/>
  <c r="B117" i="13"/>
  <c r="BI112" i="103"/>
  <c r="BJ112" i="103"/>
  <c r="N94" i="13"/>
  <c r="BI276" i="103"/>
  <c r="BJ276" i="103"/>
  <c r="BI259" i="103"/>
  <c r="BJ259" i="103"/>
  <c r="B76" i="13"/>
  <c r="BI74" i="103"/>
  <c r="BJ74" i="103"/>
  <c r="B100" i="13"/>
  <c r="BI98" i="103"/>
  <c r="BJ98" i="103"/>
  <c r="B21" i="13"/>
  <c r="BI28" i="103"/>
  <c r="BJ28" i="103"/>
  <c r="B42" i="13"/>
  <c r="BI46" i="103"/>
  <c r="BJ46" i="103"/>
  <c r="BI24" i="103"/>
  <c r="BJ24" i="103"/>
  <c r="N32" i="13"/>
  <c r="P32" i="13" s="1"/>
  <c r="BI220" i="103"/>
  <c r="BJ220" i="103"/>
  <c r="BI324" i="103"/>
  <c r="BJ324" i="103"/>
  <c r="BI92" i="103"/>
  <c r="BJ92" i="103"/>
  <c r="N81" i="13"/>
  <c r="BI263" i="103"/>
  <c r="BJ263" i="103"/>
  <c r="BI192" i="103"/>
  <c r="BJ192" i="103"/>
  <c r="BI62" i="103"/>
  <c r="BJ62" i="103"/>
  <c r="BI54" i="103"/>
  <c r="BJ54" i="103"/>
  <c r="BI33" i="103"/>
  <c r="BJ33" i="103"/>
  <c r="BI118" i="103"/>
  <c r="BJ118" i="103"/>
  <c r="BI239" i="103"/>
  <c r="BJ239" i="103"/>
  <c r="BI96" i="103"/>
  <c r="BJ96" i="103"/>
  <c r="BI252" i="103"/>
  <c r="BJ252" i="103"/>
  <c r="BI342" i="103"/>
  <c r="BJ342" i="103"/>
  <c r="N18" i="13"/>
  <c r="P18" i="13" s="1"/>
  <c r="BI206" i="103"/>
  <c r="BJ206" i="103"/>
  <c r="BI32" i="103"/>
  <c r="BJ32" i="103"/>
  <c r="BI195" i="103"/>
  <c r="BJ195" i="103"/>
  <c r="BI212" i="103"/>
  <c r="BJ212" i="103"/>
  <c r="N73" i="13"/>
  <c r="BI255" i="103"/>
  <c r="BJ255" i="103"/>
  <c r="BI67" i="103"/>
  <c r="BJ67" i="103"/>
  <c r="BI198" i="103"/>
  <c r="BJ198" i="103"/>
  <c r="B7" i="13"/>
  <c r="BI14" i="103"/>
  <c r="BJ14" i="103"/>
  <c r="N22" i="13"/>
  <c r="P22" i="13" s="1"/>
  <c r="BI210" i="103"/>
  <c r="BJ210" i="103"/>
  <c r="BI207" i="103"/>
  <c r="BJ207" i="103"/>
  <c r="BI194" i="103"/>
  <c r="BJ194" i="103"/>
  <c r="BI130" i="103"/>
  <c r="BJ130" i="103"/>
  <c r="BI323" i="103"/>
  <c r="BJ323" i="103"/>
  <c r="BI274" i="103"/>
  <c r="BJ274" i="103"/>
  <c r="B23" i="13"/>
  <c r="BI30" i="103"/>
  <c r="BJ30" i="103"/>
  <c r="BI88" i="103"/>
  <c r="BJ88" i="103"/>
  <c r="BI251" i="103"/>
  <c r="BJ251" i="103"/>
  <c r="BI101" i="103"/>
  <c r="BJ101" i="103"/>
  <c r="N95" i="13"/>
  <c r="BI277" i="103"/>
  <c r="BJ277" i="103"/>
  <c r="B78" i="13"/>
  <c r="BI76" i="103"/>
  <c r="BJ76" i="103"/>
  <c r="N100" i="13"/>
  <c r="BI282" i="103"/>
  <c r="BJ282" i="103"/>
  <c r="BI343" i="103"/>
  <c r="BJ343" i="103"/>
  <c r="B182" i="13"/>
  <c r="BI170" i="103"/>
  <c r="BM170" i="103" s="1"/>
  <c r="BJ170" i="103"/>
  <c r="BI183" i="103"/>
  <c r="BM183" i="103" s="1"/>
  <c r="BJ183" i="103"/>
  <c r="B84" i="13"/>
  <c r="BJ82" i="103"/>
  <c r="BI167" i="103"/>
  <c r="BM167" i="103" s="1"/>
  <c r="BJ167" i="103"/>
  <c r="BI233" i="103"/>
  <c r="BJ233" i="103"/>
  <c r="BJ333" i="103"/>
  <c r="BI221" i="103"/>
  <c r="BJ221" i="103"/>
  <c r="BJ340" i="103"/>
  <c r="BI21" i="103"/>
  <c r="BJ21" i="103"/>
  <c r="BI39" i="103"/>
  <c r="BJ39" i="103"/>
  <c r="BI209" i="103"/>
  <c r="BJ209" i="103"/>
  <c r="BI70" i="103"/>
  <c r="BJ70" i="103"/>
  <c r="B44" i="13"/>
  <c r="BI48" i="103"/>
  <c r="BJ48" i="103"/>
  <c r="N20" i="13"/>
  <c r="P20" i="13" s="1"/>
  <c r="BI208" i="103"/>
  <c r="BJ208" i="103"/>
  <c r="BI224" i="103"/>
  <c r="BJ224" i="103"/>
  <c r="BI47" i="103"/>
  <c r="BJ47" i="103"/>
  <c r="BI104" i="103"/>
  <c r="BJ104" i="103"/>
  <c r="BI49" i="103"/>
  <c r="BJ49" i="103"/>
  <c r="B118" i="13"/>
  <c r="BI113" i="103"/>
  <c r="BJ113" i="103"/>
  <c r="BI318" i="103"/>
  <c r="BJ318" i="103"/>
  <c r="BI330" i="103"/>
  <c r="BJ330" i="103"/>
  <c r="BI247" i="103"/>
  <c r="BJ247" i="103"/>
  <c r="B52" i="13"/>
  <c r="BI56" i="103"/>
  <c r="BJ56" i="103"/>
  <c r="BI174" i="103"/>
  <c r="BM174" i="103" s="1"/>
  <c r="BJ174" i="103"/>
  <c r="B8" i="13"/>
  <c r="BI15" i="103"/>
  <c r="BJ15" i="103"/>
  <c r="N23" i="13"/>
  <c r="P23" i="13" s="1"/>
  <c r="BI211" i="103"/>
  <c r="BJ211" i="103"/>
  <c r="N26" i="13"/>
  <c r="P26" i="13" s="1"/>
  <c r="BI214" i="103"/>
  <c r="BJ214" i="103"/>
  <c r="B180" i="13"/>
  <c r="BI168" i="103"/>
  <c r="BM168" i="103" s="1"/>
  <c r="BJ168" i="103"/>
  <c r="B99" i="13"/>
  <c r="BI97" i="103"/>
  <c r="BJ97" i="103"/>
  <c r="N8" i="13"/>
  <c r="P8" i="13" s="1"/>
  <c r="BI196" i="103"/>
  <c r="BJ196" i="103"/>
  <c r="N43" i="13"/>
  <c r="BI228" i="103"/>
  <c r="BJ228" i="103"/>
  <c r="B111" i="13"/>
  <c r="BI106" i="103"/>
  <c r="BJ106" i="103"/>
  <c r="BI175" i="103"/>
  <c r="BM175" i="103" s="1"/>
  <c r="BJ175" i="103"/>
  <c r="N14" i="13"/>
  <c r="P14" i="13" s="1"/>
  <c r="BI202" i="103"/>
  <c r="BJ202" i="103"/>
  <c r="N86" i="13"/>
  <c r="BI268" i="103"/>
  <c r="BJ268" i="103"/>
  <c r="BI17" i="103"/>
  <c r="BJ17" i="103"/>
  <c r="BI163" i="103"/>
  <c r="BJ163" i="103"/>
  <c r="BI91" i="103"/>
  <c r="BJ91" i="103"/>
  <c r="BI329" i="103"/>
  <c r="BJ329" i="103"/>
  <c r="BJ336" i="103"/>
  <c r="N76" i="13"/>
  <c r="BI258" i="103"/>
  <c r="BJ258" i="103"/>
  <c r="BJ339" i="103"/>
  <c r="B49" i="13"/>
  <c r="BI53" i="103"/>
  <c r="BJ53" i="103"/>
  <c r="BI191" i="103"/>
  <c r="BM191" i="103" s="1"/>
  <c r="BJ191" i="103"/>
  <c r="N74" i="13"/>
  <c r="BI256" i="103"/>
  <c r="BJ256" i="103"/>
  <c r="B86" i="13"/>
  <c r="BI84" i="103"/>
  <c r="BJ84" i="103"/>
  <c r="B83" i="13"/>
  <c r="BI81" i="103"/>
  <c r="BJ81" i="103"/>
  <c r="N27" i="13"/>
  <c r="P27" i="13" s="1"/>
  <c r="BI215" i="103"/>
  <c r="BJ215" i="103"/>
  <c r="BI169" i="103"/>
  <c r="BM169" i="103" s="1"/>
  <c r="BJ169" i="103"/>
  <c r="B192" i="13"/>
  <c r="BI180" i="103"/>
  <c r="BM180" i="103" s="1"/>
  <c r="BJ180" i="103"/>
  <c r="B113" i="13"/>
  <c r="BI108" i="103"/>
  <c r="BJ108" i="103"/>
  <c r="BI225" i="103"/>
  <c r="BJ225" i="103"/>
  <c r="B40" i="13"/>
  <c r="BI44" i="103"/>
  <c r="BJ44" i="103"/>
  <c r="BI45" i="103"/>
  <c r="BJ45" i="103"/>
  <c r="B102" i="13"/>
  <c r="BI100" i="103"/>
  <c r="BJ100" i="103"/>
  <c r="B101" i="13"/>
  <c r="BI99" i="103"/>
  <c r="BJ99" i="103"/>
  <c r="BI201" i="103"/>
  <c r="BJ201" i="103"/>
  <c r="B108" i="13"/>
  <c r="BI103" i="103"/>
  <c r="BJ103" i="103"/>
  <c r="BI245" i="103"/>
  <c r="BJ245" i="103"/>
  <c r="BI190" i="103"/>
  <c r="BM190" i="103" s="1"/>
  <c r="BJ190" i="103"/>
  <c r="BI85" i="103"/>
  <c r="BJ85" i="103"/>
  <c r="BI331" i="103"/>
  <c r="BJ331" i="103"/>
  <c r="N42" i="13"/>
  <c r="BI227" i="103"/>
  <c r="BJ227" i="103"/>
  <c r="BI257" i="103"/>
  <c r="BJ257" i="103"/>
  <c r="BI95" i="103"/>
  <c r="BJ95" i="103"/>
  <c r="BI216" i="103"/>
  <c r="BJ216" i="103"/>
  <c r="BI78" i="103"/>
  <c r="BJ78" i="103"/>
  <c r="B73" i="13"/>
  <c r="BI71" i="103"/>
  <c r="BJ71" i="103"/>
  <c r="B124" i="13"/>
  <c r="BI119" i="103"/>
  <c r="BJ119" i="103"/>
  <c r="B131" i="13"/>
  <c r="BI126" i="103"/>
  <c r="BJ126" i="103"/>
  <c r="B57" i="13"/>
  <c r="BI61" i="103"/>
  <c r="BJ61" i="103"/>
  <c r="B178" i="13"/>
  <c r="BI166" i="103"/>
  <c r="BM166" i="103" s="1"/>
  <c r="BJ166" i="103"/>
  <c r="N53" i="13"/>
  <c r="BI238" i="103"/>
  <c r="BJ238" i="103"/>
  <c r="N101" i="13"/>
  <c r="BI283" i="103"/>
  <c r="BJ283" i="103"/>
  <c r="BI320" i="103"/>
  <c r="BJ320" i="103"/>
  <c r="N152" i="13"/>
  <c r="N151" i="13"/>
  <c r="BA325" i="103"/>
  <c r="N150" i="13"/>
  <c r="N149" i="13"/>
  <c r="R323" i="67"/>
  <c r="R309" i="67"/>
  <c r="W323" i="103"/>
  <c r="N148" i="13"/>
  <c r="N147" i="13"/>
  <c r="AO301" i="22"/>
  <c r="CJ300" i="103"/>
  <c r="N146" i="13"/>
  <c r="AO315" i="22"/>
  <c r="BA320" i="103"/>
  <c r="CJ314" i="103"/>
  <c r="N145" i="13"/>
  <c r="AO292" i="22"/>
  <c r="AE302" i="22"/>
  <c r="AE289" i="22"/>
  <c r="R311" i="67"/>
  <c r="N144" i="13"/>
  <c r="CF301" i="103"/>
  <c r="AO303" i="22"/>
  <c r="I310" i="67"/>
  <c r="I297" i="67"/>
  <c r="CF288" i="103"/>
  <c r="CJ302" i="103"/>
  <c r="CJ291" i="103"/>
  <c r="AO200" i="22"/>
  <c r="AQ293" i="22"/>
  <c r="AQ287" i="22"/>
  <c r="AQ306" i="22"/>
  <c r="AQ292" i="22"/>
  <c r="L294" i="67"/>
  <c r="AQ314" i="22"/>
  <c r="AQ290" i="22"/>
  <c r="AQ298" i="22"/>
  <c r="AQ296" i="22"/>
  <c r="AO314" i="22"/>
  <c r="N141" i="13"/>
  <c r="AO293" i="22"/>
  <c r="AG303" i="22"/>
  <c r="AG315" i="22"/>
  <c r="AQ309" i="22"/>
  <c r="I52" i="67"/>
  <c r="AQ285" i="22"/>
  <c r="R305" i="67"/>
  <c r="AQ300" i="22"/>
  <c r="AQ289" i="22"/>
  <c r="L307" i="67"/>
  <c r="AO313" i="22"/>
  <c r="AO290" i="22"/>
  <c r="N143" i="13"/>
  <c r="N142" i="13"/>
  <c r="AB386" i="103"/>
  <c r="R306" i="67"/>
  <c r="AG286" i="22"/>
  <c r="AG299" i="22"/>
  <c r="R321" i="67"/>
  <c r="CJ312" i="103"/>
  <c r="AO297" i="22"/>
  <c r="O140" i="13"/>
  <c r="S147" i="13" s="1"/>
  <c r="N140" i="13"/>
  <c r="CJ296" i="103"/>
  <c r="L323" i="67"/>
  <c r="CF284" i="103"/>
  <c r="R300" i="67"/>
  <c r="R308" i="67"/>
  <c r="CJ311" i="103"/>
  <c r="CJ67" i="103"/>
  <c r="R298" i="67"/>
  <c r="CJ289" i="103"/>
  <c r="CJ292" i="103"/>
  <c r="CF286" i="103"/>
  <c r="L311" i="67"/>
  <c r="CJ313" i="103"/>
  <c r="R301" i="67"/>
  <c r="R205" i="67"/>
  <c r="CJ124" i="103"/>
  <c r="CJ199" i="103"/>
  <c r="R322" i="67"/>
  <c r="B17" i="102"/>
  <c r="C17" i="102" s="1"/>
  <c r="B11" i="31"/>
  <c r="B45" i="31"/>
  <c r="A45" i="31" s="1"/>
  <c r="A10" i="31"/>
  <c r="Z386" i="58"/>
  <c r="I315" i="58"/>
  <c r="AB386" i="58"/>
  <c r="K315" i="58"/>
  <c r="AC386" i="58"/>
  <c r="M315" i="58"/>
  <c r="AA386" i="58"/>
  <c r="J315" i="58"/>
  <c r="CL385" i="103"/>
  <c r="BA314" i="103"/>
  <c r="CJ150" i="103"/>
  <c r="AO306" i="22"/>
  <c r="R172" i="67"/>
  <c r="AO210" i="22"/>
  <c r="AO188" i="22"/>
  <c r="R251" i="67"/>
  <c r="R299" i="67"/>
  <c r="AO57" i="22"/>
  <c r="AO347" i="22"/>
  <c r="AO250" i="22"/>
  <c r="AO291" i="22"/>
  <c r="AO332" i="22"/>
  <c r="I326" i="67"/>
  <c r="AO180" i="22"/>
  <c r="AO248" i="22"/>
  <c r="CJ290" i="103"/>
  <c r="AO251" i="22"/>
  <c r="R43" i="67"/>
  <c r="AO111" i="22"/>
  <c r="CJ305" i="103"/>
  <c r="AO179" i="22"/>
  <c r="AE335" i="22"/>
  <c r="CJ24" i="103"/>
  <c r="AO177" i="22"/>
  <c r="R260" i="67"/>
  <c r="R314" i="67"/>
  <c r="R106" i="67"/>
  <c r="R174" i="67"/>
  <c r="W314" i="103"/>
  <c r="N136" i="13"/>
  <c r="W313" i="103"/>
  <c r="BO313" i="103" s="1"/>
  <c r="N135" i="13"/>
  <c r="W312" i="103"/>
  <c r="BO312" i="103" s="1"/>
  <c r="N134" i="13"/>
  <c r="AO170" i="22"/>
  <c r="W311" i="103"/>
  <c r="BP311" i="103" s="1"/>
  <c r="N133" i="13"/>
  <c r="CJ169" i="103"/>
  <c r="W310" i="103"/>
  <c r="Y310" i="103" s="1"/>
  <c r="N132" i="13"/>
  <c r="R254" i="67"/>
  <c r="CJ247" i="103"/>
  <c r="E15" i="104"/>
  <c r="R113" i="67"/>
  <c r="W309" i="103"/>
  <c r="Y309" i="103" s="1"/>
  <c r="N131" i="13"/>
  <c r="CJ144" i="103"/>
  <c r="CJ187" i="103"/>
  <c r="R192" i="67"/>
  <c r="CJ209" i="103"/>
  <c r="CJ37" i="103"/>
  <c r="I344" i="67"/>
  <c r="R257" i="67"/>
  <c r="CJ98" i="103"/>
  <c r="CJ69" i="103"/>
  <c r="R357" i="67"/>
  <c r="CJ79" i="103"/>
  <c r="R215" i="67"/>
  <c r="AO245" i="22"/>
  <c r="AO43" i="22"/>
  <c r="CJ250" i="103"/>
  <c r="R256" i="67"/>
  <c r="CJ249" i="103"/>
  <c r="CJ129" i="103"/>
  <c r="AO254" i="22"/>
  <c r="CJ253" i="103"/>
  <c r="CJ76" i="103"/>
  <c r="CJ178" i="103"/>
  <c r="R183" i="67"/>
  <c r="AG170" i="23"/>
  <c r="AE317" i="22"/>
  <c r="CJ179" i="103"/>
  <c r="R184" i="67"/>
  <c r="AG162" i="23"/>
  <c r="AG167" i="23"/>
  <c r="CJ167" i="103"/>
  <c r="AG163" i="23"/>
  <c r="AO168" i="22"/>
  <c r="R341" i="67"/>
  <c r="R181" i="67"/>
  <c r="CJ176" i="103"/>
  <c r="R57" i="67"/>
  <c r="AO104" i="22"/>
  <c r="AG169" i="23"/>
  <c r="CJ25" i="103"/>
  <c r="CJ90" i="103"/>
  <c r="CJ81" i="103"/>
  <c r="AG168" i="23"/>
  <c r="AG161" i="23"/>
  <c r="AG166" i="23"/>
  <c r="AG160" i="23"/>
  <c r="AG164" i="23"/>
  <c r="AG165" i="23"/>
  <c r="AI100" i="23"/>
  <c r="L292" i="67"/>
  <c r="AJ100" i="23"/>
  <c r="D53" i="53"/>
  <c r="I209" i="67"/>
  <c r="L68" i="67"/>
  <c r="I140" i="67"/>
  <c r="I253" i="67"/>
  <c r="I224" i="67"/>
  <c r="I234" i="67"/>
  <c r="I232" i="67"/>
  <c r="I202" i="67"/>
  <c r="I139" i="67"/>
  <c r="I330" i="67"/>
  <c r="L184" i="67"/>
  <c r="AE354" i="22"/>
  <c r="I217" i="67"/>
  <c r="AG334" i="22"/>
  <c r="I60" i="67"/>
  <c r="I242" i="67"/>
  <c r="AE376" i="22"/>
  <c r="I244" i="67"/>
  <c r="I143" i="67"/>
  <c r="I177" i="67"/>
  <c r="I248" i="67"/>
  <c r="AA160" i="23"/>
  <c r="I62" i="67"/>
  <c r="I23" i="67"/>
  <c r="I231" i="67"/>
  <c r="L30" i="67"/>
  <c r="I228" i="67"/>
  <c r="AA170" i="23"/>
  <c r="D57" i="53"/>
  <c r="I146" i="67"/>
  <c r="I194" i="67"/>
  <c r="L260" i="67"/>
  <c r="I238" i="67"/>
  <c r="I38" i="67"/>
  <c r="I153" i="67"/>
  <c r="L208" i="67"/>
  <c r="L154" i="67"/>
  <c r="I144" i="67"/>
  <c r="AO184" i="22"/>
  <c r="AE366" i="22"/>
  <c r="I99" i="67"/>
  <c r="L138" i="67"/>
  <c r="I102" i="67"/>
  <c r="I239" i="67"/>
  <c r="D56" i="53"/>
  <c r="L165" i="67"/>
  <c r="I226" i="67"/>
  <c r="I245" i="67"/>
  <c r="L193" i="67"/>
  <c r="L78" i="67"/>
  <c r="I210" i="67"/>
  <c r="AE368" i="22"/>
  <c r="I44" i="67"/>
  <c r="I58" i="67"/>
  <c r="I46" i="67"/>
  <c r="L250" i="67"/>
  <c r="I255" i="67"/>
  <c r="L70" i="67"/>
  <c r="I133" i="67"/>
  <c r="I155" i="67"/>
  <c r="AO175" i="22"/>
  <c r="I188" i="67"/>
  <c r="AO93" i="22"/>
  <c r="I258" i="67"/>
  <c r="I115" i="67"/>
  <c r="D54" i="53"/>
  <c r="L183" i="67"/>
  <c r="I45" i="67"/>
  <c r="I49" i="67"/>
  <c r="I158" i="67"/>
  <c r="I66" i="67"/>
  <c r="I216" i="67"/>
  <c r="L168" i="67"/>
  <c r="I162" i="67"/>
  <c r="I149" i="67"/>
  <c r="I328" i="67"/>
  <c r="L259" i="67"/>
  <c r="AG344" i="22"/>
  <c r="AE322" i="22"/>
  <c r="I77" i="67"/>
  <c r="AE361" i="22"/>
  <c r="I219" i="67"/>
  <c r="AE336" i="22"/>
  <c r="I90" i="67"/>
  <c r="I32" i="67"/>
  <c r="I225" i="67"/>
  <c r="I179" i="67"/>
  <c r="AO55" i="22"/>
  <c r="AO23" i="22"/>
  <c r="AO192" i="22"/>
  <c r="AO370" i="22"/>
  <c r="AA159" i="23"/>
  <c r="AO193" i="22"/>
  <c r="L123" i="67"/>
  <c r="L220" i="67"/>
  <c r="I207" i="67"/>
  <c r="I40" i="67"/>
  <c r="L132" i="67"/>
  <c r="L223" i="67"/>
  <c r="L211" i="67"/>
  <c r="AA162" i="23"/>
  <c r="L74" i="67"/>
  <c r="I86" i="67"/>
  <c r="L25" i="67"/>
  <c r="L148" i="67"/>
  <c r="I161" i="67"/>
  <c r="L192" i="67"/>
  <c r="I28" i="67"/>
  <c r="I61" i="67"/>
  <c r="AE337" i="22"/>
  <c r="I240" i="67"/>
  <c r="I55" i="67"/>
  <c r="AO167" i="22"/>
  <c r="I29" i="67"/>
  <c r="I19" i="67"/>
  <c r="L159" i="67"/>
  <c r="I206" i="67"/>
  <c r="I214" i="67"/>
  <c r="L254" i="67"/>
  <c r="L190" i="67"/>
  <c r="L156" i="67"/>
  <c r="L112" i="67"/>
  <c r="I150" i="67"/>
  <c r="L59" i="67"/>
  <c r="L117" i="67"/>
  <c r="AE323" i="22"/>
  <c r="L256" i="67"/>
  <c r="I14" i="67"/>
  <c r="L92" i="67"/>
  <c r="I34" i="67"/>
  <c r="AO356" i="22"/>
  <c r="AO107" i="22"/>
  <c r="AO324" i="22"/>
  <c r="I39" i="67"/>
  <c r="L151" i="67"/>
  <c r="AA164" i="23"/>
  <c r="I116" i="67"/>
  <c r="I241" i="67"/>
  <c r="L96" i="67"/>
  <c r="I201" i="67"/>
  <c r="D52" i="53"/>
  <c r="I152" i="67"/>
  <c r="I164" i="67"/>
  <c r="I110" i="67"/>
  <c r="AG310" i="22"/>
  <c r="L186" i="67"/>
  <c r="L296" i="67"/>
  <c r="I75" i="67"/>
  <c r="I125" i="67"/>
  <c r="L189" i="67"/>
  <c r="I105" i="67"/>
  <c r="L174" i="67"/>
  <c r="AO312" i="22"/>
  <c r="AA165" i="23"/>
  <c r="I85" i="67"/>
  <c r="I33" i="67"/>
  <c r="I35" i="67"/>
  <c r="AO14" i="22"/>
  <c r="AO339" i="22"/>
  <c r="AO178" i="22"/>
  <c r="AO187" i="22"/>
  <c r="L97" i="67"/>
  <c r="L12" i="67"/>
  <c r="I73" i="67"/>
  <c r="I121" i="67"/>
  <c r="L205" i="67"/>
  <c r="L120" i="67"/>
  <c r="L257" i="67"/>
  <c r="L195" i="67"/>
  <c r="I56" i="67"/>
  <c r="I18" i="67"/>
  <c r="I16" i="67"/>
  <c r="I87" i="67"/>
  <c r="I47" i="67"/>
  <c r="I119" i="67"/>
  <c r="I65" i="67"/>
  <c r="I235" i="67"/>
  <c r="I118" i="67"/>
  <c r="I362" i="67"/>
  <c r="I84" i="67"/>
  <c r="I26" i="67"/>
  <c r="AO18" i="22"/>
  <c r="AO227" i="22"/>
  <c r="AO50" i="22"/>
  <c r="I157" i="67"/>
  <c r="L172" i="67"/>
  <c r="L36" i="67"/>
  <c r="L227" i="67"/>
  <c r="L81" i="67"/>
  <c r="L147" i="67"/>
  <c r="AE326" i="22"/>
  <c r="I69" i="67"/>
  <c r="AE351" i="22"/>
  <c r="I342" i="67"/>
  <c r="AG340" i="22"/>
  <c r="L79" i="67"/>
  <c r="I82" i="67"/>
  <c r="I204" i="67"/>
  <c r="L24" i="67"/>
  <c r="I200" i="67"/>
  <c r="I178" i="67"/>
  <c r="AE373" i="22"/>
  <c r="AE360" i="22"/>
  <c r="I137" i="67"/>
  <c r="I369" i="67"/>
  <c r="I17" i="67"/>
  <c r="I233" i="67"/>
  <c r="L187" i="67"/>
  <c r="L124" i="67"/>
  <c r="I185" i="67"/>
  <c r="I176" i="67"/>
  <c r="I236" i="67"/>
  <c r="AA166" i="23"/>
  <c r="L127" i="67"/>
  <c r="L83" i="67"/>
  <c r="I128" i="67"/>
  <c r="AA163" i="23"/>
  <c r="I163" i="67"/>
  <c r="I175" i="67"/>
  <c r="L141" i="67"/>
  <c r="I95" i="67"/>
  <c r="L93" i="67"/>
  <c r="I131" i="67"/>
  <c r="AG355" i="22"/>
  <c r="AG343" i="22"/>
  <c r="L160" i="67"/>
  <c r="AG353" i="22"/>
  <c r="I108" i="67"/>
  <c r="I249" i="67"/>
  <c r="AO166" i="22"/>
  <c r="I246" i="67"/>
  <c r="I122" i="67"/>
  <c r="R360" i="67"/>
  <c r="AA169" i="23"/>
  <c r="L98" i="67"/>
  <c r="I222" i="67"/>
  <c r="D55" i="53"/>
  <c r="I212" i="67"/>
  <c r="D50" i="53"/>
  <c r="BX388" i="103"/>
  <c r="L37" i="67"/>
  <c r="L100" i="67"/>
  <c r="I80" i="67"/>
  <c r="I252" i="67"/>
  <c r="I67" i="67"/>
  <c r="AG362" i="22"/>
  <c r="I237" i="67"/>
  <c r="I63" i="67"/>
  <c r="I51" i="67"/>
  <c r="L129" i="67"/>
  <c r="L89" i="67"/>
  <c r="I126" i="67"/>
  <c r="L21" i="67"/>
  <c r="L111" i="67"/>
  <c r="L215" i="67"/>
  <c r="I76" i="67"/>
  <c r="I130" i="67"/>
  <c r="AO21" i="22"/>
  <c r="I145" i="67"/>
  <c r="D51" i="53"/>
  <c r="AA161" i="23"/>
  <c r="L181" i="67"/>
  <c r="I101" i="67"/>
  <c r="I329" i="67"/>
  <c r="L142" i="67"/>
  <c r="I48" i="67"/>
  <c r="L64" i="67"/>
  <c r="L203" i="67"/>
  <c r="L41" i="67"/>
  <c r="I107" i="67"/>
  <c r="I180" i="67"/>
  <c r="I15" i="67"/>
  <c r="L53" i="67"/>
  <c r="I169" i="67"/>
  <c r="L247" i="67"/>
  <c r="I243" i="67"/>
  <c r="I218" i="67"/>
  <c r="I173" i="67"/>
  <c r="I88" i="67"/>
  <c r="W308" i="103"/>
  <c r="BP308" i="103" s="1"/>
  <c r="N130" i="13"/>
  <c r="AG308" i="22"/>
  <c r="W307" i="103"/>
  <c r="N129" i="13"/>
  <c r="W306" i="103"/>
  <c r="N128" i="13"/>
  <c r="D169" i="103"/>
  <c r="D183" i="103"/>
  <c r="D184" i="103"/>
  <c r="D197" i="103"/>
  <c r="B19" i="62"/>
  <c r="L18" i="62"/>
  <c r="W305" i="103"/>
  <c r="BP305" i="103" s="1"/>
  <c r="N127" i="13"/>
  <c r="AO350" i="22"/>
  <c r="R191" i="67"/>
  <c r="AG288" i="22"/>
  <c r="R20" i="67"/>
  <c r="R333" i="67"/>
  <c r="R182" i="67"/>
  <c r="R198" i="67"/>
  <c r="L352" i="67"/>
  <c r="L365" i="67"/>
  <c r="AE321" i="22"/>
  <c r="AE319" i="22"/>
  <c r="I378" i="67"/>
  <c r="R348" i="67"/>
  <c r="L343" i="67"/>
  <c r="I364" i="67"/>
  <c r="N108" i="13"/>
  <c r="I370" i="67"/>
  <c r="R109" i="67"/>
  <c r="R50" i="67"/>
  <c r="AE352" i="22"/>
  <c r="L318" i="67"/>
  <c r="R171" i="67"/>
  <c r="R380" i="67"/>
  <c r="I376" i="67"/>
  <c r="AO309" i="22"/>
  <c r="R317" i="67"/>
  <c r="N121" i="13"/>
  <c r="R320" i="67"/>
  <c r="AE359" i="22"/>
  <c r="R196" i="67"/>
  <c r="R17" i="67"/>
  <c r="CO377" i="103"/>
  <c r="R366" i="67"/>
  <c r="N113" i="13"/>
  <c r="AL226" i="103"/>
  <c r="AO90" i="22"/>
  <c r="R91" i="67"/>
  <c r="AE320" i="22"/>
  <c r="R22" i="67"/>
  <c r="R94" i="67"/>
  <c r="R179" i="67"/>
  <c r="AE333" i="22"/>
  <c r="R188" i="67"/>
  <c r="I361" i="67"/>
  <c r="R170" i="67"/>
  <c r="I335" i="67"/>
  <c r="R13" i="67"/>
  <c r="AO299" i="22"/>
  <c r="R307" i="67"/>
  <c r="N122" i="13"/>
  <c r="L349" i="67"/>
  <c r="R55" i="67"/>
  <c r="R233" i="67"/>
  <c r="AO28" i="22"/>
  <c r="R27" i="67"/>
  <c r="AO365" i="22"/>
  <c r="R375" i="67"/>
  <c r="CO385" i="103"/>
  <c r="AO327" i="22"/>
  <c r="R336" i="67"/>
  <c r="AE327" i="22"/>
  <c r="I336" i="67"/>
  <c r="AO36" i="22"/>
  <c r="R35" i="67"/>
  <c r="AO24" i="22"/>
  <c r="R23" i="67"/>
  <c r="B170" i="13"/>
  <c r="D170" i="13" s="1"/>
  <c r="AO34" i="22"/>
  <c r="R33" i="67"/>
  <c r="L316" i="67"/>
  <c r="AE356" i="22"/>
  <c r="I366" i="67"/>
  <c r="AO128" i="22"/>
  <c r="R130" i="67"/>
  <c r="AA388" i="103"/>
  <c r="AO216" i="22"/>
  <c r="R221" i="67"/>
  <c r="AO32" i="22"/>
  <c r="R31" i="67"/>
  <c r="L353" i="67"/>
  <c r="I371" i="67"/>
  <c r="I331" i="67"/>
  <c r="L363" i="67"/>
  <c r="N114" i="13"/>
  <c r="I345" i="67"/>
  <c r="AA168" i="23"/>
  <c r="N115" i="13"/>
  <c r="I346" i="67"/>
  <c r="I332" i="67"/>
  <c r="B155" i="13"/>
  <c r="D155" i="13" s="1"/>
  <c r="CK383" i="103"/>
  <c r="AO208" i="22"/>
  <c r="R213" i="67"/>
  <c r="AO371" i="22"/>
  <c r="R381" i="67"/>
  <c r="CO384" i="103"/>
  <c r="AO75" i="22"/>
  <c r="R76" i="67"/>
  <c r="L372" i="67"/>
  <c r="AO296" i="22"/>
  <c r="R304" i="67"/>
  <c r="AE296" i="22"/>
  <c r="I304" i="67"/>
  <c r="CK386" i="103"/>
  <c r="I383" i="67"/>
  <c r="W12" i="68" s="1"/>
  <c r="BA381" i="103"/>
  <c r="AO27" i="22"/>
  <c r="R26" i="67"/>
  <c r="D29" i="104"/>
  <c r="CJ333" i="103"/>
  <c r="CO378" i="103"/>
  <c r="E25" i="104"/>
  <c r="F7" i="104"/>
  <c r="G7" i="104" s="1"/>
  <c r="AO35" i="22"/>
  <c r="R34" i="67"/>
  <c r="AO243" i="22"/>
  <c r="R249" i="67"/>
  <c r="AO134" i="22"/>
  <c r="R137" i="67"/>
  <c r="AO348" i="22"/>
  <c r="R358" i="67"/>
  <c r="AE348" i="22"/>
  <c r="I358" i="67"/>
  <c r="AO169" i="22"/>
  <c r="R173" i="67"/>
  <c r="AO220" i="22"/>
  <c r="R225" i="67"/>
  <c r="I386" i="67"/>
  <c r="AC12" i="68" s="1"/>
  <c r="AB380" i="103"/>
  <c r="B154" i="13"/>
  <c r="D154" i="13" s="1"/>
  <c r="R155" i="67"/>
  <c r="AO152" i="22"/>
  <c r="AO286" i="22"/>
  <c r="R294" i="67"/>
  <c r="AE286" i="22"/>
  <c r="I294" i="67"/>
  <c r="AO234" i="22"/>
  <c r="R240" i="67"/>
  <c r="AO242" i="22"/>
  <c r="R248" i="67"/>
  <c r="CJ293" i="103"/>
  <c r="AO33" i="22"/>
  <c r="R32" i="67"/>
  <c r="CJ63" i="103"/>
  <c r="CJ252" i="103"/>
  <c r="AE287" i="22"/>
  <c r="I295" i="67"/>
  <c r="AO330" i="22"/>
  <c r="R339" i="67"/>
  <c r="AE330" i="22"/>
  <c r="I339" i="67"/>
  <c r="AO83" i="22"/>
  <c r="R84" i="67"/>
  <c r="CJ132" i="103"/>
  <c r="AO213" i="22"/>
  <c r="R218" i="67"/>
  <c r="CJ243" i="103"/>
  <c r="CO27" i="103"/>
  <c r="CJ58" i="103"/>
  <c r="CJ309" i="103"/>
  <c r="CO12" i="103"/>
  <c r="CO39" i="103"/>
  <c r="CJ205" i="103"/>
  <c r="CJ95" i="103"/>
  <c r="CJ108" i="103"/>
  <c r="CJ143" i="103"/>
  <c r="CJ352" i="103"/>
  <c r="CJ214" i="103"/>
  <c r="CJ181" i="103"/>
  <c r="CJ163" i="103"/>
  <c r="CJ182" i="103"/>
  <c r="CJ287" i="103"/>
  <c r="CO14" i="103"/>
  <c r="CJ188" i="103"/>
  <c r="CJ190" i="103"/>
  <c r="CQ376" i="103"/>
  <c r="CO21" i="103"/>
  <c r="BA21" i="103" s="1"/>
  <c r="CJ134" i="103"/>
  <c r="CJ87" i="103"/>
  <c r="CJ121" i="103"/>
  <c r="CJ12" i="103"/>
  <c r="CJ117" i="103"/>
  <c r="CJ53" i="103"/>
  <c r="CJ366" i="103"/>
  <c r="L382" i="58"/>
  <c r="CJ147" i="103"/>
  <c r="CJ111" i="103"/>
  <c r="CJ137" i="103"/>
  <c r="CJ185" i="103"/>
  <c r="CO15" i="103"/>
  <c r="CJ155" i="103"/>
  <c r="CJ36" i="103"/>
  <c r="CO35" i="103"/>
  <c r="CJ343" i="103"/>
  <c r="CJ152" i="103"/>
  <c r="CO29" i="103"/>
  <c r="I167" i="67"/>
  <c r="W183" i="103"/>
  <c r="BN183" i="103" s="1"/>
  <c r="BR183" i="103"/>
  <c r="J394" i="103"/>
  <c r="J378" i="103"/>
  <c r="W324" i="103"/>
  <c r="R386" i="58"/>
  <c r="R399" i="58"/>
  <c r="L315" i="58"/>
  <c r="BN134" i="103"/>
  <c r="Y134" i="103"/>
  <c r="BP134" i="103"/>
  <c r="BO134" i="103"/>
  <c r="W67" i="103"/>
  <c r="BR231" i="103"/>
  <c r="W231" i="103"/>
  <c r="W80" i="103"/>
  <c r="AE375" i="22"/>
  <c r="I385" i="67"/>
  <c r="AA12" i="68" s="1"/>
  <c r="BR175" i="103"/>
  <c r="W175" i="103"/>
  <c r="BN175" i="103" s="1"/>
  <c r="AE300" i="22"/>
  <c r="I308" i="67"/>
  <c r="BR25" i="103"/>
  <c r="W25" i="103"/>
  <c r="BR198" i="103"/>
  <c r="W198" i="103"/>
  <c r="Y135" i="103"/>
  <c r="BP135" i="103"/>
  <c r="BO135" i="103"/>
  <c r="BN135" i="103"/>
  <c r="BR127" i="103"/>
  <c r="W127" i="103"/>
  <c r="BR17" i="103"/>
  <c r="W17" i="103"/>
  <c r="BR21" i="103"/>
  <c r="W21" i="103"/>
  <c r="W264" i="103"/>
  <c r="BR264" i="103"/>
  <c r="BR31" i="103"/>
  <c r="W31" i="103"/>
  <c r="BN137" i="103"/>
  <c r="Y137" i="103"/>
  <c r="BP137" i="103"/>
  <c r="BO137" i="103"/>
  <c r="Y139" i="103"/>
  <c r="BP139" i="103"/>
  <c r="BO139" i="103"/>
  <c r="BN139" i="103"/>
  <c r="C377" i="103"/>
  <c r="W42" i="103"/>
  <c r="W91" i="103"/>
  <c r="AB382" i="103"/>
  <c r="BR35" i="103"/>
  <c r="W35" i="103"/>
  <c r="W338" i="103"/>
  <c r="Y197" i="103"/>
  <c r="BP197" i="103"/>
  <c r="BO197" i="103"/>
  <c r="BN197" i="103"/>
  <c r="J393" i="103"/>
  <c r="J377" i="103"/>
  <c r="BR117" i="103"/>
  <c r="W117" i="103"/>
  <c r="X376" i="103"/>
  <c r="B148" i="13"/>
  <c r="D148" i="13" s="1"/>
  <c r="AE298" i="22"/>
  <c r="I306" i="67"/>
  <c r="AO294" i="22"/>
  <c r="R302" i="67"/>
  <c r="AE285" i="22"/>
  <c r="I293" i="67"/>
  <c r="AC385" i="58"/>
  <c r="M284" i="58"/>
  <c r="W96" i="103"/>
  <c r="W246" i="103"/>
  <c r="BR246" i="103"/>
  <c r="BR252" i="103"/>
  <c r="W252" i="103"/>
  <c r="B142" i="13"/>
  <c r="W93" i="103"/>
  <c r="CJ221" i="103"/>
  <c r="N110" i="13"/>
  <c r="J398" i="103"/>
  <c r="J382" i="103"/>
  <c r="W107" i="103"/>
  <c r="BR107" i="103"/>
  <c r="Y138" i="103"/>
  <c r="BP138" i="103"/>
  <c r="BO138" i="103"/>
  <c r="BN138" i="103"/>
  <c r="W361" i="103"/>
  <c r="W88" i="103"/>
  <c r="L201" i="67"/>
  <c r="CK382" i="103"/>
  <c r="W59" i="103"/>
  <c r="AB378" i="58"/>
  <c r="K70" i="58"/>
  <c r="W200" i="103"/>
  <c r="BR200" i="103"/>
  <c r="AA376" i="58"/>
  <c r="J11" i="58"/>
  <c r="B147" i="13"/>
  <c r="D147" i="13" s="1"/>
  <c r="C379" i="103"/>
  <c r="BR101" i="103"/>
  <c r="W101" i="103"/>
  <c r="R395" i="58"/>
  <c r="BR282" i="103"/>
  <c r="W282" i="103"/>
  <c r="L395" i="58"/>
  <c r="Z7" i="65" s="1"/>
  <c r="B150" i="13"/>
  <c r="D150" i="13" s="1"/>
  <c r="W81" i="103"/>
  <c r="BR24" i="103"/>
  <c r="W24" i="103"/>
  <c r="BR23" i="103"/>
  <c r="W23" i="103"/>
  <c r="B163" i="13"/>
  <c r="D163" i="13" s="1"/>
  <c r="W57" i="103"/>
  <c r="B106" i="13"/>
  <c r="W180" i="103"/>
  <c r="BN180" i="103" s="1"/>
  <c r="BR180" i="103"/>
  <c r="BR220" i="103"/>
  <c r="W220" i="103"/>
  <c r="W232" i="103"/>
  <c r="BR232" i="103"/>
  <c r="BR105" i="103"/>
  <c r="W105" i="103"/>
  <c r="J387" i="103"/>
  <c r="W362" i="103"/>
  <c r="W317" i="103"/>
  <c r="BR179" i="103"/>
  <c r="W179" i="103"/>
  <c r="BN179" i="103" s="1"/>
  <c r="BR221" i="103"/>
  <c r="W221" i="103"/>
  <c r="W347" i="103"/>
  <c r="C382" i="103"/>
  <c r="W192" i="103"/>
  <c r="BR192" i="103"/>
  <c r="BR242" i="103"/>
  <c r="W242" i="103"/>
  <c r="BR273" i="103"/>
  <c r="W273" i="103"/>
  <c r="AO305" i="22"/>
  <c r="R313" i="67"/>
  <c r="X377" i="103"/>
  <c r="W54" i="103"/>
  <c r="CH381" i="103"/>
  <c r="CF162" i="103"/>
  <c r="BR190" i="103"/>
  <c r="W190" i="103"/>
  <c r="BN190" i="103" s="1"/>
  <c r="AE331" i="22"/>
  <c r="I340" i="67"/>
  <c r="BR178" i="103"/>
  <c r="W178" i="103"/>
  <c r="BN178" i="103" s="1"/>
  <c r="F388" i="103"/>
  <c r="BR110" i="103"/>
  <c r="W110" i="103"/>
  <c r="W104" i="103"/>
  <c r="BR104" i="103"/>
  <c r="AO244" i="22"/>
  <c r="R250" i="67"/>
  <c r="BN158" i="103"/>
  <c r="Y158" i="103"/>
  <c r="BP158" i="103"/>
  <c r="BO158" i="103"/>
  <c r="CJ138" i="103"/>
  <c r="Z385" i="58"/>
  <c r="I284" i="58"/>
  <c r="W85" i="103"/>
  <c r="W73" i="103"/>
  <c r="AO222" i="22"/>
  <c r="R227" i="67"/>
  <c r="W229" i="103"/>
  <c r="BR229" i="103"/>
  <c r="B87" i="13"/>
  <c r="J385" i="103"/>
  <c r="J401" i="103"/>
  <c r="J397" i="103"/>
  <c r="J381" i="103"/>
  <c r="BP296" i="103"/>
  <c r="Y296" i="103"/>
  <c r="BO296" i="103"/>
  <c r="BR216" i="103"/>
  <c r="W216" i="103"/>
  <c r="J395" i="103"/>
  <c r="J379" i="103"/>
  <c r="AE325" i="22"/>
  <c r="I334" i="67"/>
  <c r="N67" i="13"/>
  <c r="AO308" i="22"/>
  <c r="R316" i="67"/>
  <c r="B95" i="13"/>
  <c r="Y388" i="58"/>
  <c r="W240" i="103"/>
  <c r="BR240" i="103"/>
  <c r="AE369" i="22"/>
  <c r="I379" i="67"/>
  <c r="X379" i="103"/>
  <c r="CG193" i="103"/>
  <c r="BR255" i="103"/>
  <c r="W255" i="103"/>
  <c r="BP299" i="103"/>
  <c r="Y299" i="103"/>
  <c r="BO299" i="103"/>
  <c r="N117" i="13"/>
  <c r="BR228" i="103"/>
  <c r="W228" i="103"/>
  <c r="CF52" i="103"/>
  <c r="CH377" i="103"/>
  <c r="AE374" i="22"/>
  <c r="I384" i="67"/>
  <c r="Y12" i="68" s="1"/>
  <c r="AO253" i="22"/>
  <c r="R259" i="67"/>
  <c r="BR122" i="103"/>
  <c r="W122" i="103"/>
  <c r="B16" i="13"/>
  <c r="W55" i="103"/>
  <c r="BR121" i="103"/>
  <c r="W121" i="103"/>
  <c r="AO189" i="22"/>
  <c r="R193" i="67"/>
  <c r="BR167" i="103"/>
  <c r="W167" i="103"/>
  <c r="BN167" i="103" s="1"/>
  <c r="B126" i="13"/>
  <c r="X382" i="103"/>
  <c r="N112" i="13"/>
  <c r="CJ304" i="103"/>
  <c r="BR39" i="103"/>
  <c r="W39" i="103"/>
  <c r="BR262" i="103"/>
  <c r="W262" i="103"/>
  <c r="BR275" i="103"/>
  <c r="W275" i="103"/>
  <c r="CG379" i="103"/>
  <c r="BA101" i="103"/>
  <c r="W326" i="103"/>
  <c r="B32" i="13"/>
  <c r="BR184" i="103"/>
  <c r="W184" i="103"/>
  <c r="BN184" i="103" s="1"/>
  <c r="W366" i="103"/>
  <c r="W83" i="103"/>
  <c r="BR188" i="103"/>
  <c r="W188" i="103"/>
  <c r="BN188" i="103" s="1"/>
  <c r="AE342" i="22"/>
  <c r="I351" i="67"/>
  <c r="C29" i="13"/>
  <c r="BR224" i="103"/>
  <c r="W224" i="103"/>
  <c r="N126" i="13"/>
  <c r="W69" i="103"/>
  <c r="B93" i="13"/>
  <c r="AA385" i="58"/>
  <c r="J284" i="58"/>
  <c r="W318" i="103"/>
  <c r="AO132" i="22"/>
  <c r="R135" i="67"/>
  <c r="B28" i="13"/>
  <c r="BR247" i="103"/>
  <c r="W247" i="103"/>
  <c r="CH385" i="103"/>
  <c r="BR128" i="103"/>
  <c r="W128" i="103"/>
  <c r="N39" i="13"/>
  <c r="B152" i="13"/>
  <c r="D152" i="13" s="1"/>
  <c r="W174" i="103"/>
  <c r="BN174" i="103" s="1"/>
  <c r="BR174" i="103"/>
  <c r="AG291" i="22"/>
  <c r="L299" i="67"/>
  <c r="CK385" i="103"/>
  <c r="CJ307" i="103"/>
  <c r="BR212" i="103"/>
  <c r="W212" i="103"/>
  <c r="AG329" i="22"/>
  <c r="L338" i="67"/>
  <c r="AB385" i="103"/>
  <c r="W52" i="103"/>
  <c r="CH378" i="103"/>
  <c r="CF70" i="103"/>
  <c r="I230" i="67"/>
  <c r="CJ77" i="103"/>
  <c r="B157" i="13"/>
  <c r="D157" i="13" s="1"/>
  <c r="J399" i="103"/>
  <c r="J383" i="103"/>
  <c r="AO102" i="22"/>
  <c r="R104" i="67"/>
  <c r="J392" i="103"/>
  <c r="J376" i="103"/>
  <c r="BR196" i="103"/>
  <c r="W196" i="103"/>
  <c r="N120" i="13"/>
  <c r="N12" i="13"/>
  <c r="P12" i="13" s="1"/>
  <c r="W343" i="103"/>
  <c r="AO311" i="22"/>
  <c r="R319" i="67"/>
  <c r="W283" i="103"/>
  <c r="BR283" i="103"/>
  <c r="L388" i="103"/>
  <c r="B162" i="13"/>
  <c r="D162" i="13" s="1"/>
  <c r="W335" i="103"/>
  <c r="C72" i="13"/>
  <c r="BR233" i="103"/>
  <c r="W233" i="103"/>
  <c r="BR18" i="103"/>
  <c r="W18" i="103"/>
  <c r="AO304" i="22"/>
  <c r="R312" i="67"/>
  <c r="W27" i="103"/>
  <c r="BR27" i="103"/>
  <c r="W100" i="103"/>
  <c r="W344" i="103"/>
  <c r="AO307" i="22"/>
  <c r="R315" i="67"/>
  <c r="BP261" i="103"/>
  <c r="BO261" i="103"/>
  <c r="BN261" i="103"/>
  <c r="Y261" i="103"/>
  <c r="W271" i="103"/>
  <c r="BR271" i="103"/>
  <c r="Y20" i="103"/>
  <c r="BP20" i="103"/>
  <c r="BO20" i="103"/>
  <c r="BN20" i="103"/>
  <c r="BR120" i="103"/>
  <c r="W120" i="103"/>
  <c r="BR109" i="103"/>
  <c r="W109" i="103"/>
  <c r="AG372" i="22"/>
  <c r="L382" i="67"/>
  <c r="U15" i="68" s="1"/>
  <c r="B20" i="13"/>
  <c r="CO386" i="103"/>
  <c r="C13" i="13"/>
  <c r="B151" i="13"/>
  <c r="D151" i="13" s="1"/>
  <c r="R394" i="58"/>
  <c r="R381" i="58"/>
  <c r="L162" i="58"/>
  <c r="W356" i="103"/>
  <c r="BR130" i="103"/>
  <c r="W130" i="103"/>
  <c r="BR193" i="103"/>
  <c r="W193" i="103"/>
  <c r="N107" i="13"/>
  <c r="CH387" i="103"/>
  <c r="CF345" i="103"/>
  <c r="BR239" i="103"/>
  <c r="W239" i="103"/>
  <c r="AB385" i="58"/>
  <c r="K284" i="58"/>
  <c r="AB384" i="103"/>
  <c r="CH380" i="103"/>
  <c r="W353" i="103"/>
  <c r="B85" i="13"/>
  <c r="BR125" i="103"/>
  <c r="W125" i="103"/>
  <c r="W342" i="103"/>
  <c r="C386" i="103"/>
  <c r="W315" i="103"/>
  <c r="W365" i="103"/>
  <c r="B167" i="13"/>
  <c r="D167" i="13" s="1"/>
  <c r="W195" i="103"/>
  <c r="BR195" i="103"/>
  <c r="BR251" i="103"/>
  <c r="W251" i="103"/>
  <c r="N62" i="13"/>
  <c r="B112" i="13"/>
  <c r="AO203" i="22"/>
  <c r="R208" i="67"/>
  <c r="AG311" i="22"/>
  <c r="L319" i="67"/>
  <c r="D58" i="53"/>
  <c r="W237" i="103"/>
  <c r="BR237" i="103"/>
  <c r="AC382" i="58"/>
  <c r="M192" i="58"/>
  <c r="CJ327" i="103"/>
  <c r="B186" i="13"/>
  <c r="N28" i="13"/>
  <c r="P28" i="13" s="1"/>
  <c r="CH379" i="103"/>
  <c r="M388" i="103"/>
  <c r="AG341" i="22"/>
  <c r="L350" i="67"/>
  <c r="CJ310" i="103"/>
  <c r="L52" i="58"/>
  <c r="R390" i="58"/>
  <c r="R377" i="58"/>
  <c r="CJ126" i="103"/>
  <c r="C4" i="13"/>
  <c r="B17" i="13"/>
  <c r="Z381" i="58"/>
  <c r="I162" i="58"/>
  <c r="Z384" i="58"/>
  <c r="I254" i="58"/>
  <c r="BA275" i="103"/>
  <c r="BA384" i="103" s="1"/>
  <c r="W45" i="103"/>
  <c r="CJ303" i="103"/>
  <c r="Y294" i="103"/>
  <c r="BP294" i="103"/>
  <c r="BO294" i="103"/>
  <c r="CJ306" i="103"/>
  <c r="W333" i="103"/>
  <c r="O79" i="13"/>
  <c r="BR201" i="103"/>
  <c r="W201" i="103"/>
  <c r="W363" i="103"/>
  <c r="CJ120" i="103"/>
  <c r="BR245" i="103"/>
  <c r="W245" i="103"/>
  <c r="B18" i="13"/>
  <c r="C383" i="103"/>
  <c r="BR223" i="103"/>
  <c r="W223" i="103"/>
  <c r="C378" i="103"/>
  <c r="BR70" i="103"/>
  <c r="BR378" i="103" s="1"/>
  <c r="W70" i="103"/>
  <c r="I135" i="67"/>
  <c r="I199" i="67"/>
  <c r="W274" i="103"/>
  <c r="BR274" i="103"/>
  <c r="CJ345" i="103"/>
  <c r="BR227" i="103"/>
  <c r="W227" i="103"/>
  <c r="W352" i="103"/>
  <c r="W327" i="103"/>
  <c r="L392" i="58"/>
  <c r="Q7" i="65" s="1"/>
  <c r="L379" i="58"/>
  <c r="X386" i="103"/>
  <c r="N5" i="13"/>
  <c r="P5" i="13" s="1"/>
  <c r="AO185" i="22"/>
  <c r="R189" i="67"/>
  <c r="Y136" i="103"/>
  <c r="BP136" i="103"/>
  <c r="BN136" i="103"/>
  <c r="BO136" i="103"/>
  <c r="CJ202" i="103"/>
  <c r="BN140" i="103"/>
  <c r="Y140" i="103"/>
  <c r="BP140" i="103"/>
  <c r="BO140" i="103"/>
  <c r="AE357" i="22"/>
  <c r="I367" i="67"/>
  <c r="R378" i="58"/>
  <c r="R391" i="58"/>
  <c r="L70" i="58"/>
  <c r="CJ109" i="103"/>
  <c r="CJ156" i="103"/>
  <c r="C107" i="13"/>
  <c r="BR253" i="103"/>
  <c r="W253" i="103"/>
  <c r="BR256" i="103"/>
  <c r="W256" i="103"/>
  <c r="W98" i="103"/>
  <c r="BR278" i="103"/>
  <c r="W278" i="103"/>
  <c r="Z382" i="58"/>
  <c r="I192" i="58"/>
  <c r="B145" i="13"/>
  <c r="D145" i="13" s="1"/>
  <c r="W322" i="103"/>
  <c r="CJ94" i="103"/>
  <c r="BR279" i="103"/>
  <c r="W279" i="103"/>
  <c r="BR22" i="103"/>
  <c r="W22" i="103"/>
  <c r="BR169" i="103"/>
  <c r="W169" i="103"/>
  <c r="BN169" i="103" s="1"/>
  <c r="J386" i="103"/>
  <c r="J402" i="103"/>
  <c r="W372" i="103"/>
  <c r="BR108" i="103"/>
  <c r="W108" i="103"/>
  <c r="CO380" i="103"/>
  <c r="W328" i="103"/>
  <c r="BR173" i="103"/>
  <c r="W173" i="103"/>
  <c r="BN173" i="103" s="1"/>
  <c r="BR225" i="103"/>
  <c r="W225" i="103"/>
  <c r="W44" i="103"/>
  <c r="AB384" i="58"/>
  <c r="K254" i="58"/>
  <c r="AO191" i="22"/>
  <c r="R195" i="67"/>
  <c r="B63" i="13"/>
  <c r="BR203" i="103"/>
  <c r="W203" i="103"/>
  <c r="W68" i="103"/>
  <c r="N46" i="13"/>
  <c r="W43" i="103"/>
  <c r="BR163" i="103"/>
  <c r="W163" i="103"/>
  <c r="BR14" i="103"/>
  <c r="W14" i="103"/>
  <c r="G388" i="58"/>
  <c r="BO304" i="103"/>
  <c r="BP304" i="103"/>
  <c r="Y304" i="103"/>
  <c r="D194" i="13"/>
  <c r="CK387" i="103"/>
  <c r="CJ30" i="103"/>
  <c r="N4" i="13"/>
  <c r="BR209" i="103"/>
  <c r="W209" i="103"/>
  <c r="X383" i="103"/>
  <c r="X378" i="103"/>
  <c r="CO26" i="103"/>
  <c r="BR194" i="103"/>
  <c r="W194" i="103"/>
  <c r="N57" i="13"/>
  <c r="AB377" i="103"/>
  <c r="W94" i="103"/>
  <c r="BR33" i="103"/>
  <c r="W33" i="103"/>
  <c r="W364" i="103"/>
  <c r="B24" i="13"/>
  <c r="W341" i="103"/>
  <c r="W47" i="103"/>
  <c r="Y287" i="103"/>
  <c r="BP287" i="103"/>
  <c r="BO287" i="103"/>
  <c r="W358" i="103"/>
  <c r="W371" i="103"/>
  <c r="AB383" i="103"/>
  <c r="AA379" i="58"/>
  <c r="J101" i="58"/>
  <c r="W63" i="103"/>
  <c r="B200" i="13"/>
  <c r="CJ21" i="103"/>
  <c r="R379" i="58"/>
  <c r="N109" i="13"/>
  <c r="B65" i="13"/>
  <c r="BR115" i="103"/>
  <c r="W115" i="103"/>
  <c r="W334" i="103"/>
  <c r="BR12" i="103"/>
  <c r="W12" i="103"/>
  <c r="CJ184" i="103"/>
  <c r="W95" i="103"/>
  <c r="R382" i="58"/>
  <c r="N61" i="13"/>
  <c r="C174" i="13"/>
  <c r="G181" i="13" s="1"/>
  <c r="BR259" i="103"/>
  <c r="W259" i="103"/>
  <c r="W74" i="103"/>
  <c r="BR191" i="103"/>
  <c r="W191" i="103"/>
  <c r="BN191" i="103" s="1"/>
  <c r="C106" i="13"/>
  <c r="B169" i="13"/>
  <c r="D169" i="13" s="1"/>
  <c r="B168" i="13"/>
  <c r="D168" i="13" s="1"/>
  <c r="AB382" i="58"/>
  <c r="K192" i="58"/>
  <c r="BR205" i="103"/>
  <c r="W205" i="103"/>
  <c r="AO224" i="22"/>
  <c r="CF383" i="103"/>
  <c r="R230" i="67"/>
  <c r="B156" i="13"/>
  <c r="D156" i="13" s="1"/>
  <c r="N125" i="13"/>
  <c r="W60" i="103"/>
  <c r="W375" i="103"/>
  <c r="AQ316" i="22"/>
  <c r="CL386" i="103"/>
  <c r="AG307" i="22"/>
  <c r="L315" i="67"/>
  <c r="AC381" i="58"/>
  <c r="M162" i="58"/>
  <c r="W325" i="103"/>
  <c r="W350" i="103"/>
  <c r="AC384" i="58"/>
  <c r="M254" i="58"/>
  <c r="CG377" i="103"/>
  <c r="BA42" i="103"/>
  <c r="AO164" i="22"/>
  <c r="R168" i="67"/>
  <c r="BR241" i="103"/>
  <c r="W241" i="103"/>
  <c r="W360" i="103"/>
  <c r="B143" i="13"/>
  <c r="AB381" i="103"/>
  <c r="W367" i="103"/>
  <c r="CG380" i="103"/>
  <c r="BA131" i="103"/>
  <c r="BR202" i="103"/>
  <c r="W202" i="103"/>
  <c r="W79" i="103"/>
  <c r="BR185" i="103"/>
  <c r="W185" i="103"/>
  <c r="BN185" i="103" s="1"/>
  <c r="B41" i="13"/>
  <c r="B81" i="13"/>
  <c r="Y285" i="103"/>
  <c r="BP285" i="103"/>
  <c r="BO285" i="103"/>
  <c r="W58" i="103"/>
  <c r="B179" i="13"/>
  <c r="G401" i="58"/>
  <c r="B132" i="13"/>
  <c r="BR103" i="103"/>
  <c r="W103" i="103"/>
  <c r="L385" i="58"/>
  <c r="L398" i="58"/>
  <c r="AI7" i="65" s="1"/>
  <c r="BR207" i="103"/>
  <c r="W207" i="103"/>
  <c r="BR244" i="103"/>
  <c r="W244" i="103"/>
  <c r="AA380" i="58"/>
  <c r="J131" i="58"/>
  <c r="BR118" i="103"/>
  <c r="W118" i="103"/>
  <c r="B141" i="13"/>
  <c r="AO182" i="22"/>
  <c r="R186" i="67"/>
  <c r="R400" i="58"/>
  <c r="R387" i="58"/>
  <c r="L345" i="58"/>
  <c r="AE372" i="22"/>
  <c r="I382" i="67"/>
  <c r="U12" i="68" s="1"/>
  <c r="N21" i="13"/>
  <c r="P21" i="13" s="1"/>
  <c r="B123" i="13"/>
  <c r="BR113" i="103"/>
  <c r="W113" i="103"/>
  <c r="Z379" i="58"/>
  <c r="I101" i="58"/>
  <c r="B135" i="13"/>
  <c r="W339" i="103"/>
  <c r="R392" i="58"/>
  <c r="Y160" i="103"/>
  <c r="BP160" i="103"/>
  <c r="BO160" i="103"/>
  <c r="BN160" i="103"/>
  <c r="B190" i="13"/>
  <c r="B43" i="13"/>
  <c r="BR32" i="103"/>
  <c r="W32" i="103"/>
  <c r="CM376" i="103"/>
  <c r="CG11" i="103"/>
  <c r="BR16" i="103"/>
  <c r="W16" i="103"/>
  <c r="CO17" i="103"/>
  <c r="BA17" i="103" s="1"/>
  <c r="W50" i="103"/>
  <c r="W78" i="103"/>
  <c r="AE345" i="22"/>
  <c r="I354" i="67"/>
  <c r="BR281" i="103"/>
  <c r="W281" i="103"/>
  <c r="Y141" i="103"/>
  <c r="BP141" i="103"/>
  <c r="BO141" i="103"/>
  <c r="BN141" i="103"/>
  <c r="W277" i="103"/>
  <c r="BR277" i="103"/>
  <c r="AA382" i="58"/>
  <c r="J192" i="58"/>
  <c r="CH383" i="103"/>
  <c r="BR266" i="103"/>
  <c r="W266" i="103"/>
  <c r="AG368" i="22"/>
  <c r="L378" i="67"/>
  <c r="B55" i="13"/>
  <c r="N7" i="13"/>
  <c r="P7" i="13" s="1"/>
  <c r="BR230" i="103"/>
  <c r="W230" i="103"/>
  <c r="BR34" i="103"/>
  <c r="W34" i="103"/>
  <c r="BR166" i="103"/>
  <c r="W166" i="103"/>
  <c r="BN166" i="103" s="1"/>
  <c r="B203" i="13"/>
  <c r="W373" i="103"/>
  <c r="W320" i="103"/>
  <c r="AO241" i="22"/>
  <c r="R247" i="67"/>
  <c r="Y291" i="103"/>
  <c r="BP291" i="103"/>
  <c r="BO291" i="103"/>
  <c r="W92" i="103"/>
  <c r="W319" i="103"/>
  <c r="AA384" i="58"/>
  <c r="J254" i="58"/>
  <c r="CG385" i="103"/>
  <c r="BA284" i="103"/>
  <c r="L167" i="67"/>
  <c r="CK381" i="103"/>
  <c r="L114" i="67"/>
  <c r="CK379" i="103"/>
  <c r="BR116" i="103"/>
  <c r="W116" i="103"/>
  <c r="BR13" i="103"/>
  <c r="W13" i="103"/>
  <c r="BR19" i="103"/>
  <c r="W19" i="103"/>
  <c r="AO206" i="22"/>
  <c r="R211" i="67"/>
  <c r="W349" i="103"/>
  <c r="N111" i="13"/>
  <c r="B144" i="13"/>
  <c r="B10" i="13"/>
  <c r="AB383" i="58"/>
  <c r="K223" i="58"/>
  <c r="R385" i="58"/>
  <c r="AO183" i="22"/>
  <c r="R187" i="67"/>
  <c r="C384" i="103"/>
  <c r="BR254" i="103"/>
  <c r="W254" i="103"/>
  <c r="B39" i="13"/>
  <c r="CK376" i="103"/>
  <c r="N119" i="13"/>
  <c r="AG294" i="22"/>
  <c r="L302" i="67"/>
  <c r="B125" i="13"/>
  <c r="B38" i="13"/>
  <c r="AC380" i="58"/>
  <c r="M131" i="58"/>
  <c r="AE318" i="22"/>
  <c r="I327" i="67"/>
  <c r="W189" i="103"/>
  <c r="BN189" i="103" s="1"/>
  <c r="BR189" i="103"/>
  <c r="N13" i="13"/>
  <c r="P13" i="13" s="1"/>
  <c r="C88" i="13"/>
  <c r="N80" i="13"/>
  <c r="O9" i="13"/>
  <c r="W329" i="103"/>
  <c r="C30" i="13"/>
  <c r="N19" i="13"/>
  <c r="P19" i="13" s="1"/>
  <c r="N38" i="13"/>
  <c r="CO22" i="103"/>
  <c r="B50" i="13"/>
  <c r="AC379" i="58"/>
  <c r="M101" i="58"/>
  <c r="BR257" i="103"/>
  <c r="W257" i="103"/>
  <c r="BN38" i="103"/>
  <c r="Y38" i="103"/>
  <c r="BP38" i="103"/>
  <c r="BO38" i="103"/>
  <c r="N123" i="13"/>
  <c r="N6" i="13"/>
  <c r="P6" i="13" s="1"/>
  <c r="B202" i="13"/>
  <c r="BR176" i="103"/>
  <c r="W176" i="103"/>
  <c r="BN176" i="103" s="1"/>
  <c r="BR124" i="103"/>
  <c r="W124" i="103"/>
  <c r="W355" i="103"/>
  <c r="BR206" i="103"/>
  <c r="W206" i="103"/>
  <c r="BR222" i="103"/>
  <c r="W222" i="103"/>
  <c r="W56" i="103"/>
  <c r="W87" i="103"/>
  <c r="L54" i="67"/>
  <c r="CK377" i="103"/>
  <c r="W53" i="103"/>
  <c r="BO295" i="103"/>
  <c r="BP295" i="103"/>
  <c r="Y295" i="103"/>
  <c r="L136" i="67"/>
  <c r="CK380" i="103"/>
  <c r="B120" i="13"/>
  <c r="BR112" i="103"/>
  <c r="W112" i="103"/>
  <c r="CJ197" i="103"/>
  <c r="B97" i="13"/>
  <c r="BR114" i="103"/>
  <c r="W114" i="103"/>
  <c r="BR211" i="103"/>
  <c r="W211" i="103"/>
  <c r="W84" i="103"/>
  <c r="CO31" i="103"/>
  <c r="BR40" i="103"/>
  <c r="W40" i="103"/>
  <c r="BR119" i="103"/>
  <c r="W119" i="103"/>
  <c r="Y293" i="103"/>
  <c r="BP293" i="103"/>
  <c r="BO293" i="103"/>
  <c r="W168" i="103"/>
  <c r="BN168" i="103" s="1"/>
  <c r="BR168" i="103"/>
  <c r="AM255" i="22"/>
  <c r="AM254" i="103"/>
  <c r="B46" i="13"/>
  <c r="W368" i="103"/>
  <c r="B48" i="13"/>
  <c r="AG304" i="22"/>
  <c r="L312" i="67"/>
  <c r="CJ240" i="103"/>
  <c r="AC377" i="58"/>
  <c r="M42" i="58"/>
  <c r="CJ114" i="103"/>
  <c r="W177" i="103"/>
  <c r="BN177" i="103" s="1"/>
  <c r="BR177" i="103"/>
  <c r="BR263" i="103"/>
  <c r="W263" i="103"/>
  <c r="Y290" i="103"/>
  <c r="BP290" i="103"/>
  <c r="BO290" i="103"/>
  <c r="CO37" i="103"/>
  <c r="B185" i="13"/>
  <c r="N40" i="13"/>
  <c r="B51" i="13"/>
  <c r="BR111" i="103"/>
  <c r="W111" i="103"/>
  <c r="W359" i="103"/>
  <c r="B187" i="13"/>
  <c r="CJ361" i="103"/>
  <c r="Z383" i="58"/>
  <c r="I223" i="58"/>
  <c r="R398" i="58"/>
  <c r="X384" i="103"/>
  <c r="BR265" i="103"/>
  <c r="W265" i="103"/>
  <c r="BO301" i="103"/>
  <c r="BP301" i="103"/>
  <c r="Y301" i="103"/>
  <c r="Z380" i="58"/>
  <c r="I131" i="58"/>
  <c r="AB378" i="103"/>
  <c r="W89" i="103"/>
  <c r="C38" i="13"/>
  <c r="W331" i="103"/>
  <c r="W90" i="103"/>
  <c r="AB379" i="58"/>
  <c r="K101" i="58"/>
  <c r="W332" i="103"/>
  <c r="BR30" i="103"/>
  <c r="W30" i="103"/>
  <c r="L396" i="58"/>
  <c r="AC7" i="65" s="1"/>
  <c r="L383" i="58"/>
  <c r="B26" i="13"/>
  <c r="B122" i="13"/>
  <c r="B91" i="13"/>
  <c r="C62" i="13"/>
  <c r="AE349" i="22"/>
  <c r="I359" i="67"/>
  <c r="AG367" i="22"/>
  <c r="L377" i="67"/>
  <c r="AE363" i="22"/>
  <c r="I373" i="67"/>
  <c r="L389" i="58"/>
  <c r="L376" i="58"/>
  <c r="AO198" i="22"/>
  <c r="R203" i="67"/>
  <c r="N44" i="13"/>
  <c r="B133" i="13"/>
  <c r="Y303" i="103"/>
  <c r="BP303" i="103"/>
  <c r="BO303" i="103"/>
  <c r="W234" i="103"/>
  <c r="BR234" i="103"/>
  <c r="N118" i="13"/>
  <c r="B5" i="13"/>
  <c r="BR214" i="103"/>
  <c r="W214" i="103"/>
  <c r="W46" i="103"/>
  <c r="W97" i="103"/>
  <c r="C387" i="103"/>
  <c r="W345" i="103"/>
  <c r="N66" i="13"/>
  <c r="BR215" i="103"/>
  <c r="W215" i="103"/>
  <c r="AO12" i="22"/>
  <c r="R11" i="67"/>
  <c r="O38" i="13"/>
  <c r="S45" i="13" s="1"/>
  <c r="Y300" i="103"/>
  <c r="BP300" i="103"/>
  <c r="BO300" i="103"/>
  <c r="BR106" i="103"/>
  <c r="W106" i="103"/>
  <c r="W77" i="103"/>
  <c r="W280" i="103"/>
  <c r="BR280" i="103"/>
  <c r="B119" i="13"/>
  <c r="AA377" i="58"/>
  <c r="J42" i="58"/>
  <c r="CO387" i="103"/>
  <c r="AA381" i="58"/>
  <c r="J162" i="58"/>
  <c r="W82" i="103"/>
  <c r="W374" i="103"/>
  <c r="AO218" i="22"/>
  <c r="R223" i="67"/>
  <c r="BR270" i="103"/>
  <c r="W270" i="103"/>
  <c r="BP289" i="103"/>
  <c r="BO289" i="103"/>
  <c r="Y289" i="103"/>
  <c r="BR267" i="103"/>
  <c r="W267" i="103"/>
  <c r="BR182" i="103"/>
  <c r="W182" i="103"/>
  <c r="BN182" i="103" s="1"/>
  <c r="AG305" i="22"/>
  <c r="L313" i="67"/>
  <c r="BR187" i="103"/>
  <c r="W187" i="103"/>
  <c r="BN187" i="103" s="1"/>
  <c r="B110" i="13"/>
  <c r="W268" i="103"/>
  <c r="BR268" i="103"/>
  <c r="Y297" i="103"/>
  <c r="BP297" i="103"/>
  <c r="BO297" i="103"/>
  <c r="N48" i="13"/>
  <c r="L393" i="58"/>
  <c r="T7" i="65" s="1"/>
  <c r="L380" i="58"/>
  <c r="BR164" i="103"/>
  <c r="W164" i="103"/>
  <c r="BP302" i="103"/>
  <c r="BO302" i="103"/>
  <c r="Y302" i="103"/>
  <c r="C61" i="13"/>
  <c r="BR172" i="103"/>
  <c r="W172" i="103"/>
  <c r="BN172" i="103" s="1"/>
  <c r="AC383" i="58"/>
  <c r="M223" i="58"/>
  <c r="AO215" i="22"/>
  <c r="R220" i="67"/>
  <c r="B161" i="13"/>
  <c r="D161" i="13" s="1"/>
  <c r="B146" i="13"/>
  <c r="D146" i="13" s="1"/>
  <c r="W316" i="103"/>
  <c r="N91" i="13"/>
  <c r="AB380" i="58"/>
  <c r="K131" i="58"/>
  <c r="BR181" i="103"/>
  <c r="W181" i="103"/>
  <c r="BN181" i="103" s="1"/>
  <c r="BR208" i="103"/>
  <c r="W208" i="103"/>
  <c r="W369" i="103"/>
  <c r="B176" i="13"/>
  <c r="B175" i="13"/>
  <c r="AE358" i="22"/>
  <c r="I368" i="67"/>
  <c r="B159" i="13"/>
  <c r="D159" i="13" s="1"/>
  <c r="BR217" i="103"/>
  <c r="W217" i="103"/>
  <c r="W49" i="103"/>
  <c r="N60" i="13"/>
  <c r="N83" i="13"/>
  <c r="W330" i="103"/>
  <c r="C385" i="103"/>
  <c r="W284" i="103"/>
  <c r="CK378" i="103"/>
  <c r="R383" i="58"/>
  <c r="BR26" i="103"/>
  <c r="W26" i="103"/>
  <c r="B75" i="13"/>
  <c r="N92" i="13"/>
  <c r="B109" i="13"/>
  <c r="AG295" i="22"/>
  <c r="L303" i="67"/>
  <c r="AC378" i="58"/>
  <c r="M70" i="58"/>
  <c r="N75" i="13"/>
  <c r="R376" i="58"/>
  <c r="AB376" i="58"/>
  <c r="K11" i="58"/>
  <c r="CM194" i="103"/>
  <c r="CG194" i="103" s="1"/>
  <c r="W64" i="103"/>
  <c r="CI388" i="103"/>
  <c r="W76" i="103"/>
  <c r="CJ161" i="103"/>
  <c r="W71" i="103"/>
  <c r="B158" i="13"/>
  <c r="D158" i="13" s="1"/>
  <c r="B90" i="13"/>
  <c r="BR126" i="103"/>
  <c r="W126" i="103"/>
  <c r="BR28" i="103"/>
  <c r="W28" i="103"/>
  <c r="BP292" i="103"/>
  <c r="BO292" i="103"/>
  <c r="Y292" i="103"/>
  <c r="X387" i="103"/>
  <c r="N24" i="13"/>
  <c r="CH376" i="103"/>
  <c r="CJ328" i="103"/>
  <c r="W165" i="103"/>
  <c r="BR165" i="103"/>
  <c r="B149" i="13"/>
  <c r="D149" i="13" s="1"/>
  <c r="B166" i="13"/>
  <c r="D166" i="13" s="1"/>
  <c r="AB377" i="58"/>
  <c r="K42" i="58"/>
  <c r="CO379" i="103"/>
  <c r="CH386" i="103"/>
  <c r="CF315" i="103"/>
  <c r="CJ217" i="103"/>
  <c r="J396" i="103"/>
  <c r="J380" i="103"/>
  <c r="CO30" i="103"/>
  <c r="W340" i="103"/>
  <c r="J384" i="103"/>
  <c r="J400" i="103"/>
  <c r="B160" i="13"/>
  <c r="AQ163" i="22"/>
  <c r="CL381" i="103"/>
  <c r="W72" i="103"/>
  <c r="W99" i="103"/>
  <c r="R380" i="58"/>
  <c r="B191" i="13"/>
  <c r="N116" i="13"/>
  <c r="AA383" i="58"/>
  <c r="J223" i="58"/>
  <c r="N33" i="13"/>
  <c r="P33" i="13" s="1"/>
  <c r="CG386" i="103"/>
  <c r="BA315" i="103"/>
  <c r="AQ346" i="22"/>
  <c r="CL387" i="103"/>
  <c r="BR204" i="103"/>
  <c r="W204" i="103"/>
  <c r="B14" i="13"/>
  <c r="B165" i="13"/>
  <c r="D165" i="13" s="1"/>
  <c r="W346" i="103"/>
  <c r="N82" i="13"/>
  <c r="BR260" i="103"/>
  <c r="W260" i="103"/>
  <c r="B72" i="13"/>
  <c r="N124" i="13"/>
  <c r="AE364" i="22"/>
  <c r="I374" i="67"/>
  <c r="W75" i="103"/>
  <c r="W336" i="103"/>
  <c r="AB376" i="103"/>
  <c r="BR219" i="103"/>
  <c r="W219" i="103"/>
  <c r="X385" i="103"/>
  <c r="W258" i="103"/>
  <c r="BR258" i="103"/>
  <c r="R396" i="58"/>
  <c r="N78" i="13"/>
  <c r="BR248" i="103"/>
  <c r="W248" i="103"/>
  <c r="B115" i="13"/>
  <c r="B45" i="13"/>
  <c r="N54" i="13"/>
  <c r="B129" i="13"/>
  <c r="B98" i="13"/>
  <c r="BR236" i="103"/>
  <c r="W236" i="103"/>
  <c r="Z378" i="58"/>
  <c r="I70" i="58"/>
  <c r="O4" i="13"/>
  <c r="BR249" i="103"/>
  <c r="W249" i="103"/>
  <c r="R389" i="58"/>
  <c r="Z376" i="58"/>
  <c r="I11" i="58"/>
  <c r="AR196" i="103"/>
  <c r="BB195" i="103"/>
  <c r="BD195" i="103"/>
  <c r="W243" i="103"/>
  <c r="BR243" i="103"/>
  <c r="B89" i="13"/>
  <c r="AO295" i="22"/>
  <c r="R303" i="67"/>
  <c r="F403" i="103"/>
  <c r="W61" i="103"/>
  <c r="B164" i="13"/>
  <c r="D164" i="13" s="1"/>
  <c r="W171" i="103"/>
  <c r="BN171" i="103" s="1"/>
  <c r="BR171" i="103"/>
  <c r="C380" i="103"/>
  <c r="W131" i="103"/>
  <c r="N99" i="13"/>
  <c r="AB379" i="103"/>
  <c r="W370" i="103"/>
  <c r="W186" i="103"/>
  <c r="BN186" i="103" s="1"/>
  <c r="BR186" i="103"/>
  <c r="BP286" i="103"/>
  <c r="BO286" i="103"/>
  <c r="Y286" i="103"/>
  <c r="AG375" i="22"/>
  <c r="L385" i="67"/>
  <c r="AA15" i="68" s="1"/>
  <c r="BR170" i="103"/>
  <c r="W170" i="103"/>
  <c r="BN170" i="103" s="1"/>
  <c r="W337" i="103"/>
  <c r="Z377" i="58"/>
  <c r="I42" i="58"/>
  <c r="AB381" i="58"/>
  <c r="K162" i="58"/>
  <c r="CJ354" i="103"/>
  <c r="CJ41" i="103"/>
  <c r="C381" i="103"/>
  <c r="BR162" i="103"/>
  <c r="W162" i="103"/>
  <c r="W354" i="103"/>
  <c r="W348" i="103"/>
  <c r="CJ315" i="103"/>
  <c r="X381" i="103"/>
  <c r="BR269" i="103"/>
  <c r="W269" i="103"/>
  <c r="BR235" i="103"/>
  <c r="W235" i="103"/>
  <c r="B94" i="13"/>
  <c r="BR250" i="103"/>
  <c r="W250" i="103"/>
  <c r="CJ96" i="103"/>
  <c r="CJ72" i="103"/>
  <c r="BR129" i="103"/>
  <c r="W129" i="103"/>
  <c r="W321" i="103"/>
  <c r="B82" i="13"/>
  <c r="N50" i="13"/>
  <c r="BR210" i="103"/>
  <c r="W210" i="103"/>
  <c r="O72" i="13"/>
  <c r="R393" i="58"/>
  <c r="AO186" i="22"/>
  <c r="R190" i="67"/>
  <c r="W62" i="103"/>
  <c r="AO288" i="22"/>
  <c r="R296" i="67"/>
  <c r="B153" i="13"/>
  <c r="D153" i="13" s="1"/>
  <c r="N89" i="13"/>
  <c r="N10" i="13"/>
  <c r="P10" i="13" s="1"/>
  <c r="AC388" i="103"/>
  <c r="W48" i="103"/>
  <c r="Y288" i="103"/>
  <c r="BP288" i="103"/>
  <c r="BO288" i="103"/>
  <c r="AO310" i="22"/>
  <c r="R318" i="67"/>
  <c r="W357" i="103"/>
  <c r="C376" i="103"/>
  <c r="BR11" i="103"/>
  <c r="W11" i="103"/>
  <c r="B58" i="13"/>
  <c r="BR272" i="103"/>
  <c r="W272" i="103"/>
  <c r="D49" i="53"/>
  <c r="E388" i="103"/>
  <c r="BR29" i="103"/>
  <c r="W29" i="103"/>
  <c r="W351" i="103"/>
  <c r="BR218" i="103"/>
  <c r="W218" i="103"/>
  <c r="BR213" i="103"/>
  <c r="W213" i="103"/>
  <c r="C31" i="13"/>
  <c r="AG328" i="22"/>
  <c r="L337" i="67"/>
  <c r="AQ71" i="22"/>
  <c r="CL378" i="103"/>
  <c r="CJ91" i="103"/>
  <c r="BR15" i="103"/>
  <c r="W15" i="103"/>
  <c r="AA378" i="58"/>
  <c r="J70" i="58"/>
  <c r="BO298" i="103"/>
  <c r="BP298" i="103"/>
  <c r="Y298" i="103"/>
  <c r="O106" i="13"/>
  <c r="S113" i="13" s="1"/>
  <c r="AC376" i="58"/>
  <c r="M11" i="58"/>
  <c r="BR276" i="103"/>
  <c r="W276" i="103"/>
  <c r="B188" i="13"/>
  <c r="BR41" i="103"/>
  <c r="W41" i="103"/>
  <c r="BR123" i="103"/>
  <c r="W123" i="103"/>
  <c r="N63" i="13"/>
  <c r="B25" i="13"/>
  <c r="B34" i="13"/>
  <c r="CJ294" i="103"/>
  <c r="W51" i="103"/>
  <c r="BR199" i="103"/>
  <c r="W199" i="103"/>
  <c r="CF195" i="103"/>
  <c r="CH382" i="103"/>
  <c r="B80" i="13"/>
  <c r="AG338" i="22"/>
  <c r="L347" i="67"/>
  <c r="AG159" i="23"/>
  <c r="N55" i="13"/>
  <c r="N77" i="13"/>
  <c r="X380" i="103"/>
  <c r="BR238" i="103"/>
  <c r="W238" i="103"/>
  <c r="N52" i="13"/>
  <c r="BM165" i="103" l="1"/>
  <c r="BN165" i="103"/>
  <c r="BM164" i="103"/>
  <c r="BN164" i="103"/>
  <c r="BM163" i="103"/>
  <c r="BN163" i="103"/>
  <c r="BN162" i="103"/>
  <c r="R165" i="67"/>
  <c r="R148" i="67"/>
  <c r="AO157" i="22"/>
  <c r="BO161" i="103"/>
  <c r="AO151" i="22"/>
  <c r="BP161" i="103"/>
  <c r="AO135" i="22"/>
  <c r="Y161" i="103"/>
  <c r="AL161" i="103" s="1"/>
  <c r="AO138" i="22"/>
  <c r="AO127" i="22"/>
  <c r="AO139" i="22"/>
  <c r="AO153" i="22"/>
  <c r="AO130" i="22"/>
  <c r="AO148" i="22"/>
  <c r="AO144" i="22"/>
  <c r="AO156" i="22"/>
  <c r="BN159" i="103"/>
  <c r="BO159" i="103"/>
  <c r="BP159" i="103"/>
  <c r="BN157" i="103"/>
  <c r="BO157" i="103"/>
  <c r="BP157" i="103"/>
  <c r="BO156" i="103"/>
  <c r="BP156" i="103"/>
  <c r="Y156" i="103"/>
  <c r="BN152" i="103"/>
  <c r="BO155" i="103"/>
  <c r="BP155" i="103"/>
  <c r="Y155" i="103"/>
  <c r="R160" i="67"/>
  <c r="R159" i="67"/>
  <c r="BO154" i="103"/>
  <c r="BO153" i="103"/>
  <c r="Y153" i="103"/>
  <c r="BP153" i="103"/>
  <c r="Y152" i="103"/>
  <c r="BO152" i="103"/>
  <c r="R156" i="67"/>
  <c r="BN151" i="103"/>
  <c r="BO151" i="103"/>
  <c r="BP151" i="103"/>
  <c r="BP154" i="103"/>
  <c r="Y154" i="103"/>
  <c r="BN150" i="103"/>
  <c r="BO150" i="103"/>
  <c r="BP150" i="103"/>
  <c r="R154" i="67"/>
  <c r="BO149" i="103"/>
  <c r="BP149" i="103"/>
  <c r="Y149" i="103"/>
  <c r="BP147" i="103"/>
  <c r="BN148" i="103"/>
  <c r="BO148" i="103"/>
  <c r="BP148" i="103"/>
  <c r="Y147" i="103"/>
  <c r="AL147" i="103" s="1"/>
  <c r="BN147" i="103"/>
  <c r="R151" i="67"/>
  <c r="BO146" i="103"/>
  <c r="BP146" i="103"/>
  <c r="Y146" i="103"/>
  <c r="BO145" i="103"/>
  <c r="BP145" i="103"/>
  <c r="Y145" i="103"/>
  <c r="BP144" i="103"/>
  <c r="BO144" i="103"/>
  <c r="Y144" i="103"/>
  <c r="AO145" i="22"/>
  <c r="AL148" i="103"/>
  <c r="AL157" i="103"/>
  <c r="AL159" i="103"/>
  <c r="AL158" i="103"/>
  <c r="AL160" i="103"/>
  <c r="AL151" i="103"/>
  <c r="BO142" i="103"/>
  <c r="Y143" i="103"/>
  <c r="BN143" i="103"/>
  <c r="BO143" i="103"/>
  <c r="BN142" i="103"/>
  <c r="BP142" i="103"/>
  <c r="R147" i="67"/>
  <c r="R141" i="67"/>
  <c r="R138" i="67"/>
  <c r="AL142" i="103"/>
  <c r="AL141" i="103"/>
  <c r="AL140" i="103"/>
  <c r="R142" i="67"/>
  <c r="AL139" i="103"/>
  <c r="BO133" i="103"/>
  <c r="BN133" i="103"/>
  <c r="BP133" i="103"/>
  <c r="CF380" i="103"/>
  <c r="BP132" i="103"/>
  <c r="Y132" i="103"/>
  <c r="AL136" i="103"/>
  <c r="AL135" i="103"/>
  <c r="R136" i="67"/>
  <c r="BN132" i="103"/>
  <c r="AO133" i="22"/>
  <c r="AL133" i="103"/>
  <c r="R129" i="67"/>
  <c r="BA380" i="103"/>
  <c r="R132" i="67"/>
  <c r="AO110" i="22"/>
  <c r="R124" i="67"/>
  <c r="AO112" i="22"/>
  <c r="AO115" i="22"/>
  <c r="AO109" i="22"/>
  <c r="AO125" i="22"/>
  <c r="AO118" i="22"/>
  <c r="AO121" i="22"/>
  <c r="AO122" i="22"/>
  <c r="R127" i="67"/>
  <c r="R123" i="67"/>
  <c r="R117" i="67"/>
  <c r="R120" i="67"/>
  <c r="R114" i="67"/>
  <c r="R111" i="67"/>
  <c r="CF379" i="103"/>
  <c r="R112" i="67"/>
  <c r="BO102" i="103"/>
  <c r="BP102" i="103"/>
  <c r="Y102" i="103"/>
  <c r="N18" i="62"/>
  <c r="BA379" i="103"/>
  <c r="E18" i="62"/>
  <c r="D19" i="62"/>
  <c r="G19" i="62"/>
  <c r="H19" i="62" s="1"/>
  <c r="I19" i="62"/>
  <c r="J19" i="62" s="1"/>
  <c r="C19" i="62"/>
  <c r="F19" i="62"/>
  <c r="O19" i="62"/>
  <c r="M19" i="62"/>
  <c r="K19" i="62"/>
  <c r="R100" i="67"/>
  <c r="AO99" i="22"/>
  <c r="AO80" i="22"/>
  <c r="R92" i="67"/>
  <c r="AO92" i="22"/>
  <c r="R74" i="67"/>
  <c r="AO82" i="22"/>
  <c r="AO95" i="22"/>
  <c r="AO68" i="22"/>
  <c r="AO96" i="22"/>
  <c r="AO70" i="22"/>
  <c r="R98" i="67"/>
  <c r="AO88" i="22"/>
  <c r="R78" i="67"/>
  <c r="R79" i="67"/>
  <c r="AO97" i="22"/>
  <c r="R97" i="67"/>
  <c r="R96" i="67"/>
  <c r="AO91" i="22"/>
  <c r="R93" i="67"/>
  <c r="R89" i="67"/>
  <c r="BN86" i="103"/>
  <c r="BO86" i="103"/>
  <c r="BP86" i="103"/>
  <c r="AL86" i="103"/>
  <c r="R83" i="67"/>
  <c r="AO78" i="22"/>
  <c r="R81" i="67"/>
  <c r="AO77" i="22"/>
  <c r="CQ388" i="103"/>
  <c r="AO73" i="22"/>
  <c r="BA378" i="103"/>
  <c r="R68" i="67"/>
  <c r="BN66" i="103"/>
  <c r="R70" i="67"/>
  <c r="R41" i="67"/>
  <c r="AO54" i="22"/>
  <c r="AO64" i="22"/>
  <c r="R59" i="67"/>
  <c r="BO65" i="103"/>
  <c r="BO66" i="103"/>
  <c r="BP66" i="103"/>
  <c r="Y65" i="103"/>
  <c r="BN65" i="103"/>
  <c r="R64" i="67"/>
  <c r="AL66" i="103"/>
  <c r="AO59" i="22"/>
  <c r="R54" i="67"/>
  <c r="BP37" i="103"/>
  <c r="BA377" i="103"/>
  <c r="AO42" i="22"/>
  <c r="AO22" i="22"/>
  <c r="AO37" i="22"/>
  <c r="AO25" i="22"/>
  <c r="R12" i="67"/>
  <c r="R25" i="67"/>
  <c r="AO38" i="22"/>
  <c r="AO31" i="22"/>
  <c r="BN37" i="103"/>
  <c r="Y37" i="103"/>
  <c r="AL37" i="103" s="1"/>
  <c r="R37" i="67"/>
  <c r="BN36" i="103"/>
  <c r="BO36" i="103"/>
  <c r="R36" i="67"/>
  <c r="BP36" i="103"/>
  <c r="BA39" i="103"/>
  <c r="AL38" i="103"/>
  <c r="BA37" i="103"/>
  <c r="BA35" i="103"/>
  <c r="R30" i="67"/>
  <c r="BA31" i="103"/>
  <c r="R24" i="67"/>
  <c r="BA29" i="103"/>
  <c r="AO26" i="22"/>
  <c r="BA27" i="103"/>
  <c r="BA26" i="103"/>
  <c r="R21" i="67"/>
  <c r="BA22" i="103"/>
  <c r="AL20" i="103"/>
  <c r="AO13" i="22"/>
  <c r="BA15" i="103"/>
  <c r="BA14" i="103"/>
  <c r="CF376" i="103"/>
  <c r="BA12" i="103"/>
  <c r="R372" i="67"/>
  <c r="AO367" i="22"/>
  <c r="AO353" i="22"/>
  <c r="AO355" i="22"/>
  <c r="AO344" i="22"/>
  <c r="R377" i="67"/>
  <c r="AO362" i="22"/>
  <c r="R365" i="67"/>
  <c r="R363" i="67"/>
  <c r="BA387" i="103"/>
  <c r="S175" i="13"/>
  <c r="T184" i="13" s="1"/>
  <c r="R353" i="67"/>
  <c r="I400" i="58"/>
  <c r="AO9" i="65" s="1"/>
  <c r="I387" i="58"/>
  <c r="J400" i="58"/>
  <c r="AO10" i="65" s="1"/>
  <c r="J387" i="58"/>
  <c r="K400" i="58"/>
  <c r="AO8" i="65" s="1"/>
  <c r="K387" i="58"/>
  <c r="M400" i="58"/>
  <c r="AO11" i="65" s="1"/>
  <c r="M387" i="58"/>
  <c r="U177" i="13"/>
  <c r="U174" i="13"/>
  <c r="U181" i="13"/>
  <c r="U184" i="13"/>
  <c r="U178" i="13"/>
  <c r="U176" i="13"/>
  <c r="U179" i="13"/>
  <c r="U180" i="13"/>
  <c r="U183" i="13"/>
  <c r="U182" i="13"/>
  <c r="U175" i="13"/>
  <c r="BO368" i="103"/>
  <c r="BP368" i="103"/>
  <c r="BO373" i="103"/>
  <c r="BP373" i="103"/>
  <c r="BO353" i="103"/>
  <c r="BP353" i="103"/>
  <c r="BO366" i="103"/>
  <c r="BP366" i="103"/>
  <c r="BO356" i="103"/>
  <c r="BP356" i="103"/>
  <c r="BO375" i="103"/>
  <c r="BP375" i="103"/>
  <c r="BO361" i="103"/>
  <c r="BP361" i="103"/>
  <c r="BO351" i="103"/>
  <c r="BP351" i="103"/>
  <c r="BO362" i="103"/>
  <c r="BP362" i="103"/>
  <c r="BO357" i="103"/>
  <c r="BP357" i="103"/>
  <c r="BO355" i="103"/>
  <c r="BP355" i="103"/>
  <c r="BO364" i="103"/>
  <c r="BP364" i="103"/>
  <c r="BO365" i="103"/>
  <c r="BP365" i="103"/>
  <c r="BO370" i="103"/>
  <c r="BP370" i="103"/>
  <c r="BO369" i="103"/>
  <c r="BP369" i="103"/>
  <c r="BO372" i="103"/>
  <c r="BP372" i="103"/>
  <c r="BO348" i="103"/>
  <c r="BP348" i="103"/>
  <c r="BO374" i="103"/>
  <c r="BP374" i="103"/>
  <c r="BO367" i="103"/>
  <c r="BP367" i="103"/>
  <c r="BO350" i="103"/>
  <c r="BP350" i="103"/>
  <c r="BO354" i="103"/>
  <c r="BP354" i="103"/>
  <c r="BO346" i="103"/>
  <c r="BP346" i="103"/>
  <c r="BO359" i="103"/>
  <c r="BP359" i="103"/>
  <c r="BO349" i="103"/>
  <c r="BP349" i="103"/>
  <c r="BO371" i="103"/>
  <c r="BP371" i="103"/>
  <c r="BO352" i="103"/>
  <c r="BP352" i="103"/>
  <c r="BO363" i="103"/>
  <c r="BP363" i="103"/>
  <c r="BO360" i="103"/>
  <c r="BP360" i="103"/>
  <c r="BO358" i="103"/>
  <c r="BP358" i="103"/>
  <c r="BO347" i="103"/>
  <c r="BP347" i="103"/>
  <c r="BO345" i="103"/>
  <c r="BP345" i="103"/>
  <c r="R19" i="62"/>
  <c r="S19" i="62" s="1"/>
  <c r="D215" i="103"/>
  <c r="D210" i="103"/>
  <c r="D196" i="103"/>
  <c r="D211" i="103"/>
  <c r="D199" i="103"/>
  <c r="D202" i="103"/>
  <c r="D214" i="103"/>
  <c r="D205" i="103"/>
  <c r="D213" i="103"/>
  <c r="D222" i="103"/>
  <c r="D203" i="103"/>
  <c r="D220" i="103"/>
  <c r="D217" i="103"/>
  <c r="D206" i="103"/>
  <c r="D208" i="103"/>
  <c r="D218" i="103"/>
  <c r="D204" i="103"/>
  <c r="D219" i="103"/>
  <c r="I349" i="67"/>
  <c r="R349" i="67"/>
  <c r="AO329" i="22"/>
  <c r="I352" i="67"/>
  <c r="R343" i="67"/>
  <c r="R350" i="67"/>
  <c r="AE338" i="22"/>
  <c r="BK197" i="103"/>
  <c r="BM197" i="103" s="1"/>
  <c r="AE341" i="22"/>
  <c r="AO343" i="22"/>
  <c r="R352" i="67"/>
  <c r="AO341" i="22"/>
  <c r="AO340" i="22"/>
  <c r="R347" i="67"/>
  <c r="AO338" i="22"/>
  <c r="AO334" i="22"/>
  <c r="BL330" i="103"/>
  <c r="BL331" i="103"/>
  <c r="BL329" i="103"/>
  <c r="BL335" i="103"/>
  <c r="BL334" i="103"/>
  <c r="BL333" i="103"/>
  <c r="BL332" i="103"/>
  <c r="AE340" i="22"/>
  <c r="I350" i="67"/>
  <c r="G79" i="13"/>
  <c r="I80" i="13" s="1"/>
  <c r="AE343" i="22"/>
  <c r="I347" i="67"/>
  <c r="R338" i="67"/>
  <c r="AO328" i="22"/>
  <c r="X15" i="62"/>
  <c r="Y15" i="62" s="1"/>
  <c r="X12" i="62"/>
  <c r="X18" i="62"/>
  <c r="Y18" i="62" s="1"/>
  <c r="X17" i="62"/>
  <c r="Y17" i="62" s="1"/>
  <c r="X19" i="62"/>
  <c r="Y19" i="62" s="1"/>
  <c r="X16" i="62"/>
  <c r="Y16" i="62" s="1"/>
  <c r="X14" i="62"/>
  <c r="Y14" i="62" s="1"/>
  <c r="R337" i="67"/>
  <c r="X13" i="62"/>
  <c r="Y13" i="62" s="1"/>
  <c r="D24" i="104"/>
  <c r="D25" i="104"/>
  <c r="G16" i="104"/>
  <c r="D17" i="104"/>
  <c r="C18" i="104"/>
  <c r="O38" i="64"/>
  <c r="P38" i="64" s="1"/>
  <c r="BJ378" i="103"/>
  <c r="BI383" i="103"/>
  <c r="BI378" i="103"/>
  <c r="BJ381" i="103"/>
  <c r="BJ386" i="103"/>
  <c r="BI381" i="103"/>
  <c r="BI386" i="103"/>
  <c r="BJ379" i="103"/>
  <c r="BJ384" i="103"/>
  <c r="BI379" i="103"/>
  <c r="BI384" i="103"/>
  <c r="BJ376" i="103"/>
  <c r="BI376" i="103"/>
  <c r="BJ387" i="103"/>
  <c r="BJ377" i="103"/>
  <c r="BI387" i="103"/>
  <c r="BI377" i="103"/>
  <c r="BJ382" i="103"/>
  <c r="BI382" i="103"/>
  <c r="BJ383" i="103"/>
  <c r="C388" i="103"/>
  <c r="AE301" i="22"/>
  <c r="I311" i="67"/>
  <c r="R297" i="67"/>
  <c r="R310" i="67"/>
  <c r="AE315" i="22"/>
  <c r="I309" i="67"/>
  <c r="S79" i="13"/>
  <c r="U81" i="13" s="1"/>
  <c r="I323" i="67"/>
  <c r="AO289" i="22"/>
  <c r="S11" i="13"/>
  <c r="U13" i="13" s="1"/>
  <c r="AO302" i="22"/>
  <c r="S141" i="13"/>
  <c r="T150" i="13" s="1"/>
  <c r="AE292" i="22"/>
  <c r="AE303" i="22"/>
  <c r="I300" i="67"/>
  <c r="I184" i="67"/>
  <c r="I81" i="67"/>
  <c r="I148" i="67"/>
  <c r="AE314" i="22"/>
  <c r="AO285" i="22"/>
  <c r="I24" i="67"/>
  <c r="I132" i="67"/>
  <c r="I70" i="67"/>
  <c r="AO287" i="22"/>
  <c r="I181" i="67"/>
  <c r="I256" i="67"/>
  <c r="I100" i="67"/>
  <c r="AE293" i="22"/>
  <c r="AE297" i="22"/>
  <c r="I83" i="67"/>
  <c r="AE290" i="22"/>
  <c r="I183" i="67"/>
  <c r="I257" i="67"/>
  <c r="AE291" i="22"/>
  <c r="I78" i="67"/>
  <c r="I37" i="67"/>
  <c r="I254" i="67"/>
  <c r="I92" i="67"/>
  <c r="I205" i="67"/>
  <c r="I68" i="67"/>
  <c r="AE313" i="22"/>
  <c r="I172" i="67"/>
  <c r="AE306" i="22"/>
  <c r="I127" i="67"/>
  <c r="AE312" i="22"/>
  <c r="I25" i="67"/>
  <c r="I215" i="67"/>
  <c r="I174" i="67"/>
  <c r="I260" i="67"/>
  <c r="I192" i="67"/>
  <c r="I154" i="67"/>
  <c r="I321" i="67"/>
  <c r="I305" i="67"/>
  <c r="G113" i="13"/>
  <c r="I107" i="13" s="1"/>
  <c r="I320" i="67"/>
  <c r="BA386" i="103"/>
  <c r="R293" i="67"/>
  <c r="I298" i="67"/>
  <c r="CF385" i="103"/>
  <c r="I301" i="67"/>
  <c r="R295" i="67"/>
  <c r="I322" i="67"/>
  <c r="BA385" i="103"/>
  <c r="Y311" i="103"/>
  <c r="AL311" i="103" s="1"/>
  <c r="BO311" i="103"/>
  <c r="I314" i="67"/>
  <c r="AL150" i="103"/>
  <c r="U142" i="13"/>
  <c r="U145" i="13"/>
  <c r="U150" i="13"/>
  <c r="U147" i="13"/>
  <c r="U146" i="13"/>
  <c r="U140" i="13"/>
  <c r="U149" i="13"/>
  <c r="U141" i="13"/>
  <c r="U148" i="13"/>
  <c r="U143" i="13"/>
  <c r="U144" i="13"/>
  <c r="B12" i="31"/>
  <c r="B46" i="31"/>
  <c r="A46" i="31" s="1"/>
  <c r="A11" i="31"/>
  <c r="B18" i="102"/>
  <c r="C18" i="102" s="1"/>
  <c r="J386" i="58"/>
  <c r="J399" i="58"/>
  <c r="AL10" i="65" s="1"/>
  <c r="M399" i="58"/>
  <c r="AL11" i="65" s="1"/>
  <c r="M386" i="58"/>
  <c r="K399" i="58"/>
  <c r="AL8" i="65" s="1"/>
  <c r="K386" i="58"/>
  <c r="I386" i="58"/>
  <c r="I399" i="58"/>
  <c r="AL9" i="65" s="1"/>
  <c r="BO314" i="103"/>
  <c r="Y312" i="103"/>
  <c r="AL312" i="103" s="1"/>
  <c r="I299" i="67"/>
  <c r="L26" i="36"/>
  <c r="L18" i="36" s="1"/>
  <c r="AF93" i="23"/>
  <c r="AK93" i="23" s="1"/>
  <c r="J26" i="36"/>
  <c r="J18" i="36" s="1"/>
  <c r="AF89" i="23"/>
  <c r="AN89" i="23" s="1"/>
  <c r="AF96" i="23"/>
  <c r="AN96" i="23" s="1"/>
  <c r="P26" i="36"/>
  <c r="P18" i="36" s="1"/>
  <c r="I26" i="36"/>
  <c r="I18" i="36" s="1"/>
  <c r="M26" i="36"/>
  <c r="M18" i="36" s="1"/>
  <c r="AF97" i="23"/>
  <c r="AK97" i="23" s="1"/>
  <c r="H26" i="36"/>
  <c r="H18" i="36" s="1"/>
  <c r="Q26" i="36"/>
  <c r="Q18" i="36" s="1"/>
  <c r="Y313" i="103"/>
  <c r="AL313" i="103" s="1"/>
  <c r="BP313" i="103"/>
  <c r="BP312" i="103"/>
  <c r="Y314" i="103"/>
  <c r="AL314" i="103" s="1"/>
  <c r="BP314" i="103"/>
  <c r="G175" i="13"/>
  <c r="H178" i="13" s="1"/>
  <c r="BP310" i="103"/>
  <c r="BO310" i="103"/>
  <c r="BO309" i="103"/>
  <c r="G11" i="13"/>
  <c r="I5" i="13" s="1"/>
  <c r="BP309" i="103"/>
  <c r="AF91" i="23"/>
  <c r="AL91" i="23" s="1"/>
  <c r="N26" i="36"/>
  <c r="N18" i="36" s="1"/>
  <c r="K26" i="36"/>
  <c r="K18" i="36" s="1"/>
  <c r="AF92" i="23"/>
  <c r="AN92" i="23" s="1"/>
  <c r="AF99" i="23"/>
  <c r="AN99" i="23" s="1"/>
  <c r="O26" i="36"/>
  <c r="O18" i="36" s="1"/>
  <c r="G26" i="36"/>
  <c r="G18" i="36" s="1"/>
  <c r="AF98" i="23"/>
  <c r="AN98" i="23" s="1"/>
  <c r="BO308" i="103"/>
  <c r="AF94" i="23"/>
  <c r="AL94" i="23" s="1"/>
  <c r="Y308" i="103"/>
  <c r="AF95" i="23"/>
  <c r="AN95" i="23" s="1"/>
  <c r="AF90" i="23"/>
  <c r="AM90" i="23" s="1"/>
  <c r="L261" i="67"/>
  <c r="L229" i="67"/>
  <c r="L71" i="67"/>
  <c r="L103" i="67"/>
  <c r="L42" i="67"/>
  <c r="L166" i="67"/>
  <c r="L134" i="67"/>
  <c r="I114" i="67"/>
  <c r="I147" i="67"/>
  <c r="I136" i="67"/>
  <c r="D184" i="22"/>
  <c r="I247" i="67"/>
  <c r="L165" i="23"/>
  <c r="I151" i="67"/>
  <c r="I195" i="67"/>
  <c r="I111" i="67"/>
  <c r="L166" i="23"/>
  <c r="I123" i="67"/>
  <c r="I193" i="67"/>
  <c r="I97" i="67"/>
  <c r="AE334" i="22"/>
  <c r="L168" i="23"/>
  <c r="L164" i="23"/>
  <c r="I203" i="67"/>
  <c r="I96" i="67"/>
  <c r="L169" i="23"/>
  <c r="I211" i="67"/>
  <c r="AE294" i="22"/>
  <c r="I41" i="67"/>
  <c r="I189" i="67"/>
  <c r="I156" i="67"/>
  <c r="AE367" i="22"/>
  <c r="I296" i="67"/>
  <c r="L161" i="23"/>
  <c r="I208" i="67"/>
  <c r="I227" i="67"/>
  <c r="AE344" i="22"/>
  <c r="I54" i="67"/>
  <c r="I187" i="67"/>
  <c r="D198" i="22"/>
  <c r="D170" i="22"/>
  <c r="L170" i="23"/>
  <c r="I160" i="67"/>
  <c r="I120" i="67"/>
  <c r="I168" i="67"/>
  <c r="AE310" i="22"/>
  <c r="I98" i="67"/>
  <c r="L167" i="23"/>
  <c r="L197" i="67"/>
  <c r="I112" i="67"/>
  <c r="I79" i="67"/>
  <c r="I36" i="67"/>
  <c r="I12" i="67"/>
  <c r="I59" i="67"/>
  <c r="I165" i="67"/>
  <c r="I93" i="67"/>
  <c r="I117" i="67"/>
  <c r="I21" i="67"/>
  <c r="I30" i="67"/>
  <c r="I129" i="67"/>
  <c r="I159" i="67"/>
  <c r="I124" i="67"/>
  <c r="I186" i="67"/>
  <c r="I74" i="67"/>
  <c r="L163" i="23"/>
  <c r="I223" i="67"/>
  <c r="L160" i="23"/>
  <c r="I89" i="67"/>
  <c r="I250" i="67"/>
  <c r="I259" i="67"/>
  <c r="D185" i="22"/>
  <c r="L162" i="23"/>
  <c r="I142" i="67"/>
  <c r="I190" i="67"/>
  <c r="I138" i="67"/>
  <c r="I220" i="67"/>
  <c r="I64" i="67"/>
  <c r="I141" i="67"/>
  <c r="AE353" i="22"/>
  <c r="AC227" i="22"/>
  <c r="G45" i="13"/>
  <c r="I43" i="13" s="1"/>
  <c r="BO307" i="103"/>
  <c r="BP307" i="103"/>
  <c r="Y307" i="103"/>
  <c r="S39" i="13"/>
  <c r="T47" i="13" s="1"/>
  <c r="BO306" i="103"/>
  <c r="BP306" i="103"/>
  <c r="Y306" i="103"/>
  <c r="G73" i="13"/>
  <c r="G74" i="13" s="1"/>
  <c r="D161" i="103"/>
  <c r="D201" i="103"/>
  <c r="D145" i="103"/>
  <c r="D146" i="103"/>
  <c r="D194" i="103"/>
  <c r="D139" i="103"/>
  <c r="D221" i="103"/>
  <c r="D150" i="103"/>
  <c r="D193" i="103"/>
  <c r="D142" i="103"/>
  <c r="D138" i="103"/>
  <c r="D198" i="103"/>
  <c r="D155" i="103"/>
  <c r="D209" i="103"/>
  <c r="D182" i="103"/>
  <c r="D149" i="103"/>
  <c r="D207" i="103"/>
  <c r="D144" i="103"/>
  <c r="D216" i="103"/>
  <c r="D153" i="103"/>
  <c r="D157" i="103"/>
  <c r="D200" i="103"/>
  <c r="D154" i="103"/>
  <c r="D141" i="103"/>
  <c r="D140" i="103"/>
  <c r="D137" i="103"/>
  <c r="D152" i="103"/>
  <c r="D159" i="103"/>
  <c r="D160" i="103"/>
  <c r="D136" i="103"/>
  <c r="D158" i="103"/>
  <c r="D148" i="103"/>
  <c r="D156" i="103"/>
  <c r="D195" i="103"/>
  <c r="D147" i="103"/>
  <c r="D143" i="103"/>
  <c r="C10" i="104"/>
  <c r="B20" i="62"/>
  <c r="L19" i="62"/>
  <c r="BO305" i="103"/>
  <c r="Y305" i="103"/>
  <c r="O233" i="67"/>
  <c r="AL36" i="103"/>
  <c r="I353" i="67"/>
  <c r="I318" i="67"/>
  <c r="AE288" i="22"/>
  <c r="J403" i="103"/>
  <c r="I363" i="67"/>
  <c r="E29" i="104"/>
  <c r="AL137" i="103"/>
  <c r="CJ379" i="103"/>
  <c r="I377" i="67"/>
  <c r="I343" i="67"/>
  <c r="I302" i="67"/>
  <c r="AC388" i="58"/>
  <c r="CO376" i="103"/>
  <c r="CL388" i="103"/>
  <c r="AL134" i="103"/>
  <c r="L387" i="67"/>
  <c r="CJ377" i="103"/>
  <c r="L355" i="67"/>
  <c r="M389" i="58"/>
  <c r="M376" i="58"/>
  <c r="Y15" i="103"/>
  <c r="BP15" i="103"/>
  <c r="BN15" i="103"/>
  <c r="BO15" i="103"/>
  <c r="Y213" i="103"/>
  <c r="AL213" i="103" s="1"/>
  <c r="BP213" i="103"/>
  <c r="BO213" i="103"/>
  <c r="BN213" i="103"/>
  <c r="Y29" i="103"/>
  <c r="BP29" i="103"/>
  <c r="BO29" i="103"/>
  <c r="BN29" i="103"/>
  <c r="G39" i="13"/>
  <c r="BP62" i="103"/>
  <c r="BO62" i="103"/>
  <c r="BN62" i="103"/>
  <c r="Y62" i="103"/>
  <c r="P132" i="67"/>
  <c r="BL129" i="103"/>
  <c r="Y269" i="103"/>
  <c r="BP269" i="103"/>
  <c r="BO269" i="103"/>
  <c r="BN269" i="103"/>
  <c r="P176" i="67"/>
  <c r="BL171" i="103"/>
  <c r="BN126" i="103"/>
  <c r="Y126" i="103"/>
  <c r="BP126" i="103"/>
  <c r="BO126" i="103"/>
  <c r="Y76" i="103"/>
  <c r="BP76" i="103"/>
  <c r="BO76" i="103"/>
  <c r="BN76" i="103"/>
  <c r="W385" i="103"/>
  <c r="Y284" i="103"/>
  <c r="BP284" i="103"/>
  <c r="BO284" i="103"/>
  <c r="P380" i="67"/>
  <c r="BL369" i="103"/>
  <c r="Y172" i="103"/>
  <c r="AL172" i="103" s="1"/>
  <c r="BP172" i="103"/>
  <c r="BO172" i="103"/>
  <c r="P169" i="67"/>
  <c r="BL164" i="103"/>
  <c r="P187" i="67"/>
  <c r="BL182" i="103"/>
  <c r="Y270" i="103"/>
  <c r="BP270" i="103"/>
  <c r="BO270" i="103"/>
  <c r="BN270" i="103"/>
  <c r="P385" i="67"/>
  <c r="AA19" i="68" s="1"/>
  <c r="BL374" i="103"/>
  <c r="K392" i="58"/>
  <c r="Q8" i="65" s="1"/>
  <c r="K379" i="58"/>
  <c r="AL301" i="103"/>
  <c r="P182" i="67"/>
  <c r="BL177" i="103"/>
  <c r="Y119" i="103"/>
  <c r="BP119" i="103"/>
  <c r="BO119" i="103"/>
  <c r="BN119" i="103"/>
  <c r="P115" i="67"/>
  <c r="BL112" i="103"/>
  <c r="BL189" i="103"/>
  <c r="P194" i="67"/>
  <c r="BR384" i="103"/>
  <c r="BN13" i="103"/>
  <c r="Y13" i="103"/>
  <c r="BP13" i="103"/>
  <c r="BO13" i="103"/>
  <c r="Y319" i="103"/>
  <c r="BO319" i="103"/>
  <c r="BP319" i="103"/>
  <c r="AL291" i="103"/>
  <c r="P237" i="67"/>
  <c r="BL230" i="103"/>
  <c r="P32" i="67"/>
  <c r="BL32" i="103"/>
  <c r="BO339" i="103"/>
  <c r="Y339" i="103"/>
  <c r="BP339" i="103"/>
  <c r="Y244" i="103"/>
  <c r="AL244" i="103" s="1"/>
  <c r="BP244" i="103"/>
  <c r="BO244" i="103"/>
  <c r="BN244" i="103"/>
  <c r="Y185" i="103"/>
  <c r="AL185" i="103" s="1"/>
  <c r="BP185" i="103"/>
  <c r="BO185" i="103"/>
  <c r="P371" i="67"/>
  <c r="BL360" i="103"/>
  <c r="Y350" i="103"/>
  <c r="BO95" i="103"/>
  <c r="BN95" i="103"/>
  <c r="Y95" i="103"/>
  <c r="BP95" i="103"/>
  <c r="Y115" i="103"/>
  <c r="BP115" i="103"/>
  <c r="BO115" i="103"/>
  <c r="BN115" i="103"/>
  <c r="G5" i="13"/>
  <c r="Y209" i="103"/>
  <c r="AL209" i="103" s="1"/>
  <c r="BP209" i="103"/>
  <c r="BO209" i="103"/>
  <c r="BN209" i="103"/>
  <c r="Y43" i="103"/>
  <c r="BP43" i="103"/>
  <c r="BN43" i="103"/>
  <c r="BO43" i="103"/>
  <c r="P338" i="67"/>
  <c r="BL328" i="103"/>
  <c r="Y322" i="103"/>
  <c r="BO322" i="103"/>
  <c r="BP322" i="103"/>
  <c r="BO98" i="103"/>
  <c r="BN98" i="103"/>
  <c r="Y98" i="103"/>
  <c r="BP98" i="103"/>
  <c r="Y227" i="103"/>
  <c r="AL227" i="103" s="1"/>
  <c r="BP227" i="103"/>
  <c r="BO227" i="103"/>
  <c r="BN227" i="103"/>
  <c r="I397" i="58"/>
  <c r="AF9" i="65" s="1"/>
  <c r="I384" i="58"/>
  <c r="AO346" i="22"/>
  <c r="CF387" i="103"/>
  <c r="R356" i="67"/>
  <c r="BP271" i="103"/>
  <c r="BO271" i="103"/>
  <c r="BN271" i="103"/>
  <c r="Y271" i="103"/>
  <c r="P179" i="67"/>
  <c r="BL174" i="103"/>
  <c r="BN128" i="103"/>
  <c r="Y128" i="103"/>
  <c r="BP128" i="103"/>
  <c r="BO128" i="103"/>
  <c r="Y262" i="103"/>
  <c r="BP262" i="103"/>
  <c r="BO262" i="103"/>
  <c r="BN262" i="103"/>
  <c r="AL299" i="103"/>
  <c r="CJ378" i="103"/>
  <c r="AL296" i="103"/>
  <c r="P107" i="67"/>
  <c r="BL104" i="103"/>
  <c r="P195" i="67"/>
  <c r="BL190" i="103"/>
  <c r="W382" i="103"/>
  <c r="BP192" i="103"/>
  <c r="BO192" i="103"/>
  <c r="BN192" i="103"/>
  <c r="Y192" i="103"/>
  <c r="Y179" i="103"/>
  <c r="AL179" i="103" s="1"/>
  <c r="BP179" i="103"/>
  <c r="BO179" i="103"/>
  <c r="P206" i="67"/>
  <c r="BL200" i="103"/>
  <c r="BP323" i="103"/>
  <c r="BO323" i="103"/>
  <c r="Y323" i="103"/>
  <c r="P130" i="67"/>
  <c r="BL127" i="103"/>
  <c r="Y67" i="103"/>
  <c r="BP67" i="103"/>
  <c r="BO67" i="103"/>
  <c r="BN67" i="103"/>
  <c r="BL324" i="103"/>
  <c r="P334" i="67"/>
  <c r="P359" i="67"/>
  <c r="BL348" i="103"/>
  <c r="AE355" i="22"/>
  <c r="I365" i="67"/>
  <c r="P175" i="67"/>
  <c r="BL170" i="103"/>
  <c r="Y370" i="103"/>
  <c r="P243" i="67"/>
  <c r="BL236" i="103"/>
  <c r="AL309" i="103"/>
  <c r="P24" i="13"/>
  <c r="S5" i="13"/>
  <c r="P65" i="67"/>
  <c r="BL64" i="103"/>
  <c r="M391" i="58"/>
  <c r="N11" i="65" s="1"/>
  <c r="M378" i="58"/>
  <c r="C58" i="53"/>
  <c r="D35" i="53"/>
  <c r="Y49" i="103"/>
  <c r="BP49" i="103"/>
  <c r="BO49" i="103"/>
  <c r="BN49" i="103"/>
  <c r="BO208" i="103"/>
  <c r="BN208" i="103"/>
  <c r="Y208" i="103"/>
  <c r="AL208" i="103" s="1"/>
  <c r="BP208" i="103"/>
  <c r="Y316" i="103"/>
  <c r="BO316" i="103"/>
  <c r="BP316" i="103"/>
  <c r="P276" i="67"/>
  <c r="BL268" i="103"/>
  <c r="Y82" i="103"/>
  <c r="BP82" i="103"/>
  <c r="BO82" i="103"/>
  <c r="BN82" i="103"/>
  <c r="BL280" i="103"/>
  <c r="P288" i="67"/>
  <c r="P221" i="67"/>
  <c r="BL215" i="103"/>
  <c r="P47" i="67"/>
  <c r="BL46" i="103"/>
  <c r="BO234" i="103"/>
  <c r="BN234" i="103"/>
  <c r="Y234" i="103"/>
  <c r="AL234" i="103" s="1"/>
  <c r="BP234" i="103"/>
  <c r="P370" i="67"/>
  <c r="BL359" i="103"/>
  <c r="AE255" i="22"/>
  <c r="R254" i="58"/>
  <c r="CH254" i="103"/>
  <c r="CJ254" i="103" s="1"/>
  <c r="P86" i="67"/>
  <c r="BL84" i="103"/>
  <c r="P89" i="67"/>
  <c r="BL87" i="103"/>
  <c r="P212" i="67"/>
  <c r="BL206" i="103"/>
  <c r="Y176" i="103"/>
  <c r="AL176" i="103" s="1"/>
  <c r="BP176" i="103"/>
  <c r="BO176" i="103"/>
  <c r="D34" i="53"/>
  <c r="C57" i="53"/>
  <c r="BP277" i="103"/>
  <c r="BO277" i="103"/>
  <c r="BN277" i="103"/>
  <c r="Y277" i="103"/>
  <c r="BN16" i="103"/>
  <c r="Y16" i="103"/>
  <c r="BP16" i="103"/>
  <c r="BO16" i="103"/>
  <c r="Y113" i="103"/>
  <c r="BP113" i="103"/>
  <c r="BO113" i="103"/>
  <c r="BN113" i="103"/>
  <c r="P213" i="67"/>
  <c r="BL207" i="103"/>
  <c r="Y241" i="103"/>
  <c r="AL241" i="103" s="1"/>
  <c r="BP241" i="103"/>
  <c r="BO241" i="103"/>
  <c r="BN241" i="103"/>
  <c r="P64" i="67"/>
  <c r="BL63" i="103"/>
  <c r="Y364" i="103"/>
  <c r="P178" i="67"/>
  <c r="BL173" i="103"/>
  <c r="H59" i="53"/>
  <c r="G59" i="53"/>
  <c r="L59" i="53"/>
  <c r="G36" i="53"/>
  <c r="P337" i="67"/>
  <c r="BL327" i="103"/>
  <c r="CJ382" i="103"/>
  <c r="W383" i="103"/>
  <c r="BO223" i="103"/>
  <c r="BN223" i="103"/>
  <c r="Y223" i="103"/>
  <c r="BP223" i="103"/>
  <c r="AL294" i="103"/>
  <c r="AE328" i="22"/>
  <c r="I337" i="67"/>
  <c r="P201" i="67"/>
  <c r="BL195" i="103"/>
  <c r="Y365" i="103"/>
  <c r="Y356" i="103"/>
  <c r="P123" i="67"/>
  <c r="BL120" i="103"/>
  <c r="Y344" i="103"/>
  <c r="BP344" i="103"/>
  <c r="BO344" i="103"/>
  <c r="Y343" i="103"/>
  <c r="BP343" i="103"/>
  <c r="BO343" i="103"/>
  <c r="Y212" i="103"/>
  <c r="AL212" i="103" s="1"/>
  <c r="BP212" i="103"/>
  <c r="BO212" i="103"/>
  <c r="BN212" i="103"/>
  <c r="P131" i="67"/>
  <c r="BL128" i="103"/>
  <c r="Y121" i="103"/>
  <c r="BP121" i="103"/>
  <c r="BO121" i="103"/>
  <c r="BN121" i="103"/>
  <c r="P87" i="67"/>
  <c r="BL85" i="103"/>
  <c r="Y178" i="103"/>
  <c r="AL178" i="103" s="1"/>
  <c r="BP178" i="103"/>
  <c r="BO178" i="103"/>
  <c r="Y242" i="103"/>
  <c r="AL242" i="103" s="1"/>
  <c r="BP242" i="103"/>
  <c r="BO242" i="103"/>
  <c r="BN242" i="103"/>
  <c r="BL362" i="103"/>
  <c r="P373" i="67"/>
  <c r="BP232" i="103"/>
  <c r="BO232" i="103"/>
  <c r="BN232" i="103"/>
  <c r="Y232" i="103"/>
  <c r="AL232" i="103" s="1"/>
  <c r="BP180" i="103"/>
  <c r="BO180" i="103"/>
  <c r="Y180" i="103"/>
  <c r="AL180" i="103" s="1"/>
  <c r="Y24" i="103"/>
  <c r="BO24" i="103"/>
  <c r="BN24" i="103"/>
  <c r="BP24" i="103"/>
  <c r="Y282" i="103"/>
  <c r="BP282" i="103"/>
  <c r="BO282" i="103"/>
  <c r="BN282" i="103"/>
  <c r="AL138" i="103"/>
  <c r="P253" i="67"/>
  <c r="BL246" i="103"/>
  <c r="W377" i="103"/>
  <c r="Y42" i="103"/>
  <c r="BP42" i="103"/>
  <c r="BO42" i="103"/>
  <c r="BN42" i="103"/>
  <c r="P21" i="67"/>
  <c r="BL21" i="103"/>
  <c r="P277" i="67"/>
  <c r="BL269" i="103"/>
  <c r="Y354" i="103"/>
  <c r="BP171" i="103"/>
  <c r="BO171" i="103"/>
  <c r="Y171" i="103"/>
  <c r="AL171" i="103" s="1"/>
  <c r="I389" i="58"/>
  <c r="I376" i="58"/>
  <c r="H11" i="58"/>
  <c r="Y248" i="103"/>
  <c r="AL248" i="103" s="1"/>
  <c r="BP248" i="103"/>
  <c r="BO248" i="103"/>
  <c r="BN248" i="103"/>
  <c r="F41" i="36"/>
  <c r="AB388" i="103"/>
  <c r="Y260" i="103"/>
  <c r="BP260" i="103"/>
  <c r="BO260" i="103"/>
  <c r="BN260" i="103"/>
  <c r="Y204" i="103"/>
  <c r="AL204" i="103" s="1"/>
  <c r="BP204" i="103"/>
  <c r="BO204" i="103"/>
  <c r="BN204" i="103"/>
  <c r="Y99" i="103"/>
  <c r="BP99" i="103"/>
  <c r="BO99" i="103"/>
  <c r="BN99" i="103"/>
  <c r="D160" i="13"/>
  <c r="G141" i="13"/>
  <c r="P129" i="67"/>
  <c r="BL126" i="103"/>
  <c r="P78" i="67"/>
  <c r="BL76" i="103"/>
  <c r="P50" i="67"/>
  <c r="BL49" i="103"/>
  <c r="P177" i="67"/>
  <c r="BL172" i="103"/>
  <c r="P278" i="67"/>
  <c r="BL270" i="103"/>
  <c r="BO214" i="103"/>
  <c r="BN214" i="103"/>
  <c r="Y214" i="103"/>
  <c r="AL214" i="103" s="1"/>
  <c r="BP214" i="103"/>
  <c r="BO90" i="103"/>
  <c r="BN90" i="103"/>
  <c r="Y90" i="103"/>
  <c r="BP90" i="103"/>
  <c r="BP177" i="103"/>
  <c r="BO177" i="103"/>
  <c r="Y177" i="103"/>
  <c r="AL177" i="103" s="1"/>
  <c r="P122" i="67"/>
  <c r="BL119" i="103"/>
  <c r="Y257" i="103"/>
  <c r="BP257" i="103"/>
  <c r="BO257" i="103"/>
  <c r="BN257" i="103"/>
  <c r="P339" i="67"/>
  <c r="BP189" i="103"/>
  <c r="BO189" i="103"/>
  <c r="Y189" i="103"/>
  <c r="AL189" i="103" s="1"/>
  <c r="P13" i="67"/>
  <c r="BL13" i="103"/>
  <c r="P329" i="67"/>
  <c r="BL319" i="103"/>
  <c r="Y166" i="103"/>
  <c r="AL166" i="103" s="1"/>
  <c r="BP166" i="103"/>
  <c r="BO166" i="103"/>
  <c r="BN78" i="103"/>
  <c r="Y78" i="103"/>
  <c r="BP78" i="103"/>
  <c r="BO78" i="103"/>
  <c r="P349" i="67"/>
  <c r="BL339" i="103"/>
  <c r="P251" i="67"/>
  <c r="BL244" i="103"/>
  <c r="P190" i="67"/>
  <c r="BL185" i="103"/>
  <c r="BL350" i="103"/>
  <c r="P361" i="67"/>
  <c r="R397" i="67"/>
  <c r="R261" i="67"/>
  <c r="Y191" i="103"/>
  <c r="AL191" i="103" s="1"/>
  <c r="BP191" i="103"/>
  <c r="BO191" i="103"/>
  <c r="Y259" i="103"/>
  <c r="BP259" i="103"/>
  <c r="BO259" i="103"/>
  <c r="BN259" i="103"/>
  <c r="P97" i="67"/>
  <c r="BL95" i="103"/>
  <c r="P118" i="67"/>
  <c r="BL115" i="103"/>
  <c r="J392" i="58"/>
  <c r="Q10" i="65" s="1"/>
  <c r="J379" i="58"/>
  <c r="P215" i="67"/>
  <c r="BL209" i="103"/>
  <c r="P44" i="67"/>
  <c r="BL43" i="103"/>
  <c r="Y169" i="103"/>
  <c r="AL169" i="103" s="1"/>
  <c r="BP169" i="103"/>
  <c r="BO169" i="103"/>
  <c r="P332" i="67"/>
  <c r="BL322" i="103"/>
  <c r="P100" i="67"/>
  <c r="BL98" i="103"/>
  <c r="BL227" i="103"/>
  <c r="P234" i="67"/>
  <c r="Y363" i="103"/>
  <c r="M395" i="58"/>
  <c r="Z11" i="65" s="1"/>
  <c r="M382" i="58"/>
  <c r="CJ383" i="103"/>
  <c r="BP174" i="103"/>
  <c r="BO174" i="103"/>
  <c r="Y174" i="103"/>
  <c r="AL174" i="103" s="1"/>
  <c r="Y83" i="103"/>
  <c r="BP83" i="103"/>
  <c r="BO83" i="103"/>
  <c r="BN83" i="103"/>
  <c r="P336" i="67"/>
  <c r="BL326" i="103"/>
  <c r="P270" i="67"/>
  <c r="BL262" i="103"/>
  <c r="AO53" i="22"/>
  <c r="R53" i="67"/>
  <c r="CF377" i="103"/>
  <c r="BO255" i="103"/>
  <c r="BN255" i="103"/>
  <c r="Y255" i="103"/>
  <c r="BP255" i="103"/>
  <c r="G31" i="53"/>
  <c r="L54" i="53"/>
  <c r="G54" i="53"/>
  <c r="H54" i="53"/>
  <c r="I385" i="58"/>
  <c r="I398" i="58"/>
  <c r="AI9" i="65" s="1"/>
  <c r="H284" i="58"/>
  <c r="BP104" i="103"/>
  <c r="BO104" i="103"/>
  <c r="BN104" i="103"/>
  <c r="Y104" i="103"/>
  <c r="AO163" i="22"/>
  <c r="CF381" i="103"/>
  <c r="R167" i="67"/>
  <c r="C55" i="53"/>
  <c r="D32" i="53"/>
  <c r="P184" i="67"/>
  <c r="BL179" i="103"/>
  <c r="BP200" i="103"/>
  <c r="BO200" i="103"/>
  <c r="BN200" i="103"/>
  <c r="Y200" i="103"/>
  <c r="AL200" i="103" s="1"/>
  <c r="Y88" i="103"/>
  <c r="BP88" i="103"/>
  <c r="BO88" i="103"/>
  <c r="BN88" i="103"/>
  <c r="Y93" i="103"/>
  <c r="BP93" i="103"/>
  <c r="BO93" i="103"/>
  <c r="BN93" i="103"/>
  <c r="BO31" i="103"/>
  <c r="BN31" i="103"/>
  <c r="Y31" i="103"/>
  <c r="BP31" i="103"/>
  <c r="BO25" i="103"/>
  <c r="BN25" i="103"/>
  <c r="Y25" i="103"/>
  <c r="BP25" i="103"/>
  <c r="P68" i="67"/>
  <c r="BL67" i="103"/>
  <c r="G28" i="53"/>
  <c r="L51" i="53"/>
  <c r="H51" i="53"/>
  <c r="G51" i="53"/>
  <c r="AE295" i="22"/>
  <c r="I303" i="67"/>
  <c r="Y238" i="103"/>
  <c r="AL238" i="103" s="1"/>
  <c r="BP238" i="103"/>
  <c r="BO238" i="103"/>
  <c r="BN238" i="103"/>
  <c r="P15" i="67"/>
  <c r="BL15" i="103"/>
  <c r="P219" i="67"/>
  <c r="BL213" i="103"/>
  <c r="AL298" i="103"/>
  <c r="BL370" i="103"/>
  <c r="P381" i="67"/>
  <c r="S19" i="68" s="1"/>
  <c r="Z388" i="58"/>
  <c r="P266" i="67"/>
  <c r="BL258" i="103"/>
  <c r="BO336" i="103"/>
  <c r="Y336" i="103"/>
  <c r="BP336" i="103"/>
  <c r="BO217" i="103"/>
  <c r="BN217" i="103"/>
  <c r="Y217" i="103"/>
  <c r="AL217" i="103" s="1"/>
  <c r="BP217" i="103"/>
  <c r="P214" i="67"/>
  <c r="BL208" i="103"/>
  <c r="P326" i="67"/>
  <c r="BL316" i="103"/>
  <c r="BP268" i="103"/>
  <c r="BO268" i="103"/>
  <c r="BN268" i="103"/>
  <c r="Y268" i="103"/>
  <c r="Y267" i="103"/>
  <c r="BP267" i="103"/>
  <c r="BO267" i="103"/>
  <c r="BN267" i="103"/>
  <c r="P84" i="67"/>
  <c r="BL82" i="103"/>
  <c r="BP280" i="103"/>
  <c r="BO280" i="103"/>
  <c r="BN280" i="103"/>
  <c r="Y280" i="103"/>
  <c r="Y263" i="103"/>
  <c r="BP263" i="103"/>
  <c r="BO263" i="103"/>
  <c r="BN263" i="103"/>
  <c r="Y355" i="103"/>
  <c r="P181" i="67"/>
  <c r="BL176" i="103"/>
  <c r="BP329" i="103"/>
  <c r="BO329" i="103"/>
  <c r="Y329" i="103"/>
  <c r="Y349" i="103"/>
  <c r="J397" i="58"/>
  <c r="AF10" i="65" s="1"/>
  <c r="J384" i="58"/>
  <c r="BO92" i="103"/>
  <c r="BN92" i="103"/>
  <c r="Y92" i="103"/>
  <c r="BP92" i="103"/>
  <c r="P16" i="67"/>
  <c r="BL16" i="103"/>
  <c r="P116" i="67"/>
  <c r="BL113" i="103"/>
  <c r="Y58" i="103"/>
  <c r="BP58" i="103"/>
  <c r="BO58" i="103"/>
  <c r="BN58" i="103"/>
  <c r="P248" i="67"/>
  <c r="BL241" i="103"/>
  <c r="Y375" i="103"/>
  <c r="P375" i="67"/>
  <c r="BL364" i="103"/>
  <c r="Y194" i="103"/>
  <c r="AL194" i="103" s="1"/>
  <c r="BP194" i="103"/>
  <c r="BO194" i="103"/>
  <c r="BN194" i="103"/>
  <c r="Y14" i="103"/>
  <c r="BP14" i="103"/>
  <c r="BO14" i="103"/>
  <c r="BN14" i="103"/>
  <c r="BN44" i="103"/>
  <c r="Y44" i="103"/>
  <c r="BP44" i="103"/>
  <c r="BO44" i="103"/>
  <c r="Y256" i="103"/>
  <c r="BP256" i="103"/>
  <c r="BO256" i="103"/>
  <c r="BN256" i="103"/>
  <c r="CJ380" i="103"/>
  <c r="P230" i="67"/>
  <c r="BL223" i="103"/>
  <c r="I150" i="13"/>
  <c r="I144" i="13"/>
  <c r="I146" i="13"/>
  <c r="I140" i="13"/>
  <c r="I149" i="13"/>
  <c r="I143" i="13"/>
  <c r="I151" i="13"/>
  <c r="I145" i="13"/>
  <c r="I148" i="13"/>
  <c r="I142" i="13"/>
  <c r="I147" i="13"/>
  <c r="I141" i="13"/>
  <c r="BP195" i="103"/>
  <c r="BO195" i="103"/>
  <c r="BN195" i="103"/>
  <c r="Y195" i="103"/>
  <c r="AL195" i="103" s="1"/>
  <c r="P376" i="67"/>
  <c r="BL365" i="103"/>
  <c r="Y125" i="103"/>
  <c r="BP125" i="103"/>
  <c r="BO125" i="103"/>
  <c r="BN125" i="103"/>
  <c r="Y193" i="103"/>
  <c r="AL193" i="103" s="1"/>
  <c r="BP193" i="103"/>
  <c r="BO193" i="103"/>
  <c r="BN193" i="103"/>
  <c r="P367" i="67"/>
  <c r="BL356" i="103"/>
  <c r="P354" i="67"/>
  <c r="BL344" i="103"/>
  <c r="Y18" i="103"/>
  <c r="BP18" i="103"/>
  <c r="BN18" i="103"/>
  <c r="BO18" i="103"/>
  <c r="P291" i="67"/>
  <c r="BL283" i="103"/>
  <c r="P353" i="67"/>
  <c r="BL343" i="103"/>
  <c r="BL212" i="103"/>
  <c r="P218" i="67"/>
  <c r="BP326" i="103"/>
  <c r="BO326" i="103"/>
  <c r="Y326" i="103"/>
  <c r="G107" i="13"/>
  <c r="P124" i="67"/>
  <c r="BL121" i="103"/>
  <c r="L52" i="53"/>
  <c r="G29" i="53"/>
  <c r="H52" i="53"/>
  <c r="G52" i="53"/>
  <c r="BL178" i="103"/>
  <c r="P183" i="67"/>
  <c r="AL310" i="103"/>
  <c r="P249" i="67"/>
  <c r="BL242" i="103"/>
  <c r="Y347" i="103"/>
  <c r="P24" i="67"/>
  <c r="BL24" i="103"/>
  <c r="P290" i="67"/>
  <c r="BL282" i="103"/>
  <c r="P110" i="67"/>
  <c r="BL107" i="103"/>
  <c r="BO246" i="103"/>
  <c r="BN246" i="103"/>
  <c r="BP246" i="103"/>
  <c r="Y246" i="103"/>
  <c r="AL246" i="103" s="1"/>
  <c r="BL42" i="103"/>
  <c r="P43" i="67"/>
  <c r="Y17" i="103"/>
  <c r="BP17" i="103"/>
  <c r="BO17" i="103"/>
  <c r="BN17" i="103"/>
  <c r="Y80" i="103"/>
  <c r="BP80" i="103"/>
  <c r="BO80" i="103"/>
  <c r="BN80" i="103"/>
  <c r="CJ381" i="103"/>
  <c r="P29" i="67"/>
  <c r="BL29" i="103"/>
  <c r="W376" i="103"/>
  <c r="Y11" i="103"/>
  <c r="BP11" i="103"/>
  <c r="BO11" i="103"/>
  <c r="BN11" i="103"/>
  <c r="BN41" i="103"/>
  <c r="Y41" i="103"/>
  <c r="BP41" i="103"/>
  <c r="BO41" i="103"/>
  <c r="BL238" i="103"/>
  <c r="P245" i="67"/>
  <c r="AO196" i="22"/>
  <c r="R201" i="67"/>
  <c r="CF382" i="103"/>
  <c r="P11" i="67"/>
  <c r="BL11" i="103"/>
  <c r="P365" i="67"/>
  <c r="BL354" i="103"/>
  <c r="K381" i="58"/>
  <c r="K394" i="58"/>
  <c r="W8" i="65" s="1"/>
  <c r="P255" i="67"/>
  <c r="BL248" i="103"/>
  <c r="BL260" i="103"/>
  <c r="P268" i="67"/>
  <c r="BL204" i="103"/>
  <c r="P210" i="67"/>
  <c r="P101" i="67"/>
  <c r="BL99" i="103"/>
  <c r="AO316" i="22"/>
  <c r="CF386" i="103"/>
  <c r="R325" i="67"/>
  <c r="CO194" i="103"/>
  <c r="Y330" i="103"/>
  <c r="BP330" i="103"/>
  <c r="BO330" i="103"/>
  <c r="J381" i="58"/>
  <c r="J394" i="58"/>
  <c r="W10" i="65" s="1"/>
  <c r="Y77" i="103"/>
  <c r="BP77" i="103"/>
  <c r="BO77" i="103"/>
  <c r="BN77" i="103"/>
  <c r="AL300" i="103"/>
  <c r="W387" i="103"/>
  <c r="Y345" i="103"/>
  <c r="P220" i="67"/>
  <c r="BL214" i="103"/>
  <c r="P92" i="67"/>
  <c r="BL90" i="103"/>
  <c r="Y89" i="103"/>
  <c r="BP89" i="103"/>
  <c r="BO89" i="103"/>
  <c r="BN89" i="103"/>
  <c r="Y265" i="103"/>
  <c r="BP265" i="103"/>
  <c r="BO265" i="103"/>
  <c r="BN265" i="103"/>
  <c r="BN111" i="103"/>
  <c r="Y111" i="103"/>
  <c r="BP111" i="103"/>
  <c r="BO111" i="103"/>
  <c r="BO211" i="103"/>
  <c r="BN211" i="103"/>
  <c r="Y211" i="103"/>
  <c r="AL211" i="103" s="1"/>
  <c r="BP211" i="103"/>
  <c r="BL257" i="103"/>
  <c r="P265" i="67"/>
  <c r="P330" i="67"/>
  <c r="BL320" i="103"/>
  <c r="P171" i="67"/>
  <c r="BL166" i="103"/>
  <c r="P80" i="67"/>
  <c r="BL78" i="103"/>
  <c r="I182" i="13"/>
  <c r="I181" i="13"/>
  <c r="I183" i="13"/>
  <c r="I180" i="13"/>
  <c r="I176" i="13"/>
  <c r="I184" i="13"/>
  <c r="I179" i="13"/>
  <c r="I175" i="13"/>
  <c r="I178" i="13"/>
  <c r="I174" i="13"/>
  <c r="I177" i="13"/>
  <c r="Y79" i="103"/>
  <c r="BP79" i="103"/>
  <c r="BO79" i="103"/>
  <c r="BN79" i="103"/>
  <c r="U48" i="13"/>
  <c r="U45" i="13"/>
  <c r="U42" i="13"/>
  <c r="U39" i="13"/>
  <c r="U47" i="13"/>
  <c r="U43" i="13"/>
  <c r="U41" i="13"/>
  <c r="U46" i="13"/>
  <c r="U40" i="13"/>
  <c r="U38" i="13"/>
  <c r="U44" i="13"/>
  <c r="P196" i="67"/>
  <c r="BL191" i="103"/>
  <c r="P267" i="67"/>
  <c r="BL259" i="103"/>
  <c r="Y12" i="103"/>
  <c r="BP12" i="103"/>
  <c r="BN12" i="103"/>
  <c r="BO12" i="103"/>
  <c r="Y33" i="103"/>
  <c r="BO33" i="103"/>
  <c r="BN33" i="103"/>
  <c r="BP33" i="103"/>
  <c r="P174" i="67"/>
  <c r="BL169" i="103"/>
  <c r="W378" i="103"/>
  <c r="Y70" i="103"/>
  <c r="BP70" i="103"/>
  <c r="BO70" i="103"/>
  <c r="BN70" i="103"/>
  <c r="BR383" i="103"/>
  <c r="P374" i="67"/>
  <c r="BL363" i="103"/>
  <c r="AE304" i="22"/>
  <c r="I312" i="67"/>
  <c r="I381" i="58"/>
  <c r="I394" i="58"/>
  <c r="W9" i="65" s="1"/>
  <c r="H162" i="58"/>
  <c r="W386" i="103"/>
  <c r="Y315" i="103"/>
  <c r="BP315" i="103"/>
  <c r="BO315" i="103"/>
  <c r="K385" i="58"/>
  <c r="K398" i="58"/>
  <c r="AI8" i="65" s="1"/>
  <c r="AO71" i="22"/>
  <c r="CF378" i="103"/>
  <c r="R72" i="67"/>
  <c r="BN69" i="103"/>
  <c r="Y69" i="103"/>
  <c r="BP69" i="103"/>
  <c r="BO69" i="103"/>
  <c r="P85" i="67"/>
  <c r="BL83" i="103"/>
  <c r="Y122" i="103"/>
  <c r="BP122" i="103"/>
  <c r="BO122" i="103"/>
  <c r="BN122" i="103"/>
  <c r="Y228" i="103"/>
  <c r="AL228" i="103" s="1"/>
  <c r="BP228" i="103"/>
  <c r="BO228" i="103"/>
  <c r="BN228" i="103"/>
  <c r="P263" i="67"/>
  <c r="BL255" i="103"/>
  <c r="P327" i="67"/>
  <c r="BL317" i="103"/>
  <c r="L60" i="53"/>
  <c r="G37" i="53"/>
  <c r="H60" i="53"/>
  <c r="G60" i="53"/>
  <c r="W379" i="103"/>
  <c r="BO101" i="103"/>
  <c r="BN101" i="103"/>
  <c r="Y101" i="103"/>
  <c r="BP101" i="103"/>
  <c r="P90" i="67"/>
  <c r="BL88" i="103"/>
  <c r="P95" i="67"/>
  <c r="BL93" i="103"/>
  <c r="Y96" i="103"/>
  <c r="BP96" i="103"/>
  <c r="BO96" i="103"/>
  <c r="BN96" i="103"/>
  <c r="D27" i="53"/>
  <c r="C50" i="53"/>
  <c r="BL31" i="103"/>
  <c r="P31" i="67"/>
  <c r="P25" i="67"/>
  <c r="BL25" i="103"/>
  <c r="Y175" i="103"/>
  <c r="AL175" i="103" s="1"/>
  <c r="BP175" i="103"/>
  <c r="BO175" i="103"/>
  <c r="BO199" i="103"/>
  <c r="BN199" i="103"/>
  <c r="Y199" i="103"/>
  <c r="AL199" i="103" s="1"/>
  <c r="BP199" i="103"/>
  <c r="P41" i="67"/>
  <c r="BL41" i="103"/>
  <c r="Y218" i="103"/>
  <c r="AL218" i="103" s="1"/>
  <c r="BP218" i="103"/>
  <c r="BO218" i="103"/>
  <c r="BN218" i="103"/>
  <c r="BR376" i="103"/>
  <c r="W381" i="103"/>
  <c r="Y162" i="103"/>
  <c r="BP162" i="103"/>
  <c r="BO162" i="103"/>
  <c r="Y61" i="103"/>
  <c r="BP61" i="103"/>
  <c r="BO61" i="103"/>
  <c r="BN61" i="103"/>
  <c r="I378" i="58"/>
  <c r="I391" i="58"/>
  <c r="N9" i="65" s="1"/>
  <c r="H70" i="58"/>
  <c r="BP258" i="103"/>
  <c r="BO258" i="103"/>
  <c r="BN258" i="103"/>
  <c r="Y258" i="103"/>
  <c r="P346" i="67"/>
  <c r="BL336" i="103"/>
  <c r="L53" i="53"/>
  <c r="H53" i="53"/>
  <c r="G53" i="53"/>
  <c r="G30" i="53"/>
  <c r="AL292" i="103"/>
  <c r="K389" i="58"/>
  <c r="K376" i="58"/>
  <c r="Y26" i="103"/>
  <c r="BP26" i="103"/>
  <c r="BO26" i="103"/>
  <c r="BN26" i="103"/>
  <c r="P223" i="67"/>
  <c r="BL217" i="103"/>
  <c r="Y181" i="103"/>
  <c r="AL181" i="103" s="1"/>
  <c r="BP181" i="103"/>
  <c r="BO181" i="103"/>
  <c r="P275" i="67"/>
  <c r="BL267" i="103"/>
  <c r="Y30" i="103"/>
  <c r="BO30" i="103"/>
  <c r="BP30" i="103"/>
  <c r="BN30" i="103"/>
  <c r="P271" i="67"/>
  <c r="BL263" i="103"/>
  <c r="P173" i="67"/>
  <c r="BL168" i="103"/>
  <c r="Y40" i="103"/>
  <c r="BO40" i="103"/>
  <c r="BP40" i="103"/>
  <c r="BN40" i="103"/>
  <c r="BL56" i="103"/>
  <c r="P57" i="67"/>
  <c r="P366" i="67"/>
  <c r="BL355" i="103"/>
  <c r="CK388" i="103"/>
  <c r="P360" i="67"/>
  <c r="BL349" i="103"/>
  <c r="P94" i="67"/>
  <c r="BL92" i="103"/>
  <c r="BP320" i="103"/>
  <c r="BO320" i="103"/>
  <c r="Y320" i="103"/>
  <c r="Y103" i="103"/>
  <c r="BP103" i="103"/>
  <c r="BO103" i="103"/>
  <c r="BN103" i="103"/>
  <c r="P59" i="67"/>
  <c r="BL58" i="103"/>
  <c r="Y367" i="103"/>
  <c r="BL375" i="103"/>
  <c r="P386" i="67"/>
  <c r="AC19" i="68" s="1"/>
  <c r="BO205" i="103"/>
  <c r="BN205" i="103"/>
  <c r="Y205" i="103"/>
  <c r="AL205" i="103" s="1"/>
  <c r="BP205" i="103"/>
  <c r="Y371" i="103"/>
  <c r="AL287" i="103"/>
  <c r="P200" i="67"/>
  <c r="BL194" i="103"/>
  <c r="BL14" i="103"/>
  <c r="P14" i="67"/>
  <c r="P45" i="67"/>
  <c r="BL44" i="103"/>
  <c r="BN108" i="103"/>
  <c r="Y108" i="103"/>
  <c r="BP108" i="103"/>
  <c r="BO108" i="103"/>
  <c r="Y279" i="103"/>
  <c r="BP279" i="103"/>
  <c r="BO279" i="103"/>
  <c r="BN279" i="103"/>
  <c r="P264" i="67"/>
  <c r="BL256" i="103"/>
  <c r="L391" i="58"/>
  <c r="N7" i="65" s="1"/>
  <c r="L378" i="58"/>
  <c r="D33" i="53"/>
  <c r="C56" i="53"/>
  <c r="H52" i="58"/>
  <c r="L377" i="58"/>
  <c r="L390" i="58"/>
  <c r="K7" i="65" s="1"/>
  <c r="P128" i="67"/>
  <c r="BL125" i="103"/>
  <c r="P199" i="67"/>
  <c r="BL193" i="103"/>
  <c r="L381" i="58"/>
  <c r="L394" i="58"/>
  <c r="W7" i="65" s="1"/>
  <c r="Y100" i="103"/>
  <c r="BP100" i="103"/>
  <c r="BO100" i="103"/>
  <c r="BN100" i="103"/>
  <c r="P18" i="67"/>
  <c r="BL18" i="103"/>
  <c r="BP283" i="103"/>
  <c r="BO283" i="103"/>
  <c r="BN283" i="103"/>
  <c r="Y283" i="103"/>
  <c r="AE308" i="22"/>
  <c r="I316" i="67"/>
  <c r="Y318" i="103"/>
  <c r="BP318" i="103"/>
  <c r="BO318" i="103"/>
  <c r="Y188" i="103"/>
  <c r="AL188" i="103" s="1"/>
  <c r="BP188" i="103"/>
  <c r="BO188" i="103"/>
  <c r="Y366" i="103"/>
  <c r="P247" i="67"/>
  <c r="BL240" i="103"/>
  <c r="Y216" i="103"/>
  <c r="AL216" i="103" s="1"/>
  <c r="BP216" i="103"/>
  <c r="BO216" i="103"/>
  <c r="BN216" i="103"/>
  <c r="H58" i="53"/>
  <c r="G58" i="53"/>
  <c r="G35" i="53"/>
  <c r="L58" i="53"/>
  <c r="P358" i="67"/>
  <c r="BL347" i="103"/>
  <c r="BP317" i="103"/>
  <c r="BO317" i="103"/>
  <c r="Y317" i="103"/>
  <c r="Y57" i="103"/>
  <c r="BP57" i="103"/>
  <c r="BO57" i="103"/>
  <c r="BN57" i="103"/>
  <c r="BP107" i="103"/>
  <c r="BO107" i="103"/>
  <c r="BN107" i="103"/>
  <c r="Y107" i="103"/>
  <c r="BN117" i="103"/>
  <c r="Y117" i="103"/>
  <c r="BP117" i="103"/>
  <c r="BO117" i="103"/>
  <c r="AL197" i="103"/>
  <c r="P17" i="67"/>
  <c r="BL17" i="103"/>
  <c r="P82" i="67"/>
  <c r="BL80" i="103"/>
  <c r="P188" i="67"/>
  <c r="BL183" i="103"/>
  <c r="D26" i="53"/>
  <c r="C49" i="53"/>
  <c r="AL288" i="103"/>
  <c r="Y210" i="103"/>
  <c r="AL210" i="103" s="1"/>
  <c r="BP210" i="103"/>
  <c r="BO210" i="103"/>
  <c r="BN210" i="103"/>
  <c r="BM162" i="103"/>
  <c r="BM381" i="103" s="1"/>
  <c r="I377" i="58"/>
  <c r="I390" i="58"/>
  <c r="K9" i="65" s="1"/>
  <c r="H42" i="58"/>
  <c r="AL286" i="103"/>
  <c r="CM195" i="103"/>
  <c r="CG195" i="103" s="1"/>
  <c r="BO249" i="103"/>
  <c r="BN249" i="103"/>
  <c r="Y249" i="103"/>
  <c r="AL249" i="103" s="1"/>
  <c r="BP249" i="103"/>
  <c r="BN75" i="103"/>
  <c r="Y75" i="103"/>
  <c r="BP75" i="103"/>
  <c r="BO75" i="103"/>
  <c r="BN72" i="103"/>
  <c r="Y72" i="103"/>
  <c r="BP72" i="103"/>
  <c r="BO72" i="103"/>
  <c r="H57" i="53"/>
  <c r="G57" i="53"/>
  <c r="G34" i="53"/>
  <c r="L57" i="53"/>
  <c r="AB388" i="58"/>
  <c r="P340" i="67"/>
  <c r="BA30" i="103"/>
  <c r="P79" i="67"/>
  <c r="BL77" i="103"/>
  <c r="P356" i="67"/>
  <c r="BL345" i="103"/>
  <c r="P91" i="67"/>
  <c r="BL89" i="103"/>
  <c r="P273" i="67"/>
  <c r="BL265" i="103"/>
  <c r="I396" i="58"/>
  <c r="AC9" i="65" s="1"/>
  <c r="I383" i="58"/>
  <c r="H223" i="58"/>
  <c r="BL111" i="103"/>
  <c r="P114" i="67"/>
  <c r="P217" i="67"/>
  <c r="BL211" i="103"/>
  <c r="AL295" i="103"/>
  <c r="BP56" i="103"/>
  <c r="BO56" i="103"/>
  <c r="BN56" i="103"/>
  <c r="Y56" i="103"/>
  <c r="M392" i="58"/>
  <c r="Q11" i="65" s="1"/>
  <c r="M379" i="58"/>
  <c r="M393" i="58"/>
  <c r="T11" i="65" s="1"/>
  <c r="M380" i="58"/>
  <c r="BO34" i="103"/>
  <c r="BN34" i="103"/>
  <c r="Y34" i="103"/>
  <c r="BP34" i="103"/>
  <c r="AM256" i="22"/>
  <c r="AM255" i="103"/>
  <c r="J382" i="58"/>
  <c r="J395" i="58"/>
  <c r="Z10" i="65" s="1"/>
  <c r="Y281" i="103"/>
  <c r="BP281" i="103"/>
  <c r="BO281" i="103"/>
  <c r="BN281" i="103"/>
  <c r="Y118" i="103"/>
  <c r="BP118" i="103"/>
  <c r="BO118" i="103"/>
  <c r="BN118" i="103"/>
  <c r="P81" i="67"/>
  <c r="BL79" i="103"/>
  <c r="Y325" i="103"/>
  <c r="BO325" i="103"/>
  <c r="BP325" i="103"/>
  <c r="Y60" i="103"/>
  <c r="BP60" i="103"/>
  <c r="BO60" i="103"/>
  <c r="BN60" i="103"/>
  <c r="Y74" i="103"/>
  <c r="BP74" i="103"/>
  <c r="BO74" i="103"/>
  <c r="BN74" i="103"/>
  <c r="P12" i="67"/>
  <c r="BL12" i="103"/>
  <c r="BO47" i="103"/>
  <c r="BN47" i="103"/>
  <c r="Y47" i="103"/>
  <c r="BP47" i="103"/>
  <c r="P33" i="67"/>
  <c r="BL33" i="103"/>
  <c r="BP203" i="103"/>
  <c r="BO203" i="103"/>
  <c r="BN203" i="103"/>
  <c r="Y203" i="103"/>
  <c r="AL203" i="103" s="1"/>
  <c r="Y225" i="103"/>
  <c r="AL225" i="103" s="1"/>
  <c r="BP225" i="103"/>
  <c r="BO225" i="103"/>
  <c r="BN225" i="103"/>
  <c r="I382" i="58"/>
  <c r="I395" i="58"/>
  <c r="Z9" i="65" s="1"/>
  <c r="H192" i="58"/>
  <c r="P72" i="67"/>
  <c r="BL70" i="103"/>
  <c r="BO333" i="103"/>
  <c r="Y333" i="103"/>
  <c r="BP333" i="103"/>
  <c r="Y45" i="103"/>
  <c r="BP45" i="103"/>
  <c r="BO45" i="103"/>
  <c r="BN45" i="103"/>
  <c r="P244" i="67"/>
  <c r="BL237" i="103"/>
  <c r="BL315" i="103"/>
  <c r="P325" i="67"/>
  <c r="Y109" i="103"/>
  <c r="BP109" i="103"/>
  <c r="BO109" i="103"/>
  <c r="BN109" i="103"/>
  <c r="P70" i="67"/>
  <c r="BL69" i="103"/>
  <c r="Y167" i="103"/>
  <c r="AL167" i="103" s="1"/>
  <c r="BP167" i="103"/>
  <c r="BO167" i="103"/>
  <c r="P125" i="67"/>
  <c r="BL122" i="103"/>
  <c r="BL228" i="103"/>
  <c r="P235" i="67"/>
  <c r="Y221" i="103"/>
  <c r="AL221" i="103" s="1"/>
  <c r="BP221" i="103"/>
  <c r="BO221" i="103"/>
  <c r="BN221" i="103"/>
  <c r="Y105" i="103"/>
  <c r="BP105" i="103"/>
  <c r="BO105" i="103"/>
  <c r="BN105" i="103"/>
  <c r="BN81" i="103"/>
  <c r="Y81" i="103"/>
  <c r="BP81" i="103"/>
  <c r="BO81" i="103"/>
  <c r="BL101" i="103"/>
  <c r="P104" i="67"/>
  <c r="K391" i="58"/>
  <c r="N8" i="65" s="1"/>
  <c r="K378" i="58"/>
  <c r="Y361" i="103"/>
  <c r="P98" i="67"/>
  <c r="BL96" i="103"/>
  <c r="Y338" i="103"/>
  <c r="BP338" i="103"/>
  <c r="BO338" i="103"/>
  <c r="P272" i="67"/>
  <c r="BL264" i="103"/>
  <c r="BO198" i="103"/>
  <c r="Y198" i="103"/>
  <c r="AL198" i="103" s="1"/>
  <c r="BP198" i="103"/>
  <c r="BN198" i="103"/>
  <c r="P180" i="67"/>
  <c r="BL175" i="103"/>
  <c r="Y231" i="103"/>
  <c r="AL231" i="103" s="1"/>
  <c r="BP231" i="103"/>
  <c r="BO231" i="103"/>
  <c r="BN231" i="103"/>
  <c r="BL218" i="103"/>
  <c r="P224" i="67"/>
  <c r="Y250" i="103"/>
  <c r="AL250" i="103" s="1"/>
  <c r="BP250" i="103"/>
  <c r="BO250" i="103"/>
  <c r="BN250" i="103"/>
  <c r="Y235" i="103"/>
  <c r="AL235" i="103" s="1"/>
  <c r="BP235" i="103"/>
  <c r="BO235" i="103"/>
  <c r="BN235" i="103"/>
  <c r="P62" i="67"/>
  <c r="BL61" i="103"/>
  <c r="AR197" i="103"/>
  <c r="BB196" i="103"/>
  <c r="BD196" i="103"/>
  <c r="P256" i="67"/>
  <c r="BL249" i="103"/>
  <c r="Y340" i="103"/>
  <c r="BP340" i="103"/>
  <c r="BO340" i="103"/>
  <c r="P170" i="67"/>
  <c r="BL165" i="103"/>
  <c r="P26" i="67"/>
  <c r="BL26" i="103"/>
  <c r="P186" i="67"/>
  <c r="BL181" i="103"/>
  <c r="AL302" i="103"/>
  <c r="Y187" i="103"/>
  <c r="AL187" i="103" s="1"/>
  <c r="BP187" i="103"/>
  <c r="BO187" i="103"/>
  <c r="J377" i="58"/>
  <c r="J390" i="58"/>
  <c r="K10" i="65" s="1"/>
  <c r="Y106" i="103"/>
  <c r="BP106" i="103"/>
  <c r="BO106" i="103"/>
  <c r="BN106" i="103"/>
  <c r="D37" i="53"/>
  <c r="C60" i="53"/>
  <c r="P30" i="67"/>
  <c r="BL30" i="103"/>
  <c r="Y331" i="103"/>
  <c r="BP331" i="103"/>
  <c r="BO331" i="103"/>
  <c r="BP168" i="103"/>
  <c r="BO168" i="103"/>
  <c r="Y168" i="103"/>
  <c r="AL168" i="103" s="1"/>
  <c r="P40" i="67"/>
  <c r="BL40" i="103"/>
  <c r="Y222" i="103"/>
  <c r="AL222" i="103" s="1"/>
  <c r="BP222" i="103"/>
  <c r="BO222" i="103"/>
  <c r="BN222" i="103"/>
  <c r="CG376" i="103"/>
  <c r="BA11" i="103"/>
  <c r="P106" i="67"/>
  <c r="BL103" i="103"/>
  <c r="BO202" i="103"/>
  <c r="BN202" i="103"/>
  <c r="Y202" i="103"/>
  <c r="AL202" i="103" s="1"/>
  <c r="BP202" i="103"/>
  <c r="P378" i="67"/>
  <c r="BL367" i="103"/>
  <c r="P211" i="67"/>
  <c r="BL205" i="103"/>
  <c r="P382" i="67"/>
  <c r="U19" i="68" s="1"/>
  <c r="BL371" i="103"/>
  <c r="P111" i="67"/>
  <c r="BL108" i="103"/>
  <c r="P287" i="67"/>
  <c r="BL279" i="103"/>
  <c r="Y253" i="103"/>
  <c r="AL253" i="103" s="1"/>
  <c r="BP253" i="103"/>
  <c r="BO253" i="103"/>
  <c r="BN253" i="103"/>
  <c r="AE346" i="22"/>
  <c r="I356" i="67"/>
  <c r="CJ387" i="103"/>
  <c r="D36" i="53"/>
  <c r="C59" i="53"/>
  <c r="Y239" i="103"/>
  <c r="AL239" i="103" s="1"/>
  <c r="BP239" i="103"/>
  <c r="BO239" i="103"/>
  <c r="BN239" i="103"/>
  <c r="P102" i="67"/>
  <c r="BL100" i="103"/>
  <c r="BP233" i="103"/>
  <c r="BO233" i="103"/>
  <c r="BN233" i="103"/>
  <c r="Y233" i="103"/>
  <c r="AL233" i="103" s="1"/>
  <c r="Y196" i="103"/>
  <c r="AL196" i="103" s="1"/>
  <c r="BP196" i="103"/>
  <c r="BO196" i="103"/>
  <c r="BN196" i="103"/>
  <c r="Y52" i="103"/>
  <c r="BP52" i="103"/>
  <c r="BO52" i="103"/>
  <c r="BN52" i="103"/>
  <c r="L324" i="67"/>
  <c r="Y247" i="103"/>
  <c r="AL247" i="103" s="1"/>
  <c r="BP247" i="103"/>
  <c r="BO247" i="103"/>
  <c r="BN247" i="103"/>
  <c r="P328" i="67"/>
  <c r="BL318" i="103"/>
  <c r="P193" i="67"/>
  <c r="BL188" i="103"/>
  <c r="BL366" i="103"/>
  <c r="P377" i="67"/>
  <c r="Y275" i="103"/>
  <c r="BP275" i="103"/>
  <c r="BO275" i="103"/>
  <c r="BN275" i="103"/>
  <c r="Y39" i="103"/>
  <c r="BP39" i="103"/>
  <c r="BO39" i="103"/>
  <c r="BN39" i="103"/>
  <c r="BO240" i="103"/>
  <c r="BN240" i="103"/>
  <c r="BP240" i="103"/>
  <c r="Y240" i="103"/>
  <c r="AL240" i="103" s="1"/>
  <c r="P222" i="67"/>
  <c r="BL216" i="103"/>
  <c r="Y73" i="103"/>
  <c r="BP73" i="103"/>
  <c r="BO73" i="103"/>
  <c r="BN73" i="103"/>
  <c r="Y54" i="103"/>
  <c r="BP54" i="103"/>
  <c r="BO54" i="103"/>
  <c r="BN54" i="103"/>
  <c r="BO220" i="103"/>
  <c r="BN220" i="103"/>
  <c r="Y220" i="103"/>
  <c r="AL220" i="103" s="1"/>
  <c r="BP220" i="103"/>
  <c r="BL57" i="103"/>
  <c r="P58" i="67"/>
  <c r="BR379" i="103"/>
  <c r="G55" i="53"/>
  <c r="G32" i="53"/>
  <c r="L55" i="53"/>
  <c r="H55" i="53"/>
  <c r="BO252" i="103"/>
  <c r="BN252" i="103"/>
  <c r="Y252" i="103"/>
  <c r="AL252" i="103" s="1"/>
  <c r="BP252" i="103"/>
  <c r="M385" i="58"/>
  <c r="M398" i="58"/>
  <c r="AI11" i="65" s="1"/>
  <c r="P120" i="67"/>
  <c r="BL117" i="103"/>
  <c r="L399" i="58"/>
  <c r="AL7" i="65" s="1"/>
  <c r="L386" i="58"/>
  <c r="H315" i="58"/>
  <c r="BP183" i="103"/>
  <c r="BO183" i="103"/>
  <c r="Y183" i="103"/>
  <c r="AL183" i="103" s="1"/>
  <c r="Y321" i="103"/>
  <c r="BP321" i="103"/>
  <c r="BO321" i="103"/>
  <c r="Y357" i="103"/>
  <c r="P216" i="67"/>
  <c r="BL210" i="103"/>
  <c r="Y337" i="103"/>
  <c r="BP337" i="103"/>
  <c r="BO337" i="103"/>
  <c r="P250" i="67"/>
  <c r="BL243" i="103"/>
  <c r="P77" i="67"/>
  <c r="BL75" i="103"/>
  <c r="Y346" i="103"/>
  <c r="P74" i="67"/>
  <c r="BL72" i="103"/>
  <c r="BO28" i="103"/>
  <c r="BN28" i="103"/>
  <c r="Y28" i="103"/>
  <c r="BP28" i="103"/>
  <c r="Y71" i="103"/>
  <c r="BP71" i="103"/>
  <c r="BO71" i="103"/>
  <c r="BN71" i="103"/>
  <c r="Y97" i="103"/>
  <c r="BP97" i="103"/>
  <c r="BO97" i="103"/>
  <c r="BN97" i="103"/>
  <c r="AE362" i="22"/>
  <c r="I372" i="67"/>
  <c r="AL290" i="103"/>
  <c r="M377" i="58"/>
  <c r="M390" i="58"/>
  <c r="K11" i="65" s="1"/>
  <c r="Y368" i="103"/>
  <c r="K396" i="58"/>
  <c r="AC8" i="65" s="1"/>
  <c r="K383" i="58"/>
  <c r="BN19" i="103"/>
  <c r="Y19" i="103"/>
  <c r="BP19" i="103"/>
  <c r="BO19" i="103"/>
  <c r="Y116" i="103"/>
  <c r="BP116" i="103"/>
  <c r="BO116" i="103"/>
  <c r="BN116" i="103"/>
  <c r="P34" i="67"/>
  <c r="BL34" i="103"/>
  <c r="P289" i="67"/>
  <c r="BL281" i="103"/>
  <c r="BL118" i="103"/>
  <c r="P121" i="67"/>
  <c r="P335" i="67"/>
  <c r="BL325" i="103"/>
  <c r="P61" i="67"/>
  <c r="BL60" i="103"/>
  <c r="P76" i="67"/>
  <c r="BL74" i="103"/>
  <c r="Y334" i="103"/>
  <c r="BP334" i="103"/>
  <c r="BO334" i="103"/>
  <c r="Y358" i="103"/>
  <c r="P48" i="67"/>
  <c r="BL47" i="103"/>
  <c r="Y94" i="103"/>
  <c r="BN94" i="103"/>
  <c r="BP94" i="103"/>
  <c r="BO94" i="103"/>
  <c r="Y163" i="103"/>
  <c r="BP163" i="103"/>
  <c r="BO163" i="103"/>
  <c r="Y68" i="103"/>
  <c r="BP68" i="103"/>
  <c r="BO68" i="103"/>
  <c r="BN68" i="103"/>
  <c r="P209" i="67"/>
  <c r="BL203" i="103"/>
  <c r="K397" i="58"/>
  <c r="AF8" i="65" s="1"/>
  <c r="K384" i="58"/>
  <c r="P232" i="67"/>
  <c r="BL225" i="103"/>
  <c r="BO22" i="103"/>
  <c r="BN22" i="103"/>
  <c r="Y22" i="103"/>
  <c r="BP22" i="103"/>
  <c r="Y278" i="103"/>
  <c r="BP278" i="103"/>
  <c r="BO278" i="103"/>
  <c r="BN278" i="103"/>
  <c r="C51" i="53"/>
  <c r="D28" i="53"/>
  <c r="Y245" i="103"/>
  <c r="AL245" i="103" s="1"/>
  <c r="BP245" i="103"/>
  <c r="BO245" i="103"/>
  <c r="BN245" i="103"/>
  <c r="Y201" i="103"/>
  <c r="AL201" i="103" s="1"/>
  <c r="BO201" i="103"/>
  <c r="BP201" i="103"/>
  <c r="BN201" i="103"/>
  <c r="P343" i="67"/>
  <c r="P46" i="67"/>
  <c r="BL45" i="103"/>
  <c r="BO237" i="103"/>
  <c r="BN237" i="103"/>
  <c r="BP237" i="103"/>
  <c r="Y237" i="103"/>
  <c r="AL237" i="103" s="1"/>
  <c r="BO342" i="103"/>
  <c r="Y342" i="103"/>
  <c r="BP342" i="103"/>
  <c r="Y353" i="103"/>
  <c r="P112" i="67"/>
  <c r="BL109" i="103"/>
  <c r="H56" i="53"/>
  <c r="G56" i="53"/>
  <c r="G33" i="53"/>
  <c r="L56" i="53"/>
  <c r="BL52" i="103"/>
  <c r="P53" i="67"/>
  <c r="J385" i="58"/>
  <c r="J398" i="58"/>
  <c r="AI10" i="65" s="1"/>
  <c r="S107" i="13"/>
  <c r="Y184" i="103"/>
  <c r="AL184" i="103" s="1"/>
  <c r="BP184" i="103"/>
  <c r="BO184" i="103"/>
  <c r="P172" i="67"/>
  <c r="BL167" i="103"/>
  <c r="Y110" i="103"/>
  <c r="BP110" i="103"/>
  <c r="BO110" i="103"/>
  <c r="BN110" i="103"/>
  <c r="P227" i="67"/>
  <c r="BL221" i="103"/>
  <c r="P108" i="67"/>
  <c r="BL105" i="103"/>
  <c r="P83" i="67"/>
  <c r="BL81" i="103"/>
  <c r="C52" i="53"/>
  <c r="D29" i="53"/>
  <c r="BL361" i="103"/>
  <c r="P372" i="67"/>
  <c r="P348" i="67"/>
  <c r="BL338" i="103"/>
  <c r="BN91" i="103"/>
  <c r="BP91" i="103"/>
  <c r="BO91" i="103"/>
  <c r="Y91" i="103"/>
  <c r="BP264" i="103"/>
  <c r="BO264" i="103"/>
  <c r="BN264" i="103"/>
  <c r="Y264" i="103"/>
  <c r="P204" i="67"/>
  <c r="BL198" i="103"/>
  <c r="P238" i="67"/>
  <c r="BL231" i="103"/>
  <c r="P205" i="67"/>
  <c r="BL199" i="103"/>
  <c r="Y48" i="103"/>
  <c r="BP48" i="103"/>
  <c r="BO48" i="103"/>
  <c r="BN48" i="103"/>
  <c r="P167" i="67"/>
  <c r="BL162" i="103"/>
  <c r="Y276" i="103"/>
  <c r="BP276" i="103"/>
  <c r="BO276" i="103"/>
  <c r="BN276" i="103"/>
  <c r="Y272" i="103"/>
  <c r="BP272" i="103"/>
  <c r="BO272" i="103"/>
  <c r="BN272" i="103"/>
  <c r="J378" i="58"/>
  <c r="J391" i="58"/>
  <c r="N10" i="65" s="1"/>
  <c r="C54" i="53"/>
  <c r="D31" i="53"/>
  <c r="P191" i="67"/>
  <c r="BL186" i="103"/>
  <c r="Y219" i="103"/>
  <c r="AL219" i="103" s="1"/>
  <c r="BP219" i="103"/>
  <c r="BO219" i="103"/>
  <c r="BN219" i="103"/>
  <c r="J396" i="58"/>
  <c r="AC10" i="65" s="1"/>
  <c r="J383" i="58"/>
  <c r="P350" i="67"/>
  <c r="BL340" i="103"/>
  <c r="BP165" i="103"/>
  <c r="BO165" i="103"/>
  <c r="Y165" i="103"/>
  <c r="K393" i="58"/>
  <c r="T8" i="65" s="1"/>
  <c r="K380" i="58"/>
  <c r="AL297" i="103"/>
  <c r="P192" i="67"/>
  <c r="BL187" i="103"/>
  <c r="AL289" i="103"/>
  <c r="P109" i="67"/>
  <c r="BL106" i="103"/>
  <c r="AL303" i="103"/>
  <c r="H7" i="65"/>
  <c r="P341" i="67"/>
  <c r="I393" i="58"/>
  <c r="T9" i="65" s="1"/>
  <c r="I380" i="58"/>
  <c r="H131" i="58"/>
  <c r="BN114" i="103"/>
  <c r="Y114" i="103"/>
  <c r="BP114" i="103"/>
  <c r="BO114" i="103"/>
  <c r="P228" i="67"/>
  <c r="BL222" i="103"/>
  <c r="Y124" i="103"/>
  <c r="BP124" i="103"/>
  <c r="BO124" i="103"/>
  <c r="BN124" i="103"/>
  <c r="W384" i="103"/>
  <c r="Y254" i="103"/>
  <c r="BP254" i="103"/>
  <c r="BO254" i="103"/>
  <c r="BN254" i="103"/>
  <c r="Y373" i="103"/>
  <c r="BP266" i="103"/>
  <c r="BO266" i="103"/>
  <c r="BN266" i="103"/>
  <c r="Y266" i="103"/>
  <c r="P51" i="67"/>
  <c r="BL50" i="103"/>
  <c r="L400" i="58"/>
  <c r="AO7" i="65" s="1"/>
  <c r="L387" i="58"/>
  <c r="H345" i="58"/>
  <c r="P208" i="67"/>
  <c r="BL202" i="103"/>
  <c r="M397" i="58"/>
  <c r="AF11" i="65" s="1"/>
  <c r="M384" i="58"/>
  <c r="M381" i="58"/>
  <c r="M394" i="58"/>
  <c r="W11" i="65" s="1"/>
  <c r="K395" i="58"/>
  <c r="Z8" i="65" s="1"/>
  <c r="K382" i="58"/>
  <c r="Y341" i="103"/>
  <c r="BP341" i="103"/>
  <c r="BO341" i="103"/>
  <c r="Y372" i="103"/>
  <c r="P260" i="67"/>
  <c r="BL253" i="103"/>
  <c r="Y352" i="103"/>
  <c r="P282" i="67"/>
  <c r="BL274" i="103"/>
  <c r="Y251" i="103"/>
  <c r="AL251" i="103" s="1"/>
  <c r="BP251" i="103"/>
  <c r="BO251" i="103"/>
  <c r="BN251" i="103"/>
  <c r="P246" i="67"/>
  <c r="BL239" i="103"/>
  <c r="Y130" i="103"/>
  <c r="BP130" i="103"/>
  <c r="BN130" i="103"/>
  <c r="BO130" i="103"/>
  <c r="P27" i="67"/>
  <c r="BL27" i="103"/>
  <c r="BL233" i="103"/>
  <c r="P240" i="67"/>
  <c r="Y335" i="103"/>
  <c r="BP335" i="103"/>
  <c r="BO335" i="103"/>
  <c r="P202" i="67"/>
  <c r="BL196" i="103"/>
  <c r="P254" i="67"/>
  <c r="BL247" i="103"/>
  <c r="Y224" i="103"/>
  <c r="AL224" i="103" s="1"/>
  <c r="BP224" i="103"/>
  <c r="BO224" i="103"/>
  <c r="BN224" i="103"/>
  <c r="BL275" i="103"/>
  <c r="P283" i="67"/>
  <c r="P39" i="67"/>
  <c r="BL39" i="103"/>
  <c r="BP55" i="103"/>
  <c r="BO55" i="103"/>
  <c r="BN55" i="103"/>
  <c r="Y55" i="103"/>
  <c r="P236" i="67"/>
  <c r="BL229" i="103"/>
  <c r="P75" i="67"/>
  <c r="BL73" i="103"/>
  <c r="P55" i="67"/>
  <c r="BL54" i="103"/>
  <c r="Y273" i="103"/>
  <c r="BP273" i="103"/>
  <c r="BO273" i="103"/>
  <c r="BN273" i="103"/>
  <c r="P226" i="67"/>
  <c r="BL220" i="103"/>
  <c r="Y23" i="103"/>
  <c r="BP23" i="103"/>
  <c r="BO23" i="103"/>
  <c r="BN23" i="103"/>
  <c r="P60" i="67"/>
  <c r="BL59" i="103"/>
  <c r="P259" i="67"/>
  <c r="BL252" i="103"/>
  <c r="Y35" i="103"/>
  <c r="BP35" i="103"/>
  <c r="BO35" i="103"/>
  <c r="BN35" i="103"/>
  <c r="BR381" i="103"/>
  <c r="Y51" i="103"/>
  <c r="BP51" i="103"/>
  <c r="BO51" i="103"/>
  <c r="BN51" i="103"/>
  <c r="BL123" i="103"/>
  <c r="P126" i="67"/>
  <c r="Y351" i="103"/>
  <c r="P49" i="67"/>
  <c r="BL48" i="103"/>
  <c r="P331" i="67"/>
  <c r="BL321" i="103"/>
  <c r="P257" i="67"/>
  <c r="BL250" i="103"/>
  <c r="P242" i="67"/>
  <c r="BL235" i="103"/>
  <c r="AE316" i="22"/>
  <c r="I325" i="67"/>
  <c r="CJ386" i="103"/>
  <c r="W380" i="103"/>
  <c r="BN131" i="103"/>
  <c r="Y131" i="103"/>
  <c r="BP131" i="103"/>
  <c r="BO131" i="103"/>
  <c r="F26" i="36"/>
  <c r="F18" i="36" s="1"/>
  <c r="AF88" i="23"/>
  <c r="BL276" i="103"/>
  <c r="P284" i="67"/>
  <c r="P280" i="67"/>
  <c r="BL272" i="103"/>
  <c r="P368" i="67"/>
  <c r="BL357" i="103"/>
  <c r="BP129" i="103"/>
  <c r="BO129" i="103"/>
  <c r="BN129" i="103"/>
  <c r="Y129" i="103"/>
  <c r="BL337" i="103"/>
  <c r="P347" i="67"/>
  <c r="D30" i="53"/>
  <c r="C53" i="53"/>
  <c r="BO243" i="103"/>
  <c r="BN243" i="103"/>
  <c r="BP243" i="103"/>
  <c r="Y243" i="103"/>
  <c r="AL243" i="103" s="1"/>
  <c r="P357" i="67"/>
  <c r="BL346" i="103"/>
  <c r="P28" i="67"/>
  <c r="BL28" i="103"/>
  <c r="P73" i="67"/>
  <c r="BL71" i="103"/>
  <c r="S73" i="13"/>
  <c r="Y369" i="103"/>
  <c r="M396" i="58"/>
  <c r="AC11" i="65" s="1"/>
  <c r="M383" i="58"/>
  <c r="Y164" i="103"/>
  <c r="BP164" i="103"/>
  <c r="BO164" i="103"/>
  <c r="Y182" i="103"/>
  <c r="AL182" i="103" s="1"/>
  <c r="BP182" i="103"/>
  <c r="BO182" i="103"/>
  <c r="Y374" i="103"/>
  <c r="P99" i="67"/>
  <c r="BL97" i="103"/>
  <c r="P342" i="67"/>
  <c r="P379" i="67"/>
  <c r="BL368" i="103"/>
  <c r="Y112" i="103"/>
  <c r="BP112" i="103"/>
  <c r="BO112" i="103"/>
  <c r="BN112" i="103"/>
  <c r="P54" i="67"/>
  <c r="BL53" i="103"/>
  <c r="BL19" i="103"/>
  <c r="P19" i="67"/>
  <c r="P119" i="67"/>
  <c r="BL116" i="103"/>
  <c r="Y230" i="103"/>
  <c r="AL230" i="103" s="1"/>
  <c r="BP230" i="103"/>
  <c r="BO230" i="103"/>
  <c r="BN230" i="103"/>
  <c r="BP50" i="103"/>
  <c r="BO50" i="103"/>
  <c r="BN50" i="103"/>
  <c r="Y50" i="103"/>
  <c r="Y32" i="103"/>
  <c r="BP32" i="103"/>
  <c r="BO32" i="103"/>
  <c r="BN32" i="103"/>
  <c r="I392" i="58"/>
  <c r="Q9" i="65" s="1"/>
  <c r="I379" i="58"/>
  <c r="H101" i="58"/>
  <c r="J393" i="58"/>
  <c r="T10" i="65" s="1"/>
  <c r="J380" i="58"/>
  <c r="AL285" i="103"/>
  <c r="Y360" i="103"/>
  <c r="P344" i="67"/>
  <c r="P369" i="67"/>
  <c r="BL358" i="103"/>
  <c r="P96" i="67"/>
  <c r="BL94" i="103"/>
  <c r="AL304" i="103"/>
  <c r="P168" i="67"/>
  <c r="BL163" i="103"/>
  <c r="BL68" i="103"/>
  <c r="P69" i="67"/>
  <c r="Y328" i="103"/>
  <c r="BO328" i="103"/>
  <c r="BP328" i="103"/>
  <c r="P22" i="67"/>
  <c r="BL22" i="103"/>
  <c r="P286" i="67"/>
  <c r="BL278" i="103"/>
  <c r="P252" i="67"/>
  <c r="BL245" i="103"/>
  <c r="P207" i="67"/>
  <c r="BL201" i="103"/>
  <c r="AE307" i="22"/>
  <c r="I315" i="67"/>
  <c r="AE311" i="22"/>
  <c r="I319" i="67"/>
  <c r="BL342" i="103"/>
  <c r="P352" i="67"/>
  <c r="P364" i="67"/>
  <c r="BL353" i="103"/>
  <c r="P279" i="67"/>
  <c r="BL271" i="103"/>
  <c r="P189" i="67"/>
  <c r="BL184" i="103"/>
  <c r="P113" i="67"/>
  <c r="BL110" i="103"/>
  <c r="Y190" i="103"/>
  <c r="AL190" i="103" s="1"/>
  <c r="BP190" i="103"/>
  <c r="BO190" i="103"/>
  <c r="P198" i="67"/>
  <c r="BL192" i="103"/>
  <c r="J389" i="58"/>
  <c r="J376" i="58"/>
  <c r="BP59" i="103"/>
  <c r="BO59" i="103"/>
  <c r="BN59" i="103"/>
  <c r="Y59" i="103"/>
  <c r="CJ385" i="103"/>
  <c r="L159" i="23"/>
  <c r="X388" i="103"/>
  <c r="L50" i="53"/>
  <c r="H50" i="53"/>
  <c r="G50" i="53"/>
  <c r="G27" i="53"/>
  <c r="BL91" i="103"/>
  <c r="P93" i="67"/>
  <c r="BP127" i="103"/>
  <c r="BN127" i="103"/>
  <c r="Y127" i="103"/>
  <c r="BO127" i="103"/>
  <c r="Y324" i="103"/>
  <c r="BP324" i="103"/>
  <c r="BO324" i="103"/>
  <c r="BN123" i="103"/>
  <c r="Y123" i="103"/>
  <c r="BP123" i="103"/>
  <c r="BO123" i="103"/>
  <c r="P52" i="67"/>
  <c r="BL51" i="103"/>
  <c r="P362" i="67"/>
  <c r="BL351" i="103"/>
  <c r="U112" i="13"/>
  <c r="U106" i="13"/>
  <c r="U116" i="13"/>
  <c r="U109" i="13"/>
  <c r="U113" i="13"/>
  <c r="U111" i="13"/>
  <c r="U114" i="13"/>
  <c r="U107" i="13"/>
  <c r="U110" i="13"/>
  <c r="U115" i="13"/>
  <c r="U108" i="13"/>
  <c r="P63" i="67"/>
  <c r="BL62" i="103"/>
  <c r="Y348" i="103"/>
  <c r="Y170" i="103"/>
  <c r="AL170" i="103" s="1"/>
  <c r="BP170" i="103"/>
  <c r="BO170" i="103"/>
  <c r="BP186" i="103"/>
  <c r="BO186" i="103"/>
  <c r="Y186" i="103"/>
  <c r="AL186" i="103" s="1"/>
  <c r="Y236" i="103"/>
  <c r="AL236" i="103" s="1"/>
  <c r="BP236" i="103"/>
  <c r="BO236" i="103"/>
  <c r="BN236" i="103"/>
  <c r="BL219" i="103"/>
  <c r="P225" i="67"/>
  <c r="K377" i="58"/>
  <c r="K390" i="58"/>
  <c r="K8" i="65" s="1"/>
  <c r="AE329" i="22"/>
  <c r="I338" i="67"/>
  <c r="Y64" i="103"/>
  <c r="BP64" i="103"/>
  <c r="BO64" i="103"/>
  <c r="BN64" i="103"/>
  <c r="Y215" i="103"/>
  <c r="AL215" i="103" s="1"/>
  <c r="BP215" i="103"/>
  <c r="BO215" i="103"/>
  <c r="BN215" i="103"/>
  <c r="Y46" i="103"/>
  <c r="BO46" i="103"/>
  <c r="BN46" i="103"/>
  <c r="BP46" i="103"/>
  <c r="P241" i="67"/>
  <c r="BL234" i="103"/>
  <c r="BP332" i="103"/>
  <c r="Y332" i="103"/>
  <c r="BO332" i="103"/>
  <c r="Y359" i="103"/>
  <c r="AL293" i="103"/>
  <c r="BN84" i="103"/>
  <c r="Y84" i="103"/>
  <c r="BP84" i="103"/>
  <c r="BO84" i="103"/>
  <c r="BL114" i="103"/>
  <c r="P117" i="67"/>
  <c r="BP53" i="103"/>
  <c r="BO53" i="103"/>
  <c r="BN53" i="103"/>
  <c r="Y53" i="103"/>
  <c r="BO87" i="103"/>
  <c r="BN87" i="103"/>
  <c r="Y87" i="103"/>
  <c r="BP87" i="103"/>
  <c r="Y206" i="103"/>
  <c r="AL206" i="103" s="1"/>
  <c r="BP206" i="103"/>
  <c r="BO206" i="103"/>
  <c r="BN206" i="103"/>
  <c r="P127" i="67"/>
  <c r="BL124" i="103"/>
  <c r="P262" i="67"/>
  <c r="BL254" i="103"/>
  <c r="P384" i="67"/>
  <c r="Y19" i="68" s="1"/>
  <c r="BL373" i="103"/>
  <c r="P274" i="67"/>
  <c r="BL266" i="103"/>
  <c r="P285" i="67"/>
  <c r="BL277" i="103"/>
  <c r="Y207" i="103"/>
  <c r="AL207" i="103" s="1"/>
  <c r="BP207" i="103"/>
  <c r="BO207" i="103"/>
  <c r="BN207" i="103"/>
  <c r="CJ376" i="103"/>
  <c r="Y63" i="103"/>
  <c r="BP63" i="103"/>
  <c r="BO63" i="103"/>
  <c r="BN63" i="103"/>
  <c r="P351" i="67"/>
  <c r="BL341" i="103"/>
  <c r="Y173" i="103"/>
  <c r="AL173" i="103" s="1"/>
  <c r="BP173" i="103"/>
  <c r="BO173" i="103"/>
  <c r="P383" i="67"/>
  <c r="W19" i="68" s="1"/>
  <c r="BL372" i="103"/>
  <c r="Y327" i="103"/>
  <c r="BP327" i="103"/>
  <c r="BO327" i="103"/>
  <c r="P363" i="67"/>
  <c r="BL352" i="103"/>
  <c r="BP274" i="103"/>
  <c r="BO274" i="103"/>
  <c r="BN274" i="103"/>
  <c r="Y274" i="103"/>
  <c r="P258" i="67"/>
  <c r="BL251" i="103"/>
  <c r="P133" i="67"/>
  <c r="BL130" i="103"/>
  <c r="BN120" i="103"/>
  <c r="Y120" i="103"/>
  <c r="BP120" i="103"/>
  <c r="BO120" i="103"/>
  <c r="Y27" i="103"/>
  <c r="BO27" i="103"/>
  <c r="BN27" i="103"/>
  <c r="BP27" i="103"/>
  <c r="P345" i="67"/>
  <c r="L49" i="53"/>
  <c r="H49" i="53"/>
  <c r="G49" i="53"/>
  <c r="G26" i="53"/>
  <c r="J388" i="103"/>
  <c r="P231" i="67"/>
  <c r="BL224" i="103"/>
  <c r="AE305" i="22"/>
  <c r="I313" i="67"/>
  <c r="P33" i="64"/>
  <c r="P56" i="67"/>
  <c r="BL55" i="103"/>
  <c r="BA193" i="103"/>
  <c r="BP229" i="103"/>
  <c r="BO229" i="103"/>
  <c r="BN229" i="103"/>
  <c r="Y229" i="103"/>
  <c r="AL229" i="103" s="1"/>
  <c r="Y85" i="103"/>
  <c r="BP85" i="103"/>
  <c r="BO85" i="103"/>
  <c r="BN85" i="103"/>
  <c r="P281" i="67"/>
  <c r="BL273" i="103"/>
  <c r="BR382" i="103"/>
  <c r="Y362" i="103"/>
  <c r="P239" i="67"/>
  <c r="BL232" i="103"/>
  <c r="P185" i="67"/>
  <c r="BL180" i="103"/>
  <c r="P23" i="67"/>
  <c r="BL23" i="103"/>
  <c r="AA388" i="58"/>
  <c r="P333" i="67"/>
  <c r="BL323" i="103"/>
  <c r="P35" i="67"/>
  <c r="BL35" i="103"/>
  <c r="Y21" i="103"/>
  <c r="BP21" i="103"/>
  <c r="BO21" i="103"/>
  <c r="BN21" i="103"/>
  <c r="AL165" i="103" l="1"/>
  <c r="AL164" i="103"/>
  <c r="AL163" i="103"/>
  <c r="AC164" i="22" s="1"/>
  <c r="AL155" i="103"/>
  <c r="AL156" i="103"/>
  <c r="AC157" i="22" s="1"/>
  <c r="AL152" i="103"/>
  <c r="O156" i="67" s="1"/>
  <c r="O163" i="67"/>
  <c r="AL153" i="103"/>
  <c r="AC159" i="22"/>
  <c r="AC158" i="22"/>
  <c r="AL154" i="103"/>
  <c r="AL149" i="103"/>
  <c r="AC152" i="22"/>
  <c r="AL146" i="103"/>
  <c r="AL144" i="103"/>
  <c r="AL145" i="103"/>
  <c r="O161" i="67"/>
  <c r="AC160" i="22"/>
  <c r="AC149" i="22"/>
  <c r="O162" i="67"/>
  <c r="O152" i="67"/>
  <c r="O155" i="67"/>
  <c r="AC134" i="22"/>
  <c r="AC140" i="22"/>
  <c r="AC141" i="22"/>
  <c r="O145" i="67"/>
  <c r="AC136" i="22"/>
  <c r="O146" i="67"/>
  <c r="AC137" i="22"/>
  <c r="O164" i="67"/>
  <c r="AC161" i="22"/>
  <c r="AL143" i="103"/>
  <c r="AC142" i="22"/>
  <c r="AC143" i="22"/>
  <c r="O143" i="67"/>
  <c r="AL132" i="103"/>
  <c r="O144" i="67"/>
  <c r="R394" i="67"/>
  <c r="O139" i="67"/>
  <c r="O140" i="67"/>
  <c r="R166" i="67"/>
  <c r="O137" i="67"/>
  <c r="AL130" i="103"/>
  <c r="AL129" i="103"/>
  <c r="AL128" i="103"/>
  <c r="AL127" i="103"/>
  <c r="AL126" i="103"/>
  <c r="AL125" i="103"/>
  <c r="AL124" i="103"/>
  <c r="AL123" i="103"/>
  <c r="AL122" i="103"/>
  <c r="AL121" i="103"/>
  <c r="AL120" i="103"/>
  <c r="AL119" i="103"/>
  <c r="R393" i="67"/>
  <c r="R134" i="67"/>
  <c r="AL118" i="103"/>
  <c r="AL117" i="103"/>
  <c r="AL116" i="103"/>
  <c r="AL115" i="103"/>
  <c r="AL114" i="103"/>
  <c r="AL113" i="103"/>
  <c r="AL112" i="103"/>
  <c r="AL111" i="103"/>
  <c r="BO380" i="103"/>
  <c r="BP380" i="103"/>
  <c r="BN380" i="103"/>
  <c r="AL110" i="103"/>
  <c r="AL109" i="103"/>
  <c r="AL102" i="103"/>
  <c r="AL108" i="103"/>
  <c r="AL107" i="103"/>
  <c r="AL106" i="103"/>
  <c r="E19" i="62"/>
  <c r="AL105" i="103"/>
  <c r="AL104" i="103"/>
  <c r="AL103" i="103"/>
  <c r="N19" i="62"/>
  <c r="X20" i="62"/>
  <c r="Y20" i="62" s="1"/>
  <c r="C20" i="62"/>
  <c r="D20" i="62"/>
  <c r="F20" i="62"/>
  <c r="I20" i="62"/>
  <c r="J20" i="62" s="1"/>
  <c r="G20" i="62"/>
  <c r="H20" i="62" s="1"/>
  <c r="K20" i="62"/>
  <c r="F22" i="37"/>
  <c r="O22" i="37"/>
  <c r="N22" i="37"/>
  <c r="I22" i="37"/>
  <c r="J22" i="37"/>
  <c r="M22" i="37"/>
  <c r="K22" i="37"/>
  <c r="E22" i="37"/>
  <c r="P22" i="37"/>
  <c r="G22" i="37"/>
  <c r="L22" i="37"/>
  <c r="H22" i="37"/>
  <c r="AC87" i="22"/>
  <c r="AL97" i="103"/>
  <c r="AL96" i="103"/>
  <c r="AL95" i="103"/>
  <c r="AL94" i="103"/>
  <c r="AL93" i="103"/>
  <c r="AL92" i="103"/>
  <c r="AL91" i="103"/>
  <c r="O88" i="67"/>
  <c r="AL90" i="103"/>
  <c r="AL89" i="103"/>
  <c r="AL88" i="103"/>
  <c r="AL87" i="103"/>
  <c r="AL85" i="103"/>
  <c r="AL84" i="103"/>
  <c r="AL83" i="103"/>
  <c r="AL82" i="103"/>
  <c r="AL81" i="103"/>
  <c r="AL80" i="103"/>
  <c r="AL79" i="103"/>
  <c r="AL78" i="103"/>
  <c r="AL77" i="103"/>
  <c r="AL76" i="103"/>
  <c r="AL75" i="103"/>
  <c r="AL74" i="103"/>
  <c r="AL73" i="103"/>
  <c r="AL72" i="103"/>
  <c r="AL71" i="103"/>
  <c r="AL98" i="103"/>
  <c r="X154" i="23"/>
  <c r="AL99" i="103"/>
  <c r="X155" i="23"/>
  <c r="AL100" i="103"/>
  <c r="X156" i="23"/>
  <c r="O67" i="67"/>
  <c r="AC67" i="22"/>
  <c r="AL65" i="103"/>
  <c r="AL68" i="103"/>
  <c r="AL69" i="103"/>
  <c r="AL67" i="103"/>
  <c r="AL64" i="103"/>
  <c r="AL63" i="103"/>
  <c r="AL62" i="103"/>
  <c r="AL61" i="103"/>
  <c r="AL60" i="103"/>
  <c r="AL59" i="103"/>
  <c r="AL58" i="103"/>
  <c r="AL57" i="103"/>
  <c r="AL56" i="103"/>
  <c r="AL55" i="103"/>
  <c r="AL54" i="103"/>
  <c r="AL53" i="103"/>
  <c r="AL52" i="103"/>
  <c r="AL51" i="103"/>
  <c r="AL50" i="103"/>
  <c r="AL49" i="103"/>
  <c r="AL48" i="103"/>
  <c r="AL47" i="103"/>
  <c r="AL46" i="103"/>
  <c r="AL45" i="103"/>
  <c r="AL44" i="103"/>
  <c r="AL43" i="103"/>
  <c r="AC39" i="22"/>
  <c r="AC21" i="22"/>
  <c r="O38" i="67"/>
  <c r="AL41" i="103"/>
  <c r="AL40" i="103"/>
  <c r="AL39" i="103"/>
  <c r="AL35" i="103"/>
  <c r="AL34" i="103"/>
  <c r="AL33" i="103"/>
  <c r="AL32" i="103"/>
  <c r="AL31" i="103"/>
  <c r="R390" i="67"/>
  <c r="R42" i="67"/>
  <c r="AL30" i="103"/>
  <c r="O20" i="67"/>
  <c r="AL29" i="103"/>
  <c r="AL28" i="103"/>
  <c r="AL27" i="103"/>
  <c r="AL26" i="103"/>
  <c r="AL25" i="103"/>
  <c r="AL24" i="103"/>
  <c r="AL23" i="103"/>
  <c r="AL22" i="103"/>
  <c r="AL21" i="103"/>
  <c r="AL19" i="103"/>
  <c r="T19" i="62"/>
  <c r="AL18" i="103"/>
  <c r="T18" i="62"/>
  <c r="AL17" i="103"/>
  <c r="T17" i="62"/>
  <c r="AL16" i="103"/>
  <c r="T16" i="62"/>
  <c r="AL15" i="103"/>
  <c r="T15" i="62"/>
  <c r="AL14" i="103"/>
  <c r="T14" i="62"/>
  <c r="AL13" i="103"/>
  <c r="T13" i="62"/>
  <c r="AL12" i="103"/>
  <c r="T12" i="62"/>
  <c r="H42" i="30"/>
  <c r="BK218" i="103"/>
  <c r="BM218" i="103" s="1"/>
  <c r="BK211" i="103"/>
  <c r="BM211" i="103" s="1"/>
  <c r="BK208" i="103"/>
  <c r="BM208" i="103" s="1"/>
  <c r="BK196" i="103"/>
  <c r="BM196" i="103" s="1"/>
  <c r="BK206" i="103"/>
  <c r="BM206" i="103" s="1"/>
  <c r="D211" i="22"/>
  <c r="BK217" i="103"/>
  <c r="BM217" i="103" s="1"/>
  <c r="BK215" i="103"/>
  <c r="BM215" i="103" s="1"/>
  <c r="BK220" i="103"/>
  <c r="BM220" i="103" s="1"/>
  <c r="D204" i="22"/>
  <c r="D223" i="22"/>
  <c r="BK213" i="103"/>
  <c r="BM213" i="103" s="1"/>
  <c r="BK205" i="103"/>
  <c r="BM205" i="103" s="1"/>
  <c r="BK214" i="103"/>
  <c r="BM214" i="103" s="1"/>
  <c r="BK219" i="103"/>
  <c r="BM219" i="103" s="1"/>
  <c r="BK202" i="103"/>
  <c r="BM202" i="103" s="1"/>
  <c r="BK204" i="103"/>
  <c r="BM204" i="103" s="1"/>
  <c r="BK199" i="103"/>
  <c r="BM199" i="103" s="1"/>
  <c r="AL374" i="103"/>
  <c r="AL373" i="103"/>
  <c r="AL372" i="103"/>
  <c r="AL371" i="103"/>
  <c r="AL370" i="103"/>
  <c r="AL369" i="103"/>
  <c r="AL368" i="103"/>
  <c r="AL367" i="103"/>
  <c r="AL366" i="103"/>
  <c r="AL365" i="103"/>
  <c r="AL364" i="103"/>
  <c r="AL363" i="103"/>
  <c r="AL362" i="103"/>
  <c r="AL361" i="103"/>
  <c r="AL360" i="103"/>
  <c r="AL359" i="103"/>
  <c r="AL358" i="103"/>
  <c r="AL357" i="103"/>
  <c r="AL356" i="103"/>
  <c r="AL355" i="103"/>
  <c r="AL354" i="103"/>
  <c r="AL353" i="103"/>
  <c r="AL352" i="103"/>
  <c r="T180" i="13"/>
  <c r="T182" i="13"/>
  <c r="T181" i="13"/>
  <c r="T176" i="13"/>
  <c r="T177" i="13"/>
  <c r="T175" i="13"/>
  <c r="T178" i="13"/>
  <c r="T183" i="13"/>
  <c r="T174" i="13"/>
  <c r="T179" i="13"/>
  <c r="AL351" i="103"/>
  <c r="AL350" i="103"/>
  <c r="AL349" i="103"/>
  <c r="AL348" i="103"/>
  <c r="AL347" i="103"/>
  <c r="AL346" i="103"/>
  <c r="D218" i="22"/>
  <c r="D207" i="22"/>
  <c r="AL375" i="103"/>
  <c r="D216" i="22"/>
  <c r="D209" i="22"/>
  <c r="U185" i="13"/>
  <c r="D197" i="22"/>
  <c r="D219" i="22"/>
  <c r="D212" i="22"/>
  <c r="D203" i="22"/>
  <c r="O20" i="62"/>
  <c r="M20" i="62"/>
  <c r="T20" i="62"/>
  <c r="R20" i="62"/>
  <c r="S20" i="62" s="1"/>
  <c r="D200" i="22"/>
  <c r="D215" i="22"/>
  <c r="D206" i="22"/>
  <c r="D221" i="22"/>
  <c r="D214" i="22"/>
  <c r="D220" i="22"/>
  <c r="BK203" i="103"/>
  <c r="BM203" i="103" s="1"/>
  <c r="BK222" i="103"/>
  <c r="BM222" i="103" s="1"/>
  <c r="BK210" i="103"/>
  <c r="BM210" i="103" s="1"/>
  <c r="D205" i="22"/>
  <c r="BK193" i="103"/>
  <c r="BM193" i="103" s="1"/>
  <c r="BK216" i="103"/>
  <c r="BM216" i="103" s="1"/>
  <c r="BK221" i="103"/>
  <c r="BM221" i="103" s="1"/>
  <c r="BK207" i="103"/>
  <c r="BM207" i="103" s="1"/>
  <c r="BK194" i="103"/>
  <c r="BM194" i="103" s="1"/>
  <c r="BK209" i="103"/>
  <c r="BM209" i="103" s="1"/>
  <c r="BK201" i="103"/>
  <c r="BM201" i="103" s="1"/>
  <c r="BK198" i="103"/>
  <c r="BM198" i="103" s="1"/>
  <c r="BK195" i="103"/>
  <c r="BM195" i="103" s="1"/>
  <c r="BK200" i="103"/>
  <c r="BM200" i="103" s="1"/>
  <c r="AL344" i="103"/>
  <c r="AL343" i="103"/>
  <c r="AL342" i="103"/>
  <c r="AL341" i="103"/>
  <c r="AL340" i="103"/>
  <c r="AL339" i="103"/>
  <c r="AL338" i="103"/>
  <c r="AL337" i="103"/>
  <c r="AL336" i="103"/>
  <c r="AL335" i="103"/>
  <c r="AL334" i="103"/>
  <c r="AL333" i="103"/>
  <c r="I82" i="13"/>
  <c r="I74" i="13"/>
  <c r="I81" i="13"/>
  <c r="I77" i="13"/>
  <c r="AL332" i="103"/>
  <c r="I75" i="13"/>
  <c r="I83" i="13"/>
  <c r="F83" i="13" s="1"/>
  <c r="I79" i="13"/>
  <c r="I73" i="13"/>
  <c r="I76" i="13"/>
  <c r="I78" i="13"/>
  <c r="I72" i="13"/>
  <c r="AL331" i="103"/>
  <c r="AL330" i="103"/>
  <c r="AL329" i="103"/>
  <c r="AL328" i="103"/>
  <c r="U18" i="62"/>
  <c r="W15" i="62"/>
  <c r="W18" i="62"/>
  <c r="U20" i="62"/>
  <c r="W14" i="62"/>
  <c r="W12" i="62"/>
  <c r="W16" i="62"/>
  <c r="W19" i="62"/>
  <c r="U16" i="62"/>
  <c r="W20" i="62"/>
  <c r="U17" i="62"/>
  <c r="U19" i="62"/>
  <c r="U14" i="62"/>
  <c r="W17" i="62"/>
  <c r="W13" i="62"/>
  <c r="U13" i="62"/>
  <c r="U12" i="62"/>
  <c r="U15" i="62"/>
  <c r="D18" i="104"/>
  <c r="Q13" i="64"/>
  <c r="BJ388" i="103"/>
  <c r="BI388" i="103"/>
  <c r="G14" i="104"/>
  <c r="G15" i="104"/>
  <c r="AL327" i="103"/>
  <c r="P401" i="67"/>
  <c r="P400" i="67"/>
  <c r="P398" i="67"/>
  <c r="AL326" i="103"/>
  <c r="AL325" i="103"/>
  <c r="AL324" i="103"/>
  <c r="P20" i="62"/>
  <c r="Q20" i="62" s="1"/>
  <c r="U79" i="13"/>
  <c r="U76" i="13"/>
  <c r="U73" i="13"/>
  <c r="U78" i="13"/>
  <c r="U72" i="13"/>
  <c r="U77" i="13"/>
  <c r="U75" i="13"/>
  <c r="U80" i="13"/>
  <c r="U74" i="13"/>
  <c r="U82" i="13"/>
  <c r="AL323" i="103"/>
  <c r="P18" i="62"/>
  <c r="Q18" i="62" s="1"/>
  <c r="AL322" i="103"/>
  <c r="P19" i="62"/>
  <c r="Q19" i="62" s="1"/>
  <c r="U5" i="13"/>
  <c r="U12" i="13"/>
  <c r="U4" i="13"/>
  <c r="U7" i="13"/>
  <c r="U6" i="13"/>
  <c r="U11" i="13"/>
  <c r="U9" i="13"/>
  <c r="U10" i="13"/>
  <c r="U14" i="13"/>
  <c r="U8" i="13"/>
  <c r="P16" i="62"/>
  <c r="Q16" i="62" s="1"/>
  <c r="AL321" i="103"/>
  <c r="P17" i="62"/>
  <c r="Q17" i="62" s="1"/>
  <c r="AL320" i="103"/>
  <c r="T142" i="13"/>
  <c r="T148" i="13"/>
  <c r="T143" i="13"/>
  <c r="T145" i="13"/>
  <c r="T149" i="13"/>
  <c r="T140" i="13"/>
  <c r="T146" i="13"/>
  <c r="T141" i="13"/>
  <c r="T144" i="13"/>
  <c r="T147" i="13"/>
  <c r="AL319" i="103"/>
  <c r="AC151" i="22"/>
  <c r="I116" i="13"/>
  <c r="I112" i="13"/>
  <c r="I117" i="13"/>
  <c r="G116" i="13" s="1"/>
  <c r="I108" i="13"/>
  <c r="I111" i="13"/>
  <c r="I110" i="13"/>
  <c r="I114" i="13"/>
  <c r="I109" i="13"/>
  <c r="I106" i="13"/>
  <c r="I115" i="13"/>
  <c r="I113" i="13"/>
  <c r="AL318" i="103"/>
  <c r="P15" i="62"/>
  <c r="Q15" i="62" s="1"/>
  <c r="AL317" i="103"/>
  <c r="P14" i="62"/>
  <c r="Q14" i="62" s="1"/>
  <c r="P13" i="62"/>
  <c r="Q13" i="62" s="1"/>
  <c r="AL316" i="103"/>
  <c r="O154" i="67"/>
  <c r="R399" i="67"/>
  <c r="R324" i="67"/>
  <c r="AK89" i="23"/>
  <c r="AK96" i="23"/>
  <c r="AL96" i="23"/>
  <c r="X127" i="23"/>
  <c r="AM96" i="23"/>
  <c r="X137" i="23"/>
  <c r="X130" i="23"/>
  <c r="AL89" i="23"/>
  <c r="AM89" i="23"/>
  <c r="X134" i="23"/>
  <c r="X145" i="23"/>
  <c r="X131" i="23"/>
  <c r="X144" i="23"/>
  <c r="X146" i="23"/>
  <c r="X132" i="23"/>
  <c r="X133" i="23"/>
  <c r="U151" i="13"/>
  <c r="X139" i="23"/>
  <c r="X128" i="23"/>
  <c r="X135" i="23"/>
  <c r="X141" i="23"/>
  <c r="X151" i="23"/>
  <c r="X140" i="23"/>
  <c r="X142" i="23"/>
  <c r="X143" i="23"/>
  <c r="X129" i="23"/>
  <c r="X136" i="23"/>
  <c r="X152" i="23"/>
  <c r="X153" i="23"/>
  <c r="X138" i="23"/>
  <c r="B13" i="31"/>
  <c r="B47" i="31"/>
  <c r="A47" i="31" s="1"/>
  <c r="A12" i="31"/>
  <c r="B19" i="102"/>
  <c r="C19" i="102" s="1"/>
  <c r="AL93" i="23"/>
  <c r="AM93" i="23"/>
  <c r="AN93" i="23"/>
  <c r="AL97" i="23"/>
  <c r="AM97" i="23"/>
  <c r="AN97" i="23"/>
  <c r="W21" i="70"/>
  <c r="H176" i="13"/>
  <c r="H175" i="13"/>
  <c r="H180" i="13"/>
  <c r="H183" i="13"/>
  <c r="H181" i="13"/>
  <c r="H182" i="13"/>
  <c r="H179" i="13"/>
  <c r="H184" i="13"/>
  <c r="H177" i="13"/>
  <c r="H174" i="13"/>
  <c r="AC38" i="22"/>
  <c r="I14" i="13"/>
  <c r="I6" i="13"/>
  <c r="I10" i="13"/>
  <c r="I13" i="13"/>
  <c r="I11" i="13"/>
  <c r="I12" i="13"/>
  <c r="I9" i="13"/>
  <c r="I15" i="13"/>
  <c r="G15" i="13" s="1"/>
  <c r="I7" i="13"/>
  <c r="I4" i="13"/>
  <c r="I8" i="13"/>
  <c r="O37" i="67"/>
  <c r="AL92" i="23"/>
  <c r="AM91" i="23"/>
  <c r="X148" i="23"/>
  <c r="AK92" i="23"/>
  <c r="AM92" i="23"/>
  <c r="AN91" i="23"/>
  <c r="AK91" i="23"/>
  <c r="I45" i="13"/>
  <c r="AL99" i="23"/>
  <c r="AK99" i="23"/>
  <c r="AM99" i="23"/>
  <c r="I46" i="13"/>
  <c r="I42" i="13"/>
  <c r="I48" i="13"/>
  <c r="I39" i="13"/>
  <c r="I41" i="13"/>
  <c r="I47" i="13"/>
  <c r="AK98" i="23"/>
  <c r="I44" i="13"/>
  <c r="AM98" i="23"/>
  <c r="I40" i="13"/>
  <c r="AL98" i="23"/>
  <c r="I49" i="13"/>
  <c r="F48" i="13" s="1"/>
  <c r="I38" i="13"/>
  <c r="X150" i="23"/>
  <c r="AM95" i="23"/>
  <c r="AL95" i="23"/>
  <c r="AK95" i="23"/>
  <c r="AM94" i="23"/>
  <c r="AN94" i="23"/>
  <c r="AK94" i="23"/>
  <c r="AL308" i="103"/>
  <c r="AL90" i="23"/>
  <c r="AK90" i="23"/>
  <c r="AN90" i="23"/>
  <c r="I197" i="67"/>
  <c r="I134" i="67"/>
  <c r="I71" i="67"/>
  <c r="I261" i="67"/>
  <c r="I229" i="67"/>
  <c r="I166" i="67"/>
  <c r="I42" i="67"/>
  <c r="I103" i="67"/>
  <c r="D138" i="22"/>
  <c r="D202" i="22"/>
  <c r="D141" i="22"/>
  <c r="D156" i="22"/>
  <c r="D162" i="22"/>
  <c r="D144" i="22"/>
  <c r="D142" i="22"/>
  <c r="D199" i="22"/>
  <c r="AC37" i="22"/>
  <c r="D148" i="22"/>
  <c r="D155" i="22"/>
  <c r="D139" i="22"/>
  <c r="AC138" i="22"/>
  <c r="D196" i="22"/>
  <c r="D143" i="22"/>
  <c r="AC135" i="22"/>
  <c r="D157" i="22"/>
  <c r="D158" i="22"/>
  <c r="D194" i="22"/>
  <c r="D149" i="22"/>
  <c r="D154" i="22"/>
  <c r="D151" i="22"/>
  <c r="D159" i="22"/>
  <c r="D217" i="22"/>
  <c r="D222" i="22"/>
  <c r="D137" i="22"/>
  <c r="D145" i="22"/>
  <c r="D140" i="22"/>
  <c r="D161" i="22"/>
  <c r="D208" i="22"/>
  <c r="D195" i="22"/>
  <c r="D160" i="22"/>
  <c r="D150" i="22"/>
  <c r="D147" i="22"/>
  <c r="D153" i="22"/>
  <c r="D183" i="22"/>
  <c r="D146" i="22"/>
  <c r="AL307" i="103"/>
  <c r="T44" i="13"/>
  <c r="X149" i="23"/>
  <c r="T38" i="13"/>
  <c r="T42" i="13"/>
  <c r="T45" i="13"/>
  <c r="T48" i="13"/>
  <c r="T40" i="13"/>
  <c r="T46" i="13"/>
  <c r="T39" i="13"/>
  <c r="T41" i="13"/>
  <c r="T43" i="13"/>
  <c r="C27" i="104"/>
  <c r="AL306" i="103"/>
  <c r="D201" i="22"/>
  <c r="D210" i="22"/>
  <c r="D212" i="103"/>
  <c r="D151" i="103"/>
  <c r="AL305" i="103"/>
  <c r="X147" i="23"/>
  <c r="S13" i="64"/>
  <c r="B21" i="62"/>
  <c r="L20" i="62"/>
  <c r="O36" i="67"/>
  <c r="O141" i="67"/>
  <c r="O138" i="67"/>
  <c r="BA376" i="103"/>
  <c r="E17" i="104"/>
  <c r="I324" i="67"/>
  <c r="BL384" i="103"/>
  <c r="BL382" i="103"/>
  <c r="P292" i="67"/>
  <c r="I387" i="67"/>
  <c r="AC315" i="22"/>
  <c r="O323" i="67"/>
  <c r="T82" i="13"/>
  <c r="T79" i="13"/>
  <c r="T76" i="13"/>
  <c r="T73" i="13"/>
  <c r="T78" i="13"/>
  <c r="T72" i="13"/>
  <c r="T81" i="13"/>
  <c r="T77" i="13"/>
  <c r="T75" i="13"/>
  <c r="T74" i="13"/>
  <c r="T80" i="13"/>
  <c r="BP384" i="103"/>
  <c r="AC298" i="22"/>
  <c r="O306" i="67"/>
  <c r="I56" i="53"/>
  <c r="J56" i="53" s="1"/>
  <c r="AC291" i="22"/>
  <c r="O299" i="67"/>
  <c r="I55" i="53"/>
  <c r="J55" i="53" s="1"/>
  <c r="AC248" i="22"/>
  <c r="O254" i="67"/>
  <c r="AC223" i="22"/>
  <c r="O228" i="67"/>
  <c r="AC236" i="22"/>
  <c r="O242" i="67"/>
  <c r="AE256" i="22"/>
  <c r="R255" i="58"/>
  <c r="L255" i="58" s="1"/>
  <c r="H255" i="58" s="1"/>
  <c r="CH255" i="103"/>
  <c r="CF255" i="103" s="1"/>
  <c r="I53" i="53"/>
  <c r="J53" i="53" s="1"/>
  <c r="BP381" i="103"/>
  <c r="AC229" i="22"/>
  <c r="O235" i="67"/>
  <c r="Y378" i="103"/>
  <c r="AL70" i="103"/>
  <c r="I185" i="13"/>
  <c r="R229" i="67"/>
  <c r="R396" i="67"/>
  <c r="BN376" i="103"/>
  <c r="I52" i="53"/>
  <c r="J52" i="53" s="1"/>
  <c r="AC218" i="22"/>
  <c r="O223" i="67"/>
  <c r="AC172" i="22"/>
  <c r="O176" i="67"/>
  <c r="AC312" i="22"/>
  <c r="O320" i="67"/>
  <c r="L254" i="58"/>
  <c r="R401" i="67"/>
  <c r="R387" i="67"/>
  <c r="AC191" i="22"/>
  <c r="O195" i="67"/>
  <c r="AC286" i="22"/>
  <c r="O294" i="67"/>
  <c r="AC231" i="22"/>
  <c r="O237" i="67"/>
  <c r="AC244" i="22"/>
  <c r="O250" i="67"/>
  <c r="Y384" i="103"/>
  <c r="AC166" i="22"/>
  <c r="O170" i="67"/>
  <c r="AC220" i="22"/>
  <c r="O225" i="67"/>
  <c r="AC185" i="22"/>
  <c r="O189" i="67"/>
  <c r="AC203" i="22"/>
  <c r="O208" i="67"/>
  <c r="BL378" i="103"/>
  <c r="H396" i="58"/>
  <c r="AC19" i="65" s="1"/>
  <c r="H383" i="58"/>
  <c r="CO195" i="103"/>
  <c r="BA195" i="103" s="1"/>
  <c r="AC162" i="22"/>
  <c r="O165" i="67"/>
  <c r="AC206" i="22"/>
  <c r="O211" i="67"/>
  <c r="Y381" i="103"/>
  <c r="AL162" i="103"/>
  <c r="H381" i="58"/>
  <c r="H394" i="58"/>
  <c r="K51" i="53"/>
  <c r="M51" i="53" s="1"/>
  <c r="K161" i="23"/>
  <c r="AC212" i="22"/>
  <c r="O217" i="67"/>
  <c r="Y387" i="103"/>
  <c r="AL345" i="103"/>
  <c r="BO376" i="103"/>
  <c r="AC247" i="22"/>
  <c r="O253" i="67"/>
  <c r="AC139" i="22"/>
  <c r="O142" i="67"/>
  <c r="AC243" i="22"/>
  <c r="O249" i="67"/>
  <c r="AC177" i="22"/>
  <c r="O181" i="67"/>
  <c r="I35" i="53"/>
  <c r="J35" i="53" s="1"/>
  <c r="AC310" i="22"/>
  <c r="O318" i="67"/>
  <c r="AC228" i="22"/>
  <c r="O234" i="67"/>
  <c r="AC173" i="22"/>
  <c r="O177" i="67"/>
  <c r="AC214" i="22"/>
  <c r="O219" i="67"/>
  <c r="AC183" i="22"/>
  <c r="O187" i="67"/>
  <c r="Y380" i="103"/>
  <c r="AL131" i="103"/>
  <c r="K57" i="53"/>
  <c r="M57" i="53" s="1"/>
  <c r="K167" i="23"/>
  <c r="T115" i="13"/>
  <c r="T111" i="13"/>
  <c r="T114" i="13"/>
  <c r="T116" i="13"/>
  <c r="T106" i="13"/>
  <c r="T109" i="13"/>
  <c r="T108" i="13"/>
  <c r="T113" i="13"/>
  <c r="T112" i="13"/>
  <c r="T107" i="13"/>
  <c r="T110" i="13"/>
  <c r="AC202" i="22"/>
  <c r="O207" i="67"/>
  <c r="AC234" i="22"/>
  <c r="O240" i="67"/>
  <c r="AC240" i="22"/>
  <c r="O246" i="67"/>
  <c r="E60" i="53"/>
  <c r="F60" i="53" s="1"/>
  <c r="AC188" i="22"/>
  <c r="O192" i="67"/>
  <c r="CM196" i="103"/>
  <c r="CO196" i="103" s="1"/>
  <c r="P103" i="67"/>
  <c r="P392" i="67"/>
  <c r="AC189" i="22"/>
  <c r="O193" i="67"/>
  <c r="K54" i="53"/>
  <c r="M54" i="53" s="1"/>
  <c r="K164" i="23"/>
  <c r="BP376" i="103"/>
  <c r="BL387" i="103"/>
  <c r="H385" i="58"/>
  <c r="H398" i="58"/>
  <c r="AI19" i="65" s="1"/>
  <c r="E36" i="37"/>
  <c r="E10" i="37"/>
  <c r="AC233" i="22"/>
  <c r="O239" i="67"/>
  <c r="AC213" i="22"/>
  <c r="O218" i="67"/>
  <c r="BP383" i="103"/>
  <c r="E58" i="53"/>
  <c r="F58" i="53" s="1"/>
  <c r="AC180" i="22"/>
  <c r="O184" i="67"/>
  <c r="AC297" i="22"/>
  <c r="O305" i="67"/>
  <c r="AC210" i="22"/>
  <c r="O215" i="67"/>
  <c r="AC186" i="22"/>
  <c r="O190" i="67"/>
  <c r="J388" i="58"/>
  <c r="AC225" i="22"/>
  <c r="O231" i="67"/>
  <c r="AC238" i="22"/>
  <c r="O244" i="67"/>
  <c r="AC184" i="22"/>
  <c r="O188" i="67"/>
  <c r="AC241" i="22"/>
  <c r="O247" i="67"/>
  <c r="AC169" i="22"/>
  <c r="O173" i="67"/>
  <c r="I37" i="53"/>
  <c r="J37" i="53" s="1"/>
  <c r="AC303" i="22"/>
  <c r="O311" i="67"/>
  <c r="AR198" i="103"/>
  <c r="BB197" i="103"/>
  <c r="BD197" i="103"/>
  <c r="AC199" i="22"/>
  <c r="O204" i="67"/>
  <c r="AC226" i="22"/>
  <c r="O232" i="67"/>
  <c r="AC296" i="22"/>
  <c r="O304" i="67"/>
  <c r="I57" i="53"/>
  <c r="J57" i="53" s="1"/>
  <c r="AC211" i="22"/>
  <c r="O216" i="67"/>
  <c r="AC217" i="22"/>
  <c r="O222" i="67"/>
  <c r="E56" i="53"/>
  <c r="F56" i="53" s="1"/>
  <c r="AC200" i="22"/>
  <c r="O205" i="67"/>
  <c r="R392" i="67"/>
  <c r="R103" i="67"/>
  <c r="U49" i="13"/>
  <c r="K60" i="53"/>
  <c r="M60" i="53" s="1"/>
  <c r="K170" i="23"/>
  <c r="Y376" i="103"/>
  <c r="AL11" i="103"/>
  <c r="G150" i="13"/>
  <c r="F150" i="13"/>
  <c r="G151" i="13"/>
  <c r="F151" i="13"/>
  <c r="I51" i="53"/>
  <c r="J51" i="53" s="1"/>
  <c r="R71" i="67"/>
  <c r="R391" i="67"/>
  <c r="AC170" i="22"/>
  <c r="O174" i="67"/>
  <c r="Y383" i="103"/>
  <c r="AL223" i="103"/>
  <c r="I59" i="53"/>
  <c r="J59" i="53" s="1"/>
  <c r="Y382" i="103"/>
  <c r="AL192" i="103"/>
  <c r="H15" i="13"/>
  <c r="H7" i="13"/>
  <c r="H12" i="13"/>
  <c r="H11" i="13"/>
  <c r="H13" i="13"/>
  <c r="H10" i="13"/>
  <c r="H9" i="13"/>
  <c r="H6" i="13"/>
  <c r="H14" i="13"/>
  <c r="H5" i="13"/>
  <c r="H8" i="13"/>
  <c r="H4" i="13"/>
  <c r="AC302" i="22"/>
  <c r="O310" i="67"/>
  <c r="AC174" i="22"/>
  <c r="O178" i="67"/>
  <c r="AC207" i="22"/>
  <c r="O212" i="67"/>
  <c r="J401" i="58"/>
  <c r="H10" i="65"/>
  <c r="K53" i="53"/>
  <c r="M53" i="53" s="1"/>
  <c r="K163" i="23"/>
  <c r="H393" i="58"/>
  <c r="H380" i="58"/>
  <c r="I31" i="53"/>
  <c r="J31" i="53" s="1"/>
  <c r="E59" i="53"/>
  <c r="F59" i="53" s="1"/>
  <c r="AC251" i="22"/>
  <c r="O257" i="67"/>
  <c r="AC204" i="22"/>
  <c r="O209" i="67"/>
  <c r="AC287" i="22"/>
  <c r="O295" i="67"/>
  <c r="AC289" i="22"/>
  <c r="O297" i="67"/>
  <c r="I33" i="53"/>
  <c r="J33" i="53" s="1"/>
  <c r="AC288" i="22"/>
  <c r="O296" i="67"/>
  <c r="K388" i="58"/>
  <c r="BP379" i="103"/>
  <c r="AC301" i="22"/>
  <c r="O309" i="67"/>
  <c r="K49" i="53"/>
  <c r="M49" i="53" s="1"/>
  <c r="K159" i="23"/>
  <c r="W388" i="103"/>
  <c r="I32" i="53"/>
  <c r="J32" i="53" s="1"/>
  <c r="BN383" i="103"/>
  <c r="BN382" i="103"/>
  <c r="H44" i="13"/>
  <c r="H38" i="13"/>
  <c r="H47" i="13"/>
  <c r="H41" i="13"/>
  <c r="H46" i="13"/>
  <c r="H40" i="13"/>
  <c r="H45" i="13"/>
  <c r="H39" i="13"/>
  <c r="H48" i="13"/>
  <c r="H42" i="13"/>
  <c r="H43" i="13"/>
  <c r="H49" i="13"/>
  <c r="AC237" i="22"/>
  <c r="O243" i="67"/>
  <c r="AC171" i="22"/>
  <c r="O175" i="67"/>
  <c r="I50" i="53"/>
  <c r="J50" i="53" s="1"/>
  <c r="E53" i="53"/>
  <c r="F53" i="53" s="1"/>
  <c r="AC252" i="22"/>
  <c r="O258" i="67"/>
  <c r="AC314" i="22"/>
  <c r="O322" i="67"/>
  <c r="E54" i="53"/>
  <c r="F54" i="53" s="1"/>
  <c r="BL381" i="103"/>
  <c r="I36" i="53"/>
  <c r="J36" i="53" s="1"/>
  <c r="K401" i="58"/>
  <c r="H8" i="65"/>
  <c r="E50" i="53"/>
  <c r="F50" i="53" s="1"/>
  <c r="Y379" i="103"/>
  <c r="AL101" i="103"/>
  <c r="AC196" i="22"/>
  <c r="O201" i="67"/>
  <c r="AC201" i="22"/>
  <c r="O206" i="67"/>
  <c r="E55" i="53"/>
  <c r="F55" i="53" s="1"/>
  <c r="BN377" i="103"/>
  <c r="AC179" i="22"/>
  <c r="O183" i="67"/>
  <c r="BO383" i="103"/>
  <c r="BO382" i="103"/>
  <c r="AC216" i="22"/>
  <c r="O221" i="67"/>
  <c r="AC165" i="22"/>
  <c r="O169" i="67"/>
  <c r="I30" i="53"/>
  <c r="J30" i="53" s="1"/>
  <c r="I355" i="67"/>
  <c r="P395" i="67"/>
  <c r="P197" i="67"/>
  <c r="AC246" i="22"/>
  <c r="O252" i="67"/>
  <c r="AC253" i="22"/>
  <c r="O259" i="67"/>
  <c r="AC221" i="22"/>
  <c r="O226" i="67"/>
  <c r="AC254" i="22"/>
  <c r="O260" i="67"/>
  <c r="AC182" i="22"/>
  <c r="O186" i="67"/>
  <c r="BR388" i="103"/>
  <c r="I27" i="53"/>
  <c r="J27" i="53" s="1"/>
  <c r="BN379" i="103"/>
  <c r="BO386" i="103"/>
  <c r="I54" i="53"/>
  <c r="J54" i="53" s="1"/>
  <c r="AC175" i="22"/>
  <c r="O179" i="67"/>
  <c r="AC190" i="22"/>
  <c r="O194" i="67"/>
  <c r="BO377" i="103"/>
  <c r="BO387" i="103"/>
  <c r="K56" i="53"/>
  <c r="M56" i="53" s="1"/>
  <c r="K166" i="23"/>
  <c r="AC209" i="22"/>
  <c r="O214" i="67"/>
  <c r="BP382" i="103"/>
  <c r="AC292" i="22"/>
  <c r="O300" i="67"/>
  <c r="BO385" i="103"/>
  <c r="M388" i="58"/>
  <c r="AC208" i="22"/>
  <c r="O213" i="67"/>
  <c r="P396" i="67"/>
  <c r="P229" i="67"/>
  <c r="H379" i="58"/>
  <c r="H392" i="58"/>
  <c r="H387" i="58"/>
  <c r="H400" i="58"/>
  <c r="AC290" i="22"/>
  <c r="O298" i="67"/>
  <c r="I28" i="53"/>
  <c r="J28" i="53" s="1"/>
  <c r="H386" i="58"/>
  <c r="H399" i="58"/>
  <c r="AC313" i="22"/>
  <c r="O321" i="67"/>
  <c r="P134" i="67"/>
  <c r="P393" i="67"/>
  <c r="H382" i="58"/>
  <c r="H395" i="58"/>
  <c r="Z19" i="65" s="1"/>
  <c r="H377" i="58"/>
  <c r="H390" i="58"/>
  <c r="BO379" i="103"/>
  <c r="BP386" i="103"/>
  <c r="BL376" i="103"/>
  <c r="AC311" i="22"/>
  <c r="O319" i="67"/>
  <c r="R395" i="67"/>
  <c r="R197" i="67"/>
  <c r="AC215" i="22"/>
  <c r="O220" i="67"/>
  <c r="AC249" i="22"/>
  <c r="O255" i="67"/>
  <c r="BP377" i="103"/>
  <c r="BP387" i="103"/>
  <c r="E57" i="53"/>
  <c r="F57" i="53" s="1"/>
  <c r="K55" i="53"/>
  <c r="M55" i="53" s="1"/>
  <c r="K165" i="23"/>
  <c r="AC300" i="22"/>
  <c r="O308" i="67"/>
  <c r="BP385" i="103"/>
  <c r="M401" i="58"/>
  <c r="H11" i="65"/>
  <c r="E51" i="53"/>
  <c r="F51" i="53" s="1"/>
  <c r="BL379" i="103"/>
  <c r="E49" i="53"/>
  <c r="F49" i="53" s="1"/>
  <c r="AC198" i="22"/>
  <c r="O203" i="67"/>
  <c r="AM257" i="22"/>
  <c r="AM256" i="103"/>
  <c r="AC293" i="22"/>
  <c r="O301" i="67"/>
  <c r="K52" i="53"/>
  <c r="M52" i="53" s="1"/>
  <c r="K162" i="23"/>
  <c r="Y386" i="103"/>
  <c r="AL315" i="103"/>
  <c r="P390" i="67"/>
  <c r="P42" i="67"/>
  <c r="H117" i="13"/>
  <c r="H116" i="13"/>
  <c r="H114" i="13"/>
  <c r="H113" i="13"/>
  <c r="H108" i="13"/>
  <c r="H112" i="13"/>
  <c r="H111" i="13"/>
  <c r="H115" i="13"/>
  <c r="H107" i="13"/>
  <c r="H110" i="13"/>
  <c r="H106" i="13"/>
  <c r="H109" i="13"/>
  <c r="AC299" i="22"/>
  <c r="O307" i="67"/>
  <c r="AC178" i="22"/>
  <c r="O182" i="67"/>
  <c r="AC205" i="22"/>
  <c r="O210" i="67"/>
  <c r="H389" i="58"/>
  <c r="H376" i="58"/>
  <c r="Y377" i="103"/>
  <c r="AL42" i="103"/>
  <c r="I34" i="53"/>
  <c r="J34" i="53" s="1"/>
  <c r="AC245" i="22"/>
  <c r="O251" i="67"/>
  <c r="X126" i="23"/>
  <c r="Y385" i="103"/>
  <c r="P12" i="62"/>
  <c r="AL284" i="103"/>
  <c r="I49" i="53"/>
  <c r="J49" i="53" s="1"/>
  <c r="K63" i="53"/>
  <c r="AC294" i="22"/>
  <c r="O302" i="67"/>
  <c r="U117" i="13"/>
  <c r="P355" i="67"/>
  <c r="AC250" i="22"/>
  <c r="O256" i="67"/>
  <c r="I26" i="53"/>
  <c r="J26" i="53" s="1"/>
  <c r="K59" i="53"/>
  <c r="M59" i="53" s="1"/>
  <c r="K169" i="23"/>
  <c r="BN378" i="103"/>
  <c r="AC239" i="22"/>
  <c r="O245" i="67"/>
  <c r="I388" i="58"/>
  <c r="K50" i="53"/>
  <c r="M50" i="53" s="1"/>
  <c r="K160" i="23"/>
  <c r="CF254" i="103"/>
  <c r="T13" i="13"/>
  <c r="T9" i="13"/>
  <c r="T4" i="13"/>
  <c r="T7" i="13"/>
  <c r="T12" i="13"/>
  <c r="T6" i="13"/>
  <c r="T11" i="13"/>
  <c r="T10" i="13"/>
  <c r="T5" i="13"/>
  <c r="T8" i="13"/>
  <c r="T14" i="13"/>
  <c r="K58" i="53"/>
  <c r="M58" i="53" s="1"/>
  <c r="K168" i="23"/>
  <c r="BA194" i="103"/>
  <c r="AC230" i="22"/>
  <c r="O236" i="67"/>
  <c r="AC187" i="22"/>
  <c r="O191" i="67"/>
  <c r="AC305" i="22"/>
  <c r="O313" i="67"/>
  <c r="AF100" i="23"/>
  <c r="AN88" i="23"/>
  <c r="AM88" i="23"/>
  <c r="AL88" i="23"/>
  <c r="AK88" i="23"/>
  <c r="BN384" i="103"/>
  <c r="I29" i="53"/>
  <c r="J29" i="53" s="1"/>
  <c r="AC197" i="22"/>
  <c r="O202" i="67"/>
  <c r="AC232" i="22"/>
  <c r="O238" i="67"/>
  <c r="AC168" i="22"/>
  <c r="O172" i="67"/>
  <c r="BL386" i="103"/>
  <c r="I58" i="53"/>
  <c r="J58" i="53" s="1"/>
  <c r="H378" i="58"/>
  <c r="H391" i="58"/>
  <c r="BN381" i="103"/>
  <c r="AC219" i="22"/>
  <c r="O224" i="67"/>
  <c r="I60" i="53"/>
  <c r="J60" i="53" s="1"/>
  <c r="BO378" i="103"/>
  <c r="P391" i="67"/>
  <c r="P71" i="67"/>
  <c r="AC194" i="22"/>
  <c r="O199" i="67"/>
  <c r="BL383" i="103"/>
  <c r="AC192" i="22"/>
  <c r="O196" i="67"/>
  <c r="I401" i="58"/>
  <c r="H9" i="65"/>
  <c r="AC181" i="22"/>
  <c r="O185" i="67"/>
  <c r="I262" i="67"/>
  <c r="AC235" i="22"/>
  <c r="O241" i="67"/>
  <c r="BO384" i="103"/>
  <c r="AC304" i="22"/>
  <c r="O312" i="67"/>
  <c r="E52" i="53"/>
  <c r="F52" i="53" s="1"/>
  <c r="AC222" i="22"/>
  <c r="O227" i="67"/>
  <c r="P387" i="67"/>
  <c r="BO381" i="103"/>
  <c r="AC176" i="22"/>
  <c r="O180" i="67"/>
  <c r="BP378" i="103"/>
  <c r="R355" i="67"/>
  <c r="R400" i="67"/>
  <c r="BL377" i="103"/>
  <c r="P397" i="67"/>
  <c r="P261" i="67"/>
  <c r="AC195" i="22"/>
  <c r="O200" i="67"/>
  <c r="AC167" i="22"/>
  <c r="O171" i="67"/>
  <c r="H147" i="13"/>
  <c r="H141" i="13"/>
  <c r="H150" i="13"/>
  <c r="H144" i="13"/>
  <c r="H146" i="13"/>
  <c r="H149" i="13"/>
  <c r="H143" i="13"/>
  <c r="H145" i="13"/>
  <c r="H148" i="13"/>
  <c r="H142" i="13"/>
  <c r="H140" i="13"/>
  <c r="G142" i="13"/>
  <c r="AC295" i="22"/>
  <c r="O303" i="67"/>
  <c r="AC242" i="22"/>
  <c r="O248" i="67"/>
  <c r="O160" i="67" l="1"/>
  <c r="O168" i="67"/>
  <c r="Q21" i="70"/>
  <c r="AC131" i="22"/>
  <c r="AC153" i="22"/>
  <c r="AC127" i="22"/>
  <c r="AC128" i="22"/>
  <c r="AC154" i="22"/>
  <c r="AC146" i="22"/>
  <c r="AC145" i="22"/>
  <c r="AC156" i="22"/>
  <c r="AC147" i="22"/>
  <c r="O147" i="67"/>
  <c r="AC148" i="22"/>
  <c r="AC150" i="22"/>
  <c r="AC155" i="22"/>
  <c r="O159" i="67"/>
  <c r="O157" i="67"/>
  <c r="O151" i="67"/>
  <c r="O158" i="67"/>
  <c r="O153" i="67"/>
  <c r="O148" i="67"/>
  <c r="O149" i="67"/>
  <c r="O150" i="67"/>
  <c r="AC144" i="22"/>
  <c r="AC133" i="22"/>
  <c r="O136" i="67"/>
  <c r="O133" i="67"/>
  <c r="O129" i="67"/>
  <c r="O130" i="67"/>
  <c r="O21" i="70"/>
  <c r="O132" i="67"/>
  <c r="AC130" i="22"/>
  <c r="AC111" i="22"/>
  <c r="AC120" i="22"/>
  <c r="O112" i="67"/>
  <c r="AC104" i="22"/>
  <c r="AC121" i="22"/>
  <c r="O107" i="67"/>
  <c r="AC112" i="22"/>
  <c r="O124" i="67"/>
  <c r="O108" i="67"/>
  <c r="O115" i="67"/>
  <c r="AC123" i="22"/>
  <c r="AC114" i="22"/>
  <c r="AC124" i="22"/>
  <c r="O131" i="67"/>
  <c r="AC107" i="22"/>
  <c r="AC115" i="22"/>
  <c r="AC125" i="22"/>
  <c r="AC129" i="22"/>
  <c r="AC108" i="22"/>
  <c r="AC116" i="22"/>
  <c r="AC126" i="22"/>
  <c r="AC109" i="22"/>
  <c r="O119" i="67"/>
  <c r="O105" i="67"/>
  <c r="AC118" i="22"/>
  <c r="O128" i="67"/>
  <c r="O125" i="67"/>
  <c r="O127" i="67"/>
  <c r="AC122" i="22"/>
  <c r="O123" i="67"/>
  <c r="O126" i="67"/>
  <c r="O122" i="67"/>
  <c r="O120" i="67"/>
  <c r="AC117" i="22"/>
  <c r="O118" i="67"/>
  <c r="AC119" i="22"/>
  <c r="O121" i="67"/>
  <c r="O117" i="67"/>
  <c r="O116" i="67"/>
  <c r="O114" i="67"/>
  <c r="AC113" i="22"/>
  <c r="O113" i="67"/>
  <c r="AC110" i="22"/>
  <c r="O111" i="67"/>
  <c r="AC103" i="22"/>
  <c r="AC105" i="22"/>
  <c r="O109" i="67"/>
  <c r="O110" i="67"/>
  <c r="O106" i="67"/>
  <c r="AC106" i="22"/>
  <c r="E20" i="62"/>
  <c r="W21" i="62"/>
  <c r="C21" i="62"/>
  <c r="D21" i="62"/>
  <c r="F21" i="62"/>
  <c r="I21" i="62"/>
  <c r="J21" i="62" s="1"/>
  <c r="G21" i="62"/>
  <c r="H21" i="62" s="1"/>
  <c r="O69" i="67"/>
  <c r="AC80" i="22"/>
  <c r="AC92" i="22"/>
  <c r="O82" i="67"/>
  <c r="AC93" i="22"/>
  <c r="AC82" i="22"/>
  <c r="O95" i="67"/>
  <c r="AC83" i="22"/>
  <c r="AC95" i="22"/>
  <c r="AC72" i="22"/>
  <c r="AC84" i="22"/>
  <c r="O97" i="67"/>
  <c r="AC73" i="22"/>
  <c r="AC85" i="22"/>
  <c r="AC97" i="22"/>
  <c r="AC86" i="22"/>
  <c r="AC98" i="22"/>
  <c r="AC88" i="22"/>
  <c r="AC89" i="22"/>
  <c r="AC77" i="22"/>
  <c r="AC90" i="22"/>
  <c r="AC78" i="22"/>
  <c r="AC91" i="22"/>
  <c r="O80" i="67"/>
  <c r="AF156" i="23"/>
  <c r="AC96" i="22"/>
  <c r="O99" i="67"/>
  <c r="AF155" i="23"/>
  <c r="AF154" i="23"/>
  <c r="O98" i="67"/>
  <c r="O94" i="67"/>
  <c r="O96" i="67"/>
  <c r="AC94" i="22"/>
  <c r="O93" i="67"/>
  <c r="O91" i="67"/>
  <c r="O90" i="67"/>
  <c r="O92" i="67"/>
  <c r="O89" i="67"/>
  <c r="O87" i="67"/>
  <c r="O86" i="67"/>
  <c r="O84" i="67"/>
  <c r="O85" i="67"/>
  <c r="AC81" i="22"/>
  <c r="O83" i="67"/>
  <c r="O81" i="67"/>
  <c r="O79" i="67"/>
  <c r="AC79" i="22"/>
  <c r="O78" i="67"/>
  <c r="O73" i="67"/>
  <c r="AC76" i="22"/>
  <c r="O77" i="67"/>
  <c r="AC75" i="22"/>
  <c r="O100" i="67"/>
  <c r="AC99" i="22"/>
  <c r="O76" i="67"/>
  <c r="AC74" i="22"/>
  <c r="O75" i="67"/>
  <c r="O74" i="67"/>
  <c r="AC101" i="22"/>
  <c r="O102" i="67"/>
  <c r="O101" i="67"/>
  <c r="AC100" i="22"/>
  <c r="AC69" i="22"/>
  <c r="O61" i="67"/>
  <c r="AC62" i="22"/>
  <c r="AC64" i="22"/>
  <c r="AC66" i="22"/>
  <c r="AC70" i="22"/>
  <c r="O70" i="67"/>
  <c r="O66" i="67"/>
  <c r="AC68" i="22"/>
  <c r="O68" i="67"/>
  <c r="O62" i="67"/>
  <c r="O64" i="67"/>
  <c r="AC48" i="22"/>
  <c r="AC60" i="22"/>
  <c r="AC49" i="22"/>
  <c r="AC61" i="22"/>
  <c r="O50" i="67"/>
  <c r="O51" i="67"/>
  <c r="AC52" i="22"/>
  <c r="O53" i="67"/>
  <c r="AC54" i="22"/>
  <c r="AC55" i="22"/>
  <c r="O44" i="67"/>
  <c r="AC56" i="22"/>
  <c r="O45" i="67"/>
  <c r="O57" i="67"/>
  <c r="AC46" i="22"/>
  <c r="AC58" i="22"/>
  <c r="AC47" i="22"/>
  <c r="AC59" i="22"/>
  <c r="AC65" i="22"/>
  <c r="O65" i="67"/>
  <c r="O60" i="67"/>
  <c r="AC63" i="22"/>
  <c r="O63" i="67"/>
  <c r="O58" i="67"/>
  <c r="AC57" i="22"/>
  <c r="O59" i="67"/>
  <c r="O56" i="67"/>
  <c r="AC53" i="22"/>
  <c r="O52" i="67"/>
  <c r="O54" i="67"/>
  <c r="O55" i="67"/>
  <c r="AC50" i="22"/>
  <c r="O48" i="67"/>
  <c r="O49" i="67"/>
  <c r="O47" i="67"/>
  <c r="AC51" i="22"/>
  <c r="AC45" i="22"/>
  <c r="AC44" i="22"/>
  <c r="O46" i="67"/>
  <c r="I21" i="70"/>
  <c r="AC36" i="22"/>
  <c r="O39" i="67"/>
  <c r="AC41" i="22"/>
  <c r="O41" i="67"/>
  <c r="AC373" i="22"/>
  <c r="AC374" i="22"/>
  <c r="AC375" i="22"/>
  <c r="O12" i="67"/>
  <c r="AC19" i="22"/>
  <c r="O30" i="67"/>
  <c r="AC14" i="22"/>
  <c r="O19" i="67"/>
  <c r="O21" i="67"/>
  <c r="N29" i="25"/>
  <c r="AC15" i="22"/>
  <c r="AC23" i="22"/>
  <c r="AC32" i="22"/>
  <c r="O23" i="67"/>
  <c r="AC33" i="22"/>
  <c r="O15" i="67"/>
  <c r="AC25" i="22"/>
  <c r="AC34" i="22"/>
  <c r="AC26" i="22"/>
  <c r="AC35" i="22"/>
  <c r="O16" i="67"/>
  <c r="AC27" i="22"/>
  <c r="AC29" i="22"/>
  <c r="O29" i="67"/>
  <c r="AC42" i="22"/>
  <c r="O40" i="67"/>
  <c r="AC40" i="22"/>
  <c r="O35" i="67"/>
  <c r="O32" i="67"/>
  <c r="O34" i="67"/>
  <c r="O31" i="67"/>
  <c r="O33" i="67"/>
  <c r="AC31" i="22"/>
  <c r="O28" i="67"/>
  <c r="AC30" i="22"/>
  <c r="O26" i="67"/>
  <c r="O24" i="67"/>
  <c r="AC28" i="22"/>
  <c r="O27" i="67"/>
  <c r="O25" i="67"/>
  <c r="AC24" i="22"/>
  <c r="AC22" i="22"/>
  <c r="O22" i="67"/>
  <c r="AC20" i="22"/>
  <c r="O18" i="67"/>
  <c r="V19" i="62"/>
  <c r="V18" i="62"/>
  <c r="AC17" i="22"/>
  <c r="AC16" i="22"/>
  <c r="V17" i="62"/>
  <c r="AC18" i="22"/>
  <c r="O17" i="67"/>
  <c r="O14" i="67"/>
  <c r="V16" i="62"/>
  <c r="AC13" i="22"/>
  <c r="O13" i="67"/>
  <c r="V15" i="62"/>
  <c r="V14" i="62"/>
  <c r="V12" i="62"/>
  <c r="V13" i="62"/>
  <c r="J29" i="25"/>
  <c r="M29" i="25"/>
  <c r="L29" i="25"/>
  <c r="F29" i="25"/>
  <c r="C29" i="25"/>
  <c r="K29" i="25"/>
  <c r="E29" i="25"/>
  <c r="H29" i="25"/>
  <c r="G29" i="25"/>
  <c r="D29" i="25"/>
  <c r="I29" i="25"/>
  <c r="O384" i="67"/>
  <c r="Y18" i="68" s="1"/>
  <c r="O385" i="67"/>
  <c r="AA18" i="68" s="1"/>
  <c r="O383" i="67"/>
  <c r="W18" i="68" s="1"/>
  <c r="O379" i="67"/>
  <c r="AC370" i="22"/>
  <c r="AC371" i="22"/>
  <c r="O353" i="67"/>
  <c r="AC372" i="22"/>
  <c r="AC348" i="22"/>
  <c r="AC362" i="22"/>
  <c r="AC349" i="22"/>
  <c r="O373" i="67"/>
  <c r="AC350" i="22"/>
  <c r="AC351" i="22"/>
  <c r="AC353" i="22"/>
  <c r="AC365" i="22"/>
  <c r="AC354" i="22"/>
  <c r="O365" i="67"/>
  <c r="AC367" i="22"/>
  <c r="AC368" i="22"/>
  <c r="AC358" i="22"/>
  <c r="AC347" i="22"/>
  <c r="AC361" i="22"/>
  <c r="O382" i="67"/>
  <c r="U18" i="68" s="1"/>
  <c r="O381" i="67"/>
  <c r="S18" i="68" s="1"/>
  <c r="O378" i="67"/>
  <c r="O380" i="67"/>
  <c r="AC369" i="22"/>
  <c r="O377" i="67"/>
  <c r="O375" i="67"/>
  <c r="O371" i="67"/>
  <c r="AC366" i="22"/>
  <c r="O376" i="67"/>
  <c r="AC364" i="22"/>
  <c r="O374" i="67"/>
  <c r="AC363" i="22"/>
  <c r="O372" i="67"/>
  <c r="AC360" i="22"/>
  <c r="O370" i="67"/>
  <c r="O364" i="67"/>
  <c r="AC359" i="22"/>
  <c r="O369" i="67"/>
  <c r="O368" i="67"/>
  <c r="O363" i="67"/>
  <c r="AC357" i="22"/>
  <c r="O360" i="67"/>
  <c r="O367" i="67"/>
  <c r="AC355" i="22"/>
  <c r="AC356" i="22"/>
  <c r="O366" i="67"/>
  <c r="O359" i="67"/>
  <c r="O361" i="67"/>
  <c r="O362" i="67"/>
  <c r="AC352" i="22"/>
  <c r="T185" i="13"/>
  <c r="R179" i="13" s="1"/>
  <c r="O358" i="67"/>
  <c r="O357" i="67"/>
  <c r="O386" i="67"/>
  <c r="AC18" i="68" s="1"/>
  <c r="AC376" i="22"/>
  <c r="R185" i="13"/>
  <c r="S185" i="13"/>
  <c r="R184" i="13"/>
  <c r="S184" i="13"/>
  <c r="V20" i="62"/>
  <c r="O21" i="62"/>
  <c r="T21" i="62"/>
  <c r="M21" i="62"/>
  <c r="R21" i="62"/>
  <c r="S21" i="62" s="1"/>
  <c r="X21" i="62"/>
  <c r="U21" i="62"/>
  <c r="AC345" i="22"/>
  <c r="AC344" i="22"/>
  <c r="O354" i="67"/>
  <c r="AA21" i="70"/>
  <c r="AC341" i="22"/>
  <c r="AF152" i="23"/>
  <c r="O342" i="67"/>
  <c r="AC343" i="22"/>
  <c r="O338" i="67"/>
  <c r="AF147" i="23"/>
  <c r="O343" i="67"/>
  <c r="BK212" i="103"/>
  <c r="BM212" i="103" s="1"/>
  <c r="AF148" i="23"/>
  <c r="AF149" i="23"/>
  <c r="AF141" i="23"/>
  <c r="AF150" i="23"/>
  <c r="AF134" i="23"/>
  <c r="AF135" i="23"/>
  <c r="AF136" i="23"/>
  <c r="AF137" i="23"/>
  <c r="O351" i="67"/>
  <c r="AC342" i="22"/>
  <c r="O350" i="67"/>
  <c r="O352" i="67"/>
  <c r="AF153" i="23"/>
  <c r="O348" i="67"/>
  <c r="O347" i="67"/>
  <c r="AC338" i="22"/>
  <c r="O349" i="67"/>
  <c r="AC340" i="22"/>
  <c r="AF151" i="23"/>
  <c r="AC339" i="22"/>
  <c r="O346" i="67"/>
  <c r="AC337" i="22"/>
  <c r="AF144" i="23"/>
  <c r="AF146" i="23"/>
  <c r="AC334" i="22"/>
  <c r="O345" i="67"/>
  <c r="AC336" i="22"/>
  <c r="AF145" i="23"/>
  <c r="O344" i="67"/>
  <c r="AC335" i="22"/>
  <c r="G82" i="13"/>
  <c r="AC333" i="22"/>
  <c r="G83" i="13"/>
  <c r="F82" i="13"/>
  <c r="AF143" i="23"/>
  <c r="O340" i="67"/>
  <c r="AC331" i="22"/>
  <c r="AC332" i="22"/>
  <c r="O341" i="67"/>
  <c r="AF142" i="23"/>
  <c r="AF140" i="23"/>
  <c r="O339" i="67"/>
  <c r="AC330" i="22"/>
  <c r="AC329" i="22"/>
  <c r="AF139" i="23"/>
  <c r="T13" i="64"/>
  <c r="AF138" i="23"/>
  <c r="O337" i="67"/>
  <c r="AC328" i="22"/>
  <c r="AF127" i="23"/>
  <c r="AF130" i="23"/>
  <c r="AF132" i="23"/>
  <c r="AF131" i="23"/>
  <c r="AF128" i="23"/>
  <c r="AF133" i="23"/>
  <c r="AF129" i="23"/>
  <c r="AF126" i="23"/>
  <c r="C23" i="104"/>
  <c r="O32" i="64"/>
  <c r="AC324" i="22"/>
  <c r="AC325" i="22"/>
  <c r="AC326" i="22"/>
  <c r="AC327" i="22"/>
  <c r="P31" i="64"/>
  <c r="O336" i="67"/>
  <c r="O335" i="67"/>
  <c r="O334" i="67"/>
  <c r="U83" i="13"/>
  <c r="R83" i="13" s="1"/>
  <c r="O333" i="67"/>
  <c r="AC323" i="22"/>
  <c r="AC321" i="22"/>
  <c r="AC320" i="22"/>
  <c r="AC322" i="22"/>
  <c r="O332" i="67"/>
  <c r="U15" i="13"/>
  <c r="S14" i="13" s="1"/>
  <c r="O331" i="67"/>
  <c r="O330" i="67"/>
  <c r="O329" i="67"/>
  <c r="T151" i="13"/>
  <c r="R145" i="13" s="1"/>
  <c r="O327" i="67"/>
  <c r="F116" i="13"/>
  <c r="F117" i="13"/>
  <c r="G117" i="13"/>
  <c r="O326" i="67"/>
  <c r="AC318" i="22"/>
  <c r="AC319" i="22"/>
  <c r="O328" i="67"/>
  <c r="AC317" i="22"/>
  <c r="S151" i="13"/>
  <c r="R151" i="13"/>
  <c r="S150" i="13"/>
  <c r="R150" i="13"/>
  <c r="A13" i="31"/>
  <c r="B20" i="102"/>
  <c r="C20" i="102" s="1"/>
  <c r="B14" i="31"/>
  <c r="B48" i="31"/>
  <c r="A48" i="31" s="1"/>
  <c r="H185" i="13"/>
  <c r="G179" i="13" s="1"/>
  <c r="S21" i="70"/>
  <c r="K21" i="70"/>
  <c r="AC21" i="70"/>
  <c r="U21" i="70"/>
  <c r="M21" i="70"/>
  <c r="AE21" i="70"/>
  <c r="O316" i="67"/>
  <c r="F14" i="13"/>
  <c r="G14" i="13"/>
  <c r="F15" i="13"/>
  <c r="AC308" i="22"/>
  <c r="G48" i="13"/>
  <c r="F49" i="13"/>
  <c r="G49" i="13"/>
  <c r="AC309" i="22"/>
  <c r="O317" i="67"/>
  <c r="AC307" i="22"/>
  <c r="E13" i="53"/>
  <c r="D152" i="22"/>
  <c r="E15" i="53"/>
  <c r="K11" i="70"/>
  <c r="M11" i="70"/>
  <c r="O11" i="70"/>
  <c r="S11" i="70"/>
  <c r="O315" i="67"/>
  <c r="T49" i="13"/>
  <c r="S42" i="13" s="1"/>
  <c r="O314" i="67"/>
  <c r="AC306" i="22"/>
  <c r="D213" i="22"/>
  <c r="N20" i="62"/>
  <c r="B22" i="62"/>
  <c r="K21" i="62"/>
  <c r="L21" i="62"/>
  <c r="P21" i="62"/>
  <c r="Q21" i="62" s="1"/>
  <c r="U11" i="70"/>
  <c r="Y11" i="70"/>
  <c r="T117" i="13"/>
  <c r="S111" i="13" s="1"/>
  <c r="F42" i="13"/>
  <c r="G43" i="13"/>
  <c r="F43" i="13"/>
  <c r="G42" i="13"/>
  <c r="C13" i="53"/>
  <c r="G119" i="26"/>
  <c r="I107" i="26"/>
  <c r="I95" i="26"/>
  <c r="I83" i="26"/>
  <c r="I71" i="26"/>
  <c r="I59" i="26"/>
  <c r="H107" i="26"/>
  <c r="J107" i="26" s="1"/>
  <c r="H95" i="26"/>
  <c r="J95" i="26" s="1"/>
  <c r="H83" i="26"/>
  <c r="J83" i="26" s="1"/>
  <c r="H71" i="26"/>
  <c r="J71" i="26" s="1"/>
  <c r="H59" i="26"/>
  <c r="J59" i="26" s="1"/>
  <c r="H47" i="26"/>
  <c r="J47" i="26" s="1"/>
  <c r="H35" i="26"/>
  <c r="J35" i="26" s="1"/>
  <c r="H23" i="26"/>
  <c r="J23" i="26" s="1"/>
  <c r="H11" i="26"/>
  <c r="J11" i="26" s="1"/>
  <c r="G107" i="26"/>
  <c r="G95" i="26"/>
  <c r="G83" i="26"/>
  <c r="F107" i="26"/>
  <c r="F95" i="26"/>
  <c r="F83" i="26"/>
  <c r="F71" i="26"/>
  <c r="F59" i="26"/>
  <c r="F47" i="26"/>
  <c r="F35" i="26"/>
  <c r="F23" i="26"/>
  <c r="F11" i="26"/>
  <c r="I119" i="26"/>
  <c r="H119" i="26"/>
  <c r="J119" i="26" s="1"/>
  <c r="F119" i="26"/>
  <c r="G71" i="26"/>
  <c r="I35" i="26"/>
  <c r="I11" i="26"/>
  <c r="G59" i="26"/>
  <c r="G35" i="26"/>
  <c r="G11" i="26"/>
  <c r="I47" i="26"/>
  <c r="I23" i="26"/>
  <c r="G47" i="26"/>
  <c r="G23" i="26"/>
  <c r="M165" i="23"/>
  <c r="E18" i="53"/>
  <c r="AE11" i="70"/>
  <c r="BO388" i="103"/>
  <c r="AC163" i="22"/>
  <c r="O167" i="67"/>
  <c r="AL381" i="103"/>
  <c r="T15" i="13"/>
  <c r="AM258" i="22"/>
  <c r="AM257" i="103"/>
  <c r="AE257" i="22"/>
  <c r="R256" i="58"/>
  <c r="CH256" i="103"/>
  <c r="CJ256" i="103" s="1"/>
  <c r="AC132" i="22"/>
  <c r="O135" i="67"/>
  <c r="AL380" i="103"/>
  <c r="H118" i="26"/>
  <c r="J118" i="26" s="1"/>
  <c r="F118" i="26"/>
  <c r="I118" i="26"/>
  <c r="G106" i="26"/>
  <c r="G94" i="26"/>
  <c r="G82" i="26"/>
  <c r="G70" i="26"/>
  <c r="G58" i="26"/>
  <c r="G46" i="26"/>
  <c r="G34" i="26"/>
  <c r="G22" i="26"/>
  <c r="G10" i="26"/>
  <c r="G118" i="26"/>
  <c r="F106" i="26"/>
  <c r="F94" i="26"/>
  <c r="F82" i="26"/>
  <c r="C12" i="53"/>
  <c r="I106" i="26"/>
  <c r="I94" i="26"/>
  <c r="I82" i="26"/>
  <c r="I70" i="26"/>
  <c r="I58" i="26"/>
  <c r="I46" i="26"/>
  <c r="I34" i="26"/>
  <c r="I22" i="26"/>
  <c r="I10" i="26"/>
  <c r="H106" i="26"/>
  <c r="J106" i="26" s="1"/>
  <c r="H94" i="26"/>
  <c r="J94" i="26" s="1"/>
  <c r="H82" i="26"/>
  <c r="J82" i="26" s="1"/>
  <c r="F46" i="26"/>
  <c r="F22" i="26"/>
  <c r="H70" i="26"/>
  <c r="J70" i="26" s="1"/>
  <c r="F70" i="26"/>
  <c r="H58" i="26"/>
  <c r="J58" i="26" s="1"/>
  <c r="H34" i="26"/>
  <c r="J34" i="26" s="1"/>
  <c r="H10" i="26"/>
  <c r="J10" i="26" s="1"/>
  <c r="F58" i="26"/>
  <c r="F34" i="26"/>
  <c r="F10" i="26"/>
  <c r="H46" i="26"/>
  <c r="J46" i="26" s="1"/>
  <c r="H22" i="26"/>
  <c r="J22" i="26" s="1"/>
  <c r="M164" i="23"/>
  <c r="AC12" i="22"/>
  <c r="AL376" i="103"/>
  <c r="O11" i="67"/>
  <c r="CM197" i="103"/>
  <c r="CG197" i="103" s="1"/>
  <c r="BP388" i="103"/>
  <c r="C11" i="53"/>
  <c r="I117" i="26"/>
  <c r="H117" i="26"/>
  <c r="J117" i="26" s="1"/>
  <c r="G117" i="26"/>
  <c r="H105" i="26"/>
  <c r="J105" i="26" s="1"/>
  <c r="H93" i="26"/>
  <c r="J93" i="26" s="1"/>
  <c r="H81" i="26"/>
  <c r="J81" i="26" s="1"/>
  <c r="H69" i="26"/>
  <c r="J69" i="26" s="1"/>
  <c r="H57" i="26"/>
  <c r="J57" i="26" s="1"/>
  <c r="H45" i="26"/>
  <c r="J45" i="26" s="1"/>
  <c r="H33" i="26"/>
  <c r="J33" i="26" s="1"/>
  <c r="H21" i="26"/>
  <c r="J21" i="26" s="1"/>
  <c r="H9" i="26"/>
  <c r="J9" i="26" s="1"/>
  <c r="F117" i="26"/>
  <c r="G105" i="26"/>
  <c r="G93" i="26"/>
  <c r="G81" i="26"/>
  <c r="G69" i="26"/>
  <c r="F105" i="26"/>
  <c r="F93" i="26"/>
  <c r="F81" i="26"/>
  <c r="F69" i="26"/>
  <c r="F57" i="26"/>
  <c r="F45" i="26"/>
  <c r="F33" i="26"/>
  <c r="F21" i="26"/>
  <c r="F9" i="26"/>
  <c r="I93" i="26"/>
  <c r="I45" i="26"/>
  <c r="I21" i="26"/>
  <c r="G45" i="26"/>
  <c r="G21" i="26"/>
  <c r="I105" i="26"/>
  <c r="I69" i="26"/>
  <c r="I57" i="26"/>
  <c r="I33" i="26"/>
  <c r="I9" i="26"/>
  <c r="G57" i="26"/>
  <c r="G33" i="26"/>
  <c r="G9" i="26"/>
  <c r="I81" i="26"/>
  <c r="M163" i="23"/>
  <c r="T83" i="13"/>
  <c r="R116" i="13"/>
  <c r="S117" i="13"/>
  <c r="R117" i="13"/>
  <c r="S116" i="13"/>
  <c r="C7" i="53"/>
  <c r="I113" i="26"/>
  <c r="G113" i="26"/>
  <c r="H101" i="26"/>
  <c r="J101" i="26" s="1"/>
  <c r="H89" i="26"/>
  <c r="J89" i="26" s="1"/>
  <c r="H77" i="26"/>
  <c r="J77" i="26" s="1"/>
  <c r="H65" i="26"/>
  <c r="J65" i="26" s="1"/>
  <c r="H53" i="26"/>
  <c r="J53" i="26" s="1"/>
  <c r="H41" i="26"/>
  <c r="J41" i="26" s="1"/>
  <c r="H29" i="26"/>
  <c r="J29" i="26" s="1"/>
  <c r="H17" i="26"/>
  <c r="J17" i="26" s="1"/>
  <c r="H5" i="26"/>
  <c r="J5" i="26" s="1"/>
  <c r="G101" i="26"/>
  <c r="G89" i="26"/>
  <c r="G77" i="26"/>
  <c r="F101" i="26"/>
  <c r="F89" i="26"/>
  <c r="F77" i="26"/>
  <c r="F65" i="26"/>
  <c r="F53" i="26"/>
  <c r="F41" i="26"/>
  <c r="F29" i="26"/>
  <c r="F17" i="26"/>
  <c r="F5" i="26"/>
  <c r="H113" i="26"/>
  <c r="J113" i="26" s="1"/>
  <c r="F113" i="26"/>
  <c r="I101" i="26"/>
  <c r="I89" i="26"/>
  <c r="I77" i="26"/>
  <c r="G41" i="26"/>
  <c r="G17" i="26"/>
  <c r="I65" i="26"/>
  <c r="G65" i="26"/>
  <c r="I53" i="26"/>
  <c r="I29" i="26"/>
  <c r="I5" i="26"/>
  <c r="G53" i="26"/>
  <c r="G29" i="26"/>
  <c r="G5" i="26"/>
  <c r="I41" i="26"/>
  <c r="I17" i="26"/>
  <c r="M159" i="23"/>
  <c r="Y388" i="103"/>
  <c r="AR199" i="103"/>
  <c r="BB198" i="103"/>
  <c r="BD198" i="103"/>
  <c r="CG196" i="103"/>
  <c r="AC346" i="22"/>
  <c r="O356" i="67"/>
  <c r="AL387" i="103"/>
  <c r="AO255" i="22"/>
  <c r="R262" i="67"/>
  <c r="AC316" i="22"/>
  <c r="O325" i="67"/>
  <c r="AL386" i="103"/>
  <c r="AO19" i="65"/>
  <c r="AN19" i="65"/>
  <c r="C18" i="53"/>
  <c r="F124" i="26"/>
  <c r="F112" i="26"/>
  <c r="I100" i="26"/>
  <c r="I88" i="26"/>
  <c r="I76" i="26"/>
  <c r="I64" i="26"/>
  <c r="I52" i="26"/>
  <c r="I40" i="26"/>
  <c r="I28" i="26"/>
  <c r="I16" i="26"/>
  <c r="H100" i="26"/>
  <c r="J100" i="26" s="1"/>
  <c r="H88" i="26"/>
  <c r="J88" i="26" s="1"/>
  <c r="H76" i="26"/>
  <c r="J76" i="26" s="1"/>
  <c r="H64" i="26"/>
  <c r="J64" i="26" s="1"/>
  <c r="I124" i="26"/>
  <c r="I112" i="26"/>
  <c r="G100" i="26"/>
  <c r="G88" i="26"/>
  <c r="G76" i="26"/>
  <c r="G64" i="26"/>
  <c r="G52" i="26"/>
  <c r="G40" i="26"/>
  <c r="G28" i="26"/>
  <c r="G16" i="26"/>
  <c r="H124" i="26"/>
  <c r="J124" i="26" s="1"/>
  <c r="H112" i="26"/>
  <c r="J112" i="26" s="1"/>
  <c r="F100" i="26"/>
  <c r="F88" i="26"/>
  <c r="G124" i="26"/>
  <c r="G112" i="26"/>
  <c r="H40" i="26"/>
  <c r="J40" i="26" s="1"/>
  <c r="H16" i="26"/>
  <c r="J16" i="26" s="1"/>
  <c r="F40" i="26"/>
  <c r="F16" i="26"/>
  <c r="F76" i="26"/>
  <c r="F64" i="26"/>
  <c r="H52" i="26"/>
  <c r="J52" i="26" s="1"/>
  <c r="H28" i="26"/>
  <c r="J28" i="26" s="1"/>
  <c r="F52" i="26"/>
  <c r="F28" i="26"/>
  <c r="M170" i="23"/>
  <c r="BN388" i="103"/>
  <c r="E14" i="53"/>
  <c r="W11" i="70"/>
  <c r="C17" i="53"/>
  <c r="I123" i="26"/>
  <c r="I111" i="26"/>
  <c r="G123" i="26"/>
  <c r="F111" i="26"/>
  <c r="F99" i="26"/>
  <c r="F87" i="26"/>
  <c r="F75" i="26"/>
  <c r="F63" i="26"/>
  <c r="F51" i="26"/>
  <c r="F39" i="26"/>
  <c r="F27" i="26"/>
  <c r="F15" i="26"/>
  <c r="H123" i="26"/>
  <c r="J123" i="26" s="1"/>
  <c r="H111" i="26"/>
  <c r="J111" i="26" s="1"/>
  <c r="H99" i="26"/>
  <c r="J99" i="26" s="1"/>
  <c r="H87" i="26"/>
  <c r="J87" i="26" s="1"/>
  <c r="H75" i="26"/>
  <c r="J75" i="26" s="1"/>
  <c r="H63" i="26"/>
  <c r="J63" i="26" s="1"/>
  <c r="H51" i="26"/>
  <c r="J51" i="26" s="1"/>
  <c r="H39" i="26"/>
  <c r="J39" i="26" s="1"/>
  <c r="H27" i="26"/>
  <c r="J27" i="26" s="1"/>
  <c r="H15" i="26"/>
  <c r="J15" i="26" s="1"/>
  <c r="F123" i="26"/>
  <c r="G111" i="26"/>
  <c r="G99" i="26"/>
  <c r="G87" i="26"/>
  <c r="I39" i="26"/>
  <c r="I15" i="26"/>
  <c r="G39" i="26"/>
  <c r="G15" i="26"/>
  <c r="I87" i="26"/>
  <c r="I75" i="26"/>
  <c r="I63" i="26"/>
  <c r="G75" i="26"/>
  <c r="G63" i="26"/>
  <c r="I99" i="26"/>
  <c r="I51" i="26"/>
  <c r="I27" i="26"/>
  <c r="G51" i="26"/>
  <c r="G27" i="26"/>
  <c r="M169" i="23"/>
  <c r="AL19" i="65"/>
  <c r="AK19" i="65"/>
  <c r="H254" i="58"/>
  <c r="AC224" i="22"/>
  <c r="O230" i="67"/>
  <c r="AL383" i="103"/>
  <c r="S48" i="13"/>
  <c r="S49" i="13"/>
  <c r="R49" i="13"/>
  <c r="R48" i="13"/>
  <c r="AL254" i="103"/>
  <c r="G111" i="13"/>
  <c r="G110" i="13"/>
  <c r="F110" i="13"/>
  <c r="F111" i="13"/>
  <c r="I11" i="70"/>
  <c r="BL388" i="103"/>
  <c r="AC102" i="22"/>
  <c r="AL379" i="103"/>
  <c r="O104" i="67"/>
  <c r="H120" i="26"/>
  <c r="J120" i="26" s="1"/>
  <c r="F120" i="26"/>
  <c r="I108" i="26"/>
  <c r="I96" i="26"/>
  <c r="I84" i="26"/>
  <c r="I72" i="26"/>
  <c r="I60" i="26"/>
  <c r="I48" i="26"/>
  <c r="I36" i="26"/>
  <c r="I24" i="26"/>
  <c r="I12" i="26"/>
  <c r="H108" i="26"/>
  <c r="J108" i="26" s="1"/>
  <c r="H96" i="26"/>
  <c r="J96" i="26" s="1"/>
  <c r="H84" i="26"/>
  <c r="J84" i="26" s="1"/>
  <c r="G108" i="26"/>
  <c r="G96" i="26"/>
  <c r="G84" i="26"/>
  <c r="G72" i="26"/>
  <c r="G60" i="26"/>
  <c r="G48" i="26"/>
  <c r="G36" i="26"/>
  <c r="G24" i="26"/>
  <c r="G12" i="26"/>
  <c r="C14" i="53"/>
  <c r="I120" i="26"/>
  <c r="G120" i="26"/>
  <c r="H72" i="26"/>
  <c r="J72" i="26" s="1"/>
  <c r="H36" i="26"/>
  <c r="J36" i="26" s="1"/>
  <c r="H12" i="26"/>
  <c r="J12" i="26" s="1"/>
  <c r="F108" i="26"/>
  <c r="F72" i="26"/>
  <c r="H60" i="26"/>
  <c r="J60" i="26" s="1"/>
  <c r="F36" i="26"/>
  <c r="F12" i="26"/>
  <c r="F60" i="26"/>
  <c r="H48" i="26"/>
  <c r="J48" i="26" s="1"/>
  <c r="H24" i="26"/>
  <c r="J24" i="26" s="1"/>
  <c r="F48" i="26"/>
  <c r="F24" i="26"/>
  <c r="F84" i="26"/>
  <c r="F96" i="26"/>
  <c r="M166" i="23"/>
  <c r="C15" i="53"/>
  <c r="I109" i="26"/>
  <c r="I97" i="26"/>
  <c r="I85" i="26"/>
  <c r="H109" i="26"/>
  <c r="J109" i="26" s="1"/>
  <c r="H97" i="26"/>
  <c r="J97" i="26" s="1"/>
  <c r="H85" i="26"/>
  <c r="J85" i="26" s="1"/>
  <c r="H73" i="26"/>
  <c r="J73" i="26" s="1"/>
  <c r="H61" i="26"/>
  <c r="J61" i="26" s="1"/>
  <c r="H49" i="26"/>
  <c r="J49" i="26" s="1"/>
  <c r="H37" i="26"/>
  <c r="J37" i="26" s="1"/>
  <c r="H25" i="26"/>
  <c r="J25" i="26" s="1"/>
  <c r="H13" i="26"/>
  <c r="J13" i="26" s="1"/>
  <c r="F109" i="26"/>
  <c r="F97" i="26"/>
  <c r="F85" i="26"/>
  <c r="F73" i="26"/>
  <c r="F61" i="26"/>
  <c r="F49" i="26"/>
  <c r="F37" i="26"/>
  <c r="F25" i="26"/>
  <c r="F13" i="26"/>
  <c r="G109" i="26"/>
  <c r="I49" i="26"/>
  <c r="I25" i="26"/>
  <c r="G49" i="26"/>
  <c r="G25" i="26"/>
  <c r="G85" i="26"/>
  <c r="I73" i="26"/>
  <c r="I37" i="26"/>
  <c r="I13" i="26"/>
  <c r="G97" i="26"/>
  <c r="G73" i="26"/>
  <c r="I61" i="26"/>
  <c r="G37" i="26"/>
  <c r="G13" i="26"/>
  <c r="G61" i="26"/>
  <c r="M167" i="23"/>
  <c r="F184" i="13"/>
  <c r="G185" i="13"/>
  <c r="F185" i="13"/>
  <c r="G184" i="13"/>
  <c r="AC285" i="22"/>
  <c r="O293" i="67"/>
  <c r="AL385" i="103"/>
  <c r="AC43" i="22"/>
  <c r="O43" i="67"/>
  <c r="AL377" i="103"/>
  <c r="H116" i="26"/>
  <c r="J116" i="26" s="1"/>
  <c r="F116" i="26"/>
  <c r="I116" i="26"/>
  <c r="G116" i="26"/>
  <c r="I104" i="26"/>
  <c r="I92" i="26"/>
  <c r="I80" i="26"/>
  <c r="I68" i="26"/>
  <c r="I56" i="26"/>
  <c r="I44" i="26"/>
  <c r="I32" i="26"/>
  <c r="I20" i="26"/>
  <c r="I8" i="26"/>
  <c r="C10" i="53"/>
  <c r="G104" i="26"/>
  <c r="G92" i="26"/>
  <c r="G80" i="26"/>
  <c r="G68" i="26"/>
  <c r="G56" i="26"/>
  <c r="G44" i="26"/>
  <c r="G32" i="26"/>
  <c r="G20" i="26"/>
  <c r="G8" i="26"/>
  <c r="F104" i="26"/>
  <c r="F92" i="26"/>
  <c r="F80" i="26"/>
  <c r="H80" i="26"/>
  <c r="J80" i="26" s="1"/>
  <c r="H92" i="26"/>
  <c r="J92" i="26" s="1"/>
  <c r="H104" i="26"/>
  <c r="J104" i="26" s="1"/>
  <c r="H44" i="26"/>
  <c r="J44" i="26" s="1"/>
  <c r="H20" i="26"/>
  <c r="J20" i="26" s="1"/>
  <c r="F44" i="26"/>
  <c r="F20" i="26"/>
  <c r="H68" i="26"/>
  <c r="J68" i="26" s="1"/>
  <c r="F68" i="26"/>
  <c r="H56" i="26"/>
  <c r="J56" i="26" s="1"/>
  <c r="H32" i="26"/>
  <c r="J32" i="26" s="1"/>
  <c r="H8" i="26"/>
  <c r="J8" i="26" s="1"/>
  <c r="F56" i="26"/>
  <c r="F32" i="26"/>
  <c r="F8" i="26"/>
  <c r="M162" i="23"/>
  <c r="AC71" i="22"/>
  <c r="AL378" i="103"/>
  <c r="O72" i="67"/>
  <c r="AO256" i="22"/>
  <c r="R263" i="67"/>
  <c r="Q12" i="62"/>
  <c r="F114" i="26"/>
  <c r="H114" i="26"/>
  <c r="J114" i="26" s="1"/>
  <c r="I114" i="26"/>
  <c r="C8" i="53"/>
  <c r="G114" i="26"/>
  <c r="I102" i="26"/>
  <c r="I90" i="26"/>
  <c r="I78" i="26"/>
  <c r="I66" i="26"/>
  <c r="I54" i="26"/>
  <c r="I42" i="26"/>
  <c r="I30" i="26"/>
  <c r="I18" i="26"/>
  <c r="I6" i="26"/>
  <c r="H102" i="26"/>
  <c r="J102" i="26" s="1"/>
  <c r="H90" i="26"/>
  <c r="J90" i="26" s="1"/>
  <c r="G102" i="26"/>
  <c r="G90" i="26"/>
  <c r="G78" i="26"/>
  <c r="G66" i="26"/>
  <c r="G54" i="26"/>
  <c r="G42" i="26"/>
  <c r="G30" i="26"/>
  <c r="G18" i="26"/>
  <c r="G6" i="26"/>
  <c r="H66" i="26"/>
  <c r="J66" i="26" s="1"/>
  <c r="F66" i="26"/>
  <c r="H78" i="26"/>
  <c r="J78" i="26" s="1"/>
  <c r="F78" i="26"/>
  <c r="H54" i="26"/>
  <c r="J54" i="26" s="1"/>
  <c r="H30" i="26"/>
  <c r="J30" i="26" s="1"/>
  <c r="H6" i="26"/>
  <c r="J6" i="26" s="1"/>
  <c r="F90" i="26"/>
  <c r="F54" i="26"/>
  <c r="F30" i="26"/>
  <c r="F6" i="26"/>
  <c r="F102" i="26"/>
  <c r="H42" i="26"/>
  <c r="J42" i="26" s="1"/>
  <c r="H18" i="26"/>
  <c r="J18" i="26" s="1"/>
  <c r="F42" i="26"/>
  <c r="F18" i="26"/>
  <c r="M160" i="23"/>
  <c r="G9" i="13"/>
  <c r="F9" i="13"/>
  <c r="G8" i="13"/>
  <c r="F8" i="13"/>
  <c r="C9" i="53"/>
  <c r="I115" i="26"/>
  <c r="G115" i="26"/>
  <c r="I103" i="26"/>
  <c r="I91" i="26"/>
  <c r="I79" i="26"/>
  <c r="H103" i="26"/>
  <c r="J103" i="26" s="1"/>
  <c r="H91" i="26"/>
  <c r="J91" i="26" s="1"/>
  <c r="H79" i="26"/>
  <c r="J79" i="26" s="1"/>
  <c r="H67" i="26"/>
  <c r="J67" i="26" s="1"/>
  <c r="H55" i="26"/>
  <c r="J55" i="26" s="1"/>
  <c r="H43" i="26"/>
  <c r="J43" i="26" s="1"/>
  <c r="H31" i="26"/>
  <c r="J31" i="26" s="1"/>
  <c r="H19" i="26"/>
  <c r="J19" i="26" s="1"/>
  <c r="H7" i="26"/>
  <c r="J7" i="26" s="1"/>
  <c r="F103" i="26"/>
  <c r="F91" i="26"/>
  <c r="F79" i="26"/>
  <c r="F67" i="26"/>
  <c r="F55" i="26"/>
  <c r="F43" i="26"/>
  <c r="F31" i="26"/>
  <c r="F19" i="26"/>
  <c r="F7" i="26"/>
  <c r="H115" i="26"/>
  <c r="J115" i="26" s="1"/>
  <c r="F115" i="26"/>
  <c r="I55" i="26"/>
  <c r="I31" i="26"/>
  <c r="I7" i="26"/>
  <c r="G79" i="26"/>
  <c r="G55" i="26"/>
  <c r="G31" i="26"/>
  <c r="G7" i="26"/>
  <c r="G91" i="26"/>
  <c r="G103" i="26"/>
  <c r="I43" i="26"/>
  <c r="I19" i="26"/>
  <c r="G43" i="26"/>
  <c r="G19" i="26"/>
  <c r="I67" i="26"/>
  <c r="G67" i="26"/>
  <c r="M161" i="23"/>
  <c r="CJ255" i="103"/>
  <c r="C16" i="53"/>
  <c r="H122" i="26"/>
  <c r="J122" i="26" s="1"/>
  <c r="I122" i="26"/>
  <c r="G122" i="26"/>
  <c r="F122" i="26"/>
  <c r="I110" i="26"/>
  <c r="I98" i="26"/>
  <c r="I86" i="26"/>
  <c r="I74" i="26"/>
  <c r="I62" i="26"/>
  <c r="I50" i="26"/>
  <c r="I38" i="26"/>
  <c r="I26" i="26"/>
  <c r="I14" i="26"/>
  <c r="G110" i="26"/>
  <c r="G98" i="26"/>
  <c r="G86" i="26"/>
  <c r="G74" i="26"/>
  <c r="G62" i="26"/>
  <c r="G50" i="26"/>
  <c r="G38" i="26"/>
  <c r="G26" i="26"/>
  <c r="G14" i="26"/>
  <c r="F110" i="26"/>
  <c r="F98" i="26"/>
  <c r="F86" i="26"/>
  <c r="F74" i="26"/>
  <c r="F62" i="26"/>
  <c r="H50" i="26"/>
  <c r="J50" i="26" s="1"/>
  <c r="H26" i="26"/>
  <c r="J26" i="26" s="1"/>
  <c r="F50" i="26"/>
  <c r="F26" i="26"/>
  <c r="H86" i="26"/>
  <c r="J86" i="26" s="1"/>
  <c r="H38" i="26"/>
  <c r="J38" i="26" s="1"/>
  <c r="H14" i="26"/>
  <c r="J14" i="26" s="1"/>
  <c r="H74" i="26"/>
  <c r="J74" i="26" s="1"/>
  <c r="F38" i="26"/>
  <c r="F14" i="26"/>
  <c r="H98" i="26"/>
  <c r="J98" i="26" s="1"/>
  <c r="H62" i="26"/>
  <c r="J62" i="26" s="1"/>
  <c r="H110" i="26"/>
  <c r="J110" i="26" s="1"/>
  <c r="M168" i="23"/>
  <c r="S14" i="64"/>
  <c r="D27" i="104"/>
  <c r="E76" i="18"/>
  <c r="S76" i="18" s="1"/>
  <c r="Q19" i="13"/>
  <c r="Q24" i="13"/>
  <c r="Q10" i="13"/>
  <c r="E146" i="13"/>
  <c r="Q15" i="13"/>
  <c r="E147" i="13"/>
  <c r="Q6" i="13"/>
  <c r="Q16" i="13"/>
  <c r="Q12" i="13"/>
  <c r="E155" i="13"/>
  <c r="E158" i="13"/>
  <c r="E168" i="13"/>
  <c r="E145" i="13"/>
  <c r="E143" i="13"/>
  <c r="Q18" i="13"/>
  <c r="E152" i="13"/>
  <c r="Q28" i="13"/>
  <c r="Q8" i="13"/>
  <c r="E156" i="13"/>
  <c r="E161" i="13"/>
  <c r="E170" i="13"/>
  <c r="Q32" i="13"/>
  <c r="Q29" i="13"/>
  <c r="E157" i="13"/>
  <c r="E153" i="13"/>
  <c r="E163" i="13"/>
  <c r="Q22" i="13"/>
  <c r="Q33" i="13"/>
  <c r="E148" i="13"/>
  <c r="E166" i="13"/>
  <c r="E154" i="13"/>
  <c r="Q30" i="13"/>
  <c r="Q7" i="13"/>
  <c r="Q25" i="13"/>
  <c r="E169" i="13"/>
  <c r="E141" i="13"/>
  <c r="Q31" i="13"/>
  <c r="E165" i="13"/>
  <c r="E162" i="13"/>
  <c r="E144" i="13"/>
  <c r="E150" i="13"/>
  <c r="Q20" i="13"/>
  <c r="Q14" i="13"/>
  <c r="Q23" i="13"/>
  <c r="Q5" i="13"/>
  <c r="E160" i="13"/>
  <c r="E164" i="13"/>
  <c r="E159" i="13"/>
  <c r="Q27" i="13"/>
  <c r="D140" i="13"/>
  <c r="E151" i="13"/>
  <c r="Q17" i="13"/>
  <c r="E140" i="13"/>
  <c r="Q13" i="13"/>
  <c r="E167" i="13"/>
  <c r="Q11" i="13"/>
  <c r="Q26" i="13"/>
  <c r="E149" i="13"/>
  <c r="Q21" i="13"/>
  <c r="Q34" i="13"/>
  <c r="E142" i="13"/>
  <c r="G148" i="13"/>
  <c r="Q9" i="13"/>
  <c r="D144" i="13"/>
  <c r="D143" i="13"/>
  <c r="D142" i="13"/>
  <c r="D141" i="13"/>
  <c r="E17" i="53"/>
  <c r="AC11" i="70"/>
  <c r="AC193" i="22"/>
  <c r="O198" i="67"/>
  <c r="AL382" i="103"/>
  <c r="E21" i="62" l="1"/>
  <c r="O29" i="25"/>
  <c r="O30" i="25" s="1"/>
  <c r="Q204" i="13"/>
  <c r="N170" i="23"/>
  <c r="Q32" i="36"/>
  <c r="Q31" i="36" s="1"/>
  <c r="Q203" i="13"/>
  <c r="Q202" i="13"/>
  <c r="Q201" i="13"/>
  <c r="Q200" i="13"/>
  <c r="Q199" i="13"/>
  <c r="Q198" i="13"/>
  <c r="Q197" i="13"/>
  <c r="Q196" i="13"/>
  <c r="Q195" i="13"/>
  <c r="Q194" i="13"/>
  <c r="Q193" i="13"/>
  <c r="Q192" i="13"/>
  <c r="Q191" i="13"/>
  <c r="Q190" i="13"/>
  <c r="Q189" i="13"/>
  <c r="Q188" i="13"/>
  <c r="Q187" i="13"/>
  <c r="Q186" i="13"/>
  <c r="Q185" i="13"/>
  <c r="Q184" i="13"/>
  <c r="Q183" i="13"/>
  <c r="Q182" i="13"/>
  <c r="Q181" i="13"/>
  <c r="S178" i="13"/>
  <c r="S179" i="13"/>
  <c r="R178" i="13"/>
  <c r="Q180" i="13"/>
  <c r="Q179" i="13"/>
  <c r="Q178" i="13"/>
  <c r="Q177" i="13"/>
  <c r="Q176" i="13"/>
  <c r="Y21" i="62"/>
  <c r="Q175" i="13"/>
  <c r="Q174" i="13"/>
  <c r="S182" i="13"/>
  <c r="T22" i="62"/>
  <c r="M22" i="62"/>
  <c r="O22" i="62"/>
  <c r="R22" i="62"/>
  <c r="S22" i="62" s="1"/>
  <c r="X22" i="62"/>
  <c r="Y22" i="62" s="1"/>
  <c r="U22" i="62"/>
  <c r="W22" i="62"/>
  <c r="Q169" i="13"/>
  <c r="N169" i="23"/>
  <c r="P32" i="36"/>
  <c r="P31" i="36" s="1"/>
  <c r="Q168" i="13"/>
  <c r="Q167" i="13"/>
  <c r="Q166" i="13"/>
  <c r="Q165" i="13"/>
  <c r="Q164" i="13"/>
  <c r="Q163" i="13"/>
  <c r="Q162" i="13"/>
  <c r="Q161" i="13"/>
  <c r="Q160" i="13"/>
  <c r="Q159" i="13"/>
  <c r="G80" i="13"/>
  <c r="Q158" i="13"/>
  <c r="Q157" i="13"/>
  <c r="Q156" i="13"/>
  <c r="Q155" i="13"/>
  <c r="Q154" i="13"/>
  <c r="Q153" i="13"/>
  <c r="D23" i="104"/>
  <c r="O40" i="64"/>
  <c r="Q152" i="13"/>
  <c r="Q151" i="13"/>
  <c r="Q150" i="13"/>
  <c r="Q149" i="13"/>
  <c r="S82" i="13"/>
  <c r="R82" i="13"/>
  <c r="S83" i="13"/>
  <c r="R15" i="13"/>
  <c r="R144" i="13"/>
  <c r="Q148" i="13"/>
  <c r="R14" i="13"/>
  <c r="S15" i="13"/>
  <c r="Q147" i="13"/>
  <c r="Q146" i="13"/>
  <c r="Q145" i="13"/>
  <c r="S144" i="13"/>
  <c r="S145" i="13"/>
  <c r="G114" i="13"/>
  <c r="Q144" i="13"/>
  <c r="Q143" i="13"/>
  <c r="Q142" i="13"/>
  <c r="Q141" i="13"/>
  <c r="V21" i="62"/>
  <c r="S148" i="13"/>
  <c r="Q140" i="13"/>
  <c r="F178" i="13"/>
  <c r="G178" i="13"/>
  <c r="F179" i="13"/>
  <c r="B21" i="102"/>
  <c r="C21" i="102" s="1"/>
  <c r="B15" i="31"/>
  <c r="B49" i="31"/>
  <c r="A49" i="31" s="1"/>
  <c r="A14" i="31"/>
  <c r="Q136" i="13"/>
  <c r="N168" i="23"/>
  <c r="O32" i="36"/>
  <c r="O31" i="36" s="1"/>
  <c r="Q135" i="13"/>
  <c r="E6" i="13"/>
  <c r="E15" i="13"/>
  <c r="E21" i="13"/>
  <c r="E10" i="13"/>
  <c r="E14" i="13"/>
  <c r="E20" i="13"/>
  <c r="E13" i="13"/>
  <c r="E16" i="13"/>
  <c r="E17" i="13"/>
  <c r="E23" i="13"/>
  <c r="E27" i="13"/>
  <c r="E8" i="13"/>
  <c r="E32" i="13"/>
  <c r="E29" i="13"/>
  <c r="E9" i="13"/>
  <c r="E26" i="13"/>
  <c r="E31" i="13"/>
  <c r="E34" i="13"/>
  <c r="E33" i="13"/>
  <c r="G12" i="13"/>
  <c r="E5" i="13"/>
  <c r="E18" i="13"/>
  <c r="E30" i="13"/>
  <c r="E24" i="13"/>
  <c r="E7" i="13"/>
  <c r="E4" i="13"/>
  <c r="E28" i="13"/>
  <c r="E25" i="13"/>
  <c r="E11" i="13"/>
  <c r="E22" i="13"/>
  <c r="E19" i="13"/>
  <c r="E12" i="13"/>
  <c r="Q134" i="13"/>
  <c r="E76" i="13"/>
  <c r="E84" i="13"/>
  <c r="Q133" i="13"/>
  <c r="Q132" i="13"/>
  <c r="E48" i="13"/>
  <c r="E86" i="13"/>
  <c r="E80" i="13"/>
  <c r="E42" i="13"/>
  <c r="E44" i="13"/>
  <c r="E61" i="13"/>
  <c r="E98" i="13"/>
  <c r="E63" i="13"/>
  <c r="E56" i="13"/>
  <c r="Q131" i="13"/>
  <c r="E81" i="13"/>
  <c r="E93" i="13"/>
  <c r="E43" i="13"/>
  <c r="E102" i="13"/>
  <c r="E94" i="13"/>
  <c r="E89" i="13"/>
  <c r="E49" i="13"/>
  <c r="E60" i="13"/>
  <c r="E92" i="13"/>
  <c r="E96" i="13"/>
  <c r="E101" i="13"/>
  <c r="E59" i="13"/>
  <c r="E87" i="13"/>
  <c r="E74" i="13"/>
  <c r="E90" i="13"/>
  <c r="E62" i="13"/>
  <c r="E45" i="13"/>
  <c r="E57" i="13"/>
  <c r="E72" i="13"/>
  <c r="E97" i="13"/>
  <c r="E95" i="13"/>
  <c r="E85" i="13"/>
  <c r="E41" i="13"/>
  <c r="E79" i="13"/>
  <c r="E99" i="13"/>
  <c r="E54" i="13"/>
  <c r="G46" i="13"/>
  <c r="E78" i="13"/>
  <c r="E82" i="13"/>
  <c r="E91" i="13"/>
  <c r="E51" i="13"/>
  <c r="E46" i="13"/>
  <c r="E40" i="13"/>
  <c r="E53" i="13"/>
  <c r="E52" i="13"/>
  <c r="E38" i="13"/>
  <c r="E64" i="13"/>
  <c r="E50" i="13"/>
  <c r="E83" i="13"/>
  <c r="E100" i="13"/>
  <c r="E88" i="13"/>
  <c r="E65" i="13"/>
  <c r="E73" i="13"/>
  <c r="E47" i="13"/>
  <c r="E39" i="13"/>
  <c r="E55" i="13"/>
  <c r="E58" i="13"/>
  <c r="E77" i="13"/>
  <c r="E75" i="13"/>
  <c r="R42" i="13"/>
  <c r="R43" i="13"/>
  <c r="S43" i="13"/>
  <c r="Z161" i="23"/>
  <c r="Z169" i="23"/>
  <c r="Z163" i="23"/>
  <c r="Z164" i="23"/>
  <c r="Z162" i="23"/>
  <c r="Z166" i="23"/>
  <c r="Z160" i="23"/>
  <c r="Z170" i="23"/>
  <c r="Z165" i="23"/>
  <c r="Q130" i="13"/>
  <c r="Q129" i="13"/>
  <c r="P32" i="64"/>
  <c r="P40" i="64" s="1"/>
  <c r="Q128" i="13"/>
  <c r="D135" i="103"/>
  <c r="K197" i="103"/>
  <c r="K142" i="103"/>
  <c r="K153" i="103"/>
  <c r="K210" i="103"/>
  <c r="K206" i="103"/>
  <c r="K198" i="103"/>
  <c r="D131" i="103"/>
  <c r="K156" i="103"/>
  <c r="K154" i="103"/>
  <c r="K134" i="103"/>
  <c r="K212" i="103"/>
  <c r="K199" i="103"/>
  <c r="K147" i="103"/>
  <c r="K133" i="103"/>
  <c r="K215" i="103"/>
  <c r="K219" i="103"/>
  <c r="K144" i="103"/>
  <c r="K136" i="103"/>
  <c r="K207" i="103"/>
  <c r="K222" i="103"/>
  <c r="K150" i="103"/>
  <c r="K132" i="103"/>
  <c r="K148" i="103"/>
  <c r="K159" i="103"/>
  <c r="K209" i="103"/>
  <c r="K155" i="103"/>
  <c r="K160" i="103"/>
  <c r="K217" i="103"/>
  <c r="K149" i="103"/>
  <c r="K140" i="103"/>
  <c r="K151" i="103"/>
  <c r="K220" i="103"/>
  <c r="K146" i="103"/>
  <c r="D132" i="103"/>
  <c r="K145" i="103"/>
  <c r="K213" i="103"/>
  <c r="K214" i="103"/>
  <c r="K193" i="103"/>
  <c r="K195" i="103"/>
  <c r="K161" i="103"/>
  <c r="K200" i="103"/>
  <c r="K211" i="103"/>
  <c r="K218" i="103"/>
  <c r="K152" i="103"/>
  <c r="K204" i="103"/>
  <c r="K194" i="103"/>
  <c r="K202" i="103"/>
  <c r="D133" i="103"/>
  <c r="K201" i="103"/>
  <c r="K208" i="103"/>
  <c r="K157" i="103"/>
  <c r="K196" i="103"/>
  <c r="K138" i="103"/>
  <c r="K158" i="103"/>
  <c r="D134" i="103"/>
  <c r="K131" i="103"/>
  <c r="K141" i="103"/>
  <c r="K139" i="103"/>
  <c r="K216" i="103"/>
  <c r="K203" i="103"/>
  <c r="K205" i="103"/>
  <c r="K135" i="103"/>
  <c r="K221" i="103"/>
  <c r="K143" i="103"/>
  <c r="K137" i="103"/>
  <c r="R110" i="13"/>
  <c r="S110" i="13"/>
  <c r="R111" i="13"/>
  <c r="N21" i="62"/>
  <c r="C22" i="62"/>
  <c r="B23" i="62"/>
  <c r="G22" i="62"/>
  <c r="H22" i="62" s="1"/>
  <c r="F22" i="62"/>
  <c r="I22" i="62"/>
  <c r="J22" i="62" s="1"/>
  <c r="D22" i="62"/>
  <c r="K22" i="62"/>
  <c r="L22" i="62"/>
  <c r="P22" i="62"/>
  <c r="Q127" i="13"/>
  <c r="Q15" i="64"/>
  <c r="I264" i="67"/>
  <c r="Z168" i="23"/>
  <c r="AR200" i="103"/>
  <c r="BB199" i="103"/>
  <c r="BD199" i="103"/>
  <c r="L256" i="58"/>
  <c r="S9" i="13"/>
  <c r="S8" i="13"/>
  <c r="R8" i="13"/>
  <c r="R9" i="13"/>
  <c r="H13" i="53"/>
  <c r="I13" i="53"/>
  <c r="O399" i="67"/>
  <c r="H436" i="67" s="1"/>
  <c r="I436" i="67" s="1"/>
  <c r="O324" i="67"/>
  <c r="I14" i="53"/>
  <c r="H14" i="53"/>
  <c r="E113" i="13"/>
  <c r="E112" i="13"/>
  <c r="E123" i="13"/>
  <c r="E126" i="13"/>
  <c r="E114" i="13"/>
  <c r="E109" i="13"/>
  <c r="E116" i="13"/>
  <c r="E133" i="13"/>
  <c r="E134" i="13"/>
  <c r="E115" i="13"/>
  <c r="E111" i="13"/>
  <c r="E125" i="13"/>
  <c r="E121" i="13"/>
  <c r="E135" i="13"/>
  <c r="D107" i="13"/>
  <c r="D114" i="13"/>
  <c r="E120" i="13"/>
  <c r="E129" i="13"/>
  <c r="D124" i="13"/>
  <c r="E131" i="13"/>
  <c r="D121" i="13"/>
  <c r="D117" i="13"/>
  <c r="E117" i="13"/>
  <c r="E132" i="13"/>
  <c r="E122" i="13"/>
  <c r="E118" i="13"/>
  <c r="D111" i="13"/>
  <c r="E108" i="13"/>
  <c r="E124" i="13"/>
  <c r="D118" i="13"/>
  <c r="E127" i="13"/>
  <c r="D130" i="13"/>
  <c r="E110" i="13"/>
  <c r="D127" i="13"/>
  <c r="E130" i="13"/>
  <c r="D113" i="13"/>
  <c r="E128" i="13"/>
  <c r="E119" i="13"/>
  <c r="D128" i="13"/>
  <c r="D108" i="13"/>
  <c r="D116" i="13"/>
  <c r="D131" i="13"/>
  <c r="D134" i="13"/>
  <c r="D109" i="13"/>
  <c r="D115" i="13"/>
  <c r="D126" i="13"/>
  <c r="D106" i="13"/>
  <c r="D122" i="13"/>
  <c r="E107" i="13"/>
  <c r="D129" i="13"/>
  <c r="D119" i="13"/>
  <c r="D112" i="13"/>
  <c r="E106" i="13"/>
  <c r="D120" i="13"/>
  <c r="D135" i="13"/>
  <c r="D123" i="13"/>
  <c r="D132" i="13"/>
  <c r="D110" i="13"/>
  <c r="D125" i="13"/>
  <c r="D133" i="13"/>
  <c r="G108" i="13"/>
  <c r="R76" i="13"/>
  <c r="S77" i="13"/>
  <c r="S76" i="13"/>
  <c r="R77" i="13"/>
  <c r="O396" i="67"/>
  <c r="H433" i="67" s="1"/>
  <c r="I433" i="67" s="1"/>
  <c r="O229" i="67"/>
  <c r="I9" i="53"/>
  <c r="H9" i="53"/>
  <c r="AC255" i="22"/>
  <c r="O262" i="67"/>
  <c r="I17" i="53"/>
  <c r="H17" i="53"/>
  <c r="S15" i="64"/>
  <c r="E27" i="104"/>
  <c r="K32" i="36"/>
  <c r="K31" i="36" s="1"/>
  <c r="N164" i="23"/>
  <c r="O134" i="67"/>
  <c r="O393" i="67"/>
  <c r="H430" i="67" s="1"/>
  <c r="I430" i="67" s="1"/>
  <c r="N159" i="23"/>
  <c r="F32" i="36"/>
  <c r="F31" i="36" s="1"/>
  <c r="I12" i="53"/>
  <c r="H12" i="53"/>
  <c r="D30" i="13"/>
  <c r="D31" i="13"/>
  <c r="D33" i="13"/>
  <c r="D13" i="13"/>
  <c r="D21" i="13"/>
  <c r="D22" i="13"/>
  <c r="D9" i="13"/>
  <c r="D27" i="13"/>
  <c r="D8" i="13"/>
  <c r="D11" i="13"/>
  <c r="D19" i="13"/>
  <c r="D6" i="13"/>
  <c r="D12" i="13"/>
  <c r="D4" i="13"/>
  <c r="D23" i="13"/>
  <c r="D7" i="13"/>
  <c r="D15" i="13"/>
  <c r="D29" i="13"/>
  <c r="D25" i="13"/>
  <c r="D14" i="13"/>
  <c r="D20" i="13"/>
  <c r="D28" i="13"/>
  <c r="D18" i="13"/>
  <c r="D26" i="13"/>
  <c r="D32" i="13"/>
  <c r="D16" i="13"/>
  <c r="D24" i="13"/>
  <c r="D10" i="13"/>
  <c r="D17" i="13"/>
  <c r="D5" i="13"/>
  <c r="D34" i="13"/>
  <c r="G6" i="13"/>
  <c r="E189" i="13"/>
  <c r="E177" i="13"/>
  <c r="E197" i="13"/>
  <c r="E192" i="13"/>
  <c r="E190" i="13"/>
  <c r="E199" i="13"/>
  <c r="E200" i="13"/>
  <c r="E179" i="13"/>
  <c r="E196" i="13"/>
  <c r="E180" i="13"/>
  <c r="E191" i="13"/>
  <c r="E185" i="13"/>
  <c r="E193" i="13"/>
  <c r="E184" i="13"/>
  <c r="E175" i="13"/>
  <c r="E202" i="13"/>
  <c r="E186" i="13"/>
  <c r="E201" i="13"/>
  <c r="E187" i="13"/>
  <c r="E182" i="13"/>
  <c r="E176" i="13"/>
  <c r="E183" i="13"/>
  <c r="E188" i="13"/>
  <c r="E195" i="13"/>
  <c r="E194" i="13"/>
  <c r="E203" i="13"/>
  <c r="E181" i="13"/>
  <c r="E198" i="13"/>
  <c r="E178" i="13"/>
  <c r="E174" i="13"/>
  <c r="G182" i="13"/>
  <c r="O397" i="67"/>
  <c r="H434" i="67" s="1"/>
  <c r="I434" i="67" s="1"/>
  <c r="O261" i="67"/>
  <c r="Q108" i="13"/>
  <c r="Q117" i="13"/>
  <c r="Q121" i="13"/>
  <c r="Q124" i="13"/>
  <c r="Q118" i="13"/>
  <c r="Q125" i="13"/>
  <c r="Q113" i="13"/>
  <c r="Q123" i="13"/>
  <c r="Q109" i="13"/>
  <c r="Q120" i="13"/>
  <c r="Q116" i="13"/>
  <c r="Q119" i="13"/>
  <c r="Q107" i="13"/>
  <c r="Q114" i="13"/>
  <c r="Q110" i="13"/>
  <c r="Q115" i="13"/>
  <c r="Q111" i="13"/>
  <c r="Q112" i="13"/>
  <c r="Q122" i="13"/>
  <c r="Q126" i="13"/>
  <c r="Q106" i="13"/>
  <c r="S114" i="13"/>
  <c r="J32" i="36"/>
  <c r="J31" i="36" s="1"/>
  <c r="N163" i="23"/>
  <c r="D61" i="13"/>
  <c r="D84" i="13"/>
  <c r="D49" i="13"/>
  <c r="D42" i="13"/>
  <c r="D76" i="13"/>
  <c r="D47" i="13"/>
  <c r="D102" i="13"/>
  <c r="D64" i="13"/>
  <c r="D77" i="13"/>
  <c r="D44" i="13"/>
  <c r="D62" i="13"/>
  <c r="D40" i="13"/>
  <c r="D73" i="13"/>
  <c r="D92" i="13"/>
  <c r="D57" i="13"/>
  <c r="D54" i="13"/>
  <c r="D53" i="13"/>
  <c r="D74" i="13"/>
  <c r="D56" i="13"/>
  <c r="D83" i="13"/>
  <c r="D88" i="13"/>
  <c r="D59" i="13"/>
  <c r="D86" i="13"/>
  <c r="D60" i="13"/>
  <c r="D96" i="13"/>
  <c r="D79" i="13"/>
  <c r="D99" i="13"/>
  <c r="D52" i="13"/>
  <c r="D100" i="13"/>
  <c r="D78" i="13"/>
  <c r="D101" i="13"/>
  <c r="D98" i="13"/>
  <c r="D43" i="13"/>
  <c r="D45" i="13"/>
  <c r="D46" i="13"/>
  <c r="D90" i="13"/>
  <c r="D80" i="13"/>
  <c r="D75" i="13"/>
  <c r="D82" i="13"/>
  <c r="D97" i="13"/>
  <c r="D39" i="13"/>
  <c r="D58" i="13"/>
  <c r="D48" i="13"/>
  <c r="D91" i="13"/>
  <c r="D50" i="13"/>
  <c r="D72" i="13"/>
  <c r="D65" i="13"/>
  <c r="D41" i="13"/>
  <c r="D87" i="13"/>
  <c r="D63" i="13"/>
  <c r="D93" i="13"/>
  <c r="D85" i="13"/>
  <c r="D38" i="13"/>
  <c r="D81" i="13"/>
  <c r="D51" i="13"/>
  <c r="D55" i="13"/>
  <c r="D89" i="13"/>
  <c r="D95" i="13"/>
  <c r="D94" i="13"/>
  <c r="G40" i="13"/>
  <c r="O392" i="67"/>
  <c r="H429" i="67" s="1"/>
  <c r="I429" i="67" s="1"/>
  <c r="O103" i="67"/>
  <c r="N167" i="23"/>
  <c r="N32" i="36"/>
  <c r="N31" i="36" s="1"/>
  <c r="BA196" i="103"/>
  <c r="CO197" i="103"/>
  <c r="N166" i="23"/>
  <c r="M32" i="36"/>
  <c r="M31" i="36" s="1"/>
  <c r="O390" i="67"/>
  <c r="H427" i="67" s="1"/>
  <c r="I427" i="67" s="1"/>
  <c r="C409" i="67" s="1"/>
  <c r="O42" i="67"/>
  <c r="N165" i="23"/>
  <c r="L32" i="36"/>
  <c r="L31" i="36" s="1"/>
  <c r="AM259" i="22"/>
  <c r="AM258" i="103"/>
  <c r="I263" i="67"/>
  <c r="AL255" i="103"/>
  <c r="N160" i="23"/>
  <c r="G32" i="36"/>
  <c r="G31" i="36" s="1"/>
  <c r="I32" i="36"/>
  <c r="I31" i="36" s="1"/>
  <c r="N162" i="23"/>
  <c r="Z159" i="23"/>
  <c r="N161" i="23"/>
  <c r="H32" i="36"/>
  <c r="H31" i="36" s="1"/>
  <c r="O197" i="67"/>
  <c r="O395" i="67"/>
  <c r="H432" i="67" s="1"/>
  <c r="I432" i="67" s="1"/>
  <c r="O400" i="67"/>
  <c r="H437" i="67" s="1"/>
  <c r="I437" i="67" s="1"/>
  <c r="O355" i="67"/>
  <c r="I7" i="53"/>
  <c r="H7" i="53"/>
  <c r="AE258" i="22"/>
  <c r="R257" i="58"/>
  <c r="L257" i="58" s="1"/>
  <c r="H257" i="58" s="1"/>
  <c r="CH257" i="103"/>
  <c r="CF257" i="103" s="1"/>
  <c r="I8" i="53"/>
  <c r="H8" i="53"/>
  <c r="O391" i="67"/>
  <c r="H428" i="67" s="1"/>
  <c r="I428" i="67" s="1"/>
  <c r="O71" i="67"/>
  <c r="I15" i="53"/>
  <c r="H15" i="53"/>
  <c r="I11" i="53"/>
  <c r="H11" i="53"/>
  <c r="O166" i="67"/>
  <c r="O394" i="67"/>
  <c r="H431" i="67" s="1"/>
  <c r="I431" i="67" s="1"/>
  <c r="I16" i="53"/>
  <c r="H16" i="53"/>
  <c r="I10" i="53"/>
  <c r="H10" i="53"/>
  <c r="Q41" i="13"/>
  <c r="Q55" i="13"/>
  <c r="Q59" i="13"/>
  <c r="Q50" i="13"/>
  <c r="Q39" i="13"/>
  <c r="Q49" i="13"/>
  <c r="Q60" i="13"/>
  <c r="Q47" i="13"/>
  <c r="Q40" i="13"/>
  <c r="Q46" i="13"/>
  <c r="Q67" i="13"/>
  <c r="Q57" i="13"/>
  <c r="Q42" i="13"/>
  <c r="Q52" i="13"/>
  <c r="Q45" i="13"/>
  <c r="Q51" i="13"/>
  <c r="Q66" i="13"/>
  <c r="Q54" i="13"/>
  <c r="Q53" i="13"/>
  <c r="Q56" i="13"/>
  <c r="Q64" i="13"/>
  <c r="Q48" i="13"/>
  <c r="Q63" i="13"/>
  <c r="Q62" i="13"/>
  <c r="Q58" i="13"/>
  <c r="Q44" i="13"/>
  <c r="Q43" i="13"/>
  <c r="Q61" i="13"/>
  <c r="Q68" i="13"/>
  <c r="Q65" i="13"/>
  <c r="Q38" i="13"/>
  <c r="S46" i="13"/>
  <c r="O401" i="67"/>
  <c r="H438" i="67" s="1"/>
  <c r="I438" i="67" s="1"/>
  <c r="O387" i="67"/>
  <c r="CM198" i="103"/>
  <c r="CG198" i="103" s="1"/>
  <c r="CF256" i="103"/>
  <c r="H7" i="37" l="1"/>
  <c r="H39" i="37" s="1"/>
  <c r="F7" i="37"/>
  <c r="E7" i="37"/>
  <c r="E39" i="37" s="1"/>
  <c r="M7" i="37"/>
  <c r="M39" i="37" s="1"/>
  <c r="N7" i="37"/>
  <c r="N35" i="37" s="1"/>
  <c r="K7" i="37"/>
  <c r="K35" i="37" s="1"/>
  <c r="J7" i="37"/>
  <c r="J35" i="37" s="1"/>
  <c r="G7" i="37"/>
  <c r="G35" i="37" s="1"/>
  <c r="I7" i="37"/>
  <c r="I39" i="37" s="1"/>
  <c r="P7" i="37"/>
  <c r="P35" i="37" s="1"/>
  <c r="L7" i="37"/>
  <c r="L39" i="37" s="1"/>
  <c r="O7" i="37"/>
  <c r="O39" i="37" s="1"/>
  <c r="D14" i="103"/>
  <c r="D13" i="103"/>
  <c r="D12" i="103"/>
  <c r="K369" i="103"/>
  <c r="K370" i="103"/>
  <c r="K371" i="103"/>
  <c r="K372" i="103"/>
  <c r="K373" i="103"/>
  <c r="K374" i="103"/>
  <c r="K375" i="103"/>
  <c r="K366" i="103"/>
  <c r="K367" i="103"/>
  <c r="K368" i="103"/>
  <c r="P204" i="13"/>
  <c r="P203" i="13"/>
  <c r="P202" i="13"/>
  <c r="P201" i="13"/>
  <c r="P200" i="13"/>
  <c r="P199" i="13"/>
  <c r="P198" i="13"/>
  <c r="P197" i="13"/>
  <c r="P196" i="13"/>
  <c r="P195" i="13"/>
  <c r="K347" i="103"/>
  <c r="K356" i="103"/>
  <c r="K348" i="103"/>
  <c r="K357" i="103"/>
  <c r="K349" i="103"/>
  <c r="K358" i="103"/>
  <c r="K350" i="103"/>
  <c r="K359" i="103"/>
  <c r="K351" i="103"/>
  <c r="K360" i="103"/>
  <c r="K361" i="103"/>
  <c r="K362" i="103"/>
  <c r="K363" i="103"/>
  <c r="K352" i="103"/>
  <c r="K364" i="103"/>
  <c r="K355" i="103"/>
  <c r="K345" i="103"/>
  <c r="K353" i="103"/>
  <c r="K365" i="103"/>
  <c r="K346" i="103"/>
  <c r="K354" i="103"/>
  <c r="P194" i="13"/>
  <c r="P193" i="13"/>
  <c r="P192" i="13"/>
  <c r="P191" i="13"/>
  <c r="P190" i="13"/>
  <c r="P189" i="13"/>
  <c r="P188" i="13"/>
  <c r="P187" i="13"/>
  <c r="P186" i="13"/>
  <c r="P185" i="13"/>
  <c r="P184" i="13"/>
  <c r="P183" i="13"/>
  <c r="P182" i="13"/>
  <c r="P177" i="13"/>
  <c r="P176" i="13"/>
  <c r="S176" i="13"/>
  <c r="P175" i="13"/>
  <c r="P181" i="13"/>
  <c r="P180" i="13"/>
  <c r="P174" i="13"/>
  <c r="P178" i="13"/>
  <c r="P179" i="13"/>
  <c r="T23" i="62"/>
  <c r="M23" i="62"/>
  <c r="O23" i="62"/>
  <c r="R23" i="62"/>
  <c r="S23" i="62" s="1"/>
  <c r="X23" i="62"/>
  <c r="Y23" i="62" s="1"/>
  <c r="W23" i="62"/>
  <c r="U23" i="62"/>
  <c r="K316" i="103"/>
  <c r="K328" i="103"/>
  <c r="K339" i="103"/>
  <c r="K317" i="103"/>
  <c r="K329" i="103"/>
  <c r="K340" i="103"/>
  <c r="K318" i="103"/>
  <c r="K330" i="103"/>
  <c r="K341" i="103"/>
  <c r="K319" i="103"/>
  <c r="K331" i="103"/>
  <c r="K342" i="103"/>
  <c r="K337" i="103"/>
  <c r="K332" i="103"/>
  <c r="K343" i="103"/>
  <c r="K333" i="103"/>
  <c r="K324" i="103"/>
  <c r="K338" i="103"/>
  <c r="K325" i="103"/>
  <c r="K334" i="103"/>
  <c r="K344" i="103"/>
  <c r="K326" i="103"/>
  <c r="K335" i="103"/>
  <c r="K327" i="103"/>
  <c r="K336" i="103"/>
  <c r="P169" i="13"/>
  <c r="P168" i="13"/>
  <c r="P167" i="13"/>
  <c r="P166" i="13"/>
  <c r="P165" i="13"/>
  <c r="P164" i="13"/>
  <c r="P163" i="13"/>
  <c r="P162" i="13"/>
  <c r="P160" i="13"/>
  <c r="P161" i="13"/>
  <c r="P159" i="13"/>
  <c r="P158" i="13"/>
  <c r="P157" i="13"/>
  <c r="P156" i="13"/>
  <c r="P155" i="13"/>
  <c r="P154" i="13"/>
  <c r="P153" i="13"/>
  <c r="P152" i="13"/>
  <c r="P151" i="13"/>
  <c r="P149" i="13"/>
  <c r="P150" i="13"/>
  <c r="S12" i="13"/>
  <c r="Q4" i="13"/>
  <c r="Q91" i="13"/>
  <c r="Q72" i="13"/>
  <c r="Q93" i="13"/>
  <c r="Q78" i="13"/>
  <c r="Q89" i="13"/>
  <c r="Q85" i="13"/>
  <c r="Q80" i="13"/>
  <c r="Q86" i="13"/>
  <c r="Q90" i="13"/>
  <c r="Q87" i="13"/>
  <c r="S80" i="13"/>
  <c r="Q99" i="13"/>
  <c r="Q81" i="13"/>
  <c r="Q96" i="13"/>
  <c r="Q84" i="13"/>
  <c r="Q83" i="13"/>
  <c r="Q73" i="13"/>
  <c r="Q82" i="13"/>
  <c r="Q100" i="13"/>
  <c r="Q95" i="13"/>
  <c r="Q101" i="13"/>
  <c r="Q88" i="13"/>
  <c r="Q76" i="13"/>
  <c r="Q75" i="13"/>
  <c r="Q92" i="13"/>
  <c r="Q77" i="13"/>
  <c r="Q97" i="13"/>
  <c r="Q98" i="13"/>
  <c r="Q94" i="13"/>
  <c r="Q79" i="13"/>
  <c r="Q74" i="13"/>
  <c r="K73" i="103"/>
  <c r="K68" i="103"/>
  <c r="K97" i="103"/>
  <c r="K85" i="103"/>
  <c r="K79" i="103"/>
  <c r="K311" i="103"/>
  <c r="K31" i="103"/>
  <c r="K15" i="103"/>
  <c r="K313" i="103"/>
  <c r="K320" i="103"/>
  <c r="K75" i="103"/>
  <c r="K42" i="103"/>
  <c r="K77" i="103"/>
  <c r="K63" i="103"/>
  <c r="K309" i="103"/>
  <c r="K82" i="103"/>
  <c r="K37" i="103"/>
  <c r="K34" i="103"/>
  <c r="K315" i="103"/>
  <c r="K321" i="103"/>
  <c r="K62" i="103"/>
  <c r="K56" i="103"/>
  <c r="K45" i="103"/>
  <c r="K99" i="103"/>
  <c r="K60" i="103"/>
  <c r="K74" i="103"/>
  <c r="K25" i="103"/>
  <c r="K30" i="103"/>
  <c r="K322" i="103"/>
  <c r="K59" i="103"/>
  <c r="K57" i="103"/>
  <c r="K83" i="103"/>
  <c r="K94" i="103"/>
  <c r="K67" i="103"/>
  <c r="K312" i="103"/>
  <c r="K12" i="103"/>
  <c r="K24" i="103"/>
  <c r="K314" i="103"/>
  <c r="K43" i="103"/>
  <c r="K44" i="103"/>
  <c r="K93" i="103"/>
  <c r="K90" i="103"/>
  <c r="K96" i="103"/>
  <c r="K19" i="103"/>
  <c r="K23" i="103"/>
  <c r="K51" i="103"/>
  <c r="K50" i="103"/>
  <c r="K95" i="103"/>
  <c r="K64" i="103"/>
  <c r="K65" i="103"/>
  <c r="K26" i="103"/>
  <c r="K40" i="103"/>
  <c r="K20" i="103"/>
  <c r="K323" i="103"/>
  <c r="K71" i="103"/>
  <c r="K55" i="103"/>
  <c r="K70" i="103"/>
  <c r="K53" i="103"/>
  <c r="K48" i="103"/>
  <c r="K29" i="103"/>
  <c r="K41" i="103"/>
  <c r="K27" i="103"/>
  <c r="K69" i="103"/>
  <c r="K89" i="103"/>
  <c r="K61" i="103"/>
  <c r="K87" i="103"/>
  <c r="K46" i="103"/>
  <c r="K18" i="103"/>
  <c r="K38" i="103"/>
  <c r="K21" i="103"/>
  <c r="K306" i="103"/>
  <c r="K86" i="103"/>
  <c r="K80" i="103"/>
  <c r="K49" i="103"/>
  <c r="K92" i="103"/>
  <c r="K78" i="103"/>
  <c r="K32" i="103"/>
  <c r="K33" i="103"/>
  <c r="K17" i="103"/>
  <c r="K98" i="103"/>
  <c r="K76" i="103"/>
  <c r="K66" i="103"/>
  <c r="K100" i="103"/>
  <c r="K84" i="103"/>
  <c r="K35" i="103"/>
  <c r="K16" i="103"/>
  <c r="K28" i="103"/>
  <c r="K307" i="103"/>
  <c r="K81" i="103"/>
  <c r="K88" i="103"/>
  <c r="K47" i="103"/>
  <c r="K52" i="103"/>
  <c r="K11" i="103"/>
  <c r="K36" i="103"/>
  <c r="K22" i="103"/>
  <c r="K308" i="103"/>
  <c r="K54" i="103"/>
  <c r="K58" i="103"/>
  <c r="K72" i="103"/>
  <c r="K91" i="103"/>
  <c r="K310" i="103"/>
  <c r="K14" i="103"/>
  <c r="K39" i="103"/>
  <c r="K13" i="103"/>
  <c r="P148" i="13"/>
  <c r="P147" i="13"/>
  <c r="P142" i="13"/>
  <c r="P146" i="13"/>
  <c r="P143" i="13"/>
  <c r="P144" i="13"/>
  <c r="P141" i="13"/>
  <c r="P145" i="13"/>
  <c r="P140" i="13"/>
  <c r="S142" i="13"/>
  <c r="V22" i="62"/>
  <c r="D197" i="13"/>
  <c r="D186" i="13"/>
  <c r="D183" i="13"/>
  <c r="D191" i="13"/>
  <c r="D184" i="13"/>
  <c r="D188" i="13"/>
  <c r="D187" i="13"/>
  <c r="G176" i="13"/>
  <c r="D174" i="13"/>
  <c r="D199" i="13"/>
  <c r="D177" i="13"/>
  <c r="D180" i="13"/>
  <c r="D190" i="13"/>
  <c r="D182" i="13"/>
  <c r="D179" i="13"/>
  <c r="D198" i="13"/>
  <c r="D203" i="13"/>
  <c r="D192" i="13"/>
  <c r="D175" i="13"/>
  <c r="D178" i="13"/>
  <c r="D200" i="13"/>
  <c r="D201" i="13"/>
  <c r="D176" i="13"/>
  <c r="D189" i="13"/>
  <c r="D185" i="13"/>
  <c r="D193" i="13"/>
  <c r="D202" i="13"/>
  <c r="B22" i="102"/>
  <c r="C22" i="102" s="1"/>
  <c r="B16" i="31"/>
  <c r="B50" i="31"/>
  <c r="A50" i="31" s="1"/>
  <c r="A15" i="31"/>
  <c r="P136" i="13"/>
  <c r="P135" i="13"/>
  <c r="P134" i="13"/>
  <c r="P133" i="13"/>
  <c r="P132" i="13"/>
  <c r="P131" i="13"/>
  <c r="P65" i="13"/>
  <c r="P51" i="13"/>
  <c r="P59" i="13"/>
  <c r="S40" i="13"/>
  <c r="P46" i="13"/>
  <c r="P40" i="13"/>
  <c r="P38" i="13"/>
  <c r="P68" i="13"/>
  <c r="P42" i="13"/>
  <c r="P55" i="13"/>
  <c r="P53" i="13"/>
  <c r="P50" i="13"/>
  <c r="P64" i="13"/>
  <c r="P63" i="13"/>
  <c r="P60" i="13"/>
  <c r="P45" i="13"/>
  <c r="P41" i="13"/>
  <c r="P66" i="13"/>
  <c r="P61" i="13"/>
  <c r="P49" i="13"/>
  <c r="P44" i="13"/>
  <c r="P57" i="13"/>
  <c r="P58" i="13"/>
  <c r="P52" i="13"/>
  <c r="P54" i="13"/>
  <c r="P56" i="13"/>
  <c r="P67" i="13"/>
  <c r="P62" i="13"/>
  <c r="P39" i="13"/>
  <c r="P43" i="13"/>
  <c r="P48" i="13"/>
  <c r="P47" i="13"/>
  <c r="G136" i="22"/>
  <c r="G142" i="22"/>
  <c r="G197" i="22"/>
  <c r="Z152" i="103"/>
  <c r="G196" i="22"/>
  <c r="Z149" i="103"/>
  <c r="G160" i="22"/>
  <c r="D136" i="22"/>
  <c r="G206" i="22"/>
  <c r="G132" i="22"/>
  <c r="Z157" i="103"/>
  <c r="G219" i="22"/>
  <c r="Z193" i="103"/>
  <c r="Z146" i="103"/>
  <c r="G218" i="22"/>
  <c r="Z148" i="103"/>
  <c r="G208" i="22"/>
  <c r="D135" i="22"/>
  <c r="G209" i="22"/>
  <c r="G195" i="22"/>
  <c r="Z211" i="103"/>
  <c r="G215" i="22"/>
  <c r="G221" i="22"/>
  <c r="G161" i="22"/>
  <c r="G133" i="22"/>
  <c r="Z136" i="103"/>
  <c r="G159" i="22"/>
  <c r="Z201" i="103"/>
  <c r="Z213" i="103"/>
  <c r="G152" i="22"/>
  <c r="G156" i="22"/>
  <c r="Z150" i="103"/>
  <c r="G145" i="22"/>
  <c r="D134" i="22"/>
  <c r="G146" i="22"/>
  <c r="G141" i="22"/>
  <c r="G210" i="22"/>
  <c r="G223" i="22"/>
  <c r="G220" i="22"/>
  <c r="G203" i="22"/>
  <c r="D133" i="22"/>
  <c r="G216" i="22"/>
  <c r="G213" i="22"/>
  <c r="G134" i="22"/>
  <c r="G135" i="22"/>
  <c r="G199" i="22"/>
  <c r="G148" i="22"/>
  <c r="Z154" i="103"/>
  <c r="G207" i="22"/>
  <c r="G200" i="22"/>
  <c r="G157" i="22"/>
  <c r="G211" i="22"/>
  <c r="G138" i="22"/>
  <c r="G204" i="22"/>
  <c r="D132" i="22"/>
  <c r="Z153" i="103"/>
  <c r="G144" i="22"/>
  <c r="G217" i="22"/>
  <c r="Z200" i="103"/>
  <c r="G143" i="22"/>
  <c r="G222" i="22"/>
  <c r="G140" i="22"/>
  <c r="G139" i="22"/>
  <c r="G205" i="22"/>
  <c r="G162" i="22"/>
  <c r="G198" i="22"/>
  <c r="P130" i="13"/>
  <c r="G154" i="22"/>
  <c r="P129" i="13"/>
  <c r="Z156" i="103"/>
  <c r="G150" i="22"/>
  <c r="P128" i="13"/>
  <c r="G202" i="22"/>
  <c r="Z142" i="103"/>
  <c r="Z204" i="103"/>
  <c r="Z141" i="103"/>
  <c r="Z215" i="103"/>
  <c r="G201" i="22"/>
  <c r="Z161" i="103"/>
  <c r="G147" i="22"/>
  <c r="G214" i="22"/>
  <c r="Z199" i="103"/>
  <c r="G155" i="22"/>
  <c r="Z203" i="103"/>
  <c r="Z220" i="103"/>
  <c r="G149" i="22"/>
  <c r="Z147" i="103"/>
  <c r="Z196" i="103"/>
  <c r="Z132" i="103"/>
  <c r="Z140" i="103"/>
  <c r="Z155" i="103"/>
  <c r="Z159" i="103"/>
  <c r="Z209" i="103"/>
  <c r="Z212" i="103"/>
  <c r="Z219" i="103"/>
  <c r="Z210" i="103"/>
  <c r="G212" i="22"/>
  <c r="Z194" i="103"/>
  <c r="Z144" i="103"/>
  <c r="Z206" i="103"/>
  <c r="Z195" i="103"/>
  <c r="G153" i="22"/>
  <c r="Z133" i="103"/>
  <c r="G137" i="22"/>
  <c r="Z218" i="103"/>
  <c r="Z198" i="103"/>
  <c r="Z145" i="103"/>
  <c r="P123" i="13"/>
  <c r="Z139" i="103"/>
  <c r="Z158" i="103"/>
  <c r="Z160" i="103"/>
  <c r="Z222" i="103"/>
  <c r="Z208" i="103"/>
  <c r="Z214" i="103"/>
  <c r="Z143" i="103"/>
  <c r="Z205" i="103"/>
  <c r="S108" i="13"/>
  <c r="P111" i="13"/>
  <c r="P119" i="13"/>
  <c r="P110" i="13"/>
  <c r="P113" i="13"/>
  <c r="P106" i="13"/>
  <c r="Z134" i="103"/>
  <c r="Z138" i="103"/>
  <c r="P114" i="13"/>
  <c r="P107" i="13"/>
  <c r="T15" i="64"/>
  <c r="P109" i="13"/>
  <c r="Z221" i="103"/>
  <c r="P120" i="13"/>
  <c r="P125" i="13"/>
  <c r="P118" i="13"/>
  <c r="P122" i="13"/>
  <c r="P126" i="13"/>
  <c r="P108" i="13"/>
  <c r="P112" i="13"/>
  <c r="P115" i="13"/>
  <c r="P116" i="13"/>
  <c r="P121" i="13"/>
  <c r="P117" i="13"/>
  <c r="P124" i="13"/>
  <c r="Z151" i="103"/>
  <c r="Z207" i="103"/>
  <c r="G158" i="22"/>
  <c r="G151" i="22"/>
  <c r="K380" i="103"/>
  <c r="Z217" i="103"/>
  <c r="Z131" i="103"/>
  <c r="D380" i="103"/>
  <c r="Z202" i="103"/>
  <c r="G194" i="22"/>
  <c r="Z197" i="103"/>
  <c r="Z216" i="103"/>
  <c r="Z137" i="103"/>
  <c r="K252" i="103"/>
  <c r="K253" i="103"/>
  <c r="K251" i="103"/>
  <c r="K224" i="103"/>
  <c r="D55" i="103"/>
  <c r="D52" i="103"/>
  <c r="D99" i="103"/>
  <c r="D60" i="103"/>
  <c r="D100" i="103"/>
  <c r="K284" i="103"/>
  <c r="K287" i="103"/>
  <c r="K162" i="103"/>
  <c r="K189" i="103"/>
  <c r="K187" i="103"/>
  <c r="D23" i="103"/>
  <c r="D11" i="103"/>
  <c r="D38" i="103"/>
  <c r="D127" i="103"/>
  <c r="D110" i="103"/>
  <c r="K105" i="103"/>
  <c r="D116" i="103"/>
  <c r="K129" i="103"/>
  <c r="D79" i="103"/>
  <c r="D62" i="103"/>
  <c r="D76" i="103"/>
  <c r="D72" i="103"/>
  <c r="D51" i="103"/>
  <c r="K304" i="103"/>
  <c r="K301" i="103"/>
  <c r="K166" i="103"/>
  <c r="K174" i="103"/>
  <c r="K178" i="103"/>
  <c r="D39" i="103"/>
  <c r="D19" i="103"/>
  <c r="D37" i="103"/>
  <c r="D118" i="103"/>
  <c r="D104" i="103"/>
  <c r="D125" i="103"/>
  <c r="K126" i="103"/>
  <c r="K128" i="103"/>
  <c r="K305" i="103"/>
  <c r="K236" i="103"/>
  <c r="K230" i="103"/>
  <c r="K244" i="103"/>
  <c r="D42" i="103"/>
  <c r="D43" i="103"/>
  <c r="D98" i="103"/>
  <c r="D57" i="103"/>
  <c r="D74" i="103"/>
  <c r="K300" i="103"/>
  <c r="K291" i="103"/>
  <c r="K186" i="103"/>
  <c r="K190" i="103"/>
  <c r="K180" i="103"/>
  <c r="D33" i="103"/>
  <c r="D130" i="103"/>
  <c r="D129" i="103"/>
  <c r="K122" i="103"/>
  <c r="D119" i="103"/>
  <c r="K111" i="103"/>
  <c r="K235" i="103"/>
  <c r="K228" i="103"/>
  <c r="K229" i="103"/>
  <c r="K237" i="103"/>
  <c r="K240" i="103"/>
  <c r="D83" i="103"/>
  <c r="D95" i="103"/>
  <c r="D56" i="103"/>
  <c r="D58" i="103"/>
  <c r="D46" i="103"/>
  <c r="K290" i="103"/>
  <c r="K303" i="103"/>
  <c r="K169" i="103"/>
  <c r="K163" i="103"/>
  <c r="K185" i="103"/>
  <c r="D25" i="103"/>
  <c r="D26" i="103"/>
  <c r="D115" i="103"/>
  <c r="D126" i="103"/>
  <c r="D113" i="103"/>
  <c r="K124" i="103"/>
  <c r="K104" i="103"/>
  <c r="K246" i="103"/>
  <c r="K243" i="103"/>
  <c r="K227" i="103"/>
  <c r="K226" i="103"/>
  <c r="D91" i="103"/>
  <c r="D80" i="103"/>
  <c r="D97" i="103"/>
  <c r="D61" i="103"/>
  <c r="D53" i="103"/>
  <c r="K289" i="103"/>
  <c r="K296" i="103"/>
  <c r="K191" i="103"/>
  <c r="K172" i="103"/>
  <c r="K165" i="103"/>
  <c r="D35" i="103"/>
  <c r="D18" i="103"/>
  <c r="K101" i="103"/>
  <c r="D111" i="103"/>
  <c r="K119" i="103"/>
  <c r="K115" i="103"/>
  <c r="K109" i="103"/>
  <c r="K247" i="103"/>
  <c r="K242" i="103"/>
  <c r="D67" i="103"/>
  <c r="D73" i="103"/>
  <c r="D77" i="103"/>
  <c r="D90" i="103"/>
  <c r="D82" i="103"/>
  <c r="K293" i="103"/>
  <c r="K302" i="103"/>
  <c r="K182" i="103"/>
  <c r="K181" i="103"/>
  <c r="K177" i="103"/>
  <c r="D27" i="103"/>
  <c r="D15" i="103"/>
  <c r="D107" i="103"/>
  <c r="D103" i="103"/>
  <c r="K103" i="103"/>
  <c r="D109" i="103"/>
  <c r="K121" i="103"/>
  <c r="K248" i="103"/>
  <c r="D85" i="103"/>
  <c r="D78" i="103"/>
  <c r="D94" i="103"/>
  <c r="D71" i="103"/>
  <c r="D65" i="103"/>
  <c r="K288" i="103"/>
  <c r="K299" i="103"/>
  <c r="K183" i="103"/>
  <c r="K173" i="103"/>
  <c r="D21" i="103"/>
  <c r="D34" i="103"/>
  <c r="D114" i="103"/>
  <c r="D123" i="103"/>
  <c r="D106" i="103"/>
  <c r="D102" i="103"/>
  <c r="K118" i="103"/>
  <c r="K233" i="103"/>
  <c r="K231" i="103"/>
  <c r="D45" i="103"/>
  <c r="D88" i="103"/>
  <c r="D64" i="103"/>
  <c r="D44" i="103"/>
  <c r="K292" i="103"/>
  <c r="K295" i="103"/>
  <c r="K176" i="103"/>
  <c r="K179" i="103"/>
  <c r="D41" i="103"/>
  <c r="D32" i="103"/>
  <c r="D16" i="103"/>
  <c r="D124" i="103"/>
  <c r="K114" i="103"/>
  <c r="K113" i="103"/>
  <c r="K130" i="103"/>
  <c r="K107" i="103"/>
  <c r="K249" i="103"/>
  <c r="K225" i="103"/>
  <c r="D92" i="103"/>
  <c r="D69" i="103"/>
  <c r="D50" i="103"/>
  <c r="D84" i="103"/>
  <c r="D66" i="103"/>
  <c r="K285" i="103"/>
  <c r="K286" i="103"/>
  <c r="K171" i="103"/>
  <c r="K168" i="103"/>
  <c r="D36" i="103"/>
  <c r="D29" i="103"/>
  <c r="K102" i="103"/>
  <c r="K123" i="103"/>
  <c r="K117" i="103"/>
  <c r="K116" i="103"/>
  <c r="K108" i="103"/>
  <c r="K232" i="103"/>
  <c r="D93" i="103"/>
  <c r="D70" i="103"/>
  <c r="D49" i="103"/>
  <c r="D63" i="103"/>
  <c r="D48" i="103"/>
  <c r="K297" i="103"/>
  <c r="K164" i="103"/>
  <c r="K184" i="103"/>
  <c r="D24" i="103"/>
  <c r="D22" i="103"/>
  <c r="D28" i="103"/>
  <c r="D128" i="103"/>
  <c r="D117" i="103"/>
  <c r="D108" i="103"/>
  <c r="K127" i="103"/>
  <c r="K120" i="103"/>
  <c r="Z135" i="103"/>
  <c r="K241" i="103"/>
  <c r="K223" i="103"/>
  <c r="K238" i="103"/>
  <c r="K245" i="103"/>
  <c r="D87" i="103"/>
  <c r="D54" i="103"/>
  <c r="D47" i="103"/>
  <c r="D86" i="103"/>
  <c r="D75" i="103"/>
  <c r="K294" i="103"/>
  <c r="K170" i="103"/>
  <c r="K167" i="103"/>
  <c r="D17" i="103"/>
  <c r="D20" i="103"/>
  <c r="D120" i="103"/>
  <c r="D101" i="103"/>
  <c r="K125" i="103"/>
  <c r="K112" i="103"/>
  <c r="K106" i="103"/>
  <c r="K250" i="103"/>
  <c r="K239" i="103"/>
  <c r="K234" i="103"/>
  <c r="D59" i="103"/>
  <c r="D89" i="103"/>
  <c r="D96" i="103"/>
  <c r="D81" i="103"/>
  <c r="D68" i="103"/>
  <c r="K298" i="103"/>
  <c r="K175" i="103"/>
  <c r="K188" i="103"/>
  <c r="D31" i="103"/>
  <c r="D30" i="103"/>
  <c r="D40" i="103"/>
  <c r="D105" i="103"/>
  <c r="D121" i="103"/>
  <c r="D122" i="103"/>
  <c r="D112" i="103"/>
  <c r="K110" i="103"/>
  <c r="P127" i="13"/>
  <c r="N22" i="62"/>
  <c r="Q22" i="62"/>
  <c r="B24" i="62"/>
  <c r="C23" i="62"/>
  <c r="F23" i="62"/>
  <c r="I23" i="62"/>
  <c r="J23" i="62" s="1"/>
  <c r="D23" i="62"/>
  <c r="G23" i="62"/>
  <c r="H23" i="62" s="1"/>
  <c r="L23" i="62"/>
  <c r="K23" i="62"/>
  <c r="P23" i="62"/>
  <c r="Q23" i="62" s="1"/>
  <c r="E22" i="62"/>
  <c r="CO198" i="103"/>
  <c r="BA198" i="103" s="1"/>
  <c r="H401" i="67"/>
  <c r="C401" i="67"/>
  <c r="L401" i="67"/>
  <c r="N401" i="67"/>
  <c r="E401" i="67"/>
  <c r="C420" i="67"/>
  <c r="C438" i="67" s="1"/>
  <c r="E438" i="67" s="1"/>
  <c r="F438" i="67" s="1"/>
  <c r="I401" i="67"/>
  <c r="K427" i="67"/>
  <c r="N390" i="67"/>
  <c r="L390" i="67"/>
  <c r="H390" i="67"/>
  <c r="E390" i="67"/>
  <c r="C390" i="67"/>
  <c r="I390" i="67"/>
  <c r="H256" i="58"/>
  <c r="H400" i="67"/>
  <c r="C400" i="67"/>
  <c r="L400" i="67"/>
  <c r="N400" i="67"/>
  <c r="E400" i="67"/>
  <c r="C419" i="67"/>
  <c r="C437" i="67" s="1"/>
  <c r="E437" i="67" s="1"/>
  <c r="F437" i="67" s="1"/>
  <c r="I400" i="67"/>
  <c r="F39" i="37"/>
  <c r="F35" i="37"/>
  <c r="AM260" i="22"/>
  <c r="AM259" i="103"/>
  <c r="C396" i="67"/>
  <c r="L396" i="67"/>
  <c r="N396" i="67"/>
  <c r="H396" i="67"/>
  <c r="E396" i="67"/>
  <c r="C415" i="67"/>
  <c r="C433" i="67" s="1"/>
  <c r="E433" i="67" s="1"/>
  <c r="F433" i="67" s="1"/>
  <c r="I396" i="67"/>
  <c r="CM199" i="103"/>
  <c r="CG199" i="103" s="1"/>
  <c r="C395" i="67"/>
  <c r="L395" i="67"/>
  <c r="N395" i="67"/>
  <c r="H395" i="67"/>
  <c r="E395" i="67"/>
  <c r="C414" i="67"/>
  <c r="C432" i="67" s="1"/>
  <c r="E432" i="67" s="1"/>
  <c r="F432" i="67" s="1"/>
  <c r="I395" i="67"/>
  <c r="C399" i="67"/>
  <c r="L399" i="67"/>
  <c r="N399" i="67"/>
  <c r="H399" i="67"/>
  <c r="E399" i="67"/>
  <c r="C418" i="67"/>
  <c r="C436" i="67" s="1"/>
  <c r="E436" i="67" s="1"/>
  <c r="F436" i="67" s="1"/>
  <c r="I399" i="67"/>
  <c r="AR201" i="103"/>
  <c r="BB200" i="103"/>
  <c r="BD200" i="103"/>
  <c r="AO257" i="22"/>
  <c r="R264" i="67"/>
  <c r="AC256" i="22"/>
  <c r="O263" i="67"/>
  <c r="AO258" i="22"/>
  <c r="R265" i="67"/>
  <c r="C394" i="67"/>
  <c r="L394" i="67"/>
  <c r="E394" i="67"/>
  <c r="N394" i="67"/>
  <c r="H394" i="67"/>
  <c r="C413" i="67"/>
  <c r="C431" i="67" s="1"/>
  <c r="E431" i="67" s="1"/>
  <c r="F431" i="67" s="1"/>
  <c r="I394" i="67"/>
  <c r="CJ257" i="103"/>
  <c r="AE259" i="22"/>
  <c r="R258" i="58"/>
  <c r="L258" i="58" s="1"/>
  <c r="H258" i="58" s="1"/>
  <c r="CH258" i="103"/>
  <c r="C397" i="67"/>
  <c r="L397" i="67"/>
  <c r="N397" i="67"/>
  <c r="H397" i="67"/>
  <c r="E397" i="67"/>
  <c r="C416" i="67"/>
  <c r="C434" i="67" s="1"/>
  <c r="E434" i="67" s="1"/>
  <c r="F434" i="67" s="1"/>
  <c r="I397" i="67"/>
  <c r="P84" i="13"/>
  <c r="P98" i="13"/>
  <c r="P93" i="13"/>
  <c r="P86" i="13"/>
  <c r="P85" i="13"/>
  <c r="P97" i="13"/>
  <c r="P90" i="13"/>
  <c r="P72" i="13"/>
  <c r="P94" i="13"/>
  <c r="P95" i="13"/>
  <c r="P88" i="13"/>
  <c r="P73" i="13"/>
  <c r="P79" i="13"/>
  <c r="P87" i="13"/>
  <c r="P96" i="13"/>
  <c r="P100" i="13"/>
  <c r="P76" i="13"/>
  <c r="P74" i="13"/>
  <c r="P81" i="13"/>
  <c r="P101" i="13"/>
  <c r="P77" i="13"/>
  <c r="P83" i="13"/>
  <c r="P89" i="13"/>
  <c r="P91" i="13"/>
  <c r="P78" i="13"/>
  <c r="P99" i="13"/>
  <c r="P75" i="13"/>
  <c r="P82" i="13"/>
  <c r="P80" i="13"/>
  <c r="P92" i="13"/>
  <c r="S74" i="13"/>
  <c r="P4" i="13"/>
  <c r="S6" i="13"/>
  <c r="C391" i="67"/>
  <c r="N391" i="67"/>
  <c r="M391" i="67"/>
  <c r="L391" i="67"/>
  <c r="H391" i="67"/>
  <c r="E391" i="67"/>
  <c r="C410" i="67"/>
  <c r="C428" i="67" s="1"/>
  <c r="E428" i="67" s="1"/>
  <c r="F428" i="67" s="1"/>
  <c r="I391" i="67"/>
  <c r="BA197" i="103"/>
  <c r="L393" i="67"/>
  <c r="C393" i="67"/>
  <c r="N393" i="67"/>
  <c r="H393" i="67"/>
  <c r="E393" i="67"/>
  <c r="C412" i="67"/>
  <c r="C430" i="67" s="1"/>
  <c r="E430" i="67" s="1"/>
  <c r="F430" i="67" s="1"/>
  <c r="I393" i="67"/>
  <c r="AL256" i="103"/>
  <c r="H392" i="67"/>
  <c r="C392" i="67"/>
  <c r="N392" i="67"/>
  <c r="M392" i="67"/>
  <c r="L392" i="67"/>
  <c r="E392" i="67"/>
  <c r="C411" i="67"/>
  <c r="C429" i="67" s="1"/>
  <c r="E429" i="67" s="1"/>
  <c r="F429" i="67" s="1"/>
  <c r="I392" i="67"/>
  <c r="H35" i="37" l="1"/>
  <c r="J39" i="37"/>
  <c r="K39" i="37"/>
  <c r="G39" i="37"/>
  <c r="N39" i="37"/>
  <c r="E35" i="37"/>
  <c r="M35" i="37"/>
  <c r="I35" i="37"/>
  <c r="L35" i="37"/>
  <c r="O35" i="37"/>
  <c r="P39" i="37"/>
  <c r="K155" i="23"/>
  <c r="L155" i="23" s="1"/>
  <c r="M155" i="23" s="1"/>
  <c r="K154" i="23"/>
  <c r="L154" i="23" s="1"/>
  <c r="M154" i="23" s="1"/>
  <c r="G367" i="22"/>
  <c r="G375" i="22"/>
  <c r="G374" i="22"/>
  <c r="G373" i="22"/>
  <c r="G372" i="22"/>
  <c r="G371" i="22"/>
  <c r="G370" i="22"/>
  <c r="G368" i="22"/>
  <c r="K150" i="23"/>
  <c r="L150" i="23" s="1"/>
  <c r="M150" i="23" s="1"/>
  <c r="K151" i="23"/>
  <c r="L151" i="23" s="1"/>
  <c r="M151" i="23" s="1"/>
  <c r="K149" i="23"/>
  <c r="L149" i="23" s="1"/>
  <c r="M149" i="23" s="1"/>
  <c r="G376" i="22"/>
  <c r="G369" i="22"/>
  <c r="K148" i="23"/>
  <c r="L148" i="23" s="1"/>
  <c r="M148" i="23" s="1"/>
  <c r="D370" i="103"/>
  <c r="D375" i="103"/>
  <c r="D371" i="103"/>
  <c r="D372" i="103"/>
  <c r="D366" i="103"/>
  <c r="D367" i="103"/>
  <c r="D373" i="103"/>
  <c r="D368" i="103"/>
  <c r="D374" i="103"/>
  <c r="D369" i="103"/>
  <c r="G326" i="22"/>
  <c r="G319" i="22"/>
  <c r="G339" i="22"/>
  <c r="G341" i="22"/>
  <c r="G325" i="22"/>
  <c r="G330" i="22"/>
  <c r="G334" i="22"/>
  <c r="G344" i="22"/>
  <c r="G340" i="22"/>
  <c r="G333" i="22"/>
  <c r="G329" i="22"/>
  <c r="G337" i="22"/>
  <c r="G338" i="22"/>
  <c r="G328" i="22"/>
  <c r="G343" i="22"/>
  <c r="G336" i="22"/>
  <c r="G332" i="22"/>
  <c r="G327" i="22"/>
  <c r="G342" i="22"/>
  <c r="G335" i="22"/>
  <c r="G331" i="22"/>
  <c r="G365" i="22"/>
  <c r="G349" i="22"/>
  <c r="G363" i="22"/>
  <c r="G362" i="22"/>
  <c r="G361" i="22"/>
  <c r="G355" i="22"/>
  <c r="G352" i="22"/>
  <c r="G347" i="22"/>
  <c r="G360" i="22"/>
  <c r="G348" i="22"/>
  <c r="G366" i="22"/>
  <c r="G351" i="22"/>
  <c r="G357" i="22"/>
  <c r="G354" i="22"/>
  <c r="G359" i="22"/>
  <c r="G353" i="22"/>
  <c r="G346" i="22"/>
  <c r="G350" i="22"/>
  <c r="G364" i="22"/>
  <c r="G356" i="22"/>
  <c r="G358" i="22"/>
  <c r="D349" i="103"/>
  <c r="D355" i="103"/>
  <c r="D350" i="103"/>
  <c r="D345" i="103"/>
  <c r="D362" i="103"/>
  <c r="D351" i="103"/>
  <c r="D356" i="103"/>
  <c r="D352" i="103"/>
  <c r="D363" i="103"/>
  <c r="K387" i="103"/>
  <c r="D346" i="103"/>
  <c r="D357" i="103"/>
  <c r="D361" i="103"/>
  <c r="D358" i="103"/>
  <c r="D364" i="103"/>
  <c r="D347" i="103"/>
  <c r="D359" i="103"/>
  <c r="D365" i="103"/>
  <c r="D348" i="103"/>
  <c r="D353" i="103"/>
  <c r="D360" i="103"/>
  <c r="D354" i="103"/>
  <c r="M24" i="62"/>
  <c r="O24" i="62"/>
  <c r="T24" i="62"/>
  <c r="R24" i="62"/>
  <c r="S24" i="62" s="1"/>
  <c r="X24" i="62"/>
  <c r="Y24" i="62" s="1"/>
  <c r="U24" i="62"/>
  <c r="W24" i="62"/>
  <c r="G345" i="22"/>
  <c r="K153" i="23"/>
  <c r="L153" i="23" s="1"/>
  <c r="M153" i="23" s="1"/>
  <c r="D341" i="103"/>
  <c r="K260" i="103"/>
  <c r="D327" i="103"/>
  <c r="D340" i="103"/>
  <c r="D334" i="103"/>
  <c r="K257" i="103"/>
  <c r="K192" i="103"/>
  <c r="K156" i="23" s="1"/>
  <c r="L156" i="23" s="1"/>
  <c r="M156" i="23" s="1"/>
  <c r="D329" i="103"/>
  <c r="D336" i="103"/>
  <c r="D330" i="103"/>
  <c r="D335" i="103"/>
  <c r="D343" i="103"/>
  <c r="K279" i="103"/>
  <c r="D337" i="103"/>
  <c r="D328" i="103"/>
  <c r="D331" i="103"/>
  <c r="D342" i="103"/>
  <c r="K152" i="23"/>
  <c r="L152" i="23" s="1"/>
  <c r="M152" i="23" s="1"/>
  <c r="D325" i="103"/>
  <c r="D344" i="103"/>
  <c r="D324" i="103"/>
  <c r="D332" i="103"/>
  <c r="D338" i="103"/>
  <c r="K275" i="103"/>
  <c r="D326" i="103"/>
  <c r="D339" i="103"/>
  <c r="D333" i="103"/>
  <c r="BK47" i="103"/>
  <c r="BK128" i="103"/>
  <c r="BK124" i="103"/>
  <c r="BK15" i="103"/>
  <c r="BK58" i="103"/>
  <c r="BK129" i="103"/>
  <c r="BK43" i="103"/>
  <c r="BK19" i="103"/>
  <c r="G67" i="22"/>
  <c r="G49" i="22"/>
  <c r="G51" i="22"/>
  <c r="G313" i="22"/>
  <c r="G46" i="22"/>
  <c r="G76" i="22"/>
  <c r="BK54" i="103"/>
  <c r="BK28" i="103"/>
  <c r="BK66" i="103"/>
  <c r="BK16" i="103"/>
  <c r="BK65" i="103"/>
  <c r="BK27" i="103"/>
  <c r="BK113" i="103"/>
  <c r="BK56" i="103"/>
  <c r="BK130" i="103"/>
  <c r="BK42" i="103"/>
  <c r="BK39" i="103"/>
  <c r="BK116" i="103"/>
  <c r="BK100" i="103"/>
  <c r="G12" i="22"/>
  <c r="G77" i="22"/>
  <c r="G39" i="22"/>
  <c r="G54" i="22"/>
  <c r="G52" i="22"/>
  <c r="G68" i="22"/>
  <c r="BK101" i="103"/>
  <c r="BK87" i="103"/>
  <c r="BK22" i="103"/>
  <c r="BK84" i="103"/>
  <c r="BK32" i="103"/>
  <c r="BK71" i="103"/>
  <c r="BK53" i="103"/>
  <c r="BK126" i="103"/>
  <c r="BK95" i="103"/>
  <c r="BK13" i="103"/>
  <c r="BK60" i="103"/>
  <c r="G14" i="22"/>
  <c r="G53" i="22"/>
  <c r="G99" i="22"/>
  <c r="G19" i="22"/>
  <c r="G71" i="22"/>
  <c r="G95" i="22"/>
  <c r="G63" i="22"/>
  <c r="BK68" i="103"/>
  <c r="BK120" i="103"/>
  <c r="BK24" i="103"/>
  <c r="BK50" i="103"/>
  <c r="BK41" i="103"/>
  <c r="BM41" i="103" s="1"/>
  <c r="BK102" i="103"/>
  <c r="BK94" i="103"/>
  <c r="BK61" i="103"/>
  <c r="BK115" i="103"/>
  <c r="BK83" i="103"/>
  <c r="BK33" i="103"/>
  <c r="BK110" i="103"/>
  <c r="BK99" i="103"/>
  <c r="G48" i="22"/>
  <c r="G18" i="22"/>
  <c r="G47" i="22"/>
  <c r="G20" i="22"/>
  <c r="G84" i="22"/>
  <c r="BK81" i="103"/>
  <c r="BK20" i="103"/>
  <c r="BK69" i="103"/>
  <c r="BK106" i="103"/>
  <c r="BK78" i="103"/>
  <c r="BK97" i="103"/>
  <c r="BK26" i="103"/>
  <c r="BK127" i="103"/>
  <c r="BK52" i="103"/>
  <c r="G15" i="22"/>
  <c r="G89" i="22"/>
  <c r="G34" i="22"/>
  <c r="G88" i="22"/>
  <c r="G72" i="22"/>
  <c r="G97" i="22"/>
  <c r="G32" i="22"/>
  <c r="BK112" i="103"/>
  <c r="BK96" i="103"/>
  <c r="BK14" i="103"/>
  <c r="BK92" i="103"/>
  <c r="BK123" i="103"/>
  <c r="BK85" i="103"/>
  <c r="BK111" i="103"/>
  <c r="BK80" i="103"/>
  <c r="BK25" i="103"/>
  <c r="BK38" i="103"/>
  <c r="BK55" i="103"/>
  <c r="G82" i="22"/>
  <c r="G33" i="22"/>
  <c r="G91" i="22"/>
  <c r="G60" i="22"/>
  <c r="G312" i="22"/>
  <c r="BK122" i="103"/>
  <c r="BK89" i="103"/>
  <c r="BK17" i="103"/>
  <c r="BK29" i="103"/>
  <c r="BK114" i="103"/>
  <c r="BK91" i="103"/>
  <c r="BK11" i="103"/>
  <c r="G92" i="22"/>
  <c r="G79" i="22"/>
  <c r="G90" i="22"/>
  <c r="G94" i="22"/>
  <c r="G38" i="22"/>
  <c r="G80" i="22"/>
  <c r="BK121" i="103"/>
  <c r="BK59" i="103"/>
  <c r="BK48" i="103"/>
  <c r="BK36" i="103"/>
  <c r="BK34" i="103"/>
  <c r="BK82" i="103"/>
  <c r="BK18" i="103"/>
  <c r="BK51" i="103"/>
  <c r="BK23" i="103"/>
  <c r="G73" i="22"/>
  <c r="G29" i="22"/>
  <c r="G70" i="22"/>
  <c r="G41" i="22"/>
  <c r="G83" i="22"/>
  <c r="G86" i="22"/>
  <c r="BK105" i="103"/>
  <c r="BK63" i="103"/>
  <c r="BK12" i="103"/>
  <c r="BK44" i="103"/>
  <c r="BK21" i="103"/>
  <c r="BK109" i="103"/>
  <c r="BK90" i="103"/>
  <c r="BK35" i="103"/>
  <c r="BK125" i="103"/>
  <c r="BK72" i="103"/>
  <c r="G59" i="22"/>
  <c r="G17" i="22"/>
  <c r="G50" i="22"/>
  <c r="G27" i="22"/>
  <c r="G44" i="22"/>
  <c r="G310" i="22"/>
  <c r="BK40" i="103"/>
  <c r="BK49" i="103"/>
  <c r="BK64" i="103"/>
  <c r="BK77" i="103"/>
  <c r="BK74" i="103"/>
  <c r="BK104" i="103"/>
  <c r="BK76" i="103"/>
  <c r="G36" i="22"/>
  <c r="G81" i="22"/>
  <c r="G66" i="22"/>
  <c r="G315" i="22"/>
  <c r="G75" i="22"/>
  <c r="G64" i="22"/>
  <c r="G69" i="22"/>
  <c r="BK30" i="103"/>
  <c r="BK75" i="103"/>
  <c r="BK108" i="103"/>
  <c r="BK70" i="103"/>
  <c r="BK88" i="103"/>
  <c r="BK103" i="103"/>
  <c r="BK73" i="103"/>
  <c r="BK119" i="103"/>
  <c r="BK57" i="103"/>
  <c r="BK118" i="103"/>
  <c r="BK62" i="103"/>
  <c r="G87" i="22"/>
  <c r="G65" i="22"/>
  <c r="G61" i="22"/>
  <c r="G74" i="22"/>
  <c r="BK31" i="103"/>
  <c r="BK86" i="103"/>
  <c r="BK117" i="103"/>
  <c r="BK93" i="103"/>
  <c r="BK45" i="103"/>
  <c r="BK107" i="103"/>
  <c r="BK67" i="103"/>
  <c r="BK46" i="103"/>
  <c r="BK98" i="103"/>
  <c r="BK37" i="103"/>
  <c r="BK79" i="103"/>
  <c r="G23" i="22"/>
  <c r="G101" i="22"/>
  <c r="G307" i="22"/>
  <c r="G30" i="22"/>
  <c r="G13" i="22"/>
  <c r="G100" i="22"/>
  <c r="G43" i="22"/>
  <c r="G321" i="22"/>
  <c r="G324" i="22"/>
  <c r="G323" i="22"/>
  <c r="K270" i="103"/>
  <c r="K269" i="103"/>
  <c r="K256" i="103"/>
  <c r="K282" i="103"/>
  <c r="K262" i="103"/>
  <c r="K267" i="103"/>
  <c r="K276" i="103"/>
  <c r="K271" i="103"/>
  <c r="K273" i="103"/>
  <c r="K280" i="103"/>
  <c r="K265" i="103"/>
  <c r="K268" i="103"/>
  <c r="K266" i="103"/>
  <c r="K259" i="103"/>
  <c r="K278" i="103"/>
  <c r="K254" i="103"/>
  <c r="K272" i="103"/>
  <c r="K281" i="103"/>
  <c r="K283" i="103"/>
  <c r="K277" i="103"/>
  <c r="K258" i="103"/>
  <c r="K263" i="103"/>
  <c r="K274" i="103"/>
  <c r="K255" i="103"/>
  <c r="K264" i="103"/>
  <c r="K261" i="103"/>
  <c r="G318" i="22"/>
  <c r="G317" i="22"/>
  <c r="G28" i="22"/>
  <c r="G55" i="22"/>
  <c r="G308" i="22"/>
  <c r="G31" i="22"/>
  <c r="G314" i="22"/>
  <c r="G316" i="22"/>
  <c r="G25" i="22"/>
  <c r="K378" i="103"/>
  <c r="G96" i="22"/>
  <c r="G78" i="22"/>
  <c r="G37" i="22"/>
  <c r="G85" i="22"/>
  <c r="K377" i="103"/>
  <c r="G62" i="22"/>
  <c r="G40" i="22"/>
  <c r="G93" i="22"/>
  <c r="G98" i="22"/>
  <c r="G56" i="22"/>
  <c r="G45" i="22"/>
  <c r="G322" i="22"/>
  <c r="K376" i="103"/>
  <c r="G58" i="22"/>
  <c r="G311" i="22"/>
  <c r="G309" i="22"/>
  <c r="K386" i="103"/>
  <c r="G22" i="22"/>
  <c r="G42" i="22"/>
  <c r="G21" i="22"/>
  <c r="G24" i="22"/>
  <c r="G26" i="22"/>
  <c r="G35" i="22"/>
  <c r="G16" i="22"/>
  <c r="G57" i="22"/>
  <c r="G320" i="22"/>
  <c r="D228" i="103"/>
  <c r="D251" i="103"/>
  <c r="D225" i="103"/>
  <c r="D177" i="103"/>
  <c r="D168" i="103"/>
  <c r="D321" i="103"/>
  <c r="D304" i="103"/>
  <c r="D284" i="103"/>
  <c r="D224" i="103"/>
  <c r="D226" i="103"/>
  <c r="D231" i="103"/>
  <c r="D164" i="103"/>
  <c r="D165" i="103"/>
  <c r="D317" i="103"/>
  <c r="D291" i="103"/>
  <c r="D308" i="103"/>
  <c r="D247" i="103"/>
  <c r="D230" i="103"/>
  <c r="D312" i="103"/>
  <c r="D189" i="103"/>
  <c r="D187" i="103"/>
  <c r="D322" i="103"/>
  <c r="D296" i="103"/>
  <c r="D288" i="103"/>
  <c r="D301" i="103"/>
  <c r="D306" i="103"/>
  <c r="D252" i="103"/>
  <c r="D245" i="103"/>
  <c r="D244" i="103"/>
  <c r="D188" i="103"/>
  <c r="D162" i="103"/>
  <c r="D303" i="103"/>
  <c r="D241" i="103"/>
  <c r="D248" i="103"/>
  <c r="D236" i="103"/>
  <c r="D166" i="103"/>
  <c r="D298" i="103"/>
  <c r="D289" i="103"/>
  <c r="D239" i="103"/>
  <c r="D249" i="103"/>
  <c r="D250" i="103"/>
  <c r="D313" i="103"/>
  <c r="D163" i="103"/>
  <c r="D175" i="103"/>
  <c r="D323" i="103"/>
  <c r="D302" i="103"/>
  <c r="D237" i="103"/>
  <c r="D235" i="103"/>
  <c r="D309" i="103"/>
  <c r="D180" i="103"/>
  <c r="D176" i="103"/>
  <c r="D315" i="103"/>
  <c r="D295" i="103"/>
  <c r="D287" i="103"/>
  <c r="D243" i="103"/>
  <c r="D238" i="103"/>
  <c r="D191" i="103"/>
  <c r="E155" i="23" s="1"/>
  <c r="F155" i="23" s="1"/>
  <c r="G155" i="23" s="1"/>
  <c r="D172" i="103"/>
  <c r="D320" i="103"/>
  <c r="D299" i="103"/>
  <c r="D242" i="103"/>
  <c r="D240" i="103"/>
  <c r="D186" i="103"/>
  <c r="D179" i="103"/>
  <c r="D316" i="103"/>
  <c r="D285" i="103"/>
  <c r="D229" i="103"/>
  <c r="D227" i="103"/>
  <c r="D310" i="103"/>
  <c r="D190" i="103"/>
  <c r="E154" i="23" s="1"/>
  <c r="F154" i="23" s="1"/>
  <c r="G154" i="23" s="1"/>
  <c r="D167" i="103"/>
  <c r="D171" i="103"/>
  <c r="D293" i="103"/>
  <c r="D292" i="103"/>
  <c r="D307" i="103"/>
  <c r="D232" i="103"/>
  <c r="D234" i="103"/>
  <c r="D253" i="103"/>
  <c r="D314" i="103"/>
  <c r="D181" i="103"/>
  <c r="D170" i="103"/>
  <c r="D174" i="103"/>
  <c r="D319" i="103"/>
  <c r="D290" i="103"/>
  <c r="D233" i="103"/>
  <c r="D246" i="103"/>
  <c r="D223" i="103"/>
  <c r="D311" i="103"/>
  <c r="D173" i="103"/>
  <c r="D178" i="103"/>
  <c r="D185" i="103"/>
  <c r="D318" i="103"/>
  <c r="V23" i="62"/>
  <c r="B23" i="102"/>
  <c r="C23" i="102" s="1"/>
  <c r="B17" i="31"/>
  <c r="B51" i="31"/>
  <c r="A51" i="31" s="1"/>
  <c r="A16" i="31"/>
  <c r="AE15" i="70"/>
  <c r="AE27" i="70" s="1"/>
  <c r="K15" i="70"/>
  <c r="K27" i="70" s="1"/>
  <c r="O20" i="70"/>
  <c r="O30" i="70" s="1"/>
  <c r="AA13" i="70"/>
  <c r="AA25" i="70" s="1"/>
  <c r="I19" i="70"/>
  <c r="I29" i="70" s="1"/>
  <c r="AE20" i="70"/>
  <c r="AE30" i="70" s="1"/>
  <c r="AA16" i="70"/>
  <c r="AA28" i="70" s="1"/>
  <c r="U19" i="70"/>
  <c r="U29" i="70" s="1"/>
  <c r="M16" i="70"/>
  <c r="M28" i="70" s="1"/>
  <c r="AA15" i="70"/>
  <c r="AA27" i="70" s="1"/>
  <c r="AE16" i="70"/>
  <c r="AE28" i="70" s="1"/>
  <c r="O15" i="70"/>
  <c r="O27" i="70" s="1"/>
  <c r="W19" i="70"/>
  <c r="W29" i="70" s="1"/>
  <c r="AA20" i="70"/>
  <c r="AA30" i="70" s="1"/>
  <c r="U13" i="70"/>
  <c r="U25" i="70" s="1"/>
  <c r="I13" i="70"/>
  <c r="I25" i="70" s="1"/>
  <c r="M15" i="70"/>
  <c r="M27" i="70" s="1"/>
  <c r="K19" i="70"/>
  <c r="K29" i="70" s="1"/>
  <c r="Q19" i="70"/>
  <c r="Q29" i="70" s="1"/>
  <c r="U16" i="70"/>
  <c r="U28" i="70" s="1"/>
  <c r="AC19" i="70"/>
  <c r="AC29" i="70" s="1"/>
  <c r="I16" i="70"/>
  <c r="I28" i="70" s="1"/>
  <c r="W13" i="70"/>
  <c r="W25" i="70" s="1"/>
  <c r="S19" i="70"/>
  <c r="S29" i="70" s="1"/>
  <c r="U15" i="70"/>
  <c r="U27" i="70" s="1"/>
  <c r="I20" i="70"/>
  <c r="I30" i="70" s="1"/>
  <c r="O19" i="70"/>
  <c r="O29" i="70" s="1"/>
  <c r="K13" i="70"/>
  <c r="K25" i="70" s="1"/>
  <c r="W16" i="70"/>
  <c r="W28" i="70" s="1"/>
  <c r="Q16" i="70"/>
  <c r="Q28" i="70" s="1"/>
  <c r="U20" i="70"/>
  <c r="U30" i="70" s="1"/>
  <c r="AC13" i="70"/>
  <c r="AC25" i="70" s="1"/>
  <c r="I15" i="70"/>
  <c r="I27" i="70" s="1"/>
  <c r="K16" i="70"/>
  <c r="K28" i="70" s="1"/>
  <c r="W15" i="70"/>
  <c r="W27" i="70" s="1"/>
  <c r="Q15" i="70"/>
  <c r="Q27" i="70" s="1"/>
  <c r="S13" i="70"/>
  <c r="S25" i="70" s="1"/>
  <c r="AC15" i="70"/>
  <c r="AC27" i="70" s="1"/>
  <c r="M19" i="70"/>
  <c r="M29" i="70" s="1"/>
  <c r="O13" i="70"/>
  <c r="O25" i="70" s="1"/>
  <c r="K20" i="70"/>
  <c r="K30" i="70" s="1"/>
  <c r="W20" i="70"/>
  <c r="W30" i="70" s="1"/>
  <c r="Q13" i="70"/>
  <c r="Q25" i="70" s="1"/>
  <c r="S16" i="70"/>
  <c r="S28" i="70" s="1"/>
  <c r="AC20" i="70"/>
  <c r="AC30" i="70" s="1"/>
  <c r="AE19" i="70"/>
  <c r="AE29" i="70" s="1"/>
  <c r="M13" i="70"/>
  <c r="M25" i="70" s="1"/>
  <c r="O16" i="70"/>
  <c r="O28" i="70" s="1"/>
  <c r="Q20" i="70"/>
  <c r="Q30" i="70" s="1"/>
  <c r="S15" i="70"/>
  <c r="S27" i="70" s="1"/>
  <c r="M20" i="70"/>
  <c r="M30" i="70" s="1"/>
  <c r="AA19" i="70"/>
  <c r="AA29" i="70" s="1"/>
  <c r="S20" i="70"/>
  <c r="S30" i="70" s="1"/>
  <c r="AC16" i="70"/>
  <c r="AC28" i="70" s="1"/>
  <c r="AE13" i="70"/>
  <c r="AE25" i="70" s="1"/>
  <c r="D31" i="22"/>
  <c r="G251" i="22"/>
  <c r="D18" i="22"/>
  <c r="G233" i="22"/>
  <c r="D37" i="22"/>
  <c r="G250" i="22"/>
  <c r="G180" i="22"/>
  <c r="G119" i="22"/>
  <c r="G289" i="22"/>
  <c r="D78" i="22"/>
  <c r="D98" i="22"/>
  <c r="G105" i="22"/>
  <c r="G304" i="22"/>
  <c r="G236" i="22"/>
  <c r="G181" i="22"/>
  <c r="D38" i="22"/>
  <c r="D80" i="22"/>
  <c r="G188" i="22"/>
  <c r="G254" i="22"/>
  <c r="C30" i="53"/>
  <c r="E30" i="53" s="1"/>
  <c r="Z31" i="103"/>
  <c r="G168" i="22"/>
  <c r="D13" i="22"/>
  <c r="G177" i="22"/>
  <c r="Z65" i="103"/>
  <c r="Z73" i="103"/>
  <c r="Z80" i="103"/>
  <c r="G125" i="22"/>
  <c r="G291" i="22"/>
  <c r="G191" i="22"/>
  <c r="G237" i="22"/>
  <c r="D20" i="22"/>
  <c r="G130" i="22"/>
  <c r="G190" i="22"/>
  <c r="G189" i="22"/>
  <c r="G107" i="22"/>
  <c r="G171" i="22"/>
  <c r="G242" i="22"/>
  <c r="D23" i="22"/>
  <c r="G169" i="22"/>
  <c r="G108" i="22"/>
  <c r="G296" i="22"/>
  <c r="D72" i="22"/>
  <c r="D68" i="22"/>
  <c r="D92" i="22"/>
  <c r="D114" i="22"/>
  <c r="D47" i="22"/>
  <c r="G112" i="22"/>
  <c r="G187" i="22"/>
  <c r="D117" i="22"/>
  <c r="G163" i="22"/>
  <c r="G111" i="22"/>
  <c r="G176" i="22"/>
  <c r="G113" i="22"/>
  <c r="G295" i="22"/>
  <c r="D25" i="22"/>
  <c r="G172" i="22"/>
  <c r="G131" i="22"/>
  <c r="K134" i="23"/>
  <c r="L134" i="23" s="1"/>
  <c r="M134" i="23" s="1"/>
  <c r="D124" i="22"/>
  <c r="Z94" i="103"/>
  <c r="D16" i="22"/>
  <c r="G243" i="22"/>
  <c r="D19" i="22"/>
  <c r="G227" i="22"/>
  <c r="D127" i="22"/>
  <c r="D120" i="22"/>
  <c r="G292" i="22"/>
  <c r="G306" i="22"/>
  <c r="G179" i="22"/>
  <c r="G106" i="22"/>
  <c r="G288" i="22"/>
  <c r="D113" i="22"/>
  <c r="K140" i="23"/>
  <c r="L140" i="23" s="1"/>
  <c r="M140" i="23" s="1"/>
  <c r="G126" i="22"/>
  <c r="D76" i="22"/>
  <c r="G185" i="22"/>
  <c r="G109" i="22"/>
  <c r="G287" i="22"/>
  <c r="G114" i="22"/>
  <c r="D45" i="22"/>
  <c r="D115" i="22"/>
  <c r="Z78" i="103"/>
  <c r="D28" i="22"/>
  <c r="G248" i="22"/>
  <c r="D36" i="22"/>
  <c r="G228" i="22"/>
  <c r="D116" i="22"/>
  <c r="D57" i="22"/>
  <c r="G123" i="22"/>
  <c r="G129" i="22"/>
  <c r="G175" i="22"/>
  <c r="D111" i="22"/>
  <c r="K126" i="23"/>
  <c r="L126" i="23" s="1"/>
  <c r="M126" i="23" s="1"/>
  <c r="D123" i="22"/>
  <c r="D69" i="22"/>
  <c r="D102" i="22"/>
  <c r="G165" i="22"/>
  <c r="G117" i="22"/>
  <c r="G286" i="22"/>
  <c r="G115" i="22"/>
  <c r="G178" i="22"/>
  <c r="G166" i="22"/>
  <c r="G244" i="22"/>
  <c r="D96" i="22"/>
  <c r="D130" i="22"/>
  <c r="D75" i="22"/>
  <c r="G127" i="22"/>
  <c r="G167" i="22"/>
  <c r="D101" i="22"/>
  <c r="G253" i="22"/>
  <c r="D82" i="22"/>
  <c r="Z47" i="103"/>
  <c r="G121" i="22"/>
  <c r="G298" i="22"/>
  <c r="G118" i="22"/>
  <c r="D67" i="22"/>
  <c r="D125" i="22"/>
  <c r="D89" i="22"/>
  <c r="G249" i="22"/>
  <c r="G182" i="22"/>
  <c r="G173" i="22"/>
  <c r="D84" i="22"/>
  <c r="D131" i="22"/>
  <c r="D58" i="22"/>
  <c r="D126" i="22"/>
  <c r="G302" i="22"/>
  <c r="D61" i="22"/>
  <c r="F30" i="53"/>
  <c r="H30" i="53" s="1"/>
  <c r="D106" i="22"/>
  <c r="Z96" i="103"/>
  <c r="D55" i="22"/>
  <c r="G128" i="22"/>
  <c r="Z48" i="103"/>
  <c r="G124" i="22"/>
  <c r="D85" i="22"/>
  <c r="D46" i="22"/>
  <c r="Z34" i="103"/>
  <c r="G122" i="22"/>
  <c r="Z182" i="103"/>
  <c r="G110" i="22"/>
  <c r="G192" i="22"/>
  <c r="G241" i="22"/>
  <c r="Z98" i="103"/>
  <c r="D105" i="22"/>
  <c r="G305" i="22"/>
  <c r="D100" i="22"/>
  <c r="D90" i="22"/>
  <c r="D88" i="22"/>
  <c r="D109" i="22"/>
  <c r="D64" i="22"/>
  <c r="G103" i="22"/>
  <c r="G232" i="22"/>
  <c r="D22" i="22"/>
  <c r="G303" i="22"/>
  <c r="G116" i="22"/>
  <c r="G297" i="22"/>
  <c r="D26" i="22"/>
  <c r="G238" i="22"/>
  <c r="D44" i="22"/>
  <c r="D52" i="22"/>
  <c r="D53" i="22"/>
  <c r="Z59" i="103"/>
  <c r="G246" i="22"/>
  <c r="D118" i="22"/>
  <c r="D50" i="22"/>
  <c r="D70" i="22"/>
  <c r="D17" i="22"/>
  <c r="G234" i="22"/>
  <c r="G174" i="22"/>
  <c r="G104" i="22"/>
  <c r="G294" i="22"/>
  <c r="G120" i="22"/>
  <c r="G186" i="22"/>
  <c r="G230" i="22"/>
  <c r="D73" i="22"/>
  <c r="D39" i="22"/>
  <c r="D56" i="22"/>
  <c r="G235" i="22"/>
  <c r="D21" i="22"/>
  <c r="G239" i="22"/>
  <c r="D129" i="22"/>
  <c r="D71" i="22"/>
  <c r="D93" i="22"/>
  <c r="Z32" i="103"/>
  <c r="G184" i="22"/>
  <c r="D104" i="22"/>
  <c r="D83" i="22"/>
  <c r="D112" i="22"/>
  <c r="D54" i="22"/>
  <c r="G164" i="22"/>
  <c r="D14" i="22"/>
  <c r="G245" i="22"/>
  <c r="D77" i="22"/>
  <c r="Z11" i="103"/>
  <c r="G225" i="22"/>
  <c r="D41" i="22"/>
  <c r="G240" i="22"/>
  <c r="D15" i="22"/>
  <c r="G224" i="22"/>
  <c r="D94" i="22"/>
  <c r="G226" i="22"/>
  <c r="G300" i="22"/>
  <c r="D91" i="22"/>
  <c r="G102" i="22"/>
  <c r="Z61" i="103"/>
  <c r="G247" i="22"/>
  <c r="G170" i="22"/>
  <c r="G229" i="22"/>
  <c r="D34" i="22"/>
  <c r="G231" i="22"/>
  <c r="D63" i="22"/>
  <c r="D24" i="22"/>
  <c r="G252" i="22"/>
  <c r="E23" i="62"/>
  <c r="D128" i="22"/>
  <c r="Z100" i="103"/>
  <c r="D65" i="22"/>
  <c r="Z57" i="103"/>
  <c r="D79" i="22"/>
  <c r="D49" i="22"/>
  <c r="G183" i="22"/>
  <c r="D99" i="22"/>
  <c r="D110" i="22"/>
  <c r="Z51" i="103"/>
  <c r="Z28" i="103"/>
  <c r="D40" i="22"/>
  <c r="G285" i="22"/>
  <c r="Z39" i="103"/>
  <c r="Z38" i="103"/>
  <c r="Z42" i="103"/>
  <c r="G299" i="22"/>
  <c r="D29" i="22"/>
  <c r="Z77" i="103"/>
  <c r="Q163" i="23"/>
  <c r="Z53" i="103"/>
  <c r="D12" i="22"/>
  <c r="Z183" i="103"/>
  <c r="D33" i="22"/>
  <c r="D30" i="22"/>
  <c r="D42" i="22"/>
  <c r="Z35" i="103"/>
  <c r="Z56" i="103"/>
  <c r="Z19" i="103"/>
  <c r="D95" i="22"/>
  <c r="D74" i="22"/>
  <c r="Z23" i="103"/>
  <c r="K136" i="23"/>
  <c r="L136" i="23" s="1"/>
  <c r="M136" i="23" s="1"/>
  <c r="D87" i="22"/>
  <c r="Z85" i="103"/>
  <c r="Z125" i="103"/>
  <c r="Z62" i="103"/>
  <c r="D86" i="22"/>
  <c r="Z81" i="103"/>
  <c r="K141" i="23"/>
  <c r="L141" i="23" s="1"/>
  <c r="M141" i="23" s="1"/>
  <c r="Z30" i="103"/>
  <c r="Z14" i="103"/>
  <c r="D121" i="22"/>
  <c r="Z169" i="103"/>
  <c r="Z86" i="103"/>
  <c r="Z88" i="103"/>
  <c r="Z29" i="103"/>
  <c r="D300" i="103"/>
  <c r="K127" i="23"/>
  <c r="L127" i="23" s="1"/>
  <c r="M127" i="23" s="1"/>
  <c r="Z15" i="103"/>
  <c r="K135" i="23"/>
  <c r="L135" i="23" s="1"/>
  <c r="M135" i="23" s="1"/>
  <c r="Z97" i="103"/>
  <c r="Z115" i="103"/>
  <c r="Z95" i="103"/>
  <c r="D60" i="22"/>
  <c r="Z87" i="103"/>
  <c r="K139" i="23"/>
  <c r="L139" i="23" s="1"/>
  <c r="M139" i="23" s="1"/>
  <c r="Z26" i="103"/>
  <c r="D27" i="22"/>
  <c r="D107" i="22"/>
  <c r="Z104" i="103"/>
  <c r="D297" i="103"/>
  <c r="Z24" i="103"/>
  <c r="Z46" i="103"/>
  <c r="Z49" i="103"/>
  <c r="Z52" i="103"/>
  <c r="Z25" i="103"/>
  <c r="D122" i="22"/>
  <c r="Z90" i="103"/>
  <c r="Z74" i="103"/>
  <c r="D51" i="22"/>
  <c r="G293" i="22"/>
  <c r="Z33" i="103"/>
  <c r="Z76" i="103"/>
  <c r="D108" i="22"/>
  <c r="K137" i="23"/>
  <c r="L137" i="23" s="1"/>
  <c r="M137" i="23" s="1"/>
  <c r="Z12" i="103"/>
  <c r="D81" i="22"/>
  <c r="Z13" i="103"/>
  <c r="K142" i="23"/>
  <c r="L142" i="23" s="1"/>
  <c r="M142" i="23" s="1"/>
  <c r="G301" i="22"/>
  <c r="Z84" i="103"/>
  <c r="Z130" i="103"/>
  <c r="D66" i="22"/>
  <c r="Z83" i="103"/>
  <c r="D35" i="22"/>
  <c r="D103" i="22"/>
  <c r="Z22" i="103"/>
  <c r="Z126" i="103"/>
  <c r="Z124" i="103"/>
  <c r="D294" i="103"/>
  <c r="Z101" i="103"/>
  <c r="Z92" i="103"/>
  <c r="Z18" i="103"/>
  <c r="K132" i="23"/>
  <c r="L132" i="23" s="1"/>
  <c r="M132" i="23" s="1"/>
  <c r="Z41" i="103"/>
  <c r="Z64" i="103"/>
  <c r="K128" i="23"/>
  <c r="L128" i="23" s="1"/>
  <c r="M128" i="23" s="1"/>
  <c r="K131" i="23"/>
  <c r="L131" i="23" s="1"/>
  <c r="M131" i="23" s="1"/>
  <c r="G290" i="22"/>
  <c r="D286" i="103"/>
  <c r="Z16" i="103"/>
  <c r="Z50" i="103"/>
  <c r="Z117" i="103"/>
  <c r="Z121" i="103"/>
  <c r="Z118" i="103"/>
  <c r="Z102" i="103"/>
  <c r="Z380" i="103"/>
  <c r="D59" i="22"/>
  <c r="Z68" i="103"/>
  <c r="D119" i="22"/>
  <c r="D62" i="22"/>
  <c r="Z103" i="103"/>
  <c r="Z63" i="103"/>
  <c r="Z119" i="103"/>
  <c r="K144" i="23"/>
  <c r="L144" i="23" s="1"/>
  <c r="M144" i="23" s="1"/>
  <c r="Z79" i="103"/>
  <c r="Z36" i="103"/>
  <c r="Z67" i="103"/>
  <c r="K143" i="23"/>
  <c r="L143" i="23" s="1"/>
  <c r="M143" i="23" s="1"/>
  <c r="Z40" i="103"/>
  <c r="Z60" i="103"/>
  <c r="Z75" i="103"/>
  <c r="Z116" i="103"/>
  <c r="Z109" i="103"/>
  <c r="Z107" i="103"/>
  <c r="Z20" i="103"/>
  <c r="Z66" i="103"/>
  <c r="Z37" i="103"/>
  <c r="R163" i="23"/>
  <c r="Z45" i="103"/>
  <c r="K130" i="23"/>
  <c r="L130" i="23" s="1"/>
  <c r="M130" i="23" s="1"/>
  <c r="Z128" i="103"/>
  <c r="Z58" i="103"/>
  <c r="Z17" i="103"/>
  <c r="D43" i="22"/>
  <c r="Z114" i="103"/>
  <c r="D97" i="22"/>
  <c r="D377" i="103"/>
  <c r="Z72" i="103"/>
  <c r="D32" i="22"/>
  <c r="K138" i="23"/>
  <c r="L138" i="23" s="1"/>
  <c r="M138" i="23" s="1"/>
  <c r="Z111" i="103"/>
  <c r="Z184" i="103"/>
  <c r="K129" i="23"/>
  <c r="L129" i="23" s="1"/>
  <c r="M129" i="23" s="1"/>
  <c r="Z70" i="103"/>
  <c r="Z82" i="103"/>
  <c r="Z120" i="103"/>
  <c r="Z55" i="103"/>
  <c r="Z129" i="103"/>
  <c r="Z27" i="103"/>
  <c r="Z91" i="103"/>
  <c r="Z21" i="103"/>
  <c r="Z44" i="103"/>
  <c r="Z110" i="103"/>
  <c r="K145" i="23"/>
  <c r="L145" i="23" s="1"/>
  <c r="M145" i="23" s="1"/>
  <c r="D48" i="22"/>
  <c r="Z113" i="103"/>
  <c r="K133" i="23"/>
  <c r="L133" i="23" s="1"/>
  <c r="M133" i="23" s="1"/>
  <c r="K383" i="103"/>
  <c r="D256" i="103"/>
  <c r="D263" i="103"/>
  <c r="D272" i="103"/>
  <c r="Z69" i="103"/>
  <c r="Z127" i="103"/>
  <c r="Z122" i="103"/>
  <c r="D262" i="103"/>
  <c r="D258" i="103"/>
  <c r="D267" i="103"/>
  <c r="K147" i="23"/>
  <c r="L147" i="23" s="1"/>
  <c r="M147" i="23" s="1"/>
  <c r="D376" i="103"/>
  <c r="Z89" i="103"/>
  <c r="D264" i="103"/>
  <c r="D282" i="103"/>
  <c r="D268" i="103"/>
  <c r="K381" i="103"/>
  <c r="D257" i="103"/>
  <c r="D278" i="103"/>
  <c r="D275" i="103"/>
  <c r="D305" i="103"/>
  <c r="Z106" i="103"/>
  <c r="Z99" i="103"/>
  <c r="D281" i="103"/>
  <c r="D269" i="103"/>
  <c r="D280" i="103"/>
  <c r="D378" i="103"/>
  <c r="D192" i="103"/>
  <c r="E156" i="23" s="1"/>
  <c r="F156" i="23" s="1"/>
  <c r="G156" i="23" s="1"/>
  <c r="D260" i="103"/>
  <c r="D261" i="103"/>
  <c r="D266" i="103"/>
  <c r="Z105" i="103"/>
  <c r="D273" i="103"/>
  <c r="D255" i="103"/>
  <c r="Z93" i="103"/>
  <c r="Z43" i="103"/>
  <c r="Z123" i="103"/>
  <c r="K385" i="103"/>
  <c r="D271" i="103"/>
  <c r="D270" i="103"/>
  <c r="D279" i="103"/>
  <c r="D265" i="103"/>
  <c r="D277" i="103"/>
  <c r="Z54" i="103"/>
  <c r="Z71" i="103"/>
  <c r="Z112" i="103"/>
  <c r="D379" i="103"/>
  <c r="D274" i="103"/>
  <c r="K146" i="23"/>
  <c r="L146" i="23" s="1"/>
  <c r="M146" i="23" s="1"/>
  <c r="K379" i="103"/>
  <c r="D259" i="103"/>
  <c r="D276" i="103"/>
  <c r="Z108" i="103"/>
  <c r="D283" i="103"/>
  <c r="D254" i="103"/>
  <c r="N23" i="62"/>
  <c r="B25" i="62"/>
  <c r="D24" i="62"/>
  <c r="G24" i="62"/>
  <c r="H24" i="62" s="1"/>
  <c r="C24" i="62"/>
  <c r="F24" i="62"/>
  <c r="I24" i="62"/>
  <c r="J24" i="62" s="1"/>
  <c r="K24" i="62"/>
  <c r="L24" i="62"/>
  <c r="P24" i="62"/>
  <c r="AA12" i="70"/>
  <c r="N419" i="67"/>
  <c r="CO199" i="103"/>
  <c r="BA199" i="103" s="1"/>
  <c r="N416" i="67"/>
  <c r="U12" i="70"/>
  <c r="AM261" i="22"/>
  <c r="AM260" i="103"/>
  <c r="N417" i="67"/>
  <c r="W12" i="70"/>
  <c r="I265" i="67"/>
  <c r="AL257" i="103"/>
  <c r="S12" i="70"/>
  <c r="N415" i="67"/>
  <c r="M12" i="70"/>
  <c r="N412" i="67"/>
  <c r="CM200" i="103"/>
  <c r="CG200" i="103" s="1"/>
  <c r="AR202" i="103"/>
  <c r="BB201" i="103"/>
  <c r="BD201" i="103"/>
  <c r="AE260" i="22"/>
  <c r="R259" i="58"/>
  <c r="CH259" i="103"/>
  <c r="CF259" i="103" s="1"/>
  <c r="AC12" i="70"/>
  <c r="N420" i="67"/>
  <c r="C427" i="67"/>
  <c r="E427" i="67" s="1"/>
  <c r="F427" i="67" s="1"/>
  <c r="N411" i="67"/>
  <c r="K12" i="70"/>
  <c r="I12" i="70"/>
  <c r="N410" i="67"/>
  <c r="CF258" i="103"/>
  <c r="CJ258" i="103"/>
  <c r="O12" i="70"/>
  <c r="N413" i="67"/>
  <c r="AE12" i="70"/>
  <c r="N421" i="67"/>
  <c r="AC257" i="22"/>
  <c r="O264" i="67"/>
  <c r="Q12" i="70"/>
  <c r="N414" i="67"/>
  <c r="BM130" i="103" l="1"/>
  <c r="BM129" i="103"/>
  <c r="BM128" i="103"/>
  <c r="BM127" i="103"/>
  <c r="BM126" i="103"/>
  <c r="BM125" i="103"/>
  <c r="BM124" i="103"/>
  <c r="BM123" i="103"/>
  <c r="BM122" i="103"/>
  <c r="BM121" i="103"/>
  <c r="BM120" i="103"/>
  <c r="BM119" i="103"/>
  <c r="BM118" i="103"/>
  <c r="BM117" i="103"/>
  <c r="BM116" i="103"/>
  <c r="BM115" i="103"/>
  <c r="BM114" i="103"/>
  <c r="BM113" i="103"/>
  <c r="BM112" i="103"/>
  <c r="BM111" i="103"/>
  <c r="BM110" i="103"/>
  <c r="BM109" i="103"/>
  <c r="BM108" i="103"/>
  <c r="BM107" i="103"/>
  <c r="BM106" i="103"/>
  <c r="BM105" i="103"/>
  <c r="BM104" i="103"/>
  <c r="BM103" i="103"/>
  <c r="BM102" i="103"/>
  <c r="BM101" i="103"/>
  <c r="O156" i="23"/>
  <c r="BM100" i="103"/>
  <c r="O155" i="23"/>
  <c r="BM99" i="103"/>
  <c r="O154" i="23"/>
  <c r="BM98" i="103"/>
  <c r="BM97" i="103"/>
  <c r="BM96" i="103"/>
  <c r="BM95" i="103"/>
  <c r="BM94" i="103"/>
  <c r="BM93" i="103"/>
  <c r="BM92" i="103"/>
  <c r="BM91" i="103"/>
  <c r="BM90" i="103"/>
  <c r="BM89" i="103"/>
  <c r="BM88" i="103"/>
  <c r="BM87" i="103"/>
  <c r="BM86" i="103"/>
  <c r="BM85" i="103"/>
  <c r="BM84" i="103"/>
  <c r="BM83" i="103"/>
  <c r="BM82" i="103"/>
  <c r="BM81" i="103"/>
  <c r="BM80" i="103"/>
  <c r="BM79" i="103"/>
  <c r="BM78" i="103"/>
  <c r="BM77" i="103"/>
  <c r="BM76" i="103"/>
  <c r="BM75" i="103"/>
  <c r="BM74" i="103"/>
  <c r="BM73" i="103"/>
  <c r="BM72" i="103"/>
  <c r="BM71" i="103"/>
  <c r="BM70" i="103"/>
  <c r="BM69" i="103"/>
  <c r="BM68" i="103"/>
  <c r="BM67" i="103"/>
  <c r="BM66" i="103"/>
  <c r="BM65" i="103"/>
  <c r="BM64" i="103"/>
  <c r="BM63" i="103"/>
  <c r="BM62" i="103"/>
  <c r="BM61" i="103"/>
  <c r="BM60" i="103"/>
  <c r="BM59" i="103"/>
  <c r="BM58" i="103"/>
  <c r="BM57" i="103"/>
  <c r="BM56" i="103"/>
  <c r="BM55" i="103"/>
  <c r="BM54" i="103"/>
  <c r="BM53" i="103"/>
  <c r="BM52" i="103"/>
  <c r="BM51" i="103"/>
  <c r="BM50" i="103"/>
  <c r="BM49" i="103"/>
  <c r="BM48" i="103"/>
  <c r="BM47" i="103"/>
  <c r="BM46" i="103"/>
  <c r="BM45" i="103"/>
  <c r="BM44" i="103"/>
  <c r="BM43" i="103"/>
  <c r="BM42" i="103"/>
  <c r="BM40" i="103"/>
  <c r="BK369" i="103"/>
  <c r="BM369" i="103" s="1"/>
  <c r="BK374" i="103"/>
  <c r="BM374" i="103" s="1"/>
  <c r="D369" i="22"/>
  <c r="Z373" i="103"/>
  <c r="BK367" i="103"/>
  <c r="BM367" i="103" s="1"/>
  <c r="D367" i="22"/>
  <c r="Z372" i="103"/>
  <c r="BK370" i="103"/>
  <c r="BM370" i="103" s="1"/>
  <c r="BM39" i="103"/>
  <c r="BM38" i="103"/>
  <c r="BM37" i="103"/>
  <c r="BM36" i="103"/>
  <c r="BM35" i="103"/>
  <c r="BM34" i="103"/>
  <c r="BM33" i="103"/>
  <c r="BM32" i="103"/>
  <c r="BM31" i="103"/>
  <c r="BM30" i="103"/>
  <c r="BM29" i="103"/>
  <c r="BM28" i="103"/>
  <c r="BM27" i="103"/>
  <c r="BM26" i="103"/>
  <c r="BM25" i="103"/>
  <c r="BM24" i="103"/>
  <c r="BM23" i="103"/>
  <c r="BM22" i="103"/>
  <c r="BM21" i="103"/>
  <c r="BM20" i="103"/>
  <c r="BM19" i="103"/>
  <c r="BM18" i="103"/>
  <c r="BM17" i="103"/>
  <c r="BM16" i="103"/>
  <c r="BM15" i="103"/>
  <c r="BM14" i="103"/>
  <c r="BM13" i="103"/>
  <c r="M12" i="64"/>
  <c r="BM12" i="103"/>
  <c r="BM11" i="103"/>
  <c r="E152" i="23"/>
  <c r="O152" i="23" s="1"/>
  <c r="E153" i="23"/>
  <c r="F153" i="23" s="1"/>
  <c r="G153" i="23" s="1"/>
  <c r="D373" i="22"/>
  <c r="BK372" i="103"/>
  <c r="BM372" i="103" s="1"/>
  <c r="Z375" i="103"/>
  <c r="E148" i="23"/>
  <c r="O148" i="23" s="1"/>
  <c r="BK373" i="103"/>
  <c r="BM373" i="103" s="1"/>
  <c r="BK375" i="103"/>
  <c r="BM375" i="103" s="1"/>
  <c r="D376" i="22"/>
  <c r="D374" i="22"/>
  <c r="D371" i="22"/>
  <c r="Z366" i="103"/>
  <c r="D368" i="22"/>
  <c r="Z367" i="103"/>
  <c r="Z371" i="103"/>
  <c r="Z368" i="103"/>
  <c r="BK368" i="103"/>
  <c r="BM368" i="103" s="1"/>
  <c r="D370" i="22"/>
  <c r="BK366" i="103"/>
  <c r="BM366" i="103" s="1"/>
  <c r="D372" i="22"/>
  <c r="BK371" i="103"/>
  <c r="BM371" i="103" s="1"/>
  <c r="Z369" i="103"/>
  <c r="Z370" i="103"/>
  <c r="Z374" i="103"/>
  <c r="D375" i="22"/>
  <c r="BK333" i="103"/>
  <c r="BM333" i="103" s="1"/>
  <c r="Z328" i="103"/>
  <c r="Z327" i="103"/>
  <c r="BK339" i="103"/>
  <c r="BM339" i="103" s="1"/>
  <c r="BK337" i="103"/>
  <c r="BM337" i="103" s="1"/>
  <c r="G261" i="22"/>
  <c r="BK326" i="103"/>
  <c r="BM326" i="103" s="1"/>
  <c r="G280" i="22"/>
  <c r="BK341" i="103"/>
  <c r="BM341" i="103" s="1"/>
  <c r="G276" i="22"/>
  <c r="BK343" i="103"/>
  <c r="BM343" i="103" s="1"/>
  <c r="BK338" i="103"/>
  <c r="BM338" i="103" s="1"/>
  <c r="Z335" i="103"/>
  <c r="BK332" i="103"/>
  <c r="BM332" i="103" s="1"/>
  <c r="BK330" i="103"/>
  <c r="BM330" i="103" s="1"/>
  <c r="D325" i="22"/>
  <c r="BK336" i="103"/>
  <c r="BM336" i="103" s="1"/>
  <c r="BK325" i="103"/>
  <c r="BM325" i="103" s="1"/>
  <c r="K382" i="103"/>
  <c r="G258" i="22"/>
  <c r="BK342" i="103"/>
  <c r="BM342" i="103" s="1"/>
  <c r="Z334" i="103"/>
  <c r="BK331" i="103"/>
  <c r="BM331" i="103" s="1"/>
  <c r="Z340" i="103"/>
  <c r="D360" i="22"/>
  <c r="Z362" i="103"/>
  <c r="BK364" i="103"/>
  <c r="BM364" i="103" s="1"/>
  <c r="Z350" i="103"/>
  <c r="BK347" i="103"/>
  <c r="BM347" i="103" s="1"/>
  <c r="BK358" i="103"/>
  <c r="BM358" i="103" s="1"/>
  <c r="BK355" i="103"/>
  <c r="BM355" i="103" s="1"/>
  <c r="BK361" i="103"/>
  <c r="BM361" i="103" s="1"/>
  <c r="Z349" i="103"/>
  <c r="BK345" i="103"/>
  <c r="BM345" i="103" s="1"/>
  <c r="BK357" i="103"/>
  <c r="BM357" i="103" s="1"/>
  <c r="Z346" i="103"/>
  <c r="BK354" i="103"/>
  <c r="BM354" i="103" s="1"/>
  <c r="F37" i="53"/>
  <c r="H37" i="53" s="1"/>
  <c r="D361" i="22"/>
  <c r="BK363" i="103"/>
  <c r="BM363" i="103" s="1"/>
  <c r="BK353" i="103"/>
  <c r="BM353" i="103" s="1"/>
  <c r="D353" i="22"/>
  <c r="D349" i="22"/>
  <c r="BK356" i="103"/>
  <c r="BM356" i="103" s="1"/>
  <c r="D366" i="22"/>
  <c r="D352" i="22"/>
  <c r="E145" i="23"/>
  <c r="F145" i="23" s="1"/>
  <c r="G145" i="23" s="1"/>
  <c r="D350" i="22"/>
  <c r="BK349" i="103"/>
  <c r="BK350" i="103"/>
  <c r="D351" i="22"/>
  <c r="D356" i="22"/>
  <c r="Z355" i="103"/>
  <c r="D362" i="22"/>
  <c r="Z361" i="103"/>
  <c r="E140" i="23"/>
  <c r="O140" i="23" s="1"/>
  <c r="E144" i="23"/>
  <c r="F144" i="23" s="1"/>
  <c r="G144" i="23" s="1"/>
  <c r="Z365" i="103"/>
  <c r="BK365" i="103"/>
  <c r="D346" i="22"/>
  <c r="Z359" i="103"/>
  <c r="BK359" i="103"/>
  <c r="D363" i="22"/>
  <c r="BK362" i="103"/>
  <c r="Z345" i="103"/>
  <c r="D365" i="22"/>
  <c r="BK351" i="103"/>
  <c r="Z364" i="103"/>
  <c r="Z352" i="103"/>
  <c r="BK346" i="103"/>
  <c r="Z351" i="103"/>
  <c r="D348" i="22"/>
  <c r="D364" i="22"/>
  <c r="D358" i="22"/>
  <c r="Z357" i="103"/>
  <c r="BK352" i="103"/>
  <c r="D347" i="22"/>
  <c r="Z363" i="103"/>
  <c r="Z348" i="103"/>
  <c r="BK348" i="103"/>
  <c r="Z360" i="103"/>
  <c r="D354" i="22"/>
  <c r="BK360" i="103"/>
  <c r="Z353" i="103"/>
  <c r="D359" i="22"/>
  <c r="Z358" i="103"/>
  <c r="Z347" i="103"/>
  <c r="Z356" i="103"/>
  <c r="E137" i="23"/>
  <c r="F137" i="23" s="1"/>
  <c r="G137" i="23" s="1"/>
  <c r="D357" i="22"/>
  <c r="D387" i="103"/>
  <c r="R170" i="23"/>
  <c r="D355" i="22"/>
  <c r="Z354" i="103"/>
  <c r="BK334" i="103"/>
  <c r="BM334" i="103" s="1"/>
  <c r="Z331" i="103"/>
  <c r="D332" i="22"/>
  <c r="BK328" i="103"/>
  <c r="BM328" i="103" s="1"/>
  <c r="D335" i="22"/>
  <c r="Z342" i="103"/>
  <c r="D343" i="22"/>
  <c r="Z343" i="103"/>
  <c r="D344" i="22"/>
  <c r="D327" i="22"/>
  <c r="Z326" i="103"/>
  <c r="Z341" i="103"/>
  <c r="D342" i="22"/>
  <c r="D338" i="22"/>
  <c r="Z337" i="103"/>
  <c r="D340" i="22"/>
  <c r="Z339" i="103"/>
  <c r="T25" i="62"/>
  <c r="M25" i="62"/>
  <c r="O25" i="62"/>
  <c r="R25" i="62"/>
  <c r="S25" i="62" s="1"/>
  <c r="X25" i="62"/>
  <c r="Y25" i="62" s="1"/>
  <c r="W25" i="62"/>
  <c r="U25" i="62"/>
  <c r="D330" i="22"/>
  <c r="Z336" i="103"/>
  <c r="BK344" i="103"/>
  <c r="BM344" i="103" s="1"/>
  <c r="D329" i="22"/>
  <c r="BK329" i="103"/>
  <c r="BM329" i="103" s="1"/>
  <c r="D326" i="22"/>
  <c r="Z329" i="103"/>
  <c r="D345" i="22"/>
  <c r="E138" i="23"/>
  <c r="F138" i="23" s="1"/>
  <c r="G138" i="23" s="1"/>
  <c r="Z325" i="103"/>
  <c r="Z344" i="103"/>
  <c r="G193" i="22"/>
  <c r="Z324" i="103"/>
  <c r="D334" i="22"/>
  <c r="D328" i="22"/>
  <c r="Z333" i="103"/>
  <c r="BK327" i="103"/>
  <c r="BM327" i="103" s="1"/>
  <c r="E135" i="23"/>
  <c r="F135" i="23" s="1"/>
  <c r="G135" i="23" s="1"/>
  <c r="D337" i="22"/>
  <c r="BK324" i="103"/>
  <c r="Z21" i="62" s="1"/>
  <c r="AA21" i="62" s="1"/>
  <c r="Z332" i="103"/>
  <c r="E143" i="23"/>
  <c r="O143" i="23" s="1"/>
  <c r="D333" i="22"/>
  <c r="E141" i="23"/>
  <c r="F141" i="23" s="1"/>
  <c r="G141" i="23" s="1"/>
  <c r="Z330" i="103"/>
  <c r="D331" i="22"/>
  <c r="E146" i="23"/>
  <c r="O146" i="23" s="1"/>
  <c r="Z338" i="103"/>
  <c r="E149" i="23"/>
  <c r="F149" i="23" s="1"/>
  <c r="G149" i="23" s="1"/>
  <c r="BK335" i="103"/>
  <c r="D339" i="22"/>
  <c r="D336" i="22"/>
  <c r="E151" i="23"/>
  <c r="O151" i="23" s="1"/>
  <c r="BK379" i="103"/>
  <c r="D341" i="22"/>
  <c r="BK340" i="103"/>
  <c r="BM340" i="103" s="1"/>
  <c r="E150" i="23"/>
  <c r="F150" i="23" s="1"/>
  <c r="G150" i="23" s="1"/>
  <c r="BK376" i="103"/>
  <c r="BK377" i="103"/>
  <c r="BK378" i="103"/>
  <c r="BK269" i="103"/>
  <c r="BK264" i="103"/>
  <c r="BK272" i="103"/>
  <c r="Z290" i="103"/>
  <c r="D172" i="22"/>
  <c r="D300" i="22"/>
  <c r="D167" i="22"/>
  <c r="D289" i="22"/>
  <c r="Z164" i="103"/>
  <c r="G262" i="22"/>
  <c r="G279" i="22"/>
  <c r="G257" i="22"/>
  <c r="BK281" i="103"/>
  <c r="BK263" i="103"/>
  <c r="D168" i="22"/>
  <c r="D297" i="22"/>
  <c r="G265" i="22"/>
  <c r="G260" i="22"/>
  <c r="G270" i="22"/>
  <c r="BK255" i="103"/>
  <c r="BK256" i="103"/>
  <c r="BK248" i="103"/>
  <c r="BM248" i="103" s="1"/>
  <c r="G256" i="22"/>
  <c r="G267" i="22"/>
  <c r="G271" i="22"/>
  <c r="BK277" i="103"/>
  <c r="BK273" i="103"/>
  <c r="Z170" i="103"/>
  <c r="BK241" i="103"/>
  <c r="BM241" i="103" s="1"/>
  <c r="G275" i="22"/>
  <c r="G269" i="22"/>
  <c r="BK265" i="103"/>
  <c r="BK276" i="103"/>
  <c r="D182" i="22"/>
  <c r="Z175" i="103"/>
  <c r="D304" i="22"/>
  <c r="D190" i="22"/>
  <c r="D285" i="22"/>
  <c r="G264" i="22"/>
  <c r="G266" i="22"/>
  <c r="BK259" i="103"/>
  <c r="BK279" i="103"/>
  <c r="BK266" i="103"/>
  <c r="BK275" i="103"/>
  <c r="BK267" i="103"/>
  <c r="BK229" i="103"/>
  <c r="BM229" i="103" s="1"/>
  <c r="BK243" i="103"/>
  <c r="BM243" i="103" s="1"/>
  <c r="Z163" i="103"/>
  <c r="G281" i="22"/>
  <c r="BK261" i="103"/>
  <c r="BK278" i="103"/>
  <c r="BK258" i="103"/>
  <c r="Z178" i="103"/>
  <c r="D286" i="22"/>
  <c r="Z287" i="103"/>
  <c r="D314" i="22"/>
  <c r="D189" i="22"/>
  <c r="G259" i="22"/>
  <c r="G274" i="22"/>
  <c r="BK257" i="103"/>
  <c r="BK250" i="103"/>
  <c r="BM250" i="103" s="1"/>
  <c r="G278" i="22"/>
  <c r="G272" i="22"/>
  <c r="BK260" i="103"/>
  <c r="BK262" i="103"/>
  <c r="BK270" i="103"/>
  <c r="BK192" i="103"/>
  <c r="D312" i="22"/>
  <c r="D180" i="22"/>
  <c r="D309" i="22"/>
  <c r="D178" i="22"/>
  <c r="G284" i="22"/>
  <c r="G277" i="22"/>
  <c r="BK274" i="103"/>
  <c r="BK271" i="103"/>
  <c r="Z307" i="103"/>
  <c r="D187" i="22"/>
  <c r="Z176" i="103"/>
  <c r="D292" i="22"/>
  <c r="G282" i="22"/>
  <c r="G268" i="22"/>
  <c r="BK254" i="103"/>
  <c r="BK268" i="103"/>
  <c r="D293" i="22"/>
  <c r="D181" i="22"/>
  <c r="D290" i="22"/>
  <c r="D307" i="22"/>
  <c r="G273" i="22"/>
  <c r="G263" i="22"/>
  <c r="BK283" i="103"/>
  <c r="BK280" i="103"/>
  <c r="BK282" i="103"/>
  <c r="Z293" i="103"/>
  <c r="D310" i="22"/>
  <c r="Z298" i="103"/>
  <c r="D302" i="22"/>
  <c r="D166" i="22"/>
  <c r="G255" i="22"/>
  <c r="G283" i="22"/>
  <c r="R169" i="23"/>
  <c r="R160" i="23"/>
  <c r="F26" i="53"/>
  <c r="H26" i="53" s="1"/>
  <c r="BK322" i="103"/>
  <c r="R161" i="23"/>
  <c r="D224" i="22"/>
  <c r="BK223" i="103"/>
  <c r="BM223" i="103" s="1"/>
  <c r="D240" i="22"/>
  <c r="BK239" i="103"/>
  <c r="BM239" i="103" s="1"/>
  <c r="D253" i="22"/>
  <c r="BK252" i="103"/>
  <c r="BM252" i="103" s="1"/>
  <c r="BK225" i="103"/>
  <c r="BM225" i="103" s="1"/>
  <c r="D247" i="22"/>
  <c r="BK246" i="103"/>
  <c r="BM246" i="103" s="1"/>
  <c r="Z240" i="103"/>
  <c r="BK240" i="103"/>
  <c r="BM240" i="103" s="1"/>
  <c r="D318" i="22"/>
  <c r="BK317" i="103"/>
  <c r="Z251" i="103"/>
  <c r="BK251" i="103"/>
  <c r="BM251" i="103" s="1"/>
  <c r="D234" i="22"/>
  <c r="BK233" i="103"/>
  <c r="BM233" i="103" s="1"/>
  <c r="Z242" i="103"/>
  <c r="BK242" i="103"/>
  <c r="BM242" i="103" s="1"/>
  <c r="Z228" i="103"/>
  <c r="BK228" i="103"/>
  <c r="BM228" i="103" s="1"/>
  <c r="Z235" i="103"/>
  <c r="BK235" i="103"/>
  <c r="BM235" i="103" s="1"/>
  <c r="D320" i="22"/>
  <c r="BK319" i="103"/>
  <c r="E131" i="23"/>
  <c r="F131" i="23" s="1"/>
  <c r="G131" i="23" s="1"/>
  <c r="BK320" i="103"/>
  <c r="D238" i="22"/>
  <c r="BK237" i="103"/>
  <c r="BM237" i="103" s="1"/>
  <c r="Z236" i="103"/>
  <c r="BK236" i="103"/>
  <c r="BM236" i="103" s="1"/>
  <c r="BK231" i="103"/>
  <c r="BM231" i="103" s="1"/>
  <c r="Z226" i="103"/>
  <c r="BK226" i="103"/>
  <c r="BM226" i="103" s="1"/>
  <c r="Z323" i="103"/>
  <c r="BK323" i="103"/>
  <c r="BK224" i="103"/>
  <c r="BM224" i="103" s="1"/>
  <c r="Z318" i="103"/>
  <c r="BK318" i="103"/>
  <c r="D228" i="22"/>
  <c r="BK227" i="103"/>
  <c r="BM227" i="103" s="1"/>
  <c r="BK238" i="103"/>
  <c r="BM238" i="103" s="1"/>
  <c r="Z253" i="103"/>
  <c r="BK253" i="103"/>
  <c r="BM253" i="103" s="1"/>
  <c r="BK230" i="103"/>
  <c r="BM230" i="103" s="1"/>
  <c r="Z321" i="103"/>
  <c r="BK321" i="103"/>
  <c r="Z234" i="103"/>
  <c r="BK234" i="103"/>
  <c r="BM234" i="103" s="1"/>
  <c r="E127" i="23"/>
  <c r="O127" i="23" s="1"/>
  <c r="BK316" i="103"/>
  <c r="Z244" i="103"/>
  <c r="BK244" i="103"/>
  <c r="BM244" i="103" s="1"/>
  <c r="BK247" i="103"/>
  <c r="BM247" i="103" s="1"/>
  <c r="D233" i="22"/>
  <c r="BK232" i="103"/>
  <c r="BM232" i="103" s="1"/>
  <c r="E126" i="23"/>
  <c r="O126" i="23" s="1"/>
  <c r="BK315" i="103"/>
  <c r="D250" i="22"/>
  <c r="BK249" i="103"/>
  <c r="BM249" i="103" s="1"/>
  <c r="BK245" i="103"/>
  <c r="BM245" i="103" s="1"/>
  <c r="Z296" i="103"/>
  <c r="F28" i="53"/>
  <c r="H28" i="53" s="1"/>
  <c r="D291" i="22"/>
  <c r="Z171" i="103"/>
  <c r="D165" i="22"/>
  <c r="Z299" i="103"/>
  <c r="D236" i="22"/>
  <c r="Z288" i="103"/>
  <c r="Z166" i="103"/>
  <c r="D294" i="22"/>
  <c r="Z289" i="103"/>
  <c r="D241" i="22"/>
  <c r="Z292" i="103"/>
  <c r="Z246" i="103"/>
  <c r="Z306" i="103"/>
  <c r="Z179" i="103"/>
  <c r="D246" i="22"/>
  <c r="Z311" i="103"/>
  <c r="Z177" i="103"/>
  <c r="Z308" i="103"/>
  <c r="Z245" i="103"/>
  <c r="Z232" i="103"/>
  <c r="Z249" i="103"/>
  <c r="D299" i="22"/>
  <c r="D243" i="22"/>
  <c r="D177" i="22"/>
  <c r="D229" i="22"/>
  <c r="Z301" i="103"/>
  <c r="Z309" i="103"/>
  <c r="Z165" i="103"/>
  <c r="Z233" i="103"/>
  <c r="F27" i="53"/>
  <c r="H27" i="53" s="1"/>
  <c r="D252" i="22"/>
  <c r="Z180" i="103"/>
  <c r="Z291" i="103"/>
  <c r="Z225" i="103"/>
  <c r="K384" i="103"/>
  <c r="Z167" i="103"/>
  <c r="E130" i="23"/>
  <c r="F130" i="23" s="1"/>
  <c r="G130" i="23" s="1"/>
  <c r="D232" i="22"/>
  <c r="Z231" i="103"/>
  <c r="Z237" i="103"/>
  <c r="D237" i="22"/>
  <c r="D227" i="22"/>
  <c r="R159" i="23"/>
  <c r="Z223" i="103"/>
  <c r="D226" i="22"/>
  <c r="Z186" i="103"/>
  <c r="D308" i="22"/>
  <c r="Z239" i="103"/>
  <c r="Z252" i="103"/>
  <c r="D254" i="22"/>
  <c r="D288" i="22"/>
  <c r="Z188" i="103"/>
  <c r="D179" i="22"/>
  <c r="Z284" i="103"/>
  <c r="D239" i="22"/>
  <c r="Z227" i="103"/>
  <c r="Z181" i="103"/>
  <c r="Z238" i="103"/>
  <c r="E129" i="23"/>
  <c r="O129" i="23" s="1"/>
  <c r="Z189" i="103"/>
  <c r="Z303" i="103"/>
  <c r="D176" i="22"/>
  <c r="E132" i="23"/>
  <c r="O132" i="23" s="1"/>
  <c r="Z313" i="103"/>
  <c r="Z285" i="103"/>
  <c r="D231" i="22"/>
  <c r="Z230" i="103"/>
  <c r="Z304" i="103"/>
  <c r="D244" i="22"/>
  <c r="Z229" i="103"/>
  <c r="D315" i="22"/>
  <c r="F36" i="53"/>
  <c r="H36" i="53" s="1"/>
  <c r="Z162" i="103"/>
  <c r="D230" i="22"/>
  <c r="D163" i="22"/>
  <c r="Z243" i="103"/>
  <c r="D186" i="22"/>
  <c r="D305" i="22"/>
  <c r="Z312" i="103"/>
  <c r="Z185" i="103"/>
  <c r="D313" i="22"/>
  <c r="D164" i="22"/>
  <c r="Z314" i="103"/>
  <c r="Z250" i="103"/>
  <c r="D322" i="22"/>
  <c r="D248" i="22"/>
  <c r="Z315" i="103"/>
  <c r="Z295" i="103"/>
  <c r="Z317" i="103"/>
  <c r="Z168" i="103"/>
  <c r="D251" i="22"/>
  <c r="Z316" i="103"/>
  <c r="Z247" i="103"/>
  <c r="D169" i="22"/>
  <c r="Z319" i="103"/>
  <c r="Z173" i="103"/>
  <c r="Z174" i="103"/>
  <c r="D191" i="22"/>
  <c r="Z172" i="103"/>
  <c r="Z302" i="103"/>
  <c r="D321" i="22"/>
  <c r="D171" i="22"/>
  <c r="D311" i="22"/>
  <c r="D192" i="22"/>
  <c r="D324" i="22"/>
  <c r="D242" i="22"/>
  <c r="D188" i="22"/>
  <c r="D225" i="22"/>
  <c r="D174" i="22"/>
  <c r="D296" i="22"/>
  <c r="Y12" i="62"/>
  <c r="D319" i="22"/>
  <c r="D235" i="22"/>
  <c r="D245" i="22"/>
  <c r="D316" i="22"/>
  <c r="D381" i="103"/>
  <c r="Z190" i="103"/>
  <c r="D175" i="22"/>
  <c r="Z191" i="103"/>
  <c r="D303" i="22"/>
  <c r="Z310" i="103"/>
  <c r="Z187" i="103"/>
  <c r="E133" i="23"/>
  <c r="F133" i="23" s="1"/>
  <c r="G133" i="23" s="1"/>
  <c r="D249" i="22"/>
  <c r="D173" i="22"/>
  <c r="Z320" i="103"/>
  <c r="E134" i="23"/>
  <c r="F134" i="23" s="1"/>
  <c r="G134" i="23" s="1"/>
  <c r="Z248" i="103"/>
  <c r="D383" i="103"/>
  <c r="Z241" i="103"/>
  <c r="Z224" i="103"/>
  <c r="D323" i="22"/>
  <c r="Z322" i="103"/>
  <c r="D317" i="22"/>
  <c r="D386" i="103"/>
  <c r="V24" i="62"/>
  <c r="B18" i="31"/>
  <c r="B52" i="31"/>
  <c r="A52" i="31" s="1"/>
  <c r="A17" i="31"/>
  <c r="B24" i="102"/>
  <c r="C24" i="102" s="1"/>
  <c r="AJ375" i="22"/>
  <c r="AD186" i="22"/>
  <c r="AD318" i="22"/>
  <c r="AP346" i="22"/>
  <c r="AP54" i="22"/>
  <c r="AP364" i="22"/>
  <c r="AD19" i="22"/>
  <c r="AD172" i="22"/>
  <c r="AF372" i="22"/>
  <c r="AF337" i="22"/>
  <c r="AD36" i="22"/>
  <c r="AD43" i="22"/>
  <c r="AD203" i="22"/>
  <c r="AD249" i="22"/>
  <c r="AP196" i="22"/>
  <c r="AP157" i="22"/>
  <c r="AP137" i="22"/>
  <c r="AD129" i="22"/>
  <c r="AD251" i="22"/>
  <c r="AD157" i="22"/>
  <c r="AF344" i="22"/>
  <c r="AF198" i="22"/>
  <c r="AD242" i="22"/>
  <c r="AD235" i="22"/>
  <c r="AD67" i="22"/>
  <c r="AP236" i="22"/>
  <c r="AP58" i="22"/>
  <c r="AP206" i="22"/>
  <c r="AD328" i="22"/>
  <c r="AD74" i="22"/>
  <c r="AP138" i="22"/>
  <c r="AF196" i="22"/>
  <c r="AH122" i="22"/>
  <c r="AD81" i="22"/>
  <c r="AR362" i="22"/>
  <c r="AD55" i="22"/>
  <c r="AP368" i="22"/>
  <c r="AD345" i="22"/>
  <c r="AD61" i="22"/>
  <c r="AP97" i="22"/>
  <c r="AP361" i="22"/>
  <c r="AR264" i="22"/>
  <c r="AD225" i="22"/>
  <c r="AD247" i="22"/>
  <c r="AD92" i="22"/>
  <c r="AP307" i="22"/>
  <c r="AP322" i="22"/>
  <c r="X59" i="22"/>
  <c r="AF351" i="22"/>
  <c r="AP156" i="22"/>
  <c r="AD63" i="22"/>
  <c r="AD222" i="22"/>
  <c r="AP328" i="22"/>
  <c r="AP48" i="22"/>
  <c r="X316" i="22"/>
  <c r="AF324" i="22"/>
  <c r="AD285" i="22"/>
  <c r="AD115" i="22"/>
  <c r="AD291" i="22"/>
  <c r="AF363" i="22"/>
  <c r="AH316" i="22"/>
  <c r="X298" i="22"/>
  <c r="AF258" i="22"/>
  <c r="AN258" i="22"/>
  <c r="AD14" i="22"/>
  <c r="AD94" i="22"/>
  <c r="AD234" i="22"/>
  <c r="AD171" i="22"/>
  <c r="AD25" i="22"/>
  <c r="AD309" i="22"/>
  <c r="AD297" i="22"/>
  <c r="AD168" i="22"/>
  <c r="AD91" i="22"/>
  <c r="AD187" i="22"/>
  <c r="AD100" i="22"/>
  <c r="AD292" i="22"/>
  <c r="AD18" i="22"/>
  <c r="AD308" i="22"/>
  <c r="AD126" i="22"/>
  <c r="AD368" i="22"/>
  <c r="AD113" i="22"/>
  <c r="AD40" i="22"/>
  <c r="AD182" i="22"/>
  <c r="AD221" i="22"/>
  <c r="AD290" i="22"/>
  <c r="AD35" i="22"/>
  <c r="AD248" i="22"/>
  <c r="AD73" i="22"/>
  <c r="AD228" i="22"/>
  <c r="AN256" i="22"/>
  <c r="AF311" i="22"/>
  <c r="AD103" i="22"/>
  <c r="AP53" i="22"/>
  <c r="AF306" i="22"/>
  <c r="AP162" i="22"/>
  <c r="AF369" i="22"/>
  <c r="AP244" i="22"/>
  <c r="AF341" i="22"/>
  <c r="AP353" i="22"/>
  <c r="AP121" i="22"/>
  <c r="AR346" i="22"/>
  <c r="AP305" i="22"/>
  <c r="AP144" i="22"/>
  <c r="AP109" i="22"/>
  <c r="AP67" i="22"/>
  <c r="AP358" i="22"/>
  <c r="AP46" i="22"/>
  <c r="AP19" i="22"/>
  <c r="AP124" i="22"/>
  <c r="AF64" i="22"/>
  <c r="AF333" i="22"/>
  <c r="AF110" i="22"/>
  <c r="AP254" i="22"/>
  <c r="AP337" i="22"/>
  <c r="AP149" i="22"/>
  <c r="AF323" i="22"/>
  <c r="AP251" i="22"/>
  <c r="AR170" i="22"/>
  <c r="AH330" i="22"/>
  <c r="AH185" i="22"/>
  <c r="AR193" i="22"/>
  <c r="AR174" i="22"/>
  <c r="R250" i="22"/>
  <c r="R12" i="22"/>
  <c r="AP256" i="22"/>
  <c r="AD70" i="22"/>
  <c r="AD215" i="22"/>
  <c r="AD176" i="22"/>
  <c r="AD374" i="22"/>
  <c r="AD169" i="22"/>
  <c r="AD254" i="22"/>
  <c r="AD212" i="22"/>
  <c r="AD199" i="22"/>
  <c r="AD54" i="22"/>
  <c r="AD315" i="22"/>
  <c r="AD319" i="22"/>
  <c r="AD367" i="22"/>
  <c r="AD305" i="22"/>
  <c r="AD84" i="22"/>
  <c r="AD240" i="22"/>
  <c r="AD342" i="22"/>
  <c r="AD233" i="22"/>
  <c r="AD252" i="22"/>
  <c r="AD294" i="22"/>
  <c r="AD57" i="22"/>
  <c r="AD337" i="22"/>
  <c r="AD175" i="22"/>
  <c r="AF256" i="22"/>
  <c r="AD236" i="22"/>
  <c r="AF308" i="22"/>
  <c r="AD37" i="22"/>
  <c r="AF304" i="22"/>
  <c r="AD158" i="22"/>
  <c r="AF307" i="22"/>
  <c r="AP222" i="22"/>
  <c r="AP88" i="22"/>
  <c r="AP139" i="22"/>
  <c r="AH295" i="22"/>
  <c r="AF298" i="22"/>
  <c r="AF318" i="22"/>
  <c r="AP115" i="22"/>
  <c r="AP183" i="22"/>
  <c r="AP198" i="22"/>
  <c r="AH338" i="22"/>
  <c r="AF314" i="22"/>
  <c r="AF156" i="22"/>
  <c r="AF336" i="22"/>
  <c r="AP326" i="22"/>
  <c r="AP130" i="22"/>
  <c r="AH340" i="22"/>
  <c r="AF373" i="22"/>
  <c r="AP171" i="22"/>
  <c r="AH342" i="22"/>
  <c r="AP45" i="22"/>
  <c r="AP126" i="22"/>
  <c r="AP318" i="22"/>
  <c r="AP25" i="22"/>
  <c r="AP116" i="22"/>
  <c r="AF26" i="22"/>
  <c r="AF211" i="22"/>
  <c r="AF160" i="22"/>
  <c r="AF45" i="22"/>
  <c r="X93" i="22"/>
  <c r="X367" i="22"/>
  <c r="R249" i="22"/>
  <c r="AF257" i="22"/>
  <c r="AD211" i="22"/>
  <c r="AD90" i="22"/>
  <c r="AD164" i="22"/>
  <c r="AD104" i="22"/>
  <c r="AD88" i="22"/>
  <c r="AD98" i="22"/>
  <c r="AD299" i="22"/>
  <c r="AD339" i="22"/>
  <c r="AD206" i="22"/>
  <c r="AD79" i="22"/>
  <c r="AD250" i="22"/>
  <c r="AD15" i="22"/>
  <c r="AD333" i="22"/>
  <c r="AD125" i="22"/>
  <c r="AD350" i="22"/>
  <c r="AD286" i="22"/>
  <c r="AD105" i="22"/>
  <c r="AD24" i="22"/>
  <c r="AD341" i="22"/>
  <c r="AD371" i="22"/>
  <c r="AD304" i="22"/>
  <c r="AD181" i="22"/>
  <c r="AD241" i="22"/>
  <c r="AD41" i="22"/>
  <c r="AF346" i="22"/>
  <c r="AD153" i="22"/>
  <c r="AF305" i="22"/>
  <c r="AF328" i="22"/>
  <c r="AD135" i="22"/>
  <c r="AP31" i="22"/>
  <c r="AP218" i="22"/>
  <c r="AP253" i="22"/>
  <c r="AP329" i="22"/>
  <c r="AF313" i="22"/>
  <c r="AP148" i="22"/>
  <c r="AH291" i="22"/>
  <c r="AP344" i="22"/>
  <c r="AP92" i="22"/>
  <c r="AF310" i="22"/>
  <c r="AP292" i="22"/>
  <c r="AP235" i="22"/>
  <c r="AP141" i="22"/>
  <c r="AF97" i="22"/>
  <c r="AF109" i="22"/>
  <c r="AP131" i="22"/>
  <c r="AF157" i="22"/>
  <c r="AP306" i="22"/>
  <c r="AP113" i="22"/>
  <c r="AP303" i="22"/>
  <c r="AP293" i="22"/>
  <c r="AP161" i="22"/>
  <c r="AF206" i="22"/>
  <c r="AP101" i="22"/>
  <c r="AF302" i="22"/>
  <c r="AP184" i="22"/>
  <c r="AR13" i="22"/>
  <c r="AH314" i="22"/>
  <c r="T226" i="22"/>
  <c r="Z304" i="22"/>
  <c r="AR51" i="22"/>
  <c r="AN260" i="22"/>
  <c r="AD255" i="22"/>
  <c r="AD163" i="22"/>
  <c r="AD83" i="22"/>
  <c r="AD82" i="22"/>
  <c r="AD33" i="22"/>
  <c r="AD128" i="22"/>
  <c r="AD343" i="22"/>
  <c r="AD130" i="22"/>
  <c r="AD166" i="22"/>
  <c r="AD76" i="22"/>
  <c r="AD354" i="22"/>
  <c r="AD139" i="22"/>
  <c r="AD217" i="22"/>
  <c r="AD295" i="22"/>
  <c r="AD117" i="22"/>
  <c r="AD20" i="22"/>
  <c r="AD243" i="22"/>
  <c r="AD210" i="22"/>
  <c r="AD226" i="22"/>
  <c r="AD317" i="22"/>
  <c r="AD325" i="22"/>
  <c r="AD364" i="22"/>
  <c r="AD329" i="22"/>
  <c r="AD124" i="22"/>
  <c r="AD365" i="22"/>
  <c r="AD50" i="22"/>
  <c r="AD148" i="22"/>
  <c r="AP163" i="22"/>
  <c r="AF255" i="22"/>
  <c r="AD38" i="22"/>
  <c r="AD147" i="22"/>
  <c r="AP362" i="22"/>
  <c r="AP78" i="22"/>
  <c r="AP135" i="22"/>
  <c r="AP164" i="22"/>
  <c r="AP288" i="22"/>
  <c r="AP102" i="22"/>
  <c r="AP64" i="22"/>
  <c r="AP241" i="22"/>
  <c r="AH375" i="22"/>
  <c r="AF374" i="22"/>
  <c r="AF360" i="22"/>
  <c r="AP155" i="22"/>
  <c r="AP313" i="22"/>
  <c r="AP200" i="22"/>
  <c r="AP369" i="22"/>
  <c r="AP154" i="22"/>
  <c r="AP77" i="22"/>
  <c r="AF135" i="22"/>
  <c r="AP103" i="22"/>
  <c r="AF42" i="22"/>
  <c r="AP108" i="22"/>
  <c r="AP336" i="22"/>
  <c r="AP360" i="22"/>
  <c r="AR18" i="22"/>
  <c r="AR307" i="22"/>
  <c r="AF101" i="22"/>
  <c r="AH251" i="22"/>
  <c r="AR78" i="22"/>
  <c r="Z330" i="22"/>
  <c r="AP166" i="22"/>
  <c r="X67" i="22"/>
  <c r="AP258" i="22"/>
  <c r="AD346" i="22"/>
  <c r="AD198" i="22"/>
  <c r="AD56" i="22"/>
  <c r="AD209" i="22"/>
  <c r="AD196" i="22"/>
  <c r="AD302" i="22"/>
  <c r="AD97" i="22"/>
  <c r="AD370" i="22"/>
  <c r="AD60" i="22"/>
  <c r="AD101" i="22"/>
  <c r="AD16" i="22"/>
  <c r="AD22" i="22"/>
  <c r="AD89" i="22"/>
  <c r="AD112" i="22"/>
  <c r="AD375" i="22"/>
  <c r="AD358" i="22"/>
  <c r="AD99" i="22"/>
  <c r="AD344" i="22"/>
  <c r="AD44" i="22"/>
  <c r="AD359" i="22"/>
  <c r="AD296" i="22"/>
  <c r="AD195" i="22"/>
  <c r="AD32" i="22"/>
  <c r="AD347" i="22"/>
  <c r="AD174" i="22"/>
  <c r="AD39" i="22"/>
  <c r="AD141" i="22"/>
  <c r="AD152" i="22"/>
  <c r="AD159" i="22"/>
  <c r="AD137" i="22"/>
  <c r="AP95" i="22"/>
  <c r="AP203" i="22"/>
  <c r="AP215" i="22"/>
  <c r="AF292" i="22"/>
  <c r="AP112" i="22"/>
  <c r="AH307" i="22"/>
  <c r="AP13" i="22"/>
  <c r="AP96" i="22"/>
  <c r="AF342" i="22"/>
  <c r="AH329" i="22"/>
  <c r="AP105" i="22"/>
  <c r="AP230" i="22"/>
  <c r="AP221" i="22"/>
  <c r="AP168" i="22"/>
  <c r="AP158" i="22"/>
  <c r="AF162" i="22"/>
  <c r="AF322" i="22"/>
  <c r="AP297" i="22"/>
  <c r="AP146" i="22"/>
  <c r="AF183" i="22"/>
  <c r="AP290" i="22"/>
  <c r="AH362" i="22"/>
  <c r="AH353" i="22"/>
  <c r="AF202" i="22"/>
  <c r="AF172" i="22"/>
  <c r="AF155" i="22"/>
  <c r="AR304" i="22"/>
  <c r="AR115" i="22"/>
  <c r="AB161" i="22"/>
  <c r="V109" i="22"/>
  <c r="AD96" i="22"/>
  <c r="AD201" i="22"/>
  <c r="AD334" i="22"/>
  <c r="AD230" i="22"/>
  <c r="AD65" i="22"/>
  <c r="AD190" i="22"/>
  <c r="AD29" i="22"/>
  <c r="AD360" i="22"/>
  <c r="AD45" i="22"/>
  <c r="AD216" i="22"/>
  <c r="AD120" i="22"/>
  <c r="AD75" i="22"/>
  <c r="AD232" i="22"/>
  <c r="AD189" i="22"/>
  <c r="AD183" i="22"/>
  <c r="AD356" i="22"/>
  <c r="AD27" i="22"/>
  <c r="AD110" i="22"/>
  <c r="AD362" i="22"/>
  <c r="AD180" i="22"/>
  <c r="AD80" i="22"/>
  <c r="AD140" i="22"/>
  <c r="AP316" i="22"/>
  <c r="AD151" i="22"/>
  <c r="AF316" i="22"/>
  <c r="AD138" i="22"/>
  <c r="AH305" i="22"/>
  <c r="AP132" i="22"/>
  <c r="AP42" i="22"/>
  <c r="AP295" i="22"/>
  <c r="AP310" i="22"/>
  <c r="AF291" i="22"/>
  <c r="AD227" i="22"/>
  <c r="AP294" i="22"/>
  <c r="AF349" i="22"/>
  <c r="AF364" i="22"/>
  <c r="AP323" i="22"/>
  <c r="AP291" i="22"/>
  <c r="AF71" i="22"/>
  <c r="AP69" i="22"/>
  <c r="AP248" i="22"/>
  <c r="AP174" i="22"/>
  <c r="AF95" i="22"/>
  <c r="AP341" i="22"/>
  <c r="AP321" i="22"/>
  <c r="AH288" i="22"/>
  <c r="AP136" i="22"/>
  <c r="AP197" i="22"/>
  <c r="AF163" i="22"/>
  <c r="AF94" i="22"/>
  <c r="AF194" i="22"/>
  <c r="AR68" i="22"/>
  <c r="AR285" i="22"/>
  <c r="X138" i="22"/>
  <c r="T353" i="22"/>
  <c r="AN187" i="22"/>
  <c r="AL172" i="22"/>
  <c r="AN149" i="22"/>
  <c r="AL349" i="22"/>
  <c r="AN14" i="22"/>
  <c r="AL253" i="22"/>
  <c r="AL191" i="22"/>
  <c r="AL142" i="22"/>
  <c r="AN211" i="22"/>
  <c r="AL50" i="22"/>
  <c r="AN249" i="22"/>
  <c r="AN25" i="22"/>
  <c r="AL16" i="22"/>
  <c r="AN339" i="22"/>
  <c r="AN49" i="22"/>
  <c r="AN135" i="22"/>
  <c r="AL128" i="22"/>
  <c r="AN68" i="22"/>
  <c r="AL331" i="22"/>
  <c r="AN228" i="22"/>
  <c r="AN168" i="22"/>
  <c r="AL73" i="22"/>
  <c r="AN156" i="22"/>
  <c r="AN335" i="22"/>
  <c r="AN28" i="22"/>
  <c r="AL131" i="22"/>
  <c r="AL70" i="22"/>
  <c r="AL97" i="22"/>
  <c r="AL238" i="22"/>
  <c r="AN348" i="22"/>
  <c r="AL248" i="22"/>
  <c r="AN175" i="22"/>
  <c r="AL185" i="22"/>
  <c r="AL180" i="22"/>
  <c r="AN151" i="22"/>
  <c r="AL182" i="22"/>
  <c r="AN96" i="22"/>
  <c r="AL324" i="22"/>
  <c r="AL358" i="22"/>
  <c r="AL200" i="22"/>
  <c r="AL19" i="22"/>
  <c r="AL246" i="22"/>
  <c r="AN210" i="22"/>
  <c r="AL62" i="22"/>
  <c r="AL170" i="22"/>
  <c r="AL365" i="22"/>
  <c r="AN334" i="22"/>
  <c r="AL60" i="22"/>
  <c r="AL206" i="22"/>
  <c r="AJ256" i="22"/>
  <c r="Z228" i="22"/>
  <c r="AB359" i="22"/>
  <c r="AR123" i="22"/>
  <c r="R234" i="22"/>
  <c r="AH208" i="22"/>
  <c r="X231" i="22"/>
  <c r="AB100" i="22"/>
  <c r="AH141" i="22"/>
  <c r="AH116" i="22"/>
  <c r="V76" i="22"/>
  <c r="Z98" i="22"/>
  <c r="AB233" i="22"/>
  <c r="T156" i="22"/>
  <c r="R95" i="22"/>
  <c r="AJ194" i="22"/>
  <c r="R27" i="22"/>
  <c r="AJ233" i="22"/>
  <c r="T277" i="22"/>
  <c r="Z278" i="22"/>
  <c r="Z218" i="22"/>
  <c r="V139" i="22"/>
  <c r="AJ329" i="22"/>
  <c r="Z166" i="22"/>
  <c r="AR364" i="22"/>
  <c r="Z339" i="22"/>
  <c r="R270" i="22"/>
  <c r="T94" i="22"/>
  <c r="R15" i="22"/>
  <c r="R352" i="22"/>
  <c r="V65" i="22"/>
  <c r="R36" i="22"/>
  <c r="AN185" i="22"/>
  <c r="AL164" i="22"/>
  <c r="AN190" i="22"/>
  <c r="AN183" i="22"/>
  <c r="AL90" i="22"/>
  <c r="AN331" i="22"/>
  <c r="AN188" i="22"/>
  <c r="AL209" i="22"/>
  <c r="AL318" i="22"/>
  <c r="AN122" i="22"/>
  <c r="AL243" i="22"/>
  <c r="AL49" i="22"/>
  <c r="AL112" i="22"/>
  <c r="AL184" i="22"/>
  <c r="AN173" i="22"/>
  <c r="AL181" i="22"/>
  <c r="AN55" i="22"/>
  <c r="AN144" i="22"/>
  <c r="AN325" i="22"/>
  <c r="AN27" i="22"/>
  <c r="AL330" i="22"/>
  <c r="AL64" i="22"/>
  <c r="AN202" i="22"/>
  <c r="AN21" i="22"/>
  <c r="AN18" i="22"/>
  <c r="AN240" i="22"/>
  <c r="AN159" i="22"/>
  <c r="AN358" i="22"/>
  <c r="AL254" i="22"/>
  <c r="AL352" i="22"/>
  <c r="AN376" i="22"/>
  <c r="AN218" i="22"/>
  <c r="AL335" i="22"/>
  <c r="AN216" i="22"/>
  <c r="AL171" i="22"/>
  <c r="AL45" i="22"/>
  <c r="AN320" i="22"/>
  <c r="AN40" i="22"/>
  <c r="AN61" i="22"/>
  <c r="AN178" i="22"/>
  <c r="AL121" i="22"/>
  <c r="AN364" i="22"/>
  <c r="AL202" i="22"/>
  <c r="AL107" i="22"/>
  <c r="AL252" i="22"/>
  <c r="AL14" i="22"/>
  <c r="AN16" i="22"/>
  <c r="AL79" i="22"/>
  <c r="AN330" i="22"/>
  <c r="X144" i="22"/>
  <c r="R137" i="22"/>
  <c r="AJ221" i="22"/>
  <c r="AJ360" i="22"/>
  <c r="AB179" i="22"/>
  <c r="T147" i="22"/>
  <c r="AJ164" i="22"/>
  <c r="Z16" i="22"/>
  <c r="AB180" i="22"/>
  <c r="R25" i="22"/>
  <c r="T316" i="22"/>
  <c r="V48" i="22"/>
  <c r="T174" i="22"/>
  <c r="T86" i="22"/>
  <c r="AJ351" i="22"/>
  <c r="V338" i="22"/>
  <c r="T89" i="22"/>
  <c r="Z163" i="22"/>
  <c r="AJ161" i="22"/>
  <c r="AL300" i="22"/>
  <c r="AH56" i="22"/>
  <c r="AJ371" i="22"/>
  <c r="V111" i="22"/>
  <c r="AR67" i="22"/>
  <c r="AJ372" i="22"/>
  <c r="Z316" i="22"/>
  <c r="T186" i="22"/>
  <c r="Z327" i="22"/>
  <c r="AB311" i="22"/>
  <c r="Z128" i="22"/>
  <c r="AH159" i="22"/>
  <c r="Z46" i="22"/>
  <c r="AN201" i="22"/>
  <c r="AL345" i="22"/>
  <c r="AN214" i="22"/>
  <c r="AN182" i="22"/>
  <c r="AL120" i="22"/>
  <c r="AL360" i="22"/>
  <c r="AN327" i="22"/>
  <c r="AN94" i="22"/>
  <c r="AN349" i="22"/>
  <c r="AN45" i="22"/>
  <c r="AL327" i="22"/>
  <c r="AL161" i="22"/>
  <c r="AL165" i="22"/>
  <c r="AL176" i="22"/>
  <c r="AN248" i="22"/>
  <c r="AL223" i="22"/>
  <c r="AL52" i="22"/>
  <c r="AL195" i="22"/>
  <c r="AN347" i="22"/>
  <c r="AN126" i="22"/>
  <c r="AN352" i="22"/>
  <c r="AL151" i="22"/>
  <c r="AL207" i="22"/>
  <c r="AN114" i="22"/>
  <c r="AL82" i="22"/>
  <c r="AN86" i="22"/>
  <c r="AL229" i="22"/>
  <c r="AN26" i="22"/>
  <c r="AL354" i="22"/>
  <c r="AL51" i="22"/>
  <c r="AN198" i="22"/>
  <c r="AN359" i="22"/>
  <c r="AN148" i="22"/>
  <c r="AL204" i="22"/>
  <c r="AN233" i="22"/>
  <c r="AL109" i="22"/>
  <c r="AN333" i="22"/>
  <c r="AN370" i="22"/>
  <c r="AN50" i="22"/>
  <c r="AL28" i="22"/>
  <c r="AL244" i="22"/>
  <c r="AL221" i="22"/>
  <c r="AN371" i="22"/>
  <c r="AL148" i="22"/>
  <c r="AN362" i="22"/>
  <c r="AL15" i="22"/>
  <c r="AN184" i="22"/>
  <c r="AL61" i="22"/>
  <c r="AL350" i="22"/>
  <c r="AH48" i="22"/>
  <c r="R34" i="22"/>
  <c r="V20" i="22"/>
  <c r="AJ331" i="22"/>
  <c r="V195" i="22"/>
  <c r="R85" i="22"/>
  <c r="AN298" i="22"/>
  <c r="AR322" i="22"/>
  <c r="R88" i="22"/>
  <c r="AJ285" i="22"/>
  <c r="AB38" i="22"/>
  <c r="AB129" i="22"/>
  <c r="AJ19" i="22"/>
  <c r="AJ352" i="22"/>
  <c r="T308" i="22"/>
  <c r="T133" i="22"/>
  <c r="X41" i="22"/>
  <c r="AJ126" i="22"/>
  <c r="Z347" i="22"/>
  <c r="AB265" i="22"/>
  <c r="AJ370" i="22"/>
  <c r="AH260" i="22"/>
  <c r="T74" i="22"/>
  <c r="AN309" i="22"/>
  <c r="Z286" i="22"/>
  <c r="R153" i="22"/>
  <c r="AH60" i="22"/>
  <c r="AJ261" i="22"/>
  <c r="V241" i="22"/>
  <c r="AB241" i="22"/>
  <c r="V306" i="22"/>
  <c r="T349" i="22"/>
  <c r="AL328" i="22"/>
  <c r="AN65" i="22"/>
  <c r="AL225" i="22"/>
  <c r="AL81" i="22"/>
  <c r="AL201" i="22"/>
  <c r="AL75" i="22"/>
  <c r="AN319" i="22"/>
  <c r="AN196" i="22"/>
  <c r="AN35" i="22"/>
  <c r="AN29" i="22"/>
  <c r="AL40" i="22"/>
  <c r="AL183" i="22"/>
  <c r="AN186" i="22"/>
  <c r="AN179" i="22"/>
  <c r="AL320" i="22"/>
  <c r="AL247" i="22"/>
  <c r="AN235" i="22"/>
  <c r="AL187" i="22"/>
  <c r="AL21" i="22"/>
  <c r="AN206" i="22"/>
  <c r="AN73" i="22"/>
  <c r="AN181" i="22"/>
  <c r="AL58" i="22"/>
  <c r="AL124" i="22"/>
  <c r="AL188" i="22"/>
  <c r="AL86" i="22"/>
  <c r="AL216" i="22"/>
  <c r="AL115" i="22"/>
  <c r="AL362" i="22"/>
  <c r="AL47" i="22"/>
  <c r="AN180" i="22"/>
  <c r="AN20" i="22"/>
  <c r="AN227" i="22"/>
  <c r="AL338" i="22"/>
  <c r="AL326" i="22"/>
  <c r="AL197" i="22"/>
  <c r="AN354" i="22"/>
  <c r="AN53" i="22"/>
  <c r="AL31" i="22"/>
  <c r="AN84" i="22"/>
  <c r="AL36" i="22"/>
  <c r="AL210" i="22"/>
  <c r="AN22" i="22"/>
  <c r="AN247" i="22"/>
  <c r="AL363" i="22"/>
  <c r="AL69" i="22"/>
  <c r="AL78" i="22"/>
  <c r="AN116" i="22"/>
  <c r="AN31" i="22"/>
  <c r="AN311" i="22"/>
  <c r="T285" i="22"/>
  <c r="T19" i="22"/>
  <c r="T212" i="22"/>
  <c r="AL304" i="22"/>
  <c r="AR326" i="22"/>
  <c r="T23" i="22"/>
  <c r="T231" i="22"/>
  <c r="V265" i="22"/>
  <c r="Z214" i="22"/>
  <c r="AB299" i="22"/>
  <c r="AB197" i="22"/>
  <c r="X307" i="22"/>
  <c r="AP104" i="22"/>
  <c r="T337" i="22"/>
  <c r="AJ55" i="22"/>
  <c r="V253" i="22"/>
  <c r="AB275" i="22"/>
  <c r="AJ162" i="22"/>
  <c r="V61" i="22"/>
  <c r="AJ303" i="22"/>
  <c r="Z187" i="22"/>
  <c r="AP84" i="22"/>
  <c r="Z338" i="22"/>
  <c r="T225" i="22"/>
  <c r="Z229" i="22"/>
  <c r="V214" i="22"/>
  <c r="AB68" i="22"/>
  <c r="AJ121" i="22"/>
  <c r="AJ16" i="22"/>
  <c r="X195" i="22"/>
  <c r="AH83" i="22"/>
  <c r="AL96" i="22"/>
  <c r="AN101" i="22"/>
  <c r="AN341" i="22"/>
  <c r="AN99" i="22"/>
  <c r="AN326" i="22"/>
  <c r="AL145" i="22"/>
  <c r="AN361" i="22"/>
  <c r="AN250" i="22"/>
  <c r="AL39" i="22"/>
  <c r="AN152" i="22"/>
  <c r="AL129" i="22"/>
  <c r="AN19" i="22"/>
  <c r="AN213" i="22"/>
  <c r="AL230" i="22"/>
  <c r="AN317" i="22"/>
  <c r="AL317" i="22"/>
  <c r="AN56" i="22"/>
  <c r="AL167" i="22"/>
  <c r="AL83" i="22"/>
  <c r="AN51" i="22"/>
  <c r="AL138" i="22"/>
  <c r="AN223" i="22"/>
  <c r="AN113" i="22"/>
  <c r="AL177" i="22"/>
  <c r="AL119" i="22"/>
  <c r="AN127" i="22"/>
  <c r="AL237" i="22"/>
  <c r="AN324" i="22"/>
  <c r="AL85" i="22"/>
  <c r="AL105" i="22"/>
  <c r="AN229" i="22"/>
  <c r="AN137" i="22"/>
  <c r="AL319" i="22"/>
  <c r="AL17" i="22"/>
  <c r="AL329" i="22"/>
  <c r="AN176" i="22"/>
  <c r="AL341" i="22"/>
  <c r="AN23" i="22"/>
  <c r="AN63" i="22"/>
  <c r="AL374" i="22"/>
  <c r="AN192" i="22"/>
  <c r="AN345" i="22"/>
  <c r="AN246" i="22"/>
  <c r="AN318" i="22"/>
  <c r="AL38" i="22"/>
  <c r="AN79" i="22"/>
  <c r="AN217" i="22"/>
  <c r="AL149" i="22"/>
  <c r="AR284" i="22"/>
  <c r="Z51" i="22"/>
  <c r="AR65" i="22"/>
  <c r="V304" i="22"/>
  <c r="T134" i="22"/>
  <c r="R170" i="22"/>
  <c r="V359" i="22"/>
  <c r="AR336" i="22"/>
  <c r="AJ66" i="22"/>
  <c r="AH57" i="22"/>
  <c r="AH277" i="22"/>
  <c r="AJ108" i="22"/>
  <c r="Z303" i="22"/>
  <c r="AB266" i="22"/>
  <c r="AJ347" i="22"/>
  <c r="R254" i="22"/>
  <c r="V141" i="22"/>
  <c r="X363" i="22"/>
  <c r="AJ190" i="22"/>
  <c r="T282" i="22"/>
  <c r="T122" i="22"/>
  <c r="AP317" i="22"/>
  <c r="AR124" i="22"/>
  <c r="AP33" i="22"/>
  <c r="AP240" i="22"/>
  <c r="X126" i="22"/>
  <c r="Z162" i="22"/>
  <c r="V309" i="22"/>
  <c r="R248" i="22"/>
  <c r="AH46" i="22"/>
  <c r="AJ263" i="22"/>
  <c r="Z86" i="22"/>
  <c r="AB34" i="22"/>
  <c r="AN134" i="22"/>
  <c r="AL232" i="22"/>
  <c r="AN360" i="22"/>
  <c r="AN15" i="22"/>
  <c r="AN140" i="22"/>
  <c r="AN78" i="22"/>
  <c r="AN252" i="22"/>
  <c r="AL27" i="22"/>
  <c r="AN321" i="22"/>
  <c r="AL29" i="22"/>
  <c r="AL95" i="22"/>
  <c r="AL152" i="22"/>
  <c r="AL108" i="22"/>
  <c r="AL359" i="22"/>
  <c r="AN332" i="22"/>
  <c r="AL322" i="22"/>
  <c r="AN357" i="22"/>
  <c r="AN236" i="22"/>
  <c r="AN226" i="22"/>
  <c r="AL208" i="22"/>
  <c r="AL68" i="22"/>
  <c r="AN147" i="22"/>
  <c r="AL168" i="22"/>
  <c r="AN59" i="22"/>
  <c r="AN225" i="22"/>
  <c r="AL162" i="22"/>
  <c r="AN162" i="22"/>
  <c r="AL367" i="22"/>
  <c r="AN197" i="22"/>
  <c r="AN139" i="22"/>
  <c r="AN142" i="22"/>
  <c r="AN13" i="22"/>
  <c r="AL156" i="22"/>
  <c r="AN337" i="22"/>
  <c r="AN36" i="22"/>
  <c r="AL339" i="22"/>
  <c r="AL94" i="22"/>
  <c r="AN111" i="22"/>
  <c r="AL66" i="22"/>
  <c r="AN209" i="22"/>
  <c r="AN106" i="22"/>
  <c r="AN245" i="22"/>
  <c r="AL92" i="22"/>
  <c r="AN323" i="22"/>
  <c r="AN212" i="22"/>
  <c r="AL87" i="22"/>
  <c r="AL133" i="22"/>
  <c r="AL334" i="22"/>
  <c r="AN336" i="22"/>
  <c r="Z203" i="22"/>
  <c r="X27" i="22"/>
  <c r="X303" i="22"/>
  <c r="Z301" i="22"/>
  <c r="AN43" i="22"/>
  <c r="V78" i="22"/>
  <c r="T124" i="22"/>
  <c r="R62" i="22"/>
  <c r="R244" i="22"/>
  <c r="Z55" i="22"/>
  <c r="T209" i="22"/>
  <c r="V315" i="22"/>
  <c r="X180" i="22"/>
  <c r="T102" i="22"/>
  <c r="R181" i="22"/>
  <c r="T215" i="22"/>
  <c r="Z42" i="22"/>
  <c r="AR240" i="22"/>
  <c r="X80" i="22"/>
  <c r="V184" i="22"/>
  <c r="AH12" i="22"/>
  <c r="AH14" i="22"/>
  <c r="R165" i="22"/>
  <c r="V344" i="22"/>
  <c r="AR232" i="22"/>
  <c r="AJ289" i="22"/>
  <c r="AF98" i="22"/>
  <c r="X260" i="22"/>
  <c r="AN285" i="22"/>
  <c r="AB335" i="22"/>
  <c r="T139" i="22"/>
  <c r="AB76" i="22"/>
  <c r="V299" i="22"/>
  <c r="AN171" i="22"/>
  <c r="AL226" i="22"/>
  <c r="AL41" i="22"/>
  <c r="AN90" i="22"/>
  <c r="AL169" i="22"/>
  <c r="AN119" i="22"/>
  <c r="AL340" i="22"/>
  <c r="AN32" i="22"/>
  <c r="AL33" i="22"/>
  <c r="AN64" i="22"/>
  <c r="AN123" i="22"/>
  <c r="AL192" i="22"/>
  <c r="AL103" i="22"/>
  <c r="AN374" i="22"/>
  <c r="AN367" i="22"/>
  <c r="AN138" i="22"/>
  <c r="AN375" i="22"/>
  <c r="AN351" i="22"/>
  <c r="AL104" i="22"/>
  <c r="AL219" i="22"/>
  <c r="AN109" i="22"/>
  <c r="AL173" i="22"/>
  <c r="AN204" i="22"/>
  <c r="AN82" i="22"/>
  <c r="AN238" i="22"/>
  <c r="AL211" i="22"/>
  <c r="AN189" i="22"/>
  <c r="AL42" i="22"/>
  <c r="AL240" i="22"/>
  <c r="AL135" i="22"/>
  <c r="AL157" i="22"/>
  <c r="AN60" i="22"/>
  <c r="AN232" i="22"/>
  <c r="AN87" i="22"/>
  <c r="AN117" i="22"/>
  <c r="AL369" i="22"/>
  <c r="AL159" i="22"/>
  <c r="AN234" i="22"/>
  <c r="AN136" i="22"/>
  <c r="AL241" i="22"/>
  <c r="AL126" i="22"/>
  <c r="AL357" i="22"/>
  <c r="AN205" i="22"/>
  <c r="AL217" i="22"/>
  <c r="AN47" i="22"/>
  <c r="AL213" i="22"/>
  <c r="AL325" i="22"/>
  <c r="AN133" i="22"/>
  <c r="AN355" i="22"/>
  <c r="Z150" i="22"/>
  <c r="AR337" i="22"/>
  <c r="V256" i="22"/>
  <c r="Z240" i="22"/>
  <c r="AH257" i="22"/>
  <c r="AN304" i="22"/>
  <c r="AL310" i="22"/>
  <c r="AR350" i="22"/>
  <c r="AB138" i="22"/>
  <c r="T352" i="22"/>
  <c r="X141" i="22"/>
  <c r="AB131" i="22"/>
  <c r="AF52" i="22"/>
  <c r="AJ300" i="22"/>
  <c r="V185" i="22"/>
  <c r="T180" i="22"/>
  <c r="V312" i="22"/>
  <c r="R313" i="22"/>
  <c r="AF128" i="22"/>
  <c r="Z26" i="22"/>
  <c r="R325" i="22"/>
  <c r="R97" i="22"/>
  <c r="Z64" i="22"/>
  <c r="AB308" i="22"/>
  <c r="AJ157" i="22"/>
  <c r="T220" i="22"/>
  <c r="AB278" i="22"/>
  <c r="T83" i="22"/>
  <c r="T84" i="22"/>
  <c r="Z367" i="22"/>
  <c r="AP28" i="22"/>
  <c r="AR117" i="22"/>
  <c r="AD256" i="22"/>
  <c r="AL205" i="22"/>
  <c r="AL212" i="22"/>
  <c r="AL34" i="22"/>
  <c r="AN105" i="22"/>
  <c r="AN30" i="22"/>
  <c r="AN338" i="22"/>
  <c r="AN340" i="22"/>
  <c r="AL67" i="22"/>
  <c r="AN74" i="22"/>
  <c r="AL84" i="22"/>
  <c r="AL143" i="22"/>
  <c r="AN350" i="22"/>
  <c r="AL140" i="22"/>
  <c r="AL20" i="22"/>
  <c r="AL54" i="22"/>
  <c r="AL236" i="22"/>
  <c r="AN130" i="22"/>
  <c r="AN67" i="22"/>
  <c r="AL118" i="22"/>
  <c r="AN69" i="22"/>
  <c r="AN150" i="22"/>
  <c r="AL48" i="22"/>
  <c r="AN369" i="22"/>
  <c r="AN98" i="22"/>
  <c r="AN365" i="22"/>
  <c r="AL235" i="22"/>
  <c r="AN34" i="22"/>
  <c r="AN83" i="22"/>
  <c r="AN329" i="22"/>
  <c r="AL199" i="22"/>
  <c r="AL196" i="22"/>
  <c r="AN88" i="22"/>
  <c r="AL218" i="22"/>
  <c r="AL147" i="22"/>
  <c r="AL233" i="22"/>
  <c r="AL114" i="22"/>
  <c r="AL333" i="22"/>
  <c r="AN353" i="22"/>
  <c r="AL364" i="22"/>
  <c r="AL239" i="22"/>
  <c r="AL154" i="22"/>
  <c r="AL55" i="22"/>
  <c r="AN344" i="22"/>
  <c r="AN343" i="22"/>
  <c r="AL26" i="22"/>
  <c r="AN322" i="22"/>
  <c r="AL46" i="22"/>
  <c r="AL186" i="22"/>
  <c r="AL376" i="22"/>
  <c r="AH123" i="22"/>
  <c r="V128" i="22"/>
  <c r="V172" i="22"/>
  <c r="AR169" i="22"/>
  <c r="AB184" i="22"/>
  <c r="X320" i="22"/>
  <c r="R263" i="22"/>
  <c r="X208" i="22"/>
  <c r="V38" i="22"/>
  <c r="AH104" i="22"/>
  <c r="T100" i="22"/>
  <c r="AJ17" i="22"/>
  <c r="Z262" i="22"/>
  <c r="T178" i="22"/>
  <c r="Z132" i="22"/>
  <c r="Z94" i="22"/>
  <c r="AN366" i="22"/>
  <c r="AN203" i="22"/>
  <c r="AL30" i="22"/>
  <c r="AN157" i="22"/>
  <c r="AL116" i="22"/>
  <c r="AN107" i="22"/>
  <c r="AN77" i="22"/>
  <c r="AN91" i="22"/>
  <c r="AN115" i="22"/>
  <c r="AL372" i="22"/>
  <c r="AL153" i="22"/>
  <c r="AL347" i="22"/>
  <c r="AN158" i="22"/>
  <c r="AN41" i="22"/>
  <c r="AN93" i="22"/>
  <c r="AN169" i="22"/>
  <c r="AL227" i="22"/>
  <c r="AL98" i="22"/>
  <c r="AN207" i="22"/>
  <c r="AN110" i="22"/>
  <c r="AL160" i="22"/>
  <c r="AN52" i="22"/>
  <c r="AN85" i="22"/>
  <c r="AN153" i="22"/>
  <c r="AL32" i="22"/>
  <c r="AN328" i="22"/>
  <c r="AL57" i="22"/>
  <c r="AN124" i="22"/>
  <c r="AN131" i="22"/>
  <c r="AN219" i="22"/>
  <c r="AL332" i="22"/>
  <c r="AN253" i="22"/>
  <c r="AL122" i="22"/>
  <c r="AL228" i="22"/>
  <c r="AL231" i="22"/>
  <c r="AL198" i="22"/>
  <c r="AL371" i="22"/>
  <c r="AN17" i="22"/>
  <c r="AN70" i="22"/>
  <c r="AL356" i="22"/>
  <c r="AL194" i="22"/>
  <c r="AL93" i="22"/>
  <c r="AL80" i="22"/>
  <c r="AN38" i="22"/>
  <c r="AN221" i="22"/>
  <c r="AL24" i="22"/>
  <c r="AN121" i="22"/>
  <c r="AN222" i="22"/>
  <c r="AL166" i="22"/>
  <c r="R192" i="22"/>
  <c r="R294" i="22"/>
  <c r="V155" i="22"/>
  <c r="X247" i="22"/>
  <c r="AJ350" i="22"/>
  <c r="AJ227" i="22"/>
  <c r="AH184" i="22"/>
  <c r="Z125" i="22"/>
  <c r="V314" i="22"/>
  <c r="AL299" i="22"/>
  <c r="R364" i="22"/>
  <c r="Z237" i="22"/>
  <c r="R161" i="22"/>
  <c r="AL287" i="22"/>
  <c r="V41" i="22"/>
  <c r="AB44" i="22"/>
  <c r="R140" i="22"/>
  <c r="AB152" i="22"/>
  <c r="AF57" i="22"/>
  <c r="AH67" i="22"/>
  <c r="T109" i="22"/>
  <c r="AJ288" i="22"/>
  <c r="AB203" i="22"/>
  <c r="AJ25" i="22"/>
  <c r="R219" i="22"/>
  <c r="X249" i="22"/>
  <c r="Z357" i="22"/>
  <c r="X315" i="22"/>
  <c r="R106" i="22"/>
  <c r="AR89" i="22"/>
  <c r="AJ104" i="22"/>
  <c r="AB35" i="22"/>
  <c r="AL344" i="22"/>
  <c r="AL323" i="22"/>
  <c r="AN76" i="22"/>
  <c r="AL139" i="22"/>
  <c r="AN160" i="22"/>
  <c r="AL127" i="22"/>
  <c r="AN118" i="22"/>
  <c r="AN92" i="22"/>
  <c r="AL158" i="22"/>
  <c r="AL18" i="22"/>
  <c r="AL351" i="22"/>
  <c r="AL59" i="22"/>
  <c r="AN199" i="22"/>
  <c r="AL44" i="22"/>
  <c r="AL222" i="22"/>
  <c r="AL234" i="22"/>
  <c r="AL25" i="22"/>
  <c r="AN174" i="22"/>
  <c r="AL321" i="22"/>
  <c r="AL361" i="22"/>
  <c r="AN81" i="22"/>
  <c r="AL56" i="22"/>
  <c r="AN342" i="22"/>
  <c r="AN172" i="22"/>
  <c r="AL65" i="22"/>
  <c r="AN46" i="22"/>
  <c r="AL76" i="22"/>
  <c r="AN237" i="22"/>
  <c r="AL130" i="22"/>
  <c r="AN251" i="22"/>
  <c r="AL337" i="22"/>
  <c r="AL251" i="22"/>
  <c r="AN145" i="22"/>
  <c r="AL336" i="22"/>
  <c r="AN143" i="22"/>
  <c r="AL348" i="22"/>
  <c r="AL342" i="22"/>
  <c r="AN80" i="22"/>
  <c r="AL155" i="22"/>
  <c r="AN372" i="22"/>
  <c r="AN243" i="22"/>
  <c r="AL125" i="22"/>
  <c r="AL134" i="22"/>
  <c r="AN24" i="22"/>
  <c r="AN363" i="22"/>
  <c r="AN75" i="22"/>
  <c r="AL375" i="22"/>
  <c r="AN254" i="22"/>
  <c r="AL343" i="22"/>
  <c r="T250" i="22"/>
  <c r="Z105" i="22"/>
  <c r="AB36" i="22"/>
  <c r="AJ110" i="22"/>
  <c r="AB221" i="22"/>
  <c r="AB156" i="22"/>
  <c r="AR150" i="22"/>
  <c r="AR243" i="22"/>
  <c r="AB248" i="22"/>
  <c r="AR223" i="22"/>
  <c r="AB177" i="22"/>
  <c r="Z306" i="22"/>
  <c r="AR44" i="22"/>
  <c r="V232" i="22"/>
  <c r="AB216" i="22"/>
  <c r="AH79" i="22"/>
  <c r="T230" i="22"/>
  <c r="X204" i="22"/>
  <c r="R141" i="22"/>
  <c r="X95" i="22"/>
  <c r="AB279" i="22"/>
  <c r="AJ123" i="22"/>
  <c r="X295" i="22"/>
  <c r="AB315" i="22"/>
  <c r="R315" i="22"/>
  <c r="X106" i="22"/>
  <c r="T307" i="22"/>
  <c r="AR230" i="22"/>
  <c r="T106" i="22"/>
  <c r="AP286" i="22"/>
  <c r="AH63" i="22"/>
  <c r="AJ277" i="22"/>
  <c r="AN154" i="22"/>
  <c r="AL53" i="22"/>
  <c r="AL123" i="22"/>
  <c r="AN242" i="22"/>
  <c r="AN356" i="22"/>
  <c r="AL215" i="22"/>
  <c r="AN155" i="22"/>
  <c r="AN57" i="22"/>
  <c r="AN165" i="22"/>
  <c r="AL99" i="22"/>
  <c r="AN128" i="22"/>
  <c r="AL146" i="22"/>
  <c r="AN208" i="22"/>
  <c r="AL136" i="22"/>
  <c r="AN241" i="22"/>
  <c r="AN231" i="22"/>
  <c r="AN58" i="22"/>
  <c r="AN368" i="22"/>
  <c r="AN141" i="22"/>
  <c r="AN89" i="22"/>
  <c r="AL100" i="22"/>
  <c r="AN195" i="22"/>
  <c r="AL77" i="22"/>
  <c r="AN170" i="22"/>
  <c r="AN194" i="22"/>
  <c r="AN42" i="22"/>
  <c r="AN244" i="22"/>
  <c r="AL250" i="22"/>
  <c r="AL179" i="22"/>
  <c r="AN95" i="22"/>
  <c r="AN166" i="22"/>
  <c r="AL368" i="22"/>
  <c r="AN167" i="22"/>
  <c r="AL353" i="22"/>
  <c r="AL370" i="22"/>
  <c r="AN33" i="22"/>
  <c r="AN200" i="22"/>
  <c r="AL113" i="22"/>
  <c r="AN112" i="22"/>
  <c r="AL178" i="22"/>
  <c r="AL88" i="22"/>
  <c r="AL23" i="22"/>
  <c r="AL144" i="22"/>
  <c r="AL101" i="22"/>
  <c r="AN39" i="22"/>
  <c r="AN103" i="22"/>
  <c r="AL117" i="22"/>
  <c r="AN373" i="22"/>
  <c r="AN177" i="22"/>
  <c r="AR231" i="22"/>
  <c r="T348" i="22"/>
  <c r="T171" i="22"/>
  <c r="Z336" i="22"/>
  <c r="AR152" i="22"/>
  <c r="T357" i="22"/>
  <c r="X46" i="22"/>
  <c r="AJ327" i="22"/>
  <c r="AJ181" i="22"/>
  <c r="AB247" i="22"/>
  <c r="X359" i="22"/>
  <c r="R237" i="22"/>
  <c r="R347" i="22"/>
  <c r="X136" i="22"/>
  <c r="Z268" i="22"/>
  <c r="AR62" i="22"/>
  <c r="Z344" i="22"/>
  <c r="AB292" i="22"/>
  <c r="V63" i="22"/>
  <c r="V341" i="22"/>
  <c r="V165" i="22"/>
  <c r="T257" i="22"/>
  <c r="AR114" i="22"/>
  <c r="AP111" i="22"/>
  <c r="AR242" i="22"/>
  <c r="R256" i="22"/>
  <c r="AB227" i="22"/>
  <c r="AR262" i="22"/>
  <c r="AP21" i="22"/>
  <c r="R216" i="22"/>
  <c r="AB274" i="22"/>
  <c r="R218" i="22"/>
  <c r="AN230" i="22"/>
  <c r="AL355" i="22"/>
  <c r="AL150" i="22"/>
  <c r="AN125" i="22"/>
  <c r="Z71" i="22"/>
  <c r="AP324" i="22"/>
  <c r="X252" i="22"/>
  <c r="T321" i="22"/>
  <c r="AH89" i="22"/>
  <c r="T259" i="22"/>
  <c r="AJ188" i="22"/>
  <c r="T118" i="22"/>
  <c r="T68" i="22"/>
  <c r="Z342" i="22"/>
  <c r="V375" i="22"/>
  <c r="AJ342" i="22"/>
  <c r="X193" i="22"/>
  <c r="T76" i="22"/>
  <c r="AB321" i="22"/>
  <c r="AJ239" i="22"/>
  <c r="R344" i="22"/>
  <c r="V240" i="22"/>
  <c r="X110" i="22"/>
  <c r="V130" i="22"/>
  <c r="X234" i="22"/>
  <c r="Z222" i="22"/>
  <c r="AB86" i="22"/>
  <c r="AR158" i="22"/>
  <c r="R53" i="22"/>
  <c r="AH107" i="22"/>
  <c r="X216" i="22"/>
  <c r="T105" i="22"/>
  <c r="R125" i="22"/>
  <c r="X259" i="22"/>
  <c r="AP40" i="22"/>
  <c r="X128" i="22"/>
  <c r="T281" i="22"/>
  <c r="AJ252" i="22"/>
  <c r="AB77" i="22"/>
  <c r="X274" i="22"/>
  <c r="AB231" i="22"/>
  <c r="AR359" i="22"/>
  <c r="AJ140" i="22"/>
  <c r="T40" i="22"/>
  <c r="AR171" i="22"/>
  <c r="T224" i="22"/>
  <c r="AR331" i="22"/>
  <c r="T166" i="22"/>
  <c r="V296" i="22"/>
  <c r="R235" i="22"/>
  <c r="V325" i="22"/>
  <c r="AB16" i="22"/>
  <c r="AB27" i="22"/>
  <c r="V85" i="22"/>
  <c r="AN295" i="22"/>
  <c r="AB173" i="22"/>
  <c r="R87" i="22"/>
  <c r="AJ236" i="22"/>
  <c r="AR20" i="22"/>
  <c r="R101" i="22"/>
  <c r="Z124" i="22"/>
  <c r="V90" i="22"/>
  <c r="V174" i="22"/>
  <c r="X98" i="22"/>
  <c r="R156" i="22"/>
  <c r="X237" i="22"/>
  <c r="R38" i="22"/>
  <c r="Z15" i="22"/>
  <c r="X34" i="22"/>
  <c r="T104" i="22"/>
  <c r="V324" i="22"/>
  <c r="T334" i="22"/>
  <c r="AB245" i="22"/>
  <c r="V96" i="22"/>
  <c r="V97" i="22"/>
  <c r="Z352" i="22"/>
  <c r="V247" i="22"/>
  <c r="Z271" i="22"/>
  <c r="V293" i="22"/>
  <c r="V227" i="22"/>
  <c r="AH263" i="22"/>
  <c r="V50" i="22"/>
  <c r="V193" i="22"/>
  <c r="AH84" i="22"/>
  <c r="R183" i="22"/>
  <c r="AL175" i="22"/>
  <c r="AL37" i="22"/>
  <c r="AN239" i="22"/>
  <c r="AL174" i="22"/>
  <c r="X291" i="22"/>
  <c r="T358" i="22"/>
  <c r="X179" i="22"/>
  <c r="Z299" i="22"/>
  <c r="AR358" i="22"/>
  <c r="AJ154" i="22"/>
  <c r="T66" i="22"/>
  <c r="AN314" i="22"/>
  <c r="T368" i="22"/>
  <c r="AL291" i="22"/>
  <c r="T167" i="22"/>
  <c r="Z211" i="22"/>
  <c r="AF152" i="22"/>
  <c r="X343" i="22"/>
  <c r="V137" i="22"/>
  <c r="V194" i="22"/>
  <c r="AP370" i="22"/>
  <c r="V181" i="22"/>
  <c r="AB110" i="22"/>
  <c r="X220" i="22"/>
  <c r="AL102" i="22"/>
  <c r="AB309" i="22"/>
  <c r="Z314" i="22"/>
  <c r="Z84" i="22"/>
  <c r="AB105" i="22"/>
  <c r="AF134" i="22"/>
  <c r="V100" i="22"/>
  <c r="AB18" i="22"/>
  <c r="X300" i="22"/>
  <c r="AR216" i="22"/>
  <c r="T263" i="22"/>
  <c r="AF24" i="22"/>
  <c r="R342" i="22"/>
  <c r="AB165" i="22"/>
  <c r="AB192" i="22"/>
  <c r="V212" i="22"/>
  <c r="AH280" i="22"/>
  <c r="X205" i="22"/>
  <c r="AF167" i="22"/>
  <c r="T175" i="22"/>
  <c r="AJ86" i="22"/>
  <c r="T196" i="22"/>
  <c r="X130" i="22"/>
  <c r="AB88" i="22"/>
  <c r="AR202" i="22"/>
  <c r="AB115" i="22"/>
  <c r="AR233" i="22"/>
  <c r="AJ54" i="22"/>
  <c r="V136" i="22"/>
  <c r="AH113" i="22"/>
  <c r="Z115" i="22"/>
  <c r="V104" i="22"/>
  <c r="Z134" i="22"/>
  <c r="V282" i="22"/>
  <c r="AR239" i="22"/>
  <c r="Z325" i="22"/>
  <c r="AF220" i="22"/>
  <c r="Z345" i="22"/>
  <c r="AJ47" i="22"/>
  <c r="AL290" i="22"/>
  <c r="X33" i="22"/>
  <c r="X319" i="22"/>
  <c r="AN12" i="22"/>
  <c r="X236" i="22"/>
  <c r="AB25" i="22"/>
  <c r="AJ41" i="22"/>
  <c r="T269" i="22"/>
  <c r="R358" i="22"/>
  <c r="AJ203" i="22"/>
  <c r="X75" i="22"/>
  <c r="T60" i="22"/>
  <c r="Z326" i="22"/>
  <c r="AB213" i="22"/>
  <c r="Z113" i="22"/>
  <c r="Z93" i="22"/>
  <c r="AB107" i="22"/>
  <c r="X266" i="22"/>
  <c r="R333" i="22"/>
  <c r="X73" i="22"/>
  <c r="Z329" i="22"/>
  <c r="AB176" i="22"/>
  <c r="AN146" i="22"/>
  <c r="AN66" i="22"/>
  <c r="AN97" i="22"/>
  <c r="AL190" i="22"/>
  <c r="T158" i="22"/>
  <c r="V218" i="22"/>
  <c r="AJ358" i="22"/>
  <c r="T125" i="22"/>
  <c r="AB108" i="22"/>
  <c r="AL312" i="22"/>
  <c r="R134" i="22"/>
  <c r="V98" i="22"/>
  <c r="AJ89" i="22"/>
  <c r="V171" i="22"/>
  <c r="Z18" i="22"/>
  <c r="X62" i="22"/>
  <c r="T221" i="22"/>
  <c r="X85" i="22"/>
  <c r="T30" i="22"/>
  <c r="Z53" i="22"/>
  <c r="X201" i="22"/>
  <c r="AB322" i="22"/>
  <c r="X18" i="22"/>
  <c r="AR57" i="22"/>
  <c r="T346" i="22"/>
  <c r="AB63" i="22"/>
  <c r="AJ167" i="22"/>
  <c r="AB297" i="22"/>
  <c r="T373" i="22"/>
  <c r="T17" i="22"/>
  <c r="AN312" i="22"/>
  <c r="R310" i="22"/>
  <c r="V106" i="22"/>
  <c r="AJ81" i="22"/>
  <c r="AF14" i="22"/>
  <c r="AR176" i="22"/>
  <c r="X164" i="22"/>
  <c r="AJ139" i="22"/>
  <c r="T26" i="22"/>
  <c r="AB160" i="22"/>
  <c r="Z140" i="22"/>
  <c r="X28" i="22"/>
  <c r="AH278" i="22"/>
  <c r="V114" i="22"/>
  <c r="AP287" i="22"/>
  <c r="R253" i="22"/>
  <c r="Z28" i="22"/>
  <c r="AB344" i="22"/>
  <c r="R151" i="22"/>
  <c r="X61" i="22"/>
  <c r="AR318" i="22"/>
  <c r="AJ328" i="22"/>
  <c r="AH61" i="22"/>
  <c r="AH47" i="22"/>
  <c r="AH227" i="22"/>
  <c r="AB31" i="22"/>
  <c r="T97" i="22"/>
  <c r="Z170" i="22"/>
  <c r="R307" i="22"/>
  <c r="X314" i="22"/>
  <c r="X286" i="22"/>
  <c r="AL289" i="22"/>
  <c r="AJ189" i="22"/>
  <c r="AH76" i="22"/>
  <c r="Z69" i="22"/>
  <c r="AH212" i="22"/>
  <c r="R91" i="22"/>
  <c r="V346" i="22"/>
  <c r="X366" i="22"/>
  <c r="V356" i="22"/>
  <c r="AJ290" i="22"/>
  <c r="R258" i="22"/>
  <c r="AB72" i="22"/>
  <c r="AB15" i="22"/>
  <c r="AH221" i="22"/>
  <c r="R193" i="22"/>
  <c r="Z158" i="22"/>
  <c r="Z322" i="22"/>
  <c r="R303" i="22"/>
  <c r="X39" i="22"/>
  <c r="V257" i="22"/>
  <c r="AR273" i="22"/>
  <c r="AL274" i="22"/>
  <c r="V279" i="22"/>
  <c r="AL89" i="22"/>
  <c r="AL110" i="22"/>
  <c r="AN62" i="22"/>
  <c r="AN120" i="22"/>
  <c r="X152" i="22"/>
  <c r="X263" i="22"/>
  <c r="AR21" i="22"/>
  <c r="Z118" i="22"/>
  <c r="AH39" i="22"/>
  <c r="R148" i="22"/>
  <c r="AR348" i="22"/>
  <c r="AB21" i="22"/>
  <c r="AH105" i="22"/>
  <c r="AJ365" i="22"/>
  <c r="X279" i="22"/>
  <c r="AJ291" i="22"/>
  <c r="V145" i="22"/>
  <c r="T344" i="22"/>
  <c r="T50" i="22"/>
  <c r="AB314" i="22"/>
  <c r="AH15" i="22"/>
  <c r="AH283" i="22"/>
  <c r="AN193" i="22"/>
  <c r="R297" i="22"/>
  <c r="T57" i="22"/>
  <c r="T272" i="22"/>
  <c r="AN296" i="22"/>
  <c r="T222" i="22"/>
  <c r="R143" i="22"/>
  <c r="AF43" i="22"/>
  <c r="V223" i="22"/>
  <c r="T132" i="22"/>
  <c r="AR293" i="22"/>
  <c r="AJ319" i="22"/>
  <c r="AF243" i="22"/>
  <c r="V292" i="22"/>
  <c r="AF120" i="22"/>
  <c r="AB83" i="22"/>
  <c r="AH205" i="22"/>
  <c r="AB66" i="22"/>
  <c r="V138" i="22"/>
  <c r="V300" i="22"/>
  <c r="AJ286" i="22"/>
  <c r="AL285" i="22"/>
  <c r="AL288" i="22"/>
  <c r="AB191" i="22"/>
  <c r="AJ214" i="22"/>
  <c r="AB102" i="22"/>
  <c r="AR237" i="22"/>
  <c r="AJ346" i="22"/>
  <c r="AB284" i="22"/>
  <c r="AJ306" i="22"/>
  <c r="R32" i="22"/>
  <c r="AB164" i="22"/>
  <c r="T351" i="22"/>
  <c r="V342" i="22"/>
  <c r="T223" i="22"/>
  <c r="AB41" i="22"/>
  <c r="X105" i="22"/>
  <c r="Z82" i="22"/>
  <c r="AJ149" i="22"/>
  <c r="R187" i="22"/>
  <c r="AJ367" i="22"/>
  <c r="R123" i="22"/>
  <c r="AH58" i="22"/>
  <c r="AJ163" i="22"/>
  <c r="AR234" i="22"/>
  <c r="T261" i="22"/>
  <c r="Z267" i="22"/>
  <c r="AB103" i="22"/>
  <c r="AR56" i="22"/>
  <c r="R142" i="22"/>
  <c r="V216" i="22"/>
  <c r="V221" i="22"/>
  <c r="AR149" i="22"/>
  <c r="V197" i="22"/>
  <c r="R16" i="22"/>
  <c r="AR356" i="22"/>
  <c r="Z260" i="22"/>
  <c r="T121" i="22"/>
  <c r="X200" i="22"/>
  <c r="AL266" i="22"/>
  <c r="R373" i="22"/>
  <c r="R210" i="22"/>
  <c r="V26" i="22"/>
  <c r="AN161" i="22"/>
  <c r="AN164" i="22"/>
  <c r="AL13" i="22"/>
  <c r="AN191" i="22"/>
  <c r="AH119" i="22"/>
  <c r="AH245" i="22"/>
  <c r="AB12" i="22"/>
  <c r="X190" i="22"/>
  <c r="AB202" i="22"/>
  <c r="AL263" i="22"/>
  <c r="AR279" i="22"/>
  <c r="AJ278" i="22"/>
  <c r="T192" i="22"/>
  <c r="Z232" i="22"/>
  <c r="AH155" i="22"/>
  <c r="AN291" i="22"/>
  <c r="R70" i="22"/>
  <c r="AB28" i="22"/>
  <c r="X29" i="22"/>
  <c r="X243" i="22"/>
  <c r="Z184" i="22"/>
  <c r="Z227" i="22"/>
  <c r="V99" i="22"/>
  <c r="AL309" i="22"/>
  <c r="V213" i="22"/>
  <c r="AH169" i="22"/>
  <c r="T234" i="22"/>
  <c r="AR352" i="22"/>
  <c r="R220" i="22"/>
  <c r="AP312" i="22"/>
  <c r="AJ82" i="22"/>
  <c r="AB55" i="22"/>
  <c r="AJ265" i="22"/>
  <c r="AB90" i="22"/>
  <c r="AF169" i="22"/>
  <c r="Z179" i="22"/>
  <c r="AB71" i="22"/>
  <c r="X267" i="22"/>
  <c r="AJ91" i="22"/>
  <c r="AH103" i="22"/>
  <c r="AH219" i="22"/>
  <c r="R312" i="22"/>
  <c r="T276" i="22"/>
  <c r="X306" i="22"/>
  <c r="T112" i="22"/>
  <c r="R126" i="22"/>
  <c r="T128" i="22"/>
  <c r="X339" i="22"/>
  <c r="X148" i="22"/>
  <c r="AJ150" i="22"/>
  <c r="V303" i="22"/>
  <c r="AR283" i="22"/>
  <c r="T287" i="22"/>
  <c r="AP332" i="22"/>
  <c r="Z319" i="22"/>
  <c r="Z24" i="22"/>
  <c r="AB366" i="22"/>
  <c r="AB286" i="22"/>
  <c r="X370" i="22"/>
  <c r="Z43" i="22"/>
  <c r="X202" i="22"/>
  <c r="V294" i="22"/>
  <c r="AB252" i="22"/>
  <c r="T362" i="22"/>
  <c r="AJ343" i="22"/>
  <c r="R340" i="22"/>
  <c r="AJ122" i="22"/>
  <c r="Z156" i="22"/>
  <c r="AR269" i="22"/>
  <c r="AJ174" i="22"/>
  <c r="X32" i="22"/>
  <c r="Z29" i="22"/>
  <c r="AJ50" i="22"/>
  <c r="Z373" i="22"/>
  <c r="V67" i="22"/>
  <c r="V192" i="22"/>
  <c r="R225" i="22"/>
  <c r="AP309" i="22"/>
  <c r="V199" i="22"/>
  <c r="Z20" i="22"/>
  <c r="X277" i="22"/>
  <c r="AB346" i="22"/>
  <c r="T304" i="22"/>
  <c r="AJ105" i="22"/>
  <c r="T151" i="22"/>
  <c r="AN129" i="22"/>
  <c r="AN108" i="22"/>
  <c r="AN72" i="22"/>
  <c r="AL106" i="22"/>
  <c r="AJ206" i="22"/>
  <c r="T354" i="22"/>
  <c r="AR366" i="22"/>
  <c r="AF227" i="22"/>
  <c r="Z14" i="22"/>
  <c r="T113" i="22"/>
  <c r="Z355" i="22"/>
  <c r="V367" i="22"/>
  <c r="R93" i="22"/>
  <c r="X191" i="22"/>
  <c r="AP371" i="22"/>
  <c r="V87" i="22"/>
  <c r="AJ134" i="22"/>
  <c r="X328" i="22"/>
  <c r="R322" i="22"/>
  <c r="V178" i="22"/>
  <c r="AJ106" i="22"/>
  <c r="Z350" i="22"/>
  <c r="V348" i="22"/>
  <c r="AP296" i="22"/>
  <c r="Z60" i="22"/>
  <c r="T303" i="22"/>
  <c r="AP302" i="22"/>
  <c r="AL297" i="22"/>
  <c r="R40" i="22"/>
  <c r="X261" i="22"/>
  <c r="AJ363" i="22"/>
  <c r="V339" i="22"/>
  <c r="AJ74" i="22"/>
  <c r="R331" i="22"/>
  <c r="R363" i="22"/>
  <c r="R99" i="22"/>
  <c r="AF83" i="22"/>
  <c r="Z147" i="22"/>
  <c r="AJ339" i="22"/>
  <c r="AF213" i="22"/>
  <c r="AF35" i="22"/>
  <c r="AJ254" i="22"/>
  <c r="Z313" i="22"/>
  <c r="X189" i="22"/>
  <c r="V275" i="22"/>
  <c r="AJ18" i="22"/>
  <c r="R46" i="22"/>
  <c r="AJ218" i="22"/>
  <c r="R50" i="22"/>
  <c r="AR46" i="22"/>
  <c r="T92" i="22"/>
  <c r="Z231" i="22"/>
  <c r="V337" i="22"/>
  <c r="R159" i="22"/>
  <c r="AJ100" i="22"/>
  <c r="V307" i="22"/>
  <c r="AH45" i="22"/>
  <c r="AB259" i="22"/>
  <c r="AJ60" i="22"/>
  <c r="R202" i="22"/>
  <c r="R168" i="22"/>
  <c r="AB109" i="22"/>
  <c r="AJ257" i="22"/>
  <c r="X229" i="22"/>
  <c r="X150" i="22"/>
  <c r="AN290" i="22"/>
  <c r="T38" i="22"/>
  <c r="T264" i="22"/>
  <c r="Z12" i="22"/>
  <c r="AH21" i="22"/>
  <c r="R118" i="22"/>
  <c r="X188" i="22"/>
  <c r="AJ326" i="22"/>
  <c r="R267" i="22"/>
  <c r="AB369" i="22"/>
  <c r="AB39" i="22"/>
  <c r="R17" i="22"/>
  <c r="V289" i="22"/>
  <c r="AB65" i="22"/>
  <c r="Z320" i="22"/>
  <c r="AB118" i="22"/>
  <c r="R189" i="22"/>
  <c r="R247" i="22"/>
  <c r="AH43" i="22"/>
  <c r="Z371" i="22"/>
  <c r="AL373" i="22"/>
  <c r="AN220" i="22"/>
  <c r="AN100" i="22"/>
  <c r="AN48" i="22"/>
  <c r="X233" i="22"/>
  <c r="T278" i="22"/>
  <c r="AF84" i="22"/>
  <c r="Z22" i="22"/>
  <c r="Z297" i="22"/>
  <c r="V45" i="22"/>
  <c r="AJ212" i="22"/>
  <c r="V183" i="22"/>
  <c r="AJ323" i="22"/>
  <c r="X118" i="22"/>
  <c r="AB371" i="22"/>
  <c r="AL189" i="22"/>
  <c r="AL245" i="22"/>
  <c r="AL366" i="22"/>
  <c r="AN54" i="22"/>
  <c r="AL220" i="22"/>
  <c r="AB327" i="22"/>
  <c r="R115" i="22"/>
  <c r="AJ125" i="22"/>
  <c r="Z107" i="22"/>
  <c r="V239" i="22"/>
  <c r="V196" i="22"/>
  <c r="V364" i="22"/>
  <c r="AJ61" i="22"/>
  <c r="Z123" i="22"/>
  <c r="AH167" i="22"/>
  <c r="X151" i="22"/>
  <c r="X256" i="22"/>
  <c r="AB305" i="22"/>
  <c r="AJ324" i="22"/>
  <c r="V149" i="22"/>
  <c r="V132" i="22"/>
  <c r="AH264" i="22"/>
  <c r="AR40" i="22"/>
  <c r="R29" i="22"/>
  <c r="AB318" i="22"/>
  <c r="AR299" i="22"/>
  <c r="Z309" i="22"/>
  <c r="AJ94" i="22"/>
  <c r="AR335" i="22"/>
  <c r="Z70" i="22"/>
  <c r="AB54" i="22"/>
  <c r="AB343" i="22"/>
  <c r="Z254" i="22"/>
  <c r="AP93" i="22"/>
  <c r="X181" i="22"/>
  <c r="AR276" i="22"/>
  <c r="AR35" i="22"/>
  <c r="V79" i="22"/>
  <c r="R83" i="22"/>
  <c r="V350" i="22"/>
  <c r="AJ98" i="22"/>
  <c r="Z41" i="22"/>
  <c r="R314" i="22"/>
  <c r="R157" i="22"/>
  <c r="AF55" i="22"/>
  <c r="AJ244" i="22"/>
  <c r="AH220" i="22"/>
  <c r="AR303" i="22"/>
  <c r="AJ15" i="22"/>
  <c r="AP87" i="22"/>
  <c r="R285" i="22"/>
  <c r="Z126" i="22"/>
  <c r="AR229" i="22"/>
  <c r="AH87" i="22"/>
  <c r="T63" i="22"/>
  <c r="X107" i="22"/>
  <c r="Z78" i="22"/>
  <c r="V210" i="22"/>
  <c r="AB285" i="22"/>
  <c r="Z272" i="22"/>
  <c r="T169" i="22"/>
  <c r="AL294" i="22"/>
  <c r="AB334" i="22"/>
  <c r="X360" i="22"/>
  <c r="R213" i="22"/>
  <c r="T219" i="22"/>
  <c r="AB93" i="22"/>
  <c r="T270" i="22"/>
  <c r="AJ37" i="22"/>
  <c r="AL163" i="22"/>
  <c r="AB52" i="22"/>
  <c r="X248" i="22"/>
  <c r="Z273" i="22"/>
  <c r="AJ56" i="22"/>
  <c r="V173" i="22"/>
  <c r="AJ307" i="22"/>
  <c r="X58" i="22"/>
  <c r="AN310" i="22"/>
  <c r="R14" i="22"/>
  <c r="X140" i="22"/>
  <c r="V117" i="22"/>
  <c r="R286" i="22"/>
  <c r="AJ20" i="22"/>
  <c r="T55" i="22"/>
  <c r="X147" i="22"/>
  <c r="AL137" i="22"/>
  <c r="AN215" i="22"/>
  <c r="AL111" i="22"/>
  <c r="AL35" i="22"/>
  <c r="AP348" i="22"/>
  <c r="T271" i="22"/>
  <c r="V276" i="22"/>
  <c r="Z161" i="22"/>
  <c r="AR181" i="22"/>
  <c r="R278" i="22"/>
  <c r="V298" i="22"/>
  <c r="AJ166" i="22"/>
  <c r="Z294" i="22"/>
  <c r="T14" i="22"/>
  <c r="AH207" i="22"/>
  <c r="X139" i="22"/>
  <c r="AB33" i="22"/>
  <c r="V242" i="22"/>
  <c r="AR238" i="22"/>
  <c r="T235" i="22"/>
  <c r="Z317" i="22"/>
  <c r="T197" i="22"/>
  <c r="V119" i="22"/>
  <c r="R351" i="22"/>
  <c r="AR166" i="22"/>
  <c r="V157" i="22"/>
  <c r="R266" i="22"/>
  <c r="AR371" i="22"/>
  <c r="AH262" i="22"/>
  <c r="T306" i="22"/>
  <c r="R348" i="22"/>
  <c r="R190" i="22"/>
  <c r="AJ281" i="22"/>
  <c r="R47" i="22"/>
  <c r="Z372" i="22"/>
  <c r="R316" i="22"/>
  <c r="AR81" i="22"/>
  <c r="X327" i="22"/>
  <c r="T338" i="22"/>
  <c r="T284" i="22"/>
  <c r="R245" i="22"/>
  <c r="V69" i="22"/>
  <c r="AL261" i="22"/>
  <c r="R49" i="22"/>
  <c r="AJ44" i="22"/>
  <c r="T365" i="22"/>
  <c r="Z39" i="22"/>
  <c r="X23" i="22"/>
  <c r="T376" i="22"/>
  <c r="X122" i="22"/>
  <c r="X250" i="22"/>
  <c r="AR41" i="22"/>
  <c r="X127" i="22"/>
  <c r="AN299" i="22"/>
  <c r="AR39" i="22"/>
  <c r="AP213" i="22"/>
  <c r="R301" i="22"/>
  <c r="Z38" i="22"/>
  <c r="AJ230" i="22"/>
  <c r="AB206" i="22"/>
  <c r="T157" i="22"/>
  <c r="Z290" i="22"/>
  <c r="AJ293" i="22"/>
  <c r="Z171" i="22"/>
  <c r="T95" i="22"/>
  <c r="AJ266" i="22"/>
  <c r="AJ29" i="22"/>
  <c r="T129" i="22"/>
  <c r="AP315" i="22"/>
  <c r="T187" i="22"/>
  <c r="AL224" i="22"/>
  <c r="AH152" i="22"/>
  <c r="AB17" i="22"/>
  <c r="R48" i="22"/>
  <c r="AR227" i="22"/>
  <c r="Z266" i="22"/>
  <c r="AB120" i="22"/>
  <c r="T283" i="22"/>
  <c r="X369" i="22"/>
  <c r="AP175" i="22"/>
  <c r="V83" i="22"/>
  <c r="V248" i="22"/>
  <c r="R305" i="22"/>
  <c r="X272" i="22"/>
  <c r="AL141" i="22"/>
  <c r="AL22" i="22"/>
  <c r="AL91" i="22"/>
  <c r="AL242" i="22"/>
  <c r="AJ219" i="22"/>
  <c r="AJ210" i="22"/>
  <c r="AJ313" i="22"/>
  <c r="AJ79" i="22"/>
  <c r="AH40" i="22"/>
  <c r="X17" i="22"/>
  <c r="AJ232" i="22"/>
  <c r="AB367" i="22"/>
  <c r="R229" i="22"/>
  <c r="AB235" i="22"/>
  <c r="AP165" i="22"/>
  <c r="Z49" i="22"/>
  <c r="R166" i="22"/>
  <c r="X154" i="22"/>
  <c r="AH230" i="22"/>
  <c r="AH50" i="22"/>
  <c r="V329" i="22"/>
  <c r="AB113" i="22"/>
  <c r="AR246" i="22"/>
  <c r="X22" i="22"/>
  <c r="Z104" i="22"/>
  <c r="Z85" i="22"/>
  <c r="Z323" i="22"/>
  <c r="AN294" i="22"/>
  <c r="T371" i="22"/>
  <c r="Z269" i="22"/>
  <c r="V159" i="22"/>
  <c r="Z244" i="22"/>
  <c r="AJ75" i="22"/>
  <c r="AH165" i="22"/>
  <c r="V80" i="22"/>
  <c r="T111" i="22"/>
  <c r="T317" i="22"/>
  <c r="R221" i="22"/>
  <c r="T265" i="22"/>
  <c r="AJ177" i="22"/>
  <c r="V95" i="22"/>
  <c r="V35" i="22"/>
  <c r="T22" i="22"/>
  <c r="V200" i="22"/>
  <c r="AL298" i="22"/>
  <c r="AJ137" i="22"/>
  <c r="AR315" i="22"/>
  <c r="R26" i="22"/>
  <c r="V328" i="22"/>
  <c r="AJ310" i="22"/>
  <c r="AJ296" i="22"/>
  <c r="X372" i="22"/>
  <c r="AP169" i="22"/>
  <c r="AJ199" i="22"/>
  <c r="T310" i="22"/>
  <c r="AR105" i="22"/>
  <c r="R224" i="22"/>
  <c r="X275" i="22"/>
  <c r="AF192" i="22"/>
  <c r="T355" i="22"/>
  <c r="V72" i="22"/>
  <c r="X38" i="22"/>
  <c r="AH239" i="22"/>
  <c r="R100" i="22"/>
  <c r="AB189" i="22"/>
  <c r="AR314" i="22"/>
  <c r="T99" i="22"/>
  <c r="R68" i="22"/>
  <c r="AJ222" i="22"/>
  <c r="AJ80" i="22"/>
  <c r="T286" i="22"/>
  <c r="Z264" i="22"/>
  <c r="X331" i="22"/>
  <c r="AB140" i="22"/>
  <c r="T64" i="22"/>
  <c r="X165" i="22"/>
  <c r="R171" i="22"/>
  <c r="R227" i="22"/>
  <c r="X160" i="22"/>
  <c r="T117" i="22"/>
  <c r="R372" i="22"/>
  <c r="R103" i="22"/>
  <c r="AB57" i="22"/>
  <c r="V236" i="22"/>
  <c r="Z318" i="22"/>
  <c r="AL214" i="22"/>
  <c r="T243" i="22"/>
  <c r="T319" i="22"/>
  <c r="Z279" i="22"/>
  <c r="X60" i="22"/>
  <c r="AB122" i="22"/>
  <c r="R349" i="22"/>
  <c r="R81" i="22"/>
  <c r="X172" i="22"/>
  <c r="AB236" i="22"/>
  <c r="R209" i="22"/>
  <c r="T347" i="22"/>
  <c r="Z173" i="22"/>
  <c r="V47" i="22"/>
  <c r="Z31" i="22"/>
  <c r="R302" i="22"/>
  <c r="AB70" i="22"/>
  <c r="R37" i="22"/>
  <c r="V270" i="22"/>
  <c r="X132" i="22"/>
  <c r="T211" i="22"/>
  <c r="V68" i="22"/>
  <c r="T252" i="22"/>
  <c r="AL301" i="22"/>
  <c r="X36" i="22"/>
  <c r="AB13" i="22"/>
  <c r="T201" i="22"/>
  <c r="AJ335" i="22"/>
  <c r="X155" i="22"/>
  <c r="Z188" i="22"/>
  <c r="AB111" i="22"/>
  <c r="AJ333" i="22"/>
  <c r="AB337" i="22"/>
  <c r="AJ234" i="22"/>
  <c r="R283" i="22"/>
  <c r="AH276" i="22"/>
  <c r="X37" i="22"/>
  <c r="AJ171" i="22"/>
  <c r="AH124" i="22"/>
  <c r="X238" i="22"/>
  <c r="Z52" i="22"/>
  <c r="AJ73" i="22"/>
  <c r="R291" i="22"/>
  <c r="R368" i="22"/>
  <c r="R288" i="22"/>
  <c r="R180" i="22"/>
  <c r="R178" i="22"/>
  <c r="Z32" i="22"/>
  <c r="AR15" i="22"/>
  <c r="AR274" i="22"/>
  <c r="AR146" i="22"/>
  <c r="T312" i="22"/>
  <c r="R155" i="22"/>
  <c r="V144" i="22"/>
  <c r="V118" i="22"/>
  <c r="X35" i="22"/>
  <c r="T183" i="22"/>
  <c r="X244" i="22"/>
  <c r="T262" i="22"/>
  <c r="V362" i="22"/>
  <c r="AL296" i="22"/>
  <c r="AH111" i="22"/>
  <c r="X88" i="22"/>
  <c r="AB26" i="22"/>
  <c r="R241" i="22"/>
  <c r="AB51" i="22"/>
  <c r="AB47" i="22"/>
  <c r="V349" i="22"/>
  <c r="AJ334" i="22"/>
  <c r="X271" i="22"/>
  <c r="Z252" i="22"/>
  <c r="AJ373" i="22"/>
  <c r="AR29" i="22"/>
  <c r="Z288" i="22"/>
  <c r="R144" i="22"/>
  <c r="Z346" i="22"/>
  <c r="AR28" i="22"/>
  <c r="R76" i="22"/>
  <c r="AP243" i="22"/>
  <c r="AH24" i="22"/>
  <c r="AJ76" i="22"/>
  <c r="AP330" i="22"/>
  <c r="R296" i="22"/>
  <c r="T217" i="22"/>
  <c r="AB280" i="22"/>
  <c r="AN44" i="22"/>
  <c r="Z333" i="22"/>
  <c r="T333" i="22"/>
  <c r="T322" i="22"/>
  <c r="AR265" i="22"/>
  <c r="AF87" i="22"/>
  <c r="AH231" i="22"/>
  <c r="T350" i="22"/>
  <c r="R269" i="22"/>
  <c r="AP32" i="22"/>
  <c r="AR345" i="22"/>
  <c r="T246" i="22"/>
  <c r="X74" i="22"/>
  <c r="AJ187" i="22"/>
  <c r="AJ116" i="22"/>
  <c r="X264" i="22"/>
  <c r="V243" i="22"/>
  <c r="X285" i="22"/>
  <c r="V361" i="22"/>
  <c r="Z365" i="22"/>
  <c r="AB43" i="22"/>
  <c r="AH201" i="22"/>
  <c r="R345" i="22"/>
  <c r="AB50" i="22"/>
  <c r="AB89" i="22"/>
  <c r="Z251" i="22"/>
  <c r="Z112" i="22"/>
  <c r="T32" i="22"/>
  <c r="X24" i="22"/>
  <c r="AJ146" i="22"/>
  <c r="X355" i="22"/>
  <c r="T275" i="22"/>
  <c r="AJ42" i="22"/>
  <c r="AJ173" i="22"/>
  <c r="AJ138" i="22"/>
  <c r="AB345" i="22"/>
  <c r="T202" i="22"/>
  <c r="AL268" i="22"/>
  <c r="AJ322" i="22"/>
  <c r="V160" i="22"/>
  <c r="X293" i="22"/>
  <c r="AH166" i="22"/>
  <c r="V267" i="22"/>
  <c r="AJ272" i="22"/>
  <c r="Z139" i="22"/>
  <c r="V40" i="22"/>
  <c r="AJ58" i="22"/>
  <c r="V89" i="22"/>
  <c r="T148" i="22"/>
  <c r="R162" i="22"/>
  <c r="Z174" i="22"/>
  <c r="AJ132" i="22"/>
  <c r="AB240" i="22"/>
  <c r="Z198" i="22"/>
  <c r="X203" i="22"/>
  <c r="Z92" i="22"/>
  <c r="X194" i="22"/>
  <c r="R176" i="22"/>
  <c r="X173" i="22"/>
  <c r="Z296" i="22"/>
  <c r="R215" i="22"/>
  <c r="R86" i="22"/>
  <c r="Z359" i="22"/>
  <c r="Z310" i="22"/>
  <c r="AJ160" i="22"/>
  <c r="X12" i="22"/>
  <c r="R292" i="22"/>
  <c r="R214" i="22"/>
  <c r="Z276" i="22"/>
  <c r="R318" i="22"/>
  <c r="T135" i="22"/>
  <c r="V251" i="22"/>
  <c r="R354" i="22"/>
  <c r="V74" i="22"/>
  <c r="X353" i="22"/>
  <c r="V250" i="22"/>
  <c r="Z108" i="22"/>
  <c r="Z148" i="22"/>
  <c r="R191" i="22"/>
  <c r="AH269" i="22"/>
  <c r="AJ208" i="22"/>
  <c r="AB228" i="22"/>
  <c r="AB332" i="22"/>
  <c r="AL259" i="22"/>
  <c r="AF34" i="22"/>
  <c r="AL203" i="22"/>
  <c r="X351" i="22"/>
  <c r="X334" i="22"/>
  <c r="V198" i="22"/>
  <c r="AB207" i="22"/>
  <c r="AJ49" i="22"/>
  <c r="AB205" i="22"/>
  <c r="Z79" i="22"/>
  <c r="R207" i="22"/>
  <c r="T300" i="22"/>
  <c r="AH265" i="22"/>
  <c r="R336" i="22"/>
  <c r="T233" i="22"/>
  <c r="V162" i="22"/>
  <c r="AJ207" i="22"/>
  <c r="R353" i="22"/>
  <c r="T213" i="22"/>
  <c r="T216" i="22"/>
  <c r="AB273" i="22"/>
  <c r="AN288" i="22"/>
  <c r="X294" i="22"/>
  <c r="AH142" i="22"/>
  <c r="AJ259" i="22"/>
  <c r="X305" i="22"/>
  <c r="AJ14" i="22"/>
  <c r="Z96" i="22"/>
  <c r="V370" i="22"/>
  <c r="T43" i="22"/>
  <c r="AP34" i="22"/>
  <c r="T20" i="22"/>
  <c r="AJ34" i="22"/>
  <c r="Z80" i="22"/>
  <c r="AH131" i="22"/>
  <c r="X40" i="22"/>
  <c r="Z30" i="22"/>
  <c r="AB258" i="22"/>
  <c r="AL258" i="22"/>
  <c r="T244" i="22"/>
  <c r="R223" i="22"/>
  <c r="AB293" i="22"/>
  <c r="Z190" i="22"/>
  <c r="V305" i="22"/>
  <c r="AF30" i="22"/>
  <c r="V176" i="22"/>
  <c r="AH27" i="22"/>
  <c r="AR113" i="22"/>
  <c r="R35" i="22"/>
  <c r="AF175" i="22"/>
  <c r="AJ330" i="22"/>
  <c r="X326" i="22"/>
  <c r="V311" i="22"/>
  <c r="X19" i="22"/>
  <c r="AR207" i="22"/>
  <c r="T53" i="22"/>
  <c r="AJ302" i="22"/>
  <c r="AJ297" i="22"/>
  <c r="V366" i="22"/>
  <c r="AB212" i="22"/>
  <c r="V255" i="22"/>
  <c r="R51" i="22"/>
  <c r="R154" i="22"/>
  <c r="X289" i="22"/>
  <c r="AR272" i="22"/>
  <c r="V147" i="22"/>
  <c r="AB263" i="22"/>
  <c r="T232" i="22"/>
  <c r="AJ182" i="22"/>
  <c r="T93" i="22"/>
  <c r="AF111" i="22"/>
  <c r="X114" i="22"/>
  <c r="R19" i="22"/>
  <c r="AB183" i="22"/>
  <c r="AJ245" i="22"/>
  <c r="R311" i="22"/>
  <c r="Z87" i="22"/>
  <c r="R92" i="22"/>
  <c r="AJ355" i="22"/>
  <c r="AP83" i="22"/>
  <c r="Z157" i="22"/>
  <c r="X221" i="22"/>
  <c r="Z194" i="22"/>
  <c r="Z133" i="22"/>
  <c r="Z216" i="22"/>
  <c r="V154" i="22"/>
  <c r="Z47" i="22"/>
  <c r="T33" i="22"/>
  <c r="AB178" i="22"/>
  <c r="AL302" i="22"/>
  <c r="V143" i="22"/>
  <c r="AR48" i="22"/>
  <c r="AB243" i="22"/>
  <c r="X226" i="22"/>
  <c r="AB85" i="22"/>
  <c r="X166" i="22"/>
  <c r="AH51" i="22"/>
  <c r="T98" i="22"/>
  <c r="AR260" i="22"/>
  <c r="Z34" i="22"/>
  <c r="AJ340" i="22"/>
  <c r="AR83" i="22"/>
  <c r="Z143" i="22"/>
  <c r="T24" i="22"/>
  <c r="AN300" i="22"/>
  <c r="R198" i="22"/>
  <c r="AH172" i="22"/>
  <c r="AJ226" i="22"/>
  <c r="R42" i="22"/>
  <c r="AB190" i="22"/>
  <c r="Z169" i="22"/>
  <c r="T58" i="22"/>
  <c r="R20" i="22"/>
  <c r="Z196" i="22"/>
  <c r="T356" i="22"/>
  <c r="AR120" i="22"/>
  <c r="AH237" i="22"/>
  <c r="T82" i="22"/>
  <c r="V274" i="22"/>
  <c r="AH36" i="22"/>
  <c r="X273" i="22"/>
  <c r="V322" i="22"/>
  <c r="AH213" i="22"/>
  <c r="Z145" i="22"/>
  <c r="T103" i="22"/>
  <c r="Z287" i="22"/>
  <c r="AB143" i="22"/>
  <c r="V126" i="22"/>
  <c r="AR211" i="22"/>
  <c r="X349" i="22"/>
  <c r="AB32" i="22"/>
  <c r="V43" i="22"/>
  <c r="AB352" i="22"/>
  <c r="R132" i="22"/>
  <c r="Z119" i="22"/>
  <c r="X108" i="22"/>
  <c r="T146" i="22"/>
  <c r="R343" i="22"/>
  <c r="Z36" i="22"/>
  <c r="AR87" i="22"/>
  <c r="AB171" i="22"/>
  <c r="V177" i="22"/>
  <c r="AB328" i="22"/>
  <c r="V285" i="22"/>
  <c r="R96" i="22"/>
  <c r="AJ273" i="22"/>
  <c r="T101" i="22"/>
  <c r="AP23" i="22"/>
  <c r="AJ191" i="22"/>
  <c r="AB312" i="22"/>
  <c r="AF18" i="22"/>
  <c r="V326" i="22"/>
  <c r="X101" i="22"/>
  <c r="AJ95" i="22"/>
  <c r="AF216" i="22"/>
  <c r="Z265" i="22"/>
  <c r="AB24" i="22"/>
  <c r="T313" i="22"/>
  <c r="AJ155" i="22"/>
  <c r="Z358" i="22"/>
  <c r="AJ148" i="22"/>
  <c r="AN346" i="22"/>
  <c r="R299" i="22"/>
  <c r="AJ247" i="22"/>
  <c r="AB374" i="22"/>
  <c r="V228" i="22"/>
  <c r="V37" i="22"/>
  <c r="V19" i="22"/>
  <c r="AN297" i="22"/>
  <c r="Z120" i="22"/>
  <c r="Z334" i="22"/>
  <c r="AH94" i="22"/>
  <c r="T238" i="22"/>
  <c r="AJ26" i="22"/>
  <c r="AB61" i="22"/>
  <c r="AR235" i="22"/>
  <c r="X89" i="22"/>
  <c r="AJ258" i="22"/>
  <c r="R65" i="22"/>
  <c r="AJ353" i="22"/>
  <c r="Z364" i="22"/>
  <c r="AR204" i="22"/>
  <c r="AR159" i="22"/>
  <c r="AJ345" i="22"/>
  <c r="AP75" i="22"/>
  <c r="AJ321" i="22"/>
  <c r="Z321" i="22"/>
  <c r="AR212" i="22"/>
  <c r="AB225" i="22"/>
  <c r="Z97" i="22"/>
  <c r="V207" i="22"/>
  <c r="AB204" i="22"/>
  <c r="AR194" i="22"/>
  <c r="Z48" i="22"/>
  <c r="V372" i="22"/>
  <c r="T138" i="22"/>
  <c r="Z142" i="22"/>
  <c r="X235" i="22"/>
  <c r="X365" i="22"/>
  <c r="X162" i="22"/>
  <c r="AB376" i="22"/>
  <c r="V22" i="22"/>
  <c r="X354" i="22"/>
  <c r="AB242" i="22"/>
  <c r="R281" i="22"/>
  <c r="AJ153" i="22"/>
  <c r="Z178" i="22"/>
  <c r="T44" i="22"/>
  <c r="T67" i="22"/>
  <c r="Z263" i="22"/>
  <c r="R150" i="22"/>
  <c r="Z99" i="22"/>
  <c r="AB53" i="22"/>
  <c r="X45" i="22"/>
  <c r="Z122" i="22"/>
  <c r="V318" i="22"/>
  <c r="AJ83" i="22"/>
  <c r="X257" i="22"/>
  <c r="V88" i="22"/>
  <c r="AJ59" i="22"/>
  <c r="X251" i="22"/>
  <c r="AR221" i="22"/>
  <c r="AH134" i="22"/>
  <c r="Z138" i="22"/>
  <c r="R18" i="22"/>
  <c r="AR79" i="22"/>
  <c r="AJ113" i="22"/>
  <c r="V93" i="22"/>
  <c r="Z159" i="22"/>
  <c r="R329" i="22"/>
  <c r="X219" i="22"/>
  <c r="R128" i="22"/>
  <c r="X125" i="22"/>
  <c r="AB42" i="22"/>
  <c r="AF234" i="22"/>
  <c r="AB288" i="22"/>
  <c r="Z255" i="22"/>
  <c r="V335" i="22"/>
  <c r="R78" i="22"/>
  <c r="AJ36" i="22"/>
  <c r="Z88" i="22"/>
  <c r="Z283" i="22"/>
  <c r="AB119" i="22"/>
  <c r="AR86" i="22"/>
  <c r="V70" i="22"/>
  <c r="X82" i="22"/>
  <c r="R222" i="22"/>
  <c r="AN102" i="22"/>
  <c r="AB229" i="22"/>
  <c r="R317" i="22"/>
  <c r="AJ158" i="22"/>
  <c r="X324" i="22"/>
  <c r="Z259" i="22"/>
  <c r="X55" i="22"/>
  <c r="T301" i="22"/>
  <c r="V49" i="22"/>
  <c r="AL311" i="22"/>
  <c r="Z302" i="22"/>
  <c r="X282" i="22"/>
  <c r="V308" i="22"/>
  <c r="X117" i="22"/>
  <c r="R273" i="22"/>
  <c r="X97" i="22"/>
  <c r="AR289" i="22"/>
  <c r="T204" i="22"/>
  <c r="T96" i="22"/>
  <c r="R334" i="22"/>
  <c r="AN71" i="22"/>
  <c r="AB147" i="22"/>
  <c r="AB323" i="22"/>
  <c r="AJ264" i="22"/>
  <c r="V230" i="22"/>
  <c r="AJ109" i="22"/>
  <c r="AR298" i="22"/>
  <c r="AJ359" i="22"/>
  <c r="R56" i="22"/>
  <c r="AB150" i="22"/>
  <c r="X79" i="22"/>
  <c r="AR309" i="22"/>
  <c r="R326" i="22"/>
  <c r="T47" i="22"/>
  <c r="Z332" i="22"/>
  <c r="AB363" i="22"/>
  <c r="T140" i="22"/>
  <c r="V268" i="22"/>
  <c r="R30" i="22"/>
  <c r="Z183" i="22"/>
  <c r="AH252" i="22"/>
  <c r="T141" i="22"/>
  <c r="V175" i="22"/>
  <c r="AB75" i="22"/>
  <c r="R328" i="22"/>
  <c r="AB194" i="22"/>
  <c r="T31" i="22"/>
  <c r="AJ136" i="22"/>
  <c r="R332" i="22"/>
  <c r="T119" i="22"/>
  <c r="Z361" i="22"/>
  <c r="V122" i="22"/>
  <c r="AJ51" i="22"/>
  <c r="T255" i="22"/>
  <c r="AF28" i="22"/>
  <c r="R356" i="22"/>
  <c r="AB95" i="22"/>
  <c r="AJ151" i="22"/>
  <c r="T61" i="22"/>
  <c r="X157" i="22"/>
  <c r="X340" i="22"/>
  <c r="AJ38" i="22"/>
  <c r="AJ118" i="22"/>
  <c r="AB104" i="22"/>
  <c r="Z27" i="22"/>
  <c r="V373" i="22"/>
  <c r="R43" i="22"/>
  <c r="AR213" i="22"/>
  <c r="X376" i="22"/>
  <c r="V297" i="22"/>
  <c r="T39" i="22"/>
  <c r="T293" i="22"/>
  <c r="V245" i="22"/>
  <c r="Z238" i="22"/>
  <c r="V219" i="22"/>
  <c r="AR100" i="22"/>
  <c r="AB49" i="22"/>
  <c r="R185" i="22"/>
  <c r="AL305" i="22"/>
  <c r="R105" i="22"/>
  <c r="R276" i="22"/>
  <c r="AJ111" i="22"/>
  <c r="AB351" i="22"/>
  <c r="AR209" i="22"/>
  <c r="Z182" i="22"/>
  <c r="X72" i="22"/>
  <c r="X167" i="22"/>
  <c r="V272" i="22"/>
  <c r="T367" i="22"/>
  <c r="T240" i="22"/>
  <c r="AB193" i="22"/>
  <c r="AF245" i="22"/>
  <c r="X230" i="22"/>
  <c r="AB319" i="22"/>
  <c r="R74" i="22"/>
  <c r="R228" i="22"/>
  <c r="T188" i="22"/>
  <c r="R13" i="22"/>
  <c r="V33" i="22"/>
  <c r="AR313" i="22"/>
  <c r="X199" i="22"/>
  <c r="Z146" i="22"/>
  <c r="AJ267" i="22"/>
  <c r="T65" i="22"/>
  <c r="AR323" i="22"/>
  <c r="T123" i="22"/>
  <c r="X14" i="22"/>
  <c r="V262" i="22"/>
  <c r="AJ88" i="22"/>
  <c r="X281" i="22"/>
  <c r="X318" i="22"/>
  <c r="V301" i="22"/>
  <c r="AL12" i="22"/>
  <c r="AR333" i="22"/>
  <c r="AF33" i="22"/>
  <c r="X312" i="22"/>
  <c r="X228" i="22"/>
  <c r="V246" i="22"/>
  <c r="X322" i="22"/>
  <c r="AR111" i="22"/>
  <c r="AR365" i="22"/>
  <c r="AH23" i="22"/>
  <c r="T288" i="22"/>
  <c r="X187" i="22"/>
  <c r="AR33" i="22"/>
  <c r="R94" i="22"/>
  <c r="R73" i="22"/>
  <c r="R163" i="22"/>
  <c r="V140" i="22"/>
  <c r="AJ119" i="22"/>
  <c r="AB22" i="22"/>
  <c r="AB310" i="22"/>
  <c r="V205" i="22"/>
  <c r="Z165" i="22"/>
  <c r="T305" i="22"/>
  <c r="AB174" i="22"/>
  <c r="AB331" i="22"/>
  <c r="X347" i="22"/>
  <c r="X207" i="22"/>
  <c r="AR24" i="22"/>
  <c r="V288" i="22"/>
  <c r="V235" i="22"/>
  <c r="AJ45" i="22"/>
  <c r="Z76" i="22"/>
  <c r="AB355" i="22"/>
  <c r="X135" i="22"/>
  <c r="AH55" i="22"/>
  <c r="AP14" i="22"/>
  <c r="Z44" i="22"/>
  <c r="Z328" i="22"/>
  <c r="Z111" i="22"/>
  <c r="AJ229" i="22"/>
  <c r="AB97" i="22"/>
  <c r="T207" i="22"/>
  <c r="X350" i="22"/>
  <c r="AH202" i="22"/>
  <c r="Z221" i="22"/>
  <c r="AB56" i="22"/>
  <c r="AJ107" i="22"/>
  <c r="AF32" i="22"/>
  <c r="AL279" i="22"/>
  <c r="AR201" i="22"/>
  <c r="T145" i="22"/>
  <c r="AJ280" i="22"/>
  <c r="R57" i="22"/>
  <c r="Z217" i="22"/>
  <c r="V354" i="22"/>
  <c r="R262" i="22"/>
  <c r="AB128" i="22"/>
  <c r="R282" i="22"/>
  <c r="Z246" i="22"/>
  <c r="V273" i="22"/>
  <c r="Z180" i="22"/>
  <c r="X280" i="22"/>
  <c r="V164" i="22"/>
  <c r="X26" i="22"/>
  <c r="AJ295" i="22"/>
  <c r="V129" i="22"/>
  <c r="X214" i="22"/>
  <c r="AJ268" i="22"/>
  <c r="AL249" i="22"/>
  <c r="AJ349" i="22"/>
  <c r="T327" i="22"/>
  <c r="AL292" i="22"/>
  <c r="T325" i="22"/>
  <c r="X210" i="22"/>
  <c r="Z45" i="22"/>
  <c r="Z59" i="22"/>
  <c r="Z81" i="22"/>
  <c r="R271" i="22"/>
  <c r="Z331" i="22"/>
  <c r="T239" i="22"/>
  <c r="AB139" i="22"/>
  <c r="T182" i="22"/>
  <c r="X284" i="22"/>
  <c r="AB368" i="22"/>
  <c r="AB365" i="22"/>
  <c r="AH18" i="22"/>
  <c r="AB301" i="22"/>
  <c r="AJ120" i="22"/>
  <c r="X86" i="22"/>
  <c r="AN316" i="22"/>
  <c r="V105" i="22"/>
  <c r="V13" i="22"/>
  <c r="T126" i="22"/>
  <c r="R22" i="22"/>
  <c r="T236" i="22"/>
  <c r="AN287" i="22"/>
  <c r="Z215" i="22"/>
  <c r="V32" i="22"/>
  <c r="Z67" i="22"/>
  <c r="R306" i="22"/>
  <c r="AR376" i="22"/>
  <c r="X43" i="22"/>
  <c r="AH117" i="22"/>
  <c r="AJ85" i="22"/>
  <c r="AN315" i="22"/>
  <c r="V259" i="22"/>
  <c r="AJ124" i="22"/>
  <c r="V125" i="22"/>
  <c r="V206" i="22"/>
  <c r="Z110" i="22"/>
  <c r="V333" i="22"/>
  <c r="T189" i="22"/>
  <c r="AL313" i="22"/>
  <c r="Z305" i="22"/>
  <c r="R205" i="22"/>
  <c r="AH98" i="22"/>
  <c r="X211" i="22"/>
  <c r="AH281" i="22"/>
  <c r="X53" i="22"/>
  <c r="AJ64" i="22"/>
  <c r="Z116" i="22"/>
  <c r="V209" i="22"/>
  <c r="V302" i="22"/>
  <c r="T375" i="22"/>
  <c r="X51" i="22"/>
  <c r="T164" i="22"/>
  <c r="T268" i="22"/>
  <c r="T37" i="22"/>
  <c r="AH181" i="22"/>
  <c r="AJ312" i="22"/>
  <c r="T331" i="22"/>
  <c r="AB14" i="22"/>
  <c r="AB153" i="22"/>
  <c r="AH171" i="22"/>
  <c r="AB166" i="22"/>
  <c r="R79" i="22"/>
  <c r="AB30" i="22"/>
  <c r="R67" i="22"/>
  <c r="V368" i="22"/>
  <c r="T366" i="22"/>
  <c r="AJ128" i="22"/>
  <c r="Z17" i="22"/>
  <c r="AH30" i="22"/>
  <c r="AJ317" i="22"/>
  <c r="V91" i="22"/>
  <c r="AH143" i="22"/>
  <c r="AB257" i="22"/>
  <c r="R177" i="22"/>
  <c r="AP245" i="22"/>
  <c r="V150" i="22"/>
  <c r="X87" i="22"/>
  <c r="AB87" i="22"/>
  <c r="X129" i="22"/>
  <c r="AN307" i="22"/>
  <c r="AN37" i="22"/>
  <c r="AB167" i="22"/>
  <c r="AJ144" i="22"/>
  <c r="AJ135" i="22"/>
  <c r="AN224" i="22"/>
  <c r="AH146" i="22"/>
  <c r="AB130" i="22"/>
  <c r="X330" i="22"/>
  <c r="T361" i="22"/>
  <c r="AR47" i="22"/>
  <c r="AJ40" i="22"/>
  <c r="AR330" i="22"/>
  <c r="Z243" i="22"/>
  <c r="V345" i="22"/>
  <c r="Z207" i="22"/>
  <c r="V28" i="22"/>
  <c r="V280" i="22"/>
  <c r="AP347" i="22"/>
  <c r="V203" i="22"/>
  <c r="X301" i="22"/>
  <c r="Z285" i="22"/>
  <c r="X323" i="22"/>
  <c r="X269" i="22"/>
  <c r="AF23" i="22"/>
  <c r="Z291" i="22"/>
  <c r="AR219" i="22"/>
  <c r="AH140" i="22"/>
  <c r="V224" i="22"/>
  <c r="T159" i="22"/>
  <c r="AR297" i="22"/>
  <c r="AH17" i="22"/>
  <c r="AB172" i="22"/>
  <c r="Z210" i="22"/>
  <c r="AL273" i="22"/>
  <c r="R309" i="22"/>
  <c r="T370" i="22"/>
  <c r="Z193" i="22"/>
  <c r="X133" i="22"/>
  <c r="X345" i="22"/>
  <c r="T59" i="22"/>
  <c r="Z277" i="22"/>
  <c r="AJ294" i="22"/>
  <c r="AB62" i="22"/>
  <c r="Z191" i="22"/>
  <c r="T274" i="22"/>
  <c r="AB267" i="22"/>
  <c r="V340" i="22"/>
  <c r="V369" i="22"/>
  <c r="X69" i="22"/>
  <c r="R226" i="22"/>
  <c r="AB48" i="22"/>
  <c r="AF252" i="22"/>
  <c r="R341" i="22"/>
  <c r="AB134" i="22"/>
  <c r="Z131" i="22"/>
  <c r="AJ253" i="22"/>
  <c r="R136" i="22"/>
  <c r="AH106" i="22"/>
  <c r="T173" i="22"/>
  <c r="Z312" i="22"/>
  <c r="T163" i="22"/>
  <c r="AB215" i="22"/>
  <c r="AB117" i="22"/>
  <c r="AJ292" i="22"/>
  <c r="AJ63" i="22"/>
  <c r="V34" i="22"/>
  <c r="V151" i="22"/>
  <c r="Z33" i="22"/>
  <c r="AL282" i="22"/>
  <c r="AB360" i="22"/>
  <c r="T296" i="22"/>
  <c r="AB127" i="22"/>
  <c r="AR60" i="22"/>
  <c r="AL71" i="22"/>
  <c r="T314" i="22"/>
  <c r="AJ200" i="22"/>
  <c r="T289" i="22"/>
  <c r="AH235" i="22"/>
  <c r="AJ127" i="22"/>
  <c r="V57" i="22"/>
  <c r="AJ336" i="22"/>
  <c r="T21" i="22"/>
  <c r="V252" i="22"/>
  <c r="AH232" i="22"/>
  <c r="AB84" i="22"/>
  <c r="AN104" i="22"/>
  <c r="R339" i="22"/>
  <c r="AR160" i="22"/>
  <c r="AJ69" i="22"/>
  <c r="AH243" i="22"/>
  <c r="AJ57" i="22"/>
  <c r="X278" i="22"/>
  <c r="X270" i="22"/>
  <c r="X206" i="22"/>
  <c r="Z186" i="22"/>
  <c r="V271" i="22"/>
  <c r="T297" i="22"/>
  <c r="Z73" i="22"/>
  <c r="X374" i="22"/>
  <c r="AH271" i="22"/>
  <c r="X178" i="22"/>
  <c r="AJ338" i="22"/>
  <c r="R298" i="22"/>
  <c r="AJ142" i="22"/>
  <c r="T72" i="22"/>
  <c r="AB220" i="22"/>
  <c r="Z65" i="22"/>
  <c r="AR173" i="22"/>
  <c r="AB294" i="22"/>
  <c r="AB170" i="22"/>
  <c r="X290" i="22"/>
  <c r="T364" i="22"/>
  <c r="Z300" i="22"/>
  <c r="AB20" i="22"/>
  <c r="V62" i="22"/>
  <c r="Z144" i="22"/>
  <c r="V116" i="22"/>
  <c r="AR136" i="22"/>
  <c r="AF93" i="22"/>
  <c r="AJ169" i="22"/>
  <c r="Z253" i="22"/>
  <c r="T320" i="22"/>
  <c r="T87" i="22"/>
  <c r="V244" i="22"/>
  <c r="X183" i="22"/>
  <c r="Z202" i="22"/>
  <c r="R350" i="22"/>
  <c r="T88" i="22"/>
  <c r="AB82" i="22"/>
  <c r="X174" i="22"/>
  <c r="X209" i="22"/>
  <c r="AN293" i="22"/>
  <c r="R21" i="22"/>
  <c r="AN303" i="22"/>
  <c r="AR34" i="22"/>
  <c r="X169" i="22"/>
  <c r="X337" i="22"/>
  <c r="AJ356" i="22"/>
  <c r="AH256" i="22"/>
  <c r="AJ362" i="22"/>
  <c r="AR74" i="22"/>
  <c r="AF242" i="22"/>
  <c r="AH74" i="22"/>
  <c r="X255" i="22"/>
  <c r="AB251" i="22"/>
  <c r="X109" i="22"/>
  <c r="T13" i="22"/>
  <c r="AH261" i="22"/>
  <c r="R182" i="22"/>
  <c r="AB148" i="22"/>
  <c r="R308" i="22"/>
  <c r="V56" i="22"/>
  <c r="AB303" i="22"/>
  <c r="AJ102" i="22"/>
  <c r="R357" i="22"/>
  <c r="X111" i="22"/>
  <c r="X92" i="22"/>
  <c r="Z57" i="22"/>
  <c r="V46" i="22"/>
  <c r="AR373" i="22"/>
  <c r="Z250" i="22"/>
  <c r="AB106" i="22"/>
  <c r="AB186" i="22"/>
  <c r="R359" i="22"/>
  <c r="AH16" i="22"/>
  <c r="AB283" i="22"/>
  <c r="AR280" i="22"/>
  <c r="AB19" i="22"/>
  <c r="AB370" i="22"/>
  <c r="Z282" i="22"/>
  <c r="AJ145" i="22"/>
  <c r="AJ176" i="22"/>
  <c r="T75" i="22"/>
  <c r="T328" i="22"/>
  <c r="V347" i="22"/>
  <c r="AN289" i="22"/>
  <c r="Z35" i="22"/>
  <c r="X48" i="22"/>
  <c r="X338" i="22"/>
  <c r="R371" i="22"/>
  <c r="V73" i="22"/>
  <c r="R117" i="22"/>
  <c r="X196" i="22"/>
  <c r="AF61" i="22"/>
  <c r="AH223" i="22"/>
  <c r="T52" i="22"/>
  <c r="AB181" i="22"/>
  <c r="AH174" i="22"/>
  <c r="R289" i="22"/>
  <c r="R287" i="22"/>
  <c r="V31" i="22"/>
  <c r="AB151" i="22"/>
  <c r="AR106" i="22"/>
  <c r="T172" i="22"/>
  <c r="AR103" i="22"/>
  <c r="R169" i="22"/>
  <c r="V295" i="22"/>
  <c r="T343" i="22"/>
  <c r="T35" i="22"/>
  <c r="AH28" i="22"/>
  <c r="T241" i="22"/>
  <c r="T363" i="22"/>
  <c r="T80" i="22"/>
  <c r="AB237" i="22"/>
  <c r="AJ198" i="22"/>
  <c r="AP107" i="22"/>
  <c r="AJ53" i="22"/>
  <c r="T27" i="22"/>
  <c r="AB137" i="22"/>
  <c r="Z209" i="22"/>
  <c r="AL314" i="22"/>
  <c r="AH126" i="22"/>
  <c r="AJ78" i="22"/>
  <c r="T184" i="22"/>
  <c r="X64" i="22"/>
  <c r="AB141" i="22"/>
  <c r="AH114" i="22"/>
  <c r="AB302" i="22"/>
  <c r="T130" i="22"/>
  <c r="R102" i="22"/>
  <c r="AJ165" i="22"/>
  <c r="Z311" i="22"/>
  <c r="T181" i="22"/>
  <c r="T279" i="22"/>
  <c r="X348" i="22"/>
  <c r="T369" i="22"/>
  <c r="AH129" i="22"/>
  <c r="AR296" i="22"/>
  <c r="AH266" i="22"/>
  <c r="T79" i="22"/>
  <c r="AB298" i="22"/>
  <c r="R55" i="22"/>
  <c r="Z353" i="22"/>
  <c r="T359" i="22"/>
  <c r="AB201" i="22"/>
  <c r="V121" i="22"/>
  <c r="AJ159" i="22"/>
  <c r="AR167" i="22"/>
  <c r="AJ211" i="22"/>
  <c r="T208" i="22"/>
  <c r="AH93" i="22"/>
  <c r="AJ133" i="22"/>
  <c r="AJ114" i="22"/>
  <c r="AR142" i="22"/>
  <c r="T302" i="22"/>
  <c r="T85" i="22"/>
  <c r="AH193" i="22"/>
  <c r="AJ311" i="22"/>
  <c r="R82" i="22"/>
  <c r="R69" i="22"/>
  <c r="R145" i="22"/>
  <c r="AL43" i="22"/>
  <c r="Z363" i="22"/>
  <c r="T176" i="22"/>
  <c r="AH108" i="22"/>
  <c r="AJ28" i="22"/>
  <c r="R321" i="22"/>
  <c r="Z37" i="22"/>
  <c r="AJ43" i="22"/>
  <c r="Z351" i="22"/>
  <c r="AH147" i="22"/>
  <c r="AJ271" i="22"/>
  <c r="V113" i="22"/>
  <c r="R295" i="22"/>
  <c r="Z149" i="22"/>
  <c r="AB125" i="22"/>
  <c r="AH214" i="22"/>
  <c r="R268" i="22"/>
  <c r="T206" i="22"/>
  <c r="AJ97" i="22"/>
  <c r="X333" i="22"/>
  <c r="R242" i="22"/>
  <c r="R375" i="22"/>
  <c r="X182" i="22"/>
  <c r="V180" i="22"/>
  <c r="X304" i="22"/>
  <c r="V321" i="22"/>
  <c r="V286" i="22"/>
  <c r="R232" i="22"/>
  <c r="AL303" i="22"/>
  <c r="R376" i="22"/>
  <c r="AJ192" i="22"/>
  <c r="R112" i="22"/>
  <c r="AJ305" i="22"/>
  <c r="V86" i="22"/>
  <c r="R164" i="22"/>
  <c r="X13" i="22"/>
  <c r="V317" i="22"/>
  <c r="V107" i="22"/>
  <c r="X375" i="22"/>
  <c r="AR63" i="22"/>
  <c r="AR270" i="22"/>
  <c r="Z348" i="22"/>
  <c r="T360" i="22"/>
  <c r="AP134" i="22"/>
  <c r="V263" i="22"/>
  <c r="AJ269" i="22"/>
  <c r="AB158" i="22"/>
  <c r="AH75" i="22"/>
  <c r="R323" i="22"/>
  <c r="V82" i="22"/>
  <c r="T191" i="22"/>
  <c r="X170" i="22"/>
  <c r="AB317" i="22"/>
  <c r="X177" i="22"/>
  <c r="AJ68" i="22"/>
  <c r="V260" i="22"/>
  <c r="X99" i="22"/>
  <c r="T190" i="22"/>
  <c r="Z261" i="22"/>
  <c r="T339" i="22"/>
  <c r="R44" i="22"/>
  <c r="R197" i="22"/>
  <c r="Z63" i="22"/>
  <c r="V376" i="22"/>
  <c r="AP242" i="22"/>
  <c r="AP35" i="22"/>
  <c r="AB300" i="22"/>
  <c r="AJ101" i="22"/>
  <c r="AH69" i="22"/>
  <c r="T335" i="22"/>
  <c r="AJ22" i="22"/>
  <c r="Z213" i="22"/>
  <c r="T170" i="22"/>
  <c r="V12" i="22"/>
  <c r="R327" i="22"/>
  <c r="T345" i="22"/>
  <c r="R257" i="22"/>
  <c r="AB74" i="22"/>
  <c r="Z241" i="22"/>
  <c r="R52" i="22"/>
  <c r="Z315" i="22"/>
  <c r="V191" i="22"/>
  <c r="AH268" i="22"/>
  <c r="AJ52" i="22"/>
  <c r="AJ90" i="22"/>
  <c r="Z242" i="22"/>
  <c r="Z295" i="22"/>
  <c r="AB60" i="22"/>
  <c r="AR349" i="22"/>
  <c r="AN306" i="22"/>
  <c r="Z258" i="22"/>
  <c r="AR281" i="22"/>
  <c r="Z151" i="22"/>
  <c r="V261" i="22"/>
  <c r="AB132" i="22"/>
  <c r="AB209" i="22"/>
  <c r="V14" i="22"/>
  <c r="AR14" i="22"/>
  <c r="V284" i="22"/>
  <c r="AB182" i="22"/>
  <c r="AB261" i="22"/>
  <c r="AH242" i="22"/>
  <c r="AB133" i="22"/>
  <c r="AF27" i="22"/>
  <c r="AB249" i="22"/>
  <c r="AB185" i="22"/>
  <c r="AL286" i="22"/>
  <c r="X113" i="22"/>
  <c r="T77" i="22"/>
  <c r="R188" i="22"/>
  <c r="AJ240" i="22"/>
  <c r="AJ96" i="22"/>
  <c r="AR268" i="22"/>
  <c r="R355" i="22"/>
  <c r="R261" i="22"/>
  <c r="AB349" i="22"/>
  <c r="AB347" i="22"/>
  <c r="AL256" i="22"/>
  <c r="AJ369" i="22"/>
  <c r="AB96" i="22"/>
  <c r="T162" i="22"/>
  <c r="AR116" i="22"/>
  <c r="V51" i="22"/>
  <c r="X213" i="22"/>
  <c r="AJ376" i="22"/>
  <c r="AB112" i="22"/>
  <c r="X134" i="22"/>
  <c r="AH173" i="22"/>
  <c r="V374" i="22"/>
  <c r="AB69" i="22"/>
  <c r="V220" i="22"/>
  <c r="AB246" i="22"/>
  <c r="Z56" i="22"/>
  <c r="V331" i="22"/>
  <c r="V320" i="22"/>
  <c r="R366" i="22"/>
  <c r="AB101" i="22"/>
  <c r="Z239" i="22"/>
  <c r="Z360" i="22"/>
  <c r="V27" i="22"/>
  <c r="AN308" i="22"/>
  <c r="AH66" i="22"/>
  <c r="Z74" i="22"/>
  <c r="T48" i="22"/>
  <c r="AH270" i="22"/>
  <c r="AR347" i="22"/>
  <c r="V237" i="22"/>
  <c r="Z83" i="22"/>
  <c r="Z256" i="22"/>
  <c r="AH81" i="22"/>
  <c r="AH195" i="22"/>
  <c r="T214" i="22"/>
  <c r="AB357" i="22"/>
  <c r="AR354" i="22"/>
  <c r="AB222" i="22"/>
  <c r="R338" i="22"/>
  <c r="T165" i="22"/>
  <c r="AR119" i="22"/>
  <c r="Z137" i="22"/>
  <c r="AJ175" i="22"/>
  <c r="AL293" i="22"/>
  <c r="AJ228" i="22"/>
  <c r="V133" i="22"/>
  <c r="R149" i="22"/>
  <c r="AJ24" i="22"/>
  <c r="T193" i="22"/>
  <c r="AL346" i="22"/>
  <c r="R337" i="22"/>
  <c r="AR267" i="22"/>
  <c r="AF107" i="22"/>
  <c r="X368" i="22"/>
  <c r="AB92" i="22"/>
  <c r="T340" i="22"/>
  <c r="AJ141" i="22"/>
  <c r="X70" i="22"/>
  <c r="R264" i="22"/>
  <c r="AB211" i="22"/>
  <c r="X49" i="22"/>
  <c r="AR361" i="22"/>
  <c r="T116" i="22"/>
  <c r="AB307" i="22"/>
  <c r="AB116" i="22"/>
  <c r="V258" i="22"/>
  <c r="AJ225" i="22"/>
  <c r="R200" i="22"/>
  <c r="Z281" i="22"/>
  <c r="AP167" i="22"/>
  <c r="X311" i="22"/>
  <c r="V64" i="22"/>
  <c r="AH267" i="22"/>
  <c r="AJ283" i="22"/>
  <c r="V30" i="22"/>
  <c r="AH197" i="22"/>
  <c r="AP187" i="22"/>
  <c r="AR50" i="22"/>
  <c r="Z369" i="22"/>
  <c r="AJ72" i="22"/>
  <c r="X262" i="22"/>
  <c r="X78" i="22"/>
  <c r="R231" i="22"/>
  <c r="T245" i="22"/>
  <c r="AJ62" i="22"/>
  <c r="Z114" i="22"/>
  <c r="AL307" i="22"/>
  <c r="V360" i="22"/>
  <c r="Z257" i="22"/>
  <c r="Z23" i="22"/>
  <c r="R362" i="22"/>
  <c r="Z90" i="22"/>
  <c r="R239" i="22"/>
  <c r="T372" i="22"/>
  <c r="Z77" i="22"/>
  <c r="AJ215" i="22"/>
  <c r="X218" i="22"/>
  <c r="T309" i="22"/>
  <c r="R186" i="22"/>
  <c r="X283" i="22"/>
  <c r="Z153" i="22"/>
  <c r="R80" i="22"/>
  <c r="X341" i="22"/>
  <c r="Z197" i="22"/>
  <c r="AB253" i="22"/>
  <c r="Z376" i="22"/>
  <c r="R107" i="22"/>
  <c r="AR339" i="22"/>
  <c r="AJ287" i="22"/>
  <c r="R330" i="22"/>
  <c r="AB144" i="22"/>
  <c r="T332" i="22"/>
  <c r="Z91" i="22"/>
  <c r="V269" i="22"/>
  <c r="AB157" i="22"/>
  <c r="AH247" i="22"/>
  <c r="R139" i="22"/>
  <c r="R152" i="22"/>
  <c r="T311" i="22"/>
  <c r="X71" i="22"/>
  <c r="AR228" i="22"/>
  <c r="AJ308" i="22"/>
  <c r="AL193" i="22"/>
  <c r="AB289" i="22"/>
  <c r="AB94" i="22"/>
  <c r="AJ87" i="22"/>
  <c r="AH259" i="22"/>
  <c r="AB64" i="22"/>
  <c r="AH217" i="22"/>
  <c r="AF193" i="22"/>
  <c r="V29" i="22"/>
  <c r="V60" i="22"/>
  <c r="Z127" i="22"/>
  <c r="Z248" i="22"/>
  <c r="Z293" i="22"/>
  <c r="X239" i="22"/>
  <c r="T28" i="22"/>
  <c r="V75" i="22"/>
  <c r="AH246" i="22"/>
  <c r="Z220" i="22"/>
  <c r="T218" i="22"/>
  <c r="AR245" i="22"/>
  <c r="V283" i="22"/>
  <c r="AR49" i="22"/>
  <c r="AR137" i="22"/>
  <c r="AJ314" i="22"/>
  <c r="V134" i="22"/>
  <c r="T51" i="22"/>
  <c r="AH33" i="22"/>
  <c r="Z374" i="22"/>
  <c r="Z181" i="22"/>
  <c r="X50" i="22"/>
  <c r="T150" i="22"/>
  <c r="AB326" i="22"/>
  <c r="AH224" i="22"/>
  <c r="X185" i="22"/>
  <c r="R374" i="22"/>
  <c r="V58" i="22"/>
  <c r="V182" i="22"/>
  <c r="X94" i="22"/>
  <c r="T273" i="22"/>
  <c r="Z370" i="22"/>
  <c r="AR205" i="22"/>
  <c r="R41" i="22"/>
  <c r="T210" i="22"/>
  <c r="R204" i="22"/>
  <c r="Z40" i="22"/>
  <c r="AB126" i="22"/>
  <c r="X77" i="22"/>
  <c r="AB338" i="22"/>
  <c r="AB361" i="22"/>
  <c r="AP36" i="22"/>
  <c r="AB230" i="22"/>
  <c r="Z192" i="22"/>
  <c r="AB281" i="22"/>
  <c r="V281" i="22"/>
  <c r="AH102" i="22"/>
  <c r="X56" i="22"/>
  <c r="X241" i="22"/>
  <c r="X299" i="22"/>
  <c r="Z195" i="22"/>
  <c r="R369" i="22"/>
  <c r="T291" i="22"/>
  <c r="AB375" i="22"/>
  <c r="T203" i="22"/>
  <c r="AB217" i="22"/>
  <c r="V313" i="22"/>
  <c r="Z225" i="22"/>
  <c r="R114" i="22"/>
  <c r="AR195" i="22"/>
  <c r="AR317" i="22"/>
  <c r="AR197" i="22"/>
  <c r="Z340" i="22"/>
  <c r="T81" i="22"/>
  <c r="X245" i="22"/>
  <c r="Z95" i="22"/>
  <c r="Z175" i="22"/>
  <c r="X143" i="22"/>
  <c r="T315" i="22"/>
  <c r="AR84" i="22"/>
  <c r="X308" i="22"/>
  <c r="AN301" i="22"/>
  <c r="V59" i="22"/>
  <c r="AH229" i="22"/>
  <c r="R284" i="22"/>
  <c r="T152" i="22"/>
  <c r="AJ33" i="22"/>
  <c r="Z167" i="22"/>
  <c r="AR257" i="22"/>
  <c r="T299" i="22"/>
  <c r="AH190" i="22"/>
  <c r="AR143" i="22"/>
  <c r="AJ231" i="22"/>
  <c r="T70" i="22"/>
  <c r="R109" i="22"/>
  <c r="AJ318" i="22"/>
  <c r="X156" i="22"/>
  <c r="Z274" i="22"/>
  <c r="AR172" i="22"/>
  <c r="AJ217" i="22"/>
  <c r="X373" i="22"/>
  <c r="V233" i="22"/>
  <c r="AB146" i="22"/>
  <c r="AF36" i="22"/>
  <c r="AN313" i="22"/>
  <c r="R131" i="22"/>
  <c r="X25" i="22"/>
  <c r="Z189" i="22"/>
  <c r="V168" i="22"/>
  <c r="AH273" i="22"/>
  <c r="T205" i="22"/>
  <c r="V277" i="22"/>
  <c r="T143" i="22"/>
  <c r="AB234" i="22"/>
  <c r="V365" i="22"/>
  <c r="R230" i="22"/>
  <c r="AJ193" i="22"/>
  <c r="V278" i="22"/>
  <c r="AR154" i="22"/>
  <c r="X302" i="22"/>
  <c r="X66" i="22"/>
  <c r="X161" i="22"/>
  <c r="AB336" i="22"/>
  <c r="R23" i="22"/>
  <c r="AJ48" i="22"/>
  <c r="Z101" i="22"/>
  <c r="T266" i="22"/>
  <c r="R90" i="22"/>
  <c r="X371" i="22"/>
  <c r="X342" i="22"/>
  <c r="X186" i="22"/>
  <c r="AR258" i="22"/>
  <c r="Z121" i="22"/>
  <c r="AR277" i="22"/>
  <c r="V110" i="22"/>
  <c r="AB262" i="22"/>
  <c r="AH272" i="22"/>
  <c r="AJ131" i="22"/>
  <c r="AP365" i="22"/>
  <c r="V18" i="22"/>
  <c r="AB254" i="22"/>
  <c r="AH136" i="22"/>
  <c r="R304" i="22"/>
  <c r="AJ209" i="22"/>
  <c r="AB232" i="22"/>
  <c r="AB67" i="22"/>
  <c r="V363" i="22"/>
  <c r="AJ93" i="22"/>
  <c r="AB296" i="22"/>
  <c r="X142" i="22"/>
  <c r="AJ246" i="22"/>
  <c r="AP192" i="22"/>
  <c r="V217" i="22"/>
  <c r="AL316" i="22"/>
  <c r="AJ325" i="22"/>
  <c r="AB199" i="22"/>
  <c r="V44" i="22"/>
  <c r="R246" i="22"/>
  <c r="Z233" i="22"/>
  <c r="AJ276" i="22"/>
  <c r="AF187" i="22"/>
  <c r="V102" i="22"/>
  <c r="X42" i="22"/>
  <c r="Z354" i="22"/>
  <c r="R194" i="22"/>
  <c r="AH216" i="22"/>
  <c r="R110" i="22"/>
  <c r="T280" i="22"/>
  <c r="AR263" i="22"/>
  <c r="Z176" i="22"/>
  <c r="AR94" i="22"/>
  <c r="V323" i="22"/>
  <c r="AH49" i="22"/>
  <c r="X123" i="22"/>
  <c r="AB269" i="22"/>
  <c r="R293" i="22"/>
  <c r="R251" i="22"/>
  <c r="T149" i="22"/>
  <c r="AJ46" i="22"/>
  <c r="V24" i="22"/>
  <c r="AH211" i="22"/>
  <c r="X344" i="22"/>
  <c r="V161" i="22"/>
  <c r="AJ156" i="22"/>
  <c r="AH255" i="22"/>
  <c r="AB282" i="22"/>
  <c r="AB354" i="22"/>
  <c r="X112" i="22"/>
  <c r="Z226" i="22"/>
  <c r="AL295" i="22"/>
  <c r="Z343" i="22"/>
  <c r="AJ332" i="22"/>
  <c r="R367" i="22"/>
  <c r="AR58" i="22"/>
  <c r="T56" i="22"/>
  <c r="R111" i="22"/>
  <c r="AJ201" i="22"/>
  <c r="T54" i="22"/>
  <c r="R130" i="22"/>
  <c r="R98" i="22"/>
  <c r="T247" i="22"/>
  <c r="T108" i="22"/>
  <c r="V357" i="22"/>
  <c r="AR36" i="22"/>
  <c r="V202" i="22"/>
  <c r="R277" i="22"/>
  <c r="X329" i="22"/>
  <c r="Z308" i="22"/>
  <c r="T253" i="22"/>
  <c r="R28" i="22"/>
  <c r="AB255" i="22"/>
  <c r="AH199" i="22"/>
  <c r="AR342" i="22"/>
  <c r="R116" i="22"/>
  <c r="AR128" i="22"/>
  <c r="AP120" i="22"/>
  <c r="AR208" i="22"/>
  <c r="AJ21" i="22"/>
  <c r="R370" i="22"/>
  <c r="AL276" i="22"/>
  <c r="V226" i="22"/>
  <c r="X296" i="22"/>
  <c r="AP350" i="22"/>
  <c r="V166" i="22"/>
  <c r="T137" i="22"/>
  <c r="V101" i="22"/>
  <c r="Z337" i="22"/>
  <c r="AF184" i="22"/>
  <c r="AP289" i="22"/>
  <c r="AR129" i="22"/>
  <c r="R255" i="22"/>
  <c r="T249" i="22"/>
  <c r="AR27" i="22"/>
  <c r="X288" i="22"/>
  <c r="AH150" i="22"/>
  <c r="Z236" i="22"/>
  <c r="R365" i="22"/>
  <c r="V66" i="22"/>
  <c r="Z160" i="22"/>
  <c r="AR261" i="22"/>
  <c r="T153" i="22"/>
  <c r="AH137" i="22"/>
  <c r="T227" i="22"/>
  <c r="X149" i="22"/>
  <c r="R33" i="22"/>
  <c r="AR19" i="22"/>
  <c r="Z362" i="22"/>
  <c r="Z223" i="22"/>
  <c r="AJ220" i="22"/>
  <c r="X159" i="22"/>
  <c r="AJ71" i="22"/>
  <c r="R63" i="22"/>
  <c r="AB223" i="22"/>
  <c r="X103" i="22"/>
  <c r="X63" i="22"/>
  <c r="R172" i="22"/>
  <c r="AR292" i="22"/>
  <c r="AB350" i="22"/>
  <c r="AR236" i="22"/>
  <c r="AB195" i="22"/>
  <c r="AH101" i="22"/>
  <c r="AR351" i="22"/>
  <c r="AP227" i="22"/>
  <c r="AJ344" i="22"/>
  <c r="T295" i="22"/>
  <c r="AH19" i="22"/>
  <c r="X356" i="22"/>
  <c r="AJ170" i="22"/>
  <c r="AJ77" i="22"/>
  <c r="AH154" i="22"/>
  <c r="AP18" i="22"/>
  <c r="AP27" i="22"/>
  <c r="T251" i="22"/>
  <c r="AJ147" i="22"/>
  <c r="AH176" i="22"/>
  <c r="V142" i="22"/>
  <c r="R45" i="22"/>
  <c r="AL74" i="22"/>
  <c r="AJ35" i="22"/>
  <c r="X192" i="22"/>
  <c r="X258" i="22"/>
  <c r="R121" i="22"/>
  <c r="AH52" i="22"/>
  <c r="X217" i="22"/>
  <c r="AH132" i="22"/>
  <c r="Z201" i="22"/>
  <c r="R201" i="22"/>
  <c r="AL132" i="22"/>
  <c r="T136" i="22"/>
  <c r="AR327" i="22"/>
  <c r="AH226" i="22"/>
  <c r="R31" i="22"/>
  <c r="Z275" i="22"/>
  <c r="AH275" i="22"/>
  <c r="Z234" i="22"/>
  <c r="V53" i="22"/>
  <c r="AJ279" i="22"/>
  <c r="AH209" i="22"/>
  <c r="R135" i="22"/>
  <c r="X20" i="22"/>
  <c r="AB81" i="22"/>
  <c r="R346" i="22"/>
  <c r="AH32" i="22"/>
  <c r="Z13" i="22"/>
  <c r="X227" i="22"/>
  <c r="T179" i="22"/>
  <c r="V84" i="22"/>
  <c r="V169" i="22"/>
  <c r="X268" i="22"/>
  <c r="AB271" i="22"/>
  <c r="AJ249" i="22"/>
  <c r="V351" i="22"/>
  <c r="X224" i="22"/>
  <c r="V36" i="22"/>
  <c r="V158" i="22"/>
  <c r="AR266" i="22"/>
  <c r="V352" i="22"/>
  <c r="AH178" i="22"/>
  <c r="X276" i="22"/>
  <c r="Z200" i="22"/>
  <c r="AB99" i="22"/>
  <c r="AB372" i="22"/>
  <c r="X222" i="22"/>
  <c r="AJ197" i="22"/>
  <c r="AR247" i="22"/>
  <c r="X115" i="22"/>
  <c r="Z205" i="22"/>
  <c r="V55" i="22"/>
  <c r="AP52" i="22"/>
  <c r="AJ364" i="22"/>
  <c r="X361" i="22"/>
  <c r="R335" i="22"/>
  <c r="AH175" i="22"/>
  <c r="AF208" i="22"/>
  <c r="R39" i="22"/>
  <c r="AJ65" i="22"/>
  <c r="V266" i="22"/>
  <c r="T16" i="22"/>
  <c r="R58" i="22"/>
  <c r="X310" i="22"/>
  <c r="V343" i="22"/>
  <c r="R279" i="22"/>
  <c r="T142" i="22"/>
  <c r="V120" i="22"/>
  <c r="T260" i="22"/>
  <c r="AB198" i="22"/>
  <c r="T15" i="22"/>
  <c r="V287" i="22"/>
  <c r="T107" i="22"/>
  <c r="AR226" i="22"/>
  <c r="T78" i="22"/>
  <c r="AB196" i="22"/>
  <c r="AH258" i="22"/>
  <c r="R122" i="22"/>
  <c r="AL271" i="22"/>
  <c r="X102" i="22"/>
  <c r="V254" i="22"/>
  <c r="AJ316" i="22"/>
  <c r="Z102" i="22"/>
  <c r="T71" i="22"/>
  <c r="Z280" i="22"/>
  <c r="AB260" i="22"/>
  <c r="AR278" i="22"/>
  <c r="AL63" i="22"/>
  <c r="AH279" i="22"/>
  <c r="Z103" i="22"/>
  <c r="Z212" i="22"/>
  <c r="AR17" i="22"/>
  <c r="Z172" i="22"/>
  <c r="V163" i="22"/>
  <c r="X197" i="22"/>
  <c r="AJ67" i="22"/>
  <c r="X232" i="22"/>
  <c r="X321" i="22"/>
  <c r="R206" i="22"/>
  <c r="V153" i="22"/>
  <c r="AB91" i="22"/>
  <c r="T198" i="22"/>
  <c r="V234" i="22"/>
  <c r="AB219" i="22"/>
  <c r="AB353" i="22"/>
  <c r="T155" i="22"/>
  <c r="AR147" i="22"/>
  <c r="V71" i="22"/>
  <c r="V170" i="22"/>
  <c r="AR275" i="22"/>
  <c r="Z341" i="22"/>
  <c r="V238" i="22"/>
  <c r="AJ242" i="22"/>
  <c r="V190" i="22"/>
  <c r="AR302" i="22"/>
  <c r="V81" i="22"/>
  <c r="AP335" i="22"/>
  <c r="AH120" i="22"/>
  <c r="T237" i="22"/>
  <c r="Z58" i="22"/>
  <c r="X16" i="22"/>
  <c r="V222" i="22"/>
  <c r="AB136" i="22"/>
  <c r="AB268" i="22"/>
  <c r="X52" i="22"/>
  <c r="V187" i="22"/>
  <c r="R260" i="22"/>
  <c r="X100" i="22"/>
  <c r="AH161" i="22"/>
  <c r="T242" i="22"/>
  <c r="T326" i="22"/>
  <c r="AJ202" i="22"/>
  <c r="X168" i="22"/>
  <c r="AR16" i="22"/>
  <c r="Z117" i="22"/>
  <c r="AB250" i="22"/>
  <c r="Z130" i="22"/>
  <c r="R104" i="22"/>
  <c r="T177" i="22"/>
  <c r="T248" i="22"/>
  <c r="AJ205" i="22"/>
  <c r="AB124" i="22"/>
  <c r="AR282" i="22"/>
  <c r="V112" i="22"/>
  <c r="Z206" i="22"/>
  <c r="AL306" i="22"/>
  <c r="AJ39" i="22"/>
  <c r="AB291" i="22"/>
  <c r="Z185" i="22"/>
  <c r="R120" i="22"/>
  <c r="AJ260" i="22"/>
  <c r="AB29" i="22"/>
  <c r="R84" i="22"/>
  <c r="AB214" i="22"/>
  <c r="X198" i="22"/>
  <c r="V186" i="22"/>
  <c r="AR45" i="22"/>
  <c r="AR286" i="22"/>
  <c r="R236" i="22"/>
  <c r="AH35" i="22"/>
  <c r="T36" i="22"/>
  <c r="V108" i="22"/>
  <c r="AJ13" i="22"/>
  <c r="X297" i="22"/>
  <c r="R167" i="22"/>
  <c r="AL72" i="22"/>
  <c r="X171" i="22"/>
  <c r="V249" i="22"/>
  <c r="AJ299" i="22"/>
  <c r="AP24" i="22"/>
  <c r="T258" i="22"/>
  <c r="AR363" i="22"/>
  <c r="AR165" i="22"/>
  <c r="X153" i="22"/>
  <c r="R275" i="22"/>
  <c r="T49" i="22"/>
  <c r="AJ70" i="22"/>
  <c r="AJ238" i="22"/>
  <c r="R54" i="22"/>
  <c r="AH238" i="22"/>
  <c r="X15" i="22"/>
  <c r="Z155" i="22"/>
  <c r="AH233" i="22"/>
  <c r="AN302" i="22"/>
  <c r="Z204" i="22"/>
  <c r="R208" i="22"/>
  <c r="AB188" i="22"/>
  <c r="AB154" i="22"/>
  <c r="T41" i="22"/>
  <c r="AR131" i="22"/>
  <c r="X357" i="22"/>
  <c r="V103" i="22"/>
  <c r="AJ213" i="22"/>
  <c r="R158" i="22"/>
  <c r="AR321" i="22"/>
  <c r="AR192" i="22"/>
  <c r="AH274" i="22"/>
  <c r="V94" i="22"/>
  <c r="X212" i="22"/>
  <c r="AB295" i="22"/>
  <c r="V135" i="22"/>
  <c r="R119" i="22"/>
  <c r="AB276" i="22"/>
  <c r="Z356" i="22"/>
  <c r="X68" i="22"/>
  <c r="X96" i="22"/>
  <c r="V332" i="22"/>
  <c r="AR126" i="22"/>
  <c r="AJ320" i="22"/>
  <c r="AF21" i="22"/>
  <c r="AB316" i="22"/>
  <c r="AJ27" i="22"/>
  <c r="X176" i="22"/>
  <c r="R75" i="22"/>
  <c r="X121" i="22"/>
  <c r="T91" i="22"/>
  <c r="AJ99" i="22"/>
  <c r="R24" i="22"/>
  <c r="AB175" i="22"/>
  <c r="AB364" i="22"/>
  <c r="AR217" i="22"/>
  <c r="AR199" i="22"/>
  <c r="AR30" i="22"/>
  <c r="R233" i="22"/>
  <c r="AH65" i="22"/>
  <c r="V52" i="22"/>
  <c r="X30" i="22"/>
  <c r="V115" i="22"/>
  <c r="Z289" i="22"/>
  <c r="Z19" i="22"/>
  <c r="Z62" i="22"/>
  <c r="AJ196" i="22"/>
  <c r="AB356" i="22"/>
  <c r="AH225" i="22"/>
  <c r="X240" i="22"/>
  <c r="T144" i="22"/>
  <c r="Z199" i="22"/>
  <c r="R243" i="22"/>
  <c r="AR52" i="22"/>
  <c r="AJ315" i="22"/>
  <c r="AR256" i="22"/>
  <c r="AR108" i="22"/>
  <c r="AR184" i="22"/>
  <c r="X352" i="22"/>
  <c r="AF50" i="22"/>
  <c r="AP61" i="22"/>
  <c r="X292" i="22"/>
  <c r="AL260" i="22"/>
  <c r="V208" i="22"/>
  <c r="AH249" i="22"/>
  <c r="V42" i="22"/>
  <c r="AJ216" i="22"/>
  <c r="T42" i="22"/>
  <c r="AH240" i="22"/>
  <c r="AR357" i="22"/>
  <c r="AB313" i="22"/>
  <c r="Z106" i="22"/>
  <c r="T114" i="22"/>
  <c r="AB123" i="22"/>
  <c r="R179" i="22"/>
  <c r="R300" i="22"/>
  <c r="AL315" i="22"/>
  <c r="AJ204" i="22"/>
  <c r="AP128" i="22"/>
  <c r="AB290" i="22"/>
  <c r="AB224" i="22"/>
  <c r="AN292" i="22"/>
  <c r="AJ172" i="22"/>
  <c r="AJ112" i="22"/>
  <c r="AB238" i="22"/>
  <c r="AH282" i="22"/>
  <c r="Z152" i="22"/>
  <c r="X265" i="22"/>
  <c r="AJ357" i="22"/>
  <c r="T323" i="22"/>
  <c r="V188" i="22"/>
  <c r="AB149" i="22"/>
  <c r="X287" i="22"/>
  <c r="AR306" i="22"/>
  <c r="X47" i="22"/>
  <c r="X124" i="22"/>
  <c r="X119" i="22"/>
  <c r="Z230" i="22"/>
  <c r="T168" i="22"/>
  <c r="AJ143" i="22"/>
  <c r="Z366" i="22"/>
  <c r="AJ223" i="22"/>
  <c r="Z25" i="22"/>
  <c r="AR319" i="22"/>
  <c r="V127" i="22"/>
  <c r="AN163" i="22"/>
  <c r="V201" i="22"/>
  <c r="AH90" i="22"/>
  <c r="AR42" i="22"/>
  <c r="AH53" i="22"/>
  <c r="AR132" i="22"/>
  <c r="AR177" i="22"/>
  <c r="AR80" i="22"/>
  <c r="AR37" i="22"/>
  <c r="AR77" i="22"/>
  <c r="AF179" i="22"/>
  <c r="AL262" i="22"/>
  <c r="AR61" i="22"/>
  <c r="AR99" i="22"/>
  <c r="AR372" i="22"/>
  <c r="AH206" i="22"/>
  <c r="AR198" i="22"/>
  <c r="AH241" i="22"/>
  <c r="AR196" i="22"/>
  <c r="AH200" i="22"/>
  <c r="AF335" i="22"/>
  <c r="AR53" i="22"/>
  <c r="AF66" i="22"/>
  <c r="AH22" i="22"/>
  <c r="AF15" i="22"/>
  <c r="AR118" i="22"/>
  <c r="AH110" i="22"/>
  <c r="AF339" i="22"/>
  <c r="AF89" i="22"/>
  <c r="AH332" i="22"/>
  <c r="AP43" i="22"/>
  <c r="AH31" i="22"/>
  <c r="AR311" i="22"/>
  <c r="AH125" i="22"/>
  <c r="AF131" i="22"/>
  <c r="AF19" i="22"/>
  <c r="AH186" i="22"/>
  <c r="AR69" i="22"/>
  <c r="AH336" i="22"/>
  <c r="AF51" i="22"/>
  <c r="AF332" i="22"/>
  <c r="AP209" i="22"/>
  <c r="AP99" i="22"/>
  <c r="AP226" i="22"/>
  <c r="AP331" i="22"/>
  <c r="AP100" i="22"/>
  <c r="AR187" i="22"/>
  <c r="AH344" i="22"/>
  <c r="AP16" i="22"/>
  <c r="AP352" i="22"/>
  <c r="AP159" i="22"/>
  <c r="AP106" i="22"/>
  <c r="AF122" i="22"/>
  <c r="R272" i="22"/>
  <c r="X335" i="22"/>
  <c r="T199" i="22"/>
  <c r="X44" i="22"/>
  <c r="X31" i="22"/>
  <c r="AJ92" i="22"/>
  <c r="AB40" i="22"/>
  <c r="AR301" i="22"/>
  <c r="AR324" i="22"/>
  <c r="AF104" i="22"/>
  <c r="R360" i="22"/>
  <c r="V179" i="22"/>
  <c r="AH149" i="22"/>
  <c r="AR155" i="22"/>
  <c r="AB114" i="22"/>
  <c r="R319" i="22"/>
  <c r="AH128" i="22"/>
  <c r="AR101" i="22"/>
  <c r="V358" i="22"/>
  <c r="AB58" i="22"/>
  <c r="X358" i="22"/>
  <c r="R203" i="22"/>
  <c r="AB339" i="22"/>
  <c r="T294" i="22"/>
  <c r="V156" i="22"/>
  <c r="Z141" i="22"/>
  <c r="AJ262" i="22"/>
  <c r="AB168" i="22"/>
  <c r="AJ115" i="22"/>
  <c r="Z154" i="22"/>
  <c r="AL257" i="22"/>
  <c r="AB362" i="22"/>
  <c r="AR76" i="22"/>
  <c r="AH72" i="22"/>
  <c r="AB272" i="22"/>
  <c r="AF204" i="22"/>
  <c r="AL278" i="22"/>
  <c r="AF114" i="22"/>
  <c r="AF149" i="22"/>
  <c r="AH26" i="22"/>
  <c r="AH109" i="22"/>
  <c r="AF237" i="22"/>
  <c r="AR253" i="22"/>
  <c r="AF168" i="22"/>
  <c r="AR188" i="22"/>
  <c r="AH301" i="22"/>
  <c r="AF46" i="22"/>
  <c r="AR97" i="22"/>
  <c r="AF147" i="22"/>
  <c r="AR369" i="22"/>
  <c r="AF347" i="22"/>
  <c r="AF232" i="22"/>
  <c r="AF190" i="22"/>
  <c r="AH322" i="22"/>
  <c r="AH309" i="22"/>
  <c r="AR135" i="22"/>
  <c r="AP216" i="22"/>
  <c r="AF116" i="22"/>
  <c r="AH345" i="22"/>
  <c r="AF209" i="22"/>
  <c r="AR38" i="22"/>
  <c r="AR340" i="22"/>
  <c r="AR353" i="22"/>
  <c r="AL280" i="22"/>
  <c r="AR341" i="22"/>
  <c r="AR248" i="22"/>
  <c r="AH168" i="22"/>
  <c r="AH191" i="22"/>
  <c r="AH54" i="22"/>
  <c r="AH319" i="22"/>
  <c r="AR328" i="22"/>
  <c r="AH299" i="22"/>
  <c r="AR218" i="22"/>
  <c r="AP239" i="22"/>
  <c r="AP94" i="22"/>
  <c r="AP20" i="22"/>
  <c r="AP246" i="22"/>
  <c r="AP343" i="22"/>
  <c r="AP298" i="22"/>
  <c r="AP373" i="22"/>
  <c r="AP143" i="22"/>
  <c r="AP70" i="22"/>
  <c r="AP188" i="22"/>
  <c r="AP219" i="22"/>
  <c r="AP229" i="22"/>
  <c r="V189" i="22"/>
  <c r="X246" i="22"/>
  <c r="R129" i="22"/>
  <c r="X317" i="22"/>
  <c r="AP57" i="22"/>
  <c r="V327" i="22"/>
  <c r="AB324" i="22"/>
  <c r="Z349" i="22"/>
  <c r="T120" i="22"/>
  <c r="X364" i="22"/>
  <c r="T45" i="22"/>
  <c r="AP356" i="22"/>
  <c r="AJ186" i="22"/>
  <c r="R196" i="22"/>
  <c r="AJ183" i="22"/>
  <c r="R195" i="22"/>
  <c r="T374" i="22"/>
  <c r="Z136" i="22"/>
  <c r="AR320" i="22"/>
  <c r="R146" i="22"/>
  <c r="AJ168" i="22"/>
  <c r="AJ152" i="22"/>
  <c r="Z72" i="22"/>
  <c r="Z219" i="22"/>
  <c r="AF178" i="22"/>
  <c r="AB329" i="22"/>
  <c r="X163" i="22"/>
  <c r="AJ129" i="22"/>
  <c r="AJ298" i="22"/>
  <c r="R61" i="22"/>
  <c r="AR225" i="22"/>
  <c r="Z66" i="22"/>
  <c r="X57" i="22"/>
  <c r="AH41" i="22"/>
  <c r="X309" i="22"/>
  <c r="AF44" i="22"/>
  <c r="AF103" i="22"/>
  <c r="AR112" i="22"/>
  <c r="AF248" i="22"/>
  <c r="AH130" i="22"/>
  <c r="AF137" i="22"/>
  <c r="AR59" i="22"/>
  <c r="AF63" i="22"/>
  <c r="AF226" i="22"/>
  <c r="AL265" i="22"/>
  <c r="AH290" i="22"/>
  <c r="AH293" i="22"/>
  <c r="AR189" i="22"/>
  <c r="AF150" i="22"/>
  <c r="AF207" i="22"/>
  <c r="AH359" i="22"/>
  <c r="AF229" i="22"/>
  <c r="AR138" i="22"/>
  <c r="AH373" i="22"/>
  <c r="AH203" i="22"/>
  <c r="AR148" i="22"/>
  <c r="AR190" i="22"/>
  <c r="AF159" i="22"/>
  <c r="AH365" i="22"/>
  <c r="AH244" i="22"/>
  <c r="AF154" i="22"/>
  <c r="AR157" i="22"/>
  <c r="AF105" i="22"/>
  <c r="AH77" i="22"/>
  <c r="AL270" i="22"/>
  <c r="AF350" i="22"/>
  <c r="AR175" i="22"/>
  <c r="AH210" i="22"/>
  <c r="AH133" i="22"/>
  <c r="AF81" i="22"/>
  <c r="AH337" i="22"/>
  <c r="AH349" i="22"/>
  <c r="AF250" i="22"/>
  <c r="AP247" i="22"/>
  <c r="AP176" i="22"/>
  <c r="AP301" i="22"/>
  <c r="AP349" i="22"/>
  <c r="AF73" i="22"/>
  <c r="AP38" i="22"/>
  <c r="AH315" i="22"/>
  <c r="AP173" i="22"/>
  <c r="AP333" i="22"/>
  <c r="AF321" i="22"/>
  <c r="AP29" i="22"/>
  <c r="AP359" i="22"/>
  <c r="X137" i="22"/>
  <c r="AB142" i="22"/>
  <c r="AB348" i="22"/>
  <c r="Z100" i="22"/>
  <c r="AH194" i="22"/>
  <c r="X21" i="22"/>
  <c r="AB59" i="22"/>
  <c r="AH284" i="22"/>
  <c r="R108" i="22"/>
  <c r="R89" i="22"/>
  <c r="AR140" i="22"/>
  <c r="V167" i="22"/>
  <c r="AR178" i="22"/>
  <c r="Z164" i="22"/>
  <c r="AR141" i="22"/>
  <c r="T115" i="22"/>
  <c r="Z270" i="22"/>
  <c r="AB187" i="22"/>
  <c r="V148" i="22"/>
  <c r="AJ348" i="22"/>
  <c r="AJ30" i="22"/>
  <c r="AJ366" i="22"/>
  <c r="V225" i="22"/>
  <c r="AB163" i="22"/>
  <c r="AF165" i="22"/>
  <c r="AJ31" i="22"/>
  <c r="X84" i="22"/>
  <c r="X65" i="22"/>
  <c r="AR271" i="22"/>
  <c r="R274" i="22"/>
  <c r="T161" i="22"/>
  <c r="AB23" i="22"/>
  <c r="AP178" i="22"/>
  <c r="Z368" i="22"/>
  <c r="AB264" i="22"/>
  <c r="AH350" i="22"/>
  <c r="AH196" i="22"/>
  <c r="AR224" i="22"/>
  <c r="AH298" i="22"/>
  <c r="AF171" i="22"/>
  <c r="AR22" i="22"/>
  <c r="AH287" i="22"/>
  <c r="AF126" i="22"/>
  <c r="AH88" i="22"/>
  <c r="AR355" i="22"/>
  <c r="AH70" i="22"/>
  <c r="AF49" i="22"/>
  <c r="AH163" i="22"/>
  <c r="AR23" i="22"/>
  <c r="AH300" i="22"/>
  <c r="AR98" i="22"/>
  <c r="AP30" i="22"/>
  <c r="AR375" i="22"/>
  <c r="AF141" i="22"/>
  <c r="AH248" i="22"/>
  <c r="AR215" i="22"/>
  <c r="AF249" i="22"/>
  <c r="AH351" i="22"/>
  <c r="AH325" i="22"/>
  <c r="AP252" i="22"/>
  <c r="AL272" i="22"/>
  <c r="AF130" i="22"/>
  <c r="AR308" i="22"/>
  <c r="AF136" i="22"/>
  <c r="AR54" i="22"/>
  <c r="AH78" i="22"/>
  <c r="AH135" i="22"/>
  <c r="AF200" i="22"/>
  <c r="AF235" i="22"/>
  <c r="AF29" i="22"/>
  <c r="AF315" i="22"/>
  <c r="AR183" i="22"/>
  <c r="AP299" i="22"/>
  <c r="AF54" i="22"/>
  <c r="AP232" i="22"/>
  <c r="AP117" i="22"/>
  <c r="AR305" i="22"/>
  <c r="AF92" i="22"/>
  <c r="AP363" i="22"/>
  <c r="AF359" i="22"/>
  <c r="AF376" i="22"/>
  <c r="AH308" i="22"/>
  <c r="AF343" i="22"/>
  <c r="AP56" i="22"/>
  <c r="AP204" i="22"/>
  <c r="AB287" i="22"/>
  <c r="X223" i="22"/>
  <c r="Z224" i="22"/>
  <c r="AR161" i="22"/>
  <c r="V264" i="22"/>
  <c r="Z208" i="22"/>
  <c r="V355" i="22"/>
  <c r="AH234" i="22"/>
  <c r="AJ284" i="22"/>
  <c r="Z298" i="22"/>
  <c r="AJ301" i="22"/>
  <c r="AJ180" i="22"/>
  <c r="V334" i="22"/>
  <c r="AB98" i="22"/>
  <c r="AB79" i="22"/>
  <c r="Z89" i="22"/>
  <c r="AB244" i="22"/>
  <c r="AR66" i="22"/>
  <c r="AB200" i="22"/>
  <c r="Z168" i="22"/>
  <c r="AB325" i="22"/>
  <c r="AJ309" i="22"/>
  <c r="Z61" i="22"/>
  <c r="AR374" i="22"/>
  <c r="X81" i="22"/>
  <c r="Z235" i="22"/>
  <c r="R361" i="22"/>
  <c r="T18" i="22"/>
  <c r="R252" i="22"/>
  <c r="R127" i="22"/>
  <c r="V204" i="22"/>
  <c r="R259" i="22"/>
  <c r="R124" i="22"/>
  <c r="T254" i="22"/>
  <c r="X225" i="22"/>
  <c r="AF317" i="22"/>
  <c r="AH118" i="22"/>
  <c r="AF76" i="22"/>
  <c r="AF142" i="22"/>
  <c r="AR109" i="22"/>
  <c r="AF327" i="22"/>
  <c r="AP193" i="22"/>
  <c r="AH115" i="22"/>
  <c r="AH157" i="22"/>
  <c r="AR12" i="22"/>
  <c r="AH198" i="22"/>
  <c r="AF199" i="22"/>
  <c r="AR250" i="22"/>
  <c r="AH162" i="22"/>
  <c r="AR104" i="22"/>
  <c r="AF174" i="22"/>
  <c r="AF230" i="22"/>
  <c r="AH335" i="22"/>
  <c r="AF212" i="22"/>
  <c r="AF125" i="22"/>
  <c r="AF181" i="22"/>
  <c r="AH285" i="22"/>
  <c r="AR133" i="22"/>
  <c r="AH145" i="22"/>
  <c r="AF67" i="22"/>
  <c r="AH73" i="22"/>
  <c r="AH371" i="22"/>
  <c r="AR334" i="22"/>
  <c r="AF99" i="22"/>
  <c r="AR134" i="22"/>
  <c r="AF82" i="22"/>
  <c r="AF170" i="22"/>
  <c r="AP327" i="22"/>
  <c r="AF224" i="22"/>
  <c r="AH112" i="22"/>
  <c r="AF12" i="22"/>
  <c r="AR121" i="22"/>
  <c r="AF80" i="22"/>
  <c r="AF78" i="22"/>
  <c r="AP60" i="22"/>
  <c r="AF13" i="22"/>
  <c r="AP225" i="22"/>
  <c r="AP357" i="22"/>
  <c r="AF185" i="22"/>
  <c r="AR312" i="22"/>
  <c r="AH331" i="22"/>
  <c r="AP72" i="22"/>
  <c r="AP65" i="22"/>
  <c r="AP172" i="22"/>
  <c r="AF31" i="22"/>
  <c r="Z284" i="22"/>
  <c r="Z129" i="22"/>
  <c r="R175" i="22"/>
  <c r="AJ12" i="22"/>
  <c r="X254" i="22"/>
  <c r="V16" i="22"/>
  <c r="V316" i="22"/>
  <c r="Z75" i="22"/>
  <c r="X145" i="22"/>
  <c r="V310" i="22"/>
  <c r="R320" i="22"/>
  <c r="Z307" i="22"/>
  <c r="V25" i="22"/>
  <c r="AR325" i="22"/>
  <c r="R133" i="22"/>
  <c r="R72" i="22"/>
  <c r="T267" i="22"/>
  <c r="T185" i="22"/>
  <c r="V123" i="22"/>
  <c r="Z292" i="22"/>
  <c r="T195" i="22"/>
  <c r="T229" i="22"/>
  <c r="T342" i="22"/>
  <c r="AJ274" i="22"/>
  <c r="R280" i="22"/>
  <c r="AH62" i="22"/>
  <c r="AJ251" i="22"/>
  <c r="AJ354" i="22"/>
  <c r="T324" i="22"/>
  <c r="Z375" i="22"/>
  <c r="AJ341" i="22"/>
  <c r="X131" i="22"/>
  <c r="X91" i="22"/>
  <c r="X313" i="22"/>
  <c r="AH85" i="22"/>
  <c r="AH144" i="22"/>
  <c r="AP152" i="22"/>
  <c r="AH180" i="22"/>
  <c r="AL267" i="22"/>
  <c r="AP98" i="22"/>
  <c r="AR244" i="22"/>
  <c r="AH179" i="22"/>
  <c r="AH302" i="22"/>
  <c r="AR91" i="22"/>
  <c r="AH38" i="22"/>
  <c r="AH324" i="22"/>
  <c r="AH333" i="22"/>
  <c r="AR151" i="22"/>
  <c r="AF228" i="22"/>
  <c r="AH138" i="22"/>
  <c r="AF77" i="22"/>
  <c r="AR156" i="22"/>
  <c r="AF217" i="22"/>
  <c r="AF140" i="22"/>
  <c r="AF60" i="22"/>
  <c r="AH318" i="22"/>
  <c r="AF119" i="22"/>
  <c r="AF195" i="22"/>
  <c r="AF38" i="22"/>
  <c r="AR288" i="22"/>
  <c r="AF47" i="22"/>
  <c r="AF56" i="22"/>
  <c r="AR344" i="22"/>
  <c r="AR210" i="22"/>
  <c r="AF366" i="22"/>
  <c r="AF219" i="22"/>
  <c r="AR93" i="22"/>
  <c r="AF309" i="22"/>
  <c r="AR182" i="22"/>
  <c r="AH121" i="22"/>
  <c r="AH292" i="22"/>
  <c r="AR31" i="22"/>
  <c r="AH59" i="22"/>
  <c r="AH321" i="22"/>
  <c r="AF153" i="22"/>
  <c r="AF53" i="22"/>
  <c r="AP180" i="22"/>
  <c r="AP15" i="22"/>
  <c r="AF340" i="22"/>
  <c r="AH343" i="22"/>
  <c r="AP211" i="22"/>
  <c r="AP86" i="22"/>
  <c r="AP320" i="22"/>
  <c r="AF244" i="22"/>
  <c r="AF22" i="22"/>
  <c r="AP220" i="22"/>
  <c r="X346" i="22"/>
  <c r="AH86" i="22"/>
  <c r="AR300" i="22"/>
  <c r="AJ130" i="22"/>
  <c r="AR85" i="22"/>
  <c r="V290" i="22"/>
  <c r="T62" i="22"/>
  <c r="T90" i="22"/>
  <c r="AJ255" i="22"/>
  <c r="R160" i="22"/>
  <c r="R240" i="22"/>
  <c r="V319" i="22"/>
  <c r="AJ250" i="22"/>
  <c r="AB145" i="22"/>
  <c r="T34" i="22"/>
  <c r="V146" i="22"/>
  <c r="T160" i="22"/>
  <c r="X146" i="22"/>
  <c r="T200" i="22"/>
  <c r="AH204" i="22"/>
  <c r="AB45" i="22"/>
  <c r="AJ337" i="22"/>
  <c r="R217" i="22"/>
  <c r="AB373" i="22"/>
  <c r="AF40" i="22"/>
  <c r="AB210" i="22"/>
  <c r="Z245" i="22"/>
  <c r="T228" i="22"/>
  <c r="Z249" i="22"/>
  <c r="AJ248" i="22"/>
  <c r="X116" i="22"/>
  <c r="AJ368" i="22"/>
  <c r="V54" i="22"/>
  <c r="AJ241" i="22"/>
  <c r="AR186" i="22"/>
  <c r="AL281" i="22"/>
  <c r="AF106" i="22"/>
  <c r="AR251" i="22"/>
  <c r="AR145" i="22"/>
  <c r="AF91" i="22"/>
  <c r="AH13" i="22"/>
  <c r="AR295" i="22"/>
  <c r="AH37" i="22"/>
  <c r="AH296" i="22"/>
  <c r="AF123" i="22"/>
  <c r="AF205" i="22"/>
  <c r="AF113" i="22"/>
  <c r="AH25" i="22"/>
  <c r="AP90" i="22"/>
  <c r="AF86" i="22"/>
  <c r="AH139" i="22"/>
  <c r="AF20" i="22"/>
  <c r="AH254" i="22"/>
  <c r="AF176" i="22"/>
  <c r="AR206" i="22"/>
  <c r="AF312" i="22"/>
  <c r="AH327" i="22"/>
  <c r="AR222" i="22"/>
  <c r="AP234" i="22"/>
  <c r="AF124" i="22"/>
  <c r="AF239" i="22"/>
  <c r="AH357" i="22"/>
  <c r="AP208" i="22"/>
  <c r="AR25" i="22"/>
  <c r="AF69" i="22"/>
  <c r="AR153" i="22"/>
  <c r="AF180" i="22"/>
  <c r="AH376" i="22"/>
  <c r="AH317" i="22"/>
  <c r="AL255" i="22"/>
  <c r="AH352" i="22"/>
  <c r="AH96" i="22"/>
  <c r="AP205" i="22"/>
  <c r="AP66" i="22"/>
  <c r="AF121" i="22"/>
  <c r="AF144" i="22"/>
  <c r="AP85" i="22"/>
  <c r="AP17" i="22"/>
  <c r="AP300" i="22"/>
  <c r="AP44" i="22"/>
  <c r="AP150" i="22"/>
  <c r="AP228" i="22"/>
  <c r="AP140" i="22"/>
  <c r="AF319" i="22"/>
  <c r="Z324" i="22"/>
  <c r="AB341" i="22"/>
  <c r="Z50" i="22"/>
  <c r="AB320" i="22"/>
  <c r="AB37" i="22"/>
  <c r="X325" i="22"/>
  <c r="AH100" i="22"/>
  <c r="AB306" i="22"/>
  <c r="AN305" i="22"/>
  <c r="Z335" i="22"/>
  <c r="V131" i="22"/>
  <c r="R265" i="22"/>
  <c r="T329" i="22"/>
  <c r="Z109" i="22"/>
  <c r="AR220" i="22"/>
  <c r="AJ243" i="22"/>
  <c r="V336" i="22"/>
  <c r="X90" i="22"/>
  <c r="AR75" i="22"/>
  <c r="V77" i="22"/>
  <c r="T318" i="22"/>
  <c r="AH44" i="22"/>
  <c r="R60" i="22"/>
  <c r="V17" i="22"/>
  <c r="AB159" i="22"/>
  <c r="AR214" i="22"/>
  <c r="X175" i="22"/>
  <c r="AB358" i="22"/>
  <c r="T131" i="22"/>
  <c r="AJ374" i="22"/>
  <c r="AH20" i="22"/>
  <c r="T69" i="22"/>
  <c r="AH192" i="22"/>
  <c r="T127" i="22"/>
  <c r="T256" i="22"/>
  <c r="AB304" i="22"/>
  <c r="AR130" i="22"/>
  <c r="AR55" i="22"/>
  <c r="AR107" i="22"/>
  <c r="AF251" i="22"/>
  <c r="AF371" i="22"/>
  <c r="AH222" i="22"/>
  <c r="AF39" i="22"/>
  <c r="AF100" i="22"/>
  <c r="AR179" i="22"/>
  <c r="AF197" i="22"/>
  <c r="AH99" i="22"/>
  <c r="AR96" i="22"/>
  <c r="AR329" i="22"/>
  <c r="AH354" i="22"/>
  <c r="AF17" i="22"/>
  <c r="AF299" i="22"/>
  <c r="AR287" i="22"/>
  <c r="AR26" i="22"/>
  <c r="AF370" i="22"/>
  <c r="AH289" i="22"/>
  <c r="AR102" i="22"/>
  <c r="AR343" i="22"/>
  <c r="AF25" i="22"/>
  <c r="AH364" i="22"/>
  <c r="AH374" i="22"/>
  <c r="AF117" i="22"/>
  <c r="AR255" i="22"/>
  <c r="AR294" i="22"/>
  <c r="AR259" i="22"/>
  <c r="AF173" i="22"/>
  <c r="AF16" i="22"/>
  <c r="AF356" i="22"/>
  <c r="AH42" i="22"/>
  <c r="AH68" i="22"/>
  <c r="AR164" i="22"/>
  <c r="AF145" i="22"/>
  <c r="AH286" i="22"/>
  <c r="AP190" i="22"/>
  <c r="AF127" i="22"/>
  <c r="AP376" i="22"/>
  <c r="AF203" i="22"/>
  <c r="AF115" i="22"/>
  <c r="AP354" i="22"/>
  <c r="AP212" i="22"/>
  <c r="AP26" i="22"/>
  <c r="AF182" i="22"/>
  <c r="AF189" i="22"/>
  <c r="AP129" i="22"/>
  <c r="AP170" i="22"/>
  <c r="AP49" i="22"/>
  <c r="V21" i="22"/>
  <c r="AF166" i="22"/>
  <c r="T290" i="22"/>
  <c r="V215" i="22"/>
  <c r="AJ185" i="22"/>
  <c r="AB121" i="22"/>
  <c r="AB239" i="22"/>
  <c r="AH187" i="22"/>
  <c r="AH236" i="22"/>
  <c r="V229" i="22"/>
  <c r="AH29" i="22"/>
  <c r="R212" i="22"/>
  <c r="R147" i="22"/>
  <c r="Z21" i="22"/>
  <c r="AH158" i="22"/>
  <c r="T73" i="22"/>
  <c r="X215" i="22"/>
  <c r="T330" i="22"/>
  <c r="T336" i="22"/>
  <c r="T154" i="22"/>
  <c r="R138" i="22"/>
  <c r="X184" i="22"/>
  <c r="AH228" i="22"/>
  <c r="Z177" i="22"/>
  <c r="X83" i="22"/>
  <c r="V353" i="22"/>
  <c r="R113" i="22"/>
  <c r="R184" i="22"/>
  <c r="AB333" i="22"/>
  <c r="AB270" i="22"/>
  <c r="Z247" i="22"/>
  <c r="AH34" i="22"/>
  <c r="AB277" i="22"/>
  <c r="T29" i="22"/>
  <c r="V371" i="22"/>
  <c r="R199" i="22"/>
  <c r="AR367" i="22"/>
  <c r="AH71" i="22"/>
  <c r="AL269" i="22"/>
  <c r="AH250" i="22"/>
  <c r="AH347" i="22"/>
  <c r="AF223" i="22"/>
  <c r="AR144" i="22"/>
  <c r="AR254" i="22"/>
  <c r="AH182" i="22"/>
  <c r="AP366" i="22"/>
  <c r="AR139" i="22"/>
  <c r="AR73" i="22"/>
  <c r="AR338" i="22"/>
  <c r="AF108" i="22"/>
  <c r="AR127" i="22"/>
  <c r="AH348" i="22"/>
  <c r="AH91" i="22"/>
  <c r="AF151" i="22"/>
  <c r="AR185" i="22"/>
  <c r="AL284" i="22"/>
  <c r="AF201" i="22"/>
  <c r="AF225" i="22"/>
  <c r="AH80" i="22"/>
  <c r="AF68" i="22"/>
  <c r="AF238" i="22"/>
  <c r="AR82" i="22"/>
  <c r="AR92" i="22"/>
  <c r="AF233" i="22"/>
  <c r="AF65" i="22"/>
  <c r="AF365" i="22"/>
  <c r="AH92" i="22"/>
  <c r="AR191" i="22"/>
  <c r="AH253" i="22"/>
  <c r="AR168" i="22"/>
  <c r="AR70" i="22"/>
  <c r="AF286" i="22"/>
  <c r="AF85" i="22"/>
  <c r="AP194" i="22"/>
  <c r="AF303" i="22"/>
  <c r="AP202" i="22"/>
  <c r="AP210" i="22"/>
  <c r="AP47" i="22"/>
  <c r="AF148" i="22"/>
  <c r="AP119" i="22"/>
  <c r="AF320" i="22"/>
  <c r="AP233" i="22"/>
  <c r="AH310" i="22"/>
  <c r="AP372" i="22"/>
  <c r="AP51" i="22"/>
  <c r="AP63" i="22"/>
  <c r="AF240" i="22"/>
  <c r="AJ103" i="22"/>
  <c r="Z68" i="22"/>
  <c r="AJ117" i="22"/>
  <c r="AB330" i="22"/>
  <c r="AH160" i="22"/>
  <c r="T194" i="22"/>
  <c r="AB226" i="22"/>
  <c r="AB342" i="22"/>
  <c r="R324" i="22"/>
  <c r="X158" i="22"/>
  <c r="AB155" i="22"/>
  <c r="AB169" i="22"/>
  <c r="T292" i="22"/>
  <c r="AB162" i="22"/>
  <c r="AB218" i="22"/>
  <c r="AB135" i="22"/>
  <c r="AJ178" i="22"/>
  <c r="R174" i="22"/>
  <c r="T25" i="22"/>
  <c r="AR370" i="22"/>
  <c r="AR72" i="22"/>
  <c r="T46" i="22"/>
  <c r="AJ195" i="22"/>
  <c r="AP50" i="22"/>
  <c r="X104" i="22"/>
  <c r="AJ270" i="22"/>
  <c r="AB46" i="22"/>
  <c r="AJ235" i="22"/>
  <c r="AJ224" i="22"/>
  <c r="V152" i="22"/>
  <c r="X362" i="22"/>
  <c r="AB80" i="22"/>
  <c r="R173" i="22"/>
  <c r="V231" i="22"/>
  <c r="T110" i="22"/>
  <c r="AR64" i="22"/>
  <c r="AH312" i="22"/>
  <c r="AH215" i="22"/>
  <c r="AH188" i="22"/>
  <c r="AF143" i="22"/>
  <c r="AF236" i="22"/>
  <c r="AF188" i="22"/>
  <c r="AH127" i="22"/>
  <c r="AF70" i="22"/>
  <c r="AR110" i="22"/>
  <c r="AR241" i="22"/>
  <c r="AL283" i="22"/>
  <c r="AR162" i="22"/>
  <c r="AR310" i="22"/>
  <c r="AF58" i="22"/>
  <c r="AH320" i="22"/>
  <c r="AF132" i="22"/>
  <c r="AL275" i="22"/>
  <c r="AL264" i="22"/>
  <c r="AH361" i="22"/>
  <c r="AH326" i="22"/>
  <c r="AP339" i="22"/>
  <c r="AF287" i="22"/>
  <c r="AP55" i="22"/>
  <c r="AH148" i="22"/>
  <c r="AH370" i="22"/>
  <c r="AF146" i="22"/>
  <c r="AH306" i="22"/>
  <c r="AH153" i="22"/>
  <c r="AH95" i="22"/>
  <c r="AR180" i="22"/>
  <c r="AR43" i="22"/>
  <c r="AH64" i="22"/>
  <c r="AR360" i="22"/>
  <c r="AH97" i="22"/>
  <c r="AH170" i="22"/>
  <c r="AH156" i="22"/>
  <c r="AP125" i="22"/>
  <c r="AP314" i="22"/>
  <c r="AP195" i="22"/>
  <c r="AH346" i="22"/>
  <c r="AH360" i="22"/>
  <c r="AP80" i="22"/>
  <c r="AH334" i="22"/>
  <c r="AP76" i="22"/>
  <c r="AH363" i="22"/>
  <c r="AP217" i="22"/>
  <c r="AF215" i="22"/>
  <c r="AP82" i="22"/>
  <c r="AP250" i="22"/>
  <c r="AN286" i="22"/>
  <c r="R66" i="22"/>
  <c r="AF75" i="22"/>
  <c r="X76" i="22"/>
  <c r="V291" i="22"/>
  <c r="R59" i="22"/>
  <c r="R77" i="22"/>
  <c r="X242" i="22"/>
  <c r="AR252" i="22"/>
  <c r="AB73" i="22"/>
  <c r="X332" i="22"/>
  <c r="AB340" i="22"/>
  <c r="X54" i="22"/>
  <c r="Z135" i="22"/>
  <c r="V23" i="22"/>
  <c r="V39" i="22"/>
  <c r="Z54" i="22"/>
  <c r="AJ361" i="22"/>
  <c r="AR90" i="22"/>
  <c r="AL308" i="22"/>
  <c r="AJ32" i="22"/>
  <c r="V15" i="22"/>
  <c r="AB78" i="22"/>
  <c r="AF90" i="22"/>
  <c r="T12" i="22"/>
  <c r="V92" i="22"/>
  <c r="V211" i="22"/>
  <c r="T298" i="22"/>
  <c r="AJ275" i="22"/>
  <c r="X253" i="22"/>
  <c r="T341" i="22"/>
  <c r="AJ282" i="22"/>
  <c r="X336" i="22"/>
  <c r="R71" i="22"/>
  <c r="V330" i="22"/>
  <c r="AF246" i="22"/>
  <c r="AR88" i="22"/>
  <c r="AF158" i="22"/>
  <c r="AH356" i="22"/>
  <c r="AR125" i="22"/>
  <c r="AR200" i="22"/>
  <c r="AR290" i="22"/>
  <c r="AF210" i="22"/>
  <c r="AR203" i="22"/>
  <c r="AF62" i="22"/>
  <c r="AF48" i="22"/>
  <c r="AF348" i="22"/>
  <c r="AF74" i="22"/>
  <c r="AH151" i="22"/>
  <c r="AF41" i="22"/>
  <c r="AH218" i="22"/>
  <c r="AF289" i="22"/>
  <c r="AF129" i="22"/>
  <c r="AF330" i="22"/>
  <c r="AF221" i="22"/>
  <c r="AH297" i="22"/>
  <c r="AF296" i="22"/>
  <c r="AH189" i="22"/>
  <c r="AF102" i="22"/>
  <c r="AF177" i="22"/>
  <c r="AH183" i="22"/>
  <c r="AL277" i="22"/>
  <c r="AD355" i="22"/>
  <c r="AF259" i="22"/>
  <c r="AD132" i="22"/>
  <c r="AD77" i="22"/>
  <c r="AD338" i="22"/>
  <c r="AD34" i="22"/>
  <c r="AD184" i="22"/>
  <c r="AD213" i="22"/>
  <c r="AD17" i="22"/>
  <c r="AD322" i="22"/>
  <c r="AD68" i="22"/>
  <c r="AD109" i="22"/>
  <c r="AD59" i="22"/>
  <c r="AD369" i="22"/>
  <c r="AD170" i="22"/>
  <c r="AD114" i="22"/>
  <c r="AD53" i="22"/>
  <c r="AD361" i="22"/>
  <c r="AD332" i="22"/>
  <c r="AD287" i="22"/>
  <c r="AD220" i="22"/>
  <c r="AD52" i="22"/>
  <c r="AD238" i="22"/>
  <c r="AD122" i="22"/>
  <c r="AD13" i="22"/>
  <c r="AD85" i="22"/>
  <c r="AD239" i="22"/>
  <c r="AD145" i="22"/>
  <c r="AD149" i="22"/>
  <c r="AD161" i="22"/>
  <c r="AD136" i="22"/>
  <c r="AD133" i="22"/>
  <c r="AH368" i="22"/>
  <c r="AP118" i="22"/>
  <c r="AP22" i="22"/>
  <c r="AF294" i="22"/>
  <c r="AP182" i="22"/>
  <c r="AP185" i="22"/>
  <c r="AF288" i="22"/>
  <c r="AF301" i="22"/>
  <c r="AF375" i="22"/>
  <c r="AF300" i="22"/>
  <c r="AP62" i="22"/>
  <c r="AF361" i="22"/>
  <c r="AF118" i="22"/>
  <c r="AF326" i="22"/>
  <c r="AP147" i="22"/>
  <c r="AP145" i="22"/>
  <c r="AP214" i="22"/>
  <c r="AP89" i="22"/>
  <c r="AP223" i="22"/>
  <c r="AP338" i="22"/>
  <c r="AP319" i="22"/>
  <c r="AP238" i="22"/>
  <c r="AF37" i="22"/>
  <c r="AF214" i="22"/>
  <c r="AF231" i="22"/>
  <c r="AR368" i="22"/>
  <c r="AH82" i="22"/>
  <c r="R238" i="22"/>
  <c r="AJ237" i="22"/>
  <c r="AJ304" i="22"/>
  <c r="AD224" i="22"/>
  <c r="AD12" i="22"/>
  <c r="AD165" i="22"/>
  <c r="AD351" i="22"/>
  <c r="AD177" i="22"/>
  <c r="AD116" i="22"/>
  <c r="AD31" i="22"/>
  <c r="AD108" i="22"/>
  <c r="AD330" i="22"/>
  <c r="AD301" i="22"/>
  <c r="AD204" i="22"/>
  <c r="AD23" i="22"/>
  <c r="AD357" i="22"/>
  <c r="AD376" i="22"/>
  <c r="AD202" i="22"/>
  <c r="AD205" i="22"/>
  <c r="AD121" i="22"/>
  <c r="AD298" i="22"/>
  <c r="AD219" i="22"/>
  <c r="AD47" i="22"/>
  <c r="AD327" i="22"/>
  <c r="AN257" i="22"/>
  <c r="AD69" i="22"/>
  <c r="AD131" i="22"/>
  <c r="AD49" i="22"/>
  <c r="AD348" i="22"/>
  <c r="AD144" i="22"/>
  <c r="AF355" i="22"/>
  <c r="AD142" i="22"/>
  <c r="AF362" i="22"/>
  <c r="AD155" i="22"/>
  <c r="AP224" i="22"/>
  <c r="AP191" i="22"/>
  <c r="AP355" i="22"/>
  <c r="AN255" i="22"/>
  <c r="AH341" i="22"/>
  <c r="AP59" i="22"/>
  <c r="AH304" i="22"/>
  <c r="AR163" i="22"/>
  <c r="AF325" i="22"/>
  <c r="AP127" i="22"/>
  <c r="AP340" i="22"/>
  <c r="AP345" i="22"/>
  <c r="AF253" i="22"/>
  <c r="AP375" i="22"/>
  <c r="AP199" i="22"/>
  <c r="AP123" i="22"/>
  <c r="AF338" i="22"/>
  <c r="AH366" i="22"/>
  <c r="AH355" i="22"/>
  <c r="AF59" i="22"/>
  <c r="AF139" i="22"/>
  <c r="AF290" i="22"/>
  <c r="AP181" i="22"/>
  <c r="AF254" i="22"/>
  <c r="AH323" i="22"/>
  <c r="AF72" i="22"/>
  <c r="AR249" i="22"/>
  <c r="R290" i="22"/>
  <c r="X120" i="22"/>
  <c r="R64" i="22"/>
  <c r="AD185" i="22"/>
  <c r="AP257" i="22"/>
  <c r="AF260" i="22"/>
  <c r="AD102" i="22"/>
  <c r="AD48" i="22"/>
  <c r="AD320" i="22"/>
  <c r="AD289" i="22"/>
  <c r="AD72" i="22"/>
  <c r="AD107" i="22"/>
  <c r="AD331" i="22"/>
  <c r="AD310" i="22"/>
  <c r="AD253" i="22"/>
  <c r="AD42" i="22"/>
  <c r="AD119" i="22"/>
  <c r="AD311" i="22"/>
  <c r="AD173" i="22"/>
  <c r="AD28" i="22"/>
  <c r="AD323" i="22"/>
  <c r="AD30" i="22"/>
  <c r="AD127" i="22"/>
  <c r="AD218" i="22"/>
  <c r="AD46" i="22"/>
  <c r="AD162" i="22"/>
  <c r="AD340" i="22"/>
  <c r="AD192" i="22"/>
  <c r="AD207" i="22"/>
  <c r="AD111" i="22"/>
  <c r="AD178" i="22"/>
  <c r="AD134" i="22"/>
  <c r="AD156" i="22"/>
  <c r="AP71" i="22"/>
  <c r="AD143" i="22"/>
  <c r="AD87" i="22"/>
  <c r="AP122" i="22"/>
  <c r="AP153" i="22"/>
  <c r="AP304" i="22"/>
  <c r="AP186" i="22"/>
  <c r="AF367" i="22"/>
  <c r="AP37" i="22"/>
  <c r="AR316" i="22"/>
  <c r="AH294" i="22"/>
  <c r="AP367" i="22"/>
  <c r="AH372" i="22"/>
  <c r="AP41" i="22"/>
  <c r="AP201" i="22"/>
  <c r="AP249" i="22"/>
  <c r="AP374" i="22"/>
  <c r="AP142" i="22"/>
  <c r="AF88" i="22"/>
  <c r="AP68" i="22"/>
  <c r="AP351" i="22"/>
  <c r="AP237" i="22"/>
  <c r="AF138" i="22"/>
  <c r="AH369" i="22"/>
  <c r="AP160" i="22"/>
  <c r="AF191" i="22"/>
  <c r="AR95" i="22"/>
  <c r="AH164" i="22"/>
  <c r="AR32" i="22"/>
  <c r="AR291" i="22"/>
  <c r="AN132" i="22"/>
  <c r="AJ84" i="22"/>
  <c r="V124" i="22"/>
  <c r="AD86" i="22"/>
  <c r="AD257" i="22"/>
  <c r="AN259" i="22"/>
  <c r="AD71" i="22"/>
  <c r="AP255" i="22"/>
  <c r="AD326" i="22"/>
  <c r="AD314" i="22"/>
  <c r="AD191" i="22"/>
  <c r="AD244" i="22"/>
  <c r="AD208" i="22"/>
  <c r="AD51" i="22"/>
  <c r="AD349" i="22"/>
  <c r="AD335" i="22"/>
  <c r="AD200" i="22"/>
  <c r="AD373" i="22"/>
  <c r="AD197" i="22"/>
  <c r="AD123" i="22"/>
  <c r="AD303" i="22"/>
  <c r="AD179" i="22"/>
  <c r="AD188" i="22"/>
  <c r="AD245" i="22"/>
  <c r="AD352" i="22"/>
  <c r="AD78" i="22"/>
  <c r="AD93" i="22"/>
  <c r="AD324" i="22"/>
  <c r="AD214" i="22"/>
  <c r="AD229" i="22"/>
  <c r="AD223" i="22"/>
  <c r="AD167" i="22"/>
  <c r="AD150" i="22"/>
  <c r="AD21" i="22"/>
  <c r="AF295" i="22"/>
  <c r="AD160" i="22"/>
  <c r="AF297" i="22"/>
  <c r="AP311" i="22"/>
  <c r="AP110" i="22"/>
  <c r="AP73" i="22"/>
  <c r="AF293" i="22"/>
  <c r="AP12" i="22"/>
  <c r="AP334" i="22"/>
  <c r="AP189" i="22"/>
  <c r="AF358" i="22"/>
  <c r="AH328" i="22"/>
  <c r="AH311" i="22"/>
  <c r="AP39" i="22"/>
  <c r="AF218" i="22"/>
  <c r="AF368" i="22"/>
  <c r="AF96" i="22"/>
  <c r="AF352" i="22"/>
  <c r="AP114" i="22"/>
  <c r="AF354" i="22"/>
  <c r="AP79" i="22"/>
  <c r="AP91" i="22"/>
  <c r="AF164" i="22"/>
  <c r="AP231" i="22"/>
  <c r="AP81" i="22"/>
  <c r="AH303" i="22"/>
  <c r="AH339" i="22"/>
  <c r="AH177" i="22"/>
  <c r="AF247" i="22"/>
  <c r="AH313" i="22"/>
  <c r="AJ184" i="22"/>
  <c r="AB256" i="22"/>
  <c r="AJ23" i="22"/>
  <c r="AD316" i="22"/>
  <c r="AD193" i="22"/>
  <c r="AD58" i="22"/>
  <c r="AD231" i="22"/>
  <c r="AD306" i="22"/>
  <c r="AD293" i="22"/>
  <c r="AD353" i="22"/>
  <c r="AD366" i="22"/>
  <c r="AD118" i="22"/>
  <c r="AD363" i="22"/>
  <c r="AD95" i="22"/>
  <c r="AD62" i="22"/>
  <c r="AD313" i="22"/>
  <c r="AD307" i="22"/>
  <c r="AD300" i="22"/>
  <c r="AD312" i="22"/>
  <c r="AD237" i="22"/>
  <c r="AD246" i="22"/>
  <c r="AD26" i="22"/>
  <c r="AD64" i="22"/>
  <c r="AD194" i="22"/>
  <c r="AD321" i="22"/>
  <c r="AD336" i="22"/>
  <c r="AD106" i="22"/>
  <c r="AD372" i="22"/>
  <c r="AD288" i="22"/>
  <c r="AF329" i="22"/>
  <c r="AD154" i="22"/>
  <c r="AD66" i="22"/>
  <c r="AD146" i="22"/>
  <c r="AR71" i="22"/>
  <c r="AP308" i="22"/>
  <c r="AF345" i="22"/>
  <c r="AF353" i="22"/>
  <c r="AH367" i="22"/>
  <c r="AF357" i="22"/>
  <c r="AF285" i="22"/>
  <c r="AF331" i="22"/>
  <c r="AF334" i="22"/>
  <c r="AP133" i="22"/>
  <c r="AP285" i="22"/>
  <c r="AP342" i="22"/>
  <c r="AP207" i="22"/>
  <c r="AP151" i="22"/>
  <c r="AF241" i="22"/>
  <c r="AF222" i="22"/>
  <c r="AP325" i="22"/>
  <c r="AR332" i="22"/>
  <c r="AP177" i="22"/>
  <c r="AF186" i="22"/>
  <c r="AP179" i="22"/>
  <c r="AF112" i="22"/>
  <c r="AP74" i="22"/>
  <c r="AF133" i="22"/>
  <c r="AR122" i="22"/>
  <c r="AH358" i="22"/>
  <c r="AF79" i="22"/>
  <c r="AF161" i="22"/>
  <c r="AJ179" i="22"/>
  <c r="R211" i="22"/>
  <c r="AB208" i="22"/>
  <c r="AN261" i="22"/>
  <c r="Z270" i="103"/>
  <c r="D283" i="22"/>
  <c r="C27" i="53"/>
  <c r="E27" i="53" s="1"/>
  <c r="D275" i="22"/>
  <c r="D272" i="22"/>
  <c r="D262" i="22"/>
  <c r="D265" i="22"/>
  <c r="Z294" i="103"/>
  <c r="C29" i="53"/>
  <c r="E29" i="53" s="1"/>
  <c r="F35" i="53"/>
  <c r="H35" i="53" s="1"/>
  <c r="D261" i="22"/>
  <c r="D193" i="22"/>
  <c r="C26" i="53"/>
  <c r="E26" i="53" s="1"/>
  <c r="Z272" i="103"/>
  <c r="D276" i="22"/>
  <c r="D264" i="22"/>
  <c r="D277" i="22"/>
  <c r="D278" i="22"/>
  <c r="D279" i="22"/>
  <c r="D260" i="22"/>
  <c r="D266" i="22"/>
  <c r="D258" i="22"/>
  <c r="R162" i="23"/>
  <c r="D256" i="22"/>
  <c r="C28" i="53"/>
  <c r="E28" i="53" s="1"/>
  <c r="D263" i="22"/>
  <c r="D280" i="22"/>
  <c r="D274" i="22"/>
  <c r="D281" i="22"/>
  <c r="R164" i="23"/>
  <c r="Z256" i="103"/>
  <c r="D270" i="22"/>
  <c r="F33" i="53"/>
  <c r="H33" i="53" s="1"/>
  <c r="D301" i="22"/>
  <c r="Z254" i="103"/>
  <c r="Z281" i="103"/>
  <c r="D269" i="22"/>
  <c r="E24" i="62"/>
  <c r="Z276" i="103"/>
  <c r="D268" i="22"/>
  <c r="Z267" i="103"/>
  <c r="D255" i="22"/>
  <c r="D271" i="22"/>
  <c r="S163" i="23"/>
  <c r="Q159" i="23"/>
  <c r="F29" i="53"/>
  <c r="H29" i="53" s="1"/>
  <c r="D257" i="22"/>
  <c r="Z279" i="103"/>
  <c r="Z259" i="103"/>
  <c r="Z274" i="103"/>
  <c r="Z260" i="103"/>
  <c r="Q162" i="23"/>
  <c r="F31" i="53"/>
  <c r="H31" i="53" s="1"/>
  <c r="Z265" i="103"/>
  <c r="Q161" i="23"/>
  <c r="Z262" i="103"/>
  <c r="Z300" i="103"/>
  <c r="D267" i="22"/>
  <c r="E142" i="23"/>
  <c r="F142" i="23" s="1"/>
  <c r="G142" i="23" s="1"/>
  <c r="Z257" i="103"/>
  <c r="Z263" i="103"/>
  <c r="Q160" i="23"/>
  <c r="Z297" i="103"/>
  <c r="D298" i="22"/>
  <c r="E139" i="23"/>
  <c r="Z255" i="103"/>
  <c r="Z280" i="103"/>
  <c r="Z271" i="103"/>
  <c r="Z192" i="103"/>
  <c r="Z382" i="103" s="1"/>
  <c r="Z282" i="103"/>
  <c r="D273" i="22"/>
  <c r="Z376" i="103"/>
  <c r="R166" i="23"/>
  <c r="Z277" i="103"/>
  <c r="Z283" i="103"/>
  <c r="D282" i="22"/>
  <c r="Z264" i="103"/>
  <c r="D284" i="22"/>
  <c r="Z377" i="103"/>
  <c r="R168" i="23"/>
  <c r="Z378" i="103"/>
  <c r="D385" i="103"/>
  <c r="Z273" i="103"/>
  <c r="Z266" i="103"/>
  <c r="D382" i="103"/>
  <c r="D295" i="22"/>
  <c r="E136" i="23"/>
  <c r="Z286" i="103"/>
  <c r="D287" i="22"/>
  <c r="E128" i="23"/>
  <c r="Z278" i="103"/>
  <c r="Z261" i="103"/>
  <c r="D384" i="103"/>
  <c r="Z379" i="103"/>
  <c r="Z258" i="103"/>
  <c r="D259" i="22"/>
  <c r="Z269" i="103"/>
  <c r="Z275" i="103"/>
  <c r="Z268" i="103"/>
  <c r="D306" i="22"/>
  <c r="E147" i="23"/>
  <c r="Z305" i="103"/>
  <c r="Q24" i="62"/>
  <c r="B26" i="62"/>
  <c r="F25" i="62"/>
  <c r="C25" i="62"/>
  <c r="I25" i="62"/>
  <c r="J25" i="62" s="1"/>
  <c r="D25" i="62"/>
  <c r="G25" i="62"/>
  <c r="H25" i="62" s="1"/>
  <c r="L25" i="62"/>
  <c r="K25" i="62"/>
  <c r="P25" i="62"/>
  <c r="Q25" i="62" s="1"/>
  <c r="N24" i="62"/>
  <c r="CJ259" i="103"/>
  <c r="CO200" i="103"/>
  <c r="BA200" i="103" s="1"/>
  <c r="CM201" i="103"/>
  <c r="CG201" i="103" s="1"/>
  <c r="AE24" i="70"/>
  <c r="AE31" i="70" s="1"/>
  <c r="AE23" i="70"/>
  <c r="AR203" i="103"/>
  <c r="BB202" i="103"/>
  <c r="BD202" i="103"/>
  <c r="AC24" i="70"/>
  <c r="AC31" i="70" s="1"/>
  <c r="AC23" i="70"/>
  <c r="S24" i="70"/>
  <c r="S31" i="70" s="1"/>
  <c r="S23" i="70"/>
  <c r="U24" i="70"/>
  <c r="U31" i="70" s="1"/>
  <c r="U23" i="70"/>
  <c r="K24" i="70"/>
  <c r="K31" i="70" s="1"/>
  <c r="K23" i="70"/>
  <c r="O24" i="70"/>
  <c r="O31" i="70" s="1"/>
  <c r="O23" i="70"/>
  <c r="AO259" i="22"/>
  <c r="AP259" i="22" s="1"/>
  <c r="R266" i="67"/>
  <c r="AO260" i="22"/>
  <c r="AP260" i="22" s="1"/>
  <c r="R267" i="67"/>
  <c r="AC258" i="22"/>
  <c r="AD258" i="22" s="1"/>
  <c r="O265" i="67"/>
  <c r="I24" i="70"/>
  <c r="I31" i="70" s="1"/>
  <c r="I23" i="70"/>
  <c r="L259" i="58"/>
  <c r="Q24" i="70"/>
  <c r="Q31" i="70" s="1"/>
  <c r="Q23" i="70"/>
  <c r="M24" i="70"/>
  <c r="M31" i="70" s="1"/>
  <c r="M23" i="70"/>
  <c r="AE261" i="22"/>
  <c r="AF261" i="22" s="1"/>
  <c r="R260" i="58"/>
  <c r="L260" i="58" s="1"/>
  <c r="H260" i="58" s="1"/>
  <c r="CH260" i="103"/>
  <c r="AA24" i="70"/>
  <c r="AA31" i="70" s="1"/>
  <c r="AA23" i="70"/>
  <c r="AM262" i="22"/>
  <c r="AN262" i="22" s="1"/>
  <c r="AM261" i="103"/>
  <c r="I266" i="67"/>
  <c r="AL258" i="103"/>
  <c r="W24" i="70"/>
  <c r="W31" i="70" s="1"/>
  <c r="W23" i="70"/>
  <c r="BK382" i="103" l="1"/>
  <c r="BM379" i="103"/>
  <c r="BM378" i="103"/>
  <c r="BM377" i="103"/>
  <c r="F32" i="53"/>
  <c r="H32" i="53" s="1"/>
  <c r="F152" i="23"/>
  <c r="G152" i="23" s="1"/>
  <c r="F148" i="23"/>
  <c r="G148" i="23" s="1"/>
  <c r="BM376" i="103"/>
  <c r="O153" i="23"/>
  <c r="Z25" i="62"/>
  <c r="AA25" i="62" s="1"/>
  <c r="R165" i="23"/>
  <c r="Z23" i="62"/>
  <c r="AA23" i="62" s="1"/>
  <c r="Z22" i="62"/>
  <c r="AA22" i="62" s="1"/>
  <c r="C37" i="53"/>
  <c r="E37" i="53" s="1"/>
  <c r="O145" i="23"/>
  <c r="F151" i="23"/>
  <c r="G151" i="23" s="1"/>
  <c r="O144" i="23"/>
  <c r="Z26" i="62"/>
  <c r="AA26" i="62" s="1"/>
  <c r="BM350" i="103"/>
  <c r="BM349" i="103"/>
  <c r="BM346" i="103"/>
  <c r="BM348" i="103"/>
  <c r="BM351" i="103"/>
  <c r="BM352" i="103"/>
  <c r="BM362" i="103"/>
  <c r="BM359" i="103"/>
  <c r="BM360" i="103"/>
  <c r="BM365" i="103"/>
  <c r="F140" i="23"/>
  <c r="G140" i="23" s="1"/>
  <c r="Z19" i="62"/>
  <c r="AA19" i="62" s="1"/>
  <c r="O137" i="23"/>
  <c r="Q170" i="23"/>
  <c r="S170" i="23" s="1"/>
  <c r="Z387" i="103"/>
  <c r="F143" i="23"/>
  <c r="G143" i="23" s="1"/>
  <c r="S160" i="23"/>
  <c r="O141" i="23"/>
  <c r="BK387" i="103"/>
  <c r="M26" i="62"/>
  <c r="T26" i="62"/>
  <c r="O26" i="62"/>
  <c r="R26" i="62"/>
  <c r="S26" i="62" s="1"/>
  <c r="X26" i="62"/>
  <c r="Y26" i="62" s="1"/>
  <c r="U26" i="62"/>
  <c r="W26" i="62"/>
  <c r="O149" i="23"/>
  <c r="O150" i="23"/>
  <c r="S161" i="23"/>
  <c r="O135" i="23"/>
  <c r="O138" i="23"/>
  <c r="BM324" i="103"/>
  <c r="Z24" i="62"/>
  <c r="AA24" i="62" s="1"/>
  <c r="F146" i="23"/>
  <c r="G146" i="23" s="1"/>
  <c r="BM335" i="103"/>
  <c r="BK384" i="103"/>
  <c r="C36" i="53"/>
  <c r="E36" i="53" s="1"/>
  <c r="Q166" i="23"/>
  <c r="S166" i="23" s="1"/>
  <c r="C31" i="53"/>
  <c r="E31" i="53" s="1"/>
  <c r="K388" i="103"/>
  <c r="K392" i="103" s="1"/>
  <c r="K396" i="103" s="1"/>
  <c r="K400" i="103" s="1"/>
  <c r="O131" i="23"/>
  <c r="F127" i="23"/>
  <c r="G127" i="23" s="1"/>
  <c r="Z13" i="62"/>
  <c r="AA13" i="62" s="1"/>
  <c r="Z15" i="62"/>
  <c r="AA15" i="62" s="1"/>
  <c r="Z17" i="62"/>
  <c r="AA17" i="62" s="1"/>
  <c r="Z16" i="62"/>
  <c r="AA16" i="62" s="1"/>
  <c r="Z14" i="62"/>
  <c r="AA14" i="62" s="1"/>
  <c r="Z20" i="62"/>
  <c r="AA20" i="62" s="1"/>
  <c r="Z12" i="62"/>
  <c r="Z18" i="62"/>
  <c r="AA18" i="62" s="1"/>
  <c r="F126" i="23"/>
  <c r="G126" i="23" s="1"/>
  <c r="BK386" i="103"/>
  <c r="BK383" i="103"/>
  <c r="BM321" i="103"/>
  <c r="BM320" i="103"/>
  <c r="BM322" i="103"/>
  <c r="O130" i="23"/>
  <c r="Q164" i="23"/>
  <c r="S164" i="23" s="1"/>
  <c r="BM319" i="103"/>
  <c r="F34" i="53"/>
  <c r="H34" i="53" s="1"/>
  <c r="R167" i="23"/>
  <c r="O133" i="23"/>
  <c r="S159" i="23"/>
  <c r="BM323" i="103"/>
  <c r="F129" i="23"/>
  <c r="G129" i="23" s="1"/>
  <c r="O134" i="23"/>
  <c r="F132" i="23"/>
  <c r="G132" i="23" s="1"/>
  <c r="BM317" i="103"/>
  <c r="C33" i="53"/>
  <c r="E33" i="53" s="1"/>
  <c r="BM315" i="103"/>
  <c r="M11" i="64"/>
  <c r="BM383" i="103"/>
  <c r="Q169" i="23"/>
  <c r="S169" i="23" s="1"/>
  <c r="Z383" i="103"/>
  <c r="Z386" i="103"/>
  <c r="Z381" i="103"/>
  <c r="BM316" i="103"/>
  <c r="BM318" i="103"/>
  <c r="V25" i="62"/>
  <c r="B53" i="31"/>
  <c r="A53" i="31" s="1"/>
  <c r="A18" i="31"/>
  <c r="B25" i="102"/>
  <c r="C25" i="102" s="1"/>
  <c r="B19" i="31"/>
  <c r="J37" i="36"/>
  <c r="J38" i="36" s="1"/>
  <c r="BM264" i="103"/>
  <c r="BM265" i="103"/>
  <c r="BM260" i="103"/>
  <c r="BM256" i="103"/>
  <c r="I267" i="67"/>
  <c r="BM269" i="103"/>
  <c r="BM274" i="103"/>
  <c r="BM261" i="103"/>
  <c r="BM270" i="103"/>
  <c r="BM267" i="103"/>
  <c r="BM282" i="103"/>
  <c r="BM257" i="103"/>
  <c r="C35" i="53"/>
  <c r="E35" i="53" s="1"/>
  <c r="BM279" i="103"/>
  <c r="BM266" i="103"/>
  <c r="C34" i="53"/>
  <c r="E34" i="53" s="1"/>
  <c r="C32" i="53"/>
  <c r="E32" i="53" s="1"/>
  <c r="BM281" i="103"/>
  <c r="BM271" i="103"/>
  <c r="BM263" i="103"/>
  <c r="BM262" i="103"/>
  <c r="S162" i="23"/>
  <c r="BM276" i="103"/>
  <c r="BM258" i="103"/>
  <c r="BM278" i="103"/>
  <c r="BM277" i="103"/>
  <c r="BM272" i="103"/>
  <c r="BM280" i="103"/>
  <c r="BM283" i="103"/>
  <c r="BM268" i="103"/>
  <c r="BM254" i="103"/>
  <c r="BM275" i="103"/>
  <c r="BM259" i="103"/>
  <c r="BM273" i="103"/>
  <c r="BM255" i="103"/>
  <c r="BM192" i="103"/>
  <c r="BM382" i="103" s="1"/>
  <c r="Q168" i="23"/>
  <c r="S168" i="23" s="1"/>
  <c r="O142" i="23"/>
  <c r="Q165" i="23"/>
  <c r="O139" i="23"/>
  <c r="F139" i="23"/>
  <c r="G139" i="23" s="1"/>
  <c r="D388" i="103"/>
  <c r="O136" i="23"/>
  <c r="F136" i="23"/>
  <c r="G136" i="23" s="1"/>
  <c r="Z384" i="103"/>
  <c r="O128" i="23"/>
  <c r="F128" i="23"/>
  <c r="G128" i="23" s="1"/>
  <c r="Q167" i="23"/>
  <c r="C28" i="104"/>
  <c r="Z385" i="103"/>
  <c r="F147" i="23"/>
  <c r="G147" i="23" s="1"/>
  <c r="O147" i="23"/>
  <c r="AL259" i="103"/>
  <c r="N25" i="62"/>
  <c r="E25" i="62"/>
  <c r="B27" i="62"/>
  <c r="G26" i="62"/>
  <c r="H26" i="62" s="1"/>
  <c r="C26" i="62"/>
  <c r="F26" i="62"/>
  <c r="I26" i="62"/>
  <c r="J26" i="62" s="1"/>
  <c r="D26" i="62"/>
  <c r="L26" i="62"/>
  <c r="K26" i="62"/>
  <c r="P26" i="62"/>
  <c r="Q26" i="62" s="1"/>
  <c r="CM202" i="103"/>
  <c r="CG202" i="103" s="1"/>
  <c r="H259" i="58"/>
  <c r="AR204" i="103"/>
  <c r="BB203" i="103"/>
  <c r="BD203" i="103"/>
  <c r="CO201" i="103"/>
  <c r="BA201" i="103" s="1"/>
  <c r="AE262" i="22"/>
  <c r="AF262" i="22" s="1"/>
  <c r="R261" i="58"/>
  <c r="L261" i="58" s="1"/>
  <c r="H261" i="58" s="1"/>
  <c r="CH261" i="103"/>
  <c r="CF261" i="103" s="1"/>
  <c r="AM263" i="22"/>
  <c r="AN263" i="22" s="1"/>
  <c r="AM262" i="103"/>
  <c r="AC259" i="22"/>
  <c r="AD259" i="22" s="1"/>
  <c r="O266" i="67"/>
  <c r="CF260" i="103"/>
  <c r="CJ260" i="103"/>
  <c r="I8" i="37" l="1"/>
  <c r="I33" i="37" s="1"/>
  <c r="I34" i="37" s="1"/>
  <c r="S165" i="23"/>
  <c r="H37" i="36"/>
  <c r="H38" i="36" s="1"/>
  <c r="G37" i="36"/>
  <c r="G38" i="36" s="1"/>
  <c r="Q37" i="36"/>
  <c r="Q38" i="36" s="1"/>
  <c r="BM387" i="103"/>
  <c r="M27" i="62"/>
  <c r="O27" i="62"/>
  <c r="T27" i="62"/>
  <c r="R27" i="62"/>
  <c r="S27" i="62" s="1"/>
  <c r="X27" i="62"/>
  <c r="Y27" i="62" s="1"/>
  <c r="W27" i="62"/>
  <c r="U27" i="62"/>
  <c r="Z27" i="62"/>
  <c r="AA27" i="62" s="1"/>
  <c r="F37" i="36"/>
  <c r="F38" i="36" s="1"/>
  <c r="P37" i="36"/>
  <c r="P38" i="36" s="1"/>
  <c r="AA12" i="62"/>
  <c r="BK388" i="103"/>
  <c r="S167" i="23"/>
  <c r="BM386" i="103"/>
  <c r="T14" i="64" s="1"/>
  <c r="V26" i="62"/>
  <c r="J17" i="36"/>
  <c r="A19" i="31"/>
  <c r="B26" i="102"/>
  <c r="C26" i="102" s="1"/>
  <c r="B20" i="31"/>
  <c r="B54" i="31"/>
  <c r="A54" i="31" s="1"/>
  <c r="I37" i="36"/>
  <c r="I38" i="36" s="1"/>
  <c r="M37" i="36"/>
  <c r="M38" i="36" s="1"/>
  <c r="O37" i="36"/>
  <c r="O38" i="36" s="1"/>
  <c r="K37" i="36"/>
  <c r="K38" i="36" s="1"/>
  <c r="BM384" i="103"/>
  <c r="AC260" i="22"/>
  <c r="AD260" i="22" s="1"/>
  <c r="Z388" i="103"/>
  <c r="O267" i="67"/>
  <c r="D28" i="104"/>
  <c r="N74" i="18"/>
  <c r="E26" i="62"/>
  <c r="N26" i="62"/>
  <c r="B28" i="62"/>
  <c r="C27" i="62"/>
  <c r="G27" i="62"/>
  <c r="H27" i="62" s="1"/>
  <c r="F27" i="62"/>
  <c r="I27" i="62"/>
  <c r="J27" i="62" s="1"/>
  <c r="D27" i="62"/>
  <c r="K27" i="62"/>
  <c r="L27" i="62"/>
  <c r="P27" i="62"/>
  <c r="CO202" i="103"/>
  <c r="BA202" i="103" s="1"/>
  <c r="AE263" i="22"/>
  <c r="AF263" i="22" s="1"/>
  <c r="R262" i="58"/>
  <c r="L262" i="58" s="1"/>
  <c r="CH262" i="103"/>
  <c r="CF262" i="103" s="1"/>
  <c r="AR205" i="103"/>
  <c r="BB204" i="103"/>
  <c r="BD204" i="103"/>
  <c r="CJ261" i="103"/>
  <c r="AO261" i="22"/>
  <c r="AP261" i="22" s="1"/>
  <c r="R268" i="67"/>
  <c r="I268" i="67"/>
  <c r="AL260" i="103"/>
  <c r="AM264" i="22"/>
  <c r="AN264" i="22" s="1"/>
  <c r="AM263" i="103"/>
  <c r="AO262" i="22"/>
  <c r="AP262" i="22" s="1"/>
  <c r="R269" i="67"/>
  <c r="CM203" i="103"/>
  <c r="CG203" i="103" s="1"/>
  <c r="J8" i="37" l="1"/>
  <c r="J33" i="37" s="1"/>
  <c r="J34" i="37" s="1"/>
  <c r="P8" i="37"/>
  <c r="P33" i="37" s="1"/>
  <c r="P34" i="37" s="1"/>
  <c r="N8" i="37"/>
  <c r="N33" i="37" s="1"/>
  <c r="N34" i="37" s="1"/>
  <c r="L8" i="37"/>
  <c r="L33" i="37" s="1"/>
  <c r="L34" i="37" s="1"/>
  <c r="O8" i="37"/>
  <c r="O33" i="37" s="1"/>
  <c r="O34" i="37" s="1"/>
  <c r="F8" i="37"/>
  <c r="F33" i="37" s="1"/>
  <c r="F34" i="37" s="1"/>
  <c r="I21" i="37"/>
  <c r="I19" i="37" s="1"/>
  <c r="I28" i="37" s="1"/>
  <c r="I42" i="37" s="1"/>
  <c r="I17" i="36"/>
  <c r="E8" i="37"/>
  <c r="E33" i="37" s="1"/>
  <c r="E34" i="37" s="1"/>
  <c r="G8" i="37"/>
  <c r="G33" i="37" s="1"/>
  <c r="G34" i="37" s="1"/>
  <c r="L37" i="36"/>
  <c r="L38" i="36" s="1"/>
  <c r="G17" i="36"/>
  <c r="H17" i="36"/>
  <c r="Q17" i="36"/>
  <c r="F17" i="36"/>
  <c r="O28" i="62"/>
  <c r="M28" i="62"/>
  <c r="T28" i="62"/>
  <c r="R28" i="62"/>
  <c r="S28" i="62" s="1"/>
  <c r="X28" i="62"/>
  <c r="Y28" i="62" s="1"/>
  <c r="U28" i="62"/>
  <c r="W28" i="62"/>
  <c r="Z28" i="62"/>
  <c r="AA28" i="62" s="1"/>
  <c r="P17" i="36"/>
  <c r="N37" i="36"/>
  <c r="N38" i="36" s="1"/>
  <c r="BM388" i="103"/>
  <c r="J28" i="36"/>
  <c r="V27" i="62"/>
  <c r="O17" i="36"/>
  <c r="B27" i="102"/>
  <c r="C27" i="102" s="1"/>
  <c r="B21" i="31"/>
  <c r="B55" i="31"/>
  <c r="A55" i="31" s="1"/>
  <c r="A20" i="31"/>
  <c r="K17" i="36"/>
  <c r="M17" i="36"/>
  <c r="H8" i="37"/>
  <c r="H33" i="37" s="1"/>
  <c r="H34" i="37" s="1"/>
  <c r="E28" i="104"/>
  <c r="E27" i="62"/>
  <c r="Q27" i="62"/>
  <c r="B29" i="62"/>
  <c r="I28" i="62"/>
  <c r="J28" i="62" s="1"/>
  <c r="G28" i="62"/>
  <c r="H28" i="62" s="1"/>
  <c r="C28" i="62"/>
  <c r="F28" i="62"/>
  <c r="D28" i="62"/>
  <c r="L28" i="62"/>
  <c r="K28" i="62"/>
  <c r="P28" i="62"/>
  <c r="Q28" i="62" s="1"/>
  <c r="N27" i="62"/>
  <c r="I269" i="67"/>
  <c r="AL261" i="103"/>
  <c r="AR206" i="103"/>
  <c r="BB205" i="103"/>
  <c r="BD205" i="103"/>
  <c r="AO263" i="22"/>
  <c r="AP263" i="22" s="1"/>
  <c r="R270" i="67"/>
  <c r="AC261" i="22"/>
  <c r="AD261" i="22" s="1"/>
  <c r="O268" i="67"/>
  <c r="CJ262" i="103"/>
  <c r="CO203" i="103"/>
  <c r="BA203" i="103" s="1"/>
  <c r="H262" i="58"/>
  <c r="AE264" i="22"/>
  <c r="AF264" i="22" s="1"/>
  <c r="R263" i="58"/>
  <c r="L263" i="58" s="1"/>
  <c r="H263" i="58" s="1"/>
  <c r="CH263" i="103"/>
  <c r="CF263" i="103" s="1"/>
  <c r="CM204" i="103"/>
  <c r="CG204" i="103" s="1"/>
  <c r="AM265" i="22"/>
  <c r="AN265" i="22" s="1"/>
  <c r="AM264" i="103"/>
  <c r="I40" i="37" l="1"/>
  <c r="I41" i="37"/>
  <c r="I28" i="36"/>
  <c r="N17" i="36"/>
  <c r="H28" i="36"/>
  <c r="K28" i="36"/>
  <c r="O21" i="37"/>
  <c r="O19" i="37" s="1"/>
  <c r="F21" i="37"/>
  <c r="F19" i="37" s="1"/>
  <c r="F28" i="37" s="1"/>
  <c r="F42" i="37" s="1"/>
  <c r="K8" i="37"/>
  <c r="K33" i="37" s="1"/>
  <c r="K34" i="37" s="1"/>
  <c r="M28" i="36"/>
  <c r="N21" i="37"/>
  <c r="N19" i="37" s="1"/>
  <c r="H21" i="37"/>
  <c r="P21" i="37"/>
  <c r="P19" i="37" s="1"/>
  <c r="E21" i="37"/>
  <c r="E41" i="37" s="1"/>
  <c r="L17" i="36"/>
  <c r="G28" i="36"/>
  <c r="G21" i="37"/>
  <c r="G19" i="37" s="1"/>
  <c r="G28" i="37" s="1"/>
  <c r="G42" i="37" s="1"/>
  <c r="Q28" i="36"/>
  <c r="F28" i="36"/>
  <c r="M8" i="37"/>
  <c r="M33" i="37" s="1"/>
  <c r="M34" i="37" s="1"/>
  <c r="T29" i="62"/>
  <c r="O29" i="62"/>
  <c r="M29" i="62"/>
  <c r="R29" i="62"/>
  <c r="S29" i="62" s="1"/>
  <c r="X29" i="62"/>
  <c r="Y29" i="62" s="1"/>
  <c r="U29" i="62"/>
  <c r="W29" i="62"/>
  <c r="Z29" i="62"/>
  <c r="AA29" i="62" s="1"/>
  <c r="P28" i="36"/>
  <c r="V28" i="62"/>
  <c r="O28" i="36"/>
  <c r="J21" i="37"/>
  <c r="J19" i="37" s="1"/>
  <c r="J40" i="37" s="1"/>
  <c r="B28" i="102"/>
  <c r="C28" i="102" s="1"/>
  <c r="B22" i="31"/>
  <c r="B56" i="31"/>
  <c r="A56" i="31" s="1"/>
  <c r="A21" i="31"/>
  <c r="L21" i="37"/>
  <c r="L41" i="37" s="1"/>
  <c r="E28" i="62"/>
  <c r="N28" i="62"/>
  <c r="B30" i="62"/>
  <c r="C29" i="62"/>
  <c r="F29" i="62"/>
  <c r="I29" i="62"/>
  <c r="J29" i="62" s="1"/>
  <c r="D29" i="62"/>
  <c r="G29" i="62"/>
  <c r="H29" i="62" s="1"/>
  <c r="K29" i="62"/>
  <c r="L29" i="62"/>
  <c r="P29" i="62"/>
  <c r="Q29" i="62" s="1"/>
  <c r="AE265" i="22"/>
  <c r="AF265" i="22" s="1"/>
  <c r="R264" i="58"/>
  <c r="L264" i="58" s="1"/>
  <c r="H264" i="58" s="1"/>
  <c r="CH264" i="103"/>
  <c r="CF264" i="103" s="1"/>
  <c r="AR207" i="103"/>
  <c r="BB206" i="103"/>
  <c r="BD206" i="103"/>
  <c r="AC262" i="22"/>
  <c r="AD262" i="22" s="1"/>
  <c r="O269" i="67"/>
  <c r="CM205" i="103"/>
  <c r="CG205" i="103" s="1"/>
  <c r="CO204" i="103"/>
  <c r="BA204" i="103" s="1"/>
  <c r="I270" i="67"/>
  <c r="AL262" i="103"/>
  <c r="AO264" i="22"/>
  <c r="AP264" i="22" s="1"/>
  <c r="R271" i="67"/>
  <c r="CJ263" i="103"/>
  <c r="AM266" i="22"/>
  <c r="AN266" i="22" s="1"/>
  <c r="AM265" i="103"/>
  <c r="N41" i="37" l="1"/>
  <c r="N28" i="36"/>
  <c r="O41" i="37"/>
  <c r="E19" i="37"/>
  <c r="E28" i="37" s="1"/>
  <c r="E42" i="37" s="1"/>
  <c r="P41" i="37"/>
  <c r="H19" i="37"/>
  <c r="H41" i="37"/>
  <c r="F40" i="37"/>
  <c r="K21" i="37"/>
  <c r="K41" i="37" s="1"/>
  <c r="F41" i="37"/>
  <c r="M21" i="37"/>
  <c r="L28" i="36"/>
  <c r="G41" i="37"/>
  <c r="G40" i="37"/>
  <c r="P28" i="37"/>
  <c r="P42" i="37" s="1"/>
  <c r="P40" i="37"/>
  <c r="M30" i="62"/>
  <c r="T30" i="62"/>
  <c r="O30" i="62"/>
  <c r="R30" i="62"/>
  <c r="S30" i="62" s="1"/>
  <c r="X30" i="62"/>
  <c r="Y30" i="62" s="1"/>
  <c r="W30" i="62"/>
  <c r="U30" i="62"/>
  <c r="Z30" i="62"/>
  <c r="AA30" i="62" s="1"/>
  <c r="O28" i="37"/>
  <c r="O42" i="37" s="1"/>
  <c r="O40" i="37"/>
  <c r="J28" i="37"/>
  <c r="J42" i="37" s="1"/>
  <c r="J41" i="37"/>
  <c r="V29" i="62"/>
  <c r="B29" i="102"/>
  <c r="C29" i="102" s="1"/>
  <c r="B23" i="31"/>
  <c r="B57" i="31"/>
  <c r="A57" i="31" s="1"/>
  <c r="A22" i="31"/>
  <c r="L19" i="37"/>
  <c r="L28" i="37" s="1"/>
  <c r="L42" i="37" s="1"/>
  <c r="N28" i="37"/>
  <c r="N42" i="37" s="1"/>
  <c r="N40" i="37"/>
  <c r="N29" i="62"/>
  <c r="E29" i="62"/>
  <c r="F30" i="62"/>
  <c r="B31" i="62"/>
  <c r="G30" i="62"/>
  <c r="H30" i="62" s="1"/>
  <c r="C30" i="62"/>
  <c r="I30" i="62"/>
  <c r="J30" i="62" s="1"/>
  <c r="D30" i="62"/>
  <c r="K30" i="62"/>
  <c r="L30" i="62"/>
  <c r="P30" i="62"/>
  <c r="Q30" i="62" s="1"/>
  <c r="CO205" i="103"/>
  <c r="BA205" i="103" s="1"/>
  <c r="AE266" i="22"/>
  <c r="AF266" i="22" s="1"/>
  <c r="R265" i="58"/>
  <c r="L265" i="58" s="1"/>
  <c r="H265" i="58" s="1"/>
  <c r="CH265" i="103"/>
  <c r="CF265" i="103" s="1"/>
  <c r="AC263" i="22"/>
  <c r="AD263" i="22" s="1"/>
  <c r="O270" i="67"/>
  <c r="AO265" i="22"/>
  <c r="AP265" i="22" s="1"/>
  <c r="R272" i="67"/>
  <c r="I271" i="67"/>
  <c r="AL263" i="103"/>
  <c r="CM206" i="103"/>
  <c r="CG206" i="103" s="1"/>
  <c r="CJ264" i="103"/>
  <c r="AM267" i="22"/>
  <c r="AN267" i="22" s="1"/>
  <c r="AM266" i="103"/>
  <c r="AR208" i="103"/>
  <c r="BB207" i="103"/>
  <c r="BD207" i="103"/>
  <c r="K19" i="37" l="1"/>
  <c r="K40" i="37" s="1"/>
  <c r="M19" i="37"/>
  <c r="M41" i="37"/>
  <c r="H28" i="37"/>
  <c r="H42" i="37" s="1"/>
  <c r="H40" i="37"/>
  <c r="E40" i="37"/>
  <c r="O31" i="62"/>
  <c r="M31" i="62"/>
  <c r="T31" i="62"/>
  <c r="R31" i="62"/>
  <c r="S31" i="62" s="1"/>
  <c r="X31" i="62"/>
  <c r="Y31" i="62" s="1"/>
  <c r="U31" i="62"/>
  <c r="W31" i="62"/>
  <c r="Z31" i="62"/>
  <c r="AA31" i="62" s="1"/>
  <c r="V30" i="62"/>
  <c r="L40" i="37"/>
  <c r="B24" i="31"/>
  <c r="B58" i="31"/>
  <c r="A58" i="31" s="1"/>
  <c r="A23" i="31"/>
  <c r="B30" i="102"/>
  <c r="C30" i="102" s="1"/>
  <c r="N30" i="62"/>
  <c r="E30" i="62"/>
  <c r="B32" i="62"/>
  <c r="G31" i="62"/>
  <c r="H31" i="62" s="1"/>
  <c r="C31" i="62"/>
  <c r="F31" i="62"/>
  <c r="I31" i="62"/>
  <c r="J31" i="62" s="1"/>
  <c r="D31" i="62"/>
  <c r="K31" i="62"/>
  <c r="L31" i="62"/>
  <c r="P31" i="62"/>
  <c r="Q31" i="62" s="1"/>
  <c r="CO206" i="103"/>
  <c r="BA206" i="103" s="1"/>
  <c r="AO266" i="22"/>
  <c r="AP266" i="22" s="1"/>
  <c r="R273" i="67"/>
  <c r="AM268" i="22"/>
  <c r="AN268" i="22" s="1"/>
  <c r="AM267" i="103"/>
  <c r="CJ265" i="103"/>
  <c r="I272" i="67"/>
  <c r="AL264" i="103"/>
  <c r="AR209" i="103"/>
  <c r="BB208" i="103"/>
  <c r="BD208" i="103"/>
  <c r="AE267" i="22"/>
  <c r="AF267" i="22" s="1"/>
  <c r="R266" i="58"/>
  <c r="L266" i="58" s="1"/>
  <c r="H266" i="58" s="1"/>
  <c r="CH266" i="103"/>
  <c r="CF266" i="103" s="1"/>
  <c r="CM207" i="103"/>
  <c r="CG207" i="103" s="1"/>
  <c r="AC264" i="22"/>
  <c r="AD264" i="22" s="1"/>
  <c r="O271" i="67"/>
  <c r="K28" i="37" l="1"/>
  <c r="K42" i="37" s="1"/>
  <c r="M28" i="37"/>
  <c r="M42" i="37" s="1"/>
  <c r="M40" i="37"/>
  <c r="V31" i="62"/>
  <c r="O32" i="62"/>
  <c r="M32" i="62"/>
  <c r="T32" i="62"/>
  <c r="R32" i="62"/>
  <c r="S32" i="62" s="1"/>
  <c r="X32" i="62"/>
  <c r="Y32" i="62" s="1"/>
  <c r="U32" i="62"/>
  <c r="W32" i="62"/>
  <c r="Z32" i="62"/>
  <c r="AA32" i="62" s="1"/>
  <c r="B25" i="31"/>
  <c r="B59" i="31"/>
  <c r="A59" i="31" s="1"/>
  <c r="A24" i="31"/>
  <c r="B31" i="102"/>
  <c r="C31" i="102" s="1"/>
  <c r="E31" i="62"/>
  <c r="N31" i="62"/>
  <c r="B33" i="62"/>
  <c r="C32" i="62"/>
  <c r="D32" i="62"/>
  <c r="G32" i="62"/>
  <c r="H32" i="62" s="1"/>
  <c r="F32" i="62"/>
  <c r="I32" i="62"/>
  <c r="J32" i="62" s="1"/>
  <c r="L32" i="62"/>
  <c r="K32" i="62"/>
  <c r="P32" i="62"/>
  <c r="Q32" i="62" s="1"/>
  <c r="AR210" i="103"/>
  <c r="BB209" i="103"/>
  <c r="BD209" i="103"/>
  <c r="AE268" i="22"/>
  <c r="AF268" i="22" s="1"/>
  <c r="R267" i="58"/>
  <c r="L267" i="58" s="1"/>
  <c r="H267" i="58" s="1"/>
  <c r="CH267" i="103"/>
  <c r="CF267" i="103" s="1"/>
  <c r="CM208" i="103"/>
  <c r="CG208" i="103" s="1"/>
  <c r="AM269" i="22"/>
  <c r="AN269" i="22" s="1"/>
  <c r="AM268" i="103"/>
  <c r="AC265" i="22"/>
  <c r="AD265" i="22" s="1"/>
  <c r="O272" i="67"/>
  <c r="I273" i="67"/>
  <c r="AL265" i="103"/>
  <c r="CO207" i="103"/>
  <c r="BA207" i="103" s="1"/>
  <c r="AO267" i="22"/>
  <c r="AP267" i="22" s="1"/>
  <c r="R274" i="67"/>
  <c r="CJ266" i="103"/>
  <c r="T33" i="62" l="1"/>
  <c r="O33" i="62"/>
  <c r="M33" i="62"/>
  <c r="R33" i="62"/>
  <c r="S33" i="62" s="1"/>
  <c r="X33" i="62"/>
  <c r="Y33" i="62" s="1"/>
  <c r="U33" i="62"/>
  <c r="W33" i="62"/>
  <c r="Z33" i="62"/>
  <c r="AA33" i="62" s="1"/>
  <c r="V32" i="62"/>
  <c r="A25" i="31"/>
  <c r="B32" i="102"/>
  <c r="C32" i="102" s="1"/>
  <c r="B26" i="31"/>
  <c r="B60" i="31"/>
  <c r="A60" i="31" s="1"/>
  <c r="E32" i="62"/>
  <c r="N32" i="62"/>
  <c r="B34" i="62"/>
  <c r="F33" i="62"/>
  <c r="D33" i="62"/>
  <c r="G33" i="62"/>
  <c r="H33" i="62" s="1"/>
  <c r="C33" i="62"/>
  <c r="I33" i="62"/>
  <c r="J33" i="62" s="1"/>
  <c r="K33" i="62"/>
  <c r="L33" i="62"/>
  <c r="P33" i="62"/>
  <c r="Q33" i="62" s="1"/>
  <c r="CO208" i="103"/>
  <c r="BA208" i="103" s="1"/>
  <c r="I274" i="67"/>
  <c r="AL266" i="103"/>
  <c r="CJ267" i="103"/>
  <c r="AM270" i="22"/>
  <c r="AN270" i="22" s="1"/>
  <c r="AM269" i="103"/>
  <c r="AO268" i="22"/>
  <c r="AP268" i="22" s="1"/>
  <c r="R275" i="67"/>
  <c r="AC266" i="22"/>
  <c r="AD266" i="22" s="1"/>
  <c r="O273" i="67"/>
  <c r="CM209" i="103"/>
  <c r="CG209" i="103" s="1"/>
  <c r="AE269" i="22"/>
  <c r="AF269" i="22" s="1"/>
  <c r="R268" i="58"/>
  <c r="L268" i="58" s="1"/>
  <c r="H268" i="58" s="1"/>
  <c r="CH268" i="103"/>
  <c r="CF268" i="103" s="1"/>
  <c r="AR211" i="103"/>
  <c r="BB210" i="103"/>
  <c r="BD210" i="103"/>
  <c r="T34" i="62" l="1"/>
  <c r="M34" i="62"/>
  <c r="O34" i="62"/>
  <c r="R34" i="62"/>
  <c r="S34" i="62" s="1"/>
  <c r="X34" i="62"/>
  <c r="Y34" i="62" s="1"/>
  <c r="W34" i="62"/>
  <c r="U34" i="62"/>
  <c r="Z34" i="62"/>
  <c r="AA34" i="62" s="1"/>
  <c r="V33" i="62"/>
  <c r="B33" i="102"/>
  <c r="C33" i="102" s="1"/>
  <c r="B27" i="31"/>
  <c r="B61" i="31"/>
  <c r="A61" i="31" s="1"/>
  <c r="A26" i="31"/>
  <c r="E33" i="62"/>
  <c r="N33" i="62"/>
  <c r="B35" i="62"/>
  <c r="G34" i="62"/>
  <c r="H34" i="62" s="1"/>
  <c r="P34" i="62"/>
  <c r="Q34" i="62" s="1"/>
  <c r="K34" i="62"/>
  <c r="F34" i="62"/>
  <c r="I34" i="62"/>
  <c r="J34" i="62" s="1"/>
  <c r="D34" i="62"/>
  <c r="L34" i="62"/>
  <c r="C34" i="62"/>
  <c r="AE270" i="22"/>
  <c r="AF270" i="22" s="1"/>
  <c r="R269" i="58"/>
  <c r="L269" i="58" s="1"/>
  <c r="H269" i="58" s="1"/>
  <c r="CH269" i="103"/>
  <c r="CF269" i="103" s="1"/>
  <c r="CJ268" i="103"/>
  <c r="AM271" i="22"/>
  <c r="AN271" i="22" s="1"/>
  <c r="AM270" i="103"/>
  <c r="I275" i="67"/>
  <c r="AL267" i="103"/>
  <c r="CM210" i="103"/>
  <c r="CG210" i="103" s="1"/>
  <c r="AO269" i="22"/>
  <c r="AP269" i="22" s="1"/>
  <c r="R276" i="67"/>
  <c r="AC267" i="22"/>
  <c r="AD267" i="22" s="1"/>
  <c r="O274" i="67"/>
  <c r="AR212" i="103"/>
  <c r="BB211" i="103"/>
  <c r="BD211" i="103"/>
  <c r="CO209" i="103"/>
  <c r="BA209" i="103" s="1"/>
  <c r="T35" i="62" l="1"/>
  <c r="M35" i="62"/>
  <c r="O35" i="62"/>
  <c r="R35" i="62"/>
  <c r="S35" i="62" s="1"/>
  <c r="X35" i="62"/>
  <c r="Y35" i="62" s="1"/>
  <c r="U35" i="62"/>
  <c r="W35" i="62"/>
  <c r="Z35" i="62"/>
  <c r="AA35" i="62" s="1"/>
  <c r="V34" i="62"/>
  <c r="B34" i="102"/>
  <c r="C34" i="102" s="1"/>
  <c r="B28" i="31"/>
  <c r="B62" i="31"/>
  <c r="A62" i="31" s="1"/>
  <c r="A27" i="31"/>
  <c r="E34" i="62"/>
  <c r="N34" i="62"/>
  <c r="D35" i="62"/>
  <c r="B36" i="62"/>
  <c r="K35" i="62"/>
  <c r="F35" i="62"/>
  <c r="P35" i="62"/>
  <c r="Q35" i="62" s="1"/>
  <c r="I35" i="62"/>
  <c r="J35" i="62" s="1"/>
  <c r="L35" i="62"/>
  <c r="G35" i="62"/>
  <c r="H35" i="62" s="1"/>
  <c r="C35" i="62"/>
  <c r="AM272" i="22"/>
  <c r="AN272" i="22" s="1"/>
  <c r="AM271" i="103"/>
  <c r="I276" i="67"/>
  <c r="AL268" i="103"/>
  <c r="AC268" i="22"/>
  <c r="AD268" i="22" s="1"/>
  <c r="O275" i="67"/>
  <c r="AR213" i="103"/>
  <c r="BB212" i="103"/>
  <c r="BD212" i="103"/>
  <c r="CJ269" i="103"/>
  <c r="AE271" i="22"/>
  <c r="AF271" i="22" s="1"/>
  <c r="R270" i="58"/>
  <c r="L270" i="58" s="1"/>
  <c r="H270" i="58" s="1"/>
  <c r="CH270" i="103"/>
  <c r="CF270" i="103" s="1"/>
  <c r="CO210" i="103"/>
  <c r="BA210" i="103" s="1"/>
  <c r="CM211" i="103"/>
  <c r="CG211" i="103" s="1"/>
  <c r="AO270" i="22"/>
  <c r="AP270" i="22" s="1"/>
  <c r="R277" i="67"/>
  <c r="T36" i="62" l="1"/>
  <c r="M36" i="62"/>
  <c r="O36" i="62"/>
  <c r="R36" i="62"/>
  <c r="S36" i="62" s="1"/>
  <c r="X36" i="62"/>
  <c r="Y36" i="62" s="1"/>
  <c r="W36" i="62"/>
  <c r="U36" i="62"/>
  <c r="Z36" i="62"/>
  <c r="AA36" i="62" s="1"/>
  <c r="E35" i="62"/>
  <c r="V35" i="62"/>
  <c r="B35" i="102"/>
  <c r="C35" i="102" s="1"/>
  <c r="B29" i="31"/>
  <c r="B63" i="31"/>
  <c r="A63" i="31" s="1"/>
  <c r="A28" i="31"/>
  <c r="N35" i="62"/>
  <c r="B37" i="62"/>
  <c r="D36" i="62"/>
  <c r="G36" i="62"/>
  <c r="H36" i="62" s="1"/>
  <c r="K36" i="62"/>
  <c r="C36" i="62"/>
  <c r="P36" i="62"/>
  <c r="Q36" i="62" s="1"/>
  <c r="I36" i="62"/>
  <c r="J36" i="62" s="1"/>
  <c r="L36" i="62"/>
  <c r="F36" i="62"/>
  <c r="CO211" i="103"/>
  <c r="BA211" i="103" s="1"/>
  <c r="AR214" i="103"/>
  <c r="BB213" i="103"/>
  <c r="BD213" i="103"/>
  <c r="AM273" i="22"/>
  <c r="AN273" i="22" s="1"/>
  <c r="AM272" i="103"/>
  <c r="AO271" i="22"/>
  <c r="AP271" i="22" s="1"/>
  <c r="R278" i="67"/>
  <c r="CM212" i="103"/>
  <c r="CG212" i="103" s="1"/>
  <c r="AC269" i="22"/>
  <c r="AD269" i="22" s="1"/>
  <c r="O276" i="67"/>
  <c r="CJ270" i="103"/>
  <c r="AE272" i="22"/>
  <c r="AF272" i="22" s="1"/>
  <c r="R271" i="58"/>
  <c r="L271" i="58" s="1"/>
  <c r="H271" i="58" s="1"/>
  <c r="CH271" i="103"/>
  <c r="CF271" i="103" s="1"/>
  <c r="I277" i="67"/>
  <c r="AL269" i="103"/>
  <c r="T37" i="62" l="1"/>
  <c r="M37" i="62"/>
  <c r="O37" i="62"/>
  <c r="R37" i="62"/>
  <c r="S37" i="62" s="1"/>
  <c r="X37" i="62"/>
  <c r="Y37" i="62" s="1"/>
  <c r="U37" i="62"/>
  <c r="W37" i="62"/>
  <c r="Z37" i="62"/>
  <c r="AA37" i="62" s="1"/>
  <c r="B30" i="31"/>
  <c r="B64" i="31"/>
  <c r="A64" i="31" s="1"/>
  <c r="A29" i="31"/>
  <c r="B36" i="102"/>
  <c r="C36" i="102" s="1"/>
  <c r="V36" i="62"/>
  <c r="N36" i="62"/>
  <c r="B38" i="62"/>
  <c r="D37" i="62"/>
  <c r="G37" i="62"/>
  <c r="H37" i="62" s="1"/>
  <c r="C37" i="62"/>
  <c r="F37" i="62"/>
  <c r="K37" i="62"/>
  <c r="P37" i="62"/>
  <c r="Q37" i="62" s="1"/>
  <c r="I37" i="62"/>
  <c r="J37" i="62" s="1"/>
  <c r="L37" i="62"/>
  <c r="E36" i="62"/>
  <c r="AO272" i="22"/>
  <c r="AP272" i="22" s="1"/>
  <c r="R279" i="67"/>
  <c r="AM274" i="22"/>
  <c r="AN274" i="22" s="1"/>
  <c r="AM273" i="103"/>
  <c r="AE273" i="22"/>
  <c r="AF273" i="22" s="1"/>
  <c r="R272" i="58"/>
  <c r="L272" i="58" s="1"/>
  <c r="H272" i="58" s="1"/>
  <c r="CH272" i="103"/>
  <c r="CF272" i="103" s="1"/>
  <c r="CO212" i="103"/>
  <c r="BA212" i="103" s="1"/>
  <c r="CM213" i="103"/>
  <c r="CG213" i="103" s="1"/>
  <c r="AC270" i="22"/>
  <c r="AD270" i="22" s="1"/>
  <c r="O277" i="67"/>
  <c r="CJ271" i="103"/>
  <c r="I278" i="67"/>
  <c r="AL270" i="103"/>
  <c r="AR215" i="103"/>
  <c r="BB214" i="103"/>
  <c r="BD214" i="103"/>
  <c r="T38" i="62" l="1"/>
  <c r="M38" i="62"/>
  <c r="O38" i="62"/>
  <c r="R38" i="62"/>
  <c r="S38" i="62" s="1"/>
  <c r="X38" i="62"/>
  <c r="Y38" i="62" s="1"/>
  <c r="U38" i="62"/>
  <c r="W38" i="62"/>
  <c r="Z38" i="62"/>
  <c r="AA38" i="62" s="1"/>
  <c r="V37" i="62"/>
  <c r="B65" i="31"/>
  <c r="A65" i="31" s="1"/>
  <c r="A30" i="31"/>
  <c r="B37" i="102"/>
  <c r="C37" i="102" s="1"/>
  <c r="B31" i="31"/>
  <c r="E37" i="62"/>
  <c r="N37" i="62"/>
  <c r="B39" i="62"/>
  <c r="B40" i="62" s="1"/>
  <c r="L38" i="62"/>
  <c r="P38" i="62"/>
  <c r="Q38" i="62" s="1"/>
  <c r="I38" i="62"/>
  <c r="J38" i="62" s="1"/>
  <c r="D38" i="62"/>
  <c r="C38" i="62"/>
  <c r="G38" i="62"/>
  <c r="H38" i="62" s="1"/>
  <c r="K38" i="62"/>
  <c r="F38" i="62"/>
  <c r="AO273" i="22"/>
  <c r="AP273" i="22" s="1"/>
  <c r="R280" i="67"/>
  <c r="AE274" i="22"/>
  <c r="AF274" i="22" s="1"/>
  <c r="R273" i="58"/>
  <c r="L273" i="58" s="1"/>
  <c r="H273" i="58" s="1"/>
  <c r="CH273" i="103"/>
  <c r="CF273" i="103" s="1"/>
  <c r="CJ272" i="103"/>
  <c r="AR216" i="103"/>
  <c r="BB215" i="103"/>
  <c r="BD215" i="103"/>
  <c r="CM214" i="103"/>
  <c r="CG214" i="103" s="1"/>
  <c r="AC271" i="22"/>
  <c r="AD271" i="22" s="1"/>
  <c r="O278" i="67"/>
  <c r="I279" i="67"/>
  <c r="AL271" i="103"/>
  <c r="CO213" i="103"/>
  <c r="BA213" i="103" s="1"/>
  <c r="AM275" i="22"/>
  <c r="AN275" i="22" s="1"/>
  <c r="AM274" i="103"/>
  <c r="B41" i="62" l="1"/>
  <c r="I40" i="62"/>
  <c r="J40" i="62" s="1"/>
  <c r="G40" i="62"/>
  <c r="H40" i="62" s="1"/>
  <c r="C40" i="62"/>
  <c r="F40" i="62"/>
  <c r="D40" i="62"/>
  <c r="M40" i="62"/>
  <c r="K40" i="62"/>
  <c r="L40" i="62"/>
  <c r="O40" i="62"/>
  <c r="R40" i="62"/>
  <c r="S40" i="62" s="1"/>
  <c r="X40" i="62"/>
  <c r="Y40" i="62" s="1"/>
  <c r="W40" i="62"/>
  <c r="T40" i="62"/>
  <c r="U40" i="62"/>
  <c r="P40" i="62"/>
  <c r="Q40" i="62" s="1"/>
  <c r="Z40" i="62"/>
  <c r="AA40" i="62" s="1"/>
  <c r="M39" i="62"/>
  <c r="T39" i="62"/>
  <c r="O39" i="62"/>
  <c r="R39" i="62"/>
  <c r="S39" i="62" s="1"/>
  <c r="X39" i="62"/>
  <c r="U39" i="62"/>
  <c r="W39" i="62"/>
  <c r="Z39" i="62"/>
  <c r="AA39" i="62" s="1"/>
  <c r="A31" i="31"/>
  <c r="B38" i="102"/>
  <c r="C38" i="102" s="1"/>
  <c r="B32" i="31"/>
  <c r="B33" i="31" s="1"/>
  <c r="B66" i="31"/>
  <c r="A66" i="31" s="1"/>
  <c r="V38" i="62"/>
  <c r="N38" i="62"/>
  <c r="E38" i="62"/>
  <c r="I39" i="62"/>
  <c r="J39" i="62" s="1"/>
  <c r="K39" i="62"/>
  <c r="F39" i="62"/>
  <c r="P39" i="62"/>
  <c r="L39" i="62"/>
  <c r="D39" i="62"/>
  <c r="G39" i="62"/>
  <c r="C39" i="62"/>
  <c r="CO214" i="103"/>
  <c r="BA214" i="103" s="1"/>
  <c r="CM215" i="103"/>
  <c r="CG215" i="103" s="1"/>
  <c r="CJ273" i="103"/>
  <c r="AE275" i="22"/>
  <c r="AF275" i="22" s="1"/>
  <c r="R274" i="58"/>
  <c r="L274" i="58" s="1"/>
  <c r="H274" i="58" s="1"/>
  <c r="CH274" i="103"/>
  <c r="CF274" i="103" s="1"/>
  <c r="AR217" i="103"/>
  <c r="BB216" i="103"/>
  <c r="BD216" i="103"/>
  <c r="AO274" i="22"/>
  <c r="AP274" i="22" s="1"/>
  <c r="R281" i="67"/>
  <c r="I280" i="67"/>
  <c r="AL272" i="103"/>
  <c r="AM276" i="22"/>
  <c r="AN276" i="22" s="1"/>
  <c r="AM275" i="103"/>
  <c r="AC272" i="22"/>
  <c r="AD272" i="22" s="1"/>
  <c r="O279" i="67"/>
  <c r="N40" i="62" l="1"/>
  <c r="E40" i="62"/>
  <c r="V40" i="62"/>
  <c r="B42" i="62"/>
  <c r="G41" i="62"/>
  <c r="H41" i="62" s="1"/>
  <c r="C41" i="62"/>
  <c r="I41" i="62"/>
  <c r="J41" i="62" s="1"/>
  <c r="D41" i="62"/>
  <c r="F41" i="62"/>
  <c r="K41" i="62"/>
  <c r="L41" i="62"/>
  <c r="O41" i="62"/>
  <c r="M41" i="62"/>
  <c r="R41" i="62"/>
  <c r="S41" i="62" s="1"/>
  <c r="X41" i="62"/>
  <c r="Y41" i="62" s="1"/>
  <c r="T41" i="62"/>
  <c r="U41" i="62"/>
  <c r="W41" i="62"/>
  <c r="P41" i="62"/>
  <c r="Q41" i="62" s="1"/>
  <c r="Z41" i="62"/>
  <c r="AA41" i="62" s="1"/>
  <c r="B68" i="31"/>
  <c r="B34" i="31"/>
  <c r="H39" i="62"/>
  <c r="Y39" i="62"/>
  <c r="Q39" i="62"/>
  <c r="A33" i="31"/>
  <c r="N39" i="62"/>
  <c r="V39" i="62"/>
  <c r="B39" i="102"/>
  <c r="C39" i="102" s="1"/>
  <c r="B67" i="31"/>
  <c r="A67" i="31" s="1"/>
  <c r="A32" i="31"/>
  <c r="E39" i="62"/>
  <c r="AM277" i="22"/>
  <c r="AN277" i="22" s="1"/>
  <c r="AM276" i="103"/>
  <c r="AR218" i="103"/>
  <c r="BB217" i="103"/>
  <c r="BD217" i="103"/>
  <c r="CJ274" i="103"/>
  <c r="CM216" i="103"/>
  <c r="CG216" i="103" s="1"/>
  <c r="AC273" i="22"/>
  <c r="AD273" i="22" s="1"/>
  <c r="O280" i="67"/>
  <c r="AE276" i="22"/>
  <c r="AF276" i="22" s="1"/>
  <c r="R275" i="58"/>
  <c r="L275" i="58" s="1"/>
  <c r="H275" i="58" s="1"/>
  <c r="CH275" i="103"/>
  <c r="CF275" i="103" s="1"/>
  <c r="AO275" i="22"/>
  <c r="AP275" i="22" s="1"/>
  <c r="R282" i="67"/>
  <c r="I281" i="67"/>
  <c r="AL273" i="103"/>
  <c r="CO215" i="103"/>
  <c r="BA215" i="103" s="1"/>
  <c r="N41" i="62" l="1"/>
  <c r="E41" i="62"/>
  <c r="V41" i="62"/>
  <c r="I42" i="62"/>
  <c r="J42" i="62" s="1"/>
  <c r="G42" i="62"/>
  <c r="H42" i="62" s="1"/>
  <c r="C42" i="62"/>
  <c r="E45" i="62" s="1"/>
  <c r="F42" i="62"/>
  <c r="H45" i="62" s="1"/>
  <c r="D42" i="62"/>
  <c r="M42" i="62"/>
  <c r="K42" i="62"/>
  <c r="N44" i="62" s="1"/>
  <c r="L42" i="62"/>
  <c r="O42" i="62"/>
  <c r="R42" i="62"/>
  <c r="S42" i="62" s="1"/>
  <c r="X42" i="62"/>
  <c r="U42" i="62"/>
  <c r="W42" i="62"/>
  <c r="P42" i="62"/>
  <c r="Q42" i="62" s="1"/>
  <c r="T42" i="62"/>
  <c r="Z42" i="62"/>
  <c r="AA42" i="62" s="1"/>
  <c r="B35" i="31"/>
  <c r="A34" i="31"/>
  <c r="B69" i="31"/>
  <c r="A69" i="31" s="1"/>
  <c r="B40" i="102"/>
  <c r="C40" i="102" s="1"/>
  <c r="A68" i="31"/>
  <c r="CO216" i="103"/>
  <c r="BA216" i="103" s="1"/>
  <c r="AC274" i="22"/>
  <c r="AD274" i="22" s="1"/>
  <c r="O281" i="67"/>
  <c r="CM217" i="103"/>
  <c r="CG217" i="103" s="1"/>
  <c r="AO276" i="22"/>
  <c r="AP276" i="22" s="1"/>
  <c r="R283" i="67"/>
  <c r="I282" i="67"/>
  <c r="AL274" i="103"/>
  <c r="AR219" i="103"/>
  <c r="BB218" i="103"/>
  <c r="BD218" i="103"/>
  <c r="CJ275" i="103"/>
  <c r="AM278" i="22"/>
  <c r="AN278" i="22" s="1"/>
  <c r="AM277" i="103"/>
  <c r="AE277" i="22"/>
  <c r="AF277" i="22" s="1"/>
  <c r="R276" i="58"/>
  <c r="L276" i="58" s="1"/>
  <c r="H276" i="58" s="1"/>
  <c r="CH276" i="103"/>
  <c r="CF276" i="103" s="1"/>
  <c r="S44" i="62" l="1"/>
  <c r="N45" i="62"/>
  <c r="E42" i="62"/>
  <c r="E44" i="62"/>
  <c r="Y42" i="62"/>
  <c r="AA44" i="62"/>
  <c r="H44" i="62"/>
  <c r="AA45" i="62"/>
  <c r="Y44" i="62"/>
  <c r="Y45" i="62"/>
  <c r="J44" i="62"/>
  <c r="Q44" i="62"/>
  <c r="Q45" i="62"/>
  <c r="S45" i="62"/>
  <c r="N42" i="62"/>
  <c r="V42" i="62"/>
  <c r="V45" i="62"/>
  <c r="V44" i="62"/>
  <c r="J45" i="62"/>
  <c r="B70" i="31"/>
  <c r="A70" i="31" s="1"/>
  <c r="B36" i="31"/>
  <c r="A35" i="31"/>
  <c r="B41" i="102"/>
  <c r="C41" i="102" s="1"/>
  <c r="CO217" i="103"/>
  <c r="BA217" i="103" s="1"/>
  <c r="AC275" i="22"/>
  <c r="AD275" i="22" s="1"/>
  <c r="O282" i="67"/>
  <c r="AR220" i="103"/>
  <c r="BB219" i="103"/>
  <c r="BD219" i="103"/>
  <c r="AO277" i="22"/>
  <c r="AP277" i="22" s="1"/>
  <c r="R284" i="67"/>
  <c r="CJ276" i="103"/>
  <c r="AM279" i="22"/>
  <c r="AN279" i="22" s="1"/>
  <c r="AM278" i="103"/>
  <c r="I283" i="67"/>
  <c r="AL275" i="103"/>
  <c r="AE278" i="22"/>
  <c r="AF278" i="22" s="1"/>
  <c r="R277" i="58"/>
  <c r="L277" i="58" s="1"/>
  <c r="H277" i="58" s="1"/>
  <c r="CH277" i="103"/>
  <c r="CF277" i="103" s="1"/>
  <c r="CM218" i="103"/>
  <c r="CG218" i="103" s="1"/>
  <c r="B71" i="31" l="1"/>
  <c r="A36" i="31"/>
  <c r="J11" i="64"/>
  <c r="B42" i="102"/>
  <c r="C42" i="102" s="1"/>
  <c r="AM280" i="22"/>
  <c r="AN280" i="22" s="1"/>
  <c r="AM279" i="103"/>
  <c r="AE279" i="22"/>
  <c r="AF279" i="22" s="1"/>
  <c r="R278" i="58"/>
  <c r="L278" i="58" s="1"/>
  <c r="H278" i="58" s="1"/>
  <c r="CH278" i="103"/>
  <c r="CF278" i="103" s="1"/>
  <c r="CM219" i="103"/>
  <c r="CG219" i="103" s="1"/>
  <c r="I284" i="67"/>
  <c r="AL276" i="103"/>
  <c r="AR221" i="103"/>
  <c r="BB220" i="103"/>
  <c r="BD220" i="103"/>
  <c r="CJ277" i="103"/>
  <c r="CO218" i="103"/>
  <c r="BA218" i="103" s="1"/>
  <c r="AO278" i="22"/>
  <c r="AP278" i="22" s="1"/>
  <c r="R285" i="67"/>
  <c r="AC276" i="22"/>
  <c r="AD276" i="22" s="1"/>
  <c r="O283" i="67"/>
  <c r="A71" i="31" l="1"/>
  <c r="K12" i="64"/>
  <c r="J12" i="64"/>
  <c r="K11" i="64"/>
  <c r="AE280" i="22"/>
  <c r="AF280" i="22" s="1"/>
  <c r="R279" i="58"/>
  <c r="L279" i="58" s="1"/>
  <c r="H279" i="58" s="1"/>
  <c r="CH279" i="103"/>
  <c r="CF279" i="103" s="1"/>
  <c r="CO219" i="103"/>
  <c r="BA219" i="103" s="1"/>
  <c r="AM281" i="22"/>
  <c r="AN281" i="22" s="1"/>
  <c r="AM280" i="103"/>
  <c r="CM220" i="103"/>
  <c r="CG220" i="103" s="1"/>
  <c r="AC277" i="22"/>
  <c r="AD277" i="22" s="1"/>
  <c r="O284" i="67"/>
  <c r="AO279" i="22"/>
  <c r="AP279" i="22" s="1"/>
  <c r="R286" i="67"/>
  <c r="CJ278" i="103"/>
  <c r="I285" i="67"/>
  <c r="AL277" i="103"/>
  <c r="AR222" i="103"/>
  <c r="BB221" i="103"/>
  <c r="BD221" i="103"/>
  <c r="I286" i="67" l="1"/>
  <c r="AL278" i="103"/>
  <c r="AE281" i="22"/>
  <c r="AF281" i="22" s="1"/>
  <c r="R280" i="58"/>
  <c r="L280" i="58" s="1"/>
  <c r="H280" i="58" s="1"/>
  <c r="CH280" i="103"/>
  <c r="CF280" i="103" s="1"/>
  <c r="CM221" i="103"/>
  <c r="CG221" i="103" s="1"/>
  <c r="AC278" i="22"/>
  <c r="AD278" i="22" s="1"/>
  <c r="O285" i="67"/>
  <c r="AM282" i="22"/>
  <c r="AN282" i="22" s="1"/>
  <c r="AM281" i="103"/>
  <c r="AO280" i="22"/>
  <c r="AP280" i="22" s="1"/>
  <c r="R287" i="67"/>
  <c r="CJ279" i="103"/>
  <c r="AR223" i="103"/>
  <c r="BB222" i="103"/>
  <c r="BD222" i="103"/>
  <c r="AR382" i="103"/>
  <c r="CO220" i="103"/>
  <c r="BA220" i="103" s="1"/>
  <c r="AO281" i="22" l="1"/>
  <c r="AP281" i="22" s="1"/>
  <c r="R288" i="67"/>
  <c r="BD223" i="103"/>
  <c r="AR224" i="103"/>
  <c r="BB223" i="103"/>
  <c r="I287" i="67"/>
  <c r="AL279" i="103"/>
  <c r="CM222" i="103"/>
  <c r="CO222" i="103" s="1"/>
  <c r="BB382" i="103"/>
  <c r="CO221" i="103"/>
  <c r="BA221" i="103" s="1"/>
  <c r="AE282" i="22"/>
  <c r="AF282" i="22" s="1"/>
  <c r="R281" i="58"/>
  <c r="L281" i="58" s="1"/>
  <c r="H281" i="58" s="1"/>
  <c r="CH281" i="103"/>
  <c r="CF281" i="103" s="1"/>
  <c r="J165" i="23"/>
  <c r="AC279" i="22"/>
  <c r="AD279" i="22" s="1"/>
  <c r="O286" i="67"/>
  <c r="BD382" i="103"/>
  <c r="AM283" i="22"/>
  <c r="AN283" i="22" s="1"/>
  <c r="AM282" i="103"/>
  <c r="CJ280" i="103"/>
  <c r="I44" i="30" l="1"/>
  <c r="CO382" i="103"/>
  <c r="CM223" i="103"/>
  <c r="CO223" i="103" s="1"/>
  <c r="AR225" i="103"/>
  <c r="BD224" i="103"/>
  <c r="BB224" i="103"/>
  <c r="AO282" i="22"/>
  <c r="AP282" i="22" s="1"/>
  <c r="R289" i="67"/>
  <c r="AE283" i="22"/>
  <c r="AF283" i="22" s="1"/>
  <c r="R282" i="58"/>
  <c r="L282" i="58" s="1"/>
  <c r="H282" i="58" s="1"/>
  <c r="CH282" i="103"/>
  <c r="CF282" i="103" s="1"/>
  <c r="AM284" i="22"/>
  <c r="AN284" i="22" s="1"/>
  <c r="AM283" i="103"/>
  <c r="BY384" i="103"/>
  <c r="CJ281" i="103"/>
  <c r="I288" i="67"/>
  <c r="AL280" i="103"/>
  <c r="AC280" i="22"/>
  <c r="AD280" i="22" s="1"/>
  <c r="O287" i="67"/>
  <c r="O165" i="23"/>
  <c r="P165" i="23" s="1"/>
  <c r="CG222" i="103"/>
  <c r="CM382" i="103"/>
  <c r="BY388" i="103" l="1"/>
  <c r="AC281" i="22"/>
  <c r="AD281" i="22" s="1"/>
  <c r="O288" i="67"/>
  <c r="CM224" i="103"/>
  <c r="CG224" i="103" s="1"/>
  <c r="I289" i="67"/>
  <c r="AL281" i="103"/>
  <c r="AR226" i="103"/>
  <c r="BD225" i="103"/>
  <c r="BB225" i="103"/>
  <c r="AE284" i="22"/>
  <c r="AF284" i="22" s="1"/>
  <c r="R283" i="58"/>
  <c r="CH283" i="103"/>
  <c r="AM384" i="103"/>
  <c r="CG382" i="103"/>
  <c r="BA222" i="103"/>
  <c r="BA382" i="103" s="1"/>
  <c r="AO283" i="22"/>
  <c r="AP283" i="22" s="1"/>
  <c r="R290" i="67"/>
  <c r="CG223" i="103"/>
  <c r="CJ282" i="103"/>
  <c r="E16" i="104" l="1"/>
  <c r="CM225" i="103"/>
  <c r="AR227" i="103"/>
  <c r="BD226" i="103"/>
  <c r="BB226" i="103"/>
  <c r="I290" i="67"/>
  <c r="AL282" i="103"/>
  <c r="AA167" i="23"/>
  <c r="AM388" i="103"/>
  <c r="G121" i="26"/>
  <c r="I121" i="26"/>
  <c r="H121" i="26"/>
  <c r="J121" i="26" s="1"/>
  <c r="F121" i="26"/>
  <c r="AC282" i="22"/>
  <c r="AD282" i="22" s="1"/>
  <c r="O289" i="67"/>
  <c r="CF283" i="103"/>
  <c r="CH384" i="103"/>
  <c r="CH388" i="103" s="1"/>
  <c r="CO224" i="103"/>
  <c r="BA223" i="103"/>
  <c r="CJ283" i="103"/>
  <c r="L283" i="58"/>
  <c r="R397" i="58"/>
  <c r="R401" i="58" s="1"/>
  <c r="R384" i="58"/>
  <c r="R388" i="58" s="1"/>
  <c r="E24" i="104" l="1"/>
  <c r="AC283" i="22"/>
  <c r="AD283" i="22" s="1"/>
  <c r="O290" i="67"/>
  <c r="CM226" i="103"/>
  <c r="CG226" i="103" s="1"/>
  <c r="BA224" i="103"/>
  <c r="AO284" i="22"/>
  <c r="AP284" i="22" s="1"/>
  <c r="CF384" i="103"/>
  <c r="R291" i="67"/>
  <c r="H283" i="58"/>
  <c r="L397" i="58"/>
  <c r="L384" i="58"/>
  <c r="L388" i="58" s="1"/>
  <c r="BD227" i="103"/>
  <c r="AR228" i="103"/>
  <c r="BB227" i="103"/>
  <c r="CG225" i="103"/>
  <c r="I291" i="67"/>
  <c r="I292" i="67" s="1"/>
  <c r="AL283" i="103"/>
  <c r="CJ384" i="103"/>
  <c r="CJ388" i="103" s="1"/>
  <c r="CO225" i="103"/>
  <c r="CF388" i="103" l="1"/>
  <c r="R292" i="67"/>
  <c r="R398" i="67"/>
  <c r="AF7" i="65"/>
  <c r="L401" i="58"/>
  <c r="BA225" i="103"/>
  <c r="H397" i="58"/>
  <c r="H384" i="58"/>
  <c r="H388" i="58" s="1"/>
  <c r="AR229" i="103"/>
  <c r="BD228" i="103"/>
  <c r="BB228" i="103"/>
  <c r="CO226" i="103"/>
  <c r="BA226" i="103" s="1"/>
  <c r="AC284" i="22"/>
  <c r="AD284" i="22" s="1"/>
  <c r="O291" i="67"/>
  <c r="AL384" i="103"/>
  <c r="CM227" i="103"/>
  <c r="CO227" i="103" s="1"/>
  <c r="Y21" i="70" l="1"/>
  <c r="E18" i="104"/>
  <c r="AR230" i="103"/>
  <c r="BD229" i="103"/>
  <c r="BB229" i="103"/>
  <c r="Z167" i="23"/>
  <c r="AL388" i="103"/>
  <c r="O292" i="67"/>
  <c r="O398" i="67"/>
  <c r="H435" i="67" s="1"/>
  <c r="I435" i="67" s="1"/>
  <c r="CM228" i="103"/>
  <c r="CG228" i="103" s="1"/>
  <c r="AF19" i="65"/>
  <c r="H401" i="58"/>
  <c r="CG227" i="103"/>
  <c r="E23" i="104" l="1"/>
  <c r="CO228" i="103"/>
  <c r="BA228" i="103" s="1"/>
  <c r="CM229" i="103"/>
  <c r="CG229" i="103" s="1"/>
  <c r="BA227" i="103"/>
  <c r="BD230" i="103"/>
  <c r="AR231" i="103"/>
  <c r="BB230" i="103"/>
  <c r="C398" i="67"/>
  <c r="L398" i="67"/>
  <c r="H398" i="67"/>
  <c r="E398" i="67"/>
  <c r="N398" i="67"/>
  <c r="C417" i="67"/>
  <c r="I398" i="67"/>
  <c r="Y13" i="70" l="1"/>
  <c r="Y25" i="70" s="1"/>
  <c r="Y16" i="70"/>
  <c r="Y28" i="70" s="1"/>
  <c r="Y19" i="70"/>
  <c r="Y29" i="70" s="1"/>
  <c r="Y15" i="70"/>
  <c r="Y27" i="70" s="1"/>
  <c r="Y20" i="70"/>
  <c r="Y30" i="70" s="1"/>
  <c r="C435" i="67"/>
  <c r="E435" i="67" s="1"/>
  <c r="F435" i="67" s="1"/>
  <c r="C421" i="67"/>
  <c r="AR232" i="103"/>
  <c r="BD231" i="103"/>
  <c r="BB231" i="103"/>
  <c r="CO229" i="103"/>
  <c r="BA229" i="103" s="1"/>
  <c r="N418" i="67"/>
  <c r="Y12" i="70"/>
  <c r="CM230" i="103"/>
  <c r="CO230" i="103" s="1"/>
  <c r="CG230" i="103" l="1"/>
  <c r="Y24" i="70"/>
  <c r="Y31" i="70" s="1"/>
  <c r="Y23" i="70"/>
  <c r="AR233" i="103"/>
  <c r="BD232" i="103"/>
  <c r="BB232" i="103"/>
  <c r="CM231" i="103"/>
  <c r="CG231" i="103" s="1"/>
  <c r="CM232" i="103" l="1"/>
  <c r="CG232" i="103" s="1"/>
  <c r="CO231" i="103"/>
  <c r="BA231" i="103" s="1"/>
  <c r="BD233" i="103"/>
  <c r="AR234" i="103"/>
  <c r="BB233" i="103"/>
  <c r="BA230" i="103"/>
  <c r="CM233" i="103" l="1"/>
  <c r="CG233" i="103" s="1"/>
  <c r="CO232" i="103"/>
  <c r="BA232" i="103" s="1"/>
  <c r="AR235" i="103"/>
  <c r="BD234" i="103"/>
  <c r="BB234" i="103"/>
  <c r="CO233" i="103" l="1"/>
  <c r="BA233" i="103" s="1"/>
  <c r="CM234" i="103"/>
  <c r="CG234" i="103" s="1"/>
  <c r="AR236" i="103"/>
  <c r="BD235" i="103"/>
  <c r="BB235" i="103"/>
  <c r="CO234" i="103" l="1"/>
  <c r="BA234" i="103" s="1"/>
  <c r="CM235" i="103"/>
  <c r="CG235" i="103" s="1"/>
  <c r="AR237" i="103"/>
  <c r="BD236" i="103"/>
  <c r="BB236" i="103"/>
  <c r="CM236" i="103" l="1"/>
  <c r="CG236" i="103" s="1"/>
  <c r="BD237" i="103"/>
  <c r="AR238" i="103"/>
  <c r="BB237" i="103"/>
  <c r="CO235" i="103"/>
  <c r="BA235" i="103" s="1"/>
  <c r="CM237" i="103" l="1"/>
  <c r="CG237" i="103" s="1"/>
  <c r="AR239" i="103"/>
  <c r="BD238" i="103"/>
  <c r="BB238" i="103"/>
  <c r="CO236" i="103"/>
  <c r="BA236" i="103" s="1"/>
  <c r="CO237" i="103" l="1"/>
  <c r="BA237" i="103" s="1"/>
  <c r="CM238" i="103"/>
  <c r="CG238" i="103" s="1"/>
  <c r="AR240" i="103"/>
  <c r="BD239" i="103"/>
  <c r="BB239" i="103"/>
  <c r="CM239" i="103" l="1"/>
  <c r="CG239" i="103" s="1"/>
  <c r="BD240" i="103"/>
  <c r="AR241" i="103"/>
  <c r="BB240" i="103"/>
  <c r="CO238" i="103"/>
  <c r="BA238" i="103" s="1"/>
  <c r="CM240" i="103" l="1"/>
  <c r="CG240" i="103" s="1"/>
  <c r="AR242" i="103"/>
  <c r="BD241" i="103"/>
  <c r="BB241" i="103"/>
  <c r="CO239" i="103"/>
  <c r="BA239" i="103" s="1"/>
  <c r="CO240" i="103" l="1"/>
  <c r="BA240" i="103" s="1"/>
  <c r="CM241" i="103"/>
  <c r="CG241" i="103" s="1"/>
  <c r="AR243" i="103"/>
  <c r="BD242" i="103"/>
  <c r="BB242" i="103"/>
  <c r="CM242" i="103" l="1"/>
  <c r="CG242" i="103" s="1"/>
  <c r="BD243" i="103"/>
  <c r="AR244" i="103"/>
  <c r="BB243" i="103"/>
  <c r="CO241" i="103"/>
  <c r="BA241" i="103" s="1"/>
  <c r="CM243" i="103" l="1"/>
  <c r="CG243" i="103" s="1"/>
  <c r="AR245" i="103"/>
  <c r="BD244" i="103"/>
  <c r="BB244" i="103"/>
  <c r="CO242" i="103"/>
  <c r="BA242" i="103" s="1"/>
  <c r="CO243" i="103" l="1"/>
  <c r="BA243" i="103" s="1"/>
  <c r="CM244" i="103"/>
  <c r="CG244" i="103" s="1"/>
  <c r="AR246" i="103"/>
  <c r="BD245" i="103"/>
  <c r="BB245" i="103"/>
  <c r="CM245" i="103" l="1"/>
  <c r="CG245" i="103" s="1"/>
  <c r="BD246" i="103"/>
  <c r="AR247" i="103"/>
  <c r="BB246" i="103"/>
  <c r="CO244" i="103"/>
  <c r="BA244" i="103" s="1"/>
  <c r="CM246" i="103" l="1"/>
  <c r="CG246" i="103" s="1"/>
  <c r="AR248" i="103"/>
  <c r="BD247" i="103"/>
  <c r="BB247" i="103"/>
  <c r="CO245" i="103"/>
  <c r="BA245" i="103" s="1"/>
  <c r="CM247" i="103" l="1"/>
  <c r="CG247" i="103" s="1"/>
  <c r="AR249" i="103"/>
  <c r="BD248" i="103"/>
  <c r="BB248" i="103"/>
  <c r="CO246" i="103"/>
  <c r="BA246" i="103" s="1"/>
  <c r="CM248" i="103" l="1"/>
  <c r="CG248" i="103" s="1"/>
  <c r="BD249" i="103"/>
  <c r="AR250" i="103"/>
  <c r="BB249" i="103"/>
  <c r="CO247" i="103"/>
  <c r="BA247" i="103" s="1"/>
  <c r="AR251" i="103" l="1"/>
  <c r="BD250" i="103"/>
  <c r="BB250" i="103"/>
  <c r="CM249" i="103"/>
  <c r="CG249" i="103" s="1"/>
  <c r="CO248" i="103"/>
  <c r="BA248" i="103" s="1"/>
  <c r="CO249" i="103" l="1"/>
  <c r="BA249" i="103" s="1"/>
  <c r="CM250" i="103"/>
  <c r="CG250" i="103" s="1"/>
  <c r="AR252" i="103"/>
  <c r="BD251" i="103"/>
  <c r="BB251" i="103"/>
  <c r="CM251" i="103" l="1"/>
  <c r="CG251" i="103" s="1"/>
  <c r="CO250" i="103"/>
  <c r="BA250" i="103" s="1"/>
  <c r="BD252" i="103"/>
  <c r="AR253" i="103"/>
  <c r="BB252" i="103"/>
  <c r="CM252" i="103" l="1"/>
  <c r="CG252" i="103" s="1"/>
  <c r="BD253" i="103"/>
  <c r="BB253" i="103"/>
  <c r="AR383" i="103"/>
  <c r="CO251" i="103"/>
  <c r="BA251" i="103" s="1"/>
  <c r="CO252" i="103" l="1"/>
  <c r="BA252" i="103" s="1"/>
  <c r="CM253" i="103"/>
  <c r="BB383" i="103"/>
  <c r="BB388" i="103" s="1"/>
  <c r="J166" i="23"/>
  <c r="AR388" i="103"/>
  <c r="BD383" i="103"/>
  <c r="O166" i="23" l="1"/>
  <c r="P166" i="23" s="1"/>
  <c r="BD388" i="103"/>
  <c r="CG253" i="103"/>
  <c r="CM383" i="103"/>
  <c r="CM388" i="103" s="1"/>
  <c r="CO253" i="103"/>
  <c r="CO383" i="103" s="1"/>
  <c r="CO388" i="103" s="1"/>
  <c r="CG383" i="103" l="1"/>
  <c r="CG388" i="103" s="1"/>
  <c r="BA253" i="103"/>
  <c r="BA383" i="103" s="1"/>
  <c r="BA388" i="103" s="1"/>
  <c r="BE401" i="7"/>
  <c r="BE403" i="7" s="1"/>
  <c r="W402" i="7"/>
  <c r="W403" i="7" s="1"/>
  <c r="F34" i="64" l="1"/>
  <c r="F40" i="6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c9120348</author>
  </authors>
  <commentList>
    <comment ref="C8" authorId="0" shapeId="0" xr:uid="{00000000-0006-0000-0000-000001000000}">
      <text>
        <r>
          <rPr>
            <sz val="8"/>
            <color indexed="81"/>
            <rFont val="Tahoma"/>
            <family val="2"/>
          </rPr>
          <t>SE INSERTA LA FECHA DEL REPORTE A GENERAR</t>
        </r>
      </text>
    </comment>
    <comment ref="D12" authorId="0" shapeId="0" xr:uid="{00000000-0006-0000-0000-000002000000}">
      <text>
        <r>
          <rPr>
            <sz val="8"/>
            <color indexed="81"/>
            <rFont val="Tahoma"/>
            <family val="2"/>
          </rPr>
          <t xml:space="preserve">SE INSERTA LA FECHA </t>
        </r>
        <r>
          <rPr>
            <b/>
            <sz val="8"/>
            <color indexed="81"/>
            <rFont val="Tahoma"/>
            <family val="2"/>
          </rPr>
          <t>PRIMER</t>
        </r>
        <r>
          <rPr>
            <sz val="8"/>
            <color indexed="81"/>
            <rFont val="Tahoma"/>
            <family val="2"/>
          </rPr>
          <t xml:space="preserve"> DIA DEL MES REPORTE A GENERAR DE OCENSA</t>
        </r>
      </text>
    </comment>
    <comment ref="D13" authorId="0" shapeId="0" xr:uid="{00000000-0006-0000-0000-000003000000}">
      <text>
        <r>
          <rPr>
            <sz val="8"/>
            <color indexed="81"/>
            <rFont val="Tahoma"/>
            <family val="2"/>
          </rPr>
          <t xml:space="preserve">SE INSERTA LA FECHA </t>
        </r>
        <r>
          <rPr>
            <b/>
            <sz val="8"/>
            <color indexed="81"/>
            <rFont val="Tahoma"/>
            <family val="2"/>
          </rPr>
          <t>ULTIMO</t>
        </r>
        <r>
          <rPr>
            <sz val="8"/>
            <color indexed="81"/>
            <rFont val="Tahoma"/>
            <family val="2"/>
          </rPr>
          <t xml:space="preserve">  DIA DEL MES REPORTE A GENERAR DE OCENSA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OP senior</author>
    <author>Ricardo León Ramírez (Stork Technical Services)</author>
  </authors>
  <commentList>
    <comment ref="J1" authorId="0" shapeId="0" xr:uid="{00000000-0006-0000-0100-000001000000}">
      <text>
        <r>
          <rPr>
            <b/>
            <sz val="9"/>
            <color indexed="81"/>
            <rFont val="Tahoma"/>
            <family val="2"/>
          </rPr>
          <t>Sumar al horometro actual 99930 horas acumuladas del ultimo MOH (10-12-2010)</t>
        </r>
        <r>
          <rPr>
            <sz val="9"/>
            <color indexed="81"/>
            <rFont val="Tahoma"/>
            <family val="2"/>
          </rPr>
          <t xml:space="preserve">
 </t>
        </r>
      </text>
    </comment>
    <comment ref="W1" authorId="1" shapeId="0" xr:uid="{00000000-0006-0000-0100-000002000000}">
      <text>
        <r>
          <rPr>
            <sz val="9"/>
            <color indexed="81"/>
            <rFont val="Tahoma"/>
            <family val="2"/>
          </rPr>
          <t xml:space="preserve">08-Nov-2022. Se cambio Multilin SR-489. No paso las pruebas de inyeccion secundaria , a 31-12-202 queda con un hometro 632441,12Mwh  se debe sumar los años siguientes.
</t>
        </r>
      </text>
    </comment>
    <comment ref="X1" authorId="1" shapeId="0" xr:uid="{00000000-0006-0000-0100-000003000000}">
      <text>
        <r>
          <rPr>
            <sz val="9"/>
            <color indexed="81"/>
            <rFont val="Tahoma"/>
            <family val="2"/>
          </rPr>
          <t xml:space="preserve">08-Nov-2022. Se cambio Multilin SR-489. No paso las pruebas de inyeccion secundaria , a 31-12-202 queda con un hometro 335273,29Mvar  se debe sumar los años siguientes.
</t>
        </r>
      </text>
    </comment>
    <comment ref="AG163" authorId="1" shapeId="0" xr:uid="{00000000-0006-0000-0100-000004000000}">
      <text>
        <r>
          <rPr>
            <b/>
            <sz val="9"/>
            <color indexed="81"/>
            <rFont val="Tahoma"/>
            <family val="2"/>
          </rPr>
          <t xml:space="preserve">En el matenimiento de multilin se perdio el acumulado Mwh </t>
        </r>
        <r>
          <rPr>
            <b/>
            <sz val="9"/>
            <color indexed="81"/>
            <rFont val="Tahoma"/>
            <family val="2"/>
          </rPr>
          <t>35604,2</t>
        </r>
      </text>
    </comment>
    <comment ref="AH163" authorId="1" shapeId="0" xr:uid="{00000000-0006-0000-0100-000005000000}">
      <text>
        <r>
          <rPr>
            <b/>
            <sz val="9"/>
            <color indexed="81"/>
            <rFont val="Tahoma"/>
            <family val="2"/>
          </rPr>
          <t>En el matenimiento de multilin se perdio el acumulado Mvar 25381,3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Ricardo León Ramírez (Stork)</author>
    <author>Gonzalo Coronado Nuñez (Stork Masa)</author>
  </authors>
  <commentList>
    <comment ref="AH157" authorId="0" shapeId="0" xr:uid="{00000000-0006-0000-0A00-000001000000}">
      <text>
        <r>
          <rPr>
            <b/>
            <sz val="9"/>
            <color indexed="81"/>
            <rFont val="Tahoma"/>
            <family val="2"/>
          </rPr>
          <t>Ricardo León Ramírez (Stork):</t>
        </r>
        <r>
          <rPr>
            <sz val="9"/>
            <color indexed="81"/>
            <rFont val="Tahoma"/>
            <family val="2"/>
          </rPr>
          <t xml:space="preserve">
Por favor digite aquí el valor del ultimo mes recibido.(generalmente es el del mes anterior al informe)</t>
        </r>
      </text>
    </comment>
    <comment ref="AH159" authorId="1" shapeId="0" xr:uid="{00000000-0006-0000-0A00-000002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0" authorId="1" shapeId="0" xr:uid="{00000000-0006-0000-0A00-000003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1" authorId="1" shapeId="0" xr:uid="{00000000-0006-0000-0A00-000004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2" authorId="1" shapeId="0" xr:uid="{00000000-0006-0000-0A00-000005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3" authorId="1" shapeId="0" xr:uid="{00000000-0006-0000-0A00-000006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4" authorId="1" shapeId="0" xr:uid="{00000000-0006-0000-0A00-000007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5" authorId="1" shapeId="0" xr:uid="{00000000-0006-0000-0A00-000008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6" authorId="1" shapeId="0" xr:uid="{00000000-0006-0000-0A00-000009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7" authorId="1" shapeId="0" xr:uid="{00000000-0006-0000-0A00-00000A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8" authorId="1" shapeId="0" xr:uid="{00000000-0006-0000-0A00-00000B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9" authorId="1" shapeId="0" xr:uid="{00000000-0006-0000-0A00-00000C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70" authorId="1" shapeId="0" xr:uid="{00000000-0006-0000-0A00-00000D00000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c9120348</author>
  </authors>
  <commentList>
    <comment ref="AE10" authorId="0" shapeId="0" xr:uid="{00000000-0006-0000-0D00-000001000000}">
      <text>
        <r>
          <rPr>
            <b/>
            <sz val="8"/>
            <color indexed="81"/>
            <rFont val="Tahoma"/>
            <family val="2"/>
          </rPr>
          <t>c9120348:</t>
        </r>
        <r>
          <rPr>
            <sz val="8"/>
            <color indexed="81"/>
            <rFont val="Tahoma"/>
            <family val="2"/>
          </rPr>
          <t xml:space="preserve">
La S/E JT no tiene medidor de energía dedicado, no podemos tomar el dato para esta.
</t>
        </r>
      </text>
    </comment>
    <comment ref="M11" authorId="0" shapeId="0" xr:uid="{00000000-0006-0000-0D00-000002000000}">
      <text>
        <r>
          <rPr>
            <b/>
            <sz val="8"/>
            <color indexed="81"/>
            <rFont val="Tahoma"/>
            <family val="2"/>
          </rPr>
          <t>c9120348:</t>
        </r>
        <r>
          <rPr>
            <sz val="8"/>
            <color indexed="81"/>
            <rFont val="Tahoma"/>
            <family val="2"/>
          </rPr>
          <t xml:space="preserve">
No tiene medidor de energia.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Jorge Enrique Santos Jimenez (Wood Group Colombia)</author>
  </authors>
  <commentList>
    <comment ref="C33" authorId="0" shapeId="0" xr:uid="{00000000-0006-0000-0E00-000001000000}">
      <text>
        <r>
          <rPr>
            <sz val="8"/>
            <color indexed="81"/>
            <rFont val="Tahoma"/>
            <family val="2"/>
          </rPr>
          <t>Establece cuanta energia contenida en el gas se requiere para generar un kWh de energia electrica</t>
        </r>
      </text>
    </comment>
    <comment ref="I34" authorId="1" shapeId="0" xr:uid="{00000000-0006-0000-0E00-000002000000}">
      <text>
        <r>
          <rPr>
            <b/>
            <sz val="9"/>
            <color indexed="81"/>
            <rFont val="Tahoma"/>
            <family val="2"/>
          </rPr>
          <t>Valor constante de energia/ (BTU/KW) el denominador es el heat rate</t>
        </r>
        <r>
          <rPr>
            <sz val="9"/>
            <color indexed="81"/>
            <rFont val="Tahoma"/>
            <family val="2"/>
          </rPr>
          <t xml:space="preserve">
</t>
        </r>
      </text>
    </comment>
    <comment ref="J34" authorId="1" shapeId="0" xr:uid="{00000000-0006-0000-0E00-000003000000}">
      <text>
        <r>
          <rPr>
            <b/>
            <sz val="9"/>
            <color indexed="81"/>
            <rFont val="Tahoma"/>
            <family val="2"/>
          </rPr>
          <t>Valor constante de energia/ (BTU/KW) el denominador es el heat rate</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author>
    <author>Gonzalo Coronado Nuñez (Stork Masa)</author>
  </authors>
  <commentList>
    <comment ref="M8" authorId="0" shapeId="0" xr:uid="{00000000-0006-0000-0F00-000001000000}">
      <text>
        <r>
          <rPr>
            <sz val="9"/>
            <color indexed="81"/>
            <rFont val="Tahoma"/>
            <family val="2"/>
          </rPr>
          <t xml:space="preserve">Este es el valor real de consumo sin embargo por el tema comercial con Ocensa es del 12%
</t>
        </r>
      </text>
    </comment>
    <comment ref="P8" authorId="0" shapeId="0" xr:uid="{00000000-0006-0000-0F00-000002000000}">
      <text>
        <r>
          <rPr>
            <sz val="9"/>
            <color indexed="81"/>
            <rFont val="Tahoma"/>
            <family val="2"/>
          </rPr>
          <t xml:space="preserve">Este es el valor real de consumo sin embargo por el tema comercial con Ocensa es del 12%
</t>
        </r>
      </text>
    </comment>
    <comment ref="S8" authorId="0" shapeId="0" xr:uid="{00000000-0006-0000-0F00-000003000000}">
      <text>
        <r>
          <rPr>
            <sz val="9"/>
            <color indexed="81"/>
            <rFont val="Tahoma"/>
            <family val="2"/>
          </rPr>
          <t xml:space="preserve">Este es el valor real de consumo sin embargo por el tema comercial con Ocensa es del 12%
</t>
        </r>
      </text>
    </comment>
    <comment ref="V8" authorId="0" shapeId="0" xr:uid="{00000000-0006-0000-0F00-000004000000}">
      <text>
        <r>
          <rPr>
            <sz val="9"/>
            <color indexed="81"/>
            <rFont val="Tahoma"/>
            <family val="2"/>
          </rPr>
          <t xml:space="preserve">Este es el valor real de consumo sin embargo por el tema comercial con Ocensa es del 12%
</t>
        </r>
      </text>
    </comment>
    <comment ref="Y8" authorId="0" shapeId="0" xr:uid="{00000000-0006-0000-0F00-000005000000}">
      <text>
        <r>
          <rPr>
            <sz val="9"/>
            <color indexed="81"/>
            <rFont val="Tahoma"/>
            <family val="2"/>
          </rPr>
          <t xml:space="preserve">Este es el valor real de consumo sin embargo por el tema comercial con Ocensa es del 12%
</t>
        </r>
      </text>
    </comment>
    <comment ref="AE8" authorId="0" shapeId="0" xr:uid="{00000000-0006-0000-0F00-000006000000}">
      <text>
        <r>
          <rPr>
            <sz val="9"/>
            <color indexed="81"/>
            <rFont val="Tahoma"/>
            <family val="2"/>
          </rPr>
          <t xml:space="preserve">Este es el valor real de consumo sin embargo por el tema comercial con Ocensa es del 12%
</t>
        </r>
      </text>
    </comment>
    <comment ref="AH8" authorId="0" shapeId="0" xr:uid="{00000000-0006-0000-0F00-000007000000}">
      <text>
        <r>
          <rPr>
            <sz val="9"/>
            <color indexed="81"/>
            <rFont val="Tahoma"/>
            <family val="2"/>
          </rPr>
          <t xml:space="preserve">Este es el valor real de consumo sin embargo por el tema comercial con Ocensa es del 12%
</t>
        </r>
      </text>
    </comment>
    <comment ref="AK8" authorId="0" shapeId="0" xr:uid="{00000000-0006-0000-0F00-000008000000}">
      <text>
        <r>
          <rPr>
            <sz val="9"/>
            <color indexed="81"/>
            <rFont val="Tahoma"/>
            <family val="2"/>
          </rPr>
          <t xml:space="preserve">Este es el valor real de consumo sin embargo por el tema comercial con Ocensa es del 12%
</t>
        </r>
      </text>
    </comment>
    <comment ref="AN8" authorId="0" shapeId="0" xr:uid="{00000000-0006-0000-0F00-000009000000}">
      <text>
        <r>
          <rPr>
            <sz val="9"/>
            <color indexed="81"/>
            <rFont val="Tahoma"/>
            <family val="2"/>
          </rPr>
          <t xml:space="preserve">Este es el valor real de consumo sin embargo por el tema comercial con Ocensa es del 12%
</t>
        </r>
      </text>
    </comment>
    <comment ref="F20" authorId="1" shapeId="0" xr:uid="{00000000-0006-0000-0F00-00000A000000}">
      <text>
        <r>
          <rPr>
            <sz val="9"/>
            <color indexed="81"/>
            <rFont val="Tahoma"/>
            <family val="2"/>
          </rPr>
          <t xml:space="preserve">Se le debe sumar la energía del US-G-8005
</t>
        </r>
      </text>
    </comment>
    <comment ref="F21" authorId="1" shapeId="0" xr:uid="{00000000-0006-0000-0F00-00000B000000}">
      <text>
        <r>
          <rPr>
            <sz val="9"/>
            <color indexed="81"/>
            <rFont val="Tahoma"/>
            <family val="2"/>
          </rPr>
          <t xml:space="preserve">En estos momentos como el transformador US-TR-8005 se encuentra abierto se debe sumar. También se debe restar los auxiliares de los turbogeneradores.
</t>
        </r>
      </text>
    </comment>
    <comment ref="AH21" authorId="1" shapeId="0" xr:uid="{00000000-0006-0000-0F00-00000C000000}">
      <text>
        <r>
          <rPr>
            <b/>
            <sz val="9"/>
            <color indexed="81"/>
            <rFont val="Tahoma"/>
            <family val="2"/>
          </rPr>
          <t>De acuerdo a formula</t>
        </r>
        <r>
          <rPr>
            <sz val="9"/>
            <color indexed="81"/>
            <rFont val="Tahoma"/>
            <family val="2"/>
          </rPr>
          <t xml:space="preserve">
</t>
        </r>
      </text>
    </comment>
    <comment ref="AK21" authorId="1" shapeId="0" xr:uid="{00000000-0006-0000-0F00-00000D000000}">
      <text>
        <r>
          <rPr>
            <b/>
            <sz val="9"/>
            <color indexed="81"/>
            <rFont val="Tahoma"/>
            <family val="2"/>
          </rPr>
          <t>De acuerdo a formula</t>
        </r>
        <r>
          <rPr>
            <sz val="9"/>
            <color indexed="81"/>
            <rFont val="Tahoma"/>
            <family val="2"/>
          </rPr>
          <t xml:space="preserve">
</t>
        </r>
      </text>
    </comment>
    <comment ref="AN21" authorId="1" shapeId="0" xr:uid="{00000000-0006-0000-0F00-00000E000000}">
      <text>
        <r>
          <rPr>
            <b/>
            <sz val="9"/>
            <color indexed="81"/>
            <rFont val="Tahoma"/>
            <family val="2"/>
          </rPr>
          <t>De acuerdo a formula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c9120348</author>
    <author>Ricardo León Ramírez (Stork Technical Services)</author>
    <author>Gonzalo Coronado Nuñez (Stork Masa)</author>
    <author>Ricardo León Ramírez (Stork)</author>
  </authors>
  <commentList>
    <comment ref="O7" authorId="0" shapeId="0" xr:uid="{00000000-0006-0000-1000-000001000000}">
      <text>
        <r>
          <rPr>
            <b/>
            <sz val="8"/>
            <color indexed="81"/>
            <rFont val="Tahoma"/>
            <family val="2"/>
          </rPr>
          <t>c9120348:</t>
        </r>
        <r>
          <rPr>
            <sz val="8"/>
            <color indexed="81"/>
            <rFont val="Tahoma"/>
            <family val="2"/>
          </rPr>
          <t xml:space="preserve">
Maximo consumo
 anual</t>
        </r>
      </text>
    </comment>
    <comment ref="E21" authorId="1" shapeId="0" xr:uid="{00000000-0006-0000-1000-000002000000}">
      <text>
        <r>
          <rPr>
            <sz val="9"/>
            <color indexed="81"/>
            <rFont val="Tahoma"/>
            <family val="2"/>
          </rPr>
          <t>PPP 25-03 al 08-04</t>
        </r>
      </text>
    </comment>
    <comment ref="F21" authorId="2" shapeId="0" xr:uid="{00000000-0006-0000-1000-000003000000}">
      <text>
        <r>
          <rPr>
            <sz val="9"/>
            <color indexed="81"/>
            <rFont val="Tahoma"/>
            <family val="2"/>
          </rPr>
          <t>PPP 25-03 al 08-04</t>
        </r>
      </text>
    </comment>
    <comment ref="J22" authorId="2" shapeId="0" xr:uid="{00000000-0006-0000-1000-000004000000}">
      <text>
        <r>
          <rPr>
            <sz val="9"/>
            <color indexed="81"/>
            <rFont val="Tahoma"/>
            <family val="2"/>
          </rPr>
          <t>Mantto KTB-2701 27000 Hrs 01 al 07</t>
        </r>
      </text>
    </comment>
    <comment ref="M22" authorId="2" shapeId="0" xr:uid="{00000000-0006-0000-1000-000005000000}">
      <text>
        <r>
          <rPr>
            <b/>
            <sz val="9"/>
            <color indexed="81"/>
            <rFont val="Tahoma"/>
            <family val="2"/>
          </rPr>
          <t>Gonzalo Coronado Nuñez (Stork Masa):</t>
        </r>
        <r>
          <rPr>
            <sz val="9"/>
            <color indexed="81"/>
            <rFont val="Tahoma"/>
            <family val="2"/>
          </rPr>
          <t xml:space="preserve">
Dia 27-11-2016 a las 12:29 Problemas unidades Fuel gas por falla torres de secado compresores aire de instrumentos, parada turbinas de reinyección planta de gas y Demag 2. Turbogeneradores conmutaron a diesel.
</t>
        </r>
      </text>
    </comment>
    <comment ref="H23" authorId="2" shapeId="0" xr:uid="{00000000-0006-0000-1000-000006000000}">
      <text>
        <r>
          <rPr>
            <sz val="9"/>
            <color indexed="81"/>
            <rFont val="Tahoma"/>
            <family val="2"/>
          </rPr>
          <t>Sale KM-2101(4 veces)
Sale KM-2501 (3 veces)</t>
        </r>
      </text>
    </comment>
    <comment ref="N23" authorId="2" shapeId="0" xr:uid="{00000000-0006-0000-1000-000007000000}">
      <text>
        <r>
          <rPr>
            <sz val="9"/>
            <color indexed="81"/>
            <rFont val="Tahoma"/>
            <family val="2"/>
          </rPr>
          <t>Blackout de Generación 13-12</t>
        </r>
      </text>
    </comment>
    <comment ref="C24" authorId="3" shapeId="0" xr:uid="{00000000-0006-0000-1000-000008000000}">
      <text>
        <r>
          <rPr>
            <sz val="9"/>
            <color indexed="81"/>
            <rFont val="Tahoma"/>
            <family val="2"/>
          </rPr>
          <t xml:space="preserve">PPP ENERO 10 al 26
</t>
        </r>
      </text>
    </comment>
    <comment ref="F24" authorId="3" shapeId="0" xr:uid="{00000000-0006-0000-1000-000009000000}">
      <text>
        <r>
          <rPr>
            <sz val="9"/>
            <color indexed="81"/>
            <rFont val="Tahoma"/>
            <family val="2"/>
          </rPr>
          <t>MOH US-GT-8001 12-03 al 16-04</t>
        </r>
      </text>
    </comment>
    <comment ref="M24" authorId="3" shapeId="0" xr:uid="{00000000-0006-0000-1000-00000A000000}">
      <text>
        <r>
          <rPr>
            <sz val="9"/>
            <color indexed="81"/>
            <rFont val="Tahoma"/>
            <family val="2"/>
          </rPr>
          <t>MOH US-GT-8002 del 20-11 al 13-12</t>
        </r>
      </text>
    </comment>
    <comment ref="G25" authorId="3" shapeId="0" xr:uid="{00000000-0006-0000-1000-00000B000000}">
      <text>
        <r>
          <rPr>
            <sz val="9"/>
            <color indexed="81"/>
            <rFont val="Tahoma"/>
            <family val="2"/>
          </rPr>
          <t>MOH KTB-2701 del 16-05 al 05-06</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Administrador</author>
    <author>Ricardo León Ramírez (Stork)</author>
  </authors>
  <commentList>
    <comment ref="C29" authorId="0" shapeId="0" xr:uid="{00000000-0006-0000-1100-000001000000}">
      <text>
        <r>
          <rPr>
            <b/>
            <sz val="18"/>
            <color indexed="81"/>
            <rFont val="Tahoma"/>
            <family val="2"/>
          </rPr>
          <t>KM-2101  
EL KM-1101 SE ENCUENTRA F/S</t>
        </r>
      </text>
    </comment>
    <comment ref="C65" authorId="0" shapeId="0" xr:uid="{00000000-0006-0000-1100-000002000000}">
      <text>
        <r>
          <rPr>
            <b/>
            <sz val="18"/>
            <color indexed="81"/>
            <rFont val="Tahoma"/>
            <family val="2"/>
          </rPr>
          <t>US-TR-8002</t>
        </r>
      </text>
    </comment>
    <comment ref="C77" authorId="0" shapeId="0" xr:uid="{00000000-0006-0000-1100-000003000000}">
      <text>
        <r>
          <rPr>
            <b/>
            <sz val="18"/>
            <color indexed="81"/>
            <rFont val="Tahoma"/>
            <family val="2"/>
          </rPr>
          <t>US-TR-8004/3</t>
        </r>
      </text>
    </comment>
    <comment ref="C89" authorId="0" shapeId="0" xr:uid="{00000000-0006-0000-1100-000004000000}">
      <text>
        <r>
          <rPr>
            <b/>
            <sz val="8"/>
            <color indexed="81"/>
            <rFont val="Tahoma"/>
            <family val="2"/>
          </rPr>
          <t>Valores muy bajos, no se registran en el multilin</t>
        </r>
        <r>
          <rPr>
            <sz val="8"/>
            <color indexed="81"/>
            <rFont val="Tahoma"/>
            <family val="2"/>
          </rPr>
          <t xml:space="preserve">
</t>
        </r>
      </text>
    </comment>
    <comment ref="C101" authorId="0" shapeId="0" xr:uid="{00000000-0006-0000-1100-000005000000}">
      <text>
        <r>
          <rPr>
            <b/>
            <sz val="8"/>
            <color indexed="81"/>
            <rFont val="Tahoma"/>
            <family val="2"/>
          </rPr>
          <t>KM-2501, VALOR SOLAMENTE DEL MOTOR DEL COMPRESOR DE GAS ACIDO</t>
        </r>
        <r>
          <rPr>
            <sz val="8"/>
            <color indexed="81"/>
            <rFont val="Tahoma"/>
            <family val="2"/>
          </rPr>
          <t xml:space="preserve">
</t>
        </r>
      </text>
    </comment>
    <comment ref="C113" authorId="0" shapeId="0" xr:uid="{00000000-0006-0000-1100-000006000000}">
      <text>
        <r>
          <rPr>
            <b/>
            <sz val="8"/>
            <color indexed="81"/>
            <rFont val="Tahoma"/>
            <family val="2"/>
          </rPr>
          <t>Valores muy bajos, no se registran en el multilin</t>
        </r>
      </text>
    </comment>
    <comment ref="C125" authorId="0" shapeId="0" xr:uid="{00000000-0006-0000-1100-000007000000}">
      <text>
        <r>
          <rPr>
            <b/>
            <sz val="8"/>
            <color indexed="81"/>
            <rFont val="Tahoma"/>
            <family val="2"/>
          </rPr>
          <t>No se lleva esta informacion debido a que el multilin registra cero (0) consumo muy bajo</t>
        </r>
      </text>
    </comment>
    <comment ref="L149" authorId="1" shapeId="0" xr:uid="{00000000-0006-0000-1100-000008000000}">
      <text>
        <r>
          <rPr>
            <b/>
            <sz val="9"/>
            <color indexed="81"/>
            <rFont val="Tahoma"/>
            <family val="2"/>
          </rPr>
          <t>Ricardo León Ramírez (Stork):</t>
        </r>
        <r>
          <rPr>
            <sz val="9"/>
            <color indexed="81"/>
            <rFont val="Tahoma"/>
            <family val="2"/>
          </rPr>
          <t xml:space="preserve">
29-06-18/Se levanta generador, la Facilidad esta fuera de línea por decomisionamiento</t>
        </r>
      </text>
    </comment>
    <comment ref="L173" authorId="1" shapeId="0" xr:uid="{00000000-0006-0000-1100-000009000000}">
      <text>
        <r>
          <rPr>
            <b/>
            <sz val="9"/>
            <color indexed="81"/>
            <rFont val="Tahoma"/>
            <family val="2"/>
          </rPr>
          <t>Ricardo León Ramírez (Stork):</t>
        </r>
        <r>
          <rPr>
            <sz val="9"/>
            <color indexed="81"/>
            <rFont val="Tahoma"/>
            <family val="2"/>
          </rPr>
          <t xml:space="preserve">
29-06-18/Se levanta generador, la Facilidad esta fuera de línea por decomisionamiento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Diana Marelvy Jara Garzon</author>
  </authors>
  <commentList>
    <comment ref="G1" authorId="0" shapeId="0" xr:uid="{00000000-0006-0000-1300-000001000000}">
      <text>
        <r>
          <rPr>
            <b/>
            <sz val="9"/>
            <color indexed="81"/>
            <rFont val="Tahoma"/>
            <family val="2"/>
          </rPr>
          <t xml:space="preserve">Ceco de generacion PR1059-O, dividido en 17  procesos. (20que tienen cecos-gx,pozos, los que tienen cero)
</t>
        </r>
      </text>
    </comment>
    <comment ref="B6" authorId="1" shapeId="0" xr:uid="{00000000-0006-0000-1300-000002000000}">
      <text>
        <r>
          <rPr>
            <b/>
            <sz val="9"/>
            <color indexed="81"/>
            <rFont val="Tahoma"/>
            <family val="2"/>
          </rPr>
          <t xml:space="preserve">Diana Marelvy Jara Garzon:
</t>
        </r>
        <r>
          <rPr>
            <sz val="10"/>
            <color indexed="81"/>
            <rFont val="Tahoma"/>
            <family val="2"/>
          </rPr>
          <t>Se Entiende Activo como : la suma de campos definidos dentro de cada Gerencia.</t>
        </r>
      </text>
    </comment>
    <comment ref="F21" authorId="0" shapeId="0" xr:uid="{00000000-0006-0000-1300-000003000000}">
      <text>
        <r>
          <rPr>
            <sz val="9"/>
            <color indexed="81"/>
            <rFont val="Tahoma"/>
            <family val="2"/>
          </rPr>
          <t xml:space="preserve">Proyecto de recuperación de condensados.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Gonzalo Coronado Nuñez (Stork Masa)</author>
    <author>Ricardo León Ramírez (Stork)</author>
    <author>Ricardo León Ramírez (Stork Technical Services)</author>
  </authors>
  <commentList>
    <comment ref="B8" authorId="0" shapeId="0" xr:uid="{00000000-0006-0000-1600-000001000000}">
      <text>
        <r>
          <rPr>
            <b/>
            <sz val="9"/>
            <color indexed="81"/>
            <rFont val="Tahoma"/>
            <family val="2"/>
          </rPr>
          <t>Edwing Gómez (Stork Masa):</t>
        </r>
        <r>
          <rPr>
            <sz val="9"/>
            <color indexed="81"/>
            <rFont val="Tahoma"/>
            <family val="2"/>
          </rPr>
          <t xml:space="preserve">
Cambiar la fecha del mes que se requiera para el cálculo
</t>
        </r>
      </text>
    </comment>
    <comment ref="M8" authorId="1" shapeId="0" xr:uid="{00000000-0006-0000-1600-000002000000}">
      <text>
        <r>
          <rPr>
            <b/>
            <sz val="9"/>
            <color indexed="81"/>
            <rFont val="Tahoma"/>
            <family val="2"/>
          </rPr>
          <t xml:space="preserve">Ricardo León Ramírez (Stork):
</t>
        </r>
        <r>
          <rPr>
            <sz val="9"/>
            <color indexed="81"/>
            <rFont val="Tahoma"/>
            <family val="2"/>
          </rPr>
          <t>La energia de este ceco ya se esta teniendo en cuenta en el ceco PR1013(SEPARACIÓN - Sistema Separación T2). 
Por lo que no se debe tener en cuenta en el total.</t>
        </r>
      </text>
    </comment>
    <comment ref="O9" authorId="1" shapeId="0" xr:uid="{00000000-0006-0000-1600-000003000000}">
      <text>
        <r>
          <rPr>
            <b/>
            <sz val="9"/>
            <color indexed="81"/>
            <rFont val="Tahoma"/>
            <family val="2"/>
          </rPr>
          <t>Cambiar numero del ceco por PR4182</t>
        </r>
      </text>
    </comment>
    <comment ref="F389" authorId="2" shapeId="0" xr:uid="{00000000-0006-0000-1600-000004000000}">
      <text>
        <r>
          <rPr>
            <b/>
            <sz val="9"/>
            <color indexed="81"/>
            <rFont val="Tahoma"/>
            <family val="2"/>
          </rPr>
          <t xml:space="preserve">Gonzalo Coronado Nuñez (Stork Masa):
</t>
        </r>
        <r>
          <rPr>
            <sz val="9"/>
            <color indexed="81"/>
            <rFont val="Tahoma"/>
            <family val="2"/>
          </rPr>
          <t>Energía de la URG y VRU de Separación.
Se descuenta del proceso de separación.
Se calcula por tiempos de 24 horas y depende del número de dias del mes 30 o 31.</t>
        </r>
      </text>
    </comment>
    <comment ref="G389" authorId="2" shapeId="0" xr:uid="{00000000-0006-0000-1600-000005000000}">
      <text>
        <r>
          <rPr>
            <b/>
            <sz val="9"/>
            <color indexed="81"/>
            <rFont val="Tahoma"/>
            <family val="2"/>
          </rPr>
          <t xml:space="preserve">Gonzalo Coronado Nuñez (Stork Masa):
</t>
        </r>
        <r>
          <rPr>
            <sz val="9"/>
            <color indexed="81"/>
            <rFont val="Tahoma"/>
            <family val="2"/>
          </rPr>
          <t xml:space="preserve">No hay equipos asociados al sistema que tengan consumo.
</t>
        </r>
      </text>
    </comment>
    <comment ref="J389" authorId="2" shapeId="0" xr:uid="{00000000-0006-0000-1600-000006000000}">
      <text>
        <r>
          <rPr>
            <b/>
            <sz val="9"/>
            <color indexed="81"/>
            <rFont val="Tahoma"/>
            <family val="2"/>
          </rPr>
          <t xml:space="preserve">Gonzalo Coronado Nuñez (Stork Masa):
</t>
        </r>
        <r>
          <rPr>
            <sz val="9"/>
            <color indexed="81"/>
            <rFont val="Tahoma"/>
            <family val="2"/>
          </rPr>
          <t xml:space="preserve">No hay equipos asociados al sistema que tengan consumo.
</t>
        </r>
      </text>
    </comment>
    <comment ref="O389" authorId="2" shapeId="0" xr:uid="{00000000-0006-0000-1600-000007000000}">
      <text>
        <r>
          <rPr>
            <b/>
            <sz val="9"/>
            <color indexed="81"/>
            <rFont val="Tahoma"/>
            <family val="2"/>
          </rPr>
          <t xml:space="preserve">Gonzalo Coronado Nuñez (Stork Masa):
</t>
        </r>
        <r>
          <rPr>
            <sz val="9"/>
            <color indexed="81"/>
            <rFont val="Tahoma"/>
            <family val="2"/>
          </rPr>
          <t>A la energía del contador de la subestación principal, se debe restar la unit, aires acondicionados, Compresor de nitrogeno y aire de instrumentos. También se le suma el porcentaje para cada ceco.</t>
        </r>
      </text>
    </comment>
    <comment ref="F410" authorId="0" shapeId="0" xr:uid="{00000000-0006-0000-1600-000008000000}">
      <text>
        <r>
          <rPr>
            <b/>
            <sz val="9"/>
            <color indexed="81"/>
            <rFont val="Tahoma"/>
            <family val="2"/>
          </rPr>
          <t>Gonzalo Coronado Nuñez (Stork Masa):</t>
        </r>
        <r>
          <rPr>
            <sz val="9"/>
            <color indexed="81"/>
            <rFont val="Tahoma"/>
            <family val="2"/>
          </rPr>
          <t xml:space="preserve">
Dato tomado con las corrientes desde MCC. Trenes 1 y 2 de Separación de Crudo X24X31</t>
        </r>
      </text>
    </comment>
    <comment ref="H410" authorId="0" shapeId="0" xr:uid="{00000000-0006-0000-1600-000009000000}">
      <text>
        <r>
          <rPr>
            <b/>
            <sz val="9"/>
            <color indexed="81"/>
            <rFont val="Tahoma"/>
            <family val="2"/>
          </rPr>
          <t>Gonzalo Coronado Nuñez (Stork Masa):</t>
        </r>
        <r>
          <rPr>
            <sz val="9"/>
            <color indexed="81"/>
            <rFont val="Tahoma"/>
            <family val="2"/>
          </rPr>
          <t xml:space="preserve">
Dato tomado corrientes MCC-8007. X24X31
</t>
        </r>
      </text>
    </comment>
    <comment ref="F411" authorId="0" shapeId="0" xr:uid="{00000000-0006-0000-1600-00000A000000}">
      <text>
        <r>
          <rPr>
            <b/>
            <sz val="9"/>
            <color indexed="81"/>
            <rFont val="Tahoma"/>
            <family val="2"/>
          </rPr>
          <t xml:space="preserve">Gonzalo Coronado Nuñez (Stork Masa):
</t>
        </r>
        <r>
          <rPr>
            <sz val="9"/>
            <color indexed="81"/>
            <rFont val="Tahoma"/>
            <family val="2"/>
          </rPr>
          <t xml:space="preserve">Dato tomado con las corrientes desde MCC. Trenes 1 y 2 de Separación de Crudo X24X30
</t>
        </r>
      </text>
    </comment>
    <comment ref="H411" authorId="0" shapeId="0" xr:uid="{00000000-0006-0000-1600-00000B000000}">
      <text>
        <r>
          <rPr>
            <b/>
            <sz val="9"/>
            <color indexed="81"/>
            <rFont val="Tahoma"/>
            <family val="2"/>
          </rPr>
          <t>Gonzalo Coronado Nuñez (Stork Masa):</t>
        </r>
        <r>
          <rPr>
            <sz val="9"/>
            <color indexed="81"/>
            <rFont val="Tahoma"/>
            <family val="2"/>
          </rPr>
          <t xml:space="preserve">
Dato tomado corrientes MCC-8007. X24X31</t>
        </r>
      </text>
    </comment>
    <comment ref="D425" authorId="2" shapeId="0" xr:uid="{00000000-0006-0000-1600-00000C000000}">
      <text>
        <r>
          <rPr>
            <b/>
            <sz val="9"/>
            <color indexed="81"/>
            <rFont val="Tahoma"/>
            <family val="2"/>
          </rPr>
          <t xml:space="preserve">Gonzalo Coronado Nuñez (Stork Masa):
</t>
        </r>
        <r>
          <rPr>
            <sz val="9"/>
            <color indexed="81"/>
            <rFont val="Tahoma"/>
            <family val="2"/>
          </rPr>
          <t xml:space="preserve">Este porcentaje se saca estimando la energía que aporta al proceso general de la planta .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Gonzalo Coronado Nuñez (Stork Masa)</author>
  </authors>
  <commentList>
    <comment ref="I9" authorId="0" shapeId="0" xr:uid="{00000000-0006-0000-1700-000001000000}">
      <text>
        <r>
          <rPr>
            <sz val="9"/>
            <color indexed="81"/>
            <rFont val="Tahoma"/>
            <family val="2"/>
          </rPr>
          <t>TRATAMIENTO
Estación de tratamiento CPF Cupiagua</t>
        </r>
      </text>
    </comment>
    <comment ref="J9" authorId="0" shapeId="0" xr:uid="{00000000-0006-0000-1700-000002000000}">
      <text>
        <r>
          <rPr>
            <sz val="9"/>
            <color indexed="81"/>
            <rFont val="Tahoma"/>
            <family val="2"/>
          </rPr>
          <t xml:space="preserve">
TRATAMIENTO
Facilidades de compresión</t>
        </r>
      </text>
    </comment>
    <comment ref="L9" authorId="0" shapeId="0" xr:uid="{00000000-0006-0000-1700-000003000000}">
      <text>
        <r>
          <rPr>
            <b/>
            <sz val="9"/>
            <color indexed="81"/>
            <rFont val="Tahoma"/>
            <family val="2"/>
          </rPr>
          <t>Gonzalo Coronado Nuñez (Stork Masa):</t>
        </r>
        <r>
          <rPr>
            <sz val="9"/>
            <color indexed="81"/>
            <rFont val="Tahoma"/>
            <family val="2"/>
          </rPr>
          <t xml:space="preserve">
</t>
        </r>
        <r>
          <rPr>
            <b/>
            <sz val="9"/>
            <color indexed="81"/>
            <rFont val="Tahoma"/>
            <family val="2"/>
          </rPr>
          <t>PLANTA DE GAS PR4181</t>
        </r>
        <r>
          <rPr>
            <sz val="9"/>
            <color indexed="81"/>
            <rFont val="Tahoma"/>
            <family val="2"/>
          </rPr>
          <t xml:space="preserve">
</t>
        </r>
        <r>
          <rPr>
            <b/>
            <sz val="9"/>
            <color indexed="81"/>
            <rFont val="Tahoma"/>
            <family val="2"/>
          </rPr>
          <t xml:space="preserve">PR4183: </t>
        </r>
        <r>
          <rPr>
            <sz val="9"/>
            <color indexed="81"/>
            <rFont val="Tahoma"/>
            <family val="2"/>
          </rPr>
          <t xml:space="preserve">Sistema de separación y tratamiento
</t>
        </r>
        <r>
          <rPr>
            <b/>
            <sz val="9"/>
            <color indexed="81"/>
            <rFont val="Tahoma"/>
            <family val="2"/>
          </rPr>
          <t>PR4184:</t>
        </r>
        <r>
          <rPr>
            <sz val="9"/>
            <color indexed="81"/>
            <rFont val="Tahoma"/>
            <family val="2"/>
          </rPr>
          <t xml:space="preserve"> Sistema de Compresión</t>
        </r>
      </text>
    </comment>
    <comment ref="M9" authorId="0" shapeId="0" xr:uid="{00000000-0006-0000-1700-000004000000}">
      <text>
        <r>
          <rPr>
            <b/>
            <sz val="9"/>
            <color indexed="81"/>
            <rFont val="Tahoma"/>
            <family val="2"/>
          </rPr>
          <t>Gonzalo Coronado Nuñez (Stork Masa):</t>
        </r>
        <r>
          <rPr>
            <sz val="9"/>
            <color indexed="81"/>
            <rFont val="Tahoma"/>
            <family val="2"/>
          </rPr>
          <t xml:space="preserve">
Areas administrivas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author>
    <author>Gonzalo Coronado Nuñez (Stork Masa)</author>
  </authors>
  <commentList>
    <comment ref="G5" authorId="0" shapeId="0" xr:uid="{00000000-0006-0000-1900-000001000000}">
      <text>
        <r>
          <rPr>
            <b/>
            <sz val="9"/>
            <color indexed="81"/>
            <rFont val="Tahoma"/>
            <family val="2"/>
          </rPr>
          <t>Corte 25 del mes
1 -25/Enero/2016</t>
        </r>
      </text>
    </comment>
    <comment ref="I6" authorId="1" shapeId="0" xr:uid="{00000000-0006-0000-1900-000002000000}">
      <text>
        <r>
          <rPr>
            <b/>
            <sz val="9"/>
            <color indexed="81"/>
            <rFont val="Tahoma"/>
            <family val="2"/>
          </rPr>
          <t>Corte 23 de Enero a 23 de Febrero 2017</t>
        </r>
      </text>
    </comment>
    <comment ref="K6" authorId="1" shapeId="0" xr:uid="{00000000-0006-0000-1900-000003000000}">
      <text>
        <r>
          <rPr>
            <b/>
            <sz val="9"/>
            <color indexed="81"/>
            <rFont val="Tahoma"/>
            <family val="2"/>
          </rPr>
          <t>De 20 de Febrero a 21 a Marzo 2017</t>
        </r>
      </text>
    </comment>
    <comment ref="L6" authorId="0" shapeId="0" xr:uid="{00000000-0006-0000-1900-000004000000}">
      <text>
        <r>
          <rPr>
            <sz val="9"/>
            <color indexed="81"/>
            <rFont val="Tahoma"/>
            <family val="2"/>
          </rPr>
          <t>22-Mar-2017 a 21-Abr-2017</t>
        </r>
      </text>
    </comment>
    <comment ref="O10" authorId="0" shapeId="0" xr:uid="{00000000-0006-0000-1900-000005000000}">
      <text>
        <r>
          <rPr>
            <sz val="9"/>
            <color indexed="81"/>
            <rFont val="Tahoma"/>
            <family val="2"/>
          </rPr>
          <t xml:space="preserve">De acuerdo a lo informado por los Ingenieros de procesos  Jaime Pinzón y Luis Carlos
</t>
        </r>
      </text>
    </comment>
    <comment ref="O13" authorId="0" shapeId="0" xr:uid="{00000000-0006-0000-1900-000006000000}">
      <text>
        <r>
          <rPr>
            <sz val="9"/>
            <color indexed="81"/>
            <rFont val="Tahoma"/>
            <family val="2"/>
          </rPr>
          <t xml:space="preserve">De acuerdo a lo informado por los Ingenieros de procesos  Jaime Pinzón y Luis Carlos
</t>
        </r>
      </text>
    </comment>
    <comment ref="E16" authorId="0" shapeId="0" xr:uid="{00000000-0006-0000-1900-000007000000}">
      <text>
        <r>
          <rPr>
            <sz val="9"/>
            <color indexed="81"/>
            <rFont val="Tahoma"/>
            <family val="2"/>
          </rPr>
          <t>Bombas batching  &amp; la bomba de  crudo fuera de especificaciones.
90 horas de funcionamiento al mes  - 3 horas diarias</t>
        </r>
      </text>
    </comment>
    <comment ref="O24" authorId="0" shapeId="0" xr:uid="{00000000-0006-0000-1900-000008000000}">
      <text>
        <r>
          <rPr>
            <sz val="9"/>
            <color indexed="81"/>
            <rFont val="Tahoma"/>
            <family val="2"/>
          </rPr>
          <t>Se coloca el valor de marzo de 2017 - porque es el último valor que se tiene por factura</t>
        </r>
        <r>
          <rPr>
            <sz val="9"/>
            <color indexed="81"/>
            <rFont val="Tahoma"/>
            <family val="2"/>
          </rPr>
          <t xml:space="preserve">
</t>
        </r>
      </text>
    </comment>
    <comment ref="O25" authorId="0" shapeId="0" xr:uid="{00000000-0006-0000-1900-000009000000}">
      <text>
        <r>
          <rPr>
            <sz val="9"/>
            <color indexed="81"/>
            <rFont val="Tahoma"/>
            <family val="2"/>
          </rPr>
          <t>Se coloca el valor de marzo de 2017 - porque es el último valor que se tiene por factura</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cupgas1</author>
    <author xml:space="preserve"> </author>
    <author>lll</author>
    <author>c9121786</author>
    <author>Hugo Prada Perez (Stork Masa)</author>
  </authors>
  <commentList>
    <comment ref="D4" authorId="0" shapeId="0" xr:uid="{00000000-0006-0000-1B00-000001000000}">
      <text>
        <r>
          <rPr>
            <b/>
            <sz val="8"/>
            <color indexed="81"/>
            <rFont val="Tahoma"/>
            <family val="2"/>
          </rPr>
          <t>cupgas1:
Se cambiaro 168 pares de filtros AIRGUARD por DONALSON</t>
        </r>
      </text>
    </comment>
    <comment ref="E4" authorId="1" shapeId="0" xr:uid="{00000000-0006-0000-1B00-000002000000}">
      <text>
        <r>
          <rPr>
            <b/>
            <sz val="8"/>
            <color indexed="81"/>
            <rFont val="Tahoma"/>
            <family val="2"/>
          </rPr>
          <t xml:space="preserve"> :</t>
        </r>
        <r>
          <rPr>
            <sz val="8"/>
            <color indexed="81"/>
            <rFont val="Tahoma"/>
            <family val="2"/>
          </rPr>
          <t xml:space="preserve">
Cambio realizado en IMM  oct-nov</t>
        </r>
      </text>
    </comment>
    <comment ref="D5" authorId="2" shapeId="0" xr:uid="{00000000-0006-0000-1B00-000003000000}">
      <text>
        <r>
          <rPr>
            <b/>
            <sz val="8"/>
            <color indexed="81"/>
            <rFont val="Tahoma"/>
            <family val="2"/>
          </rPr>
          <t>lll:</t>
        </r>
        <r>
          <rPr>
            <sz val="8"/>
            <color indexed="81"/>
            <rFont val="Tahoma"/>
            <family val="2"/>
          </rPr>
          <t xml:space="preserve">
Se cambiaron 168 pares Donalson</t>
        </r>
      </text>
    </comment>
    <comment ref="E5" authorId="2" shapeId="0" xr:uid="{00000000-0006-0000-1B00-000004000000}">
      <text>
        <r>
          <rPr>
            <b/>
            <sz val="8"/>
            <color indexed="81"/>
            <rFont val="Tahoma"/>
            <family val="2"/>
          </rPr>
          <t>lll:</t>
        </r>
        <r>
          <rPr>
            <sz val="8"/>
            <color indexed="81"/>
            <rFont val="Tahoma"/>
            <family val="2"/>
          </rPr>
          <t xml:space="preserve">
Se cambiaron 168 pares Donalson</t>
        </r>
      </text>
    </comment>
    <comment ref="D6" authorId="0" shapeId="0" xr:uid="{00000000-0006-0000-1B00-000005000000}">
      <text>
        <r>
          <rPr>
            <b/>
            <sz val="8"/>
            <color indexed="81"/>
            <rFont val="Tahoma"/>
            <family val="2"/>
          </rPr>
          <t>cupgas1:</t>
        </r>
        <r>
          <rPr>
            <sz val="8"/>
            <color indexed="81"/>
            <rFont val="Tahoma"/>
            <family val="2"/>
          </rPr>
          <t xml:space="preserve">
Se cambiarón 168 pares</t>
        </r>
      </text>
    </comment>
    <comment ref="E6" authorId="2" shapeId="0" xr:uid="{00000000-0006-0000-1B00-000006000000}">
      <text>
        <r>
          <rPr>
            <b/>
            <sz val="8"/>
            <color indexed="81"/>
            <rFont val="Tahoma"/>
            <family val="2"/>
          </rPr>
          <t>lll:</t>
        </r>
        <r>
          <rPr>
            <sz val="8"/>
            <color indexed="81"/>
            <rFont val="Tahoma"/>
            <family val="2"/>
          </rPr>
          <t xml:space="preserve">
Se cambiaron 168 pares Donalson</t>
        </r>
      </text>
    </comment>
    <comment ref="C7" authorId="0" shapeId="0" xr:uid="{00000000-0006-0000-1B00-000007000000}">
      <text>
        <r>
          <rPr>
            <b/>
            <sz val="8"/>
            <color indexed="81"/>
            <rFont val="Tahoma"/>
            <family val="2"/>
          </rPr>
          <t>cupgas1:</t>
        </r>
        <r>
          <rPr>
            <sz val="8"/>
            <color indexed="81"/>
            <rFont val="Tahoma"/>
            <family val="2"/>
          </rPr>
          <t xml:space="preserve">
Se cambiarón 168 pares</t>
        </r>
      </text>
    </comment>
    <comment ref="E7" authorId="1" shapeId="0" xr:uid="{00000000-0006-0000-1B00-000008000000}">
      <text>
        <r>
          <rPr>
            <b/>
            <sz val="8"/>
            <color indexed="81"/>
            <rFont val="Tahoma"/>
            <family val="2"/>
          </rPr>
          <t xml:space="preserve"> :</t>
        </r>
        <r>
          <rPr>
            <sz val="8"/>
            <color indexed="81"/>
            <rFont val="Tahoma"/>
            <family val="2"/>
          </rPr>
          <t xml:space="preserve">
Cambio realizado en IMM  oct-nov</t>
        </r>
      </text>
    </comment>
    <comment ref="B8" authorId="0" shapeId="0" xr:uid="{00000000-0006-0000-1B00-000009000000}">
      <text>
        <r>
          <rPr>
            <b/>
            <sz val="8"/>
            <color indexed="81"/>
            <rFont val="Tahoma"/>
            <family val="2"/>
          </rPr>
          <t>cupgas1:</t>
        </r>
        <r>
          <rPr>
            <sz val="8"/>
            <color indexed="81"/>
            <rFont val="Tahoma"/>
            <family val="2"/>
          </rPr>
          <t xml:space="preserve">
Se cambiarón 54 pares</t>
        </r>
      </text>
    </comment>
    <comment ref="C8" authorId="0" shapeId="0" xr:uid="{00000000-0006-0000-1B00-00000A000000}">
      <text>
        <r>
          <rPr>
            <b/>
            <sz val="8"/>
            <color indexed="81"/>
            <rFont val="Tahoma"/>
            <family val="2"/>
          </rPr>
          <t>cupgas1:</t>
        </r>
        <r>
          <rPr>
            <sz val="8"/>
            <color indexed="81"/>
            <rFont val="Tahoma"/>
            <family val="2"/>
          </rPr>
          <t xml:space="preserve">
Se cambiarón 110 pares</t>
        </r>
      </text>
    </comment>
    <comment ref="D8" authorId="2" shapeId="0" xr:uid="{00000000-0006-0000-1B00-00000B000000}">
      <text>
        <r>
          <rPr>
            <b/>
            <sz val="8"/>
            <color indexed="81"/>
            <rFont val="Tahoma"/>
            <family val="2"/>
          </rPr>
          <t>lll:</t>
        </r>
        <r>
          <rPr>
            <sz val="8"/>
            <color indexed="81"/>
            <rFont val="Tahoma"/>
            <family val="2"/>
          </rPr>
          <t xml:space="preserve">
Se cambiaron 168 pares Donalson</t>
        </r>
      </text>
    </comment>
    <comment ref="E8" authorId="2" shapeId="0" xr:uid="{00000000-0006-0000-1B00-00000C000000}">
      <text>
        <r>
          <rPr>
            <b/>
            <sz val="8"/>
            <color indexed="81"/>
            <rFont val="Tahoma"/>
            <family val="2"/>
          </rPr>
          <t>lll:</t>
        </r>
        <r>
          <rPr>
            <sz val="8"/>
            <color indexed="81"/>
            <rFont val="Tahoma"/>
            <family val="2"/>
          </rPr>
          <t xml:space="preserve">
Se cambiaron 168 pares Donalson</t>
        </r>
      </text>
    </comment>
    <comment ref="B9" authorId="0" shapeId="0" xr:uid="{00000000-0006-0000-1B00-00000D000000}">
      <text>
        <r>
          <rPr>
            <b/>
            <sz val="8"/>
            <color indexed="81"/>
            <rFont val="Tahoma"/>
            <family val="2"/>
          </rPr>
          <t>cupgas1:</t>
        </r>
        <r>
          <rPr>
            <sz val="8"/>
            <color indexed="81"/>
            <rFont val="Tahoma"/>
            <family val="2"/>
          </rPr>
          <t xml:space="preserve">
Se cambiarón 79 pares</t>
        </r>
      </text>
    </comment>
    <comment ref="C9" authorId="0" shapeId="0" xr:uid="{00000000-0006-0000-1B00-00000E000000}">
      <text>
        <r>
          <rPr>
            <b/>
            <sz val="8"/>
            <color indexed="81"/>
            <rFont val="Tahoma"/>
            <family val="2"/>
          </rPr>
          <t>cupgas1:</t>
        </r>
        <r>
          <rPr>
            <sz val="8"/>
            <color indexed="81"/>
            <rFont val="Tahoma"/>
            <family val="2"/>
          </rPr>
          <t xml:space="preserve">
Se cambiarón 48 pares</t>
        </r>
      </text>
    </comment>
    <comment ref="D9" authorId="0" shapeId="0" xr:uid="{00000000-0006-0000-1B00-00000F000000}">
      <text>
        <r>
          <rPr>
            <b/>
            <sz val="8"/>
            <color indexed="81"/>
            <rFont val="Tahoma"/>
            <family val="2"/>
          </rPr>
          <t>cupgas1:</t>
        </r>
        <r>
          <rPr>
            <sz val="8"/>
            <color indexed="81"/>
            <rFont val="Tahoma"/>
            <family val="2"/>
          </rPr>
          <t xml:space="preserve">
Se cambiarón 110 pares</t>
        </r>
      </text>
    </comment>
    <comment ref="E9" authorId="2" shapeId="0" xr:uid="{00000000-0006-0000-1B00-000010000000}">
      <text>
        <r>
          <rPr>
            <b/>
            <sz val="8"/>
            <color indexed="81"/>
            <rFont val="Tahoma"/>
            <family val="2"/>
          </rPr>
          <t>lll:</t>
        </r>
        <r>
          <rPr>
            <sz val="8"/>
            <color indexed="81"/>
            <rFont val="Tahoma"/>
            <family val="2"/>
          </rPr>
          <t xml:space="preserve">
Se cambiaron 168 pares</t>
        </r>
      </text>
    </comment>
    <comment ref="K20" authorId="3" shapeId="0" xr:uid="{00000000-0006-0000-1B00-000011000000}">
      <text>
        <r>
          <rPr>
            <b/>
            <sz val="10"/>
            <color indexed="81"/>
            <rFont val="Tahoma"/>
            <family val="2"/>
          </rPr>
          <t xml:space="preserve">ESTA PENDIENTE CAMBIAR UNA TERCERA PARTE DE LOS FILTROS, PARTE INFERIOR
</t>
        </r>
      </text>
    </comment>
    <comment ref="K21" authorId="4" shapeId="0" xr:uid="{00000000-0006-0000-1B00-000012000000}">
      <text>
        <r>
          <rPr>
            <b/>
            <sz val="9"/>
            <color indexed="81"/>
            <rFont val="Tahoma"/>
            <family val="2"/>
          </rPr>
          <t xml:space="preserve"> SE CAMBIAN EL RESTO DE FILTROS.</t>
        </r>
      </text>
    </comment>
    <comment ref="K24" authorId="3" shapeId="0" xr:uid="{00000000-0006-0000-1B00-000013000000}">
      <text>
        <r>
          <rPr>
            <b/>
            <sz val="10"/>
            <color indexed="81"/>
            <rFont val="Tahoma"/>
            <family val="2"/>
          </rPr>
          <t xml:space="preserve">ESTA PENDIENTE CAMBIAR UNA TERCERA PARTE DE LOS FILTROS, PARTE INFERIOR
</t>
        </r>
        <r>
          <rPr>
            <sz val="10"/>
            <color indexed="81"/>
            <rFont val="Tahoma"/>
            <family val="2"/>
          </rPr>
          <t xml:space="preserve">
</t>
        </r>
      </text>
    </comment>
    <comment ref="K25" authorId="4" shapeId="0" xr:uid="{00000000-0006-0000-1B00-000014000000}">
      <text>
        <r>
          <rPr>
            <b/>
            <sz val="9"/>
            <color indexed="81"/>
            <rFont val="Tahoma"/>
            <family val="2"/>
          </rPr>
          <t>SE CAMBIAN EL RESTO DE FILTROS.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c9120348</author>
  </authors>
  <commentList>
    <comment ref="L19" authorId="0" shapeId="0" xr:uid="{00000000-0006-0000-2500-000001000000}">
      <text>
        <r>
          <rPr>
            <b/>
            <sz val="8"/>
            <color indexed="81"/>
            <rFont val="Tahoma"/>
            <family val="2"/>
          </rPr>
          <t>c9120348:</t>
        </r>
        <r>
          <rPr>
            <sz val="8"/>
            <color indexed="81"/>
            <rFont val="Tahoma"/>
            <family val="2"/>
          </rPr>
          <t xml:space="preserve">
ultimo mes recibido.(generalmente es el del mes anterior al informe)</t>
        </r>
      </text>
    </comment>
  </commentList>
</comments>
</file>

<file path=xl/sharedStrings.xml><?xml version="1.0" encoding="utf-8"?>
<sst xmlns="http://schemas.openxmlformats.org/spreadsheetml/2006/main" count="3751" uniqueCount="1527">
  <si>
    <t>REPORTE BALANCE DE ENERGIA Y CONSUMOS DE COMBUSTIBLE CPF CUPIAGUA</t>
  </si>
  <si>
    <t xml:space="preserve">Fecha Inicio </t>
  </si>
  <si>
    <t xml:space="preserve">Fecha Final </t>
  </si>
  <si>
    <r>
      <t xml:space="preserve">Fecha </t>
    </r>
    <r>
      <rPr>
        <b/>
        <sz val="10"/>
        <color indexed="8"/>
        <rFont val="Arial"/>
        <family val="2"/>
      </rPr>
      <t>Actual</t>
    </r>
  </si>
  <si>
    <t>Fecha</t>
  </si>
  <si>
    <t>US-G-8001</t>
  </si>
  <si>
    <t>US-G-8002</t>
  </si>
  <si>
    <t>TOTALES</t>
  </si>
  <si>
    <t>GAS</t>
  </si>
  <si>
    <t xml:space="preserve"> Consumo        mmsfsd</t>
  </si>
  <si>
    <t xml:space="preserve"> Consumo        galones</t>
  </si>
  <si>
    <t>Mwh</t>
  </si>
  <si>
    <t xml:space="preserve">Horas Operación </t>
  </si>
  <si>
    <t xml:space="preserve">MP-KM 2101 </t>
  </si>
  <si>
    <t>DATE</t>
  </si>
  <si>
    <t xml:space="preserve"> MVar</t>
  </si>
  <si>
    <t xml:space="preserve">Real Net Heating Value:   </t>
  </si>
  <si>
    <t>Btu/scft (14.65psia,  60°F)</t>
  </si>
  <si>
    <t>Dia de reporte</t>
  </si>
  <si>
    <t>Dia</t>
  </si>
  <si>
    <t>Mw/Dia</t>
  </si>
  <si>
    <t>Total Mes</t>
  </si>
  <si>
    <r>
      <t xml:space="preserve">Contadores Alimentadores a Shipping (OCENSA) </t>
    </r>
    <r>
      <rPr>
        <b/>
        <sz val="12"/>
        <color indexed="60"/>
        <rFont val="Arial"/>
        <family val="2"/>
      </rPr>
      <t>ULTIMO DIA DEL MES</t>
    </r>
  </si>
  <si>
    <t>Mes</t>
  </si>
  <si>
    <t>Barra A</t>
  </si>
  <si>
    <t>Barra B</t>
  </si>
  <si>
    <t>TOTAL AÑO</t>
  </si>
  <si>
    <t>Consumo</t>
  </si>
  <si>
    <t>******</t>
  </si>
  <si>
    <t xml:space="preserve"> </t>
  </si>
  <si>
    <t xml:space="preserve">Calculo de consumo de gas para los turbogeneradores PG5371PA </t>
  </si>
  <si>
    <t>Datos del diseño (condiciones ISO)</t>
  </si>
  <si>
    <t>Valor</t>
  </si>
  <si>
    <t>Unidad</t>
  </si>
  <si>
    <t xml:space="preserve">Potencia </t>
  </si>
  <si>
    <t>KW</t>
  </si>
  <si>
    <t xml:space="preserve">Heat rate </t>
  </si>
  <si>
    <t>Btu/KWh</t>
  </si>
  <si>
    <r>
      <t>Consumo de calor  x 10</t>
    </r>
    <r>
      <rPr>
        <b/>
        <vertAlign val="superscript"/>
        <sz val="10"/>
        <color indexed="8"/>
        <rFont val="Calibri"/>
        <family val="2"/>
      </rPr>
      <t>-6</t>
    </r>
  </si>
  <si>
    <t>Btu/h</t>
  </si>
  <si>
    <r>
      <t>Flujo de escape x10</t>
    </r>
    <r>
      <rPr>
        <b/>
        <vertAlign val="superscript"/>
        <sz val="10"/>
        <color indexed="8"/>
        <rFont val="Calibri"/>
        <family val="2"/>
      </rPr>
      <t>-3</t>
    </r>
  </si>
  <si>
    <t>Kg/h</t>
  </si>
  <si>
    <t>Condiciones Reales</t>
  </si>
  <si>
    <t>Doc referencia</t>
  </si>
  <si>
    <t>Comentario</t>
  </si>
  <si>
    <t>Correccion por tempertura de aire ingreso a turbina</t>
  </si>
  <si>
    <t>516HA127 Rev A</t>
  </si>
  <si>
    <t>80F</t>
  </si>
  <si>
    <t>Correcion por degradacion del la eficiencia</t>
  </si>
  <si>
    <t>Y9057 Rev 0</t>
  </si>
  <si>
    <t>Correccion por perdidas en la entrada del compresor</t>
  </si>
  <si>
    <t>516HA126 Rev A</t>
  </si>
  <si>
    <t>1.25" vacio</t>
  </si>
  <si>
    <t>Correccion por perdidas de escape</t>
  </si>
  <si>
    <t>2" Presion</t>
  </si>
  <si>
    <t>Carga % del Nominal</t>
  </si>
  <si>
    <t>Carga KW</t>
  </si>
  <si>
    <r>
      <t>Consumo de calor a condiciones rales x 10</t>
    </r>
    <r>
      <rPr>
        <vertAlign val="superscript"/>
        <sz val="10"/>
        <color indexed="9"/>
        <rFont val="Calibri"/>
        <family val="2"/>
      </rPr>
      <t>-6</t>
    </r>
    <r>
      <rPr>
        <sz val="10"/>
        <color indexed="9"/>
        <rFont val="Calibri"/>
        <family val="2"/>
      </rPr>
      <t xml:space="preserve"> BTU/h</t>
    </r>
  </si>
  <si>
    <t>Consumo de calor a condiciones rales DIA</t>
  </si>
  <si>
    <t>Consumo de gas dia Cupiagua x10-6 SCF</t>
  </si>
  <si>
    <t>Interpolacion</t>
  </si>
  <si>
    <t>Consumo gas dia G-8001</t>
  </si>
  <si>
    <t>Consumo gas dia G-8002</t>
  </si>
  <si>
    <t>Indice Cup 8001</t>
  </si>
  <si>
    <t>Indice Cup 8002</t>
  </si>
  <si>
    <t>Consumo de gas dia Cup-8001 x10-6 SCF</t>
  </si>
  <si>
    <t>Cupiagua 8001</t>
  </si>
  <si>
    <t>Carga</t>
  </si>
  <si>
    <t xml:space="preserve">Gas </t>
  </si>
  <si>
    <t>Cupiagua 8002</t>
  </si>
  <si>
    <t>REPORTE BALANCE DE ENERGIA</t>
  </si>
  <si>
    <t>CUPIAGUA</t>
  </si>
  <si>
    <t>HORAS F/S MES</t>
  </si>
  <si>
    <t>EN SERVICIO</t>
  </si>
  <si>
    <t>US-G-8005</t>
  </si>
  <si>
    <t xml:space="preserve">GENERACION CUPIAGUA </t>
  </si>
  <si>
    <t>US-GT-8001</t>
  </si>
  <si>
    <t>Totales año</t>
  </si>
  <si>
    <t xml:space="preserve">  Formato: VSM-F-031</t>
  </si>
  <si>
    <t>ECOPETROL S.A.</t>
  </si>
  <si>
    <t>GESTION DE RECURSOS 
ENERGÉTICOS</t>
  </si>
  <si>
    <t>Para el proceso de compra de energía y con el objeto de contar con la mejor información disponible agradecemos diligenciar el siguiente formato el cual se refiere específicamente a sus comentarios sobre nuestra valoración de los pronósticos de consumo y precio de la energía.
Departamento de Gestión de Recursos Energéticos</t>
  </si>
  <si>
    <t>DATOS GENERALES</t>
  </si>
  <si>
    <t>CENTRO DE CONSUMO</t>
  </si>
  <si>
    <r>
      <t xml:space="preserve">UBICACIÓN DEL CENTRO DE CONSUMO: </t>
    </r>
    <r>
      <rPr>
        <b/>
        <sz val="11"/>
        <color indexed="8"/>
        <rFont val="Calibri"/>
        <family val="2"/>
      </rPr>
      <t>Cupiagua</t>
    </r>
  </si>
  <si>
    <t>DEPARTAMENTO</t>
  </si>
  <si>
    <t>MUNICIPIO</t>
  </si>
  <si>
    <t>Casanare</t>
  </si>
  <si>
    <t>Aguazul</t>
  </si>
  <si>
    <t>DIRECCIÓN</t>
  </si>
  <si>
    <t>CPF-Cupiagua</t>
  </si>
  <si>
    <t>TIPO DE USUARIO:</t>
  </si>
  <si>
    <t>REGULADO</t>
  </si>
  <si>
    <t>NO  REGULADO</t>
  </si>
  <si>
    <t>AUTOGENERADOR</t>
  </si>
  <si>
    <t>X</t>
  </si>
  <si>
    <t>OPERADOR DE RED</t>
  </si>
  <si>
    <t>NIVEL DE TENSIÓN: Ej: Nivel I: &lt; 1 kV/ Nivel II: &gt;1 kV &lt; 30 kV. / Nivel III: &gt;30 kV &lt; 57.5 kV /Nivel IV: &gt; 57.5 kV</t>
  </si>
  <si>
    <t>II</t>
  </si>
  <si>
    <t>TIPO</t>
  </si>
  <si>
    <t>CECO</t>
  </si>
  <si>
    <t>OI</t>
  </si>
  <si>
    <t>CEGE</t>
  </si>
  <si>
    <t>CUENTA MAYOR</t>
  </si>
  <si>
    <t>QUIEN(ES) PAGA(N) LA ENERGÍA EN EL CENTRO DE CONSUMO?</t>
  </si>
  <si>
    <t>ECOPETROL (ECP)</t>
  </si>
  <si>
    <t>ASOC (ASOC; MAN2)</t>
  </si>
  <si>
    <t>MANDATO (MDTO)</t>
  </si>
  <si>
    <t>Asociación</t>
  </si>
  <si>
    <t>RESPONSABLES DEL FORMATO</t>
  </si>
  <si>
    <t>Empresa</t>
  </si>
  <si>
    <t>EXTENSIÓN</t>
  </si>
  <si>
    <t>NOMBRE</t>
  </si>
  <si>
    <t>CARGO</t>
  </si>
  <si>
    <t>ECOPETROL</t>
  </si>
  <si>
    <t>DATOS DE ENERGÍA REGULADA Y NO REGULADA</t>
  </si>
  <si>
    <t>PRECIO PROMEDIO ($/kWh)</t>
  </si>
  <si>
    <t>CONSUMO PROMEDIO (kWh-Mes)</t>
  </si>
  <si>
    <t>VALOR DE FACTURA PROMEDIO (SIN ALUMBRADO PÚBLICO)</t>
  </si>
  <si>
    <t>SERVICIO DE TELEMEDIDA 
(Cargo fijo en $)</t>
  </si>
  <si>
    <t>PORCENTAJE DE ALUMBRADO PÚBLICO (%)</t>
  </si>
  <si>
    <t>en $</t>
  </si>
  <si>
    <t>El Operador de Red es igual al comercializador? (Llenar solo UNR)</t>
  </si>
  <si>
    <t>SI</t>
  </si>
  <si>
    <t>NO</t>
  </si>
  <si>
    <t>PROYECCION DE PRECIO Y DEMANDA</t>
  </si>
  <si>
    <t>Espera cambios en su consumo normal de energía debido a proyectos nuevos, mejoras en su sistema u otros? Detallar.</t>
  </si>
  <si>
    <t xml:space="preserve">Usuario No Regulado: Llenar los datos de acuerdo a las sugerencias de precio de PGR. Mercado Regulado: poner el valor de la factura + IPP proyectado para el siguiente año.  Autogeneración: </t>
  </si>
  <si>
    <t>AUTOGENERACIÓN</t>
  </si>
  <si>
    <t xml:space="preserve">Combustible  Utilizado: </t>
  </si>
  <si>
    <t>Eficiencia :</t>
  </si>
  <si>
    <t>%</t>
  </si>
  <si>
    <t>MES</t>
  </si>
  <si>
    <t>Cantidad Generada (Q)  kWh-mes</t>
  </si>
  <si>
    <t>Cantidad Consumida por planta generadora (Q2) kWh -mes</t>
  </si>
  <si>
    <t>Tarifa de Autogen. (P)</t>
  </si>
  <si>
    <t>Tarifa de Transferencia Oficial (P2)</t>
  </si>
  <si>
    <t>P X Q2 (Mes $)</t>
  </si>
  <si>
    <t>Estimado Transferencias 
((Q-Q2)X4%)X P2</t>
  </si>
  <si>
    <t>$/kWh</t>
  </si>
  <si>
    <t>$</t>
  </si>
  <si>
    <t>BASE PRESUPUESTAL USUARIO REGULADO Y NO REGULADO.</t>
  </si>
  <si>
    <t>Periodo</t>
  </si>
  <si>
    <t>Cantidad (Q)</t>
  </si>
  <si>
    <t>Precio (P)</t>
  </si>
  <si>
    <t>=</t>
  </si>
  <si>
    <t>P X Q (Mes $)</t>
  </si>
  <si>
    <t>P X Q (Año $)</t>
  </si>
  <si>
    <t>Anterior</t>
  </si>
  <si>
    <t>kWh al mes</t>
  </si>
  <si>
    <t xml:space="preserve">Actual </t>
  </si>
  <si>
    <t>20XX</t>
  </si>
  <si>
    <t>Firma del Responsable(s)(centro de consumo y presupusto):</t>
  </si>
  <si>
    <t>Cualquier inquietud comunicarse a con: Eduardo Mejia ó Carolina Castellanos; ó puede escribirnos a _pgr@ecopetrol.com.co</t>
  </si>
  <si>
    <t xml:space="preserve"> mmsfs- mes</t>
  </si>
  <si>
    <t xml:space="preserve">       Gas 100 %,      </t>
  </si>
  <si>
    <t>PLANILLA PARA GENERAR REPORTES</t>
  </si>
  <si>
    <t xml:space="preserve">CONSUMO OCENSA </t>
  </si>
  <si>
    <t>INICIO MES</t>
  </si>
  <si>
    <t>FINAL MES</t>
  </si>
  <si>
    <t>AUXILIARES GENERADORES</t>
  </si>
  <si>
    <t>S/E TREN 1</t>
  </si>
  <si>
    <t>S/E TREN 2</t>
  </si>
  <si>
    <t>S/E P/PAL</t>
  </si>
  <si>
    <t>S/E CRUDO OCENSA</t>
  </si>
  <si>
    <t>Mvarh</t>
  </si>
  <si>
    <t>US-G-8006</t>
  </si>
  <si>
    <t xml:space="preserve"> S/E CRUDO OCENSA</t>
  </si>
  <si>
    <t xml:space="preserve"> S/E REINYECCION</t>
  </si>
  <si>
    <t xml:space="preserve"> S/E TREN 1</t>
  </si>
  <si>
    <t xml:space="preserve"> S/E TREN 2</t>
  </si>
  <si>
    <t xml:space="preserve"> S/E PRINCIPAL</t>
  </si>
  <si>
    <t>DIA  MWH</t>
  </si>
  <si>
    <t>MES  MWH</t>
  </si>
  <si>
    <t>AÑO  MWH</t>
  </si>
  <si>
    <t>CONSUMO GAS  mmsfsd</t>
  </si>
  <si>
    <t>ENE</t>
  </si>
  <si>
    <t>FEB</t>
  </si>
  <si>
    <t>MAR</t>
  </si>
  <si>
    <t>ABR</t>
  </si>
  <si>
    <t>MAY</t>
  </si>
  <si>
    <t>GEN DIESEL</t>
  </si>
  <si>
    <t>JUN</t>
  </si>
  <si>
    <t>JUL</t>
  </si>
  <si>
    <t>AGO</t>
  </si>
  <si>
    <t>SEP</t>
  </si>
  <si>
    <t>OCT</t>
  </si>
  <si>
    <t>NOV</t>
  </si>
  <si>
    <t>DIC</t>
  </si>
  <si>
    <t>GEN GAS</t>
  </si>
  <si>
    <t xml:space="preserve">GENERACION </t>
  </si>
  <si>
    <t>CONSUMOS DE ENERGIA Y GAS</t>
  </si>
  <si>
    <t xml:space="preserve">US-GT-8002    </t>
  </si>
  <si>
    <t>US -G-8005</t>
  </si>
  <si>
    <t>US -G -8006</t>
  </si>
  <si>
    <t>EF-GENPERIM-3</t>
  </si>
  <si>
    <t xml:space="preserve">KM-2501 </t>
  </si>
  <si>
    <t>S/E REINYECCION</t>
  </si>
  <si>
    <t>S/E PRINCIPAL</t>
  </si>
  <si>
    <t>S/E PLANTA DE GAS Y JT</t>
  </si>
  <si>
    <t>S/E GAS VENTAS</t>
  </si>
  <si>
    <t xml:space="preserve"> Consumo        (diesel)</t>
  </si>
  <si>
    <t xml:space="preserve">MP-KM-2101 </t>
  </si>
  <si>
    <t xml:space="preserve"> S/E GAS VENTAS</t>
  </si>
  <si>
    <t>Notas:</t>
  </si>
  <si>
    <t>CONSUMO DIESEL gl</t>
  </si>
  <si>
    <t xml:space="preserve">KM- 2501 (GAS ACIDO) </t>
  </si>
  <si>
    <t>PRECAUSION:</t>
  </si>
  <si>
    <t>CONSUMO</t>
  </si>
  <si>
    <t>PARA REPORTE DIARIO</t>
  </si>
  <si>
    <t xml:space="preserve">US-TR-8044 MWH </t>
  </si>
  <si>
    <t>PROMEDIO</t>
  </si>
  <si>
    <t>CRUDO OCENSA</t>
  </si>
  <si>
    <t>REINYECCION</t>
  </si>
  <si>
    <t>TREN 1</t>
  </si>
  <si>
    <t>TREN 2</t>
  </si>
  <si>
    <t>P/PAL</t>
  </si>
  <si>
    <t>GAS Y JT</t>
  </si>
  <si>
    <t>GAS VENTAS</t>
  </si>
  <si>
    <t>En la hoja de CONTADORES digitar los tomados de los MULTILIN a las 24:00 Horas</t>
  </si>
  <si>
    <t>1.-     Para generar OCENSA digitar en las casillas amarillas la fecha de inicio del mes y la del final del mes.</t>
  </si>
  <si>
    <t>PROM</t>
  </si>
  <si>
    <t>TOTALES GAS</t>
  </si>
  <si>
    <t>TOTALES DIESEL</t>
  </si>
  <si>
    <t>AÑO / MES</t>
  </si>
  <si>
    <t>US-GT-8002</t>
  </si>
  <si>
    <t>SEGUIMIENTO A CONSUMO DE ENERGÍA VPR / SON</t>
  </si>
  <si>
    <t>GERENCIA</t>
  </si>
  <si>
    <t>SUPERINT</t>
  </si>
  <si>
    <t>CAMPO/PROCESO</t>
  </si>
  <si>
    <t>AÑO</t>
  </si>
  <si>
    <t>AUTOGENERADA DIRECTA (Mwh)</t>
  </si>
  <si>
    <t>COSTO UNITARIO ($/Kwh)</t>
  </si>
  <si>
    <t>BARRILES FLUIDO ASOCIADOS (BLS) (PRODUCCION)</t>
  </si>
  <si>
    <t>AUTOGENERADA CONTRATADA (Mwh)</t>
  </si>
  <si>
    <t>COSTO UNITARIO (kwh)</t>
  </si>
  <si>
    <t>NO REGULADA (Mwh)</t>
  </si>
  <si>
    <t>BARRILES FLUIDO ASOCIADOS (BLS)</t>
  </si>
  <si>
    <t>REGULADA (Mwh)</t>
  </si>
  <si>
    <t xml:space="preserve">BARRILES FLUIDO ASOCIADOS (BLS) (PRODUCCION)  </t>
  </si>
  <si>
    <t>GEN 8001 (WG)</t>
  </si>
  <si>
    <t>GEN 8002 (WG)</t>
  </si>
  <si>
    <t>GEN 8005 (WG)</t>
  </si>
  <si>
    <t>GEN 8006 (WG)</t>
  </si>
  <si>
    <t>GEN PERIMETRALES (WG)</t>
  </si>
  <si>
    <t>GEN DE RESPALDO NW  (PTS)</t>
  </si>
  <si>
    <t>PANELES SOLARES (WG POZOS)</t>
  </si>
  <si>
    <t>GEN PRINCIPAL XL   (PTS)</t>
  </si>
  <si>
    <t>GEN DE RESPALDO XL (PTS)</t>
  </si>
  <si>
    <t>NO APLICA PARA LA SON</t>
  </si>
  <si>
    <t>ENERCA (ALVARO CUTA)</t>
  </si>
  <si>
    <t>GNO</t>
  </si>
  <si>
    <t>SON</t>
  </si>
  <si>
    <t>TRATAMIENTO / SEPARACIÓN  TREN UNO (Tratamiento de Gas / Deshidratación - Regeneración glycol)</t>
  </si>
  <si>
    <t>TRATAMIENTO / SEPARACIÓN  TREN DOS (Tratamiento de Gas / Deshidratación - Regeneración glycol)</t>
  </si>
  <si>
    <t>TRATAMIENTO / DEMAG</t>
  </si>
  <si>
    <t>ALMACENAMIENTO BOMBEO y MEDICION (DESPACHO)</t>
  </si>
  <si>
    <t>COMPRESION/REINYECCIÓN TREN1, TREN2 Y TREN 3</t>
  </si>
  <si>
    <t>CARGAS ESENCIALES DE CPF   CARGAS UTILITARIOS DE CPF (Teas, Nitrogeno, Aire Instr., e industrial, Osmosis, Sist. Contra incendio, Gas combustible, Drenaje abierto y cerrado, Sistema inyeccion quimicos, Diesel, Sistemas de agua potable y aguas residuales , etc)</t>
  </si>
  <si>
    <t>AUXILIARES DE GENERACION, COMPRESOR AIRE DE INSTRUMENTOS K6503</t>
  </si>
  <si>
    <t>PLANTA DE GAS (GAS VENTAS)</t>
  </si>
  <si>
    <t>PLANTA DE GAS (GAS ACIDO)</t>
  </si>
  <si>
    <t>PLANTA DE GAS (UNIDAD JOULE THOMPSON)</t>
  </si>
  <si>
    <t>PLANTA DE GAS (ESENCIALES DE PLANTA DE GAS)</t>
  </si>
  <si>
    <t>FACILIDAD NW (TRATAMIENTO)</t>
  </si>
  <si>
    <t>FACILIDAD NW (DESPACHO O TRANSFERENCIA)</t>
  </si>
  <si>
    <t>FACILIDAD NW (INYECCION)</t>
  </si>
  <si>
    <t>FACILIDAD NW (ESENCIALES) ALUMBRADO AUXILIARES DE GENERACIÓN, UPS, ETC.</t>
  </si>
  <si>
    <t>FACILIDAD XL (TRATAMIENTO)</t>
  </si>
  <si>
    <t>FACILIDAD XL (DESPACHO O TRANSFERENCIA)</t>
  </si>
  <si>
    <t>FACILIDAD XL (INYECCION)</t>
  </si>
  <si>
    <t>FACILIDAD XL (ESENCIALES)</t>
  </si>
  <si>
    <t>POZOS (EXTRACCIÓN)</t>
  </si>
  <si>
    <t>US-TR-8002</t>
  </si>
  <si>
    <t>US-TR-8003 / 4</t>
  </si>
  <si>
    <t>STORK TECHNICAL SERVICES</t>
  </si>
  <si>
    <t>7.-     Para generar EL CONSUMO ANUAL A. Eléctrica de Ecopetrol donde se encuentra los consumos totales desde inicio operación CPF CUP.</t>
  </si>
  <si>
    <t xml:space="preserve">Todos los reportes quedaran en la carpeta REPORTES DIARIOS en "ARCHIVO DIARIO Y MENSUAL" para ser enviados vía correo. </t>
  </si>
  <si>
    <t>INFORMACIÓN BÁSICA DE LA INSTALACIÓN</t>
  </si>
  <si>
    <t>Cupiagua</t>
  </si>
  <si>
    <t>TIPO INSTALACIÓN</t>
  </si>
  <si>
    <t xml:space="preserve">Estación de producción </t>
  </si>
  <si>
    <t>VICEPRESIDENCIA</t>
  </si>
  <si>
    <t>VPR</t>
  </si>
  <si>
    <t>ZONA GEOGRÁFICA</t>
  </si>
  <si>
    <t>Llanos</t>
  </si>
  <si>
    <t>INFORMACIÓN DE LAS FUENTES DE SUMINISTRO</t>
  </si>
  <si>
    <t>FUENTES DE SUMINISTRO
INDISPONIBILIDAD ANUAL (FOR)</t>
  </si>
  <si>
    <t>TAG</t>
  </si>
  <si>
    <t>Capacidad
[MW]</t>
  </si>
  <si>
    <t>[horas]</t>
  </si>
  <si>
    <t>[%]</t>
  </si>
  <si>
    <t>[p.u.]</t>
  </si>
  <si>
    <t>Generador a gas</t>
  </si>
  <si>
    <t>FUENTES DE SUMINISTRO - REGISTRO DE EVENTOS POR SALIDAS NO PROGRAMADAS</t>
  </si>
  <si>
    <t>EVENTO</t>
  </si>
  <si>
    <t>FUENTE</t>
  </si>
  <si>
    <t>Fecha Inicio</t>
  </si>
  <si>
    <t>Hora Inicio</t>
  </si>
  <si>
    <t>Fecha Fin</t>
  </si>
  <si>
    <t>Hora Fin</t>
  </si>
  <si>
    <t>Indisponibilidad
[horas]</t>
  </si>
  <si>
    <t>Observaciones</t>
  </si>
  <si>
    <t>Tipo de instalación</t>
  </si>
  <si>
    <t>VRP</t>
  </si>
  <si>
    <t>VIT</t>
  </si>
  <si>
    <t>VIN</t>
  </si>
  <si>
    <t>VIF</t>
  </si>
  <si>
    <t>Zona Geográfica</t>
  </si>
  <si>
    <t>Tipo de fuente</t>
  </si>
  <si>
    <t>Estación de bombeo</t>
  </si>
  <si>
    <t>GEC</t>
  </si>
  <si>
    <t>GRB</t>
  </si>
  <si>
    <t>GOT</t>
  </si>
  <si>
    <t>ICP</t>
  </si>
  <si>
    <t>DSC</t>
  </si>
  <si>
    <t>Centro</t>
  </si>
  <si>
    <t>Operador de red</t>
  </si>
  <si>
    <t>GRO</t>
  </si>
  <si>
    <t>GRC</t>
  </si>
  <si>
    <t>GPO</t>
  </si>
  <si>
    <t>Generador diesel</t>
  </si>
  <si>
    <t>Estación de almacenamiento</t>
  </si>
  <si>
    <t>SCI</t>
  </si>
  <si>
    <t>GPT</t>
  </si>
  <si>
    <t>Norte</t>
  </si>
  <si>
    <t>Motor de combustión interna</t>
  </si>
  <si>
    <t>Estación de refinación</t>
  </si>
  <si>
    <t>SCO</t>
  </si>
  <si>
    <t>Oriente</t>
  </si>
  <si>
    <t>Cogenerador</t>
  </si>
  <si>
    <t>Puerto</t>
  </si>
  <si>
    <t>SOH</t>
  </si>
  <si>
    <t>Sur</t>
  </si>
  <si>
    <t>SOM</t>
  </si>
  <si>
    <t>SOP</t>
  </si>
  <si>
    <t>SOR</t>
  </si>
  <si>
    <t>8.-     Para generar EL SEGUIMIENTO CONSUMO ENERGIA. Eléctrica de Ecopetrol CPF CUP.</t>
  </si>
  <si>
    <t>9.-     Para generar EL REGISTRO DE INDISPONIBILIDAD . Eléctrica de Ecopetrol CPF CUP.</t>
  </si>
  <si>
    <r>
      <t>GEN     (</t>
    </r>
    <r>
      <rPr>
        <b/>
        <sz val="8"/>
        <color theme="1"/>
        <rFont val="Calibri"/>
        <family val="2"/>
        <scheme val="minor"/>
      </rPr>
      <t>CONTRATADA</t>
    </r>
    <r>
      <rPr>
        <b/>
        <sz val="11"/>
        <color theme="1"/>
        <rFont val="Calibri"/>
        <family val="2"/>
        <scheme val="minor"/>
      </rPr>
      <t>)</t>
    </r>
  </si>
  <si>
    <t>CPF Cupiagua</t>
  </si>
  <si>
    <t>D/H</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</si>
  <si>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</si>
  <si>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</si>
  <si>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</si>
  <si>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</si>
  <si>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</si>
  <si>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</si>
  <si>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</si>
  <si>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</si>
  <si>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</si>
  <si>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</si>
  <si>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</si>
  <si>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</si>
  <si>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</si>
  <si>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</si>
  <si>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</si>
  <si>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</si>
  <si>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</si>
  <si>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</si>
  <si>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</si>
  <si>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</si>
  <si>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</si>
  <si>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</si>
  <si>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</si>
  <si>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</si>
  <si>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10.-   Para generar CURVA DURACION. Se encuentra los datos de potencia hora-hora, Eléctrica de Ecopetrol CPF CUP.</t>
  </si>
  <si>
    <t xml:space="preserve"> y guardar en archivos "DIARIO ENERO" (mes que se este guardando)</t>
  </si>
  <si>
    <t>FACILIDAD NW</t>
  </si>
  <si>
    <t xml:space="preserve">GENERACION (Mw/Dia) </t>
  </si>
  <si>
    <t xml:space="preserve">Y CONSUMO DE COMBUSTIBLE </t>
  </si>
  <si>
    <t>GAS [GTA28]</t>
  </si>
  <si>
    <t>DIESEL  [GEN. 0102]</t>
  </si>
  <si>
    <t>Generación Total Dia</t>
  </si>
  <si>
    <t>MWH</t>
  </si>
  <si>
    <t>TOTALES Glnes  DIESEL</t>
  </si>
  <si>
    <t xml:space="preserve">GT-8001 Glnes DIESEL     </t>
  </si>
  <si>
    <t xml:space="preserve">GT-8002 Glnes DIESEL     </t>
  </si>
  <si>
    <t xml:space="preserve">G-8005 Glnes DIESEL     </t>
  </si>
  <si>
    <t xml:space="preserve">G-8006 Glnes DIESEL     </t>
  </si>
  <si>
    <t>US - GT - 8001</t>
  </si>
  <si>
    <t>MWATTS</t>
  </si>
  <si>
    <t>MVARS</t>
  </si>
  <si>
    <t>VOLT</t>
  </si>
  <si>
    <t>FRECUENCIA</t>
  </si>
  <si>
    <t>VIB_INPUT_2</t>
  </si>
  <si>
    <t>VIB_INPUT_4</t>
  </si>
  <si>
    <t>VIB_INPUT_5</t>
  </si>
  <si>
    <t>PRESION DESCARGA COMPRESOR</t>
  </si>
  <si>
    <t>TEMPERAT DESCARGA COMPRESOR</t>
  </si>
  <si>
    <t>TEMPERAT  ACEITE</t>
  </si>
  <si>
    <t>PRESION  ACEITE  LUBRICACION</t>
  </si>
  <si>
    <t>PRSION DESCARGA BOMBA LUB.</t>
  </si>
  <si>
    <t>PRESION SITEMA HIDRAULICO</t>
  </si>
  <si>
    <t>PRESION ACEITE DE CONTROL</t>
  </si>
  <si>
    <t>PRESION AIRE ATOMIZACION</t>
  </si>
  <si>
    <t>TEMPERAT AIRE ATOMIZACION</t>
  </si>
  <si>
    <t>PRESION AGUA ENFRIAMIENTO</t>
  </si>
  <si>
    <t>WHLSPC_STG_1</t>
  </si>
  <si>
    <t>EXHAUST_TEMP</t>
  </si>
  <si>
    <t>FECHA</t>
  </si>
  <si>
    <t>HORA</t>
  </si>
  <si>
    <t>Generador</t>
  </si>
  <si>
    <t>(DF)</t>
  </si>
  <si>
    <t>(DPF)</t>
  </si>
  <si>
    <t>Compresor</t>
  </si>
  <si>
    <t>Turbina</t>
  </si>
  <si>
    <t>(CPD)</t>
  </si>
  <si>
    <t>(CTD)</t>
  </si>
  <si>
    <t>(LTTH1)</t>
  </si>
  <si>
    <t>GSV</t>
  </si>
  <si>
    <t>(TTWS1AO2)</t>
  </si>
  <si>
    <t>(TTWS1AO3)</t>
  </si>
  <si>
    <t>(TTWS1FO2)</t>
  </si>
  <si>
    <t>(TTWS1FO3)</t>
  </si>
  <si>
    <t>(TTXM)</t>
  </si>
  <si>
    <t>Mw</t>
  </si>
  <si>
    <t>Mvar</t>
  </si>
  <si>
    <t>Kv</t>
  </si>
  <si>
    <t>Hz</t>
  </si>
  <si>
    <t>PF</t>
  </si>
  <si>
    <t>mm/s</t>
  </si>
  <si>
    <t>Bar</t>
  </si>
  <si>
    <t>°C</t>
  </si>
  <si>
    <t>psig</t>
  </si>
  <si>
    <t>US - GT - 8002</t>
  </si>
  <si>
    <t>GEN_MWATTS</t>
  </si>
  <si>
    <t xml:space="preserve">VIB_INPUT_6 </t>
  </si>
  <si>
    <t>VIB_INPUT_7</t>
  </si>
  <si>
    <t>VIB_INPUT_8</t>
  </si>
  <si>
    <t>VIB_INPUT_9</t>
  </si>
  <si>
    <t>VIB_INPUT_10</t>
  </si>
  <si>
    <t>MAX_VIBRATN</t>
  </si>
  <si>
    <t>GEN_BRG1_MET</t>
  </si>
  <si>
    <t>GEN_BRG2_MET</t>
  </si>
  <si>
    <t>RED_BULL_MET</t>
  </si>
  <si>
    <t>RED_PIN_MET</t>
  </si>
  <si>
    <t>BTRGT</t>
  </si>
  <si>
    <t>COMP_DISCH_P</t>
  </si>
  <si>
    <t>TMP_CTRL_REF</t>
  </si>
  <si>
    <t>COMP_DISCH_T</t>
  </si>
  <si>
    <t>CTIF1A</t>
  </si>
  <si>
    <t>GEN_FREQNCY</t>
  </si>
  <si>
    <t>POWER_FACTOR</t>
  </si>
  <si>
    <t>PRM_COLD_AIR</t>
  </si>
  <si>
    <t>PRM_HOT_AIR</t>
  </si>
  <si>
    <t>SEC_COLD_AIR</t>
  </si>
  <si>
    <t>GEN_STATOR</t>
  </si>
  <si>
    <t>DVOLT</t>
  </si>
  <si>
    <t>GEN_MVARS</t>
  </si>
  <si>
    <t>VIB_INPUT_1</t>
  </si>
  <si>
    <t>DEXV</t>
  </si>
  <si>
    <t>DEXI</t>
  </si>
  <si>
    <t>DAMP</t>
  </si>
  <si>
    <t>P2_PRESSURE</t>
  </si>
  <si>
    <t>FSR_CONTROL</t>
  </si>
  <si>
    <t>TURB_BRG1_LO</t>
  </si>
  <si>
    <t>TURB_BRG2_LO</t>
  </si>
  <si>
    <t>THRST_BRG_LO</t>
  </si>
  <si>
    <t>GEN_BRG1_LO</t>
  </si>
  <si>
    <t>GEN_BRG2_LO</t>
  </si>
  <si>
    <t>RED_GEAR_LO (PUNTO E DRENAJE)</t>
  </si>
  <si>
    <t>LUBE_HDR_TMP</t>
  </si>
  <si>
    <t>TNH_RPM</t>
  </si>
  <si>
    <t>WHLSPC_STG_2</t>
  </si>
  <si>
    <t>EXHAUST_TC1</t>
  </si>
  <si>
    <t>EXHAUST_TC2</t>
  </si>
  <si>
    <t>EXHAUST_TC3</t>
  </si>
  <si>
    <t>EXHAUST_TC4</t>
  </si>
  <si>
    <t>EXHAUST_TC5</t>
  </si>
  <si>
    <t>EXHAUST_TC6</t>
  </si>
  <si>
    <t>EXHAUST_TC7</t>
  </si>
  <si>
    <t>EXHAUST_TC8</t>
  </si>
  <si>
    <t>EXHAUST_TC9</t>
  </si>
  <si>
    <t>EXHAUST_TC10</t>
  </si>
  <si>
    <t>EXHAUST_TC11</t>
  </si>
  <si>
    <t>EXHAUST_TC12</t>
  </si>
  <si>
    <t>EXHAUST_TC13</t>
  </si>
  <si>
    <t>EXH_SPREAD_1</t>
  </si>
  <si>
    <t>ALLWD_SPREAD</t>
  </si>
  <si>
    <t>SEC_HOT_AIR</t>
  </si>
  <si>
    <t>IGV</t>
  </si>
  <si>
    <t>Caj.Red.T.</t>
  </si>
  <si>
    <t>Caj.Red.G</t>
  </si>
  <si>
    <t>Gener.Caj.R</t>
  </si>
  <si>
    <t>Generadr</t>
  </si>
  <si>
    <t>(BB_MAX)</t>
  </si>
  <si>
    <t>(BTGJ1)</t>
  </si>
  <si>
    <t>(BTGJ2)</t>
  </si>
  <si>
    <t>(BTRGH1)</t>
  </si>
  <si>
    <t>(BTRGH2)</t>
  </si>
  <si>
    <t>(BTRGL1)</t>
  </si>
  <si>
    <t>(BTRGL2)</t>
  </si>
  <si>
    <t>(BT-RGT-1)</t>
  </si>
  <si>
    <t>deg C</t>
  </si>
  <si>
    <t>°T Ambte</t>
  </si>
  <si>
    <t>(DTGPC1)</t>
  </si>
  <si>
    <t>(DTGPC2)</t>
  </si>
  <si>
    <t>(DTGPH1)</t>
  </si>
  <si>
    <t>(DTGSC1)</t>
  </si>
  <si>
    <t>(DTGS1)</t>
  </si>
  <si>
    <t>(DTGS2)</t>
  </si>
  <si>
    <t>(DTGS3)</t>
  </si>
  <si>
    <t>(DTGS4)</t>
  </si>
  <si>
    <t>(DTGS5)</t>
  </si>
  <si>
    <t>(DTGS6)</t>
  </si>
  <si>
    <t>Generd</t>
  </si>
  <si>
    <t>Excton</t>
  </si>
  <si>
    <t>Presion Gas</t>
  </si>
  <si>
    <t>(LTB1D)</t>
  </si>
  <si>
    <t>(LTB2D)</t>
  </si>
  <si>
    <t>(LTBT1D)</t>
  </si>
  <si>
    <t>(LTG1D)</t>
  </si>
  <si>
    <t>(LTG2D)</t>
  </si>
  <si>
    <t>(LTRGD1)</t>
  </si>
  <si>
    <t>(TTWS2AO1)</t>
  </si>
  <si>
    <t>(TTWS2AO2)</t>
  </si>
  <si>
    <t>(TTWS2FO2)</t>
  </si>
  <si>
    <t>(TTWS2FO3)</t>
  </si>
  <si>
    <t>(TTXD1_1)</t>
  </si>
  <si>
    <t>(TTXD1_2)</t>
  </si>
  <si>
    <t>(TTXD1_3)</t>
  </si>
  <si>
    <t>(TTXD1_4)</t>
  </si>
  <si>
    <t>(TTXD1_5)</t>
  </si>
  <si>
    <t>(TTXD1_6)</t>
  </si>
  <si>
    <t>(TTXD1_7)</t>
  </si>
  <si>
    <t>(TTXD1_8)</t>
  </si>
  <si>
    <t>(TTXD1_9)</t>
  </si>
  <si>
    <t>(TTXD1_10)</t>
  </si>
  <si>
    <t>(TTXD1_11)</t>
  </si>
  <si>
    <t>(TTXD1_12)</t>
  </si>
  <si>
    <t>(TTXD1_13)</t>
  </si>
  <si>
    <t>(TTXSP1)</t>
  </si>
  <si>
    <t>(TTXSPL)</t>
  </si>
  <si>
    <t>(DTGSH1)</t>
  </si>
  <si>
    <t>(IGV)</t>
  </si>
  <si>
    <t>Horas</t>
  </si>
  <si>
    <t>(TTRX)</t>
  </si>
  <si>
    <t>Vdc</t>
  </si>
  <si>
    <t>Amp</t>
  </si>
  <si>
    <t>rpm</t>
  </si>
  <si>
    <t>dga</t>
  </si>
  <si>
    <t>Horometro</t>
  </si>
  <si>
    <t>95 Alarma                              y                                 111 Disparo</t>
  </si>
  <si>
    <t>95 Alarma                              y                                      100 Disparo</t>
  </si>
  <si>
    <t>96 Alarma                                y                                         101 Disparo</t>
  </si>
  <si>
    <t>95 Alarma                      y                             100 Disparo</t>
  </si>
  <si>
    <t>95 Alarma                          y                                  101 Disparo</t>
  </si>
  <si>
    <t>95 Alarma                          y                                    100 Disparo</t>
  </si>
  <si>
    <t>95 Alarma     y       100 Disparo</t>
  </si>
  <si>
    <t>Referencia</t>
  </si>
  <si>
    <t>115 Alarma                          y                                    135 Disparo</t>
  </si>
  <si>
    <t>116 Alarma                         y                                         135 Disparo</t>
  </si>
  <si>
    <t>115 Alarma                         y                                         136 Disparo</t>
  </si>
  <si>
    <t>115 Alarma                          y                                         135 Disparo</t>
  </si>
  <si>
    <t>115 Alarma                        y                                         136 Disparo</t>
  </si>
  <si>
    <t>115 Alarma                         y                                       136 Disparo</t>
  </si>
  <si>
    <t>65 Alarma    y                     80 Disparo</t>
  </si>
  <si>
    <t>82 Alarma</t>
  </si>
  <si>
    <t>110 Alarma</t>
  </si>
  <si>
    <t>93 Alarma</t>
  </si>
  <si>
    <t>68Alarma               y                                72 Disparo</t>
  </si>
  <si>
    <t>AMPERIOS</t>
  </si>
  <si>
    <t>20.7 Mw  Nominal</t>
  </si>
  <si>
    <t xml:space="preserve"> 12.7 Alarma            y                           25.4 Disparo</t>
  </si>
  <si>
    <t xml:space="preserve"> 12.7 Alarma                        y                                25.4 Disparo</t>
  </si>
  <si>
    <t xml:space="preserve"> 12.7 Alarma               y                         25.4 Disparo</t>
  </si>
  <si>
    <t xml:space="preserve"> 7.6 Alarma                   y                         12.7 Disparo</t>
  </si>
  <si>
    <t xml:space="preserve"> 7.6 Alarma                      y                          12.7 Disparo</t>
  </si>
  <si>
    <t xml:space="preserve">  3.9 Alarma             y                         5.9 Disparo</t>
  </si>
  <si>
    <t xml:space="preserve"> 3.9 Alarma                   y                          5.9 Disparo</t>
  </si>
  <si>
    <t xml:space="preserve"> 3.9 Alarma                 y                                   5.9 Disparo</t>
  </si>
  <si>
    <t>&gt; 3.45</t>
  </si>
  <si>
    <t>Disparo Gen.                58.2-- 5seg                      y                                   56.4 -- 0.5 seg.</t>
  </si>
  <si>
    <t xml:space="preserve"> Referencia  0.8</t>
  </si>
  <si>
    <t xml:space="preserve">13.8 Normal   </t>
  </si>
  <si>
    <t>Alarma Vib</t>
  </si>
  <si>
    <t>Trip Vib</t>
  </si>
  <si>
    <t>TEMP MAX</t>
  </si>
  <si>
    <t>ALARMA</t>
  </si>
  <si>
    <t>Mw-Max</t>
  </si>
  <si>
    <t>MW</t>
  </si>
  <si>
    <t>MW-MAX</t>
  </si>
  <si>
    <t>MVAR</t>
  </si>
  <si>
    <t>Gene Total Mvarh</t>
  </si>
  <si>
    <t>US-GT 8001 Mvarh</t>
  </si>
  <si>
    <t>US-GT 8002 Mvarh</t>
  </si>
  <si>
    <t>US-GT 8001 Mwh</t>
  </si>
  <si>
    <t>US-GT 8002 Mwh</t>
  </si>
  <si>
    <t>Heat-Rate (BTU/KW-hra)</t>
  </si>
  <si>
    <t>Eficiencia Térmica</t>
  </si>
  <si>
    <t>G-8005   Mwh</t>
  </si>
  <si>
    <t>G-8006    Mwh</t>
  </si>
  <si>
    <t>G-8005   Mvarh</t>
  </si>
  <si>
    <t>G-8006    Mvarh</t>
  </si>
  <si>
    <t>GEN GAL DIESEL 8001</t>
  </si>
  <si>
    <t>GEN GAL DIESEL 8002</t>
  </si>
  <si>
    <t>GEN GAL DIESEL 8005</t>
  </si>
  <si>
    <t>GEN GAL DIESEL 8006</t>
  </si>
  <si>
    <t>US-GT 8001  Mwh</t>
  </si>
  <si>
    <t>Consumo        galones</t>
  </si>
  <si>
    <t>Consumo        mmsfsd</t>
  </si>
  <si>
    <t>US-G-8005       Mwh</t>
  </si>
  <si>
    <t>US-G-8006     Mwh</t>
  </si>
  <si>
    <t>GEN TOTAL Mwh</t>
  </si>
  <si>
    <t>GEN TOTAL Mvarh</t>
  </si>
  <si>
    <t>CONSUMO GAS  8001</t>
  </si>
  <si>
    <t>CONSUMO GAS  8002</t>
  </si>
  <si>
    <t>CONSUMO TOTAL  GAS</t>
  </si>
  <si>
    <t>US-G-8005  Mvarh</t>
  </si>
  <si>
    <t>US-GT 8001  Mvarh</t>
  </si>
  <si>
    <t>US-G-8006  Mvarh</t>
  </si>
  <si>
    <t>Poder Calorífico VALOR CALCULADO</t>
  </si>
  <si>
    <t>BTU/ft3</t>
  </si>
  <si>
    <t>PARA OCENSA MES Y  OTROS</t>
  </si>
  <si>
    <t>Poder Calorífico VALOR CALCULADO  BTU/ft3</t>
  </si>
  <si>
    <t>Modelo de Costos de Generacion Electrica GDP ECOPETROL</t>
  </si>
  <si>
    <t>Tablas de Costos e Indicadores de Desempeño - Mensuales</t>
  </si>
  <si>
    <t>Tabla 1A - Métricas de Desempeño - CPF-Cupiagua</t>
  </si>
  <si>
    <t>Item No.</t>
  </si>
  <si>
    <t>Concepto</t>
  </si>
  <si>
    <t>Unidades</t>
  </si>
  <si>
    <t>Enero</t>
  </si>
  <si>
    <t>Febrero</t>
  </si>
  <si>
    <t>Marzo</t>
  </si>
  <si>
    <t>Abril</t>
  </si>
  <si>
    <t>Mayo</t>
  </si>
  <si>
    <t>Junio</t>
  </si>
  <si>
    <t>Julio</t>
  </si>
  <si>
    <t>Agosto</t>
  </si>
  <si>
    <t>Septiembre</t>
  </si>
  <si>
    <t>Octubre</t>
  </si>
  <si>
    <t>Noviembre</t>
  </si>
  <si>
    <t>Diciembre</t>
  </si>
  <si>
    <t>MW (mes)</t>
  </si>
  <si>
    <t>MMBtu/mes</t>
  </si>
  <si>
    <t>Tabla 1B - Elementos de Costos &amp; Gastos - CPF-Cupiagua</t>
  </si>
  <si>
    <t>TOTAL COSTOS FIJOS</t>
  </si>
  <si>
    <t xml:space="preserve">Personal para la operación de generación </t>
  </si>
  <si>
    <t>COP/mes</t>
  </si>
  <si>
    <t>TOTAL COSTOS VARIABLES</t>
  </si>
  <si>
    <t>COSTO TOTAL DE GENERACION</t>
  </si>
  <si>
    <t>Tabla 1C -Indicadores Desempeño Generación Electrica - CPF-Cupiagua</t>
  </si>
  <si>
    <t xml:space="preserve">Indicadores Técnicos </t>
  </si>
  <si>
    <t xml:space="preserve">      Consumo Especifico Neto</t>
  </si>
  <si>
    <t>Btu/kWh</t>
  </si>
  <si>
    <t xml:space="preserve">Eficiencia Termica </t>
  </si>
  <si>
    <t xml:space="preserve">Factor de Carga </t>
  </si>
  <si>
    <t xml:space="preserve">Disponibilidad Mensual </t>
  </si>
  <si>
    <t xml:space="preserve">Confiabilidad Mensual </t>
  </si>
  <si>
    <t>Indicadores Financieros en COP</t>
  </si>
  <si>
    <t>Costo Fijo Total</t>
  </si>
  <si>
    <t>COP/MW mes</t>
  </si>
  <si>
    <t>Costo Variable Total</t>
  </si>
  <si>
    <t>Costo de Combustible</t>
  </si>
  <si>
    <t>Costo Total de Generación  COP/kWh</t>
  </si>
  <si>
    <t>COP/kWh</t>
  </si>
  <si>
    <t>Costos Fijos (COP/mes)</t>
  </si>
  <si>
    <t xml:space="preserve">Descripción </t>
  </si>
  <si>
    <t xml:space="preserve">Costo Total </t>
  </si>
  <si>
    <t>% Tiempo</t>
  </si>
  <si>
    <t>3 Tecnicos Senior en turno 14X7</t>
  </si>
  <si>
    <t>Supervisor Operaciones</t>
  </si>
  <si>
    <t>Ing. Confiabilidad</t>
  </si>
  <si>
    <t>HSE</t>
  </si>
  <si>
    <t>Ing. CMMS</t>
  </si>
  <si>
    <t>SUBTOTAL</t>
  </si>
  <si>
    <t>Generales &amp; Administración Profesional ECP</t>
  </si>
  <si>
    <t>Costos admistracion ECP</t>
  </si>
  <si>
    <t>Mantenimientos Mayores (HH) (HGPI, CCI)</t>
  </si>
  <si>
    <t>Horas Hombre Mes-Mes</t>
  </si>
  <si>
    <t>Depreciacion</t>
  </si>
  <si>
    <t>Valor de depreciacion</t>
  </si>
  <si>
    <t>TOTAL COSTO FIJO</t>
  </si>
  <si>
    <t>Costos Variables (COP/mes)</t>
  </si>
  <si>
    <t>Cantidad</t>
  </si>
  <si>
    <t>Costo Seguros Sector Electrico Ley 99</t>
  </si>
  <si>
    <t>Relaciono pagos realizados por  temas de transferencias del sector eléctrico ley 99.</t>
  </si>
  <si>
    <t>Costo Consumo de Gas (MMBTU es US$ 0.24)</t>
  </si>
  <si>
    <t>Costo Consumo de Diésel (Planta COTU)  1 Galon</t>
  </si>
  <si>
    <t xml:space="preserve">Costo Consumo de aceite Lubricante  (DTE-832) </t>
  </si>
  <si>
    <t>Costo Mantenimiento HH MDD Generación</t>
  </si>
  <si>
    <t>Sistema generación (Data Ellipse)</t>
  </si>
  <si>
    <t>Costo Mantenimiento Repuestos MDD Generación</t>
  </si>
  <si>
    <t>Costo Mantenimiento &amp; Reparaciones Externas</t>
  </si>
  <si>
    <t>Requerimientos de mantenimiento y reparciones externas</t>
  </si>
  <si>
    <t>Costo Servicios de Asistencia Técnica Externa</t>
  </si>
  <si>
    <t>Requerimientos de asistencia tecnica</t>
  </si>
  <si>
    <t>Mejoramientos &amp; Otras Inversiones Ocasionales</t>
  </si>
  <si>
    <t>Inversiones Ocasionales</t>
  </si>
  <si>
    <t>Reposicion de aceite Galones Galones- Mes (DTE-832)</t>
  </si>
  <si>
    <t>Galones- Mes (DTE-832)</t>
  </si>
  <si>
    <t>Consumo de Diésel (Galones)</t>
  </si>
  <si>
    <t>Galones - Mes (Diesel)</t>
  </si>
  <si>
    <t>Dólar Tasa Representativa Mercado (Pesos)</t>
  </si>
  <si>
    <t>TRM Dólar</t>
  </si>
  <si>
    <t>TOTAL COSTO VARIABLE</t>
  </si>
  <si>
    <t>METRICAS DE DESEMPEÑO TECNICO</t>
  </si>
  <si>
    <t>DESCRIPCIÓN</t>
  </si>
  <si>
    <t>Energia Neta Generada (MWh/mes)</t>
  </si>
  <si>
    <t>Energia Electrica Neta Generada Mes</t>
  </si>
  <si>
    <t>Energia Electrica Generada  (MWh/mes)</t>
  </si>
  <si>
    <t>Energia electrica Total Generada Mes</t>
  </si>
  <si>
    <t>Energia de Auxiliares (MWh/mes)</t>
  </si>
  <si>
    <t>Energia consumida por auxiliares Mes</t>
  </si>
  <si>
    <r>
      <t>Poder Calorico del Gas (Btu/ft</t>
    </r>
    <r>
      <rPr>
        <b/>
        <sz val="10"/>
        <color theme="1"/>
        <rFont val="Calibri"/>
        <family val="2"/>
      </rPr>
      <t>³</t>
    </r>
    <r>
      <rPr>
        <b/>
        <sz val="8.1999999999999993"/>
        <color theme="1"/>
        <rFont val="Calibri"/>
        <family val="2"/>
      </rPr>
      <t>)</t>
    </r>
  </si>
  <si>
    <t xml:space="preserve">Poder Calorifico de gas </t>
  </si>
  <si>
    <r>
      <t>Energia Gas para generar kW (MMBtu</t>
    </r>
    <r>
      <rPr>
        <b/>
        <sz val="8.1999999999999993"/>
        <color theme="1"/>
        <rFont val="Calibri"/>
        <family val="2"/>
      </rPr>
      <t>)</t>
    </r>
  </si>
  <si>
    <t xml:space="preserve">Constante Energia </t>
  </si>
  <si>
    <t>Potencia 2 Turbogeneradores MW</t>
  </si>
  <si>
    <t>Potencia 20 MW X 2 Turbogeneradores</t>
  </si>
  <si>
    <t>Consumo de Gas Combustible Mes (MMSCFD)</t>
  </si>
  <si>
    <t>Consumo de gas combustible Mes</t>
  </si>
  <si>
    <t>Consumo de  Combustible (Energia MMBtu/mes)</t>
  </si>
  <si>
    <t>Consumo de Combustible Mes MMBTU</t>
  </si>
  <si>
    <t xml:space="preserve">Horas Mes </t>
  </si>
  <si>
    <t xml:space="preserve">Horas del mes </t>
  </si>
  <si>
    <t>Suministra equipo Confiabilidad</t>
  </si>
  <si>
    <t>Disponibilidad Mensual</t>
  </si>
  <si>
    <t>Etiquetas de columna</t>
  </si>
  <si>
    <t>Valores</t>
  </si>
  <si>
    <t>Total general</t>
  </si>
  <si>
    <t>Ene</t>
  </si>
  <si>
    <t>Feb</t>
  </si>
  <si>
    <t>Mar</t>
  </si>
  <si>
    <t>Abr</t>
  </si>
  <si>
    <t>May</t>
  </si>
  <si>
    <t>Jun</t>
  </si>
  <si>
    <t>Jul</t>
  </si>
  <si>
    <t>Ago</t>
  </si>
  <si>
    <t>Sep</t>
  </si>
  <si>
    <t>Oct</t>
  </si>
  <si>
    <t>Nov</t>
  </si>
  <si>
    <t>Dic</t>
  </si>
  <si>
    <t>Etiquetas de fila</t>
  </si>
  <si>
    <t>STORK - ECOPETROL</t>
  </si>
  <si>
    <t>MODELO DE COSTOS DE GENERACION ELECTRICA CUPIAGUA</t>
  </si>
  <si>
    <t>INSTRUCCIONES DE USO</t>
  </si>
  <si>
    <r>
      <t xml:space="preserve">1. En la hoja </t>
    </r>
    <r>
      <rPr>
        <b/>
        <sz val="16"/>
        <color theme="1"/>
        <rFont val="Calibri"/>
        <family val="2"/>
        <scheme val="minor"/>
      </rPr>
      <t xml:space="preserve">Datos Mes, </t>
    </r>
    <r>
      <rPr>
        <sz val="16"/>
        <color theme="1"/>
        <rFont val="Calibri"/>
        <family val="2"/>
        <scheme val="minor"/>
      </rPr>
      <t>en las celdas resaltadas en color azul, se deben introducir los datos requeridos para cada una de las plantas de MASA en el mes evaluado. Los links o vínculos incluidos, permiten una rápida navegación por el Modelo y la localización de las áreas o secciones deseadas dentro de cada hoja del libro.</t>
    </r>
  </si>
  <si>
    <r>
      <t xml:space="preserve">2. La hoja </t>
    </r>
    <r>
      <rPr>
        <b/>
        <sz val="16"/>
        <color theme="1"/>
        <rFont val="Calibri"/>
        <family val="2"/>
        <scheme val="minor"/>
      </rPr>
      <t xml:space="preserve">Resultados Mes &amp; Acum. </t>
    </r>
    <r>
      <rPr>
        <sz val="16"/>
        <color theme="1"/>
        <rFont val="Calibri"/>
        <family val="2"/>
        <scheme val="minor"/>
      </rPr>
      <t>realiza los cálculos y presenta resultados correspondientes al mes evaluado, y el acumulado anual hasta dicho mes. Para cada una de las plantas de MASA (TES y TEO), y para el consolidado total de ambas plantas, se muestran los Resultados en forma de Tablas en las áreas o secciones siguientes:
• Métricas de Desempeño
• Elementos de Costos &amp; Gastos
• Key Performance Indices (KPIs)                                                                                                                                                                                    Los resultados se detallan para cada mes, incluyendo el acumulado anual en la columna situada inmediatamente a la derecha del mes correspondiente, asi como los Promedios Anuales (Mínimo, Promedio y Máximo).</t>
    </r>
  </si>
  <si>
    <r>
      <t xml:space="preserve">3. La hoja </t>
    </r>
    <r>
      <rPr>
        <b/>
        <sz val="16"/>
        <color theme="1"/>
        <rFont val="Calibri"/>
        <family val="2"/>
        <scheme val="minor"/>
      </rPr>
      <t>Gráficos Mes &amp; Acum.</t>
    </r>
    <r>
      <rPr>
        <sz val="16"/>
        <color theme="1"/>
        <rFont val="Calibri"/>
        <family val="2"/>
        <scheme val="minor"/>
      </rPr>
      <t xml:space="preserve"> incluye gráficos representativos de los resultados obtenidos en la hoja Resultados Mes &amp; Acum. 
Para cada una de las plantas de MASA (TES Y TEO) y para el Total Plantas, se presentan Gráficos representativos de:
• Métricas de Desempeño
• Elementos de Costos &amp; Gastos
• Key Performance Indices (KPIs)
</t>
    </r>
  </si>
  <si>
    <t>Definición de Costos de Generación de Electricidad  GDP</t>
  </si>
  <si>
    <t>Ítem No.</t>
  </si>
  <si>
    <t>Costos Fijos</t>
  </si>
  <si>
    <t>La generación de energía eléctrica para el CPF-Cupiagua esta operada  por : -3 Técnicos Senior en turno 14X7, con una asignación del 60% del tiempo para actividades de generación y 40% para requerimientos del sistema de distribución. Se contemplan los costos en porcentaje del personal requerido para las actividades de generación (HSE, Supervisor, Confiabilidad, CMMS, etc.)</t>
  </si>
  <si>
    <t xml:space="preserve">Generales &amp; Administración Operación </t>
  </si>
  <si>
    <t>Pendiente definir por el Ing. Rafael.</t>
  </si>
  <si>
    <t>Generales &amp; Administración Mantenimiento</t>
  </si>
  <si>
    <t>Horas Hombre de Mantenimiento</t>
  </si>
  <si>
    <t>Costo de Horas Hombre utilizadas en el mantenimiento de los sistemas asociados a la generación de energía eléctrica (Eléctrico, mecánico, instrumentación, mantenimiento predictivo, planeación)</t>
  </si>
  <si>
    <t>Seguros, Impuestos</t>
  </si>
  <si>
    <t>Depreciación</t>
  </si>
  <si>
    <t>Disminución periódica del valor de un bien material. Esta depreciación puede derivarse de tres razones principales: depreciación física, funcional y obsolescencia.</t>
  </si>
  <si>
    <t>Otros Costos Fijos</t>
  </si>
  <si>
    <t>Costos Variables</t>
  </si>
  <si>
    <t>Servicios de Asistencia Técnica Externa</t>
  </si>
  <si>
    <t xml:space="preserve">Costos asociados a soportes tecnicos externos </t>
  </si>
  <si>
    <t>Consumo de Gas</t>
  </si>
  <si>
    <t>N/A</t>
  </si>
  <si>
    <t>Consumo de Diésel (cotu)</t>
  </si>
  <si>
    <t>Costo del combustible para la operación de las turbinas y generadores de emergencia.</t>
  </si>
  <si>
    <t>Aceite de Lubricacion, Químicos &amp; Otros Insumos</t>
  </si>
  <si>
    <t>Costos asociados a la reposicion de aceite, refrigerante u otro insumo utilizado en la operación de los turbogenradores.</t>
  </si>
  <si>
    <t>Mantenimiento &amp; Reparaciones Externas</t>
  </si>
  <si>
    <t>Costo por mantenimientos y/o reparaciones en talleres  externos.</t>
  </si>
  <si>
    <t>Mantenimientos Mayores (HH) (HGPI, CCI, OVH)</t>
  </si>
  <si>
    <t>Costo de Horas Hombre utilizadas en los mantenimientos mayores de los turbogeneradores (CCI, HGPI, OVH)</t>
  </si>
  <si>
    <t>Repuestos</t>
  </si>
  <si>
    <t>Costo por repuestos, equipos y/o partes utilizados para el mantenimiento de los sistemas asociados a la generacion de energia electrica</t>
  </si>
  <si>
    <t>Ley 99 &amp; Otros Costos Ambientales &amp; Regulatorios</t>
  </si>
  <si>
    <t>Otros Costos  Variables</t>
  </si>
  <si>
    <t>Metricas Desempeño Tecnico</t>
  </si>
  <si>
    <t>MWh (mes)</t>
  </si>
  <si>
    <t>Energía Neta Generada (MWh/mes)</t>
  </si>
  <si>
    <t>Consumo de Combustible (MMBtu/mes)</t>
  </si>
  <si>
    <t>Horas de Salidas Programadas (horas/mes)</t>
  </si>
  <si>
    <t>Horas de Salidas Correctivas (horas/mes)</t>
  </si>
  <si>
    <t xml:space="preserve">Tasa Cambio Mensual </t>
  </si>
  <si>
    <t>(COP/US$)</t>
  </si>
  <si>
    <t>Modelo de Costos de Generación de Electricidad</t>
  </si>
  <si>
    <t>HOJA ENTRADA DE DATOS MENSUALES POR PLANTA</t>
  </si>
  <si>
    <t>COSTOS FIJOS (en COP/mes)</t>
  </si>
  <si>
    <t>Personal</t>
  </si>
  <si>
    <t>Generales &amp; Administración (G&amp;A)</t>
  </si>
  <si>
    <t>Capacitación &amp; Entrenamiento de Personal</t>
  </si>
  <si>
    <t>Uniformes &amp; Elementos de Protección Personal</t>
  </si>
  <si>
    <t>Logística &amp; Transporte</t>
  </si>
  <si>
    <t>Seguros</t>
  </si>
  <si>
    <t>Impuestos al Patrimonio, ICA &amp; Otros</t>
  </si>
  <si>
    <t>Depreciaciones &amp; Amorizaciones</t>
  </si>
  <si>
    <t>Contrato de O&amp;M</t>
  </si>
  <si>
    <t>Otros Costos &amp; Gastos Fijos</t>
  </si>
  <si>
    <t>COSTOS VARIABLES (en COP/mes)</t>
  </si>
  <si>
    <t>Transporte de Gas</t>
  </si>
  <si>
    <t>Otros Costos de Gas Combustible</t>
  </si>
  <si>
    <t>Mantenimiento &amp; Repaciones Menores</t>
  </si>
  <si>
    <t>Lubricantes, Quimicos &amp; Otros Insumos</t>
  </si>
  <si>
    <t>Overhauls (Reparaciones Mayores)</t>
  </si>
  <si>
    <t>Otros Costos &amp; Gastos Variables</t>
  </si>
  <si>
    <t>Horas de Salidas Forzadas (horas/mes)</t>
  </si>
  <si>
    <t>TASA DE CAMBIO MENSUAL (COP/US$)</t>
  </si>
  <si>
    <t>Codigo de Colores de Celdas</t>
  </si>
  <si>
    <t>Celdas de Datos de Entrada</t>
  </si>
  <si>
    <t>Celdas de Resultados</t>
  </si>
  <si>
    <t>Resultados Mes &amp; Acum'!A1</t>
  </si>
  <si>
    <t>Cupiagua N° 1</t>
  </si>
  <si>
    <t>Cupiagua N° 2</t>
  </si>
  <si>
    <t>DIA</t>
  </si>
  <si>
    <t>EXT</t>
  </si>
  <si>
    <t>Gonzalo Coronado Nuñez</t>
  </si>
  <si>
    <t>E-mail</t>
  </si>
  <si>
    <t>OBSERVACIONES</t>
  </si>
  <si>
    <t>DESCRIPCIÓN DEL EVENTO</t>
  </si>
  <si>
    <t>ALIMENTADORES Y CARGAS</t>
  </si>
  <si>
    <t>GEN DIA</t>
  </si>
  <si>
    <t>GEN MES</t>
  </si>
  <si>
    <t>GEN AÑO</t>
  </si>
  <si>
    <t>GENERACIÓN VS PRODUCCIÓN</t>
  </si>
  <si>
    <t>PRODUCCIÓN</t>
  </si>
  <si>
    <t>ENERGÍA</t>
  </si>
  <si>
    <t>PROD. EQUIVALENTE (BEPD)</t>
  </si>
  <si>
    <t>ENERGÍA REACTIVA
(MWh/día)</t>
  </si>
  <si>
    <t>CRUDO</t>
  </si>
  <si>
    <t>TOTAL CUP</t>
  </si>
  <si>
    <t>AGUA PRODUCIDA</t>
  </si>
  <si>
    <t>ENERGÍA MAX</t>
  </si>
  <si>
    <t>ENERGÍA MIN</t>
  </si>
  <si>
    <t>PROMEDIO POTENCIA ACTIVA</t>
  </si>
  <si>
    <t>PROMEDIO POTENCIA REACT</t>
  </si>
  <si>
    <t>Bbls</t>
  </si>
  <si>
    <t>Perdida de llama por ajuste sistema aceite hidráulico</t>
  </si>
  <si>
    <t>Suma de ene-16</t>
  </si>
  <si>
    <t>Suma de feb-16</t>
  </si>
  <si>
    <t>DISPONIBLE</t>
  </si>
  <si>
    <t>Se da parada normal a la unidad para revisar la válvula 20FG.</t>
  </si>
  <si>
    <t>Suma de mar-16</t>
  </si>
  <si>
    <t>Luis Carlos Morales</t>
  </si>
  <si>
    <t>OPERADOR CUSIANA</t>
  </si>
  <si>
    <t>OPERADOR CUPIAGUA</t>
  </si>
  <si>
    <t>Jose Perez</t>
  </si>
  <si>
    <t>CPF    CUSIANA</t>
  </si>
  <si>
    <t>CPF    CUPIAGUA</t>
  </si>
  <si>
    <t>MODO DE OPERACIÓN</t>
  </si>
  <si>
    <t>ISOCH</t>
  </si>
  <si>
    <t>DROOP</t>
  </si>
  <si>
    <t>G-7108</t>
  </si>
  <si>
    <t xml:space="preserve">CUSIANA                                                 </t>
  </si>
  <si>
    <t xml:space="preserve">CUPIAGUA                                             </t>
  </si>
  <si>
    <t>KV =</t>
  </si>
  <si>
    <t>P1-KM-24101 (DEMAG A )</t>
  </si>
  <si>
    <t>MP-KM-2101 (DEMAG 2)</t>
  </si>
  <si>
    <t>P1-KM-24201 (DEMAG B )</t>
  </si>
  <si>
    <t xml:space="preserve"> S/E 20,   OCENSA "A"</t>
  </si>
  <si>
    <t xml:space="preserve"> S/E 20,   OCENSA "B"</t>
  </si>
  <si>
    <t>P-60007 C   (WEIR C)</t>
  </si>
  <si>
    <t>P-60007 D   (WEIR D)</t>
  </si>
  <si>
    <t>P-60007 E   (WEIR E)</t>
  </si>
  <si>
    <t>Línea Aérea (llenadero)</t>
  </si>
  <si>
    <t xml:space="preserve"> S/E PLANTA GAS Y JT </t>
  </si>
  <si>
    <t>Planta (Sub/10, Sub/14, SWG)</t>
  </si>
  <si>
    <t xml:space="preserve">CUSIANA                                                </t>
  </si>
  <si>
    <t>APERTURA</t>
  </si>
  <si>
    <t>NORMALIDAD</t>
  </si>
  <si>
    <t>PROTECCION OPERADA</t>
  </si>
  <si>
    <r>
      <t xml:space="preserve">NO </t>
    </r>
    <r>
      <rPr>
        <sz val="8"/>
        <color theme="0"/>
        <rFont val="Calibri"/>
        <family val="2"/>
        <scheme val="minor"/>
      </rPr>
      <t>DISPONIBLE</t>
    </r>
  </si>
  <si>
    <t>Ricardo León Ramírez</t>
  </si>
  <si>
    <t>ENERGÍA ACTIVA (DIA)</t>
  </si>
  <si>
    <t>TOTAL CUS</t>
  </si>
  <si>
    <t>MVARH</t>
  </si>
  <si>
    <t>PRODUCCIÓN MAX   DE AGUA</t>
  </si>
  <si>
    <t>PRODUCCIÓN MAX      DE AGUA</t>
  </si>
  <si>
    <t>PRODUCCIÓN MIN    DE AGUA</t>
  </si>
  <si>
    <t>COMENTARIOS CUSIANA</t>
  </si>
  <si>
    <t>COMENTARIOS CUPIAGUA</t>
  </si>
  <si>
    <t>Intensidad Energética</t>
  </si>
  <si>
    <t>GEN CUP</t>
  </si>
  <si>
    <t>GEN NW</t>
  </si>
  <si>
    <t>GEN XL</t>
  </si>
  <si>
    <t>GEN POZOS</t>
  </si>
  <si>
    <t>IE_GDP</t>
  </si>
  <si>
    <t>IE_CPF</t>
  </si>
  <si>
    <t>IE_META</t>
  </si>
  <si>
    <t>GT1</t>
  </si>
  <si>
    <t>GT2</t>
  </si>
  <si>
    <t>poder calorifico GT1/GT2</t>
  </si>
  <si>
    <t>Meta</t>
  </si>
  <si>
    <t xml:space="preserve">Consumo gas mmscfd </t>
  </si>
  <si>
    <t>Energía generada</t>
  </si>
  <si>
    <t>Heat rate GT1</t>
  </si>
  <si>
    <t>Heat rate GT2</t>
  </si>
  <si>
    <t>FACTOR DE PRODUCCIÓN NETA</t>
  </si>
  <si>
    <t xml:space="preserve">Formula: </t>
  </si>
  <si>
    <t xml:space="preserve"> NOF = ( EEgen / Tserv * CAPinst) X 100</t>
  </si>
  <si>
    <t>SISTEMA</t>
  </si>
  <si>
    <t>Energía Eléctrica generada (MWh)</t>
  </si>
  <si>
    <t>Tiempo de servicio (hrs)</t>
  </si>
  <si>
    <t>Capacidad instalada</t>
  </si>
  <si>
    <t>Generación del mes</t>
  </si>
  <si>
    <t>Tiempo del mes (hrs)</t>
  </si>
  <si>
    <t>INTENSIDAD ENERGETICA</t>
  </si>
  <si>
    <t>HEAT RATE</t>
  </si>
  <si>
    <t xml:space="preserve">  COMENTARIOS Y DESCRIPCIÓN DE OTRAS MANIOBRAS Y ACTIVIDADES REALIZADAS</t>
  </si>
  <si>
    <t>CARGA  (MW)</t>
  </si>
  <si>
    <t>AMP</t>
  </si>
  <si>
    <t>TENSION (KV)</t>
  </si>
  <si>
    <t xml:space="preserve">  COMENTARIOS Y DESCRIPCIÓN DE OPERACIONES, CORRECTIVOS  Y ACTIVIDADES REALIZADAS </t>
  </si>
  <si>
    <t xml:space="preserve"> COMENTARIOS Y DESCRIPCIÓN DE OTRAS MANIOBRAS Y ACTIVIDADES REALIZADAS</t>
  </si>
  <si>
    <t>FACILIDAD XL</t>
  </si>
  <si>
    <t>CUPIAGUA                         AGUA PRODUCIDA</t>
  </si>
  <si>
    <t>TOTAL XL</t>
  </si>
  <si>
    <t>US-G-8005  Mwh/Dia</t>
  </si>
  <si>
    <t>US-GT-8002  Mwh/Dia</t>
  </si>
  <si>
    <t>US-GT-8001  Mwh/Dia</t>
  </si>
  <si>
    <t>US-G-8006  Mwh/Dia</t>
  </si>
  <si>
    <t>TOTAL</t>
  </si>
  <si>
    <t>PR 4182</t>
  </si>
  <si>
    <t>PR 0433</t>
  </si>
  <si>
    <r>
      <rPr>
        <b/>
        <sz val="12"/>
        <color indexed="12"/>
        <rFont val="Arial"/>
        <family val="2"/>
      </rPr>
      <t>PLANTA  GAS</t>
    </r>
    <r>
      <rPr>
        <b/>
        <sz val="10"/>
        <color indexed="12"/>
        <rFont val="Arial"/>
        <family val="2"/>
      </rPr>
      <t xml:space="preserve">              Mwh/Dia</t>
    </r>
  </si>
  <si>
    <r>
      <rPr>
        <b/>
        <sz val="12"/>
        <color indexed="12"/>
        <rFont val="Arial"/>
        <family val="2"/>
      </rPr>
      <t>AREA  ADMIN</t>
    </r>
    <r>
      <rPr>
        <b/>
        <sz val="10"/>
        <color indexed="12"/>
        <rFont val="Arial"/>
        <family val="2"/>
      </rPr>
      <t xml:space="preserve">              Mwh/Dia</t>
    </r>
  </si>
  <si>
    <t>PR 4202</t>
  </si>
  <si>
    <t>PR 4155</t>
  </si>
  <si>
    <t>PR 4143</t>
  </si>
  <si>
    <t>PR 4152</t>
  </si>
  <si>
    <t>KM-2501   HOROMETRO                     SOFT START</t>
  </si>
  <si>
    <t>KM-2501                                  Mvar</t>
  </si>
  <si>
    <t xml:space="preserve">KM-2501                                       MWH </t>
  </si>
  <si>
    <t xml:space="preserve"> S-E PPAL                                     US-MCC-8007    MWH </t>
  </si>
  <si>
    <t>MP-KM-2101               HOROMETRO</t>
  </si>
  <si>
    <t>US-G-8005                HOROMETRO</t>
  </si>
  <si>
    <t>US-G-8005                        MVar</t>
  </si>
  <si>
    <t xml:space="preserve">US-G-8005                     MWH </t>
  </si>
  <si>
    <t xml:space="preserve">US-TR-8046                             MWH </t>
  </si>
  <si>
    <t xml:space="preserve">US-TR-8015                         MWH </t>
  </si>
  <si>
    <t xml:space="preserve">US-TR-8002                         MWH </t>
  </si>
  <si>
    <t xml:space="preserve">US-TR-8003                               MWH </t>
  </si>
  <si>
    <t xml:space="preserve">US-G-8002                       MWH </t>
  </si>
  <si>
    <t>US-G-8002                             MVar</t>
  </si>
  <si>
    <t>US-G-8002                                   HOROMETRO</t>
  </si>
  <si>
    <t>US-G-8002                                    MEDIDOR DE DIESEL</t>
  </si>
  <si>
    <t xml:space="preserve">US-G-8001                                MWH </t>
  </si>
  <si>
    <t>US-G-8001                              MVar</t>
  </si>
  <si>
    <t>US-G-8001                                     HOROMETRO</t>
  </si>
  <si>
    <t>US-G-8001                                MEDIDOR DE DIESEL</t>
  </si>
  <si>
    <t xml:space="preserve">US-TR-8004                   MWH </t>
  </si>
  <si>
    <t xml:space="preserve">US-TR-8011                   MWH </t>
  </si>
  <si>
    <t>US-MCC-8007</t>
  </si>
  <si>
    <t>US-MCC-8009</t>
  </si>
  <si>
    <t>OPERADOR FACILIDAD XL</t>
  </si>
  <si>
    <t>CONSUMO DIA CUS</t>
  </si>
  <si>
    <t>PRODUCCIÓN MAX DE CRUDO</t>
  </si>
  <si>
    <t>PRODUCCIÓN MIN CRUDO</t>
  </si>
  <si>
    <t>COMENTARIOS FACILIDAD XL</t>
  </si>
  <si>
    <t>Debray Molano</t>
  </si>
  <si>
    <t>GENERADOR</t>
  </si>
  <si>
    <t>PR 4181</t>
  </si>
  <si>
    <t>Factor de producción G1</t>
  </si>
  <si>
    <t>Factor de producción G2</t>
  </si>
  <si>
    <t>Factor de producción Sistema</t>
  </si>
  <si>
    <t>CRUDO + NGL's</t>
  </si>
  <si>
    <t>GAS VENTAS + GLP</t>
  </si>
  <si>
    <t xml:space="preserve">FACILIDAD XL                    G-0103  KVARH </t>
  </si>
  <si>
    <t xml:space="preserve">FACILIDAD XL                   G-0103  KWH </t>
  </si>
  <si>
    <t xml:space="preserve">FACILIDAD XL                    G-0104  KWH </t>
  </si>
  <si>
    <t xml:space="preserve">FACILIDAD XL                     G-0104  KVARH </t>
  </si>
  <si>
    <t xml:space="preserve">CRUDO (BEPD) XL            PROD. EQUIVALENTE </t>
  </si>
  <si>
    <t xml:space="preserve">GAS  (BEPD)   XL          PROD. EQUIVALENTE </t>
  </si>
  <si>
    <t xml:space="preserve">AGUA PRODUCIDA                              XL  </t>
  </si>
  <si>
    <t>U1-G-80001</t>
  </si>
  <si>
    <t>U1-G-80002</t>
  </si>
  <si>
    <t>U1-G-80003</t>
  </si>
  <si>
    <t>G-80005</t>
  </si>
  <si>
    <t>Disparo por señal falsa L45TRIP</t>
  </si>
  <si>
    <t>3.-     Para generar PRODUCCION VS ENERGIA favor digitar la fecha en la casilla amarilla  luego pulsar PRODUCCION VS ENERGIA</t>
  </si>
  <si>
    <t>11.-   Para generar ECOPETROL MENSUAL verificar que se encuentre digitadas las casillas amarillas, luego pulsar GAS ECOPETROL MENSUAL.</t>
  </si>
  <si>
    <t>12.-.  Para generar TOTAL POR AREAS verificar que se encuentre digitadas las casillas amarillas, luego pulsar TOTAL POR AREAS. (Para Ing. Rafael Sanabria) mensualmente</t>
  </si>
  <si>
    <t xml:space="preserve">13.-   Para generar EL ARCHIVO TOTAL ANUAL-MENSUAL donde se encuentra el resumen anual este se envía a Charly 5 mensualmente.   </t>
  </si>
  <si>
    <t>ABIERTO=0  CERRADO=1</t>
  </si>
  <si>
    <t>US-TR-8005 Q7</t>
  </si>
  <si>
    <t>CARGA ESEN DISTRIB</t>
  </si>
  <si>
    <t>carga esenciales RESTO</t>
  </si>
  <si>
    <t>AREA  ADMIN              Mwh/Dia</t>
  </si>
  <si>
    <r>
      <rPr>
        <b/>
        <sz val="12"/>
        <color indexed="12"/>
        <rFont val="Arial"/>
        <family val="2"/>
      </rPr>
      <t>DISTRIBUCION</t>
    </r>
    <r>
      <rPr>
        <b/>
        <sz val="10"/>
        <color indexed="12"/>
        <rFont val="Arial"/>
        <family val="2"/>
      </rPr>
      <t xml:space="preserve"> Mwh/Dia</t>
    </r>
  </si>
  <si>
    <t>Falla acople y  bomba hidraulica, presion 0 PSI</t>
  </si>
  <si>
    <t>CONSUMO DIA CUP</t>
  </si>
  <si>
    <t>CECO EMISOR</t>
  </si>
  <si>
    <t>CECO RECEPTOR</t>
  </si>
  <si>
    <t>PLANEADO</t>
  </si>
  <si>
    <t>REAL</t>
  </si>
  <si>
    <t>JULIO</t>
  </si>
  <si>
    <t>AGOSTO</t>
  </si>
  <si>
    <t>kWh</t>
  </si>
  <si>
    <t>PR4182</t>
  </si>
  <si>
    <t>Energía Autogenerada</t>
  </si>
  <si>
    <t>PR4181</t>
  </si>
  <si>
    <t>Planta de Gas</t>
  </si>
  <si>
    <t>PR4152</t>
  </si>
  <si>
    <t xml:space="preserve">Estacion Almacenamiento Ocensa/CPF  </t>
  </si>
  <si>
    <t>Estación de tratamiento</t>
  </si>
  <si>
    <t>PR4155</t>
  </si>
  <si>
    <t>Facilidad de compresión</t>
  </si>
  <si>
    <t>PR4202</t>
  </si>
  <si>
    <t>Áreas administrativas</t>
  </si>
  <si>
    <t>PR 4142</t>
  </si>
  <si>
    <t>Estación XL Cupiagua Sur</t>
  </si>
  <si>
    <t>PR0433</t>
  </si>
  <si>
    <t>Distribucción de energía</t>
  </si>
  <si>
    <t>REAL d Verd</t>
  </si>
  <si>
    <t>DISTRIBUCION Mwh/Dia</t>
  </si>
  <si>
    <r>
      <rPr>
        <b/>
        <sz val="12"/>
        <color indexed="12"/>
        <rFont val="Arial"/>
        <family val="2"/>
      </rPr>
      <t>Facilidad de compresión</t>
    </r>
    <r>
      <rPr>
        <b/>
        <sz val="10"/>
        <color indexed="12"/>
        <rFont val="Arial"/>
        <family val="2"/>
      </rPr>
      <t xml:space="preserve"> Mwh/Dia</t>
    </r>
  </si>
  <si>
    <r>
      <rPr>
        <b/>
        <sz val="12"/>
        <color indexed="12"/>
        <rFont val="Arial"/>
        <family val="2"/>
      </rPr>
      <t>Estación de tratamiento</t>
    </r>
    <r>
      <rPr>
        <b/>
        <sz val="10"/>
        <color indexed="12"/>
        <rFont val="Arial"/>
        <family val="2"/>
      </rPr>
      <t xml:space="preserve"> Mwh/Dia</t>
    </r>
  </si>
  <si>
    <r>
      <rPr>
        <b/>
        <sz val="12"/>
        <color indexed="12"/>
        <rFont val="Arial"/>
        <family val="2"/>
      </rPr>
      <t xml:space="preserve">Estacion Almacenamiento Ocensa/CPF  </t>
    </r>
    <r>
      <rPr>
        <b/>
        <sz val="10"/>
        <color indexed="12"/>
        <rFont val="Arial"/>
        <family val="2"/>
      </rPr>
      <t xml:space="preserve">                 Mwh/Dia</t>
    </r>
  </si>
  <si>
    <t>Estación de tratamiento Mwh/Dia</t>
  </si>
  <si>
    <t>Facilidad de compresión Mwh/Dia</t>
  </si>
  <si>
    <t>Estacion Almacenamiento Ocensa/CPF                   Mwh/Dia</t>
  </si>
  <si>
    <t>CARGA sin esenciales</t>
  </si>
  <si>
    <t>CARGA TOTAL CON CECOS (con esenciales)</t>
  </si>
  <si>
    <t>Energía utilitarios (US-TR-8004 ó 8003+ US-TR-8005)-Consumo auxiliares GT1+GT2</t>
  </si>
  <si>
    <t>REPORTE DATOS ESTADISTICOS</t>
  </si>
  <si>
    <t>Tot ESTADISTICOS</t>
  </si>
  <si>
    <t>Consumo de calor %  del diseño</t>
  </si>
  <si>
    <t>Consumo de calor %   Corregido</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</si>
  <si>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</si>
  <si>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</si>
  <si>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</si>
  <si>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</si>
  <si>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</si>
  <si>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</si>
  <si>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</si>
  <si>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</si>
  <si>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</si>
  <si>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ENERO</t>
  </si>
  <si>
    <t>FEBRERO</t>
  </si>
  <si>
    <t>MARZO</t>
  </si>
  <si>
    <t>ABRIL</t>
  </si>
  <si>
    <t>MAYO</t>
  </si>
  <si>
    <t>JUNIO</t>
  </si>
  <si>
    <t>Fotovoltaica Pozos Cupiagua</t>
  </si>
  <si>
    <t>PR4113</t>
  </si>
  <si>
    <t>Pozos crudo y gas Cupiagua</t>
  </si>
  <si>
    <t>PR4114</t>
  </si>
  <si>
    <t>Pozos crudo y gas Cupiagua Sur</t>
  </si>
  <si>
    <t>PR4221</t>
  </si>
  <si>
    <t>Pozos inyectores Cupiagua</t>
  </si>
  <si>
    <t>PR4222</t>
  </si>
  <si>
    <t>Pozos Inyectores Cupiagua Sur</t>
  </si>
  <si>
    <t>PR4188</t>
  </si>
  <si>
    <t xml:space="preserve">Energía Regulada Cupiagua </t>
  </si>
  <si>
    <t>PR4140</t>
  </si>
  <si>
    <t>Líneas recolección Cupiagua</t>
  </si>
  <si>
    <t>PR4137</t>
  </si>
  <si>
    <t>Líneas recolección Cupiagua Sur</t>
  </si>
  <si>
    <t>PRONOSTICO DE CONSUMO POR PROCESO</t>
  </si>
  <si>
    <t>SEPTIEMBRE</t>
  </si>
  <si>
    <t>OCTUBRE</t>
  </si>
  <si>
    <t>DICIEMBRE</t>
  </si>
  <si>
    <t>PRONOSTICO DEMANDA</t>
  </si>
  <si>
    <t>2.-     Para generar REPORTE DIARIO  Y ECO favor digitar la fecha en la casilla amarilla  luego pulsar REPORTE DIARIO  Y ECO (Azul)</t>
  </si>
  <si>
    <t>4.-     Para generar INFORME DIARIO favor digitar la fecha en la casilla amarilla  luego pulsar INFORME DIARIO (Azul)</t>
  </si>
  <si>
    <t>5.-     Para generar COSTO DEL KWH verificar que se encuentre digitadas las casillas amarillas, luego pulsar COSTO DEL KWH (Verde).</t>
  </si>
  <si>
    <t xml:space="preserve">6.-     Para generar GERENCIAL SUP STORK donde se encuentra el archivo de las gráficas estos se envía a Grandas y Jorges mensualmente.   </t>
  </si>
  <si>
    <t>Opseniorgen.cup@Stork.com</t>
  </si>
  <si>
    <t>Opseniorgen.Cup@Stork.com</t>
  </si>
  <si>
    <t>FACTOR</t>
  </si>
  <si>
    <t>PR1013</t>
  </si>
  <si>
    <t>SEPARACIÓN - Sistema Separación</t>
  </si>
  <si>
    <t>COMPRESIÓN GAS PROCESO - Sistema de compresión gas de proceso</t>
  </si>
  <si>
    <t>PR4145</t>
  </si>
  <si>
    <t>DESHIDRATACIÓN - Sistema Trietilenglycol</t>
  </si>
  <si>
    <t>PR1016</t>
  </si>
  <si>
    <t>FUEL GAS - Sistema de Fuel Gas</t>
  </si>
  <si>
    <t>PR1015</t>
  </si>
  <si>
    <t xml:space="preserve">COMPRESIÓN REINYECCIÓN - Sistema compresión a Reinyección </t>
  </si>
  <si>
    <t>PR4183</t>
  </si>
  <si>
    <t>SEPARACIÓN PGC - Sistema JT y pretratamiento PGC</t>
  </si>
  <si>
    <t>PR1019</t>
  </si>
  <si>
    <t>TRATAMIENTO PGC - Sistema de endulzamiento PGC</t>
  </si>
  <si>
    <t>PR1020</t>
  </si>
  <si>
    <t>TRATAMIENTO PGC - Sistema Gas ácido</t>
  </si>
  <si>
    <t>PR4184</t>
  </si>
  <si>
    <t>COMPRESIÓN PGC - Sistema compresión Ventas PGC</t>
  </si>
  <si>
    <t>PR1014</t>
  </si>
  <si>
    <t>ALMACENAMIENTO - Tanques de almacenamiento CPF Cupiagua</t>
  </si>
  <si>
    <t>ALMACENAMIENTO - Almacenamiento y Despacho Ocensa</t>
  </si>
  <si>
    <t>PR1017</t>
  </si>
  <si>
    <t>GENERACIÓN - Sistema de generación</t>
  </si>
  <si>
    <t>PR1090</t>
  </si>
  <si>
    <t>Autogeneración Facilidades Cupiagua</t>
  </si>
  <si>
    <t>PR1091</t>
  </si>
  <si>
    <t>Distribucción de energía Cupiagua</t>
  </si>
  <si>
    <t>Generación mes</t>
  </si>
  <si>
    <t>PROCESO</t>
  </si>
  <si>
    <t>Trietilenglicol</t>
  </si>
  <si>
    <t>Bomba de fuera de especificaciones</t>
  </si>
  <si>
    <t>Batching</t>
  </si>
  <si>
    <t>BASE DEMANDA COMÚN PARA LOS PROCESOS</t>
  </si>
  <si>
    <t>UNIT</t>
  </si>
  <si>
    <t>ILUMINACIÓN</t>
  </si>
  <si>
    <t>AIRES ACOND</t>
  </si>
  <si>
    <t>UTILITARIOS</t>
  </si>
  <si>
    <t>TOTAL NO EQUIPOS</t>
  </si>
  <si>
    <t>Total pozos productores</t>
  </si>
  <si>
    <t>T Pozos productores Cupiagua</t>
  </si>
  <si>
    <t>T Pozos productores Cupiagua Sur</t>
  </si>
  <si>
    <t>Total pozos Inyectores</t>
  </si>
  <si>
    <t>G-8001</t>
  </si>
  <si>
    <t>Hubo parada para mantenimiento del turbogenerador SI (1)  NO(0)</t>
  </si>
  <si>
    <t>G-8002</t>
  </si>
  <si>
    <t>Cuantas paradas hubo para mantenimiento</t>
  </si>
  <si>
    <t>Operación normal (1 hora)</t>
  </si>
  <si>
    <t>G-8001/2</t>
  </si>
  <si>
    <t>Modo Rachet (1 hora)</t>
  </si>
  <si>
    <t>Enfriamiento 8 horas (8 horas)</t>
  </si>
  <si>
    <t>#</t>
  </si>
  <si>
    <t>Días del mes evaluado</t>
  </si>
  <si>
    <t>Consumo por parada y arra</t>
  </si>
  <si>
    <t>Número de paradas para mantenimiento</t>
  </si>
  <si>
    <t>Horas en operación normal</t>
  </si>
  <si>
    <t>Operación normal mes</t>
  </si>
  <si>
    <t>Consumo  de parada con enfriamiento Crank (8 horas)</t>
  </si>
  <si>
    <t>Tiempo de parada (horas)</t>
  </si>
  <si>
    <t>Energía no consumida por fuera de servicio en el mes</t>
  </si>
  <si>
    <t>incluido en formula</t>
  </si>
  <si>
    <t>Energía (hubo parada de mantenimiento de turbogenenerador)</t>
  </si>
  <si>
    <t>Energía (parada NO mantenimiento)</t>
  </si>
  <si>
    <t>S/E TREN 1 Y 2</t>
  </si>
  <si>
    <t>FUEL GAS</t>
  </si>
  <si>
    <t>TRATAMIENTO PGC</t>
  </si>
  <si>
    <t>ALMACENAMIENTO</t>
  </si>
  <si>
    <t>DESHIDRATACIÓN</t>
  </si>
  <si>
    <t>SEPARACIÓN - Sistema Separación T1</t>
  </si>
  <si>
    <t>SEPARACIÓN - Sistema Separación T2</t>
  </si>
  <si>
    <t>TOTAL kW/h</t>
  </si>
  <si>
    <t>PR4142</t>
  </si>
  <si>
    <t>XL</t>
  </si>
  <si>
    <t>PORCENTAJE</t>
  </si>
  <si>
    <t>TREN1/2 
URG+VRU</t>
  </si>
  <si>
    <t>COMPRESORES AIRE Y N2</t>
  </si>
  <si>
    <t>SUMA UNIT Y AIRE,N2,A.A</t>
  </si>
  <si>
    <t>PORCENTAJE
kWh</t>
  </si>
  <si>
    <t>ESTADISTICOS  TOTAL MESES</t>
  </si>
  <si>
    <t>Jorge E. Contreras</t>
  </si>
  <si>
    <t>opseniorgen.cus@stork.com</t>
  </si>
  <si>
    <t>Operadores.Xl5@Stork.com</t>
  </si>
  <si>
    <t>X 30 DIAS</t>
  </si>
  <si>
    <t>X 31 DIAS</t>
  </si>
  <si>
    <t>X 30DIAS</t>
  </si>
  <si>
    <t>AMP/H</t>
  </si>
  <si>
    <t>EDIFICIOS NO INDUSTRIALES A.A</t>
  </si>
  <si>
    <t>BOMBAS UTILITARIOS</t>
  </si>
  <si>
    <t>ADICIONAR A CECOS - MENOS GENERACION</t>
  </si>
  <si>
    <t>Disparo por potencia inversa</t>
  </si>
  <si>
    <t>Disparo por sobrefrecuencia</t>
  </si>
  <si>
    <t>X 10 DIAS</t>
  </si>
  <si>
    <t>ENERGÍA AUTOGENERADA CONTRATADA</t>
  </si>
  <si>
    <t>Consumo Total Kwh</t>
  </si>
  <si>
    <t>ACTIVO</t>
  </si>
  <si>
    <t>CAMPO</t>
  </si>
  <si>
    <t>SUBPROCESO</t>
  </si>
  <si>
    <t>Cupiagua Sur</t>
  </si>
  <si>
    <t>Tratamiento</t>
  </si>
  <si>
    <t>ALMACENAMIENTO -  OCENSA Almacenamiento y Despacho Ocensa</t>
  </si>
  <si>
    <t>Sistema Compresión a Reinyección</t>
  </si>
  <si>
    <t>Pozos inyectores Cupiagua Sur</t>
  </si>
  <si>
    <t>Planta y almacenamiento GLP</t>
  </si>
  <si>
    <t>Total</t>
  </si>
  <si>
    <t>José Pérez Agudelo</t>
  </si>
  <si>
    <t>Saúl Jiménez Rojas</t>
  </si>
  <si>
    <t>Gonzalo Coronado Núñez</t>
  </si>
  <si>
    <t>5.1</t>
  </si>
  <si>
    <t>(S/E PPAL)/9</t>
  </si>
  <si>
    <t>NO DISPONIBLE</t>
  </si>
  <si>
    <t>Parada normal para correccion de fuga de aciete por FH3</t>
  </si>
  <si>
    <t>Disparo por L45TRIP</t>
  </si>
  <si>
    <t>Sale de sincronismo por potencia inversa</t>
  </si>
  <si>
    <t>Disparo por spread L30SPT</t>
  </si>
  <si>
    <t>Para inspeccion robotica al generador</t>
  </si>
  <si>
    <t>Por baja presion de fuel gas</t>
  </si>
  <si>
    <t>Para mantenimiento mayor y cambio de los sistemas de control</t>
  </si>
  <si>
    <t>Disparo por baja frecuencia</t>
  </si>
  <si>
    <t>Disparo por proteccion diferencial en 13.8KV</t>
  </si>
  <si>
    <t>Disparo maniobra de cierre de US-TR-8044 por Restricted Ground Faul</t>
  </si>
  <si>
    <t>29/02/2018</t>
  </si>
  <si>
    <t>Nelson Gualteros Albarracín</t>
  </si>
  <si>
    <t xml:space="preserve">14.-   Para generar EL ARCHIVO "ESTADISTICOS" donde se encuentra LOS CECOS Y GORDOS PARA Yenny cada dia 21 del mes.   </t>
  </si>
  <si>
    <t>CPF –  CUSIANA / CUPIAGUA</t>
  </si>
  <si>
    <t>Hernan D. Patino</t>
  </si>
  <si>
    <t>Jorge E Contreras</t>
  </si>
  <si>
    <t>Nelson Gualteros</t>
  </si>
  <si>
    <t xml:space="preserve">Ricardo Leon Ramirez </t>
  </si>
  <si>
    <t>Hernan Patiño</t>
  </si>
  <si>
    <t>Ricardo León Ramirez</t>
  </si>
  <si>
    <t>Esenciales</t>
  </si>
  <si>
    <t>X 20 DIAS</t>
  </si>
  <si>
    <t>Planeado-kWh</t>
  </si>
  <si>
    <t>Real-kWh</t>
  </si>
  <si>
    <t>Energia Regulada (Enerca)</t>
  </si>
  <si>
    <t>Pozos crudo y gas volcanera</t>
  </si>
  <si>
    <t>PR4110</t>
  </si>
  <si>
    <t>Pozos crudo y gas Pauto en Recetor</t>
  </si>
  <si>
    <t>PR4111</t>
  </si>
  <si>
    <t>Facilidad XL</t>
  </si>
  <si>
    <t>PR4143</t>
  </si>
  <si>
    <t>Alamacenamiento</t>
  </si>
  <si>
    <t xml:space="preserve">TRIP L26AA2 Temperatura Aire de Atomización. </t>
  </si>
  <si>
    <t>Fuga aceite por tubing vapores del compresor aire de atomización.</t>
  </si>
  <si>
    <t>Disparo D2, abriendo interruptor de campo y disparo del turbogenerador.</t>
  </si>
  <si>
    <t>PPP y cambio de los sistemas de control(Mark Vie, EX2100e y PAC8000)</t>
  </si>
  <si>
    <t>Por parada programada total de planta(PPP)</t>
  </si>
  <si>
    <t xml:space="preserve"> Al energizar TR-8044, se dispara por "DIFERENCIAL DE ESTATOR". G60</t>
  </si>
  <si>
    <t>Sale de línea por potencia inversa(-1,2MW), en el SR489.</t>
  </si>
  <si>
    <t>NOVIEMBRE</t>
  </si>
  <si>
    <t xml:space="preserve">CUP  CRUDO (BEPD)                             PROD. EQUIVALENTE </t>
  </si>
  <si>
    <t>GDP</t>
  </si>
  <si>
    <t xml:space="preserve">                           </t>
  </si>
  <si>
    <t>04:30 Se dispara por baja presión hidráulica (señal L63 HG1L/2L/3L).
01:52 Se sincroniza al sistema, la unidad queda en modo DROOP con 6 MW.</t>
  </si>
  <si>
    <t>Hernán Darío Patiño Diaz</t>
  </si>
  <si>
    <t>COMPRESOR GAS CIMA K-2601A KVARH</t>
  </si>
  <si>
    <t>COMPRESOR GAS CIMA K-2601A    KWH</t>
  </si>
  <si>
    <t>COMPRESOR GAS CIMA K-2601B    KWH</t>
  </si>
  <si>
    <t>COMPRESOR GAS CIMA K-2601B KVARH</t>
  </si>
  <si>
    <t>COMPRESOR GAS CIMA K-2601C    KWH</t>
  </si>
  <si>
    <t>COMPRESOR GAS CIMA K-2601C KVARH</t>
  </si>
  <si>
    <t>COMPRESOR GAS CIMA K-2601A HOROMETRO</t>
  </si>
  <si>
    <t>COMPRESOR GAS CIMA K-2601B HOROMETRO</t>
  </si>
  <si>
    <t>COMPRESOR GAS CIMA K-2601C HOROMETRO</t>
  </si>
  <si>
    <t>KM-2601A (GAS CIMA)</t>
  </si>
  <si>
    <t>KM-2601B (GAS CIMA)</t>
  </si>
  <si>
    <t>KM-2601C (GAS CIMA)</t>
  </si>
  <si>
    <t>KM-2601A</t>
  </si>
  <si>
    <t>KM-2601B</t>
  </si>
  <si>
    <t>KM-2601C</t>
  </si>
  <si>
    <t>KM-2101 (DEMAG 2 )</t>
  </si>
  <si>
    <t>SWG-8033 BARRA B KWH</t>
  </si>
  <si>
    <t>SWG-8033 BARRA B KVARH</t>
  </si>
  <si>
    <t>CONDENSADOS</t>
  </si>
  <si>
    <t>GPL</t>
  </si>
  <si>
    <t>CONDENSADOS Y CONTRA INCENDIOS</t>
  </si>
  <si>
    <t>LLENADERO Y GLP</t>
  </si>
  <si>
    <t xml:space="preserve">CONTRA INCENDIO </t>
  </si>
  <si>
    <t>BLANCOS</t>
  </si>
  <si>
    <t xml:space="preserve">LLENADERO  + GLP </t>
  </si>
  <si>
    <t>CONSUMOS DE ENERGIA Y GAS ESTABILIZACION DE CONDENSADOS</t>
  </si>
  <si>
    <t xml:space="preserve">SCI US-SW-8035 BUS A                   MWH </t>
  </si>
  <si>
    <t xml:space="preserve">SCI US-SW-8035 BUS B                  MWH </t>
  </si>
  <si>
    <t xml:space="preserve">KM-2101 </t>
  </si>
  <si>
    <t>GT-8001</t>
  </si>
  <si>
    <t>GT-8002</t>
  </si>
  <si>
    <t>G-8005</t>
  </si>
  <si>
    <t>G-8006</t>
  </si>
  <si>
    <t xml:space="preserve">GT-8001  </t>
  </si>
  <si>
    <t xml:space="preserve">GT-8002  </t>
  </si>
  <si>
    <t xml:space="preserve">G-8005  </t>
  </si>
  <si>
    <t>TTXM</t>
  </si>
  <si>
    <t>TTWS1AO2</t>
  </si>
  <si>
    <t>TTWS1AO3</t>
  </si>
  <si>
    <t>TTWS1FO2</t>
  </si>
  <si>
    <t>TTWS1FO3</t>
  </si>
  <si>
    <t>CPD</t>
  </si>
  <si>
    <t>CTD</t>
  </si>
  <si>
    <t>LTTH1</t>
  </si>
  <si>
    <t>TTRX</t>
  </si>
  <si>
    <t>DF</t>
  </si>
  <si>
    <t>Al iniciar transferencia de gas a diesel  presenta TRIP de turbina por baja presion de descarga compresor axial. Luego de dos intentos fallidos se decide arrancar la unidad con gas. Se revisa lazo de control de la señal del transmisor, sin novedad.</t>
  </si>
  <si>
    <t>Entro en servicio la planta de gas. Para un total de 7 Mw/H adicionales a la carga actual.</t>
  </si>
  <si>
    <t>Entro en servicio la planta de estabilizacion de condensados, glp y llenadero. Para un total aproximado de 800Kw/H adicionales a la carga actual.</t>
  </si>
  <si>
    <t>X 10DIAS</t>
  </si>
  <si>
    <t>X 20DIAS</t>
  </si>
  <si>
    <t>TOTAL Kwh</t>
  </si>
  <si>
    <t>Fecha Actual</t>
  </si>
  <si>
    <t>LUBRICANTES   EN    LOS     GENERADORES</t>
  </si>
  <si>
    <t>US-GT-8001
Lubricante:  DTE-832 (1700 Gls)</t>
  </si>
  <si>
    <t>US-GTB-8002
Lubricante:  DTE-832 (1700 Gls)</t>
  </si>
  <si>
    <t>US-G-8005
Lubricante: 15W40 (Gls)</t>
  </si>
  <si>
    <t>US-G-8006
Lubricante: 15W40 (Gls)</t>
  </si>
  <si>
    <t>STORK
REPORTE ELECTRICO DIARIO DE NOVEDADES  EN LA GDP                                                                          
CUSIANA - CUPIAGUA</t>
  </si>
  <si>
    <t>C 1. NOVEDADES EN GENERADORES</t>
  </si>
  <si>
    <t>C 2. NOVEDADES EN ALIMENTADORES Y CARGAS REPRESENTATIVAS</t>
  </si>
  <si>
    <t>C 3. NOVEDADES EN S/E Y DE EQUIPOS EN CAMPO</t>
  </si>
  <si>
    <t>PRESION DIFERENCIAL ANTES DEL CAMBIO DE FILTROS (mm de H2O)</t>
  </si>
  <si>
    <t>FECHA CAMBIO ELEMENTOS FILTRANTES</t>
  </si>
  <si>
    <t>PRESION DIFERENCIAL DESPUES DEL CAMBIO (mm de H2O)</t>
  </si>
  <si>
    <t>PRESIÓN DIFERENCIAL DE CASA DE FILTROS ACTUAL</t>
  </si>
  <si>
    <t>TIEMPO DE SERVICIO FILTROS A LA FECHA</t>
  </si>
  <si>
    <t>2 AÑOS,</t>
  </si>
  <si>
    <t>UN AÑO
2 MESES</t>
  </si>
  <si>
    <t>UN AÑO 
SEIS MESE</t>
  </si>
  <si>
    <t>10 MESES</t>
  </si>
  <si>
    <t>UN AÑO 
4 MESES</t>
  </si>
  <si>
    <t>DOS AÑOS
2 MESE</t>
  </si>
  <si>
    <r>
      <t>PRESION DIFERENCIAL ANTES DEL CAMBIO DE FILTROS (mm de H</t>
    </r>
    <r>
      <rPr>
        <sz val="8"/>
        <rFont val="Arial"/>
        <family val="2"/>
      </rPr>
      <t>2</t>
    </r>
    <r>
      <rPr>
        <sz val="11"/>
        <rFont val="Arial"/>
        <family val="2"/>
      </rPr>
      <t>O)</t>
    </r>
  </si>
  <si>
    <t>SEGUIMIENTO CAMBIO DE FILTROS CASA DE FILTROS TURBINAS</t>
  </si>
  <si>
    <t>TURBINA</t>
  </si>
  <si>
    <t>CAMBIO ELEMENTOS FILTRANTES</t>
  </si>
  <si>
    <t>ULTIMO CAMBIO DE FILTROS</t>
  </si>
  <si>
    <t>LIMPIEZA DE LOS FILTROS</t>
  </si>
  <si>
    <t>CAMBIO DE ELEMENTOS FILTRANTES</t>
  </si>
  <si>
    <t>CA-KTB-1801</t>
  </si>
  <si>
    <t>CA-KTB-1802</t>
  </si>
  <si>
    <t>CB-KTB-2801</t>
  </si>
  <si>
    <t>CB-KTB-2802</t>
  </si>
  <si>
    <t>CC-KTB-3801</t>
  </si>
  <si>
    <t>CC-KTB-3802</t>
  </si>
  <si>
    <t>FILTER,AIR:CONICAL ELEMENT,17.5" O.D. LARGE END,12.75" O.D. SMALL END,26"LONG,P/N: P19-1281,DONALDSON SPIDER-WEB</t>
  </si>
  <si>
    <t>VOCAB ELIPSE 004680997</t>
  </si>
  <si>
    <t>FILTER,AIR:CARTRIDGE,12.75" O.D X 26"LONG 8.38" I.D.,P/N: P19-1280,DONALDSON SPIDER-WEB</t>
  </si>
  <si>
    <t>VOCAB ELIPSE 004641668</t>
  </si>
  <si>
    <t xml:space="preserve">PREFILTROS TURBINA REF: TFA-65566M20Y código elipse 004825469 </t>
  </si>
  <si>
    <t>LIMPIEZA FILTROS</t>
  </si>
  <si>
    <t xml:space="preserve">US-SW-8030      BUS B  MWH </t>
  </si>
  <si>
    <t xml:space="preserve">MP-KM-2101      MWH </t>
  </si>
  <si>
    <t>MP-KM-2101      Mvar</t>
  </si>
  <si>
    <t xml:space="preserve">US-SW-8040          BUS B  MWH </t>
  </si>
  <si>
    <t xml:space="preserve">US-SW-8020          BUS B   MWH </t>
  </si>
  <si>
    <t xml:space="preserve">US-SW-8020             BUS A  MWH </t>
  </si>
  <si>
    <t xml:space="preserve">US-SW-8040       BUS A   MWH </t>
  </si>
  <si>
    <t xml:space="preserve">US-SW-8034           BUS A   MWH </t>
  </si>
  <si>
    <t xml:space="preserve">US-SW-8030                          BUS A   MWH </t>
  </si>
  <si>
    <t xml:space="preserve">US-SW-8034         BUS B    MWH </t>
  </si>
  <si>
    <t xml:space="preserve">US-G-8006        MWH </t>
  </si>
  <si>
    <t>US-G-8006       MVar</t>
  </si>
  <si>
    <t>US-TR-8056         MWH</t>
  </si>
  <si>
    <t xml:space="preserve">CUP  GAS  (BEPD)                               PROD. EQUIVALENTE </t>
  </si>
  <si>
    <t xml:space="preserve">CUP  BLANCOS  (BEPD)                               PROD. EQUIVALENTE </t>
  </si>
  <si>
    <t>Por baja presion de fuel gas, ocacionado por baja presion de aceite hidraulico (desgaste en el acople de la bomba HYD)</t>
  </si>
  <si>
    <t>Jairo E. Beltran</t>
  </si>
  <si>
    <t>Henry Garcia</t>
  </si>
  <si>
    <t>15:29/Se presenta Blackout por generación, disparo del US-GT-8001 por señal L30SPT y disparo del US-GT-8002 por baja frecuencia. Arranca US-G-8005 por baja tensión, pero sin excitación, se identifica en falla baristor de la excitación y un diodo por fase en falla. Arranca US-G-8006 por baja tensión, se saca de línea para realizar procedimiento operativo y alimentar por barra A el US-SWG-8001. 22.38/Queda sistema eléctrico en operación normal para restablecer proceso.</t>
  </si>
  <si>
    <t>|</t>
  </si>
  <si>
    <t>Turbogenerador parado para mantto al interruptor de acople entre barras, del US-SWG-8011, =K07 +K11. En el arranque se identifica señal L86HD (Hydraulic Protective Trouble), enclavada y no deja resetear el sistema de control.</t>
  </si>
  <si>
    <t xml:space="preserve"> Generador de Emergencia Planta Crudo. Se instala baterias cargadas en taller (B1:13, B2:13, B3:12.9 y B4:13 VDC). Se levanta aislamiento y se realiza prueba funcional sincronizándolo sin novedad. Se sube carga de forma controlada a 1MW y CBM realiza monitoreo de vibraciones y toma muestra de aceite. Terminado el monitoreo, se baja carga de forma controlada y se da parada con enfriamiento, evidenciando golpeteo en cilindros 12, 14, 16. Se da parada al generador y queda aislado para continuar trabajo correctivo. El aceite se ve emulsionado en la muestra que se tomó, pendiente cambio de aceite, cambio de filtros de aceite, cambio de filtros diesel, retirar inyectores y calibrar válvulas de admisión y escape. Queda aislado.
HRF: 6466.1 Horas; Activa (kwh) 829.71 KWH; Reactiva: 454.58 Mvarh. Aislado para mantenimiento correctivo por parte de mecánica.
Total, Horas Trabajadas: 6.8 Horas.
GENERACIÓN: 5,149 KWH / KVARH: 2,565 KVARH
</t>
  </si>
  <si>
    <t>Se presenta salida de turbogenerador por alarma L26AA2_ALM ATOMISING AIR TEMPERATURE HIGH</t>
  </si>
  <si>
    <t>X 28 DIAS</t>
  </si>
  <si>
    <t>X 28DIAS</t>
  </si>
  <si>
    <t>Gas</t>
  </si>
  <si>
    <t>Diesel</t>
  </si>
  <si>
    <t>Gas mmscfd</t>
  </si>
  <si>
    <t>Fecha en numero</t>
  </si>
  <si>
    <t>US-G-8005                Mw</t>
  </si>
  <si>
    <t>US-G-8006  MW</t>
  </si>
  <si>
    <t>Se identifica goteo de refrigerante del sistema de enfriamiento por visor del indicador de nivel del tanque de expansión.</t>
  </si>
  <si>
    <t>Semana</t>
  </si>
  <si>
    <t>GAS mmscfd</t>
  </si>
  <si>
    <t>ESTIMADO CONSUMO DE  Y SINTESIS EJECUTIVA DEL SISTEMA ELECTRICO</t>
  </si>
  <si>
    <t>US-GT-80001</t>
  </si>
  <si>
    <t>US-GT-80002</t>
  </si>
  <si>
    <t>US-GT-80003</t>
  </si>
  <si>
    <t xml:space="preserve">Turbogeneradores cusiana </t>
  </si>
  <si>
    <t>Turbogeneradores cupiagua</t>
  </si>
  <si>
    <t xml:space="preserve">Total por generador </t>
  </si>
  <si>
    <t xml:space="preserve">ENERGIA-GAS SEMANAL DE LA GDP (CUS-CUP) </t>
  </si>
  <si>
    <t xml:space="preserve">Semana </t>
  </si>
  <si>
    <t>Fecha inicio</t>
  </si>
  <si>
    <t xml:space="preserve">Fecha final </t>
  </si>
  <si>
    <t>Se presenta salida de turbogenerador por perdida de auxiliares</t>
  </si>
  <si>
    <t>COMBUSTIBLE</t>
  </si>
  <si>
    <t>Jairo E. Beltrán</t>
  </si>
  <si>
    <t>Jorge Alirio Díaz</t>
  </si>
  <si>
    <t>Operador Día</t>
  </si>
  <si>
    <t>Operador Noche</t>
  </si>
  <si>
    <t>Hernan D. Patiño</t>
  </si>
  <si>
    <t>Eber Mateus</t>
  </si>
  <si>
    <t>Supervisor O&amp;M Electricidad</t>
  </si>
  <si>
    <t>Jorge E. Cano Contreras</t>
  </si>
  <si>
    <t>Néstor Pinto Pineda</t>
  </si>
  <si>
    <t>Aldo Sosa Diaz</t>
  </si>
  <si>
    <t>Eubler Hernando Nuñez</t>
  </si>
  <si>
    <t>DIAS</t>
  </si>
  <si>
    <r>
      <t xml:space="preserve">Solo digite los datos en las </t>
    </r>
    <r>
      <rPr>
        <b/>
        <i/>
        <u/>
        <sz val="11"/>
        <color rgb="FFFFFF05"/>
        <rFont val="Aharoni"/>
        <charset val="177"/>
      </rPr>
      <t>celdas amarillas</t>
    </r>
    <r>
      <rPr>
        <b/>
        <i/>
        <u/>
        <sz val="11"/>
        <color rgb="FFFFFF05"/>
        <rFont val="Calibri"/>
        <family val="2"/>
        <scheme val="minor"/>
      </rPr>
      <t xml:space="preserve"> </t>
    </r>
    <r>
      <rPr>
        <b/>
        <i/>
        <u/>
        <sz val="11"/>
        <color theme="1"/>
        <rFont val="Calibri"/>
        <family val="2"/>
        <scheme val="minor"/>
      </rPr>
      <t>lo demás déjelo como se encuentra no reforme nada gracias!</t>
    </r>
  </si>
  <si>
    <r>
      <t xml:space="preserve">Las ventanas que aparezcan después de pulsar cualquier opción por favor confirmar </t>
    </r>
    <r>
      <rPr>
        <b/>
        <i/>
        <u/>
        <sz val="11"/>
        <color theme="1"/>
        <rFont val="Calibri"/>
        <family val="2"/>
        <scheme val="minor"/>
      </rPr>
      <t>"SI" EN TODAS LAS OPCIONES.</t>
    </r>
  </si>
  <si>
    <r>
      <rPr>
        <b/>
        <i/>
        <u/>
        <sz val="11"/>
        <color theme="1"/>
        <rFont val="Calibri"/>
        <family val="2"/>
        <scheme val="minor"/>
      </rPr>
      <t>OJO:</t>
    </r>
    <r>
      <rPr>
        <b/>
        <sz val="11"/>
        <color theme="1"/>
        <rFont val="Calibri"/>
        <family val="2"/>
        <scheme val="minor"/>
      </rPr>
      <t xml:space="preserve">   </t>
    </r>
  </si>
  <si>
    <t xml:space="preserve">Inicio </t>
  </si>
  <si>
    <t xml:space="preserve">Final </t>
  </si>
  <si>
    <t>Día Reporte</t>
  </si>
  <si>
    <t>Trip del turbo generador por pérdida de llama durante transferencia de unidad de filtro LOF-1 al LOF-2.</t>
  </si>
  <si>
    <t>Trip del turbo generador por activación de alarma “Gas fuel pressure low”, durante la transferencia de combustible a Diesel el sistema no entra en servicio.</t>
  </si>
  <si>
    <t>V</t>
  </si>
  <si>
    <t>ESTADISTICOS DE ENERGIA 2022</t>
  </si>
  <si>
    <t>ENERGIA Y  COMBUSTIBLE  POR PROCESOS  2022</t>
  </si>
  <si>
    <t>Radio</t>
  </si>
  <si>
    <t>EXT.</t>
  </si>
  <si>
    <t>STORK
REPORTE ELECTRICO DIARIO DE
NOVEDADES EN LA GDP   CUSIANA - CUPIAGUA - XL</t>
  </si>
  <si>
    <t xml:space="preserve">US-GT-8002 – 01:10 Se saca de sincronismo turbogenerador, para dar parada normal y realizar trabajos correctivos de la turbina. (Corrección fugas de gases de escape a través de la pared térmica, cambio del sistema de amortiguación de los Blower enclosure del sistema de enfriamiento de los compartimientos de la máquina, revisión trampa filter mist air/oil; mantenimiento servo diesel 65FP, revisión cheque aire de atomización, desmontaje de válvula de retro soplado para revisión en taller, revisión circuito de iluminación del Gear Box).
01:37 Se da comando de parada normal, la secuencia es normal. 01:52 para, cero RPM. </t>
  </si>
  <si>
    <t>US-GT-8002. 13:12 Se abre el interruptor del generador (52-15) por potencia inversa, ocasionado por la salida de planta de gas y del compresor de gas ácido KM-2501. al salir el generador sale el compresor DEMAG por activación del sistema de deslastre de carga. 13:22 Se sincroniza nuevamente el generador al sistema.</t>
  </si>
  <si>
    <t xml:space="preserve">GT-8002 03:05 Se baja carga a 1 MW y a 1 MVar. 03:08 Se saca de sincronismo Generador, se verifica normalidad en sistema de generación con el US-GT-8001. 03:18 Se da parada normal a la turbina. 03:33 Turbina alcanza velocidad cero y entra en secuencia de cooldown. Se pone en manual ventiladores US-EMM-8021A-B-E-F de la Gear box Principal y de la pared termica.
US-GT-8002: se revisó lazo de control (sensor de vibración M70-39V-6 Vibrat Sensor Gearbox High Speed Trb End) evidenciando cable suelto del terminal de conexión en bornera en JB#5I. Se cambia cableado del sensor y se realiza prueba de lazo simulando alarma y disparo desde campo, la señal llega a MARK Vie en los valores configurados (5,2 mm/s y TRIP 7,6 mm/s). Se corrige condición quedando en estado funcional para arranque del Turbogenerador. Adicional se cambian terminales de las señales de temperatura de los cojinetes y drenaje de aceite, los valores se encuentran normales. 13:46 se da comando de arranque al US-GT-8002 alcanzando velocidad nominal con normalidad. 14:08 se sincroniza generador al sistema con 2 MW con variables eléctricas y mecánicas normales. </t>
  </si>
  <si>
    <t xml:space="preserve"> GT-8001</t>
  </si>
  <si>
    <t xml:space="preserve">Se presenta salida de línea por baja presión del sistema de aceite hidráulico (señal L63hg2I gas fuel Hidraulic trip pressure low).
US-GT-8001 - 04:15 Se presenta salida de línea por baja presión del sistema de aceite hidráulico (señal L63hg2I gas fuel Hidráulica trip pressure low). Se realiza los aislamientos correspondientes y se desmonta bomba hidráulica identificando falla en acople. Se realiza cambio de acople, se instala bomba y se levanta aislamientos. 15:33 Se da secuencia de arranque en crank, para ajuste de la presión hidráulica y recorrido de Servo de IGV(los IGV quedaron en 55° de apertura cuando perdió el aceite hidráulico, inhibiendo el arranque de la turbina). 16:35 Se da secuencia de arranque en Automático y con secuencia completa se procede a verifica presión de línea del sistema de aceite hidráulico a 250psi(el ajuste se realizo primero en la VPR3 compensador de presión a 1350 psi y la VR21 válvula de alivio, puso los 250 psi en la linea). 17:12 Se sincroniza en automático y se pone carga de forma controlada, sin novedad. </t>
  </si>
  <si>
    <t>GCV</t>
  </si>
  <si>
    <t>SRV</t>
  </si>
  <si>
    <t>Posicion srv</t>
  </si>
  <si>
    <t xml:space="preserve"> S-E UNIT               US-MCC-8009   MWH </t>
  </si>
  <si>
    <t>CECOS Y GORDOS 2022</t>
  </si>
  <si>
    <t>Jorge Alirio Diaz</t>
  </si>
  <si>
    <t>Alexandra Arenas</t>
  </si>
  <si>
    <t>US-G-8002   HOROMETRO DIESEL</t>
  </si>
  <si>
    <t>US-G-8001      HOROMETRO DIESEL</t>
  </si>
  <si>
    <t>US-G-8006   HOROMETRO</t>
  </si>
  <si>
    <t>Holman Morales</t>
  </si>
  <si>
    <t xml:space="preserve">Se saca de servicio para realizar inspección boroscópica </t>
  </si>
  <si>
    <t xml:space="preserve">US-G-8005 </t>
  </si>
  <si>
    <t xml:space="preserve">US-G-8006 </t>
  </si>
  <si>
    <t>CONSUMOS DE ENERGIA</t>
  </si>
  <si>
    <t>DIESEL</t>
  </si>
  <si>
    <t xml:space="preserve">US-GT 8001  </t>
  </si>
  <si>
    <t>US-GT 8002</t>
  </si>
  <si>
    <t>(Diesel emergencia principal.)</t>
  </si>
  <si>
    <t>(Diesel emergencia planta de gas)</t>
  </si>
  <si>
    <t>GENERACION CPF</t>
  </si>
  <si>
    <t>CONSUMO DE GAS</t>
  </si>
  <si>
    <t>CONSUMO DE DIESEL</t>
  </si>
  <si>
    <t>TIEMPO CON GAS</t>
  </si>
  <si>
    <t>TIEMPO CON DIESEL</t>
  </si>
  <si>
    <t>G-1 Reactiva Dia</t>
  </si>
  <si>
    <t>G-2 Reactiva Dia</t>
  </si>
  <si>
    <t>G-5 Reactiva dia</t>
  </si>
  <si>
    <t xml:space="preserve">G-6 Reactiva Mes </t>
  </si>
  <si>
    <t xml:space="preserve">Demag 2 </t>
  </si>
  <si>
    <t>Acido</t>
  </si>
  <si>
    <t>G-1 +G2+G5+G6 Reactiva Dia</t>
  </si>
  <si>
    <t xml:space="preserve">Produc Crudo CUP  Dia   </t>
  </si>
  <si>
    <t xml:space="preserve">Produc  Gas Cup       Dia   </t>
  </si>
  <si>
    <t xml:space="preserve">Produc Agua Cup Dia   </t>
  </si>
  <si>
    <t xml:space="preserve">XL Activa con gas     </t>
  </si>
  <si>
    <t xml:space="preserve">XL Reactiva con gas     </t>
  </si>
  <si>
    <t xml:space="preserve">XL Activa con diesel    </t>
  </si>
  <si>
    <t xml:space="preserve">XL Reactiva con diesel    </t>
  </si>
  <si>
    <t>XL Activa Dia</t>
  </si>
  <si>
    <t>XL Reactiva Dia</t>
  </si>
  <si>
    <t xml:space="preserve">XL Produc Crudo Dia   </t>
  </si>
  <si>
    <t xml:space="preserve">XL Produc Gas       Dia   </t>
  </si>
  <si>
    <t xml:space="preserve">XL Produc Agua Dia   </t>
  </si>
  <si>
    <t>MCC-8007</t>
  </si>
  <si>
    <t>K-2601A</t>
  </si>
  <si>
    <t>K-2601B</t>
  </si>
  <si>
    <t>K-2601C</t>
  </si>
  <si>
    <t xml:space="preserve">SWG-8035 </t>
  </si>
  <si>
    <t>SWG-8033 B</t>
  </si>
  <si>
    <t>CONDENSADOS (8033B + 50% DE PG Y JT)</t>
  </si>
  <si>
    <t>PLANTA GAS Y JT</t>
  </si>
  <si>
    <t xml:space="preserve">PLANTA GAS Y JT CONSUMO </t>
  </si>
  <si>
    <t>GAS VENTAS CONSUMO</t>
  </si>
  <si>
    <t>LLENADERO Y GLP ( 8035 + 40% DE GV)</t>
  </si>
  <si>
    <t xml:space="preserve">PLANTA GAS Y JT </t>
  </si>
  <si>
    <t>CONDENSADOS (8033B</t>
  </si>
  <si>
    <t xml:space="preserve">PLANTA GAS Y JT
CONSUMO </t>
  </si>
  <si>
    <t xml:space="preserve">Productos Blancos  Cup Dia   </t>
  </si>
  <si>
    <t>Mwh/Dia</t>
  </si>
  <si>
    <t xml:space="preserve"> Consumo        mmscfd</t>
  </si>
  <si>
    <t>Diesel         Gls Dia</t>
  </si>
  <si>
    <t>Gen gas Mwh/Dia</t>
  </si>
  <si>
    <t>Gen diesel Mwh/Dia</t>
  </si>
  <si>
    <t>Gene Total Mwh/Dia</t>
  </si>
  <si>
    <t>mmscfd</t>
  </si>
  <si>
    <t xml:space="preserve">Galones </t>
  </si>
  <si>
    <t xml:space="preserve">Horas </t>
  </si>
  <si>
    <t>Horas  Operación</t>
  </si>
  <si>
    <t>BEPD</t>
  </si>
  <si>
    <t>Crudo(BEPD)</t>
  </si>
  <si>
    <t>Gas(BEPD)</t>
  </si>
  <si>
    <t>Agua(BEPD)</t>
  </si>
  <si>
    <t>Saul Jimènez Rojas</t>
  </si>
  <si>
    <t>US-GT-8001 – 10:49 Se dispara la unidad por la señal “G. l45ft Fire and Gas System – Fire Trip”, con descarga de las 17 botellas del sistema de CO2. En panel auxiliar del PAC-8000, se evidencia activación en lazo de break Glass “BG-2/4” y activación de la descarga de CO2.</t>
  </si>
  <si>
    <t>US-GT-8001 – 13:06 Se presenta disparo en la unidad por la pérdida de los sistemas auxiliares, señal “G1. L94X Normal Shutdown”; la perdida de los sistemas auxiliares, se presenta por falla en el motor US-EMM-8018B, Fin Fan cooler; que entra en falla y abre el interruptor Q2, alimentador del US-EMM-8003. Al momento del evento la unidad tenía 6.1 MW y operaba en modo DROOP.
13:56 Se solicita al ingeniero de máquinas rotativas autorización de ECP para sacar de servicio el sistema de Racheo; esto con el fin de evitar rayar los cojinetes del generador, por falta de lubricación, debido a que las bombas Jacking oil se encuentran fuera de servicio sin energía.14:15 se pone nuevamente en servicio el sistema de racheo, una vez se restablece el sistema.
Aviso: 200278365 Falla de motor US-EMM-8018B</t>
  </si>
  <si>
    <t xml:space="preserve">GENERACION XL
MW/h  </t>
  </si>
  <si>
    <t xml:space="preserve">GENERACION CUSIANA
MW/h </t>
  </si>
  <si>
    <t>GENERACION CUPIAGUA 
MW/h</t>
  </si>
  <si>
    <t xml:space="preserve">Debray Molano </t>
  </si>
  <si>
    <t>GEN-PERIM-3</t>
  </si>
  <si>
    <t>S/E 69  "A"   (Iny. Agua P. Gas)</t>
  </si>
  <si>
    <t>S/E 69  "B"  (Iny. Agua P. Gas)</t>
  </si>
  <si>
    <t xml:space="preserve">Diesel </t>
  </si>
  <si>
    <t xml:space="preserve">GENERACION TOTAL  GDP  MW-H       </t>
  </si>
  <si>
    <t xml:space="preserve">GENERACION
TOTAL MW/h  </t>
  </si>
  <si>
    <t>SoEnergy</t>
  </si>
  <si>
    <t>Operador Generación Día</t>
  </si>
  <si>
    <t>Operador Generación Noche</t>
  </si>
  <si>
    <t>HORAS OPER  MES</t>
  </si>
  <si>
    <t xml:space="preserve">Fecha: </t>
  </si>
  <si>
    <t>Operador que genera el reporte</t>
  </si>
  <si>
    <t xml:space="preserve">             CONSUMO OCENSA  (Mw/Dia)  CPF CUPIAGUA </t>
  </si>
  <si>
    <t xml:space="preserve">                    STORK TECHNICAL SERVICES </t>
  </si>
  <si>
    <t xml:space="preserve">                      TOTAL GENERACION CUPIAGUA DESDE SU INICIO</t>
  </si>
  <si>
    <t xml:space="preserve">*    Operación de motores y cargas de Planta de Crudo, PG y PEC.
*    Oficinas, talleres, casino, hotel, campamentos, base militar y edificios no industriales.
*    Alumbrado exterior y alumbrado perimetral de la planta.  </t>
  </si>
  <si>
    <t>Min</t>
  </si>
  <si>
    <t xml:space="preserve">Max </t>
  </si>
  <si>
    <t xml:space="preserve">Suma </t>
  </si>
  <si>
    <t xml:space="preserve">Prom </t>
  </si>
  <si>
    <t>CURVA DE POTENCIA ACTIVA EN KW</t>
  </si>
  <si>
    <t>MW/DIA</t>
  </si>
  <si>
    <t>TOTAL MW</t>
  </si>
  <si>
    <t>SE CRUDO OCENSA</t>
  </si>
  <si>
    <t>SE REINYECCION</t>
  </si>
  <si>
    <t>SE TREN 2</t>
  </si>
  <si>
    <t>SE PRINCIPAL</t>
  </si>
  <si>
    <t>SE PLANTA DE GAS Y JT</t>
  </si>
  <si>
    <t>SE GAS VENTAS</t>
  </si>
  <si>
    <t>SE TREN 1</t>
  </si>
  <si>
    <t>Jose Perez Agudelo</t>
  </si>
  <si>
    <t>Energía Auto generada</t>
  </si>
  <si>
    <t>PR10910</t>
  </si>
  <si>
    <t>Kg/cm2</t>
  </si>
  <si>
    <t xml:space="preserve"> Sale de linea por señal L5E_TCEA parada emergencia en campo 5ESD-3</t>
  </si>
  <si>
    <t>13:44 Cuando se cierra el interruptor del US-TR-8044, se desencadena TRIP por Diferencial de Corriente (protección eléctrica 87), en los Turbogeneradores GT-8001 y GT-8002 quedando en condición de BLACKOUT el CPF Cupiagua.</t>
  </si>
  <si>
    <t>TOTAL DIESEL  POR GENERADORES 2023</t>
  </si>
  <si>
    <t>ENERGIA  COMBUSTIBLE  Y  HORAS  OPERACION  2023</t>
  </si>
  <si>
    <t>ENERGIA Y  COMBUSTIBLE  POR PROCESOS  2023</t>
  </si>
  <si>
    <t>Juan fernando Cadavid</t>
  </si>
  <si>
    <t>Profesional 2 de Mantenimiento</t>
  </si>
  <si>
    <t xml:space="preserve"> Mvar</t>
  </si>
  <si>
    <t>Se presenta trip en el US-GT-8002 por activación de la proteccion del interruptor Q4 Alimentador del US-MCC-8004 (auxiliares del GT-8002).</t>
  </si>
  <si>
    <t>Wilman Morales Martinez</t>
  </si>
  <si>
    <t>Se realiza ronda operativa diariade UPS y Cargadores Sub 10. Sin novedad.</t>
  </si>
  <si>
    <t>Se realiza parada controlada del turbogenerador y se inicia proceso de enfriamiento para entregarlo el 17 de Abril a las 18:0 Horas, al equipo de mantenimientopara inspección boroscopica + trabajos por oportunidad con una duración de 112 Horas. Finalizando el 21 de Abril a las 10:00 AM</t>
  </si>
  <si>
    <t>SE Principal Generacion US-UPS-8002. 09:05 En la maniobra de aislamiento de la UPS, para entregar a mantenimiento anual, se pierde las cargas criticas asociadas a la UPS8001 y UPS8002, ocasionando Blackout de generación, por salida de los dos turbogeneradores.</t>
  </si>
  <si>
    <t>Se realiza registro de contadores, se realiza reporte de consumos de energía y se envía a destinatarios.</t>
  </si>
  <si>
    <t>US-GT-8001 – 02:39 Se dispara la unidad por la señal “G. l45ft Fire and Gas System – Fire Trip”, con descarga de las 17 botellas del sistema de CO2. En panel auxiliar del PAC-8000, se evidencia activación en lazo de break Glass “BG-2/4” y activación de la descarga de CO2.</t>
  </si>
  <si>
    <t>Jhon Fredy Jiménez B.</t>
  </si>
  <si>
    <t>FSG</t>
  </si>
  <si>
    <t>FSR</t>
  </si>
  <si>
    <t>FDBCK Gas Control Valve</t>
  </si>
  <si>
    <t>FUEL STROKE REFERENCE</t>
  </si>
  <si>
    <t>Se realiza ronda operativa diaria a Turbogeneradores.  Sin novedad.</t>
  </si>
  <si>
    <t>Sin novedad.</t>
  </si>
  <si>
    <t>INDEQ. Realiza la instalacion de laminas en el patio de los turbo generadores luego de mantenimiento y pintura de taller externo, adicional retiran otras secciones, queda delimitado y señalizada el area.</t>
  </si>
  <si>
    <t>Ocensa.  16:45 En servicio exportacion de crudo con bomba booster PM-5001A y bomba transfer PM-5002C. 00:52 sale de línea.</t>
  </si>
  <si>
    <t>M31-G01: Se realiza prueba funcional Generador de emergencia Llenadero, se sincroniza al sistema sin novedad.Queda disponible en modo automatico.</t>
  </si>
  <si>
    <t>TR-7104:  Se desaísla transformador, Se normalizan cargas.</t>
  </si>
  <si>
    <t>OCENSA 01:56 Sale de servicio la tercera unidad, 5:36 fuera de servicio segunda unidad.   08:30 fuera de servicio primera unidad. 11:30 en servicio con una unidad. 13:50 en servicio segunda unidad, 21:09 Sale de servicio la segunda unidad.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</si>
</sst>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5">
    <numFmt numFmtId="164" formatCode="_(* #,##0.00_);_(* \(#,##0.00\);_(* &quot;-&quot;??_);_(@_)"/>
    <numFmt numFmtId="165" formatCode="_(* #,##0_);_(* \(#,##0\);_(* &quot;-&quot;_);_(@_)"/>
    <numFmt numFmtId="166" formatCode="_(&quot;$&quot;* #,##0_);_(&quot;$&quot;* \(#,##0\);_(&quot;$&quot;* &quot;-&quot;_);_(@_)"/>
    <numFmt numFmtId="167" formatCode="_-* #,##0\ _€_-;\-* #,##0\ _€_-;_-* &quot;-&quot;\ _€_-;_-@_-"/>
    <numFmt numFmtId="168" formatCode="_-* #,##0.00\ &quot;€&quot;_-;\-* #,##0.00\ &quot;€&quot;_-;_-* &quot;-&quot;??\ &quot;€&quot;_-;_-@_-"/>
    <numFmt numFmtId="169" formatCode="_-* #,##0.00\ _€_-;\-* #,##0.00\ _€_-;_-* &quot;-&quot;??\ _€_-;_-@_-"/>
    <numFmt numFmtId="170" formatCode="&quot;$&quot;#,##0_);[Red]\(&quot;$&quot;#,##0\)"/>
    <numFmt numFmtId="171" formatCode="_(&quot;$&quot;* #,##0.00_);_(&quot;$&quot;* \(#,##0.00\);_(&quot;$&quot;* &quot;-&quot;??_);_(@_)"/>
    <numFmt numFmtId="172" formatCode="_-* #,##0.00\ _p_t_a_-;\-* #,##0.00\ _p_t_a_-;_-* &quot;-&quot;??\ _p_t_a_-;_-@_-"/>
    <numFmt numFmtId="173" formatCode="0.000_)"/>
    <numFmt numFmtId="174" formatCode="0.00_)"/>
    <numFmt numFmtId="175" formatCode="0.0"/>
    <numFmt numFmtId="176" formatCode="0.0000"/>
    <numFmt numFmtId="177" formatCode="mmm\-dd\-yy"/>
    <numFmt numFmtId="178" formatCode="_(* #,##0_);_(* \(#,##0\);_(* &quot;-&quot;??_);_(@_)"/>
    <numFmt numFmtId="179" formatCode="0.000000"/>
    <numFmt numFmtId="180" formatCode="0.0000000"/>
    <numFmt numFmtId="181" formatCode="_(* #,##0.0_);_(* \(#,##0.0\);_(* &quot;-&quot;??_);_(@_)"/>
    <numFmt numFmtId="182" formatCode="dd"/>
    <numFmt numFmtId="183" formatCode="#,##0.0"/>
    <numFmt numFmtId="184" formatCode="0.000"/>
    <numFmt numFmtId="185" formatCode="mmmm/dd/yyyy"/>
    <numFmt numFmtId="186" formatCode="0.000000000"/>
    <numFmt numFmtId="187" formatCode="[$-F800]dddd\,\ mmmm\ dd\,\ yyyy"/>
    <numFmt numFmtId="188" formatCode="#,##0.00000"/>
    <numFmt numFmtId="189" formatCode="mmmm"/>
    <numFmt numFmtId="190" formatCode="dd\-mm\-yy;@"/>
    <numFmt numFmtId="191" formatCode="mmm"/>
    <numFmt numFmtId="192" formatCode="0.000%"/>
    <numFmt numFmtId="193" formatCode="h:mm:ss;@"/>
    <numFmt numFmtId="194" formatCode="dd/mm/yyyy;@"/>
    <numFmt numFmtId="195" formatCode="[$-240A]d&quot; de &quot;mmmm&quot; de &quot;yyyy;@"/>
    <numFmt numFmtId="196" formatCode="\$#,##0\ ;\(\$#,##0\)"/>
    <numFmt numFmtId="197" formatCode="_ [$€]\ * #,##0.00_ ;_ [$€]\ * \-#,##0.00_ ;_ [$€]\ * &quot;-&quot;??_ ;_ @_ "/>
    <numFmt numFmtId="198" formatCode="_ &quot;$&quot;\ * #,##0.00_ ;_ &quot;$&quot;\ * \-#,##0.00_ ;_ &quot;$&quot;\ * &quot;-&quot;??_ ;_ @_ "/>
    <numFmt numFmtId="199" formatCode="_(&quot;$&quot;* #.##0.00_);_(&quot;$&quot;* \(#.##0.00\);_(&quot;$&quot;* &quot;-&quot;??_);_(@_)"/>
    <numFmt numFmtId="200" formatCode="hh:mm:ss;@"/>
    <numFmt numFmtId="201" formatCode="dd/mm/yy;@"/>
    <numFmt numFmtId="202" formatCode="_(&quot;$&quot;\ * #,##0_);_(&quot;$&quot;\ * \(#,##0\);_(&quot;$&quot;\ * &quot;-&quot;??_);_(@_)"/>
    <numFmt numFmtId="203" formatCode="0.0%"/>
    <numFmt numFmtId="204" formatCode="_(&quot;$&quot;\ * #,##0.0_);_(&quot;$&quot;\ * \(#,##0.0\);_(&quot;$&quot;\ * &quot;-&quot;??_);_(@_)"/>
    <numFmt numFmtId="205" formatCode="[$$-1009]#,##0.00;\-[$$-1009]#,##0.00"/>
    <numFmt numFmtId="206" formatCode="[$$-1009]#,##0;\-[$$-1009]#,##0"/>
    <numFmt numFmtId="207" formatCode="#,##0.0_);\(#,##0.0\)"/>
    <numFmt numFmtId="208" formatCode="#,##0.00;[Red]#,##0.00"/>
    <numFmt numFmtId="209" formatCode="yyyy"/>
    <numFmt numFmtId="210" formatCode="_ [$€-2]\ * #,##0.00_ ;_ [$€-2]\ * \-#,##0.00_ ;_ [$€-2]\ * &quot;-&quot;??_ "/>
    <numFmt numFmtId="211" formatCode="#,##0.00000000000000000000000000000000000000000000000000_);\(#,##0.00000000000000000000000000000000000000000000000000\)"/>
    <numFmt numFmtId="212" formatCode="&quot;ÇÑ¹·Õè&quot;\ \Ç\ \´\´\´\´\ \»\»\»\»"/>
    <numFmt numFmtId="213" formatCode="d\ \´\´\´\ \b\b"/>
    <numFmt numFmtId="214" formatCode="&quot;$&quot;#.;\(&quot;$&quot;#,\)"/>
    <numFmt numFmtId="215" formatCode="_ * #,##0.00_ ;_ * \-#,##0.00_ ;_ * &quot;-&quot;??_ ;_ @_ "/>
    <numFmt numFmtId="216" formatCode="00\3"/>
    <numFmt numFmtId="217" formatCode="_-* #,##0\ &quot;F&quot;_-;\-* #,##0\ &quot;F&quot;_-;_-* &quot;-&quot;\ &quot;F&quot;_-;_-@_-"/>
    <numFmt numFmtId="218" formatCode="&quot;$&quot;#,##0.00;\(&quot;$&quot;#,##0.00\)"/>
    <numFmt numFmtId="219" formatCode="&quot;$&quot;#,##0\ ;\(&quot;$&quot;#,##0\)"/>
    <numFmt numFmtId="220" formatCode="_ [$€]* #,##0.00_ ;_ [$€]* \-#,##0.00_ ;_ [$€]* &quot;-&quot;??_ ;_ @_ "/>
    <numFmt numFmtId="221" formatCode="_([$€-2]* #,##0.00_);_([$€-2]* \(#,##0.00\);_([$€-2]* &quot;-&quot;??_)"/>
    <numFmt numFmtId="222" formatCode="_([$€]* #,##0.00_);_([$€]* \(#,##0.00\);_([$€]* &quot;-&quot;??_);_(@_)"/>
    <numFmt numFmtId="223" formatCode="_-[$€-2]* #,##0.00_-;\-[$€-2]* #,##0.00_-;_-[$€-2]* &quot;-&quot;??_-"/>
    <numFmt numFmtId="224" formatCode="0.0E+00;\㒜"/>
    <numFmt numFmtId="225" formatCode="#,##0.00\ &quot;pta&quot;;\-#,##0.00\ &quot;pta&quot;"/>
    <numFmt numFmtId="226" formatCode="&quot;£&quot;#,##0;\-&quot;£&quot;#,##0"/>
    <numFmt numFmtId="227" formatCode="_-&quot;$&quot;* #,##0.00_-;_-&quot;$&quot;* #,##0.00\-;_-&quot;$&quot;* &quot;-&quot;??_-;_-@_-"/>
    <numFmt numFmtId="228" formatCode="_-* #,##0\ _p_t_a_-;\-* #,##0\ _p_t_a_-;_-* &quot;-&quot;\ _p_t_a_-;_-@_-"/>
    <numFmt numFmtId="229" formatCode="_-* #,##0_-;_-* #,##0\-;_-* &quot;-&quot;_-;_-@_-"/>
    <numFmt numFmtId="230" formatCode="#,###.00"/>
    <numFmt numFmtId="231" formatCode="_-&quot;$&quot;* #,##0_-;\-&quot;$&quot;* #,##0_-;_-&quot;$&quot;* &quot;-&quot;_-;_-@_-"/>
    <numFmt numFmtId="232" formatCode="#,###"/>
    <numFmt numFmtId="233" formatCode="00000"/>
    <numFmt numFmtId="234" formatCode="&quot;$&quot;\ \ \ \ #,##0.00_);[Red]\(&quot;$&quot;#,##0.00\)"/>
    <numFmt numFmtId="235" formatCode="_-* #,##0\ _F_B_-;\-* #,##0\ _F_B_-;_-* &quot;-&quot;\ _F_B_-;_-@_-"/>
    <numFmt numFmtId="236" formatCode="[$€]\ #,##0.00"/>
    <numFmt numFmtId="237" formatCode="#,##0.00;\(#,##0.00\)"/>
    <numFmt numFmtId="238" formatCode="#,###,###,##0_);\(#,###,###,##0\)_)"/>
    <numFmt numFmtId="239" formatCode="\$#,##0.00\ ;\(\$#,##0.00\)"/>
    <numFmt numFmtId="240" formatCode="#,##0.00\ &quot;$&quot;;\-#,##0.00\ &quot;$&quot;"/>
    <numFmt numFmtId="241" formatCode="[$-F400]h:mm:ss\ AM/PM"/>
    <numFmt numFmtId="242" formatCode="mm/dd/yyyy"/>
    <numFmt numFmtId="243" formatCode="_(&quot;C$&quot;* #,##0.00_);_(&quot;C$&quot;* \(#,##0.00\);_(&quot;C$&quot;* &quot;-&quot;??_);_(@_)"/>
    <numFmt numFmtId="244" formatCode="&quot;Rp&quot;#,##0_);\(&quot;Rp&quot;#,##0\)"/>
    <numFmt numFmtId="245" formatCode="_-&quot;$&quot;\ * #,##0.0_-;\-&quot;$&quot;\ * #,##0.0_-;_-&quot;$&quot;\ * &quot;-&quot;_-;_-@_-"/>
    <numFmt numFmtId="246" formatCode="[$-409]dd\-mmm\-yy;@"/>
    <numFmt numFmtId="247" formatCode="0;[Red]0"/>
    <numFmt numFmtId="248" formatCode="0E+00"/>
  </numFmts>
  <fonts count="285">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8"/>
      <color indexed="18"/>
      <name val="Tahoma"/>
      <family val="2"/>
    </font>
    <font>
      <b/>
      <sz val="11"/>
      <color indexed="8"/>
      <name val="Arial"/>
      <family val="2"/>
    </font>
    <font>
      <sz val="11"/>
      <color rgb="FFD10527"/>
      <name val="Calibri"/>
      <family val="2"/>
      <scheme val="minor"/>
    </font>
    <font>
      <b/>
      <sz val="10"/>
      <color indexed="8"/>
      <name val="Arial"/>
      <family val="2"/>
    </font>
    <font>
      <b/>
      <sz val="11"/>
      <color rgb="FFD10527"/>
      <name val="Calibri"/>
      <family val="2"/>
      <scheme val="minor"/>
    </font>
    <font>
      <sz val="11"/>
      <color indexed="8"/>
      <name val="Arial"/>
      <family val="2"/>
    </font>
    <font>
      <b/>
      <sz val="14"/>
      <color indexed="12"/>
      <name val="Arial"/>
      <family val="2"/>
    </font>
    <font>
      <b/>
      <sz val="11"/>
      <color indexed="12"/>
      <name val="Arial"/>
      <family val="2"/>
    </font>
    <font>
      <b/>
      <sz val="10"/>
      <color indexed="12"/>
      <name val="Arial"/>
      <family val="2"/>
    </font>
    <font>
      <b/>
      <sz val="10"/>
      <color rgb="FF0033CC"/>
      <name val="Arial"/>
      <family val="2"/>
    </font>
    <font>
      <sz val="10"/>
      <name val="Times New Roman"/>
      <family val="1"/>
    </font>
    <font>
      <sz val="11"/>
      <name val="Arial"/>
      <family val="2"/>
    </font>
    <font>
      <b/>
      <sz val="11"/>
      <color rgb="FF0033CC"/>
      <name val="Arial"/>
      <family val="2"/>
    </font>
    <font>
      <b/>
      <sz val="11"/>
      <name val="Arial"/>
      <family val="2"/>
    </font>
    <font>
      <sz val="11"/>
      <name val="Tms Rmn"/>
    </font>
    <font>
      <sz val="8"/>
      <name val="Helv"/>
    </font>
    <font>
      <b/>
      <i/>
      <sz val="16"/>
      <name val="Helv"/>
    </font>
    <font>
      <b/>
      <sz val="10"/>
      <name val="Arial"/>
      <family val="2"/>
    </font>
    <font>
      <b/>
      <u/>
      <sz val="10"/>
      <color rgb="FF0070C0"/>
      <name val="Arial"/>
      <family val="2"/>
    </font>
    <font>
      <b/>
      <sz val="10"/>
      <name val="Geneva"/>
    </font>
    <font>
      <b/>
      <sz val="8"/>
      <color indexed="81"/>
      <name val="Tahoma"/>
      <family val="2"/>
    </font>
    <font>
      <sz val="8"/>
      <color indexed="81"/>
      <name val="Tahoma"/>
      <family val="2"/>
    </font>
    <font>
      <b/>
      <sz val="16"/>
      <color indexed="18"/>
      <name val="Tahoma"/>
      <family val="2"/>
    </font>
    <font>
      <b/>
      <sz val="12"/>
      <color indexed="12"/>
      <name val="Arial"/>
      <family val="2"/>
    </font>
    <font>
      <b/>
      <i/>
      <sz val="10"/>
      <color indexed="12"/>
      <name val="Arial"/>
      <family val="2"/>
    </font>
    <font>
      <b/>
      <sz val="11"/>
      <name val="Arial "/>
    </font>
    <font>
      <b/>
      <sz val="12"/>
      <color theme="1"/>
      <name val="Arial"/>
      <family val="2"/>
    </font>
    <font>
      <b/>
      <sz val="12"/>
      <color indexed="60"/>
      <name val="Arial"/>
      <family val="2"/>
    </font>
    <font>
      <b/>
      <sz val="11"/>
      <color theme="1"/>
      <name val="Arial"/>
      <family val="2"/>
    </font>
    <font>
      <sz val="14"/>
      <color theme="1"/>
      <name val="Calibri"/>
      <family val="2"/>
      <scheme val="minor"/>
    </font>
    <font>
      <b/>
      <sz val="11"/>
      <color theme="1"/>
      <name val="Arial Unicode MS"/>
      <family val="2"/>
    </font>
    <font>
      <b/>
      <sz val="10"/>
      <color theme="1"/>
      <name val="Calibri"/>
      <family val="2"/>
      <scheme val="minor"/>
    </font>
    <font>
      <sz val="10"/>
      <name val="Calibri"/>
      <family val="2"/>
      <scheme val="minor"/>
    </font>
    <font>
      <sz val="11"/>
      <name val="Calibri"/>
      <family val="2"/>
    </font>
    <font>
      <b/>
      <vertAlign val="superscript"/>
      <sz val="10"/>
      <color indexed="8"/>
      <name val="Calibri"/>
      <family val="2"/>
    </font>
    <font>
      <sz val="11"/>
      <name val="Calibri"/>
      <family val="2"/>
      <scheme val="minor"/>
    </font>
    <font>
      <sz val="10"/>
      <color theme="0"/>
      <name val="Calibri"/>
      <family val="2"/>
      <scheme val="minor"/>
    </font>
    <font>
      <vertAlign val="superscript"/>
      <sz val="10"/>
      <color indexed="9"/>
      <name val="Calibri"/>
      <family val="2"/>
    </font>
    <font>
      <sz val="10"/>
      <color indexed="9"/>
      <name val="Calibri"/>
      <family val="2"/>
    </font>
    <font>
      <sz val="11"/>
      <color indexed="8"/>
      <name val="Calibri"/>
      <family val="2"/>
      <scheme val="minor"/>
    </font>
    <font>
      <sz val="11"/>
      <color indexed="8"/>
      <name val="Calibri"/>
      <family val="2"/>
    </font>
    <font>
      <i/>
      <sz val="9"/>
      <name val="Arial"/>
      <family val="2"/>
    </font>
    <font>
      <i/>
      <sz val="8"/>
      <name val="Arial"/>
      <family val="2"/>
    </font>
    <font>
      <b/>
      <sz val="8"/>
      <name val="Times New Roman"/>
      <family val="1"/>
    </font>
    <font>
      <b/>
      <i/>
      <sz val="10"/>
      <name val="Arial"/>
      <family val="2"/>
    </font>
    <font>
      <b/>
      <sz val="8"/>
      <name val="Arial"/>
      <family val="2"/>
    </font>
    <font>
      <sz val="8"/>
      <name val="Arial"/>
      <family val="2"/>
    </font>
    <font>
      <sz val="10"/>
      <color indexed="8"/>
      <name val="Arial"/>
      <family val="2"/>
    </font>
    <font>
      <b/>
      <sz val="11"/>
      <name val="Times New Roman"/>
      <family val="1"/>
    </font>
    <font>
      <sz val="8"/>
      <color theme="1"/>
      <name val="Arial"/>
      <family val="2"/>
    </font>
    <font>
      <b/>
      <sz val="22"/>
      <color indexed="8"/>
      <name val="Calibri"/>
      <family val="2"/>
    </font>
    <font>
      <b/>
      <sz val="18"/>
      <color indexed="8"/>
      <name val="Calibri"/>
      <family val="2"/>
    </font>
    <font>
      <b/>
      <sz val="10"/>
      <color indexed="8"/>
      <name val="Calibri"/>
      <family val="2"/>
    </font>
    <font>
      <sz val="10"/>
      <color indexed="8"/>
      <name val="Calibri"/>
      <family val="2"/>
    </font>
    <font>
      <b/>
      <sz val="11"/>
      <color indexed="8"/>
      <name val="Calibri"/>
      <family val="2"/>
    </font>
    <font>
      <sz val="8"/>
      <color theme="1"/>
      <name val="Calibri"/>
      <family val="2"/>
      <scheme val="minor"/>
    </font>
    <font>
      <sz val="12"/>
      <color theme="1"/>
      <name val="Calibri"/>
      <family val="2"/>
      <scheme val="minor"/>
    </font>
    <font>
      <sz val="10"/>
      <color theme="1"/>
      <name val="Calibri"/>
      <family val="2"/>
      <scheme val="minor"/>
    </font>
    <font>
      <sz val="11"/>
      <color theme="1"/>
      <name val="Trebuchet MS"/>
      <family val="2"/>
    </font>
    <font>
      <sz val="11"/>
      <color rgb="FF1F497D"/>
      <name val="Calibri"/>
      <family val="2"/>
      <scheme val="minor"/>
    </font>
    <font>
      <sz val="11"/>
      <color theme="1"/>
      <name val="Cambria"/>
      <family val="1"/>
      <scheme val="major"/>
    </font>
    <font>
      <sz val="8"/>
      <color indexed="8"/>
      <name val="Calibri"/>
      <family val="2"/>
    </font>
    <font>
      <b/>
      <sz val="11"/>
      <color rgb="FF476FE1"/>
      <name val="Arial"/>
      <family val="2"/>
    </font>
    <font>
      <sz val="11"/>
      <color theme="1"/>
      <name val="Arial"/>
      <family val="2"/>
    </font>
    <font>
      <sz val="11"/>
      <color theme="0"/>
      <name val="Calibri"/>
      <family val="2"/>
      <scheme val="minor"/>
    </font>
    <font>
      <sz val="11"/>
      <color indexed="12"/>
      <name val="Arial"/>
      <family val="2"/>
    </font>
    <font>
      <b/>
      <sz val="14"/>
      <color theme="0"/>
      <name val="Arial"/>
      <family val="2"/>
    </font>
    <font>
      <b/>
      <sz val="14"/>
      <color theme="2" tint="-0.499984740745262"/>
      <name val="Arial"/>
      <family val="2"/>
    </font>
    <font>
      <b/>
      <sz val="12"/>
      <color theme="2" tint="-0.499984740745262"/>
      <name val="Arial"/>
      <family val="2"/>
    </font>
    <font>
      <b/>
      <sz val="10"/>
      <color theme="2" tint="-0.749992370372631"/>
      <name val="Arial"/>
      <family val="2"/>
    </font>
    <font>
      <b/>
      <i/>
      <sz val="11"/>
      <color theme="1"/>
      <name val="Calibri"/>
      <family val="2"/>
      <scheme val="minor"/>
    </font>
    <font>
      <b/>
      <i/>
      <u/>
      <sz val="14"/>
      <color theme="1"/>
      <name val="Calibri"/>
      <family val="2"/>
      <scheme val="minor"/>
    </font>
    <font>
      <b/>
      <sz val="14"/>
      <color theme="1"/>
      <name val="Calibri"/>
      <family val="2"/>
      <scheme val="minor"/>
    </font>
    <font>
      <b/>
      <i/>
      <sz val="12"/>
      <color theme="1"/>
      <name val="Calibri"/>
      <family val="2"/>
      <scheme val="minor"/>
    </font>
    <font>
      <b/>
      <sz val="14"/>
      <color indexed="10"/>
      <name val="Arial"/>
      <family val="2"/>
    </font>
    <font>
      <b/>
      <i/>
      <sz val="11"/>
      <name val="Arial"/>
      <family val="2"/>
    </font>
    <font>
      <b/>
      <i/>
      <sz val="12"/>
      <name val="Arial"/>
      <family val="2"/>
    </font>
    <font>
      <i/>
      <sz val="10"/>
      <name val="Arial"/>
      <family val="2"/>
    </font>
    <font>
      <i/>
      <sz val="10"/>
      <color indexed="8"/>
      <name val="Arial"/>
      <family val="2"/>
    </font>
    <font>
      <b/>
      <i/>
      <sz val="11"/>
      <color rgb="FFFF0000"/>
      <name val="Arial"/>
      <family val="2"/>
    </font>
    <font>
      <b/>
      <sz val="12"/>
      <name val="Arial"/>
      <family val="2"/>
    </font>
    <font>
      <b/>
      <sz val="18"/>
      <color indexed="81"/>
      <name val="Tahoma"/>
      <family val="2"/>
    </font>
    <font>
      <b/>
      <sz val="11"/>
      <color theme="0"/>
      <name val="Calibri"/>
      <family val="2"/>
      <scheme val="minor"/>
    </font>
    <font>
      <b/>
      <sz val="9"/>
      <color indexed="81"/>
      <name val="Tahoma"/>
      <family val="2"/>
    </font>
    <font>
      <sz val="9"/>
      <color indexed="81"/>
      <name val="Tahoma"/>
      <family val="2"/>
    </font>
    <font>
      <b/>
      <sz val="8"/>
      <color theme="1"/>
      <name val="Calibri"/>
      <family val="2"/>
      <scheme val="minor"/>
    </font>
    <font>
      <sz val="10"/>
      <color theme="1"/>
      <name val="Arial"/>
      <family val="2"/>
    </font>
    <font>
      <b/>
      <sz val="10"/>
      <color theme="1"/>
      <name val="Arial"/>
      <family val="2"/>
    </font>
    <font>
      <u/>
      <sz val="11"/>
      <color theme="10"/>
      <name val="Calibri"/>
      <family val="2"/>
      <scheme val="minor"/>
    </font>
    <font>
      <b/>
      <sz val="16"/>
      <color theme="1"/>
      <name val="Calibri"/>
      <family val="2"/>
      <scheme val="minor"/>
    </font>
    <font>
      <b/>
      <sz val="12"/>
      <color theme="1"/>
      <name val="Calibri"/>
      <family val="2"/>
      <scheme val="minor"/>
    </font>
    <font>
      <sz val="11"/>
      <color indexed="9"/>
      <name val="Calibri"/>
      <family val="2"/>
    </font>
    <font>
      <sz val="11"/>
      <color indexed="17"/>
      <name val="Calibri"/>
      <family val="2"/>
    </font>
    <font>
      <b/>
      <sz val="11"/>
      <color indexed="10"/>
      <name val="Calibri"/>
      <family val="2"/>
    </font>
    <font>
      <b/>
      <sz val="11"/>
      <color indexed="9"/>
      <name val="Calibri"/>
      <family val="2"/>
    </font>
    <font>
      <sz val="11"/>
      <color indexed="10"/>
      <name val="Calibri"/>
      <family val="2"/>
    </font>
    <font>
      <sz val="12"/>
      <color indexed="24"/>
      <name val="Arial"/>
      <family val="2"/>
    </font>
    <font>
      <b/>
      <sz val="11"/>
      <color indexed="62"/>
      <name val="Calibri"/>
      <family val="2"/>
    </font>
    <font>
      <sz val="11"/>
      <color indexed="62"/>
      <name val="Calibri"/>
      <family val="2"/>
    </font>
    <font>
      <sz val="14"/>
      <name val="Arial"/>
      <family val="2"/>
    </font>
    <font>
      <sz val="11"/>
      <color indexed="20"/>
      <name val="Calibri"/>
      <family val="2"/>
    </font>
    <font>
      <b/>
      <sz val="11"/>
      <color indexed="63"/>
      <name val="Calibri"/>
      <family val="2"/>
    </font>
    <font>
      <i/>
      <sz val="11"/>
      <color indexed="23"/>
      <name val="Calibri"/>
      <family val="2"/>
    </font>
    <font>
      <b/>
      <sz val="15"/>
      <color indexed="62"/>
      <name val="Calibri"/>
      <family val="2"/>
    </font>
    <font>
      <b/>
      <sz val="18"/>
      <color indexed="62"/>
      <name val="Cambria"/>
      <family val="2"/>
    </font>
    <font>
      <b/>
      <sz val="13"/>
      <color indexed="62"/>
      <name val="Calibri"/>
      <family val="2"/>
    </font>
    <font>
      <b/>
      <sz val="7"/>
      <color indexed="8"/>
      <name val="Arial"/>
      <family val="2"/>
    </font>
    <font>
      <b/>
      <sz val="7"/>
      <name val="Arial"/>
      <family val="2"/>
    </font>
    <font>
      <b/>
      <sz val="16"/>
      <color indexed="8"/>
      <name val="Arial"/>
      <family val="2"/>
    </font>
    <font>
      <sz val="7"/>
      <color indexed="10"/>
      <name val="Arial"/>
      <family val="2"/>
    </font>
    <font>
      <sz val="7"/>
      <name val="Arial"/>
      <family val="2"/>
    </font>
    <font>
      <b/>
      <sz val="16"/>
      <color theme="1"/>
      <name val="Arial"/>
      <family val="2"/>
    </font>
    <font>
      <b/>
      <sz val="9"/>
      <color indexed="12"/>
      <name val="Arial"/>
      <family val="2"/>
    </font>
    <font>
      <sz val="9"/>
      <color theme="0"/>
      <name val="Calibri"/>
      <family val="2"/>
      <scheme val="minor"/>
    </font>
    <font>
      <b/>
      <sz val="10"/>
      <color rgb="FF0070C0"/>
      <name val="Arial"/>
      <family val="2"/>
    </font>
    <font>
      <sz val="8"/>
      <color theme="0"/>
      <name val="Calibri"/>
      <family val="2"/>
      <scheme val="minor"/>
    </font>
    <font>
      <b/>
      <sz val="10"/>
      <color theme="0"/>
      <name val="Calibri"/>
      <family val="2"/>
      <scheme val="minor"/>
    </font>
    <font>
      <b/>
      <sz val="14"/>
      <color rgb="FFFF0000"/>
      <name val="Calibri"/>
      <family val="2"/>
      <scheme val="minor"/>
    </font>
    <font>
      <b/>
      <sz val="12"/>
      <color theme="3"/>
      <name val="Calibri"/>
      <family val="2"/>
      <scheme val="minor"/>
    </font>
    <font>
      <b/>
      <sz val="12"/>
      <color theme="0"/>
      <name val="Calibri"/>
      <family val="2"/>
      <scheme val="minor"/>
    </font>
    <font>
      <sz val="9"/>
      <color theme="1"/>
      <name val="Calibri"/>
      <family val="2"/>
      <scheme val="minor"/>
    </font>
    <font>
      <b/>
      <sz val="9"/>
      <color theme="1"/>
      <name val="Calibri"/>
      <family val="2"/>
      <scheme val="minor"/>
    </font>
    <font>
      <sz val="10"/>
      <color rgb="FFFF0000"/>
      <name val="Calibri"/>
      <family val="2"/>
      <scheme val="minor"/>
    </font>
    <font>
      <sz val="12"/>
      <color theme="0"/>
      <name val="Calibri"/>
      <family val="2"/>
      <scheme val="minor"/>
    </font>
    <font>
      <b/>
      <sz val="10"/>
      <name val="Calibri"/>
      <family val="2"/>
      <scheme val="minor"/>
    </font>
    <font>
      <b/>
      <sz val="14"/>
      <name val="Calibri"/>
      <family val="2"/>
      <scheme val="minor"/>
    </font>
    <font>
      <b/>
      <sz val="12"/>
      <name val="Calibri"/>
      <family val="2"/>
      <scheme val="minor"/>
    </font>
    <font>
      <b/>
      <sz val="10"/>
      <color theme="1"/>
      <name val="Calibri"/>
      <family val="2"/>
    </font>
    <font>
      <b/>
      <sz val="8.1999999999999993"/>
      <color theme="1"/>
      <name val="Calibri"/>
      <family val="2"/>
    </font>
    <font>
      <b/>
      <sz val="24"/>
      <color rgb="FFC00000"/>
      <name val="Times New Roman"/>
      <family val="1"/>
    </font>
    <font>
      <b/>
      <sz val="20"/>
      <color theme="3"/>
      <name val="Arial Black"/>
      <family val="2"/>
    </font>
    <font>
      <b/>
      <sz val="20"/>
      <color theme="1"/>
      <name val="Calibri"/>
      <family val="2"/>
      <scheme val="minor"/>
    </font>
    <font>
      <b/>
      <u/>
      <sz val="16"/>
      <color theme="3"/>
      <name val="Calibri"/>
      <family val="2"/>
      <scheme val="minor"/>
    </font>
    <font>
      <sz val="16"/>
      <color theme="1"/>
      <name val="Calibri"/>
      <family val="2"/>
      <scheme val="minor"/>
    </font>
    <font>
      <b/>
      <sz val="16"/>
      <color theme="0"/>
      <name val="Calibri"/>
      <family val="2"/>
      <scheme val="minor"/>
    </font>
    <font>
      <b/>
      <sz val="16"/>
      <color rgb="FFFF0000"/>
      <name val="Calibri"/>
      <family val="2"/>
      <scheme val="minor"/>
    </font>
    <font>
      <sz val="11"/>
      <color theme="4"/>
      <name val="Calibri"/>
      <family val="2"/>
      <scheme val="minor"/>
    </font>
    <font>
      <b/>
      <i/>
      <sz val="10"/>
      <color theme="1"/>
      <name val="Calibri"/>
      <family val="2"/>
      <scheme val="minor"/>
    </font>
    <font>
      <b/>
      <u/>
      <sz val="10"/>
      <color theme="1"/>
      <name val="Calibri"/>
      <family val="2"/>
      <scheme val="minor"/>
    </font>
    <font>
      <u/>
      <sz val="10"/>
      <color theme="1"/>
      <name val="Calibri"/>
      <family val="2"/>
      <scheme val="minor"/>
    </font>
    <font>
      <sz val="9"/>
      <color rgb="FFFF0000"/>
      <name val="Calibri"/>
      <family val="2"/>
      <scheme val="minor"/>
    </font>
    <font>
      <sz val="11"/>
      <color theme="4" tint="0.39997558519241921"/>
      <name val="Calibri"/>
      <family val="2"/>
      <scheme val="minor"/>
    </font>
    <font>
      <b/>
      <sz val="8"/>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1"/>
      <name val="Calibri"/>
      <family val="2"/>
      <charset val="1"/>
      <scheme val="minor"/>
    </font>
    <font>
      <sz val="14"/>
      <name val="AngsanaUPC"/>
      <family val="1"/>
    </font>
    <font>
      <sz val="8"/>
      <name val="Times New Roman"/>
      <family val="1"/>
    </font>
    <font>
      <b/>
      <sz val="10"/>
      <name val="Bookman Old Style"/>
      <family val="1"/>
    </font>
    <font>
      <sz val="12"/>
      <name val="Tms Rmn"/>
    </font>
    <font>
      <sz val="12"/>
      <name val="Tms Rmn"/>
      <family val="1"/>
    </font>
    <font>
      <sz val="12"/>
      <name val="¹ÙÅÁÃ¼"/>
      <charset val="129"/>
    </font>
    <font>
      <sz val="10"/>
      <name val="Geneva"/>
    </font>
    <font>
      <b/>
      <sz val="11"/>
      <color indexed="52"/>
      <name val="Calibri"/>
      <family val="2"/>
    </font>
    <font>
      <b/>
      <sz val="11"/>
      <color rgb="FFFA7D00"/>
      <name val="Calibri"/>
      <family val="2"/>
      <charset val="1"/>
      <scheme val="minor"/>
    </font>
    <font>
      <sz val="11"/>
      <color indexed="52"/>
      <name val="Calibri"/>
      <family val="2"/>
    </font>
    <font>
      <sz val="10"/>
      <name val="MS Serif"/>
      <family val="1"/>
    </font>
    <font>
      <sz val="11"/>
      <name val="??"/>
      <family val="3"/>
      <charset val="129"/>
    </font>
    <font>
      <b/>
      <sz val="11"/>
      <color indexed="56"/>
      <name val="Calibri"/>
      <family val="2"/>
    </font>
    <font>
      <sz val="10"/>
      <color indexed="16"/>
      <name val="MS Serif"/>
      <family val="1"/>
    </font>
    <font>
      <sz val="9"/>
      <color indexed="10"/>
      <name val="Geneva"/>
    </font>
    <font>
      <b/>
      <sz val="1"/>
      <color indexed="8"/>
      <name val="Courier"/>
      <family val="3"/>
    </font>
    <font>
      <sz val="1"/>
      <color indexed="8"/>
      <name val="Courier"/>
      <family val="3"/>
    </font>
    <font>
      <i/>
      <sz val="1"/>
      <color indexed="8"/>
      <name val="Courier"/>
      <family val="3"/>
    </font>
    <font>
      <u/>
      <sz val="10"/>
      <color indexed="14"/>
      <name val="MS Sans Serif"/>
      <family val="2"/>
    </font>
    <font>
      <sz val="8"/>
      <name val="Helv"/>
      <family val="2"/>
    </font>
    <font>
      <sz val="10"/>
      <color indexed="10"/>
      <name val="Arial"/>
      <family val="2"/>
    </font>
    <font>
      <b/>
      <sz val="12"/>
      <color indexed="9"/>
      <name val="Tms Rmn"/>
    </font>
    <font>
      <b/>
      <sz val="12"/>
      <color indexed="9"/>
      <name val="Tms Rmn"/>
      <family val="1"/>
    </font>
    <font>
      <b/>
      <u/>
      <sz val="11"/>
      <color indexed="37"/>
      <name val="Arial"/>
      <family val="2"/>
    </font>
    <font>
      <sz val="18"/>
      <color indexed="24"/>
      <name val="Arial"/>
      <family val="2"/>
    </font>
    <font>
      <b/>
      <sz val="18"/>
      <color indexed="24"/>
      <name val="Arial"/>
      <family val="2"/>
    </font>
    <font>
      <sz val="8"/>
      <color indexed="24"/>
      <name val="Arial"/>
      <family val="2"/>
    </font>
    <font>
      <b/>
      <sz val="12"/>
      <color indexed="22"/>
      <name val="Arial"/>
      <family val="2"/>
    </font>
    <font>
      <b/>
      <sz val="8"/>
      <name val="MS Sans Serif"/>
      <family val="2"/>
    </font>
    <font>
      <sz val="10"/>
      <color indexed="12"/>
      <name val="Arial"/>
      <family val="2"/>
    </font>
    <font>
      <u/>
      <sz val="8"/>
      <color indexed="12"/>
      <name val="Arial"/>
      <family val="2"/>
    </font>
    <font>
      <u/>
      <sz val="10"/>
      <color indexed="12"/>
      <name val="Arial"/>
      <family val="2"/>
    </font>
    <font>
      <u/>
      <sz val="9"/>
      <color indexed="36"/>
      <name val="Arial"/>
      <family val="2"/>
    </font>
    <font>
      <u/>
      <sz val="8.4"/>
      <color indexed="12"/>
      <name val="Arial"/>
      <family val="2"/>
    </font>
    <font>
      <u/>
      <sz val="10"/>
      <color indexed="12"/>
      <name val="MS Sans Serif"/>
      <family val="2"/>
    </font>
    <font>
      <u/>
      <sz val="9"/>
      <color indexed="12"/>
      <name val="Arial"/>
      <family val="2"/>
    </font>
    <font>
      <sz val="11"/>
      <color rgb="FF9C0006"/>
      <name val="Calibri"/>
      <family val="2"/>
      <charset val="1"/>
      <scheme val="minor"/>
    </font>
    <font>
      <sz val="10"/>
      <name val="Geneva"/>
      <family val="2"/>
    </font>
    <font>
      <sz val="11"/>
      <color rgb="FF000000"/>
      <name val="Calibri"/>
      <family val="2"/>
    </font>
    <font>
      <sz val="10"/>
      <name val="Arabic Transparent"/>
    </font>
    <font>
      <sz val="11"/>
      <color indexed="60"/>
      <name val="Calibri"/>
      <family val="2"/>
    </font>
    <font>
      <sz val="7"/>
      <name val="Small Fonts"/>
      <family val="2"/>
    </font>
    <font>
      <sz val="12"/>
      <color indexed="8"/>
      <name val="Verdana"/>
      <family val="2"/>
    </font>
    <font>
      <sz val="10"/>
      <color indexed="64"/>
      <name val="Arial"/>
      <family val="2"/>
    </font>
    <font>
      <sz val="12"/>
      <name val="Helv"/>
    </font>
    <font>
      <b/>
      <sz val="10"/>
      <name val="Arial CE"/>
      <family val="2"/>
      <charset val="238"/>
    </font>
    <font>
      <sz val="10"/>
      <name val="MS Sans Serif"/>
      <family val="2"/>
    </font>
    <font>
      <b/>
      <sz val="10"/>
      <name val="MS Sans Serif"/>
      <family val="2"/>
    </font>
    <font>
      <sz val="8"/>
      <name val="Wingdings"/>
      <charset val="2"/>
    </font>
    <font>
      <sz val="8"/>
      <name val="MS Sans Serif"/>
      <family val="2"/>
    </font>
    <font>
      <b/>
      <sz val="8"/>
      <color indexed="8"/>
      <name val="Helv"/>
    </font>
    <font>
      <b/>
      <sz val="8"/>
      <color indexed="8"/>
      <name val="Helv"/>
      <family val="2"/>
    </font>
    <font>
      <b/>
      <sz val="18"/>
      <color indexed="56"/>
      <name val="Cambria"/>
      <family val="2"/>
    </font>
    <font>
      <b/>
      <sz val="15"/>
      <color indexed="56"/>
      <name val="Calibri"/>
      <family val="2"/>
    </font>
    <font>
      <b/>
      <sz val="13"/>
      <color indexed="56"/>
      <name val="Calibri"/>
      <family val="2"/>
    </font>
    <font>
      <sz val="18"/>
      <color theme="3"/>
      <name val="Cambria"/>
      <family val="2"/>
      <scheme val="major"/>
    </font>
    <font>
      <sz val="8"/>
      <color indexed="12"/>
      <name val="Arial"/>
      <family val="2"/>
    </font>
    <font>
      <sz val="12"/>
      <color indexed="24"/>
      <name val="Modern"/>
      <family val="3"/>
      <charset val="255"/>
    </font>
    <font>
      <b/>
      <sz val="18"/>
      <color indexed="24"/>
      <name val="Modern"/>
      <family val="3"/>
      <charset val="255"/>
    </font>
    <font>
      <b/>
      <sz val="12"/>
      <color indexed="24"/>
      <name val="Modern"/>
      <family val="3"/>
      <charset val="255"/>
    </font>
    <font>
      <b/>
      <sz val="8"/>
      <color indexed="8"/>
      <name val="Arial"/>
      <family val="2"/>
    </font>
    <font>
      <b/>
      <sz val="16"/>
      <color indexed="12"/>
      <name val="Arial"/>
      <family val="2"/>
    </font>
    <font>
      <b/>
      <sz val="8"/>
      <color theme="0"/>
      <name val="Calibri"/>
      <family val="2"/>
      <scheme val="minor"/>
    </font>
    <font>
      <b/>
      <sz val="8"/>
      <color indexed="12"/>
      <name val="Arial"/>
      <family val="2"/>
    </font>
    <font>
      <sz val="11"/>
      <color rgb="FFC0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sz val="10"/>
      <name val="Helv"/>
    </font>
    <font>
      <u/>
      <sz val="10"/>
      <color indexed="36"/>
      <name val="Arial"/>
      <family val="2"/>
    </font>
    <font>
      <u/>
      <sz val="10"/>
      <color indexed="20"/>
      <name val="Arial"/>
      <family val="2"/>
    </font>
    <font>
      <sz val="10"/>
      <color theme="0"/>
      <name val="Arial"/>
      <family val="2"/>
    </font>
    <font>
      <sz val="10"/>
      <color theme="3" tint="0.39997558519241921"/>
      <name val="Arial"/>
      <family val="2"/>
    </font>
    <font>
      <sz val="10"/>
      <color theme="1" tint="0.249977111117893"/>
      <name val="Arial"/>
      <family val="2"/>
    </font>
    <font>
      <b/>
      <sz val="11"/>
      <color theme="3" tint="0.39997558519241921"/>
      <name val="Calibri"/>
      <family val="2"/>
      <scheme val="minor"/>
    </font>
    <font>
      <b/>
      <sz val="12"/>
      <color theme="0"/>
      <name val="Arial"/>
      <family val="2"/>
    </font>
    <font>
      <sz val="20"/>
      <color theme="1"/>
      <name val="Calibri"/>
      <family val="2"/>
      <scheme val="minor"/>
    </font>
    <font>
      <b/>
      <sz val="28"/>
      <color theme="1"/>
      <name val="Calibri"/>
      <family val="2"/>
      <scheme val="minor"/>
    </font>
    <font>
      <sz val="8"/>
      <color rgb="FF000000"/>
      <name val="Verdana"/>
      <family val="2"/>
    </font>
    <font>
      <b/>
      <sz val="22"/>
      <color theme="1"/>
      <name val="Calibri"/>
      <family val="2"/>
      <scheme val="minor"/>
    </font>
    <font>
      <sz val="22"/>
      <color theme="1"/>
      <name val="Calibri"/>
      <family val="2"/>
      <scheme val="minor"/>
    </font>
    <font>
      <b/>
      <sz val="22"/>
      <name val="Calibri"/>
      <family val="2"/>
      <scheme val="minor"/>
    </font>
    <font>
      <b/>
      <sz val="11"/>
      <name val="Calibri"/>
      <family val="2"/>
      <scheme val="minor"/>
    </font>
    <font>
      <sz val="10"/>
      <color indexed="81"/>
      <name val="Tahoma"/>
      <family val="2"/>
    </font>
    <font>
      <u/>
      <sz val="8"/>
      <color theme="10"/>
      <name val="Calibri"/>
      <family val="2"/>
      <scheme val="minor"/>
    </font>
    <font>
      <sz val="8"/>
      <color rgb="FF000000"/>
      <name val="Calibri"/>
      <family val="2"/>
      <scheme val="minor"/>
    </font>
    <font>
      <b/>
      <sz val="16"/>
      <name val="Calibri"/>
      <family val="2"/>
      <scheme val="minor"/>
    </font>
    <font>
      <sz val="8"/>
      <name val="Calibri"/>
      <family val="2"/>
      <scheme val="minor"/>
    </font>
    <font>
      <b/>
      <sz val="9"/>
      <color indexed="8"/>
      <name val="Arial"/>
      <family val="2"/>
    </font>
    <font>
      <b/>
      <sz val="9"/>
      <color theme="1"/>
      <name val="Cambria"/>
      <family val="1"/>
      <scheme val="major"/>
    </font>
    <font>
      <b/>
      <sz val="6"/>
      <color theme="1"/>
      <name val="Cambria"/>
      <family val="1"/>
      <scheme val="major"/>
    </font>
    <font>
      <b/>
      <sz val="9"/>
      <color rgb="FFD10527"/>
      <name val="Cambria"/>
      <family val="1"/>
      <scheme val="major"/>
    </font>
    <font>
      <b/>
      <sz val="14"/>
      <name val="Arial"/>
      <family val="2"/>
    </font>
    <font>
      <sz val="9"/>
      <name val="Times New Roman"/>
      <family val="1"/>
    </font>
    <font>
      <sz val="9"/>
      <name val="Arial"/>
      <family val="2"/>
    </font>
    <font>
      <b/>
      <sz val="9"/>
      <color indexed="9"/>
      <name val="Arial"/>
      <family val="2"/>
    </font>
    <font>
      <sz val="16"/>
      <name val="Arial"/>
      <family val="2"/>
    </font>
    <font>
      <b/>
      <sz val="10"/>
      <color indexed="81"/>
      <name val="Tahoma"/>
      <family val="2"/>
    </font>
    <font>
      <sz val="11"/>
      <color rgb="FF1F497D"/>
      <name val="Calibri"/>
      <family val="2"/>
    </font>
    <font>
      <i/>
      <sz val="12"/>
      <color theme="1"/>
      <name val="Calibri"/>
      <family val="2"/>
      <scheme val="minor"/>
    </font>
    <font>
      <i/>
      <sz val="11"/>
      <color theme="1"/>
      <name val="Calibri"/>
      <family val="2"/>
      <scheme val="minor"/>
    </font>
    <font>
      <b/>
      <sz val="10"/>
      <color theme="0"/>
      <name val="Arial"/>
      <family val="2"/>
    </font>
    <font>
      <b/>
      <sz val="14"/>
      <color theme="1"/>
      <name val="72 Light"/>
      <family val="2"/>
    </font>
    <font>
      <b/>
      <i/>
      <u/>
      <sz val="11"/>
      <color theme="1"/>
      <name val="Calibri"/>
      <family val="2"/>
      <scheme val="minor"/>
    </font>
    <font>
      <b/>
      <i/>
      <u/>
      <sz val="11"/>
      <color rgb="FFFFFF05"/>
      <name val="Aharoni"/>
      <charset val="177"/>
    </font>
    <font>
      <b/>
      <i/>
      <u/>
      <sz val="11"/>
      <color rgb="FFFFFF05"/>
      <name val="Calibri"/>
      <family val="2"/>
      <scheme val="minor"/>
    </font>
    <font>
      <b/>
      <i/>
      <sz val="14"/>
      <color theme="5" tint="-0.249977111117893"/>
      <name val="Calibri"/>
      <family val="2"/>
      <scheme val="minor"/>
    </font>
    <font>
      <b/>
      <sz val="14"/>
      <color theme="0"/>
      <name val="Calibri"/>
      <family val="2"/>
      <scheme val="minor"/>
    </font>
    <font>
      <u/>
      <sz val="12"/>
      <color theme="10"/>
      <name val="Calibri"/>
      <family val="2"/>
      <scheme val="minor"/>
    </font>
    <font>
      <b/>
      <sz val="12"/>
      <color theme="6" tint="0.39997558519241921"/>
      <name val="Calibri"/>
      <family val="2"/>
      <scheme val="minor"/>
    </font>
    <font>
      <b/>
      <sz val="11"/>
      <color theme="6" tint="0.39997558519241921"/>
      <name val="Calibri"/>
      <family val="2"/>
      <scheme val="minor"/>
    </font>
    <font>
      <b/>
      <sz val="16"/>
      <color indexed="18"/>
      <name val="Calibri"/>
      <family val="2"/>
      <scheme val="minor"/>
    </font>
    <font>
      <b/>
      <sz val="11"/>
      <color theme="4" tint="0.79998168889431442"/>
      <name val="Arial"/>
      <family val="2"/>
    </font>
    <font>
      <b/>
      <i/>
      <sz val="10"/>
      <color rgb="FFDDEDEF"/>
      <name val="Arial"/>
      <family val="2"/>
    </font>
    <font>
      <b/>
      <sz val="10"/>
      <color rgb="FFF1F5F9"/>
      <name val="Arial"/>
      <family val="2"/>
    </font>
    <font>
      <b/>
      <i/>
      <sz val="10"/>
      <color rgb="FFE5EDF3"/>
      <name val="Arial"/>
      <family val="2"/>
    </font>
    <font>
      <b/>
      <i/>
      <sz val="11"/>
      <color theme="0"/>
      <name val="Arial"/>
      <family val="2"/>
    </font>
    <font>
      <b/>
      <sz val="9"/>
      <name val="Arial"/>
      <family val="2"/>
    </font>
    <font>
      <b/>
      <i/>
      <sz val="8"/>
      <name val="Arial"/>
      <family val="2"/>
    </font>
    <font>
      <b/>
      <i/>
      <sz val="9"/>
      <color indexed="12"/>
      <name val="Arial"/>
      <family val="2"/>
    </font>
    <font>
      <b/>
      <sz val="11"/>
      <color theme="5"/>
      <name val="Calibri"/>
      <family val="2"/>
      <scheme val="minor"/>
    </font>
    <font>
      <sz val="11"/>
      <color theme="0"/>
      <name val="Arial"/>
      <family val="2"/>
    </font>
    <font>
      <b/>
      <sz val="12"/>
      <color theme="5"/>
      <name val="Calibri"/>
      <family val="2"/>
      <scheme val="minor"/>
    </font>
    <font>
      <b/>
      <sz val="12"/>
      <color theme="0"/>
      <name val="Calibri"/>
      <family val="2"/>
    </font>
    <font>
      <b/>
      <sz val="16"/>
      <color theme="0"/>
      <name val="Calibri"/>
      <family val="2"/>
    </font>
    <font>
      <b/>
      <i/>
      <sz val="9"/>
      <name val="Arial"/>
      <family val="2"/>
    </font>
    <font>
      <b/>
      <sz val="8"/>
      <color indexed="18"/>
      <name val="Tahoma"/>
      <family val="2"/>
    </font>
    <font>
      <b/>
      <sz val="11"/>
      <color rgb="FFFF0000"/>
      <name val="Calibri"/>
      <family val="2"/>
      <scheme val="minor"/>
    </font>
  </fonts>
  <fills count="147">
    <fill>
      <patternFill patternType="none"/>
    </fill>
    <fill>
      <patternFill patternType="gray125"/>
    </fill>
    <fill>
      <patternFill patternType="solid">
        <fgColor indexed="9"/>
        <bgColor indexed="64"/>
      </patternFill>
    </fill>
    <fill>
      <patternFill patternType="gray0625">
        <fgColor theme="2"/>
        <bgColor theme="2" tint="-9.9917600024414813E-2"/>
      </patternFill>
    </fill>
    <fill>
      <patternFill patternType="lightGray">
        <fgColor theme="7" tint="-0.24994659260841701"/>
        <bgColor theme="8" tint="0.39994506668294322"/>
      </patternFill>
    </fill>
    <fill>
      <patternFill patternType="gray0625">
        <fgColor theme="2" tint="-0.24994659260841701"/>
        <bgColor theme="4" tint="0.79998168889431442"/>
      </patternFill>
    </fill>
    <fill>
      <patternFill patternType="gray0625">
        <fgColor theme="2" tint="-9.9948118533890809E-2"/>
        <bgColor theme="4" tint="0.79995117038483843"/>
      </patternFill>
    </fill>
    <fill>
      <patternFill patternType="solid">
        <fgColor indexed="15"/>
        <bgColor indexed="64"/>
      </patternFill>
    </fill>
    <fill>
      <patternFill patternType="lightGray">
        <fgColor indexed="44"/>
        <bgColor indexed="9"/>
      </patternFill>
    </fill>
    <fill>
      <patternFill patternType="solid">
        <fgColor theme="0"/>
        <bgColor indexed="64"/>
      </patternFill>
    </fill>
    <fill>
      <patternFill patternType="solid">
        <fgColor theme="4" tint="0.39997558519241921"/>
        <bgColor indexed="64"/>
      </patternFill>
    </fill>
    <fill>
      <patternFill patternType="solid">
        <fgColor rgb="FFFFFF00"/>
        <bgColor indexed="64"/>
      </patternFill>
    </fill>
    <fill>
      <patternFill patternType="solid">
        <fgColor indexed="22"/>
        <bgColor indexed="64"/>
      </patternFill>
    </fill>
    <fill>
      <patternFill patternType="solid">
        <fgColor rgb="FFE3E3E3"/>
        <bgColor rgb="FF000000"/>
      </patternFill>
    </fill>
    <fill>
      <patternFill patternType="solid">
        <fgColor theme="6"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499984740745262"/>
        <bgColor indexed="64"/>
      </patternFill>
    </fill>
    <fill>
      <patternFill patternType="solid">
        <fgColor theme="8" tint="0.79998168889431442"/>
        <bgColor indexed="64"/>
      </patternFill>
    </fill>
    <fill>
      <patternFill patternType="gray0625">
        <fgColor theme="0" tint="-0.14996795556505021"/>
        <bgColor theme="0" tint="-0.14996795556505021"/>
      </patternFill>
    </fill>
    <fill>
      <patternFill patternType="gray0625">
        <fgColor theme="0" tint="-0.14993743705557422"/>
        <bgColor theme="7" tint="0.79998168889431442"/>
      </patternFill>
    </fill>
    <fill>
      <patternFill patternType="solid">
        <fgColor theme="0" tint="-0.14996795556505021"/>
        <bgColor theme="2"/>
      </patternFill>
    </fill>
    <fill>
      <patternFill patternType="solid">
        <fgColor theme="0" tint="-0.14996795556505021"/>
        <bgColor theme="2" tint="-9.9917600024414813E-2"/>
      </patternFill>
    </fill>
    <fill>
      <patternFill patternType="gray0625">
        <fgColor rgb="FF7030A0"/>
        <bgColor rgb="FF828282"/>
      </patternFill>
    </fill>
    <fill>
      <patternFill patternType="solid">
        <fgColor indexed="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theme="6" tint="0.59999389629810485"/>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9"/>
      </patternFill>
    </fill>
    <fill>
      <patternFill patternType="solid">
        <fgColor indexed="55"/>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0"/>
        <bgColor indexed="64"/>
      </patternFill>
    </fill>
    <fill>
      <patternFill patternType="solid">
        <fgColor indexed="46"/>
      </patternFill>
    </fill>
    <fill>
      <patternFill patternType="solid">
        <fgColor theme="3" tint="0.79998168889431442"/>
        <bgColor indexed="64"/>
      </patternFill>
    </fill>
    <fill>
      <patternFill patternType="solid">
        <fgColor rgb="FF25C6FF"/>
        <bgColor indexed="64"/>
      </patternFill>
    </fill>
    <fill>
      <patternFill patternType="solid">
        <fgColor theme="3"/>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2"/>
        <bgColor indexed="64"/>
      </patternFill>
    </fill>
    <fill>
      <patternFill patternType="solid">
        <fgColor theme="6" tint="0.39994506668294322"/>
        <bgColor indexed="64"/>
      </patternFill>
    </fill>
    <fill>
      <patternFill patternType="solid">
        <fgColor rgb="FF008080"/>
        <bgColor indexed="64"/>
      </patternFill>
    </fill>
    <fill>
      <patternFill patternType="solid">
        <fgColor theme="3" tint="0.59996337778862885"/>
        <bgColor indexed="64"/>
      </patternFill>
    </fill>
    <fill>
      <patternFill patternType="solid">
        <fgColor rgb="FFF0B08C"/>
        <bgColor indexed="64"/>
      </patternFill>
    </fill>
    <fill>
      <patternFill patternType="gray0625">
        <fgColor theme="2" tint="-9.9948118533890809E-2"/>
        <bgColor rgb="FFFFFF00"/>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0" tint="-0.499984740745262"/>
        <bgColor indexed="64"/>
      </patternFill>
    </fill>
    <fill>
      <patternFill patternType="solid">
        <fgColor rgb="FFD2FFB9"/>
        <bgColor indexed="64"/>
      </patternFill>
    </fill>
    <fill>
      <patternFill patternType="solid">
        <fgColor indexed="31"/>
      </patternFill>
    </fill>
    <fill>
      <patternFill patternType="solid">
        <fgColor indexed="42"/>
      </patternFill>
    </fill>
    <fill>
      <patternFill patternType="solid">
        <fgColor indexed="11"/>
      </patternFill>
    </fill>
    <fill>
      <patternFill patternType="solid">
        <fgColor indexed="30"/>
      </patternFill>
    </fill>
    <fill>
      <patternFill patternType="solid">
        <fgColor indexed="36"/>
      </patternFill>
    </fill>
    <fill>
      <patternFill patternType="solid">
        <fgColor indexed="52"/>
      </patternFill>
    </fill>
    <fill>
      <patternFill patternType="solid">
        <fgColor indexed="44"/>
        <bgColor indexed="64"/>
      </patternFill>
    </fill>
    <fill>
      <patternFill patternType="gray125">
        <fgColor indexed="12"/>
      </patternFill>
    </fill>
    <fill>
      <patternFill patternType="solid">
        <fgColor indexed="22"/>
      </patternFill>
    </fill>
    <fill>
      <patternFill patternType="solid">
        <fgColor indexed="62"/>
      </patternFill>
    </fill>
    <fill>
      <patternFill patternType="solid">
        <fgColor indexed="57"/>
      </patternFill>
    </fill>
    <fill>
      <patternFill patternType="solid">
        <fgColor indexed="65"/>
        <bgColor indexed="64"/>
      </patternFill>
    </fill>
    <fill>
      <patternFill patternType="solid">
        <fgColor indexed="26"/>
        <bgColor indexed="64"/>
      </patternFill>
    </fill>
    <fill>
      <patternFill patternType="darkVertical"/>
    </fill>
    <fill>
      <patternFill patternType="solid">
        <fgColor indexed="43"/>
        <bgColor indexed="64"/>
      </patternFill>
    </fill>
    <fill>
      <patternFill patternType="solid">
        <fgColor rgb="FF92D050"/>
        <bgColor indexed="64"/>
      </patternFill>
    </fill>
    <fill>
      <patternFill patternType="solid">
        <fgColor theme="5" tint="0.39994506668294322"/>
        <bgColor indexed="64"/>
      </patternFill>
    </fill>
    <fill>
      <patternFill patternType="gray125">
        <fgColor theme="2" tint="-9.985656300546282E-2"/>
        <bgColor rgb="FF00FA71"/>
      </patternFill>
    </fill>
    <fill>
      <patternFill patternType="gray125">
        <fgColor theme="2" tint="-9.982604449598681E-2"/>
        <bgColor rgb="FFFFC000"/>
      </patternFill>
    </fill>
    <fill>
      <patternFill patternType="gray0625">
        <fgColor theme="2" tint="-0.24994659260841701"/>
        <bgColor theme="8" tint="0.39994506668294322"/>
      </patternFill>
    </fill>
    <fill>
      <patternFill patternType="gray0625">
        <fgColor theme="2" tint="-0.24994659260841701"/>
        <bgColor theme="6" tint="0.39994506668294322"/>
      </patternFill>
    </fill>
    <fill>
      <patternFill patternType="gray0625">
        <fgColor theme="2" tint="-9.9887081514938816E-2"/>
        <bgColor rgb="FFCC99FF"/>
      </patternFill>
    </fill>
    <fill>
      <patternFill patternType="solid">
        <fgColor rgb="FFF1F5F9"/>
        <bgColor indexed="64"/>
      </patternFill>
    </fill>
    <fill>
      <patternFill patternType="solid">
        <fgColor theme="4"/>
        <bgColor theme="4"/>
      </patternFill>
    </fill>
    <fill>
      <patternFill patternType="solid">
        <fgColor rgb="FF00B050"/>
        <bgColor indexed="64"/>
      </patternFill>
    </fill>
    <fill>
      <patternFill patternType="solid">
        <fgColor rgb="FFFFC000"/>
        <bgColor indexed="64"/>
      </patternFill>
    </fill>
    <fill>
      <patternFill patternType="solid">
        <fgColor theme="1" tint="0.34998626667073579"/>
        <bgColor indexed="64"/>
      </patternFill>
    </fill>
    <fill>
      <patternFill patternType="solid">
        <fgColor theme="3" tint="-0.249977111117893"/>
        <bgColor indexed="64"/>
      </patternFill>
    </fill>
    <fill>
      <patternFill patternType="solid">
        <fgColor rgb="FFF1F5FB"/>
        <bgColor rgb="FF000000"/>
      </patternFill>
    </fill>
    <fill>
      <patternFill patternType="solid">
        <fgColor rgb="FFFCD5B4"/>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rgb="FFB2F5FE"/>
        <bgColor indexed="64"/>
      </patternFill>
    </fill>
    <fill>
      <patternFill patternType="lightGray">
        <fgColor indexed="44"/>
        <bgColor theme="0"/>
      </patternFill>
    </fill>
    <fill>
      <patternFill patternType="solid">
        <fgColor theme="5" tint="0.59999389629810485"/>
        <bgColor indexed="64"/>
      </patternFill>
    </fill>
    <fill>
      <patternFill patternType="solid">
        <fgColor theme="5" tint="-0.249977111117893"/>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8" tint="0.39994506668294322"/>
        <bgColor indexed="64"/>
      </patternFill>
    </fill>
    <fill>
      <patternFill patternType="solid">
        <fgColor theme="2" tint="-0.24994659260841701"/>
        <bgColor indexed="64"/>
      </patternFill>
    </fill>
    <fill>
      <patternFill patternType="solid">
        <fgColor theme="8" tint="-0.2499465926084170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9" tint="-0.249977111117893"/>
        <bgColor indexed="64"/>
      </patternFill>
    </fill>
    <fill>
      <patternFill patternType="gray0625">
        <fgColor theme="2" tint="-0.24994659260841701"/>
        <bgColor theme="4" tint="0.79989013336588644"/>
      </patternFill>
    </fill>
    <fill>
      <patternFill patternType="gray0625">
        <fgColor theme="2" tint="-0.24994659260841701"/>
        <bgColor theme="4" tint="0.79992065187536243"/>
      </patternFill>
    </fill>
    <fill>
      <patternFill patternType="gray0625">
        <fgColor theme="2" tint="-0.24994659260841701"/>
        <bgColor theme="9" tint="0.39997558519241921"/>
      </patternFill>
    </fill>
    <fill>
      <patternFill patternType="gray0625">
        <fgColor theme="2" tint="-9.9948118533890809E-2"/>
        <bgColor theme="9" tint="0.39997558519241921"/>
      </patternFill>
    </fill>
    <fill>
      <patternFill patternType="solid">
        <fgColor rgb="FFECECEC"/>
        <bgColor indexed="64"/>
      </patternFill>
    </fill>
    <fill>
      <patternFill patternType="solid">
        <fgColor theme="6" tint="0.59996337778862885"/>
        <bgColor rgb="FF000000"/>
      </patternFill>
    </fill>
    <fill>
      <patternFill patternType="solid">
        <fgColor rgb="FFE3E3E3"/>
        <bgColor indexed="64"/>
      </patternFill>
    </fill>
    <fill>
      <patternFill patternType="solid">
        <fgColor theme="1"/>
        <bgColor indexed="64"/>
      </patternFill>
    </fill>
    <fill>
      <patternFill patternType="solid">
        <fgColor theme="6" tint="-0.499984740745262"/>
        <bgColor indexed="64"/>
      </patternFill>
    </fill>
    <fill>
      <patternFill patternType="lightGray">
        <fgColor indexed="44"/>
        <bgColor theme="1"/>
      </patternFill>
    </fill>
  </fills>
  <borders count="418">
    <border>
      <left/>
      <right/>
      <top/>
      <bottom/>
      <diagonal/>
    </border>
    <border>
      <left style="thin">
        <color indexed="64"/>
      </left>
      <right style="thin">
        <color indexed="64"/>
      </right>
      <top/>
      <bottom style="medium">
        <color indexed="64"/>
      </bottom>
      <diagonal/>
    </border>
    <border>
      <left style="thin">
        <color indexed="64"/>
      </left>
      <right style="thin">
        <color indexed="64"/>
      </right>
      <top/>
      <bottom style="hair">
        <color indexed="64"/>
      </bottom>
      <diagonal/>
    </border>
    <border>
      <left style="medium">
        <color indexed="64"/>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top/>
      <bottom style="medium">
        <color indexed="64"/>
      </bottom>
      <diagonal/>
    </border>
    <border>
      <left/>
      <right/>
      <top style="hair">
        <color auto="1"/>
      </top>
      <bottom style="hair">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hair">
        <color indexed="64"/>
      </bottom>
      <diagonal/>
    </border>
    <border>
      <left/>
      <right style="medium">
        <color indexed="64"/>
      </right>
      <top style="medium">
        <color indexed="64"/>
      </top>
      <bottom style="hair">
        <color indexed="64"/>
      </bottom>
      <diagonal/>
    </border>
    <border>
      <left style="medium">
        <color indexed="64"/>
      </left>
      <right/>
      <top style="thin">
        <color indexed="64"/>
      </top>
      <bottom style="medium">
        <color indexed="64"/>
      </bottom>
      <diagonal/>
    </border>
    <border>
      <left/>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double">
        <color indexed="64"/>
      </top>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right style="thin">
        <color indexed="64"/>
      </right>
      <top/>
      <bottom style="medium">
        <color indexed="64"/>
      </bottom>
      <diagonal/>
    </border>
    <border>
      <left style="medium">
        <color indexed="64"/>
      </left>
      <right style="medium">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bottom style="thin">
        <color theme="0"/>
      </bottom>
      <diagonal/>
    </border>
    <border>
      <left style="thin">
        <color theme="0"/>
      </left>
      <right style="thin">
        <color theme="0"/>
      </right>
      <top/>
      <bottom style="thin">
        <color indexed="64"/>
      </bottom>
      <diagonal/>
    </border>
    <border>
      <left style="thin">
        <color theme="0"/>
      </left>
      <right/>
      <top/>
      <bottom style="thin">
        <color indexed="64"/>
      </bottom>
      <diagonal/>
    </border>
    <border>
      <left style="thin">
        <color indexed="64"/>
      </left>
      <right style="thin">
        <color indexed="64"/>
      </right>
      <top style="thin">
        <color theme="0"/>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bottom/>
      <diagonal/>
    </border>
    <border>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right/>
      <top style="medium">
        <color auto="1"/>
      </top>
      <bottom style="medium">
        <color auto="1"/>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auto="1"/>
      </bottom>
      <diagonal/>
    </border>
    <border>
      <left style="thin">
        <color indexed="64"/>
      </left>
      <right/>
      <top style="medium">
        <color indexed="64"/>
      </top>
      <bottom style="thin">
        <color auto="1"/>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theme="0"/>
      </left>
      <right/>
      <top/>
      <bottom/>
      <diagonal/>
    </border>
    <border>
      <left style="double">
        <color indexed="64"/>
      </left>
      <right/>
      <top/>
      <bottom/>
      <diagonal/>
    </border>
    <border>
      <left style="double">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style="thin">
        <color theme="0"/>
      </top>
      <bottom style="thin">
        <color indexed="64"/>
      </bottom>
      <diagonal/>
    </border>
    <border>
      <left style="double">
        <color indexed="64"/>
      </left>
      <right/>
      <top style="thin">
        <color theme="0"/>
      </top>
      <bottom style="double">
        <color indexed="64"/>
      </bottom>
      <diagonal/>
    </border>
    <border>
      <left style="thin">
        <color theme="0"/>
      </left>
      <right style="medium">
        <color indexed="64"/>
      </right>
      <top/>
      <bottom/>
      <diagonal/>
    </border>
    <border>
      <left style="thin">
        <color theme="0"/>
      </left>
      <right style="medium">
        <color indexed="64"/>
      </right>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auto="1"/>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theme="0"/>
      </left>
      <right style="thin">
        <color theme="0"/>
      </right>
      <top style="thin">
        <color indexed="64"/>
      </top>
      <bottom/>
      <diagonal/>
    </border>
    <border>
      <left/>
      <right/>
      <top style="thin">
        <color indexed="64"/>
      </top>
      <bottom style="thin">
        <color indexed="64"/>
      </bottom>
      <diagonal/>
    </border>
    <border>
      <left style="medium">
        <color indexed="64"/>
      </left>
      <right/>
      <top style="medium">
        <color auto="1"/>
      </top>
      <bottom style="hair">
        <color indexed="64"/>
      </bottom>
      <diagonal/>
    </border>
    <border>
      <left/>
      <right/>
      <top style="medium">
        <color auto="1"/>
      </top>
      <bottom style="hair">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auto="1"/>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thin">
        <color indexed="64"/>
      </bottom>
      <diagonal/>
    </border>
    <border>
      <left/>
      <right/>
      <top style="thin">
        <color indexed="64"/>
      </top>
      <bottom style="double">
        <color indexed="64"/>
      </bottom>
      <diagonal/>
    </border>
    <border>
      <left/>
      <right/>
      <top style="thin">
        <color auto="1"/>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00B0F0"/>
      </left>
      <right style="thin">
        <color rgb="FF00B0F0"/>
      </right>
      <top style="thin">
        <color rgb="FF00B0F0"/>
      </top>
      <bottom style="thin">
        <color rgb="FF00B0F0"/>
      </bottom>
      <diagonal/>
    </border>
    <border>
      <left style="double">
        <color indexed="64"/>
      </left>
      <right/>
      <top/>
      <bottom style="hair">
        <color indexed="64"/>
      </bottom>
      <diagonal/>
    </border>
    <border>
      <left style="thin">
        <color indexed="64"/>
      </left>
      <right style="hair">
        <color indexed="64"/>
      </right>
      <top style="thin">
        <color indexed="64"/>
      </top>
      <bottom style="hair">
        <color indexed="64"/>
      </bottom>
      <diagonal/>
    </border>
    <border>
      <left/>
      <right/>
      <top/>
      <bottom style="double">
        <color indexed="5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medium">
        <color rgb="FF618C2C"/>
      </left>
      <right/>
      <top style="medium">
        <color rgb="FF618C2C"/>
      </top>
      <bottom/>
      <diagonal/>
    </border>
    <border>
      <left/>
      <right/>
      <top style="medium">
        <color rgb="FF618C2C"/>
      </top>
      <bottom/>
      <diagonal/>
    </border>
    <border>
      <left/>
      <right style="medium">
        <color theme="9" tint="-0.499984740745262"/>
      </right>
      <top style="medium">
        <color theme="9" tint="-0.499984740745262"/>
      </top>
      <bottom/>
      <diagonal/>
    </border>
    <border>
      <left/>
      <right/>
      <top style="medium">
        <color theme="9" tint="-0.499984740745262"/>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double">
        <color auto="1"/>
      </right>
      <top style="thin">
        <color indexed="64"/>
      </top>
      <bottom style="thin">
        <color indexed="64"/>
      </bottom>
      <diagonal/>
    </border>
    <border>
      <left/>
      <right style="medium">
        <color theme="1"/>
      </right>
      <top/>
      <bottom style="medium">
        <color auto="1"/>
      </bottom>
      <diagonal/>
    </border>
    <border>
      <left/>
      <right/>
      <top/>
      <bottom style="medium">
        <color auto="1"/>
      </bottom>
      <diagonal/>
    </border>
    <border>
      <left style="thin">
        <color indexed="64"/>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right style="thin">
        <color auto="1"/>
      </right>
      <top style="thin">
        <color indexed="64"/>
      </top>
      <bottom style="thin">
        <color auto="1"/>
      </bottom>
      <diagonal/>
    </border>
    <border>
      <left/>
      <right style="thin">
        <color rgb="FF00B0F0"/>
      </right>
      <top style="thin">
        <color rgb="FF00B0F0"/>
      </top>
      <bottom style="thin">
        <color rgb="FF00B0F0"/>
      </bottom>
      <diagonal/>
    </border>
    <border>
      <left style="thin">
        <color indexed="23"/>
      </left>
      <right style="thin">
        <color indexed="23"/>
      </right>
      <top style="thin">
        <color indexed="23"/>
      </top>
      <bottom style="thin">
        <color indexed="23"/>
      </bottom>
      <diagonal/>
    </border>
    <border>
      <left/>
      <right/>
      <top/>
      <bottom style="double">
        <color indexed="10"/>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medium">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
      <left/>
      <right style="thin">
        <color indexed="64"/>
      </right>
      <top style="thin">
        <color auto="1"/>
      </top>
      <bottom/>
      <diagonal/>
    </border>
    <border>
      <left style="double">
        <color auto="1"/>
      </left>
      <right style="thin">
        <color indexed="64"/>
      </right>
      <top/>
      <bottom/>
      <diagonal/>
    </border>
    <border>
      <left style="thin">
        <color indexed="64"/>
      </left>
      <right style="double">
        <color indexed="64"/>
      </right>
      <top style="thin">
        <color indexed="64"/>
      </top>
      <bottom style="thin">
        <color auto="1"/>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style="double">
        <color indexed="64"/>
      </right>
      <top/>
      <bottom style="thin">
        <color auto="1"/>
      </bottom>
      <diagonal/>
    </border>
    <border>
      <left/>
      <right style="thin">
        <color indexed="64"/>
      </right>
      <top style="hair">
        <color indexed="64"/>
      </top>
      <bottom style="double">
        <color indexed="64"/>
      </bottom>
      <diagonal/>
    </border>
    <border>
      <left style="thin">
        <color indexed="64"/>
      </left>
      <right/>
      <top style="hair">
        <color indexed="64"/>
      </top>
      <bottom style="double">
        <color indexed="64"/>
      </bottom>
      <diagonal/>
    </border>
    <border>
      <left/>
      <right style="thin">
        <color indexed="64"/>
      </right>
      <top style="hair">
        <color indexed="64"/>
      </top>
      <bottom style="hair">
        <color indexed="64"/>
      </bottom>
      <diagonal/>
    </border>
    <border>
      <left style="thin">
        <color theme="3" tint="0.39994506668294322"/>
      </left>
      <right style="thin">
        <color theme="3" tint="0.39994506668294322"/>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double">
        <color indexed="64"/>
      </bottom>
      <diagonal/>
    </border>
    <border>
      <left style="thin">
        <color indexed="64"/>
      </left>
      <right style="double">
        <color indexed="64"/>
      </right>
      <top/>
      <bottom style="hair">
        <color indexed="64"/>
      </bottom>
      <diagonal/>
    </border>
    <border>
      <left style="double">
        <color indexed="64"/>
      </left>
      <right style="thin">
        <color indexed="64"/>
      </right>
      <top style="medium">
        <color indexed="64"/>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medium">
        <color indexed="64"/>
      </right>
      <top style="double">
        <color indexed="64"/>
      </top>
      <bottom style="double">
        <color indexed="64"/>
      </bottom>
      <diagonal/>
    </border>
    <border>
      <left style="medium">
        <color indexed="64"/>
      </left>
      <right/>
      <top style="double">
        <color indexed="64"/>
      </top>
      <bottom style="double">
        <color indexed="64"/>
      </bottom>
      <diagonal/>
    </border>
    <border>
      <left style="medium">
        <color indexed="64"/>
      </left>
      <right style="medium">
        <color indexed="64"/>
      </right>
      <top style="double">
        <color indexed="64"/>
      </top>
      <bottom style="double">
        <color indexed="64"/>
      </bottom>
      <diagonal/>
    </border>
    <border>
      <left style="double">
        <color indexed="64"/>
      </left>
      <right/>
      <top/>
      <bottom style="thin">
        <color theme="4" tint="0.39997558519241921"/>
      </bottom>
      <diagonal/>
    </border>
    <border>
      <left/>
      <right/>
      <top/>
      <bottom style="thin">
        <color theme="4" tint="0.39997558519241921"/>
      </bottom>
      <diagonal/>
    </border>
    <border>
      <left/>
      <right style="double">
        <color indexed="64"/>
      </right>
      <top style="medium">
        <color indexed="64"/>
      </top>
      <bottom/>
      <diagonal/>
    </border>
    <border>
      <left style="double">
        <color indexed="64"/>
      </left>
      <right/>
      <top style="thin">
        <color theme="4" tint="0.39997558519241921"/>
      </top>
      <bottom/>
      <diagonal/>
    </border>
    <border>
      <left/>
      <right/>
      <top style="thin">
        <color theme="4" tint="0.39997558519241921"/>
      </top>
      <bottom/>
      <diagonal/>
    </border>
    <border>
      <left style="double">
        <color indexed="64"/>
      </left>
      <right/>
      <top style="thin">
        <color theme="3" tint="0.79998168889431442"/>
      </top>
      <bottom style="thin">
        <color theme="3" tint="0.79998168889431442"/>
      </bottom>
      <diagonal/>
    </border>
    <border>
      <left/>
      <right/>
      <top style="thin">
        <color theme="3" tint="0.79998168889431442"/>
      </top>
      <bottom style="thin">
        <color theme="3" tint="0.79998168889431442"/>
      </bottom>
      <diagonal/>
    </border>
    <border>
      <left style="double">
        <color indexed="64"/>
      </left>
      <right/>
      <top/>
      <bottom style="thin">
        <color theme="4" tint="0.79998168889431442"/>
      </bottom>
      <diagonal/>
    </border>
    <border>
      <left/>
      <right/>
      <top/>
      <bottom style="thin">
        <color theme="4" tint="0.79998168889431442"/>
      </bottom>
      <diagonal/>
    </border>
    <border>
      <left style="double">
        <color indexed="64"/>
      </left>
      <right/>
      <top style="thin">
        <color theme="4" tint="0.79998168889431442"/>
      </top>
      <bottom style="thin">
        <color theme="4" tint="0.79998168889431442"/>
      </bottom>
      <diagonal/>
    </border>
    <border>
      <left/>
      <right/>
      <top style="thin">
        <color theme="4" tint="0.79998168889431442"/>
      </top>
      <bottom style="thin">
        <color theme="4" tint="0.79998168889431442"/>
      </bottom>
      <diagonal/>
    </border>
    <border>
      <left style="double">
        <color indexed="64"/>
      </left>
      <right/>
      <top style="thin">
        <color theme="4" tint="0.79998168889431442"/>
      </top>
      <bottom style="double">
        <color indexed="64"/>
      </bottom>
      <diagonal/>
    </border>
    <border>
      <left/>
      <right/>
      <top style="thin">
        <color theme="4" tint="0.79998168889431442"/>
      </top>
      <bottom style="double">
        <color indexed="64"/>
      </bottom>
      <diagonal/>
    </border>
    <border>
      <left/>
      <right style="double">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indexed="64"/>
      </left>
      <right style="double">
        <color indexed="64"/>
      </right>
      <top style="medium">
        <color indexed="64"/>
      </top>
      <bottom style="hair">
        <color indexed="64"/>
      </bottom>
      <diagonal/>
    </border>
    <border>
      <left style="thin">
        <color indexed="64"/>
      </left>
      <right style="double">
        <color indexed="64"/>
      </right>
      <top style="hair">
        <color indexed="64"/>
      </top>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auto="1"/>
      </left>
      <right style="thin">
        <color auto="1"/>
      </right>
      <top style="thin">
        <color auto="1"/>
      </top>
      <bottom style="thin">
        <color auto="1"/>
      </bottom>
      <diagonal/>
    </border>
    <border>
      <left style="double">
        <color indexed="64"/>
      </left>
      <right style="thin">
        <color indexed="64"/>
      </right>
      <top style="medium">
        <color indexed="64"/>
      </top>
      <bottom style="hair">
        <color indexed="64"/>
      </bottom>
      <diagonal/>
    </border>
    <border>
      <left style="thin">
        <color indexed="64"/>
      </left>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style="double">
        <color indexed="64"/>
      </right>
      <top/>
      <bottom style="double">
        <color auto="1"/>
      </bottom>
      <diagonal/>
    </border>
    <border>
      <left/>
      <right style="thin">
        <color indexed="64"/>
      </right>
      <top/>
      <bottom style="double">
        <color indexed="64"/>
      </bottom>
      <diagonal/>
    </border>
    <border>
      <left style="thin">
        <color indexed="64"/>
      </left>
      <right/>
      <top style="double">
        <color indexed="64"/>
      </top>
      <bottom style="hair">
        <color indexed="64"/>
      </bottom>
      <diagonal/>
    </border>
    <border>
      <left style="double">
        <color indexed="64"/>
      </left>
      <right style="thin">
        <color indexed="64"/>
      </right>
      <top style="double">
        <color indexed="64"/>
      </top>
      <bottom style="hair">
        <color indexed="64"/>
      </bottom>
      <diagonal/>
    </border>
    <border>
      <left/>
      <right style="thin">
        <color indexed="64"/>
      </right>
      <top style="double">
        <color indexed="64"/>
      </top>
      <bottom style="hair">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hair">
        <color indexed="64"/>
      </top>
      <bottom style="double">
        <color indexed="64"/>
      </bottom>
      <diagonal/>
    </border>
    <border>
      <left style="thin">
        <color indexed="64"/>
      </left>
      <right/>
      <top style="thin">
        <color indexed="64"/>
      </top>
      <bottom/>
      <diagonal/>
    </border>
    <border>
      <left style="thick">
        <color theme="0" tint="-0.34998626667073579"/>
      </left>
      <right style="thick">
        <color auto="1"/>
      </right>
      <top style="thick">
        <color theme="0" tint="-0.34998626667073579"/>
      </top>
      <bottom style="thick">
        <color auto="1"/>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medium">
        <color indexed="64"/>
      </left>
      <right style="thin">
        <color auto="1"/>
      </right>
      <top style="thin">
        <color auto="1"/>
      </top>
      <bottom style="thin">
        <color auto="1"/>
      </bottom>
      <diagonal/>
    </border>
    <border>
      <left style="thin">
        <color rgb="FF808080"/>
      </left>
      <right style="thin">
        <color rgb="FF808080"/>
      </right>
      <top style="thin">
        <color rgb="FF808080"/>
      </top>
      <bottom style="thin">
        <color rgb="FF808080"/>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hair">
        <color auto="1"/>
      </left>
      <right style="hair">
        <color auto="1"/>
      </right>
      <top style="medium">
        <color auto="1"/>
      </top>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right style="hair">
        <color auto="1"/>
      </right>
      <top/>
      <bottom/>
      <diagonal/>
    </border>
    <border>
      <left style="hair">
        <color auto="1"/>
      </left>
      <right style="hair">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right style="hair">
        <color auto="1"/>
      </right>
      <top/>
      <bottom style="medium">
        <color auto="1"/>
      </bottom>
      <diagonal/>
    </border>
    <border>
      <left style="hair">
        <color auto="1"/>
      </left>
      <right style="hair">
        <color auto="1"/>
      </right>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right style="hair">
        <color auto="1"/>
      </right>
      <top style="hair">
        <color auto="1"/>
      </top>
      <bottom style="medium">
        <color auto="1"/>
      </bottom>
      <diagonal/>
    </border>
    <border>
      <left style="thin">
        <color auto="1"/>
      </left>
      <right style="medium">
        <color indexed="64"/>
      </right>
      <top style="thin">
        <color auto="1"/>
      </top>
      <bottom style="thin">
        <color auto="1"/>
      </bottom>
      <diagonal/>
    </border>
    <border>
      <left/>
      <right style="double">
        <color auto="1"/>
      </right>
      <top style="thin">
        <color indexed="64"/>
      </top>
      <bottom style="thin">
        <color indexed="64"/>
      </bottom>
      <diagonal/>
    </border>
    <border>
      <left/>
      <right style="double">
        <color indexed="64"/>
      </right>
      <top style="thin">
        <color indexed="64"/>
      </top>
      <bottom/>
      <diagonal/>
    </border>
    <border>
      <left style="double">
        <color indexed="64"/>
      </left>
      <right/>
      <top style="thin">
        <color indexed="64"/>
      </top>
      <bottom style="thin">
        <color auto="1"/>
      </bottom>
      <diagonal/>
    </border>
    <border>
      <left style="thin">
        <color indexed="64"/>
      </left>
      <right style="double">
        <color indexed="64"/>
      </right>
      <top style="thin">
        <color indexed="64"/>
      </top>
      <bottom style="thin">
        <color auto="1"/>
      </bottom>
      <diagonal/>
    </border>
    <border>
      <left style="medium">
        <color indexed="64"/>
      </left>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dashed">
        <color indexed="64"/>
      </bottom>
      <diagonal/>
    </border>
    <border>
      <left style="medium">
        <color indexed="64"/>
      </left>
      <right style="thin">
        <color indexed="64"/>
      </right>
      <top/>
      <bottom style="medium">
        <color indexed="64"/>
      </bottom>
      <diagonal/>
    </border>
    <border>
      <left style="hair">
        <color auto="1"/>
      </left>
      <right/>
      <top style="hair">
        <color auto="1"/>
      </top>
      <bottom/>
      <diagonal/>
    </border>
    <border>
      <left/>
      <right style="hair">
        <color auto="1"/>
      </right>
      <top style="hair">
        <color auto="1"/>
      </top>
      <bottom/>
      <diagonal/>
    </border>
    <border>
      <left style="medium">
        <color indexed="64"/>
      </left>
      <right style="medium">
        <color indexed="64"/>
      </right>
      <top/>
      <bottom style="dotted">
        <color indexed="64"/>
      </bottom>
      <diagonal/>
    </border>
    <border>
      <left style="thin">
        <color indexed="64"/>
      </left>
      <right style="medium">
        <color indexed="64"/>
      </right>
      <top style="double">
        <color indexed="64"/>
      </top>
      <bottom style="hair">
        <color indexed="64"/>
      </bottom>
      <diagonal/>
    </border>
    <border>
      <left/>
      <right/>
      <top/>
      <bottom style="double">
        <color indexed="64"/>
      </bottom>
      <diagonal/>
    </border>
    <border>
      <left style="double">
        <color auto="1"/>
      </left>
      <right/>
      <top/>
      <bottom style="double">
        <color auto="1"/>
      </bottom>
      <diagonal/>
    </border>
    <border>
      <left/>
      <right style="double">
        <color auto="1"/>
      </right>
      <top/>
      <bottom style="double">
        <color auto="1"/>
      </bottom>
      <diagonal/>
    </border>
    <border>
      <left/>
      <right style="thin">
        <color auto="1"/>
      </right>
      <top style="thin">
        <color indexed="64"/>
      </top>
      <bottom style="thin">
        <color auto="1"/>
      </bottom>
      <diagonal/>
    </border>
    <border>
      <left/>
      <right style="thin">
        <color indexed="64"/>
      </right>
      <top style="thin">
        <color indexed="64"/>
      </top>
      <bottom style="thin">
        <color indexed="64"/>
      </bottom>
      <diagonal/>
    </border>
    <border>
      <left style="thin">
        <color theme="0"/>
      </left>
      <right style="double">
        <color indexed="64"/>
      </right>
      <top/>
      <bottom/>
      <diagonal/>
    </border>
    <border>
      <left style="thin">
        <color theme="0"/>
      </left>
      <right style="double">
        <color indexed="64"/>
      </right>
      <top/>
      <bottom style="thin">
        <color indexed="64"/>
      </bottom>
      <diagonal/>
    </border>
    <border>
      <left style="thin">
        <color auto="1"/>
      </left>
      <right style="thin">
        <color auto="1"/>
      </right>
      <top style="thin">
        <color auto="1"/>
      </top>
      <bottom style="double">
        <color auto="1"/>
      </bottom>
      <diagonal/>
    </border>
    <border>
      <left/>
      <right style="thin">
        <color auto="1"/>
      </right>
      <top style="thin">
        <color auto="1"/>
      </top>
      <bottom style="double">
        <color indexed="64"/>
      </bottom>
      <diagonal/>
    </border>
    <border>
      <left style="thin">
        <color auto="1"/>
      </left>
      <right style="double">
        <color auto="1"/>
      </right>
      <top style="thin">
        <color auto="1"/>
      </top>
      <bottom style="double">
        <color indexed="64"/>
      </bottom>
      <diagonal/>
    </border>
    <border>
      <left/>
      <right style="thin">
        <color auto="1"/>
      </right>
      <top style="thin">
        <color indexed="64"/>
      </top>
      <bottom style="thin">
        <color auto="1"/>
      </bottom>
      <diagonal/>
    </border>
    <border>
      <left style="medium">
        <color indexed="64"/>
      </left>
      <right style="thin">
        <color indexed="64"/>
      </right>
      <top style="thin">
        <color indexed="64"/>
      </top>
      <bottom/>
      <diagonal/>
    </border>
    <border>
      <left style="thin">
        <color indexed="64"/>
      </left>
      <right style="medium">
        <color indexed="64"/>
      </right>
      <top style="double">
        <color indexed="64"/>
      </top>
      <bottom style="double">
        <color indexed="64"/>
      </bottom>
      <diagonal/>
    </border>
    <border>
      <left style="hair">
        <color auto="1"/>
      </left>
      <right/>
      <top/>
      <bottom style="medium">
        <color auto="1"/>
      </bottom>
      <diagonal/>
    </border>
    <border>
      <left style="hair">
        <color auto="1"/>
      </left>
      <right style="hair">
        <color auto="1"/>
      </right>
      <top style="medium">
        <color auto="1"/>
      </top>
      <bottom style="hair">
        <color auto="1"/>
      </bottom>
      <diagonal/>
    </border>
    <border>
      <left/>
      <right style="hair">
        <color auto="1"/>
      </right>
      <top style="medium">
        <color auto="1"/>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right style="thin">
        <color auto="1"/>
      </right>
      <top style="thin">
        <color indexed="64"/>
      </top>
      <bottom style="thin">
        <color auto="1"/>
      </bottom>
      <diagonal/>
    </border>
    <border>
      <left style="thin">
        <color auto="1"/>
      </left>
      <right style="medium">
        <color indexed="64"/>
      </right>
      <top style="thin">
        <color auto="1"/>
      </top>
      <bottom/>
      <diagonal/>
    </border>
    <border>
      <left style="medium">
        <color indexed="64"/>
      </left>
      <right/>
      <top style="thin">
        <color auto="1"/>
      </top>
      <bottom style="thin">
        <color indexed="64"/>
      </bottom>
      <diagonal/>
    </border>
    <border>
      <left style="double">
        <color indexed="64"/>
      </left>
      <right/>
      <top style="thin">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indexed="64"/>
      </top>
      <bottom style="medium">
        <color auto="1"/>
      </bottom>
      <diagonal/>
    </border>
    <border>
      <left/>
      <right style="medium">
        <color indexed="64"/>
      </right>
      <top/>
      <bottom style="hair">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right style="medium">
        <color indexed="64"/>
      </right>
      <top/>
      <bottom style="dotted">
        <color indexed="64"/>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hair">
        <color indexed="64"/>
      </top>
      <bottom/>
      <diagonal/>
    </border>
    <border>
      <left style="medium">
        <color indexed="64"/>
      </left>
      <right/>
      <top/>
      <bottom style="hair">
        <color indexed="64"/>
      </bottom>
      <diagonal/>
    </border>
    <border>
      <left style="medium">
        <color indexed="64"/>
      </left>
      <right/>
      <top style="hair">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style="hair">
        <color indexed="64"/>
      </top>
      <bottom/>
      <diagonal/>
    </border>
    <border>
      <left style="medium">
        <color indexed="64"/>
      </left>
      <right/>
      <top style="hair">
        <color indexed="64"/>
      </top>
      <bottom style="hair">
        <color indexed="64"/>
      </bottom>
      <diagonal/>
    </border>
    <border>
      <left/>
      <right style="thin">
        <color indexed="64"/>
      </right>
      <top style="hair">
        <color indexed="64"/>
      </top>
      <bottom/>
      <diagonal/>
    </border>
    <border>
      <left style="thin">
        <color indexed="64"/>
      </left>
      <right/>
      <top style="hair">
        <color indexed="64"/>
      </top>
      <bottom/>
      <diagonal/>
    </border>
    <border>
      <left/>
      <right style="medium">
        <color indexed="64"/>
      </right>
      <top style="hair">
        <color indexed="64"/>
      </top>
      <bottom style="double">
        <color indexed="64"/>
      </bottom>
      <diagonal/>
    </border>
    <border>
      <left/>
      <right/>
      <top style="hair">
        <color indexed="64"/>
      </top>
      <bottom style="double">
        <color indexed="64"/>
      </bottom>
      <diagonal/>
    </border>
    <border>
      <left/>
      <right/>
      <top style="thin">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auto="1"/>
      </bottom>
      <diagonal/>
    </border>
    <border>
      <left/>
      <right style="medium">
        <color indexed="64"/>
      </right>
      <top style="thin">
        <color indexed="64"/>
      </top>
      <bottom style="medium">
        <color auto="1"/>
      </bottom>
      <diagonal/>
    </border>
    <border>
      <left style="thin">
        <color indexed="64"/>
      </left>
      <right/>
      <top style="thin">
        <color indexed="64"/>
      </top>
      <bottom style="medium">
        <color auto="1"/>
      </bottom>
      <diagonal/>
    </border>
    <border>
      <left/>
      <right style="thin">
        <color auto="1"/>
      </right>
      <top style="thin">
        <color auto="1"/>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rgb="FFBCBCBC"/>
      </left>
      <right/>
      <top style="thin">
        <color rgb="FFBCBCBC"/>
      </top>
      <bottom style="thin">
        <color rgb="FFBCBCBC"/>
      </bottom>
      <diagonal/>
    </border>
    <border>
      <left/>
      <right style="thin">
        <color rgb="FFBCBCBC"/>
      </right>
      <top style="thin">
        <color rgb="FFBCBCBC"/>
      </top>
      <bottom style="thin">
        <color rgb="FFBCBCBC"/>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style="medium">
        <color indexed="64"/>
      </left>
      <right style="thin">
        <color indexed="64"/>
      </right>
      <top style="thin">
        <color indexed="64"/>
      </top>
      <bottom style="medium">
        <color indexed="64"/>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style="double">
        <color indexed="64"/>
      </top>
      <bottom style="double">
        <color indexed="64"/>
      </bottom>
      <diagonal/>
    </border>
    <border>
      <left/>
      <right/>
      <top style="thin">
        <color auto="1"/>
      </top>
      <bottom style="double">
        <color auto="1"/>
      </bottom>
      <diagonal/>
    </border>
  </borders>
  <cellStyleXfs count="41018">
    <xf numFmtId="0" fontId="0" fillId="0" borderId="0"/>
    <xf numFmtId="0" fontId="3" fillId="0" borderId="0"/>
    <xf numFmtId="172" fontId="3" fillId="0" borderId="0" applyFont="0" applyFill="0" applyBorder="0" applyAlignment="0" applyProtection="0"/>
    <xf numFmtId="0" fontId="3" fillId="0" borderId="0"/>
    <xf numFmtId="0" fontId="1" fillId="0" borderId="0"/>
    <xf numFmtId="0" fontId="14" fillId="0" borderId="0"/>
    <xf numFmtId="0" fontId="3" fillId="0" borderId="0"/>
    <xf numFmtId="173" fontId="18" fillId="0" borderId="0"/>
    <xf numFmtId="173" fontId="18" fillId="0" borderId="0"/>
    <xf numFmtId="173" fontId="18" fillId="0" borderId="0"/>
    <xf numFmtId="173" fontId="18" fillId="0" borderId="0"/>
    <xf numFmtId="173" fontId="18" fillId="0" borderId="0"/>
    <xf numFmtId="173" fontId="18" fillId="0" borderId="0"/>
    <xf numFmtId="173" fontId="18" fillId="0" borderId="0"/>
    <xf numFmtId="173" fontId="18" fillId="0" borderId="0"/>
    <xf numFmtId="0" fontId="19" fillId="0" borderId="0"/>
    <xf numFmtId="174" fontId="20" fillId="0" borderId="0"/>
    <xf numFmtId="0" fontId="3" fillId="0" borderId="0"/>
    <xf numFmtId="0" fontId="14" fillId="0" borderId="0"/>
    <xf numFmtId="9" fontId="3" fillId="0" borderId="0" applyFont="0" applyFill="0" applyBorder="0" applyAlignment="0" applyProtection="0"/>
    <xf numFmtId="0" fontId="19" fillId="0" borderId="30"/>
    <xf numFmtId="164" fontId="1" fillId="0" borderId="0" applyFont="0" applyFill="0" applyBorder="0" applyAlignment="0" applyProtection="0"/>
    <xf numFmtId="0" fontId="3" fillId="0" borderId="0"/>
    <xf numFmtId="0" fontId="14" fillId="0" borderId="0"/>
    <xf numFmtId="9" fontId="44" fillId="0" borderId="0" applyFont="0" applyFill="0" applyBorder="0" applyAlignment="0" applyProtection="0"/>
    <xf numFmtId="0" fontId="3" fillId="0" borderId="0"/>
    <xf numFmtId="9" fontId="1" fillId="0" borderId="0" applyFont="0" applyFill="0" applyBorder="0" applyAlignment="0" applyProtection="0"/>
    <xf numFmtId="0" fontId="92" fillId="0" borderId="0" applyNumberFormat="0" applyFill="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3" fontId="100" fillId="0" borderId="0" applyFont="0" applyFill="0" applyBorder="0" applyAlignment="0" applyProtection="0"/>
    <xf numFmtId="196" fontId="100" fillId="0" borderId="0" applyFont="0" applyFill="0" applyBorder="0" applyAlignment="0" applyProtection="0"/>
    <xf numFmtId="195" fontId="100" fillId="0" borderId="0" applyFon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3" fillId="45" borderId="102" applyBorder="0">
      <alignment horizontal="center" vertical="center" textRotation="90" wrapText="1"/>
    </xf>
    <xf numFmtId="197"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2" fontId="100" fillId="0" borderId="0" applyFont="0" applyFill="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98" fontId="3" fillId="0" borderId="0" applyFont="0" applyFill="0" applyBorder="0" applyAlignment="0" applyProtection="0"/>
    <xf numFmtId="171" fontId="1" fillId="0" borderId="0" applyFont="0" applyFill="0" applyBorder="0" applyAlignment="0" applyProtection="0"/>
    <xf numFmtId="19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3" fillId="0" borderId="0"/>
    <xf numFmtId="195" fontId="3" fillId="0" borderId="0"/>
    <xf numFmtId="0"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0" fontId="3" fillId="0" borderId="0"/>
    <xf numFmtId="195" fontId="3" fillId="0" borderId="0"/>
    <xf numFmtId="0" fontId="3" fillId="0" borderId="0"/>
    <xf numFmtId="0" fontId="3" fillId="0" borderId="0"/>
    <xf numFmtId="0" fontId="3" fillId="0" borderId="0"/>
    <xf numFmtId="0" fontId="3"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0" fontId="3" fillId="0" borderId="0"/>
    <xf numFmtId="0" fontId="3" fillId="0" borderId="0"/>
    <xf numFmtId="0" fontId="3"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0" fontId="1" fillId="0" borderId="0"/>
    <xf numFmtId="195" fontId="1" fillId="0" borderId="0"/>
    <xf numFmtId="0"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3" fillId="0" borderId="0"/>
    <xf numFmtId="0" fontId="3" fillId="0" borderId="0"/>
    <xf numFmtId="0" fontId="3" fillId="0" borderId="0"/>
    <xf numFmtId="0" fontId="3" fillId="0" borderId="0"/>
    <xf numFmtId="195" fontId="3" fillId="0" borderId="0"/>
    <xf numFmtId="0" fontId="3" fillId="0" borderId="0"/>
    <xf numFmtId="0" fontId="3" fillId="0" borderId="0"/>
    <xf numFmtId="0" fontId="3" fillId="0" borderId="0"/>
    <xf numFmtId="0" fontId="3" fillId="0" borderId="0"/>
    <xf numFmtId="195" fontId="3" fillId="0" borderId="0"/>
    <xf numFmtId="195" fontId="3" fillId="0" borderId="0"/>
    <xf numFmtId="195" fontId="3" fillId="0" borderId="0"/>
    <xf numFmtId="0" fontId="44" fillId="0" borderId="0"/>
    <xf numFmtId="195" fontId="1" fillId="0" borderId="0"/>
    <xf numFmtId="0" fontId="60"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44" fillId="0" borderId="0"/>
    <xf numFmtId="0" fontId="1" fillId="0" borderId="0"/>
    <xf numFmtId="195" fontId="3" fillId="0" borderId="0"/>
    <xf numFmtId="0" fontId="1" fillId="0" borderId="0"/>
    <xf numFmtId="0" fontId="1" fillId="0" borderId="0"/>
    <xf numFmtId="0" fontId="1" fillId="0" borderId="0"/>
    <xf numFmtId="0" fontId="1"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9" fontId="1" fillId="0" borderId="0" applyFont="0" applyFill="0" applyBorder="0" applyAlignment="0" applyProtection="0"/>
    <xf numFmtId="9" fontId="3" fillId="0" borderId="0" applyFont="0" applyFill="0" applyBorder="0" applyAlignment="0" applyProtection="0"/>
    <xf numFmtId="0" fontId="44" fillId="0" borderId="0"/>
    <xf numFmtId="9" fontId="3" fillId="0" borderId="0" applyFont="0" applyFill="0" applyBorder="0" applyAlignment="0" applyProtection="0"/>
    <xf numFmtId="9" fontId="44" fillId="0" borderId="0" applyFont="0" applyFill="0" applyBorder="0" applyAlignment="0" applyProtection="0"/>
    <xf numFmtId="0" fontId="44" fillId="0" borderId="0"/>
    <xf numFmtId="9" fontId="3" fillId="0" borderId="0" applyFont="0" applyFill="0" applyBorder="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3" fillId="0" borderId="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0" fontId="3" fillId="0" borderId="0"/>
    <xf numFmtId="0" fontId="3" fillId="0" borderId="0"/>
    <xf numFmtId="171" fontId="1" fillId="0" borderId="0" applyFont="0" applyFill="0" applyBorder="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97" fillId="39"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2" fillId="35" borderId="176" applyNumberFormat="0" applyAlignment="0" applyProtection="0"/>
    <xf numFmtId="195" fontId="103" fillId="45" borderId="160" applyBorder="0">
      <alignment horizontal="center" vertical="center" textRotation="90" wrapText="1"/>
    </xf>
    <xf numFmtId="195" fontId="103" fillId="45" borderId="160" applyBorder="0">
      <alignment horizontal="center" vertical="center" textRotation="90" wrapText="1"/>
    </xf>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0" fillId="32" borderId="177" applyNumberFormat="0" applyFon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195" fontId="105" fillId="39" borderId="178" applyNumberFormat="0" applyAlignment="0" applyProtection="0"/>
    <xf numFmtId="0" fontId="14" fillId="0" borderId="0"/>
    <xf numFmtId="0" fontId="3" fillId="0" borderId="0"/>
    <xf numFmtId="0" fontId="3" fillId="0" borderId="0"/>
    <xf numFmtId="0" fontId="14" fillId="0" borderId="0"/>
    <xf numFmtId="210" fontId="3" fillId="0" borderId="0"/>
    <xf numFmtId="0" fontId="1" fillId="67" borderId="0" applyNumberFormat="0" applyBorder="0" applyAlignment="0" applyProtection="0"/>
    <xf numFmtId="0" fontId="1" fillId="71" borderId="0" applyNumberFormat="0" applyBorder="0" applyAlignment="0" applyProtection="0"/>
    <xf numFmtId="0" fontId="1" fillId="75" borderId="0" applyNumberFormat="0" applyBorder="0" applyAlignment="0" applyProtection="0"/>
    <xf numFmtId="0" fontId="1" fillId="79" borderId="0" applyNumberFormat="0" applyBorder="0" applyAlignment="0" applyProtection="0"/>
    <xf numFmtId="0" fontId="1" fillId="83" borderId="0" applyNumberFormat="0" applyBorder="0" applyAlignment="0" applyProtection="0"/>
    <xf numFmtId="0" fontId="1" fillId="87"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1" fillId="68" borderId="0" applyNumberFormat="0" applyBorder="0" applyAlignment="0" applyProtection="0"/>
    <xf numFmtId="0" fontId="1" fillId="72" borderId="0" applyNumberFormat="0" applyBorder="0" applyAlignment="0" applyProtection="0"/>
    <xf numFmtId="0" fontId="1" fillId="76" borderId="0" applyNumberFormat="0" applyBorder="0" applyAlignment="0" applyProtection="0"/>
    <xf numFmtId="0" fontId="1" fillId="80" borderId="0" applyNumberFormat="0" applyBorder="0" applyAlignment="0" applyProtection="0"/>
    <xf numFmtId="0" fontId="1" fillId="84" borderId="0" applyNumberFormat="0" applyBorder="0" applyAlignment="0" applyProtection="0"/>
    <xf numFmtId="0" fontId="1" fillId="88"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156" fillId="66"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68" fillId="69" borderId="0" applyNumberFormat="0" applyBorder="0" applyAlignment="0" applyProtection="0"/>
    <xf numFmtId="0" fontId="68" fillId="73" borderId="0" applyNumberFormat="0" applyBorder="0" applyAlignment="0" applyProtection="0"/>
    <xf numFmtId="0" fontId="68" fillId="77" borderId="0" applyNumberFormat="0" applyBorder="0" applyAlignment="0" applyProtection="0"/>
    <xf numFmtId="0" fontId="68" fillId="81" borderId="0" applyNumberFormat="0" applyBorder="0" applyAlignment="0" applyProtection="0"/>
    <xf numFmtId="0" fontId="68" fillId="85" borderId="0" applyNumberFormat="0" applyBorder="0" applyAlignment="0" applyProtection="0"/>
    <xf numFmtId="0" fontId="68" fillId="89"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9" fontId="157" fillId="0" borderId="0"/>
    <xf numFmtId="0" fontId="68" fillId="66" borderId="0" applyNumberFormat="0" applyBorder="0" applyAlignment="0" applyProtection="0"/>
    <xf numFmtId="0" fontId="68" fillId="70" borderId="0" applyNumberFormat="0" applyBorder="0" applyAlignment="0" applyProtection="0"/>
    <xf numFmtId="0" fontId="68" fillId="74" borderId="0" applyNumberFormat="0" applyBorder="0" applyAlignment="0" applyProtection="0"/>
    <xf numFmtId="0" fontId="68" fillId="78" borderId="0" applyNumberFormat="0" applyBorder="0" applyAlignment="0" applyProtection="0"/>
    <xf numFmtId="0" fontId="68" fillId="82" borderId="0" applyNumberFormat="0" applyBorder="0" applyAlignment="0" applyProtection="0"/>
    <xf numFmtId="0" fontId="68" fillId="86" borderId="0" applyNumberFormat="0" applyBorder="0" applyAlignment="0" applyProtection="0"/>
    <xf numFmtId="211" fontId="3" fillId="99" borderId="188">
      <alignment horizontal="center" vertical="center"/>
    </xf>
    <xf numFmtId="0" fontId="3" fillId="0" borderId="0" applyFont="0" applyFill="0" applyBorder="0" applyAlignment="0" applyProtection="0"/>
    <xf numFmtId="212" fontId="3" fillId="0" borderId="0" applyFont="0" applyFill="0" applyBorder="0" applyAlignment="0" applyProtection="0"/>
    <xf numFmtId="0" fontId="50" fillId="0" borderId="174" applyBorder="0">
      <alignment horizontal="left" vertical="top" wrapText="1" indent="1"/>
    </xf>
    <xf numFmtId="0" fontId="50" fillId="0" borderId="174" applyBorder="0">
      <alignment horizontal="left" vertical="top" wrapText="1" indent="1"/>
    </xf>
    <xf numFmtId="0" fontId="50" fillId="0" borderId="174" applyBorder="0">
      <alignment horizontal="left" vertical="top" wrapText="1" indent="1"/>
    </xf>
    <xf numFmtId="0" fontId="158" fillId="0" borderId="0">
      <alignment horizontal="center" wrapText="1"/>
      <protection locked="0"/>
    </xf>
    <xf numFmtId="0" fontId="3" fillId="0" borderId="0" applyFont="0" applyFill="0" applyBorder="0" applyAlignment="0" applyProtection="0"/>
    <xf numFmtId="213" fontId="3" fillId="0" borderId="0" applyFont="0" applyFill="0" applyBorder="0" applyAlignment="0" applyProtection="0"/>
    <xf numFmtId="0" fontId="159" fillId="100" borderId="189" applyNumberFormat="0" applyFont="0" applyBorder="0" applyAlignment="0" applyProtection="0">
      <alignment horizontal="center" vertical="center"/>
    </xf>
    <xf numFmtId="0" fontId="149" fillId="61" borderId="0" applyNumberFormat="0" applyBorder="0" applyAlignment="0" applyProtection="0"/>
    <xf numFmtId="0" fontId="160" fillId="0" borderId="0" applyNumberFormat="0" applyFill="0" applyBorder="0" applyAlignment="0" applyProtection="0"/>
    <xf numFmtId="0" fontId="161" fillId="0" borderId="0" applyNumberFormat="0" applyFill="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162" fillId="0" borderId="0"/>
    <xf numFmtId="214" fontId="163" fillId="0" borderId="0" applyFill="0" applyBorder="0" applyAlignment="0"/>
    <xf numFmtId="0" fontId="152" fillId="63" borderId="182"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5" fillId="63" borderId="182"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164" fillId="101" borderId="176"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166" fillId="0" borderId="190" applyNumberFormat="0" applyFill="0" applyAlignment="0" applyProtection="0"/>
    <xf numFmtId="0" fontId="86" fillId="64" borderId="185" applyNumberFormat="0" applyAlignment="0" applyProtection="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0" fontId="162" fillId="0" borderId="0" applyFont="0" applyFill="0" applyBorder="0" applyAlignment="0" applyProtection="0"/>
    <xf numFmtId="207" fontId="3" fillId="0" borderId="0" applyFont="0" applyFill="0" applyBorder="0" applyAlignment="0" applyProtection="0"/>
    <xf numFmtId="0" fontId="162" fillId="0" borderId="0" applyFont="0" applyFill="0" applyBorder="0" applyAlignment="0" applyProtection="0"/>
    <xf numFmtId="3" fontId="3" fillId="0" borderId="0" applyFill="0" applyBorder="0" applyAlignment="0" applyProtection="0"/>
    <xf numFmtId="0" fontId="167" fillId="0" borderId="0" applyNumberFormat="0" applyAlignment="0">
      <alignment horizontal="left"/>
    </xf>
    <xf numFmtId="166" fontId="3" fillId="0" borderId="0" applyFont="0" applyFill="0" applyBorder="0" applyAlignment="0" applyProtection="0"/>
    <xf numFmtId="218" fontId="3" fillId="0" borderId="0" applyFont="0" applyFill="0" applyBorder="0" applyAlignment="0" applyProtection="0"/>
    <xf numFmtId="171" fontId="3" fillId="0" borderId="0" applyFont="0" applyFill="0" applyBorder="0" applyAlignment="0" applyProtection="0"/>
    <xf numFmtId="219" fontId="51" fillId="0" borderId="0" applyFont="0" applyFill="0" applyBorder="0" applyAlignment="0" applyProtection="0"/>
    <xf numFmtId="170" fontId="168" fillId="0" borderId="0">
      <protection locked="0"/>
    </xf>
    <xf numFmtId="0" fontId="100"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170" fillId="0" borderId="0" applyNumberFormat="0" applyAlignment="0">
      <alignment horizontal="left"/>
    </xf>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02" fillId="33" borderId="176" applyNumberFormat="0" applyAlignment="0" applyProtection="0"/>
    <xf numFmtId="0" fontId="171" fillId="0" borderId="0"/>
    <xf numFmtId="165" fontId="14" fillId="0" borderId="0" applyFont="0" applyFill="0" applyBorder="0" applyAlignment="0" applyProtection="0"/>
    <xf numFmtId="220" fontId="3" fillId="0" borderId="0" applyFont="0" applyFill="0" applyBorder="0" applyAlignment="0" applyProtection="0"/>
    <xf numFmtId="221" fontId="3" fillId="0" borderId="0" applyFont="0" applyFill="0" applyBorder="0" applyAlignment="0" applyProtection="0"/>
    <xf numFmtId="222" fontId="3" fillId="0" borderId="0" applyFont="0" applyFill="0" applyBorder="0" applyAlignment="0" applyProtection="0"/>
    <xf numFmtId="0"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222" fontId="3" fillId="0" borderId="0" applyFont="0" applyFill="0" applyBorder="0" applyAlignment="0" applyProtection="0"/>
    <xf numFmtId="210" fontId="3" fillId="0" borderId="0" applyFont="0" applyFill="0" applyBorder="0" applyAlignment="0" applyProtection="0"/>
    <xf numFmtId="222"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22"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0" fontId="155" fillId="0" borderId="0" applyNumberFormat="0" applyFill="0" applyBorder="0" applyAlignment="0" applyProtection="0"/>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224" fontId="3" fillId="0" borderId="0">
      <protection locked="0"/>
    </xf>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6" fillId="0" borderId="0"/>
    <xf numFmtId="183" fontId="177" fillId="0" borderId="2">
      <alignment horizontal="right"/>
    </xf>
    <xf numFmtId="0" fontId="148" fillId="60" borderId="0" applyNumberFormat="0" applyBorder="0" applyAlignment="0" applyProtection="0"/>
    <xf numFmtId="38" fontId="50" fillId="12" borderId="0" applyNumberFormat="0" applyBorder="0" applyAlignment="0" applyProtection="0"/>
    <xf numFmtId="0" fontId="178" fillId="104" borderId="0"/>
    <xf numFmtId="0" fontId="179" fillId="104" borderId="0"/>
    <xf numFmtId="0" fontId="180" fillId="0" borderId="0" applyNumberFormat="0" applyFill="0" applyBorder="0" applyAlignment="0" applyProtection="0"/>
    <xf numFmtId="0" fontId="84" fillId="0" borderId="104" applyNumberFormat="0" applyAlignment="0" applyProtection="0">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84" fillId="0" borderId="162">
      <alignment horizontal="left" vertical="center"/>
    </xf>
    <xf numFmtId="0" fontId="181" fillId="0" borderId="0" applyNumberFormat="0" applyFill="0" applyBorder="0" applyAlignment="0" applyProtection="0"/>
    <xf numFmtId="0" fontId="182" fillId="0" borderId="0" applyNumberFormat="0" applyFill="0" applyBorder="0" applyAlignment="0" applyProtection="0"/>
    <xf numFmtId="0" fontId="183" fillId="0" borderId="0" applyNumberFormat="0" applyFill="0" applyBorder="0" applyAlignment="0" applyProtection="0"/>
    <xf numFmtId="0" fontId="184" fillId="0" borderId="0" applyNumberFormat="0" applyFill="0" applyBorder="0" applyAlignment="0" applyProtection="0"/>
    <xf numFmtId="0" fontId="169" fillId="0" borderId="191" applyNumberFormat="0" applyFill="0" applyAlignment="0" applyProtection="0"/>
    <xf numFmtId="0" fontId="147" fillId="0" borderId="0" applyNumberFormat="0" applyFill="0" applyBorder="0" applyAlignment="0" applyProtection="0"/>
    <xf numFmtId="225" fontId="3" fillId="0" borderId="0">
      <protection locked="0"/>
    </xf>
    <xf numFmtId="226" fontId="3" fillId="0" borderId="0">
      <protection locked="0"/>
    </xf>
    <xf numFmtId="225" fontId="3" fillId="0" borderId="0">
      <protection locked="0"/>
    </xf>
    <xf numFmtId="226" fontId="3" fillId="0" borderId="0">
      <protection locked="0"/>
    </xf>
    <xf numFmtId="0" fontId="185" fillId="0" borderId="6">
      <alignment horizontal="center"/>
    </xf>
    <xf numFmtId="0" fontId="185" fillId="0" borderId="0">
      <alignment horizontal="center"/>
    </xf>
    <xf numFmtId="227" fontId="3" fillId="0" borderId="81" applyBorder="0"/>
    <xf numFmtId="0" fontId="186" fillId="0" borderId="192" applyNumberFormat="0" applyFill="0" applyAlignment="0" applyProtection="0"/>
    <xf numFmtId="0" fontId="187" fillId="0" borderId="0" applyNumberFormat="0" applyFill="0" applyBorder="0" applyAlignment="0" applyProtection="0">
      <alignment vertical="top"/>
      <protection locked="0"/>
    </xf>
    <xf numFmtId="0" fontId="188" fillId="0" borderId="0" applyNumberFormat="0" applyFill="0" applyBorder="0" applyAlignment="0" applyProtection="0">
      <alignment vertical="top"/>
      <protection locked="0"/>
    </xf>
    <xf numFmtId="0" fontId="189" fillId="0" borderId="0" applyNumberFormat="0" applyFill="0" applyBorder="0" applyAlignment="0" applyProtection="0">
      <alignment vertical="top"/>
      <protection locked="0"/>
    </xf>
    <xf numFmtId="0" fontId="190" fillId="0" borderId="0" applyNumberFormat="0" applyFill="0" applyBorder="0" applyAlignment="0" applyProtection="0">
      <alignment vertical="top"/>
      <protection locked="0"/>
    </xf>
    <xf numFmtId="0" fontId="191" fillId="0" borderId="0" applyNumberFormat="0" applyFill="0" applyBorder="0" applyAlignment="0" applyProtection="0"/>
    <xf numFmtId="0" fontId="188" fillId="0" borderId="0" applyNumberFormat="0" applyFill="0" applyBorder="0" applyAlignment="0" applyProtection="0">
      <alignment vertical="top"/>
      <protection locked="0"/>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2" fillId="0" borderId="0" applyNumberFormat="0" applyFill="0" applyBorder="0" applyAlignment="0" applyProtection="0">
      <alignment vertical="top"/>
      <protection locked="0"/>
    </xf>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93" fillId="61"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50" fillId="62" borderId="182" applyNumberFormat="0" applyAlignment="0" applyProtection="0"/>
    <xf numFmtId="10" fontId="50" fillId="105" borderId="143" applyNumberFormat="0" applyBorder="0" applyAlignment="0" applyProtection="0"/>
    <xf numFmtId="10" fontId="50" fillId="105" borderId="143" applyNumberFormat="0" applyBorder="0" applyAlignment="0" applyProtection="0"/>
    <xf numFmtId="10" fontId="50" fillId="105" borderId="143" applyNumberFormat="0" applyBorder="0" applyAlignment="0" applyProtection="0"/>
    <xf numFmtId="0" fontId="153" fillId="0" borderId="184" applyNumberFormat="0" applyFill="0" applyAlignment="0" applyProtection="0"/>
    <xf numFmtId="4" fontId="163" fillId="0" borderId="0">
      <alignment horizontal="centerContinuous"/>
    </xf>
    <xf numFmtId="4" fontId="194" fillId="0" borderId="0">
      <alignment horizontal="centerContinuous"/>
    </xf>
    <xf numFmtId="228" fontId="3" fillId="0" borderId="0" applyFont="0" applyFill="0" applyBorder="0" applyAlignment="0" applyProtection="0"/>
    <xf numFmtId="167" fontId="3" fillId="0" borderId="0" applyFont="0" applyFill="0" applyBorder="0" applyAlignment="0" applyProtection="0"/>
    <xf numFmtId="229" fontId="1" fillId="0" borderId="0" applyFont="0" applyFill="0" applyBorder="0" applyAlignment="0" applyProtection="0"/>
    <xf numFmtId="165" fontId="14" fillId="0" borderId="0" applyFont="0" applyFill="0" applyBorder="0" applyAlignment="0" applyProtection="0"/>
    <xf numFmtId="164" fontId="195"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5"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5"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215" fontId="44"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215" fontId="3"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5" fillId="0" borderId="0" applyFont="0" applyFill="0" applyBorder="0" applyAlignment="0" applyProtection="0"/>
    <xf numFmtId="169" fontId="15" fillId="0" borderId="0" applyFont="0" applyFill="0" applyBorder="0" applyAlignment="0" applyProtection="0"/>
    <xf numFmtId="164" fontId="14" fillId="0" borderId="0" applyFont="0" applyFill="0" applyBorder="0" applyAlignment="0" applyProtection="0"/>
    <xf numFmtId="169" fontId="44" fillId="0" borderId="0" applyFont="0" applyFill="0" applyBorder="0" applyAlignment="0" applyProtection="0"/>
    <xf numFmtId="164" fontId="44" fillId="0" borderId="0" applyFont="0" applyFill="0" applyBorder="0" applyAlignment="0" applyProtection="0"/>
    <xf numFmtId="215" fontId="3"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5"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40" fontId="163" fillId="0" borderId="0" applyFont="0" applyFill="0" applyBorder="0" applyAlignment="0" applyProtection="0"/>
    <xf numFmtId="21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215" fontId="1" fillId="0" borderId="0" applyFont="0" applyFill="0" applyBorder="0" applyAlignment="0" applyProtection="0"/>
    <xf numFmtId="215"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230" fontId="3" fillId="0" borderId="0" applyFont="0" applyFill="0" applyBorder="0" applyAlignment="0" applyProtection="0"/>
    <xf numFmtId="0" fontId="3" fillId="0" borderId="0" applyFont="0" applyFill="0" applyBorder="0" applyAlignment="0" applyProtection="0"/>
    <xf numFmtId="231" fontId="1" fillId="0" borderId="0" applyFont="0" applyFill="0" applyBorder="0" applyAlignment="0" applyProtection="0"/>
    <xf numFmtId="214" fontId="3"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3"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232" fontId="3" fillId="0" borderId="0" applyFont="0" applyFill="0" applyBorder="0" applyAlignment="0" applyProtection="0"/>
    <xf numFmtId="233" fontId="3" fillId="0" borderId="0" applyFont="0" applyFill="0" applyBorder="0" applyAlignment="0" applyProtection="0"/>
    <xf numFmtId="0" fontId="196" fillId="0" borderId="0" applyNumberFormat="0">
      <alignment horizontal="right"/>
    </xf>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37" fontId="198" fillId="0" borderId="0"/>
    <xf numFmtId="234" fontId="3" fillId="0" borderId="0"/>
    <xf numFmtId="234" fontId="3" fillId="0" borderId="0"/>
    <xf numFmtId="234" fontId="3" fillId="0" borderId="0"/>
    <xf numFmtId="234" fontId="3" fillId="0" borderId="0"/>
    <xf numFmtId="234" fontId="3" fillId="0" borderId="0"/>
    <xf numFmtId="0" fontId="3" fillId="0" borderId="0"/>
    <xf numFmtId="235" fontId="163" fillId="0" borderId="0"/>
    <xf numFmtId="174" fontId="20" fillId="0" borderId="0"/>
    <xf numFmtId="235" fontId="163" fillId="0" borderId="0"/>
    <xf numFmtId="234" fontId="3" fillId="0" borderId="0"/>
    <xf numFmtId="231" fontId="3" fillId="0" borderId="0"/>
    <xf numFmtId="0"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36" fontId="3"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3" fillId="0" borderId="0"/>
    <xf numFmtId="210" fontId="1" fillId="0" borderId="0"/>
    <xf numFmtId="210" fontId="1" fillId="0" borderId="0"/>
    <xf numFmtId="0" fontId="14" fillId="0" borderId="0"/>
    <xf numFmtId="210" fontId="1" fillId="0" borderId="0"/>
    <xf numFmtId="210" fontId="1" fillId="0" borderId="0"/>
    <xf numFmtId="236"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210" fontId="3" fillId="0" borderId="0"/>
    <xf numFmtId="0" fontId="3" fillId="0" borderId="0"/>
    <xf numFmtId="0" fontId="1" fillId="0" borderId="0"/>
    <xf numFmtId="0" fontId="14"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210" fontId="1" fillId="0" borderId="0"/>
    <xf numFmtId="210" fontId="1" fillId="0" borderId="0"/>
    <xf numFmtId="210" fontId="1" fillId="0" borderId="0"/>
    <xf numFmtId="210" fontId="1"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210" fontId="3" fillId="0" borderId="0"/>
    <xf numFmtId="0" fontId="3" fillId="0" borderId="0"/>
    <xf numFmtId="210" fontId="3" fillId="0" borderId="0"/>
    <xf numFmtId="0" fontId="199" fillId="0" borderId="0" applyNumberFormat="0" applyFill="0" applyBorder="0" applyProtection="0">
      <alignment vertical="top"/>
    </xf>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3"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0" fillId="0" borderId="0"/>
    <xf numFmtId="0" fontId="156" fillId="0" borderId="0"/>
    <xf numFmtId="210" fontId="3" fillId="0" borderId="0"/>
    <xf numFmtId="210" fontId="3" fillId="0" borderId="0"/>
    <xf numFmtId="210" fontId="3" fillId="0" borderId="0"/>
    <xf numFmtId="210" fontId="3" fillId="0" borderId="0"/>
    <xf numFmtId="210" fontId="3"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0"/>
    <xf numFmtId="0" fontId="15" fillId="0" borderId="0"/>
    <xf numFmtId="0" fontId="15" fillId="0" borderId="0"/>
    <xf numFmtId="0" fontId="14" fillId="0" borderId="0"/>
    <xf numFmtId="0" fontId="14" fillId="0" borderId="0"/>
    <xf numFmtId="0" fontId="14"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14" fillId="0" borderId="0"/>
    <xf numFmtId="0" fontId="14" fillId="0" borderId="0"/>
    <xf numFmtId="0" fontId="3" fillId="0" borderId="0"/>
    <xf numFmtId="0" fontId="1" fillId="0" borderId="0"/>
    <xf numFmtId="0" fontId="1" fillId="0" borderId="0"/>
    <xf numFmtId="0" fontId="3" fillId="0" borderId="0"/>
    <xf numFmtId="0" fontId="14" fillId="0" borderId="0"/>
    <xf numFmtId="0" fontId="14"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1"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4" fillId="0" borderId="0"/>
    <xf numFmtId="0" fontId="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199" fillId="0" borderId="0" applyNumberFormat="0" applyFill="0" applyBorder="0" applyProtection="0">
      <alignment vertical="top"/>
    </xf>
    <xf numFmtId="0" fontId="3" fillId="0" borderId="0"/>
    <xf numFmtId="0" fontId="1" fillId="0" borderId="0"/>
    <xf numFmtId="0" fontId="1" fillId="0" borderId="0"/>
    <xf numFmtId="0" fontId="1" fillId="0" borderId="0"/>
    <xf numFmtId="0" fontId="1"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4" fillId="0" borderId="0"/>
    <xf numFmtId="0" fontId="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3"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14"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56" fillId="0" borderId="0"/>
    <xf numFmtId="0" fontId="156" fillId="0" borderId="0"/>
    <xf numFmtId="0" fontId="156" fillId="0" borderId="0"/>
    <xf numFmtId="0" fontId="156" fillId="0" borderId="0"/>
    <xf numFmtId="0" fontId="156" fillId="0" borderId="0"/>
    <xf numFmtId="0" fontId="3" fillId="0" borderId="0"/>
    <xf numFmtId="39" fontId="201" fillId="0" borderId="0"/>
    <xf numFmtId="210" fontId="3" fillId="0" borderId="0"/>
    <xf numFmtId="0" fontId="1" fillId="0" borderId="0"/>
    <xf numFmtId="0" fontId="1" fillId="0" borderId="0"/>
    <xf numFmtId="0" fontId="1" fillId="0" borderId="0"/>
    <xf numFmtId="0" fontId="3" fillId="0" borderId="0"/>
    <xf numFmtId="0" fontId="3" fillId="0" borderId="0"/>
    <xf numFmtId="0" fontId="3" fillId="0" borderId="0"/>
    <xf numFmtId="210" fontId="3" fillId="0" borderId="0"/>
    <xf numFmtId="210" fontId="3" fillId="0" borderId="0"/>
    <xf numFmtId="210" fontId="3" fillId="0" borderId="0"/>
    <xf numFmtId="0" fontId="3" fillId="0" borderId="0"/>
    <xf numFmtId="0" fontId="3" fillId="0" borderId="0"/>
    <xf numFmtId="0" fontId="3" fillId="0" borderId="0"/>
    <xf numFmtId="0" fontId="3" fillId="0" borderId="0"/>
    <xf numFmtId="210" fontId="3" fillId="0" borderId="0"/>
    <xf numFmtId="210" fontId="3" fillId="0" borderId="0"/>
    <xf numFmtId="210" fontId="3" fillId="0" borderId="0"/>
    <xf numFmtId="0" fontId="14" fillId="0" borderId="0"/>
    <xf numFmtId="0" fontId="14" fillId="0" borderId="0"/>
    <xf numFmtId="0" fontId="14"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210" fontId="3" fillId="0" borderId="0"/>
    <xf numFmtId="210" fontId="3" fillId="0" borderId="0"/>
    <xf numFmtId="210" fontId="3"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3" fillId="0" borderId="0"/>
    <xf numFmtId="0" fontId="1" fillId="0" borderId="0"/>
    <xf numFmtId="0" fontId="1" fillId="0" borderId="0"/>
    <xf numFmtId="0" fontId="3" fillId="0" borderId="0"/>
    <xf numFmtId="21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3" fillId="0" borderId="0"/>
    <xf numFmtId="21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36" fontId="1" fillId="0" borderId="0"/>
    <xf numFmtId="210" fontId="1" fillId="0" borderId="0"/>
    <xf numFmtId="210" fontId="1" fillId="0" borderId="0"/>
    <xf numFmtId="210" fontId="1" fillId="0" borderId="0"/>
    <xf numFmtId="210" fontId="1" fillId="0" borderId="0"/>
    <xf numFmtId="236"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210" fontId="1" fillId="0" borderId="0"/>
    <xf numFmtId="236"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3" fillId="0" borderId="0"/>
    <xf numFmtId="210" fontId="3" fillId="0" borderId="0"/>
    <xf numFmtId="0" fontId="163" fillId="0" borderId="0"/>
    <xf numFmtId="0" fontId="163" fillId="0" borderId="0"/>
    <xf numFmtId="0" fontId="163" fillId="0" borderId="0"/>
    <xf numFmtId="0" fontId="163" fillId="0" borderId="0"/>
    <xf numFmtId="210" fontId="3" fillId="0" borderId="0"/>
    <xf numFmtId="0" fontId="163" fillId="0" borderId="0"/>
    <xf numFmtId="0" fontId="16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21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3"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3" fillId="0" borderId="0"/>
    <xf numFmtId="0" fontId="1" fillId="0" borderId="0"/>
    <xf numFmtId="21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4" fillId="0" borderId="0"/>
    <xf numFmtId="0" fontId="156" fillId="0" borderId="0"/>
    <xf numFmtId="0" fontId="156"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5"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3" fillId="0" borderId="0"/>
    <xf numFmtId="21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14"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21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65" borderId="186"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44"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156" fillId="65" borderId="186"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32" borderId="193" applyNumberFormat="0" applyFont="0" applyAlignment="0" applyProtection="0"/>
    <xf numFmtId="0" fontId="3" fillId="65" borderId="186" applyNumberFormat="0" applyFont="0" applyAlignment="0" applyProtection="0"/>
    <xf numFmtId="237" fontId="3" fillId="0" borderId="0" applyFont="0" applyFill="0" applyBorder="0" applyAlignment="0" applyProtection="0"/>
    <xf numFmtId="164" fontId="3" fillId="0" borderId="0" applyFont="0" applyFill="0" applyBorder="0" applyAlignment="0" applyProtection="0"/>
    <xf numFmtId="165" fontId="3" fillId="0" borderId="0" applyFont="0" applyFill="0" applyBorder="0" applyAlignment="0" applyProtection="0"/>
    <xf numFmtId="0" fontId="151" fillId="63" borderId="183" applyNumberFormat="0" applyAlignment="0" applyProtection="0"/>
    <xf numFmtId="14" fontId="158" fillId="0" borderId="0">
      <alignment horizontal="center" wrapText="1"/>
      <protection locked="0"/>
    </xf>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3" fillId="0" borderId="0" applyFont="0" applyFill="0" applyBorder="0" applyAlignment="0" applyProtection="0"/>
    <xf numFmtId="9" fontId="15" fillId="0" borderId="0" applyFont="0" applyFill="0" applyBorder="0" applyAlignment="0" applyProtection="0"/>
    <xf numFmtId="0" fontId="202" fillId="0" borderId="0" applyFont="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95"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5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0" fontId="203" fillId="0" borderId="0" applyNumberFormat="0" applyFont="0" applyFill="0" applyBorder="0" applyAlignment="0" applyProtection="0">
      <alignment horizontal="left"/>
    </xf>
    <xf numFmtId="0" fontId="204" fillId="0" borderId="6">
      <alignment horizontal="center"/>
    </xf>
    <xf numFmtId="0" fontId="205" fillId="106" borderId="0" applyNumberFormat="0" applyFont="0" applyBorder="0" applyAlignment="0">
      <alignment horizontal="center"/>
    </xf>
    <xf numFmtId="14" fontId="19" fillId="0" borderId="0" applyNumberFormat="0" applyFill="0" applyBorder="0" applyAlignment="0" applyProtection="0">
      <alignment horizontal="left"/>
    </xf>
    <xf numFmtId="14" fontId="176" fillId="0" borderId="0" applyNumberFormat="0" applyFill="0" applyBorder="0" applyAlignment="0" applyProtection="0">
      <alignment horizontal="left"/>
    </xf>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105" fillId="101" borderId="194" applyNumberFormat="0" applyAlignment="0" applyProtection="0"/>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205" fillId="1" borderId="195" applyNumberFormat="0" applyFont="0" applyAlignment="0">
      <alignment horizontal="center"/>
    </xf>
    <xf numFmtId="0" fontId="176" fillId="0" borderId="30"/>
    <xf numFmtId="0" fontId="189" fillId="0" borderId="0" applyNumberFormat="0" applyFill="0" applyBorder="0" applyAlignment="0" applyProtection="0">
      <alignment vertical="top"/>
      <protection locked="0"/>
    </xf>
    <xf numFmtId="0" fontId="206" fillId="0" borderId="0" applyNumberFormat="0" applyFill="0" applyBorder="0" applyAlignment="0">
      <alignment horizontal="center"/>
    </xf>
    <xf numFmtId="0" fontId="203" fillId="0" borderId="0"/>
    <xf numFmtId="40" fontId="207" fillId="0" borderId="0" applyBorder="0">
      <alignment horizontal="right"/>
    </xf>
    <xf numFmtId="40" fontId="208" fillId="0" borderId="0" applyBorder="0">
      <alignment horizontal="right"/>
    </xf>
    <xf numFmtId="0" fontId="3" fillId="0" borderId="0" applyNumberFormat="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09" fillId="0" borderId="0" applyNumberFormat="0" applyFill="0" applyBorder="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10" fillId="0" borderId="196" applyNumberFormat="0" applyFill="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211" fillId="0" borderId="197"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169" fillId="0" borderId="191" applyNumberFormat="0" applyFill="0" applyAlignment="0" applyProtection="0"/>
    <xf numFmtId="0" fontId="209" fillId="0" borderId="0" applyNumberFormat="0" applyFill="0" applyBorder="0" applyAlignment="0" applyProtection="0"/>
    <xf numFmtId="0" fontId="212"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225" fontId="3" fillId="0" borderId="180">
      <protection locked="0"/>
    </xf>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225" fontId="3" fillId="0" borderId="180">
      <protection locked="0"/>
    </xf>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225" fontId="3" fillId="0" borderId="180">
      <protection locked="0"/>
    </xf>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0" fontId="58" fillId="0" borderId="198" applyNumberFormat="0" applyFill="0" applyAlignment="0" applyProtection="0"/>
    <xf numFmtId="225" fontId="3" fillId="0" borderId="180">
      <protection locked="0"/>
    </xf>
    <xf numFmtId="225" fontId="3" fillId="0" borderId="180">
      <protection locked="0"/>
    </xf>
    <xf numFmtId="225" fontId="3" fillId="0" borderId="180">
      <protection locked="0"/>
    </xf>
    <xf numFmtId="225" fontId="3" fillId="0" borderId="180">
      <protection locked="0"/>
    </xf>
    <xf numFmtId="225" fontId="3" fillId="0" borderId="180">
      <protection locked="0"/>
    </xf>
    <xf numFmtId="238" fontId="186" fillId="0" borderId="199"/>
    <xf numFmtId="238" fontId="186" fillId="0" borderId="199"/>
    <xf numFmtId="238" fontId="186" fillId="0" borderId="199"/>
    <xf numFmtId="238" fontId="186" fillId="0" borderId="199"/>
    <xf numFmtId="238" fontId="186" fillId="0" borderId="199"/>
    <xf numFmtId="238" fontId="186" fillId="0" borderId="199"/>
    <xf numFmtId="37" fontId="50" fillId="107" borderId="0" applyNumberFormat="0" applyBorder="0" applyAlignment="0" applyProtection="0"/>
    <xf numFmtId="37" fontId="50" fillId="0" borderId="0"/>
    <xf numFmtId="37" fontId="50" fillId="12" borderId="0" applyNumberFormat="0" applyBorder="0" applyAlignment="0" applyProtection="0"/>
    <xf numFmtId="3" fontId="213" fillId="0" borderId="192" applyProtection="0"/>
    <xf numFmtId="49" fontId="186" fillId="0" borderId="199" applyFill="0" applyAlignment="0">
      <alignment horizontal="left"/>
      <protection locked="0"/>
    </xf>
    <xf numFmtId="49" fontId="186" fillId="0" borderId="199" applyFill="0" applyAlignment="0">
      <alignment horizontal="left"/>
      <protection locked="0"/>
    </xf>
    <xf numFmtId="49" fontId="186" fillId="0" borderId="199" applyFill="0" applyAlignment="0">
      <alignment horizontal="left"/>
      <protection locked="0"/>
    </xf>
    <xf numFmtId="49" fontId="186" fillId="0" borderId="199" applyFill="0" applyAlignment="0">
      <alignment horizontal="left"/>
      <protection locked="0"/>
    </xf>
    <xf numFmtId="49" fontId="186" fillId="0" borderId="199" applyFill="0" applyAlignment="0">
      <alignment horizontal="left"/>
      <protection locked="0"/>
    </xf>
    <xf numFmtId="49" fontId="186" fillId="0" borderId="199" applyFill="0" applyAlignment="0">
      <alignment horizontal="left"/>
      <protection locked="0"/>
    </xf>
    <xf numFmtId="0" fontId="154" fillId="0" borderId="0" applyNumberFormat="0" applyFill="0" applyBorder="0" applyAlignment="0" applyProtection="0"/>
    <xf numFmtId="0" fontId="163" fillId="0" borderId="0">
      <alignment vertical="top" wrapText="1"/>
    </xf>
    <xf numFmtId="0" fontId="194" fillId="0" borderId="0">
      <alignment vertical="top" wrapText="1"/>
    </xf>
    <xf numFmtId="0" fontId="214" fillId="0" borderId="0" applyProtection="0"/>
    <xf numFmtId="239" fontId="214" fillId="0" borderId="0" applyProtection="0"/>
    <xf numFmtId="0" fontId="215" fillId="0" borderId="0" applyProtection="0"/>
    <xf numFmtId="0" fontId="216" fillId="0" borderId="0" applyProtection="0"/>
    <xf numFmtId="0" fontId="214" fillId="0" borderId="180" applyProtection="0"/>
    <xf numFmtId="0" fontId="214" fillId="0" borderId="0"/>
    <xf numFmtId="10" fontId="214" fillId="0" borderId="0" applyProtection="0"/>
    <xf numFmtId="0" fontId="214" fillId="0" borderId="0"/>
    <xf numFmtId="2" fontId="214" fillId="0" borderId="0" applyProtection="0"/>
    <xf numFmtId="4" fontId="214" fillId="0" borderId="0" applyProtection="0"/>
    <xf numFmtId="0" fontId="50" fillId="0" borderId="210" applyBorder="0">
      <alignment horizontal="left" vertical="top" wrapText="1" indent="1"/>
    </xf>
    <xf numFmtId="0" fontId="50" fillId="0" borderId="210" applyBorder="0">
      <alignment horizontal="left" vertical="top" wrapText="1" indent="1"/>
    </xf>
    <xf numFmtId="0" fontId="50" fillId="0" borderId="210" applyBorder="0">
      <alignment horizontal="left" vertical="top" wrapText="1" indent="1"/>
    </xf>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195" fontId="97" fillId="39"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0" fontId="164" fillId="101" borderId="211" applyNumberFormat="0" applyAlignment="0" applyProtection="0"/>
    <xf numFmtId="195" fontId="97" fillId="39" borderId="211" applyNumberFormat="0" applyAlignment="0" applyProtection="0"/>
    <xf numFmtId="195" fontId="97" fillId="39" borderId="211" applyNumberFormat="0" applyAlignment="0" applyProtection="0"/>
    <xf numFmtId="170" fontId="168" fillId="0" borderId="0">
      <protection locked="0"/>
    </xf>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2" fillId="35"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0" fontId="102" fillId="33" borderId="211" applyNumberFormat="0" applyAlignment="0" applyProtection="0"/>
    <xf numFmtId="195" fontId="102" fillId="35" borderId="211" applyNumberFormat="0" applyAlignment="0" applyProtection="0"/>
    <xf numFmtId="195" fontId="102" fillId="35" borderId="211" applyNumberFormat="0" applyAlignment="0" applyProtection="0"/>
    <xf numFmtId="195" fontId="103" fillId="45" borderId="204" applyBorder="0">
      <alignment horizontal="center" vertical="center" textRotation="90" wrapText="1"/>
    </xf>
    <xf numFmtId="195" fontId="103" fillId="45" borderId="204" applyBorder="0">
      <alignment horizontal="center" vertical="center" textRotation="90" wrapText="1"/>
    </xf>
    <xf numFmtId="195" fontId="103" fillId="45" borderId="204" applyBorder="0">
      <alignment horizontal="center" vertical="center" textRotation="90" wrapText="1"/>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0" fontId="84" fillId="0" borderId="195">
      <alignment horizontal="left" vertical="center"/>
    </xf>
    <xf numFmtId="10" fontId="50" fillId="105" borderId="205" applyNumberFormat="0" applyBorder="0" applyAlignment="0" applyProtection="0"/>
    <xf numFmtId="10" fontId="50" fillId="105" borderId="205" applyNumberFormat="0" applyBorder="0" applyAlignment="0" applyProtection="0"/>
    <xf numFmtId="10" fontId="50" fillId="105" borderId="205" applyNumberFormat="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3"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0" fontId="44"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195" fontId="100"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0" fontId="3" fillId="32" borderId="212" applyNumberFormat="0" applyFont="0" applyAlignment="0" applyProtection="0"/>
    <xf numFmtId="195" fontId="100" fillId="32" borderId="212" applyNumberFormat="0" applyFon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195" fontId="105" fillId="39" borderId="213" applyNumberFormat="0" applyAlignment="0" applyProtection="0"/>
    <xf numFmtId="195" fontId="105" fillId="39"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0" fontId="105" fillId="101" borderId="213" applyNumberFormat="0" applyAlignment="0" applyProtection="0"/>
    <xf numFmtId="195" fontId="105" fillId="39" borderId="213" applyNumberFormat="0" applyAlignment="0" applyProtection="0"/>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205" fillId="1" borderId="214" applyNumberFormat="0" applyFont="0" applyAlignment="0">
      <alignment horizontal="center"/>
    </xf>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0" fontId="58" fillId="0" borderId="215" applyNumberFormat="0" applyFill="0" applyAlignment="0" applyProtection="0"/>
    <xf numFmtId="238" fontId="186" fillId="0" borderId="216"/>
    <xf numFmtId="238" fontId="186" fillId="0" borderId="216"/>
    <xf numFmtId="238" fontId="186" fillId="0" borderId="216"/>
    <xf numFmtId="238" fontId="186" fillId="0" borderId="216"/>
    <xf numFmtId="238" fontId="186" fillId="0" borderId="216"/>
    <xf numFmtId="238" fontId="186" fillId="0" borderId="216"/>
    <xf numFmtId="49" fontId="186" fillId="0" borderId="216" applyFill="0" applyAlignment="0">
      <alignment horizontal="left"/>
      <protection locked="0"/>
    </xf>
    <xf numFmtId="49" fontId="186" fillId="0" borderId="216" applyFill="0" applyAlignment="0">
      <alignment horizontal="left"/>
      <protection locked="0"/>
    </xf>
    <xf numFmtId="49" fontId="186" fillId="0" borderId="216" applyFill="0" applyAlignment="0">
      <alignment horizontal="left"/>
      <protection locked="0"/>
    </xf>
    <xf numFmtId="49" fontId="186" fillId="0" borderId="216" applyFill="0" applyAlignment="0">
      <alignment horizontal="left"/>
      <protection locked="0"/>
    </xf>
    <xf numFmtId="49" fontId="186" fillId="0" borderId="216" applyFill="0" applyAlignment="0">
      <alignment horizontal="left"/>
      <protection locked="0"/>
    </xf>
    <xf numFmtId="49" fontId="186" fillId="0" borderId="216" applyFill="0" applyAlignment="0">
      <alignment horizontal="left"/>
      <protection locked="0"/>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84" fillId="0" borderId="214">
      <alignment horizontal="left" vertical="center"/>
    </xf>
    <xf numFmtId="0" fontId="190" fillId="0" borderId="0" applyNumberFormat="0" applyFill="0" applyBorder="0" applyAlignment="0" applyProtection="0">
      <alignment vertical="top"/>
      <protection locked="0"/>
    </xf>
    <xf numFmtId="0" fontId="3" fillId="0" borderId="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7" fillId="39" borderId="219" applyNumberFormat="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195" fontId="99" fillId="0" borderId="220" applyNumberFormat="0" applyFill="0" applyAlignment="0" applyProtection="0"/>
    <xf numFmtId="0" fontId="3" fillId="0" borderId="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2" fillId="35" borderId="219" applyNumberFormat="0" applyAlignment="0" applyProtection="0"/>
    <xf numFmtId="195" fontId="103" fillId="45" borderId="221" applyBorder="0">
      <alignment horizontal="center" vertical="center" textRotation="90" wrapText="1"/>
    </xf>
    <xf numFmtId="195" fontId="103" fillId="45" borderId="221" applyBorder="0">
      <alignment horizontal="center" vertical="center" textRotation="90" wrapText="1"/>
    </xf>
    <xf numFmtId="195" fontId="103" fillId="45" borderId="221" applyBorder="0">
      <alignment horizontal="center" vertical="center" textRotation="90" wrapText="1"/>
    </xf>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240" fontId="3" fillId="0" borderId="0" applyFont="0" applyFill="0" applyBorder="0" applyAlignment="0" applyProtection="0"/>
    <xf numFmtId="0" fontId="3" fillId="0" borderId="0"/>
    <xf numFmtId="0" fontId="1" fillId="0" borderId="0"/>
    <xf numFmtId="0" fontId="1" fillId="0" borderId="0"/>
    <xf numFmtId="0" fontId="1" fillId="0" borderId="0"/>
    <xf numFmtId="0" fontId="3" fillId="0" borderId="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0" fillId="32" borderId="222" applyNumberFormat="0" applyFon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195" fontId="105" fillId="39" borderId="223" applyNumberFormat="0" applyAlignment="0" applyProtection="0"/>
    <xf numFmtId="0" fontId="3" fillId="0" borderId="0"/>
    <xf numFmtId="0" fontId="3" fillId="0" borderId="0"/>
    <xf numFmtId="0" fontId="1" fillId="0" borderId="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64" fillId="101"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102" fillId="33" borderId="219" applyNumberFormat="0" applyAlignment="0" applyProtection="0"/>
    <xf numFmtId="0" fontId="223" fillId="0" borderId="275" applyNumberFormat="0" applyFill="0" applyAlignment="0" applyProtection="0"/>
    <xf numFmtId="0" fontId="223" fillId="0" borderId="275" applyNumberFormat="0" applyFill="0" applyAlignment="0" applyProtection="0"/>
    <xf numFmtId="0" fontId="224" fillId="0" borderId="276" applyNumberFormat="0" applyFill="0" applyAlignment="0" applyProtection="0"/>
    <xf numFmtId="0" fontId="224" fillId="0" borderId="276" applyNumberFormat="0" applyFill="0" applyAlignment="0" applyProtection="0"/>
    <xf numFmtId="0" fontId="147" fillId="0" borderId="277" applyNumberFormat="0" applyFill="0" applyAlignment="0" applyProtection="0"/>
    <xf numFmtId="0" fontId="147" fillId="0" borderId="277" applyNumberFormat="0" applyFill="0" applyAlignment="0" applyProtection="0"/>
    <xf numFmtId="0" fontId="185" fillId="0" borderId="209">
      <alignment horizontal="center"/>
    </xf>
    <xf numFmtId="10" fontId="50" fillId="105" borderId="224" applyNumberFormat="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21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3" fillId="0" borderId="0"/>
    <xf numFmtId="0" fontId="163" fillId="0" borderId="0"/>
    <xf numFmtId="21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21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0" fontId="44" fillId="32" borderId="222" applyNumberFormat="0" applyFont="0" applyAlignment="0" applyProtection="0"/>
    <xf numFmtId="0" fontId="3" fillId="32" borderId="222" applyNumberFormat="0" applyFont="0" applyAlignment="0" applyProtection="0"/>
    <xf numFmtId="0" fontId="44" fillId="32" borderId="222" applyNumberFormat="0" applyFont="0" applyAlignment="0" applyProtection="0"/>
    <xf numFmtId="0" fontId="44" fillId="32" borderId="222" applyNumberFormat="0" applyFont="0" applyAlignment="0" applyProtection="0"/>
    <xf numFmtId="0" fontId="44" fillId="32" borderId="222" applyNumberFormat="0" applyFont="0" applyAlignment="0" applyProtection="0"/>
    <xf numFmtId="0" fontId="44"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32" borderId="222" applyNumberFormat="0" applyFont="0" applyAlignment="0" applyProtection="0"/>
    <xf numFmtId="0" fontId="3" fillId="65" borderId="186" applyNumberFormat="0" applyFont="0" applyAlignment="0" applyProtection="0"/>
    <xf numFmtId="0" fontId="3" fillId="65" borderId="186" applyNumberFormat="0" applyFont="0" applyAlignment="0" applyProtection="0"/>
    <xf numFmtId="0" fontId="3" fillId="65" borderId="186"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105" fillId="101" borderId="223" applyNumberFormat="0" applyAlignment="0" applyProtection="0"/>
    <xf numFmtId="0" fontId="222" fillId="0" borderId="0" applyNumberFormat="0" applyFill="0" applyBorder="0" applyAlignment="0" applyProtection="0"/>
    <xf numFmtId="0" fontId="222" fillId="0" borderId="0" applyNumberFormat="0" applyFill="0" applyBorder="0" applyAlignment="0" applyProtection="0"/>
    <xf numFmtId="0" fontId="3" fillId="0" borderId="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xf numFmtId="164" fontId="3" fillId="0" borderId="0"/>
    <xf numFmtId="0" fontId="3" fillId="0" borderId="0"/>
    <xf numFmtId="0" fontId="3" fillId="0" borderId="0"/>
    <xf numFmtId="164" fontId="3" fillId="0" borderId="0"/>
    <xf numFmtId="164" fontId="3" fillId="0" borderId="0"/>
    <xf numFmtId="164" fontId="14" fillId="0" borderId="0"/>
    <xf numFmtId="164" fontId="3" fillId="0" borderId="0"/>
    <xf numFmtId="164" fontId="225" fillId="0" borderId="0" applyFont="0" applyFill="0" applyBorder="0" applyAlignment="0" applyProtection="0"/>
    <xf numFmtId="214" fontId="194" fillId="0" borderId="0" applyFill="0" applyBorder="0" applyAlignment="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195" fontId="97" fillId="39" borderId="282" applyNumberFormat="0" applyAlignment="0" applyProtection="0"/>
    <xf numFmtId="0" fontId="1" fillId="0" borderId="0"/>
    <xf numFmtId="164" fontId="98" fillId="40" borderId="135" applyNumberFormat="0" applyAlignment="0" applyProtection="0"/>
    <xf numFmtId="164" fontId="98" fillId="40" borderId="135" applyNumberFormat="0" applyAlignment="0" applyProtection="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164" fontId="3" fillId="0" borderId="0" applyFont="0" applyFill="0" applyBorder="0" applyAlignment="0" applyProtection="0"/>
    <xf numFmtId="164" fontId="3" fillId="0" borderId="0" applyFont="0" applyFill="0" applyBorder="0" applyAlignment="0" applyProtection="0"/>
    <xf numFmtId="21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2" fillId="35" borderId="282" applyNumberFormat="0" applyAlignment="0" applyProtection="0"/>
    <xf numFmtId="195" fontId="103" fillId="45" borderId="283" applyBorder="0">
      <alignment horizontal="center" vertical="center" textRotation="90" wrapText="1"/>
    </xf>
    <xf numFmtId="195" fontId="103" fillId="45" borderId="283" applyBorder="0">
      <alignment horizontal="center" vertical="center" textRotation="90" wrapText="1"/>
    </xf>
    <xf numFmtId="195" fontId="103" fillId="45" borderId="283" applyBorder="0">
      <alignment horizontal="center" vertical="center" textRotation="90" wrapText="1"/>
    </xf>
    <xf numFmtId="222"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0" fontId="19" fillId="0" borderId="0"/>
    <xf numFmtId="164" fontId="96" fillId="94" borderId="0" applyNumberFormat="0" applyBorder="0" applyAlignment="0" applyProtection="0"/>
    <xf numFmtId="164" fontId="96" fillId="94" borderId="0" applyNumberFormat="0" applyBorder="0" applyAlignment="0" applyProtection="0"/>
    <xf numFmtId="164" fontId="169" fillId="0" borderId="0" applyNumberFormat="0" applyFill="0" applyBorder="0" applyAlignment="0" applyProtection="0"/>
    <xf numFmtId="164" fontId="169" fillId="0" borderId="0" applyNumberFormat="0" applyFill="0" applyBorder="0" applyAlignment="0" applyProtection="0"/>
    <xf numFmtId="225" fontId="3" fillId="0" borderId="0">
      <protection locked="0"/>
    </xf>
    <xf numFmtId="225" fontId="3" fillId="0" borderId="0">
      <protection locked="0"/>
    </xf>
    <xf numFmtId="164" fontId="188" fillId="0" borderId="0" applyNumberFormat="0" applyFill="0" applyBorder="0" applyAlignment="0" applyProtection="0">
      <alignment vertical="top"/>
      <protection locked="0"/>
    </xf>
    <xf numFmtId="164" fontId="226" fillId="0" borderId="0" applyNumberFormat="0" applyFill="0" applyBorder="0" applyAlignment="0" applyProtection="0">
      <alignment vertical="top"/>
      <protection locked="0"/>
    </xf>
    <xf numFmtId="164" fontId="227" fillId="0" borderId="0" applyNumberFormat="0" applyFill="0" applyBorder="0" applyAlignment="0" applyProtection="0">
      <alignment vertical="top"/>
      <protection locked="0"/>
    </xf>
    <xf numFmtId="164" fontId="188" fillId="0" borderId="0" applyNumberFormat="0" applyFill="0" applyBorder="0" applyAlignment="0" applyProtection="0">
      <alignment vertical="top"/>
      <protection locked="0"/>
    </xf>
    <xf numFmtId="0" fontId="191" fillId="0" borderId="0" applyNumberFormat="0" applyFill="0" applyBorder="0" applyAlignment="0" applyProtection="0"/>
    <xf numFmtId="164" fontId="102" fillId="33" borderId="282" applyNumberFormat="0" applyAlignment="0" applyProtection="0"/>
    <xf numFmtId="164" fontId="102" fillId="33" borderId="282" applyNumberFormat="0" applyAlignment="0" applyProtection="0"/>
    <xf numFmtId="164" fontId="166" fillId="0" borderId="190" applyNumberFormat="0" applyFill="0" applyAlignment="0" applyProtection="0"/>
    <xf numFmtId="164" fontId="166" fillId="0" borderId="190" applyNumberFormat="0" applyFill="0" applyAlignment="0" applyProtection="0"/>
    <xf numFmtId="164" fontId="194" fillId="0" borderId="0">
      <alignment horizontal="centerContinuous"/>
    </xf>
    <xf numFmtId="165"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215" fontId="3"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215"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0" fontId="194" fillId="0" borderId="0" applyFont="0" applyFill="0" applyBorder="0" applyAlignment="0" applyProtection="0"/>
    <xf numFmtId="164" fontId="3" fillId="0" borderId="0" applyFont="0" applyFill="0" applyBorder="0" applyAlignment="0" applyProtection="0"/>
    <xf numFmtId="166" fontId="3"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214" fontId="3" fillId="0" borderId="0" applyFont="0" applyFill="0" applyBorder="0" applyAlignment="0" applyProtection="0"/>
    <xf numFmtId="243" fontId="3" fillId="0" borderId="0" applyFont="0" applyFill="0" applyBorder="0" applyAlignment="0" applyProtection="0"/>
    <xf numFmtId="171" fontId="1" fillId="0" borderId="0" applyFont="0" applyFill="0" applyBorder="0" applyAlignment="0" applyProtection="0"/>
    <xf numFmtId="164" fontId="197" fillId="35" borderId="0" applyNumberFormat="0" applyBorder="0" applyAlignment="0" applyProtection="0"/>
    <xf numFmtId="0" fontId="197" fillId="35" borderId="0" applyNumberFormat="0" applyBorder="0" applyAlignment="0" applyProtection="0"/>
    <xf numFmtId="164" fontId="197" fillId="35" borderId="0" applyNumberFormat="0" applyBorder="0" applyAlignment="0" applyProtection="0"/>
    <xf numFmtId="234" fontId="3" fillId="0" borderId="0"/>
    <xf numFmtId="234" fontId="3" fillId="0" borderId="0"/>
    <xf numFmtId="234" fontId="3" fillId="0" borderId="0"/>
    <xf numFmtId="234" fontId="3" fillId="0" borderId="0"/>
    <xf numFmtId="234" fontId="3" fillId="0" borderId="0"/>
    <xf numFmtId="0" fontId="3" fillId="0" borderId="0"/>
    <xf numFmtId="235" fontId="194" fillId="0" borderId="0"/>
    <xf numFmtId="231" fontId="3" fillId="0" borderId="0"/>
    <xf numFmtId="0" fontId="3" fillId="0" borderId="0"/>
    <xf numFmtId="234" fontId="3" fillId="0" borderId="0"/>
    <xf numFmtId="244" fontId="14" fillId="0" borderId="0"/>
    <xf numFmtId="231" fontId="3" fillId="0" borderId="0"/>
    <xf numFmtId="234" fontId="3" fillId="0" borderId="0"/>
    <xf numFmtId="234"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xf numFmtId="164" fontId="3" fillId="0" borderId="0"/>
    <xf numFmtId="164" fontId="3" fillId="0" borderId="0"/>
    <xf numFmtId="164"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xf numFmtId="0" fontId="3" fillId="0" borderId="0"/>
    <xf numFmtId="0" fontId="3" fillId="0" borderId="0"/>
    <xf numFmtId="0" fontId="3" fillId="0" borderId="0"/>
    <xf numFmtId="0" fontId="3" fillId="0" borderId="0"/>
    <xf numFmtId="164" fontId="3" fillId="0" borderId="0"/>
    <xf numFmtId="164"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xf numFmtId="164" fontId="3" fillId="0" borderId="0"/>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64"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20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64" fontId="102" fillId="33" borderId="282" applyNumberFormat="0" applyAlignment="0" applyProtection="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84" fillId="0" borderId="287">
      <alignment horizontal="left" vertical="center"/>
    </xf>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64" fontId="3" fillId="0" borderId="0"/>
    <xf numFmtId="0" fontId="3" fillId="0" borderId="0"/>
    <xf numFmtId="0" fontId="3" fillId="0" borderId="0"/>
    <xf numFmtId="0" fontId="3" fillId="0" borderId="0"/>
    <xf numFmtId="0" fontId="1"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1" fillId="0" borderId="0"/>
    <xf numFmtId="195" fontId="1"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3" fillId="0" borderId="0"/>
    <xf numFmtId="0" fontId="3" fillId="0" borderId="0"/>
    <xf numFmtId="0" fontId="1" fillId="0" borderId="0"/>
    <xf numFmtId="0" fontId="3" fillId="0" borderId="0"/>
    <xf numFmtId="0" fontId="3" fillId="0" borderId="0"/>
    <xf numFmtId="0" fontId="1"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64" fontId="3"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195" fontId="100" fillId="32" borderId="284" applyNumberFormat="0" applyFont="0" applyAlignment="0" applyProtection="0"/>
    <xf numFmtId="0" fontId="3" fillId="32" borderId="284" applyNumberFormat="0" applyFont="0" applyAlignment="0" applyProtection="0"/>
    <xf numFmtId="195" fontId="100" fillId="32" borderId="284" applyNumberFormat="0" applyFont="0" applyAlignment="0" applyProtection="0"/>
    <xf numFmtId="164" fontId="44" fillId="32" borderId="284" applyNumberFormat="0" applyFont="0" applyAlignment="0" applyProtection="0"/>
    <xf numFmtId="164" fontId="44" fillId="32" borderId="284" applyNumberFormat="0" applyFont="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195" fontId="105" fillId="39" borderId="285" applyNumberFormat="0" applyAlignment="0" applyProtection="0"/>
    <xf numFmtId="0" fontId="19" fillId="0" borderId="30"/>
    <xf numFmtId="164" fontId="3" fillId="0" borderId="0" applyNumberFormat="0" applyFill="0" applyBorder="0" applyAlignment="0" applyProtection="0"/>
    <xf numFmtId="164" fontId="3" fillId="0" borderId="0" applyNumberFormat="0" applyFill="0" applyBorder="0" applyAlignment="0" applyProtection="0"/>
    <xf numFmtId="164" fontId="58" fillId="0" borderId="286" applyNumberFormat="0" applyFill="0" applyAlignment="0" applyProtection="0"/>
    <xf numFmtId="225" fontId="3" fillId="0" borderId="180">
      <protection locked="0"/>
    </xf>
    <xf numFmtId="0" fontId="58" fillId="0" borderId="286" applyNumberFormat="0" applyFill="0" applyAlignment="0" applyProtection="0"/>
    <xf numFmtId="164" fontId="58" fillId="0" borderId="286" applyNumberFormat="0" applyFill="0" applyAlignment="0" applyProtection="0"/>
    <xf numFmtId="225" fontId="3" fillId="0" borderId="180">
      <protection locked="0"/>
    </xf>
    <xf numFmtId="225" fontId="3" fillId="0" borderId="180">
      <protection locked="0"/>
    </xf>
    <xf numFmtId="225" fontId="3" fillId="0" borderId="180">
      <protection locked="0"/>
    </xf>
    <xf numFmtId="225" fontId="3" fillId="0" borderId="180">
      <protection locked="0"/>
    </xf>
    <xf numFmtId="225" fontId="3" fillId="0" borderId="180">
      <protection locked="0"/>
    </xf>
    <xf numFmtId="225" fontId="3" fillId="0" borderId="180">
      <protection locked="0"/>
    </xf>
    <xf numFmtId="225" fontId="3" fillId="0" borderId="180">
      <protection locked="0"/>
    </xf>
    <xf numFmtId="164" fontId="99" fillId="0" borderId="0" applyNumberFormat="0" applyFill="0" applyBorder="0" applyAlignment="0" applyProtection="0"/>
    <xf numFmtId="164" fontId="99" fillId="0" borderId="0" applyNumberFormat="0" applyFill="0" applyBorder="0" applyAlignment="0" applyProtection="0"/>
    <xf numFmtId="164" fontId="194" fillId="0" borderId="0">
      <alignment vertical="top" wrapText="1"/>
    </xf>
    <xf numFmtId="0" fontId="3" fillId="0" borderId="0"/>
    <xf numFmtId="0" fontId="205" fillId="1" borderId="287" applyNumberFormat="0" applyFont="0" applyAlignment="0">
      <alignment horizontal="center"/>
    </xf>
    <xf numFmtId="0" fontId="3" fillId="0" borderId="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97" fillId="39"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95" fontId="102" fillId="35" borderId="288" applyNumberFormat="0" applyAlignment="0" applyProtection="0"/>
    <xf numFmtId="164" fontId="102" fillId="33" borderId="288" applyNumberFormat="0" applyAlignment="0" applyProtection="0"/>
    <xf numFmtId="164" fontId="102" fillId="33" borderId="288" applyNumberFormat="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0" fontId="3" fillId="0" borderId="0"/>
    <xf numFmtId="0" fontId="1" fillId="0" borderId="0"/>
    <xf numFmtId="0" fontId="3" fillId="0" borderId="0"/>
    <xf numFmtId="164" fontId="102" fillId="33" borderId="288" applyNumberFormat="0" applyAlignment="0" applyProtection="0"/>
    <xf numFmtId="0" fontId="3" fillId="0" borderId="0"/>
    <xf numFmtId="0" fontId="1" fillId="0" borderId="0"/>
    <xf numFmtId="0" fontId="235" fillId="121" borderId="311" applyNumberFormat="0" applyAlignment="0" applyProtection="0">
      <alignment horizontal="left" vertical="center" indent="1"/>
    </xf>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3"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3" fillId="0" borderId="0"/>
    <xf numFmtId="0" fontId="3"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cellStyleXfs>
  <cellXfs count="2543">
    <xf numFmtId="0" fontId="0" fillId="0" borderId="0" xfId="0"/>
    <xf numFmtId="0" fontId="1" fillId="0" borderId="0" xfId="4"/>
    <xf numFmtId="0" fontId="4" fillId="2" borderId="0" xfId="3" applyFont="1" applyFill="1" applyAlignment="1">
      <alignment vertical="center"/>
    </xf>
    <xf numFmtId="14" fontId="1" fillId="0" borderId="0" xfId="4" applyNumberFormat="1"/>
    <xf numFmtId="0" fontId="5" fillId="2" borderId="0" xfId="3" applyFont="1" applyFill="1" applyAlignment="1">
      <alignment horizontal="left"/>
    </xf>
    <xf numFmtId="14" fontId="2" fillId="0" borderId="0" xfId="4" applyNumberFormat="1" applyFont="1"/>
    <xf numFmtId="14" fontId="6" fillId="0" borderId="0" xfId="4" applyNumberFormat="1" applyFont="1"/>
    <xf numFmtId="14" fontId="8" fillId="0" borderId="0" xfId="4" applyNumberFormat="1" applyFont="1"/>
    <xf numFmtId="15" fontId="13" fillId="0" borderId="22" xfId="3" applyNumberFormat="1" applyFont="1" applyBorder="1" applyAlignment="1">
      <alignment horizontal="center" vertical="center" wrapText="1"/>
    </xf>
    <xf numFmtId="2" fontId="15" fillId="0" borderId="3" xfId="5" applyNumberFormat="1" applyFont="1" applyBorder="1" applyAlignment="1">
      <alignment horizontal="center" wrapText="1"/>
    </xf>
    <xf numFmtId="2" fontId="15" fillId="0" borderId="2" xfId="5" applyNumberFormat="1" applyFont="1" applyBorder="1" applyAlignment="1">
      <alignment horizontal="center" wrapText="1"/>
    </xf>
    <xf numFmtId="2" fontId="15" fillId="0" borderId="5" xfId="5" applyNumberFormat="1" applyFont="1" applyBorder="1" applyAlignment="1">
      <alignment horizontal="center" wrapText="1"/>
    </xf>
    <xf numFmtId="15" fontId="16" fillId="0" borderId="26" xfId="3" applyNumberFormat="1" applyFont="1" applyBorder="1" applyAlignment="1">
      <alignment horizontal="center" vertical="center" wrapText="1"/>
    </xf>
    <xf numFmtId="0" fontId="12" fillId="3" borderId="19" xfId="3" applyFont="1" applyFill="1" applyBorder="1" applyAlignment="1">
      <alignment horizontal="center" vertical="center" wrapText="1"/>
    </xf>
    <xf numFmtId="0" fontId="12" fillId="3" borderId="20" xfId="3" applyFont="1" applyFill="1" applyBorder="1" applyAlignment="1">
      <alignment horizontal="center" vertical="center" wrapText="1"/>
    </xf>
    <xf numFmtId="0" fontId="11" fillId="3" borderId="15" xfId="3" applyFont="1" applyFill="1" applyBorder="1" applyAlignment="1">
      <alignment horizontal="center" vertical="center" wrapText="1"/>
    </xf>
    <xf numFmtId="0" fontId="12" fillId="3" borderId="15" xfId="3" applyFont="1" applyFill="1" applyBorder="1" applyAlignment="1">
      <alignment horizontal="center" vertical="center" wrapText="1"/>
    </xf>
    <xf numFmtId="0" fontId="12" fillId="3" borderId="21" xfId="3" applyFont="1" applyFill="1" applyBorder="1" applyAlignment="1">
      <alignment horizontal="center" vertical="center" wrapText="1"/>
    </xf>
    <xf numFmtId="0" fontId="12" fillId="3" borderId="19" xfId="6" applyFont="1" applyFill="1" applyBorder="1" applyAlignment="1">
      <alignment horizontal="center" vertical="center" wrapText="1"/>
    </xf>
    <xf numFmtId="0" fontId="12" fillId="3" borderId="26" xfId="6" applyFont="1" applyFill="1" applyBorder="1" applyAlignment="1">
      <alignment horizontal="center" vertical="center" wrapText="1"/>
    </xf>
    <xf numFmtId="0" fontId="21" fillId="7" borderId="31" xfId="0" applyFont="1" applyFill="1" applyBorder="1" applyAlignment="1">
      <alignment horizontal="center" vertical="center" textRotation="90" wrapText="1"/>
    </xf>
    <xf numFmtId="0" fontId="21" fillId="0" borderId="0" xfId="0" applyFont="1" applyAlignment="1">
      <alignment horizontal="center" vertical="center" textRotation="90" wrapText="1"/>
    </xf>
    <xf numFmtId="0" fontId="3" fillId="0" borderId="0" xfId="0" applyFont="1"/>
    <xf numFmtId="0" fontId="22" fillId="0" borderId="0" xfId="0" applyFont="1"/>
    <xf numFmtId="0" fontId="26" fillId="2" borderId="0" xfId="6" applyFont="1" applyFill="1" applyAlignment="1">
      <alignment vertical="center"/>
    </xf>
    <xf numFmtId="14" fontId="0" fillId="0" borderId="0" xfId="0" applyNumberFormat="1"/>
    <xf numFmtId="0" fontId="9" fillId="2" borderId="0" xfId="6" applyFont="1" applyFill="1" applyAlignment="1">
      <alignment horizontal="left" vertical="center"/>
    </xf>
    <xf numFmtId="14" fontId="6" fillId="0" borderId="0" xfId="0" applyNumberFormat="1" applyFont="1"/>
    <xf numFmtId="2" fontId="29" fillId="9" borderId="19" xfId="18" applyNumberFormat="1" applyFont="1" applyFill="1" applyBorder="1" applyAlignment="1">
      <alignment horizontal="center" vertical="center" wrapText="1"/>
    </xf>
    <xf numFmtId="2" fontId="29" fillId="9" borderId="20" xfId="18" applyNumberFormat="1" applyFont="1" applyFill="1" applyBorder="1" applyAlignment="1">
      <alignment horizontal="center" vertical="center" wrapText="1"/>
    </xf>
    <xf numFmtId="14" fontId="0" fillId="0" borderId="0" xfId="0" applyNumberFormat="1" applyAlignment="1">
      <alignment horizontal="center"/>
    </xf>
    <xf numFmtId="14" fontId="8" fillId="0" borderId="0" xfId="0" applyNumberFormat="1" applyFont="1" applyAlignment="1">
      <alignment horizontal="center"/>
    </xf>
    <xf numFmtId="0" fontId="14" fillId="0" borderId="0" xfId="5"/>
    <xf numFmtId="0" fontId="2" fillId="10" borderId="0" xfId="5" applyFont="1" applyFill="1"/>
    <xf numFmtId="0" fontId="35" fillId="0" borderId="7" xfId="5" applyFont="1" applyBorder="1"/>
    <xf numFmtId="0" fontId="36" fillId="0" borderId="7" xfId="5" applyFont="1" applyBorder="1"/>
    <xf numFmtId="0" fontId="14" fillId="0" borderId="7" xfId="5" applyBorder="1"/>
    <xf numFmtId="0" fontId="37" fillId="0" borderId="7" xfId="5" applyFont="1" applyBorder="1"/>
    <xf numFmtId="0" fontId="39" fillId="10" borderId="0" xfId="5" applyFont="1" applyFill="1"/>
    <xf numFmtId="0" fontId="1" fillId="0" borderId="7" xfId="5" applyFont="1" applyBorder="1"/>
    <xf numFmtId="0" fontId="39" fillId="0" borderId="7" xfId="5" applyFont="1" applyBorder="1"/>
    <xf numFmtId="182" fontId="0" fillId="0" borderId="0" xfId="4" applyNumberFormat="1" applyFont="1"/>
    <xf numFmtId="0" fontId="37" fillId="0" borderId="39" xfId="0" applyFont="1" applyBorder="1" applyAlignment="1">
      <alignment wrapText="1"/>
    </xf>
    <xf numFmtId="0" fontId="37" fillId="0" borderId="32" xfId="0" applyFont="1" applyBorder="1" applyAlignment="1">
      <alignment wrapText="1"/>
    </xf>
    <xf numFmtId="0" fontId="37" fillId="0" borderId="32" xfId="0" applyFont="1" applyBorder="1" applyAlignment="1">
      <alignment vertical="center" wrapText="1"/>
    </xf>
    <xf numFmtId="184" fontId="43" fillId="0" borderId="41" xfId="0" applyNumberFormat="1" applyFont="1" applyBorder="1" applyAlignment="1">
      <alignment horizontal="center" vertical="center"/>
    </xf>
    <xf numFmtId="0" fontId="37" fillId="0" borderId="31" xfId="0" applyFont="1" applyBorder="1" applyAlignment="1">
      <alignment horizontal="center" vertical="center"/>
    </xf>
    <xf numFmtId="175" fontId="37" fillId="0" borderId="31" xfId="0" applyNumberFormat="1" applyFont="1" applyBorder="1" applyAlignment="1">
      <alignment horizontal="center" vertical="center"/>
    </xf>
    <xf numFmtId="0" fontId="37" fillId="0" borderId="31" xfId="0" applyFont="1" applyBorder="1"/>
    <xf numFmtId="0" fontId="37" fillId="0" borderId="40" xfId="0" applyFont="1" applyBorder="1" applyAlignment="1">
      <alignment horizontal="center" vertical="center"/>
    </xf>
    <xf numFmtId="183" fontId="37" fillId="0" borderId="31" xfId="0" applyNumberFormat="1" applyFont="1" applyBorder="1" applyAlignment="1">
      <alignment horizontal="center" vertical="center"/>
    </xf>
    <xf numFmtId="184" fontId="44" fillId="0" borderId="31" xfId="0" applyNumberFormat="1" applyFont="1" applyBorder="1" applyAlignment="1">
      <alignment horizontal="center" vertical="center"/>
    </xf>
    <xf numFmtId="2" fontId="44" fillId="0" borderId="40" xfId="0" applyNumberFormat="1" applyFont="1" applyBorder="1" applyAlignment="1">
      <alignment horizontal="center" vertical="center"/>
    </xf>
    <xf numFmtId="2" fontId="44" fillId="0" borderId="44" xfId="0" applyNumberFormat="1" applyFont="1" applyBorder="1" applyAlignment="1">
      <alignment horizontal="center" vertical="center"/>
    </xf>
    <xf numFmtId="184" fontId="44" fillId="0" borderId="45" xfId="0" applyNumberFormat="1" applyFont="1" applyBorder="1" applyAlignment="1">
      <alignment horizontal="center" vertical="center"/>
    </xf>
    <xf numFmtId="0" fontId="37" fillId="0" borderId="45" xfId="0" applyFont="1" applyBorder="1" applyAlignment="1">
      <alignment horizontal="center" vertical="center"/>
    </xf>
    <xf numFmtId="0" fontId="14" fillId="0" borderId="0" xfId="0" applyFont="1"/>
    <xf numFmtId="184" fontId="14" fillId="0" borderId="0" xfId="0" applyNumberFormat="1" applyFont="1"/>
    <xf numFmtId="0" fontId="14" fillId="0" borderId="0" xfId="0" applyFont="1" applyAlignment="1">
      <alignment wrapText="1"/>
    </xf>
    <xf numFmtId="0" fontId="3" fillId="0" borderId="0" xfId="22"/>
    <xf numFmtId="0" fontId="50" fillId="0" borderId="0" xfId="22" applyFont="1"/>
    <xf numFmtId="2" fontId="15" fillId="0" borderId="25" xfId="5" applyNumberFormat="1" applyFont="1" applyBorder="1" applyAlignment="1">
      <alignment horizontal="center" wrapText="1"/>
    </xf>
    <xf numFmtId="2" fontId="15" fillId="0" borderId="51" xfId="5" applyNumberFormat="1" applyFont="1" applyBorder="1" applyAlignment="1">
      <alignment horizontal="center" wrapText="1"/>
    </xf>
    <xf numFmtId="2" fontId="15" fillId="0" borderId="52" xfId="5" applyNumberFormat="1" applyFont="1" applyBorder="1" applyAlignment="1">
      <alignment horizontal="center" wrapText="1"/>
    </xf>
    <xf numFmtId="2" fontId="15" fillId="0" borderId="54" xfId="5" applyNumberFormat="1" applyFont="1" applyBorder="1" applyAlignment="1">
      <alignment horizontal="center" wrapText="1"/>
    </xf>
    <xf numFmtId="184" fontId="43" fillId="0" borderId="57" xfId="0" applyNumberFormat="1" applyFont="1" applyBorder="1" applyAlignment="1">
      <alignment horizontal="center" vertical="center"/>
    </xf>
    <xf numFmtId="182" fontId="14" fillId="0" borderId="58" xfId="4" applyNumberFormat="1" applyFont="1" applyBorder="1"/>
    <xf numFmtId="0" fontId="14" fillId="0" borderId="59" xfId="0" applyFont="1" applyBorder="1"/>
    <xf numFmtId="183" fontId="43" fillId="0" borderId="37" xfId="0" applyNumberFormat="1" applyFont="1" applyBorder="1" applyAlignment="1">
      <alignment horizontal="center" vertical="center"/>
    </xf>
    <xf numFmtId="183" fontId="43" fillId="0" borderId="38" xfId="0" applyNumberFormat="1" applyFont="1" applyBorder="1" applyAlignment="1">
      <alignment horizontal="center" vertical="center"/>
    </xf>
    <xf numFmtId="183" fontId="43" fillId="0" borderId="40" xfId="0" applyNumberFormat="1" applyFont="1" applyBorder="1" applyAlignment="1">
      <alignment horizontal="center" vertical="center"/>
    </xf>
    <xf numFmtId="183" fontId="43" fillId="0" borderId="41" xfId="0" applyNumberFormat="1" applyFont="1" applyBorder="1" applyAlignment="1">
      <alignment horizontal="center" vertical="center"/>
    </xf>
    <xf numFmtId="183" fontId="43" fillId="0" borderId="60" xfId="0" applyNumberFormat="1" applyFont="1" applyBorder="1" applyAlignment="1">
      <alignment horizontal="center" vertical="center"/>
    </xf>
    <xf numFmtId="183" fontId="43" fillId="0" borderId="61" xfId="0" applyNumberFormat="1" applyFont="1" applyBorder="1" applyAlignment="1">
      <alignment horizontal="center" vertical="center"/>
    </xf>
    <xf numFmtId="186" fontId="37" fillId="0" borderId="31" xfId="0" applyNumberFormat="1" applyFont="1" applyBorder="1"/>
    <xf numFmtId="0" fontId="14" fillId="0" borderId="59" xfId="0" applyFont="1" applyBorder="1" applyAlignment="1">
      <alignment wrapText="1"/>
    </xf>
    <xf numFmtId="0" fontId="14" fillId="0" borderId="62" xfId="0" applyFont="1" applyBorder="1" applyAlignment="1">
      <alignment wrapText="1"/>
    </xf>
    <xf numFmtId="184" fontId="43" fillId="0" borderId="63" xfId="0" applyNumberFormat="1" applyFont="1" applyBorder="1" applyAlignment="1">
      <alignment horizontal="center" vertical="center"/>
    </xf>
    <xf numFmtId="184" fontId="43" fillId="0" borderId="38" xfId="0" applyNumberFormat="1" applyFont="1" applyBorder="1" applyAlignment="1">
      <alignment horizontal="center" vertical="center"/>
    </xf>
    <xf numFmtId="184" fontId="43" fillId="0" borderId="64" xfId="0" applyNumberFormat="1" applyFont="1" applyBorder="1" applyAlignment="1">
      <alignment horizontal="center" vertical="center"/>
    </xf>
    <xf numFmtId="184" fontId="43" fillId="0" borderId="61" xfId="0" applyNumberFormat="1" applyFont="1" applyBorder="1" applyAlignment="1">
      <alignment horizontal="center" vertical="center"/>
    </xf>
    <xf numFmtId="184" fontId="43" fillId="0" borderId="43" xfId="0" applyNumberFormat="1" applyFont="1" applyBorder="1" applyAlignment="1">
      <alignment horizontal="center" vertical="center"/>
    </xf>
    <xf numFmtId="184" fontId="43" fillId="0" borderId="37" xfId="0" applyNumberFormat="1" applyFont="1" applyBorder="1" applyAlignment="1">
      <alignment horizontal="center" vertical="center"/>
    </xf>
    <xf numFmtId="184" fontId="43" fillId="0" borderId="40" xfId="0" applyNumberFormat="1" applyFont="1" applyBorder="1" applyAlignment="1">
      <alignment horizontal="center" vertical="center"/>
    </xf>
    <xf numFmtId="184" fontId="43" fillId="0" borderId="60" xfId="0" applyNumberFormat="1" applyFont="1" applyBorder="1" applyAlignment="1">
      <alignment horizontal="center" vertical="center"/>
    </xf>
    <xf numFmtId="2" fontId="15" fillId="0" borderId="68" xfId="5" applyNumberFormat="1" applyFont="1" applyBorder="1" applyAlignment="1">
      <alignment horizontal="center" wrapText="1"/>
    </xf>
    <xf numFmtId="2" fontId="15" fillId="0" borderId="69" xfId="5" applyNumberFormat="1" applyFont="1" applyBorder="1" applyAlignment="1">
      <alignment horizontal="center" wrapText="1"/>
    </xf>
    <xf numFmtId="2" fontId="15" fillId="0" borderId="70" xfId="5" applyNumberFormat="1" applyFont="1" applyBorder="1" applyAlignment="1">
      <alignment horizontal="center" wrapText="1"/>
    </xf>
    <xf numFmtId="0" fontId="0" fillId="0" borderId="0" xfId="0" applyAlignment="1">
      <alignment horizontal="center" vertical="center"/>
    </xf>
    <xf numFmtId="0" fontId="0" fillId="0" borderId="0" xfId="0" applyAlignment="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vertical="center"/>
    </xf>
    <xf numFmtId="0" fontId="0" fillId="0" borderId="47" xfId="0" applyBorder="1" applyAlignment="1">
      <alignment horizontal="center" vertical="center"/>
    </xf>
    <xf numFmtId="0" fontId="54" fillId="0" borderId="0" xfId="0" applyFont="1" applyAlignment="1">
      <alignment horizontal="center" vertical="center"/>
    </xf>
    <xf numFmtId="0" fontId="0" fillId="0" borderId="48" xfId="0" applyBorder="1"/>
    <xf numFmtId="0" fontId="55" fillId="0" borderId="0" xfId="0" applyFont="1" applyAlignment="1">
      <alignment horizontal="center" vertical="center"/>
    </xf>
    <xf numFmtId="0" fontId="55" fillId="0" borderId="0" xfId="0" applyFont="1" applyAlignment="1">
      <alignment horizontal="center" vertical="center" wrapText="1"/>
    </xf>
    <xf numFmtId="187" fontId="56" fillId="0" borderId="0" xfId="0" applyNumberFormat="1" applyFont="1" applyAlignment="1">
      <alignment horizontal="center" vertical="center"/>
    </xf>
    <xf numFmtId="0" fontId="57" fillId="0" borderId="0" xfId="0" applyFont="1" applyAlignment="1">
      <alignment horizontal="justify" vertical="center" wrapText="1"/>
    </xf>
    <xf numFmtId="0" fontId="0" fillId="0" borderId="48" xfId="0" applyBorder="1" applyAlignment="1">
      <alignment wrapText="1"/>
    </xf>
    <xf numFmtId="0" fontId="0" fillId="0" borderId="0" xfId="0" applyAlignment="1">
      <alignment wrapText="1"/>
    </xf>
    <xf numFmtId="0" fontId="0" fillId="0" borderId="56" xfId="0" applyBorder="1" applyAlignment="1">
      <alignment horizontal="center" vertical="center"/>
    </xf>
    <xf numFmtId="0" fontId="0" fillId="0" borderId="74" xfId="0" applyBorder="1" applyAlignment="1">
      <alignment vertical="center"/>
    </xf>
    <xf numFmtId="0" fontId="0" fillId="0" borderId="75" xfId="0" applyBorder="1" applyAlignment="1">
      <alignment vertical="center"/>
    </xf>
    <xf numFmtId="0" fontId="59" fillId="0" borderId="65" xfId="0" applyFont="1" applyBorder="1" applyAlignment="1">
      <alignment horizontal="center"/>
    </xf>
    <xf numFmtId="0" fontId="0" fillId="0" borderId="65" xfId="0" applyBorder="1" applyAlignment="1">
      <alignment horizontal="center" vertical="center"/>
    </xf>
    <xf numFmtId="0" fontId="0" fillId="0" borderId="47" xfId="0" applyBorder="1"/>
    <xf numFmtId="0" fontId="59" fillId="0" borderId="0" xfId="0" applyFont="1" applyAlignment="1">
      <alignment vertical="center"/>
    </xf>
    <xf numFmtId="0" fontId="0" fillId="0" borderId="50" xfId="0" applyBorder="1" applyAlignment="1">
      <alignment vertical="center"/>
    </xf>
    <xf numFmtId="0" fontId="0" fillId="0" borderId="50" xfId="0" applyBorder="1" applyAlignment="1">
      <alignment horizontal="center" vertical="center"/>
    </xf>
    <xf numFmtId="0" fontId="0" fillId="0" borderId="77" xfId="0" applyBorder="1" applyAlignment="1">
      <alignment horizontal="center" vertical="center"/>
    </xf>
    <xf numFmtId="0" fontId="0" fillId="0" borderId="73" xfId="0" applyBorder="1" applyAlignment="1">
      <alignment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16" borderId="56" xfId="0" applyFill="1" applyBorder="1" applyAlignment="1">
      <alignment vertical="center"/>
    </xf>
    <xf numFmtId="0" fontId="0" fillId="16" borderId="56" xfId="0" applyFill="1" applyBorder="1" applyAlignment="1">
      <alignment horizontal="center" vertical="center"/>
    </xf>
    <xf numFmtId="0" fontId="2" fillId="16" borderId="56" xfId="0" applyFont="1" applyFill="1" applyBorder="1" applyAlignment="1">
      <alignment horizontal="center" vertical="center"/>
    </xf>
    <xf numFmtId="0" fontId="0" fillId="0" borderId="76" xfId="0" applyBorder="1" applyAlignment="1">
      <alignment vertical="center"/>
    </xf>
    <xf numFmtId="0" fontId="0" fillId="0" borderId="65" xfId="0" applyBorder="1" applyAlignment="1">
      <alignment horizontal="left" vertical="center"/>
    </xf>
    <xf numFmtId="0" fontId="0" fillId="0" borderId="50" xfId="0" applyBorder="1" applyAlignment="1">
      <alignment horizontal="left" vertical="center"/>
    </xf>
    <xf numFmtId="0" fontId="0" fillId="0" borderId="77" xfId="0" applyBorder="1" applyAlignment="1">
      <alignment horizontal="left" vertical="center"/>
    </xf>
    <xf numFmtId="0" fontId="0" fillId="0" borderId="0" xfId="0" applyAlignment="1">
      <alignment horizontal="left" vertical="center"/>
    </xf>
    <xf numFmtId="0" fontId="0" fillId="0" borderId="74" xfId="0" applyBorder="1" applyAlignment="1">
      <alignment horizontal="left" vertical="center"/>
    </xf>
    <xf numFmtId="0" fontId="0" fillId="0" borderId="75" xfId="0" applyBorder="1" applyAlignment="1">
      <alignment horizontal="left" vertical="center"/>
    </xf>
    <xf numFmtId="0" fontId="0" fillId="0" borderId="65" xfId="0" applyBorder="1" applyAlignment="1">
      <alignment vertical="center"/>
    </xf>
    <xf numFmtId="0" fontId="0" fillId="0" borderId="77" xfId="0" applyBorder="1" applyAlignment="1">
      <alignment vertical="center"/>
    </xf>
    <xf numFmtId="49" fontId="1" fillId="16" borderId="56" xfId="24" applyNumberFormat="1" applyFont="1" applyFill="1" applyBorder="1" applyAlignment="1">
      <alignment horizontal="center" vertical="center"/>
    </xf>
    <xf numFmtId="9" fontId="1" fillId="0" borderId="65" xfId="24" applyFont="1" applyBorder="1" applyAlignment="1">
      <alignment horizontal="center" vertical="center"/>
    </xf>
    <xf numFmtId="0" fontId="0" fillId="0" borderId="56" xfId="0" applyBorder="1" applyAlignment="1">
      <alignment horizontal="left" vertical="center"/>
    </xf>
    <xf numFmtId="0" fontId="0" fillId="0" borderId="50" xfId="0" applyBorder="1" applyAlignment="1">
      <alignment horizontal="left" vertical="center" wrapText="1"/>
    </xf>
    <xf numFmtId="9" fontId="1" fillId="0" borderId="50" xfId="24" applyFont="1" applyBorder="1" applyAlignment="1">
      <alignment vertical="center"/>
    </xf>
    <xf numFmtId="9" fontId="1" fillId="0" borderId="77" xfId="24" applyFont="1" applyBorder="1" applyAlignment="1">
      <alignment horizontal="center" vertical="center"/>
    </xf>
    <xf numFmtId="0" fontId="0" fillId="0" borderId="0" xfId="0" applyAlignment="1">
      <alignment horizontal="left" vertical="center" wrapText="1"/>
    </xf>
    <xf numFmtId="9" fontId="1" fillId="0" borderId="0" xfId="24" applyFont="1" applyBorder="1" applyAlignment="1">
      <alignment vertical="center"/>
    </xf>
    <xf numFmtId="9" fontId="1" fillId="0" borderId="0" xfId="24" applyFont="1" applyBorder="1" applyAlignment="1">
      <alignment horizontal="center" vertical="center"/>
    </xf>
    <xf numFmtId="0" fontId="61" fillId="0" borderId="0" xfId="0" applyFont="1" applyAlignment="1">
      <alignment horizontal="left" vertical="center" wrapText="1"/>
    </xf>
    <xf numFmtId="0" fontId="61" fillId="0" borderId="50" xfId="0" applyFont="1" applyBorder="1" applyAlignment="1">
      <alignment horizontal="left" vertical="center" wrapText="1"/>
    </xf>
    <xf numFmtId="0" fontId="61" fillId="0" borderId="74" xfId="0" applyFont="1" applyBorder="1" applyAlignment="1">
      <alignment horizontal="left" vertical="center" wrapText="1"/>
    </xf>
    <xf numFmtId="0" fontId="0" fillId="0" borderId="0" xfId="0" applyAlignment="1">
      <alignment horizontal="right" vertical="center" wrapText="1"/>
    </xf>
    <xf numFmtId="0" fontId="0" fillId="16" borderId="56" xfId="0" applyFill="1" applyBorder="1" applyAlignment="1">
      <alignment horizontal="center" vertical="center" wrapText="1"/>
    </xf>
    <xf numFmtId="0" fontId="0" fillId="0" borderId="75" xfId="0" applyBorder="1" applyAlignment="1">
      <alignment horizontal="left" vertical="center" wrapText="1"/>
    </xf>
    <xf numFmtId="0" fontId="0" fillId="0" borderId="65" xfId="0" applyBorder="1" applyAlignment="1">
      <alignment horizontal="left" vertical="center" wrapText="1"/>
    </xf>
    <xf numFmtId="0" fontId="62" fillId="0" borderId="71" xfId="0" applyFont="1" applyBorder="1" applyAlignment="1">
      <alignment vertical="center"/>
    </xf>
    <xf numFmtId="0" fontId="62" fillId="0" borderId="72" xfId="0" applyFont="1" applyBorder="1" applyAlignment="1">
      <alignment vertical="center"/>
    </xf>
    <xf numFmtId="0" fontId="62" fillId="0" borderId="57" xfId="0" applyFont="1" applyBorder="1" applyAlignment="1">
      <alignment horizontal="center" vertical="center"/>
    </xf>
    <xf numFmtId="0" fontId="0" fillId="0" borderId="57" xfId="0" applyBorder="1" applyAlignment="1">
      <alignment horizontal="center" vertical="center"/>
    </xf>
    <xf numFmtId="0" fontId="63" fillId="0" borderId="0" xfId="0" applyFont="1"/>
    <xf numFmtId="3" fontId="64" fillId="0" borderId="0" xfId="0" applyNumberFormat="1" applyFont="1"/>
    <xf numFmtId="3" fontId="0" fillId="0" borderId="0" xfId="0" applyNumberFormat="1"/>
    <xf numFmtId="0" fontId="0" fillId="0" borderId="16" xfId="0" applyBorder="1" applyAlignment="1">
      <alignment horizontal="center" vertical="center"/>
    </xf>
    <xf numFmtId="0" fontId="0" fillId="0" borderId="6" xfId="0" applyBorder="1" applyAlignment="1">
      <alignment horizontal="center" vertical="center"/>
    </xf>
    <xf numFmtId="0" fontId="65" fillId="0" borderId="6" xfId="0" applyFont="1" applyBorder="1" applyAlignment="1">
      <alignment vertical="center"/>
    </xf>
    <xf numFmtId="0" fontId="65" fillId="0" borderId="17" xfId="0" applyFont="1" applyBorder="1"/>
    <xf numFmtId="0" fontId="65" fillId="0" borderId="0" xfId="0" applyFont="1"/>
    <xf numFmtId="15" fontId="3" fillId="0" borderId="31" xfId="0" applyNumberFormat="1" applyFont="1" applyBorder="1" applyAlignment="1">
      <alignment horizontal="center" vertical="center"/>
    </xf>
    <xf numFmtId="182" fontId="28" fillId="8" borderId="15" xfId="6" applyNumberFormat="1" applyFont="1" applyFill="1" applyBorder="1" applyAlignment="1">
      <alignment horizontal="center" vertical="center"/>
    </xf>
    <xf numFmtId="0" fontId="2" fillId="0" borderId="71" xfId="0" applyFont="1" applyBorder="1" applyAlignment="1">
      <alignment vertical="center"/>
    </xf>
    <xf numFmtId="0" fontId="2" fillId="0" borderId="72" xfId="0" applyFont="1" applyBorder="1" applyAlignment="1">
      <alignment vertical="center"/>
    </xf>
    <xf numFmtId="0" fontId="2" fillId="0" borderId="57" xfId="0" applyFont="1" applyBorder="1" applyAlignment="1">
      <alignment vertical="center"/>
    </xf>
    <xf numFmtId="0" fontId="2" fillId="0" borderId="74" xfId="0" applyFont="1" applyBorder="1" applyAlignment="1">
      <alignment vertical="center"/>
    </xf>
    <xf numFmtId="0" fontId="1" fillId="0" borderId="0" xfId="4" applyAlignment="1">
      <alignment horizontal="center"/>
    </xf>
    <xf numFmtId="0" fontId="9" fillId="2" borderId="0" xfId="3" applyFont="1" applyFill="1" applyAlignment="1">
      <alignment horizontal="center" vertical="center"/>
    </xf>
    <xf numFmtId="0" fontId="66" fillId="0" borderId="24" xfId="4" applyFont="1" applyBorder="1" applyAlignment="1">
      <alignment horizontal="center" vertical="center"/>
    </xf>
    <xf numFmtId="0" fontId="66" fillId="0" borderId="25" xfId="4" applyFont="1" applyBorder="1" applyAlignment="1">
      <alignment horizontal="center" vertical="center"/>
    </xf>
    <xf numFmtId="2" fontId="1" fillId="0" borderId="0" xfId="4" applyNumberFormat="1"/>
    <xf numFmtId="0" fontId="11" fillId="6" borderId="8" xfId="6" applyFont="1" applyFill="1" applyBorder="1" applyAlignment="1">
      <alignment horizontal="center" vertical="center" wrapText="1"/>
    </xf>
    <xf numFmtId="2" fontId="15" fillId="0" borderId="82" xfId="5" applyNumberFormat="1" applyFont="1" applyBorder="1" applyAlignment="1">
      <alignment horizontal="center" wrapText="1"/>
    </xf>
    <xf numFmtId="2" fontId="15" fillId="0" borderId="83" xfId="5" applyNumberFormat="1" applyFont="1" applyBorder="1" applyAlignment="1">
      <alignment horizontal="center" wrapText="1"/>
    </xf>
    <xf numFmtId="2" fontId="15" fillId="0" borderId="84" xfId="5" applyNumberFormat="1" applyFont="1" applyBorder="1" applyAlignment="1">
      <alignment horizontal="center" wrapText="1"/>
    </xf>
    <xf numFmtId="0" fontId="11" fillId="6" borderId="26" xfId="6" applyFont="1" applyFill="1" applyBorder="1" applyAlignment="1">
      <alignment horizontal="center" vertical="center" wrapText="1"/>
    </xf>
    <xf numFmtId="183" fontId="43" fillId="0" borderId="79" xfId="0" applyNumberFormat="1" applyFont="1" applyBorder="1" applyAlignment="1">
      <alignment horizontal="center" vertical="center"/>
    </xf>
    <xf numFmtId="183" fontId="43" fillId="0" borderId="80" xfId="0" applyNumberFormat="1" applyFont="1" applyBorder="1" applyAlignment="1">
      <alignment horizontal="center" vertical="center"/>
    </xf>
    <xf numFmtId="2" fontId="15" fillId="0" borderId="86" xfId="5" applyNumberFormat="1" applyFont="1" applyBorder="1" applyAlignment="1">
      <alignment horizontal="center" wrapText="1"/>
    </xf>
    <xf numFmtId="2" fontId="15" fillId="0" borderId="87" xfId="5" applyNumberFormat="1" applyFont="1" applyBorder="1" applyAlignment="1">
      <alignment horizontal="center" wrapText="1"/>
    </xf>
    <xf numFmtId="2" fontId="15" fillId="0" borderId="88" xfId="5" applyNumberFormat="1" applyFont="1" applyBorder="1" applyAlignment="1">
      <alignment horizontal="center" wrapText="1"/>
    </xf>
    <xf numFmtId="17" fontId="2" fillId="0" borderId="43" xfId="0" applyNumberFormat="1" applyFont="1" applyBorder="1" applyAlignment="1">
      <alignment horizontal="center" vertical="center"/>
    </xf>
    <xf numFmtId="0" fontId="3" fillId="14" borderId="71" xfId="0" applyFont="1" applyFill="1" applyBorder="1"/>
    <xf numFmtId="0" fontId="3" fillId="14" borderId="72" xfId="0" applyFont="1" applyFill="1" applyBorder="1"/>
    <xf numFmtId="0" fontId="22" fillId="14" borderId="72" xfId="0" applyFont="1" applyFill="1" applyBorder="1"/>
    <xf numFmtId="176" fontId="23" fillId="14" borderId="72" xfId="0" applyNumberFormat="1" applyFont="1" applyFill="1" applyBorder="1" applyAlignment="1">
      <alignment horizontal="right"/>
    </xf>
    <xf numFmtId="175" fontId="3" fillId="14" borderId="72" xfId="0" applyNumberFormat="1" applyFont="1" applyFill="1" applyBorder="1"/>
    <xf numFmtId="2" fontId="3" fillId="14" borderId="72" xfId="0" applyNumberFormat="1" applyFont="1" applyFill="1" applyBorder="1"/>
    <xf numFmtId="175" fontId="3" fillId="14" borderId="43" xfId="0" applyNumberFormat="1" applyFont="1" applyFill="1" applyBorder="1"/>
    <xf numFmtId="184" fontId="0" fillId="0" borderId="0" xfId="0" applyNumberFormat="1"/>
    <xf numFmtId="0" fontId="71" fillId="20" borderId="9" xfId="3" applyFont="1" applyFill="1" applyBorder="1" applyAlignment="1">
      <alignment vertical="center" wrapText="1"/>
    </xf>
    <xf numFmtId="0" fontId="73" fillId="21" borderId="19" xfId="3" applyFont="1" applyFill="1" applyBorder="1" applyAlignment="1">
      <alignment horizontal="center" vertical="center" wrapText="1"/>
    </xf>
    <xf numFmtId="2" fontId="15" fillId="0" borderId="3" xfId="3" applyNumberFormat="1" applyFont="1" applyBorder="1" applyAlignment="1">
      <alignment horizontal="center" vertical="center"/>
    </xf>
    <xf numFmtId="2" fontId="15" fillId="0" borderId="2" xfId="3" applyNumberFormat="1" applyFont="1" applyBorder="1" applyAlignment="1">
      <alignment horizontal="center" vertical="center"/>
    </xf>
    <xf numFmtId="2" fontId="15" fillId="0" borderId="5" xfId="3" applyNumberFormat="1" applyFont="1" applyBorder="1" applyAlignment="1">
      <alignment horizontal="center" vertical="center"/>
    </xf>
    <xf numFmtId="2" fontId="15" fillId="0" borderId="98" xfId="5" applyNumberFormat="1" applyFont="1" applyBorder="1" applyAlignment="1">
      <alignment horizontal="center" wrapText="1"/>
    </xf>
    <xf numFmtId="0" fontId="73" fillId="21" borderId="20" xfId="3" applyFont="1" applyFill="1" applyBorder="1" applyAlignment="1">
      <alignment horizontal="center" vertical="center" wrapText="1"/>
    </xf>
    <xf numFmtId="0" fontId="73" fillId="21" borderId="21" xfId="3" applyFont="1" applyFill="1" applyBorder="1" applyAlignment="1">
      <alignment horizontal="center" vertical="center" wrapText="1"/>
    </xf>
    <xf numFmtId="2" fontId="15" fillId="0" borderId="99" xfId="5" applyNumberFormat="1" applyFont="1" applyBorder="1" applyAlignment="1">
      <alignment horizontal="center" wrapText="1"/>
    </xf>
    <xf numFmtId="37" fontId="69" fillId="18" borderId="31" xfId="21" applyNumberFormat="1" applyFont="1" applyFill="1" applyBorder="1" applyAlignment="1">
      <alignment horizontal="center" vertical="center"/>
    </xf>
    <xf numFmtId="3" fontId="69" fillId="18" borderId="31" xfId="21" applyNumberFormat="1" applyFont="1" applyFill="1" applyBorder="1" applyAlignment="1">
      <alignment horizontal="center" vertical="center"/>
    </xf>
    <xf numFmtId="175" fontId="15" fillId="0" borderId="2" xfId="5" applyNumberFormat="1" applyFont="1" applyBorder="1" applyAlignment="1">
      <alignment horizontal="center" wrapText="1"/>
    </xf>
    <xf numFmtId="175" fontId="15" fillId="0" borderId="52" xfId="5" applyNumberFormat="1" applyFont="1" applyBorder="1" applyAlignment="1">
      <alignment horizontal="center" wrapText="1"/>
    </xf>
    <xf numFmtId="175" fontId="15" fillId="0" borderId="27" xfId="5" applyNumberFormat="1" applyFont="1" applyBorder="1" applyAlignment="1">
      <alignment horizontal="center" wrapText="1"/>
    </xf>
    <xf numFmtId="175" fontId="15" fillId="0" borderId="5" xfId="5" applyNumberFormat="1" applyFont="1" applyBorder="1" applyAlignment="1">
      <alignment horizontal="center" wrapText="1"/>
    </xf>
    <xf numFmtId="175" fontId="15" fillId="0" borderId="53" xfId="5" applyNumberFormat="1" applyFont="1" applyBorder="1" applyAlignment="1">
      <alignment horizontal="center" wrapText="1"/>
    </xf>
    <xf numFmtId="175" fontId="15" fillId="0" borderId="54" xfId="5" applyNumberFormat="1" applyFont="1" applyBorder="1" applyAlignment="1">
      <alignment horizontal="center" wrapText="1"/>
    </xf>
    <xf numFmtId="175" fontId="15" fillId="0" borderId="3" xfId="5" applyNumberFormat="1" applyFont="1" applyBorder="1" applyAlignment="1">
      <alignment horizontal="center" wrapText="1"/>
    </xf>
    <xf numFmtId="175" fontId="15" fillId="0" borderId="51" xfId="5" applyNumberFormat="1" applyFont="1" applyBorder="1" applyAlignment="1">
      <alignment horizontal="center" wrapText="1"/>
    </xf>
    <xf numFmtId="175" fontId="15" fillId="0" borderId="87" xfId="5" applyNumberFormat="1" applyFont="1" applyBorder="1" applyAlignment="1">
      <alignment horizontal="center" wrapText="1"/>
    </xf>
    <xf numFmtId="175" fontId="15" fillId="0" borderId="84" xfId="5" applyNumberFormat="1" applyFont="1" applyBorder="1" applyAlignment="1">
      <alignment horizontal="center" wrapText="1"/>
    </xf>
    <xf numFmtId="175" fontId="15" fillId="0" borderId="69" xfId="5" applyNumberFormat="1" applyFont="1" applyBorder="1" applyAlignment="1">
      <alignment horizontal="center" wrapText="1"/>
    </xf>
    <xf numFmtId="175" fontId="15" fillId="0" borderId="83" xfId="5" applyNumberFormat="1" applyFont="1" applyBorder="1" applyAlignment="1">
      <alignment horizontal="center" wrapText="1"/>
    </xf>
    <xf numFmtId="175" fontId="15" fillId="0" borderId="70" xfId="5" applyNumberFormat="1" applyFont="1" applyBorder="1" applyAlignment="1">
      <alignment horizontal="center" wrapText="1"/>
    </xf>
    <xf numFmtId="175" fontId="15" fillId="0" borderId="68" xfId="5" applyNumberFormat="1" applyFont="1" applyBorder="1" applyAlignment="1">
      <alignment horizontal="center" wrapText="1"/>
    </xf>
    <xf numFmtId="175" fontId="17" fillId="0" borderId="19" xfId="3" applyNumberFormat="1" applyFont="1" applyBorder="1" applyAlignment="1">
      <alignment horizontal="center" vertical="center"/>
    </xf>
    <xf numFmtId="175" fontId="15" fillId="0" borderId="86" xfId="5" applyNumberFormat="1" applyFont="1" applyBorder="1" applyAlignment="1">
      <alignment horizontal="center" wrapText="1"/>
    </xf>
    <xf numFmtId="175" fontId="15" fillId="0" borderId="88" xfId="5" applyNumberFormat="1" applyFont="1" applyBorder="1" applyAlignment="1">
      <alignment horizontal="center" wrapText="1"/>
    </xf>
    <xf numFmtId="175" fontId="3" fillId="0" borderId="102" xfId="0" applyNumberFormat="1" applyFont="1" applyBorder="1"/>
    <xf numFmtId="15" fontId="13" fillId="0" borderId="24" xfId="3" applyNumberFormat="1" applyFont="1" applyBorder="1" applyAlignment="1">
      <alignment horizontal="center" vertical="center" wrapText="1"/>
    </xf>
    <xf numFmtId="0" fontId="12" fillId="3" borderId="103" xfId="3" applyFont="1" applyFill="1" applyBorder="1" applyAlignment="1">
      <alignment horizontal="center" vertical="center" wrapText="1"/>
    </xf>
    <xf numFmtId="175" fontId="0" fillId="0" borderId="69" xfId="0" applyNumberFormat="1" applyBorder="1"/>
    <xf numFmtId="191" fontId="11" fillId="18" borderId="96" xfId="3" applyNumberFormat="1" applyFont="1" applyFill="1" applyBorder="1" applyAlignment="1">
      <alignment horizontal="center" vertical="center"/>
    </xf>
    <xf numFmtId="14" fontId="1" fillId="0" borderId="0" xfId="0" applyNumberFormat="1" applyFont="1" applyAlignment="1">
      <alignment horizontal="center"/>
    </xf>
    <xf numFmtId="14" fontId="1" fillId="0" borderId="0" xfId="0" applyNumberFormat="1" applyFont="1"/>
    <xf numFmtId="1" fontId="1" fillId="0" borderId="0" xfId="0" applyNumberFormat="1" applyFont="1" applyAlignment="1">
      <alignment horizontal="center"/>
    </xf>
    <xf numFmtId="0" fontId="15" fillId="24" borderId="0" xfId="1" applyFont="1" applyFill="1" applyAlignment="1">
      <alignment vertical="center"/>
    </xf>
    <xf numFmtId="0" fontId="3" fillId="0" borderId="0" xfId="1"/>
    <xf numFmtId="0" fontId="17" fillId="12" borderId="107" xfId="1" applyFont="1" applyFill="1" applyBorder="1" applyAlignment="1">
      <alignment horizontal="center" vertical="center"/>
    </xf>
    <xf numFmtId="0" fontId="17" fillId="12" borderId="108" xfId="1" applyFont="1" applyFill="1" applyBorder="1" applyAlignment="1">
      <alignment horizontal="center" vertical="center"/>
    </xf>
    <xf numFmtId="0" fontId="17" fillId="12" borderId="109" xfId="1" applyFont="1" applyFill="1" applyBorder="1" applyAlignment="1">
      <alignment horizontal="center" vertical="center"/>
    </xf>
    <xf numFmtId="0" fontId="80" fillId="2" borderId="110" xfId="1" applyFont="1" applyFill="1" applyBorder="1" applyAlignment="1">
      <alignment horizontal="center" vertical="center"/>
    </xf>
    <xf numFmtId="0" fontId="81" fillId="2" borderId="111" xfId="1" applyFont="1" applyFill="1" applyBorder="1" applyAlignment="1">
      <alignment vertical="center"/>
    </xf>
    <xf numFmtId="0" fontId="81" fillId="2" borderId="56" xfId="1" applyFont="1" applyFill="1" applyBorder="1" applyAlignment="1">
      <alignment vertical="center"/>
    </xf>
    <xf numFmtId="0" fontId="81" fillId="2" borderId="56" xfId="1" applyFont="1" applyFill="1" applyBorder="1" applyAlignment="1">
      <alignment horizontal="center" vertical="center"/>
    </xf>
    <xf numFmtId="4" fontId="79" fillId="2" borderId="89" xfId="1" applyNumberFormat="1" applyFont="1" applyFill="1" applyBorder="1" applyAlignment="1">
      <alignment horizontal="center" vertical="center"/>
    </xf>
    <xf numFmtId="0" fontId="80" fillId="0" borderId="112" xfId="1" applyFont="1" applyBorder="1" applyAlignment="1">
      <alignment horizontal="center" vertical="center"/>
    </xf>
    <xf numFmtId="0" fontId="81" fillId="2" borderId="111" xfId="1" applyFont="1" applyFill="1" applyBorder="1" applyAlignment="1">
      <alignment horizontal="center" vertical="center"/>
    </xf>
    <xf numFmtId="4" fontId="81" fillId="0" borderId="49" xfId="1" applyNumberFormat="1" applyFont="1" applyBorder="1" applyAlignment="1">
      <alignment horizontal="center" vertical="center"/>
    </xf>
    <xf numFmtId="4" fontId="82" fillId="0" borderId="49" xfId="1" applyNumberFormat="1" applyFont="1" applyBorder="1" applyAlignment="1">
      <alignment horizontal="center" vertical="center"/>
    </xf>
    <xf numFmtId="0" fontId="80" fillId="0" borderId="110" xfId="1" applyFont="1" applyBorder="1" applyAlignment="1">
      <alignment horizontal="center" vertical="center"/>
    </xf>
    <xf numFmtId="4" fontId="81" fillId="0" borderId="111" xfId="1" applyNumberFormat="1" applyFont="1" applyBorder="1" applyAlignment="1">
      <alignment horizontal="center" vertical="center"/>
    </xf>
    <xf numFmtId="4" fontId="81" fillId="0" borderId="56" xfId="1" applyNumberFormat="1" applyFont="1" applyBorder="1" applyAlignment="1">
      <alignment horizontal="center" vertical="center"/>
    </xf>
    <xf numFmtId="4" fontId="83" fillId="2" borderId="89" xfId="1" applyNumberFormat="1" applyFont="1" applyFill="1" applyBorder="1" applyAlignment="1">
      <alignment horizontal="center" vertical="center"/>
    </xf>
    <xf numFmtId="0" fontId="80" fillId="0" borderId="113" xfId="1" applyFont="1" applyBorder="1" applyAlignment="1">
      <alignment horizontal="center" vertical="center"/>
    </xf>
    <xf numFmtId="0" fontId="84" fillId="24" borderId="0" xfId="1" applyFont="1" applyFill="1" applyAlignment="1">
      <alignment horizontal="left" vertical="center"/>
    </xf>
    <xf numFmtId="0" fontId="3" fillId="24" borderId="0" xfId="1" applyFill="1" applyAlignment="1">
      <alignment vertical="center"/>
    </xf>
    <xf numFmtId="4" fontId="3" fillId="24" borderId="0" xfId="1" applyNumberFormat="1" applyFill="1" applyAlignment="1">
      <alignment vertical="center"/>
    </xf>
    <xf numFmtId="175" fontId="3" fillId="0" borderId="56" xfId="0" applyNumberFormat="1" applyFont="1" applyBorder="1"/>
    <xf numFmtId="175" fontId="3" fillId="9" borderId="56" xfId="0" applyNumberFormat="1" applyFont="1" applyFill="1" applyBorder="1"/>
    <xf numFmtId="0" fontId="2" fillId="0" borderId="115" xfId="0" applyFont="1" applyBorder="1" applyAlignment="1">
      <alignment horizontal="center" vertical="center" wrapText="1"/>
    </xf>
    <xf numFmtId="0" fontId="2" fillId="0" borderId="49" xfId="0" applyFont="1" applyBorder="1" applyAlignment="1">
      <alignment horizontal="center" vertical="center" wrapText="1"/>
    </xf>
    <xf numFmtId="0" fontId="2" fillId="0" borderId="116" xfId="0" applyFont="1" applyBorder="1" applyAlignment="1">
      <alignment horizontal="center" vertical="center" wrapText="1"/>
    </xf>
    <xf numFmtId="0" fontId="2" fillId="27" borderId="26" xfId="0" applyFont="1" applyFill="1" applyBorder="1" applyAlignment="1">
      <alignment horizontal="center" vertical="center" wrapText="1"/>
    </xf>
    <xf numFmtId="0" fontId="2" fillId="25" borderId="19" xfId="0" applyFont="1" applyFill="1" applyBorder="1" applyAlignment="1">
      <alignment horizontal="center" vertical="center" wrapText="1"/>
    </xf>
    <xf numFmtId="0" fontId="2" fillId="25" borderId="20" xfId="0" applyFont="1" applyFill="1" applyBorder="1" applyAlignment="1">
      <alignment horizontal="center" vertical="center" wrapText="1"/>
    </xf>
    <xf numFmtId="0" fontId="2" fillId="25" borderId="15" xfId="0" applyFont="1" applyFill="1" applyBorder="1" applyAlignment="1">
      <alignment horizontal="center" vertical="center" wrapText="1"/>
    </xf>
    <xf numFmtId="0" fontId="2" fillId="25" borderId="10" xfId="0" applyFont="1" applyFill="1" applyBorder="1" applyAlignment="1">
      <alignment horizontal="center" vertical="center" wrapText="1"/>
    </xf>
    <xf numFmtId="0" fontId="2" fillId="26" borderId="16" xfId="0" applyFont="1" applyFill="1" applyBorder="1" applyAlignment="1">
      <alignment horizontal="center" vertical="center" wrapText="1"/>
    </xf>
    <xf numFmtId="0" fontId="2" fillId="26" borderId="26" xfId="0" applyFont="1" applyFill="1" applyBorder="1" applyAlignment="1">
      <alignment horizontal="center" vertical="center" wrapText="1"/>
    </xf>
    <xf numFmtId="0" fontId="2" fillId="27" borderId="47" xfId="0" applyFont="1" applyFill="1" applyBorder="1" applyAlignment="1">
      <alignment horizontal="center" vertical="center" wrapText="1"/>
    </xf>
    <xf numFmtId="0" fontId="0" fillId="25" borderId="108" xfId="0" applyFill="1" applyBorder="1" applyAlignment="1">
      <alignment horizontal="center" vertical="center" wrapText="1"/>
    </xf>
    <xf numFmtId="0" fontId="0" fillId="25" borderId="109" xfId="0" applyFill="1" applyBorder="1" applyAlignment="1">
      <alignment horizontal="center" vertical="center" wrapText="1"/>
    </xf>
    <xf numFmtId="0" fontId="0" fillId="25" borderId="121" xfId="0" applyFill="1" applyBorder="1"/>
    <xf numFmtId="0" fontId="0" fillId="25" borderId="122" xfId="0" applyFill="1" applyBorder="1"/>
    <xf numFmtId="0" fontId="0" fillId="25" borderId="56" xfId="0" applyFill="1" applyBorder="1" applyAlignment="1">
      <alignment horizontal="center" vertical="center" wrapText="1"/>
    </xf>
    <xf numFmtId="0" fontId="0" fillId="25" borderId="89" xfId="0" applyFill="1" applyBorder="1" applyAlignment="1">
      <alignment horizontal="center" vertical="center" wrapText="1"/>
    </xf>
    <xf numFmtId="0" fontId="0" fillId="25" borderId="113" xfId="0" applyFill="1" applyBorder="1"/>
    <xf numFmtId="0" fontId="0" fillId="25" borderId="90" xfId="0" applyFill="1" applyBorder="1"/>
    <xf numFmtId="0" fontId="0" fillId="25" borderId="45" xfId="0" applyFill="1" applyBorder="1" applyAlignment="1">
      <alignment horizontal="center" vertical="center" wrapText="1"/>
    </xf>
    <xf numFmtId="0" fontId="0" fillId="25" borderId="46" xfId="0" applyFill="1" applyBorder="1" applyAlignment="1">
      <alignment horizontal="center" vertical="center" wrapText="1"/>
    </xf>
    <xf numFmtId="0" fontId="0" fillId="25" borderId="124" xfId="0" applyFill="1" applyBorder="1"/>
    <xf numFmtId="0" fontId="0" fillId="25" borderId="118" xfId="0" applyFill="1" applyBorder="1"/>
    <xf numFmtId="0" fontId="0" fillId="25" borderId="108" xfId="0" applyFill="1" applyBorder="1"/>
    <xf numFmtId="0" fontId="0" fillId="25" borderId="109" xfId="0" applyFill="1" applyBorder="1"/>
    <xf numFmtId="0" fontId="0" fillId="26" borderId="121" xfId="0" applyFill="1" applyBorder="1"/>
    <xf numFmtId="0" fontId="0" fillId="26" borderId="122" xfId="0" applyFill="1" applyBorder="1"/>
    <xf numFmtId="0" fontId="0" fillId="26" borderId="126" xfId="0" applyFill="1" applyBorder="1"/>
    <xf numFmtId="0" fontId="0" fillId="26" borderId="109" xfId="0" applyFill="1" applyBorder="1"/>
    <xf numFmtId="0" fontId="0" fillId="0" borderId="107" xfId="0" applyBorder="1"/>
    <xf numFmtId="0" fontId="0" fillId="0" borderId="108" xfId="0" applyBorder="1"/>
    <xf numFmtId="0" fontId="0" fillId="0" borderId="109" xfId="0" applyBorder="1"/>
    <xf numFmtId="0" fontId="0" fillId="27" borderId="107" xfId="0" applyFill="1" applyBorder="1"/>
    <xf numFmtId="0" fontId="0" fillId="27" borderId="108" xfId="0" applyFill="1" applyBorder="1"/>
    <xf numFmtId="0" fontId="0" fillId="27" borderId="109" xfId="0" applyFill="1" applyBorder="1"/>
    <xf numFmtId="0" fontId="0" fillId="25" borderId="56" xfId="0" applyFill="1" applyBorder="1"/>
    <xf numFmtId="0" fontId="0" fillId="25" borderId="89" xfId="0" applyFill="1" applyBorder="1"/>
    <xf numFmtId="0" fontId="0" fillId="26" borderId="113" xfId="0" applyFill="1" applyBorder="1"/>
    <xf numFmtId="0" fontId="0" fillId="26" borderId="90" xfId="0" applyFill="1" applyBorder="1"/>
    <xf numFmtId="0" fontId="0" fillId="26" borderId="57" xfId="0" applyFill="1" applyBorder="1"/>
    <xf numFmtId="0" fontId="0" fillId="26" borderId="89" xfId="0" applyFill="1" applyBorder="1"/>
    <xf numFmtId="0" fontId="0" fillId="0" borderId="111" xfId="0" applyBorder="1"/>
    <xf numFmtId="0" fontId="0" fillId="0" borderId="56" xfId="0" applyBorder="1"/>
    <xf numFmtId="0" fontId="0" fillId="0" borderId="89" xfId="0" applyBorder="1"/>
    <xf numFmtId="0" fontId="0" fillId="27" borderId="111" xfId="0" applyFill="1" applyBorder="1"/>
    <xf numFmtId="0" fontId="0" fillId="27" borderId="56" xfId="0" applyFill="1" applyBorder="1"/>
    <xf numFmtId="0" fontId="0" fillId="27" borderId="89" xfId="0" applyFill="1" applyBorder="1"/>
    <xf numFmtId="0" fontId="0" fillId="25" borderId="45" xfId="0" applyFill="1" applyBorder="1"/>
    <xf numFmtId="0" fontId="0" fillId="25" borderId="46" xfId="0" applyFill="1" applyBorder="1"/>
    <xf numFmtId="0" fontId="0" fillId="26" borderId="124" xfId="0" applyFill="1" applyBorder="1"/>
    <xf numFmtId="0" fontId="0" fillId="26" borderId="118" xfId="0" applyFill="1" applyBorder="1"/>
    <xf numFmtId="0" fontId="0" fillId="26" borderId="127" xfId="0" applyFill="1" applyBorder="1"/>
    <xf numFmtId="0" fontId="0" fillId="26" borderId="46" xfId="0" applyFill="1" applyBorder="1"/>
    <xf numFmtId="0" fontId="0" fillId="0" borderId="125" xfId="0" applyBorder="1"/>
    <xf numFmtId="0" fontId="0" fillId="0" borderId="45" xfId="0" applyBorder="1"/>
    <xf numFmtId="0" fontId="0" fillId="0" borderId="46" xfId="0" applyBorder="1"/>
    <xf numFmtId="0" fontId="0" fillId="27" borderId="125" xfId="0" applyFill="1" applyBorder="1"/>
    <xf numFmtId="0" fontId="0" fillId="27" borderId="45" xfId="0" applyFill="1" applyBorder="1"/>
    <xf numFmtId="0" fontId="0" fillId="27" borderId="46" xfId="0" applyFill="1" applyBorder="1"/>
    <xf numFmtId="0" fontId="0" fillId="25" borderId="111" xfId="0" applyFill="1" applyBorder="1"/>
    <xf numFmtId="0" fontId="0" fillId="25" borderId="125" xfId="0" applyFill="1" applyBorder="1"/>
    <xf numFmtId="0" fontId="0" fillId="25" borderId="107" xfId="0" applyFill="1" applyBorder="1"/>
    <xf numFmtId="0" fontId="0" fillId="25" borderId="126" xfId="0" applyFill="1" applyBorder="1"/>
    <xf numFmtId="0" fontId="0" fillId="25" borderId="57" xfId="0" applyFill="1" applyBorder="1"/>
    <xf numFmtId="0" fontId="0" fillId="25" borderId="127" xfId="0" applyFill="1" applyBorder="1"/>
    <xf numFmtId="2" fontId="0" fillId="25" borderId="107" xfId="0" applyNumberFormat="1" applyFill="1" applyBorder="1" applyAlignment="1">
      <alignment wrapText="1"/>
    </xf>
    <xf numFmtId="2" fontId="0" fillId="25" borderId="108" xfId="0" applyNumberFormat="1" applyFill="1" applyBorder="1" applyAlignment="1">
      <alignment wrapText="1"/>
    </xf>
    <xf numFmtId="2" fontId="0" fillId="25" borderId="111" xfId="0" applyNumberFormat="1" applyFill="1" applyBorder="1" applyAlignment="1">
      <alignment wrapText="1"/>
    </xf>
    <xf numFmtId="2" fontId="0" fillId="25" borderId="56" xfId="0" applyNumberFormat="1" applyFill="1" applyBorder="1" applyAlignment="1">
      <alignment wrapText="1"/>
    </xf>
    <xf numFmtId="2" fontId="0" fillId="25" borderId="107" xfId="0" applyNumberFormat="1" applyFill="1" applyBorder="1"/>
    <xf numFmtId="2" fontId="0" fillId="25" borderId="108" xfId="0" applyNumberFormat="1" applyFill="1" applyBorder="1"/>
    <xf numFmtId="2" fontId="0" fillId="25" borderId="111" xfId="0" applyNumberFormat="1" applyFill="1" applyBorder="1"/>
    <xf numFmtId="2" fontId="0" fillId="25" borderId="56" xfId="0" applyNumberFormat="1" applyFill="1" applyBorder="1"/>
    <xf numFmtId="2" fontId="0" fillId="25" borderId="45" xfId="0" applyNumberFormat="1" applyFill="1" applyBorder="1"/>
    <xf numFmtId="2" fontId="0" fillId="25" borderId="110" xfId="0" applyNumberFormat="1" applyFill="1" applyBorder="1"/>
    <xf numFmtId="2" fontId="0" fillId="25" borderId="128" xfId="0" applyNumberFormat="1" applyFill="1" applyBorder="1"/>
    <xf numFmtId="2" fontId="0" fillId="25" borderId="129" xfId="0" applyNumberFormat="1" applyFill="1" applyBorder="1"/>
    <xf numFmtId="175" fontId="15" fillId="0" borderId="98" xfId="5" applyNumberFormat="1" applyFont="1" applyBorder="1" applyAlignment="1">
      <alignment horizontal="center" wrapText="1"/>
    </xf>
    <xf numFmtId="0" fontId="71" fillId="20" borderId="104" xfId="3" applyFont="1" applyFill="1" applyBorder="1" applyAlignment="1">
      <alignment vertical="center" wrapText="1"/>
    </xf>
    <xf numFmtId="2" fontId="0" fillId="25" borderId="49" xfId="0" applyNumberFormat="1" applyFill="1" applyBorder="1" applyAlignment="1">
      <alignment wrapText="1"/>
    </xf>
    <xf numFmtId="2" fontId="0" fillId="25" borderId="45" xfId="0" applyNumberFormat="1" applyFill="1" applyBorder="1" applyAlignment="1">
      <alignment wrapText="1"/>
    </xf>
    <xf numFmtId="2" fontId="0" fillId="25" borderId="29" xfId="0" applyNumberFormat="1" applyFill="1" applyBorder="1"/>
    <xf numFmtId="0" fontId="0" fillId="9" borderId="0" xfId="0" applyFill="1" applyAlignment="1">
      <alignment vertical="center"/>
    </xf>
    <xf numFmtId="0" fontId="90" fillId="9" borderId="0" xfId="0" applyFont="1" applyFill="1" applyAlignment="1">
      <alignment vertical="center"/>
    </xf>
    <xf numFmtId="0" fontId="91" fillId="9" borderId="0" xfId="0" applyFont="1" applyFill="1" applyAlignment="1">
      <alignment horizontal="center" vertical="center"/>
    </xf>
    <xf numFmtId="0" fontId="91" fillId="0" borderId="121" xfId="0" applyFont="1" applyBorder="1" applyAlignment="1">
      <alignment vertical="center"/>
    </xf>
    <xf numFmtId="0" fontId="90" fillId="9" borderId="133" xfId="0" applyFont="1" applyFill="1" applyBorder="1" applyAlignment="1" applyProtection="1">
      <alignment horizontal="center" vertical="center"/>
      <protection locked="0"/>
    </xf>
    <xf numFmtId="0" fontId="91" fillId="9" borderId="0" xfId="0" applyFont="1" applyFill="1" applyAlignment="1">
      <alignment vertical="center"/>
    </xf>
    <xf numFmtId="0" fontId="90" fillId="9" borderId="0" xfId="0" applyFont="1" applyFill="1" applyAlignment="1">
      <alignment horizontal="center" vertical="center"/>
    </xf>
    <xf numFmtId="0" fontId="91" fillId="0" borderId="113" xfId="0" applyFont="1" applyBorder="1" applyAlignment="1">
      <alignment vertical="center"/>
    </xf>
    <xf numFmtId="0" fontId="90" fillId="9" borderId="90" xfId="0" applyFont="1" applyFill="1" applyBorder="1" applyAlignment="1" applyProtection="1">
      <alignment horizontal="center" vertical="center"/>
      <protection locked="0"/>
    </xf>
    <xf numFmtId="0" fontId="91" fillId="0" borderId="124" xfId="0" applyFont="1" applyBorder="1" applyAlignment="1">
      <alignment vertical="center"/>
    </xf>
    <xf numFmtId="0" fontId="90" fillId="9" borderId="118" xfId="0" applyFont="1" applyFill="1" applyBorder="1" applyAlignment="1" applyProtection="1">
      <alignment horizontal="center" vertical="center"/>
      <protection locked="0"/>
    </xf>
    <xf numFmtId="0" fontId="91" fillId="29" borderId="56" xfId="0" applyFont="1" applyFill="1" applyBorder="1" applyAlignment="1">
      <alignment horizontal="center" vertical="center"/>
    </xf>
    <xf numFmtId="0" fontId="91" fillId="29" borderId="56" xfId="0" applyFont="1" applyFill="1" applyBorder="1" applyAlignment="1">
      <alignment horizontal="center" vertical="center" wrapText="1"/>
    </xf>
    <xf numFmtId="0" fontId="91" fillId="9" borderId="0" xfId="0" applyFont="1" applyFill="1" applyAlignment="1">
      <alignment vertical="center" wrapText="1"/>
    </xf>
    <xf numFmtId="0" fontId="91" fillId="9" borderId="0" xfId="0" applyFont="1" applyFill="1" applyAlignment="1">
      <alignment horizontal="center" vertical="center" wrapText="1"/>
    </xf>
    <xf numFmtId="0" fontId="90" fillId="0" borderId="56" xfId="0" applyFont="1" applyBorder="1" applyAlignment="1" applyProtection="1">
      <alignment horizontal="center" vertical="center"/>
      <protection locked="0"/>
    </xf>
    <xf numFmtId="184" fontId="90" fillId="0" borderId="56" xfId="0" applyNumberFormat="1" applyFont="1" applyBorder="1" applyAlignment="1" applyProtection="1">
      <alignment horizontal="center" vertical="center"/>
      <protection locked="0"/>
    </xf>
    <xf numFmtId="2" fontId="90" fillId="9" borderId="0" xfId="0" applyNumberFormat="1" applyFont="1" applyFill="1" applyAlignment="1">
      <alignment vertical="center"/>
    </xf>
    <xf numFmtId="4" fontId="90" fillId="0" borderId="56" xfId="0" applyNumberFormat="1" applyFont="1" applyBorder="1" applyAlignment="1" applyProtection="1">
      <alignment horizontal="center" vertical="center"/>
      <protection locked="0" hidden="1"/>
    </xf>
    <xf numFmtId="192" fontId="90" fillId="9" borderId="56" xfId="26" applyNumberFormat="1" applyFont="1" applyFill="1" applyBorder="1" applyAlignment="1" applyProtection="1">
      <alignment horizontal="center" vertical="center"/>
    </xf>
    <xf numFmtId="176" fontId="90" fillId="9" borderId="56" xfId="26" applyNumberFormat="1" applyFont="1" applyFill="1" applyBorder="1" applyAlignment="1" applyProtection="1">
      <alignment horizontal="center" vertical="center"/>
    </xf>
    <xf numFmtId="176" fontId="90" fillId="9" borderId="0" xfId="26" applyNumberFormat="1" applyFont="1" applyFill="1" applyBorder="1" applyAlignment="1" applyProtection="1">
      <alignment horizontal="center" vertical="center"/>
    </xf>
    <xf numFmtId="2" fontId="90" fillId="9" borderId="0" xfId="0" applyNumberFormat="1" applyFont="1" applyFill="1" applyAlignment="1" applyProtection="1">
      <alignment vertical="center"/>
      <protection locked="0"/>
    </xf>
    <xf numFmtId="0" fontId="90" fillId="9" borderId="0" xfId="0" applyFont="1" applyFill="1" applyAlignment="1" applyProtection="1">
      <alignment vertical="center"/>
      <protection locked="0"/>
    </xf>
    <xf numFmtId="193" fontId="90" fillId="9" borderId="0" xfId="0" applyNumberFormat="1" applyFont="1" applyFill="1" applyAlignment="1" applyProtection="1">
      <alignment vertical="center"/>
      <protection locked="0"/>
    </xf>
    <xf numFmtId="0" fontId="21" fillId="29" borderId="56" xfId="22" applyFont="1" applyFill="1" applyBorder="1" applyAlignment="1">
      <alignment horizontal="center" vertical="center"/>
    </xf>
    <xf numFmtId="0" fontId="21" fillId="29" borderId="56" xfId="22" applyFont="1" applyFill="1" applyBorder="1" applyAlignment="1">
      <alignment horizontal="center" vertical="center" wrapText="1"/>
    </xf>
    <xf numFmtId="14" fontId="90" fillId="9" borderId="0" xfId="0" applyNumberFormat="1" applyFont="1" applyFill="1" applyAlignment="1" applyProtection="1">
      <alignment vertical="center"/>
      <protection locked="0"/>
    </xf>
    <xf numFmtId="0" fontId="21" fillId="9" borderId="0" xfId="22" applyFont="1" applyFill="1" applyAlignment="1" applyProtection="1">
      <alignment horizontal="center" vertical="center"/>
      <protection locked="0"/>
    </xf>
    <xf numFmtId="0" fontId="90" fillId="0" borderId="56" xfId="0" applyFont="1" applyBorder="1" applyAlignment="1">
      <alignment horizontal="center" vertical="center"/>
    </xf>
    <xf numFmtId="0" fontId="51" fillId="0" borderId="56" xfId="25" applyFont="1" applyBorder="1" applyAlignment="1" applyProtection="1">
      <alignment horizontal="center" vertical="center"/>
      <protection locked="0"/>
    </xf>
    <xf numFmtId="0" fontId="3" fillId="0" borderId="56" xfId="22" applyBorder="1" applyAlignment="1">
      <alignment horizontal="center" vertical="center"/>
    </xf>
    <xf numFmtId="194" fontId="3" fillId="0" borderId="56" xfId="22" applyNumberFormat="1" applyBorder="1" applyAlignment="1" applyProtection="1">
      <alignment horizontal="center" vertical="center"/>
      <protection locked="0"/>
    </xf>
    <xf numFmtId="193" fontId="3" fillId="0" borderId="56" xfId="22" applyNumberFormat="1" applyBorder="1" applyAlignment="1" applyProtection="1">
      <alignment horizontal="center" vertical="center"/>
      <protection locked="0"/>
    </xf>
    <xf numFmtId="4" fontId="3" fillId="0" borderId="56" xfId="22" applyNumberFormat="1" applyBorder="1" applyAlignment="1">
      <alignment horizontal="center" vertical="center"/>
    </xf>
    <xf numFmtId="164" fontId="90" fillId="9" borderId="0" xfId="21" applyFont="1" applyFill="1" applyAlignment="1" applyProtection="1">
      <alignment vertical="center"/>
    </xf>
    <xf numFmtId="4" fontId="90" fillId="9" borderId="0" xfId="21" applyNumberFormat="1" applyFont="1" applyFill="1" applyAlignment="1" applyProtection="1">
      <alignment vertical="center"/>
      <protection locked="0"/>
    </xf>
    <xf numFmtId="0" fontId="90" fillId="0" borderId="0" xfId="0" applyFont="1" applyAlignment="1">
      <alignment vertical="center"/>
    </xf>
    <xf numFmtId="0" fontId="0" fillId="9" borderId="0" xfId="0" applyFill="1" applyAlignment="1" applyProtection="1">
      <alignment vertical="center"/>
      <protection locked="0"/>
    </xf>
    <xf numFmtId="175" fontId="3" fillId="14" borderId="57" xfId="0" applyNumberFormat="1" applyFont="1" applyFill="1" applyBorder="1"/>
    <xf numFmtId="175" fontId="3" fillId="0" borderId="56" xfId="0" applyNumberFormat="1" applyFont="1" applyBorder="1" applyAlignment="1">
      <alignment horizontal="right"/>
    </xf>
    <xf numFmtId="0" fontId="27" fillId="8" borderId="119" xfId="6" applyFont="1" applyFill="1" applyBorder="1" applyAlignment="1">
      <alignment horizontal="center"/>
    </xf>
    <xf numFmtId="0" fontId="27" fillId="8" borderId="109" xfId="6" applyFont="1" applyFill="1" applyBorder="1" applyAlignment="1">
      <alignment horizontal="center" vertical="center" wrapText="1"/>
    </xf>
    <xf numFmtId="0" fontId="27" fillId="8" borderId="123" xfId="6" applyFont="1" applyFill="1" applyBorder="1" applyAlignment="1">
      <alignment vertical="center"/>
    </xf>
    <xf numFmtId="0" fontId="12" fillId="3" borderId="45" xfId="3" applyFont="1" applyFill="1" applyBorder="1" applyAlignment="1">
      <alignment horizontal="center" vertical="center" wrapText="1"/>
    </xf>
    <xf numFmtId="0" fontId="11" fillId="3" borderId="127" xfId="3" applyFont="1" applyFill="1" applyBorder="1" applyAlignment="1">
      <alignment horizontal="center" vertical="center" wrapText="1"/>
    </xf>
    <xf numFmtId="0" fontId="12" fillId="3" borderId="46" xfId="3" applyFont="1" applyFill="1" applyBorder="1" applyAlignment="1">
      <alignment horizontal="center" vertical="center" wrapText="1"/>
    </xf>
    <xf numFmtId="182" fontId="0" fillId="0" borderId="111" xfId="0" applyNumberFormat="1" applyBorder="1" applyAlignment="1">
      <alignment horizontal="center" vertical="center"/>
    </xf>
    <xf numFmtId="2" fontId="0" fillId="0" borderId="56" xfId="0" applyNumberFormat="1" applyBorder="1" applyAlignment="1">
      <alignment horizontal="center" vertical="center"/>
    </xf>
    <xf numFmtId="2" fontId="0" fillId="0" borderId="89" xfId="0" applyNumberFormat="1" applyBorder="1" applyAlignment="1">
      <alignment horizontal="center" vertical="center"/>
    </xf>
    <xf numFmtId="0" fontId="11" fillId="3" borderId="19" xfId="3" applyFont="1" applyFill="1" applyBorder="1" applyAlignment="1">
      <alignment horizontal="center" vertical="center" wrapText="1"/>
    </xf>
    <xf numFmtId="0" fontId="11" fillId="3" borderId="10" xfId="3" applyFont="1" applyFill="1" applyBorder="1" applyAlignment="1">
      <alignment horizontal="center" vertical="center" wrapText="1"/>
    </xf>
    <xf numFmtId="182" fontId="94" fillId="0" borderId="119" xfId="0" applyNumberFormat="1" applyFont="1" applyBorder="1" applyAlignment="1">
      <alignment horizontal="center" vertical="center"/>
    </xf>
    <xf numFmtId="182" fontId="94" fillId="0" borderId="123" xfId="0" applyNumberFormat="1" applyFont="1" applyBorder="1" applyAlignment="1">
      <alignment horizontal="center" vertical="center"/>
    </xf>
    <xf numFmtId="182" fontId="94" fillId="0" borderId="99" xfId="0" applyNumberFormat="1" applyFont="1" applyBorder="1" applyAlignment="1">
      <alignment horizontal="center" vertical="center"/>
    </xf>
    <xf numFmtId="182" fontId="94" fillId="0" borderId="123" xfId="0" quotePrefix="1" applyNumberFormat="1" applyFont="1" applyBorder="1" applyAlignment="1">
      <alignment horizontal="center" vertical="center"/>
    </xf>
    <xf numFmtId="0" fontId="21" fillId="7" borderId="56" xfId="0" applyFont="1" applyFill="1" applyBorder="1" applyAlignment="1">
      <alignment horizontal="center" vertical="center" textRotation="90" wrapText="1"/>
    </xf>
    <xf numFmtId="14" fontId="68" fillId="0" borderId="0" xfId="0" applyNumberFormat="1" applyFont="1"/>
    <xf numFmtId="14" fontId="68" fillId="9" borderId="0" xfId="0" applyNumberFormat="1" applyFont="1" applyFill="1"/>
    <xf numFmtId="2" fontId="0" fillId="25" borderId="57" xfId="0" applyNumberFormat="1" applyFill="1" applyBorder="1"/>
    <xf numFmtId="0" fontId="68" fillId="0" borderId="0" xfId="0" applyFont="1"/>
    <xf numFmtId="191" fontId="11" fillId="14" borderId="151" xfId="3" applyNumberFormat="1" applyFont="1" applyFill="1" applyBorder="1" applyAlignment="1">
      <alignment horizontal="center" vertical="center"/>
    </xf>
    <xf numFmtId="191" fontId="11" fillId="14" borderId="152" xfId="3" applyNumberFormat="1" applyFont="1" applyFill="1" applyBorder="1" applyAlignment="1">
      <alignment horizontal="center" vertical="center"/>
    </xf>
    <xf numFmtId="15" fontId="13" fillId="0" borderId="23" xfId="3" applyNumberFormat="1" applyFont="1" applyBorder="1" applyAlignment="1">
      <alignment horizontal="center" vertical="center" wrapText="1"/>
    </xf>
    <xf numFmtId="2" fontId="110" fillId="45" borderId="108" xfId="5" applyNumberFormat="1" applyFont="1" applyFill="1" applyBorder="1" applyAlignment="1">
      <alignment horizontal="center" vertical="center" wrapText="1"/>
    </xf>
    <xf numFmtId="2" fontId="110" fillId="45" borderId="108" xfId="5" applyNumberFormat="1" applyFont="1" applyFill="1" applyBorder="1" applyAlignment="1">
      <alignment horizontal="center" vertical="center"/>
    </xf>
    <xf numFmtId="16" fontId="0" fillId="0" borderId="0" xfId="0" applyNumberFormat="1" applyAlignment="1">
      <alignment horizontal="center"/>
    </xf>
    <xf numFmtId="2" fontId="110" fillId="45" borderId="108" xfId="0" applyNumberFormat="1" applyFont="1" applyFill="1" applyBorder="1" applyAlignment="1">
      <alignment horizontal="center" vertical="center"/>
    </xf>
    <xf numFmtId="2" fontId="110" fillId="45" borderId="105" xfId="0" applyNumberFormat="1" applyFont="1" applyFill="1" applyBorder="1" applyAlignment="1">
      <alignment horizontal="center" vertical="center"/>
    </xf>
    <xf numFmtId="2" fontId="111" fillId="0" borderId="14" xfId="0" applyNumberFormat="1" applyFont="1" applyBorder="1" applyAlignment="1">
      <alignment horizontal="center" vertical="center"/>
    </xf>
    <xf numFmtId="1" fontId="0" fillId="0" borderId="0" xfId="0" applyNumberFormat="1" applyAlignment="1">
      <alignment horizontal="center"/>
    </xf>
    <xf numFmtId="175" fontId="0" fillId="0" borderId="0" xfId="0" applyNumberFormat="1" applyAlignment="1">
      <alignment horizontal="center" vertical="center"/>
    </xf>
    <xf numFmtId="175" fontId="0" fillId="0" borderId="0" xfId="0" applyNumberFormat="1" applyAlignment="1">
      <alignment horizontal="center"/>
    </xf>
    <xf numFmtId="175" fontId="0" fillId="0" borderId="0" xfId="0" applyNumberFormat="1"/>
    <xf numFmtId="0" fontId="0" fillId="0" borderId="0" xfId="0" applyAlignment="1">
      <alignment horizontal="center"/>
    </xf>
    <xf numFmtId="175" fontId="3" fillId="0" borderId="143" xfId="0" applyNumberFormat="1" applyFont="1" applyBorder="1"/>
    <xf numFmtId="0" fontId="3" fillId="9" borderId="0" xfId="0" applyFont="1" applyFill="1"/>
    <xf numFmtId="1" fontId="0" fillId="0" borderId="0" xfId="0" applyNumberFormat="1" applyAlignment="1">
      <alignment horizontal="center" vertical="center"/>
    </xf>
    <xf numFmtId="0" fontId="1" fillId="0" borderId="0" xfId="4" applyAlignment="1">
      <alignment horizontal="center" vertical="center"/>
    </xf>
    <xf numFmtId="200" fontId="0" fillId="0" borderId="0" xfId="0" applyNumberFormat="1" applyAlignment="1">
      <alignment horizontal="center" vertical="center"/>
    </xf>
    <xf numFmtId="193" fontId="0" fillId="0" borderId="0" xfId="0" applyNumberFormat="1" applyAlignment="1">
      <alignment horizontal="center" vertical="center"/>
    </xf>
    <xf numFmtId="37" fontId="0" fillId="0" borderId="0" xfId="0" applyNumberFormat="1"/>
    <xf numFmtId="0" fontId="116" fillId="3" borderId="35" xfId="3" applyFont="1" applyFill="1" applyBorder="1" applyAlignment="1">
      <alignment horizontal="center" vertical="center" wrapText="1"/>
    </xf>
    <xf numFmtId="2" fontId="0" fillId="0" borderId="69" xfId="0" applyNumberFormat="1" applyBorder="1"/>
    <xf numFmtId="0" fontId="11" fillId="6" borderId="8" xfId="3" applyFont="1" applyFill="1" applyBorder="1" applyAlignment="1">
      <alignment vertical="center" wrapText="1"/>
    </xf>
    <xf numFmtId="201" fontId="0" fillId="0" borderId="0" xfId="0" applyNumberFormat="1"/>
    <xf numFmtId="15" fontId="39" fillId="0" borderId="24" xfId="3" applyNumberFormat="1" applyFont="1" applyBorder="1" applyAlignment="1">
      <alignment horizontal="center" vertical="center" wrapText="1"/>
    </xf>
    <xf numFmtId="0" fontId="12" fillId="3" borderId="20" xfId="3" applyFont="1" applyFill="1" applyBorder="1" applyAlignment="1">
      <alignment horizontal="center" vertical="top" wrapText="1"/>
    </xf>
    <xf numFmtId="0" fontId="2" fillId="0" borderId="0" xfId="0" applyFont="1"/>
    <xf numFmtId="0" fontId="121" fillId="0" borderId="0" xfId="0" applyFont="1"/>
    <xf numFmtId="0" fontId="122" fillId="0" borderId="36" xfId="0" applyFont="1" applyBorder="1"/>
    <xf numFmtId="0" fontId="0" fillId="0" borderId="36" xfId="0" applyBorder="1"/>
    <xf numFmtId="0" fontId="86" fillId="49" borderId="49" xfId="0" applyFont="1" applyFill="1" applyBorder="1" applyAlignment="1">
      <alignment horizontal="center"/>
    </xf>
    <xf numFmtId="0" fontId="124" fillId="0" borderId="0" xfId="0" applyFont="1"/>
    <xf numFmtId="0" fontId="124" fillId="50" borderId="143" xfId="0" applyFont="1" applyFill="1" applyBorder="1" applyAlignment="1">
      <alignment horizontal="center"/>
    </xf>
    <xf numFmtId="0" fontId="124" fillId="0" borderId="143" xfId="0" applyFont="1" applyBorder="1" applyAlignment="1">
      <alignment horizontal="left" indent="1"/>
    </xf>
    <xf numFmtId="3" fontId="125" fillId="9" borderId="143" xfId="0" applyNumberFormat="1" applyFont="1" applyFill="1" applyBorder="1" applyAlignment="1">
      <alignment horizontal="center"/>
    </xf>
    <xf numFmtId="9" fontId="125" fillId="9" borderId="143" xfId="26" applyFont="1" applyFill="1" applyBorder="1" applyAlignment="1">
      <alignment horizontal="center"/>
    </xf>
    <xf numFmtId="0" fontId="126" fillId="0" borderId="0" xfId="0" applyFont="1"/>
    <xf numFmtId="0" fontId="61" fillId="0" borderId="0" xfId="0" applyFont="1"/>
    <xf numFmtId="3" fontId="124" fillId="9" borderId="0" xfId="0" applyNumberFormat="1" applyFont="1" applyFill="1" applyAlignment="1">
      <alignment horizontal="center"/>
    </xf>
    <xf numFmtId="17" fontId="86" fillId="49" borderId="143" xfId="0" applyNumberFormat="1" applyFont="1" applyFill="1" applyBorder="1" applyAlignment="1">
      <alignment horizontal="center"/>
    </xf>
    <xf numFmtId="0" fontId="125" fillId="51" borderId="143" xfId="0" applyFont="1" applyFill="1" applyBorder="1" applyAlignment="1">
      <alignment horizontal="center"/>
    </xf>
    <xf numFmtId="0" fontId="2" fillId="51" borderId="143" xfId="0" applyFont="1" applyFill="1" applyBorder="1" applyAlignment="1">
      <alignment horizontal="left"/>
    </xf>
    <xf numFmtId="0" fontId="0" fillId="51" borderId="143" xfId="0" applyFill="1" applyBorder="1" applyAlignment="1">
      <alignment horizontal="center"/>
    </xf>
    <xf numFmtId="202" fontId="2" fillId="51" borderId="143" xfId="11612" applyNumberFormat="1" applyFont="1" applyFill="1" applyBorder="1" applyAlignment="1">
      <alignment horizontal="center"/>
    </xf>
    <xf numFmtId="0" fontId="61" fillId="9" borderId="160" xfId="0" applyFont="1" applyFill="1" applyBorder="1" applyAlignment="1">
      <alignment horizontal="left" vertical="center" indent="2"/>
    </xf>
    <xf numFmtId="202" fontId="124" fillId="9" borderId="143" xfId="11612" applyNumberFormat="1" applyFont="1" applyFill="1" applyBorder="1" applyAlignment="1">
      <alignment horizontal="center"/>
    </xf>
    <xf numFmtId="0" fontId="61" fillId="9" borderId="143" xfId="0" applyFont="1" applyFill="1" applyBorder="1" applyAlignment="1">
      <alignment horizontal="left" vertical="center" indent="2"/>
    </xf>
    <xf numFmtId="171" fontId="124" fillId="9" borderId="143" xfId="11612" applyFont="1" applyFill="1" applyBorder="1" applyAlignment="1">
      <alignment horizontal="center"/>
    </xf>
    <xf numFmtId="0" fontId="124" fillId="9" borderId="0" xfId="0" applyFont="1" applyFill="1"/>
    <xf numFmtId="0" fontId="60" fillId="51" borderId="143" xfId="0" applyFont="1" applyFill="1" applyBorder="1" applyAlignment="1">
      <alignment horizontal="center"/>
    </xf>
    <xf numFmtId="0" fontId="94" fillId="51" borderId="143" xfId="0" applyFont="1" applyFill="1" applyBorder="1" applyAlignment="1">
      <alignment horizontal="left"/>
    </xf>
    <xf numFmtId="0" fontId="94" fillId="51" borderId="143" xfId="0" applyFont="1" applyFill="1" applyBorder="1" applyAlignment="1">
      <alignment horizontal="center"/>
    </xf>
    <xf numFmtId="202" fontId="94" fillId="51" borderId="143" xfId="11612" applyNumberFormat="1" applyFont="1" applyFill="1" applyBorder="1" applyAlignment="1">
      <alignment horizontal="center"/>
    </xf>
    <xf numFmtId="0" fontId="0" fillId="9" borderId="0" xfId="0" applyFill="1"/>
    <xf numFmtId="0" fontId="127" fillId="49" borderId="143" xfId="0" applyFont="1" applyFill="1" applyBorder="1" applyAlignment="1">
      <alignment horizontal="center"/>
    </xf>
    <xf numFmtId="0" fontId="123" fillId="49" borderId="143" xfId="0" applyFont="1" applyFill="1" applyBorder="1" applyAlignment="1">
      <alignment horizontal="left"/>
    </xf>
    <xf numFmtId="0" fontId="124" fillId="50" borderId="143" xfId="0" applyFont="1" applyFill="1" applyBorder="1" applyAlignment="1">
      <alignment horizontal="center" vertical="center"/>
    </xf>
    <xf numFmtId="0" fontId="125" fillId="0" borderId="143" xfId="0" applyFont="1" applyBorder="1" applyAlignment="1">
      <alignment horizontal="left" vertical="center"/>
    </xf>
    <xf numFmtId="3" fontId="125" fillId="9" borderId="143" xfId="0" applyNumberFormat="1" applyFont="1" applyFill="1" applyBorder="1" applyAlignment="1">
      <alignment horizontal="center" vertical="center"/>
    </xf>
    <xf numFmtId="0" fontId="125" fillId="0" borderId="143" xfId="0" applyFont="1" applyBorder="1" applyAlignment="1">
      <alignment horizontal="left" indent="2"/>
    </xf>
    <xf numFmtId="203" fontId="125" fillId="9" borderId="143" xfId="26" applyNumberFormat="1" applyFont="1" applyFill="1" applyBorder="1" applyAlignment="1">
      <alignment horizontal="center"/>
    </xf>
    <xf numFmtId="0" fontId="123" fillId="49" borderId="49" xfId="0" applyFont="1" applyFill="1" applyBorder="1" applyAlignment="1">
      <alignment horizontal="left"/>
    </xf>
    <xf numFmtId="0" fontId="123" fillId="49" borderId="49" xfId="0" applyFont="1" applyFill="1" applyBorder="1" applyAlignment="1">
      <alignment horizontal="center"/>
    </xf>
    <xf numFmtId="0" fontId="123" fillId="49" borderId="143" xfId="0" applyFont="1" applyFill="1" applyBorder="1" applyAlignment="1">
      <alignment horizontal="center"/>
    </xf>
    <xf numFmtId="202" fontId="125" fillId="9" borderId="143" xfId="11612" applyNumberFormat="1" applyFont="1" applyFill="1" applyBorder="1" applyAlignment="1">
      <alignment horizontal="center" vertical="center"/>
    </xf>
    <xf numFmtId="171" fontId="125" fillId="9" borderId="143" xfId="11612" applyFont="1" applyFill="1" applyBorder="1" applyAlignment="1">
      <alignment horizontal="center" vertical="center"/>
    </xf>
    <xf numFmtId="0" fontId="123" fillId="49" borderId="143" xfId="0" applyFont="1" applyFill="1" applyBorder="1"/>
    <xf numFmtId="171" fontId="123" fillId="49" borderId="143" xfId="11612" applyFont="1" applyFill="1" applyBorder="1" applyAlignment="1">
      <alignment horizontal="center" vertical="center"/>
    </xf>
    <xf numFmtId="0" fontId="2" fillId="10" borderId="143" xfId="5" applyFont="1" applyFill="1" applyBorder="1"/>
    <xf numFmtId="0" fontId="2" fillId="10" borderId="143" xfId="5" applyFont="1" applyFill="1" applyBorder="1" applyAlignment="1">
      <alignment horizontal="left"/>
    </xf>
    <xf numFmtId="0" fontId="35" fillId="0" borderId="143" xfId="5" applyFont="1" applyBorder="1"/>
    <xf numFmtId="0" fontId="37" fillId="0" borderId="143" xfId="5" applyFont="1" applyBorder="1" applyAlignment="1">
      <alignment horizontal="left"/>
    </xf>
    <xf numFmtId="0" fontId="86" fillId="9" borderId="162" xfId="0" applyFont="1" applyFill="1" applyBorder="1" applyAlignment="1">
      <alignment horizontal="center"/>
    </xf>
    <xf numFmtId="17" fontId="123" fillId="49" borderId="143" xfId="0" applyNumberFormat="1" applyFont="1" applyFill="1" applyBorder="1" applyAlignment="1">
      <alignment horizontal="center"/>
    </xf>
    <xf numFmtId="202" fontId="39" fillId="9" borderId="143" xfId="11612" applyNumberFormat="1" applyFont="1" applyFill="1" applyBorder="1" applyAlignment="1">
      <alignment horizontal="center" vertical="center"/>
    </xf>
    <xf numFmtId="9" fontId="1" fillId="0" borderId="143" xfId="26" applyFont="1" applyBorder="1" applyAlignment="1">
      <alignment horizontal="center" vertical="center"/>
    </xf>
    <xf numFmtId="202" fontId="1" fillId="0" borderId="143" xfId="11612" applyNumberFormat="1" applyFont="1" applyBorder="1"/>
    <xf numFmtId="202" fontId="1" fillId="0" borderId="143" xfId="11612" applyNumberFormat="1" applyFont="1" applyBorder="1" applyAlignment="1">
      <alignment vertical="center"/>
    </xf>
    <xf numFmtId="202" fontId="1" fillId="50" borderId="143" xfId="11612" applyNumberFormat="1" applyFont="1" applyFill="1" applyBorder="1" applyAlignment="1">
      <alignment vertical="center"/>
    </xf>
    <xf numFmtId="9" fontId="1" fillId="50" borderId="143" xfId="26" applyFont="1" applyFill="1" applyBorder="1" applyAlignment="1">
      <alignment horizontal="center" vertical="center"/>
    </xf>
    <xf numFmtId="204" fontId="2" fillId="50" borderId="143" xfId="11612" applyNumberFormat="1" applyFont="1" applyFill="1" applyBorder="1" applyAlignment="1">
      <alignment vertical="center"/>
    </xf>
    <xf numFmtId="0" fontId="35" fillId="9" borderId="143" xfId="0" applyFont="1" applyFill="1" applyBorder="1" applyAlignment="1">
      <alignment horizontal="center" vertical="center"/>
    </xf>
    <xf numFmtId="0" fontId="35" fillId="9" borderId="143" xfId="0" applyFont="1" applyFill="1" applyBorder="1" applyAlignment="1">
      <alignment horizontal="left" vertical="center"/>
    </xf>
    <xf numFmtId="0" fontId="1" fillId="0" borderId="143" xfId="0" applyFont="1" applyBorder="1" applyAlignment="1">
      <alignment vertical="center"/>
    </xf>
    <xf numFmtId="171" fontId="1" fillId="0" borderId="143" xfId="11612" applyFont="1" applyBorder="1" applyAlignment="1">
      <alignment vertical="center"/>
    </xf>
    <xf numFmtId="0" fontId="35" fillId="9" borderId="160" xfId="0" applyFont="1" applyFill="1" applyBorder="1" applyAlignment="1">
      <alignment vertical="center"/>
    </xf>
    <xf numFmtId="3" fontId="61" fillId="9" borderId="143" xfId="0" applyNumberFormat="1" applyFont="1" applyFill="1" applyBorder="1" applyAlignment="1">
      <alignment horizontal="left" vertical="center" wrapText="1"/>
    </xf>
    <xf numFmtId="0" fontId="1" fillId="9" borderId="143" xfId="0" applyFont="1" applyFill="1" applyBorder="1"/>
    <xf numFmtId="0" fontId="1" fillId="9" borderId="143" xfId="0" applyFont="1" applyFill="1" applyBorder="1" applyAlignment="1">
      <alignment vertical="center"/>
    </xf>
    <xf numFmtId="0" fontId="128" fillId="9" borderId="0" xfId="0" applyFont="1" applyFill="1" applyAlignment="1">
      <alignment horizontal="right"/>
    </xf>
    <xf numFmtId="0" fontId="129" fillId="52" borderId="143" xfId="0" applyFont="1" applyFill="1" applyBorder="1" applyAlignment="1">
      <alignment horizontal="right"/>
    </xf>
    <xf numFmtId="0" fontId="130" fillId="52" borderId="0" xfId="0" applyFont="1" applyFill="1" applyAlignment="1">
      <alignment vertical="center"/>
    </xf>
    <xf numFmtId="0" fontId="130" fillId="52" borderId="143" xfId="0" applyFont="1" applyFill="1" applyBorder="1" applyAlignment="1">
      <alignment horizontal="center" vertical="center"/>
    </xf>
    <xf numFmtId="202" fontId="129" fillId="52" borderId="143" xfId="0" applyNumberFormat="1" applyFont="1" applyFill="1" applyBorder="1" applyAlignment="1">
      <alignment horizontal="center" vertical="center"/>
    </xf>
    <xf numFmtId="0" fontId="61" fillId="9" borderId="50" xfId="0" applyFont="1" applyFill="1" applyBorder="1" applyAlignment="1">
      <alignment horizontal="center" vertical="center"/>
    </xf>
    <xf numFmtId="0" fontId="61" fillId="9" borderId="50" xfId="0" applyFont="1" applyFill="1" applyBorder="1" applyAlignment="1">
      <alignment horizontal="left" vertical="center"/>
    </xf>
    <xf numFmtId="3" fontId="61" fillId="9" borderId="162" xfId="0" applyNumberFormat="1" applyFont="1" applyFill="1" applyBorder="1" applyAlignment="1">
      <alignment vertical="center"/>
    </xf>
    <xf numFmtId="0" fontId="0" fillId="9" borderId="162" xfId="0" applyFill="1" applyBorder="1"/>
    <xf numFmtId="0" fontId="0" fillId="0" borderId="143" xfId="0" applyBorder="1"/>
    <xf numFmtId="0" fontId="0" fillId="0" borderId="162" xfId="0" applyBorder="1"/>
    <xf numFmtId="3" fontId="61" fillId="9" borderId="143" xfId="0" applyNumberFormat="1" applyFont="1" applyFill="1" applyBorder="1" applyAlignment="1">
      <alignment vertical="center" wrapText="1"/>
    </xf>
    <xf numFmtId="0" fontId="0" fillId="0" borderId="143" xfId="0" applyBorder="1" applyAlignment="1">
      <alignment vertical="center"/>
    </xf>
    <xf numFmtId="202" fontId="0" fillId="0" borderId="143" xfId="11612" applyNumberFormat="1" applyFont="1" applyBorder="1" applyAlignment="1">
      <alignment vertical="center"/>
    </xf>
    <xf numFmtId="202" fontId="0" fillId="9" borderId="143" xfId="11612" applyNumberFormat="1" applyFont="1" applyFill="1" applyBorder="1" applyAlignment="1">
      <alignment vertical="center"/>
    </xf>
    <xf numFmtId="0" fontId="0" fillId="0" borderId="143" xfId="11612" applyNumberFormat="1" applyFont="1" applyBorder="1"/>
    <xf numFmtId="0" fontId="0" fillId="9" borderId="143" xfId="0" applyFill="1" applyBorder="1"/>
    <xf numFmtId="171" fontId="0" fillId="0" borderId="143" xfId="11612" applyFont="1" applyBorder="1"/>
    <xf numFmtId="0" fontId="35" fillId="9" borderId="143" xfId="0" applyFont="1" applyFill="1" applyBorder="1" applyAlignment="1">
      <alignment horizontal="left" vertical="center" wrapText="1"/>
    </xf>
    <xf numFmtId="0" fontId="0" fillId="0" borderId="143" xfId="11612" applyNumberFormat="1" applyFont="1" applyBorder="1" applyAlignment="1">
      <alignment vertical="center"/>
    </xf>
    <xf numFmtId="3" fontId="61" fillId="9" borderId="143" xfId="0" applyNumberFormat="1" applyFont="1" applyFill="1" applyBorder="1" applyAlignment="1">
      <alignment horizontal="left" vertical="center"/>
    </xf>
    <xf numFmtId="0" fontId="35" fillId="53" borderId="143" xfId="0" applyFont="1" applyFill="1" applyBorder="1" applyAlignment="1">
      <alignment horizontal="center" vertical="center"/>
    </xf>
    <xf numFmtId="0" fontId="35" fillId="53" borderId="143" xfId="0" applyFont="1" applyFill="1" applyBorder="1" applyAlignment="1">
      <alignment horizontal="left" vertical="center"/>
    </xf>
    <xf numFmtId="3" fontId="61" fillId="53" borderId="143" xfId="0" applyNumberFormat="1" applyFont="1" applyFill="1" applyBorder="1" applyAlignment="1">
      <alignment horizontal="left" vertical="center"/>
    </xf>
    <xf numFmtId="0" fontId="0" fillId="53" borderId="143" xfId="11612" applyNumberFormat="1" applyFont="1" applyFill="1" applyBorder="1"/>
    <xf numFmtId="0" fontId="0" fillId="53" borderId="143" xfId="0" applyFill="1" applyBorder="1"/>
    <xf numFmtId="202" fontId="0" fillId="53" borderId="143" xfId="11612" applyNumberFormat="1" applyFont="1" applyFill="1" applyBorder="1" applyAlignment="1">
      <alignment vertical="center"/>
    </xf>
    <xf numFmtId="171" fontId="61" fillId="53" borderId="143" xfId="11612" applyFont="1" applyFill="1" applyBorder="1" applyAlignment="1">
      <alignment horizontal="left" vertical="center"/>
    </xf>
    <xf numFmtId="0" fontId="36" fillId="9" borderId="0" xfId="0" applyFont="1" applyFill="1" applyAlignment="1">
      <alignment horizontal="center" vertical="center"/>
    </xf>
    <xf numFmtId="0" fontId="36" fillId="9" borderId="0" xfId="0" applyFont="1" applyFill="1" applyAlignment="1">
      <alignment horizontal="left" vertical="center"/>
    </xf>
    <xf numFmtId="0" fontId="130" fillId="52" borderId="0" xfId="0" applyFont="1" applyFill="1"/>
    <xf numFmtId="0" fontId="130" fillId="52" borderId="143" xfId="0" applyFont="1" applyFill="1" applyBorder="1" applyAlignment="1">
      <alignment horizontal="center"/>
    </xf>
    <xf numFmtId="202" fontId="129" fillId="52" borderId="143" xfId="0" applyNumberFormat="1" applyFont="1" applyFill="1" applyBorder="1" applyAlignment="1">
      <alignment horizontal="center"/>
    </xf>
    <xf numFmtId="0" fontId="61" fillId="9" borderId="0" xfId="0" applyFont="1" applyFill="1" applyAlignment="1">
      <alignment horizontal="center" vertical="center"/>
    </xf>
    <xf numFmtId="0" fontId="61" fillId="9" borderId="0" xfId="0" applyFont="1" applyFill="1" applyAlignment="1">
      <alignment horizontal="left" vertical="center"/>
    </xf>
    <xf numFmtId="3" fontId="61" fillId="9" borderId="144" xfId="0" applyNumberFormat="1" applyFont="1" applyFill="1" applyBorder="1" applyAlignment="1">
      <alignment horizontal="left" vertical="center"/>
    </xf>
    <xf numFmtId="0" fontId="86" fillId="49" borderId="143" xfId="0" applyFont="1" applyFill="1" applyBorder="1" applyAlignment="1">
      <alignment horizontal="center" vertical="center"/>
    </xf>
    <xf numFmtId="0" fontId="120" fillId="49" borderId="143" xfId="0" applyFont="1" applyFill="1" applyBorder="1" applyAlignment="1">
      <alignment horizontal="center" vertical="center"/>
    </xf>
    <xf numFmtId="3" fontId="120" fillId="49" borderId="143" xfId="0" applyNumberFormat="1" applyFont="1" applyFill="1" applyBorder="1" applyAlignment="1">
      <alignment horizontal="center" vertical="center"/>
    </xf>
    <xf numFmtId="0" fontId="120" fillId="49" borderId="143" xfId="0" applyFont="1" applyFill="1" applyBorder="1" applyAlignment="1">
      <alignment horizontal="center" vertical="center" wrapText="1"/>
    </xf>
    <xf numFmtId="0" fontId="61" fillId="9" borderId="143" xfId="0" applyFont="1" applyFill="1" applyBorder="1" applyAlignment="1">
      <alignment horizontal="center"/>
    </xf>
    <xf numFmtId="0" fontId="35" fillId="9" borderId="143" xfId="0" applyFont="1" applyFill="1" applyBorder="1"/>
    <xf numFmtId="3" fontId="61" fillId="9" borderId="143" xfId="0" applyNumberFormat="1" applyFont="1" applyFill="1" applyBorder="1" applyAlignment="1">
      <alignment horizontal="left" wrapText="1"/>
    </xf>
    <xf numFmtId="3" fontId="61" fillId="9" borderId="143" xfId="0" applyNumberFormat="1" applyFont="1" applyFill="1" applyBorder="1" applyAlignment="1">
      <alignment horizontal="center"/>
    </xf>
    <xf numFmtId="3" fontId="61" fillId="0" borderId="143" xfId="0" applyNumberFormat="1" applyFont="1" applyBorder="1" applyAlignment="1">
      <alignment horizontal="center"/>
    </xf>
    <xf numFmtId="4" fontId="61" fillId="9" borderId="143" xfId="0" applyNumberFormat="1" applyFont="1" applyFill="1" applyBorder="1" applyAlignment="1">
      <alignment horizontal="center"/>
    </xf>
    <xf numFmtId="3" fontId="61" fillId="9" borderId="143" xfId="0" applyNumberFormat="1" applyFont="1" applyFill="1" applyBorder="1" applyAlignment="1">
      <alignment horizontal="left"/>
    </xf>
    <xf numFmtId="183" fontId="61" fillId="9" borderId="143" xfId="0" applyNumberFormat="1" applyFont="1" applyFill="1" applyBorder="1" applyAlignment="1">
      <alignment horizontal="left"/>
    </xf>
    <xf numFmtId="183" fontId="61" fillId="9" borderId="143" xfId="0" applyNumberFormat="1" applyFont="1" applyFill="1" applyBorder="1" applyAlignment="1">
      <alignment horizontal="center"/>
    </xf>
    <xf numFmtId="9" fontId="61" fillId="9" borderId="143" xfId="26" applyFont="1" applyFill="1" applyBorder="1" applyAlignment="1">
      <alignment horizontal="center"/>
    </xf>
    <xf numFmtId="0" fontId="35" fillId="9" borderId="160" xfId="0" applyFont="1" applyFill="1" applyBorder="1" applyAlignment="1">
      <alignment horizontal="center" vertical="center"/>
    </xf>
    <xf numFmtId="0" fontId="86" fillId="9" borderId="165" xfId="0" applyFont="1" applyFill="1" applyBorder="1" applyAlignment="1">
      <alignment horizontal="center"/>
    </xf>
    <xf numFmtId="3" fontId="61" fillId="9" borderId="166" xfId="0" applyNumberFormat="1" applyFont="1" applyFill="1" applyBorder="1" applyAlignment="1">
      <alignment vertical="center" wrapText="1"/>
    </xf>
    <xf numFmtId="3" fontId="35" fillId="50" borderId="166" xfId="0" applyNumberFormat="1" applyFont="1" applyFill="1" applyBorder="1" applyAlignment="1">
      <alignment horizontal="right" vertical="center" wrapText="1"/>
    </xf>
    <xf numFmtId="3" fontId="61" fillId="9" borderId="166" xfId="0" applyNumberFormat="1" applyFont="1" applyFill="1" applyBorder="1" applyAlignment="1">
      <alignment vertical="center"/>
    </xf>
    <xf numFmtId="0" fontId="0" fillId="9" borderId="143" xfId="11612" applyNumberFormat="1" applyFont="1" applyFill="1" applyBorder="1"/>
    <xf numFmtId="0" fontId="0" fillId="9" borderId="0" xfId="0" applyFill="1" applyAlignment="1">
      <alignment horizontal="center" vertical="center"/>
    </xf>
    <xf numFmtId="9" fontId="0" fillId="0" borderId="0" xfId="26" applyFont="1"/>
    <xf numFmtId="0" fontId="0" fillId="9" borderId="0" xfId="0" applyFill="1" applyAlignment="1">
      <alignment horizontal="left"/>
    </xf>
    <xf numFmtId="202" fontId="0" fillId="9" borderId="0" xfId="0" applyNumberFormat="1" applyFill="1"/>
    <xf numFmtId="0" fontId="0" fillId="0" borderId="0" xfId="0" applyAlignment="1">
      <alignment horizontal="left"/>
    </xf>
    <xf numFmtId="0" fontId="2" fillId="51" borderId="0" xfId="0" applyFont="1" applyFill="1"/>
    <xf numFmtId="0" fontId="0" fillId="51" borderId="0" xfId="0" applyFill="1"/>
    <xf numFmtId="0" fontId="135" fillId="51" borderId="0" xfId="0" applyFont="1" applyFill="1"/>
    <xf numFmtId="0" fontId="137" fillId="51" borderId="0" xfId="0" applyFont="1" applyFill="1"/>
    <xf numFmtId="0" fontId="138" fillId="9" borderId="50" xfId="0" applyFont="1" applyFill="1" applyBorder="1" applyAlignment="1">
      <alignment horizontal="center" vertical="center"/>
    </xf>
    <xf numFmtId="0" fontId="86" fillId="49" borderId="143" xfId="0" applyFont="1" applyFill="1" applyBorder="1" applyAlignment="1">
      <alignment horizontal="center"/>
    </xf>
    <xf numFmtId="0" fontId="61" fillId="50" borderId="143" xfId="0" applyFont="1" applyFill="1" applyBorder="1" applyAlignment="1">
      <alignment horizontal="center" vertical="center"/>
    </xf>
    <xf numFmtId="0" fontId="61" fillId="50" borderId="143" xfId="0" applyFont="1" applyFill="1" applyBorder="1" applyAlignment="1">
      <alignment horizontal="left" vertical="center"/>
    </xf>
    <xf numFmtId="3" fontId="61" fillId="50" borderId="143" xfId="0" applyNumberFormat="1" applyFont="1" applyFill="1" applyBorder="1" applyAlignment="1">
      <alignment horizontal="left" vertical="center" wrapText="1"/>
    </xf>
    <xf numFmtId="0" fontId="61" fillId="9" borderId="143" xfId="0" applyFont="1" applyFill="1" applyBorder="1" applyAlignment="1">
      <alignment horizontal="center" vertical="center"/>
    </xf>
    <xf numFmtId="0" fontId="61" fillId="9" borderId="143" xfId="0" applyFont="1" applyFill="1" applyBorder="1" applyAlignment="1">
      <alignment horizontal="left" vertical="center"/>
    </xf>
    <xf numFmtId="3" fontId="61" fillId="50" borderId="143" xfId="0" applyNumberFormat="1" applyFont="1" applyFill="1" applyBorder="1" applyAlignment="1">
      <alignment horizontal="left" vertical="center"/>
    </xf>
    <xf numFmtId="0" fontId="61" fillId="0" borderId="0" xfId="0" applyFont="1" applyAlignment="1">
      <alignment horizontal="center"/>
    </xf>
    <xf numFmtId="3" fontId="61" fillId="9" borderId="143" xfId="0" applyNumberFormat="1" applyFont="1" applyFill="1" applyBorder="1" applyAlignment="1">
      <alignment horizontal="right" vertical="center"/>
    </xf>
    <xf numFmtId="0" fontId="0" fillId="9" borderId="143" xfId="0" applyFill="1" applyBorder="1" applyAlignment="1">
      <alignment horizontal="left" vertical="center"/>
    </xf>
    <xf numFmtId="0" fontId="120" fillId="49" borderId="143" xfId="0" applyFont="1" applyFill="1" applyBorder="1" applyAlignment="1">
      <alignment horizontal="center"/>
    </xf>
    <xf numFmtId="3" fontId="120" fillId="49" borderId="143" xfId="0" applyNumberFormat="1" applyFont="1" applyFill="1" applyBorder="1" applyAlignment="1">
      <alignment horizontal="center"/>
    </xf>
    <xf numFmtId="0" fontId="61" fillId="50" borderId="143" xfId="0" applyFont="1" applyFill="1" applyBorder="1" applyAlignment="1">
      <alignment horizontal="center"/>
    </xf>
    <xf numFmtId="0" fontId="61" fillId="50" borderId="143" xfId="0" applyFont="1" applyFill="1" applyBorder="1" applyAlignment="1">
      <alignment horizontal="left" indent="1"/>
    </xf>
    <xf numFmtId="3" fontId="61" fillId="50" borderId="143" xfId="0" applyNumberFormat="1" applyFont="1" applyFill="1" applyBorder="1" applyAlignment="1">
      <alignment horizontal="center"/>
    </xf>
    <xf numFmtId="0" fontId="61" fillId="9" borderId="143" xfId="0" applyFont="1" applyFill="1" applyBorder="1" applyAlignment="1">
      <alignment horizontal="left" indent="1"/>
    </xf>
    <xf numFmtId="183" fontId="61" fillId="50" borderId="143" xfId="0" applyNumberFormat="1" applyFont="1" applyFill="1" applyBorder="1" applyAlignment="1">
      <alignment horizontal="center"/>
    </xf>
    <xf numFmtId="0" fontId="61" fillId="49" borderId="143" xfId="0" applyFont="1" applyFill="1" applyBorder="1" applyAlignment="1">
      <alignment horizontal="center"/>
    </xf>
    <xf numFmtId="0" fontId="0" fillId="54" borderId="168" xfId="0" applyFill="1" applyBorder="1" applyAlignment="1">
      <alignment horizontal="center"/>
    </xf>
    <xf numFmtId="0" fontId="140" fillId="0" borderId="0" xfId="0" applyFont="1"/>
    <xf numFmtId="0" fontId="2" fillId="54" borderId="143" xfId="0" applyFont="1" applyFill="1" applyBorder="1" applyAlignment="1">
      <alignment horizontal="center"/>
    </xf>
    <xf numFmtId="0" fontId="61" fillId="54" borderId="107" xfId="0" applyFont="1" applyFill="1" applyBorder="1" applyAlignment="1">
      <alignment horizontal="center"/>
    </xf>
    <xf numFmtId="0" fontId="141" fillId="0" borderId="108" xfId="0" applyFont="1" applyBorder="1"/>
    <xf numFmtId="3" fontId="35" fillId="0" borderId="108" xfId="0" applyNumberFormat="1" applyFont="1" applyBorder="1" applyAlignment="1">
      <alignment horizontal="center"/>
    </xf>
    <xf numFmtId="3" fontId="35" fillId="0" borderId="109" xfId="0" applyNumberFormat="1" applyFont="1" applyBorder="1" applyAlignment="1">
      <alignment horizontal="center"/>
    </xf>
    <xf numFmtId="0" fontId="61" fillId="0" borderId="0" xfId="0" applyFont="1" applyAlignment="1">
      <alignment horizontal="left"/>
    </xf>
    <xf numFmtId="0" fontId="61" fillId="54" borderId="155" xfId="0" applyFont="1" applyFill="1" applyBorder="1" applyAlignment="1">
      <alignment horizontal="center"/>
    </xf>
    <xf numFmtId="0" fontId="61" fillId="0" borderId="143" xfId="0" applyFont="1" applyBorder="1" applyAlignment="1">
      <alignment horizontal="left" indent="1"/>
    </xf>
    <xf numFmtId="3" fontId="61" fillId="50" borderId="143" xfId="0" applyNumberFormat="1" applyFont="1" applyFill="1" applyBorder="1" applyAlignment="1">
      <alignment horizontal="right"/>
    </xf>
    <xf numFmtId="0" fontId="61" fillId="54" borderId="168" xfId="0" applyFont="1" applyFill="1" applyBorder="1" applyAlignment="1">
      <alignment horizontal="center"/>
    </xf>
    <xf numFmtId="0" fontId="61" fillId="0" borderId="158" xfId="0" applyFont="1" applyBorder="1" applyAlignment="1">
      <alignment horizontal="left" indent="1"/>
    </xf>
    <xf numFmtId="3" fontId="61" fillId="50" borderId="158" xfId="0" applyNumberFormat="1" applyFont="1" applyFill="1" applyBorder="1" applyAlignment="1">
      <alignment horizontal="right"/>
    </xf>
    <xf numFmtId="0" fontId="141" fillId="0" borderId="108" xfId="0" applyFont="1" applyBorder="1" applyAlignment="1">
      <alignment horizontal="left"/>
    </xf>
    <xf numFmtId="3" fontId="35" fillId="0" borderId="108" xfId="0" applyNumberFormat="1" applyFont="1" applyBorder="1" applyAlignment="1">
      <alignment horizontal="right"/>
    </xf>
    <xf numFmtId="3" fontId="35" fillId="0" borderId="109" xfId="0" applyNumberFormat="1" applyFont="1" applyBorder="1" applyAlignment="1">
      <alignment horizontal="right"/>
    </xf>
    <xf numFmtId="3" fontId="61" fillId="54" borderId="108" xfId="0" applyNumberFormat="1" applyFont="1" applyFill="1" applyBorder="1" applyAlignment="1">
      <alignment horizontal="center"/>
    </xf>
    <xf numFmtId="3" fontId="61" fillId="54" borderId="109" xfId="0" applyNumberFormat="1" applyFont="1" applyFill="1" applyBorder="1" applyAlignment="1">
      <alignment horizontal="center"/>
    </xf>
    <xf numFmtId="3" fontId="61" fillId="50" borderId="156" xfId="0" applyNumberFormat="1" applyFont="1" applyFill="1" applyBorder="1" applyAlignment="1">
      <alignment horizontal="center"/>
    </xf>
    <xf numFmtId="183" fontId="61" fillId="50" borderId="156" xfId="0" applyNumberFormat="1" applyFont="1" applyFill="1" applyBorder="1" applyAlignment="1">
      <alignment horizontal="center"/>
    </xf>
    <xf numFmtId="183" fontId="61" fillId="50" borderId="158" xfId="0" applyNumberFormat="1" applyFont="1" applyFill="1" applyBorder="1" applyAlignment="1">
      <alignment horizontal="center"/>
    </xf>
    <xf numFmtId="183" fontId="61" fillId="50" borderId="172" xfId="0" applyNumberFormat="1" applyFont="1" applyFill="1" applyBorder="1" applyAlignment="1">
      <alignment horizontal="center"/>
    </xf>
    <xf numFmtId="0" fontId="61" fillId="54" borderId="19" xfId="0" applyFont="1" applyFill="1" applyBorder="1" applyAlignment="1">
      <alignment horizontal="center"/>
    </xf>
    <xf numFmtId="0" fontId="141" fillId="0" borderId="20" xfId="0" applyFont="1" applyBorder="1" applyAlignment="1">
      <alignment horizontal="left"/>
    </xf>
    <xf numFmtId="3" fontId="61" fillId="50" borderId="20" xfId="0" applyNumberFormat="1" applyFont="1" applyFill="1" applyBorder="1" applyAlignment="1">
      <alignment horizontal="center"/>
    </xf>
    <xf numFmtId="3" fontId="61" fillId="50" borderId="21" xfId="0" applyNumberFormat="1" applyFont="1" applyFill="1" applyBorder="1" applyAlignment="1">
      <alignment horizontal="center"/>
    </xf>
    <xf numFmtId="0" fontId="142" fillId="0" borderId="0" xfId="0" applyFont="1"/>
    <xf numFmtId="0" fontId="143" fillId="0" borderId="0" xfId="0" applyFont="1"/>
    <xf numFmtId="0" fontId="144" fillId="50" borderId="143" xfId="0" applyFont="1" applyFill="1" applyBorder="1"/>
    <xf numFmtId="0" fontId="61" fillId="0" borderId="0" xfId="0" applyFont="1" applyAlignment="1">
      <alignment horizontal="left" indent="1"/>
    </xf>
    <xf numFmtId="0" fontId="144" fillId="9" borderId="143" xfId="0" applyFont="1" applyFill="1" applyBorder="1"/>
    <xf numFmtId="0" fontId="144" fillId="0" borderId="0" xfId="0" applyFont="1"/>
    <xf numFmtId="202" fontId="0" fillId="0" borderId="143" xfId="11612" applyNumberFormat="1" applyFont="1" applyBorder="1"/>
    <xf numFmtId="0" fontId="0" fillId="0" borderId="0" xfId="0" pivotButton="1"/>
    <xf numFmtId="0" fontId="92" fillId="0" borderId="0" xfId="27" quotePrefix="1"/>
    <xf numFmtId="0" fontId="92" fillId="9" borderId="0" xfId="27" quotePrefix="1" applyFill="1"/>
    <xf numFmtId="189" fontId="11" fillId="18" borderId="96" xfId="3" applyNumberFormat="1" applyFont="1" applyFill="1" applyBorder="1" applyAlignment="1">
      <alignment horizontal="center" vertical="center"/>
    </xf>
    <xf numFmtId="17" fontId="0" fillId="0" borderId="0" xfId="0" applyNumberFormat="1"/>
    <xf numFmtId="17" fontId="123" fillId="49" borderId="143" xfId="0" applyNumberFormat="1" applyFont="1" applyFill="1" applyBorder="1" applyAlignment="1">
      <alignment horizontal="center" vertical="center" wrapText="1"/>
    </xf>
    <xf numFmtId="9" fontId="0" fillId="0" borderId="0" xfId="0" applyNumberFormat="1"/>
    <xf numFmtId="2" fontId="0" fillId="0" borderId="0" xfId="0" applyNumberFormat="1"/>
    <xf numFmtId="207" fontId="69" fillId="18" borderId="31" xfId="21" applyNumberFormat="1" applyFont="1" applyFill="1" applyBorder="1" applyAlignment="1">
      <alignment horizontal="center" vertical="center"/>
    </xf>
    <xf numFmtId="2" fontId="0" fillId="9" borderId="0" xfId="0" applyNumberFormat="1" applyFill="1" applyAlignment="1">
      <alignment horizontal="center" vertical="center"/>
    </xf>
    <xf numFmtId="0" fontId="0" fillId="0" borderId="146" xfId="0" applyBorder="1"/>
    <xf numFmtId="0" fontId="0" fillId="0" borderId="173" xfId="0" applyBorder="1"/>
    <xf numFmtId="175" fontId="3" fillId="0" borderId="0" xfId="0" applyNumberFormat="1" applyFont="1"/>
    <xf numFmtId="0" fontId="3" fillId="14" borderId="166" xfId="0" applyFont="1" applyFill="1" applyBorder="1"/>
    <xf numFmtId="0" fontId="0" fillId="0" borderId="175" xfId="0" applyBorder="1" applyAlignment="1">
      <alignment horizontal="center" vertical="center"/>
    </xf>
    <xf numFmtId="49" fontId="0" fillId="0" borderId="166" xfId="0" applyNumberFormat="1" applyBorder="1" applyAlignment="1">
      <alignment horizontal="justify" vertical="center" wrapText="1"/>
    </xf>
    <xf numFmtId="49" fontId="0" fillId="0" borderId="162" xfId="0" applyNumberFormat="1" applyBorder="1" applyAlignment="1">
      <alignment horizontal="justify" vertical="center" wrapText="1"/>
    </xf>
    <xf numFmtId="49" fontId="0" fillId="0" borderId="144" xfId="0" applyNumberFormat="1" applyBorder="1" applyAlignment="1">
      <alignment horizontal="justify" vertical="center" wrapText="1"/>
    </xf>
    <xf numFmtId="0" fontId="0" fillId="0" borderId="148" xfId="0" applyBorder="1"/>
    <xf numFmtId="14" fontId="86" fillId="9" borderId="0" xfId="4" applyNumberFormat="1" applyFont="1" applyFill="1"/>
    <xf numFmtId="184" fontId="43" fillId="0" borderId="79" xfId="0" applyNumberFormat="1" applyFont="1" applyBorder="1" applyAlignment="1">
      <alignment horizontal="center" vertical="center"/>
    </xf>
    <xf numFmtId="0" fontId="0" fillId="9" borderId="0" xfId="0" applyFill="1" applyAlignment="1">
      <alignment horizontal="left" indent="1"/>
    </xf>
    <xf numFmtId="15" fontId="3" fillId="0" borderId="56" xfId="0" applyNumberFormat="1" applyFont="1" applyBorder="1" applyAlignment="1">
      <alignment horizontal="center" vertical="center"/>
    </xf>
    <xf numFmtId="0" fontId="3" fillId="14" borderId="57" xfId="0" applyFont="1" applyFill="1" applyBorder="1"/>
    <xf numFmtId="182" fontId="0" fillId="0" borderId="0" xfId="0" applyNumberFormat="1" applyAlignment="1">
      <alignment horizontal="center"/>
    </xf>
    <xf numFmtId="2" fontId="0" fillId="25" borderId="168" xfId="0" applyNumberFormat="1" applyFill="1" applyBorder="1" applyAlignment="1">
      <alignment wrapText="1"/>
    </xf>
    <xf numFmtId="2" fontId="0" fillId="25" borderId="166" xfId="0" applyNumberFormat="1" applyFill="1" applyBorder="1"/>
    <xf numFmtId="2" fontId="0" fillId="25" borderId="169" xfId="0" applyNumberFormat="1" applyFill="1" applyBorder="1"/>
    <xf numFmtId="2" fontId="0" fillId="25" borderId="168" xfId="0" applyNumberFormat="1" applyFill="1" applyBorder="1"/>
    <xf numFmtId="205" fontId="61" fillId="9" borderId="179" xfId="11612" applyNumberFormat="1" applyFont="1" applyFill="1" applyBorder="1" applyAlignment="1">
      <alignment horizontal="left" vertical="center"/>
    </xf>
    <xf numFmtId="206" fontId="61" fillId="9" borderId="179" xfId="11612" applyNumberFormat="1" applyFont="1" applyFill="1" applyBorder="1" applyAlignment="1">
      <alignment horizontal="left" vertical="center"/>
    </xf>
    <xf numFmtId="0" fontId="0" fillId="9" borderId="0" xfId="0" applyFill="1" applyAlignment="1">
      <alignment horizontal="left" indent="2"/>
    </xf>
    <xf numFmtId="0" fontId="0" fillId="9" borderId="0" xfId="0" applyFill="1" applyAlignment="1">
      <alignment horizontal="left" indent="3"/>
    </xf>
    <xf numFmtId="175" fontId="3" fillId="0" borderId="143" xfId="0" applyNumberFormat="1" applyFont="1" applyBorder="1" applyAlignment="1">
      <alignment horizontal="right"/>
    </xf>
    <xf numFmtId="175" fontId="3" fillId="14" borderId="162" xfId="0" applyNumberFormat="1" applyFont="1" applyFill="1" applyBorder="1"/>
    <xf numFmtId="0" fontId="3" fillId="14" borderId="162" xfId="0" applyFont="1" applyFill="1" applyBorder="1"/>
    <xf numFmtId="0" fontId="0" fillId="0" borderId="150" xfId="0" applyBorder="1"/>
    <xf numFmtId="0" fontId="2" fillId="90" borderId="0" xfId="0" applyFont="1" applyFill="1"/>
    <xf numFmtId="0" fontId="2" fillId="0" borderId="187" xfId="0" applyFont="1" applyBorder="1" applyAlignment="1">
      <alignment horizontal="center" vertical="center"/>
    </xf>
    <xf numFmtId="1" fontId="0" fillId="0" borderId="187" xfId="0" applyNumberFormat="1" applyBorder="1" applyAlignment="1">
      <alignment horizontal="center" vertical="center"/>
    </xf>
    <xf numFmtId="175" fontId="0" fillId="0" borderId="187" xfId="0" applyNumberFormat="1" applyBorder="1" applyAlignment="1">
      <alignment horizontal="center" vertical="center"/>
    </xf>
    <xf numFmtId="2" fontId="0" fillId="0" borderId="187" xfId="0" applyNumberFormat="1" applyBorder="1" applyAlignment="1">
      <alignment horizontal="center" vertical="center"/>
    </xf>
    <xf numFmtId="0" fontId="0" fillId="0" borderId="187" xfId="0" applyBorder="1" applyAlignment="1">
      <alignment horizontal="center" vertical="center"/>
    </xf>
    <xf numFmtId="1" fontId="0" fillId="91" borderId="187" xfId="0" applyNumberFormat="1" applyFill="1" applyBorder="1" applyAlignment="1">
      <alignment horizontal="center" vertical="center" wrapText="1"/>
    </xf>
    <xf numFmtId="0" fontId="0" fillId="91" borderId="187" xfId="0" applyFill="1" applyBorder="1" applyAlignment="1">
      <alignment horizontal="center" vertical="center" wrapText="1"/>
    </xf>
    <xf numFmtId="0" fontId="0" fillId="0" borderId="8" xfId="0" applyBorder="1"/>
    <xf numFmtId="0" fontId="0" fillId="0" borderId="104" xfId="0" applyBorder="1"/>
    <xf numFmtId="0" fontId="0" fillId="0" borderId="10" xfId="0" applyBorder="1"/>
    <xf numFmtId="0" fontId="2" fillId="15" borderId="19" xfId="0" applyFont="1" applyFill="1" applyBorder="1" applyAlignment="1">
      <alignment horizontal="center" vertical="center" wrapText="1"/>
    </xf>
    <xf numFmtId="0" fontId="2" fillId="15" borderId="20" xfId="0" applyFont="1" applyFill="1" applyBorder="1" applyAlignment="1">
      <alignment horizontal="center" vertical="center" wrapText="1"/>
    </xf>
    <xf numFmtId="0" fontId="2" fillId="15" borderId="21" xfId="0" applyFont="1" applyFill="1" applyBorder="1" applyAlignment="1">
      <alignment horizontal="center" vertical="center" wrapText="1"/>
    </xf>
    <xf numFmtId="0" fontId="0" fillId="0" borderId="0" xfId="0" applyAlignment="1">
      <alignment vertical="center" wrapText="1"/>
    </xf>
    <xf numFmtId="0" fontId="217" fillId="2" borderId="0" xfId="3" applyFont="1" applyFill="1" applyAlignment="1">
      <alignment horizontal="left"/>
    </xf>
    <xf numFmtId="190" fontId="89" fillId="0" borderId="0" xfId="4" applyNumberFormat="1" applyFont="1"/>
    <xf numFmtId="2" fontId="0" fillId="0" borderId="218" xfId="0" applyNumberFormat="1" applyBorder="1" applyAlignment="1">
      <alignment horizontal="center" vertical="center"/>
    </xf>
    <xf numFmtId="190" fontId="39" fillId="0" borderId="187" xfId="3" applyNumberFormat="1" applyFont="1" applyBorder="1" applyAlignment="1">
      <alignment horizontal="center" vertical="center"/>
    </xf>
    <xf numFmtId="175" fontId="3" fillId="0" borderId="204" xfId="0" applyNumberFormat="1" applyFont="1" applyBorder="1"/>
    <xf numFmtId="175" fontId="3" fillId="14" borderId="214" xfId="0" applyNumberFormat="1" applyFont="1" applyFill="1" applyBorder="1"/>
    <xf numFmtId="175" fontId="3" fillId="0" borderId="205" xfId="0" applyNumberFormat="1" applyFont="1" applyBorder="1"/>
    <xf numFmtId="0" fontId="3" fillId="14" borderId="214" xfId="0" applyFont="1" applyFill="1" applyBorder="1"/>
    <xf numFmtId="175" fontId="3" fillId="0" borderId="224" xfId="0" applyNumberFormat="1" applyFont="1" applyBorder="1"/>
    <xf numFmtId="175" fontId="3" fillId="0" borderId="224" xfId="0" applyNumberFormat="1" applyFont="1" applyBorder="1" applyAlignment="1">
      <alignment horizontal="right"/>
    </xf>
    <xf numFmtId="0" fontId="218" fillId="6" borderId="26" xfId="6" applyFont="1" applyFill="1" applyBorder="1" applyAlignment="1">
      <alignment horizontal="center" vertical="center" wrapText="1"/>
    </xf>
    <xf numFmtId="0" fontId="27" fillId="3" borderId="15" xfId="3" applyFont="1" applyFill="1" applyBorder="1" applyAlignment="1">
      <alignment horizontal="center" vertical="center" wrapText="1"/>
    </xf>
    <xf numFmtId="0" fontId="35" fillId="15" borderId="20" xfId="0" applyFont="1" applyFill="1" applyBorder="1" applyAlignment="1">
      <alignment horizontal="center" vertical="center" wrapText="1"/>
    </xf>
    <xf numFmtId="0" fontId="35" fillId="15" borderId="21" xfId="0" applyFont="1" applyFill="1" applyBorder="1" applyAlignment="1">
      <alignment horizontal="center" vertical="center" wrapText="1"/>
    </xf>
    <xf numFmtId="190" fontId="39" fillId="0" borderId="121" xfId="3" applyNumberFormat="1" applyFont="1" applyBorder="1" applyAlignment="1">
      <alignment horizontal="center" vertical="center"/>
    </xf>
    <xf numFmtId="190" fontId="39" fillId="0" borderId="225" xfId="3" applyNumberFormat="1" applyFont="1" applyBorder="1" applyAlignment="1">
      <alignment horizontal="center" vertical="center"/>
    </xf>
    <xf numFmtId="190" fontId="39" fillId="0" borderId="159" xfId="3" applyNumberFormat="1" applyFont="1" applyBorder="1" applyAlignment="1">
      <alignment horizontal="center" vertical="center"/>
    </xf>
    <xf numFmtId="175" fontId="0" fillId="0" borderId="226" xfId="0" applyNumberFormat="1" applyBorder="1" applyAlignment="1">
      <alignment horizontal="center" vertical="center"/>
    </xf>
    <xf numFmtId="175" fontId="0" fillId="0" borderId="107" xfId="0" applyNumberFormat="1" applyBorder="1" applyAlignment="1">
      <alignment horizontal="center" vertical="center"/>
    </xf>
    <xf numFmtId="175" fontId="0" fillId="0" borderId="108" xfId="0" applyNumberFormat="1" applyBorder="1" applyAlignment="1">
      <alignment horizontal="center" vertical="center"/>
    </xf>
    <xf numFmtId="175" fontId="0" fillId="0" borderId="224" xfId="0" applyNumberFormat="1" applyBorder="1" applyAlignment="1">
      <alignment horizontal="center" vertical="center"/>
    </xf>
    <xf numFmtId="175" fontId="0" fillId="0" borderId="168" xfId="0" applyNumberFormat="1" applyBorder="1" applyAlignment="1">
      <alignment horizontal="center" vertical="center"/>
    </xf>
    <xf numFmtId="175" fontId="0" fillId="0" borderId="158" xfId="0" applyNumberFormat="1" applyBorder="1" applyAlignment="1">
      <alignment horizontal="center" vertical="center"/>
    </xf>
    <xf numFmtId="1" fontId="0" fillId="16" borderId="187" xfId="0" applyNumberFormat="1" applyFill="1" applyBorder="1" applyAlignment="1">
      <alignment horizontal="center" vertical="center"/>
    </xf>
    <xf numFmtId="10" fontId="0" fillId="18" borderId="122" xfId="26" applyNumberFormat="1" applyFont="1" applyFill="1" applyBorder="1" applyAlignment="1">
      <alignment horizontal="center" vertical="center"/>
    </xf>
    <xf numFmtId="10" fontId="0" fillId="18" borderId="228" xfId="26" applyNumberFormat="1" applyFont="1" applyFill="1" applyBorder="1" applyAlignment="1">
      <alignment horizontal="center" vertical="center"/>
    </xf>
    <xf numFmtId="10" fontId="0" fillId="18" borderId="171" xfId="26" applyNumberFormat="1" applyFont="1" applyFill="1" applyBorder="1" applyAlignment="1">
      <alignment horizontal="center" vertical="center"/>
    </xf>
    <xf numFmtId="10" fontId="0" fillId="18" borderId="109" xfId="26" applyNumberFormat="1" applyFont="1" applyFill="1" applyBorder="1" applyAlignment="1">
      <alignment horizontal="center" vertical="center"/>
    </xf>
    <xf numFmtId="10" fontId="0" fillId="0" borderId="227" xfId="26" applyNumberFormat="1" applyFont="1" applyBorder="1" applyAlignment="1">
      <alignment horizontal="center" vertical="center"/>
    </xf>
    <xf numFmtId="10" fontId="0" fillId="18" borderId="227" xfId="26" applyNumberFormat="1" applyFont="1" applyFill="1" applyBorder="1" applyAlignment="1">
      <alignment horizontal="center" vertical="center"/>
    </xf>
    <xf numFmtId="10" fontId="0" fillId="18" borderId="172" xfId="26" applyNumberFormat="1" applyFont="1" applyFill="1" applyBorder="1" applyAlignment="1">
      <alignment horizontal="center" vertical="center"/>
    </xf>
    <xf numFmtId="10" fontId="0" fillId="0" borderId="172" xfId="26" applyNumberFormat="1" applyFont="1" applyBorder="1" applyAlignment="1">
      <alignment horizontal="center" vertical="center"/>
    </xf>
    <xf numFmtId="202" fontId="0" fillId="0" borderId="224" xfId="11612" applyNumberFormat="1" applyFont="1" applyBorder="1" applyAlignment="1">
      <alignment vertical="center"/>
    </xf>
    <xf numFmtId="171" fontId="0" fillId="0" borderId="0" xfId="11612" applyFont="1"/>
    <xf numFmtId="202" fontId="0" fillId="9" borderId="224" xfId="11612" applyNumberFormat="1" applyFont="1" applyFill="1" applyBorder="1" applyAlignment="1">
      <alignment vertical="center"/>
    </xf>
    <xf numFmtId="202" fontId="0" fillId="53" borderId="224" xfId="11612" applyNumberFormat="1" applyFont="1" applyFill="1" applyBorder="1" applyAlignment="1">
      <alignment vertical="center"/>
    </xf>
    <xf numFmtId="0" fontId="146" fillId="57" borderId="217" xfId="0" applyFont="1" applyFill="1" applyBorder="1" applyAlignment="1">
      <alignment horizontal="center" vertical="center" wrapText="1"/>
    </xf>
    <xf numFmtId="0" fontId="0" fillId="0" borderId="149" xfId="0" applyBorder="1"/>
    <xf numFmtId="0" fontId="0" fillId="0" borderId="236" xfId="0" applyBorder="1"/>
    <xf numFmtId="0" fontId="0" fillId="0" borderId="237" xfId="0" applyBorder="1"/>
    <xf numFmtId="0" fontId="0" fillId="0" borderId="238" xfId="0" applyBorder="1"/>
    <xf numFmtId="0" fontId="89" fillId="58" borderId="224" xfId="0" applyFont="1" applyFill="1" applyBorder="1" applyAlignment="1">
      <alignment horizontal="center" vertical="center" wrapText="1"/>
    </xf>
    <xf numFmtId="0" fontId="219" fillId="56" borderId="224" xfId="0" applyFont="1" applyFill="1" applyBorder="1" applyAlignment="1">
      <alignment horizontal="center" vertical="center" wrapText="1"/>
    </xf>
    <xf numFmtId="183" fontId="69" fillId="18" borderId="31" xfId="21" applyNumberFormat="1" applyFont="1" applyFill="1" applyBorder="1" applyAlignment="1">
      <alignment horizontal="center" vertical="center"/>
    </xf>
    <xf numFmtId="0" fontId="0" fillId="0" borderId="224" xfId="0" applyBorder="1" applyAlignment="1">
      <alignment horizontal="center" vertical="center"/>
    </xf>
    <xf numFmtId="14" fontId="124" fillId="0" borderId="50" xfId="0" applyNumberFormat="1" applyFont="1" applyBorder="1" applyAlignment="1">
      <alignment horizontal="center" vertical="center"/>
    </xf>
    <xf numFmtId="175" fontId="3" fillId="9" borderId="224" xfId="0" applyNumberFormat="1" applyFont="1" applyFill="1" applyBorder="1"/>
    <xf numFmtId="175" fontId="15" fillId="0" borderId="240" xfId="5" applyNumberFormat="1" applyFont="1" applyBorder="1" applyAlignment="1">
      <alignment horizontal="center" wrapText="1"/>
    </xf>
    <xf numFmtId="191" fontId="66" fillId="0" borderId="0" xfId="4" applyNumberFormat="1" applyFont="1" applyAlignment="1">
      <alignment horizontal="center" vertical="center"/>
    </xf>
    <xf numFmtId="0" fontId="89" fillId="58" borderId="227" xfId="0" applyFont="1" applyFill="1" applyBorder="1" applyAlignment="1">
      <alignment horizontal="center" vertical="center" wrapText="1"/>
    </xf>
    <xf numFmtId="0" fontId="219" fillId="56" borderId="226" xfId="0" applyFont="1" applyFill="1" applyBorder="1" applyAlignment="1">
      <alignment horizontal="center" vertical="center" wrapText="1"/>
    </xf>
    <xf numFmtId="37" fontId="69" fillId="18" borderId="224" xfId="21" applyNumberFormat="1" applyFont="1" applyFill="1" applyBorder="1" applyAlignment="1">
      <alignment horizontal="center" vertical="center"/>
    </xf>
    <xf numFmtId="1" fontId="0" fillId="0" borderId="218" xfId="0" applyNumberFormat="1" applyBorder="1" applyAlignment="1">
      <alignment horizontal="center" vertical="center"/>
    </xf>
    <xf numFmtId="175" fontId="3" fillId="9" borderId="143" xfId="0" applyNumberFormat="1" applyFont="1" applyFill="1" applyBorder="1"/>
    <xf numFmtId="175" fontId="3" fillId="9" borderId="205" xfId="0" applyNumberFormat="1" applyFont="1" applyFill="1" applyBorder="1"/>
    <xf numFmtId="183" fontId="0" fillId="0" borderId="224" xfId="0" applyNumberFormat="1" applyBorder="1" applyAlignment="1">
      <alignment horizontal="center" vertical="center"/>
    </xf>
    <xf numFmtId="183" fontId="0" fillId="0" borderId="50" xfId="0" applyNumberFormat="1" applyBorder="1" applyAlignment="1">
      <alignment horizontal="center"/>
    </xf>
    <xf numFmtId="0" fontId="39" fillId="0" borderId="225" xfId="4" applyFont="1" applyBorder="1" applyAlignment="1">
      <alignment horizontal="center" vertical="center"/>
    </xf>
    <xf numFmtId="0" fontId="39" fillId="0" borderId="124" xfId="4" applyFont="1" applyBorder="1" applyAlignment="1">
      <alignment horizontal="center" vertical="center"/>
    </xf>
    <xf numFmtId="2" fontId="0" fillId="25" borderId="226" xfId="0" applyNumberFormat="1" applyFill="1" applyBorder="1" applyAlignment="1">
      <alignment wrapText="1"/>
    </xf>
    <xf numFmtId="2" fontId="0" fillId="25" borderId="224" xfId="0" applyNumberFormat="1" applyFill="1" applyBorder="1" applyAlignment="1">
      <alignment wrapText="1"/>
    </xf>
    <xf numFmtId="0" fontId="39" fillId="0" borderId="121" xfId="4" applyFont="1" applyBorder="1" applyAlignment="1">
      <alignment horizontal="center" vertical="center"/>
    </xf>
    <xf numFmtId="2" fontId="0" fillId="25" borderId="125" xfId="0" applyNumberFormat="1" applyFill="1" applyBorder="1"/>
    <xf numFmtId="187" fontId="68" fillId="0" borderId="0" xfId="0" applyNumberFormat="1" applyFont="1"/>
    <xf numFmtId="0" fontId="11" fillId="6" borderId="10" xfId="6" applyFont="1" applyFill="1" applyBorder="1" applyAlignment="1">
      <alignment horizontal="center" vertical="center" wrapText="1"/>
    </xf>
    <xf numFmtId="0" fontId="220" fillId="3" borderId="21" xfId="3" applyFont="1" applyFill="1" applyBorder="1" applyAlignment="1">
      <alignment horizontal="center" vertical="center" wrapText="1"/>
    </xf>
    <xf numFmtId="1" fontId="15" fillId="0" borderId="2" xfId="5" applyNumberFormat="1" applyFont="1" applyBorder="1" applyAlignment="1">
      <alignment horizontal="center" wrapText="1"/>
    </xf>
    <xf numFmtId="1" fontId="15" fillId="0" borderId="69" xfId="5" applyNumberFormat="1" applyFont="1" applyBorder="1" applyAlignment="1">
      <alignment horizontal="center" wrapText="1"/>
    </xf>
    <xf numFmtId="1" fontId="15" fillId="0" borderId="52" xfId="5" applyNumberFormat="1" applyFont="1" applyBorder="1" applyAlignment="1">
      <alignment horizontal="center" wrapText="1"/>
    </xf>
    <xf numFmtId="175" fontId="15" fillId="0" borderId="242" xfId="5" applyNumberFormat="1" applyFont="1" applyBorder="1" applyAlignment="1">
      <alignment horizontal="center" wrapText="1"/>
    </xf>
    <xf numFmtId="175" fontId="17" fillId="0" borderId="15" xfId="3" applyNumberFormat="1" applyFont="1" applyBorder="1" applyAlignment="1">
      <alignment horizontal="center" vertical="center"/>
    </xf>
    <xf numFmtId="1" fontId="15" fillId="0" borderId="87" xfId="5" applyNumberFormat="1" applyFont="1" applyBorder="1" applyAlignment="1">
      <alignment horizontal="center" wrapText="1"/>
    </xf>
    <xf numFmtId="175" fontId="17" fillId="0" borderId="1" xfId="3" applyNumberFormat="1" applyFont="1" applyBorder="1" applyAlignment="1">
      <alignment horizontal="center" vertical="center"/>
    </xf>
    <xf numFmtId="175" fontId="17" fillId="0" borderId="103" xfId="3" applyNumberFormat="1" applyFont="1" applyBorder="1" applyAlignment="1">
      <alignment horizontal="center" vertical="center"/>
    </xf>
    <xf numFmtId="0" fontId="66" fillId="0" borderId="23" xfId="4" applyFont="1" applyBorder="1" applyAlignment="1">
      <alignment horizontal="center" vertical="center"/>
    </xf>
    <xf numFmtId="0" fontId="10" fillId="113" borderId="104" xfId="3" applyFont="1" applyFill="1" applyBorder="1" applyAlignment="1">
      <alignment vertical="center" wrapText="1"/>
    </xf>
    <xf numFmtId="0" fontId="10" fillId="113" borderId="10" xfId="3" applyFont="1" applyFill="1" applyBorder="1" applyAlignment="1">
      <alignment vertical="center" wrapText="1"/>
    </xf>
    <xf numFmtId="0" fontId="218" fillId="114" borderId="26" xfId="6" applyFont="1" applyFill="1" applyBorder="1" applyAlignment="1">
      <alignment horizontal="center" vertical="center" wrapText="1"/>
    </xf>
    <xf numFmtId="0" fontId="125" fillId="14" borderId="224" xfId="0" applyFont="1" applyFill="1" applyBorder="1" applyAlignment="1">
      <alignment horizontal="center" vertical="center" wrapText="1"/>
    </xf>
    <xf numFmtId="175" fontId="68" fillId="0" borderId="0" xfId="0" applyNumberFormat="1" applyFont="1"/>
    <xf numFmtId="1" fontId="2" fillId="0" borderId="0" xfId="0" applyNumberFormat="1" applyFont="1" applyAlignment="1">
      <alignment horizontal="center" vertical="center"/>
    </xf>
    <xf numFmtId="1" fontId="0" fillId="0" borderId="0" xfId="0" applyNumberFormat="1"/>
    <xf numFmtId="0" fontId="221" fillId="0" borderId="0" xfId="0" applyFont="1" applyAlignment="1">
      <alignment horizontal="center"/>
    </xf>
    <xf numFmtId="0" fontId="221" fillId="0" borderId="243" xfId="0" applyFont="1" applyBorder="1"/>
    <xf numFmtId="0" fontId="39" fillId="0" borderId="0" xfId="0" applyFont="1"/>
    <xf numFmtId="0" fontId="218" fillId="6" borderId="10" xfId="6" applyFont="1" applyFill="1" applyBorder="1" applyAlignment="1">
      <alignment horizontal="center" vertical="center" wrapText="1"/>
    </xf>
    <xf numFmtId="0" fontId="27" fillId="3" borderId="21" xfId="3" applyFont="1" applyFill="1" applyBorder="1" applyAlignment="1">
      <alignment horizontal="center" vertical="center" wrapText="1"/>
    </xf>
    <xf numFmtId="0" fontId="2" fillId="57" borderId="224" xfId="0" applyFont="1" applyFill="1" applyBorder="1" applyAlignment="1">
      <alignment horizontal="center" vertical="center"/>
    </xf>
    <xf numFmtId="0" fontId="2" fillId="57" borderId="224" xfId="0" applyFont="1" applyFill="1" applyBorder="1" applyAlignment="1">
      <alignment horizontal="center"/>
    </xf>
    <xf numFmtId="0" fontId="0" fillId="57" borderId="246" xfId="0" applyFill="1" applyBorder="1" applyAlignment="1">
      <alignment horizontal="center" vertical="center"/>
    </xf>
    <xf numFmtId="0" fontId="0" fillId="57" borderId="246" xfId="0" applyFill="1" applyBorder="1" applyAlignment="1">
      <alignment horizontal="center"/>
    </xf>
    <xf numFmtId="0" fontId="0" fillId="57" borderId="45" xfId="0" applyFill="1" applyBorder="1" applyAlignment="1">
      <alignment horizontal="center"/>
    </xf>
    <xf numFmtId="0" fontId="0" fillId="0" borderId="87" xfId="0" applyBorder="1" applyAlignment="1">
      <alignment horizontal="center"/>
    </xf>
    <xf numFmtId="0" fontId="0" fillId="0" borderId="87" xfId="0" applyBorder="1"/>
    <xf numFmtId="1" fontId="0" fillId="0" borderId="87" xfId="0" applyNumberFormat="1" applyBorder="1" applyAlignment="1">
      <alignment horizontal="right" vertical="center"/>
    </xf>
    <xf numFmtId="1" fontId="0" fillId="115" borderId="87" xfId="0" applyNumberFormat="1" applyFill="1" applyBorder="1" applyAlignment="1">
      <alignment horizontal="right" vertical="center"/>
    </xf>
    <xf numFmtId="1" fontId="0" fillId="115" borderId="87" xfId="0" applyNumberFormat="1" applyFill="1" applyBorder="1" applyAlignment="1">
      <alignment horizontal="right"/>
    </xf>
    <xf numFmtId="1" fontId="0" fillId="0" borderId="87" xfId="0" applyNumberFormat="1" applyBorder="1" applyAlignment="1">
      <alignment horizontal="center" vertical="center"/>
    </xf>
    <xf numFmtId="1" fontId="2" fillId="0" borderId="87" xfId="0" applyNumberFormat="1" applyFont="1" applyBorder="1" applyAlignment="1">
      <alignment horizontal="center" vertical="center"/>
    </xf>
    <xf numFmtId="0" fontId="0" fillId="0" borderId="69" xfId="0" applyBorder="1" applyAlignment="1">
      <alignment horizontal="center"/>
    </xf>
    <xf numFmtId="0" fontId="0" fillId="0" borderId="69" xfId="0" applyBorder="1"/>
    <xf numFmtId="1" fontId="0" fillId="0" borderId="69" xfId="0" applyNumberFormat="1" applyBorder="1" applyAlignment="1">
      <alignment horizontal="right" vertical="center"/>
    </xf>
    <xf numFmtId="1" fontId="0" fillId="115" borderId="69" xfId="0" applyNumberFormat="1" applyFill="1" applyBorder="1" applyAlignment="1">
      <alignment horizontal="right" vertical="center"/>
    </xf>
    <xf numFmtId="1" fontId="0" fillId="0" borderId="69" xfId="0" applyNumberFormat="1" applyBorder="1" applyAlignment="1">
      <alignment horizontal="right"/>
    </xf>
    <xf numFmtId="1" fontId="0" fillId="115" borderId="69" xfId="0" applyNumberFormat="1" applyFill="1" applyBorder="1" applyAlignment="1">
      <alignment horizontal="right"/>
    </xf>
    <xf numFmtId="1" fontId="0" fillId="0" borderId="69" xfId="0" applyNumberFormat="1" applyBorder="1" applyAlignment="1">
      <alignment horizontal="center" vertical="center"/>
    </xf>
    <xf numFmtId="1" fontId="2" fillId="0" borderId="69" xfId="0" applyNumberFormat="1" applyFont="1" applyBorder="1" applyAlignment="1">
      <alignment horizontal="center" vertical="center"/>
    </xf>
    <xf numFmtId="1" fontId="2" fillId="0" borderId="248" xfId="0" applyNumberFormat="1" applyFont="1" applyBorder="1" applyAlignment="1">
      <alignment horizontal="center" vertical="center"/>
    </xf>
    <xf numFmtId="0" fontId="0" fillId="0" borderId="69" xfId="0" applyBorder="1" applyAlignment="1">
      <alignment horizontal="right" vertical="center"/>
    </xf>
    <xf numFmtId="0" fontId="0" fillId="115" borderId="69" xfId="0" applyFill="1" applyBorder="1" applyAlignment="1">
      <alignment horizontal="right" vertical="center"/>
    </xf>
    <xf numFmtId="1" fontId="0" fillId="0" borderId="248" xfId="0" applyNumberFormat="1" applyBorder="1" applyAlignment="1">
      <alignment horizontal="center" vertical="center"/>
    </xf>
    <xf numFmtId="0" fontId="0" fillId="0" borderId="98" xfId="0" applyBorder="1" applyAlignment="1">
      <alignment horizontal="center"/>
    </xf>
    <xf numFmtId="0" fontId="0" fillId="0" borderId="98" xfId="0" applyBorder="1"/>
    <xf numFmtId="0" fontId="0" fillId="0" borderId="98" xfId="0" applyBorder="1" applyAlignment="1">
      <alignment horizontal="right" vertical="center"/>
    </xf>
    <xf numFmtId="1" fontId="0" fillId="115" borderId="98" xfId="0" applyNumberFormat="1" applyFill="1" applyBorder="1" applyAlignment="1">
      <alignment horizontal="right" vertical="center"/>
    </xf>
    <xf numFmtId="0" fontId="0" fillId="0" borderId="98" xfId="0" applyBorder="1" applyAlignment="1">
      <alignment horizontal="right"/>
    </xf>
    <xf numFmtId="1" fontId="0" fillId="115" borderId="98" xfId="0" applyNumberFormat="1" applyFill="1" applyBorder="1" applyAlignment="1">
      <alignment horizontal="right"/>
    </xf>
    <xf numFmtId="0" fontId="0" fillId="0" borderId="98" xfId="0" applyBorder="1" applyAlignment="1">
      <alignment horizontal="center" vertical="center"/>
    </xf>
    <xf numFmtId="1" fontId="2" fillId="0" borderId="98" xfId="0" applyNumberFormat="1" applyFont="1" applyBorder="1" applyAlignment="1">
      <alignment horizontal="center" vertical="center"/>
    </xf>
    <xf numFmtId="1" fontId="0" fillId="0" borderId="98" xfId="0" applyNumberFormat="1" applyBorder="1" applyAlignment="1">
      <alignment horizontal="center" vertical="center"/>
    </xf>
    <xf numFmtId="1" fontId="0" fillId="0" borderId="249" xfId="0" applyNumberFormat="1" applyBorder="1" applyAlignment="1">
      <alignment horizontal="center" vertical="center"/>
    </xf>
    <xf numFmtId="0" fontId="0" fillId="0" borderId="2" xfId="0" applyBorder="1" applyAlignment="1">
      <alignment horizontal="center"/>
    </xf>
    <xf numFmtId="0" fontId="0" fillId="0" borderId="2" xfId="0" applyBorder="1"/>
    <xf numFmtId="1" fontId="0" fillId="0" borderId="2" xfId="0" applyNumberFormat="1" applyBorder="1" applyAlignment="1">
      <alignment horizontal="right" vertical="center"/>
    </xf>
    <xf numFmtId="1" fontId="0" fillId="115" borderId="2" xfId="0" applyNumberFormat="1" applyFill="1" applyBorder="1" applyAlignment="1">
      <alignment horizontal="right" vertical="center"/>
    </xf>
    <xf numFmtId="1" fontId="0" fillId="0" borderId="2" xfId="0" applyNumberFormat="1" applyBorder="1" applyAlignment="1">
      <alignment horizontal="right"/>
    </xf>
    <xf numFmtId="1" fontId="0" fillId="115" borderId="2" xfId="0" applyNumberFormat="1" applyFill="1" applyBorder="1" applyAlignment="1">
      <alignment horizontal="right"/>
    </xf>
    <xf numFmtId="1" fontId="0" fillId="0" borderId="2" xfId="0" applyNumberFormat="1" applyBorder="1" applyAlignment="1">
      <alignment horizontal="center" vertical="center"/>
    </xf>
    <xf numFmtId="1" fontId="2" fillId="0" borderId="2" xfId="0" applyNumberFormat="1" applyFont="1" applyBorder="1" applyAlignment="1">
      <alignment horizontal="center" vertical="center"/>
    </xf>
    <xf numFmtId="1" fontId="0" fillId="0" borderId="250" xfId="0" applyNumberFormat="1" applyBorder="1" applyAlignment="1">
      <alignment horizontal="center" vertical="center"/>
    </xf>
    <xf numFmtId="1" fontId="2" fillId="0" borderId="250" xfId="0" applyNumberFormat="1" applyFont="1" applyBorder="1" applyAlignment="1">
      <alignment horizontal="center" vertical="center"/>
    </xf>
    <xf numFmtId="17" fontId="52" fillId="0" borderId="0" xfId="0" quotePrefix="1" applyNumberFormat="1" applyFont="1"/>
    <xf numFmtId="17" fontId="52" fillId="0" borderId="0" xfId="0" applyNumberFormat="1" applyFont="1"/>
    <xf numFmtId="17" fontId="52" fillId="0" borderId="237" xfId="0" quotePrefix="1" applyNumberFormat="1" applyFont="1" applyBorder="1" applyAlignment="1">
      <alignment horizontal="center"/>
    </xf>
    <xf numFmtId="0" fontId="0" fillId="0" borderId="254" xfId="0" applyBorder="1"/>
    <xf numFmtId="0" fontId="0" fillId="0" borderId="255" xfId="0" applyBorder="1"/>
    <xf numFmtId="0" fontId="120" fillId="116" borderId="259" xfId="5" applyFont="1" applyFill="1" applyBorder="1" applyAlignment="1">
      <alignment horizontal="center" vertical="center" wrapText="1"/>
    </xf>
    <xf numFmtId="0" fontId="120" fillId="116" borderId="260" xfId="5" applyFont="1" applyFill="1" applyBorder="1" applyAlignment="1">
      <alignment horizontal="center" vertical="center" wrapText="1"/>
    </xf>
    <xf numFmtId="0" fontId="40" fillId="0" borderId="0" xfId="5" applyFont="1" applyAlignment="1">
      <alignment horizontal="center" vertical="center" wrapText="1"/>
    </xf>
    <xf numFmtId="178" fontId="40" fillId="0" borderId="0" xfId="21" applyNumberFormat="1" applyFont="1" applyBorder="1" applyAlignment="1">
      <alignment horizontal="center" vertical="center" wrapText="1"/>
    </xf>
    <xf numFmtId="0" fontId="40" fillId="0" borderId="261" xfId="5" applyFont="1" applyBorder="1" applyAlignment="1">
      <alignment horizontal="center" vertical="center" wrapText="1"/>
    </xf>
    <xf numFmtId="10" fontId="0" fillId="50" borderId="262" xfId="26" applyNumberFormat="1" applyFont="1" applyFill="1" applyBorder="1"/>
    <xf numFmtId="10" fontId="0" fillId="50" borderId="263" xfId="26" applyNumberFormat="1" applyFont="1" applyFill="1" applyBorder="1"/>
    <xf numFmtId="0" fontId="39" fillId="0" borderId="0" xfId="5" applyFont="1"/>
    <xf numFmtId="178" fontId="39" fillId="0" borderId="0" xfId="21" applyNumberFormat="1" applyFont="1" applyBorder="1"/>
    <xf numFmtId="179" fontId="39" fillId="0" borderId="0" xfId="5" applyNumberFormat="1" applyFont="1"/>
    <xf numFmtId="180" fontId="39" fillId="0" borderId="0" xfId="5" applyNumberFormat="1" applyFont="1"/>
    <xf numFmtId="180" fontId="39" fillId="0" borderId="173" xfId="5" applyNumberFormat="1" applyFont="1" applyBorder="1"/>
    <xf numFmtId="10" fontId="0" fillId="0" borderId="264" xfId="26" applyNumberFormat="1" applyFont="1" applyFill="1" applyBorder="1"/>
    <xf numFmtId="10" fontId="0" fillId="0" borderId="265" xfId="26" applyNumberFormat="1" applyFont="1" applyFill="1" applyBorder="1"/>
    <xf numFmtId="181" fontId="39" fillId="0" borderId="0" xfId="21" applyNumberFormat="1" applyFont="1" applyBorder="1"/>
    <xf numFmtId="10" fontId="0" fillId="50" borderId="266" xfId="26" applyNumberFormat="1" applyFont="1" applyFill="1" applyBorder="1"/>
    <xf numFmtId="10" fontId="0" fillId="50" borderId="267" xfId="26" applyNumberFormat="1" applyFont="1" applyFill="1" applyBorder="1"/>
    <xf numFmtId="10" fontId="0" fillId="50" borderId="268" xfId="26" applyNumberFormat="1" applyFont="1" applyFill="1" applyBorder="1"/>
    <xf numFmtId="10" fontId="0" fillId="50" borderId="269" xfId="26" applyNumberFormat="1" applyFont="1" applyFill="1" applyBorder="1"/>
    <xf numFmtId="10" fontId="0" fillId="50" borderId="270" xfId="26" applyNumberFormat="1" applyFont="1" applyFill="1" applyBorder="1"/>
    <xf numFmtId="10" fontId="0" fillId="50" borderId="271" xfId="26" applyNumberFormat="1" applyFont="1" applyFill="1" applyBorder="1"/>
    <xf numFmtId="0" fontId="39" fillId="0" borderId="237" xfId="5" applyFont="1" applyBorder="1"/>
    <xf numFmtId="181" fontId="39" fillId="0" borderId="237" xfId="21" applyNumberFormat="1" applyFont="1" applyBorder="1"/>
    <xf numFmtId="178" fontId="39" fillId="0" borderId="237" xfId="21" applyNumberFormat="1" applyFont="1" applyBorder="1"/>
    <xf numFmtId="179" fontId="39" fillId="0" borderId="237" xfId="5" applyNumberFormat="1" applyFont="1" applyBorder="1"/>
    <xf numFmtId="180" fontId="39" fillId="0" borderId="237" xfId="5" applyNumberFormat="1" applyFont="1" applyBorder="1"/>
    <xf numFmtId="180" fontId="39" fillId="0" borderId="238" xfId="5" applyNumberFormat="1" applyFont="1" applyBorder="1"/>
    <xf numFmtId="176" fontId="23" fillId="2" borderId="258" xfId="0" applyNumberFormat="1" applyFont="1" applyFill="1" applyBorder="1" applyAlignment="1">
      <alignment horizontal="center"/>
    </xf>
    <xf numFmtId="0" fontId="221" fillId="0" borderId="0" xfId="0" applyFont="1"/>
    <xf numFmtId="4" fontId="81" fillId="0" borderId="226" xfId="1" applyNumberFormat="1" applyFont="1" applyBorder="1" applyAlignment="1">
      <alignment horizontal="center" vertical="center"/>
    </xf>
    <xf numFmtId="4" fontId="81" fillId="0" borderId="224" xfId="1" applyNumberFormat="1" applyFont="1" applyBorder="1" applyAlignment="1">
      <alignment horizontal="center" vertical="center"/>
    </xf>
    <xf numFmtId="1" fontId="221" fillId="0" borderId="0" xfId="0" applyNumberFormat="1" applyFont="1"/>
    <xf numFmtId="1" fontId="0" fillId="53" borderId="224" xfId="11612" applyNumberFormat="1" applyFont="1" applyFill="1" applyBorder="1" applyAlignment="1">
      <alignment horizontal="center" vertical="center"/>
    </xf>
    <xf numFmtId="1" fontId="0" fillId="53" borderId="143" xfId="11612" applyNumberFormat="1" applyFont="1" applyFill="1" applyBorder="1" applyAlignment="1">
      <alignment horizontal="center" vertical="center"/>
    </xf>
    <xf numFmtId="0" fontId="0" fillId="53" borderId="224" xfId="0" applyFill="1" applyBorder="1" applyAlignment="1">
      <alignment horizontal="center" vertical="center"/>
    </xf>
    <xf numFmtId="0" fontId="0" fillId="117" borderId="246" xfId="0" applyFill="1" applyBorder="1" applyAlignment="1">
      <alignment horizontal="center" vertical="center"/>
    </xf>
    <xf numFmtId="1" fontId="0" fillId="0" borderId="279" xfId="0" applyNumberFormat="1" applyBorder="1" applyAlignment="1">
      <alignment horizontal="center" vertical="center"/>
    </xf>
    <xf numFmtId="0" fontId="0" fillId="0" borderId="66" xfId="0" applyBorder="1" applyAlignment="1">
      <alignment horizontal="center"/>
    </xf>
    <xf numFmtId="0" fontId="0" fillId="0" borderId="66" xfId="0" applyBorder="1"/>
    <xf numFmtId="0" fontId="0" fillId="0" borderId="253" xfId="0" applyBorder="1" applyAlignment="1">
      <alignment horizontal="center"/>
    </xf>
    <xf numFmtId="0" fontId="0" fillId="0" borderId="253" xfId="0" applyBorder="1"/>
    <xf numFmtId="0" fontId="0" fillId="0" borderId="59" xfId="0" applyBorder="1" applyAlignment="1">
      <alignment horizontal="center"/>
    </xf>
    <xf numFmtId="0" fontId="0" fillId="0" borderId="59" xfId="0" applyBorder="1"/>
    <xf numFmtId="1" fontId="0" fillId="0" borderId="281" xfId="0" applyNumberFormat="1" applyBorder="1" applyAlignment="1">
      <alignment horizontal="center" vertical="center"/>
    </xf>
    <xf numFmtId="1" fontId="2" fillId="0" borderId="281" xfId="0" applyNumberFormat="1" applyFont="1" applyBorder="1" applyAlignment="1">
      <alignment horizontal="center" vertical="center"/>
    </xf>
    <xf numFmtId="1" fontId="2" fillId="0" borderId="249" xfId="0" applyNumberFormat="1" applyFont="1" applyBorder="1" applyAlignment="1">
      <alignment horizontal="center" vertical="center"/>
    </xf>
    <xf numFmtId="0" fontId="118" fillId="14" borderId="162" xfId="0" applyFont="1" applyFill="1" applyBorder="1"/>
    <xf numFmtId="2" fontId="3" fillId="14" borderId="162" xfId="0" applyNumberFormat="1" applyFont="1" applyFill="1" applyBorder="1"/>
    <xf numFmtId="175" fontId="3" fillId="14" borderId="144" xfId="0" applyNumberFormat="1" applyFont="1" applyFill="1" applyBorder="1"/>
    <xf numFmtId="176" fontId="23" fillId="14" borderId="162" xfId="0" applyNumberFormat="1" applyFont="1" applyFill="1" applyBorder="1" applyAlignment="1">
      <alignment horizontal="right"/>
    </xf>
    <xf numFmtId="0" fontId="0" fillId="0" borderId="251" xfId="0" applyBorder="1" applyAlignment="1">
      <alignment horizontal="center" vertical="center"/>
    </xf>
    <xf numFmtId="0" fontId="0" fillId="0" borderId="232" xfId="0" applyBorder="1" applyAlignment="1">
      <alignment horizontal="center" vertical="center"/>
    </xf>
    <xf numFmtId="0" fontId="0" fillId="0" borderId="252" xfId="0" applyBorder="1" applyAlignment="1">
      <alignment horizontal="center" vertical="center"/>
    </xf>
    <xf numFmtId="0" fontId="0" fillId="0" borderId="120" xfId="0" applyBorder="1" applyAlignment="1">
      <alignment horizontal="center" vertical="center" wrapText="1"/>
    </xf>
    <xf numFmtId="0" fontId="0" fillId="0" borderId="66" xfId="0" applyBorder="1" applyAlignment="1">
      <alignment horizontal="center" vertical="center" wrapText="1"/>
    </xf>
    <xf numFmtId="0" fontId="0" fillId="0" borderId="253" xfId="0" applyBorder="1" applyAlignment="1">
      <alignment horizontal="center" vertical="center" wrapText="1"/>
    </xf>
    <xf numFmtId="0" fontId="2" fillId="0" borderId="37" xfId="0" applyFont="1" applyBorder="1" applyAlignment="1">
      <alignment horizontal="center" vertical="center"/>
    </xf>
    <xf numFmtId="0" fontId="2" fillId="0" borderId="246" xfId="0" applyFont="1" applyBorder="1" applyAlignment="1">
      <alignment horizontal="center" vertical="center"/>
    </xf>
    <xf numFmtId="0" fontId="2" fillId="0" borderId="44" xfId="0" applyFont="1" applyBorder="1" applyAlignment="1">
      <alignment horizontal="center" vertical="center"/>
    </xf>
    <xf numFmtId="0" fontId="2" fillId="0" borderId="45" xfId="0" applyFont="1" applyBorder="1" applyAlignment="1">
      <alignment horizontal="center" vertical="center"/>
    </xf>
    <xf numFmtId="0" fontId="0" fillId="11" borderId="66" xfId="0" applyFill="1" applyBorder="1"/>
    <xf numFmtId="0" fontId="0" fillId="118" borderId="246" xfId="0" applyFill="1" applyBorder="1" applyAlignment="1">
      <alignment horizontal="center" vertical="center"/>
    </xf>
    <xf numFmtId="0" fontId="2" fillId="0" borderId="289" xfId="0" applyFont="1" applyBorder="1" applyAlignment="1">
      <alignment horizontal="center" vertical="center"/>
    </xf>
    <xf numFmtId="0" fontId="2" fillId="0" borderId="143" xfId="0" applyFont="1" applyBorder="1" applyAlignment="1">
      <alignment horizontal="center" vertical="center"/>
    </xf>
    <xf numFmtId="0" fontId="2" fillId="117" borderId="143" xfId="0" applyFont="1" applyFill="1" applyBorder="1" applyAlignment="1">
      <alignment horizontal="center" vertical="center"/>
    </xf>
    <xf numFmtId="0" fontId="2" fillId="118" borderId="143" xfId="0" applyFont="1" applyFill="1" applyBorder="1" applyAlignment="1">
      <alignment horizontal="center" vertical="center"/>
    </xf>
    <xf numFmtId="0" fontId="0" fillId="117" borderId="45" xfId="0" applyFill="1" applyBorder="1" applyAlignment="1">
      <alignment horizontal="center" vertical="center"/>
    </xf>
    <xf numFmtId="0" fontId="0" fillId="118" borderId="45" xfId="0" applyFill="1" applyBorder="1" applyAlignment="1">
      <alignment horizontal="center" vertical="center"/>
    </xf>
    <xf numFmtId="0" fontId="0" fillId="11" borderId="120" xfId="0" applyFill="1" applyBorder="1" applyAlignment="1">
      <alignment horizontal="center"/>
    </xf>
    <xf numFmtId="0" fontId="0" fillId="11" borderId="120" xfId="0" applyFill="1" applyBorder="1"/>
    <xf numFmtId="1" fontId="0" fillId="14" borderId="87" xfId="0" applyNumberFormat="1" applyFill="1" applyBorder="1" applyAlignment="1">
      <alignment horizontal="center" vertical="center"/>
    </xf>
    <xf numFmtId="1" fontId="0" fillId="0" borderId="101" xfId="0" applyNumberFormat="1" applyBorder="1" applyAlignment="1">
      <alignment horizontal="center" vertical="center"/>
    </xf>
    <xf numFmtId="1" fontId="0" fillId="14" borderId="290" xfId="0" applyNumberFormat="1" applyFill="1" applyBorder="1" applyAlignment="1">
      <alignment horizontal="center" vertical="center"/>
    </xf>
    <xf numFmtId="175" fontId="0" fillId="0" borderId="278" xfId="0" applyNumberFormat="1" applyBorder="1" applyAlignment="1">
      <alignment horizontal="center" vertical="center"/>
    </xf>
    <xf numFmtId="1" fontId="0" fillId="14" borderId="100" xfId="0" applyNumberFormat="1" applyFill="1" applyBorder="1" applyAlignment="1">
      <alignment horizontal="center" vertical="center"/>
    </xf>
    <xf numFmtId="0" fontId="0" fillId="11" borderId="66" xfId="0" applyFill="1" applyBorder="1" applyAlignment="1">
      <alignment horizontal="center"/>
    </xf>
    <xf numFmtId="1" fontId="0" fillId="14" borderId="2" xfId="0" applyNumberFormat="1" applyFill="1" applyBorder="1" applyAlignment="1">
      <alignment horizontal="center" vertical="center"/>
    </xf>
    <xf numFmtId="0" fontId="0" fillId="0" borderId="291" xfId="0" applyBorder="1" applyAlignment="1">
      <alignment horizontal="center" vertical="center"/>
    </xf>
    <xf numFmtId="1" fontId="0" fillId="14" borderId="292" xfId="0" applyNumberFormat="1" applyFill="1" applyBorder="1" applyAlignment="1">
      <alignment horizontal="center" vertical="center"/>
    </xf>
    <xf numFmtId="175" fontId="0" fillId="0" borderId="250" xfId="0" applyNumberFormat="1" applyBorder="1" applyAlignment="1">
      <alignment horizontal="center" vertical="center"/>
    </xf>
    <xf numFmtId="1" fontId="0" fillId="14" borderId="27" xfId="0" applyNumberFormat="1" applyFill="1" applyBorder="1" applyAlignment="1">
      <alignment horizontal="center" vertical="center"/>
    </xf>
    <xf numFmtId="1" fontId="0" fillId="0" borderId="291" xfId="0" applyNumberFormat="1" applyBorder="1" applyAlignment="1">
      <alignment horizontal="center" vertical="center"/>
    </xf>
    <xf numFmtId="1" fontId="0" fillId="0" borderId="291" xfId="0" applyNumberFormat="1" applyBorder="1" applyAlignment="1">
      <alignment horizontal="center"/>
    </xf>
    <xf numFmtId="0" fontId="0" fillId="0" borderId="291" xfId="0" applyBorder="1" applyAlignment="1">
      <alignment horizontal="center"/>
    </xf>
    <xf numFmtId="1" fontId="0" fillId="14" borderId="253" xfId="0" applyNumberFormat="1" applyFill="1" applyBorder="1" applyAlignment="1">
      <alignment horizontal="center" vertical="center"/>
    </xf>
    <xf numFmtId="1" fontId="0" fillId="0" borderId="253" xfId="0" applyNumberFormat="1" applyBorder="1" applyAlignment="1">
      <alignment horizontal="center" vertical="center"/>
    </xf>
    <xf numFmtId="1" fontId="0" fillId="0" borderId="241" xfId="0" applyNumberFormat="1" applyBorder="1" applyAlignment="1">
      <alignment horizontal="center" vertical="center"/>
    </xf>
    <xf numFmtId="1" fontId="0" fillId="14" borderId="252" xfId="0" applyNumberFormat="1" applyFill="1" applyBorder="1" applyAlignment="1">
      <alignment horizontal="center" vertical="center"/>
    </xf>
    <xf numFmtId="175" fontId="0" fillId="0" borderId="293" xfId="0" applyNumberFormat="1" applyBorder="1" applyAlignment="1">
      <alignment horizontal="center" vertical="center"/>
    </xf>
    <xf numFmtId="1" fontId="0" fillId="14" borderId="294" xfId="0" applyNumberFormat="1" applyFill="1" applyBorder="1" applyAlignment="1">
      <alignment horizontal="center" vertical="center"/>
    </xf>
    <xf numFmtId="1" fontId="0" fillId="0" borderId="4" xfId="0" applyNumberFormat="1" applyBorder="1" applyAlignment="1">
      <alignment horizontal="center" vertical="center"/>
    </xf>
    <xf numFmtId="1" fontId="0" fillId="14" borderId="280" xfId="0" applyNumberFormat="1" applyFill="1" applyBorder="1" applyAlignment="1">
      <alignment horizontal="center" vertical="center"/>
    </xf>
    <xf numFmtId="1" fontId="0" fillId="0" borderId="280" xfId="0" applyNumberFormat="1" applyBorder="1" applyAlignment="1">
      <alignment horizontal="center" vertical="center"/>
    </xf>
    <xf numFmtId="1" fontId="3" fillId="0" borderId="295" xfId="0" applyNumberFormat="1" applyFont="1" applyBorder="1" applyAlignment="1">
      <alignment horizontal="center" vertical="center"/>
    </xf>
    <xf numFmtId="1" fontId="0" fillId="14" borderId="296" xfId="0" applyNumberFormat="1" applyFill="1" applyBorder="1" applyAlignment="1">
      <alignment horizontal="center" vertical="center"/>
    </xf>
    <xf numFmtId="1" fontId="0" fillId="14" borderId="297" xfId="0" applyNumberFormat="1" applyFill="1" applyBorder="1" applyAlignment="1">
      <alignment horizontal="center" vertical="center"/>
    </xf>
    <xf numFmtId="1" fontId="0" fillId="14" borderId="69" xfId="0" applyNumberFormat="1" applyFill="1" applyBorder="1" applyAlignment="1">
      <alignment horizontal="center" vertical="center"/>
    </xf>
    <xf numFmtId="175" fontId="0" fillId="0" borderId="69" xfId="0" applyNumberFormat="1" applyBorder="1" applyAlignment="1">
      <alignment horizontal="center" vertical="center"/>
    </xf>
    <xf numFmtId="1" fontId="1" fillId="0" borderId="291" xfId="0" applyNumberFormat="1" applyFont="1" applyBorder="1" applyAlignment="1">
      <alignment horizontal="center" vertical="center"/>
    </xf>
    <xf numFmtId="1" fontId="0" fillId="14" borderId="298" xfId="0" applyNumberFormat="1" applyFill="1" applyBorder="1" applyAlignment="1">
      <alignment horizontal="center" vertical="center"/>
    </xf>
    <xf numFmtId="1" fontId="1" fillId="0" borderId="248" xfId="0" applyNumberFormat="1" applyFont="1" applyBorder="1" applyAlignment="1">
      <alignment horizontal="center" vertical="center"/>
    </xf>
    <xf numFmtId="1" fontId="0" fillId="14" borderId="242" xfId="0" applyNumberFormat="1" applyFill="1" applyBorder="1" applyAlignment="1">
      <alignment horizontal="center" vertical="center"/>
    </xf>
    <xf numFmtId="1" fontId="0" fillId="14" borderId="98" xfId="0" applyNumberFormat="1" applyFill="1" applyBorder="1" applyAlignment="1">
      <alignment horizontal="center" vertical="center"/>
    </xf>
    <xf numFmtId="1" fontId="1" fillId="0" borderId="241" xfId="0" applyNumberFormat="1" applyFont="1" applyBorder="1" applyAlignment="1">
      <alignment horizontal="center" vertical="center"/>
    </xf>
    <xf numFmtId="1" fontId="0" fillId="14" borderId="299" xfId="0" applyNumberFormat="1" applyFill="1" applyBorder="1" applyAlignment="1">
      <alignment horizontal="center" vertical="center"/>
    </xf>
    <xf numFmtId="1" fontId="0" fillId="14" borderId="240" xfId="0" applyNumberFormat="1" applyFill="1" applyBorder="1" applyAlignment="1">
      <alignment horizontal="center" vertical="center"/>
    </xf>
    <xf numFmtId="1" fontId="2" fillId="0" borderId="280" xfId="0" applyNumberFormat="1" applyFont="1" applyBorder="1" applyAlignment="1">
      <alignment horizontal="center" vertical="center"/>
    </xf>
    <xf numFmtId="1" fontId="1" fillId="0" borderId="295" xfId="0" applyNumberFormat="1" applyFont="1" applyBorder="1" applyAlignment="1">
      <alignment horizontal="center" vertical="center"/>
    </xf>
    <xf numFmtId="1" fontId="1" fillId="0" borderId="4" xfId="0" applyNumberFormat="1" applyFont="1" applyBorder="1" applyAlignment="1">
      <alignment horizontal="center" vertical="center"/>
    </xf>
    <xf numFmtId="0" fontId="228" fillId="0" borderId="0" xfId="0" applyFont="1"/>
    <xf numFmtId="0" fontId="68" fillId="0" borderId="0" xfId="0" applyFont="1" applyAlignment="1">
      <alignment horizontal="center"/>
    </xf>
    <xf numFmtId="1" fontId="68" fillId="0" borderId="0" xfId="0" applyNumberFormat="1" applyFont="1"/>
    <xf numFmtId="0" fontId="229" fillId="0" borderId="0" xfId="0" applyFont="1"/>
    <xf numFmtId="2" fontId="228" fillId="0" borderId="0" xfId="0" applyNumberFormat="1" applyFont="1"/>
    <xf numFmtId="175" fontId="230" fillId="0" borderId="0" xfId="0" applyNumberFormat="1" applyFont="1" applyAlignment="1">
      <alignment horizontal="right" vertical="center"/>
    </xf>
    <xf numFmtId="0" fontId="90" fillId="0" borderId="0" xfId="0" applyFont="1"/>
    <xf numFmtId="9" fontId="228" fillId="0" borderId="0" xfId="11162" applyFont="1" applyFill="1"/>
    <xf numFmtId="175" fontId="90" fillId="0" borderId="0" xfId="0" applyNumberFormat="1" applyFont="1"/>
    <xf numFmtId="1" fontId="90" fillId="0" borderId="0" xfId="0" applyNumberFormat="1" applyFont="1"/>
    <xf numFmtId="1" fontId="228" fillId="0" borderId="0" xfId="0" applyNumberFormat="1" applyFont="1"/>
    <xf numFmtId="0" fontId="86" fillId="0" borderId="26" xfId="0" applyFont="1" applyBorder="1" applyAlignment="1">
      <alignment horizontal="center" vertical="center"/>
    </xf>
    <xf numFmtId="0" fontId="86" fillId="0" borderId="26" xfId="0" applyFont="1" applyBorder="1" applyAlignment="1">
      <alignment horizontal="center"/>
    </xf>
    <xf numFmtId="0" fontId="231" fillId="0" borderId="26" xfId="0" applyFont="1" applyBorder="1" applyAlignment="1">
      <alignment horizontal="center"/>
    </xf>
    <xf numFmtId="0" fontId="86" fillId="0" borderId="143" xfId="0" applyFont="1" applyBorder="1" applyAlignment="1">
      <alignment horizontal="center"/>
    </xf>
    <xf numFmtId="0" fontId="2" fillId="0" borderId="143" xfId="0" applyFont="1" applyBorder="1" applyAlignment="1">
      <alignment horizontal="center"/>
    </xf>
    <xf numFmtId="9" fontId="228" fillId="0" borderId="109" xfId="11162" applyFont="1" applyFill="1" applyBorder="1" applyAlignment="1">
      <alignment horizontal="center" vertical="center"/>
    </xf>
    <xf numFmtId="0" fontId="228" fillId="0" borderId="107" xfId="0" applyFont="1" applyBorder="1" applyAlignment="1">
      <alignment horizontal="center"/>
    </xf>
    <xf numFmtId="0" fontId="229" fillId="0" borderId="108" xfId="0" applyFont="1" applyBorder="1"/>
    <xf numFmtId="1" fontId="228" fillId="0" borderId="300" xfId="0" applyNumberFormat="1" applyFont="1" applyBorder="1" applyAlignment="1">
      <alignment horizontal="center" vertical="center"/>
    </xf>
    <xf numFmtId="1" fontId="228" fillId="0" borderId="181" xfId="0" applyNumberFormat="1" applyFont="1" applyBorder="1" applyAlignment="1">
      <alignment horizontal="center" vertical="center"/>
    </xf>
    <xf numFmtId="1" fontId="90" fillId="0" borderId="181" xfId="0" applyNumberFormat="1" applyFont="1" applyBorder="1" applyAlignment="1">
      <alignment horizontal="center" vertical="center"/>
    </xf>
    <xf numFmtId="1" fontId="228" fillId="0" borderId="231" xfId="0" applyNumberFormat="1" applyFont="1" applyBorder="1" applyAlignment="1">
      <alignment horizontal="center" vertical="center"/>
    </xf>
    <xf numFmtId="9" fontId="228" fillId="0" borderId="156" xfId="11162" applyFont="1" applyFill="1" applyBorder="1" applyAlignment="1">
      <alignment horizontal="center" vertical="center"/>
    </xf>
    <xf numFmtId="0" fontId="228" fillId="0" borderId="155" xfId="0" applyFont="1" applyBorder="1" applyAlignment="1">
      <alignment horizontal="center"/>
    </xf>
    <xf numFmtId="0" fontId="229" fillId="0" borderId="143" xfId="0" applyFont="1" applyBorder="1"/>
    <xf numFmtId="1" fontId="228" fillId="0" borderId="67" xfId="0" applyNumberFormat="1" applyFont="1" applyBorder="1" applyAlignment="1">
      <alignment horizontal="center" vertical="center"/>
    </xf>
    <xf numFmtId="1" fontId="228" fillId="0" borderId="0" xfId="0" applyNumberFormat="1" applyFont="1" applyAlignment="1">
      <alignment horizontal="center" vertical="center"/>
    </xf>
    <xf numFmtId="1" fontId="90" fillId="0" borderId="0" xfId="0" applyNumberFormat="1" applyFont="1" applyAlignment="1">
      <alignment horizontal="center" vertical="center"/>
    </xf>
    <xf numFmtId="1" fontId="228" fillId="0" borderId="65" xfId="0" applyNumberFormat="1" applyFont="1" applyBorder="1" applyAlignment="1">
      <alignment horizontal="center" vertical="center"/>
    </xf>
    <xf numFmtId="9" fontId="228" fillId="0" borderId="172" xfId="11162" applyFont="1" applyFill="1" applyBorder="1" applyAlignment="1">
      <alignment horizontal="center" vertical="center"/>
    </xf>
    <xf numFmtId="0" fontId="228" fillId="0" borderId="168" xfId="0" applyFont="1" applyBorder="1" applyAlignment="1">
      <alignment horizontal="center"/>
    </xf>
    <xf numFmtId="0" fontId="229" fillId="0" borderId="45" xfId="0" applyFont="1" applyBorder="1"/>
    <xf numFmtId="1" fontId="228" fillId="0" borderId="76" xfId="0" applyNumberFormat="1" applyFont="1" applyBorder="1" applyAlignment="1">
      <alignment horizontal="center" vertical="center"/>
    </xf>
    <xf numFmtId="1" fontId="228" fillId="0" borderId="50" xfId="0" applyNumberFormat="1" applyFont="1" applyBorder="1" applyAlignment="1">
      <alignment horizontal="center" vertical="center"/>
    </xf>
    <xf numFmtId="1" fontId="90" fillId="0" borderId="50" xfId="0" applyNumberFormat="1" applyFont="1" applyBorder="1" applyAlignment="1">
      <alignment horizontal="center" vertical="center"/>
    </xf>
    <xf numFmtId="1" fontId="228" fillId="0" borderId="77" xfId="0" applyNumberFormat="1" applyFont="1" applyBorder="1" applyAlignment="1">
      <alignment horizontal="center" vertical="center"/>
    </xf>
    <xf numFmtId="0" fontId="231" fillId="0" borderId="8" xfId="0" applyFont="1" applyBorder="1"/>
    <xf numFmtId="0" fontId="228" fillId="0" borderId="143" xfId="0" applyFont="1" applyBorder="1" applyAlignment="1">
      <alignment horizontal="center" vertical="center"/>
    </xf>
    <xf numFmtId="0" fontId="90" fillId="0" borderId="143" xfId="0" applyFont="1" applyBorder="1" applyAlignment="1">
      <alignment horizontal="center" vertical="center"/>
    </xf>
    <xf numFmtId="0" fontId="232" fillId="119" borderId="0" xfId="0" applyFont="1" applyFill="1" applyAlignment="1">
      <alignment horizontal="center"/>
    </xf>
    <xf numFmtId="0" fontId="228" fillId="91" borderId="0" xfId="0" applyFont="1" applyFill="1" applyAlignment="1">
      <alignment horizontal="center"/>
    </xf>
    <xf numFmtId="203" fontId="228" fillId="91" borderId="0" xfId="26" applyNumberFormat="1" applyFont="1" applyFill="1" applyAlignment="1">
      <alignment horizontal="left"/>
    </xf>
    <xf numFmtId="175" fontId="0" fillId="18" borderId="0" xfId="0" applyNumberFormat="1" applyFill="1"/>
    <xf numFmtId="0" fontId="0" fillId="91" borderId="0" xfId="0" applyFill="1"/>
    <xf numFmtId="175" fontId="90" fillId="18" borderId="0" xfId="0" applyNumberFormat="1" applyFont="1" applyFill="1"/>
    <xf numFmtId="0" fontId="0" fillId="91" borderId="0" xfId="0" applyFill="1" applyAlignment="1">
      <alignment horizontal="center"/>
    </xf>
    <xf numFmtId="0" fontId="68" fillId="91" borderId="0" xfId="0" applyFont="1" applyFill="1" applyAlignment="1">
      <alignment horizontal="center"/>
    </xf>
    <xf numFmtId="0" fontId="228" fillId="53" borderId="0" xfId="0" applyFont="1" applyFill="1" applyAlignment="1">
      <alignment horizontal="left"/>
    </xf>
    <xf numFmtId="0" fontId="68" fillId="53" borderId="0" xfId="0" applyFont="1" applyFill="1" applyAlignment="1">
      <alignment horizontal="center"/>
    </xf>
    <xf numFmtId="0" fontId="0" fillId="53" borderId="0" xfId="0" applyFill="1"/>
    <xf numFmtId="2" fontId="0" fillId="91" borderId="0" xfId="0" applyNumberFormat="1" applyFill="1"/>
    <xf numFmtId="0" fontId="228" fillId="53" borderId="0" xfId="0" applyFont="1" applyFill="1"/>
    <xf numFmtId="0" fontId="228" fillId="18" borderId="0" xfId="0" applyFont="1" applyFill="1" applyAlignment="1">
      <alignment horizontal="center"/>
    </xf>
    <xf numFmtId="9" fontId="228" fillId="18" borderId="0" xfId="26" applyFont="1" applyFill="1"/>
    <xf numFmtId="0" fontId="3" fillId="0" borderId="0" xfId="0" applyFont="1" applyAlignment="1">
      <alignment horizontal="center"/>
    </xf>
    <xf numFmtId="9" fontId="3" fillId="0" borderId="0" xfId="26" applyFont="1" applyFill="1"/>
    <xf numFmtId="0" fontId="0" fillId="16" borderId="301" xfId="0" applyFill="1" applyBorder="1"/>
    <xf numFmtId="0" fontId="228" fillId="120" borderId="0" xfId="0" applyFont="1" applyFill="1"/>
    <xf numFmtId="175" fontId="228" fillId="120" borderId="0" xfId="0" applyNumberFormat="1" applyFont="1" applyFill="1"/>
    <xf numFmtId="2" fontId="228" fillId="120" borderId="0" xfId="0" applyNumberFormat="1" applyFont="1" applyFill="1" applyAlignment="1">
      <alignment horizontal="center" vertical="center"/>
    </xf>
    <xf numFmtId="0" fontId="68" fillId="120" borderId="0" xfId="0" applyFont="1" applyFill="1"/>
    <xf numFmtId="0" fontId="228" fillId="120" borderId="0" xfId="0" applyFont="1" applyFill="1" applyAlignment="1">
      <alignment horizontal="right"/>
    </xf>
    <xf numFmtId="0" fontId="228" fillId="120" borderId="0" xfId="0" applyFont="1" applyFill="1" applyAlignment="1">
      <alignment horizontal="center"/>
    </xf>
    <xf numFmtId="0" fontId="0" fillId="118" borderId="0" xfId="0" applyFill="1" applyAlignment="1">
      <alignment horizontal="center" vertical="center"/>
    </xf>
    <xf numFmtId="0" fontId="0" fillId="11" borderId="0" xfId="0" applyFill="1" applyAlignment="1">
      <alignment horizontal="center" vertical="center"/>
    </xf>
    <xf numFmtId="0" fontId="228" fillId="49" borderId="0" xfId="0" applyFont="1" applyFill="1"/>
    <xf numFmtId="1" fontId="0" fillId="0" borderId="33" xfId="0" applyNumberFormat="1" applyBorder="1" applyAlignment="1">
      <alignment horizontal="center" vertical="center"/>
    </xf>
    <xf numFmtId="1" fontId="0" fillId="0" borderId="303" xfId="0" applyNumberFormat="1" applyBorder="1" applyAlignment="1">
      <alignment horizontal="center" vertical="center"/>
    </xf>
    <xf numFmtId="1" fontId="0" fillId="0" borderId="66" xfId="0" applyNumberFormat="1" applyBorder="1" applyAlignment="1">
      <alignment horizontal="center" vertical="center"/>
    </xf>
    <xf numFmtId="0" fontId="125" fillId="29" borderId="66" xfId="0" applyFont="1" applyFill="1" applyBorder="1" applyAlignment="1">
      <alignment horizontal="center" vertical="center" wrapText="1"/>
    </xf>
    <xf numFmtId="0" fontId="125" fillId="29" borderId="49" xfId="0" applyFont="1" applyFill="1" applyBorder="1" applyAlignment="1">
      <alignment horizontal="center" vertical="center" wrapText="1"/>
    </xf>
    <xf numFmtId="0" fontId="0" fillId="0" borderId="26" xfId="0" applyBorder="1" applyAlignment="1">
      <alignment horizontal="center" vertical="center"/>
    </xf>
    <xf numFmtId="0" fontId="35" fillId="29" borderId="8" xfId="0" applyFont="1" applyFill="1" applyBorder="1" applyAlignment="1">
      <alignment horizontal="center" vertical="center" wrapText="1"/>
    </xf>
    <xf numFmtId="0" fontId="35" fillId="29" borderId="115" xfId="0" applyFont="1" applyFill="1" applyBorder="1" applyAlignment="1">
      <alignment horizontal="center" vertical="center" wrapText="1"/>
    </xf>
    <xf numFmtId="0" fontId="35" fillId="29" borderId="168" xfId="0" applyFont="1" applyFill="1" applyBorder="1" applyAlignment="1">
      <alignment horizontal="center" vertical="center" wrapText="1"/>
    </xf>
    <xf numFmtId="0" fontId="89" fillId="29" borderId="156" xfId="0" applyFont="1" applyFill="1" applyBorder="1" applyAlignment="1">
      <alignment horizontal="center" vertical="center" wrapText="1"/>
    </xf>
    <xf numFmtId="0" fontId="89" fillId="29" borderId="155" xfId="0" applyFont="1" applyFill="1" applyBorder="1" applyAlignment="1">
      <alignment horizontal="center" vertical="center" wrapText="1"/>
    </xf>
    <xf numFmtId="183" fontId="0" fillId="0" borderId="156" xfId="0" applyNumberFormat="1" applyBorder="1" applyAlignment="1">
      <alignment horizontal="center" vertical="center"/>
    </xf>
    <xf numFmtId="183" fontId="0" fillId="0" borderId="302" xfId="0" applyNumberFormat="1" applyBorder="1" applyAlignment="1">
      <alignment horizontal="center" vertical="center"/>
    </xf>
    <xf numFmtId="0" fontId="125" fillId="29" borderId="155" xfId="0" applyFont="1" applyFill="1" applyBorder="1" applyAlignment="1">
      <alignment vertical="center" wrapText="1"/>
    </xf>
    <xf numFmtId="0" fontId="0" fillId="0" borderId="157" xfId="0" applyBorder="1"/>
    <xf numFmtId="0" fontId="0" fillId="0" borderId="304" xfId="0" applyBorder="1"/>
    <xf numFmtId="175" fontId="3" fillId="9" borderId="56" xfId="0" applyNumberFormat="1" applyFont="1" applyFill="1" applyBorder="1" applyAlignment="1">
      <alignment horizontal="right"/>
    </xf>
    <xf numFmtId="0" fontId="0" fillId="0" borderId="305" xfId="0" applyBorder="1"/>
    <xf numFmtId="0" fontId="94" fillId="108" borderId="26" xfId="0" applyFont="1" applyFill="1" applyBorder="1" applyAlignment="1">
      <alignment horizontal="center" vertical="center" wrapText="1"/>
    </xf>
    <xf numFmtId="175" fontId="2" fillId="50" borderId="21" xfId="0" applyNumberFormat="1" applyFont="1" applyFill="1" applyBorder="1" applyAlignment="1">
      <alignment horizontal="center" vertical="center" wrapText="1"/>
    </xf>
    <xf numFmtId="15" fontId="13" fillId="0" borderId="0" xfId="3" applyNumberFormat="1" applyFont="1" applyAlignment="1">
      <alignment horizontal="center" vertical="center" wrapText="1"/>
    </xf>
    <xf numFmtId="175" fontId="3" fillId="0" borderId="308" xfId="0" applyNumberFormat="1" applyFont="1" applyBorder="1"/>
    <xf numFmtId="175" fontId="3" fillId="0" borderId="309" xfId="0" applyNumberFormat="1" applyFont="1" applyBorder="1"/>
    <xf numFmtId="175" fontId="3" fillId="14" borderId="306" xfId="0" applyNumberFormat="1" applyFont="1" applyFill="1" applyBorder="1"/>
    <xf numFmtId="175" fontId="3" fillId="14" borderId="307" xfId="0" applyNumberFormat="1" applyFont="1" applyFill="1" applyBorder="1"/>
    <xf numFmtId="0" fontId="2" fillId="29" borderId="310" xfId="0" applyFont="1" applyFill="1" applyBorder="1" applyAlignment="1">
      <alignment horizontal="center" vertical="center" wrapText="1"/>
    </xf>
    <xf numFmtId="0" fontId="35" fillId="29" borderId="310" xfId="0" applyFont="1" applyFill="1" applyBorder="1" applyAlignment="1">
      <alignment horizontal="center" vertical="center" wrapText="1"/>
    </xf>
    <xf numFmtId="0" fontId="0" fillId="0" borderId="0" xfId="0" applyAlignment="1" applyProtection="1">
      <alignment vertical="center" wrapText="1"/>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104" xfId="0" applyBorder="1" applyAlignment="1" applyProtection="1">
      <alignment vertical="center" wrapText="1"/>
      <protection locked="0"/>
    </xf>
    <xf numFmtId="0" fontId="239" fillId="11" borderId="315" xfId="0" applyFont="1" applyFill="1" applyBorder="1" applyAlignment="1" applyProtection="1">
      <alignment horizontal="center" vertical="center" wrapText="1"/>
      <protection locked="0"/>
    </xf>
    <xf numFmtId="3" fontId="0" fillId="0" borderId="317" xfId="0" applyNumberFormat="1" applyBorder="1" applyAlignment="1" applyProtection="1">
      <alignment horizontal="right" vertical="center"/>
      <protection locked="0"/>
    </xf>
    <xf numFmtId="3" fontId="0" fillId="0" borderId="322" xfId="0" applyNumberFormat="1" applyBorder="1" applyAlignment="1" applyProtection="1">
      <alignment horizontal="right" vertical="center"/>
      <protection locked="0"/>
    </xf>
    <xf numFmtId="0" fontId="0" fillId="0" borderId="308" xfId="0" applyBorder="1" applyAlignment="1">
      <alignment horizontal="center" vertical="center"/>
    </xf>
    <xf numFmtId="14" fontId="0" fillId="9" borderId="0" xfId="0" applyNumberFormat="1" applyFill="1"/>
    <xf numFmtId="14" fontId="124" fillId="0" borderId="0" xfId="0" applyNumberFormat="1" applyFont="1"/>
    <xf numFmtId="0" fontId="59" fillId="0" borderId="0" xfId="0" applyFont="1"/>
    <xf numFmtId="0" fontId="119" fillId="0" borderId="0" xfId="0" applyFont="1" applyAlignment="1">
      <alignment horizontal="center" vertical="center"/>
    </xf>
    <xf numFmtId="191" fontId="59" fillId="0" borderId="0" xfId="0" applyNumberFormat="1" applyFont="1"/>
    <xf numFmtId="0" fontId="119" fillId="0" borderId="0" xfId="0" applyFont="1"/>
    <xf numFmtId="14" fontId="119" fillId="0" borderId="0" xfId="0" applyNumberFormat="1" applyFont="1"/>
    <xf numFmtId="0" fontId="89" fillId="29" borderId="302" xfId="0" applyFont="1" applyFill="1" applyBorder="1" applyAlignment="1">
      <alignment horizontal="center" vertical="center" wrapText="1"/>
    </xf>
    <xf numFmtId="0" fontId="89" fillId="29" borderId="224" xfId="0" applyFont="1" applyFill="1" applyBorder="1" applyAlignment="1">
      <alignment horizontal="center" vertical="center" wrapText="1"/>
    </xf>
    <xf numFmtId="0" fontId="59" fillId="0" borderId="156" xfId="0" applyFont="1" applyBorder="1" applyAlignment="1">
      <alignment horizontal="center" vertical="center" wrapText="1"/>
    </xf>
    <xf numFmtId="0" fontId="59" fillId="0" borderId="155" xfId="0" applyFont="1" applyBorder="1" applyAlignment="1">
      <alignment horizontal="center" vertical="center" wrapText="1"/>
    </xf>
    <xf numFmtId="0" fontId="89" fillId="29" borderId="143" xfId="0" applyFont="1" applyFill="1" applyBorder="1" applyAlignment="1">
      <alignment horizontal="center" vertical="center" wrapText="1"/>
    </xf>
    <xf numFmtId="0" fontId="89" fillId="29" borderId="206" xfId="0" applyFont="1" applyFill="1" applyBorder="1" applyAlignment="1">
      <alignment vertical="center" wrapText="1"/>
    </xf>
    <xf numFmtId="190" fontId="59" fillId="0" borderId="206" xfId="0" applyNumberFormat="1" applyFont="1" applyBorder="1" applyAlignment="1">
      <alignment horizontal="center" vertical="center"/>
    </xf>
    <xf numFmtId="3" fontId="242" fillId="0" borderId="226" xfId="0" applyNumberFormat="1" applyFont="1" applyBorder="1" applyAlignment="1">
      <alignment horizontal="center" vertical="center"/>
    </xf>
    <xf numFmtId="3" fontId="242" fillId="0" borderId="224" xfId="0" applyNumberFormat="1" applyFont="1" applyBorder="1" applyAlignment="1">
      <alignment horizontal="center" vertical="center"/>
    </xf>
    <xf numFmtId="183" fontId="59" fillId="0" borderId="224" xfId="0" applyNumberFormat="1" applyFont="1" applyBorder="1" applyAlignment="1">
      <alignment horizontal="center"/>
    </xf>
    <xf numFmtId="183" fontId="59" fillId="0" borderId="227" xfId="0" applyNumberFormat="1" applyFont="1" applyBorder="1" applyAlignment="1">
      <alignment horizontal="center"/>
    </xf>
    <xf numFmtId="183" fontId="59" fillId="0" borderId="226" xfId="0" applyNumberFormat="1" applyFont="1" applyBorder="1" applyAlignment="1">
      <alignment horizontal="center" vertical="center"/>
    </xf>
    <xf numFmtId="183" fontId="59" fillId="0" borderId="224" xfId="0" applyNumberFormat="1" applyFont="1" applyBorder="1" applyAlignment="1">
      <alignment horizontal="center" vertical="center"/>
    </xf>
    <xf numFmtId="183" fontId="59" fillId="0" borderId="227" xfId="0" applyNumberFormat="1" applyFont="1" applyBorder="1" applyAlignment="1">
      <alignment horizontal="center" vertical="center"/>
    </xf>
    <xf numFmtId="3" fontId="59" fillId="0" borderId="224" xfId="0" applyNumberFormat="1" applyFont="1" applyBorder="1" applyAlignment="1">
      <alignment horizontal="center" vertical="center"/>
    </xf>
    <xf numFmtId="0" fontId="3" fillId="11" borderId="0" xfId="0" applyFont="1" applyFill="1"/>
    <xf numFmtId="175" fontId="3" fillId="9" borderId="72" xfId="0" applyNumberFormat="1" applyFont="1" applyFill="1" applyBorder="1"/>
    <xf numFmtId="0" fontId="0" fillId="0" borderId="308" xfId="0" applyBorder="1" applyAlignment="1">
      <alignment horizontal="center"/>
    </xf>
    <xf numFmtId="0" fontId="0" fillId="0" borderId="209" xfId="0" applyBorder="1"/>
    <xf numFmtId="15" fontId="73" fillId="22" borderId="338" xfId="3" applyNumberFormat="1" applyFont="1" applyFill="1" applyBorder="1" applyAlignment="1">
      <alignment horizontal="center" vertical="center" wrapText="1"/>
    </xf>
    <xf numFmtId="175" fontId="2" fillId="50" borderId="35" xfId="0" applyNumberFormat="1" applyFont="1" applyFill="1" applyBorder="1" applyAlignment="1">
      <alignment horizontal="center" vertical="center" wrapText="1"/>
    </xf>
    <xf numFmtId="0" fontId="2" fillId="29" borderId="130" xfId="0" applyFont="1" applyFill="1" applyBorder="1" applyAlignment="1">
      <alignment horizontal="center" vertical="center" wrapText="1"/>
    </xf>
    <xf numFmtId="0" fontId="0" fillId="0" borderId="49" xfId="0" applyBorder="1" applyAlignment="1">
      <alignment horizontal="center" vertical="center"/>
    </xf>
    <xf numFmtId="0" fontId="0" fillId="0" borderId="0" xfId="0" applyAlignment="1">
      <alignment horizontal="center" vertical="center" wrapText="1"/>
    </xf>
    <xf numFmtId="0" fontId="125" fillId="29" borderId="308" xfId="0" applyFont="1" applyFill="1" applyBorder="1" applyAlignment="1">
      <alignment horizontal="center" vertical="center"/>
    </xf>
    <xf numFmtId="0" fontId="125" fillId="29" borderId="308" xfId="0" applyFont="1" applyFill="1" applyBorder="1" applyAlignment="1">
      <alignment horizontal="center" vertical="center" wrapText="1"/>
    </xf>
    <xf numFmtId="175" fontId="0" fillId="0" borderId="308" xfId="0" applyNumberFormat="1" applyBorder="1" applyAlignment="1">
      <alignment horizontal="center" vertical="center"/>
    </xf>
    <xf numFmtId="2" fontId="0" fillId="0" borderId="308" xfId="0" applyNumberFormat="1" applyBorder="1" applyAlignment="1">
      <alignment horizontal="center" vertical="center"/>
    </xf>
    <xf numFmtId="0" fontId="0" fillId="51" borderId="309" xfId="0" applyFill="1" applyBorder="1" applyAlignment="1">
      <alignment horizontal="center" vertical="center"/>
    </xf>
    <xf numFmtId="0" fontId="0" fillId="0" borderId="309" xfId="0" applyBorder="1" applyAlignment="1">
      <alignment horizontal="center" vertical="center"/>
    </xf>
    <xf numFmtId="0" fontId="35" fillId="29" borderId="339" xfId="0" applyFont="1" applyFill="1" applyBorder="1" applyAlignment="1">
      <alignment horizontal="center" vertical="center" wrapText="1"/>
    </xf>
    <xf numFmtId="175" fontId="0" fillId="0" borderId="308" xfId="0" applyNumberFormat="1" applyBorder="1"/>
    <xf numFmtId="0" fontId="0" fillId="0" borderId="0" xfId="0" applyAlignment="1" applyProtection="1">
      <alignment horizontal="center"/>
      <protection locked="0"/>
    </xf>
    <xf numFmtId="3" fontId="0" fillId="0" borderId="0" xfId="0" applyNumberFormat="1" applyAlignment="1" applyProtection="1">
      <alignment vertical="center"/>
      <protection locked="0"/>
    </xf>
    <xf numFmtId="0" fontId="137" fillId="0" borderId="104" xfId="0" applyFont="1" applyBorder="1" applyAlignment="1" applyProtection="1">
      <alignment vertical="center" wrapText="1"/>
      <protection locked="0"/>
    </xf>
    <xf numFmtId="0" fontId="137" fillId="0" borderId="0" xfId="0" applyFont="1" applyAlignment="1" applyProtection="1">
      <alignment vertical="center" wrapText="1"/>
      <protection locked="0"/>
    </xf>
    <xf numFmtId="3" fontId="0" fillId="0" borderId="319" xfId="0" applyNumberFormat="1" applyBorder="1" applyAlignment="1" applyProtection="1">
      <alignment horizontal="right" vertical="center"/>
      <protection locked="0"/>
    </xf>
    <xf numFmtId="3" fontId="0" fillId="0" borderId="341" xfId="0" applyNumberFormat="1" applyBorder="1" applyAlignment="1" applyProtection="1">
      <alignment horizontal="right" vertical="center"/>
      <protection locked="0"/>
    </xf>
    <xf numFmtId="3" fontId="0" fillId="0" borderId="324" xfId="0" applyNumberFormat="1" applyBorder="1" applyAlignment="1" applyProtection="1">
      <alignment horizontal="right" vertical="center"/>
      <protection locked="0"/>
    </xf>
    <xf numFmtId="175" fontId="0" fillId="51" borderId="309" xfId="0" applyNumberFormat="1" applyFill="1" applyBorder="1" applyAlignment="1">
      <alignment horizontal="center" vertical="center"/>
    </xf>
    <xf numFmtId="15" fontId="13" fillId="0" borderId="82" xfId="3" applyNumberFormat="1" applyFont="1" applyBorder="1" applyAlignment="1">
      <alignment horizontal="center" vertical="center" wrapText="1"/>
    </xf>
    <xf numFmtId="15" fontId="13" fillId="0" borderId="25" xfId="3" applyNumberFormat="1" applyFont="1" applyBorder="1" applyAlignment="1">
      <alignment horizontal="center" vertical="center" wrapText="1"/>
    </xf>
    <xf numFmtId="178" fontId="0" fillId="0" borderId="109" xfId="21" applyNumberFormat="1" applyFont="1" applyBorder="1"/>
    <xf numFmtId="0" fontId="125" fillId="52" borderId="49" xfId="0" applyFont="1" applyFill="1" applyBorder="1" applyAlignment="1">
      <alignment horizontal="center" vertical="center" wrapText="1"/>
    </xf>
    <xf numFmtId="0" fontId="125" fillId="52" borderId="308" xfId="0" applyFont="1" applyFill="1" applyBorder="1" applyAlignment="1">
      <alignment horizontal="center" vertical="center"/>
    </xf>
    <xf numFmtId="0" fontId="125" fillId="52" borderId="308" xfId="0" applyFont="1" applyFill="1" applyBorder="1" applyAlignment="1">
      <alignment horizontal="center" vertical="center" wrapText="1"/>
    </xf>
    <xf numFmtId="175" fontId="15" fillId="0" borderId="343" xfId="5" applyNumberFormat="1" applyFont="1" applyBorder="1" applyAlignment="1">
      <alignment horizontal="center" wrapText="1"/>
    </xf>
    <xf numFmtId="2" fontId="2" fillId="50" borderId="35" xfId="21" applyNumberFormat="1" applyFont="1" applyFill="1" applyBorder="1" applyAlignment="1">
      <alignment horizontal="center" vertical="center" wrapText="1"/>
    </xf>
    <xf numFmtId="2" fontId="2" fillId="50" borderId="21" xfId="21" applyNumberFormat="1" applyFont="1" applyFill="1" applyBorder="1" applyAlignment="1">
      <alignment horizontal="center" vertical="center" wrapText="1"/>
    </xf>
    <xf numFmtId="175" fontId="3" fillId="9" borderId="308" xfId="0" applyNumberFormat="1" applyFont="1" applyFill="1" applyBorder="1"/>
    <xf numFmtId="2" fontId="110" fillId="45" borderId="26" xfId="0" applyNumberFormat="1" applyFont="1" applyFill="1" applyBorder="1" applyAlignment="1">
      <alignment horizontal="center" vertical="center"/>
    </xf>
    <xf numFmtId="178" fontId="0" fillId="9" borderId="109" xfId="21" applyNumberFormat="1" applyFont="1" applyFill="1" applyBorder="1"/>
    <xf numFmtId="1" fontId="3" fillId="14" borderId="306" xfId="0" applyNumberFormat="1" applyFont="1" applyFill="1" applyBorder="1"/>
    <xf numFmtId="37" fontId="69" fillId="14" borderId="308" xfId="21" applyNumberFormat="1" applyFont="1" applyFill="1" applyBorder="1" applyAlignment="1">
      <alignment horizontal="center" vertical="center"/>
    </xf>
    <xf numFmtId="175" fontId="3" fillId="0" borderId="308" xfId="0" applyNumberFormat="1" applyFont="1" applyBorder="1" applyAlignment="1">
      <alignment horizontal="right"/>
    </xf>
    <xf numFmtId="2" fontId="111" fillId="0" borderId="329" xfId="0" applyNumberFormat="1" applyFont="1" applyBorder="1" applyAlignment="1">
      <alignment horizontal="center" vertical="center"/>
    </xf>
    <xf numFmtId="2" fontId="111" fillId="0" borderId="45" xfId="0" applyNumberFormat="1" applyFont="1" applyBorder="1" applyAlignment="1">
      <alignment horizontal="center" vertical="center"/>
    </xf>
    <xf numFmtId="2" fontId="111" fillId="0" borderId="335" xfId="0" applyNumberFormat="1" applyFont="1" applyBorder="1" applyAlignment="1">
      <alignment horizontal="center" vertical="center"/>
    </xf>
    <xf numFmtId="0" fontId="2" fillId="0" borderId="302" xfId="0" applyFont="1" applyBorder="1"/>
    <xf numFmtId="0" fontId="2" fillId="0" borderId="306" xfId="0" applyFont="1" applyBorder="1"/>
    <xf numFmtId="0" fontId="2" fillId="0" borderId="307" xfId="0" applyFont="1" applyBorder="1"/>
    <xf numFmtId="0" fontId="0" fillId="0" borderId="306" xfId="0" applyBorder="1"/>
    <xf numFmtId="0" fontId="0" fillId="0" borderId="307" xfId="0" applyBorder="1"/>
    <xf numFmtId="0" fontId="93" fillId="0" borderId="302" xfId="0" applyFont="1" applyBorder="1" applyAlignment="1">
      <alignment vertical="center"/>
    </xf>
    <xf numFmtId="0" fontId="93" fillId="0" borderId="306" xfId="0" applyFont="1" applyBorder="1" applyAlignment="1">
      <alignment vertical="center"/>
    </xf>
    <xf numFmtId="0" fontId="21" fillId="12" borderId="308" xfId="22" applyFont="1" applyFill="1" applyBorder="1" applyAlignment="1">
      <alignment horizontal="center"/>
    </xf>
    <xf numFmtId="3" fontId="3" fillId="29" borderId="308" xfId="22" applyNumberFormat="1" applyFill="1" applyBorder="1" applyAlignment="1">
      <alignment horizontal="center"/>
    </xf>
    <xf numFmtId="3" fontId="21" fillId="12" borderId="308" xfId="22" applyNumberFormat="1" applyFont="1" applyFill="1" applyBorder="1" applyAlignment="1">
      <alignment horizontal="center"/>
    </xf>
    <xf numFmtId="2" fontId="111" fillId="0" borderId="308" xfId="5" applyNumberFormat="1" applyFont="1" applyBorder="1" applyAlignment="1">
      <alignment horizontal="center" vertical="center"/>
    </xf>
    <xf numFmtId="2" fontId="111" fillId="0" borderId="308" xfId="5" quotePrefix="1" applyNumberFormat="1" applyFont="1" applyBorder="1" applyAlignment="1">
      <alignment horizontal="center" vertical="center"/>
    </xf>
    <xf numFmtId="2" fontId="111" fillId="9" borderId="308" xfId="5" applyNumberFormat="1" applyFont="1" applyFill="1" applyBorder="1" applyAlignment="1">
      <alignment horizontal="center" vertical="center"/>
    </xf>
    <xf numFmtId="2" fontId="111" fillId="0" borderId="45" xfId="5" applyNumberFormat="1" applyFont="1" applyBorder="1" applyAlignment="1">
      <alignment horizontal="center" vertical="center"/>
    </xf>
    <xf numFmtId="184" fontId="0" fillId="0" borderId="308" xfId="0" applyNumberFormat="1" applyBorder="1" applyAlignment="1">
      <alignment horizontal="center" vertical="center"/>
    </xf>
    <xf numFmtId="0" fontId="0" fillId="0" borderId="344" xfId="0" applyBorder="1"/>
    <xf numFmtId="0" fontId="3" fillId="14" borderId="306" xfId="0" applyFont="1" applyFill="1" applyBorder="1"/>
    <xf numFmtId="2" fontId="15" fillId="0" borderId="55" xfId="5" applyNumberFormat="1" applyFont="1" applyBorder="1" applyAlignment="1">
      <alignment horizontal="center" wrapText="1"/>
    </xf>
    <xf numFmtId="178" fontId="0" fillId="0" borderId="109" xfId="21" applyNumberFormat="1" applyFont="1" applyFill="1" applyBorder="1"/>
    <xf numFmtId="175" fontId="3" fillId="0" borderId="309" xfId="0" applyNumberFormat="1" applyFont="1" applyBorder="1" applyAlignment="1">
      <alignment horizontal="right"/>
    </xf>
    <xf numFmtId="0" fontId="0" fillId="0" borderId="308" xfId="0" applyBorder="1"/>
    <xf numFmtId="0" fontId="0" fillId="51" borderId="308" xfId="0" applyFill="1" applyBorder="1" applyAlignment="1">
      <alignment horizontal="center" vertical="center"/>
    </xf>
    <xf numFmtId="0" fontId="21" fillId="12" borderId="307" xfId="22" applyFont="1" applyFill="1" applyBorder="1" applyAlignment="1">
      <alignment horizontal="center"/>
    </xf>
    <xf numFmtId="3" fontId="3" fillId="29" borderId="307" xfId="22" applyNumberFormat="1" applyFill="1" applyBorder="1" applyAlignment="1">
      <alignment horizontal="center"/>
    </xf>
    <xf numFmtId="15" fontId="13" fillId="29" borderId="308" xfId="3" applyNumberFormat="1" applyFont="1" applyFill="1" applyBorder="1" applyAlignment="1">
      <alignment horizontal="center" vertical="center" wrapText="1"/>
    </xf>
    <xf numFmtId="4" fontId="81" fillId="0" borderId="310" xfId="1" applyNumberFormat="1" applyFont="1" applyBorder="1" applyAlignment="1">
      <alignment horizontal="center" vertical="center"/>
    </xf>
    <xf numFmtId="4" fontId="81" fillId="0" borderId="308" xfId="1" applyNumberFormat="1" applyFont="1" applyBorder="1" applyAlignment="1">
      <alignment horizontal="center" vertical="center"/>
    </xf>
    <xf numFmtId="4" fontId="79" fillId="2" borderId="329" xfId="1" applyNumberFormat="1" applyFont="1" applyFill="1" applyBorder="1" applyAlignment="1">
      <alignment horizontal="center" vertical="center"/>
    </xf>
    <xf numFmtId="4" fontId="81" fillId="9" borderId="308" xfId="1" applyNumberFormat="1" applyFont="1" applyFill="1" applyBorder="1" applyAlignment="1">
      <alignment horizontal="center" vertical="center"/>
    </xf>
    <xf numFmtId="4" fontId="81" fillId="9" borderId="224" xfId="1" applyNumberFormat="1" applyFont="1" applyFill="1" applyBorder="1" applyAlignment="1">
      <alignment horizontal="center" vertical="center"/>
    </xf>
    <xf numFmtId="0" fontId="0" fillId="0" borderId="305" xfId="0" applyBorder="1" applyAlignment="1">
      <alignment horizontal="center" vertical="center"/>
    </xf>
    <xf numFmtId="49" fontId="0" fillId="0" borderId="302" xfId="0" applyNumberFormat="1" applyBorder="1" applyAlignment="1">
      <alignment horizontal="justify" vertical="center" wrapText="1"/>
    </xf>
    <xf numFmtId="49" fontId="0" fillId="0" borderId="306" xfId="0" applyNumberFormat="1" applyBorder="1" applyAlignment="1">
      <alignment horizontal="justify" vertical="center" wrapText="1"/>
    </xf>
    <xf numFmtId="49" fontId="0" fillId="0" borderId="347" xfId="0" applyNumberFormat="1" applyBorder="1" applyAlignment="1">
      <alignment horizontal="justify" vertical="center" wrapText="1"/>
    </xf>
    <xf numFmtId="37" fontId="69" fillId="14" borderId="334" xfId="21" applyNumberFormat="1" applyFont="1" applyFill="1" applyBorder="1" applyAlignment="1">
      <alignment horizontal="center" vertical="center"/>
    </xf>
    <xf numFmtId="37" fontId="69" fillId="14" borderId="310" xfId="21" applyNumberFormat="1" applyFont="1" applyFill="1" applyBorder="1" applyAlignment="1">
      <alignment horizontal="center" vertical="center"/>
    </xf>
    <xf numFmtId="37" fontId="69" fillId="14" borderId="329" xfId="21" applyNumberFormat="1" applyFont="1" applyFill="1" applyBorder="1" applyAlignment="1">
      <alignment horizontal="center" vertical="center"/>
    </xf>
    <xf numFmtId="39" fontId="69" fillId="14" borderId="348" xfId="21" applyNumberFormat="1" applyFont="1" applyFill="1" applyBorder="1" applyAlignment="1">
      <alignment horizontal="center" vertical="center"/>
    </xf>
    <xf numFmtId="39" fontId="69" fillId="14" borderId="308" xfId="21" applyNumberFormat="1" applyFont="1" applyFill="1" applyBorder="1" applyAlignment="1">
      <alignment horizontal="center" vertical="center"/>
    </xf>
    <xf numFmtId="39" fontId="69" fillId="14" borderId="333" xfId="21" applyNumberFormat="1" applyFont="1" applyFill="1" applyBorder="1" applyAlignment="1">
      <alignment horizontal="center" vertical="center"/>
    </xf>
    <xf numFmtId="39" fontId="69" fillId="14" borderId="352" xfId="21" applyNumberFormat="1" applyFont="1" applyFill="1" applyBorder="1" applyAlignment="1">
      <alignment horizontal="center" vertical="center"/>
    </xf>
    <xf numFmtId="39" fontId="69" fillId="14" borderId="351" xfId="21" applyNumberFormat="1" applyFont="1" applyFill="1" applyBorder="1" applyAlignment="1">
      <alignment horizontal="center" vertical="center"/>
    </xf>
    <xf numFmtId="39" fontId="69" fillId="14" borderId="353" xfId="21" applyNumberFormat="1" applyFont="1" applyFill="1" applyBorder="1" applyAlignment="1">
      <alignment horizontal="center" vertical="center"/>
    </xf>
    <xf numFmtId="0" fontId="239" fillId="128" borderId="315" xfId="0" applyFont="1" applyFill="1" applyBorder="1" applyAlignment="1" applyProtection="1">
      <alignment horizontal="center" vertical="center" wrapText="1"/>
      <protection locked="0"/>
    </xf>
    <xf numFmtId="0" fontId="2" fillId="0" borderId="321" xfId="0" applyFont="1" applyBorder="1" applyAlignment="1">
      <alignment horizontal="center" vertical="center"/>
    </xf>
    <xf numFmtId="0" fontId="0" fillId="0" borderId="321" xfId="0" applyBorder="1" applyAlignment="1">
      <alignment horizontal="left" vertical="center"/>
    </xf>
    <xf numFmtId="0" fontId="2" fillId="129" borderId="321" xfId="0" applyFont="1" applyFill="1" applyBorder="1" applyAlignment="1">
      <alignment horizontal="center" vertical="center"/>
    </xf>
    <xf numFmtId="3" fontId="60" fillId="122" borderId="328" xfId="0" applyNumberFormat="1" applyFont="1" applyFill="1" applyBorder="1" applyAlignment="1" applyProtection="1">
      <alignment horizontal="right" vertical="center"/>
      <protection locked="0"/>
    </xf>
    <xf numFmtId="0" fontId="0" fillId="0" borderId="321" xfId="0" applyBorder="1" applyAlignment="1">
      <alignment horizontal="left" vertical="center" wrapText="1"/>
    </xf>
    <xf numFmtId="0" fontId="0" fillId="0" borderId="321" xfId="0" applyBorder="1" applyAlignment="1">
      <alignment horizontal="center" vertical="center" wrapText="1"/>
    </xf>
    <xf numFmtId="0" fontId="0" fillId="0" borderId="320" xfId="0" applyBorder="1" applyAlignment="1">
      <alignment horizontal="center" vertical="center"/>
    </xf>
    <xf numFmtId="3" fontId="60" fillId="125" borderId="328" xfId="0" applyNumberFormat="1" applyFont="1" applyFill="1" applyBorder="1" applyAlignment="1" applyProtection="1">
      <alignment horizontal="right" vertical="center"/>
      <protection locked="0"/>
    </xf>
    <xf numFmtId="0" fontId="233" fillId="9" borderId="0" xfId="0" applyFont="1" applyFill="1" applyAlignment="1" applyProtection="1">
      <alignment vertical="center"/>
      <protection locked="0"/>
    </xf>
    <xf numFmtId="0" fontId="233" fillId="9" borderId="0" xfId="0" applyFont="1" applyFill="1" applyAlignment="1" applyProtection="1">
      <alignment horizontal="center"/>
      <protection locked="0"/>
    </xf>
    <xf numFmtId="0" fontId="233" fillId="9" borderId="0" xfId="0" applyFont="1" applyFill="1" applyAlignment="1" applyProtection="1">
      <alignment horizontal="center" vertical="center"/>
      <protection locked="0"/>
    </xf>
    <xf numFmtId="0" fontId="234" fillId="0" borderId="0" xfId="0" applyFont="1" applyAlignment="1" applyProtection="1">
      <alignment horizontal="center" vertical="center"/>
      <protection locked="0"/>
    </xf>
    <xf numFmtId="0" fontId="236" fillId="9" borderId="8" xfId="0" applyFont="1" applyFill="1" applyBorder="1" applyAlignment="1">
      <alignment vertical="center"/>
    </xf>
    <xf numFmtId="0" fontId="237" fillId="9" borderId="104" xfId="0" applyFont="1" applyFill="1" applyBorder="1" applyAlignment="1">
      <alignment vertical="center"/>
    </xf>
    <xf numFmtId="0" fontId="237" fillId="9" borderId="104" xfId="0" applyFont="1" applyFill="1" applyBorder="1" applyAlignment="1">
      <alignment horizontal="center"/>
    </xf>
    <xf numFmtId="0" fontId="237" fillId="9" borderId="104" xfId="0" applyFont="1" applyFill="1" applyBorder="1" applyAlignment="1">
      <alignment horizontal="center" vertical="center"/>
    </xf>
    <xf numFmtId="0" fontId="93" fillId="9" borderId="8" xfId="0" applyFont="1" applyFill="1" applyBorder="1" applyAlignment="1">
      <alignment vertical="center"/>
    </xf>
    <xf numFmtId="0" fontId="137" fillId="9" borderId="104" xfId="0" applyFont="1" applyFill="1" applyBorder="1" applyAlignment="1">
      <alignment vertical="center"/>
    </xf>
    <xf numFmtId="0" fontId="137" fillId="9" borderId="104" xfId="0" applyFont="1" applyFill="1" applyBorder="1" applyAlignment="1">
      <alignment horizontal="center"/>
    </xf>
    <xf numFmtId="0" fontId="137" fillId="9" borderId="104" xfId="0" applyFont="1" applyFill="1" applyBorder="1" applyAlignment="1">
      <alignment horizontal="center" vertical="center"/>
    </xf>
    <xf numFmtId="0" fontId="86" fillId="118" borderId="312" xfId="0" applyFont="1" applyFill="1" applyBorder="1" applyAlignment="1">
      <alignment horizontal="center" vertical="center" wrapText="1"/>
    </xf>
    <xf numFmtId="0" fontId="86" fillId="118" borderId="313" xfId="0" applyFont="1" applyFill="1" applyBorder="1" applyAlignment="1">
      <alignment horizontal="center" vertical="center" wrapText="1"/>
    </xf>
    <xf numFmtId="0" fontId="86" fillId="130" borderId="313" xfId="0" applyFont="1" applyFill="1" applyBorder="1" applyAlignment="1">
      <alignment horizontal="center" vertical="center" wrapText="1"/>
    </xf>
    <xf numFmtId="0" fontId="86" fillId="130" borderId="314" xfId="0" applyFont="1" applyFill="1" applyBorder="1" applyAlignment="1">
      <alignment horizontal="center" vertical="center" wrapText="1"/>
    </xf>
    <xf numFmtId="0" fontId="2" fillId="18" borderId="321" xfId="0" applyFont="1" applyFill="1" applyBorder="1" applyAlignment="1">
      <alignment horizontal="center" vertical="center"/>
    </xf>
    <xf numFmtId="0" fontId="0" fillId="0" borderId="318" xfId="0" applyBorder="1" applyAlignment="1">
      <alignment horizontal="left" vertical="center"/>
    </xf>
    <xf numFmtId="0" fontId="77" fillId="0" borderId="321" xfId="0" applyFont="1" applyBorder="1" applyAlignment="1">
      <alignment horizontal="left" vertical="center" wrapText="1"/>
    </xf>
    <xf numFmtId="0" fontId="0" fillId="0" borderId="323" xfId="0" applyBorder="1" applyAlignment="1">
      <alignment horizontal="left" vertical="center"/>
    </xf>
    <xf numFmtId="0" fontId="2" fillId="0" borderId="340" xfId="0" applyFont="1" applyBorder="1" applyAlignment="1">
      <alignment horizontal="left" vertical="center" wrapText="1"/>
    </xf>
    <xf numFmtId="0" fontId="60" fillId="122" borderId="325" xfId="0" applyFont="1" applyFill="1" applyBorder="1" applyAlignment="1">
      <alignment horizontal="center" wrapText="1"/>
    </xf>
    <xf numFmtId="0" fontId="60" fillId="122" borderId="327" xfId="0" applyFont="1" applyFill="1" applyBorder="1" applyAlignment="1">
      <alignment horizontal="center" vertical="center" wrapText="1"/>
    </xf>
    <xf numFmtId="0" fontId="60" fillId="0" borderId="0" xfId="0" applyFont="1" applyAlignment="1" applyProtection="1">
      <alignment vertical="center"/>
      <protection locked="0"/>
    </xf>
    <xf numFmtId="0" fontId="60" fillId="0" borderId="0" xfId="0" applyFont="1" applyAlignment="1" applyProtection="1">
      <alignment vertical="center" wrapText="1"/>
      <protection locked="0"/>
    </xf>
    <xf numFmtId="245" fontId="0" fillId="0" borderId="0" xfId="40973" applyNumberFormat="1" applyFont="1" applyAlignment="1" applyProtection="1">
      <alignment horizontal="center" vertical="center"/>
      <protection locked="0"/>
    </xf>
    <xf numFmtId="0" fontId="0" fillId="0" borderId="224" xfId="0" applyBorder="1" applyAlignment="1">
      <alignment horizontal="center" vertical="center" wrapText="1"/>
    </xf>
    <xf numFmtId="246" fontId="0" fillId="0" borderId="0" xfId="0" applyNumberFormat="1"/>
    <xf numFmtId="0" fontId="245" fillId="2" borderId="0" xfId="3" applyFont="1" applyFill="1" applyAlignment="1">
      <alignment horizontal="right"/>
    </xf>
    <xf numFmtId="14" fontId="246" fillId="0" borderId="0" xfId="4" applyNumberFormat="1" applyFont="1" applyAlignment="1">
      <alignment horizontal="center"/>
    </xf>
    <xf numFmtId="14" fontId="247" fillId="0" borderId="0" xfId="4" applyNumberFormat="1" applyFont="1"/>
    <xf numFmtId="14" fontId="248" fillId="0" borderId="0" xfId="4" applyNumberFormat="1" applyFont="1" applyAlignment="1">
      <alignment horizontal="center"/>
    </xf>
    <xf numFmtId="246" fontId="2" fillId="27" borderId="168" xfId="0" applyNumberFormat="1" applyFont="1" applyFill="1" applyBorder="1" applyAlignment="1">
      <alignment horizontal="center" vertical="center" wrapText="1"/>
    </xf>
    <xf numFmtId="0" fontId="2" fillId="27" borderId="158" xfId="0" applyFont="1" applyFill="1" applyBorder="1" applyAlignment="1">
      <alignment horizontal="center" vertical="center" wrapText="1"/>
    </xf>
    <xf numFmtId="175" fontId="50" fillId="0" borderId="49" xfId="1" applyNumberFormat="1" applyFont="1" applyBorder="1" applyAlignment="1" applyProtection="1">
      <alignment horizontal="center" vertical="center"/>
      <protection locked="0"/>
    </xf>
    <xf numFmtId="183" fontId="250" fillId="0" borderId="0" xfId="1" applyNumberFormat="1" applyFont="1" applyAlignment="1">
      <alignment horizontal="center" vertical="center"/>
    </xf>
    <xf numFmtId="175" fontId="50" fillId="0" borderId="224" xfId="1" applyNumberFormat="1" applyFont="1" applyBorder="1" applyAlignment="1" applyProtection="1">
      <alignment horizontal="center" vertical="center"/>
      <protection locked="0"/>
    </xf>
    <xf numFmtId="183" fontId="251" fillId="0" borderId="0" xfId="1" applyNumberFormat="1" applyFont="1" applyAlignment="1">
      <alignment horizontal="center" vertical="center"/>
    </xf>
    <xf numFmtId="0" fontId="251" fillId="0" borderId="0" xfId="1" applyFont="1"/>
    <xf numFmtId="246" fontId="252" fillId="132" borderId="226" xfId="1" applyNumberFormat="1" applyFont="1" applyFill="1" applyBorder="1" applyAlignment="1">
      <alignment horizontal="center" vertical="center"/>
    </xf>
    <xf numFmtId="1" fontId="252" fillId="132" borderId="224" xfId="1" applyNumberFormat="1" applyFont="1" applyFill="1" applyBorder="1" applyAlignment="1">
      <alignment horizontal="center" vertical="center"/>
    </xf>
    <xf numFmtId="246" fontId="0" fillId="27" borderId="226" xfId="0" applyNumberFormat="1" applyFill="1" applyBorder="1" applyAlignment="1">
      <alignment horizontal="center" vertical="center" wrapText="1"/>
    </xf>
    <xf numFmtId="20" fontId="0" fillId="0" borderId="224" xfId="0" applyNumberFormat="1" applyBorder="1" applyAlignment="1">
      <alignment horizontal="center" vertical="center"/>
    </xf>
    <xf numFmtId="175" fontId="3" fillId="0" borderId="224" xfId="1" applyNumberFormat="1" applyBorder="1" applyAlignment="1" applyProtection="1">
      <alignment horizontal="center" vertical="center"/>
      <protection locked="0"/>
    </xf>
    <xf numFmtId="246" fontId="252" fillId="132" borderId="355" xfId="1" applyNumberFormat="1" applyFont="1" applyFill="1" applyBorder="1" applyAlignment="1">
      <alignment horizontal="center" vertical="center"/>
    </xf>
    <xf numFmtId="1" fontId="252" fillId="132" borderId="309" xfId="1" applyNumberFormat="1" applyFont="1" applyFill="1" applyBorder="1" applyAlignment="1">
      <alignment horizontal="center" vertical="center"/>
    </xf>
    <xf numFmtId="246" fontId="0" fillId="131" borderId="107" xfId="0" applyNumberFormat="1" applyFill="1" applyBorder="1" applyAlignment="1">
      <alignment horizontal="center"/>
    </xf>
    <xf numFmtId="0" fontId="0" fillId="0" borderId="108" xfId="0" applyBorder="1" applyAlignment="1">
      <alignment horizontal="center"/>
    </xf>
    <xf numFmtId="246" fontId="0" fillId="131" borderId="226" xfId="0" applyNumberFormat="1" applyFill="1" applyBorder="1" applyAlignment="1">
      <alignment horizontal="center"/>
    </xf>
    <xf numFmtId="0" fontId="0" fillId="0" borderId="224" xfId="0" applyBorder="1" applyAlignment="1">
      <alignment horizontal="center"/>
    </xf>
    <xf numFmtId="246" fontId="0" fillId="131" borderId="355" xfId="0" applyNumberFormat="1" applyFill="1" applyBorder="1" applyAlignment="1">
      <alignment horizontal="center"/>
    </xf>
    <xf numFmtId="0" fontId="0" fillId="0" borderId="309" xfId="0" applyBorder="1" applyAlignment="1">
      <alignment horizontal="center"/>
    </xf>
    <xf numFmtId="246" fontId="0" fillId="133" borderId="19" xfId="0" applyNumberFormat="1" applyFill="1" applyBorder="1" applyAlignment="1">
      <alignment horizontal="center"/>
    </xf>
    <xf numFmtId="0" fontId="0" fillId="0" borderId="20" xfId="0" applyBorder="1" applyAlignment="1">
      <alignment horizontal="center"/>
    </xf>
    <xf numFmtId="2" fontId="0" fillId="0" borderId="308" xfId="0" applyNumberFormat="1" applyBorder="1" applyAlignment="1">
      <alignment horizontal="center"/>
    </xf>
    <xf numFmtId="4" fontId="81" fillId="9" borderId="226" xfId="1" applyNumberFormat="1" applyFont="1" applyFill="1" applyBorder="1" applyAlignment="1">
      <alignment horizontal="center" vertical="center"/>
    </xf>
    <xf numFmtId="175" fontId="2" fillId="50" borderId="35" xfId="21" applyNumberFormat="1" applyFont="1" applyFill="1" applyBorder="1" applyAlignment="1">
      <alignment horizontal="center" vertical="center" wrapText="1"/>
    </xf>
    <xf numFmtId="0" fontId="0" fillId="0" borderId="335" xfId="0" applyBorder="1" applyAlignment="1">
      <alignment horizontal="center" vertical="center" wrapText="1"/>
    </xf>
    <xf numFmtId="0" fontId="3" fillId="134" borderId="26" xfId="0" applyFont="1" applyFill="1" applyBorder="1" applyAlignment="1">
      <alignment horizontal="center" vertical="center" wrapText="1"/>
    </xf>
    <xf numFmtId="0" fontId="0" fillId="134" borderId="26" xfId="0" applyFill="1" applyBorder="1" applyAlignment="1">
      <alignment horizontal="center" vertical="center" wrapText="1"/>
    </xf>
    <xf numFmtId="0" fontId="3" fillId="127" borderId="26" xfId="0" applyFont="1" applyFill="1" applyBorder="1" applyAlignment="1">
      <alignment horizontal="center" vertical="center" wrapText="1"/>
    </xf>
    <xf numFmtId="0" fontId="0" fillId="127" borderId="26" xfId="0" applyFill="1" applyBorder="1" applyAlignment="1">
      <alignment horizontal="center" vertical="center" wrapText="1"/>
    </xf>
    <xf numFmtId="0" fontId="3" fillId="124" borderId="26" xfId="0" applyFont="1" applyFill="1" applyBorder="1" applyAlignment="1">
      <alignment horizontal="center" vertical="center" wrapText="1"/>
    </xf>
    <xf numFmtId="0" fontId="0" fillId="124" borderId="26" xfId="0" applyFill="1" applyBorder="1" applyAlignment="1">
      <alignment horizontal="center" vertical="center" wrapText="1"/>
    </xf>
    <xf numFmtId="0" fontId="3" fillId="9" borderId="26" xfId="0" applyFont="1" applyFill="1" applyBorder="1" applyAlignment="1">
      <alignment horizontal="center" vertical="center" wrapText="1"/>
    </xf>
    <xf numFmtId="247" fontId="0" fillId="134" borderId="26" xfId="0" applyNumberFormat="1" applyFill="1" applyBorder="1" applyAlignment="1">
      <alignment horizontal="center" vertical="center" wrapText="1"/>
    </xf>
    <xf numFmtId="15" fontId="0" fillId="134" borderId="26" xfId="0" applyNumberFormat="1" applyFill="1" applyBorder="1" applyAlignment="1">
      <alignment horizontal="center" vertical="center" wrapText="1"/>
    </xf>
    <xf numFmtId="247" fontId="0" fillId="134" borderId="335" xfId="0" applyNumberFormat="1" applyFill="1" applyBorder="1" applyAlignment="1">
      <alignment horizontal="center" vertical="center" wrapText="1"/>
    </xf>
    <xf numFmtId="15" fontId="0" fillId="134" borderId="335" xfId="0" applyNumberFormat="1" applyFill="1" applyBorder="1" applyAlignment="1">
      <alignment horizontal="center" vertical="center" wrapText="1"/>
    </xf>
    <xf numFmtId="0" fontId="0" fillId="124" borderId="105" xfId="0" applyFill="1" applyBorder="1"/>
    <xf numFmtId="0" fontId="0" fillId="124" borderId="335" xfId="0" applyFill="1" applyBorder="1"/>
    <xf numFmtId="0" fontId="0" fillId="0" borderId="26" xfId="0" applyBorder="1" applyAlignment="1">
      <alignment horizontal="center" vertical="center" wrapText="1"/>
    </xf>
    <xf numFmtId="0" fontId="3" fillId="0" borderId="26" xfId="0" applyFont="1" applyBorder="1" applyAlignment="1">
      <alignment horizontal="center" vertical="center" wrapText="1"/>
    </xf>
    <xf numFmtId="15" fontId="0" fillId="0" borderId="335" xfId="0" applyNumberFormat="1" applyBorder="1" applyAlignment="1">
      <alignment horizontal="center" vertical="center" wrapText="1"/>
    </xf>
    <xf numFmtId="15" fontId="0" fillId="107" borderId="335" xfId="0" applyNumberFormat="1" applyFill="1" applyBorder="1" applyAlignment="1">
      <alignment horizontal="center" vertical="center" wrapText="1"/>
    </xf>
    <xf numFmtId="0" fontId="0" fillId="0" borderId="337" xfId="0" applyBorder="1" applyAlignment="1">
      <alignment horizontal="center" vertical="center" wrapText="1"/>
    </xf>
    <xf numFmtId="15" fontId="0" fillId="0" borderId="337" xfId="0" applyNumberFormat="1" applyBorder="1" applyAlignment="1">
      <alignment horizontal="center" vertical="center" wrapText="1"/>
    </xf>
    <xf numFmtId="15" fontId="0" fillId="2" borderId="335" xfId="0" applyNumberFormat="1" applyFill="1" applyBorder="1" applyAlignment="1">
      <alignment horizontal="center" vertical="center" wrapText="1"/>
    </xf>
    <xf numFmtId="0" fontId="0" fillId="9" borderId="335" xfId="0" applyFill="1" applyBorder="1" applyAlignment="1">
      <alignment horizontal="center" vertical="center" wrapText="1"/>
    </xf>
    <xf numFmtId="15" fontId="0" fillId="108" borderId="335" xfId="0" applyNumberFormat="1" applyFill="1" applyBorder="1" applyAlignment="1">
      <alignment horizontal="center" vertical="center" wrapText="1"/>
    </xf>
    <xf numFmtId="0" fontId="0" fillId="2" borderId="335" xfId="0" applyFill="1" applyBorder="1" applyAlignment="1">
      <alignment horizontal="center" vertical="center" wrapText="1"/>
    </xf>
    <xf numFmtId="0" fontId="0" fillId="2" borderId="337" xfId="0" applyFill="1" applyBorder="1" applyAlignment="1">
      <alignment horizontal="center" vertical="center" wrapText="1"/>
    </xf>
    <xf numFmtId="15" fontId="0" fillId="9" borderId="335" xfId="0" applyNumberFormat="1" applyFill="1" applyBorder="1" applyAlignment="1">
      <alignment horizontal="center" vertical="center" wrapText="1"/>
    </xf>
    <xf numFmtId="0" fontId="0" fillId="0" borderId="47" xfId="0" applyBorder="1" applyAlignment="1">
      <alignment horizontal="center" vertical="center" wrapText="1"/>
    </xf>
    <xf numFmtId="0" fontId="186" fillId="0" borderId="0" xfId="0" applyFont="1" applyAlignment="1">
      <alignment horizontal="left" vertical="top" wrapText="1"/>
    </xf>
    <xf numFmtId="15" fontId="186" fillId="0" borderId="0" xfId="0" applyNumberFormat="1" applyFont="1" applyAlignment="1">
      <alignment horizontal="left" vertical="top"/>
    </xf>
    <xf numFmtId="0" fontId="186" fillId="0" borderId="0" xfId="0" applyFont="1" applyAlignment="1">
      <alignment horizontal="left" vertical="top"/>
    </xf>
    <xf numFmtId="0" fontId="255" fillId="0" borderId="0" xfId="0" applyFont="1"/>
    <xf numFmtId="0" fontId="0" fillId="135" borderId="26" xfId="0" applyFill="1" applyBorder="1" applyAlignment="1">
      <alignment horizontal="center" vertical="center" wrapText="1"/>
    </xf>
    <xf numFmtId="0" fontId="3" fillId="29" borderId="26" xfId="0" applyFont="1" applyFill="1" applyBorder="1" applyAlignment="1">
      <alignment horizontal="center" vertical="center" wrapText="1"/>
    </xf>
    <xf numFmtId="0" fontId="0" fillId="29" borderId="26" xfId="0" applyFill="1" applyBorder="1" applyAlignment="1">
      <alignment horizontal="center" vertical="center" wrapText="1"/>
    </xf>
    <xf numFmtId="0" fontId="3" fillId="47" borderId="26" xfId="0" applyFont="1" applyFill="1" applyBorder="1" applyAlignment="1">
      <alignment horizontal="center" vertical="center" wrapText="1"/>
    </xf>
    <xf numFmtId="0" fontId="0" fillId="47" borderId="26" xfId="0" applyFill="1" applyBorder="1" applyAlignment="1">
      <alignment horizontal="center" vertical="center" wrapText="1"/>
    </xf>
    <xf numFmtId="0" fontId="3" fillId="108" borderId="26" xfId="0" applyFont="1" applyFill="1" applyBorder="1" applyAlignment="1">
      <alignment horizontal="center" vertical="center" wrapText="1"/>
    </xf>
    <xf numFmtId="15" fontId="0" fillId="47" borderId="105" xfId="0" applyNumberFormat="1" applyFill="1" applyBorder="1" applyAlignment="1">
      <alignment horizontal="center" vertical="center" wrapText="1"/>
    </xf>
    <xf numFmtId="247" fontId="0" fillId="108" borderId="105" xfId="0" applyNumberFormat="1" applyFill="1" applyBorder="1" applyAlignment="1">
      <alignment horizontal="center" vertical="center" wrapText="1"/>
    </xf>
    <xf numFmtId="15" fontId="0" fillId="47" borderId="335" xfId="0" applyNumberFormat="1" applyFill="1" applyBorder="1" applyAlignment="1">
      <alignment horizontal="center" vertical="center" wrapText="1"/>
    </xf>
    <xf numFmtId="247" fontId="0" fillId="108" borderId="335" xfId="0" applyNumberFormat="1" applyFill="1" applyBorder="1" applyAlignment="1">
      <alignment horizontal="center" vertical="center" wrapText="1"/>
    </xf>
    <xf numFmtId="15" fontId="0" fillId="0" borderId="0" xfId="0" applyNumberFormat="1" applyAlignment="1">
      <alignment horizontal="center" vertical="center" wrapText="1"/>
    </xf>
    <xf numFmtId="175" fontId="49" fillId="0" borderId="224" xfId="1" applyNumberFormat="1" applyFont="1" applyBorder="1" applyAlignment="1" applyProtection="1">
      <alignment horizontal="center" vertical="center"/>
      <protection locked="0"/>
    </xf>
    <xf numFmtId="178" fontId="1" fillId="9" borderId="109" xfId="21" applyNumberFormat="1" applyFont="1" applyFill="1" applyBorder="1"/>
    <xf numFmtId="0" fontId="21" fillId="118" borderId="56" xfId="0" applyFont="1" applyFill="1" applyBorder="1" applyAlignment="1">
      <alignment horizontal="center" vertical="center" textRotation="90" wrapText="1"/>
    </xf>
    <xf numFmtId="183" fontId="43" fillId="9" borderId="79" xfId="0" applyNumberFormat="1" applyFont="1" applyFill="1" applyBorder="1" applyAlignment="1">
      <alignment horizontal="center" vertical="center"/>
    </xf>
    <xf numFmtId="183" fontId="43" fillId="9" borderId="41" xfId="0" applyNumberFormat="1" applyFont="1" applyFill="1" applyBorder="1" applyAlignment="1">
      <alignment horizontal="center" vertical="center"/>
    </xf>
    <xf numFmtId="184" fontId="43" fillId="9" borderId="79" xfId="0" applyNumberFormat="1" applyFont="1" applyFill="1" applyBorder="1" applyAlignment="1">
      <alignment horizontal="center" vertical="center"/>
    </xf>
    <xf numFmtId="184" fontId="43" fillId="9" borderId="41" xfId="0" applyNumberFormat="1" applyFont="1" applyFill="1" applyBorder="1" applyAlignment="1">
      <alignment horizontal="center" vertical="center"/>
    </xf>
    <xf numFmtId="3" fontId="3" fillId="29" borderId="354" xfId="22" applyNumberFormat="1" applyFill="1" applyBorder="1" applyAlignment="1">
      <alignment horizontal="center"/>
    </xf>
    <xf numFmtId="0" fontId="9" fillId="0" borderId="0" xfId="3" applyFont="1" applyAlignment="1">
      <alignment horizontal="center" vertical="center"/>
    </xf>
    <xf numFmtId="3" fontId="60" fillId="135" borderId="328" xfId="0" applyNumberFormat="1" applyFont="1" applyFill="1" applyBorder="1" applyAlignment="1" applyProtection="1">
      <alignment horizontal="right" vertical="center"/>
      <protection locked="0"/>
    </xf>
    <xf numFmtId="1" fontId="2" fillId="0" borderId="87" xfId="0" applyNumberFormat="1" applyFont="1" applyBorder="1" applyAlignment="1">
      <alignment horizontal="right"/>
    </xf>
    <xf numFmtId="1" fontId="2" fillId="0" borderId="69" xfId="0" applyNumberFormat="1" applyFont="1" applyBorder="1" applyAlignment="1">
      <alignment horizontal="right"/>
    </xf>
    <xf numFmtId="0" fontId="2" fillId="0" borderId="98" xfId="0" applyFont="1" applyBorder="1" applyAlignment="1">
      <alignment horizontal="right"/>
    </xf>
    <xf numFmtId="0" fontId="4" fillId="0" borderId="0" xfId="3" applyFont="1" applyAlignment="1">
      <alignment vertical="center"/>
    </xf>
    <xf numFmtId="0" fontId="5" fillId="0" borderId="0" xfId="3" applyFont="1" applyAlignment="1">
      <alignment horizontal="left"/>
    </xf>
    <xf numFmtId="175" fontId="15" fillId="0" borderId="303" xfId="5" applyNumberFormat="1" applyFont="1" applyBorder="1" applyAlignment="1">
      <alignment horizontal="center" wrapText="1"/>
    </xf>
    <xf numFmtId="175" fontId="17" fillId="0" borderId="20" xfId="3" applyNumberFormat="1" applyFont="1" applyBorder="1" applyAlignment="1">
      <alignment horizontal="center" vertical="center"/>
    </xf>
    <xf numFmtId="191" fontId="11" fillId="14" borderId="254" xfId="3" applyNumberFormat="1" applyFont="1" applyFill="1" applyBorder="1" applyAlignment="1">
      <alignment horizontal="center" vertical="center"/>
    </xf>
    <xf numFmtId="37" fontId="69" fillId="14" borderId="258" xfId="21" applyNumberFormat="1" applyFont="1" applyFill="1" applyBorder="1" applyAlignment="1">
      <alignment horizontal="center" vertical="center"/>
    </xf>
    <xf numFmtId="37" fontId="69" fillId="14" borderId="274" xfId="21" applyNumberFormat="1" applyFont="1" applyFill="1" applyBorder="1" applyAlignment="1">
      <alignment horizontal="center" vertical="center"/>
    </xf>
    <xf numFmtId="37" fontId="69" fillId="14" borderId="245" xfId="21" applyNumberFormat="1" applyFont="1" applyFill="1" applyBorder="1" applyAlignment="1">
      <alignment horizontal="center" vertical="center"/>
    </xf>
    <xf numFmtId="37" fontId="69" fillId="14" borderId="356" xfId="21" applyNumberFormat="1" applyFont="1" applyFill="1" applyBorder="1" applyAlignment="1">
      <alignment horizontal="center" vertical="center"/>
    </xf>
    <xf numFmtId="0" fontId="86" fillId="0" borderId="0" xfId="0" applyFont="1"/>
    <xf numFmtId="248" fontId="3" fillId="0" borderId="0" xfId="0" applyNumberFormat="1" applyFont="1"/>
    <xf numFmtId="248" fontId="3" fillId="9" borderId="0" xfId="0" applyNumberFormat="1" applyFont="1" applyFill="1"/>
    <xf numFmtId="3" fontId="60" fillId="125" borderId="314" xfId="0" applyNumberFormat="1" applyFont="1" applyFill="1" applyBorder="1" applyAlignment="1" applyProtection="1">
      <alignment horizontal="right" vertical="center"/>
      <protection locked="0"/>
    </xf>
    <xf numFmtId="0" fontId="0" fillId="0" borderId="340" xfId="0" applyBorder="1" applyAlignment="1">
      <alignment horizontal="left" vertical="center" wrapText="1"/>
    </xf>
    <xf numFmtId="0" fontId="0" fillId="0" borderId="340" xfId="0" applyBorder="1" applyAlignment="1">
      <alignment horizontal="center" vertical="center" wrapText="1"/>
    </xf>
    <xf numFmtId="3" fontId="60" fillId="125" borderId="313" xfId="0" applyNumberFormat="1" applyFont="1" applyFill="1" applyBorder="1" applyAlignment="1" applyProtection="1">
      <alignment horizontal="right" vertical="center"/>
      <protection locked="0"/>
    </xf>
    <xf numFmtId="0" fontId="60" fillId="0" borderId="313" xfId="0" applyFont="1" applyBorder="1" applyAlignment="1" applyProtection="1">
      <alignment horizontal="center"/>
      <protection locked="0"/>
    </xf>
    <xf numFmtId="0" fontId="60" fillId="125" borderId="313" xfId="0" applyFont="1" applyFill="1" applyBorder="1" applyAlignment="1">
      <alignment horizontal="left" vertical="center" wrapText="1"/>
    </xf>
    <xf numFmtId="0" fontId="2" fillId="0" borderId="358" xfId="0" applyFont="1" applyBorder="1" applyAlignment="1" applyProtection="1">
      <alignment horizontal="center"/>
      <protection locked="0"/>
    </xf>
    <xf numFmtId="0" fontId="2" fillId="0" borderId="318" xfId="0" applyFont="1" applyBorder="1" applyAlignment="1" applyProtection="1">
      <alignment horizontal="center"/>
      <protection locked="0"/>
    </xf>
    <xf numFmtId="0" fontId="0" fillId="0" borderId="318" xfId="0" applyBorder="1" applyAlignment="1">
      <alignment horizontal="center" vertical="center"/>
    </xf>
    <xf numFmtId="0" fontId="0" fillId="0" borderId="318" xfId="0" applyBorder="1" applyAlignment="1" applyProtection="1">
      <alignment vertical="center"/>
      <protection locked="0"/>
    </xf>
    <xf numFmtId="0" fontId="2" fillId="0" borderId="326" xfId="0" applyFont="1" applyBorder="1" applyAlignment="1" applyProtection="1">
      <alignment horizontal="center"/>
      <protection locked="0"/>
    </xf>
    <xf numFmtId="0" fontId="33" fillId="0" borderId="358" xfId="0" applyFont="1" applyBorder="1" applyAlignment="1">
      <alignment vertical="center" wrapText="1"/>
    </xf>
    <xf numFmtId="0" fontId="33" fillId="0" borderId="318" xfId="0" applyFont="1" applyBorder="1" applyAlignment="1">
      <alignment vertical="center" wrapText="1"/>
    </xf>
    <xf numFmtId="0" fontId="60" fillId="0" borderId="326" xfId="0" applyFont="1" applyBorder="1" applyAlignment="1">
      <alignment vertical="center" wrapText="1"/>
    </xf>
    <xf numFmtId="0" fontId="256" fillId="122" borderId="326" xfId="0" applyFont="1" applyFill="1" applyBorder="1" applyAlignment="1">
      <alignment horizontal="center" vertical="center" wrapText="1"/>
    </xf>
    <xf numFmtId="0" fontId="256" fillId="125" borderId="357" xfId="0" applyFont="1" applyFill="1" applyBorder="1" applyAlignment="1">
      <alignment horizontal="center" vertical="center"/>
    </xf>
    <xf numFmtId="0" fontId="256" fillId="122" borderId="326" xfId="0" applyFont="1" applyFill="1" applyBorder="1" applyAlignment="1">
      <alignment horizontal="center" vertical="center"/>
    </xf>
    <xf numFmtId="0" fontId="257" fillId="0" borderId="326" xfId="0" applyFont="1" applyBorder="1" applyAlignment="1" applyProtection="1">
      <alignment horizontal="center" vertical="center"/>
      <protection locked="0"/>
    </xf>
    <xf numFmtId="0" fontId="256" fillId="125" borderId="313" xfId="0" applyFont="1" applyFill="1" applyBorder="1" applyAlignment="1">
      <alignment horizontal="center" vertical="center"/>
    </xf>
    <xf numFmtId="0" fontId="77" fillId="122" borderId="327" xfId="0" applyFont="1" applyFill="1" applyBorder="1" applyAlignment="1">
      <alignment horizontal="center" vertical="center" wrapText="1"/>
    </xf>
    <xf numFmtId="0" fontId="2" fillId="29" borderId="26" xfId="0" applyFont="1" applyFill="1" applyBorder="1" applyAlignment="1">
      <alignment horizontal="center" vertical="center" wrapText="1"/>
    </xf>
    <xf numFmtId="1" fontId="0" fillId="0" borderId="121" xfId="0" applyNumberFormat="1" applyBorder="1" applyAlignment="1">
      <alignment horizontal="center" vertical="center"/>
    </xf>
    <xf numFmtId="1" fontId="0" fillId="0" borderId="360" xfId="0" applyNumberFormat="1" applyBorder="1" applyAlignment="1">
      <alignment horizontal="center" vertical="center"/>
    </xf>
    <xf numFmtId="1" fontId="0" fillId="0" borderId="361" xfId="0" applyNumberFormat="1" applyBorder="1" applyAlignment="1">
      <alignment horizontal="center" vertical="center"/>
    </xf>
    <xf numFmtId="178" fontId="0" fillId="0" borderId="21" xfId="21" applyNumberFormat="1" applyFont="1" applyFill="1" applyBorder="1"/>
    <xf numFmtId="0" fontId="2" fillId="29" borderId="121" xfId="0" applyFont="1" applyFill="1" applyBorder="1" applyAlignment="1">
      <alignment horizontal="center" vertical="center" wrapText="1"/>
    </xf>
    <xf numFmtId="0" fontId="2" fillId="29" borderId="360" xfId="0" applyFont="1" applyFill="1" applyBorder="1" applyAlignment="1">
      <alignment horizontal="center" vertical="center" wrapText="1"/>
    </xf>
    <xf numFmtId="0" fontId="2" fillId="29" borderId="361" xfId="0" applyFont="1" applyFill="1" applyBorder="1" applyAlignment="1">
      <alignment horizontal="center" vertical="center" wrapText="1"/>
    </xf>
    <xf numFmtId="0" fontId="125" fillId="29" borderId="20" xfId="0" applyFont="1" applyFill="1" applyBorder="1" applyAlignment="1">
      <alignment horizontal="center" vertical="center" wrapText="1"/>
    </xf>
    <xf numFmtId="0" fontId="125" fillId="29" borderId="21" xfId="0" applyFont="1" applyFill="1" applyBorder="1" applyAlignment="1">
      <alignment horizontal="center" vertical="center" wrapText="1"/>
    </xf>
    <xf numFmtId="0" fontId="125" fillId="29" borderId="15" xfId="0" applyFont="1" applyFill="1" applyBorder="1" applyAlignment="1">
      <alignment horizontal="center" vertical="center" wrapText="1"/>
    </xf>
    <xf numFmtId="0" fontId="0" fillId="51" borderId="305" xfId="0" applyFill="1" applyBorder="1" applyAlignment="1">
      <alignment horizontal="center" vertical="center"/>
    </xf>
    <xf numFmtId="0" fontId="125" fillId="29" borderId="26" xfId="0" applyFont="1" applyFill="1" applyBorder="1" applyAlignment="1">
      <alignment horizontal="center" vertical="center"/>
    </xf>
    <xf numFmtId="0" fontId="0" fillId="51" borderId="310" xfId="0" applyFill="1" applyBorder="1" applyAlignment="1">
      <alignment horizontal="center" vertical="center"/>
    </xf>
    <xf numFmtId="175" fontId="3" fillId="0" borderId="308" xfId="0" applyNumberFormat="1" applyFont="1" applyBorder="1" applyAlignment="1">
      <alignment horizontal="center" vertical="center"/>
    </xf>
    <xf numFmtId="175" fontId="3" fillId="0" borderId="56" xfId="0" applyNumberFormat="1" applyFont="1" applyBorder="1" applyAlignment="1">
      <alignment horizontal="center" vertical="center"/>
    </xf>
    <xf numFmtId="175" fontId="3" fillId="14" borderId="72" xfId="0" applyNumberFormat="1" applyFont="1" applyFill="1" applyBorder="1" applyAlignment="1">
      <alignment horizontal="center" vertical="center"/>
    </xf>
    <xf numFmtId="0" fontId="3" fillId="14" borderId="72" xfId="0" applyFont="1" applyFill="1" applyBorder="1" applyAlignment="1">
      <alignment horizontal="center" vertical="center"/>
    </xf>
    <xf numFmtId="175" fontId="3" fillId="0" borderId="143" xfId="0" applyNumberFormat="1" applyFont="1" applyBorder="1" applyAlignment="1">
      <alignment horizontal="center" vertical="center"/>
    </xf>
    <xf numFmtId="175" fontId="3" fillId="14" borderId="162" xfId="0" applyNumberFormat="1" applyFont="1" applyFill="1" applyBorder="1" applyAlignment="1">
      <alignment horizontal="center" vertical="center"/>
    </xf>
    <xf numFmtId="175" fontId="3" fillId="0" borderId="224" xfId="0" applyNumberFormat="1" applyFont="1" applyBorder="1" applyAlignment="1">
      <alignment horizontal="center" vertical="center"/>
    </xf>
    <xf numFmtId="175" fontId="3" fillId="9" borderId="308" xfId="0" applyNumberFormat="1" applyFont="1" applyFill="1" applyBorder="1" applyAlignment="1">
      <alignment horizontal="center" vertical="center"/>
    </xf>
    <xf numFmtId="0" fontId="3" fillId="0" borderId="0" xfId="0" applyFont="1" applyAlignment="1">
      <alignment horizontal="center" vertical="center"/>
    </xf>
    <xf numFmtId="248" fontId="3" fillId="0" borderId="0" xfId="0" applyNumberFormat="1" applyFont="1" applyAlignment="1">
      <alignment horizontal="center" vertical="center"/>
    </xf>
    <xf numFmtId="0" fontId="72" fillId="19" borderId="10" xfId="3" applyFont="1" applyFill="1" applyBorder="1" applyAlignment="1">
      <alignment vertical="center"/>
    </xf>
    <xf numFmtId="0" fontId="72" fillId="19" borderId="26" xfId="3" applyFont="1" applyFill="1" applyBorder="1" applyAlignment="1">
      <alignment vertical="center"/>
    </xf>
    <xf numFmtId="175" fontId="3" fillId="0" borderId="302" xfId="0" applyNumberFormat="1" applyFont="1" applyBorder="1"/>
    <xf numFmtId="0" fontId="3" fillId="0" borderId="308" xfId="0" applyFont="1" applyBorder="1" applyAlignment="1">
      <alignment horizontal="center"/>
    </xf>
    <xf numFmtId="0" fontId="3" fillId="9" borderId="308" xfId="0" applyFont="1" applyFill="1" applyBorder="1" applyAlignment="1">
      <alignment horizontal="center"/>
    </xf>
    <xf numFmtId="0" fontId="0" fillId="0" borderId="148" xfId="0" applyBorder="1" applyProtection="1">
      <protection locked="0"/>
    </xf>
    <xf numFmtId="0" fontId="0" fillId="0" borderId="149" xfId="0" applyBorder="1" applyProtection="1">
      <protection locked="0"/>
    </xf>
    <xf numFmtId="0" fontId="0" fillId="0" borderId="0" xfId="0" applyProtection="1">
      <protection locked="0"/>
    </xf>
    <xf numFmtId="0" fontId="0" fillId="0" borderId="146" xfId="0" applyBorder="1" applyProtection="1">
      <protection locked="0"/>
    </xf>
    <xf numFmtId="0" fontId="68" fillId="0" borderId="0" xfId="0" applyFont="1" applyProtection="1">
      <protection locked="0"/>
    </xf>
    <xf numFmtId="191" fontId="68" fillId="0" borderId="0" xfId="0" applyNumberFormat="1" applyFont="1" applyProtection="1">
      <protection locked="0"/>
    </xf>
    <xf numFmtId="0" fontId="76" fillId="0" borderId="146" xfId="0" applyFont="1" applyBorder="1" applyAlignment="1" applyProtection="1">
      <alignment vertical="center"/>
      <protection locked="0"/>
    </xf>
    <xf numFmtId="0" fontId="0" fillId="0" borderId="308" xfId="0" applyBorder="1" applyAlignment="1" applyProtection="1">
      <alignment horizontal="center" vertical="center"/>
      <protection locked="0"/>
    </xf>
    <xf numFmtId="2" fontId="0" fillId="47" borderId="308" xfId="0" applyNumberFormat="1" applyFill="1" applyBorder="1" applyAlignment="1" applyProtection="1">
      <alignment horizontal="center" vertical="center"/>
      <protection locked="0"/>
    </xf>
    <xf numFmtId="0" fontId="0" fillId="9" borderId="0" xfId="0" applyFill="1" applyProtection="1">
      <protection locked="0"/>
    </xf>
    <xf numFmtId="2" fontId="110" fillId="45" borderId="26" xfId="0" applyNumberFormat="1" applyFont="1" applyFill="1" applyBorder="1" applyAlignment="1" applyProtection="1">
      <alignment horizontal="center" vertical="center"/>
      <protection locked="0"/>
    </xf>
    <xf numFmtId="201" fontId="68" fillId="0" borderId="0" xfId="0" applyNumberFormat="1" applyFont="1" applyProtection="1">
      <protection locked="0"/>
    </xf>
    <xf numFmtId="16" fontId="0" fillId="0" borderId="0" xfId="0" applyNumberFormat="1" applyAlignment="1" applyProtection="1">
      <alignment horizontal="center"/>
      <protection locked="0"/>
    </xf>
    <xf numFmtId="21" fontId="0" fillId="0" borderId="0" xfId="0" applyNumberFormat="1" applyAlignment="1" applyProtection="1">
      <alignment horizontal="center"/>
      <protection locked="0"/>
    </xf>
    <xf numFmtId="0" fontId="0" fillId="16" borderId="0" xfId="0" applyFill="1" applyProtection="1">
      <protection locked="0"/>
    </xf>
    <xf numFmtId="2" fontId="15" fillId="0" borderId="4" xfId="5" applyNumberFormat="1" applyFont="1" applyBorder="1" applyAlignment="1">
      <alignment horizontal="center" wrapText="1"/>
    </xf>
    <xf numFmtId="2" fontId="15" fillId="0" borderId="101" xfId="5" applyNumberFormat="1" applyFont="1" applyBorder="1" applyAlignment="1">
      <alignment horizontal="center" wrapText="1"/>
    </xf>
    <xf numFmtId="2" fontId="15" fillId="0" borderId="241" xfId="5" applyNumberFormat="1" applyFont="1" applyBorder="1" applyAlignment="1">
      <alignment horizontal="center" wrapText="1"/>
    </xf>
    <xf numFmtId="194" fontId="0" fillId="0" borderId="0" xfId="0" applyNumberFormat="1" applyAlignment="1">
      <alignment horizontal="center" vertical="center"/>
    </xf>
    <xf numFmtId="194" fontId="259" fillId="0" borderId="0" xfId="0" applyNumberFormat="1" applyFont="1" applyAlignment="1">
      <alignment horizontal="center" vertical="center" wrapText="1"/>
    </xf>
    <xf numFmtId="194" fontId="259" fillId="0" borderId="47" xfId="0" applyNumberFormat="1" applyFont="1" applyBorder="1" applyAlignment="1">
      <alignment horizontal="center" vertical="center" wrapText="1"/>
    </xf>
    <xf numFmtId="194" fontId="259" fillId="0" borderId="48" xfId="0" applyNumberFormat="1" applyFont="1" applyBorder="1" applyAlignment="1">
      <alignment horizontal="center" vertical="center" wrapText="1"/>
    </xf>
    <xf numFmtId="194" fontId="0" fillId="0" borderId="310" xfId="0" applyNumberFormat="1" applyBorder="1" applyAlignment="1">
      <alignment horizontal="center" vertical="center"/>
    </xf>
    <xf numFmtId="194" fontId="0" fillId="0" borderId="47" xfId="0" applyNumberFormat="1" applyBorder="1" applyAlignment="1">
      <alignment horizontal="center" vertical="center"/>
    </xf>
    <xf numFmtId="194" fontId="0" fillId="0" borderId="336" xfId="0" applyNumberFormat="1" applyBorder="1" applyAlignment="1">
      <alignment horizontal="center" vertical="center"/>
    </xf>
    <xf numFmtId="0" fontId="0" fillId="0" borderId="209" xfId="0" applyBorder="1" applyAlignment="1">
      <alignment horizontal="center" vertical="center"/>
    </xf>
    <xf numFmtId="0" fontId="0" fillId="0" borderId="337" xfId="0" applyBorder="1"/>
    <xf numFmtId="0" fontId="2" fillId="123" borderId="308" xfId="0" applyFont="1" applyFill="1" applyBorder="1" applyAlignment="1">
      <alignment horizontal="center" vertical="center"/>
    </xf>
    <xf numFmtId="0" fontId="2" fillId="0" borderId="0" xfId="0" applyFont="1" applyAlignment="1">
      <alignment horizontal="center" vertical="center"/>
    </xf>
    <xf numFmtId="0" fontId="2" fillId="0" borderId="65" xfId="0" applyFont="1" applyBorder="1" applyAlignment="1">
      <alignment horizontal="center" vertical="center"/>
    </xf>
    <xf numFmtId="0" fontId="2" fillId="29" borderId="308" xfId="0" applyFont="1" applyFill="1" applyBorder="1" applyAlignment="1">
      <alignment horizontal="center" vertical="center"/>
    </xf>
    <xf numFmtId="194" fontId="76" fillId="0" borderId="47" xfId="0" applyNumberFormat="1" applyFont="1" applyBorder="1" applyAlignment="1">
      <alignment horizontal="center" vertical="center" wrapText="1"/>
    </xf>
    <xf numFmtId="194" fontId="76" fillId="0" borderId="0" xfId="0" applyNumberFormat="1" applyFont="1" applyAlignment="1">
      <alignment horizontal="center" vertical="center" wrapText="1"/>
    </xf>
    <xf numFmtId="14" fontId="2" fillId="0" borderId="0" xfId="0" applyNumberFormat="1" applyFont="1" applyAlignment="1">
      <alignment horizontal="center" vertical="center" wrapText="1"/>
    </xf>
    <xf numFmtId="194" fontId="2" fillId="0" borderId="0" xfId="0" applyNumberFormat="1" applyFont="1" applyAlignment="1">
      <alignment horizontal="center" vertical="center" wrapText="1"/>
    </xf>
    <xf numFmtId="14" fontId="2" fillId="0" borderId="10" xfId="0" applyNumberFormat="1" applyFont="1" applyBorder="1" applyAlignment="1">
      <alignment horizontal="center" vertical="center" wrapText="1"/>
    </xf>
    <xf numFmtId="194" fontId="2" fillId="0" borderId="10" xfId="0" applyNumberFormat="1" applyFont="1" applyBorder="1" applyAlignment="1">
      <alignment horizontal="center" vertical="center" wrapText="1"/>
    </xf>
    <xf numFmtId="194" fontId="76" fillId="47" borderId="8" xfId="0" applyNumberFormat="1" applyFont="1" applyFill="1" applyBorder="1" applyAlignment="1">
      <alignment horizontal="center" vertical="center" wrapText="1"/>
    </xf>
    <xf numFmtId="1" fontId="3" fillId="9" borderId="56" xfId="0" applyNumberFormat="1" applyFont="1" applyFill="1" applyBorder="1" applyAlignment="1">
      <alignment horizontal="center"/>
    </xf>
    <xf numFmtId="0" fontId="1" fillId="0" borderId="308" xfId="0" applyFont="1" applyBorder="1"/>
    <xf numFmtId="14" fontId="1" fillId="0" borderId="308" xfId="0" applyNumberFormat="1" applyFont="1" applyBorder="1"/>
    <xf numFmtId="0" fontId="43" fillId="2" borderId="308" xfId="6" applyFont="1" applyFill="1" applyBorder="1" applyAlignment="1">
      <alignment horizontal="left" vertical="center"/>
    </xf>
    <xf numFmtId="2" fontId="15" fillId="0" borderId="339" xfId="5" applyNumberFormat="1" applyFont="1" applyBorder="1" applyAlignment="1">
      <alignment horizontal="center" wrapText="1"/>
    </xf>
    <xf numFmtId="2" fontId="15" fillId="0" borderId="363" xfId="5" applyNumberFormat="1" applyFont="1" applyBorder="1" applyAlignment="1">
      <alignment horizontal="center" wrapText="1"/>
    </xf>
    <xf numFmtId="2" fontId="15" fillId="0" borderId="364" xfId="5" applyNumberFormat="1" applyFont="1" applyBorder="1" applyAlignment="1">
      <alignment horizontal="center" wrapText="1"/>
    </xf>
    <xf numFmtId="14" fontId="1" fillId="9" borderId="308" xfId="0" applyNumberFormat="1" applyFont="1" applyFill="1" applyBorder="1"/>
    <xf numFmtId="0" fontId="1" fillId="0" borderId="354" xfId="0" applyFont="1" applyBorder="1"/>
    <xf numFmtId="0" fontId="0" fillId="0" borderId="65" xfId="0" applyBorder="1"/>
    <xf numFmtId="0" fontId="1" fillId="0" borderId="22" xfId="4" applyBorder="1" applyAlignment="1">
      <alignment horizontal="center" vertical="center"/>
    </xf>
    <xf numFmtId="0" fontId="1" fillId="0" borderId="24" xfId="4" applyBorder="1" applyAlignment="1">
      <alignment horizontal="center" vertical="center"/>
    </xf>
    <xf numFmtId="0" fontId="1" fillId="0" borderId="25" xfId="4" applyBorder="1" applyAlignment="1">
      <alignment horizontal="center" vertical="center"/>
    </xf>
    <xf numFmtId="0" fontId="1" fillId="0" borderId="82" xfId="4" applyBorder="1" applyAlignment="1">
      <alignment horizontal="center" vertical="center"/>
    </xf>
    <xf numFmtId="0" fontId="73" fillId="21" borderId="26" xfId="3" applyFont="1" applyFill="1" applyBorder="1" applyAlignment="1">
      <alignment horizontal="center" vertical="center" wrapText="1"/>
    </xf>
    <xf numFmtId="0" fontId="21" fillId="135" borderId="56" xfId="0" applyFont="1" applyFill="1" applyBorder="1" applyAlignment="1">
      <alignment horizontal="center" vertical="center" textRotation="90" wrapText="1"/>
    </xf>
    <xf numFmtId="0" fontId="68" fillId="0" borderId="0" xfId="0" applyFont="1" applyAlignment="1">
      <alignment wrapText="1"/>
    </xf>
    <xf numFmtId="0" fontId="89" fillId="29" borderId="156" xfId="0" applyFont="1" applyFill="1" applyBorder="1" applyAlignment="1" applyProtection="1">
      <alignment horizontal="center" vertical="center" wrapText="1"/>
      <protection locked="0"/>
    </xf>
    <xf numFmtId="0" fontId="59" fillId="0" borderId="156" xfId="0" applyFont="1" applyBorder="1" applyAlignment="1" applyProtection="1">
      <alignment horizontal="center" vertical="center"/>
      <protection locked="0"/>
    </xf>
    <xf numFmtId="0" fontId="146" fillId="57" borderId="354" xfId="0" applyFont="1" applyFill="1" applyBorder="1" applyAlignment="1">
      <alignment horizontal="center" vertical="center" wrapText="1"/>
    </xf>
    <xf numFmtId="0" fontId="89" fillId="55" borderId="365" xfId="0" applyFont="1" applyFill="1" applyBorder="1" applyAlignment="1">
      <alignment horizontal="center" vertical="center" wrapText="1"/>
    </xf>
    <xf numFmtId="0" fontId="59" fillId="0" borderId="365" xfId="0" applyFont="1" applyBorder="1" applyAlignment="1">
      <alignment horizontal="center" vertical="center" wrapText="1"/>
    </xf>
    <xf numFmtId="0" fontId="89" fillId="58" borderId="206" xfId="0" applyFont="1" applyFill="1" applyBorder="1" applyAlignment="1">
      <alignment horizontal="center" vertical="center" wrapText="1"/>
    </xf>
    <xf numFmtId="183" fontId="59" fillId="0" borderId="206" xfId="0" applyNumberFormat="1" applyFont="1" applyBorder="1" applyAlignment="1">
      <alignment horizontal="center" vertical="center"/>
    </xf>
    <xf numFmtId="183" fontId="59" fillId="9" borderId="206" xfId="0" applyNumberFormat="1" applyFont="1" applyFill="1" applyBorder="1" applyAlignment="1">
      <alignment horizontal="center" vertical="center"/>
    </xf>
    <xf numFmtId="3" fontId="60" fillId="11" borderId="328" xfId="0" applyNumberFormat="1" applyFont="1" applyFill="1" applyBorder="1" applyAlignment="1" applyProtection="1">
      <alignment horizontal="right" vertical="center"/>
      <protection locked="0"/>
    </xf>
    <xf numFmtId="0" fontId="0" fillId="9" borderId="302" xfId="0" applyFill="1" applyBorder="1" applyProtection="1">
      <protection locked="0"/>
    </xf>
    <xf numFmtId="0" fontId="21" fillId="136" borderId="56" xfId="0" applyFont="1" applyFill="1" applyBorder="1" applyAlignment="1">
      <alignment horizontal="center" vertical="center" textRotation="90" wrapText="1"/>
    </xf>
    <xf numFmtId="15" fontId="3" fillId="9" borderId="31" xfId="0" applyNumberFormat="1" applyFont="1" applyFill="1" applyBorder="1" applyAlignment="1">
      <alignment horizontal="center" vertical="center"/>
    </xf>
    <xf numFmtId="175" fontId="3" fillId="9" borderId="224" xfId="0" applyNumberFormat="1" applyFont="1" applyFill="1" applyBorder="1" applyAlignment="1">
      <alignment horizontal="center" vertical="center"/>
    </xf>
    <xf numFmtId="175" fontId="3" fillId="9" borderId="224" xfId="0" applyNumberFormat="1" applyFont="1" applyFill="1" applyBorder="1" applyAlignment="1">
      <alignment horizontal="right"/>
    </xf>
    <xf numFmtId="175" fontId="3" fillId="9" borderId="308" xfId="0" applyNumberFormat="1" applyFont="1" applyFill="1" applyBorder="1" applyAlignment="1">
      <alignment horizontal="center"/>
    </xf>
    <xf numFmtId="175" fontId="3" fillId="9" borderId="308" xfId="0" applyNumberFormat="1" applyFont="1" applyFill="1" applyBorder="1" applyAlignment="1">
      <alignment horizontal="right"/>
    </xf>
    <xf numFmtId="175" fontId="15" fillId="9" borderId="69" xfId="5" applyNumberFormat="1" applyFont="1" applyFill="1" applyBorder="1" applyAlignment="1">
      <alignment horizontal="center" wrapText="1"/>
    </xf>
    <xf numFmtId="0" fontId="0" fillId="0" borderId="224" xfId="0" applyBorder="1"/>
    <xf numFmtId="0" fontId="89" fillId="29" borderId="329" xfId="0" applyFont="1" applyFill="1" applyBorder="1" applyAlignment="1">
      <alignment horizontal="center" vertical="center" wrapText="1"/>
    </xf>
    <xf numFmtId="0" fontId="59" fillId="0" borderId="329" xfId="0" applyFont="1" applyBorder="1" applyAlignment="1">
      <alignment horizontal="center" vertical="center" wrapText="1"/>
    </xf>
    <xf numFmtId="0" fontId="89" fillId="29" borderId="366" xfId="0" applyFont="1" applyFill="1" applyBorder="1" applyAlignment="1">
      <alignment horizontal="center" vertical="center" wrapText="1"/>
    </xf>
    <xf numFmtId="0" fontId="89" fillId="29" borderId="226" xfId="0" applyFont="1" applyFill="1" applyBorder="1" applyAlignment="1">
      <alignment horizontal="center" vertical="center" wrapText="1"/>
    </xf>
    <xf numFmtId="0" fontId="59" fillId="0" borderId="226" xfId="0" applyFont="1" applyBorder="1" applyAlignment="1">
      <alignment horizontal="center" vertical="center" wrapText="1"/>
    </xf>
    <xf numFmtId="175" fontId="3" fillId="0" borderId="56" xfId="0" applyNumberFormat="1" applyFont="1" applyBorder="1" applyAlignment="1">
      <alignment horizontal="center"/>
    </xf>
    <xf numFmtId="175" fontId="3" fillId="14" borderId="72" xfId="0" applyNumberFormat="1" applyFont="1" applyFill="1" applyBorder="1" applyAlignment="1">
      <alignment horizontal="center"/>
    </xf>
    <xf numFmtId="190" fontId="0" fillId="27" borderId="115" xfId="0" applyNumberFormat="1" applyFill="1" applyBorder="1" applyAlignment="1">
      <alignment horizontal="center" vertical="center" wrapText="1"/>
    </xf>
    <xf numFmtId="190" fontId="59" fillId="0" borderId="329" xfId="0" applyNumberFormat="1" applyFont="1" applyBorder="1" applyAlignment="1">
      <alignment horizontal="center" vertical="center"/>
    </xf>
    <xf numFmtId="0" fontId="243" fillId="108" borderId="8" xfId="0" applyFont="1" applyFill="1" applyBorder="1" applyAlignment="1" applyProtection="1">
      <alignment horizontal="center" vertical="center" wrapText="1"/>
      <protection locked="0"/>
    </xf>
    <xf numFmtId="0" fontId="243" fillId="108" borderId="8" xfId="0" applyFont="1" applyFill="1" applyBorder="1" applyAlignment="1" applyProtection="1">
      <alignment horizontal="center" vertical="center"/>
      <protection locked="0"/>
    </xf>
    <xf numFmtId="0" fontId="1" fillId="0" borderId="23" xfId="4" applyBorder="1" applyAlignment="1">
      <alignment horizontal="center" vertical="center"/>
    </xf>
    <xf numFmtId="2" fontId="258" fillId="23" borderId="97" xfId="3" applyNumberFormat="1" applyFont="1" applyFill="1" applyBorder="1" applyAlignment="1">
      <alignment horizontal="center" vertical="center" wrapText="1"/>
    </xf>
    <xf numFmtId="2" fontId="258" fillId="23" borderId="14" xfId="3" applyNumberFormat="1" applyFont="1" applyFill="1" applyBorder="1" applyAlignment="1">
      <alignment horizontal="center" vertical="center" wrapText="1"/>
    </xf>
    <xf numFmtId="175" fontId="3" fillId="14" borderId="366" xfId="0" applyNumberFormat="1" applyFont="1" applyFill="1" applyBorder="1"/>
    <xf numFmtId="0" fontId="3" fillId="14" borderId="366" xfId="0" applyFont="1" applyFill="1" applyBorder="1"/>
    <xf numFmtId="1" fontId="3" fillId="14" borderId="366" xfId="0" applyNumberFormat="1" applyFont="1" applyFill="1" applyBorder="1"/>
    <xf numFmtId="175" fontId="3" fillId="0" borderId="306" xfId="0" applyNumberFormat="1" applyFont="1" applyBorder="1"/>
    <xf numFmtId="0" fontId="50" fillId="0" borderId="0" xfId="22" applyFont="1" applyAlignment="1">
      <alignment vertical="top"/>
    </xf>
    <xf numFmtId="1" fontId="3" fillId="14" borderId="306" xfId="0" applyNumberFormat="1" applyFont="1" applyFill="1" applyBorder="1" applyAlignment="1">
      <alignment horizontal="center"/>
    </xf>
    <xf numFmtId="175" fontId="3" fillId="14" borderId="306" xfId="0" applyNumberFormat="1" applyFont="1" applyFill="1" applyBorder="1" applyAlignment="1">
      <alignment horizontal="center"/>
    </xf>
    <xf numFmtId="175" fontId="3" fillId="0" borderId="143" xfId="0" applyNumberFormat="1" applyFont="1" applyBorder="1" applyAlignment="1">
      <alignment horizontal="right" vertical="center"/>
    </xf>
    <xf numFmtId="1" fontId="3" fillId="0" borderId="308" xfId="0" applyNumberFormat="1" applyFont="1" applyBorder="1" applyAlignment="1">
      <alignment horizontal="center" vertical="center"/>
    </xf>
    <xf numFmtId="0" fontId="3" fillId="0" borderId="308" xfId="0" applyFont="1" applyBorder="1" applyAlignment="1">
      <alignment horizontal="center" vertical="center"/>
    </xf>
    <xf numFmtId="0" fontId="12" fillId="3" borderId="8" xfId="6" applyFont="1" applyFill="1" applyBorder="1" applyAlignment="1">
      <alignment horizontal="center" vertical="center" wrapText="1"/>
    </xf>
    <xf numFmtId="175" fontId="1" fillId="0" borderId="0" xfId="4" applyNumberFormat="1"/>
    <xf numFmtId="49" fontId="1" fillId="0" borderId="0" xfId="4" applyNumberFormat="1"/>
    <xf numFmtId="0" fontId="6" fillId="0" borderId="0" xfId="4" applyFont="1"/>
    <xf numFmtId="0" fontId="11" fillId="5" borderId="21" xfId="3" applyFont="1" applyFill="1" applyBorder="1" applyAlignment="1">
      <alignment horizontal="center" vertical="center" wrapText="1"/>
    </xf>
    <xf numFmtId="0" fontId="12" fillId="5" borderId="21" xfId="3" applyFont="1" applyFill="1" applyBorder="1" applyAlignment="1">
      <alignment horizontal="center" vertical="center" wrapText="1"/>
    </xf>
    <xf numFmtId="0" fontId="12" fillId="139" borderId="21" xfId="3" applyFont="1" applyFill="1" applyBorder="1" applyAlignment="1">
      <alignment horizontal="center" vertical="center" wrapText="1"/>
    </xf>
    <xf numFmtId="0" fontId="12" fillId="6" borderId="26" xfId="6" applyFont="1" applyFill="1" applyBorder="1" applyAlignment="1">
      <alignment horizontal="center" vertical="center" wrapText="1"/>
    </xf>
    <xf numFmtId="0" fontId="11" fillId="140" borderId="26" xfId="6" applyFont="1" applyFill="1" applyBorder="1" applyAlignment="1">
      <alignment horizontal="center" vertical="center" wrapText="1"/>
    </xf>
    <xf numFmtId="0" fontId="11" fillId="6" borderId="8" xfId="6" applyFont="1" applyFill="1" applyBorder="1" applyAlignment="1">
      <alignment vertical="center" wrapText="1"/>
    </xf>
    <xf numFmtId="0" fontId="11" fillId="6" borderId="26" xfId="6" applyFont="1" applyFill="1" applyBorder="1" applyAlignment="1">
      <alignment vertical="center" wrapText="1"/>
    </xf>
    <xf numFmtId="0" fontId="12" fillId="3" borderId="1" xfId="3" applyFont="1" applyFill="1" applyBorder="1" applyAlignment="1">
      <alignment horizontal="center" vertical="center" wrapText="1"/>
    </xf>
    <xf numFmtId="0" fontId="12" fillId="3" borderId="364" xfId="3" applyFont="1" applyFill="1" applyBorder="1" applyAlignment="1">
      <alignment horizontal="center" vertical="center" wrapText="1"/>
    </xf>
    <xf numFmtId="15" fontId="13" fillId="0" borderId="105" xfId="3" applyNumberFormat="1" applyFont="1" applyBorder="1" applyAlignment="1">
      <alignment horizontal="center" vertical="center" wrapText="1"/>
    </xf>
    <xf numFmtId="175" fontId="15" fillId="0" borderId="4" xfId="5" applyNumberFormat="1" applyFont="1" applyBorder="1" applyAlignment="1">
      <alignment horizontal="center" wrapText="1"/>
    </xf>
    <xf numFmtId="175" fontId="15" fillId="0" borderId="372" xfId="5" applyNumberFormat="1" applyFont="1" applyBorder="1" applyAlignment="1">
      <alignment horizontal="center" wrapText="1"/>
    </xf>
    <xf numFmtId="175" fontId="15" fillId="0" borderId="23" xfId="5" applyNumberFormat="1" applyFont="1" applyBorder="1" applyAlignment="1">
      <alignment horizontal="center" wrapText="1"/>
    </xf>
    <xf numFmtId="2" fontId="15" fillId="0" borderId="372" xfId="5" applyNumberFormat="1" applyFont="1" applyBorder="1" applyAlignment="1">
      <alignment horizontal="center" wrapText="1"/>
    </xf>
    <xf numFmtId="2" fontId="15" fillId="0" borderId="373" xfId="5" applyNumberFormat="1" applyFont="1" applyBorder="1" applyAlignment="1">
      <alignment horizontal="center" wrapText="1"/>
    </xf>
    <xf numFmtId="2" fontId="15" fillId="0" borderId="374" xfId="5" applyNumberFormat="1" applyFont="1" applyBorder="1" applyAlignment="1">
      <alignment horizontal="center" wrapText="1"/>
    </xf>
    <xf numFmtId="175" fontId="15" fillId="9" borderId="372" xfId="5" applyNumberFormat="1" applyFont="1" applyFill="1" applyBorder="1" applyAlignment="1">
      <alignment horizontal="center" wrapText="1"/>
    </xf>
    <xf numFmtId="175" fontId="15" fillId="0" borderId="30" xfId="5" applyNumberFormat="1" applyFont="1" applyBorder="1" applyAlignment="1">
      <alignment horizontal="center" wrapText="1"/>
    </xf>
    <xf numFmtId="2" fontId="15" fillId="0" borderId="372" xfId="3" applyNumberFormat="1" applyFont="1" applyBorder="1" applyAlignment="1">
      <alignment horizontal="center" vertical="center"/>
    </xf>
    <xf numFmtId="2" fontId="15" fillId="0" borderId="375" xfId="5" applyNumberFormat="1" applyFont="1" applyBorder="1" applyAlignment="1">
      <alignment horizontal="center" wrapText="1"/>
    </xf>
    <xf numFmtId="2" fontId="15" fillId="0" borderId="376" xfId="5" applyNumberFormat="1" applyFont="1" applyBorder="1" applyAlignment="1">
      <alignment horizontal="center" wrapText="1"/>
    </xf>
    <xf numFmtId="175" fontId="15" fillId="9" borderId="23" xfId="5" applyNumberFormat="1" applyFont="1" applyFill="1" applyBorder="1" applyAlignment="1">
      <alignment horizontal="center" wrapText="1"/>
    </xf>
    <xf numFmtId="2" fontId="15" fillId="0" borderId="342" xfId="5" applyNumberFormat="1" applyFont="1" applyBorder="1" applyAlignment="1">
      <alignment horizontal="center" wrapText="1"/>
    </xf>
    <xf numFmtId="175" fontId="15" fillId="0" borderId="24" xfId="5" applyNumberFormat="1" applyFont="1" applyBorder="1" applyAlignment="1">
      <alignment horizontal="center" wrapText="1"/>
    </xf>
    <xf numFmtId="0" fontId="1" fillId="9" borderId="0" xfId="4" applyFill="1"/>
    <xf numFmtId="175" fontId="15" fillId="9" borderId="27" xfId="5" applyNumberFormat="1" applyFont="1" applyFill="1" applyBorder="1" applyAlignment="1">
      <alignment horizontal="center" wrapText="1"/>
    </xf>
    <xf numFmtId="175" fontId="15" fillId="9" borderId="2" xfId="5" applyNumberFormat="1" applyFont="1" applyFill="1" applyBorder="1" applyAlignment="1">
      <alignment horizontal="center" wrapText="1"/>
    </xf>
    <xf numFmtId="175" fontId="15" fillId="9" borderId="4" xfId="5" applyNumberFormat="1" applyFont="1" applyFill="1" applyBorder="1" applyAlignment="1">
      <alignment horizontal="center" wrapText="1"/>
    </xf>
    <xf numFmtId="175" fontId="15" fillId="9" borderId="5" xfId="5" applyNumberFormat="1" applyFont="1" applyFill="1" applyBorder="1" applyAlignment="1">
      <alignment horizontal="center" wrapText="1"/>
    </xf>
    <xf numFmtId="175" fontId="15" fillId="9" borderId="3" xfId="5" applyNumberFormat="1" applyFont="1" applyFill="1" applyBorder="1" applyAlignment="1">
      <alignment horizontal="center" wrapText="1"/>
    </xf>
    <xf numFmtId="175" fontId="15" fillId="9" borderId="68" xfId="5" applyNumberFormat="1" applyFont="1" applyFill="1" applyBorder="1" applyAlignment="1">
      <alignment horizontal="center" wrapText="1"/>
    </xf>
    <xf numFmtId="2" fontId="15" fillId="9" borderId="372" xfId="5" applyNumberFormat="1" applyFont="1" applyFill="1" applyBorder="1" applyAlignment="1">
      <alignment horizontal="center" wrapText="1"/>
    </xf>
    <xf numFmtId="2" fontId="15" fillId="9" borderId="372" xfId="3" applyNumberFormat="1" applyFont="1" applyFill="1" applyBorder="1" applyAlignment="1">
      <alignment horizontal="center" vertical="center"/>
    </xf>
    <xf numFmtId="2" fontId="15" fillId="9" borderId="342" xfId="5" applyNumberFormat="1" applyFont="1" applyFill="1" applyBorder="1" applyAlignment="1">
      <alignment horizontal="center" wrapText="1"/>
    </xf>
    <xf numFmtId="2" fontId="15" fillId="9" borderId="376" xfId="5" applyNumberFormat="1" applyFont="1" applyFill="1" applyBorder="1" applyAlignment="1">
      <alignment horizontal="center" wrapText="1"/>
    </xf>
    <xf numFmtId="175" fontId="15" fillId="9" borderId="30" xfId="5" applyNumberFormat="1" applyFont="1" applyFill="1" applyBorder="1" applyAlignment="1">
      <alignment horizontal="center" wrapText="1"/>
    </xf>
    <xf numFmtId="0" fontId="1" fillId="9" borderId="24" xfId="4" applyFill="1" applyBorder="1" applyAlignment="1">
      <alignment horizontal="center" vertical="center"/>
    </xf>
    <xf numFmtId="0" fontId="1" fillId="108" borderId="0" xfId="4" applyFill="1"/>
    <xf numFmtId="175" fontId="15" fillId="0" borderId="55" xfId="5" applyNumberFormat="1" applyFont="1" applyBorder="1" applyAlignment="1">
      <alignment horizontal="center" wrapText="1"/>
    </xf>
    <xf numFmtId="175" fontId="15" fillId="0" borderId="377" xfId="5" applyNumberFormat="1" applyFont="1" applyBorder="1" applyAlignment="1">
      <alignment horizontal="center" wrapText="1"/>
    </xf>
    <xf numFmtId="175" fontId="15" fillId="0" borderId="25" xfId="5" applyNumberFormat="1" applyFont="1" applyBorder="1" applyAlignment="1">
      <alignment horizontal="center" wrapText="1"/>
    </xf>
    <xf numFmtId="2" fontId="15" fillId="0" borderId="377" xfId="5" applyNumberFormat="1" applyFont="1" applyBorder="1" applyAlignment="1">
      <alignment horizontal="center" wrapText="1"/>
    </xf>
    <xf numFmtId="2" fontId="15" fillId="0" borderId="377" xfId="3" applyNumberFormat="1" applyFont="1" applyBorder="1" applyAlignment="1">
      <alignment horizontal="center" vertical="center"/>
    </xf>
    <xf numFmtId="2" fontId="15" fillId="9" borderId="335" xfId="5" applyNumberFormat="1" applyFont="1" applyFill="1" applyBorder="1" applyAlignment="1">
      <alignment horizontal="center" vertical="center" wrapText="1"/>
    </xf>
    <xf numFmtId="175" fontId="15" fillId="0" borderId="378" xfId="5" applyNumberFormat="1" applyFont="1" applyBorder="1" applyAlignment="1">
      <alignment horizontal="center" wrapText="1"/>
    </xf>
    <xf numFmtId="0" fontId="1" fillId="0" borderId="335" xfId="4" applyBorder="1" applyAlignment="1">
      <alignment horizontal="center" vertical="center"/>
    </xf>
    <xf numFmtId="175" fontId="15" fillId="0" borderId="66" xfId="5" applyNumberFormat="1" applyFont="1" applyBorder="1" applyAlignment="1">
      <alignment horizontal="center" wrapText="1"/>
    </xf>
    <xf numFmtId="2" fontId="15" fillId="0" borderId="23" xfId="5" applyNumberFormat="1" applyFont="1" applyBorder="1" applyAlignment="1">
      <alignment horizontal="center" wrapText="1"/>
    </xf>
    <xf numFmtId="175" fontId="15" fillId="0" borderId="22" xfId="5" applyNumberFormat="1" applyFont="1" applyBorder="1" applyAlignment="1">
      <alignment horizontal="center" wrapText="1"/>
    </xf>
    <xf numFmtId="175" fontId="15" fillId="0" borderId="28" xfId="5" applyNumberFormat="1" applyFont="1" applyBorder="1" applyAlignment="1">
      <alignment horizontal="center" wrapText="1"/>
    </xf>
    <xf numFmtId="175" fontId="15" fillId="0" borderId="164" xfId="5" applyNumberFormat="1" applyFont="1" applyBorder="1" applyAlignment="1">
      <alignment horizontal="center" wrapText="1"/>
    </xf>
    <xf numFmtId="2" fontId="15" fillId="0" borderId="24" xfId="5" applyNumberFormat="1" applyFont="1" applyBorder="1" applyAlignment="1">
      <alignment horizontal="center" wrapText="1"/>
    </xf>
    <xf numFmtId="175" fontId="15" fillId="0" borderId="379" xfId="5" applyNumberFormat="1" applyFont="1" applyBorder="1" applyAlignment="1">
      <alignment horizontal="center" wrapText="1"/>
    </xf>
    <xf numFmtId="175" fontId="15" fillId="0" borderId="7" xfId="5" applyNumberFormat="1" applyFont="1" applyBorder="1" applyAlignment="1">
      <alignment horizontal="center" wrapText="1"/>
    </xf>
    <xf numFmtId="2" fontId="15" fillId="9" borderId="24" xfId="5" applyNumberFormat="1" applyFont="1" applyFill="1" applyBorder="1" applyAlignment="1">
      <alignment horizontal="center" wrapText="1"/>
    </xf>
    <xf numFmtId="175" fontId="15" fillId="9" borderId="24" xfId="5" applyNumberFormat="1" applyFont="1" applyFill="1" applyBorder="1" applyAlignment="1">
      <alignment horizontal="center" wrapText="1"/>
    </xf>
    <xf numFmtId="175" fontId="15" fillId="9" borderId="379" xfId="5" applyNumberFormat="1" applyFont="1" applyFill="1" applyBorder="1" applyAlignment="1">
      <alignment horizontal="center" wrapText="1"/>
    </xf>
    <xf numFmtId="175" fontId="15" fillId="9" borderId="7" xfId="5" applyNumberFormat="1" applyFont="1" applyFill="1" applyBorder="1" applyAlignment="1">
      <alignment horizontal="center" wrapText="1"/>
    </xf>
    <xf numFmtId="175" fontId="15" fillId="0" borderId="380" xfId="5" applyNumberFormat="1" applyFont="1" applyBorder="1" applyAlignment="1">
      <alignment horizontal="center" wrapText="1"/>
    </xf>
    <xf numFmtId="175" fontId="15" fillId="0" borderId="48" xfId="5" applyNumberFormat="1" applyFont="1" applyBorder="1" applyAlignment="1">
      <alignment horizontal="center" wrapText="1"/>
    </xf>
    <xf numFmtId="2" fontId="15" fillId="0" borderId="28" xfId="5" applyNumberFormat="1" applyFont="1" applyBorder="1" applyAlignment="1">
      <alignment horizontal="center" wrapText="1"/>
    </xf>
    <xf numFmtId="175" fontId="15" fillId="9" borderId="377" xfId="5" applyNumberFormat="1" applyFont="1" applyFill="1" applyBorder="1" applyAlignment="1">
      <alignment horizontal="center" wrapText="1"/>
    </xf>
    <xf numFmtId="175" fontId="15" fillId="0" borderId="381" xfId="5" applyNumberFormat="1" applyFont="1" applyBorder="1" applyAlignment="1">
      <alignment horizontal="center" wrapText="1"/>
    </xf>
    <xf numFmtId="175" fontId="15" fillId="0" borderId="382" xfId="5" applyNumberFormat="1" applyFont="1" applyBorder="1" applyAlignment="1">
      <alignment horizontal="center" wrapText="1"/>
    </xf>
    <xf numFmtId="175" fontId="15" fillId="0" borderId="14" xfId="5" applyNumberFormat="1" applyFont="1" applyBorder="1" applyAlignment="1">
      <alignment horizontal="center" wrapText="1"/>
    </xf>
    <xf numFmtId="175" fontId="15" fillId="0" borderId="339" xfId="5" applyNumberFormat="1" applyFont="1" applyBorder="1" applyAlignment="1">
      <alignment horizontal="center" wrapText="1"/>
    </xf>
    <xf numFmtId="175" fontId="15" fillId="0" borderId="1" xfId="5" applyNumberFormat="1" applyFont="1" applyBorder="1" applyAlignment="1">
      <alignment horizontal="center" wrapText="1"/>
    </xf>
    <xf numFmtId="175" fontId="15" fillId="0" borderId="383" xfId="5" applyNumberFormat="1" applyFont="1" applyBorder="1" applyAlignment="1">
      <alignment horizontal="center" wrapText="1"/>
    </xf>
    <xf numFmtId="175" fontId="15" fillId="0" borderId="363" xfId="5" applyNumberFormat="1" applyFont="1" applyBorder="1" applyAlignment="1">
      <alignment horizontal="center" wrapText="1"/>
    </xf>
    <xf numFmtId="175" fontId="15" fillId="0" borderId="364" xfId="5" applyNumberFormat="1" applyFont="1" applyBorder="1" applyAlignment="1">
      <alignment horizontal="center" wrapText="1"/>
    </xf>
    <xf numFmtId="175" fontId="15" fillId="0" borderId="337" xfId="5" applyNumberFormat="1" applyFont="1" applyBorder="1" applyAlignment="1">
      <alignment horizontal="center" wrapText="1"/>
    </xf>
    <xf numFmtId="175" fontId="15" fillId="0" borderId="335" xfId="5" applyNumberFormat="1" applyFont="1" applyBorder="1" applyAlignment="1">
      <alignment horizontal="center" wrapText="1"/>
    </xf>
    <xf numFmtId="2" fontId="15" fillId="0" borderId="337" xfId="5" applyNumberFormat="1" applyFont="1" applyBorder="1" applyAlignment="1">
      <alignment horizontal="center" wrapText="1"/>
    </xf>
    <xf numFmtId="2" fontId="15" fillId="0" borderId="335" xfId="5" applyNumberFormat="1" applyFont="1" applyBorder="1" applyAlignment="1">
      <alignment horizontal="center" wrapText="1"/>
    </xf>
    <xf numFmtId="175" fontId="15" fillId="0" borderId="336" xfId="5" applyNumberFormat="1" applyFont="1" applyBorder="1" applyAlignment="1">
      <alignment horizontal="center" wrapText="1"/>
    </xf>
    <xf numFmtId="175" fontId="15" fillId="0" borderId="384" xfId="5" applyNumberFormat="1" applyFont="1" applyBorder="1" applyAlignment="1">
      <alignment horizontal="center" wrapText="1"/>
    </xf>
    <xf numFmtId="175" fontId="15" fillId="9" borderId="384" xfId="5" applyNumberFormat="1" applyFont="1" applyFill="1" applyBorder="1" applyAlignment="1">
      <alignment horizontal="center" wrapText="1"/>
    </xf>
    <xf numFmtId="2" fontId="15" fillId="0" borderId="22" xfId="3" applyNumberFormat="1" applyFont="1" applyBorder="1" applyAlignment="1">
      <alignment horizontal="center" vertical="center"/>
    </xf>
    <xf numFmtId="2" fontId="15" fillId="0" borderId="22" xfId="5" applyNumberFormat="1" applyFont="1" applyBorder="1" applyAlignment="1">
      <alignment horizontal="center" wrapText="1"/>
    </xf>
    <xf numFmtId="175" fontId="15" fillId="0" borderId="163" xfId="5" applyNumberFormat="1" applyFont="1" applyBorder="1" applyAlignment="1">
      <alignment horizontal="center" wrapText="1"/>
    </xf>
    <xf numFmtId="2" fontId="15" fillId="0" borderId="379" xfId="5" applyNumberFormat="1" applyFont="1" applyBorder="1" applyAlignment="1">
      <alignment horizontal="center" wrapText="1"/>
    </xf>
    <xf numFmtId="2" fontId="15" fillId="0" borderId="24" xfId="3" applyNumberFormat="1" applyFont="1" applyBorder="1" applyAlignment="1">
      <alignment horizontal="center" vertical="center"/>
    </xf>
    <xf numFmtId="175" fontId="15" fillId="0" borderId="385" xfId="5" applyNumberFormat="1" applyFont="1" applyBorder="1" applyAlignment="1">
      <alignment horizontal="center" wrapText="1"/>
    </xf>
    <xf numFmtId="15" fontId="13" fillId="9" borderId="23" xfId="3" applyNumberFormat="1" applyFont="1" applyFill="1" applyBorder="1" applyAlignment="1">
      <alignment horizontal="center" vertical="center" wrapText="1"/>
    </xf>
    <xf numFmtId="175" fontId="15" fillId="0" borderId="386" xfId="5" applyNumberFormat="1" applyFont="1" applyBorder="1" applyAlignment="1">
      <alignment horizontal="center" wrapText="1"/>
    </xf>
    <xf numFmtId="175" fontId="15" fillId="0" borderId="387" xfId="5" applyNumberFormat="1" applyFont="1" applyBorder="1" applyAlignment="1">
      <alignment horizontal="center" wrapText="1"/>
    </xf>
    <xf numFmtId="175" fontId="15" fillId="9" borderId="25" xfId="5" applyNumberFormat="1" applyFont="1" applyFill="1" applyBorder="1" applyAlignment="1">
      <alignment horizontal="center" wrapText="1"/>
    </xf>
    <xf numFmtId="2" fontId="15" fillId="0" borderId="25" xfId="3" applyNumberFormat="1" applyFont="1" applyBorder="1" applyAlignment="1">
      <alignment horizontal="center" vertical="center"/>
    </xf>
    <xf numFmtId="175" fontId="15" fillId="0" borderId="100" xfId="5" applyNumberFormat="1" applyFont="1" applyBorder="1" applyAlignment="1">
      <alignment horizontal="center" wrapText="1"/>
    </xf>
    <xf numFmtId="175" fontId="15" fillId="0" borderId="101" xfId="5" applyNumberFormat="1" applyFont="1" applyBorder="1" applyAlignment="1">
      <alignment horizontal="center" wrapText="1"/>
    </xf>
    <xf numFmtId="2" fontId="15" fillId="9" borderId="22" xfId="5" applyNumberFormat="1" applyFont="1" applyFill="1" applyBorder="1" applyAlignment="1">
      <alignment horizontal="center" wrapText="1"/>
    </xf>
    <xf numFmtId="15" fontId="13" fillId="0" borderId="381" xfId="3" applyNumberFormat="1" applyFont="1" applyBorder="1" applyAlignment="1">
      <alignment horizontal="center" vertical="center" wrapText="1"/>
    </xf>
    <xf numFmtId="15" fontId="13" fillId="0" borderId="382" xfId="3" applyNumberFormat="1" applyFont="1" applyBorder="1" applyAlignment="1">
      <alignment horizontal="center" vertical="center" wrapText="1"/>
    </xf>
    <xf numFmtId="175" fontId="15" fillId="0" borderId="241" xfId="5" applyNumberFormat="1" applyFont="1" applyBorder="1" applyAlignment="1">
      <alignment horizontal="center" wrapText="1"/>
    </xf>
    <xf numFmtId="175" fontId="15" fillId="0" borderId="82" xfId="5" applyNumberFormat="1" applyFont="1" applyBorder="1" applyAlignment="1">
      <alignment horizontal="center" wrapText="1"/>
    </xf>
    <xf numFmtId="175" fontId="15" fillId="0" borderId="388" xfId="5" applyNumberFormat="1" applyFont="1" applyBorder="1" applyAlignment="1">
      <alignment horizontal="center" wrapText="1"/>
    </xf>
    <xf numFmtId="2" fontId="15" fillId="0" borderId="388" xfId="3" applyNumberFormat="1" applyFont="1" applyBorder="1" applyAlignment="1">
      <alignment horizontal="center" vertical="center"/>
    </xf>
    <xf numFmtId="2" fontId="15" fillId="0" borderId="388" xfId="5" applyNumberFormat="1" applyFont="1" applyBorder="1" applyAlignment="1">
      <alignment horizontal="center" wrapText="1"/>
    </xf>
    <xf numFmtId="0" fontId="66" fillId="9" borderId="24" xfId="4" applyFont="1" applyFill="1" applyBorder="1" applyAlignment="1">
      <alignment horizontal="center" vertical="center"/>
    </xf>
    <xf numFmtId="175" fontId="17" fillId="0" borderId="10" xfId="3" applyNumberFormat="1" applyFont="1" applyBorder="1" applyAlignment="1">
      <alignment horizontal="center" vertical="center"/>
    </xf>
    <xf numFmtId="175" fontId="17" fillId="0" borderId="26" xfId="3" applyNumberFormat="1" applyFont="1" applyBorder="1" applyAlignment="1">
      <alignment horizontal="center" vertical="center"/>
    </xf>
    <xf numFmtId="15" fontId="1" fillId="0" borderId="0" xfId="4" applyNumberFormat="1"/>
    <xf numFmtId="175" fontId="15" fillId="9" borderId="388" xfId="5" applyNumberFormat="1" applyFont="1" applyFill="1" applyBorder="1" applyAlignment="1">
      <alignment horizontal="center" wrapText="1"/>
    </xf>
    <xf numFmtId="175" fontId="15" fillId="0" borderId="389" xfId="5" applyNumberFormat="1" applyFont="1" applyBorder="1" applyAlignment="1">
      <alignment horizontal="center" wrapText="1"/>
    </xf>
    <xf numFmtId="175" fontId="17" fillId="9" borderId="19" xfId="3" applyNumberFormat="1" applyFont="1" applyFill="1" applyBorder="1" applyAlignment="1">
      <alignment horizontal="center" vertical="center"/>
    </xf>
    <xf numFmtId="0" fontId="2" fillId="25" borderId="308" xfId="0" applyFont="1" applyFill="1" applyBorder="1" applyAlignment="1" applyProtection="1">
      <alignment horizontal="center" vertical="center" wrapText="1"/>
      <protection locked="0"/>
    </xf>
    <xf numFmtId="0" fontId="2" fillId="25" borderId="224" xfId="0" applyFont="1" applyFill="1" applyBorder="1" applyAlignment="1" applyProtection="1">
      <alignment horizontal="center" vertical="center" wrapText="1"/>
      <protection locked="0"/>
    </xf>
    <xf numFmtId="0" fontId="76" fillId="0" borderId="162" xfId="0" applyFont="1" applyBorder="1" applyAlignment="1" applyProtection="1">
      <alignment vertical="center"/>
      <protection locked="0"/>
    </xf>
    <xf numFmtId="0" fontId="76" fillId="0" borderId="306" xfId="0" applyFont="1" applyBorder="1" applyAlignment="1" applyProtection="1">
      <alignment vertical="center"/>
      <protection locked="0"/>
    </xf>
    <xf numFmtId="0" fontId="76" fillId="0" borderId="181" xfId="0" applyFont="1" applyBorder="1" applyAlignment="1" applyProtection="1">
      <alignment vertical="center"/>
      <protection locked="0"/>
    </xf>
    <xf numFmtId="0" fontId="0" fillId="0" borderId="173" xfId="0" applyBorder="1" applyProtection="1">
      <protection locked="0"/>
    </xf>
    <xf numFmtId="14" fontId="0" fillId="0" borderId="173" xfId="0" applyNumberFormat="1" applyBorder="1" applyProtection="1">
      <protection locked="0"/>
    </xf>
    <xf numFmtId="0" fontId="68" fillId="0" borderId="173" xfId="0" applyFont="1" applyBorder="1" applyProtection="1">
      <protection locked="0"/>
    </xf>
    <xf numFmtId="208" fontId="0" fillId="0" borderId="173" xfId="0" applyNumberFormat="1" applyBorder="1" applyProtection="1">
      <protection locked="0"/>
    </xf>
    <xf numFmtId="0" fontId="0" fillId="0" borderId="150" xfId="0" applyBorder="1" applyProtection="1">
      <protection locked="0"/>
    </xf>
    <xf numFmtId="0" fontId="0" fillId="0" borderId="232" xfId="0" applyBorder="1" applyProtection="1">
      <protection locked="0"/>
    </xf>
    <xf numFmtId="14" fontId="264" fillId="0" borderId="162" xfId="0" applyNumberFormat="1" applyFont="1" applyBorder="1" applyAlignment="1" applyProtection="1">
      <alignment vertical="center"/>
      <protection locked="0"/>
    </xf>
    <xf numFmtId="0" fontId="264" fillId="0" borderId="162" xfId="0" applyFont="1" applyBorder="1" applyAlignment="1" applyProtection="1">
      <alignment vertical="center"/>
      <protection locked="0"/>
    </xf>
    <xf numFmtId="0" fontId="0" fillId="0" borderId="233" xfId="0" applyBorder="1" applyAlignment="1" applyProtection="1">
      <alignment horizontal="left" vertical="center"/>
      <protection locked="0"/>
    </xf>
    <xf numFmtId="0" fontId="0" fillId="0" borderId="332" xfId="0" applyBorder="1" applyAlignment="1" applyProtection="1">
      <alignment vertical="center" wrapText="1"/>
      <protection locked="0"/>
    </xf>
    <xf numFmtId="0" fontId="0" fillId="0" borderId="333" xfId="0" applyBorder="1" applyAlignment="1" applyProtection="1">
      <alignment horizontal="left" vertical="center"/>
      <protection locked="0"/>
    </xf>
    <xf numFmtId="175" fontId="15" fillId="0" borderId="209" xfId="5" applyNumberFormat="1" applyFont="1" applyBorder="1" applyAlignment="1">
      <alignment horizontal="center" wrapText="1"/>
    </xf>
    <xf numFmtId="0" fontId="60" fillId="0" borderId="206" xfId="0" applyFont="1" applyBorder="1" applyAlignment="1" applyProtection="1">
      <alignment vertical="center" wrapText="1"/>
      <protection locked="0"/>
    </xf>
    <xf numFmtId="0" fontId="60" fillId="0" borderId="224" xfId="0" applyFont="1" applyBorder="1" applyAlignment="1">
      <alignment horizontal="center" vertical="center"/>
    </xf>
    <xf numFmtId="0" fontId="60" fillId="0" borderId="224" xfId="0" applyFont="1" applyBorder="1" applyAlignment="1" applyProtection="1">
      <alignment horizontal="center" vertical="center"/>
      <protection locked="0"/>
    </xf>
    <xf numFmtId="2" fontId="60" fillId="0" borderId="302" xfId="0" applyNumberFormat="1" applyFont="1" applyBorder="1" applyAlignment="1">
      <alignment horizontal="center" vertical="center"/>
    </xf>
    <xf numFmtId="0" fontId="60" fillId="0" borderId="302" xfId="0" applyFont="1" applyBorder="1" applyAlignment="1" applyProtection="1">
      <alignment horizontal="center" vertical="center"/>
      <protection locked="0"/>
    </xf>
    <xf numFmtId="0" fontId="60" fillId="0" borderId="332" xfId="0" applyFont="1" applyBorder="1" applyAlignment="1" applyProtection="1">
      <alignment vertical="center" wrapText="1"/>
      <protection locked="0"/>
    </xf>
    <xf numFmtId="175" fontId="60" fillId="0" borderId="308" xfId="0" applyNumberFormat="1" applyFont="1" applyBorder="1" applyAlignment="1">
      <alignment horizontal="center" vertical="center"/>
    </xf>
    <xf numFmtId="1" fontId="60" fillId="0" borderId="308" xfId="0" applyNumberFormat="1" applyFont="1" applyBorder="1" applyAlignment="1">
      <alignment horizontal="center" vertical="center"/>
    </xf>
    <xf numFmtId="0" fontId="60" fillId="0" borderId="308" xfId="0" applyFont="1" applyBorder="1" applyAlignment="1" applyProtection="1">
      <alignment horizontal="center" vertical="center"/>
      <protection locked="0"/>
    </xf>
    <xf numFmtId="3" fontId="60" fillId="0" borderId="308" xfId="0" applyNumberFormat="1" applyFont="1" applyBorder="1" applyAlignment="1">
      <alignment horizontal="center" vertical="center"/>
    </xf>
    <xf numFmtId="0" fontId="60" fillId="0" borderId="309" xfId="0" applyFont="1" applyBorder="1" applyAlignment="1" applyProtection="1">
      <alignment horizontal="center" vertical="center"/>
      <protection locked="0"/>
    </xf>
    <xf numFmtId="2" fontId="60" fillId="0" borderId="300" xfId="0" applyNumberFormat="1" applyFont="1" applyBorder="1" applyAlignment="1">
      <alignment horizontal="center" vertical="center"/>
    </xf>
    <xf numFmtId="2" fontId="60" fillId="0" borderId="302" xfId="0" applyNumberFormat="1" applyFont="1" applyBorder="1" applyAlignment="1" applyProtection="1">
      <alignment horizontal="center" vertical="center"/>
      <protection locked="0"/>
    </xf>
    <xf numFmtId="0" fontId="265" fillId="25" borderId="308" xfId="27" applyFont="1" applyFill="1" applyBorder="1" applyAlignment="1" applyProtection="1">
      <alignment horizontal="center" vertical="center" wrapText="1"/>
      <protection locked="0"/>
    </xf>
    <xf numFmtId="0" fontId="94" fillId="25" borderId="224" xfId="0" applyFont="1" applyFill="1" applyBorder="1" applyAlignment="1" applyProtection="1">
      <alignment horizontal="center" vertical="center" wrapText="1"/>
      <protection locked="0"/>
    </xf>
    <xf numFmtId="0" fontId="94" fillId="25" borderId="76" xfId="0" applyFont="1" applyFill="1" applyBorder="1" applyAlignment="1" applyProtection="1">
      <alignment horizontal="center" vertical="center" wrapText="1"/>
      <protection locked="0"/>
    </xf>
    <xf numFmtId="0" fontId="94" fillId="25" borderId="308" xfId="0" applyFont="1" applyFill="1" applyBorder="1" applyAlignment="1" applyProtection="1">
      <alignment horizontal="center" vertical="center" wrapText="1"/>
      <protection locked="0"/>
    </xf>
    <xf numFmtId="0" fontId="94" fillId="29" borderId="366" xfId="0" applyFont="1" applyFill="1" applyBorder="1" applyAlignment="1" applyProtection="1">
      <alignment vertical="center" wrapText="1"/>
      <protection locked="0"/>
    </xf>
    <xf numFmtId="208" fontId="60" fillId="9" borderId="308" xfId="0" applyNumberFormat="1" applyFont="1" applyFill="1" applyBorder="1" applyAlignment="1">
      <alignment vertical="center" wrapText="1"/>
    </xf>
    <xf numFmtId="208" fontId="60" fillId="9" borderId="308" xfId="0" applyNumberFormat="1" applyFont="1" applyFill="1" applyBorder="1" applyAlignment="1" applyProtection="1">
      <alignment vertical="center" wrapText="1"/>
      <protection locked="0"/>
    </xf>
    <xf numFmtId="2" fontId="60" fillId="0" borderId="224" xfId="0" applyNumberFormat="1" applyFont="1" applyBorder="1" applyAlignment="1">
      <alignment horizontal="center" vertical="center"/>
    </xf>
    <xf numFmtId="2" fontId="60" fillId="9" borderId="224" xfId="0" applyNumberFormat="1" applyFont="1" applyFill="1" applyBorder="1" applyAlignment="1">
      <alignment horizontal="center" wrapText="1"/>
    </xf>
    <xf numFmtId="175" fontId="60" fillId="0" borderId="224" xfId="0" applyNumberFormat="1" applyFont="1" applyBorder="1" applyAlignment="1">
      <alignment horizontal="center" vertical="center" wrapText="1"/>
    </xf>
    <xf numFmtId="175" fontId="60" fillId="0" borderId="224" xfId="0" applyNumberFormat="1" applyFont="1" applyBorder="1" applyAlignment="1">
      <alignment horizontal="center" vertical="center"/>
    </xf>
    <xf numFmtId="175" fontId="60" fillId="0" borderId="308" xfId="0" applyNumberFormat="1" applyFont="1" applyBorder="1" applyAlignment="1" applyProtection="1">
      <alignment horizontal="center" vertical="center"/>
      <protection locked="0"/>
    </xf>
    <xf numFmtId="0" fontId="60" fillId="9" borderId="224" xfId="0" applyFont="1" applyFill="1" applyBorder="1" applyAlignment="1" applyProtection="1">
      <alignment horizontal="center" vertical="top" wrapText="1"/>
      <protection locked="0"/>
    </xf>
    <xf numFmtId="0" fontId="60" fillId="9" borderId="224" xfId="0" applyFont="1" applyFill="1" applyBorder="1" applyAlignment="1" applyProtection="1">
      <alignment horizontal="left" vertical="top" wrapText="1"/>
      <protection locked="0"/>
    </xf>
    <xf numFmtId="0" fontId="2" fillId="25" borderId="306" xfId="0" applyFont="1" applyFill="1" applyBorder="1" applyAlignment="1" applyProtection="1">
      <alignment vertical="center" wrapText="1"/>
      <protection locked="0"/>
    </xf>
    <xf numFmtId="0" fontId="2" fillId="25" borderId="214" xfId="0" applyFont="1" applyFill="1" applyBorder="1" applyAlignment="1" applyProtection="1">
      <alignment vertical="center" wrapText="1"/>
      <protection locked="0"/>
    </xf>
    <xf numFmtId="2" fontId="94" fillId="25" borderId="224" xfId="0" applyNumberFormat="1" applyFont="1" applyFill="1" applyBorder="1" applyAlignment="1">
      <alignment horizontal="center" vertical="center" wrapText="1"/>
    </xf>
    <xf numFmtId="0" fontId="266" fillId="25" borderId="307" xfId="0" applyFont="1" applyFill="1" applyBorder="1" applyAlignment="1" applyProtection="1">
      <alignment horizontal="left" vertical="center" wrapText="1"/>
      <protection locked="0"/>
    </xf>
    <xf numFmtId="0" fontId="267" fillId="25" borderId="214" xfId="0" applyFont="1" applyFill="1" applyBorder="1" applyAlignment="1" applyProtection="1">
      <alignment vertical="center" wrapText="1"/>
      <protection locked="0"/>
    </xf>
    <xf numFmtId="0" fontId="266" fillId="25" borderId="214" xfId="0" applyFont="1" applyFill="1" applyBorder="1" applyAlignment="1" applyProtection="1">
      <alignment horizontal="right" vertical="center" wrapText="1"/>
      <protection locked="0"/>
    </xf>
    <xf numFmtId="0" fontId="266" fillId="25" borderId="214" xfId="0" applyFont="1" applyFill="1" applyBorder="1" applyAlignment="1" applyProtection="1">
      <alignment horizontal="left" vertical="center" wrapText="1"/>
      <protection locked="0"/>
    </xf>
    <xf numFmtId="2" fontId="45" fillId="12" borderId="109" xfId="22" applyNumberFormat="1" applyFont="1" applyFill="1" applyBorder="1" applyAlignment="1">
      <alignment horizontal="center" vertical="center" wrapText="1"/>
    </xf>
    <xf numFmtId="0" fontId="3" fillId="0" borderId="0" xfId="22" applyAlignment="1">
      <alignment wrapText="1"/>
    </xf>
    <xf numFmtId="0" fontId="47" fillId="13" borderId="368" xfId="23" applyFont="1" applyFill="1" applyBorder="1" applyAlignment="1">
      <alignment horizontal="left"/>
    </xf>
    <xf numFmtId="2" fontId="48" fillId="8" borderId="308" xfId="3" applyNumberFormat="1" applyFont="1" applyFill="1" applyBorder="1" applyAlignment="1">
      <alignment horizontal="center"/>
    </xf>
    <xf numFmtId="175" fontId="48" fillId="8" borderId="308" xfId="3" applyNumberFormat="1" applyFont="1" applyFill="1" applyBorder="1" applyAlignment="1">
      <alignment horizontal="center"/>
    </xf>
    <xf numFmtId="15" fontId="275" fillId="0" borderId="49" xfId="23" applyNumberFormat="1" applyFont="1" applyBorder="1" applyAlignment="1">
      <alignment horizontal="left" vertical="center"/>
    </xf>
    <xf numFmtId="15" fontId="275" fillId="0" borderId="116" xfId="23" applyNumberFormat="1" applyFont="1" applyBorder="1" applyAlignment="1">
      <alignment horizontal="left" vertical="center"/>
    </xf>
    <xf numFmtId="20" fontId="275" fillId="0" borderId="329" xfId="23" applyNumberFormat="1" applyFont="1" applyBorder="1" applyAlignment="1">
      <alignment horizontal="left"/>
    </xf>
    <xf numFmtId="2" fontId="46" fillId="12" borderId="306" xfId="5" applyNumberFormat="1" applyFont="1" applyFill="1" applyBorder="1" applyAlignment="1">
      <alignment horizontal="center"/>
    </xf>
    <xf numFmtId="2" fontId="46" fillId="12" borderId="304" xfId="5" applyNumberFormat="1" applyFont="1" applyFill="1" applyBorder="1" applyAlignment="1">
      <alignment horizontal="center"/>
    </xf>
    <xf numFmtId="15" fontId="275" fillId="0" borderId="329" xfId="23" applyNumberFormat="1" applyFont="1" applyBorder="1" applyAlignment="1">
      <alignment horizontal="left" vertical="center"/>
    </xf>
    <xf numFmtId="20" fontId="47" fillId="0" borderId="116" xfId="23" applyNumberFormat="1" applyFont="1" applyBorder="1" applyAlignment="1">
      <alignment horizontal="left" vertical="center"/>
    </xf>
    <xf numFmtId="0" fontId="47" fillId="13" borderId="368" xfId="23" applyFont="1" applyFill="1" applyBorder="1" applyAlignment="1">
      <alignment vertical="center"/>
    </xf>
    <xf numFmtId="20" fontId="47" fillId="0" borderId="116" xfId="23" applyNumberFormat="1" applyFont="1" applyBorder="1" applyAlignment="1">
      <alignment horizontal="center"/>
    </xf>
    <xf numFmtId="20" fontId="47" fillId="0" borderId="329" xfId="23" applyNumberFormat="1" applyFont="1" applyBorder="1" applyAlignment="1">
      <alignment horizontal="center"/>
    </xf>
    <xf numFmtId="0" fontId="3" fillId="0" borderId="48" xfId="22" applyBorder="1"/>
    <xf numFmtId="2" fontId="45" fillId="12" borderId="306" xfId="5" applyNumberFormat="1" applyFont="1" applyFill="1" applyBorder="1" applyAlignment="1">
      <alignment horizontal="center"/>
    </xf>
    <xf numFmtId="2" fontId="45" fillId="12" borderId="304" xfId="5" applyNumberFormat="1" applyFont="1" applyFill="1" applyBorder="1" applyAlignment="1">
      <alignment horizontal="center"/>
    </xf>
    <xf numFmtId="0" fontId="47" fillId="13" borderId="391" xfId="23" applyFont="1" applyFill="1" applyBorder="1" applyAlignment="1">
      <alignment horizontal="left"/>
    </xf>
    <xf numFmtId="0" fontId="47" fillId="13" borderId="392" xfId="23" applyFont="1" applyFill="1" applyBorder="1" applyAlignment="1">
      <alignment horizontal="left"/>
    </xf>
    <xf numFmtId="2" fontId="45" fillId="141" borderId="370" xfId="22" applyNumberFormat="1" applyFont="1" applyFill="1" applyBorder="1" applyAlignment="1">
      <alignment horizontal="center"/>
    </xf>
    <xf numFmtId="20" fontId="47" fillId="0" borderId="371" xfId="23" applyNumberFormat="1" applyFont="1" applyBorder="1" applyAlignment="1">
      <alignment horizontal="center"/>
    </xf>
    <xf numFmtId="191" fontId="3" fillId="0" borderId="0" xfId="22" applyNumberFormat="1"/>
    <xf numFmtId="0" fontId="47" fillId="142" borderId="104" xfId="23" applyFont="1" applyFill="1" applyBorder="1" applyAlignment="1">
      <alignment horizontal="center" vertical="center"/>
    </xf>
    <xf numFmtId="0" fontId="3" fillId="0" borderId="48" xfId="22" applyBorder="1" applyAlignment="1">
      <alignment wrapText="1"/>
    </xf>
    <xf numFmtId="0" fontId="50" fillId="0" borderId="209" xfId="22" applyFont="1" applyBorder="1"/>
    <xf numFmtId="0" fontId="3" fillId="0" borderId="209" xfId="22" applyBorder="1"/>
    <xf numFmtId="0" fontId="50" fillId="0" borderId="337" xfId="22" applyFont="1" applyBorder="1"/>
    <xf numFmtId="2" fontId="45" fillId="12" borderId="126" xfId="22" applyNumberFormat="1" applyFont="1" applyFill="1" applyBorder="1" applyAlignment="1">
      <alignment horizontal="center" vertical="center" wrapText="1"/>
    </xf>
    <xf numFmtId="15" fontId="275" fillId="0" borderId="77" xfId="23" applyNumberFormat="1" applyFont="1" applyBorder="1" applyAlignment="1">
      <alignment horizontal="left" vertical="center"/>
    </xf>
    <xf numFmtId="20" fontId="275" fillId="0" borderId="77" xfId="23" applyNumberFormat="1" applyFont="1" applyBorder="1" applyAlignment="1">
      <alignment horizontal="left" vertical="center"/>
    </xf>
    <xf numFmtId="20" fontId="47" fillId="0" borderId="77" xfId="23" applyNumberFormat="1" applyFont="1" applyBorder="1" applyAlignment="1">
      <alignment horizontal="left" vertical="center"/>
    </xf>
    <xf numFmtId="20" fontId="47" fillId="0" borderId="77" xfId="23" applyNumberFormat="1" applyFont="1" applyBorder="1" applyAlignment="1">
      <alignment horizontal="center"/>
    </xf>
    <xf numFmtId="20" fontId="47" fillId="0" borderId="366" xfId="23" applyNumberFormat="1" applyFont="1" applyBorder="1" applyAlignment="1">
      <alignment horizontal="center"/>
    </xf>
    <xf numFmtId="175" fontId="48" fillId="8" borderId="329" xfId="3" applyNumberFormat="1" applyFont="1" applyFill="1" applyBorder="1" applyAlignment="1">
      <alignment horizontal="center"/>
    </xf>
    <xf numFmtId="2" fontId="48" fillId="8" borderId="370" xfId="3" applyNumberFormat="1" applyFont="1" applyFill="1" applyBorder="1" applyAlignment="1">
      <alignment horizontal="center"/>
    </xf>
    <xf numFmtId="0" fontId="47" fillId="13" borderId="112" xfId="23" applyFont="1" applyFill="1" applyBorder="1" applyAlignment="1">
      <alignment horizontal="left"/>
    </xf>
    <xf numFmtId="2" fontId="48" fillId="8" borderId="49" xfId="3" applyNumberFormat="1" applyFont="1" applyFill="1" applyBorder="1" applyAlignment="1">
      <alignment horizontal="center"/>
    </xf>
    <xf numFmtId="175" fontId="48" fillId="8" borderId="49" xfId="3" applyNumberFormat="1" applyFont="1" applyFill="1" applyBorder="1" applyAlignment="1">
      <alignment horizontal="center"/>
    </xf>
    <xf numFmtId="175" fontId="48" fillId="8" borderId="116" xfId="3" applyNumberFormat="1" applyFont="1" applyFill="1" applyBorder="1" applyAlignment="1">
      <alignment horizontal="center"/>
    </xf>
    <xf numFmtId="2" fontId="274" fillId="12" borderId="19" xfId="22" applyNumberFormat="1" applyFont="1" applyFill="1" applyBorder="1" applyAlignment="1">
      <alignment horizontal="center" vertical="center" wrapText="1"/>
    </xf>
    <xf numFmtId="0" fontId="47" fillId="13" borderId="391" xfId="23" applyFont="1" applyFill="1" applyBorder="1" applyAlignment="1">
      <alignment horizontal="center"/>
    </xf>
    <xf numFmtId="2" fontId="48" fillId="8" borderId="309" xfId="3" applyNumberFormat="1" applyFont="1" applyFill="1" applyBorder="1" applyAlignment="1">
      <alignment horizontal="center"/>
    </xf>
    <xf numFmtId="175" fontId="48" fillId="8" borderId="309" xfId="3" applyNumberFormat="1" applyFont="1" applyFill="1" applyBorder="1" applyAlignment="1">
      <alignment horizontal="center"/>
    </xf>
    <xf numFmtId="175" fontId="48" fillId="8" borderId="367" xfId="3" applyNumberFormat="1" applyFont="1" applyFill="1" applyBorder="1" applyAlignment="1">
      <alignment horizontal="center"/>
    </xf>
    <xf numFmtId="2" fontId="274" fillId="12" borderId="19" xfId="22" applyNumberFormat="1" applyFont="1" applyFill="1" applyBorder="1" applyAlignment="1">
      <alignment horizontal="center" vertical="center"/>
    </xf>
    <xf numFmtId="2" fontId="45" fillId="12" borderId="20" xfId="22" applyNumberFormat="1" applyFont="1" applyFill="1" applyBorder="1" applyAlignment="1">
      <alignment horizontal="center" wrapText="1"/>
    </xf>
    <xf numFmtId="2" fontId="46" fillId="12" borderId="20" xfId="22" applyNumberFormat="1" applyFont="1" applyFill="1" applyBorder="1" applyAlignment="1">
      <alignment horizontal="center" wrapText="1"/>
    </xf>
    <xf numFmtId="2" fontId="45" fillId="12" borderId="21" xfId="22" applyNumberFormat="1" applyFont="1" applyFill="1" applyBorder="1" applyAlignment="1">
      <alignment horizontal="center" wrapText="1"/>
    </xf>
    <xf numFmtId="0" fontId="47" fillId="13" borderId="391" xfId="23" applyFont="1" applyFill="1" applyBorder="1" applyAlignment="1">
      <alignment vertical="center"/>
    </xf>
    <xf numFmtId="2" fontId="48" fillId="126" borderId="49" xfId="3" applyNumberFormat="1" applyFont="1" applyFill="1" applyBorder="1" applyAlignment="1">
      <alignment horizontal="center"/>
    </xf>
    <xf numFmtId="0" fontId="49" fillId="12" borderId="128" xfId="22" applyFont="1" applyFill="1" applyBorder="1" applyAlignment="1">
      <alignment vertical="center"/>
    </xf>
    <xf numFmtId="0" fontId="49" fillId="12" borderId="368" xfId="23" applyFont="1" applyFill="1" applyBorder="1" applyAlignment="1">
      <alignment horizontal="left" vertical="center"/>
    </xf>
    <xf numFmtId="0" fontId="49" fillId="12" borderId="392" xfId="22" applyFont="1" applyFill="1" applyBorder="1" applyAlignment="1">
      <alignment vertical="center"/>
    </xf>
    <xf numFmtId="2" fontId="45" fillId="141" borderId="396" xfId="22" applyNumberFormat="1" applyFont="1" applyFill="1" applyBorder="1" applyAlignment="1">
      <alignment horizontal="center"/>
    </xf>
    <xf numFmtId="190" fontId="269" fillId="8" borderId="336" xfId="3" applyNumberFormat="1" applyFont="1" applyFill="1" applyBorder="1" applyAlignment="1" applyProtection="1">
      <alignment horizontal="center" vertical="center"/>
      <protection locked="0"/>
    </xf>
    <xf numFmtId="1" fontId="269" fillId="8" borderId="209" xfId="3" applyNumberFormat="1" applyFont="1" applyFill="1" applyBorder="1" applyAlignment="1">
      <alignment horizontal="center" vertical="center"/>
    </xf>
    <xf numFmtId="0" fontId="270" fillId="8" borderId="209" xfId="3" applyFont="1" applyFill="1" applyBorder="1" applyAlignment="1">
      <alignment vertical="center"/>
    </xf>
    <xf numFmtId="0" fontId="271" fillId="8" borderId="209" xfId="3" applyFont="1" applyFill="1" applyBorder="1" applyAlignment="1">
      <alignment horizontal="center" vertical="center"/>
    </xf>
    <xf numFmtId="0" fontId="276" fillId="8" borderId="209" xfId="3" applyFont="1" applyFill="1" applyBorder="1" applyAlignment="1">
      <alignment horizontal="right" vertical="center"/>
    </xf>
    <xf numFmtId="2" fontId="45" fillId="143" borderId="308" xfId="22" applyNumberFormat="1" applyFont="1" applyFill="1" applyBorder="1" applyAlignment="1">
      <alignment horizontal="center"/>
    </xf>
    <xf numFmtId="2" fontId="45" fillId="143" borderId="329" xfId="22" applyNumberFormat="1" applyFont="1" applyFill="1" applyBorder="1" applyAlignment="1">
      <alignment horizontal="center"/>
    </xf>
    <xf numFmtId="2" fontId="45" fillId="143" borderId="309" xfId="22" applyNumberFormat="1" applyFont="1" applyFill="1" applyBorder="1" applyAlignment="1">
      <alignment horizontal="center"/>
    </xf>
    <xf numFmtId="2" fontId="45" fillId="143" borderId="367" xfId="22" applyNumberFormat="1" applyFont="1" applyFill="1" applyBorder="1" applyAlignment="1">
      <alignment horizontal="center"/>
    </xf>
    <xf numFmtId="2" fontId="45" fillId="143" borderId="49" xfId="22" applyNumberFormat="1" applyFont="1" applyFill="1" applyBorder="1" applyAlignment="1">
      <alignment horizontal="center"/>
    </xf>
    <xf numFmtId="2" fontId="45" fillId="143" borderId="116" xfId="22" applyNumberFormat="1" applyFont="1" applyFill="1" applyBorder="1" applyAlignment="1">
      <alignment horizontal="center"/>
    </xf>
    <xf numFmtId="2" fontId="45" fillId="143" borderId="370" xfId="22" applyNumberFormat="1" applyFont="1" applyFill="1" applyBorder="1" applyAlignment="1">
      <alignment horizontal="center"/>
    </xf>
    <xf numFmtId="2" fontId="45" fillId="143" borderId="371" xfId="22" applyNumberFormat="1" applyFont="1" applyFill="1" applyBorder="1" applyAlignment="1">
      <alignment horizontal="center"/>
    </xf>
    <xf numFmtId="0" fontId="0" fillId="144" borderId="0" xfId="0" applyFill="1"/>
    <xf numFmtId="14" fontId="0" fillId="144" borderId="0" xfId="0" applyNumberFormat="1" applyFill="1" applyAlignment="1">
      <alignment horizontal="center"/>
    </xf>
    <xf numFmtId="14" fontId="6" fillId="144" borderId="0" xfId="0" applyNumberFormat="1" applyFont="1" applyFill="1"/>
    <xf numFmtId="0" fontId="263" fillId="144" borderId="0" xfId="0" applyFont="1" applyFill="1"/>
    <xf numFmtId="14" fontId="8" fillId="144" borderId="0" xfId="0" applyNumberFormat="1" applyFont="1" applyFill="1" applyAlignment="1">
      <alignment horizontal="center"/>
    </xf>
    <xf numFmtId="0" fontId="2" fillId="144" borderId="0" xfId="0" applyFont="1" applyFill="1" applyAlignment="1">
      <alignment vertical="center"/>
    </xf>
    <xf numFmtId="0" fontId="0" fillId="144" borderId="0" xfId="0" applyFill="1" applyAlignment="1">
      <alignment horizontal="center"/>
    </xf>
    <xf numFmtId="0" fontId="9" fillId="144" borderId="0" xfId="6" applyFont="1" applyFill="1" applyAlignment="1">
      <alignment horizontal="left" vertical="center"/>
    </xf>
    <xf numFmtId="0" fontId="2" fillId="144" borderId="0" xfId="0" applyFont="1" applyFill="1" applyAlignment="1">
      <alignment horizontal="right" vertical="center"/>
    </xf>
    <xf numFmtId="0" fontId="43" fillId="144" borderId="0" xfId="6" applyFont="1" applyFill="1" applyAlignment="1">
      <alignment horizontal="left" vertical="top" wrapText="1"/>
    </xf>
    <xf numFmtId="0" fontId="2" fillId="144" borderId="0" xfId="0" applyFont="1" applyFill="1"/>
    <xf numFmtId="0" fontId="9" fillId="144" borderId="0" xfId="6" applyFont="1" applyFill="1" applyAlignment="1">
      <alignment vertical="top" wrapText="1"/>
    </xf>
    <xf numFmtId="0" fontId="9" fillId="144" borderId="0" xfId="6" applyFont="1" applyFill="1" applyAlignment="1">
      <alignment vertical="center" wrapText="1"/>
    </xf>
    <xf numFmtId="190" fontId="0" fillId="144" borderId="0" xfId="0" applyNumberFormat="1" applyFill="1" applyAlignment="1">
      <alignment horizontal="center"/>
    </xf>
    <xf numFmtId="2" fontId="0" fillId="144" borderId="0" xfId="0" applyNumberFormat="1" applyFill="1"/>
    <xf numFmtId="0" fontId="260" fillId="144" borderId="0" xfId="0" applyFont="1" applyFill="1" applyAlignment="1">
      <alignment horizontal="right"/>
    </xf>
    <xf numFmtId="0" fontId="75" fillId="144" borderId="0" xfId="0" applyFont="1" applyFill="1" applyAlignment="1">
      <alignment horizontal="right"/>
    </xf>
    <xf numFmtId="0" fontId="2" fillId="144" borderId="0" xfId="0" applyFont="1" applyFill="1" applyAlignment="1">
      <alignment horizontal="left"/>
    </xf>
    <xf numFmtId="0" fontId="76" fillId="144" borderId="0" xfId="0" applyFont="1" applyFill="1" applyAlignment="1">
      <alignment horizontal="left"/>
    </xf>
    <xf numFmtId="0" fontId="67" fillId="144" borderId="0" xfId="0" applyFont="1" applyFill="1" applyAlignment="1">
      <alignment horizontal="left"/>
    </xf>
    <xf numFmtId="0" fontId="2" fillId="144" borderId="0" xfId="0" applyFont="1" applyFill="1" applyAlignment="1">
      <alignment horizontal="right"/>
    </xf>
    <xf numFmtId="0" fontId="145" fillId="144" borderId="0" xfId="0" applyFont="1" applyFill="1"/>
    <xf numFmtId="0" fontId="68" fillId="0" borderId="0" xfId="4" applyFont="1" applyAlignment="1">
      <alignment horizontal="left"/>
    </xf>
    <xf numFmtId="2" fontId="68" fillId="0" borderId="0" xfId="4" applyNumberFormat="1" applyFont="1"/>
    <xf numFmtId="0" fontId="78" fillId="12" borderId="8" xfId="1" applyFont="1" applyFill="1" applyBorder="1" applyAlignment="1">
      <alignment vertical="center"/>
    </xf>
    <xf numFmtId="0" fontId="78" fillId="12" borderId="104" xfId="1" applyFont="1" applyFill="1" applyBorder="1" applyAlignment="1">
      <alignment vertical="center"/>
    </xf>
    <xf numFmtId="0" fontId="78" fillId="12" borderId="10" xfId="1" applyFont="1" applyFill="1" applyBorder="1" applyAlignment="1">
      <alignment vertical="center"/>
    </xf>
    <xf numFmtId="0" fontId="17" fillId="12" borderId="121" xfId="1" applyFont="1" applyFill="1" applyBorder="1" applyAlignment="1">
      <alignment horizontal="center" vertical="center"/>
    </xf>
    <xf numFmtId="4" fontId="80" fillId="12" borderId="21" xfId="1" applyNumberFormat="1" applyFont="1" applyFill="1" applyBorder="1" applyAlignment="1">
      <alignment horizontal="center" vertical="center"/>
    </xf>
    <xf numFmtId="0" fontId="68" fillId="144" borderId="345" xfId="0" applyFont="1" applyFill="1" applyBorder="1"/>
    <xf numFmtId="0" fontId="68" fillId="144" borderId="344" xfId="0" applyFont="1" applyFill="1" applyBorder="1"/>
    <xf numFmtId="0" fontId="68" fillId="144" borderId="346" xfId="0" applyFont="1" applyFill="1" applyBorder="1"/>
    <xf numFmtId="0" fontId="0" fillId="144" borderId="148" xfId="0" applyFill="1" applyBorder="1"/>
    <xf numFmtId="0" fontId="0" fillId="144" borderId="149" xfId="0" applyFill="1" applyBorder="1"/>
    <xf numFmtId="0" fontId="0" fillId="144" borderId="150" xfId="0" applyFill="1" applyBorder="1"/>
    <xf numFmtId="0" fontId="0" fillId="144" borderId="146" xfId="0" applyFill="1" applyBorder="1"/>
    <xf numFmtId="0" fontId="0" fillId="144" borderId="173" xfId="0" applyFill="1" applyBorder="1"/>
    <xf numFmtId="0" fontId="0" fillId="144" borderId="345" xfId="0" applyFill="1" applyBorder="1"/>
    <xf numFmtId="0" fontId="0" fillId="144" borderId="344" xfId="0" applyFill="1" applyBorder="1"/>
    <xf numFmtId="0" fontId="0" fillId="144" borderId="346" xfId="0" applyFill="1" applyBorder="1"/>
    <xf numFmtId="0" fontId="281" fillId="144" borderId="148" xfId="6" applyFont="1" applyFill="1" applyBorder="1" applyAlignment="1">
      <alignment vertical="center"/>
    </xf>
    <xf numFmtId="0" fontId="281" fillId="144" borderId="149" xfId="6" applyFont="1" applyFill="1" applyBorder="1" applyAlignment="1">
      <alignment vertical="center"/>
    </xf>
    <xf numFmtId="0" fontId="281" fillId="144" borderId="150" xfId="6" applyFont="1" applyFill="1" applyBorder="1" applyAlignment="1">
      <alignment vertical="center"/>
    </xf>
    <xf numFmtId="0" fontId="277" fillId="144" borderId="397" xfId="0" applyFont="1" applyFill="1" applyBorder="1"/>
    <xf numFmtId="0" fontId="277" fillId="144" borderId="397" xfId="0" applyFont="1" applyFill="1" applyBorder="1" applyAlignment="1">
      <alignment horizontal="center" vertical="center"/>
    </xf>
    <xf numFmtId="0" fontId="278" fillId="145" borderId="397" xfId="0" applyFont="1" applyFill="1" applyBorder="1" applyAlignment="1">
      <alignment horizontal="center" vertical="center"/>
    </xf>
    <xf numFmtId="184" fontId="278" fillId="145" borderId="397" xfId="0" applyNumberFormat="1" applyFont="1" applyFill="1" applyBorder="1" applyAlignment="1">
      <alignment horizontal="center"/>
    </xf>
    <xf numFmtId="0" fontId="60" fillId="0" borderId="224" xfId="0" applyFont="1" applyBorder="1" applyAlignment="1">
      <alignment horizontal="center" vertical="top"/>
    </xf>
    <xf numFmtId="1" fontId="3" fillId="9" borderId="308" xfId="0" applyNumberFormat="1" applyFont="1" applyFill="1" applyBorder="1" applyAlignment="1">
      <alignment horizontal="center"/>
    </xf>
    <xf numFmtId="0" fontId="35" fillId="108" borderId="8" xfId="0" applyFont="1" applyFill="1" applyBorder="1" applyAlignment="1">
      <alignment horizontal="center" vertical="center" wrapText="1"/>
    </xf>
    <xf numFmtId="0" fontId="125" fillId="29" borderId="26" xfId="0" applyFont="1" applyFill="1" applyBorder="1" applyAlignment="1">
      <alignment horizontal="center" vertical="center" wrapText="1"/>
    </xf>
    <xf numFmtId="175" fontId="2" fillId="50" borderId="26" xfId="0" applyNumberFormat="1" applyFont="1" applyFill="1" applyBorder="1" applyAlignment="1">
      <alignment horizontal="center" vertical="center" wrapText="1"/>
    </xf>
    <xf numFmtId="2" fontId="110" fillId="45" borderId="129" xfId="0" applyNumberFormat="1" applyFont="1" applyFill="1" applyBorder="1" applyAlignment="1" applyProtection="1">
      <alignment horizontal="center" vertical="center"/>
      <protection locked="0"/>
    </xf>
    <xf numFmtId="2" fontId="110" fillId="45" borderId="26" xfId="0" applyNumberFormat="1" applyFont="1" applyFill="1" applyBorder="1" applyAlignment="1" applyProtection="1">
      <alignment horizontal="center" vertical="center" wrapText="1"/>
      <protection locked="0"/>
    </xf>
    <xf numFmtId="2" fontId="111" fillId="0" borderId="302" xfId="0" applyNumberFormat="1" applyFont="1" applyBorder="1" applyAlignment="1" applyProtection="1">
      <alignment horizontal="center" vertical="center"/>
      <protection locked="0"/>
    </xf>
    <xf numFmtId="2" fontId="111" fillId="0" borderId="395" xfId="0" applyNumberFormat="1" applyFont="1" applyBorder="1" applyAlignment="1" applyProtection="1">
      <alignment horizontal="center" vertical="center"/>
      <protection locked="0"/>
    </xf>
    <xf numFmtId="184" fontId="113" fillId="0" borderId="395" xfId="0" applyNumberFormat="1" applyFont="1" applyBorder="1" applyAlignment="1" applyProtection="1">
      <alignment horizontal="center" vertical="center" wrapText="1"/>
      <protection locked="0"/>
    </xf>
    <xf numFmtId="2" fontId="111" fillId="0" borderId="26" xfId="0" applyNumberFormat="1" applyFont="1" applyBorder="1" applyAlignment="1" applyProtection="1">
      <alignment horizontal="center" vertical="center"/>
      <protection locked="0"/>
    </xf>
    <xf numFmtId="2" fontId="111" fillId="0" borderId="26" xfId="0" quotePrefix="1" applyNumberFormat="1" applyFont="1" applyBorder="1" applyAlignment="1" applyProtection="1">
      <alignment horizontal="center" vertical="center"/>
      <protection locked="0"/>
    </xf>
    <xf numFmtId="2" fontId="111" fillId="9" borderId="26" xfId="0" applyNumberFormat="1" applyFont="1" applyFill="1" applyBorder="1" applyAlignment="1" applyProtection="1">
      <alignment horizontal="center" vertical="center"/>
      <protection locked="0"/>
    </xf>
    <xf numFmtId="184" fontId="113" fillId="0" borderId="26" xfId="0" applyNumberFormat="1" applyFont="1" applyBorder="1" applyAlignment="1" applyProtection="1">
      <alignment horizontal="center" vertical="center" wrapText="1"/>
      <protection locked="0"/>
    </xf>
    <xf numFmtId="2" fontId="113" fillId="0" borderId="26" xfId="0" applyNumberFormat="1" applyFont="1" applyBorder="1" applyAlignment="1" applyProtection="1">
      <alignment horizontal="center" vertical="center" wrapText="1"/>
      <protection locked="0"/>
    </xf>
    <xf numFmtId="1" fontId="113" fillId="0" borderId="26" xfId="0" applyNumberFormat="1" applyFont="1" applyBorder="1" applyAlignment="1" applyProtection="1">
      <alignment horizontal="center" vertical="center" wrapText="1"/>
      <protection locked="0"/>
    </xf>
    <xf numFmtId="2" fontId="113" fillId="9" borderId="26" xfId="0" applyNumberFormat="1" applyFont="1" applyFill="1" applyBorder="1" applyAlignment="1" applyProtection="1">
      <alignment horizontal="center" vertical="center" wrapText="1"/>
      <protection locked="0"/>
    </xf>
    <xf numFmtId="2" fontId="114" fillId="0" borderId="26" xfId="0" applyNumberFormat="1" applyFont="1" applyBorder="1" applyAlignment="1" applyProtection="1">
      <alignment horizontal="center" vertical="center" wrapText="1"/>
      <protection locked="0"/>
    </xf>
    <xf numFmtId="1" fontId="0" fillId="0" borderId="107" xfId="26" applyNumberFormat="1" applyFont="1" applyBorder="1" applyAlignment="1">
      <alignment horizontal="center" vertical="center"/>
    </xf>
    <xf numFmtId="203" fontId="0" fillId="0" borderId="108" xfId="26" applyNumberFormat="1" applyFont="1" applyBorder="1" applyAlignment="1">
      <alignment horizontal="center" vertical="center"/>
    </xf>
    <xf numFmtId="0" fontId="0" fillId="0" borderId="108" xfId="0" applyBorder="1" applyAlignment="1">
      <alignment horizontal="center" vertical="center"/>
    </xf>
    <xf numFmtId="175" fontId="0" fillId="0" borderId="108" xfId="0" applyNumberFormat="1" applyBorder="1"/>
    <xf numFmtId="175" fontId="0" fillId="0" borderId="109" xfId="0" applyNumberFormat="1" applyBorder="1"/>
    <xf numFmtId="1" fontId="0" fillId="0" borderId="310" xfId="26" applyNumberFormat="1" applyFont="1" applyBorder="1" applyAlignment="1">
      <alignment horizontal="center" vertical="center"/>
    </xf>
    <xf numFmtId="203" fontId="0" fillId="0" borderId="308" xfId="26" applyNumberFormat="1" applyFont="1" applyBorder="1" applyAlignment="1">
      <alignment horizontal="center" vertical="center"/>
    </xf>
    <xf numFmtId="175" fontId="0" fillId="0" borderId="329" xfId="0" applyNumberFormat="1" applyBorder="1"/>
    <xf numFmtId="175" fontId="0" fillId="9" borderId="329" xfId="0" applyNumberFormat="1" applyFill="1" applyBorder="1"/>
    <xf numFmtId="1" fontId="0" fillId="0" borderId="409" xfId="26" applyNumberFormat="1" applyFont="1" applyBorder="1" applyAlignment="1">
      <alignment horizontal="center" vertical="center"/>
    </xf>
    <xf numFmtId="203" fontId="0" fillId="0" borderId="370" xfId="26" applyNumberFormat="1" applyFont="1" applyBorder="1" applyAlignment="1">
      <alignment horizontal="center" vertical="center"/>
    </xf>
    <xf numFmtId="0" fontId="0" fillId="0" borderId="370" xfId="0" applyBorder="1" applyAlignment="1">
      <alignment horizontal="center" vertical="center"/>
    </xf>
    <xf numFmtId="175" fontId="0" fillId="0" borderId="370" xfId="0" applyNumberFormat="1" applyBorder="1" applyAlignment="1">
      <alignment horizontal="center" vertical="center"/>
    </xf>
    <xf numFmtId="175" fontId="0" fillId="0" borderId="370" xfId="0" applyNumberFormat="1" applyBorder="1"/>
    <xf numFmtId="175" fontId="0" fillId="0" borderId="371" xfId="0" applyNumberFormat="1" applyBorder="1"/>
    <xf numFmtId="0" fontId="93" fillId="108" borderId="335" xfId="0" applyFont="1" applyFill="1" applyBorder="1" applyAlignment="1">
      <alignment horizontal="center" vertical="center" wrapText="1"/>
    </xf>
    <xf numFmtId="0" fontId="0" fillId="9" borderId="98" xfId="0" applyFill="1" applyBorder="1" applyAlignment="1">
      <alignment horizontal="right" vertical="center"/>
    </xf>
    <xf numFmtId="1" fontId="0" fillId="9" borderId="87" xfId="0" applyNumberFormat="1" applyFill="1" applyBorder="1" applyAlignment="1">
      <alignment horizontal="right" vertical="center"/>
    </xf>
    <xf numFmtId="1" fontId="0" fillId="9" borderId="69" xfId="0" applyNumberFormat="1" applyFill="1" applyBorder="1" applyAlignment="1">
      <alignment horizontal="right" vertical="center"/>
    </xf>
    <xf numFmtId="1" fontId="0" fillId="9" borderId="2" xfId="0" applyNumberFormat="1" applyFill="1" applyBorder="1" applyAlignment="1">
      <alignment horizontal="right" vertical="center"/>
    </xf>
    <xf numFmtId="0" fontId="0" fillId="9" borderId="69" xfId="0" applyFill="1" applyBorder="1" applyAlignment="1">
      <alignment horizontal="right" vertical="center"/>
    </xf>
    <xf numFmtId="1" fontId="0" fillId="9" borderId="2" xfId="0" applyNumberFormat="1" applyFill="1" applyBorder="1" applyAlignment="1">
      <alignment horizontal="center" vertical="center"/>
    </xf>
    <xf numFmtId="1" fontId="0" fillId="9" borderId="69" xfId="0" applyNumberFormat="1" applyFill="1" applyBorder="1" applyAlignment="1">
      <alignment horizontal="center" vertical="center"/>
    </xf>
    <xf numFmtId="0" fontId="0" fillId="9" borderId="98" xfId="0" applyFill="1" applyBorder="1" applyAlignment="1">
      <alignment horizontal="center" vertical="center"/>
    </xf>
    <xf numFmtId="1" fontId="2" fillId="9" borderId="87" xfId="0" applyNumberFormat="1" applyFont="1" applyFill="1" applyBorder="1" applyAlignment="1">
      <alignment horizontal="center" vertical="center"/>
    </xf>
    <xf numFmtId="1" fontId="2" fillId="9" borderId="69" xfId="0" applyNumberFormat="1" applyFont="1" applyFill="1" applyBorder="1" applyAlignment="1">
      <alignment horizontal="center" vertical="center"/>
    </xf>
    <xf numFmtId="1" fontId="2" fillId="9" borderId="98" xfId="0" applyNumberFormat="1" applyFont="1" applyFill="1" applyBorder="1" applyAlignment="1">
      <alignment horizontal="center" vertical="center"/>
    </xf>
    <xf numFmtId="1" fontId="2" fillId="9" borderId="2" xfId="0" applyNumberFormat="1" applyFont="1" applyFill="1" applyBorder="1" applyAlignment="1">
      <alignment horizontal="center" vertical="center"/>
    </xf>
    <xf numFmtId="0" fontId="0" fillId="9" borderId="0" xfId="0" applyFill="1" applyAlignment="1">
      <alignment horizontal="center"/>
    </xf>
    <xf numFmtId="1" fontId="2" fillId="9" borderId="0" xfId="0" applyNumberFormat="1" applyFont="1" applyFill="1" applyAlignment="1">
      <alignment horizontal="center" vertical="center"/>
    </xf>
    <xf numFmtId="1" fontId="0" fillId="9" borderId="0" xfId="0" applyNumberFormat="1" applyFill="1"/>
    <xf numFmtId="1" fontId="0" fillId="9" borderId="87" xfId="0" applyNumberFormat="1" applyFill="1" applyBorder="1" applyAlignment="1">
      <alignment horizontal="center" vertical="center"/>
    </xf>
    <xf numFmtId="1" fontId="0" fillId="9" borderId="98" xfId="0" applyNumberFormat="1" applyFill="1" applyBorder="1" applyAlignment="1">
      <alignment horizontal="center" vertical="center"/>
    </xf>
    <xf numFmtId="0" fontId="39" fillId="9" borderId="0" xfId="0" applyFont="1" applyFill="1"/>
    <xf numFmtId="1" fontId="0" fillId="9" borderId="250" xfId="0" applyNumberFormat="1" applyFill="1" applyBorder="1" applyAlignment="1">
      <alignment horizontal="center" vertical="center"/>
    </xf>
    <xf numFmtId="1" fontId="0" fillId="9" borderId="248" xfId="0" applyNumberFormat="1" applyFill="1" applyBorder="1" applyAlignment="1">
      <alignment horizontal="center" vertical="center"/>
    </xf>
    <xf numFmtId="1" fontId="0" fillId="9" borderId="249" xfId="0" applyNumberFormat="1" applyFill="1" applyBorder="1" applyAlignment="1">
      <alignment horizontal="center" vertical="center"/>
    </xf>
    <xf numFmtId="1" fontId="2" fillId="9" borderId="250" xfId="0" applyNumberFormat="1" applyFont="1" applyFill="1" applyBorder="1" applyAlignment="1">
      <alignment horizontal="center" vertical="center"/>
    </xf>
    <xf numFmtId="1" fontId="2" fillId="9" borderId="248" xfId="0" applyNumberFormat="1" applyFont="1" applyFill="1" applyBorder="1" applyAlignment="1">
      <alignment horizontal="center" vertical="center"/>
    </xf>
    <xf numFmtId="0" fontId="0" fillId="0" borderId="245" xfId="0" applyBorder="1" applyAlignment="1">
      <alignment vertical="center" wrapText="1"/>
    </xf>
    <xf numFmtId="0" fontId="0" fillId="0" borderId="245" xfId="0" applyBorder="1" applyAlignment="1">
      <alignment horizontal="center" vertical="center"/>
    </xf>
    <xf numFmtId="0" fontId="0" fillId="0" borderId="245" xfId="0" applyBorder="1" applyAlignment="1">
      <alignment vertical="center"/>
    </xf>
    <xf numFmtId="0" fontId="0" fillId="0" borderId="244" xfId="0" applyBorder="1" applyAlignment="1">
      <alignment horizontal="center" vertical="center"/>
    </xf>
    <xf numFmtId="0" fontId="0" fillId="118" borderId="38" xfId="0" applyFill="1" applyBorder="1" applyAlignment="1">
      <alignment horizontal="center" vertical="center"/>
    </xf>
    <xf numFmtId="0" fontId="2" fillId="118" borderId="333" xfId="0" applyFont="1" applyFill="1" applyBorder="1" applyAlignment="1">
      <alignment horizontal="center" vertical="center"/>
    </xf>
    <xf numFmtId="0" fontId="0" fillId="118" borderId="413" xfId="0" applyFill="1" applyBorder="1" applyAlignment="1">
      <alignment horizontal="center" vertical="center"/>
    </xf>
    <xf numFmtId="1" fontId="0" fillId="0" borderId="414" xfId="0" applyNumberFormat="1" applyBorder="1" applyAlignment="1">
      <alignment horizontal="center" vertical="center"/>
    </xf>
    <xf numFmtId="1" fontId="0" fillId="0" borderId="415" xfId="0" applyNumberFormat="1" applyBorder="1" applyAlignment="1">
      <alignment horizontal="center" vertical="center"/>
    </xf>
    <xf numFmtId="1" fontId="0" fillId="0" borderId="416" xfId="0" applyNumberFormat="1" applyBorder="1" applyAlignment="1">
      <alignment horizontal="center" vertical="center"/>
    </xf>
    <xf numFmtId="0" fontId="0" fillId="11" borderId="253" xfId="0" applyFill="1" applyBorder="1" applyAlignment="1">
      <alignment horizontal="center"/>
    </xf>
    <xf numFmtId="0" fontId="0" fillId="11" borderId="253" xfId="0" applyFill="1" applyBorder="1"/>
    <xf numFmtId="0" fontId="0" fillId="0" borderId="146" xfId="0" applyBorder="1" applyAlignment="1">
      <alignment horizontal="center" vertical="center"/>
    </xf>
    <xf numFmtId="0" fontId="0" fillId="0" borderId="173" xfId="0" applyBorder="1" applyAlignment="1">
      <alignment horizontal="center" vertical="center"/>
    </xf>
    <xf numFmtId="175" fontId="3" fillId="14" borderId="306" xfId="0" applyNumberFormat="1" applyFont="1" applyFill="1" applyBorder="1" applyAlignment="1">
      <alignment horizontal="right"/>
    </xf>
    <xf numFmtId="175" fontId="15" fillId="9" borderId="241" xfId="5" applyNumberFormat="1" applyFont="1" applyFill="1" applyBorder="1" applyAlignment="1">
      <alignment horizontal="center" wrapText="1"/>
    </xf>
    <xf numFmtId="2" fontId="15" fillId="9" borderId="388" xfId="5" applyNumberFormat="1" applyFont="1" applyFill="1" applyBorder="1" applyAlignment="1">
      <alignment horizontal="center" wrapText="1"/>
    </xf>
    <xf numFmtId="2" fontId="282" fillId="12" borderId="20" xfId="22" applyNumberFormat="1" applyFont="1" applyFill="1" applyBorder="1" applyAlignment="1">
      <alignment horizontal="center" vertical="center" wrapText="1"/>
    </xf>
    <xf numFmtId="2" fontId="275" fillId="12" borderId="20" xfId="22" applyNumberFormat="1" applyFont="1" applyFill="1" applyBorder="1" applyAlignment="1">
      <alignment horizontal="center" vertical="center" wrapText="1"/>
    </xf>
    <xf numFmtId="2" fontId="282" fillId="12" borderId="21" xfId="22" applyNumberFormat="1" applyFont="1" applyFill="1" applyBorder="1" applyAlignment="1">
      <alignment horizontal="center" vertical="center" wrapText="1"/>
    </xf>
    <xf numFmtId="175" fontId="3" fillId="0" borderId="305" xfId="0" applyNumberFormat="1" applyFont="1" applyBorder="1"/>
    <xf numFmtId="0" fontId="59" fillId="0" borderId="0" xfId="4" applyFont="1"/>
    <xf numFmtId="0" fontId="283" fillId="2" borderId="0" xfId="3" applyFont="1" applyFill="1" applyAlignment="1">
      <alignment vertical="center"/>
    </xf>
    <xf numFmtId="0" fontId="59" fillId="0" borderId="0" xfId="4" applyFont="1" applyAlignment="1">
      <alignment horizontal="center"/>
    </xf>
    <xf numFmtId="14" fontId="59" fillId="0" borderId="0" xfId="4" applyNumberFormat="1" applyFont="1"/>
    <xf numFmtId="0" fontId="272" fillId="146" borderId="209" xfId="3" applyFont="1" applyFill="1" applyBorder="1" applyAlignment="1">
      <alignment horizontal="center" vertical="center"/>
    </xf>
    <xf numFmtId="0" fontId="3" fillId="0" borderId="308" xfId="0" applyFont="1" applyBorder="1"/>
    <xf numFmtId="175" fontId="15" fillId="9" borderId="82" xfId="5" applyNumberFormat="1" applyFont="1" applyFill="1" applyBorder="1" applyAlignment="1">
      <alignment horizontal="center" wrapText="1"/>
    </xf>
    <xf numFmtId="0" fontId="12" fillId="140" borderId="26" xfId="6" applyFont="1" applyFill="1" applyBorder="1" applyAlignment="1">
      <alignment horizontal="center" vertical="center" wrapText="1"/>
    </xf>
    <xf numFmtId="2" fontId="15" fillId="9" borderId="22" xfId="5" applyNumberFormat="1" applyFont="1" applyFill="1" applyBorder="1" applyAlignment="1">
      <alignment horizontal="center" vertical="center" wrapText="1"/>
    </xf>
    <xf numFmtId="2" fontId="15" fillId="9" borderId="24" xfId="5" applyNumberFormat="1" applyFont="1" applyFill="1" applyBorder="1" applyAlignment="1">
      <alignment horizontal="center" vertical="center" wrapText="1"/>
    </xf>
    <xf numFmtId="2" fontId="15" fillId="9" borderId="25" xfId="5" applyNumberFormat="1" applyFont="1" applyFill="1" applyBorder="1" applyAlignment="1">
      <alignment horizontal="center" vertical="center" wrapText="1"/>
    </xf>
    <xf numFmtId="175" fontId="3" fillId="14" borderId="72" xfId="0" applyNumberFormat="1" applyFont="1" applyFill="1" applyBorder="1" applyAlignment="1">
      <alignment horizontal="right"/>
    </xf>
    <xf numFmtId="0" fontId="3" fillId="14" borderId="72" xfId="0" applyFont="1" applyFill="1" applyBorder="1" applyAlignment="1">
      <alignment horizontal="right"/>
    </xf>
    <xf numFmtId="175" fontId="3" fillId="14" borderId="162" xfId="0" applyNumberFormat="1" applyFont="1" applyFill="1" applyBorder="1" applyAlignment="1">
      <alignment horizontal="right"/>
    </xf>
    <xf numFmtId="1" fontId="3" fillId="14" borderId="306" xfId="0" applyNumberFormat="1" applyFont="1" applyFill="1" applyBorder="1" applyAlignment="1">
      <alignment horizontal="right"/>
    </xf>
    <xf numFmtId="0" fontId="3" fillId="0" borderId="0" xfId="0" applyFont="1" applyAlignment="1">
      <alignment horizontal="right"/>
    </xf>
    <xf numFmtId="248" fontId="3" fillId="0" borderId="0" xfId="0" applyNumberFormat="1" applyFont="1" applyAlignment="1">
      <alignment horizontal="right"/>
    </xf>
    <xf numFmtId="175" fontId="3" fillId="0" borderId="0" xfId="0" applyNumberFormat="1" applyFont="1" applyAlignment="1">
      <alignment horizontal="right"/>
    </xf>
    <xf numFmtId="182" fontId="28" fillId="8" borderId="20" xfId="6" applyNumberFormat="1" applyFont="1" applyFill="1" applyBorder="1" applyAlignment="1">
      <alignment horizontal="center" vertical="center"/>
    </xf>
    <xf numFmtId="0" fontId="0" fillId="0" borderId="302" xfId="0" applyBorder="1" applyAlignment="1" applyProtection="1">
      <alignment horizontal="center" vertical="center"/>
      <protection locked="0"/>
    </xf>
    <xf numFmtId="1" fontId="0" fillId="0" borderId="0" xfId="0" applyNumberFormat="1" applyAlignment="1" applyProtection="1">
      <alignment horizontal="center"/>
      <protection locked="0"/>
    </xf>
    <xf numFmtId="16" fontId="0" fillId="0" borderId="0" xfId="0" applyNumberFormat="1" applyAlignment="1" applyProtection="1">
      <alignment horizontal="center" vertical="center"/>
      <protection locked="0"/>
    </xf>
    <xf numFmtId="0" fontId="154" fillId="0" borderId="0" xfId="0" applyFont="1"/>
    <xf numFmtId="0" fontId="154" fillId="0" borderId="0" xfId="0" applyFont="1" applyAlignment="1">
      <alignment horizontal="center" vertical="center"/>
    </xf>
    <xf numFmtId="0" fontId="284" fillId="0" borderId="0" xfId="0" applyFont="1"/>
    <xf numFmtId="0" fontId="284" fillId="0" borderId="0" xfId="0" applyFont="1" applyAlignment="1">
      <alignment horizontal="center" vertical="center"/>
    </xf>
    <xf numFmtId="0" fontId="68" fillId="0" borderId="0" xfId="0" applyFont="1" applyAlignment="1">
      <alignment horizontal="center" vertical="center"/>
    </xf>
    <xf numFmtId="1" fontId="3" fillId="0" borderId="56" xfId="0" applyNumberFormat="1" applyFont="1" applyBorder="1" applyAlignment="1">
      <alignment horizontal="center" vertical="center"/>
    </xf>
    <xf numFmtId="175" fontId="3" fillId="11" borderId="56" xfId="0" applyNumberFormat="1" applyFont="1" applyFill="1" applyBorder="1"/>
    <xf numFmtId="175" fontId="3" fillId="11" borderId="308" xfId="0" applyNumberFormat="1" applyFont="1" applyFill="1" applyBorder="1"/>
    <xf numFmtId="2" fontId="29" fillId="9" borderId="15" xfId="18" applyNumberFormat="1" applyFont="1" applyFill="1" applyBorder="1" applyAlignment="1">
      <alignment horizontal="center" vertical="center" wrapText="1"/>
    </xf>
    <xf numFmtId="175" fontId="15" fillId="11" borderId="377" xfId="5" applyNumberFormat="1" applyFont="1" applyFill="1" applyBorder="1" applyAlignment="1">
      <alignment horizontal="center" wrapText="1"/>
    </xf>
    <xf numFmtId="175" fontId="15" fillId="11" borderId="28" xfId="5" applyNumberFormat="1" applyFont="1" applyFill="1" applyBorder="1" applyAlignment="1">
      <alignment horizontal="center" wrapText="1"/>
    </xf>
    <xf numFmtId="182" fontId="28" fillId="8" borderId="21" xfId="6" applyNumberFormat="1" applyFont="1" applyFill="1" applyBorder="1" applyAlignment="1">
      <alignment horizontal="center" vertical="center"/>
    </xf>
    <xf numFmtId="2" fontId="110" fillId="11" borderId="26" xfId="0" applyNumberFormat="1" applyFont="1" applyFill="1" applyBorder="1" applyAlignment="1" applyProtection="1">
      <alignment horizontal="center" vertical="center"/>
      <protection locked="0"/>
    </xf>
    <xf numFmtId="2" fontId="29" fillId="9" borderId="21" xfId="18" applyNumberFormat="1" applyFont="1" applyFill="1" applyBorder="1" applyAlignment="1">
      <alignment horizontal="center" vertical="center" wrapText="1"/>
    </xf>
    <xf numFmtId="14" fontId="0" fillId="144" borderId="0" xfId="0" applyNumberFormat="1" applyFill="1" applyAlignment="1">
      <alignment horizontal="center"/>
    </xf>
    <xf numFmtId="0" fontId="74" fillId="144" borderId="0" xfId="0" applyFont="1" applyFill="1" applyAlignment="1">
      <alignment horizontal="left"/>
    </xf>
    <xf numFmtId="0" fontId="2" fillId="144" borderId="0" xfId="0" applyFont="1" applyFill="1" applyAlignment="1">
      <alignment horizontal="left"/>
    </xf>
    <xf numFmtId="0" fontId="260" fillId="144" borderId="0" xfId="0" applyFont="1" applyFill="1" applyAlignment="1">
      <alignment horizontal="left"/>
    </xf>
    <xf numFmtId="0" fontId="77" fillId="144" borderId="0" xfId="0" applyFont="1" applyFill="1" applyAlignment="1">
      <alignment horizontal="left"/>
    </xf>
    <xf numFmtId="0" fontId="86" fillId="144" borderId="397" xfId="0" applyFont="1" applyFill="1" applyBorder="1" applyAlignment="1">
      <alignment horizontal="center"/>
    </xf>
    <xf numFmtId="190" fontId="86" fillId="49" borderId="397" xfId="0" applyNumberFormat="1" applyFont="1" applyFill="1" applyBorder="1" applyAlignment="1">
      <alignment horizontal="center"/>
    </xf>
    <xf numFmtId="0" fontId="278" fillId="144" borderId="397" xfId="0" applyFont="1" applyFill="1" applyBorder="1" applyAlignment="1">
      <alignment horizontal="center"/>
    </xf>
    <xf numFmtId="0" fontId="278" fillId="145" borderId="397" xfId="0" applyFont="1" applyFill="1" applyBorder="1" applyAlignment="1">
      <alignment horizontal="center"/>
    </xf>
    <xf numFmtId="0" fontId="277" fillId="144" borderId="397" xfId="0" applyFont="1" applyFill="1" applyBorder="1" applyAlignment="1">
      <alignment horizontal="center" vertical="center"/>
    </xf>
    <xf numFmtId="0" fontId="43" fillId="144" borderId="0" xfId="6" applyFont="1" applyFill="1" applyAlignment="1">
      <alignment horizontal="left" vertical="center" wrapText="1"/>
    </xf>
    <xf numFmtId="0" fontId="9" fillId="144" borderId="0" xfId="6" applyFont="1" applyFill="1" applyAlignment="1">
      <alignment horizontal="left" vertical="center" wrapText="1"/>
    </xf>
    <xf numFmtId="0" fontId="44" fillId="144" borderId="0" xfId="6" applyFont="1" applyFill="1" applyAlignment="1">
      <alignment horizontal="left" vertical="center" wrapText="1"/>
    </xf>
    <xf numFmtId="0" fontId="2" fillId="144" borderId="0" xfId="0" applyFont="1" applyFill="1" applyAlignment="1">
      <alignment horizontal="right" vertical="center"/>
    </xf>
    <xf numFmtId="0" fontId="268" fillId="144" borderId="149" xfId="6" applyFont="1" applyFill="1" applyBorder="1" applyAlignment="1">
      <alignment horizontal="center" vertical="center"/>
    </xf>
    <xf numFmtId="0" fontId="43" fillId="144" borderId="0" xfId="6" applyFont="1" applyFill="1" applyAlignment="1">
      <alignment horizontal="left" vertical="top" wrapText="1"/>
    </xf>
    <xf numFmtId="0" fontId="9" fillId="144" borderId="0" xfId="6" applyFont="1" applyFill="1" applyAlignment="1">
      <alignment horizontal="center" vertical="center" wrapText="1"/>
    </xf>
    <xf numFmtId="14" fontId="86" fillId="145" borderId="400" xfId="0" applyNumberFormat="1" applyFont="1" applyFill="1" applyBorder="1" applyAlignment="1">
      <alignment horizontal="right"/>
    </xf>
    <xf numFmtId="14" fontId="86" fillId="145" borderId="399" xfId="0" applyNumberFormat="1" applyFont="1" applyFill="1" applyBorder="1" applyAlignment="1">
      <alignment horizontal="right"/>
    </xf>
    <xf numFmtId="0" fontId="281" fillId="144" borderId="403" xfId="6" applyFont="1" applyFill="1" applyBorder="1" applyAlignment="1">
      <alignment horizontal="center" vertical="center" wrapText="1"/>
    </xf>
    <xf numFmtId="0" fontId="281" fillId="144" borderId="404" xfId="6" applyFont="1" applyFill="1" applyBorder="1" applyAlignment="1">
      <alignment horizontal="center" vertical="center" wrapText="1"/>
    </xf>
    <xf numFmtId="0" fontId="281" fillId="144" borderId="405" xfId="6" applyFont="1" applyFill="1" applyBorder="1" applyAlignment="1">
      <alignment horizontal="center" vertical="center" wrapText="1"/>
    </xf>
    <xf numFmtId="0" fontId="281" fillId="144" borderId="406" xfId="6" applyFont="1" applyFill="1" applyBorder="1" applyAlignment="1">
      <alignment horizontal="center" vertical="center" wrapText="1"/>
    </xf>
    <xf numFmtId="0" fontId="281" fillId="144" borderId="407" xfId="6" applyFont="1" applyFill="1" applyBorder="1" applyAlignment="1">
      <alignment horizontal="center" vertical="center" wrapText="1"/>
    </xf>
    <xf numFmtId="0" fontId="281" fillId="144" borderId="408" xfId="6" applyFont="1" applyFill="1" applyBorder="1" applyAlignment="1">
      <alignment horizontal="center" vertical="center" wrapText="1"/>
    </xf>
    <xf numFmtId="14" fontId="279" fillId="144" borderId="401" xfId="0" applyNumberFormat="1" applyFont="1" applyFill="1" applyBorder="1" applyAlignment="1">
      <alignment horizontal="left"/>
    </xf>
    <xf numFmtId="14" fontId="279" fillId="144" borderId="402" xfId="0" applyNumberFormat="1" applyFont="1" applyFill="1" applyBorder="1" applyAlignment="1">
      <alignment horizontal="left"/>
    </xf>
    <xf numFmtId="0" fontId="92" fillId="144" borderId="0" xfId="27" applyFill="1" applyAlignment="1">
      <alignment horizontal="center"/>
    </xf>
    <xf numFmtId="0" fontId="280" fillId="145" borderId="397" xfId="6" applyFont="1" applyFill="1" applyBorder="1" applyAlignment="1">
      <alignment horizontal="center" vertical="center"/>
    </xf>
    <xf numFmtId="0" fontId="127" fillId="145" borderId="398" xfId="0" applyFont="1" applyFill="1" applyBorder="1" applyAlignment="1">
      <alignment horizontal="center"/>
    </xf>
    <xf numFmtId="0" fontId="127" fillId="145" borderId="400" xfId="0" applyFont="1" applyFill="1" applyBorder="1" applyAlignment="1">
      <alignment horizontal="center"/>
    </xf>
    <xf numFmtId="0" fontId="127" fillId="145" borderId="399" xfId="0" applyFont="1" applyFill="1" applyBorder="1" applyAlignment="1">
      <alignment horizontal="center"/>
    </xf>
    <xf numFmtId="0" fontId="123" fillId="145" borderId="397" xfId="0" applyFont="1" applyFill="1" applyBorder="1" applyAlignment="1">
      <alignment horizontal="center" vertical="center"/>
    </xf>
    <xf numFmtId="0" fontId="277" fillId="144" borderId="398" xfId="0" applyFont="1" applyFill="1" applyBorder="1" applyAlignment="1">
      <alignment horizontal="center" vertical="center" wrapText="1"/>
    </xf>
    <xf numFmtId="0" fontId="277" fillId="144" borderId="400" xfId="0" applyFont="1" applyFill="1" applyBorder="1" applyAlignment="1">
      <alignment horizontal="center" vertical="center" wrapText="1"/>
    </xf>
    <xf numFmtId="0" fontId="277" fillId="144" borderId="399" xfId="0" applyFont="1" applyFill="1" applyBorder="1" applyAlignment="1">
      <alignment horizontal="center" vertical="center" wrapText="1"/>
    </xf>
    <xf numFmtId="0" fontId="277" fillId="144" borderId="397" xfId="0" applyFont="1" applyFill="1" applyBorder="1" applyAlignment="1">
      <alignment horizontal="center"/>
    </xf>
    <xf numFmtId="0" fontId="11" fillId="5" borderId="20" xfId="3" applyFont="1" applyFill="1" applyBorder="1" applyAlignment="1">
      <alignment horizontal="center" vertical="center" wrapText="1"/>
    </xf>
    <xf numFmtId="0" fontId="11" fillId="5" borderId="21" xfId="3" applyFont="1" applyFill="1" applyBorder="1" applyAlignment="1">
      <alignment horizontal="center" vertical="center" wrapText="1"/>
    </xf>
    <xf numFmtId="0" fontId="10" fillId="4" borderId="8" xfId="3" applyFont="1" applyFill="1" applyBorder="1" applyAlignment="1">
      <alignment horizontal="center" vertical="center"/>
    </xf>
    <xf numFmtId="0" fontId="10" fillId="4" borderId="104" xfId="3" applyFont="1" applyFill="1" applyBorder="1" applyAlignment="1">
      <alignment horizontal="center" vertical="center"/>
    </xf>
    <xf numFmtId="0" fontId="10" fillId="4" borderId="10" xfId="3" applyFont="1" applyFill="1" applyBorder="1" applyAlignment="1">
      <alignment horizontal="center" vertical="center"/>
    </xf>
    <xf numFmtId="0" fontId="10" fillId="5" borderId="14" xfId="3" applyFont="1" applyFill="1" applyBorder="1" applyAlignment="1">
      <alignment horizontal="center" vertical="center" wrapText="1"/>
    </xf>
    <xf numFmtId="0" fontId="10" fillId="5" borderId="336" xfId="3" applyFont="1" applyFill="1" applyBorder="1" applyAlignment="1">
      <alignment horizontal="center" vertical="center" wrapText="1"/>
    </xf>
    <xf numFmtId="0" fontId="10" fillId="5" borderId="209" xfId="3" applyFont="1" applyFill="1" applyBorder="1" applyAlignment="1">
      <alignment horizontal="center" vertical="center" wrapText="1"/>
    </xf>
    <xf numFmtId="0" fontId="10" fillId="5" borderId="337" xfId="3" applyFont="1" applyFill="1" applyBorder="1" applyAlignment="1">
      <alignment horizontal="center" vertical="center" wrapText="1"/>
    </xf>
    <xf numFmtId="0" fontId="10" fillId="5" borderId="47" xfId="3" applyFont="1" applyFill="1" applyBorder="1" applyAlignment="1">
      <alignment horizontal="center" vertical="center" wrapText="1"/>
    </xf>
    <xf numFmtId="0" fontId="10" fillId="5" borderId="0" xfId="3" applyFont="1" applyFill="1" applyAlignment="1">
      <alignment horizontal="center" vertical="center" wrapText="1"/>
    </xf>
    <xf numFmtId="0" fontId="10" fillId="5" borderId="48" xfId="3" applyFont="1" applyFill="1" applyBorder="1" applyAlignment="1">
      <alignment horizontal="center" vertical="center" wrapText="1"/>
    </xf>
    <xf numFmtId="0" fontId="10" fillId="5" borderId="8" xfId="3" applyFont="1" applyFill="1" applyBorder="1" applyAlignment="1">
      <alignment horizontal="center" vertical="center" wrapText="1"/>
    </xf>
    <xf numFmtId="0" fontId="10" fillId="5" borderId="104" xfId="3" applyFont="1" applyFill="1" applyBorder="1" applyAlignment="1">
      <alignment horizontal="center" vertical="center" wrapText="1"/>
    </xf>
    <xf numFmtId="0" fontId="10" fillId="5" borderId="10" xfId="3" applyFont="1" applyFill="1" applyBorder="1" applyAlignment="1">
      <alignment horizontal="center" vertical="center" wrapText="1"/>
    </xf>
    <xf numFmtId="0" fontId="11" fillId="5" borderId="104" xfId="3" applyFont="1" applyFill="1" applyBorder="1" applyAlignment="1">
      <alignment horizontal="center" vertical="center" wrapText="1"/>
    </xf>
    <xf numFmtId="0" fontId="11" fillId="5" borderId="15" xfId="3" applyFont="1" applyFill="1" applyBorder="1" applyAlignment="1">
      <alignment horizontal="center" vertical="center" wrapText="1"/>
    </xf>
    <xf numFmtId="0" fontId="11" fillId="6" borderId="8" xfId="6" applyFont="1" applyFill="1" applyBorder="1" applyAlignment="1">
      <alignment horizontal="center" vertical="center" wrapText="1"/>
    </xf>
    <xf numFmtId="0" fontId="11" fillId="6" borderId="104" xfId="6" applyFont="1" applyFill="1" applyBorder="1" applyAlignment="1">
      <alignment horizontal="center" vertical="center" wrapText="1"/>
    </xf>
    <xf numFmtId="0" fontId="11" fillId="6" borderId="10" xfId="6" applyFont="1" applyFill="1" applyBorder="1" applyAlignment="1">
      <alignment horizontal="center" vertical="center" wrapText="1"/>
    </xf>
    <xf numFmtId="0" fontId="11" fillId="137" borderId="8" xfId="3" applyFont="1" applyFill="1" applyBorder="1" applyAlignment="1">
      <alignment horizontal="center" vertical="center"/>
    </xf>
    <xf numFmtId="0" fontId="11" fillId="137" borderId="10" xfId="3" applyFont="1" applyFill="1" applyBorder="1" applyAlignment="1">
      <alignment horizontal="center" vertical="center"/>
    </xf>
    <xf numFmtId="0" fontId="11" fillId="138" borderId="8" xfId="3" applyFont="1" applyFill="1" applyBorder="1" applyAlignment="1">
      <alignment horizontal="center" vertical="center"/>
    </xf>
    <xf numFmtId="0" fontId="11" fillId="138" borderId="10" xfId="3" applyFont="1" applyFill="1" applyBorder="1" applyAlignment="1">
      <alignment horizontal="center" vertical="center"/>
    </xf>
    <xf numFmtId="0" fontId="59" fillId="0" borderId="206" xfId="0" applyFont="1" applyBorder="1" applyAlignment="1">
      <alignment horizontal="center"/>
    </xf>
    <xf numFmtId="0" fontId="59" fillId="0" borderId="214" xfId="0" applyFont="1" applyBorder="1" applyAlignment="1">
      <alignment horizontal="center"/>
    </xf>
    <xf numFmtId="0" fontId="59" fillId="0" borderId="217" xfId="0" applyFont="1" applyBorder="1" applyAlignment="1">
      <alignment horizontal="center"/>
    </xf>
    <xf numFmtId="0" fontId="94" fillId="0" borderId="206" xfId="0" applyFont="1" applyBorder="1" applyAlignment="1">
      <alignment horizontal="center" vertical="center" wrapText="1"/>
    </xf>
    <xf numFmtId="0" fontId="94" fillId="0" borderId="214" xfId="0" applyFont="1" applyBorder="1" applyAlignment="1">
      <alignment horizontal="center" vertical="center" wrapText="1"/>
    </xf>
    <xf numFmtId="0" fontId="94" fillId="0" borderId="306" xfId="0" applyFont="1" applyBorder="1" applyAlignment="1">
      <alignment horizontal="center" vertical="center" wrapText="1"/>
    </xf>
    <xf numFmtId="0" fontId="94" fillId="0" borderId="217" xfId="0" applyFont="1" applyBorder="1" applyAlignment="1">
      <alignment horizontal="center" vertical="center" wrapText="1"/>
    </xf>
    <xf numFmtId="0" fontId="89" fillId="29" borderId="157" xfId="0" applyFont="1" applyFill="1" applyBorder="1" applyAlignment="1">
      <alignment horizontal="center" vertical="center" wrapText="1"/>
    </xf>
    <xf numFmtId="0" fontId="89" fillId="29" borderId="162" xfId="0" applyFont="1" applyFill="1" applyBorder="1" applyAlignment="1">
      <alignment horizontal="center" vertical="center" wrapText="1"/>
    </xf>
    <xf numFmtId="0" fontId="89" fillId="29" borderId="304" xfId="0" applyFont="1" applyFill="1" applyBorder="1" applyAlignment="1">
      <alignment horizontal="center" vertical="center" wrapText="1"/>
    </xf>
    <xf numFmtId="0" fontId="89" fillId="29" borderId="365" xfId="0" applyFont="1" applyFill="1" applyBorder="1" applyAlignment="1">
      <alignment horizontal="center" vertical="center" wrapText="1"/>
    </xf>
    <xf numFmtId="0" fontId="89" fillId="29" borderId="306" xfId="0" applyFont="1" applyFill="1" applyBorder="1" applyAlignment="1">
      <alignment horizontal="center" vertical="center" wrapText="1"/>
    </xf>
    <xf numFmtId="0" fontId="89" fillId="29" borderId="110" xfId="0" applyFont="1" applyFill="1" applyBorder="1" applyAlignment="1">
      <alignment horizontal="center" vertical="center" wrapText="1"/>
    </xf>
    <xf numFmtId="0" fontId="89" fillId="29" borderId="214" xfId="0" applyFont="1" applyFill="1" applyBorder="1" applyAlignment="1">
      <alignment horizontal="center" vertical="center" wrapText="1"/>
    </xf>
    <xf numFmtId="0" fontId="89" fillId="29" borderId="228" xfId="0" applyFont="1" applyFill="1" applyBorder="1" applyAlignment="1">
      <alignment horizontal="center" vertical="center" wrapText="1"/>
    </xf>
    <xf numFmtId="0" fontId="89" fillId="0" borderId="162" xfId="0" applyFont="1" applyBorder="1" applyAlignment="1">
      <alignment horizontal="center" vertical="center"/>
    </xf>
    <xf numFmtId="0" fontId="89" fillId="0" borderId="306" xfId="0" applyFont="1" applyBorder="1" applyAlignment="1">
      <alignment horizontal="center" vertical="center"/>
    </xf>
    <xf numFmtId="0" fontId="59" fillId="0" borderId="206" xfId="0" applyFont="1" applyBorder="1" applyAlignment="1" applyProtection="1">
      <alignment horizontal="center" vertical="center" wrapText="1"/>
      <protection locked="0"/>
    </xf>
    <xf numFmtId="0" fontId="59" fillId="0" borderId="306" xfId="0" applyFont="1" applyBorder="1" applyAlignment="1" applyProtection="1">
      <alignment horizontal="center" vertical="center" wrapText="1"/>
      <protection locked="0"/>
    </xf>
    <xf numFmtId="0" fontId="59" fillId="0" borderId="228" xfId="0" applyFont="1" applyBorder="1" applyAlignment="1" applyProtection="1">
      <alignment horizontal="center" vertical="center" wrapText="1"/>
      <protection locked="0"/>
    </xf>
    <xf numFmtId="0" fontId="59" fillId="0" borderId="306" xfId="0" applyFont="1" applyBorder="1" applyAlignment="1">
      <alignment horizontal="center" vertical="center" wrapText="1"/>
    </xf>
    <xf numFmtId="0" fontId="59" fillId="0" borderId="366" xfId="0" applyFont="1" applyBorder="1" applyAlignment="1">
      <alignment horizontal="center" vertical="center" wrapText="1"/>
    </xf>
    <xf numFmtId="0" fontId="59" fillId="0" borderId="367" xfId="0" applyFont="1" applyBorder="1" applyAlignment="1">
      <alignment horizontal="center" vertical="center" wrapText="1"/>
    </xf>
    <xf numFmtId="0" fontId="59" fillId="0" borderId="116" xfId="0" applyFont="1" applyBorder="1" applyAlignment="1">
      <alignment horizontal="center" vertical="center" wrapText="1"/>
    </xf>
    <xf numFmtId="0" fontId="59" fillId="0" borderId="355" xfId="0" applyFont="1" applyBorder="1" applyAlignment="1">
      <alignment horizontal="center" vertical="center" wrapText="1"/>
    </xf>
    <xf numFmtId="0" fontId="59" fillId="0" borderId="115" xfId="0" applyFont="1" applyBorder="1" applyAlignment="1">
      <alignment horizontal="center" vertical="center" wrapText="1"/>
    </xf>
    <xf numFmtId="209" fontId="59" fillId="0" borderId="300" xfId="0" applyNumberFormat="1" applyFont="1" applyBorder="1" applyAlignment="1">
      <alignment horizontal="center" vertical="center" wrapText="1"/>
    </xf>
    <xf numFmtId="209" fontId="59" fillId="0" borderId="76" xfId="0" applyNumberFormat="1" applyFont="1" applyBorder="1" applyAlignment="1">
      <alignment horizontal="center" vertical="center" wrapText="1"/>
    </xf>
    <xf numFmtId="0" fontId="59" fillId="0" borderId="302" xfId="0" applyFont="1" applyBorder="1" applyAlignment="1">
      <alignment horizontal="center" vertical="center" wrapText="1"/>
    </xf>
    <xf numFmtId="0" fontId="59" fillId="0" borderId="307" xfId="0" applyFont="1" applyBorder="1" applyAlignment="1">
      <alignment horizontal="center" vertical="center" wrapText="1"/>
    </xf>
    <xf numFmtId="0" fontId="241" fillId="9" borderId="302" xfId="27" applyFont="1" applyFill="1" applyBorder="1" applyAlignment="1">
      <alignment horizontal="center" vertical="center" wrapText="1"/>
    </xf>
    <xf numFmtId="0" fontId="241" fillId="9" borderId="306" xfId="27" applyFont="1" applyFill="1" applyBorder="1" applyAlignment="1">
      <alignment horizontal="center" vertical="center" wrapText="1"/>
    </xf>
    <xf numFmtId="0" fontId="241" fillId="9" borderId="366" xfId="27" applyFont="1" applyFill="1" applyBorder="1" applyAlignment="1">
      <alignment horizontal="center" vertical="center" wrapText="1"/>
    </xf>
    <xf numFmtId="0" fontId="241" fillId="0" borderId="302" xfId="27" applyFont="1" applyBorder="1" applyAlignment="1">
      <alignment horizontal="center" vertical="center" wrapText="1"/>
    </xf>
    <xf numFmtId="0" fontId="241" fillId="0" borderId="306" xfId="27" applyFont="1" applyBorder="1" applyAlignment="1">
      <alignment horizontal="center" vertical="center" wrapText="1"/>
    </xf>
    <xf numFmtId="0" fontId="241" fillId="0" borderId="366" xfId="27" applyFont="1" applyBorder="1" applyAlignment="1">
      <alignment horizontal="center" vertical="center" wrapText="1"/>
    </xf>
    <xf numFmtId="0" fontId="241" fillId="0" borderId="206" xfId="27" applyFont="1" applyBorder="1" applyAlignment="1">
      <alignment horizontal="center" vertical="center" wrapText="1"/>
    </xf>
    <xf numFmtId="0" fontId="241" fillId="0" borderId="354" xfId="27" applyFont="1" applyBorder="1" applyAlignment="1">
      <alignment horizontal="center" vertical="center" wrapText="1"/>
    </xf>
    <xf numFmtId="0" fontId="219" fillId="56" borderId="110" xfId="0" applyFont="1" applyFill="1" applyBorder="1" applyAlignment="1">
      <alignment horizontal="center" vertical="center" wrapText="1"/>
    </xf>
    <xf numFmtId="0" fontId="219" fillId="56" borderId="214" xfId="0" applyFont="1" applyFill="1" applyBorder="1" applyAlignment="1">
      <alignment horizontal="center" vertical="center" wrapText="1"/>
    </xf>
    <xf numFmtId="0" fontId="219" fillId="56" borderId="217" xfId="0" applyFont="1" applyFill="1" applyBorder="1" applyAlignment="1">
      <alignment horizontal="center" vertical="center" wrapText="1"/>
    </xf>
    <xf numFmtId="0" fontId="89" fillId="29" borderId="217" xfId="0" applyFont="1" applyFill="1" applyBorder="1" applyAlignment="1">
      <alignment horizontal="center" vertical="center" wrapText="1"/>
    </xf>
    <xf numFmtId="0" fontId="89" fillId="29" borderId="206" xfId="0" applyFont="1" applyFill="1" applyBorder="1" applyAlignment="1">
      <alignment horizontal="center" vertical="center" wrapText="1"/>
    </xf>
    <xf numFmtId="0" fontId="0" fillId="0" borderId="155" xfId="0" applyBorder="1" applyAlignment="1">
      <alignment horizontal="left"/>
    </xf>
    <xf numFmtId="0" fontId="0" fillId="0" borderId="143" xfId="0" applyBorder="1" applyAlignment="1">
      <alignment horizontal="left"/>
    </xf>
    <xf numFmtId="0" fontId="0" fillId="0" borderId="156" xfId="0" applyBorder="1" applyAlignment="1">
      <alignment horizontal="left"/>
    </xf>
    <xf numFmtId="0" fontId="2" fillId="29" borderId="157" xfId="0" applyFont="1" applyFill="1" applyBorder="1" applyAlignment="1">
      <alignment horizontal="center" vertical="center" wrapText="1"/>
    </xf>
    <xf numFmtId="0" fontId="2" fillId="29" borderId="162" xfId="0" applyFont="1" applyFill="1" applyBorder="1" applyAlignment="1">
      <alignment horizontal="center" vertical="center" wrapText="1"/>
    </xf>
    <xf numFmtId="0" fontId="2" fillId="29" borderId="304" xfId="0" applyFont="1" applyFill="1" applyBorder="1" applyAlignment="1">
      <alignment horizontal="center" vertical="center" wrapText="1"/>
    </xf>
    <xf numFmtId="0" fontId="125" fillId="29" borderId="310" xfId="0" applyFont="1" applyFill="1" applyBorder="1" applyAlignment="1">
      <alignment horizontal="center" vertical="center" wrapText="1"/>
    </xf>
    <xf numFmtId="0" fontId="125" fillId="29" borderId="308" xfId="0" applyFont="1" applyFill="1" applyBorder="1" applyAlignment="1">
      <alignment horizontal="center" vertical="center" wrapText="1"/>
    </xf>
    <xf numFmtId="0" fontId="125" fillId="29" borderId="224" xfId="0" applyFont="1" applyFill="1" applyBorder="1" applyAlignment="1">
      <alignment horizontal="center" vertical="center" wrapText="1"/>
    </xf>
    <xf numFmtId="0" fontId="2" fillId="29" borderId="155" xfId="0" applyFont="1" applyFill="1" applyBorder="1" applyAlignment="1">
      <alignment horizontal="center" vertical="center" wrapText="1"/>
    </xf>
    <xf numFmtId="0" fontId="2" fillId="29" borderId="143" xfId="0" applyFont="1" applyFill="1" applyBorder="1" applyAlignment="1">
      <alignment horizontal="center" vertical="center" wrapText="1"/>
    </xf>
    <xf numFmtId="0" fontId="2" fillId="29" borderId="156" xfId="0" applyFont="1" applyFill="1" applyBorder="1" applyAlignment="1">
      <alignment horizontal="center" vertical="center" wrapText="1"/>
    </xf>
    <xf numFmtId="0" fontId="2" fillId="29" borderId="308" xfId="0" applyFont="1" applyFill="1" applyBorder="1" applyAlignment="1">
      <alignment horizontal="center" vertical="center" wrapText="1"/>
    </xf>
    <xf numFmtId="0" fontId="125" fillId="29" borderId="206" xfId="0" applyFont="1" applyFill="1" applyBorder="1" applyAlignment="1">
      <alignment horizontal="center" vertical="center" wrapText="1"/>
    </xf>
    <xf numFmtId="0" fontId="125" fillId="29" borderId="217" xfId="0" applyFont="1" applyFill="1" applyBorder="1" applyAlignment="1">
      <alignment horizontal="center" vertical="center" wrapText="1"/>
    </xf>
    <xf numFmtId="0" fontId="125" fillId="29" borderId="334" xfId="0" applyFont="1" applyFill="1" applyBorder="1" applyAlignment="1">
      <alignment horizontal="center" vertical="center" wrapText="1"/>
    </xf>
    <xf numFmtId="0" fontId="125" fillId="29" borderId="306" xfId="0" applyFont="1" applyFill="1" applyBorder="1" applyAlignment="1">
      <alignment horizontal="center" vertical="center" wrapText="1"/>
    </xf>
    <xf numFmtId="0" fontId="125" fillId="29" borderId="354" xfId="0" applyFont="1" applyFill="1" applyBorder="1" applyAlignment="1">
      <alignment horizontal="center" vertical="center" wrapText="1"/>
    </xf>
    <xf numFmtId="0" fontId="89" fillId="29" borderId="210" xfId="0" applyFont="1" applyFill="1" applyBorder="1" applyAlignment="1">
      <alignment horizontal="center" vertical="center" wrapText="1"/>
    </xf>
    <xf numFmtId="0" fontId="89" fillId="29" borderId="67" xfId="0" applyFont="1" applyFill="1" applyBorder="1" applyAlignment="1">
      <alignment horizontal="center" vertical="center" wrapText="1"/>
    </xf>
    <xf numFmtId="0" fontId="89" fillId="29" borderId="76" xfId="0" applyFont="1" applyFill="1" applyBorder="1" applyAlignment="1">
      <alignment horizontal="center" vertical="center" wrapText="1"/>
    </xf>
    <xf numFmtId="0" fontId="89" fillId="29" borderId="354" xfId="0" applyFont="1" applyFill="1" applyBorder="1" applyAlignment="1">
      <alignment horizontal="center" vertical="center" wrapText="1"/>
    </xf>
    <xf numFmtId="0" fontId="219" fillId="56" borderId="365" xfId="0" applyFont="1" applyFill="1" applyBorder="1" applyAlignment="1">
      <alignment horizontal="center" vertical="center" wrapText="1"/>
    </xf>
    <xf numFmtId="0" fontId="219" fillId="56" borderId="306" xfId="0" applyFont="1" applyFill="1" applyBorder="1" applyAlignment="1">
      <alignment horizontal="center" vertical="center" wrapText="1"/>
    </xf>
    <xf numFmtId="0" fontId="219" fillId="56" borderId="354" xfId="0" applyFont="1" applyFill="1" applyBorder="1" applyAlignment="1">
      <alignment horizontal="center" vertical="center" wrapText="1"/>
    </xf>
    <xf numFmtId="0" fontId="49" fillId="12" borderId="395" xfId="22" applyFont="1" applyFill="1" applyBorder="1" applyAlignment="1">
      <alignment horizontal="left" vertical="center"/>
    </xf>
    <xf numFmtId="0" fontId="49" fillId="12" borderId="393" xfId="22" applyFont="1" applyFill="1" applyBorder="1" applyAlignment="1">
      <alignment horizontal="left" vertical="center"/>
    </xf>
    <xf numFmtId="0" fontId="49" fillId="12" borderId="129" xfId="22" applyFont="1" applyFill="1" applyBorder="1" applyAlignment="1">
      <alignment horizontal="left" vertical="center"/>
    </xf>
    <xf numFmtId="0" fontId="49" fillId="12" borderId="167" xfId="22" applyFont="1" applyFill="1" applyBorder="1" applyAlignment="1">
      <alignment horizontal="left" vertical="center"/>
    </xf>
    <xf numFmtId="0" fontId="49" fillId="12" borderId="167" xfId="22" applyFont="1" applyFill="1" applyBorder="1" applyAlignment="1">
      <alignment horizontal="center" vertical="center"/>
    </xf>
    <xf numFmtId="0" fontId="49" fillId="12" borderId="122" xfId="22" applyFont="1" applyFill="1" applyBorder="1" applyAlignment="1">
      <alignment horizontal="center" vertical="center"/>
    </xf>
    <xf numFmtId="0" fontId="49" fillId="12" borderId="393" xfId="22" applyFont="1" applyFill="1" applyBorder="1" applyAlignment="1">
      <alignment horizontal="center" vertical="center"/>
    </xf>
    <xf numFmtId="0" fontId="49" fillId="12" borderId="394" xfId="22" applyFont="1" applyFill="1" applyBorder="1" applyAlignment="1">
      <alignment horizontal="center" vertical="center"/>
    </xf>
    <xf numFmtId="0" fontId="49" fillId="12" borderId="302" xfId="23" applyFont="1" applyFill="1" applyBorder="1" applyAlignment="1">
      <alignment horizontal="left" vertical="center"/>
    </xf>
    <xf numFmtId="0" fontId="49" fillId="12" borderId="306" xfId="23" applyFont="1" applyFill="1" applyBorder="1" applyAlignment="1">
      <alignment horizontal="left" vertical="center"/>
    </xf>
    <xf numFmtId="0" fontId="49" fillId="12" borderId="306" xfId="22" applyFont="1" applyFill="1" applyBorder="1" applyAlignment="1">
      <alignment horizontal="center" vertical="center"/>
    </xf>
    <xf numFmtId="0" fontId="49" fillId="12" borderId="304" xfId="22" applyFont="1" applyFill="1" applyBorder="1" applyAlignment="1">
      <alignment horizontal="center" vertical="center"/>
    </xf>
    <xf numFmtId="0" fontId="49" fillId="12" borderId="104" xfId="22" applyFont="1" applyFill="1" applyBorder="1" applyAlignment="1">
      <alignment horizontal="left" vertical="center"/>
    </xf>
    <xf numFmtId="0" fontId="49" fillId="12" borderId="104" xfId="22" applyFont="1" applyFill="1" applyBorder="1" applyAlignment="1">
      <alignment horizontal="center" vertical="center"/>
    </xf>
    <xf numFmtId="0" fontId="49" fillId="12" borderId="10" xfId="22" applyFont="1" applyFill="1" applyBorder="1" applyAlignment="1">
      <alignment horizontal="center" vertical="center"/>
    </xf>
    <xf numFmtId="2" fontId="45" fillId="143" borderId="8" xfId="22" applyNumberFormat="1" applyFont="1" applyFill="1" applyBorder="1" applyAlignment="1">
      <alignment horizontal="center"/>
    </xf>
    <xf numFmtId="2" fontId="45" fillId="143" borderId="104" xfId="22" applyNumberFormat="1" applyFont="1" applyFill="1" applyBorder="1" applyAlignment="1">
      <alignment horizontal="center"/>
    </xf>
    <xf numFmtId="2" fontId="45" fillId="143" borderId="10" xfId="22" applyNumberFormat="1" applyFont="1" applyFill="1" applyBorder="1" applyAlignment="1">
      <alignment horizontal="center"/>
    </xf>
    <xf numFmtId="0" fontId="27" fillId="8" borderId="47" xfId="3" applyFont="1" applyFill="1" applyBorder="1" applyAlignment="1">
      <alignment horizontal="center" vertical="center"/>
    </xf>
    <xf numFmtId="0" fontId="27" fillId="8" borderId="0" xfId="3" applyFont="1" applyFill="1" applyAlignment="1">
      <alignment horizontal="center" vertical="center"/>
    </xf>
    <xf numFmtId="0" fontId="27" fillId="8" borderId="48" xfId="3" applyFont="1" applyFill="1" applyBorder="1" applyAlignment="1">
      <alignment horizontal="center" vertical="center"/>
    </xf>
    <xf numFmtId="185" fontId="276" fillId="8" borderId="209" xfId="3" applyNumberFormat="1" applyFont="1" applyFill="1" applyBorder="1" applyAlignment="1">
      <alignment horizontal="left" vertical="center" wrapText="1"/>
    </xf>
    <xf numFmtId="182" fontId="273" fillId="8" borderId="209" xfId="3" applyNumberFormat="1" applyFont="1" applyFill="1" applyBorder="1" applyAlignment="1">
      <alignment horizontal="left" vertical="center"/>
    </xf>
    <xf numFmtId="182" fontId="273" fillId="8" borderId="337" xfId="3" applyNumberFormat="1" applyFont="1" applyFill="1" applyBorder="1" applyAlignment="1">
      <alignment horizontal="left" vertical="center"/>
    </xf>
    <xf numFmtId="2" fontId="45" fillId="12" borderId="35" xfId="22" applyNumberFormat="1" applyFont="1" applyFill="1" applyBorder="1" applyAlignment="1">
      <alignment horizontal="center" wrapText="1"/>
    </xf>
    <xf numFmtId="2" fontId="45" fillId="12" borderId="104" xfId="22" applyNumberFormat="1" applyFont="1" applyFill="1" applyBorder="1" applyAlignment="1">
      <alignment horizontal="center" wrapText="1"/>
    </xf>
    <xf numFmtId="2" fontId="45" fillId="12" borderId="10" xfId="22" applyNumberFormat="1" applyFont="1" applyFill="1" applyBorder="1" applyAlignment="1">
      <alignment horizontal="center" wrapText="1"/>
    </xf>
    <xf numFmtId="0" fontId="60" fillId="9" borderId="308" xfId="0" applyFont="1" applyFill="1" applyBorder="1" applyAlignment="1" applyProtection="1">
      <alignment vertical="top" wrapText="1"/>
      <protection locked="0"/>
    </xf>
    <xf numFmtId="0" fontId="94" fillId="25" borderId="302" xfId="0" applyFont="1" applyFill="1" applyBorder="1" applyAlignment="1" applyProtection="1">
      <alignment horizontal="center" vertical="center" wrapText="1"/>
      <protection locked="0"/>
    </xf>
    <xf numFmtId="0" fontId="94" fillId="25" borderId="306" xfId="0" applyFont="1" applyFill="1" applyBorder="1" applyAlignment="1" applyProtection="1">
      <alignment horizontal="center" vertical="center" wrapText="1"/>
      <protection locked="0"/>
    </xf>
    <xf numFmtId="0" fontId="94" fillId="25" borderId="366" xfId="0" applyFont="1" applyFill="1" applyBorder="1" applyAlignment="1" applyProtection="1">
      <alignment horizontal="center" vertical="center" wrapText="1"/>
      <protection locked="0"/>
    </xf>
    <xf numFmtId="0" fontId="60" fillId="9" borderId="308" xfId="0" applyFont="1" applyFill="1" applyBorder="1" applyAlignment="1" applyProtection="1">
      <alignment horizontal="left" vertical="top" wrapText="1"/>
      <protection locked="0"/>
    </xf>
    <xf numFmtId="0" fontId="0" fillId="9" borderId="308" xfId="0" applyFill="1" applyBorder="1" applyAlignment="1" applyProtection="1">
      <alignment horizontal="left" vertical="top" wrapText="1"/>
      <protection locked="0"/>
    </xf>
    <xf numFmtId="0" fontId="60" fillId="9" borderId="302" xfId="0" applyFont="1" applyFill="1" applyBorder="1" applyAlignment="1" applyProtection="1">
      <alignment horizontal="left" vertical="top" wrapText="1"/>
      <protection locked="0"/>
    </xf>
    <xf numFmtId="0" fontId="60" fillId="9" borderId="306" xfId="0" applyFont="1" applyFill="1" applyBorder="1" applyAlignment="1" applyProtection="1">
      <alignment horizontal="left" vertical="top" wrapText="1"/>
      <protection locked="0"/>
    </xf>
    <xf numFmtId="0" fontId="60" fillId="9" borderId="366" xfId="0" applyFont="1" applyFill="1" applyBorder="1" applyAlignment="1" applyProtection="1">
      <alignment horizontal="left" vertical="top" wrapText="1"/>
      <protection locked="0"/>
    </xf>
    <xf numFmtId="175" fontId="0" fillId="0" borderId="302" xfId="0" applyNumberFormat="1" applyBorder="1" applyAlignment="1" applyProtection="1">
      <alignment horizontal="center" vertical="center"/>
      <protection locked="0"/>
    </xf>
    <xf numFmtId="175" fontId="0" fillId="0" borderId="306" xfId="0" applyNumberFormat="1" applyBorder="1" applyAlignment="1" applyProtection="1">
      <alignment horizontal="center" vertical="center"/>
      <protection locked="0"/>
    </xf>
    <xf numFmtId="175" fontId="0" fillId="0" borderId="330" xfId="0" applyNumberFormat="1" applyBorder="1" applyAlignment="1" applyProtection="1">
      <alignment horizontal="center" vertical="center"/>
      <protection locked="0"/>
    </xf>
    <xf numFmtId="0" fontId="94" fillId="25" borderId="302" xfId="0" applyFont="1" applyFill="1" applyBorder="1" applyAlignment="1" applyProtection="1">
      <alignment horizontal="left" vertical="center"/>
      <protection locked="0"/>
    </xf>
    <xf numFmtId="0" fontId="94" fillId="25" borderId="306" xfId="0" applyFont="1" applyFill="1" applyBorder="1" applyAlignment="1" applyProtection="1">
      <alignment horizontal="left" vertical="center"/>
      <protection locked="0"/>
    </xf>
    <xf numFmtId="0" fontId="94" fillId="25" borderId="308" xfId="0" applyFont="1" applyFill="1" applyBorder="1" applyAlignment="1" applyProtection="1">
      <alignment horizontal="center" vertical="center" wrapText="1"/>
      <protection locked="0"/>
    </xf>
    <xf numFmtId="0" fontId="60" fillId="9" borderId="308" xfId="0" applyFont="1" applyFill="1" applyBorder="1" applyAlignment="1" applyProtection="1">
      <alignment horizontal="center" vertical="top" wrapText="1"/>
      <protection locked="0"/>
    </xf>
    <xf numFmtId="0" fontId="94" fillId="25" borderId="306" xfId="0" applyFont="1" applyFill="1" applyBorder="1" applyAlignment="1" applyProtection="1">
      <alignment horizontal="center" vertical="center"/>
      <protection locked="0"/>
    </xf>
    <xf numFmtId="0" fontId="94" fillId="25" borderId="366" xfId="0" applyFont="1" applyFill="1" applyBorder="1" applyAlignment="1" applyProtection="1">
      <alignment horizontal="center" vertical="center"/>
      <protection locked="0"/>
    </xf>
    <xf numFmtId="2" fontId="94" fillId="25" borderId="302" xfId="0" applyNumberFormat="1" applyFont="1" applyFill="1" applyBorder="1" applyAlignment="1">
      <alignment horizontal="center" vertical="center" wrapText="1"/>
    </xf>
    <xf numFmtId="2" fontId="94" fillId="25" borderId="306" xfId="0" applyNumberFormat="1" applyFont="1" applyFill="1" applyBorder="1" applyAlignment="1">
      <alignment horizontal="center" vertical="center" wrapText="1"/>
    </xf>
    <xf numFmtId="2" fontId="94" fillId="25" borderId="366" xfId="0" applyNumberFormat="1" applyFont="1" applyFill="1" applyBorder="1" applyAlignment="1">
      <alignment horizontal="center" vertical="center" wrapText="1"/>
    </xf>
    <xf numFmtId="175" fontId="0" fillId="0" borderId="302" xfId="0" applyNumberFormat="1" applyBorder="1" applyAlignment="1" applyProtection="1">
      <alignment horizontal="center" vertical="center" wrapText="1"/>
      <protection locked="0"/>
    </xf>
    <xf numFmtId="175" fontId="0" fillId="0" borderId="306" xfId="0" applyNumberFormat="1" applyBorder="1" applyAlignment="1" applyProtection="1">
      <alignment horizontal="center" vertical="center" wrapText="1"/>
      <protection locked="0"/>
    </xf>
    <xf numFmtId="175" fontId="0" fillId="0" borderId="330" xfId="0" applyNumberFormat="1" applyBorder="1" applyAlignment="1" applyProtection="1">
      <alignment horizontal="center" vertical="center" wrapText="1"/>
      <protection locked="0"/>
    </xf>
    <xf numFmtId="0" fontId="60" fillId="0" borderId="332" xfId="0" applyFont="1" applyBorder="1" applyAlignment="1" applyProtection="1">
      <alignment horizontal="left" vertical="top" wrapText="1"/>
      <protection locked="0"/>
    </xf>
    <xf numFmtId="0" fontId="60" fillId="0" borderId="306" xfId="0" applyFont="1" applyBorder="1" applyAlignment="1" applyProtection="1">
      <alignment horizontal="left" vertical="top" wrapText="1"/>
      <protection locked="0"/>
    </xf>
    <xf numFmtId="0" fontId="60" fillId="0" borderId="366" xfId="0" applyFont="1" applyBorder="1" applyAlignment="1" applyProtection="1">
      <alignment horizontal="left" vertical="top" wrapText="1"/>
      <protection locked="0"/>
    </xf>
    <xf numFmtId="0" fontId="94" fillId="25" borderId="307" xfId="0" applyFont="1" applyFill="1" applyBorder="1" applyAlignment="1" applyProtection="1">
      <alignment horizontal="center" vertical="center" wrapText="1"/>
      <protection locked="0"/>
    </xf>
    <xf numFmtId="0" fontId="60" fillId="9" borderId="302" xfId="0" applyFont="1" applyFill="1" applyBorder="1" applyAlignment="1" applyProtection="1">
      <alignment horizontal="center" vertical="center" wrapText="1"/>
      <protection locked="0"/>
    </xf>
    <xf numFmtId="0" fontId="60" fillId="9" borderId="307" xfId="0" applyFont="1" applyFill="1" applyBorder="1" applyAlignment="1" applyProtection="1">
      <alignment horizontal="center" vertical="center" wrapText="1"/>
      <protection locked="0"/>
    </xf>
    <xf numFmtId="0" fontId="60" fillId="0" borderId="302" xfId="0" applyFont="1" applyBorder="1" applyAlignment="1" applyProtection="1">
      <alignment horizontal="center" vertical="top" wrapText="1"/>
      <protection locked="0"/>
    </xf>
    <xf numFmtId="0" fontId="60" fillId="0" borderId="306" xfId="0" applyFont="1" applyBorder="1" applyAlignment="1" applyProtection="1">
      <alignment horizontal="center" vertical="top" wrapText="1"/>
      <protection locked="0"/>
    </xf>
    <xf numFmtId="0" fontId="60" fillId="0" borderId="307" xfId="0" applyFont="1" applyBorder="1" applyAlignment="1" applyProtection="1">
      <alignment horizontal="center" vertical="top" wrapText="1"/>
      <protection locked="0"/>
    </xf>
    <xf numFmtId="0" fontId="60" fillId="0" borderId="206" xfId="0" applyFont="1" applyBorder="1" applyAlignment="1" applyProtection="1">
      <alignment horizontal="left" vertical="top" wrapText="1"/>
      <protection locked="0"/>
    </xf>
    <xf numFmtId="0" fontId="60" fillId="0" borderId="214" xfId="0" applyFont="1" applyBorder="1" applyAlignment="1" applyProtection="1">
      <alignment horizontal="left" vertical="top" wrapText="1"/>
      <protection locked="0"/>
    </xf>
    <xf numFmtId="0" fontId="60" fillId="0" borderId="217" xfId="0" applyFont="1" applyBorder="1" applyAlignment="1" applyProtection="1">
      <alignment horizontal="left" vertical="top" wrapText="1"/>
      <protection locked="0"/>
    </xf>
    <xf numFmtId="193" fontId="94" fillId="0" borderId="308" xfId="0" applyNumberFormat="1" applyFont="1" applyBorder="1" applyAlignment="1" applyProtection="1">
      <alignment horizontal="center" vertical="center" wrapText="1"/>
      <protection locked="0"/>
    </xf>
    <xf numFmtId="0" fontId="94" fillId="25" borderId="300" xfId="0" applyFont="1" applyFill="1" applyBorder="1" applyAlignment="1" applyProtection="1">
      <alignment horizontal="center" vertical="center"/>
      <protection locked="0"/>
    </xf>
    <xf numFmtId="0" fontId="94" fillId="25" borderId="305" xfId="0" applyFont="1" applyFill="1" applyBorder="1" applyAlignment="1" applyProtection="1">
      <alignment horizontal="center" vertical="center"/>
      <protection locked="0"/>
    </xf>
    <xf numFmtId="0" fontId="94" fillId="25" borderId="76" xfId="0" applyFont="1" applyFill="1" applyBorder="1" applyAlignment="1" applyProtection="1">
      <alignment horizontal="center" vertical="center"/>
      <protection locked="0"/>
    </xf>
    <xf numFmtId="0" fontId="94" fillId="25" borderId="77" xfId="0" applyFont="1" applyFill="1" applyBorder="1" applyAlignment="1" applyProtection="1">
      <alignment horizontal="center" vertical="center"/>
      <protection locked="0"/>
    </xf>
    <xf numFmtId="201" fontId="94" fillId="0" borderId="308" xfId="0" applyNumberFormat="1" applyFont="1" applyBorder="1" applyAlignment="1" applyProtection="1">
      <alignment horizontal="center" vertical="center" wrapText="1"/>
      <protection locked="0"/>
    </xf>
    <xf numFmtId="0" fontId="60" fillId="0" borderId="332" xfId="0" applyFont="1" applyBorder="1" applyAlignment="1" applyProtection="1">
      <alignment horizontal="left" vertical="center" wrapText="1"/>
      <protection locked="0"/>
    </xf>
    <xf numFmtId="0" fontId="60" fillId="0" borderId="306" xfId="0" applyFont="1" applyBorder="1" applyAlignment="1" applyProtection="1">
      <alignment horizontal="left" vertical="center" wrapText="1"/>
      <protection locked="0"/>
    </xf>
    <xf numFmtId="0" fontId="60" fillId="0" borderId="366" xfId="0" applyFont="1" applyBorder="1" applyAlignment="1" applyProtection="1">
      <alignment horizontal="left" vertical="center" wrapText="1"/>
      <protection locked="0"/>
    </xf>
    <xf numFmtId="0" fontId="94" fillId="25" borderId="308" xfId="0" applyFont="1" applyFill="1" applyBorder="1" applyAlignment="1" applyProtection="1">
      <alignment horizontal="center" vertical="center"/>
      <protection locked="0"/>
    </xf>
    <xf numFmtId="0" fontId="0" fillId="0" borderId="206" xfId="0" applyBorder="1" applyAlignment="1" applyProtection="1">
      <alignment horizontal="center"/>
      <protection locked="0"/>
    </xf>
    <xf numFmtId="0" fontId="0" fillId="0" borderId="214" xfId="0" applyBorder="1" applyAlignment="1" applyProtection="1">
      <alignment horizontal="center"/>
      <protection locked="0"/>
    </xf>
    <xf numFmtId="0" fontId="0" fillId="0" borderId="217" xfId="0" applyBorder="1" applyAlignment="1" applyProtection="1">
      <alignment horizontal="center"/>
      <protection locked="0"/>
    </xf>
    <xf numFmtId="0" fontId="60" fillId="0" borderId="309" xfId="0" applyFont="1" applyBorder="1" applyAlignment="1">
      <alignment horizontal="center" vertical="center" wrapText="1"/>
    </xf>
    <xf numFmtId="0" fontId="60" fillId="0" borderId="49" xfId="0" applyFont="1" applyBorder="1" applyAlignment="1">
      <alignment horizontal="center" vertical="center" wrapText="1"/>
    </xf>
    <xf numFmtId="0" fontId="60" fillId="0" borderId="308" xfId="0" applyFont="1" applyBorder="1" applyAlignment="1" applyProtection="1">
      <alignment horizontal="center" vertical="center"/>
      <protection locked="0"/>
    </xf>
    <xf numFmtId="0" fontId="93" fillId="0" borderId="306" xfId="0" applyFont="1" applyBorder="1" applyAlignment="1" applyProtection="1">
      <alignment horizontal="center" vertical="center" wrapText="1"/>
      <protection locked="0"/>
    </xf>
    <xf numFmtId="0" fontId="93" fillId="0" borderId="366" xfId="0" applyFont="1" applyBorder="1" applyAlignment="1" applyProtection="1">
      <alignment horizontal="center" vertical="center" wrapText="1"/>
      <protection locked="0"/>
    </xf>
    <xf numFmtId="0" fontId="93" fillId="0" borderId="302" xfId="0" applyFont="1" applyBorder="1" applyAlignment="1" applyProtection="1">
      <alignment horizontal="center" vertical="center" wrapText="1"/>
      <protection locked="0"/>
    </xf>
    <xf numFmtId="0" fontId="60" fillId="0" borderId="302" xfId="0" applyFont="1" applyBorder="1" applyAlignment="1" applyProtection="1">
      <alignment horizontal="center" vertical="center" wrapText="1"/>
      <protection locked="0"/>
    </xf>
    <xf numFmtId="0" fontId="60" fillId="0" borderId="306" xfId="0" applyFont="1" applyBorder="1" applyAlignment="1" applyProtection="1">
      <alignment horizontal="center" vertical="center" wrapText="1"/>
      <protection locked="0"/>
    </xf>
    <xf numFmtId="0" fontId="0" fillId="0" borderId="309" xfId="0" applyBorder="1" applyAlignment="1" applyProtection="1">
      <alignment horizontal="center" vertical="center" wrapText="1"/>
      <protection locked="0"/>
    </xf>
    <xf numFmtId="0" fontId="0" fillId="0" borderId="49" xfId="0" applyBorder="1" applyAlignment="1" applyProtection="1">
      <alignment horizontal="center" vertical="center" wrapText="1"/>
      <protection locked="0"/>
    </xf>
    <xf numFmtId="0" fontId="60" fillId="0" borderId="308" xfId="0" applyFont="1" applyBorder="1" applyAlignment="1" applyProtection="1">
      <alignment horizontal="center" vertical="center" wrapText="1"/>
      <protection locked="0"/>
    </xf>
    <xf numFmtId="0" fontId="265" fillId="9" borderId="308" xfId="27" applyFont="1" applyFill="1" applyBorder="1" applyAlignment="1" applyProtection="1">
      <alignment horizontal="center" vertical="center" wrapText="1"/>
      <protection locked="0"/>
    </xf>
    <xf numFmtId="0" fontId="265" fillId="9" borderId="50" xfId="27" applyFont="1" applyFill="1" applyBorder="1" applyAlignment="1" applyProtection="1">
      <alignment horizontal="center" vertical="center" wrapText="1"/>
      <protection locked="0"/>
    </xf>
    <xf numFmtId="0" fontId="265" fillId="9" borderId="77" xfId="27" applyFont="1" applyFill="1" applyBorder="1" applyAlignment="1" applyProtection="1">
      <alignment horizontal="center" vertical="center" wrapText="1"/>
      <protection locked="0"/>
    </xf>
    <xf numFmtId="0" fontId="2" fillId="25" borderId="302" xfId="0" applyFont="1" applyFill="1" applyBorder="1" applyAlignment="1" applyProtection="1">
      <alignment horizontal="center" vertical="center" wrapText="1"/>
      <protection locked="0"/>
    </xf>
    <xf numFmtId="0" fontId="2" fillId="25" borderId="306" xfId="0" applyFont="1" applyFill="1" applyBorder="1" applyAlignment="1" applyProtection="1">
      <alignment horizontal="center" vertical="center" wrapText="1"/>
      <protection locked="0"/>
    </xf>
    <xf numFmtId="0" fontId="60" fillId="0" borderId="309" xfId="0" applyFont="1" applyBorder="1" applyAlignment="1" applyProtection="1">
      <alignment horizontal="center" vertical="center"/>
      <protection locked="0"/>
    </xf>
    <xf numFmtId="0" fontId="60" fillId="0" borderId="49" xfId="0" applyFont="1" applyBorder="1" applyAlignment="1" applyProtection="1">
      <alignment horizontal="center" vertical="center"/>
      <protection locked="0"/>
    </xf>
    <xf numFmtId="0" fontId="265" fillId="0" borderId="302" xfId="27" applyFont="1" applyBorder="1" applyAlignment="1" applyProtection="1">
      <alignment horizontal="center" vertical="center" wrapText="1"/>
      <protection locked="0"/>
    </xf>
    <xf numFmtId="0" fontId="265" fillId="0" borderId="306" xfId="27" applyFont="1" applyBorder="1" applyAlignment="1" applyProtection="1">
      <alignment horizontal="center" vertical="center" wrapText="1"/>
      <protection locked="0"/>
    </xf>
    <xf numFmtId="209" fontId="60" fillId="0" borderId="309" xfId="0" applyNumberFormat="1" applyFont="1" applyBorder="1" applyAlignment="1">
      <alignment horizontal="center" vertical="center" wrapText="1"/>
    </xf>
    <xf numFmtId="209" fontId="60" fillId="0" borderId="49" xfId="0" applyNumberFormat="1" applyFont="1" applyBorder="1" applyAlignment="1">
      <alignment horizontal="center" vertical="center" wrapText="1"/>
    </xf>
    <xf numFmtId="0" fontId="94" fillId="25" borderId="309" xfId="0" applyFont="1" applyFill="1" applyBorder="1" applyAlignment="1" applyProtection="1">
      <alignment horizontal="center" vertical="center" wrapText="1"/>
      <protection locked="0"/>
    </xf>
    <xf numFmtId="0" fontId="94" fillId="25" borderId="49" xfId="0" applyFont="1" applyFill="1" applyBorder="1" applyAlignment="1" applyProtection="1">
      <alignment horizontal="center" vertical="center" wrapText="1"/>
      <protection locked="0"/>
    </xf>
    <xf numFmtId="2" fontId="2" fillId="25" borderId="302" xfId="0" applyNumberFormat="1" applyFont="1" applyFill="1" applyBorder="1" applyAlignment="1" applyProtection="1">
      <alignment horizontal="center" vertical="center" wrapText="1"/>
      <protection locked="0"/>
    </xf>
    <xf numFmtId="2" fontId="2" fillId="25" borderId="306" xfId="0" applyNumberFormat="1" applyFont="1" applyFill="1" applyBorder="1" applyAlignment="1" applyProtection="1">
      <alignment horizontal="center" vertical="center" wrapText="1"/>
      <protection locked="0"/>
    </xf>
    <xf numFmtId="2" fontId="2" fillId="25" borderId="330" xfId="0" applyNumberFormat="1" applyFont="1" applyFill="1" applyBorder="1" applyAlignment="1" applyProtection="1">
      <alignment horizontal="center" vertical="center" wrapText="1"/>
      <protection locked="0"/>
    </xf>
    <xf numFmtId="0" fontId="94" fillId="25" borderId="332" xfId="0" applyFont="1" applyFill="1" applyBorder="1" applyAlignment="1" applyProtection="1">
      <alignment horizontal="center" vertical="center" wrapText="1"/>
      <protection locked="0"/>
    </xf>
    <xf numFmtId="0" fontId="0" fillId="0" borderId="308" xfId="0" applyBorder="1" applyAlignment="1" applyProtection="1">
      <alignment horizontal="center"/>
      <protection locked="0"/>
    </xf>
    <xf numFmtId="0" fontId="94" fillId="25" borderId="308" xfId="0" applyFont="1" applyFill="1" applyBorder="1" applyAlignment="1" applyProtection="1">
      <alignment horizontal="left" vertical="center"/>
      <protection locked="0"/>
    </xf>
    <xf numFmtId="0" fontId="89" fillId="55" borderId="66" xfId="0" applyFont="1" applyFill="1" applyBorder="1" applyAlignment="1" applyProtection="1">
      <alignment horizontal="center" vertical="center" wrapText="1"/>
      <protection locked="0"/>
    </xf>
    <xf numFmtId="0" fontId="89" fillId="55" borderId="49" xfId="0" applyFont="1" applyFill="1" applyBorder="1" applyAlignment="1" applyProtection="1">
      <alignment horizontal="center" vertical="center" wrapText="1"/>
      <protection locked="0"/>
    </xf>
    <xf numFmtId="0" fontId="94" fillId="25" borderId="234" xfId="0" applyFont="1" applyFill="1" applyBorder="1" applyAlignment="1" applyProtection="1">
      <alignment horizontal="center" vertical="center" wrapText="1"/>
      <protection locked="0"/>
    </xf>
    <xf numFmtId="0" fontId="94" fillId="25" borderId="235" xfId="0" applyFont="1" applyFill="1" applyBorder="1" applyAlignment="1" applyProtection="1">
      <alignment horizontal="center" vertical="center" wrapText="1"/>
      <protection locked="0"/>
    </xf>
    <xf numFmtId="0" fontId="94" fillId="25" borderId="330" xfId="0" applyFont="1" applyFill="1" applyBorder="1" applyAlignment="1" applyProtection="1">
      <alignment horizontal="center" vertical="center" wrapText="1"/>
      <protection locked="0"/>
    </xf>
    <xf numFmtId="0" fontId="94" fillId="25" borderId="369" xfId="0" applyFont="1" applyFill="1" applyBorder="1" applyAlignment="1" applyProtection="1">
      <alignment horizontal="center" vertical="center" wrapText="1"/>
      <protection locked="0"/>
    </xf>
    <xf numFmtId="0" fontId="94" fillId="25" borderId="390" xfId="0" applyFont="1" applyFill="1" applyBorder="1" applyAlignment="1" applyProtection="1">
      <alignment horizontal="center" vertical="center" wrapText="1"/>
      <protection locked="0"/>
    </xf>
    <xf numFmtId="0" fontId="94" fillId="25" borderId="305" xfId="0" applyFont="1" applyFill="1" applyBorder="1" applyAlignment="1" applyProtection="1">
      <alignment horizontal="center" vertical="center" wrapText="1"/>
      <protection locked="0"/>
    </xf>
    <xf numFmtId="0" fontId="94" fillId="25" borderId="147" xfId="0" applyFont="1" applyFill="1" applyBorder="1" applyAlignment="1" applyProtection="1">
      <alignment horizontal="center" vertical="center" wrapText="1"/>
      <protection locked="0"/>
    </xf>
    <xf numFmtId="0" fontId="94" fillId="25" borderId="50" xfId="0" applyFont="1" applyFill="1" applyBorder="1" applyAlignment="1" applyProtection="1">
      <alignment horizontal="center" vertical="center" wrapText="1"/>
      <protection locked="0"/>
    </xf>
    <xf numFmtId="0" fontId="94" fillId="25" borderId="77" xfId="0" applyFont="1" applyFill="1" applyBorder="1" applyAlignment="1" applyProtection="1">
      <alignment horizontal="center" vertical="center" wrapText="1"/>
      <protection locked="0"/>
    </xf>
    <xf numFmtId="0" fontId="94" fillId="25" borderId="300" xfId="0" applyFont="1" applyFill="1" applyBorder="1" applyAlignment="1" applyProtection="1">
      <alignment horizontal="center" vertical="center" wrapText="1"/>
      <protection locked="0"/>
    </xf>
    <xf numFmtId="0" fontId="94" fillId="25" borderId="76" xfId="0" applyFont="1" applyFill="1" applyBorder="1" applyAlignment="1" applyProtection="1">
      <alignment horizontal="center" vertical="center" wrapText="1"/>
      <protection locked="0"/>
    </xf>
    <xf numFmtId="0" fontId="94" fillId="25" borderId="66" xfId="0" applyFont="1" applyFill="1" applyBorder="1" applyAlignment="1" applyProtection="1">
      <alignment horizontal="center" vertical="center" wrapText="1"/>
      <protection locked="0"/>
    </xf>
    <xf numFmtId="0" fontId="76" fillId="55" borderId="366" xfId="0" applyFont="1" applyFill="1" applyBorder="1" applyAlignment="1" applyProtection="1">
      <alignment horizontal="center" vertical="center" wrapText="1"/>
      <protection locked="0"/>
    </xf>
    <xf numFmtId="0" fontId="76" fillId="55" borderId="308" xfId="0" applyFont="1" applyFill="1" applyBorder="1" applyAlignment="1" applyProtection="1">
      <alignment horizontal="center" vertical="center" wrapText="1"/>
      <protection locked="0"/>
    </xf>
    <xf numFmtId="0" fontId="89" fillId="55" borderId="308" xfId="0" applyFont="1" applyFill="1" applyBorder="1" applyAlignment="1" applyProtection="1">
      <alignment horizontal="center" vertical="center" wrapText="1"/>
      <protection locked="0"/>
    </xf>
    <xf numFmtId="0" fontId="94" fillId="25" borderId="390" xfId="0" applyFont="1" applyFill="1" applyBorder="1" applyAlignment="1" applyProtection="1">
      <alignment horizontal="center" vertical="center"/>
      <protection locked="0"/>
    </xf>
    <xf numFmtId="0" fontId="94" fillId="25" borderId="331" xfId="0" applyFont="1" applyFill="1" applyBorder="1" applyAlignment="1" applyProtection="1">
      <alignment horizontal="center" vertical="center"/>
      <protection locked="0"/>
    </xf>
    <xf numFmtId="0" fontId="94" fillId="25" borderId="50" xfId="0" applyFont="1" applyFill="1" applyBorder="1" applyAlignment="1" applyProtection="1">
      <alignment horizontal="center" vertical="center"/>
      <protection locked="0"/>
    </xf>
    <xf numFmtId="0" fontId="94" fillId="25" borderId="239" xfId="0" applyFont="1" applyFill="1" applyBorder="1" applyAlignment="1" applyProtection="1">
      <alignment horizontal="center" vertical="center"/>
      <protection locked="0"/>
    </xf>
    <xf numFmtId="0" fontId="130" fillId="25" borderId="206" xfId="0" applyFont="1" applyFill="1" applyBorder="1" applyAlignment="1" applyProtection="1">
      <alignment horizontal="center" vertical="center" wrapText="1"/>
      <protection locked="0"/>
    </xf>
    <xf numFmtId="0" fontId="130" fillId="25" borderId="214" xfId="0" applyFont="1" applyFill="1" applyBorder="1" applyAlignment="1" applyProtection="1">
      <alignment horizontal="center" vertical="center" wrapText="1"/>
      <protection locked="0"/>
    </xf>
    <xf numFmtId="0" fontId="130" fillId="25" borderId="181" xfId="0" applyFont="1" applyFill="1" applyBorder="1" applyAlignment="1" applyProtection="1">
      <alignment horizontal="center" vertical="center" wrapText="1"/>
      <protection locked="0"/>
    </xf>
    <xf numFmtId="0" fontId="130" fillId="25" borderId="207" xfId="0" applyFont="1" applyFill="1" applyBorder="1" applyAlignment="1" applyProtection="1">
      <alignment horizontal="center" vertical="center" wrapText="1"/>
      <protection locked="0"/>
    </xf>
    <xf numFmtId="0" fontId="94" fillId="25" borderId="221" xfId="0" applyFont="1" applyFill="1" applyBorder="1" applyAlignment="1" applyProtection="1">
      <alignment horizontal="center" vertical="center" wrapText="1"/>
      <protection locked="0"/>
    </xf>
    <xf numFmtId="0" fontId="94" fillId="25" borderId="210" xfId="0" applyFont="1" applyFill="1" applyBorder="1" applyAlignment="1" applyProtection="1">
      <alignment horizontal="center" vertical="center" wrapText="1"/>
      <protection locked="0"/>
    </xf>
    <xf numFmtId="0" fontId="94" fillId="25" borderId="181" xfId="0" applyFont="1" applyFill="1" applyBorder="1" applyAlignment="1" applyProtection="1">
      <alignment horizontal="center" vertical="center" wrapText="1"/>
      <protection locked="0"/>
    </xf>
    <xf numFmtId="0" fontId="94" fillId="25" borderId="231" xfId="0" applyFont="1" applyFill="1" applyBorder="1" applyAlignment="1" applyProtection="1">
      <alignment horizontal="center" vertical="center" wrapText="1"/>
      <protection locked="0"/>
    </xf>
    <xf numFmtId="0" fontId="60" fillId="9" borderId="308" xfId="0" applyFont="1" applyFill="1" applyBorder="1" applyAlignment="1" applyProtection="1">
      <alignment horizontal="left" vertical="center" wrapText="1"/>
      <protection locked="0"/>
    </xf>
    <xf numFmtId="0" fontId="61" fillId="25" borderId="390" xfId="0" applyFont="1" applyFill="1" applyBorder="1" applyAlignment="1" applyProtection="1">
      <alignment horizontal="center" vertical="center" wrapText="1"/>
      <protection locked="0"/>
    </xf>
    <xf numFmtId="0" fontId="61" fillId="25" borderId="50" xfId="0" applyFont="1" applyFill="1" applyBorder="1" applyAlignment="1" applyProtection="1">
      <alignment horizontal="center" vertical="center" wrapText="1"/>
      <protection locked="0"/>
    </xf>
    <xf numFmtId="0" fontId="266" fillId="25" borderId="306" xfId="0" applyFont="1" applyFill="1" applyBorder="1" applyAlignment="1" applyProtection="1">
      <alignment horizontal="right" vertical="center" wrapText="1"/>
      <protection locked="0"/>
    </xf>
    <xf numFmtId="0" fontId="94" fillId="25" borderId="331" xfId="0" applyFont="1" applyFill="1" applyBorder="1" applyAlignment="1" applyProtection="1">
      <alignment horizontal="center" vertical="center" wrapText="1"/>
      <protection locked="0"/>
    </xf>
    <xf numFmtId="0" fontId="94" fillId="25" borderId="229" xfId="0" applyFont="1" applyFill="1" applyBorder="1" applyAlignment="1" applyProtection="1">
      <alignment horizontal="center" vertical="center" wrapText="1"/>
      <protection locked="0"/>
    </xf>
    <xf numFmtId="0" fontId="94" fillId="25" borderId="230" xfId="0" applyFont="1" applyFill="1" applyBorder="1" applyAlignment="1" applyProtection="1">
      <alignment horizontal="center" vertical="center" wrapText="1"/>
      <protection locked="0"/>
    </xf>
    <xf numFmtId="0" fontId="94" fillId="25" borderId="354" xfId="0" applyFont="1" applyFill="1" applyBorder="1" applyAlignment="1" applyProtection="1">
      <alignment horizontal="center" vertical="center" wrapText="1"/>
      <protection locked="0"/>
    </xf>
    <xf numFmtId="0" fontId="0" fillId="0" borderId="345" xfId="0" applyBorder="1" applyAlignment="1" applyProtection="1">
      <alignment horizontal="center"/>
      <protection locked="0"/>
    </xf>
    <xf numFmtId="0" fontId="0" fillId="0" borderId="417" xfId="0" applyBorder="1" applyAlignment="1" applyProtection="1">
      <alignment horizontal="center"/>
      <protection locked="0"/>
    </xf>
    <xf numFmtId="0" fontId="0" fillId="0" borderId="346" xfId="0" applyBorder="1" applyAlignment="1" applyProtection="1">
      <alignment horizontal="center"/>
      <protection locked="0"/>
    </xf>
    <xf numFmtId="201" fontId="60" fillId="0" borderId="308" xfId="0" applyNumberFormat="1" applyFont="1" applyBorder="1" applyAlignment="1" applyProtection="1">
      <alignment horizontal="center" vertical="center" wrapText="1"/>
      <protection locked="0"/>
    </xf>
    <xf numFmtId="201" fontId="60" fillId="0" borderId="306" xfId="0" applyNumberFormat="1" applyFont="1" applyBorder="1" applyAlignment="1" applyProtection="1">
      <alignment horizontal="center" vertical="center" wrapText="1"/>
      <protection locked="0"/>
    </xf>
    <xf numFmtId="201" fontId="60" fillId="0" borderId="366" xfId="0" applyNumberFormat="1" applyFont="1" applyBorder="1" applyAlignment="1" applyProtection="1">
      <alignment horizontal="center" vertical="center" wrapText="1"/>
      <protection locked="0"/>
    </xf>
    <xf numFmtId="0" fontId="94" fillId="25" borderId="308" xfId="0" applyFont="1" applyFill="1" applyBorder="1" applyAlignment="1" applyProtection="1">
      <alignment horizontal="left" vertical="center" wrapText="1"/>
      <protection locked="0"/>
    </xf>
    <xf numFmtId="241" fontId="60" fillId="0" borderId="308" xfId="0" applyNumberFormat="1" applyFont="1" applyBorder="1" applyAlignment="1" applyProtection="1">
      <alignment horizontal="center" vertical="center" wrapText="1"/>
      <protection locked="0"/>
    </xf>
    <xf numFmtId="2" fontId="29" fillId="9" borderId="35" xfId="18" applyNumberFormat="1" applyFont="1" applyFill="1" applyBorder="1" applyAlignment="1">
      <alignment horizontal="center" vertical="center" wrapText="1"/>
    </xf>
    <xf numFmtId="2" fontId="29" fillId="9" borderId="15" xfId="18" applyNumberFormat="1" applyFont="1" applyFill="1" applyBorder="1" applyAlignment="1">
      <alignment horizontal="center" vertical="center" wrapText="1"/>
    </xf>
    <xf numFmtId="177" fontId="27" fillId="8" borderId="20" xfId="6" applyNumberFormat="1" applyFont="1" applyFill="1" applyBorder="1" applyAlignment="1">
      <alignment horizontal="center" vertical="center"/>
    </xf>
    <xf numFmtId="0" fontId="27" fillId="8" borderId="8" xfId="6" applyFont="1" applyFill="1" applyBorder="1" applyAlignment="1">
      <alignment horizontal="center" vertical="center"/>
    </xf>
    <xf numFmtId="0" fontId="27" fillId="8" borderId="104" xfId="6" applyFont="1" applyFill="1" applyBorder="1" applyAlignment="1">
      <alignment horizontal="center" vertical="center"/>
    </xf>
    <xf numFmtId="177" fontId="27" fillId="8" borderId="35" xfId="6" applyNumberFormat="1" applyFont="1" applyFill="1" applyBorder="1" applyAlignment="1">
      <alignment horizontal="center" vertical="center"/>
    </xf>
    <xf numFmtId="177" fontId="27" fillId="8" borderId="15" xfId="6" applyNumberFormat="1" applyFont="1" applyFill="1" applyBorder="1" applyAlignment="1">
      <alignment horizontal="center" vertical="center"/>
    </xf>
    <xf numFmtId="175" fontId="29" fillId="9" borderId="35" xfId="18" applyNumberFormat="1" applyFont="1" applyFill="1" applyBorder="1" applyAlignment="1">
      <alignment horizontal="center" vertical="center" wrapText="1"/>
    </xf>
    <xf numFmtId="175" fontId="29" fillId="9" borderId="15" xfId="18" applyNumberFormat="1" applyFont="1" applyFill="1" applyBorder="1" applyAlignment="1">
      <alignment horizontal="center" vertical="center" wrapText="1"/>
    </xf>
    <xf numFmtId="177" fontId="0" fillId="0" borderId="6" xfId="0" applyNumberFormat="1" applyBorder="1" applyAlignment="1">
      <alignment horizontal="center"/>
    </xf>
    <xf numFmtId="0" fontId="27" fillId="8" borderId="9" xfId="6" applyFont="1" applyFill="1" applyBorder="1" applyAlignment="1">
      <alignment horizontal="center" vertical="center"/>
    </xf>
    <xf numFmtId="2" fontId="30" fillId="0" borderId="8" xfId="0" applyNumberFormat="1" applyFont="1" applyBorder="1" applyAlignment="1">
      <alignment horizontal="center" vertical="center"/>
    </xf>
    <xf numFmtId="2" fontId="30" fillId="0" borderId="9" xfId="0" applyNumberFormat="1" applyFont="1" applyBorder="1" applyAlignment="1">
      <alignment horizontal="center" vertical="center"/>
    </xf>
    <xf numFmtId="2" fontId="30" fillId="0" borderId="10" xfId="0" applyNumberFormat="1" applyFont="1" applyBorder="1" applyAlignment="1">
      <alignment horizontal="center" vertical="center"/>
    </xf>
    <xf numFmtId="0" fontId="26" fillId="2" borderId="0" xfId="6" applyFont="1" applyFill="1" applyAlignment="1">
      <alignment horizontal="center" vertical="center"/>
    </xf>
    <xf numFmtId="14" fontId="0" fillId="0" borderId="0" xfId="0" applyNumberFormat="1" applyAlignment="1">
      <alignment horizontal="center"/>
    </xf>
    <xf numFmtId="0" fontId="27" fillId="8" borderId="10" xfId="6" applyFont="1" applyFill="1" applyBorder="1" applyAlignment="1">
      <alignment horizontal="center" vertical="center"/>
    </xf>
    <xf numFmtId="0" fontId="27" fillId="8" borderId="8" xfId="6" applyFont="1" applyFill="1" applyBorder="1" applyAlignment="1">
      <alignment horizontal="right" vertical="center"/>
    </xf>
    <xf numFmtId="0" fontId="27" fillId="8" borderId="104" xfId="6" applyFont="1" applyFill="1" applyBorder="1" applyAlignment="1">
      <alignment horizontal="right" vertical="center"/>
    </xf>
    <xf numFmtId="177" fontId="27" fillId="8" borderId="19" xfId="6" applyNumberFormat="1" applyFont="1" applyFill="1" applyBorder="1" applyAlignment="1">
      <alignment horizontal="center" vertical="center"/>
    </xf>
    <xf numFmtId="0" fontId="33" fillId="0" borderId="8" xfId="0" applyFont="1" applyBorder="1" applyAlignment="1">
      <alignment horizontal="center"/>
    </xf>
    <xf numFmtId="0" fontId="33" fillId="0" borderId="15" xfId="0" applyFont="1" applyBorder="1" applyAlignment="1">
      <alignment horizontal="center"/>
    </xf>
    <xf numFmtId="175" fontId="32" fillId="0" borderId="16" xfId="0" applyNumberFormat="1" applyFont="1" applyBorder="1" applyAlignment="1">
      <alignment horizontal="center"/>
    </xf>
    <xf numFmtId="175" fontId="32" fillId="0" borderId="81" xfId="0" applyNumberFormat="1" applyFont="1" applyBorder="1" applyAlignment="1">
      <alignment horizontal="center"/>
    </xf>
    <xf numFmtId="2" fontId="29" fillId="9" borderId="33" xfId="18" applyNumberFormat="1" applyFont="1" applyFill="1" applyBorder="1" applyAlignment="1">
      <alignment horizontal="center" vertical="center" wrapText="1"/>
    </xf>
    <xf numFmtId="2" fontId="29" fillId="9" borderId="34" xfId="18" applyNumberFormat="1" applyFont="1" applyFill="1" applyBorder="1" applyAlignment="1">
      <alignment horizontal="center" vertical="center" wrapText="1"/>
    </xf>
    <xf numFmtId="175" fontId="29" fillId="9" borderId="33" xfId="18" applyNumberFormat="1" applyFont="1" applyFill="1" applyBorder="1" applyAlignment="1">
      <alignment horizontal="center" vertical="center" wrapText="1"/>
    </xf>
    <xf numFmtId="175" fontId="29" fillId="9" borderId="34" xfId="18" applyNumberFormat="1" applyFont="1" applyFill="1" applyBorder="1" applyAlignment="1">
      <alignment horizontal="center" vertical="center" wrapText="1"/>
    </xf>
    <xf numFmtId="2" fontId="32" fillId="0" borderId="8" xfId="0" applyNumberFormat="1" applyFont="1" applyBorder="1" applyAlignment="1">
      <alignment horizontal="center" vertical="center"/>
    </xf>
    <xf numFmtId="0" fontId="32" fillId="0" borderId="10" xfId="0" applyFont="1" applyBorder="1" applyAlignment="1">
      <alignment horizontal="center" vertical="center"/>
    </xf>
    <xf numFmtId="0" fontId="11" fillId="8" borderId="8" xfId="6" applyFont="1" applyFill="1" applyBorder="1" applyAlignment="1">
      <alignment horizontal="center" vertical="center"/>
    </xf>
    <xf numFmtId="0" fontId="11" fillId="8" borderId="10" xfId="6" applyFont="1" applyFill="1" applyBorder="1" applyAlignment="1">
      <alignment horizontal="center" vertical="center"/>
    </xf>
    <xf numFmtId="17" fontId="0" fillId="0" borderId="0" xfId="0" applyNumberFormat="1" applyAlignment="1">
      <alignment horizontal="center"/>
    </xf>
    <xf numFmtId="175" fontId="29" fillId="9" borderId="13" xfId="18" applyNumberFormat="1" applyFont="1" applyFill="1" applyBorder="1" applyAlignment="1">
      <alignment horizontal="center" vertical="center" wrapText="1"/>
    </xf>
    <xf numFmtId="2" fontId="29" fillId="9" borderId="13" xfId="18" applyNumberFormat="1" applyFont="1" applyFill="1" applyBorder="1" applyAlignment="1">
      <alignment horizontal="center" vertical="center" wrapText="1"/>
    </xf>
    <xf numFmtId="177" fontId="27" fillId="8" borderId="10" xfId="6" applyNumberFormat="1" applyFont="1" applyFill="1" applyBorder="1" applyAlignment="1">
      <alignment horizontal="center" vertical="center"/>
    </xf>
    <xf numFmtId="2" fontId="29" fillId="9" borderId="10" xfId="18" applyNumberFormat="1" applyFont="1" applyFill="1" applyBorder="1" applyAlignment="1">
      <alignment horizontal="center" vertical="center" wrapText="1"/>
    </xf>
    <xf numFmtId="0" fontId="32" fillId="0" borderId="19" xfId="0" applyFont="1" applyBorder="1" applyAlignment="1">
      <alignment horizontal="center"/>
    </xf>
    <xf numFmtId="0" fontId="32" fillId="0" borderId="20" xfId="0" applyFont="1" applyBorder="1" applyAlignment="1">
      <alignment horizontal="center"/>
    </xf>
    <xf numFmtId="0" fontId="0" fillId="47" borderId="300" xfId="0" applyFill="1" applyBorder="1" applyAlignment="1" applyProtection="1">
      <alignment horizontal="center" vertical="center"/>
      <protection locked="0"/>
    </xf>
    <xf numFmtId="0" fontId="0" fillId="47" borderId="67" xfId="0" applyFill="1" applyBorder="1" applyAlignment="1" applyProtection="1">
      <alignment horizontal="center" vertical="center"/>
      <protection locked="0"/>
    </xf>
    <xf numFmtId="0" fontId="0" fillId="47" borderId="76" xfId="0" applyFill="1" applyBorder="1" applyAlignment="1" applyProtection="1">
      <alignment horizontal="center" vertical="center"/>
      <protection locked="0"/>
    </xf>
    <xf numFmtId="0" fontId="0" fillId="0" borderId="367" xfId="0" applyBorder="1" applyAlignment="1" applyProtection="1">
      <alignment horizontal="center" vertical="center"/>
      <protection locked="0"/>
    </xf>
    <xf numFmtId="0" fontId="0" fillId="0" borderId="116" xfId="0" applyBorder="1" applyAlignment="1" applyProtection="1">
      <alignment horizontal="center" vertical="center"/>
      <protection locked="0"/>
    </xf>
    <xf numFmtId="0" fontId="0" fillId="0" borderId="300"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112" fillId="45" borderId="130" xfId="0" applyFont="1" applyFill="1" applyBorder="1" applyAlignment="1" applyProtection="1">
      <alignment horizontal="center" vertical="center" wrapText="1"/>
      <protection locked="0"/>
    </xf>
    <xf numFmtId="0" fontId="112" fillId="45" borderId="132" xfId="0" applyFont="1" applyFill="1" applyBorder="1" applyAlignment="1" applyProtection="1">
      <alignment horizontal="center" vertical="center" wrapText="1"/>
      <protection locked="0"/>
    </xf>
    <xf numFmtId="0" fontId="112" fillId="45" borderId="336" xfId="0" applyFont="1" applyFill="1" applyBorder="1" applyAlignment="1" applyProtection="1">
      <alignment horizontal="center" vertical="center" wrapText="1"/>
      <protection locked="0"/>
    </xf>
    <xf numFmtId="0" fontId="112" fillId="45" borderId="337" xfId="0" applyFont="1" applyFill="1" applyBorder="1" applyAlignment="1" applyProtection="1">
      <alignment horizontal="center" vertical="center" wrapText="1"/>
      <protection locked="0"/>
    </xf>
    <xf numFmtId="16" fontId="21" fillId="0" borderId="105" xfId="0" applyNumberFormat="1" applyFont="1" applyBorder="1" applyAlignment="1" applyProtection="1">
      <alignment horizontal="center" vertical="center" wrapText="1"/>
      <protection locked="0"/>
    </xf>
    <xf numFmtId="0" fontId="0" fillId="0" borderId="335" xfId="0" applyBorder="1" applyAlignment="1" applyProtection="1">
      <alignment horizontal="center" vertical="center" wrapText="1"/>
      <protection locked="0"/>
    </xf>
    <xf numFmtId="200" fontId="21" fillId="0" borderId="105" xfId="0" applyNumberFormat="1" applyFont="1" applyBorder="1" applyAlignment="1" applyProtection="1">
      <alignment horizontal="center" vertical="center" wrapText="1"/>
      <protection locked="0"/>
    </xf>
    <xf numFmtId="200" fontId="0" fillId="0" borderId="335" xfId="0" applyNumberFormat="1" applyBorder="1" applyAlignment="1" applyProtection="1">
      <alignment horizontal="center" vertical="center" wrapText="1"/>
      <protection locked="0"/>
    </xf>
    <xf numFmtId="0" fontId="5" fillId="2" borderId="308" xfId="3" applyFont="1" applyFill="1" applyBorder="1"/>
    <xf numFmtId="14" fontId="2" fillId="0" borderId="308" xfId="4" applyNumberFormat="1" applyFont="1" applyBorder="1" applyAlignment="1">
      <alignment horizontal="left"/>
    </xf>
    <xf numFmtId="14" fontId="8" fillId="0" borderId="308" xfId="4" applyNumberFormat="1" applyFont="1" applyBorder="1" applyAlignment="1">
      <alignment horizontal="left"/>
    </xf>
    <xf numFmtId="4" fontId="3" fillId="0" borderId="56" xfId="22" applyNumberFormat="1" applyBorder="1" applyAlignment="1" applyProtection="1">
      <alignment horizontal="center" vertical="center"/>
      <protection locked="0"/>
    </xf>
    <xf numFmtId="4" fontId="3" fillId="0" borderId="56" xfId="22" applyNumberFormat="1" applyBorder="1" applyAlignment="1" applyProtection="1">
      <alignment horizontal="center" vertical="center" wrapText="1"/>
      <protection locked="0"/>
    </xf>
    <xf numFmtId="4" fontId="3" fillId="0" borderId="366" xfId="22" applyNumberFormat="1" applyBorder="1" applyAlignment="1" applyProtection="1">
      <alignment horizontal="center" vertical="center"/>
      <protection locked="0"/>
    </xf>
    <xf numFmtId="0" fontId="91" fillId="29" borderId="8" xfId="0" applyFont="1" applyFill="1" applyBorder="1" applyAlignment="1">
      <alignment horizontal="center" vertical="center"/>
    </xf>
    <xf numFmtId="0" fontId="91" fillId="29" borderId="10" xfId="0" applyFont="1" applyFill="1" applyBorder="1" applyAlignment="1">
      <alignment horizontal="center" vertical="center"/>
    </xf>
    <xf numFmtId="0" fontId="91" fillId="29" borderId="56" xfId="0" applyFont="1" applyFill="1" applyBorder="1" applyAlignment="1">
      <alignment horizontal="center" vertical="center"/>
    </xf>
    <xf numFmtId="0" fontId="91" fillId="29" borderId="56" xfId="0" applyFont="1" applyFill="1" applyBorder="1" applyAlignment="1">
      <alignment horizontal="center" vertical="center" wrapText="1"/>
    </xf>
    <xf numFmtId="0" fontId="21" fillId="29" borderId="56" xfId="22" applyFont="1" applyFill="1" applyBorder="1" applyAlignment="1">
      <alignment horizontal="center" vertical="center"/>
    </xf>
    <xf numFmtId="0" fontId="11" fillId="6" borderId="8" xfId="3" applyFont="1" applyFill="1" applyBorder="1" applyAlignment="1">
      <alignment horizontal="center" vertical="center"/>
    </xf>
    <xf numFmtId="0" fontId="11" fillId="6" borderId="104" xfId="3" applyFont="1" applyFill="1" applyBorder="1" applyAlignment="1">
      <alignment horizontal="center" vertical="center"/>
    </xf>
    <xf numFmtId="0" fontId="11" fillId="6" borderId="10" xfId="3" applyFont="1" applyFill="1" applyBorder="1" applyAlignment="1">
      <alignment horizontal="center" vertical="center"/>
    </xf>
    <xf numFmtId="0" fontId="68" fillId="17" borderId="92" xfId="4" applyFont="1" applyFill="1" applyBorder="1" applyAlignment="1">
      <alignment horizontal="center" vertical="center" wrapText="1"/>
    </xf>
    <xf numFmtId="0" fontId="68" fillId="17" borderId="94" xfId="4" applyFont="1" applyFill="1" applyBorder="1" applyAlignment="1">
      <alignment horizontal="center" vertical="center" wrapText="1"/>
    </xf>
    <xf numFmtId="0" fontId="68" fillId="17" borderId="161" xfId="4" applyFont="1" applyFill="1" applyBorder="1" applyAlignment="1">
      <alignment horizontal="center" vertical="center" wrapText="1"/>
    </xf>
    <xf numFmtId="0" fontId="117" fillId="17" borderId="92" xfId="4" applyFont="1" applyFill="1" applyBorder="1" applyAlignment="1">
      <alignment horizontal="center" vertical="center" wrapText="1"/>
    </xf>
    <xf numFmtId="0" fontId="117" fillId="17" borderId="94" xfId="4" applyFont="1" applyFill="1" applyBorder="1" applyAlignment="1">
      <alignment horizontal="center" vertical="center" wrapText="1"/>
    </xf>
    <xf numFmtId="0" fontId="68" fillId="17" borderId="91" xfId="4" applyFont="1" applyFill="1" applyBorder="1" applyAlignment="1">
      <alignment horizontal="center" vertical="center"/>
    </xf>
    <xf numFmtId="0" fontId="68" fillId="17" borderId="93" xfId="4" applyFont="1" applyFill="1" applyBorder="1" applyAlignment="1">
      <alignment horizontal="center" vertical="center"/>
    </xf>
    <xf numFmtId="0" fontId="10" fillId="5" borderId="97" xfId="3" applyFont="1" applyFill="1" applyBorder="1" applyAlignment="1">
      <alignment horizontal="center" vertical="center" wrapText="1"/>
    </xf>
    <xf numFmtId="0" fontId="10" fillId="5" borderId="18" xfId="3" applyFont="1" applyFill="1" applyBorder="1" applyAlignment="1">
      <alignment horizontal="center" vertical="center" wrapText="1"/>
    </xf>
    <xf numFmtId="14" fontId="1" fillId="0" borderId="0" xfId="0" applyNumberFormat="1" applyFont="1" applyAlignment="1">
      <alignment horizontal="center"/>
    </xf>
    <xf numFmtId="0" fontId="11" fillId="6" borderId="9" xfId="3" applyFont="1" applyFill="1" applyBorder="1" applyAlignment="1">
      <alignment horizontal="center" vertical="center"/>
    </xf>
    <xf numFmtId="0" fontId="39" fillId="47" borderId="145" xfId="4" applyFont="1" applyFill="1" applyBorder="1" applyAlignment="1">
      <alignment horizontal="center" vertical="center" wrapText="1"/>
    </xf>
    <xf numFmtId="0" fontId="39" fillId="47" borderId="95" xfId="4" applyFont="1" applyFill="1" applyBorder="1" applyAlignment="1">
      <alignment horizontal="center" vertical="center" wrapText="1"/>
    </xf>
    <xf numFmtId="0" fontId="39" fillId="47" borderId="349" xfId="4" applyFont="1" applyFill="1" applyBorder="1" applyAlignment="1">
      <alignment horizontal="center" vertical="center" wrapText="1"/>
    </xf>
    <xf numFmtId="0" fontId="39" fillId="47" borderId="350" xfId="4" applyFont="1" applyFill="1" applyBorder="1" applyAlignment="1">
      <alignment horizontal="center" vertical="center" wrapText="1"/>
    </xf>
    <xf numFmtId="0" fontId="12" fillId="3" borderId="8" xfId="6" applyFont="1" applyFill="1" applyBorder="1" applyAlignment="1">
      <alignment horizontal="center" vertical="center" wrapText="1"/>
    </xf>
    <xf numFmtId="0" fontId="12" fillId="3" borderId="10" xfId="6" applyFont="1" applyFill="1" applyBorder="1" applyAlignment="1">
      <alignment horizontal="center" vertical="center" wrapText="1"/>
    </xf>
    <xf numFmtId="175" fontId="0" fillId="0" borderId="163" xfId="0" applyNumberFormat="1" applyBorder="1" applyAlignment="1">
      <alignment horizontal="center"/>
    </xf>
    <xf numFmtId="175" fontId="0" fillId="0" borderId="28" xfId="0" applyNumberFormat="1" applyBorder="1" applyAlignment="1">
      <alignment horizontal="center"/>
    </xf>
    <xf numFmtId="0" fontId="39" fillId="47" borderId="47" xfId="4" applyFont="1" applyFill="1" applyBorder="1" applyAlignment="1">
      <alignment horizontal="center" vertical="center" wrapText="1"/>
    </xf>
    <xf numFmtId="0" fontId="39" fillId="47" borderId="112" xfId="4" applyFont="1" applyFill="1" applyBorder="1" applyAlignment="1">
      <alignment horizontal="center" vertical="center" wrapText="1"/>
    </xf>
    <xf numFmtId="0" fontId="39" fillId="47" borderId="146" xfId="4" applyFont="1" applyFill="1" applyBorder="1" applyAlignment="1">
      <alignment horizontal="center" vertical="center" wrapText="1"/>
    </xf>
    <xf numFmtId="0" fontId="39" fillId="47" borderId="147" xfId="4" applyFont="1" applyFill="1" applyBorder="1" applyAlignment="1">
      <alignment horizontal="center" vertical="center" wrapText="1"/>
    </xf>
    <xf numFmtId="175" fontId="0" fillId="0" borderId="164" xfId="0" applyNumberFormat="1" applyBorder="1" applyAlignment="1">
      <alignment horizontal="center"/>
    </xf>
    <xf numFmtId="0" fontId="94" fillId="14" borderId="148" xfId="0" applyFont="1" applyFill="1" applyBorder="1" applyAlignment="1">
      <alignment horizontal="center" vertical="center"/>
    </xf>
    <xf numFmtId="0" fontId="94" fillId="14" borderId="149" xfId="0" applyFont="1" applyFill="1" applyBorder="1" applyAlignment="1">
      <alignment horizontal="center" vertical="center"/>
    </xf>
    <xf numFmtId="0" fontId="94" fillId="14" borderId="150" xfId="0" applyFont="1" applyFill="1" applyBorder="1" applyAlignment="1">
      <alignment horizontal="center" vertical="center"/>
    </xf>
    <xf numFmtId="0" fontId="94" fillId="14" borderId="345" xfId="0" applyFont="1" applyFill="1" applyBorder="1" applyAlignment="1">
      <alignment horizontal="center" vertical="center"/>
    </xf>
    <xf numFmtId="0" fontId="94" fillId="14" borderId="344" xfId="0" applyFont="1" applyFill="1" applyBorder="1" applyAlignment="1">
      <alignment horizontal="center" vertical="center"/>
    </xf>
    <xf numFmtId="0" fontId="94" fillId="14" borderId="346" xfId="0" applyFont="1" applyFill="1" applyBorder="1" applyAlignment="1">
      <alignment horizontal="center" vertical="center"/>
    </xf>
    <xf numFmtId="0" fontId="39" fillId="47" borderId="153" xfId="4" applyFont="1" applyFill="1" applyBorder="1" applyAlignment="1">
      <alignment horizontal="center" vertical="center" wrapText="1"/>
    </xf>
    <xf numFmtId="0" fontId="39" fillId="47" borderId="154" xfId="4" applyFont="1" applyFill="1" applyBorder="1" applyAlignment="1">
      <alignment horizontal="center" vertical="center" wrapText="1"/>
    </xf>
    <xf numFmtId="0" fontId="39" fillId="47" borderId="0" xfId="4" applyFont="1" applyFill="1" applyAlignment="1">
      <alignment horizontal="center" vertical="center" wrapText="1"/>
    </xf>
    <xf numFmtId="0" fontId="39" fillId="47" borderId="50" xfId="4" applyFont="1" applyFill="1" applyBorder="1" applyAlignment="1">
      <alignment horizontal="center" vertical="center" wrapText="1"/>
    </xf>
    <xf numFmtId="0" fontId="119" fillId="17" borderId="145" xfId="4" applyFont="1" applyFill="1" applyBorder="1" applyAlignment="1">
      <alignment horizontal="center" vertical="center" wrapText="1"/>
    </xf>
    <xf numFmtId="0" fontId="119" fillId="17" borderId="95" xfId="4" applyFont="1" applyFill="1" applyBorder="1" applyAlignment="1">
      <alignment horizontal="center" vertical="center" wrapText="1"/>
    </xf>
    <xf numFmtId="0" fontId="37" fillId="11" borderId="42" xfId="0" applyFont="1" applyFill="1" applyBorder="1" applyAlignment="1">
      <alignment horizontal="center"/>
    </xf>
    <xf numFmtId="0" fontId="37" fillId="11" borderId="43" xfId="0" applyFont="1" applyFill="1" applyBorder="1" applyAlignment="1">
      <alignment horizontal="center"/>
    </xf>
    <xf numFmtId="17" fontId="14" fillId="0" borderId="36" xfId="0" quotePrefix="1" applyNumberFormat="1" applyFont="1" applyBorder="1" applyAlignment="1">
      <alignment horizontal="center"/>
    </xf>
    <xf numFmtId="17" fontId="14" fillId="0" borderId="36" xfId="0" applyNumberFormat="1" applyFont="1" applyBorder="1" applyAlignment="1">
      <alignment horizontal="center"/>
    </xf>
    <xf numFmtId="0" fontId="14" fillId="0" borderId="6" xfId="0" applyFont="1" applyBorder="1" applyAlignment="1">
      <alignment horizontal="center"/>
    </xf>
    <xf numFmtId="0" fontId="72" fillId="19" borderId="8" xfId="3" applyFont="1" applyFill="1" applyBorder="1" applyAlignment="1">
      <alignment horizontal="center" vertical="center" wrapText="1"/>
    </xf>
    <xf numFmtId="0" fontId="72" fillId="19" borderId="10" xfId="3" applyFont="1" applyFill="1" applyBorder="1" applyAlignment="1">
      <alignment horizontal="center" vertical="center" wrapText="1"/>
    </xf>
    <xf numFmtId="0" fontId="70" fillId="23" borderId="8" xfId="3" applyFont="1" applyFill="1" applyBorder="1" applyAlignment="1">
      <alignment horizontal="center" vertical="center"/>
    </xf>
    <xf numFmtId="0" fontId="10" fillId="23" borderId="9" xfId="3" applyFont="1" applyFill="1" applyBorder="1" applyAlignment="1">
      <alignment horizontal="center" vertical="center"/>
    </xf>
    <xf numFmtId="0" fontId="10" fillId="23" borderId="104" xfId="3" applyFont="1" applyFill="1" applyBorder="1" applyAlignment="1">
      <alignment horizontal="center" vertical="center"/>
    </xf>
    <xf numFmtId="0" fontId="10" fillId="23" borderId="10" xfId="3" applyFont="1" applyFill="1" applyBorder="1" applyAlignment="1">
      <alignment horizontal="center" vertical="center"/>
    </xf>
    <xf numFmtId="0" fontId="70" fillId="23" borderId="105" xfId="3" applyFont="1" applyFill="1" applyBorder="1" applyAlignment="1">
      <alignment horizontal="center" vertical="center" wrapText="1"/>
    </xf>
    <xf numFmtId="0" fontId="70" fillId="23" borderId="14" xfId="3" applyFont="1" applyFill="1" applyBorder="1" applyAlignment="1">
      <alignment horizontal="center" vertical="center" wrapText="1"/>
    </xf>
    <xf numFmtId="0" fontId="70" fillId="23" borderId="335" xfId="3" applyFont="1" applyFill="1" applyBorder="1" applyAlignment="1">
      <alignment horizontal="center" vertical="center" wrapText="1"/>
    </xf>
    <xf numFmtId="0" fontId="71" fillId="20" borderId="8" xfId="3" applyFont="1" applyFill="1" applyBorder="1" applyAlignment="1">
      <alignment horizontal="center" vertical="center" wrapText="1"/>
    </xf>
    <xf numFmtId="0" fontId="71" fillId="20" borderId="9" xfId="3" applyFont="1" applyFill="1" applyBorder="1" applyAlignment="1">
      <alignment horizontal="center" vertical="center" wrapText="1"/>
    </xf>
    <xf numFmtId="0" fontId="71" fillId="20" borderId="10" xfId="3" applyFont="1" applyFill="1" applyBorder="1" applyAlignment="1">
      <alignment horizontal="center" vertical="center" wrapText="1"/>
    </xf>
    <xf numFmtId="0" fontId="72" fillId="19" borderId="8" xfId="3" applyFont="1" applyFill="1" applyBorder="1" applyAlignment="1">
      <alignment horizontal="center" vertical="center"/>
    </xf>
    <xf numFmtId="0" fontId="72" fillId="19" borderId="9" xfId="3" applyFont="1" applyFill="1" applyBorder="1" applyAlignment="1">
      <alignment horizontal="center" vertical="center"/>
    </xf>
    <xf numFmtId="0" fontId="72" fillId="19" borderId="10" xfId="3" applyFont="1" applyFill="1" applyBorder="1" applyAlignment="1">
      <alignment horizontal="center" vertical="center"/>
    </xf>
    <xf numFmtId="14" fontId="0" fillId="0" borderId="0" xfId="0" applyNumberFormat="1" applyAlignment="1">
      <alignment horizontal="left"/>
    </xf>
    <xf numFmtId="0" fontId="71" fillId="20" borderId="104" xfId="3" applyFont="1" applyFill="1" applyBorder="1" applyAlignment="1">
      <alignment horizontal="center" vertical="center" wrapText="1"/>
    </xf>
    <xf numFmtId="0" fontId="123" fillId="49" borderId="8" xfId="0" applyFont="1" applyFill="1" applyBorder="1" applyAlignment="1">
      <alignment horizontal="left"/>
    </xf>
    <xf numFmtId="0" fontId="123" fillId="49" borderId="104" xfId="0" applyFont="1" applyFill="1" applyBorder="1" applyAlignment="1">
      <alignment horizontal="left"/>
    </xf>
    <xf numFmtId="0" fontId="123" fillId="49" borderId="10" xfId="0" applyFont="1" applyFill="1" applyBorder="1" applyAlignment="1">
      <alignment horizontal="left"/>
    </xf>
    <xf numFmtId="0" fontId="93" fillId="0" borderId="254" xfId="0" applyFont="1" applyBorder="1" applyAlignment="1">
      <alignment horizontal="center" vertical="center" wrapText="1"/>
    </xf>
    <xf numFmtId="0" fontId="93" fillId="0" borderId="255" xfId="0" applyFont="1" applyBorder="1" applyAlignment="1">
      <alignment horizontal="center" vertical="center" wrapText="1"/>
    </xf>
    <xf numFmtId="0" fontId="93" fillId="0" borderId="274" xfId="0" applyFont="1" applyBorder="1" applyAlignment="1">
      <alignment horizontal="center" vertical="center" wrapText="1"/>
    </xf>
    <xf numFmtId="0" fontId="93" fillId="0" borderId="272" xfId="0" applyFont="1" applyBorder="1" applyAlignment="1">
      <alignment horizontal="center" vertical="center" wrapText="1"/>
    </xf>
    <xf numFmtId="0" fontId="93" fillId="0" borderId="273" xfId="0" applyFont="1" applyBorder="1" applyAlignment="1">
      <alignment horizontal="center" vertical="center" wrapText="1"/>
    </xf>
    <xf numFmtId="0" fontId="0" fillId="0" borderId="230" xfId="0" applyBorder="1" applyAlignment="1">
      <alignment horizontal="center" vertical="center"/>
    </xf>
    <xf numFmtId="0" fontId="0" fillId="0" borderId="79" xfId="0" applyBorder="1" applyAlignment="1">
      <alignment horizontal="center" vertical="center"/>
    </xf>
    <xf numFmtId="0" fontId="0" fillId="0" borderId="80" xfId="0" applyBorder="1" applyAlignment="1">
      <alignment horizontal="center" vertical="center"/>
    </xf>
    <xf numFmtId="0" fontId="0" fillId="0" borderId="49" xfId="0" applyBorder="1" applyAlignment="1">
      <alignment horizontal="center" vertical="center" wrapText="1"/>
    </xf>
    <xf numFmtId="0" fontId="0" fillId="0" borderId="224" xfId="0" applyBorder="1" applyAlignment="1">
      <alignment horizontal="center" vertical="center" wrapText="1"/>
    </xf>
    <xf numFmtId="0" fontId="0" fillId="0" borderId="247" xfId="0" applyBorder="1" applyAlignment="1">
      <alignment horizontal="center" vertical="center" wrapText="1"/>
    </xf>
    <xf numFmtId="0" fontId="2" fillId="57" borderId="37" xfId="0" applyFont="1" applyFill="1" applyBorder="1" applyAlignment="1">
      <alignment horizontal="center" vertical="center"/>
    </xf>
    <xf numFmtId="0" fontId="2" fillId="57" borderId="246" xfId="0" applyFont="1" applyFill="1" applyBorder="1" applyAlignment="1">
      <alignment horizontal="center" vertical="center"/>
    </xf>
    <xf numFmtId="0" fontId="2" fillId="57" borderId="79" xfId="0" applyFont="1" applyFill="1" applyBorder="1" applyAlignment="1">
      <alignment horizontal="center" vertical="center"/>
    </xf>
    <xf numFmtId="0" fontId="2" fillId="57" borderId="224" xfId="0" applyFont="1" applyFill="1" applyBorder="1" applyAlignment="1">
      <alignment horizontal="center" vertical="center"/>
    </xf>
    <xf numFmtId="0" fontId="2" fillId="57" borderId="44" xfId="0" applyFont="1" applyFill="1" applyBorder="1" applyAlignment="1">
      <alignment horizontal="center" vertical="center"/>
    </xf>
    <xf numFmtId="0" fontId="2" fillId="57" borderId="45" xfId="0" applyFont="1" applyFill="1" applyBorder="1" applyAlignment="1">
      <alignment horizontal="center" vertical="center"/>
    </xf>
    <xf numFmtId="0" fontId="0" fillId="0" borderId="251" xfId="0" applyBorder="1" applyAlignment="1">
      <alignment horizontal="center" vertical="center"/>
    </xf>
    <xf numFmtId="0" fontId="0" fillId="0" borderId="232" xfId="0" applyBorder="1" applyAlignment="1">
      <alignment horizontal="center" vertical="center"/>
    </xf>
    <xf numFmtId="0" fontId="0" fillId="0" borderId="252" xfId="0" applyBorder="1" applyAlignment="1">
      <alignment horizontal="center" vertical="center"/>
    </xf>
    <xf numFmtId="0" fontId="0" fillId="0" borderId="120" xfId="0" applyBorder="1" applyAlignment="1">
      <alignment horizontal="center" vertical="center" wrapText="1"/>
    </xf>
    <xf numFmtId="0" fontId="0" fillId="0" borderId="66" xfId="0" applyBorder="1" applyAlignment="1">
      <alignment horizontal="center" vertical="center" wrapText="1"/>
    </xf>
    <xf numFmtId="0" fontId="0" fillId="0" borderId="253" xfId="0" applyBorder="1" applyAlignment="1">
      <alignment horizontal="center" vertical="center" wrapText="1"/>
    </xf>
    <xf numFmtId="0" fontId="48" fillId="12" borderId="8" xfId="1" applyFont="1" applyFill="1" applyBorder="1" applyAlignment="1">
      <alignment horizontal="left" vertical="center" wrapText="1"/>
    </xf>
    <xf numFmtId="0" fontId="48" fillId="12" borderId="104" xfId="1" applyFont="1" applyFill="1" applyBorder="1" applyAlignment="1">
      <alignment horizontal="left" vertical="center" wrapText="1"/>
    </xf>
    <xf numFmtId="0" fontId="76" fillId="0" borderId="8" xfId="0" applyFont="1" applyBorder="1" applyAlignment="1">
      <alignment horizontal="center"/>
    </xf>
    <xf numFmtId="0" fontId="76" fillId="0" borderId="104" xfId="0" applyFont="1" applyBorder="1" applyAlignment="1">
      <alignment horizontal="center"/>
    </xf>
    <xf numFmtId="0" fontId="76" fillId="0" borderId="106" xfId="0" applyFont="1" applyBorder="1" applyAlignment="1">
      <alignment horizontal="center"/>
    </xf>
    <xf numFmtId="0" fontId="76" fillId="0" borderId="10" xfId="0" applyFont="1" applyBorder="1" applyAlignment="1">
      <alignment horizontal="center"/>
    </xf>
    <xf numFmtId="0" fontId="2" fillId="0" borderId="11"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105"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06"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4" xfId="0" applyFont="1" applyBorder="1" applyAlignment="1">
      <alignment horizontal="center" vertical="center" wrapText="1"/>
    </xf>
    <xf numFmtId="0" fontId="2" fillId="25" borderId="8" xfId="0" applyFont="1" applyFill="1" applyBorder="1" applyAlignment="1">
      <alignment horizontal="center" vertical="center" wrapText="1"/>
    </xf>
    <xf numFmtId="0" fontId="2" fillId="25" borderId="104" xfId="0" applyFont="1" applyFill="1" applyBorder="1" applyAlignment="1">
      <alignment horizontal="center" vertical="center" wrapText="1"/>
    </xf>
    <xf numFmtId="0" fontId="2" fillId="25" borderId="10" xfId="0" applyFont="1" applyFill="1" applyBorder="1" applyAlignment="1">
      <alignment horizontal="center" vertical="center" wrapText="1"/>
    </xf>
    <xf numFmtId="0" fontId="2" fillId="25" borderId="105" xfId="0" applyFont="1" applyFill="1" applyBorder="1" applyAlignment="1">
      <alignment horizontal="center" vertical="center" wrapText="1"/>
    </xf>
    <xf numFmtId="0" fontId="2" fillId="25" borderId="18" xfId="0" applyFont="1" applyFill="1" applyBorder="1" applyAlignment="1">
      <alignment horizontal="center" vertical="center" wrapText="1"/>
    </xf>
    <xf numFmtId="0" fontId="2" fillId="26" borderId="8" xfId="0" applyFont="1" applyFill="1" applyBorder="1" applyAlignment="1">
      <alignment horizontal="center" vertical="center" wrapText="1"/>
    </xf>
    <xf numFmtId="0" fontId="2" fillId="26" borderId="10" xfId="0" applyFont="1" applyFill="1" applyBorder="1" applyAlignment="1">
      <alignment horizontal="center" vertical="center" wrapText="1"/>
    </xf>
    <xf numFmtId="0" fontId="2" fillId="26" borderId="34" xfId="0" applyFont="1" applyFill="1" applyBorder="1" applyAlignment="1">
      <alignment horizontal="center" vertical="center" wrapText="1"/>
    </xf>
    <xf numFmtId="0" fontId="2" fillId="26" borderId="81" xfId="0" applyFont="1" applyFill="1" applyBorder="1" applyAlignment="1">
      <alignment horizontal="center" vertical="center" wrapText="1"/>
    </xf>
    <xf numFmtId="0" fontId="2" fillId="26" borderId="114" xfId="0" applyFont="1" applyFill="1" applyBorder="1" applyAlignment="1">
      <alignment horizontal="center" vertical="center" wrapText="1"/>
    </xf>
    <xf numFmtId="0" fontId="2" fillId="26" borderId="103" xfId="0" applyFont="1" applyFill="1" applyBorder="1" applyAlignment="1">
      <alignment horizontal="center" vertical="center" wrapText="1"/>
    </xf>
    <xf numFmtId="0" fontId="2" fillId="27" borderId="105" xfId="0" applyFont="1" applyFill="1" applyBorder="1" applyAlignment="1">
      <alignment horizontal="center" vertical="center" wrapText="1"/>
    </xf>
    <xf numFmtId="0" fontId="2" fillId="27" borderId="18" xfId="0" applyFont="1" applyFill="1" applyBorder="1" applyAlignment="1">
      <alignment horizontal="center" vertical="center" wrapText="1"/>
    </xf>
    <xf numFmtId="0" fontId="2" fillId="0" borderId="29" xfId="0" applyFont="1" applyBorder="1" applyAlignment="1">
      <alignment horizontal="center" vertical="center" wrapText="1"/>
    </xf>
    <xf numFmtId="0" fontId="2" fillId="0" borderId="117" xfId="0" applyFont="1" applyBorder="1" applyAlignment="1">
      <alignment horizontal="center" vertical="center" wrapText="1"/>
    </xf>
    <xf numFmtId="0" fontId="2" fillId="0" borderId="118" xfId="0" applyFont="1" applyBorder="1" applyAlignment="1">
      <alignment horizontal="center" vertical="center" wrapText="1"/>
    </xf>
    <xf numFmtId="0" fontId="2" fillId="0" borderId="119" xfId="0" applyFont="1" applyBorder="1" applyAlignment="1">
      <alignment horizontal="center" vertical="center" textRotation="90" wrapText="1"/>
    </xf>
    <xf numFmtId="0" fontId="2" fillId="0" borderId="99" xfId="0" applyFont="1" applyBorder="1" applyAlignment="1">
      <alignment horizontal="center" vertical="center" textRotation="90" wrapText="1"/>
    </xf>
    <xf numFmtId="0" fontId="2" fillId="0" borderId="123" xfId="0" applyFont="1" applyBorder="1" applyAlignment="1">
      <alignment horizontal="center" vertical="center" textRotation="90" wrapText="1"/>
    </xf>
    <xf numFmtId="0" fontId="2" fillId="0" borderId="120" xfId="0" applyFont="1" applyBorder="1" applyAlignment="1">
      <alignment horizontal="center" vertical="center" textRotation="90" wrapText="1"/>
    </xf>
    <xf numFmtId="0" fontId="2" fillId="0" borderId="66" xfId="0" applyFont="1" applyBorder="1" applyAlignment="1">
      <alignment horizontal="center" vertical="center" textRotation="90" wrapText="1"/>
    </xf>
    <xf numFmtId="0" fontId="2" fillId="0" borderId="1" xfId="0" applyFont="1" applyBorder="1" applyAlignment="1">
      <alignment horizontal="center" vertical="center" textRotation="90" wrapText="1"/>
    </xf>
    <xf numFmtId="0" fontId="2" fillId="11" borderId="120" xfId="0" applyFont="1" applyFill="1" applyBorder="1" applyAlignment="1">
      <alignment horizontal="center" vertical="center" textRotation="90" wrapText="1"/>
    </xf>
    <xf numFmtId="0" fontId="0" fillId="11" borderId="66" xfId="0" applyFill="1" applyBorder="1"/>
    <xf numFmtId="0" fontId="0" fillId="11" borderId="1" xfId="0" applyFill="1" applyBorder="1"/>
    <xf numFmtId="0" fontId="2" fillId="0" borderId="33" xfId="0" applyFont="1" applyBorder="1" applyAlignment="1">
      <alignment horizontal="center" vertical="center" textRotation="90" wrapText="1"/>
    </xf>
    <xf numFmtId="0" fontId="2" fillId="0" borderId="67" xfId="0" applyFont="1" applyBorder="1" applyAlignment="1">
      <alignment horizontal="center" vertical="center" textRotation="90" wrapText="1"/>
    </xf>
    <xf numFmtId="0" fontId="2" fillId="0" borderId="85" xfId="0" applyFont="1" applyBorder="1" applyAlignment="1">
      <alignment horizontal="center" vertical="center" textRotation="90" wrapText="1"/>
    </xf>
    <xf numFmtId="0" fontId="2" fillId="11" borderId="66" xfId="0" applyFont="1" applyFill="1" applyBorder="1" applyAlignment="1">
      <alignment horizontal="center" vertical="center" textRotation="90" wrapText="1"/>
    </xf>
    <xf numFmtId="0" fontId="2" fillId="11" borderId="1" xfId="0" applyFont="1" applyFill="1" applyBorder="1" applyAlignment="1">
      <alignment horizontal="center" vertical="center" textRotation="90" wrapText="1"/>
    </xf>
    <xf numFmtId="0" fontId="2" fillId="28" borderId="120" xfId="0" applyFont="1" applyFill="1" applyBorder="1" applyAlignment="1">
      <alignment horizontal="center" vertical="center" textRotation="90" wrapText="1"/>
    </xf>
    <xf numFmtId="0" fontId="2" fillId="28" borderId="66" xfId="0" applyFont="1" applyFill="1" applyBorder="1" applyAlignment="1">
      <alignment horizontal="center" vertical="center" textRotation="90" wrapText="1"/>
    </xf>
    <xf numFmtId="0" fontId="2" fillId="28" borderId="1" xfId="0" applyFont="1" applyFill="1" applyBorder="1" applyAlignment="1">
      <alignment horizontal="center" vertical="center" textRotation="90" wrapText="1"/>
    </xf>
    <xf numFmtId="0" fontId="53" fillId="0" borderId="12" xfId="0" applyFont="1" applyBorder="1" applyAlignment="1">
      <alignment horizontal="right"/>
    </xf>
    <xf numFmtId="0" fontId="53" fillId="0" borderId="13" xfId="0" applyFont="1" applyBorder="1" applyAlignment="1">
      <alignment horizontal="right"/>
    </xf>
    <xf numFmtId="0" fontId="54" fillId="0" borderId="0" xfId="0" applyFont="1" applyAlignment="1">
      <alignment horizontal="center" vertical="center"/>
    </xf>
    <xf numFmtId="0" fontId="55" fillId="0" borderId="0" xfId="0" applyFont="1" applyAlignment="1">
      <alignment horizontal="center" vertical="center" wrapText="1"/>
    </xf>
    <xf numFmtId="0" fontId="55" fillId="0" borderId="0" xfId="0" applyFont="1" applyAlignment="1">
      <alignment horizontal="center" vertical="center"/>
    </xf>
    <xf numFmtId="187" fontId="56" fillId="0" borderId="0" xfId="0" applyNumberFormat="1" applyFont="1" applyAlignment="1">
      <alignment horizontal="center" vertical="center"/>
    </xf>
    <xf numFmtId="0" fontId="57" fillId="0" borderId="0" xfId="0" applyFont="1" applyAlignment="1">
      <alignment horizontal="justify" vertical="center" wrapText="1"/>
    </xf>
    <xf numFmtId="0" fontId="2" fillId="15" borderId="50" xfId="0" applyFont="1" applyFill="1" applyBorder="1" applyAlignment="1">
      <alignment horizontal="center" vertical="center"/>
    </xf>
    <xf numFmtId="0" fontId="0" fillId="0" borderId="78" xfId="0" applyBorder="1" applyAlignment="1">
      <alignment horizontal="center" vertical="center"/>
    </xf>
    <xf numFmtId="0" fontId="0" fillId="0" borderId="66" xfId="0" applyBorder="1" applyAlignment="1">
      <alignment horizontal="center" vertical="center"/>
    </xf>
    <xf numFmtId="0" fontId="0" fillId="0" borderId="49" xfId="0" applyBorder="1" applyAlignment="1">
      <alignment horizontal="center" vertical="center"/>
    </xf>
    <xf numFmtId="0" fontId="0" fillId="0" borderId="67" xfId="0" applyBorder="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16" borderId="71" xfId="0" applyFill="1" applyBorder="1" applyAlignment="1">
      <alignment horizontal="center" vertical="center"/>
    </xf>
    <xf numFmtId="0" fontId="0" fillId="16" borderId="72" xfId="0" applyFill="1" applyBorder="1" applyAlignment="1">
      <alignment horizontal="center" vertical="center"/>
    </xf>
    <xf numFmtId="0" fontId="0" fillId="16" borderId="57" xfId="0" applyFill="1" applyBorder="1" applyAlignment="1">
      <alignment horizontal="center" vertical="center"/>
    </xf>
    <xf numFmtId="0" fontId="0" fillId="0" borderId="56" xfId="0" applyBorder="1" applyAlignment="1">
      <alignment horizontal="left" vertical="center"/>
    </xf>
    <xf numFmtId="0" fontId="2" fillId="0" borderId="71" xfId="0" applyFont="1" applyBorder="1" applyAlignment="1">
      <alignment horizontal="center" vertical="center"/>
    </xf>
    <xf numFmtId="0" fontId="2" fillId="0" borderId="72" xfId="0" applyFont="1" applyBorder="1" applyAlignment="1">
      <alignment horizontal="center" vertical="center"/>
    </xf>
    <xf numFmtId="0" fontId="2" fillId="0" borderId="57" xfId="0" applyFont="1" applyBorder="1" applyAlignment="1">
      <alignment horizontal="center" vertical="center"/>
    </xf>
    <xf numFmtId="0" fontId="0" fillId="0" borderId="73" xfId="0" applyBorder="1" applyAlignment="1">
      <alignment horizontal="center" vertical="center"/>
    </xf>
    <xf numFmtId="0" fontId="0" fillId="0" borderId="67" xfId="0" applyBorder="1" applyAlignment="1">
      <alignment horizontal="center" vertical="center"/>
    </xf>
    <xf numFmtId="0" fontId="0" fillId="0" borderId="76" xfId="0" applyBorder="1" applyAlignment="1">
      <alignment horizontal="center" vertical="center"/>
    </xf>
    <xf numFmtId="0" fontId="0" fillId="0" borderId="73" xfId="0" applyBorder="1" applyAlignment="1">
      <alignment horizontal="left" vertical="center" wrapText="1"/>
    </xf>
    <xf numFmtId="0" fontId="0" fillId="0" borderId="74" xfId="0" applyBorder="1" applyAlignment="1">
      <alignment horizontal="left" vertical="center" wrapText="1"/>
    </xf>
    <xf numFmtId="0" fontId="0" fillId="0" borderId="75" xfId="0" applyBorder="1" applyAlignment="1">
      <alignment horizontal="left" vertical="center" wrapText="1"/>
    </xf>
    <xf numFmtId="0" fontId="0" fillId="0" borderId="67" xfId="0" applyBorder="1" applyAlignment="1">
      <alignment horizontal="left" vertical="center" wrapText="1"/>
    </xf>
    <xf numFmtId="0" fontId="0" fillId="0" borderId="0" xfId="0" applyAlignment="1">
      <alignment horizontal="left" vertical="center" wrapText="1"/>
    </xf>
    <xf numFmtId="0" fontId="0" fillId="0" borderId="65" xfId="0" applyBorder="1" applyAlignment="1">
      <alignment horizontal="left" vertical="center" wrapText="1"/>
    </xf>
    <xf numFmtId="0" fontId="0" fillId="0" borderId="76" xfId="0" applyBorder="1" applyAlignment="1">
      <alignment horizontal="left" vertical="center" wrapText="1"/>
    </xf>
    <xf numFmtId="0" fontId="0" fillId="0" borderId="50" xfId="0" applyBorder="1" applyAlignment="1">
      <alignment horizontal="left" vertical="center" wrapText="1"/>
    </xf>
    <xf numFmtId="0" fontId="0" fillId="0" borderId="77" xfId="0" applyBorder="1" applyAlignment="1">
      <alignment horizontal="left" vertical="center" wrapText="1"/>
    </xf>
    <xf numFmtId="0" fontId="59" fillId="0" borderId="0" xfId="0" applyFont="1" applyAlignment="1">
      <alignment horizontal="center"/>
    </xf>
    <xf numFmtId="0" fontId="2" fillId="16" borderId="71" xfId="0" applyFont="1" applyFill="1" applyBorder="1" applyAlignment="1">
      <alignment horizontal="left" vertical="center"/>
    </xf>
    <xf numFmtId="0" fontId="2" fillId="16" borderId="72" xfId="0" applyFont="1" applyFill="1" applyBorder="1" applyAlignment="1">
      <alignment horizontal="left" vertical="center"/>
    </xf>
    <xf numFmtId="0" fontId="2" fillId="16" borderId="57" xfId="0" applyFont="1" applyFill="1" applyBorder="1" applyAlignment="1">
      <alignment horizontal="left" vertical="center"/>
    </xf>
    <xf numFmtId="0" fontId="0" fillId="0" borderId="0" xfId="0" applyAlignment="1">
      <alignment horizontal="center" vertical="center"/>
    </xf>
    <xf numFmtId="0" fontId="0" fillId="16" borderId="56" xfId="0" applyFill="1" applyBorder="1" applyAlignment="1">
      <alignment horizontal="center" vertical="center"/>
    </xf>
    <xf numFmtId="0" fontId="2" fillId="16" borderId="71" xfId="0" applyFont="1" applyFill="1" applyBorder="1" applyAlignment="1">
      <alignment horizontal="center" vertical="center"/>
    </xf>
    <xf numFmtId="0" fontId="2" fillId="16" borderId="57" xfId="0" applyFont="1" applyFill="1" applyBorder="1" applyAlignment="1">
      <alignment horizontal="center" vertical="center"/>
    </xf>
    <xf numFmtId="0" fontId="0" fillId="0" borderId="56" xfId="0" applyBorder="1" applyAlignment="1">
      <alignment horizontal="center" vertical="center"/>
    </xf>
    <xf numFmtId="0" fontId="0" fillId="0" borderId="57" xfId="0" applyBorder="1" applyAlignment="1">
      <alignment horizontal="left" vertical="center" wrapText="1"/>
    </xf>
    <xf numFmtId="0" fontId="0" fillId="0" borderId="56" xfId="0" applyBorder="1" applyAlignment="1">
      <alignment horizontal="left" vertical="center" wrapText="1"/>
    </xf>
    <xf numFmtId="0" fontId="2" fillId="16" borderId="56" xfId="0" applyFont="1" applyFill="1" applyBorder="1" applyAlignment="1">
      <alignment horizontal="center" vertical="center"/>
    </xf>
    <xf numFmtId="0" fontId="2" fillId="16" borderId="72" xfId="0" applyFont="1" applyFill="1" applyBorder="1" applyAlignment="1">
      <alignment horizontal="center" vertical="center"/>
    </xf>
    <xf numFmtId="0" fontId="2" fillId="0" borderId="71" xfId="0" applyFont="1" applyBorder="1" applyAlignment="1">
      <alignment horizontal="left" vertical="center"/>
    </xf>
    <xf numFmtId="0" fontId="2" fillId="0" borderId="72" xfId="0" applyFont="1" applyBorder="1" applyAlignment="1">
      <alignment horizontal="left" vertical="center"/>
    </xf>
    <xf numFmtId="0" fontId="2" fillId="0" borderId="57" xfId="0" applyFont="1" applyBorder="1" applyAlignment="1">
      <alignment horizontal="left" vertical="center"/>
    </xf>
    <xf numFmtId="0" fontId="0" fillId="0" borderId="71" xfId="0" applyBorder="1" applyAlignment="1">
      <alignment horizontal="center" vertical="center"/>
    </xf>
    <xf numFmtId="0" fontId="0" fillId="0" borderId="72" xfId="0" applyBorder="1" applyAlignment="1">
      <alignment horizontal="center" vertical="center"/>
    </xf>
    <xf numFmtId="0" fontId="0" fillId="0" borderId="57" xfId="0" applyBorder="1" applyAlignment="1">
      <alignment horizontal="center" vertical="center"/>
    </xf>
    <xf numFmtId="3" fontId="2" fillId="15" borderId="56" xfId="0" applyNumberFormat="1" applyFont="1" applyFill="1" applyBorder="1" applyAlignment="1">
      <alignment horizontal="right" vertical="center"/>
    </xf>
    <xf numFmtId="0" fontId="0" fillId="0" borderId="50" xfId="0" applyBorder="1" applyAlignment="1">
      <alignment horizontal="center" vertical="center"/>
    </xf>
    <xf numFmtId="0" fontId="0" fillId="0" borderId="77" xfId="0" applyBorder="1" applyAlignment="1">
      <alignment horizontal="center" vertical="center"/>
    </xf>
    <xf numFmtId="0" fontId="2" fillId="15" borderId="0" xfId="0" applyFont="1" applyFill="1" applyAlignment="1">
      <alignment horizontal="center" vertical="center"/>
    </xf>
    <xf numFmtId="0" fontId="0" fillId="0" borderId="65" xfId="0" applyBorder="1" applyAlignment="1">
      <alignment horizontal="left" vertical="center"/>
    </xf>
    <xf numFmtId="3" fontId="60" fillId="16" borderId="76" xfId="0" applyNumberFormat="1" applyFont="1" applyFill="1" applyBorder="1" applyAlignment="1">
      <alignment horizontal="center" vertical="center"/>
    </xf>
    <xf numFmtId="3" fontId="60" fillId="16" borderId="50" xfId="0" applyNumberFormat="1" applyFont="1" applyFill="1" applyBorder="1" applyAlignment="1">
      <alignment horizontal="center" vertical="center"/>
    </xf>
    <xf numFmtId="3" fontId="60" fillId="16" borderId="77" xfId="0" applyNumberFormat="1" applyFont="1" applyFill="1" applyBorder="1" applyAlignment="1">
      <alignment horizontal="center" vertical="center"/>
    </xf>
    <xf numFmtId="3" fontId="0" fillId="16" borderId="71" xfId="0" applyNumberFormat="1" applyFill="1" applyBorder="1" applyAlignment="1">
      <alignment horizontal="right" vertical="center"/>
    </xf>
    <xf numFmtId="3" fontId="0" fillId="16" borderId="72" xfId="0" applyNumberFormat="1" applyFill="1" applyBorder="1" applyAlignment="1">
      <alignment horizontal="right" vertical="center"/>
    </xf>
    <xf numFmtId="3" fontId="0" fillId="16" borderId="57" xfId="0" applyNumberFormat="1" applyFill="1" applyBorder="1" applyAlignment="1">
      <alignment horizontal="right" vertical="center"/>
    </xf>
    <xf numFmtId="0" fontId="61" fillId="0" borderId="0" xfId="0" applyFont="1" applyAlignment="1">
      <alignment horizontal="left" vertical="center" wrapText="1"/>
    </xf>
    <xf numFmtId="0" fontId="61" fillId="0" borderId="65" xfId="0" applyFont="1" applyBorder="1" applyAlignment="1">
      <alignment horizontal="left" vertical="center" wrapText="1"/>
    </xf>
    <xf numFmtId="49" fontId="0" fillId="0" borderId="71" xfId="0" applyNumberFormat="1" applyBorder="1" applyAlignment="1">
      <alignment horizontal="justify" vertical="center" wrapText="1"/>
    </xf>
    <xf numFmtId="49" fontId="0" fillId="0" borderId="72" xfId="0" applyNumberFormat="1" applyBorder="1" applyAlignment="1">
      <alignment horizontal="justify" vertical="center" wrapText="1"/>
    </xf>
    <xf numFmtId="49" fontId="0" fillId="0" borderId="57" xfId="0" applyNumberFormat="1" applyBorder="1" applyAlignment="1">
      <alignment horizontal="justify" vertical="center" wrapText="1"/>
    </xf>
    <xf numFmtId="3" fontId="0" fillId="15" borderId="71" xfId="0" applyNumberFormat="1" applyFill="1" applyBorder="1" applyAlignment="1">
      <alignment horizontal="center" vertical="center"/>
    </xf>
    <xf numFmtId="3" fontId="0" fillId="15" borderId="72" xfId="0" applyNumberFormat="1" applyFill="1" applyBorder="1" applyAlignment="1">
      <alignment horizontal="center" vertical="center"/>
    </xf>
    <xf numFmtId="3" fontId="0" fillId="15" borderId="57" xfId="0" applyNumberFormat="1" applyFill="1" applyBorder="1" applyAlignment="1">
      <alignment horizontal="center" vertical="center"/>
    </xf>
    <xf numFmtId="0" fontId="61" fillId="0" borderId="67" xfId="0" applyFont="1" applyBorder="1" applyAlignment="1">
      <alignment horizontal="left" vertical="center" wrapText="1"/>
    </xf>
    <xf numFmtId="10" fontId="0" fillId="16" borderId="56" xfId="0" applyNumberFormat="1" applyFill="1" applyBorder="1" applyAlignment="1">
      <alignment horizontal="center" vertical="center"/>
    </xf>
    <xf numFmtId="3" fontId="0" fillId="15" borderId="56" xfId="0" applyNumberFormat="1" applyFill="1" applyBorder="1" applyAlignment="1">
      <alignment horizontal="center" vertical="center"/>
    </xf>
    <xf numFmtId="0" fontId="0" fillId="0" borderId="0" xfId="0" applyAlignment="1">
      <alignment horizontal="center" vertical="center" wrapText="1"/>
    </xf>
    <xf numFmtId="3" fontId="2" fillId="9" borderId="56" xfId="0" applyNumberFormat="1" applyFont="1" applyFill="1" applyBorder="1" applyAlignment="1">
      <alignment horizontal="center" vertical="center"/>
    </xf>
    <xf numFmtId="3" fontId="2" fillId="0" borderId="56" xfId="0" applyNumberFormat="1" applyFont="1" applyBorder="1" applyAlignment="1">
      <alignment horizontal="center" vertical="center"/>
    </xf>
    <xf numFmtId="4" fontId="0" fillId="0" borderId="71" xfId="0" applyNumberFormat="1" applyBorder="1" applyAlignment="1">
      <alignment horizontal="center" vertical="center"/>
    </xf>
    <xf numFmtId="4" fontId="0" fillId="0" borderId="57" xfId="0" applyNumberFormat="1" applyBorder="1" applyAlignment="1">
      <alignment horizontal="center" vertical="center"/>
    </xf>
    <xf numFmtId="188" fontId="0" fillId="0" borderId="56" xfId="0" applyNumberFormat="1" applyBorder="1" applyAlignment="1">
      <alignment horizontal="center" vertical="center"/>
    </xf>
    <xf numFmtId="3" fontId="2" fillId="15" borderId="71" xfId="0" applyNumberFormat="1" applyFont="1" applyFill="1" applyBorder="1" applyAlignment="1">
      <alignment horizontal="center" vertical="center"/>
    </xf>
    <xf numFmtId="3" fontId="2" fillId="15" borderId="57" xfId="0" applyNumberFormat="1" applyFont="1" applyFill="1" applyBorder="1" applyAlignment="1">
      <alignment horizontal="center" vertical="center"/>
    </xf>
    <xf numFmtId="3" fontId="2" fillId="15" borderId="56" xfId="0" applyNumberFormat="1" applyFont="1" applyFill="1" applyBorder="1" applyAlignment="1">
      <alignment horizontal="center" vertical="center"/>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0" fillId="0" borderId="76" xfId="0" applyBorder="1" applyAlignment="1">
      <alignment horizontal="center" vertical="center" wrapText="1"/>
    </xf>
    <xf numFmtId="0" fontId="0" fillId="0" borderId="50" xfId="0" applyBorder="1" applyAlignment="1">
      <alignment horizontal="center" vertical="center" wrapText="1"/>
    </xf>
    <xf numFmtId="0" fontId="0" fillId="0" borderId="57" xfId="0" applyBorder="1" applyAlignment="1">
      <alignment horizontal="center" vertical="center" wrapText="1"/>
    </xf>
    <xf numFmtId="3" fontId="0" fillId="0" borderId="71" xfId="0" applyNumberFormat="1" applyBorder="1" applyAlignment="1">
      <alignment horizontal="right" vertical="center"/>
    </xf>
    <xf numFmtId="3" fontId="0" fillId="0" borderId="72" xfId="0" applyNumberFormat="1" applyBorder="1" applyAlignment="1">
      <alignment horizontal="right" vertical="center"/>
    </xf>
    <xf numFmtId="3" fontId="0" fillId="0" borderId="57" xfId="0" applyNumberFormat="1" applyBorder="1" applyAlignment="1">
      <alignment horizontal="right" vertical="center"/>
    </xf>
    <xf numFmtId="3" fontId="2" fillId="15" borderId="71" xfId="0" applyNumberFormat="1" applyFont="1" applyFill="1" applyBorder="1" applyAlignment="1">
      <alignment horizontal="right" vertical="center"/>
    </xf>
    <xf numFmtId="3" fontId="2" fillId="15" borderId="72" xfId="0" applyNumberFormat="1" applyFont="1" applyFill="1" applyBorder="1" applyAlignment="1">
      <alignment horizontal="right" vertical="center"/>
    </xf>
    <xf numFmtId="3" fontId="2" fillId="15" borderId="57" xfId="0" applyNumberFormat="1" applyFont="1" applyFill="1" applyBorder="1" applyAlignment="1">
      <alignment horizontal="right" vertical="center"/>
    </xf>
    <xf numFmtId="3" fontId="0" fillId="0" borderId="56" xfId="0" applyNumberFormat="1" applyBorder="1" applyAlignment="1">
      <alignment horizontal="right" vertical="center"/>
    </xf>
    <xf numFmtId="0" fontId="74" fillId="18" borderId="316" xfId="0" applyFont="1" applyFill="1" applyBorder="1" applyAlignment="1" applyProtection="1">
      <alignment horizontal="center" vertical="center"/>
      <protection locked="0"/>
    </xf>
    <xf numFmtId="0" fontId="74" fillId="18" borderId="320" xfId="0" applyFont="1" applyFill="1" applyBorder="1" applyAlignment="1" applyProtection="1">
      <alignment horizontal="center" vertical="center"/>
      <protection locked="0"/>
    </xf>
    <xf numFmtId="0" fontId="74" fillId="18" borderId="325" xfId="0" applyFont="1" applyFill="1" applyBorder="1" applyAlignment="1" applyProtection="1">
      <alignment horizontal="center" vertical="center"/>
      <protection locked="0"/>
    </xf>
    <xf numFmtId="0" fontId="0" fillId="0" borderId="358" xfId="0" applyBorder="1" applyAlignment="1">
      <alignment horizontal="center" vertical="center"/>
    </xf>
    <xf numFmtId="0" fontId="0" fillId="0" borderId="318" xfId="0" applyBorder="1" applyAlignment="1">
      <alignment horizontal="center" vertical="center"/>
    </xf>
    <xf numFmtId="17" fontId="238" fillId="128" borderId="47" xfId="0" applyNumberFormat="1" applyFont="1" applyFill="1" applyBorder="1" applyAlignment="1" applyProtection="1">
      <alignment horizontal="center" vertical="center" wrapText="1"/>
      <protection locked="0"/>
    </xf>
    <xf numFmtId="17" fontId="238" fillId="128" borderId="0" xfId="0" applyNumberFormat="1" applyFont="1" applyFill="1" applyAlignment="1" applyProtection="1">
      <alignment horizontal="center" vertical="center" wrapText="1"/>
      <protection locked="0"/>
    </xf>
    <xf numFmtId="0" fontId="243" fillId="108" borderId="8" xfId="0" applyFont="1" applyFill="1" applyBorder="1" applyAlignment="1" applyProtection="1">
      <alignment horizontal="center" vertical="center" wrapText="1"/>
      <protection locked="0"/>
    </xf>
    <xf numFmtId="0" fontId="243" fillId="108" borderId="10" xfId="0" applyFont="1" applyFill="1" applyBorder="1" applyAlignment="1" applyProtection="1">
      <alignment horizontal="center" vertical="center" wrapText="1"/>
      <protection locked="0"/>
    </xf>
    <xf numFmtId="0" fontId="33" fillId="0" borderId="359" xfId="0" applyFont="1" applyBorder="1" applyAlignment="1">
      <alignment horizontal="center" vertical="center" wrapText="1"/>
    </xf>
    <xf numFmtId="0" fontId="33" fillId="0" borderId="319" xfId="0" applyFont="1" applyBorder="1" applyAlignment="1">
      <alignment horizontal="center" vertical="center" wrapText="1"/>
    </xf>
    <xf numFmtId="0" fontId="33" fillId="0" borderId="324" xfId="0" applyFont="1" applyBorder="1" applyAlignment="1">
      <alignment horizontal="center" vertical="center" wrapText="1"/>
    </xf>
    <xf numFmtId="0" fontId="135" fillId="127" borderId="47" xfId="0" applyFont="1" applyFill="1" applyBorder="1" applyAlignment="1" applyProtection="1">
      <alignment horizontal="center" vertical="center"/>
      <protection locked="0"/>
    </xf>
    <xf numFmtId="0" fontId="135" fillId="127" borderId="0" xfId="0" applyFont="1" applyFill="1" applyAlignment="1" applyProtection="1">
      <alignment horizontal="center" vertical="center"/>
      <protection locked="0"/>
    </xf>
    <xf numFmtId="0" fontId="74" fillId="26" borderId="316" xfId="0" applyFont="1" applyFill="1" applyBorder="1" applyAlignment="1">
      <alignment horizontal="center" vertical="center" wrapText="1"/>
    </xf>
    <xf numFmtId="0" fontId="74" fillId="26" borderId="320" xfId="0" applyFont="1" applyFill="1" applyBorder="1" applyAlignment="1">
      <alignment horizontal="center" vertical="center" wrapText="1"/>
    </xf>
    <xf numFmtId="0" fontId="0" fillId="0" borderId="320" xfId="0" applyBorder="1" applyAlignment="1">
      <alignment horizontal="center" vertical="center"/>
    </xf>
    <xf numFmtId="175" fontId="249" fillId="131" borderId="107" xfId="1" applyNumberFormat="1" applyFont="1" applyFill="1" applyBorder="1" applyAlignment="1">
      <alignment horizontal="center" vertical="center"/>
    </xf>
    <xf numFmtId="175" fontId="249" fillId="131" borderId="108" xfId="1" applyNumberFormat="1" applyFont="1" applyFill="1" applyBorder="1" applyAlignment="1">
      <alignment horizontal="center" vertical="center"/>
    </xf>
    <xf numFmtId="0" fontId="2" fillId="29" borderId="130" xfId="0" applyFont="1" applyFill="1" applyBorder="1" applyAlignment="1">
      <alignment horizontal="center" vertical="center" wrapText="1"/>
    </xf>
    <xf numFmtId="0" fontId="2" fillId="29" borderId="132" xfId="0" applyFont="1" applyFill="1" applyBorder="1" applyAlignment="1">
      <alignment horizontal="center" vertical="center" wrapText="1"/>
    </xf>
    <xf numFmtId="0" fontId="2" fillId="29" borderId="336" xfId="0" applyFont="1" applyFill="1" applyBorder="1" applyAlignment="1">
      <alignment horizontal="center" vertical="center" wrapText="1"/>
    </xf>
    <xf numFmtId="0" fontId="2" fillId="29" borderId="337" xfId="0" applyFont="1" applyFill="1" applyBorder="1" applyAlignment="1">
      <alignment horizontal="center" vertical="center" wrapText="1"/>
    </xf>
    <xf numFmtId="0" fontId="35" fillId="29" borderId="105" xfId="0" applyFont="1" applyFill="1" applyBorder="1" applyAlignment="1">
      <alignment horizontal="center" vertical="center" wrapText="1"/>
    </xf>
    <xf numFmtId="0" fontId="35" fillId="29" borderId="335" xfId="0" applyFont="1" applyFill="1" applyBorder="1" applyAlignment="1">
      <alignment horizontal="center" vertical="center" wrapText="1"/>
    </xf>
    <xf numFmtId="0" fontId="125" fillId="29" borderId="121" xfId="0" applyFont="1" applyFill="1" applyBorder="1" applyAlignment="1">
      <alignment horizontal="center" vertical="center" wrapText="1"/>
    </xf>
    <xf numFmtId="0" fontId="125" fillId="29" borderId="361" xfId="0" applyFont="1" applyFill="1" applyBorder="1" applyAlignment="1">
      <alignment horizontal="center" vertical="center" wrapText="1"/>
    </xf>
    <xf numFmtId="175" fontId="2" fillId="50" borderId="104" xfId="0" applyNumberFormat="1" applyFont="1" applyFill="1" applyBorder="1" applyAlignment="1">
      <alignment horizontal="center" vertical="center" wrapText="1"/>
    </xf>
    <xf numFmtId="175" fontId="2" fillId="50" borderId="15" xfId="0" applyNumberFormat="1" applyFont="1" applyFill="1" applyBorder="1" applyAlignment="1">
      <alignment horizontal="center" vertical="center" wrapText="1"/>
    </xf>
    <xf numFmtId="2" fontId="2" fillId="50" borderId="104" xfId="21" applyNumberFormat="1" applyFont="1" applyFill="1" applyBorder="1" applyAlignment="1">
      <alignment horizontal="center" vertical="center" wrapText="1"/>
    </xf>
    <xf numFmtId="2" fontId="2" fillId="50" borderId="15" xfId="21" applyNumberFormat="1" applyFont="1" applyFill="1" applyBorder="1" applyAlignment="1">
      <alignment horizontal="center" vertical="center" wrapText="1"/>
    </xf>
    <xf numFmtId="0" fontId="93" fillId="0" borderId="148" xfId="0" applyFont="1" applyBorder="1" applyAlignment="1">
      <alignment horizontal="center" vertical="center" wrapText="1"/>
    </xf>
    <xf numFmtId="0" fontId="93" fillId="0" borderId="149" xfId="0" applyFont="1" applyBorder="1" applyAlignment="1">
      <alignment horizontal="center" vertical="center" wrapText="1"/>
    </xf>
    <xf numFmtId="0" fontId="93" fillId="0" borderId="150" xfId="0" applyFont="1" applyBorder="1" applyAlignment="1">
      <alignment horizontal="center" vertical="center" wrapText="1"/>
    </xf>
    <xf numFmtId="0" fontId="93" fillId="0" borderId="146" xfId="0" applyFont="1" applyBorder="1" applyAlignment="1">
      <alignment horizontal="center" vertical="center" wrapText="1"/>
    </xf>
    <xf numFmtId="0" fontId="93" fillId="0" borderId="0" xfId="0" applyFont="1" applyAlignment="1">
      <alignment horizontal="center" vertical="center" wrapText="1"/>
    </xf>
    <xf numFmtId="0" fontId="93" fillId="0" borderId="173" xfId="0" applyFont="1" applyBorder="1" applyAlignment="1">
      <alignment horizontal="center" vertical="center" wrapText="1"/>
    </xf>
    <xf numFmtId="0" fontId="93" fillId="0" borderId="345" xfId="0" applyFont="1" applyBorder="1" applyAlignment="1">
      <alignment horizontal="center" vertical="center" wrapText="1"/>
    </xf>
    <xf numFmtId="0" fontId="93" fillId="0" borderId="344" xfId="0" applyFont="1" applyBorder="1" applyAlignment="1">
      <alignment horizontal="center" vertical="center" wrapText="1"/>
    </xf>
    <xf numFmtId="0" fontId="93" fillId="0" borderId="346" xfId="0" applyFont="1" applyBorder="1" applyAlignment="1">
      <alignment horizontal="center" vertical="center" wrapText="1"/>
    </xf>
    <xf numFmtId="0" fontId="94" fillId="108" borderId="8" xfId="0" applyFont="1" applyFill="1" applyBorder="1" applyAlignment="1">
      <alignment horizontal="center" vertical="center" wrapText="1"/>
    </xf>
    <xf numFmtId="0" fontId="94" fillId="108" borderId="104" xfId="0" applyFont="1" applyFill="1" applyBorder="1" applyAlignment="1">
      <alignment horizontal="center" vertical="center" wrapText="1"/>
    </xf>
    <xf numFmtId="0" fontId="94" fillId="108" borderId="10" xfId="0" applyFont="1" applyFill="1" applyBorder="1" applyAlignment="1">
      <alignment horizontal="center" vertical="center" wrapText="1"/>
    </xf>
    <xf numFmtId="0" fontId="93" fillId="108" borderId="336" xfId="0" applyFont="1" applyFill="1" applyBorder="1" applyAlignment="1">
      <alignment horizontal="center" vertical="center" wrapText="1"/>
    </xf>
    <xf numFmtId="0" fontId="93" fillId="108" borderId="209" xfId="0" applyFont="1" applyFill="1" applyBorder="1" applyAlignment="1">
      <alignment horizontal="center" vertical="center" wrapText="1"/>
    </xf>
    <xf numFmtId="0" fontId="93" fillId="108" borderId="337" xfId="0" applyFont="1" applyFill="1" applyBorder="1" applyAlignment="1">
      <alignment horizontal="center" vertical="center" wrapText="1"/>
    </xf>
    <xf numFmtId="0" fontId="0" fillId="0" borderId="410" xfId="0" applyBorder="1" applyAlignment="1">
      <alignment horizontal="center"/>
    </xf>
    <xf numFmtId="0" fontId="0" fillId="0" borderId="411" xfId="0" applyBorder="1" applyAlignment="1">
      <alignment horizontal="center"/>
    </xf>
    <xf numFmtId="0" fontId="0" fillId="0" borderId="412" xfId="0" applyBorder="1" applyAlignment="1">
      <alignment horizontal="center"/>
    </xf>
    <xf numFmtId="0" fontId="2" fillId="29" borderId="300" xfId="0" applyFont="1" applyFill="1" applyBorder="1" applyAlignment="1">
      <alignment horizontal="center" vertical="center" wrapText="1"/>
    </xf>
    <xf numFmtId="0" fontId="2" fillId="29" borderId="67" xfId="0" applyFont="1" applyFill="1" applyBorder="1" applyAlignment="1">
      <alignment horizontal="center" vertical="center" wrapText="1"/>
    </xf>
    <xf numFmtId="0" fontId="2" fillId="29" borderId="76" xfId="0" applyFont="1" applyFill="1" applyBorder="1" applyAlignment="1">
      <alignment horizontal="center" vertical="center" wrapText="1"/>
    </xf>
    <xf numFmtId="0" fontId="125" fillId="29" borderId="76" xfId="0" applyFont="1" applyFill="1" applyBorder="1" applyAlignment="1">
      <alignment horizontal="center" vertical="center" wrapText="1"/>
    </xf>
    <xf numFmtId="0" fontId="125" fillId="29" borderId="77" xfId="0" applyFont="1" applyFill="1" applyBorder="1" applyAlignment="1">
      <alignment horizontal="center" vertical="center" wrapText="1"/>
    </xf>
    <xf numFmtId="0" fontId="125" fillId="29" borderId="302" xfId="0" applyFont="1" applyFill="1" applyBorder="1" applyAlignment="1">
      <alignment horizontal="center" vertical="center"/>
    </xf>
    <xf numFmtId="0" fontId="125" fillId="29" borderId="307" xfId="0" applyFont="1" applyFill="1" applyBorder="1" applyAlignment="1">
      <alignment horizontal="center" vertical="center"/>
    </xf>
    <xf numFmtId="0" fontId="218" fillId="5" borderId="8" xfId="3" applyFont="1" applyFill="1" applyBorder="1" applyAlignment="1">
      <alignment horizontal="center" vertical="center" wrapText="1"/>
    </xf>
    <xf numFmtId="0" fontId="218" fillId="5" borderId="104" xfId="3" applyFont="1" applyFill="1" applyBorder="1" applyAlignment="1">
      <alignment horizontal="center" vertical="center" wrapText="1"/>
    </xf>
    <xf numFmtId="0" fontId="218" fillId="5" borderId="10" xfId="3" applyFont="1" applyFill="1" applyBorder="1" applyAlignment="1">
      <alignment horizontal="center" vertical="center" wrapText="1"/>
    </xf>
    <xf numFmtId="0" fontId="218" fillId="59" borderId="8" xfId="3" applyFont="1" applyFill="1" applyBorder="1" applyAlignment="1">
      <alignment horizontal="center" vertical="center"/>
    </xf>
    <xf numFmtId="0" fontId="218" fillId="59" borderId="104" xfId="3" applyFont="1" applyFill="1" applyBorder="1" applyAlignment="1">
      <alignment horizontal="center" vertical="center"/>
    </xf>
    <xf numFmtId="0" fontId="218" fillId="59" borderId="10" xfId="3" applyFont="1" applyFill="1" applyBorder="1" applyAlignment="1">
      <alignment horizontal="center" vertical="center"/>
    </xf>
    <xf numFmtId="0" fontId="10" fillId="112" borderId="8" xfId="3" applyFont="1" applyFill="1" applyBorder="1" applyAlignment="1">
      <alignment horizontal="center" vertical="center" wrapText="1"/>
    </xf>
    <xf numFmtId="0" fontId="10" fillId="112" borderId="104" xfId="3" applyFont="1" applyFill="1" applyBorder="1" applyAlignment="1">
      <alignment horizontal="center" vertical="center" wrapText="1"/>
    </xf>
    <xf numFmtId="0" fontId="10" fillId="112" borderId="10" xfId="3" applyFont="1" applyFill="1" applyBorder="1" applyAlignment="1">
      <alignment horizontal="center" vertical="center" wrapText="1"/>
    </xf>
    <xf numFmtId="0" fontId="27" fillId="110" borderId="8" xfId="6" applyFont="1" applyFill="1" applyBorder="1" applyAlignment="1">
      <alignment horizontal="center" vertical="center" wrapText="1"/>
    </xf>
    <xf numFmtId="0" fontId="27" fillId="110" borderId="104" xfId="6" applyFont="1" applyFill="1" applyBorder="1" applyAlignment="1">
      <alignment horizontal="center" vertical="center" wrapText="1"/>
    </xf>
    <xf numFmtId="0" fontId="27" fillId="110" borderId="10" xfId="6" applyFont="1" applyFill="1" applyBorder="1" applyAlignment="1">
      <alignment horizontal="center" vertical="center" wrapText="1"/>
    </xf>
    <xf numFmtId="0" fontId="27" fillId="111" borderId="8" xfId="6" applyFont="1" applyFill="1" applyBorder="1" applyAlignment="1">
      <alignment horizontal="center" vertical="center" wrapText="1"/>
    </xf>
    <xf numFmtId="0" fontId="27" fillId="111" borderId="104" xfId="6" applyFont="1" applyFill="1" applyBorder="1" applyAlignment="1">
      <alignment horizontal="center" vertical="center" wrapText="1"/>
    </xf>
    <xf numFmtId="0" fontId="27" fillId="111" borderId="10" xfId="6" applyFont="1" applyFill="1" applyBorder="1" applyAlignment="1">
      <alignment horizontal="center" vertical="center" wrapText="1"/>
    </xf>
    <xf numFmtId="16" fontId="21" fillId="0" borderId="130" xfId="5" applyNumberFormat="1" applyFont="1" applyBorder="1" applyAlignment="1">
      <alignment horizontal="center" vertical="center" wrapText="1"/>
    </xf>
    <xf numFmtId="16" fontId="21" fillId="0" borderId="47" xfId="5" applyNumberFormat="1" applyFont="1" applyBorder="1" applyAlignment="1">
      <alignment horizontal="center" vertical="center" wrapText="1"/>
    </xf>
    <xf numFmtId="16" fontId="21" fillId="0" borderId="336" xfId="5" applyNumberFormat="1" applyFont="1" applyBorder="1" applyAlignment="1">
      <alignment horizontal="center" vertical="center" wrapText="1"/>
    </xf>
    <xf numFmtId="200" fontId="21" fillId="0" borderId="132" xfId="5" applyNumberFormat="1" applyFont="1" applyBorder="1" applyAlignment="1">
      <alignment horizontal="center" vertical="center" wrapText="1"/>
    </xf>
    <xf numFmtId="200" fontId="21" fillId="0" borderId="48" xfId="5" applyNumberFormat="1" applyFont="1" applyBorder="1" applyAlignment="1">
      <alignment horizontal="center" vertical="center" wrapText="1"/>
    </xf>
    <xf numFmtId="200" fontId="21" fillId="0" borderId="337" xfId="5" applyNumberFormat="1" applyFont="1" applyBorder="1" applyAlignment="1">
      <alignment horizontal="center" vertical="center" wrapText="1"/>
    </xf>
    <xf numFmtId="0" fontId="115" fillId="48" borderId="8" xfId="0" applyFont="1" applyFill="1" applyBorder="1" applyAlignment="1">
      <alignment horizontal="center"/>
    </xf>
    <xf numFmtId="0" fontId="115" fillId="48" borderId="10" xfId="0" applyFont="1" applyFill="1" applyBorder="1" applyAlignment="1">
      <alignment horizontal="center"/>
    </xf>
    <xf numFmtId="0" fontId="0" fillId="0" borderId="254" xfId="0" applyBorder="1" applyAlignment="1">
      <alignment horizontal="center"/>
    </xf>
    <xf numFmtId="0" fontId="0" fillId="0" borderId="274" xfId="0" applyBorder="1" applyAlignment="1">
      <alignment horizontal="center"/>
    </xf>
    <xf numFmtId="0" fontId="228" fillId="91" borderId="0" xfId="0" applyFont="1" applyFill="1" applyAlignment="1">
      <alignment horizontal="center" wrapText="1"/>
    </xf>
    <xf numFmtId="0" fontId="74" fillId="108" borderId="0" xfId="0" applyFont="1" applyFill="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wrapText="1"/>
    </xf>
    <xf numFmtId="0" fontId="27" fillId="8" borderId="33" xfId="6" applyFont="1" applyFill="1" applyBorder="1" applyAlignment="1">
      <alignment horizontal="center" vertical="center" wrapText="1"/>
    </xf>
    <xf numFmtId="0" fontId="27" fillId="8" borderId="131" xfId="6" applyFont="1" applyFill="1" applyBorder="1" applyAlignment="1">
      <alignment horizontal="center" vertical="center" wrapText="1"/>
    </xf>
    <xf numFmtId="0" fontId="27" fillId="8" borderId="34" xfId="6" applyFont="1" applyFill="1" applyBorder="1" applyAlignment="1">
      <alignment horizontal="center" vertical="center" wrapText="1"/>
    </xf>
    <xf numFmtId="2" fontId="76" fillId="0" borderId="114" xfId="0" applyNumberFormat="1" applyFont="1" applyBorder="1" applyAlignment="1">
      <alignment horizontal="center" vertical="center"/>
    </xf>
    <xf numFmtId="2" fontId="76" fillId="0" borderId="103" xfId="0" applyNumberFormat="1" applyFont="1" applyBorder="1" applyAlignment="1">
      <alignment horizontal="center" vertical="center"/>
    </xf>
    <xf numFmtId="2" fontId="76" fillId="0" borderId="34" xfId="0" applyNumberFormat="1" applyFont="1" applyBorder="1" applyAlignment="1">
      <alignment horizontal="center" vertical="center"/>
    </xf>
    <xf numFmtId="2" fontId="76" fillId="0" borderId="81" xfId="0" applyNumberFormat="1" applyFont="1" applyBorder="1" applyAlignment="1">
      <alignment horizontal="center" vertical="center"/>
    </xf>
    <xf numFmtId="2" fontId="76" fillId="0" borderId="120" xfId="0" applyNumberFormat="1" applyFont="1" applyBorder="1" applyAlignment="1">
      <alignment horizontal="center" vertical="center"/>
    </xf>
    <xf numFmtId="2" fontId="76" fillId="0" borderId="1" xfId="0" applyNumberFormat="1" applyFont="1" applyBorder="1" applyAlignment="1">
      <alignment horizontal="center" vertical="center"/>
    </xf>
    <xf numFmtId="0" fontId="249" fillId="0" borderId="0" xfId="0" applyFont="1" applyAlignment="1">
      <alignment horizontal="center"/>
    </xf>
    <xf numFmtId="15" fontId="0" fillId="124" borderId="105" xfId="0" applyNumberFormat="1" applyFill="1" applyBorder="1" applyAlignment="1">
      <alignment horizontal="center" vertical="center"/>
    </xf>
    <xf numFmtId="15" fontId="0" fillId="124" borderId="335" xfId="0" applyNumberFormat="1" applyFill="1" applyBorder="1" applyAlignment="1">
      <alignment horizontal="center" vertical="center"/>
    </xf>
    <xf numFmtId="0" fontId="0" fillId="124" borderId="105" xfId="0" applyFill="1" applyBorder="1" applyAlignment="1">
      <alignment horizontal="center" vertical="center" wrapText="1"/>
    </xf>
    <xf numFmtId="0" fontId="0" fillId="124" borderId="335" xfId="0" applyFill="1" applyBorder="1" applyAlignment="1">
      <alignment horizontal="center" vertical="center" wrapText="1"/>
    </xf>
    <xf numFmtId="0" fontId="0" fillId="135" borderId="105" xfId="0" applyFill="1" applyBorder="1" applyAlignment="1">
      <alignment horizontal="center" vertical="center" wrapText="1"/>
    </xf>
    <xf numFmtId="0" fontId="0" fillId="135" borderId="335" xfId="0" applyFill="1" applyBorder="1" applyAlignment="1">
      <alignment horizontal="center" vertical="center" wrapText="1"/>
    </xf>
    <xf numFmtId="247" fontId="0" fillId="29" borderId="105" xfId="0" applyNumberFormat="1" applyFill="1" applyBorder="1" applyAlignment="1">
      <alignment horizontal="center" vertical="center" wrapText="1"/>
    </xf>
    <xf numFmtId="247" fontId="0" fillId="29" borderId="335" xfId="0" applyNumberFormat="1" applyFill="1" applyBorder="1" applyAlignment="1">
      <alignment horizontal="center" vertical="center" wrapText="1"/>
    </xf>
    <xf numFmtId="15" fontId="0" fillId="29" borderId="105" xfId="0" applyNumberFormat="1" applyFill="1" applyBorder="1" applyAlignment="1">
      <alignment horizontal="center" vertical="center" wrapText="1"/>
    </xf>
    <xf numFmtId="15" fontId="0" fillId="29" borderId="335" xfId="0" applyNumberFormat="1" applyFill="1" applyBorder="1" applyAlignment="1">
      <alignment horizontal="center" vertical="center" wrapText="1"/>
    </xf>
    <xf numFmtId="247" fontId="0" fillId="47" borderId="105" xfId="0" applyNumberFormat="1" applyFill="1" applyBorder="1" applyAlignment="1">
      <alignment horizontal="center" vertical="center" wrapText="1"/>
    </xf>
    <xf numFmtId="247" fontId="0" fillId="47" borderId="335" xfId="0" applyNumberFormat="1" applyFill="1" applyBorder="1" applyAlignment="1">
      <alignment horizontal="center" vertical="center" wrapText="1"/>
    </xf>
    <xf numFmtId="0" fontId="0" fillId="127" borderId="105" xfId="0" applyFill="1" applyBorder="1" applyAlignment="1">
      <alignment horizontal="center" vertical="center"/>
    </xf>
    <xf numFmtId="0" fontId="0" fillId="0" borderId="335" xfId="0" applyBorder="1" applyAlignment="1">
      <alignment horizontal="center" vertical="center"/>
    </xf>
    <xf numFmtId="0" fontId="0" fillId="124" borderId="105" xfId="0" applyFill="1" applyBorder="1" applyAlignment="1">
      <alignment horizontal="center" vertical="center"/>
    </xf>
    <xf numFmtId="0" fontId="0" fillId="124" borderId="335" xfId="0" applyFill="1" applyBorder="1" applyAlignment="1">
      <alignment horizontal="center" vertical="center"/>
    </xf>
    <xf numFmtId="0" fontId="253" fillId="0" borderId="105" xfId="0" applyFont="1" applyBorder="1" applyAlignment="1">
      <alignment horizontal="center" vertical="center"/>
    </xf>
    <xf numFmtId="0" fontId="253" fillId="0" borderId="335" xfId="0" applyFont="1" applyBorder="1" applyAlignment="1">
      <alignment horizontal="center" vertical="center"/>
    </xf>
    <xf numFmtId="0" fontId="3" fillId="0" borderId="105" xfId="0" applyFont="1" applyBorder="1" applyAlignment="1">
      <alignment horizontal="center" vertical="center" wrapText="1"/>
    </xf>
    <xf numFmtId="0" fontId="3" fillId="0" borderId="335" xfId="0" applyFont="1" applyBorder="1" applyAlignment="1">
      <alignment horizontal="center" vertical="center"/>
    </xf>
    <xf numFmtId="15" fontId="0" fillId="108" borderId="105" xfId="0" applyNumberFormat="1" applyFill="1" applyBorder="1" applyAlignment="1">
      <alignment horizontal="center" vertical="center" wrapText="1"/>
    </xf>
    <xf numFmtId="0" fontId="0" fillId="0" borderId="335" xfId="0" applyBorder="1" applyAlignment="1">
      <alignment horizontal="center" vertical="center" wrapText="1"/>
    </xf>
    <xf numFmtId="247" fontId="0" fillId="134" borderId="105" xfId="0" applyNumberFormat="1" applyFill="1" applyBorder="1" applyAlignment="1">
      <alignment horizontal="center" vertical="center" wrapText="1"/>
    </xf>
    <xf numFmtId="247" fontId="0" fillId="134" borderId="335" xfId="0" applyNumberFormat="1" applyFill="1" applyBorder="1" applyAlignment="1">
      <alignment horizontal="center" vertical="center" wrapText="1"/>
    </xf>
    <xf numFmtId="0" fontId="0" fillId="127" borderId="105" xfId="0" applyFill="1" applyBorder="1" applyAlignment="1">
      <alignment horizontal="center" vertical="center" wrapText="1"/>
    </xf>
    <xf numFmtId="15" fontId="0" fillId="127" borderId="105" xfId="0" applyNumberFormat="1" applyFill="1" applyBorder="1" applyAlignment="1">
      <alignment horizontal="center" vertical="center"/>
    </xf>
    <xf numFmtId="15" fontId="0" fillId="0" borderId="335" xfId="0" applyNumberFormat="1" applyBorder="1" applyAlignment="1">
      <alignment horizontal="center" vertical="center"/>
    </xf>
    <xf numFmtId="15" fontId="0" fillId="134" borderId="105" xfId="0" applyNumberFormat="1" applyFill="1" applyBorder="1" applyAlignment="1">
      <alignment horizontal="center" vertical="center" wrapText="1"/>
    </xf>
    <xf numFmtId="15" fontId="0" fillId="134" borderId="335" xfId="0" applyNumberFormat="1" applyFill="1" applyBorder="1" applyAlignment="1">
      <alignment horizontal="center" vertical="center" wrapText="1"/>
    </xf>
    <xf numFmtId="15" fontId="0" fillId="0" borderId="335" xfId="0" applyNumberFormat="1" applyBorder="1" applyAlignment="1">
      <alignment horizontal="center" vertical="center" wrapText="1"/>
    </xf>
    <xf numFmtId="0" fontId="3" fillId="127" borderId="105" xfId="0" applyFont="1" applyFill="1" applyBorder="1" applyAlignment="1">
      <alignment horizontal="center" vertical="center" wrapText="1"/>
    </xf>
    <xf numFmtId="0" fontId="3" fillId="0" borderId="105" xfId="0" applyFont="1" applyBorder="1" applyAlignment="1">
      <alignment horizontal="center" vertical="center"/>
    </xf>
    <xf numFmtId="15" fontId="3" fillId="134" borderId="105" xfId="0" applyNumberFormat="1" applyFont="1" applyFill="1" applyBorder="1" applyAlignment="1">
      <alignment horizontal="center" vertical="center" wrapText="1"/>
    </xf>
    <xf numFmtId="15" fontId="0" fillId="0" borderId="14" xfId="0" applyNumberFormat="1" applyBorder="1" applyAlignment="1">
      <alignment horizontal="center" vertical="center"/>
    </xf>
    <xf numFmtId="0" fontId="0" fillId="135" borderId="26" xfId="0" applyFill="1" applyBorder="1" applyAlignment="1">
      <alignment horizontal="center" vertical="center" wrapText="1"/>
    </xf>
    <xf numFmtId="247" fontId="0" fillId="29" borderId="26" xfId="0" applyNumberFormat="1" applyFill="1" applyBorder="1" applyAlignment="1">
      <alignment horizontal="center" vertical="center" wrapText="1"/>
    </xf>
    <xf numFmtId="15" fontId="0" fillId="29" borderId="26" xfId="0" applyNumberFormat="1" applyFill="1" applyBorder="1" applyAlignment="1">
      <alignment horizontal="center" vertical="center" wrapText="1"/>
    </xf>
    <xf numFmtId="247" fontId="0" fillId="47" borderId="26" xfId="0" applyNumberFormat="1" applyFill="1" applyBorder="1" applyAlignment="1">
      <alignment horizontal="center" vertical="center" wrapText="1"/>
    </xf>
    <xf numFmtId="15" fontId="0" fillId="0" borderId="0" xfId="0" applyNumberFormat="1" applyAlignment="1">
      <alignment horizontal="center" vertical="center" wrapText="1"/>
    </xf>
    <xf numFmtId="0" fontId="0" fillId="0" borderId="14" xfId="0" applyBorder="1" applyAlignment="1">
      <alignment horizontal="center" vertical="center"/>
    </xf>
    <xf numFmtId="0" fontId="0" fillId="124" borderId="14" xfId="0" applyFill="1" applyBorder="1" applyAlignment="1">
      <alignment horizontal="center" vertical="center"/>
    </xf>
    <xf numFmtId="15" fontId="0" fillId="124" borderId="14" xfId="0" applyNumberFormat="1" applyFill="1" applyBorder="1" applyAlignment="1">
      <alignment horizontal="center" vertical="center"/>
    </xf>
    <xf numFmtId="247" fontId="0" fillId="134" borderId="26" xfId="0" applyNumberFormat="1" applyFill="1" applyBorder="1" applyAlignment="1">
      <alignment horizontal="center" vertical="center" wrapText="1"/>
    </xf>
    <xf numFmtId="15" fontId="0" fillId="47" borderId="105" xfId="0" applyNumberFormat="1" applyFill="1" applyBorder="1" applyAlignment="1">
      <alignment horizontal="center" vertical="center" wrapText="1"/>
    </xf>
    <xf numFmtId="0" fontId="76" fillId="47" borderId="209" xfId="0" applyFont="1" applyFill="1" applyBorder="1" applyAlignment="1">
      <alignment horizontal="center"/>
    </xf>
    <xf numFmtId="0" fontId="76" fillId="47" borderId="208" xfId="0" applyFont="1" applyFill="1" applyBorder="1" applyAlignment="1">
      <alignment horizontal="center"/>
    </xf>
    <xf numFmtId="0" fontId="76" fillId="108" borderId="200" xfId="0" applyFont="1" applyFill="1" applyBorder="1" applyAlignment="1">
      <alignment horizontal="center"/>
    </xf>
    <xf numFmtId="0" fontId="76" fillId="108" borderId="201" xfId="0" applyFont="1" applyFill="1" applyBorder="1" applyAlignment="1">
      <alignment horizontal="center"/>
    </xf>
    <xf numFmtId="0" fontId="93" fillId="109" borderId="203" xfId="0" applyFont="1" applyFill="1" applyBorder="1" applyAlignment="1">
      <alignment horizontal="center"/>
    </xf>
    <xf numFmtId="0" fontId="93" fillId="109" borderId="202" xfId="0" applyFont="1" applyFill="1" applyBorder="1" applyAlignment="1">
      <alignment horizontal="center"/>
    </xf>
    <xf numFmtId="1" fontId="0" fillId="91" borderId="187" xfId="0" applyNumberFormat="1" applyFill="1" applyBorder="1" applyAlignment="1">
      <alignment horizontal="center" vertical="center" wrapText="1"/>
    </xf>
    <xf numFmtId="0" fontId="2" fillId="92" borderId="130" xfId="0" applyFont="1" applyFill="1" applyBorder="1" applyAlignment="1">
      <alignment horizontal="center"/>
    </xf>
    <xf numFmtId="0" fontId="2" fillId="92" borderId="131" xfId="0" applyFont="1" applyFill="1" applyBorder="1" applyAlignment="1">
      <alignment horizontal="center"/>
    </xf>
    <xf numFmtId="0" fontId="2" fillId="92" borderId="8" xfId="0" applyFont="1" applyFill="1" applyBorder="1" applyAlignment="1">
      <alignment horizontal="center"/>
    </xf>
    <xf numFmtId="0" fontId="2" fillId="92" borderId="104" xfId="0" applyFont="1" applyFill="1" applyBorder="1" applyAlignment="1">
      <alignment horizontal="center"/>
    </xf>
    <xf numFmtId="0" fontId="2" fillId="92" borderId="10" xfId="0" applyFont="1" applyFill="1" applyBorder="1" applyAlignment="1">
      <alignment horizontal="center"/>
    </xf>
    <xf numFmtId="0" fontId="2" fillId="92" borderId="105" xfId="0" applyFont="1" applyFill="1" applyBorder="1" applyAlignment="1">
      <alignment horizontal="center" vertical="center"/>
    </xf>
    <xf numFmtId="0" fontId="2" fillId="92" borderId="14" xfId="0" applyFont="1" applyFill="1" applyBorder="1" applyAlignment="1">
      <alignment horizontal="center" vertical="center"/>
    </xf>
    <xf numFmtId="1" fontId="0" fillId="91" borderId="187" xfId="0" applyNumberFormat="1" applyFill="1" applyBorder="1" applyAlignment="1">
      <alignment horizontal="center" vertical="center"/>
    </xf>
    <xf numFmtId="0" fontId="0" fillId="91" borderId="187" xfId="0" applyFill="1" applyBorder="1" applyAlignment="1">
      <alignment horizontal="center"/>
    </xf>
    <xf numFmtId="49" fontId="0" fillId="91" borderId="187" xfId="0" applyNumberFormat="1" applyFill="1" applyBorder="1" applyAlignment="1">
      <alignment horizontal="center" vertical="center"/>
    </xf>
    <xf numFmtId="0" fontId="35" fillId="9" borderId="160" xfId="0" applyFont="1" applyFill="1" applyBorder="1" applyAlignment="1">
      <alignment horizontal="center" vertical="center"/>
    </xf>
    <xf numFmtId="0" fontId="35" fillId="9" borderId="66" xfId="0" applyFont="1" applyFill="1" applyBorder="1" applyAlignment="1">
      <alignment horizontal="center" vertical="center"/>
    </xf>
    <xf numFmtId="0" fontId="35" fillId="9" borderId="49" xfId="0" applyFont="1" applyFill="1" applyBorder="1" applyAlignment="1">
      <alignment horizontal="center" vertical="center"/>
    </xf>
    <xf numFmtId="0" fontId="35" fillId="9" borderId="160" xfId="0" applyFont="1" applyFill="1" applyBorder="1" applyAlignment="1">
      <alignment horizontal="left" vertical="center"/>
    </xf>
    <xf numFmtId="0" fontId="35" fillId="9" borderId="66" xfId="0" applyFont="1" applyFill="1" applyBorder="1" applyAlignment="1">
      <alignment horizontal="left" vertical="center"/>
    </xf>
    <xf numFmtId="0" fontId="35" fillId="9" borderId="49" xfId="0" applyFont="1" applyFill="1" applyBorder="1" applyAlignment="1">
      <alignment horizontal="left" vertical="center"/>
    </xf>
    <xf numFmtId="0" fontId="92" fillId="0" borderId="0" xfId="27" quotePrefix="1" applyAlignment="1">
      <alignment horizontal="center" vertical="center"/>
    </xf>
    <xf numFmtId="0" fontId="137" fillId="0" borderId="16" xfId="0" applyFont="1" applyBorder="1" applyAlignment="1">
      <alignment horizontal="left" vertical="center" wrapText="1"/>
    </xf>
    <xf numFmtId="0" fontId="137" fillId="0" borderId="6" xfId="0" applyFont="1" applyBorder="1" applyAlignment="1">
      <alignment horizontal="left" vertical="center" wrapText="1"/>
    </xf>
    <xf numFmtId="0" fontId="137" fillId="0" borderId="17" xfId="0" applyFont="1" applyBorder="1" applyAlignment="1">
      <alignment horizontal="left" vertical="center" wrapText="1"/>
    </xf>
    <xf numFmtId="0" fontId="133" fillId="51" borderId="0" xfId="0" applyFont="1" applyFill="1" applyAlignment="1">
      <alignment horizontal="center"/>
    </xf>
    <xf numFmtId="0" fontId="134" fillId="51" borderId="0" xfId="0" applyFont="1" applyFill="1" applyAlignment="1">
      <alignment horizontal="center"/>
    </xf>
    <xf numFmtId="0" fontId="136" fillId="0" borderId="130" xfId="0" applyFont="1" applyBorder="1" applyAlignment="1">
      <alignment horizontal="center"/>
    </xf>
    <xf numFmtId="0" fontId="136" fillId="0" borderId="131" xfId="0" applyFont="1" applyBorder="1" applyAlignment="1">
      <alignment horizontal="center"/>
    </xf>
    <xf numFmtId="0" fontId="136" fillId="0" borderId="132" xfId="0" applyFont="1" applyBorder="1" applyAlignment="1">
      <alignment horizontal="center"/>
    </xf>
    <xf numFmtId="0" fontId="137" fillId="0" borderId="47" xfId="0" applyFont="1" applyBorder="1" applyAlignment="1">
      <alignment horizontal="left" vertical="center" wrapText="1"/>
    </xf>
    <xf numFmtId="0" fontId="137" fillId="0" borderId="0" xfId="0" applyFont="1" applyAlignment="1">
      <alignment horizontal="left" vertical="center" wrapText="1"/>
    </xf>
    <xf numFmtId="0" fontId="137" fillId="0" borderId="48" xfId="0" applyFont="1" applyBorder="1" applyAlignment="1">
      <alignment horizontal="left" vertical="center" wrapText="1"/>
    </xf>
    <xf numFmtId="0" fontId="138" fillId="49" borderId="0" xfId="0" applyFont="1" applyFill="1" applyAlignment="1">
      <alignment horizontal="center" vertical="center"/>
    </xf>
    <xf numFmtId="0" fontId="138" fillId="49" borderId="50" xfId="0" applyFont="1" applyFill="1" applyBorder="1" applyAlignment="1">
      <alignment horizontal="center" vertical="center"/>
    </xf>
    <xf numFmtId="0" fontId="139" fillId="0" borderId="128" xfId="0" applyFont="1" applyBorder="1" applyAlignment="1">
      <alignment horizontal="center" vertical="center"/>
    </xf>
    <xf numFmtId="0" fontId="139" fillId="0" borderId="167" xfId="0" applyFont="1" applyBorder="1" applyAlignment="1">
      <alignment horizontal="center" vertical="center"/>
    </xf>
    <xf numFmtId="0" fontId="139" fillId="0" borderId="122" xfId="0" applyFont="1" applyBorder="1" applyAlignment="1">
      <alignment horizontal="center" vertical="center"/>
    </xf>
    <xf numFmtId="17" fontId="2" fillId="50" borderId="169" xfId="0" applyNumberFormat="1" applyFont="1" applyFill="1" applyBorder="1" applyAlignment="1">
      <alignment horizontal="center"/>
    </xf>
    <xf numFmtId="17" fontId="2" fillId="50" borderId="170" xfId="0" applyNumberFormat="1" applyFont="1" applyFill="1" applyBorder="1" applyAlignment="1">
      <alignment horizontal="center"/>
    </xf>
    <xf numFmtId="17" fontId="2" fillId="50" borderId="171" xfId="0" applyNumberFormat="1" applyFont="1" applyFill="1" applyBorder="1" applyAlignment="1">
      <alignment horizontal="center"/>
    </xf>
    <xf numFmtId="0" fontId="94" fillId="0" borderId="8" xfId="0" applyFont="1" applyBorder="1" applyAlignment="1">
      <alignment horizontal="center"/>
    </xf>
    <xf numFmtId="0" fontId="94" fillId="0" borderId="104" xfId="0" applyFont="1" applyBorder="1" applyAlignment="1">
      <alignment horizontal="center"/>
    </xf>
    <xf numFmtId="0" fontId="94" fillId="0" borderId="10" xfId="0" applyFont="1" applyBorder="1" applyAlignment="1">
      <alignment horizontal="center"/>
    </xf>
    <xf numFmtId="0" fontId="22" fillId="0" borderId="237" xfId="0" applyFont="1" applyBorder="1" applyAlignment="1">
      <alignment horizontal="center"/>
    </xf>
    <xf numFmtId="0" fontId="22" fillId="0" borderId="255" xfId="0" applyFont="1" applyBorder="1" applyAlignment="1">
      <alignment horizontal="center"/>
    </xf>
    <xf numFmtId="0" fontId="22" fillId="0" borderId="256" xfId="0" applyFont="1" applyBorder="1" applyAlignment="1">
      <alignment horizontal="center"/>
    </xf>
    <xf numFmtId="0" fontId="34" fillId="0" borderId="0" xfId="5" applyFont="1" applyAlignment="1">
      <alignment horizontal="center"/>
    </xf>
    <xf numFmtId="0" fontId="3" fillId="0" borderId="257" xfId="0" applyFont="1" applyBorder="1" applyAlignment="1">
      <alignment horizontal="right"/>
    </xf>
    <xf numFmtId="0" fontId="3" fillId="0" borderId="256" xfId="0" applyFont="1" applyBorder="1" applyAlignment="1">
      <alignment horizontal="right"/>
    </xf>
    <xf numFmtId="0" fontId="2" fillId="51" borderId="308" xfId="0" applyFont="1" applyFill="1" applyBorder="1" applyAlignment="1">
      <alignment horizontal="center" vertical="center"/>
    </xf>
    <xf numFmtId="0" fontId="2" fillId="51" borderId="308" xfId="0" applyFont="1" applyFill="1" applyBorder="1" applyAlignment="1">
      <alignment horizontal="center" vertical="center" wrapText="1"/>
    </xf>
    <xf numFmtId="194" fontId="259" fillId="26" borderId="308" xfId="0" applyNumberFormat="1" applyFont="1" applyFill="1" applyBorder="1" applyAlignment="1">
      <alignment horizontal="center" vertical="center" wrapText="1"/>
    </xf>
    <xf numFmtId="0" fontId="2" fillId="108" borderId="99" xfId="0" applyFont="1" applyFill="1" applyBorder="1" applyAlignment="1">
      <alignment horizontal="center" vertical="center"/>
    </xf>
    <xf numFmtId="0" fontId="2" fillId="108" borderId="362" xfId="0" applyFont="1" applyFill="1" applyBorder="1" applyAlignment="1">
      <alignment horizontal="center" vertical="center"/>
    </xf>
    <xf numFmtId="0" fontId="2" fillId="108" borderId="308" xfId="0" applyFont="1" applyFill="1" applyBorder="1" applyAlignment="1">
      <alignment horizontal="center" vertical="center" wrapText="1"/>
    </xf>
    <xf numFmtId="194" fontId="259" fillId="10" borderId="308" xfId="0" applyNumberFormat="1" applyFont="1" applyFill="1" applyBorder="1" applyAlignment="1">
      <alignment horizontal="center" vertical="center" wrapText="1"/>
    </xf>
    <xf numFmtId="0" fontId="2" fillId="108" borderId="308" xfId="0" applyFont="1" applyFill="1" applyBorder="1" applyAlignment="1">
      <alignment horizontal="center" vertical="center"/>
    </xf>
  </cellXfs>
  <cellStyles count="41018">
    <cellStyle name="_Costos_Detallado" xfId="33950" xr:uid="{00000000-0005-0000-0000-000000000000}"/>
    <cellStyle name="_Costos_Detallado 2" xfId="33951" xr:uid="{00000000-0005-0000-0000-000001000000}"/>
    <cellStyle name="_Libro3" xfId="33952" xr:uid="{00000000-0005-0000-0000-000002000000}"/>
    <cellStyle name="_Libro3 2" xfId="33953" xr:uid="{00000000-0005-0000-0000-000003000000}"/>
    <cellStyle name="_MEDICINA PREPAGADA DICIEMBRE 2005" xfId="33954" xr:uid="{00000000-0005-0000-0000-000004000000}"/>
    <cellStyle name="_MEDICINA PREPAGADA DICIEMBRE 2005 2" xfId="33955" xr:uid="{00000000-0005-0000-0000-000005000000}"/>
    <cellStyle name="=C:\WINNT35\SYSTEM32\COMMAND.COM" xfId="12203" xr:uid="{00000000-0005-0000-0000-000006000000}"/>
    <cellStyle name="=C:\WINNT35\SYSTEM32\COMMAND.COM 2" xfId="12204" xr:uid="{00000000-0005-0000-0000-000007000000}"/>
    <cellStyle name="=C:\WINNT35\SYSTEM32\COMMAND.COM 2 2" xfId="12205" xr:uid="{00000000-0005-0000-0000-000008000000}"/>
    <cellStyle name="=C:\WINNT35\SYSTEM32\COMMAND.COM 2 2 2" xfId="33958" xr:uid="{00000000-0005-0000-0000-000009000000}"/>
    <cellStyle name="=C:\WINNT35\SYSTEM32\COMMAND.COM 2 3" xfId="33959" xr:uid="{00000000-0005-0000-0000-00000A000000}"/>
    <cellStyle name="=C:\WINNT35\SYSTEM32\COMMAND.COM 2 4" xfId="33960" xr:uid="{00000000-0005-0000-0000-00000B000000}"/>
    <cellStyle name="=C:\WINNT35\SYSTEM32\COMMAND.COM 2 5" xfId="33957" xr:uid="{00000000-0005-0000-0000-00000C000000}"/>
    <cellStyle name="=C:\WINNT35\SYSTEM32\COMMAND.COM 3" xfId="12206" xr:uid="{00000000-0005-0000-0000-00000D000000}"/>
    <cellStyle name="=C:\WINNT35\SYSTEM32\COMMAND.COM 4" xfId="12207" xr:uid="{00000000-0005-0000-0000-00000E000000}"/>
    <cellStyle name="=C:\WINNT35\SYSTEM32\COMMAND.COM 4 2" xfId="33961" xr:uid="{00000000-0005-0000-0000-00000F000000}"/>
    <cellStyle name="=C:\WINNT35\SYSTEM32\COMMAND.COM 5" xfId="33956" xr:uid="{00000000-0005-0000-0000-000010000000}"/>
    <cellStyle name="=C:\WINNT35\SYSTEM32\COMMAND.COM_Casanare Daily Report-Aug-14th 2011" xfId="33962" xr:uid="{00000000-0005-0000-0000-000011000000}"/>
    <cellStyle name="0,0_x000d__x000a_NA_x000d__x000a_" xfId="6" xr:uid="{00000000-0005-0000-0000-000012000000}"/>
    <cellStyle name="0,0_x000d__x000a_NA_x000d__x000a_ 2" xfId="3" xr:uid="{00000000-0005-0000-0000-000013000000}"/>
    <cellStyle name="0,0_x000d__x000a_NA_x000d__x000a_ 2 2" xfId="33963" xr:uid="{00000000-0005-0000-0000-000014000000}"/>
    <cellStyle name="20% - Accent1" xfId="12208" xr:uid="{00000000-0005-0000-0000-000015000000}"/>
    <cellStyle name="20% - Accent2" xfId="12209" xr:uid="{00000000-0005-0000-0000-000016000000}"/>
    <cellStyle name="20% - Accent3" xfId="12210" xr:uid="{00000000-0005-0000-0000-000017000000}"/>
    <cellStyle name="20% - Accent4" xfId="12211" xr:uid="{00000000-0005-0000-0000-000018000000}"/>
    <cellStyle name="20% - Accent5" xfId="12212" xr:uid="{00000000-0005-0000-0000-000019000000}"/>
    <cellStyle name="20% - Accent6" xfId="12213" xr:uid="{00000000-0005-0000-0000-00001A000000}"/>
    <cellStyle name="20% - Énfasis1 10" xfId="28" xr:uid="{00000000-0005-0000-0000-00001B000000}"/>
    <cellStyle name="20% - Énfasis1 11" xfId="29" xr:uid="{00000000-0005-0000-0000-00001C000000}"/>
    <cellStyle name="20% - Énfasis1 12" xfId="30" xr:uid="{00000000-0005-0000-0000-00001D000000}"/>
    <cellStyle name="20% - Énfasis1 13" xfId="31" xr:uid="{00000000-0005-0000-0000-00001E000000}"/>
    <cellStyle name="20% - Énfasis1 14" xfId="32" xr:uid="{00000000-0005-0000-0000-00001F000000}"/>
    <cellStyle name="20% - Énfasis1 15" xfId="33" xr:uid="{00000000-0005-0000-0000-000020000000}"/>
    <cellStyle name="20% - Énfasis1 16" xfId="34" xr:uid="{00000000-0005-0000-0000-000021000000}"/>
    <cellStyle name="20% - Énfasis1 17" xfId="35" xr:uid="{00000000-0005-0000-0000-000022000000}"/>
    <cellStyle name="20% - Énfasis1 18" xfId="36" xr:uid="{00000000-0005-0000-0000-000023000000}"/>
    <cellStyle name="20% - Énfasis1 19" xfId="37" xr:uid="{00000000-0005-0000-0000-000024000000}"/>
    <cellStyle name="20% - Énfasis1 2" xfId="38" xr:uid="{00000000-0005-0000-0000-000025000000}"/>
    <cellStyle name="20% - Énfasis1 2 2" xfId="12214" xr:uid="{00000000-0005-0000-0000-000026000000}"/>
    <cellStyle name="20% - Énfasis1 2 3" xfId="12215" xr:uid="{00000000-0005-0000-0000-000027000000}"/>
    <cellStyle name="20% - Énfasis1 20" xfId="39" xr:uid="{00000000-0005-0000-0000-000028000000}"/>
    <cellStyle name="20% - Énfasis1 21" xfId="40" xr:uid="{00000000-0005-0000-0000-000029000000}"/>
    <cellStyle name="20% - Énfasis1 22" xfId="41" xr:uid="{00000000-0005-0000-0000-00002A000000}"/>
    <cellStyle name="20% - Énfasis1 23" xfId="42" xr:uid="{00000000-0005-0000-0000-00002B000000}"/>
    <cellStyle name="20% - Énfasis1 24" xfId="43" xr:uid="{00000000-0005-0000-0000-00002C000000}"/>
    <cellStyle name="20% - Énfasis1 25" xfId="44" xr:uid="{00000000-0005-0000-0000-00002D000000}"/>
    <cellStyle name="20% - Énfasis1 26" xfId="45" xr:uid="{00000000-0005-0000-0000-00002E000000}"/>
    <cellStyle name="20% - Énfasis1 27" xfId="46" xr:uid="{00000000-0005-0000-0000-00002F000000}"/>
    <cellStyle name="20% - Énfasis1 28" xfId="47" xr:uid="{00000000-0005-0000-0000-000030000000}"/>
    <cellStyle name="20% - Énfasis1 29" xfId="48" xr:uid="{00000000-0005-0000-0000-000031000000}"/>
    <cellStyle name="20% - Énfasis1 3" xfId="49" xr:uid="{00000000-0005-0000-0000-000032000000}"/>
    <cellStyle name="20% - Énfasis1 3 2" xfId="12216" xr:uid="{00000000-0005-0000-0000-000033000000}"/>
    <cellStyle name="20% - Énfasis1 3 3" xfId="12217" xr:uid="{00000000-0005-0000-0000-000034000000}"/>
    <cellStyle name="20% - Énfasis1 30" xfId="50" xr:uid="{00000000-0005-0000-0000-000035000000}"/>
    <cellStyle name="20% - Énfasis1 31" xfId="51" xr:uid="{00000000-0005-0000-0000-000036000000}"/>
    <cellStyle name="20% - Énfasis1 32" xfId="52" xr:uid="{00000000-0005-0000-0000-000037000000}"/>
    <cellStyle name="20% - Énfasis1 33" xfId="53" xr:uid="{00000000-0005-0000-0000-000038000000}"/>
    <cellStyle name="20% - Énfasis1 34" xfId="54" xr:uid="{00000000-0005-0000-0000-000039000000}"/>
    <cellStyle name="20% - Énfasis1 35" xfId="55" xr:uid="{00000000-0005-0000-0000-00003A000000}"/>
    <cellStyle name="20% - Énfasis1 36" xfId="56" xr:uid="{00000000-0005-0000-0000-00003B000000}"/>
    <cellStyle name="20% - Énfasis1 37" xfId="57" xr:uid="{00000000-0005-0000-0000-00003C000000}"/>
    <cellStyle name="20% - Énfasis1 38" xfId="58" xr:uid="{00000000-0005-0000-0000-00003D000000}"/>
    <cellStyle name="20% - Énfasis1 39" xfId="59" xr:uid="{00000000-0005-0000-0000-00003E000000}"/>
    <cellStyle name="20% - Énfasis1 4" xfId="60" xr:uid="{00000000-0005-0000-0000-00003F000000}"/>
    <cellStyle name="20% - Énfasis1 4 2" xfId="12218" xr:uid="{00000000-0005-0000-0000-000040000000}"/>
    <cellStyle name="20% - Énfasis1 4 3" xfId="12219" xr:uid="{00000000-0005-0000-0000-000041000000}"/>
    <cellStyle name="20% - Énfasis1 40" xfId="61" xr:uid="{00000000-0005-0000-0000-000042000000}"/>
    <cellStyle name="20% - Énfasis1 41" xfId="62" xr:uid="{00000000-0005-0000-0000-000043000000}"/>
    <cellStyle name="20% - Énfasis1 42" xfId="63" xr:uid="{00000000-0005-0000-0000-000044000000}"/>
    <cellStyle name="20% - Énfasis1 43" xfId="64" xr:uid="{00000000-0005-0000-0000-000045000000}"/>
    <cellStyle name="20% - Énfasis1 44" xfId="65" xr:uid="{00000000-0005-0000-0000-000046000000}"/>
    <cellStyle name="20% - Énfasis1 45" xfId="66" xr:uid="{00000000-0005-0000-0000-000047000000}"/>
    <cellStyle name="20% - Énfasis1 46" xfId="67" xr:uid="{00000000-0005-0000-0000-000048000000}"/>
    <cellStyle name="20% - Énfasis1 47" xfId="68" xr:uid="{00000000-0005-0000-0000-000049000000}"/>
    <cellStyle name="20% - Énfasis1 48" xfId="69" xr:uid="{00000000-0005-0000-0000-00004A000000}"/>
    <cellStyle name="20% - Énfasis1 49" xfId="70" xr:uid="{00000000-0005-0000-0000-00004B000000}"/>
    <cellStyle name="20% - Énfasis1 5" xfId="71" xr:uid="{00000000-0005-0000-0000-00004C000000}"/>
    <cellStyle name="20% - Énfasis1 5 2" xfId="12220" xr:uid="{00000000-0005-0000-0000-00004D000000}"/>
    <cellStyle name="20% - Énfasis1 50" xfId="72" xr:uid="{00000000-0005-0000-0000-00004E000000}"/>
    <cellStyle name="20% - Énfasis1 6" xfId="73" xr:uid="{00000000-0005-0000-0000-00004F000000}"/>
    <cellStyle name="20% - Énfasis1 6 2" xfId="12221" xr:uid="{00000000-0005-0000-0000-000050000000}"/>
    <cellStyle name="20% - Énfasis1 7" xfId="74" xr:uid="{00000000-0005-0000-0000-000051000000}"/>
    <cellStyle name="20% - Énfasis1 7 2" xfId="12222" xr:uid="{00000000-0005-0000-0000-000052000000}"/>
    <cellStyle name="20% - Énfasis1 8" xfId="75" xr:uid="{00000000-0005-0000-0000-000053000000}"/>
    <cellStyle name="20% - Énfasis1 8 2" xfId="12223" xr:uid="{00000000-0005-0000-0000-000054000000}"/>
    <cellStyle name="20% - Énfasis1 9" xfId="76" xr:uid="{00000000-0005-0000-0000-000055000000}"/>
    <cellStyle name="20% - Énfasis1 9 2" xfId="12224" xr:uid="{00000000-0005-0000-0000-000056000000}"/>
    <cellStyle name="20% - Énfasis2 10" xfId="77" xr:uid="{00000000-0005-0000-0000-000057000000}"/>
    <cellStyle name="20% - Énfasis2 11" xfId="78" xr:uid="{00000000-0005-0000-0000-000058000000}"/>
    <cellStyle name="20% - Énfasis2 12" xfId="79" xr:uid="{00000000-0005-0000-0000-000059000000}"/>
    <cellStyle name="20% - Énfasis2 13" xfId="80" xr:uid="{00000000-0005-0000-0000-00005A000000}"/>
    <cellStyle name="20% - Énfasis2 14" xfId="81" xr:uid="{00000000-0005-0000-0000-00005B000000}"/>
    <cellStyle name="20% - Énfasis2 15" xfId="82" xr:uid="{00000000-0005-0000-0000-00005C000000}"/>
    <cellStyle name="20% - Énfasis2 16" xfId="83" xr:uid="{00000000-0005-0000-0000-00005D000000}"/>
    <cellStyle name="20% - Énfasis2 17" xfId="84" xr:uid="{00000000-0005-0000-0000-00005E000000}"/>
    <cellStyle name="20% - Énfasis2 18" xfId="85" xr:uid="{00000000-0005-0000-0000-00005F000000}"/>
    <cellStyle name="20% - Énfasis2 19" xfId="86" xr:uid="{00000000-0005-0000-0000-000060000000}"/>
    <cellStyle name="20% - Énfasis2 2" xfId="87" xr:uid="{00000000-0005-0000-0000-000061000000}"/>
    <cellStyle name="20% - Énfasis2 2 2" xfId="12225" xr:uid="{00000000-0005-0000-0000-000062000000}"/>
    <cellStyle name="20% - Énfasis2 2 3" xfId="12226" xr:uid="{00000000-0005-0000-0000-000063000000}"/>
    <cellStyle name="20% - Énfasis2 20" xfId="88" xr:uid="{00000000-0005-0000-0000-000064000000}"/>
    <cellStyle name="20% - Énfasis2 21" xfId="89" xr:uid="{00000000-0005-0000-0000-000065000000}"/>
    <cellStyle name="20% - Énfasis2 22" xfId="90" xr:uid="{00000000-0005-0000-0000-000066000000}"/>
    <cellStyle name="20% - Énfasis2 23" xfId="91" xr:uid="{00000000-0005-0000-0000-000067000000}"/>
    <cellStyle name="20% - Énfasis2 24" xfId="92" xr:uid="{00000000-0005-0000-0000-000068000000}"/>
    <cellStyle name="20% - Énfasis2 25" xfId="93" xr:uid="{00000000-0005-0000-0000-000069000000}"/>
    <cellStyle name="20% - Énfasis2 26" xfId="94" xr:uid="{00000000-0005-0000-0000-00006A000000}"/>
    <cellStyle name="20% - Énfasis2 27" xfId="95" xr:uid="{00000000-0005-0000-0000-00006B000000}"/>
    <cellStyle name="20% - Énfasis2 28" xfId="96" xr:uid="{00000000-0005-0000-0000-00006C000000}"/>
    <cellStyle name="20% - Énfasis2 29" xfId="97" xr:uid="{00000000-0005-0000-0000-00006D000000}"/>
    <cellStyle name="20% - Énfasis2 3" xfId="98" xr:uid="{00000000-0005-0000-0000-00006E000000}"/>
    <cellStyle name="20% - Énfasis2 3 2" xfId="12227" xr:uid="{00000000-0005-0000-0000-00006F000000}"/>
    <cellStyle name="20% - Énfasis2 3 3" xfId="12228" xr:uid="{00000000-0005-0000-0000-000070000000}"/>
    <cellStyle name="20% - Énfasis2 30" xfId="99" xr:uid="{00000000-0005-0000-0000-000071000000}"/>
    <cellStyle name="20% - Énfasis2 31" xfId="100" xr:uid="{00000000-0005-0000-0000-000072000000}"/>
    <cellStyle name="20% - Énfasis2 32" xfId="101" xr:uid="{00000000-0005-0000-0000-000073000000}"/>
    <cellStyle name="20% - Énfasis2 33" xfId="102" xr:uid="{00000000-0005-0000-0000-000074000000}"/>
    <cellStyle name="20% - Énfasis2 34" xfId="103" xr:uid="{00000000-0005-0000-0000-000075000000}"/>
    <cellStyle name="20% - Énfasis2 35" xfId="104" xr:uid="{00000000-0005-0000-0000-000076000000}"/>
    <cellStyle name="20% - Énfasis2 36" xfId="105" xr:uid="{00000000-0005-0000-0000-000077000000}"/>
    <cellStyle name="20% - Énfasis2 37" xfId="106" xr:uid="{00000000-0005-0000-0000-000078000000}"/>
    <cellStyle name="20% - Énfasis2 38" xfId="107" xr:uid="{00000000-0005-0000-0000-000079000000}"/>
    <cellStyle name="20% - Énfasis2 39" xfId="108" xr:uid="{00000000-0005-0000-0000-00007A000000}"/>
    <cellStyle name="20% - Énfasis2 4" xfId="109" xr:uid="{00000000-0005-0000-0000-00007B000000}"/>
    <cellStyle name="20% - Énfasis2 4 2" xfId="12229" xr:uid="{00000000-0005-0000-0000-00007C000000}"/>
    <cellStyle name="20% - Énfasis2 4 3" xfId="12230" xr:uid="{00000000-0005-0000-0000-00007D000000}"/>
    <cellStyle name="20% - Énfasis2 40" xfId="110" xr:uid="{00000000-0005-0000-0000-00007E000000}"/>
    <cellStyle name="20% - Énfasis2 41" xfId="111" xr:uid="{00000000-0005-0000-0000-00007F000000}"/>
    <cellStyle name="20% - Énfasis2 42" xfId="112" xr:uid="{00000000-0005-0000-0000-000080000000}"/>
    <cellStyle name="20% - Énfasis2 43" xfId="113" xr:uid="{00000000-0005-0000-0000-000081000000}"/>
    <cellStyle name="20% - Énfasis2 44" xfId="114" xr:uid="{00000000-0005-0000-0000-000082000000}"/>
    <cellStyle name="20% - Énfasis2 45" xfId="115" xr:uid="{00000000-0005-0000-0000-000083000000}"/>
    <cellStyle name="20% - Énfasis2 46" xfId="116" xr:uid="{00000000-0005-0000-0000-000084000000}"/>
    <cellStyle name="20% - Énfasis2 47" xfId="117" xr:uid="{00000000-0005-0000-0000-000085000000}"/>
    <cellStyle name="20% - Énfasis2 48" xfId="118" xr:uid="{00000000-0005-0000-0000-000086000000}"/>
    <cellStyle name="20% - Énfasis2 49" xfId="119" xr:uid="{00000000-0005-0000-0000-000087000000}"/>
    <cellStyle name="20% - Énfasis2 5" xfId="120" xr:uid="{00000000-0005-0000-0000-000088000000}"/>
    <cellStyle name="20% - Énfasis2 5 2" xfId="12231" xr:uid="{00000000-0005-0000-0000-000089000000}"/>
    <cellStyle name="20% - Énfasis2 50" xfId="121" xr:uid="{00000000-0005-0000-0000-00008A000000}"/>
    <cellStyle name="20% - Énfasis2 6" xfId="122" xr:uid="{00000000-0005-0000-0000-00008B000000}"/>
    <cellStyle name="20% - Énfasis2 6 2" xfId="12232" xr:uid="{00000000-0005-0000-0000-00008C000000}"/>
    <cellStyle name="20% - Énfasis2 7" xfId="123" xr:uid="{00000000-0005-0000-0000-00008D000000}"/>
    <cellStyle name="20% - Énfasis2 7 2" xfId="12233" xr:uid="{00000000-0005-0000-0000-00008E000000}"/>
    <cellStyle name="20% - Énfasis2 8" xfId="124" xr:uid="{00000000-0005-0000-0000-00008F000000}"/>
    <cellStyle name="20% - Énfasis2 8 2" xfId="12234" xr:uid="{00000000-0005-0000-0000-000090000000}"/>
    <cellStyle name="20% - Énfasis2 9" xfId="125" xr:uid="{00000000-0005-0000-0000-000091000000}"/>
    <cellStyle name="20% - Énfasis2 9 2" xfId="12235" xr:uid="{00000000-0005-0000-0000-000092000000}"/>
    <cellStyle name="20% - Énfasis3 10" xfId="126" xr:uid="{00000000-0005-0000-0000-000093000000}"/>
    <cellStyle name="20% - Énfasis3 11" xfId="127" xr:uid="{00000000-0005-0000-0000-000094000000}"/>
    <cellStyle name="20% - Énfasis3 12" xfId="128" xr:uid="{00000000-0005-0000-0000-000095000000}"/>
    <cellStyle name="20% - Énfasis3 13" xfId="129" xr:uid="{00000000-0005-0000-0000-000096000000}"/>
    <cellStyle name="20% - Énfasis3 14" xfId="130" xr:uid="{00000000-0005-0000-0000-000097000000}"/>
    <cellStyle name="20% - Énfasis3 15" xfId="131" xr:uid="{00000000-0005-0000-0000-000098000000}"/>
    <cellStyle name="20% - Énfasis3 16" xfId="132" xr:uid="{00000000-0005-0000-0000-000099000000}"/>
    <cellStyle name="20% - Énfasis3 17" xfId="133" xr:uid="{00000000-0005-0000-0000-00009A000000}"/>
    <cellStyle name="20% - Énfasis3 18" xfId="134" xr:uid="{00000000-0005-0000-0000-00009B000000}"/>
    <cellStyle name="20% - Énfasis3 19" xfId="135" xr:uid="{00000000-0005-0000-0000-00009C000000}"/>
    <cellStyle name="20% - Énfasis3 2" xfId="136" xr:uid="{00000000-0005-0000-0000-00009D000000}"/>
    <cellStyle name="20% - Énfasis3 2 2" xfId="12236" xr:uid="{00000000-0005-0000-0000-00009E000000}"/>
    <cellStyle name="20% - Énfasis3 2 3" xfId="12237" xr:uid="{00000000-0005-0000-0000-00009F000000}"/>
    <cellStyle name="20% - Énfasis3 20" xfId="137" xr:uid="{00000000-0005-0000-0000-0000A0000000}"/>
    <cellStyle name="20% - Énfasis3 21" xfId="138" xr:uid="{00000000-0005-0000-0000-0000A1000000}"/>
    <cellStyle name="20% - Énfasis3 22" xfId="139" xr:uid="{00000000-0005-0000-0000-0000A2000000}"/>
    <cellStyle name="20% - Énfasis3 23" xfId="140" xr:uid="{00000000-0005-0000-0000-0000A3000000}"/>
    <cellStyle name="20% - Énfasis3 24" xfId="141" xr:uid="{00000000-0005-0000-0000-0000A4000000}"/>
    <cellStyle name="20% - Énfasis3 25" xfId="142" xr:uid="{00000000-0005-0000-0000-0000A5000000}"/>
    <cellStyle name="20% - Énfasis3 26" xfId="143" xr:uid="{00000000-0005-0000-0000-0000A6000000}"/>
    <cellStyle name="20% - Énfasis3 27" xfId="144" xr:uid="{00000000-0005-0000-0000-0000A7000000}"/>
    <cellStyle name="20% - Énfasis3 28" xfId="145" xr:uid="{00000000-0005-0000-0000-0000A8000000}"/>
    <cellStyle name="20% - Énfasis3 29" xfId="146" xr:uid="{00000000-0005-0000-0000-0000A9000000}"/>
    <cellStyle name="20% - Énfasis3 3" xfId="147" xr:uid="{00000000-0005-0000-0000-0000AA000000}"/>
    <cellStyle name="20% - Énfasis3 3 2" xfId="12238" xr:uid="{00000000-0005-0000-0000-0000AB000000}"/>
    <cellStyle name="20% - Énfasis3 3 3" xfId="12239" xr:uid="{00000000-0005-0000-0000-0000AC000000}"/>
    <cellStyle name="20% - Énfasis3 30" xfId="148" xr:uid="{00000000-0005-0000-0000-0000AD000000}"/>
    <cellStyle name="20% - Énfasis3 31" xfId="149" xr:uid="{00000000-0005-0000-0000-0000AE000000}"/>
    <cellStyle name="20% - Énfasis3 32" xfId="150" xr:uid="{00000000-0005-0000-0000-0000AF000000}"/>
    <cellStyle name="20% - Énfasis3 33" xfId="151" xr:uid="{00000000-0005-0000-0000-0000B0000000}"/>
    <cellStyle name="20% - Énfasis3 34" xfId="152" xr:uid="{00000000-0005-0000-0000-0000B1000000}"/>
    <cellStyle name="20% - Énfasis3 35" xfId="153" xr:uid="{00000000-0005-0000-0000-0000B2000000}"/>
    <cellStyle name="20% - Énfasis3 36" xfId="154" xr:uid="{00000000-0005-0000-0000-0000B3000000}"/>
    <cellStyle name="20% - Énfasis3 37" xfId="155" xr:uid="{00000000-0005-0000-0000-0000B4000000}"/>
    <cellStyle name="20% - Énfasis3 38" xfId="156" xr:uid="{00000000-0005-0000-0000-0000B5000000}"/>
    <cellStyle name="20% - Énfasis3 39" xfId="157" xr:uid="{00000000-0005-0000-0000-0000B6000000}"/>
    <cellStyle name="20% - Énfasis3 4" xfId="158" xr:uid="{00000000-0005-0000-0000-0000B7000000}"/>
    <cellStyle name="20% - Énfasis3 4 2" xfId="12240" xr:uid="{00000000-0005-0000-0000-0000B8000000}"/>
    <cellStyle name="20% - Énfasis3 4 3" xfId="12241" xr:uid="{00000000-0005-0000-0000-0000B9000000}"/>
    <cellStyle name="20% - Énfasis3 40" xfId="159" xr:uid="{00000000-0005-0000-0000-0000BA000000}"/>
    <cellStyle name="20% - Énfasis3 41" xfId="160" xr:uid="{00000000-0005-0000-0000-0000BB000000}"/>
    <cellStyle name="20% - Énfasis3 42" xfId="161" xr:uid="{00000000-0005-0000-0000-0000BC000000}"/>
    <cellStyle name="20% - Énfasis3 43" xfId="162" xr:uid="{00000000-0005-0000-0000-0000BD000000}"/>
    <cellStyle name="20% - Énfasis3 44" xfId="163" xr:uid="{00000000-0005-0000-0000-0000BE000000}"/>
    <cellStyle name="20% - Énfasis3 45" xfId="164" xr:uid="{00000000-0005-0000-0000-0000BF000000}"/>
    <cellStyle name="20% - Énfasis3 46" xfId="165" xr:uid="{00000000-0005-0000-0000-0000C0000000}"/>
    <cellStyle name="20% - Énfasis3 47" xfId="166" xr:uid="{00000000-0005-0000-0000-0000C1000000}"/>
    <cellStyle name="20% - Énfasis3 48" xfId="167" xr:uid="{00000000-0005-0000-0000-0000C2000000}"/>
    <cellStyle name="20% - Énfasis3 49" xfId="168" xr:uid="{00000000-0005-0000-0000-0000C3000000}"/>
    <cellStyle name="20% - Énfasis3 5" xfId="169" xr:uid="{00000000-0005-0000-0000-0000C4000000}"/>
    <cellStyle name="20% - Énfasis3 5 2" xfId="12242" xr:uid="{00000000-0005-0000-0000-0000C5000000}"/>
    <cellStyle name="20% - Énfasis3 50" xfId="170" xr:uid="{00000000-0005-0000-0000-0000C6000000}"/>
    <cellStyle name="20% - Énfasis3 6" xfId="171" xr:uid="{00000000-0005-0000-0000-0000C7000000}"/>
    <cellStyle name="20% - Énfasis3 6 2" xfId="12243" xr:uid="{00000000-0005-0000-0000-0000C8000000}"/>
    <cellStyle name="20% - Énfasis3 7" xfId="172" xr:uid="{00000000-0005-0000-0000-0000C9000000}"/>
    <cellStyle name="20% - Énfasis3 7 2" xfId="12244" xr:uid="{00000000-0005-0000-0000-0000CA000000}"/>
    <cellStyle name="20% - Énfasis3 8" xfId="173" xr:uid="{00000000-0005-0000-0000-0000CB000000}"/>
    <cellStyle name="20% - Énfasis3 8 2" xfId="12245" xr:uid="{00000000-0005-0000-0000-0000CC000000}"/>
    <cellStyle name="20% - Énfasis3 9" xfId="174" xr:uid="{00000000-0005-0000-0000-0000CD000000}"/>
    <cellStyle name="20% - Énfasis3 9 2" xfId="12246" xr:uid="{00000000-0005-0000-0000-0000CE000000}"/>
    <cellStyle name="20% - Énfasis4 10" xfId="175" xr:uid="{00000000-0005-0000-0000-0000CF000000}"/>
    <cellStyle name="20% - Énfasis4 11" xfId="176" xr:uid="{00000000-0005-0000-0000-0000D0000000}"/>
    <cellStyle name="20% - Énfasis4 12" xfId="177" xr:uid="{00000000-0005-0000-0000-0000D1000000}"/>
    <cellStyle name="20% - Énfasis4 13" xfId="178" xr:uid="{00000000-0005-0000-0000-0000D2000000}"/>
    <cellStyle name="20% - Énfasis4 14" xfId="179" xr:uid="{00000000-0005-0000-0000-0000D3000000}"/>
    <cellStyle name="20% - Énfasis4 15" xfId="180" xr:uid="{00000000-0005-0000-0000-0000D4000000}"/>
    <cellStyle name="20% - Énfasis4 16" xfId="181" xr:uid="{00000000-0005-0000-0000-0000D5000000}"/>
    <cellStyle name="20% - Énfasis4 17" xfId="182" xr:uid="{00000000-0005-0000-0000-0000D6000000}"/>
    <cellStyle name="20% - Énfasis4 18" xfId="183" xr:uid="{00000000-0005-0000-0000-0000D7000000}"/>
    <cellStyle name="20% - Énfasis4 19" xfId="184" xr:uid="{00000000-0005-0000-0000-0000D8000000}"/>
    <cellStyle name="20% - Énfasis4 2" xfId="185" xr:uid="{00000000-0005-0000-0000-0000D9000000}"/>
    <cellStyle name="20% - Énfasis4 2 2" xfId="12247" xr:uid="{00000000-0005-0000-0000-0000DA000000}"/>
    <cellStyle name="20% - Énfasis4 2 3" xfId="12248" xr:uid="{00000000-0005-0000-0000-0000DB000000}"/>
    <cellStyle name="20% - Énfasis4 20" xfId="186" xr:uid="{00000000-0005-0000-0000-0000DC000000}"/>
    <cellStyle name="20% - Énfasis4 21" xfId="187" xr:uid="{00000000-0005-0000-0000-0000DD000000}"/>
    <cellStyle name="20% - Énfasis4 22" xfId="188" xr:uid="{00000000-0005-0000-0000-0000DE000000}"/>
    <cellStyle name="20% - Énfasis4 23" xfId="189" xr:uid="{00000000-0005-0000-0000-0000DF000000}"/>
    <cellStyle name="20% - Énfasis4 24" xfId="190" xr:uid="{00000000-0005-0000-0000-0000E0000000}"/>
    <cellStyle name="20% - Énfasis4 25" xfId="191" xr:uid="{00000000-0005-0000-0000-0000E1000000}"/>
    <cellStyle name="20% - Énfasis4 26" xfId="192" xr:uid="{00000000-0005-0000-0000-0000E2000000}"/>
    <cellStyle name="20% - Énfasis4 27" xfId="193" xr:uid="{00000000-0005-0000-0000-0000E3000000}"/>
    <cellStyle name="20% - Énfasis4 28" xfId="194" xr:uid="{00000000-0005-0000-0000-0000E4000000}"/>
    <cellStyle name="20% - Énfasis4 29" xfId="195" xr:uid="{00000000-0005-0000-0000-0000E5000000}"/>
    <cellStyle name="20% - Énfasis4 3" xfId="196" xr:uid="{00000000-0005-0000-0000-0000E6000000}"/>
    <cellStyle name="20% - Énfasis4 3 2" xfId="12249" xr:uid="{00000000-0005-0000-0000-0000E7000000}"/>
    <cellStyle name="20% - Énfasis4 3 3" xfId="12250" xr:uid="{00000000-0005-0000-0000-0000E8000000}"/>
    <cellStyle name="20% - Énfasis4 30" xfId="197" xr:uid="{00000000-0005-0000-0000-0000E9000000}"/>
    <cellStyle name="20% - Énfasis4 31" xfId="198" xr:uid="{00000000-0005-0000-0000-0000EA000000}"/>
    <cellStyle name="20% - Énfasis4 32" xfId="199" xr:uid="{00000000-0005-0000-0000-0000EB000000}"/>
    <cellStyle name="20% - Énfasis4 33" xfId="200" xr:uid="{00000000-0005-0000-0000-0000EC000000}"/>
    <cellStyle name="20% - Énfasis4 34" xfId="201" xr:uid="{00000000-0005-0000-0000-0000ED000000}"/>
    <cellStyle name="20% - Énfasis4 35" xfId="202" xr:uid="{00000000-0005-0000-0000-0000EE000000}"/>
    <cellStyle name="20% - Énfasis4 36" xfId="203" xr:uid="{00000000-0005-0000-0000-0000EF000000}"/>
    <cellStyle name="20% - Énfasis4 37" xfId="204" xr:uid="{00000000-0005-0000-0000-0000F0000000}"/>
    <cellStyle name="20% - Énfasis4 38" xfId="205" xr:uid="{00000000-0005-0000-0000-0000F1000000}"/>
    <cellStyle name="20% - Énfasis4 39" xfId="206" xr:uid="{00000000-0005-0000-0000-0000F2000000}"/>
    <cellStyle name="20% - Énfasis4 4" xfId="207" xr:uid="{00000000-0005-0000-0000-0000F3000000}"/>
    <cellStyle name="20% - Énfasis4 4 2" xfId="12251" xr:uid="{00000000-0005-0000-0000-0000F4000000}"/>
    <cellStyle name="20% - Énfasis4 4 3" xfId="12252" xr:uid="{00000000-0005-0000-0000-0000F5000000}"/>
    <cellStyle name="20% - Énfasis4 40" xfId="208" xr:uid="{00000000-0005-0000-0000-0000F6000000}"/>
    <cellStyle name="20% - Énfasis4 41" xfId="209" xr:uid="{00000000-0005-0000-0000-0000F7000000}"/>
    <cellStyle name="20% - Énfasis4 42" xfId="210" xr:uid="{00000000-0005-0000-0000-0000F8000000}"/>
    <cellStyle name="20% - Énfasis4 43" xfId="211" xr:uid="{00000000-0005-0000-0000-0000F9000000}"/>
    <cellStyle name="20% - Énfasis4 44" xfId="212" xr:uid="{00000000-0005-0000-0000-0000FA000000}"/>
    <cellStyle name="20% - Énfasis4 45" xfId="213" xr:uid="{00000000-0005-0000-0000-0000FB000000}"/>
    <cellStyle name="20% - Énfasis4 46" xfId="214" xr:uid="{00000000-0005-0000-0000-0000FC000000}"/>
    <cellStyle name="20% - Énfasis4 47" xfId="215" xr:uid="{00000000-0005-0000-0000-0000FD000000}"/>
    <cellStyle name="20% - Énfasis4 48" xfId="216" xr:uid="{00000000-0005-0000-0000-0000FE000000}"/>
    <cellStyle name="20% - Énfasis4 49" xfId="217" xr:uid="{00000000-0005-0000-0000-0000FF000000}"/>
    <cellStyle name="20% - Énfasis4 5" xfId="218" xr:uid="{00000000-0005-0000-0000-000000010000}"/>
    <cellStyle name="20% - Énfasis4 5 2" xfId="12253" xr:uid="{00000000-0005-0000-0000-000001010000}"/>
    <cellStyle name="20% - Énfasis4 50" xfId="219" xr:uid="{00000000-0005-0000-0000-000002010000}"/>
    <cellStyle name="20% - Énfasis4 6" xfId="220" xr:uid="{00000000-0005-0000-0000-000003010000}"/>
    <cellStyle name="20% - Énfasis4 6 2" xfId="12254" xr:uid="{00000000-0005-0000-0000-000004010000}"/>
    <cellStyle name="20% - Énfasis4 7" xfId="221" xr:uid="{00000000-0005-0000-0000-000005010000}"/>
    <cellStyle name="20% - Énfasis4 7 2" xfId="12255" xr:uid="{00000000-0005-0000-0000-000006010000}"/>
    <cellStyle name="20% - Énfasis4 8" xfId="222" xr:uid="{00000000-0005-0000-0000-000007010000}"/>
    <cellStyle name="20% - Énfasis4 8 2" xfId="12256" xr:uid="{00000000-0005-0000-0000-000008010000}"/>
    <cellStyle name="20% - Énfasis4 9" xfId="223" xr:uid="{00000000-0005-0000-0000-000009010000}"/>
    <cellStyle name="20% - Énfasis4 9 2" xfId="12257" xr:uid="{00000000-0005-0000-0000-00000A010000}"/>
    <cellStyle name="20% - Énfasis5 10" xfId="224" xr:uid="{00000000-0005-0000-0000-00000B010000}"/>
    <cellStyle name="20% - Énfasis5 11" xfId="225" xr:uid="{00000000-0005-0000-0000-00000C010000}"/>
    <cellStyle name="20% - Énfasis5 12" xfId="226" xr:uid="{00000000-0005-0000-0000-00000D010000}"/>
    <cellStyle name="20% - Énfasis5 13" xfId="227" xr:uid="{00000000-0005-0000-0000-00000E010000}"/>
    <cellStyle name="20% - Énfasis5 14" xfId="228" xr:uid="{00000000-0005-0000-0000-00000F010000}"/>
    <cellStyle name="20% - Énfasis5 15" xfId="229" xr:uid="{00000000-0005-0000-0000-000010010000}"/>
    <cellStyle name="20% - Énfasis5 16" xfId="230" xr:uid="{00000000-0005-0000-0000-000011010000}"/>
    <cellStyle name="20% - Énfasis5 17" xfId="231" xr:uid="{00000000-0005-0000-0000-000012010000}"/>
    <cellStyle name="20% - Énfasis5 18" xfId="232" xr:uid="{00000000-0005-0000-0000-000013010000}"/>
    <cellStyle name="20% - Énfasis5 19" xfId="233" xr:uid="{00000000-0005-0000-0000-000014010000}"/>
    <cellStyle name="20% - Énfasis5 2" xfId="234" xr:uid="{00000000-0005-0000-0000-000015010000}"/>
    <cellStyle name="20% - Énfasis5 2 2" xfId="12258" xr:uid="{00000000-0005-0000-0000-000016010000}"/>
    <cellStyle name="20% - Énfasis5 2 3" xfId="12259" xr:uid="{00000000-0005-0000-0000-000017010000}"/>
    <cellStyle name="20% - Énfasis5 20" xfId="235" xr:uid="{00000000-0005-0000-0000-000018010000}"/>
    <cellStyle name="20% - Énfasis5 21" xfId="236" xr:uid="{00000000-0005-0000-0000-000019010000}"/>
    <cellStyle name="20% - Énfasis5 22" xfId="237" xr:uid="{00000000-0005-0000-0000-00001A010000}"/>
    <cellStyle name="20% - Énfasis5 23" xfId="238" xr:uid="{00000000-0005-0000-0000-00001B010000}"/>
    <cellStyle name="20% - Énfasis5 24" xfId="239" xr:uid="{00000000-0005-0000-0000-00001C010000}"/>
    <cellStyle name="20% - Énfasis5 25" xfId="240" xr:uid="{00000000-0005-0000-0000-00001D010000}"/>
    <cellStyle name="20% - Énfasis5 26" xfId="241" xr:uid="{00000000-0005-0000-0000-00001E010000}"/>
    <cellStyle name="20% - Énfasis5 27" xfId="242" xr:uid="{00000000-0005-0000-0000-00001F010000}"/>
    <cellStyle name="20% - Énfasis5 28" xfId="243" xr:uid="{00000000-0005-0000-0000-000020010000}"/>
    <cellStyle name="20% - Énfasis5 29" xfId="244" xr:uid="{00000000-0005-0000-0000-000021010000}"/>
    <cellStyle name="20% - Énfasis5 3" xfId="245" xr:uid="{00000000-0005-0000-0000-000022010000}"/>
    <cellStyle name="20% - Énfasis5 3 2" xfId="12260" xr:uid="{00000000-0005-0000-0000-000023010000}"/>
    <cellStyle name="20% - Énfasis5 3 3" xfId="12261" xr:uid="{00000000-0005-0000-0000-000024010000}"/>
    <cellStyle name="20% - Énfasis5 30" xfId="246" xr:uid="{00000000-0005-0000-0000-000025010000}"/>
    <cellStyle name="20% - Énfasis5 31" xfId="247" xr:uid="{00000000-0005-0000-0000-000026010000}"/>
    <cellStyle name="20% - Énfasis5 32" xfId="248" xr:uid="{00000000-0005-0000-0000-000027010000}"/>
    <cellStyle name="20% - Énfasis5 33" xfId="249" xr:uid="{00000000-0005-0000-0000-000028010000}"/>
    <cellStyle name="20% - Énfasis5 34" xfId="250" xr:uid="{00000000-0005-0000-0000-000029010000}"/>
    <cellStyle name="20% - Énfasis5 35" xfId="251" xr:uid="{00000000-0005-0000-0000-00002A010000}"/>
    <cellStyle name="20% - Énfasis5 36" xfId="252" xr:uid="{00000000-0005-0000-0000-00002B010000}"/>
    <cellStyle name="20% - Énfasis5 37" xfId="253" xr:uid="{00000000-0005-0000-0000-00002C010000}"/>
    <cellStyle name="20% - Énfasis5 38" xfId="254" xr:uid="{00000000-0005-0000-0000-00002D010000}"/>
    <cellStyle name="20% - Énfasis5 39" xfId="255" xr:uid="{00000000-0005-0000-0000-00002E010000}"/>
    <cellStyle name="20% - Énfasis5 4" xfId="256" xr:uid="{00000000-0005-0000-0000-00002F010000}"/>
    <cellStyle name="20% - Énfasis5 4 2" xfId="12262" xr:uid="{00000000-0005-0000-0000-000030010000}"/>
    <cellStyle name="20% - Énfasis5 4 3" xfId="12263" xr:uid="{00000000-0005-0000-0000-000031010000}"/>
    <cellStyle name="20% - Énfasis5 40" xfId="257" xr:uid="{00000000-0005-0000-0000-000032010000}"/>
    <cellStyle name="20% - Énfasis5 41" xfId="258" xr:uid="{00000000-0005-0000-0000-000033010000}"/>
    <cellStyle name="20% - Énfasis5 42" xfId="259" xr:uid="{00000000-0005-0000-0000-000034010000}"/>
    <cellStyle name="20% - Énfasis5 43" xfId="260" xr:uid="{00000000-0005-0000-0000-000035010000}"/>
    <cellStyle name="20% - Énfasis5 44" xfId="261" xr:uid="{00000000-0005-0000-0000-000036010000}"/>
    <cellStyle name="20% - Énfasis5 45" xfId="262" xr:uid="{00000000-0005-0000-0000-000037010000}"/>
    <cellStyle name="20% - Énfasis5 46" xfId="263" xr:uid="{00000000-0005-0000-0000-000038010000}"/>
    <cellStyle name="20% - Énfasis5 47" xfId="264" xr:uid="{00000000-0005-0000-0000-000039010000}"/>
    <cellStyle name="20% - Énfasis5 48" xfId="265" xr:uid="{00000000-0005-0000-0000-00003A010000}"/>
    <cellStyle name="20% - Énfasis5 49" xfId="266" xr:uid="{00000000-0005-0000-0000-00003B010000}"/>
    <cellStyle name="20% - Énfasis5 5" xfId="267" xr:uid="{00000000-0005-0000-0000-00003C010000}"/>
    <cellStyle name="20% - Énfasis5 5 2" xfId="12264" xr:uid="{00000000-0005-0000-0000-00003D010000}"/>
    <cellStyle name="20% - Énfasis5 50" xfId="268" xr:uid="{00000000-0005-0000-0000-00003E010000}"/>
    <cellStyle name="20% - Énfasis5 6" xfId="269" xr:uid="{00000000-0005-0000-0000-00003F010000}"/>
    <cellStyle name="20% - Énfasis5 6 2" xfId="12265" xr:uid="{00000000-0005-0000-0000-000040010000}"/>
    <cellStyle name="20% - Énfasis5 7" xfId="270" xr:uid="{00000000-0005-0000-0000-000041010000}"/>
    <cellStyle name="20% - Énfasis5 7 2" xfId="12266" xr:uid="{00000000-0005-0000-0000-000042010000}"/>
    <cellStyle name="20% - Énfasis5 8" xfId="271" xr:uid="{00000000-0005-0000-0000-000043010000}"/>
    <cellStyle name="20% - Énfasis5 8 2" xfId="12267" xr:uid="{00000000-0005-0000-0000-000044010000}"/>
    <cellStyle name="20% - Énfasis5 9" xfId="272" xr:uid="{00000000-0005-0000-0000-000045010000}"/>
    <cellStyle name="20% - Énfasis5 9 2" xfId="12268" xr:uid="{00000000-0005-0000-0000-000046010000}"/>
    <cellStyle name="20% - Énfasis6 10" xfId="273" xr:uid="{00000000-0005-0000-0000-000047010000}"/>
    <cellStyle name="20% - Énfasis6 11" xfId="274" xr:uid="{00000000-0005-0000-0000-000048010000}"/>
    <cellStyle name="20% - Énfasis6 12" xfId="275" xr:uid="{00000000-0005-0000-0000-000049010000}"/>
    <cellStyle name="20% - Énfasis6 13" xfId="276" xr:uid="{00000000-0005-0000-0000-00004A010000}"/>
    <cellStyle name="20% - Énfasis6 14" xfId="277" xr:uid="{00000000-0005-0000-0000-00004B010000}"/>
    <cellStyle name="20% - Énfasis6 15" xfId="278" xr:uid="{00000000-0005-0000-0000-00004C010000}"/>
    <cellStyle name="20% - Énfasis6 16" xfId="279" xr:uid="{00000000-0005-0000-0000-00004D010000}"/>
    <cellStyle name="20% - Énfasis6 17" xfId="280" xr:uid="{00000000-0005-0000-0000-00004E010000}"/>
    <cellStyle name="20% - Énfasis6 18" xfId="281" xr:uid="{00000000-0005-0000-0000-00004F010000}"/>
    <cellStyle name="20% - Énfasis6 19" xfId="282" xr:uid="{00000000-0005-0000-0000-000050010000}"/>
    <cellStyle name="20% - Énfasis6 2" xfId="283" xr:uid="{00000000-0005-0000-0000-000051010000}"/>
    <cellStyle name="20% - Énfasis6 2 2" xfId="12269" xr:uid="{00000000-0005-0000-0000-000052010000}"/>
    <cellStyle name="20% - Énfasis6 2 3" xfId="12270" xr:uid="{00000000-0005-0000-0000-000053010000}"/>
    <cellStyle name="20% - Énfasis6 20" xfId="284" xr:uid="{00000000-0005-0000-0000-000054010000}"/>
    <cellStyle name="20% - Énfasis6 21" xfId="285" xr:uid="{00000000-0005-0000-0000-000055010000}"/>
    <cellStyle name="20% - Énfasis6 22" xfId="286" xr:uid="{00000000-0005-0000-0000-000056010000}"/>
    <cellStyle name="20% - Énfasis6 23" xfId="287" xr:uid="{00000000-0005-0000-0000-000057010000}"/>
    <cellStyle name="20% - Énfasis6 24" xfId="288" xr:uid="{00000000-0005-0000-0000-000058010000}"/>
    <cellStyle name="20% - Énfasis6 25" xfId="289" xr:uid="{00000000-0005-0000-0000-000059010000}"/>
    <cellStyle name="20% - Énfasis6 26" xfId="290" xr:uid="{00000000-0005-0000-0000-00005A010000}"/>
    <cellStyle name="20% - Énfasis6 27" xfId="291" xr:uid="{00000000-0005-0000-0000-00005B010000}"/>
    <cellStyle name="20% - Énfasis6 28" xfId="292" xr:uid="{00000000-0005-0000-0000-00005C010000}"/>
    <cellStyle name="20% - Énfasis6 29" xfId="293" xr:uid="{00000000-0005-0000-0000-00005D010000}"/>
    <cellStyle name="20% - Énfasis6 3" xfId="294" xr:uid="{00000000-0005-0000-0000-00005E010000}"/>
    <cellStyle name="20% - Énfasis6 3 2" xfId="12271" xr:uid="{00000000-0005-0000-0000-00005F010000}"/>
    <cellStyle name="20% - Énfasis6 3 3" xfId="12272" xr:uid="{00000000-0005-0000-0000-000060010000}"/>
    <cellStyle name="20% - Énfasis6 30" xfId="295" xr:uid="{00000000-0005-0000-0000-000061010000}"/>
    <cellStyle name="20% - Énfasis6 31" xfId="296" xr:uid="{00000000-0005-0000-0000-000062010000}"/>
    <cellStyle name="20% - Énfasis6 32" xfId="297" xr:uid="{00000000-0005-0000-0000-000063010000}"/>
    <cellStyle name="20% - Énfasis6 33" xfId="298" xr:uid="{00000000-0005-0000-0000-000064010000}"/>
    <cellStyle name="20% - Énfasis6 34" xfId="299" xr:uid="{00000000-0005-0000-0000-000065010000}"/>
    <cellStyle name="20% - Énfasis6 35" xfId="300" xr:uid="{00000000-0005-0000-0000-000066010000}"/>
    <cellStyle name="20% - Énfasis6 36" xfId="301" xr:uid="{00000000-0005-0000-0000-000067010000}"/>
    <cellStyle name="20% - Énfasis6 37" xfId="302" xr:uid="{00000000-0005-0000-0000-000068010000}"/>
    <cellStyle name="20% - Énfasis6 38" xfId="303" xr:uid="{00000000-0005-0000-0000-000069010000}"/>
    <cellStyle name="20% - Énfasis6 39" xfId="304" xr:uid="{00000000-0005-0000-0000-00006A010000}"/>
    <cellStyle name="20% - Énfasis6 4" xfId="305" xr:uid="{00000000-0005-0000-0000-00006B010000}"/>
    <cellStyle name="20% - Énfasis6 4 2" xfId="12273" xr:uid="{00000000-0005-0000-0000-00006C010000}"/>
    <cellStyle name="20% - Énfasis6 4 3" xfId="12274" xr:uid="{00000000-0005-0000-0000-00006D010000}"/>
    <cellStyle name="20% - Énfasis6 40" xfId="306" xr:uid="{00000000-0005-0000-0000-00006E010000}"/>
    <cellStyle name="20% - Énfasis6 41" xfId="307" xr:uid="{00000000-0005-0000-0000-00006F010000}"/>
    <cellStyle name="20% - Énfasis6 42" xfId="308" xr:uid="{00000000-0005-0000-0000-000070010000}"/>
    <cellStyle name="20% - Énfasis6 43" xfId="309" xr:uid="{00000000-0005-0000-0000-000071010000}"/>
    <cellStyle name="20% - Énfasis6 44" xfId="310" xr:uid="{00000000-0005-0000-0000-000072010000}"/>
    <cellStyle name="20% - Énfasis6 45" xfId="311" xr:uid="{00000000-0005-0000-0000-000073010000}"/>
    <cellStyle name="20% - Énfasis6 46" xfId="312" xr:uid="{00000000-0005-0000-0000-000074010000}"/>
    <cellStyle name="20% - Énfasis6 47" xfId="313" xr:uid="{00000000-0005-0000-0000-000075010000}"/>
    <cellStyle name="20% - Énfasis6 48" xfId="314" xr:uid="{00000000-0005-0000-0000-000076010000}"/>
    <cellStyle name="20% - Énfasis6 49" xfId="315" xr:uid="{00000000-0005-0000-0000-000077010000}"/>
    <cellStyle name="20% - Énfasis6 5" xfId="316" xr:uid="{00000000-0005-0000-0000-000078010000}"/>
    <cellStyle name="20% - Énfasis6 5 2" xfId="12275" xr:uid="{00000000-0005-0000-0000-000079010000}"/>
    <cellStyle name="20% - Énfasis6 50" xfId="317" xr:uid="{00000000-0005-0000-0000-00007A010000}"/>
    <cellStyle name="20% - Énfasis6 6" xfId="318" xr:uid="{00000000-0005-0000-0000-00007B010000}"/>
    <cellStyle name="20% - Énfasis6 6 2" xfId="12276" xr:uid="{00000000-0005-0000-0000-00007C010000}"/>
    <cellStyle name="20% - Énfasis6 7" xfId="319" xr:uid="{00000000-0005-0000-0000-00007D010000}"/>
    <cellStyle name="20% - Énfasis6 7 2" xfId="12277" xr:uid="{00000000-0005-0000-0000-00007E010000}"/>
    <cellStyle name="20% - Énfasis6 8" xfId="320" xr:uid="{00000000-0005-0000-0000-00007F010000}"/>
    <cellStyle name="20% - Énfasis6 8 2" xfId="12278" xr:uid="{00000000-0005-0000-0000-000080010000}"/>
    <cellStyle name="20% - Énfasis6 9" xfId="321" xr:uid="{00000000-0005-0000-0000-000081010000}"/>
    <cellStyle name="20% - Énfasis6 9 2" xfId="12279" xr:uid="{00000000-0005-0000-0000-000082010000}"/>
    <cellStyle name="40% - Accent1" xfId="12280" xr:uid="{00000000-0005-0000-0000-000083010000}"/>
    <cellStyle name="40% - Accent2" xfId="12281" xr:uid="{00000000-0005-0000-0000-000084010000}"/>
    <cellStyle name="40% - Accent3" xfId="12282" xr:uid="{00000000-0005-0000-0000-000085010000}"/>
    <cellStyle name="40% - Accent4" xfId="12283" xr:uid="{00000000-0005-0000-0000-000086010000}"/>
    <cellStyle name="40% - Accent5" xfId="12284" xr:uid="{00000000-0005-0000-0000-000087010000}"/>
    <cellStyle name="40% - Accent6" xfId="12285" xr:uid="{00000000-0005-0000-0000-000088010000}"/>
    <cellStyle name="40% - Énfasis1 10" xfId="322" xr:uid="{00000000-0005-0000-0000-000089010000}"/>
    <cellStyle name="40% - Énfasis1 11" xfId="323" xr:uid="{00000000-0005-0000-0000-00008A010000}"/>
    <cellStyle name="40% - Énfasis1 12" xfId="324" xr:uid="{00000000-0005-0000-0000-00008B010000}"/>
    <cellStyle name="40% - Énfasis1 13" xfId="325" xr:uid="{00000000-0005-0000-0000-00008C010000}"/>
    <cellStyle name="40% - Énfasis1 14" xfId="326" xr:uid="{00000000-0005-0000-0000-00008D010000}"/>
    <cellStyle name="40% - Énfasis1 15" xfId="327" xr:uid="{00000000-0005-0000-0000-00008E010000}"/>
    <cellStyle name="40% - Énfasis1 16" xfId="328" xr:uid="{00000000-0005-0000-0000-00008F010000}"/>
    <cellStyle name="40% - Énfasis1 17" xfId="329" xr:uid="{00000000-0005-0000-0000-000090010000}"/>
    <cellStyle name="40% - Énfasis1 18" xfId="330" xr:uid="{00000000-0005-0000-0000-000091010000}"/>
    <cellStyle name="40% - Énfasis1 19" xfId="331" xr:uid="{00000000-0005-0000-0000-000092010000}"/>
    <cellStyle name="40% - Énfasis1 2" xfId="332" xr:uid="{00000000-0005-0000-0000-000093010000}"/>
    <cellStyle name="40% - Énfasis1 2 2" xfId="12286" xr:uid="{00000000-0005-0000-0000-000094010000}"/>
    <cellStyle name="40% - Énfasis1 2 3" xfId="12287" xr:uid="{00000000-0005-0000-0000-000095010000}"/>
    <cellStyle name="40% - Énfasis1 20" xfId="333" xr:uid="{00000000-0005-0000-0000-000096010000}"/>
    <cellStyle name="40% - Énfasis1 21" xfId="334" xr:uid="{00000000-0005-0000-0000-000097010000}"/>
    <cellStyle name="40% - Énfasis1 22" xfId="335" xr:uid="{00000000-0005-0000-0000-000098010000}"/>
    <cellStyle name="40% - Énfasis1 23" xfId="336" xr:uid="{00000000-0005-0000-0000-000099010000}"/>
    <cellStyle name="40% - Énfasis1 24" xfId="337" xr:uid="{00000000-0005-0000-0000-00009A010000}"/>
    <cellStyle name="40% - Énfasis1 25" xfId="338" xr:uid="{00000000-0005-0000-0000-00009B010000}"/>
    <cellStyle name="40% - Énfasis1 26" xfId="339" xr:uid="{00000000-0005-0000-0000-00009C010000}"/>
    <cellStyle name="40% - Énfasis1 27" xfId="340" xr:uid="{00000000-0005-0000-0000-00009D010000}"/>
    <cellStyle name="40% - Énfasis1 28" xfId="341" xr:uid="{00000000-0005-0000-0000-00009E010000}"/>
    <cellStyle name="40% - Énfasis1 29" xfId="342" xr:uid="{00000000-0005-0000-0000-00009F010000}"/>
    <cellStyle name="40% - Énfasis1 3" xfId="343" xr:uid="{00000000-0005-0000-0000-0000A0010000}"/>
    <cellStyle name="40% - Énfasis1 3 2" xfId="12288" xr:uid="{00000000-0005-0000-0000-0000A1010000}"/>
    <cellStyle name="40% - Énfasis1 3 3" xfId="12289" xr:uid="{00000000-0005-0000-0000-0000A2010000}"/>
    <cellStyle name="40% - Énfasis1 30" xfId="344" xr:uid="{00000000-0005-0000-0000-0000A3010000}"/>
    <cellStyle name="40% - Énfasis1 31" xfId="345" xr:uid="{00000000-0005-0000-0000-0000A4010000}"/>
    <cellStyle name="40% - Énfasis1 32" xfId="346" xr:uid="{00000000-0005-0000-0000-0000A5010000}"/>
    <cellStyle name="40% - Énfasis1 33" xfId="347" xr:uid="{00000000-0005-0000-0000-0000A6010000}"/>
    <cellStyle name="40% - Énfasis1 34" xfId="348" xr:uid="{00000000-0005-0000-0000-0000A7010000}"/>
    <cellStyle name="40% - Énfasis1 35" xfId="349" xr:uid="{00000000-0005-0000-0000-0000A8010000}"/>
    <cellStyle name="40% - Énfasis1 36" xfId="350" xr:uid="{00000000-0005-0000-0000-0000A9010000}"/>
    <cellStyle name="40% - Énfasis1 37" xfId="351" xr:uid="{00000000-0005-0000-0000-0000AA010000}"/>
    <cellStyle name="40% - Énfasis1 38" xfId="352" xr:uid="{00000000-0005-0000-0000-0000AB010000}"/>
    <cellStyle name="40% - Énfasis1 39" xfId="353" xr:uid="{00000000-0005-0000-0000-0000AC010000}"/>
    <cellStyle name="40% - Énfasis1 4" xfId="354" xr:uid="{00000000-0005-0000-0000-0000AD010000}"/>
    <cellStyle name="40% - Énfasis1 4 2" xfId="12290" xr:uid="{00000000-0005-0000-0000-0000AE010000}"/>
    <cellStyle name="40% - Énfasis1 4 3" xfId="12291" xr:uid="{00000000-0005-0000-0000-0000AF010000}"/>
    <cellStyle name="40% - Énfasis1 40" xfId="355" xr:uid="{00000000-0005-0000-0000-0000B0010000}"/>
    <cellStyle name="40% - Énfasis1 41" xfId="356" xr:uid="{00000000-0005-0000-0000-0000B1010000}"/>
    <cellStyle name="40% - Énfasis1 42" xfId="357" xr:uid="{00000000-0005-0000-0000-0000B2010000}"/>
    <cellStyle name="40% - Énfasis1 43" xfId="358" xr:uid="{00000000-0005-0000-0000-0000B3010000}"/>
    <cellStyle name="40% - Énfasis1 44" xfId="359" xr:uid="{00000000-0005-0000-0000-0000B4010000}"/>
    <cellStyle name="40% - Énfasis1 45" xfId="360" xr:uid="{00000000-0005-0000-0000-0000B5010000}"/>
    <cellStyle name="40% - Énfasis1 46" xfId="361" xr:uid="{00000000-0005-0000-0000-0000B6010000}"/>
    <cellStyle name="40% - Énfasis1 47" xfId="362" xr:uid="{00000000-0005-0000-0000-0000B7010000}"/>
    <cellStyle name="40% - Énfasis1 48" xfId="363" xr:uid="{00000000-0005-0000-0000-0000B8010000}"/>
    <cellStyle name="40% - Énfasis1 49" xfId="364" xr:uid="{00000000-0005-0000-0000-0000B9010000}"/>
    <cellStyle name="40% - Énfasis1 5" xfId="365" xr:uid="{00000000-0005-0000-0000-0000BA010000}"/>
    <cellStyle name="40% - Énfasis1 5 2" xfId="12292" xr:uid="{00000000-0005-0000-0000-0000BB010000}"/>
    <cellStyle name="40% - Énfasis1 5 3" xfId="12293" xr:uid="{00000000-0005-0000-0000-0000BC010000}"/>
    <cellStyle name="40% - Énfasis1 50" xfId="366" xr:uid="{00000000-0005-0000-0000-0000BD010000}"/>
    <cellStyle name="40% - Énfasis1 6" xfId="367" xr:uid="{00000000-0005-0000-0000-0000BE010000}"/>
    <cellStyle name="40% - Énfasis1 6 2" xfId="12294" xr:uid="{00000000-0005-0000-0000-0000BF010000}"/>
    <cellStyle name="40% - Énfasis1 7" xfId="368" xr:uid="{00000000-0005-0000-0000-0000C0010000}"/>
    <cellStyle name="40% - Énfasis1 7 2" xfId="12295" xr:uid="{00000000-0005-0000-0000-0000C1010000}"/>
    <cellStyle name="40% - Énfasis1 8" xfId="369" xr:uid="{00000000-0005-0000-0000-0000C2010000}"/>
    <cellStyle name="40% - Énfasis1 8 2" xfId="12296" xr:uid="{00000000-0005-0000-0000-0000C3010000}"/>
    <cellStyle name="40% - Énfasis1 9" xfId="370" xr:uid="{00000000-0005-0000-0000-0000C4010000}"/>
    <cellStyle name="40% - Énfasis1 9 2" xfId="12297" xr:uid="{00000000-0005-0000-0000-0000C5010000}"/>
    <cellStyle name="40% - Énfasis2 10" xfId="371" xr:uid="{00000000-0005-0000-0000-0000C6010000}"/>
    <cellStyle name="40% - Énfasis2 11" xfId="372" xr:uid="{00000000-0005-0000-0000-0000C7010000}"/>
    <cellStyle name="40% - Énfasis2 12" xfId="373" xr:uid="{00000000-0005-0000-0000-0000C8010000}"/>
    <cellStyle name="40% - Énfasis2 13" xfId="374" xr:uid="{00000000-0005-0000-0000-0000C9010000}"/>
    <cellStyle name="40% - Énfasis2 14" xfId="375" xr:uid="{00000000-0005-0000-0000-0000CA010000}"/>
    <cellStyle name="40% - Énfasis2 15" xfId="376" xr:uid="{00000000-0005-0000-0000-0000CB010000}"/>
    <cellStyle name="40% - Énfasis2 16" xfId="377" xr:uid="{00000000-0005-0000-0000-0000CC010000}"/>
    <cellStyle name="40% - Énfasis2 17" xfId="378" xr:uid="{00000000-0005-0000-0000-0000CD010000}"/>
    <cellStyle name="40% - Énfasis2 18" xfId="379" xr:uid="{00000000-0005-0000-0000-0000CE010000}"/>
    <cellStyle name="40% - Énfasis2 19" xfId="380" xr:uid="{00000000-0005-0000-0000-0000CF010000}"/>
    <cellStyle name="40% - Énfasis2 2" xfId="381" xr:uid="{00000000-0005-0000-0000-0000D0010000}"/>
    <cellStyle name="40% - Énfasis2 2 2" xfId="12298" xr:uid="{00000000-0005-0000-0000-0000D1010000}"/>
    <cellStyle name="40% - Énfasis2 2 3" xfId="12299" xr:uid="{00000000-0005-0000-0000-0000D2010000}"/>
    <cellStyle name="40% - Énfasis2 20" xfId="382" xr:uid="{00000000-0005-0000-0000-0000D3010000}"/>
    <cellStyle name="40% - Énfasis2 21" xfId="383" xr:uid="{00000000-0005-0000-0000-0000D4010000}"/>
    <cellStyle name="40% - Énfasis2 22" xfId="384" xr:uid="{00000000-0005-0000-0000-0000D5010000}"/>
    <cellStyle name="40% - Énfasis2 23" xfId="385" xr:uid="{00000000-0005-0000-0000-0000D6010000}"/>
    <cellStyle name="40% - Énfasis2 24" xfId="386" xr:uid="{00000000-0005-0000-0000-0000D7010000}"/>
    <cellStyle name="40% - Énfasis2 25" xfId="387" xr:uid="{00000000-0005-0000-0000-0000D8010000}"/>
    <cellStyle name="40% - Énfasis2 26" xfId="388" xr:uid="{00000000-0005-0000-0000-0000D9010000}"/>
    <cellStyle name="40% - Énfasis2 27" xfId="389" xr:uid="{00000000-0005-0000-0000-0000DA010000}"/>
    <cellStyle name="40% - Énfasis2 28" xfId="390" xr:uid="{00000000-0005-0000-0000-0000DB010000}"/>
    <cellStyle name="40% - Énfasis2 29" xfId="391" xr:uid="{00000000-0005-0000-0000-0000DC010000}"/>
    <cellStyle name="40% - Énfasis2 3" xfId="392" xr:uid="{00000000-0005-0000-0000-0000DD010000}"/>
    <cellStyle name="40% - Énfasis2 3 2" xfId="12300" xr:uid="{00000000-0005-0000-0000-0000DE010000}"/>
    <cellStyle name="40% - Énfasis2 3 3" xfId="12301" xr:uid="{00000000-0005-0000-0000-0000DF010000}"/>
    <cellStyle name="40% - Énfasis2 30" xfId="393" xr:uid="{00000000-0005-0000-0000-0000E0010000}"/>
    <cellStyle name="40% - Énfasis2 31" xfId="394" xr:uid="{00000000-0005-0000-0000-0000E1010000}"/>
    <cellStyle name="40% - Énfasis2 32" xfId="395" xr:uid="{00000000-0005-0000-0000-0000E2010000}"/>
    <cellStyle name="40% - Énfasis2 33" xfId="396" xr:uid="{00000000-0005-0000-0000-0000E3010000}"/>
    <cellStyle name="40% - Énfasis2 34" xfId="397" xr:uid="{00000000-0005-0000-0000-0000E4010000}"/>
    <cellStyle name="40% - Énfasis2 35" xfId="398" xr:uid="{00000000-0005-0000-0000-0000E5010000}"/>
    <cellStyle name="40% - Énfasis2 36" xfId="399" xr:uid="{00000000-0005-0000-0000-0000E6010000}"/>
    <cellStyle name="40% - Énfasis2 37" xfId="400" xr:uid="{00000000-0005-0000-0000-0000E7010000}"/>
    <cellStyle name="40% - Énfasis2 38" xfId="401" xr:uid="{00000000-0005-0000-0000-0000E8010000}"/>
    <cellStyle name="40% - Énfasis2 39" xfId="402" xr:uid="{00000000-0005-0000-0000-0000E9010000}"/>
    <cellStyle name="40% - Énfasis2 4" xfId="403" xr:uid="{00000000-0005-0000-0000-0000EA010000}"/>
    <cellStyle name="40% - Énfasis2 4 2" xfId="12302" xr:uid="{00000000-0005-0000-0000-0000EB010000}"/>
    <cellStyle name="40% - Énfasis2 4 3" xfId="12303" xr:uid="{00000000-0005-0000-0000-0000EC010000}"/>
    <cellStyle name="40% - Énfasis2 40" xfId="404" xr:uid="{00000000-0005-0000-0000-0000ED010000}"/>
    <cellStyle name="40% - Énfasis2 41" xfId="405" xr:uid="{00000000-0005-0000-0000-0000EE010000}"/>
    <cellStyle name="40% - Énfasis2 42" xfId="406" xr:uid="{00000000-0005-0000-0000-0000EF010000}"/>
    <cellStyle name="40% - Énfasis2 43" xfId="407" xr:uid="{00000000-0005-0000-0000-0000F0010000}"/>
    <cellStyle name="40% - Énfasis2 44" xfId="408" xr:uid="{00000000-0005-0000-0000-0000F1010000}"/>
    <cellStyle name="40% - Énfasis2 45" xfId="409" xr:uid="{00000000-0005-0000-0000-0000F2010000}"/>
    <cellStyle name="40% - Énfasis2 46" xfId="410" xr:uid="{00000000-0005-0000-0000-0000F3010000}"/>
    <cellStyle name="40% - Énfasis2 47" xfId="411" xr:uid="{00000000-0005-0000-0000-0000F4010000}"/>
    <cellStyle name="40% - Énfasis2 48" xfId="412" xr:uid="{00000000-0005-0000-0000-0000F5010000}"/>
    <cellStyle name="40% - Énfasis2 49" xfId="413" xr:uid="{00000000-0005-0000-0000-0000F6010000}"/>
    <cellStyle name="40% - Énfasis2 5" xfId="414" xr:uid="{00000000-0005-0000-0000-0000F7010000}"/>
    <cellStyle name="40% - Énfasis2 5 2" xfId="12304" xr:uid="{00000000-0005-0000-0000-0000F8010000}"/>
    <cellStyle name="40% - Énfasis2 50" xfId="415" xr:uid="{00000000-0005-0000-0000-0000F9010000}"/>
    <cellStyle name="40% - Énfasis2 6" xfId="416" xr:uid="{00000000-0005-0000-0000-0000FA010000}"/>
    <cellStyle name="40% - Énfasis2 6 2" xfId="12305" xr:uid="{00000000-0005-0000-0000-0000FB010000}"/>
    <cellStyle name="40% - Énfasis2 7" xfId="417" xr:uid="{00000000-0005-0000-0000-0000FC010000}"/>
    <cellStyle name="40% - Énfasis2 7 2" xfId="12306" xr:uid="{00000000-0005-0000-0000-0000FD010000}"/>
    <cellStyle name="40% - Énfasis2 8" xfId="418" xr:uid="{00000000-0005-0000-0000-0000FE010000}"/>
    <cellStyle name="40% - Énfasis2 8 2" xfId="12307" xr:uid="{00000000-0005-0000-0000-0000FF010000}"/>
    <cellStyle name="40% - Énfasis2 9" xfId="419" xr:uid="{00000000-0005-0000-0000-000000020000}"/>
    <cellStyle name="40% - Énfasis2 9 2" xfId="12308" xr:uid="{00000000-0005-0000-0000-000001020000}"/>
    <cellStyle name="40% - Énfasis3 10" xfId="420" xr:uid="{00000000-0005-0000-0000-000002020000}"/>
    <cellStyle name="40% - Énfasis3 11" xfId="421" xr:uid="{00000000-0005-0000-0000-000003020000}"/>
    <cellStyle name="40% - Énfasis3 12" xfId="422" xr:uid="{00000000-0005-0000-0000-000004020000}"/>
    <cellStyle name="40% - Énfasis3 13" xfId="423" xr:uid="{00000000-0005-0000-0000-000005020000}"/>
    <cellStyle name="40% - Énfasis3 14" xfId="424" xr:uid="{00000000-0005-0000-0000-000006020000}"/>
    <cellStyle name="40% - Énfasis3 15" xfId="425" xr:uid="{00000000-0005-0000-0000-000007020000}"/>
    <cellStyle name="40% - Énfasis3 16" xfId="426" xr:uid="{00000000-0005-0000-0000-000008020000}"/>
    <cellStyle name="40% - Énfasis3 17" xfId="427" xr:uid="{00000000-0005-0000-0000-000009020000}"/>
    <cellStyle name="40% - Énfasis3 18" xfId="428" xr:uid="{00000000-0005-0000-0000-00000A020000}"/>
    <cellStyle name="40% - Énfasis3 19" xfId="429" xr:uid="{00000000-0005-0000-0000-00000B020000}"/>
    <cellStyle name="40% - Énfasis3 2" xfId="430" xr:uid="{00000000-0005-0000-0000-00000C020000}"/>
    <cellStyle name="40% - Énfasis3 2 2" xfId="12309" xr:uid="{00000000-0005-0000-0000-00000D020000}"/>
    <cellStyle name="40% - Énfasis3 2 3" xfId="12310" xr:uid="{00000000-0005-0000-0000-00000E020000}"/>
    <cellStyle name="40% - Énfasis3 20" xfId="431" xr:uid="{00000000-0005-0000-0000-00000F020000}"/>
    <cellStyle name="40% - Énfasis3 21" xfId="432" xr:uid="{00000000-0005-0000-0000-000010020000}"/>
    <cellStyle name="40% - Énfasis3 22" xfId="433" xr:uid="{00000000-0005-0000-0000-000011020000}"/>
    <cellStyle name="40% - Énfasis3 23" xfId="434" xr:uid="{00000000-0005-0000-0000-000012020000}"/>
    <cellStyle name="40% - Énfasis3 24" xfId="435" xr:uid="{00000000-0005-0000-0000-000013020000}"/>
    <cellStyle name="40% - Énfasis3 25" xfId="436" xr:uid="{00000000-0005-0000-0000-000014020000}"/>
    <cellStyle name="40% - Énfasis3 26" xfId="437" xr:uid="{00000000-0005-0000-0000-000015020000}"/>
    <cellStyle name="40% - Énfasis3 27" xfId="438" xr:uid="{00000000-0005-0000-0000-000016020000}"/>
    <cellStyle name="40% - Énfasis3 28" xfId="439" xr:uid="{00000000-0005-0000-0000-000017020000}"/>
    <cellStyle name="40% - Énfasis3 29" xfId="440" xr:uid="{00000000-0005-0000-0000-000018020000}"/>
    <cellStyle name="40% - Énfasis3 3" xfId="441" xr:uid="{00000000-0005-0000-0000-000019020000}"/>
    <cellStyle name="40% - Énfasis3 3 2" xfId="12311" xr:uid="{00000000-0005-0000-0000-00001A020000}"/>
    <cellStyle name="40% - Énfasis3 3 3" xfId="12312" xr:uid="{00000000-0005-0000-0000-00001B020000}"/>
    <cellStyle name="40% - Énfasis3 30" xfId="442" xr:uid="{00000000-0005-0000-0000-00001C020000}"/>
    <cellStyle name="40% - Énfasis3 31" xfId="443" xr:uid="{00000000-0005-0000-0000-00001D020000}"/>
    <cellStyle name="40% - Énfasis3 32" xfId="444" xr:uid="{00000000-0005-0000-0000-00001E020000}"/>
    <cellStyle name="40% - Énfasis3 33" xfId="445" xr:uid="{00000000-0005-0000-0000-00001F020000}"/>
    <cellStyle name="40% - Énfasis3 34" xfId="446" xr:uid="{00000000-0005-0000-0000-000020020000}"/>
    <cellStyle name="40% - Énfasis3 35" xfId="447" xr:uid="{00000000-0005-0000-0000-000021020000}"/>
    <cellStyle name="40% - Énfasis3 36" xfId="448" xr:uid="{00000000-0005-0000-0000-000022020000}"/>
    <cellStyle name="40% - Énfasis3 37" xfId="449" xr:uid="{00000000-0005-0000-0000-000023020000}"/>
    <cellStyle name="40% - Énfasis3 38" xfId="450" xr:uid="{00000000-0005-0000-0000-000024020000}"/>
    <cellStyle name="40% - Énfasis3 39" xfId="451" xr:uid="{00000000-0005-0000-0000-000025020000}"/>
    <cellStyle name="40% - Énfasis3 4" xfId="452" xr:uid="{00000000-0005-0000-0000-000026020000}"/>
    <cellStyle name="40% - Énfasis3 4 2" xfId="12313" xr:uid="{00000000-0005-0000-0000-000027020000}"/>
    <cellStyle name="40% - Énfasis3 4 3" xfId="12314" xr:uid="{00000000-0005-0000-0000-000028020000}"/>
    <cellStyle name="40% - Énfasis3 40" xfId="453" xr:uid="{00000000-0005-0000-0000-000029020000}"/>
    <cellStyle name="40% - Énfasis3 41" xfId="454" xr:uid="{00000000-0005-0000-0000-00002A020000}"/>
    <cellStyle name="40% - Énfasis3 42" xfId="455" xr:uid="{00000000-0005-0000-0000-00002B020000}"/>
    <cellStyle name="40% - Énfasis3 43" xfId="456" xr:uid="{00000000-0005-0000-0000-00002C020000}"/>
    <cellStyle name="40% - Énfasis3 44" xfId="457" xr:uid="{00000000-0005-0000-0000-00002D020000}"/>
    <cellStyle name="40% - Énfasis3 45" xfId="458" xr:uid="{00000000-0005-0000-0000-00002E020000}"/>
    <cellStyle name="40% - Énfasis3 46" xfId="459" xr:uid="{00000000-0005-0000-0000-00002F020000}"/>
    <cellStyle name="40% - Énfasis3 47" xfId="460" xr:uid="{00000000-0005-0000-0000-000030020000}"/>
    <cellStyle name="40% - Énfasis3 48" xfId="461" xr:uid="{00000000-0005-0000-0000-000031020000}"/>
    <cellStyle name="40% - Énfasis3 49" xfId="462" xr:uid="{00000000-0005-0000-0000-000032020000}"/>
    <cellStyle name="40% - Énfasis3 5" xfId="463" xr:uid="{00000000-0005-0000-0000-000033020000}"/>
    <cellStyle name="40% - Énfasis3 5 2" xfId="12315" xr:uid="{00000000-0005-0000-0000-000034020000}"/>
    <cellStyle name="40% - Énfasis3 50" xfId="464" xr:uid="{00000000-0005-0000-0000-000035020000}"/>
    <cellStyle name="40% - Énfasis3 6" xfId="465" xr:uid="{00000000-0005-0000-0000-000036020000}"/>
    <cellStyle name="40% - Énfasis3 6 2" xfId="12316" xr:uid="{00000000-0005-0000-0000-000037020000}"/>
    <cellStyle name="40% - Énfasis3 7" xfId="466" xr:uid="{00000000-0005-0000-0000-000038020000}"/>
    <cellStyle name="40% - Énfasis3 7 2" xfId="12317" xr:uid="{00000000-0005-0000-0000-000039020000}"/>
    <cellStyle name="40% - Énfasis3 8" xfId="467" xr:uid="{00000000-0005-0000-0000-00003A020000}"/>
    <cellStyle name="40% - Énfasis3 8 2" xfId="12318" xr:uid="{00000000-0005-0000-0000-00003B020000}"/>
    <cellStyle name="40% - Énfasis3 9" xfId="468" xr:uid="{00000000-0005-0000-0000-00003C020000}"/>
    <cellStyle name="40% - Énfasis3 9 2" xfId="12319" xr:uid="{00000000-0005-0000-0000-00003D020000}"/>
    <cellStyle name="40% - Énfasis4 10" xfId="469" xr:uid="{00000000-0005-0000-0000-00003E020000}"/>
    <cellStyle name="40% - Énfasis4 11" xfId="470" xr:uid="{00000000-0005-0000-0000-00003F020000}"/>
    <cellStyle name="40% - Énfasis4 12" xfId="471" xr:uid="{00000000-0005-0000-0000-000040020000}"/>
    <cellStyle name="40% - Énfasis4 13" xfId="472" xr:uid="{00000000-0005-0000-0000-000041020000}"/>
    <cellStyle name="40% - Énfasis4 14" xfId="473" xr:uid="{00000000-0005-0000-0000-000042020000}"/>
    <cellStyle name="40% - Énfasis4 15" xfId="474" xr:uid="{00000000-0005-0000-0000-000043020000}"/>
    <cellStyle name="40% - Énfasis4 16" xfId="475" xr:uid="{00000000-0005-0000-0000-000044020000}"/>
    <cellStyle name="40% - Énfasis4 17" xfId="476" xr:uid="{00000000-0005-0000-0000-000045020000}"/>
    <cellStyle name="40% - Énfasis4 18" xfId="477" xr:uid="{00000000-0005-0000-0000-000046020000}"/>
    <cellStyle name="40% - Énfasis4 19" xfId="478" xr:uid="{00000000-0005-0000-0000-000047020000}"/>
    <cellStyle name="40% - Énfasis4 2" xfId="479" xr:uid="{00000000-0005-0000-0000-000048020000}"/>
    <cellStyle name="40% - Énfasis4 2 2" xfId="12320" xr:uid="{00000000-0005-0000-0000-000049020000}"/>
    <cellStyle name="40% - Énfasis4 2 3" xfId="12321" xr:uid="{00000000-0005-0000-0000-00004A020000}"/>
    <cellStyle name="40% - Énfasis4 20" xfId="480" xr:uid="{00000000-0005-0000-0000-00004B020000}"/>
    <cellStyle name="40% - Énfasis4 21" xfId="481" xr:uid="{00000000-0005-0000-0000-00004C020000}"/>
    <cellStyle name="40% - Énfasis4 22" xfId="482" xr:uid="{00000000-0005-0000-0000-00004D020000}"/>
    <cellStyle name="40% - Énfasis4 23" xfId="483" xr:uid="{00000000-0005-0000-0000-00004E020000}"/>
    <cellStyle name="40% - Énfasis4 24" xfId="484" xr:uid="{00000000-0005-0000-0000-00004F020000}"/>
    <cellStyle name="40% - Énfasis4 25" xfId="485" xr:uid="{00000000-0005-0000-0000-000050020000}"/>
    <cellStyle name="40% - Énfasis4 26" xfId="486" xr:uid="{00000000-0005-0000-0000-000051020000}"/>
    <cellStyle name="40% - Énfasis4 27" xfId="487" xr:uid="{00000000-0005-0000-0000-000052020000}"/>
    <cellStyle name="40% - Énfasis4 28" xfId="488" xr:uid="{00000000-0005-0000-0000-000053020000}"/>
    <cellStyle name="40% - Énfasis4 29" xfId="489" xr:uid="{00000000-0005-0000-0000-000054020000}"/>
    <cellStyle name="40% - Énfasis4 3" xfId="490" xr:uid="{00000000-0005-0000-0000-000055020000}"/>
    <cellStyle name="40% - Énfasis4 3 2" xfId="12322" xr:uid="{00000000-0005-0000-0000-000056020000}"/>
    <cellStyle name="40% - Énfasis4 3 3" xfId="12323" xr:uid="{00000000-0005-0000-0000-000057020000}"/>
    <cellStyle name="40% - Énfasis4 30" xfId="491" xr:uid="{00000000-0005-0000-0000-000058020000}"/>
    <cellStyle name="40% - Énfasis4 31" xfId="492" xr:uid="{00000000-0005-0000-0000-000059020000}"/>
    <cellStyle name="40% - Énfasis4 32" xfId="493" xr:uid="{00000000-0005-0000-0000-00005A020000}"/>
    <cellStyle name="40% - Énfasis4 33" xfId="494" xr:uid="{00000000-0005-0000-0000-00005B020000}"/>
    <cellStyle name="40% - Énfasis4 34" xfId="495" xr:uid="{00000000-0005-0000-0000-00005C020000}"/>
    <cellStyle name="40% - Énfasis4 35" xfId="496" xr:uid="{00000000-0005-0000-0000-00005D020000}"/>
    <cellStyle name="40% - Énfasis4 36" xfId="497" xr:uid="{00000000-0005-0000-0000-00005E020000}"/>
    <cellStyle name="40% - Énfasis4 37" xfId="498" xr:uid="{00000000-0005-0000-0000-00005F020000}"/>
    <cellStyle name="40% - Énfasis4 38" xfId="499" xr:uid="{00000000-0005-0000-0000-000060020000}"/>
    <cellStyle name="40% - Énfasis4 39" xfId="500" xr:uid="{00000000-0005-0000-0000-000061020000}"/>
    <cellStyle name="40% - Énfasis4 4" xfId="501" xr:uid="{00000000-0005-0000-0000-000062020000}"/>
    <cellStyle name="40% - Énfasis4 4 2" xfId="12324" xr:uid="{00000000-0005-0000-0000-000063020000}"/>
    <cellStyle name="40% - Énfasis4 4 3" xfId="12325" xr:uid="{00000000-0005-0000-0000-000064020000}"/>
    <cellStyle name="40% - Énfasis4 40" xfId="502" xr:uid="{00000000-0005-0000-0000-000065020000}"/>
    <cellStyle name="40% - Énfasis4 41" xfId="503" xr:uid="{00000000-0005-0000-0000-000066020000}"/>
    <cellStyle name="40% - Énfasis4 42" xfId="504" xr:uid="{00000000-0005-0000-0000-000067020000}"/>
    <cellStyle name="40% - Énfasis4 43" xfId="505" xr:uid="{00000000-0005-0000-0000-000068020000}"/>
    <cellStyle name="40% - Énfasis4 44" xfId="506" xr:uid="{00000000-0005-0000-0000-000069020000}"/>
    <cellStyle name="40% - Énfasis4 45" xfId="507" xr:uid="{00000000-0005-0000-0000-00006A020000}"/>
    <cellStyle name="40% - Énfasis4 46" xfId="508" xr:uid="{00000000-0005-0000-0000-00006B020000}"/>
    <cellStyle name="40% - Énfasis4 47" xfId="509" xr:uid="{00000000-0005-0000-0000-00006C020000}"/>
    <cellStyle name="40% - Énfasis4 48" xfId="510" xr:uid="{00000000-0005-0000-0000-00006D020000}"/>
    <cellStyle name="40% - Énfasis4 49" xfId="511" xr:uid="{00000000-0005-0000-0000-00006E020000}"/>
    <cellStyle name="40% - Énfasis4 5" xfId="512" xr:uid="{00000000-0005-0000-0000-00006F020000}"/>
    <cellStyle name="40% - Énfasis4 5 2" xfId="12326" xr:uid="{00000000-0005-0000-0000-000070020000}"/>
    <cellStyle name="40% - Énfasis4 50" xfId="513" xr:uid="{00000000-0005-0000-0000-000071020000}"/>
    <cellStyle name="40% - Énfasis4 6" xfId="514" xr:uid="{00000000-0005-0000-0000-000072020000}"/>
    <cellStyle name="40% - Énfasis4 6 2" xfId="12327" xr:uid="{00000000-0005-0000-0000-000073020000}"/>
    <cellStyle name="40% - Énfasis4 7" xfId="515" xr:uid="{00000000-0005-0000-0000-000074020000}"/>
    <cellStyle name="40% - Énfasis4 7 2" xfId="12328" xr:uid="{00000000-0005-0000-0000-000075020000}"/>
    <cellStyle name="40% - Énfasis4 8" xfId="516" xr:uid="{00000000-0005-0000-0000-000076020000}"/>
    <cellStyle name="40% - Énfasis4 8 2" xfId="12329" xr:uid="{00000000-0005-0000-0000-000077020000}"/>
    <cellStyle name="40% - Énfasis4 9" xfId="517" xr:uid="{00000000-0005-0000-0000-000078020000}"/>
    <cellStyle name="40% - Énfasis4 9 2" xfId="12330" xr:uid="{00000000-0005-0000-0000-000079020000}"/>
    <cellStyle name="40% - Énfasis5 10" xfId="518" xr:uid="{00000000-0005-0000-0000-00007A020000}"/>
    <cellStyle name="40% - Énfasis5 11" xfId="519" xr:uid="{00000000-0005-0000-0000-00007B020000}"/>
    <cellStyle name="40% - Énfasis5 12" xfId="520" xr:uid="{00000000-0005-0000-0000-00007C020000}"/>
    <cellStyle name="40% - Énfasis5 13" xfId="521" xr:uid="{00000000-0005-0000-0000-00007D020000}"/>
    <cellStyle name="40% - Énfasis5 14" xfId="522" xr:uid="{00000000-0005-0000-0000-00007E020000}"/>
    <cellStyle name="40% - Énfasis5 15" xfId="523" xr:uid="{00000000-0005-0000-0000-00007F020000}"/>
    <cellStyle name="40% - Énfasis5 16" xfId="524" xr:uid="{00000000-0005-0000-0000-000080020000}"/>
    <cellStyle name="40% - Énfasis5 17" xfId="525" xr:uid="{00000000-0005-0000-0000-000081020000}"/>
    <cellStyle name="40% - Énfasis5 18" xfId="526" xr:uid="{00000000-0005-0000-0000-000082020000}"/>
    <cellStyle name="40% - Énfasis5 19" xfId="527" xr:uid="{00000000-0005-0000-0000-000083020000}"/>
    <cellStyle name="40% - Énfasis5 2" xfId="528" xr:uid="{00000000-0005-0000-0000-000084020000}"/>
    <cellStyle name="40% - Énfasis5 2 2" xfId="12331" xr:uid="{00000000-0005-0000-0000-000085020000}"/>
    <cellStyle name="40% - Énfasis5 2 3" xfId="12332" xr:uid="{00000000-0005-0000-0000-000086020000}"/>
    <cellStyle name="40% - Énfasis5 20" xfId="529" xr:uid="{00000000-0005-0000-0000-000087020000}"/>
    <cellStyle name="40% - Énfasis5 21" xfId="530" xr:uid="{00000000-0005-0000-0000-000088020000}"/>
    <cellStyle name="40% - Énfasis5 22" xfId="531" xr:uid="{00000000-0005-0000-0000-000089020000}"/>
    <cellStyle name="40% - Énfasis5 23" xfId="532" xr:uid="{00000000-0005-0000-0000-00008A020000}"/>
    <cellStyle name="40% - Énfasis5 24" xfId="533" xr:uid="{00000000-0005-0000-0000-00008B020000}"/>
    <cellStyle name="40% - Énfasis5 25" xfId="534" xr:uid="{00000000-0005-0000-0000-00008C020000}"/>
    <cellStyle name="40% - Énfasis5 26" xfId="535" xr:uid="{00000000-0005-0000-0000-00008D020000}"/>
    <cellStyle name="40% - Énfasis5 27" xfId="536" xr:uid="{00000000-0005-0000-0000-00008E020000}"/>
    <cellStyle name="40% - Énfasis5 28" xfId="537" xr:uid="{00000000-0005-0000-0000-00008F020000}"/>
    <cellStyle name="40% - Énfasis5 29" xfId="538" xr:uid="{00000000-0005-0000-0000-000090020000}"/>
    <cellStyle name="40% - Énfasis5 3" xfId="539" xr:uid="{00000000-0005-0000-0000-000091020000}"/>
    <cellStyle name="40% - Énfasis5 3 2" xfId="12333" xr:uid="{00000000-0005-0000-0000-000092020000}"/>
    <cellStyle name="40% - Énfasis5 3 3" xfId="12334" xr:uid="{00000000-0005-0000-0000-000093020000}"/>
    <cellStyle name="40% - Énfasis5 30" xfId="540" xr:uid="{00000000-0005-0000-0000-000094020000}"/>
    <cellStyle name="40% - Énfasis5 31" xfId="541" xr:uid="{00000000-0005-0000-0000-000095020000}"/>
    <cellStyle name="40% - Énfasis5 32" xfId="542" xr:uid="{00000000-0005-0000-0000-000096020000}"/>
    <cellStyle name="40% - Énfasis5 33" xfId="543" xr:uid="{00000000-0005-0000-0000-000097020000}"/>
    <cellStyle name="40% - Énfasis5 34" xfId="544" xr:uid="{00000000-0005-0000-0000-000098020000}"/>
    <cellStyle name="40% - Énfasis5 35" xfId="545" xr:uid="{00000000-0005-0000-0000-000099020000}"/>
    <cellStyle name="40% - Énfasis5 36" xfId="546" xr:uid="{00000000-0005-0000-0000-00009A020000}"/>
    <cellStyle name="40% - Énfasis5 37" xfId="547" xr:uid="{00000000-0005-0000-0000-00009B020000}"/>
    <cellStyle name="40% - Énfasis5 38" xfId="548" xr:uid="{00000000-0005-0000-0000-00009C020000}"/>
    <cellStyle name="40% - Énfasis5 39" xfId="549" xr:uid="{00000000-0005-0000-0000-00009D020000}"/>
    <cellStyle name="40% - Énfasis5 4" xfId="550" xr:uid="{00000000-0005-0000-0000-00009E020000}"/>
    <cellStyle name="40% - Énfasis5 4 2" xfId="12335" xr:uid="{00000000-0005-0000-0000-00009F020000}"/>
    <cellStyle name="40% - Énfasis5 4 3" xfId="12336" xr:uid="{00000000-0005-0000-0000-0000A0020000}"/>
    <cellStyle name="40% - Énfasis5 40" xfId="551" xr:uid="{00000000-0005-0000-0000-0000A1020000}"/>
    <cellStyle name="40% - Énfasis5 41" xfId="552" xr:uid="{00000000-0005-0000-0000-0000A2020000}"/>
    <cellStyle name="40% - Énfasis5 42" xfId="553" xr:uid="{00000000-0005-0000-0000-0000A3020000}"/>
    <cellStyle name="40% - Énfasis5 43" xfId="554" xr:uid="{00000000-0005-0000-0000-0000A4020000}"/>
    <cellStyle name="40% - Énfasis5 44" xfId="555" xr:uid="{00000000-0005-0000-0000-0000A5020000}"/>
    <cellStyle name="40% - Énfasis5 45" xfId="556" xr:uid="{00000000-0005-0000-0000-0000A6020000}"/>
    <cellStyle name="40% - Énfasis5 46" xfId="557" xr:uid="{00000000-0005-0000-0000-0000A7020000}"/>
    <cellStyle name="40% - Énfasis5 47" xfId="558" xr:uid="{00000000-0005-0000-0000-0000A8020000}"/>
    <cellStyle name="40% - Énfasis5 48" xfId="559" xr:uid="{00000000-0005-0000-0000-0000A9020000}"/>
    <cellStyle name="40% - Énfasis5 49" xfId="560" xr:uid="{00000000-0005-0000-0000-0000AA020000}"/>
    <cellStyle name="40% - Énfasis5 5" xfId="561" xr:uid="{00000000-0005-0000-0000-0000AB020000}"/>
    <cellStyle name="40% - Énfasis5 5 2" xfId="12337" xr:uid="{00000000-0005-0000-0000-0000AC020000}"/>
    <cellStyle name="40% - Énfasis5 50" xfId="562" xr:uid="{00000000-0005-0000-0000-0000AD020000}"/>
    <cellStyle name="40% - Énfasis5 6" xfId="563" xr:uid="{00000000-0005-0000-0000-0000AE020000}"/>
    <cellStyle name="40% - Énfasis5 6 2" xfId="12338" xr:uid="{00000000-0005-0000-0000-0000AF020000}"/>
    <cellStyle name="40% - Énfasis5 7" xfId="564" xr:uid="{00000000-0005-0000-0000-0000B0020000}"/>
    <cellStyle name="40% - Énfasis5 7 2" xfId="12339" xr:uid="{00000000-0005-0000-0000-0000B1020000}"/>
    <cellStyle name="40% - Énfasis5 8" xfId="565" xr:uid="{00000000-0005-0000-0000-0000B2020000}"/>
    <cellStyle name="40% - Énfasis5 8 2" xfId="12340" xr:uid="{00000000-0005-0000-0000-0000B3020000}"/>
    <cellStyle name="40% - Énfasis5 9" xfId="566" xr:uid="{00000000-0005-0000-0000-0000B4020000}"/>
    <cellStyle name="40% - Énfasis5 9 2" xfId="12341" xr:uid="{00000000-0005-0000-0000-0000B5020000}"/>
    <cellStyle name="40% - Énfasis6 10" xfId="567" xr:uid="{00000000-0005-0000-0000-0000B6020000}"/>
    <cellStyle name="40% - Énfasis6 11" xfId="568" xr:uid="{00000000-0005-0000-0000-0000B7020000}"/>
    <cellStyle name="40% - Énfasis6 12" xfId="569" xr:uid="{00000000-0005-0000-0000-0000B8020000}"/>
    <cellStyle name="40% - Énfasis6 13" xfId="570" xr:uid="{00000000-0005-0000-0000-0000B9020000}"/>
    <cellStyle name="40% - Énfasis6 14" xfId="571" xr:uid="{00000000-0005-0000-0000-0000BA020000}"/>
    <cellStyle name="40% - Énfasis6 15" xfId="572" xr:uid="{00000000-0005-0000-0000-0000BB020000}"/>
    <cellStyle name="40% - Énfasis6 16" xfId="573" xr:uid="{00000000-0005-0000-0000-0000BC020000}"/>
    <cellStyle name="40% - Énfasis6 17" xfId="574" xr:uid="{00000000-0005-0000-0000-0000BD020000}"/>
    <cellStyle name="40% - Énfasis6 18" xfId="575" xr:uid="{00000000-0005-0000-0000-0000BE020000}"/>
    <cellStyle name="40% - Énfasis6 19" xfId="576" xr:uid="{00000000-0005-0000-0000-0000BF020000}"/>
    <cellStyle name="40% - Énfasis6 2" xfId="577" xr:uid="{00000000-0005-0000-0000-0000C0020000}"/>
    <cellStyle name="40% - Énfasis6 2 2" xfId="12342" xr:uid="{00000000-0005-0000-0000-0000C1020000}"/>
    <cellStyle name="40% - Énfasis6 2 3" xfId="12343" xr:uid="{00000000-0005-0000-0000-0000C2020000}"/>
    <cellStyle name="40% - Énfasis6 20" xfId="578" xr:uid="{00000000-0005-0000-0000-0000C3020000}"/>
    <cellStyle name="40% - Énfasis6 21" xfId="579" xr:uid="{00000000-0005-0000-0000-0000C4020000}"/>
    <cellStyle name="40% - Énfasis6 22" xfId="580" xr:uid="{00000000-0005-0000-0000-0000C5020000}"/>
    <cellStyle name="40% - Énfasis6 23" xfId="581" xr:uid="{00000000-0005-0000-0000-0000C6020000}"/>
    <cellStyle name="40% - Énfasis6 24" xfId="582" xr:uid="{00000000-0005-0000-0000-0000C7020000}"/>
    <cellStyle name="40% - Énfasis6 25" xfId="583" xr:uid="{00000000-0005-0000-0000-0000C8020000}"/>
    <cellStyle name="40% - Énfasis6 26" xfId="584" xr:uid="{00000000-0005-0000-0000-0000C9020000}"/>
    <cellStyle name="40% - Énfasis6 27" xfId="585" xr:uid="{00000000-0005-0000-0000-0000CA020000}"/>
    <cellStyle name="40% - Énfasis6 28" xfId="586" xr:uid="{00000000-0005-0000-0000-0000CB020000}"/>
    <cellStyle name="40% - Énfasis6 29" xfId="587" xr:uid="{00000000-0005-0000-0000-0000CC020000}"/>
    <cellStyle name="40% - Énfasis6 3" xfId="588" xr:uid="{00000000-0005-0000-0000-0000CD020000}"/>
    <cellStyle name="40% - Énfasis6 3 2" xfId="12344" xr:uid="{00000000-0005-0000-0000-0000CE020000}"/>
    <cellStyle name="40% - Énfasis6 3 3" xfId="12345" xr:uid="{00000000-0005-0000-0000-0000CF020000}"/>
    <cellStyle name="40% - Énfasis6 30" xfId="589" xr:uid="{00000000-0005-0000-0000-0000D0020000}"/>
    <cellStyle name="40% - Énfasis6 31" xfId="590" xr:uid="{00000000-0005-0000-0000-0000D1020000}"/>
    <cellStyle name="40% - Énfasis6 32" xfId="591" xr:uid="{00000000-0005-0000-0000-0000D2020000}"/>
    <cellStyle name="40% - Énfasis6 33" xfId="592" xr:uid="{00000000-0005-0000-0000-0000D3020000}"/>
    <cellStyle name="40% - Énfasis6 34" xfId="593" xr:uid="{00000000-0005-0000-0000-0000D4020000}"/>
    <cellStyle name="40% - Énfasis6 35" xfId="594" xr:uid="{00000000-0005-0000-0000-0000D5020000}"/>
    <cellStyle name="40% - Énfasis6 36" xfId="595" xr:uid="{00000000-0005-0000-0000-0000D6020000}"/>
    <cellStyle name="40% - Énfasis6 37" xfId="596" xr:uid="{00000000-0005-0000-0000-0000D7020000}"/>
    <cellStyle name="40% - Énfasis6 38" xfId="597" xr:uid="{00000000-0005-0000-0000-0000D8020000}"/>
    <cellStyle name="40% - Énfasis6 39" xfId="598" xr:uid="{00000000-0005-0000-0000-0000D9020000}"/>
    <cellStyle name="40% - Énfasis6 4" xfId="599" xr:uid="{00000000-0005-0000-0000-0000DA020000}"/>
    <cellStyle name="40% - Énfasis6 4 2" xfId="12346" xr:uid="{00000000-0005-0000-0000-0000DB020000}"/>
    <cellStyle name="40% - Énfasis6 4 3" xfId="12347" xr:uid="{00000000-0005-0000-0000-0000DC020000}"/>
    <cellStyle name="40% - Énfasis6 40" xfId="600" xr:uid="{00000000-0005-0000-0000-0000DD020000}"/>
    <cellStyle name="40% - Énfasis6 41" xfId="601" xr:uid="{00000000-0005-0000-0000-0000DE020000}"/>
    <cellStyle name="40% - Énfasis6 42" xfId="602" xr:uid="{00000000-0005-0000-0000-0000DF020000}"/>
    <cellStyle name="40% - Énfasis6 43" xfId="603" xr:uid="{00000000-0005-0000-0000-0000E0020000}"/>
    <cellStyle name="40% - Énfasis6 44" xfId="604" xr:uid="{00000000-0005-0000-0000-0000E1020000}"/>
    <cellStyle name="40% - Énfasis6 45" xfId="605" xr:uid="{00000000-0005-0000-0000-0000E2020000}"/>
    <cellStyle name="40% - Énfasis6 46" xfId="606" xr:uid="{00000000-0005-0000-0000-0000E3020000}"/>
    <cellStyle name="40% - Énfasis6 47" xfId="607" xr:uid="{00000000-0005-0000-0000-0000E4020000}"/>
    <cellStyle name="40% - Énfasis6 48" xfId="608" xr:uid="{00000000-0005-0000-0000-0000E5020000}"/>
    <cellStyle name="40% - Énfasis6 49" xfId="609" xr:uid="{00000000-0005-0000-0000-0000E6020000}"/>
    <cellStyle name="40% - Énfasis6 5" xfId="610" xr:uid="{00000000-0005-0000-0000-0000E7020000}"/>
    <cellStyle name="40% - Énfasis6 5 2" xfId="12348" xr:uid="{00000000-0005-0000-0000-0000E8020000}"/>
    <cellStyle name="40% - Énfasis6 50" xfId="611" xr:uid="{00000000-0005-0000-0000-0000E9020000}"/>
    <cellStyle name="40% - Énfasis6 6" xfId="612" xr:uid="{00000000-0005-0000-0000-0000EA020000}"/>
    <cellStyle name="40% - Énfasis6 6 2" xfId="12349" xr:uid="{00000000-0005-0000-0000-0000EB020000}"/>
    <cellStyle name="40% - Énfasis6 7" xfId="613" xr:uid="{00000000-0005-0000-0000-0000EC020000}"/>
    <cellStyle name="40% - Énfasis6 7 2" xfId="12350" xr:uid="{00000000-0005-0000-0000-0000ED020000}"/>
    <cellStyle name="40% - Énfasis6 8" xfId="614" xr:uid="{00000000-0005-0000-0000-0000EE020000}"/>
    <cellStyle name="40% - Énfasis6 8 2" xfId="12351" xr:uid="{00000000-0005-0000-0000-0000EF020000}"/>
    <cellStyle name="40% - Énfasis6 9" xfId="615" xr:uid="{00000000-0005-0000-0000-0000F0020000}"/>
    <cellStyle name="40% - Énfasis6 9 2" xfId="12352" xr:uid="{00000000-0005-0000-0000-0000F1020000}"/>
    <cellStyle name="60% - Accent1" xfId="12353" xr:uid="{00000000-0005-0000-0000-0000F2020000}"/>
    <cellStyle name="60% - Accent2" xfId="12354" xr:uid="{00000000-0005-0000-0000-0000F3020000}"/>
    <cellStyle name="60% - Accent3" xfId="12355" xr:uid="{00000000-0005-0000-0000-0000F4020000}"/>
    <cellStyle name="60% - Accent4" xfId="12356" xr:uid="{00000000-0005-0000-0000-0000F5020000}"/>
    <cellStyle name="60% - Accent5" xfId="12357" xr:uid="{00000000-0005-0000-0000-0000F6020000}"/>
    <cellStyle name="60% - Accent6" xfId="12358" xr:uid="{00000000-0005-0000-0000-0000F7020000}"/>
    <cellStyle name="60% - Énfasis1 10" xfId="616" xr:uid="{00000000-0005-0000-0000-0000F8020000}"/>
    <cellStyle name="60% - Énfasis1 11" xfId="617" xr:uid="{00000000-0005-0000-0000-0000F9020000}"/>
    <cellStyle name="60% - Énfasis1 12" xfId="618" xr:uid="{00000000-0005-0000-0000-0000FA020000}"/>
    <cellStyle name="60% - Énfasis1 13" xfId="619" xr:uid="{00000000-0005-0000-0000-0000FB020000}"/>
    <cellStyle name="60% - Énfasis1 14" xfId="620" xr:uid="{00000000-0005-0000-0000-0000FC020000}"/>
    <cellStyle name="60% - Énfasis1 15" xfId="621" xr:uid="{00000000-0005-0000-0000-0000FD020000}"/>
    <cellStyle name="60% - Énfasis1 16" xfId="622" xr:uid="{00000000-0005-0000-0000-0000FE020000}"/>
    <cellStyle name="60% - Énfasis1 17" xfId="623" xr:uid="{00000000-0005-0000-0000-0000FF020000}"/>
    <cellStyle name="60% - Énfasis1 18" xfId="624" xr:uid="{00000000-0005-0000-0000-000000030000}"/>
    <cellStyle name="60% - Énfasis1 19" xfId="625" xr:uid="{00000000-0005-0000-0000-000001030000}"/>
    <cellStyle name="60% - Énfasis1 2" xfId="626" xr:uid="{00000000-0005-0000-0000-000002030000}"/>
    <cellStyle name="60% - Énfasis1 2 2" xfId="12359" xr:uid="{00000000-0005-0000-0000-000003030000}"/>
    <cellStyle name="60% - Énfasis1 2 3" xfId="12360" xr:uid="{00000000-0005-0000-0000-000004030000}"/>
    <cellStyle name="60% - Énfasis1 20" xfId="627" xr:uid="{00000000-0005-0000-0000-000005030000}"/>
    <cellStyle name="60% - Énfasis1 21" xfId="628" xr:uid="{00000000-0005-0000-0000-000006030000}"/>
    <cellStyle name="60% - Énfasis1 22" xfId="629" xr:uid="{00000000-0005-0000-0000-000007030000}"/>
    <cellStyle name="60% - Énfasis1 23" xfId="630" xr:uid="{00000000-0005-0000-0000-000008030000}"/>
    <cellStyle name="60% - Énfasis1 24" xfId="631" xr:uid="{00000000-0005-0000-0000-000009030000}"/>
    <cellStyle name="60% - Énfasis1 25" xfId="632" xr:uid="{00000000-0005-0000-0000-00000A030000}"/>
    <cellStyle name="60% - Énfasis1 26" xfId="633" xr:uid="{00000000-0005-0000-0000-00000B030000}"/>
    <cellStyle name="60% - Énfasis1 27" xfId="634" xr:uid="{00000000-0005-0000-0000-00000C030000}"/>
    <cellStyle name="60% - Énfasis1 28" xfId="635" xr:uid="{00000000-0005-0000-0000-00000D030000}"/>
    <cellStyle name="60% - Énfasis1 29" xfId="636" xr:uid="{00000000-0005-0000-0000-00000E030000}"/>
    <cellStyle name="60% - Énfasis1 3" xfId="637" xr:uid="{00000000-0005-0000-0000-00000F030000}"/>
    <cellStyle name="60% - Énfasis1 3 2" xfId="12361" xr:uid="{00000000-0005-0000-0000-000010030000}"/>
    <cellStyle name="60% - Énfasis1 3 3" xfId="12362" xr:uid="{00000000-0005-0000-0000-000011030000}"/>
    <cellStyle name="60% - Énfasis1 30" xfId="638" xr:uid="{00000000-0005-0000-0000-000012030000}"/>
    <cellStyle name="60% - Énfasis1 31" xfId="639" xr:uid="{00000000-0005-0000-0000-000013030000}"/>
    <cellStyle name="60% - Énfasis1 32" xfId="640" xr:uid="{00000000-0005-0000-0000-000014030000}"/>
    <cellStyle name="60% - Énfasis1 33" xfId="641" xr:uid="{00000000-0005-0000-0000-000015030000}"/>
    <cellStyle name="60% - Énfasis1 34" xfId="642" xr:uid="{00000000-0005-0000-0000-000016030000}"/>
    <cellStyle name="60% - Énfasis1 35" xfId="643" xr:uid="{00000000-0005-0000-0000-000017030000}"/>
    <cellStyle name="60% - Énfasis1 36" xfId="644" xr:uid="{00000000-0005-0000-0000-000018030000}"/>
    <cellStyle name="60% - Énfasis1 37" xfId="645" xr:uid="{00000000-0005-0000-0000-000019030000}"/>
    <cellStyle name="60% - Énfasis1 38" xfId="646" xr:uid="{00000000-0005-0000-0000-00001A030000}"/>
    <cellStyle name="60% - Énfasis1 39" xfId="647" xr:uid="{00000000-0005-0000-0000-00001B030000}"/>
    <cellStyle name="60% - Énfasis1 4" xfId="648" xr:uid="{00000000-0005-0000-0000-00001C030000}"/>
    <cellStyle name="60% - Énfasis1 4 2" xfId="12363" xr:uid="{00000000-0005-0000-0000-00001D030000}"/>
    <cellStyle name="60% - Énfasis1 4 3" xfId="12364" xr:uid="{00000000-0005-0000-0000-00001E030000}"/>
    <cellStyle name="60% - Énfasis1 40" xfId="649" xr:uid="{00000000-0005-0000-0000-00001F030000}"/>
    <cellStyle name="60% - Énfasis1 41" xfId="650" xr:uid="{00000000-0005-0000-0000-000020030000}"/>
    <cellStyle name="60% - Énfasis1 42" xfId="651" xr:uid="{00000000-0005-0000-0000-000021030000}"/>
    <cellStyle name="60% - Énfasis1 43" xfId="652" xr:uid="{00000000-0005-0000-0000-000022030000}"/>
    <cellStyle name="60% - Énfasis1 44" xfId="653" xr:uid="{00000000-0005-0000-0000-000023030000}"/>
    <cellStyle name="60% - Énfasis1 45" xfId="654" xr:uid="{00000000-0005-0000-0000-000024030000}"/>
    <cellStyle name="60% - Énfasis1 46" xfId="655" xr:uid="{00000000-0005-0000-0000-000025030000}"/>
    <cellStyle name="60% - Énfasis1 47" xfId="656" xr:uid="{00000000-0005-0000-0000-000026030000}"/>
    <cellStyle name="60% - Énfasis1 48" xfId="657" xr:uid="{00000000-0005-0000-0000-000027030000}"/>
    <cellStyle name="60% - Énfasis1 49" xfId="658" xr:uid="{00000000-0005-0000-0000-000028030000}"/>
    <cellStyle name="60% - Énfasis1 5" xfId="659" xr:uid="{00000000-0005-0000-0000-000029030000}"/>
    <cellStyle name="60% - Énfasis1 5 2" xfId="12365" xr:uid="{00000000-0005-0000-0000-00002A030000}"/>
    <cellStyle name="60% - Énfasis1 50" xfId="660" xr:uid="{00000000-0005-0000-0000-00002B030000}"/>
    <cellStyle name="60% - Énfasis1 6" xfId="661" xr:uid="{00000000-0005-0000-0000-00002C030000}"/>
    <cellStyle name="60% - Énfasis1 6 2" xfId="12366" xr:uid="{00000000-0005-0000-0000-00002D030000}"/>
    <cellStyle name="60% - Énfasis1 7" xfId="662" xr:uid="{00000000-0005-0000-0000-00002E030000}"/>
    <cellStyle name="60% - Énfasis1 7 2" xfId="12367" xr:uid="{00000000-0005-0000-0000-00002F030000}"/>
    <cellStyle name="60% - Énfasis1 8" xfId="663" xr:uid="{00000000-0005-0000-0000-000030030000}"/>
    <cellStyle name="60% - Énfasis1 8 2" xfId="12368" xr:uid="{00000000-0005-0000-0000-000031030000}"/>
    <cellStyle name="60% - Énfasis1 9" xfId="664" xr:uid="{00000000-0005-0000-0000-000032030000}"/>
    <cellStyle name="60% - Énfasis1 9 2" xfId="12369" xr:uid="{00000000-0005-0000-0000-000033030000}"/>
    <cellStyle name="60% - Énfasis2 10" xfId="665" xr:uid="{00000000-0005-0000-0000-000034030000}"/>
    <cellStyle name="60% - Énfasis2 11" xfId="666" xr:uid="{00000000-0005-0000-0000-000035030000}"/>
    <cellStyle name="60% - Énfasis2 12" xfId="667" xr:uid="{00000000-0005-0000-0000-000036030000}"/>
    <cellStyle name="60% - Énfasis2 13" xfId="668" xr:uid="{00000000-0005-0000-0000-000037030000}"/>
    <cellStyle name="60% - Énfasis2 14" xfId="669" xr:uid="{00000000-0005-0000-0000-000038030000}"/>
    <cellStyle name="60% - Énfasis2 15" xfId="670" xr:uid="{00000000-0005-0000-0000-000039030000}"/>
    <cellStyle name="60% - Énfasis2 16" xfId="671" xr:uid="{00000000-0005-0000-0000-00003A030000}"/>
    <cellStyle name="60% - Énfasis2 17" xfId="672" xr:uid="{00000000-0005-0000-0000-00003B030000}"/>
    <cellStyle name="60% - Énfasis2 18" xfId="673" xr:uid="{00000000-0005-0000-0000-00003C030000}"/>
    <cellStyle name="60% - Énfasis2 19" xfId="674" xr:uid="{00000000-0005-0000-0000-00003D030000}"/>
    <cellStyle name="60% - Énfasis2 2" xfId="675" xr:uid="{00000000-0005-0000-0000-00003E030000}"/>
    <cellStyle name="60% - Énfasis2 2 2" xfId="12370" xr:uid="{00000000-0005-0000-0000-00003F030000}"/>
    <cellStyle name="60% - Énfasis2 2 3" xfId="12371" xr:uid="{00000000-0005-0000-0000-000040030000}"/>
    <cellStyle name="60% - Énfasis2 20" xfId="676" xr:uid="{00000000-0005-0000-0000-000041030000}"/>
    <cellStyle name="60% - Énfasis2 21" xfId="677" xr:uid="{00000000-0005-0000-0000-000042030000}"/>
    <cellStyle name="60% - Énfasis2 22" xfId="678" xr:uid="{00000000-0005-0000-0000-000043030000}"/>
    <cellStyle name="60% - Énfasis2 23" xfId="679" xr:uid="{00000000-0005-0000-0000-000044030000}"/>
    <cellStyle name="60% - Énfasis2 24" xfId="680" xr:uid="{00000000-0005-0000-0000-000045030000}"/>
    <cellStyle name="60% - Énfasis2 25" xfId="681" xr:uid="{00000000-0005-0000-0000-000046030000}"/>
    <cellStyle name="60% - Énfasis2 26" xfId="682" xr:uid="{00000000-0005-0000-0000-000047030000}"/>
    <cellStyle name="60% - Énfasis2 27" xfId="683" xr:uid="{00000000-0005-0000-0000-000048030000}"/>
    <cellStyle name="60% - Énfasis2 28" xfId="684" xr:uid="{00000000-0005-0000-0000-000049030000}"/>
    <cellStyle name="60% - Énfasis2 29" xfId="685" xr:uid="{00000000-0005-0000-0000-00004A030000}"/>
    <cellStyle name="60% - Énfasis2 3" xfId="686" xr:uid="{00000000-0005-0000-0000-00004B030000}"/>
    <cellStyle name="60% - Énfasis2 3 2" xfId="12372" xr:uid="{00000000-0005-0000-0000-00004C030000}"/>
    <cellStyle name="60% - Énfasis2 3 3" xfId="12373" xr:uid="{00000000-0005-0000-0000-00004D030000}"/>
    <cellStyle name="60% - Énfasis2 30" xfId="687" xr:uid="{00000000-0005-0000-0000-00004E030000}"/>
    <cellStyle name="60% - Énfasis2 31" xfId="688" xr:uid="{00000000-0005-0000-0000-00004F030000}"/>
    <cellStyle name="60% - Énfasis2 32" xfId="689" xr:uid="{00000000-0005-0000-0000-000050030000}"/>
    <cellStyle name="60% - Énfasis2 33" xfId="690" xr:uid="{00000000-0005-0000-0000-000051030000}"/>
    <cellStyle name="60% - Énfasis2 34" xfId="691" xr:uid="{00000000-0005-0000-0000-000052030000}"/>
    <cellStyle name="60% - Énfasis2 35" xfId="692" xr:uid="{00000000-0005-0000-0000-000053030000}"/>
    <cellStyle name="60% - Énfasis2 36" xfId="693" xr:uid="{00000000-0005-0000-0000-000054030000}"/>
    <cellStyle name="60% - Énfasis2 37" xfId="694" xr:uid="{00000000-0005-0000-0000-000055030000}"/>
    <cellStyle name="60% - Énfasis2 38" xfId="695" xr:uid="{00000000-0005-0000-0000-000056030000}"/>
    <cellStyle name="60% - Énfasis2 39" xfId="696" xr:uid="{00000000-0005-0000-0000-000057030000}"/>
    <cellStyle name="60% - Énfasis2 4" xfId="697" xr:uid="{00000000-0005-0000-0000-000058030000}"/>
    <cellStyle name="60% - Énfasis2 4 2" xfId="12374" xr:uid="{00000000-0005-0000-0000-000059030000}"/>
    <cellStyle name="60% - Énfasis2 4 3" xfId="12375" xr:uid="{00000000-0005-0000-0000-00005A030000}"/>
    <cellStyle name="60% - Énfasis2 40" xfId="698" xr:uid="{00000000-0005-0000-0000-00005B030000}"/>
    <cellStyle name="60% - Énfasis2 41" xfId="699" xr:uid="{00000000-0005-0000-0000-00005C030000}"/>
    <cellStyle name="60% - Énfasis2 42" xfId="700" xr:uid="{00000000-0005-0000-0000-00005D030000}"/>
    <cellStyle name="60% - Énfasis2 43" xfId="701" xr:uid="{00000000-0005-0000-0000-00005E030000}"/>
    <cellStyle name="60% - Énfasis2 44" xfId="702" xr:uid="{00000000-0005-0000-0000-00005F030000}"/>
    <cellStyle name="60% - Énfasis2 45" xfId="703" xr:uid="{00000000-0005-0000-0000-000060030000}"/>
    <cellStyle name="60% - Énfasis2 46" xfId="704" xr:uid="{00000000-0005-0000-0000-000061030000}"/>
    <cellStyle name="60% - Énfasis2 47" xfId="705" xr:uid="{00000000-0005-0000-0000-000062030000}"/>
    <cellStyle name="60% - Énfasis2 48" xfId="706" xr:uid="{00000000-0005-0000-0000-000063030000}"/>
    <cellStyle name="60% - Énfasis2 49" xfId="707" xr:uid="{00000000-0005-0000-0000-000064030000}"/>
    <cellStyle name="60% - Énfasis2 5" xfId="708" xr:uid="{00000000-0005-0000-0000-000065030000}"/>
    <cellStyle name="60% - Énfasis2 5 2" xfId="12376" xr:uid="{00000000-0005-0000-0000-000066030000}"/>
    <cellStyle name="60% - Énfasis2 50" xfId="709" xr:uid="{00000000-0005-0000-0000-000067030000}"/>
    <cellStyle name="60% - Énfasis2 6" xfId="710" xr:uid="{00000000-0005-0000-0000-000068030000}"/>
    <cellStyle name="60% - Énfasis2 6 2" xfId="12377" xr:uid="{00000000-0005-0000-0000-000069030000}"/>
    <cellStyle name="60% - Énfasis2 7" xfId="711" xr:uid="{00000000-0005-0000-0000-00006A030000}"/>
    <cellStyle name="60% - Énfasis2 7 2" xfId="12378" xr:uid="{00000000-0005-0000-0000-00006B030000}"/>
    <cellStyle name="60% - Énfasis2 8" xfId="712" xr:uid="{00000000-0005-0000-0000-00006C030000}"/>
    <cellStyle name="60% - Énfasis2 8 2" xfId="12379" xr:uid="{00000000-0005-0000-0000-00006D030000}"/>
    <cellStyle name="60% - Énfasis2 9" xfId="713" xr:uid="{00000000-0005-0000-0000-00006E030000}"/>
    <cellStyle name="60% - Énfasis2 9 2" xfId="12380" xr:uid="{00000000-0005-0000-0000-00006F030000}"/>
    <cellStyle name="60% - Énfasis3 10" xfId="714" xr:uid="{00000000-0005-0000-0000-000070030000}"/>
    <cellStyle name="60% - Énfasis3 11" xfId="715" xr:uid="{00000000-0005-0000-0000-000071030000}"/>
    <cellStyle name="60% - Énfasis3 12" xfId="716" xr:uid="{00000000-0005-0000-0000-000072030000}"/>
    <cellStyle name="60% - Énfasis3 13" xfId="717" xr:uid="{00000000-0005-0000-0000-000073030000}"/>
    <cellStyle name="60% - Énfasis3 14" xfId="718" xr:uid="{00000000-0005-0000-0000-000074030000}"/>
    <cellStyle name="60% - Énfasis3 15" xfId="719" xr:uid="{00000000-0005-0000-0000-000075030000}"/>
    <cellStyle name="60% - Énfasis3 16" xfId="720" xr:uid="{00000000-0005-0000-0000-000076030000}"/>
    <cellStyle name="60% - Énfasis3 17" xfId="721" xr:uid="{00000000-0005-0000-0000-000077030000}"/>
    <cellStyle name="60% - Énfasis3 18" xfId="722" xr:uid="{00000000-0005-0000-0000-000078030000}"/>
    <cellStyle name="60% - Énfasis3 19" xfId="723" xr:uid="{00000000-0005-0000-0000-000079030000}"/>
    <cellStyle name="60% - Énfasis3 2" xfId="724" xr:uid="{00000000-0005-0000-0000-00007A030000}"/>
    <cellStyle name="60% - Énfasis3 2 2" xfId="12381" xr:uid="{00000000-0005-0000-0000-00007B030000}"/>
    <cellStyle name="60% - Énfasis3 2 3" xfId="12382" xr:uid="{00000000-0005-0000-0000-00007C030000}"/>
    <cellStyle name="60% - Énfasis3 20" xfId="725" xr:uid="{00000000-0005-0000-0000-00007D030000}"/>
    <cellStyle name="60% - Énfasis3 21" xfId="726" xr:uid="{00000000-0005-0000-0000-00007E030000}"/>
    <cellStyle name="60% - Énfasis3 22" xfId="727" xr:uid="{00000000-0005-0000-0000-00007F030000}"/>
    <cellStyle name="60% - Énfasis3 23" xfId="728" xr:uid="{00000000-0005-0000-0000-000080030000}"/>
    <cellStyle name="60% - Énfasis3 24" xfId="729" xr:uid="{00000000-0005-0000-0000-000081030000}"/>
    <cellStyle name="60% - Énfasis3 25" xfId="730" xr:uid="{00000000-0005-0000-0000-000082030000}"/>
    <cellStyle name="60% - Énfasis3 26" xfId="731" xr:uid="{00000000-0005-0000-0000-000083030000}"/>
    <cellStyle name="60% - Énfasis3 27" xfId="732" xr:uid="{00000000-0005-0000-0000-000084030000}"/>
    <cellStyle name="60% - Énfasis3 28" xfId="733" xr:uid="{00000000-0005-0000-0000-000085030000}"/>
    <cellStyle name="60% - Énfasis3 29" xfId="734" xr:uid="{00000000-0005-0000-0000-000086030000}"/>
    <cellStyle name="60% - Énfasis3 3" xfId="735" xr:uid="{00000000-0005-0000-0000-000087030000}"/>
    <cellStyle name="60% - Énfasis3 3 2" xfId="12383" xr:uid="{00000000-0005-0000-0000-000088030000}"/>
    <cellStyle name="60% - Énfasis3 3 3" xfId="12384" xr:uid="{00000000-0005-0000-0000-000089030000}"/>
    <cellStyle name="60% - Énfasis3 30" xfId="736" xr:uid="{00000000-0005-0000-0000-00008A030000}"/>
    <cellStyle name="60% - Énfasis3 31" xfId="737" xr:uid="{00000000-0005-0000-0000-00008B030000}"/>
    <cellStyle name="60% - Énfasis3 32" xfId="738" xr:uid="{00000000-0005-0000-0000-00008C030000}"/>
    <cellStyle name="60% - Énfasis3 33" xfId="739" xr:uid="{00000000-0005-0000-0000-00008D030000}"/>
    <cellStyle name="60% - Énfasis3 34" xfId="740" xr:uid="{00000000-0005-0000-0000-00008E030000}"/>
    <cellStyle name="60% - Énfasis3 35" xfId="741" xr:uid="{00000000-0005-0000-0000-00008F030000}"/>
    <cellStyle name="60% - Énfasis3 36" xfId="742" xr:uid="{00000000-0005-0000-0000-000090030000}"/>
    <cellStyle name="60% - Énfasis3 37" xfId="743" xr:uid="{00000000-0005-0000-0000-000091030000}"/>
    <cellStyle name="60% - Énfasis3 38" xfId="744" xr:uid="{00000000-0005-0000-0000-000092030000}"/>
    <cellStyle name="60% - Énfasis3 39" xfId="745" xr:uid="{00000000-0005-0000-0000-000093030000}"/>
    <cellStyle name="60% - Énfasis3 4" xfId="746" xr:uid="{00000000-0005-0000-0000-000094030000}"/>
    <cellStyle name="60% - Énfasis3 4 2" xfId="12385" xr:uid="{00000000-0005-0000-0000-000095030000}"/>
    <cellStyle name="60% - Énfasis3 4 3" xfId="12386" xr:uid="{00000000-0005-0000-0000-000096030000}"/>
    <cellStyle name="60% - Énfasis3 40" xfId="747" xr:uid="{00000000-0005-0000-0000-000097030000}"/>
    <cellStyle name="60% - Énfasis3 41" xfId="748" xr:uid="{00000000-0005-0000-0000-000098030000}"/>
    <cellStyle name="60% - Énfasis3 42" xfId="749" xr:uid="{00000000-0005-0000-0000-000099030000}"/>
    <cellStyle name="60% - Énfasis3 43" xfId="750" xr:uid="{00000000-0005-0000-0000-00009A030000}"/>
    <cellStyle name="60% - Énfasis3 44" xfId="751" xr:uid="{00000000-0005-0000-0000-00009B030000}"/>
    <cellStyle name="60% - Énfasis3 45" xfId="752" xr:uid="{00000000-0005-0000-0000-00009C030000}"/>
    <cellStyle name="60% - Énfasis3 46" xfId="753" xr:uid="{00000000-0005-0000-0000-00009D030000}"/>
    <cellStyle name="60% - Énfasis3 47" xfId="754" xr:uid="{00000000-0005-0000-0000-00009E030000}"/>
    <cellStyle name="60% - Énfasis3 48" xfId="755" xr:uid="{00000000-0005-0000-0000-00009F030000}"/>
    <cellStyle name="60% - Énfasis3 49" xfId="756" xr:uid="{00000000-0005-0000-0000-0000A0030000}"/>
    <cellStyle name="60% - Énfasis3 5" xfId="757" xr:uid="{00000000-0005-0000-0000-0000A1030000}"/>
    <cellStyle name="60% - Énfasis3 5 2" xfId="12387" xr:uid="{00000000-0005-0000-0000-0000A2030000}"/>
    <cellStyle name="60% - Énfasis3 50" xfId="758" xr:uid="{00000000-0005-0000-0000-0000A3030000}"/>
    <cellStyle name="60% - Énfasis3 6" xfId="759" xr:uid="{00000000-0005-0000-0000-0000A4030000}"/>
    <cellStyle name="60% - Énfasis3 6 2" xfId="12388" xr:uid="{00000000-0005-0000-0000-0000A5030000}"/>
    <cellStyle name="60% - Énfasis3 7" xfId="760" xr:uid="{00000000-0005-0000-0000-0000A6030000}"/>
    <cellStyle name="60% - Énfasis3 7 2" xfId="12389" xr:uid="{00000000-0005-0000-0000-0000A7030000}"/>
    <cellStyle name="60% - Énfasis3 8" xfId="761" xr:uid="{00000000-0005-0000-0000-0000A8030000}"/>
    <cellStyle name="60% - Énfasis3 8 2" xfId="12390" xr:uid="{00000000-0005-0000-0000-0000A9030000}"/>
    <cellStyle name="60% - Énfasis3 9" xfId="762" xr:uid="{00000000-0005-0000-0000-0000AA030000}"/>
    <cellStyle name="60% - Énfasis3 9 2" xfId="12391" xr:uid="{00000000-0005-0000-0000-0000AB030000}"/>
    <cellStyle name="60% - Énfasis4 10" xfId="763" xr:uid="{00000000-0005-0000-0000-0000AC030000}"/>
    <cellStyle name="60% - Énfasis4 11" xfId="764" xr:uid="{00000000-0005-0000-0000-0000AD030000}"/>
    <cellStyle name="60% - Énfasis4 12" xfId="765" xr:uid="{00000000-0005-0000-0000-0000AE030000}"/>
    <cellStyle name="60% - Énfasis4 13" xfId="766" xr:uid="{00000000-0005-0000-0000-0000AF030000}"/>
    <cellStyle name="60% - Énfasis4 14" xfId="767" xr:uid="{00000000-0005-0000-0000-0000B0030000}"/>
    <cellStyle name="60% - Énfasis4 15" xfId="768" xr:uid="{00000000-0005-0000-0000-0000B1030000}"/>
    <cellStyle name="60% - Énfasis4 16" xfId="769" xr:uid="{00000000-0005-0000-0000-0000B2030000}"/>
    <cellStyle name="60% - Énfasis4 17" xfId="770" xr:uid="{00000000-0005-0000-0000-0000B3030000}"/>
    <cellStyle name="60% - Énfasis4 18" xfId="771" xr:uid="{00000000-0005-0000-0000-0000B4030000}"/>
    <cellStyle name="60% - Énfasis4 19" xfId="772" xr:uid="{00000000-0005-0000-0000-0000B5030000}"/>
    <cellStyle name="60% - Énfasis4 2" xfId="773" xr:uid="{00000000-0005-0000-0000-0000B6030000}"/>
    <cellStyle name="60% - Énfasis4 2 2" xfId="12392" xr:uid="{00000000-0005-0000-0000-0000B7030000}"/>
    <cellStyle name="60% - Énfasis4 2 3" xfId="12393" xr:uid="{00000000-0005-0000-0000-0000B8030000}"/>
    <cellStyle name="60% - Énfasis4 20" xfId="774" xr:uid="{00000000-0005-0000-0000-0000B9030000}"/>
    <cellStyle name="60% - Énfasis4 21" xfId="775" xr:uid="{00000000-0005-0000-0000-0000BA030000}"/>
    <cellStyle name="60% - Énfasis4 22" xfId="776" xr:uid="{00000000-0005-0000-0000-0000BB030000}"/>
    <cellStyle name="60% - Énfasis4 23" xfId="777" xr:uid="{00000000-0005-0000-0000-0000BC030000}"/>
    <cellStyle name="60% - Énfasis4 24" xfId="778" xr:uid="{00000000-0005-0000-0000-0000BD030000}"/>
    <cellStyle name="60% - Énfasis4 25" xfId="779" xr:uid="{00000000-0005-0000-0000-0000BE030000}"/>
    <cellStyle name="60% - Énfasis4 26" xfId="780" xr:uid="{00000000-0005-0000-0000-0000BF030000}"/>
    <cellStyle name="60% - Énfasis4 27" xfId="781" xr:uid="{00000000-0005-0000-0000-0000C0030000}"/>
    <cellStyle name="60% - Énfasis4 28" xfId="782" xr:uid="{00000000-0005-0000-0000-0000C1030000}"/>
    <cellStyle name="60% - Énfasis4 29" xfId="783" xr:uid="{00000000-0005-0000-0000-0000C2030000}"/>
    <cellStyle name="60% - Énfasis4 3" xfId="784" xr:uid="{00000000-0005-0000-0000-0000C3030000}"/>
    <cellStyle name="60% - Énfasis4 3 2" xfId="12394" xr:uid="{00000000-0005-0000-0000-0000C4030000}"/>
    <cellStyle name="60% - Énfasis4 3 3" xfId="12395" xr:uid="{00000000-0005-0000-0000-0000C5030000}"/>
    <cellStyle name="60% - Énfasis4 30" xfId="785" xr:uid="{00000000-0005-0000-0000-0000C6030000}"/>
    <cellStyle name="60% - Énfasis4 31" xfId="786" xr:uid="{00000000-0005-0000-0000-0000C7030000}"/>
    <cellStyle name="60% - Énfasis4 32" xfId="787" xr:uid="{00000000-0005-0000-0000-0000C8030000}"/>
    <cellStyle name="60% - Énfasis4 33" xfId="788" xr:uid="{00000000-0005-0000-0000-0000C9030000}"/>
    <cellStyle name="60% - Énfasis4 34" xfId="789" xr:uid="{00000000-0005-0000-0000-0000CA030000}"/>
    <cellStyle name="60% - Énfasis4 35" xfId="790" xr:uid="{00000000-0005-0000-0000-0000CB030000}"/>
    <cellStyle name="60% - Énfasis4 36" xfId="791" xr:uid="{00000000-0005-0000-0000-0000CC030000}"/>
    <cellStyle name="60% - Énfasis4 37" xfId="792" xr:uid="{00000000-0005-0000-0000-0000CD030000}"/>
    <cellStyle name="60% - Énfasis4 38" xfId="793" xr:uid="{00000000-0005-0000-0000-0000CE030000}"/>
    <cellStyle name="60% - Énfasis4 39" xfId="794" xr:uid="{00000000-0005-0000-0000-0000CF030000}"/>
    <cellStyle name="60% - Énfasis4 4" xfId="795" xr:uid="{00000000-0005-0000-0000-0000D0030000}"/>
    <cellStyle name="60% - Énfasis4 4 2" xfId="12396" xr:uid="{00000000-0005-0000-0000-0000D1030000}"/>
    <cellStyle name="60% - Énfasis4 4 3" xfId="12397" xr:uid="{00000000-0005-0000-0000-0000D2030000}"/>
    <cellStyle name="60% - Énfasis4 40" xfId="796" xr:uid="{00000000-0005-0000-0000-0000D3030000}"/>
    <cellStyle name="60% - Énfasis4 41" xfId="797" xr:uid="{00000000-0005-0000-0000-0000D4030000}"/>
    <cellStyle name="60% - Énfasis4 42" xfId="798" xr:uid="{00000000-0005-0000-0000-0000D5030000}"/>
    <cellStyle name="60% - Énfasis4 43" xfId="799" xr:uid="{00000000-0005-0000-0000-0000D6030000}"/>
    <cellStyle name="60% - Énfasis4 44" xfId="800" xr:uid="{00000000-0005-0000-0000-0000D7030000}"/>
    <cellStyle name="60% - Énfasis4 45" xfId="801" xr:uid="{00000000-0005-0000-0000-0000D8030000}"/>
    <cellStyle name="60% - Énfasis4 46" xfId="802" xr:uid="{00000000-0005-0000-0000-0000D9030000}"/>
    <cellStyle name="60% - Énfasis4 47" xfId="803" xr:uid="{00000000-0005-0000-0000-0000DA030000}"/>
    <cellStyle name="60% - Énfasis4 48" xfId="804" xr:uid="{00000000-0005-0000-0000-0000DB030000}"/>
    <cellStyle name="60% - Énfasis4 49" xfId="805" xr:uid="{00000000-0005-0000-0000-0000DC030000}"/>
    <cellStyle name="60% - Énfasis4 5" xfId="806" xr:uid="{00000000-0005-0000-0000-0000DD030000}"/>
    <cellStyle name="60% - Énfasis4 5 2" xfId="12398" xr:uid="{00000000-0005-0000-0000-0000DE030000}"/>
    <cellStyle name="60% - Énfasis4 50" xfId="807" xr:uid="{00000000-0005-0000-0000-0000DF030000}"/>
    <cellStyle name="60% - Énfasis4 6" xfId="808" xr:uid="{00000000-0005-0000-0000-0000E0030000}"/>
    <cellStyle name="60% - Énfasis4 6 2" xfId="12399" xr:uid="{00000000-0005-0000-0000-0000E1030000}"/>
    <cellStyle name="60% - Énfasis4 7" xfId="809" xr:uid="{00000000-0005-0000-0000-0000E2030000}"/>
    <cellStyle name="60% - Énfasis4 7 2" xfId="12400" xr:uid="{00000000-0005-0000-0000-0000E3030000}"/>
    <cellStyle name="60% - Énfasis4 8" xfId="810" xr:uid="{00000000-0005-0000-0000-0000E4030000}"/>
    <cellStyle name="60% - Énfasis4 8 2" xfId="12401" xr:uid="{00000000-0005-0000-0000-0000E5030000}"/>
    <cellStyle name="60% - Énfasis4 9" xfId="811" xr:uid="{00000000-0005-0000-0000-0000E6030000}"/>
    <cellStyle name="60% - Énfasis4 9 2" xfId="12402" xr:uid="{00000000-0005-0000-0000-0000E7030000}"/>
    <cellStyle name="60% - Énfasis5 10" xfId="812" xr:uid="{00000000-0005-0000-0000-0000E8030000}"/>
    <cellStyle name="60% - Énfasis5 11" xfId="813" xr:uid="{00000000-0005-0000-0000-0000E9030000}"/>
    <cellStyle name="60% - Énfasis5 12" xfId="814" xr:uid="{00000000-0005-0000-0000-0000EA030000}"/>
    <cellStyle name="60% - Énfasis5 13" xfId="815" xr:uid="{00000000-0005-0000-0000-0000EB030000}"/>
    <cellStyle name="60% - Énfasis5 14" xfId="816" xr:uid="{00000000-0005-0000-0000-0000EC030000}"/>
    <cellStyle name="60% - Énfasis5 15" xfId="817" xr:uid="{00000000-0005-0000-0000-0000ED030000}"/>
    <cellStyle name="60% - Énfasis5 16" xfId="818" xr:uid="{00000000-0005-0000-0000-0000EE030000}"/>
    <cellStyle name="60% - Énfasis5 17" xfId="819" xr:uid="{00000000-0005-0000-0000-0000EF030000}"/>
    <cellStyle name="60% - Énfasis5 18" xfId="820" xr:uid="{00000000-0005-0000-0000-0000F0030000}"/>
    <cellStyle name="60% - Énfasis5 19" xfId="821" xr:uid="{00000000-0005-0000-0000-0000F1030000}"/>
    <cellStyle name="60% - Énfasis5 2" xfId="822" xr:uid="{00000000-0005-0000-0000-0000F2030000}"/>
    <cellStyle name="60% - Énfasis5 2 2" xfId="12403" xr:uid="{00000000-0005-0000-0000-0000F3030000}"/>
    <cellStyle name="60% - Énfasis5 2 3" xfId="12404" xr:uid="{00000000-0005-0000-0000-0000F4030000}"/>
    <cellStyle name="60% - Énfasis5 20" xfId="823" xr:uid="{00000000-0005-0000-0000-0000F5030000}"/>
    <cellStyle name="60% - Énfasis5 21" xfId="824" xr:uid="{00000000-0005-0000-0000-0000F6030000}"/>
    <cellStyle name="60% - Énfasis5 22" xfId="825" xr:uid="{00000000-0005-0000-0000-0000F7030000}"/>
    <cellStyle name="60% - Énfasis5 23" xfId="826" xr:uid="{00000000-0005-0000-0000-0000F8030000}"/>
    <cellStyle name="60% - Énfasis5 24" xfId="827" xr:uid="{00000000-0005-0000-0000-0000F9030000}"/>
    <cellStyle name="60% - Énfasis5 25" xfId="828" xr:uid="{00000000-0005-0000-0000-0000FA030000}"/>
    <cellStyle name="60% - Énfasis5 26" xfId="829" xr:uid="{00000000-0005-0000-0000-0000FB030000}"/>
    <cellStyle name="60% - Énfasis5 27" xfId="830" xr:uid="{00000000-0005-0000-0000-0000FC030000}"/>
    <cellStyle name="60% - Énfasis5 28" xfId="831" xr:uid="{00000000-0005-0000-0000-0000FD030000}"/>
    <cellStyle name="60% - Énfasis5 29" xfId="832" xr:uid="{00000000-0005-0000-0000-0000FE030000}"/>
    <cellStyle name="60% - Énfasis5 3" xfId="833" xr:uid="{00000000-0005-0000-0000-0000FF030000}"/>
    <cellStyle name="60% - Énfasis5 3 2" xfId="12405" xr:uid="{00000000-0005-0000-0000-000000040000}"/>
    <cellStyle name="60% - Énfasis5 3 3" xfId="12406" xr:uid="{00000000-0005-0000-0000-000001040000}"/>
    <cellStyle name="60% - Énfasis5 30" xfId="834" xr:uid="{00000000-0005-0000-0000-000002040000}"/>
    <cellStyle name="60% - Énfasis5 31" xfId="835" xr:uid="{00000000-0005-0000-0000-000003040000}"/>
    <cellStyle name="60% - Énfasis5 32" xfId="836" xr:uid="{00000000-0005-0000-0000-000004040000}"/>
    <cellStyle name="60% - Énfasis5 33" xfId="837" xr:uid="{00000000-0005-0000-0000-000005040000}"/>
    <cellStyle name="60% - Énfasis5 34" xfId="838" xr:uid="{00000000-0005-0000-0000-000006040000}"/>
    <cellStyle name="60% - Énfasis5 35" xfId="839" xr:uid="{00000000-0005-0000-0000-000007040000}"/>
    <cellStyle name="60% - Énfasis5 36" xfId="840" xr:uid="{00000000-0005-0000-0000-000008040000}"/>
    <cellStyle name="60% - Énfasis5 37" xfId="841" xr:uid="{00000000-0005-0000-0000-000009040000}"/>
    <cellStyle name="60% - Énfasis5 38" xfId="842" xr:uid="{00000000-0005-0000-0000-00000A040000}"/>
    <cellStyle name="60% - Énfasis5 39" xfId="843" xr:uid="{00000000-0005-0000-0000-00000B040000}"/>
    <cellStyle name="60% - Énfasis5 4" xfId="844" xr:uid="{00000000-0005-0000-0000-00000C040000}"/>
    <cellStyle name="60% - Énfasis5 4 2" xfId="12407" xr:uid="{00000000-0005-0000-0000-00000D040000}"/>
    <cellStyle name="60% - Énfasis5 4 3" xfId="12408" xr:uid="{00000000-0005-0000-0000-00000E040000}"/>
    <cellStyle name="60% - Énfasis5 40" xfId="845" xr:uid="{00000000-0005-0000-0000-00000F040000}"/>
    <cellStyle name="60% - Énfasis5 41" xfId="846" xr:uid="{00000000-0005-0000-0000-000010040000}"/>
    <cellStyle name="60% - Énfasis5 42" xfId="847" xr:uid="{00000000-0005-0000-0000-000011040000}"/>
    <cellStyle name="60% - Énfasis5 43" xfId="848" xr:uid="{00000000-0005-0000-0000-000012040000}"/>
    <cellStyle name="60% - Énfasis5 44" xfId="849" xr:uid="{00000000-0005-0000-0000-000013040000}"/>
    <cellStyle name="60% - Énfasis5 45" xfId="850" xr:uid="{00000000-0005-0000-0000-000014040000}"/>
    <cellStyle name="60% - Énfasis5 46" xfId="851" xr:uid="{00000000-0005-0000-0000-000015040000}"/>
    <cellStyle name="60% - Énfasis5 47" xfId="852" xr:uid="{00000000-0005-0000-0000-000016040000}"/>
    <cellStyle name="60% - Énfasis5 48" xfId="853" xr:uid="{00000000-0005-0000-0000-000017040000}"/>
    <cellStyle name="60% - Énfasis5 49" xfId="854" xr:uid="{00000000-0005-0000-0000-000018040000}"/>
    <cellStyle name="60% - Énfasis5 5" xfId="855" xr:uid="{00000000-0005-0000-0000-000019040000}"/>
    <cellStyle name="60% - Énfasis5 5 2" xfId="12409" xr:uid="{00000000-0005-0000-0000-00001A040000}"/>
    <cellStyle name="60% - Énfasis5 50" xfId="856" xr:uid="{00000000-0005-0000-0000-00001B040000}"/>
    <cellStyle name="60% - Énfasis5 6" xfId="857" xr:uid="{00000000-0005-0000-0000-00001C040000}"/>
    <cellStyle name="60% - Énfasis5 6 2" xfId="12410" xr:uid="{00000000-0005-0000-0000-00001D040000}"/>
    <cellStyle name="60% - Énfasis5 7" xfId="858" xr:uid="{00000000-0005-0000-0000-00001E040000}"/>
    <cellStyle name="60% - Énfasis5 7 2" xfId="12411" xr:uid="{00000000-0005-0000-0000-00001F040000}"/>
    <cellStyle name="60% - Énfasis5 8" xfId="859" xr:uid="{00000000-0005-0000-0000-000020040000}"/>
    <cellStyle name="60% - Énfasis5 8 2" xfId="12412" xr:uid="{00000000-0005-0000-0000-000021040000}"/>
    <cellStyle name="60% - Énfasis5 9" xfId="860" xr:uid="{00000000-0005-0000-0000-000022040000}"/>
    <cellStyle name="60% - Énfasis5 9 2" xfId="12413" xr:uid="{00000000-0005-0000-0000-000023040000}"/>
    <cellStyle name="60% - Énfasis6 10" xfId="861" xr:uid="{00000000-0005-0000-0000-000024040000}"/>
    <cellStyle name="60% - Énfasis6 11" xfId="862" xr:uid="{00000000-0005-0000-0000-000025040000}"/>
    <cellStyle name="60% - Énfasis6 12" xfId="863" xr:uid="{00000000-0005-0000-0000-000026040000}"/>
    <cellStyle name="60% - Énfasis6 13" xfId="864" xr:uid="{00000000-0005-0000-0000-000027040000}"/>
    <cellStyle name="60% - Énfasis6 14" xfId="865" xr:uid="{00000000-0005-0000-0000-000028040000}"/>
    <cellStyle name="60% - Énfasis6 15" xfId="866" xr:uid="{00000000-0005-0000-0000-000029040000}"/>
    <cellStyle name="60% - Énfasis6 16" xfId="867" xr:uid="{00000000-0005-0000-0000-00002A040000}"/>
    <cellStyle name="60% - Énfasis6 17" xfId="868" xr:uid="{00000000-0005-0000-0000-00002B040000}"/>
    <cellStyle name="60% - Énfasis6 18" xfId="869" xr:uid="{00000000-0005-0000-0000-00002C040000}"/>
    <cellStyle name="60% - Énfasis6 19" xfId="870" xr:uid="{00000000-0005-0000-0000-00002D040000}"/>
    <cellStyle name="60% - Énfasis6 2" xfId="871" xr:uid="{00000000-0005-0000-0000-00002E040000}"/>
    <cellStyle name="60% - Énfasis6 2 2" xfId="12414" xr:uid="{00000000-0005-0000-0000-00002F040000}"/>
    <cellStyle name="60% - Énfasis6 2 3" xfId="12415" xr:uid="{00000000-0005-0000-0000-000030040000}"/>
    <cellStyle name="60% - Énfasis6 20" xfId="872" xr:uid="{00000000-0005-0000-0000-000031040000}"/>
    <cellStyle name="60% - Énfasis6 21" xfId="873" xr:uid="{00000000-0005-0000-0000-000032040000}"/>
    <cellStyle name="60% - Énfasis6 22" xfId="874" xr:uid="{00000000-0005-0000-0000-000033040000}"/>
    <cellStyle name="60% - Énfasis6 23" xfId="875" xr:uid="{00000000-0005-0000-0000-000034040000}"/>
    <cellStyle name="60% - Énfasis6 24" xfId="876" xr:uid="{00000000-0005-0000-0000-000035040000}"/>
    <cellStyle name="60% - Énfasis6 25" xfId="877" xr:uid="{00000000-0005-0000-0000-000036040000}"/>
    <cellStyle name="60% - Énfasis6 26" xfId="878" xr:uid="{00000000-0005-0000-0000-000037040000}"/>
    <cellStyle name="60% - Énfasis6 27" xfId="879" xr:uid="{00000000-0005-0000-0000-000038040000}"/>
    <cellStyle name="60% - Énfasis6 28" xfId="880" xr:uid="{00000000-0005-0000-0000-000039040000}"/>
    <cellStyle name="60% - Énfasis6 29" xfId="881" xr:uid="{00000000-0005-0000-0000-00003A040000}"/>
    <cellStyle name="60% - Énfasis6 3" xfId="882" xr:uid="{00000000-0005-0000-0000-00003B040000}"/>
    <cellStyle name="60% - Énfasis6 3 2" xfId="12416" xr:uid="{00000000-0005-0000-0000-00003C040000}"/>
    <cellStyle name="60% - Énfasis6 3 3" xfId="12417" xr:uid="{00000000-0005-0000-0000-00003D040000}"/>
    <cellStyle name="60% - Énfasis6 30" xfId="883" xr:uid="{00000000-0005-0000-0000-00003E040000}"/>
    <cellStyle name="60% - Énfasis6 31" xfId="884" xr:uid="{00000000-0005-0000-0000-00003F040000}"/>
    <cellStyle name="60% - Énfasis6 32" xfId="885" xr:uid="{00000000-0005-0000-0000-000040040000}"/>
    <cellStyle name="60% - Énfasis6 33" xfId="886" xr:uid="{00000000-0005-0000-0000-000041040000}"/>
    <cellStyle name="60% - Énfasis6 34" xfId="887" xr:uid="{00000000-0005-0000-0000-000042040000}"/>
    <cellStyle name="60% - Énfasis6 35" xfId="888" xr:uid="{00000000-0005-0000-0000-000043040000}"/>
    <cellStyle name="60% - Énfasis6 36" xfId="889" xr:uid="{00000000-0005-0000-0000-000044040000}"/>
    <cellStyle name="60% - Énfasis6 37" xfId="890" xr:uid="{00000000-0005-0000-0000-000045040000}"/>
    <cellStyle name="60% - Énfasis6 38" xfId="891" xr:uid="{00000000-0005-0000-0000-000046040000}"/>
    <cellStyle name="60% - Énfasis6 39" xfId="892" xr:uid="{00000000-0005-0000-0000-000047040000}"/>
    <cellStyle name="60% - Énfasis6 4" xfId="893" xr:uid="{00000000-0005-0000-0000-000048040000}"/>
    <cellStyle name="60% - Énfasis6 4 2" xfId="12418" xr:uid="{00000000-0005-0000-0000-000049040000}"/>
    <cellStyle name="60% - Énfasis6 4 3" xfId="12419" xr:uid="{00000000-0005-0000-0000-00004A040000}"/>
    <cellStyle name="60% - Énfasis6 40" xfId="894" xr:uid="{00000000-0005-0000-0000-00004B040000}"/>
    <cellStyle name="60% - Énfasis6 41" xfId="895" xr:uid="{00000000-0005-0000-0000-00004C040000}"/>
    <cellStyle name="60% - Énfasis6 42" xfId="896" xr:uid="{00000000-0005-0000-0000-00004D040000}"/>
    <cellStyle name="60% - Énfasis6 43" xfId="897" xr:uid="{00000000-0005-0000-0000-00004E040000}"/>
    <cellStyle name="60% - Énfasis6 44" xfId="898" xr:uid="{00000000-0005-0000-0000-00004F040000}"/>
    <cellStyle name="60% - Énfasis6 45" xfId="899" xr:uid="{00000000-0005-0000-0000-000050040000}"/>
    <cellStyle name="60% - Énfasis6 46" xfId="900" xr:uid="{00000000-0005-0000-0000-000051040000}"/>
    <cellStyle name="60% - Énfasis6 47" xfId="901" xr:uid="{00000000-0005-0000-0000-000052040000}"/>
    <cellStyle name="60% - Énfasis6 48" xfId="902" xr:uid="{00000000-0005-0000-0000-000053040000}"/>
    <cellStyle name="60% - Énfasis6 49" xfId="903" xr:uid="{00000000-0005-0000-0000-000054040000}"/>
    <cellStyle name="60% - Énfasis6 5" xfId="904" xr:uid="{00000000-0005-0000-0000-000055040000}"/>
    <cellStyle name="60% - Énfasis6 5 2" xfId="12420" xr:uid="{00000000-0005-0000-0000-000056040000}"/>
    <cellStyle name="60% - Énfasis6 50" xfId="905" xr:uid="{00000000-0005-0000-0000-000057040000}"/>
    <cellStyle name="60% - Énfasis6 6" xfId="906" xr:uid="{00000000-0005-0000-0000-000058040000}"/>
    <cellStyle name="60% - Énfasis6 6 2" xfId="12421" xr:uid="{00000000-0005-0000-0000-000059040000}"/>
    <cellStyle name="60% - Énfasis6 7" xfId="907" xr:uid="{00000000-0005-0000-0000-00005A040000}"/>
    <cellStyle name="60% - Énfasis6 7 2" xfId="12422" xr:uid="{00000000-0005-0000-0000-00005B040000}"/>
    <cellStyle name="60% - Énfasis6 8" xfId="908" xr:uid="{00000000-0005-0000-0000-00005C040000}"/>
    <cellStyle name="60% - Énfasis6 8 2" xfId="12423" xr:uid="{00000000-0005-0000-0000-00005D040000}"/>
    <cellStyle name="60% - Énfasis6 9" xfId="909" xr:uid="{00000000-0005-0000-0000-00005E040000}"/>
    <cellStyle name="60% - Énfasis6 9 2" xfId="12424" xr:uid="{00000000-0005-0000-0000-00005F040000}"/>
    <cellStyle name="75" xfId="12425" xr:uid="{00000000-0005-0000-0000-000060040000}"/>
    <cellStyle name="Accent1" xfId="12426" xr:uid="{00000000-0005-0000-0000-000061040000}"/>
    <cellStyle name="Accent2" xfId="12427" xr:uid="{00000000-0005-0000-0000-000062040000}"/>
    <cellStyle name="Accent3" xfId="12428" xr:uid="{00000000-0005-0000-0000-000063040000}"/>
    <cellStyle name="Accent4" xfId="12429" xr:uid="{00000000-0005-0000-0000-000064040000}"/>
    <cellStyle name="Accent5" xfId="12430" xr:uid="{00000000-0005-0000-0000-000065040000}"/>
    <cellStyle name="Accent6" xfId="12431" xr:uid="{00000000-0005-0000-0000-000066040000}"/>
    <cellStyle name="Actual Date" xfId="12432" xr:uid="{00000000-0005-0000-0000-000067040000}"/>
    <cellStyle name="ÅëÈ­ [0]_±âÅ¸" xfId="12433" xr:uid="{00000000-0005-0000-0000-000068040000}"/>
    <cellStyle name="ÅëÈ­_±âÅ¸" xfId="12434" xr:uid="{00000000-0005-0000-0000-000069040000}"/>
    <cellStyle name="anai" xfId="12435" xr:uid="{00000000-0005-0000-0000-00006A040000}"/>
    <cellStyle name="anai 2" xfId="12436" xr:uid="{00000000-0005-0000-0000-00006B040000}"/>
    <cellStyle name="anai 2 2" xfId="29425" xr:uid="{00000000-0005-0000-0000-00006C040000}"/>
    <cellStyle name="anai 3" xfId="12437" xr:uid="{00000000-0005-0000-0000-00006D040000}"/>
    <cellStyle name="anai 3 2" xfId="29426" xr:uid="{00000000-0005-0000-0000-00006E040000}"/>
    <cellStyle name="anai 4" xfId="29424" xr:uid="{00000000-0005-0000-0000-00006F040000}"/>
    <cellStyle name="args.style" xfId="12438" xr:uid="{00000000-0005-0000-0000-000070040000}"/>
    <cellStyle name="ÄÞ¸¶ [0]_±âÅ¸" xfId="12439" xr:uid="{00000000-0005-0000-0000-000071040000}"/>
    <cellStyle name="ÄÞ¸¶_±âÅ¸" xfId="12440" xr:uid="{00000000-0005-0000-0000-000072040000}"/>
    <cellStyle name="AutoFormat Options" xfId="33964" xr:uid="{00000000-0005-0000-0000-000073040000}"/>
    <cellStyle name="AZUL" xfId="12441" xr:uid="{00000000-0005-0000-0000-000074040000}"/>
    <cellStyle name="Bad" xfId="12442" xr:uid="{00000000-0005-0000-0000-000075040000}"/>
    <cellStyle name="Body" xfId="12443" xr:uid="{00000000-0005-0000-0000-000076040000}"/>
    <cellStyle name="Body 2" xfId="12444" xr:uid="{00000000-0005-0000-0000-000077040000}"/>
    <cellStyle name="Buena 10" xfId="910" xr:uid="{00000000-0005-0000-0000-000078040000}"/>
    <cellStyle name="Buena 11" xfId="911" xr:uid="{00000000-0005-0000-0000-000079040000}"/>
    <cellStyle name="Buena 12" xfId="912" xr:uid="{00000000-0005-0000-0000-00007A040000}"/>
    <cellStyle name="Buena 13" xfId="913" xr:uid="{00000000-0005-0000-0000-00007B040000}"/>
    <cellStyle name="Buena 14" xfId="914" xr:uid="{00000000-0005-0000-0000-00007C040000}"/>
    <cellStyle name="Buena 15" xfId="915" xr:uid="{00000000-0005-0000-0000-00007D040000}"/>
    <cellStyle name="Buena 16" xfId="916" xr:uid="{00000000-0005-0000-0000-00007E040000}"/>
    <cellStyle name="Buena 17" xfId="917" xr:uid="{00000000-0005-0000-0000-00007F040000}"/>
    <cellStyle name="Buena 18" xfId="918" xr:uid="{00000000-0005-0000-0000-000080040000}"/>
    <cellStyle name="Buena 19" xfId="919" xr:uid="{00000000-0005-0000-0000-000081040000}"/>
    <cellStyle name="Buena 2" xfId="920" xr:uid="{00000000-0005-0000-0000-000082040000}"/>
    <cellStyle name="Buena 2 2" xfId="12445" xr:uid="{00000000-0005-0000-0000-000083040000}"/>
    <cellStyle name="Buena 2 3" xfId="12446" xr:uid="{00000000-0005-0000-0000-000084040000}"/>
    <cellStyle name="Buena 20" xfId="921" xr:uid="{00000000-0005-0000-0000-000085040000}"/>
    <cellStyle name="Buena 21" xfId="922" xr:uid="{00000000-0005-0000-0000-000086040000}"/>
    <cellStyle name="Buena 22" xfId="923" xr:uid="{00000000-0005-0000-0000-000087040000}"/>
    <cellStyle name="Buena 23" xfId="924" xr:uid="{00000000-0005-0000-0000-000088040000}"/>
    <cellStyle name="Buena 24" xfId="925" xr:uid="{00000000-0005-0000-0000-000089040000}"/>
    <cellStyle name="Buena 25" xfId="926" xr:uid="{00000000-0005-0000-0000-00008A040000}"/>
    <cellStyle name="Buena 26" xfId="927" xr:uid="{00000000-0005-0000-0000-00008B040000}"/>
    <cellStyle name="Buena 27" xfId="928" xr:uid="{00000000-0005-0000-0000-00008C040000}"/>
    <cellStyle name="Buena 28" xfId="929" xr:uid="{00000000-0005-0000-0000-00008D040000}"/>
    <cellStyle name="Buena 29" xfId="930" xr:uid="{00000000-0005-0000-0000-00008E040000}"/>
    <cellStyle name="Buena 3" xfId="931" xr:uid="{00000000-0005-0000-0000-00008F040000}"/>
    <cellStyle name="Buena 3 2" xfId="12447" xr:uid="{00000000-0005-0000-0000-000090040000}"/>
    <cellStyle name="Buena 3 3" xfId="12448" xr:uid="{00000000-0005-0000-0000-000091040000}"/>
    <cellStyle name="Buena 30" xfId="932" xr:uid="{00000000-0005-0000-0000-000092040000}"/>
    <cellStyle name="Buena 31" xfId="933" xr:uid="{00000000-0005-0000-0000-000093040000}"/>
    <cellStyle name="Buena 32" xfId="934" xr:uid="{00000000-0005-0000-0000-000094040000}"/>
    <cellStyle name="Buena 33" xfId="935" xr:uid="{00000000-0005-0000-0000-000095040000}"/>
    <cellStyle name="Buena 34" xfId="936" xr:uid="{00000000-0005-0000-0000-000096040000}"/>
    <cellStyle name="Buena 35" xfId="937" xr:uid="{00000000-0005-0000-0000-000097040000}"/>
    <cellStyle name="Buena 36" xfId="938" xr:uid="{00000000-0005-0000-0000-000098040000}"/>
    <cellStyle name="Buena 37" xfId="939" xr:uid="{00000000-0005-0000-0000-000099040000}"/>
    <cellStyle name="Buena 38" xfId="940" xr:uid="{00000000-0005-0000-0000-00009A040000}"/>
    <cellStyle name="Buena 39" xfId="941" xr:uid="{00000000-0005-0000-0000-00009B040000}"/>
    <cellStyle name="Buena 4" xfId="942" xr:uid="{00000000-0005-0000-0000-00009C040000}"/>
    <cellStyle name="Buena 4 2" xfId="12449" xr:uid="{00000000-0005-0000-0000-00009D040000}"/>
    <cellStyle name="Buena 4 3" xfId="12450" xr:uid="{00000000-0005-0000-0000-00009E040000}"/>
    <cellStyle name="Buena 40" xfId="943" xr:uid="{00000000-0005-0000-0000-00009F040000}"/>
    <cellStyle name="Buena 41" xfId="944" xr:uid="{00000000-0005-0000-0000-0000A0040000}"/>
    <cellStyle name="Buena 42" xfId="945" xr:uid="{00000000-0005-0000-0000-0000A1040000}"/>
    <cellStyle name="Buena 43" xfId="946" xr:uid="{00000000-0005-0000-0000-0000A2040000}"/>
    <cellStyle name="Buena 44" xfId="947" xr:uid="{00000000-0005-0000-0000-0000A3040000}"/>
    <cellStyle name="Buena 45" xfId="948" xr:uid="{00000000-0005-0000-0000-0000A4040000}"/>
    <cellStyle name="Buena 46" xfId="949" xr:uid="{00000000-0005-0000-0000-0000A5040000}"/>
    <cellStyle name="Buena 47" xfId="950" xr:uid="{00000000-0005-0000-0000-0000A6040000}"/>
    <cellStyle name="Buena 48" xfId="951" xr:uid="{00000000-0005-0000-0000-0000A7040000}"/>
    <cellStyle name="Buena 49" xfId="952" xr:uid="{00000000-0005-0000-0000-0000A8040000}"/>
    <cellStyle name="Buena 5" xfId="953" xr:uid="{00000000-0005-0000-0000-0000A9040000}"/>
    <cellStyle name="Buena 5 2" xfId="12451" xr:uid="{00000000-0005-0000-0000-0000AA040000}"/>
    <cellStyle name="Buena 50" xfId="954" xr:uid="{00000000-0005-0000-0000-0000AB040000}"/>
    <cellStyle name="Buena 6" xfId="955" xr:uid="{00000000-0005-0000-0000-0000AC040000}"/>
    <cellStyle name="Buena 6 2" xfId="12452" xr:uid="{00000000-0005-0000-0000-0000AD040000}"/>
    <cellStyle name="Buena 7" xfId="956" xr:uid="{00000000-0005-0000-0000-0000AE040000}"/>
    <cellStyle name="Buena 7 2" xfId="12453" xr:uid="{00000000-0005-0000-0000-0000AF040000}"/>
    <cellStyle name="Buena 8" xfId="957" xr:uid="{00000000-0005-0000-0000-0000B0040000}"/>
    <cellStyle name="Buena 8 2" xfId="12454" xr:uid="{00000000-0005-0000-0000-0000B1040000}"/>
    <cellStyle name="Buena 9" xfId="958" xr:uid="{00000000-0005-0000-0000-0000B2040000}"/>
    <cellStyle name="Buena 9 2" xfId="12455" xr:uid="{00000000-0005-0000-0000-0000B3040000}"/>
    <cellStyle name="Ç¥ÁØ_¿¬°£´©°è¿¹»ó" xfId="12456" xr:uid="{00000000-0005-0000-0000-0000B4040000}"/>
    <cellStyle name="Calc Currency (0)" xfId="12457" xr:uid="{00000000-0005-0000-0000-0000B5040000}"/>
    <cellStyle name="Calc Currency (0) 2" xfId="33965" xr:uid="{00000000-0005-0000-0000-0000B6040000}"/>
    <cellStyle name="Calculation" xfId="12458" xr:uid="{00000000-0005-0000-0000-0000B7040000}"/>
    <cellStyle name="Cálculo 10" xfId="959" xr:uid="{00000000-0005-0000-0000-0000B8040000}"/>
    <cellStyle name="Cálculo 10 2" xfId="11512" xr:uid="{00000000-0005-0000-0000-0000B9040000}"/>
    <cellStyle name="Cálculo 10 2 2" xfId="11613" xr:uid="{00000000-0005-0000-0000-0000BA040000}"/>
    <cellStyle name="Cálculo 10 2 2 2" xfId="29429" xr:uid="{00000000-0005-0000-0000-0000BB040000}"/>
    <cellStyle name="Cálculo 10 2 2 3" xfId="32578" xr:uid="{00000000-0005-0000-0000-0000BC040000}"/>
    <cellStyle name="Cálculo 10 2 2 4" xfId="33968" xr:uid="{00000000-0005-0000-0000-0000BD040000}"/>
    <cellStyle name="Cálculo 10 2 2 5" xfId="40357" xr:uid="{00000000-0005-0000-0000-0000BE040000}"/>
    <cellStyle name="Cálculo 10 2 3" xfId="11614" xr:uid="{00000000-0005-0000-0000-0000BF040000}"/>
    <cellStyle name="Cálculo 10 2 3 2" xfId="29430" xr:uid="{00000000-0005-0000-0000-0000C0040000}"/>
    <cellStyle name="Cálculo 10 2 3 3" xfId="32579" xr:uid="{00000000-0005-0000-0000-0000C1040000}"/>
    <cellStyle name="Cálculo 10 2 3 4" xfId="33969" xr:uid="{00000000-0005-0000-0000-0000C2040000}"/>
    <cellStyle name="Cálculo 10 2 3 5" xfId="40358" xr:uid="{00000000-0005-0000-0000-0000C3040000}"/>
    <cellStyle name="Cálculo 10 2 4" xfId="29428" xr:uid="{00000000-0005-0000-0000-0000C4040000}"/>
    <cellStyle name="Cálculo 10 2 5" xfId="32577" xr:uid="{00000000-0005-0000-0000-0000C5040000}"/>
    <cellStyle name="Cálculo 10 2 6" xfId="33967" xr:uid="{00000000-0005-0000-0000-0000C6040000}"/>
    <cellStyle name="Cálculo 10 2 7" xfId="40356" xr:uid="{00000000-0005-0000-0000-0000C7040000}"/>
    <cellStyle name="Cálculo 10 3" xfId="11615" xr:uid="{00000000-0005-0000-0000-0000C8040000}"/>
    <cellStyle name="Cálculo 10 3 2" xfId="29431" xr:uid="{00000000-0005-0000-0000-0000C9040000}"/>
    <cellStyle name="Cálculo 10 3 3" xfId="32580" xr:uid="{00000000-0005-0000-0000-0000CA040000}"/>
    <cellStyle name="Cálculo 10 3 4" xfId="33970" xr:uid="{00000000-0005-0000-0000-0000CB040000}"/>
    <cellStyle name="Cálculo 10 3 5" xfId="40359" xr:uid="{00000000-0005-0000-0000-0000CC040000}"/>
    <cellStyle name="Cálculo 10 4" xfId="11616" xr:uid="{00000000-0005-0000-0000-0000CD040000}"/>
    <cellStyle name="Cálculo 10 4 2" xfId="29432" xr:uid="{00000000-0005-0000-0000-0000CE040000}"/>
    <cellStyle name="Cálculo 10 4 3" xfId="32581" xr:uid="{00000000-0005-0000-0000-0000CF040000}"/>
    <cellStyle name="Cálculo 10 4 4" xfId="33971" xr:uid="{00000000-0005-0000-0000-0000D0040000}"/>
    <cellStyle name="Cálculo 10 4 5" xfId="40360" xr:uid="{00000000-0005-0000-0000-0000D1040000}"/>
    <cellStyle name="Cálculo 10 5" xfId="29427" xr:uid="{00000000-0005-0000-0000-0000D2040000}"/>
    <cellStyle name="Cálculo 10 6" xfId="32576" xr:uid="{00000000-0005-0000-0000-0000D3040000}"/>
    <cellStyle name="Cálculo 10 7" xfId="33966" xr:uid="{00000000-0005-0000-0000-0000D4040000}"/>
    <cellStyle name="Cálculo 10 8" xfId="40355" xr:uid="{00000000-0005-0000-0000-0000D5040000}"/>
    <cellStyle name="Cálculo 11" xfId="960" xr:uid="{00000000-0005-0000-0000-0000D6040000}"/>
    <cellStyle name="Cálculo 11 2" xfId="11513" xr:uid="{00000000-0005-0000-0000-0000D7040000}"/>
    <cellStyle name="Cálculo 11 2 2" xfId="11617" xr:uid="{00000000-0005-0000-0000-0000D8040000}"/>
    <cellStyle name="Cálculo 11 2 2 2" xfId="29435" xr:uid="{00000000-0005-0000-0000-0000D9040000}"/>
    <cellStyle name="Cálculo 11 2 2 3" xfId="32584" xr:uid="{00000000-0005-0000-0000-0000DA040000}"/>
    <cellStyle name="Cálculo 11 2 2 4" xfId="33974" xr:uid="{00000000-0005-0000-0000-0000DB040000}"/>
    <cellStyle name="Cálculo 11 2 2 5" xfId="40363" xr:uid="{00000000-0005-0000-0000-0000DC040000}"/>
    <cellStyle name="Cálculo 11 2 3" xfId="11618" xr:uid="{00000000-0005-0000-0000-0000DD040000}"/>
    <cellStyle name="Cálculo 11 2 3 2" xfId="29436" xr:uid="{00000000-0005-0000-0000-0000DE040000}"/>
    <cellStyle name="Cálculo 11 2 3 3" xfId="32585" xr:uid="{00000000-0005-0000-0000-0000DF040000}"/>
    <cellStyle name="Cálculo 11 2 3 4" xfId="33975" xr:uid="{00000000-0005-0000-0000-0000E0040000}"/>
    <cellStyle name="Cálculo 11 2 3 5" xfId="40364" xr:uid="{00000000-0005-0000-0000-0000E1040000}"/>
    <cellStyle name="Cálculo 11 2 4" xfId="29434" xr:uid="{00000000-0005-0000-0000-0000E2040000}"/>
    <cellStyle name="Cálculo 11 2 5" xfId="32583" xr:uid="{00000000-0005-0000-0000-0000E3040000}"/>
    <cellStyle name="Cálculo 11 2 6" xfId="33973" xr:uid="{00000000-0005-0000-0000-0000E4040000}"/>
    <cellStyle name="Cálculo 11 2 7" xfId="40362" xr:uid="{00000000-0005-0000-0000-0000E5040000}"/>
    <cellStyle name="Cálculo 11 3" xfId="11619" xr:uid="{00000000-0005-0000-0000-0000E6040000}"/>
    <cellStyle name="Cálculo 11 3 2" xfId="29437" xr:uid="{00000000-0005-0000-0000-0000E7040000}"/>
    <cellStyle name="Cálculo 11 3 3" xfId="32586" xr:uid="{00000000-0005-0000-0000-0000E8040000}"/>
    <cellStyle name="Cálculo 11 3 4" xfId="33976" xr:uid="{00000000-0005-0000-0000-0000E9040000}"/>
    <cellStyle name="Cálculo 11 3 5" xfId="40365" xr:uid="{00000000-0005-0000-0000-0000EA040000}"/>
    <cellStyle name="Cálculo 11 4" xfId="11620" xr:uid="{00000000-0005-0000-0000-0000EB040000}"/>
    <cellStyle name="Cálculo 11 4 2" xfId="29438" xr:uid="{00000000-0005-0000-0000-0000EC040000}"/>
    <cellStyle name="Cálculo 11 4 3" xfId="32587" xr:uid="{00000000-0005-0000-0000-0000ED040000}"/>
    <cellStyle name="Cálculo 11 4 4" xfId="33977" xr:uid="{00000000-0005-0000-0000-0000EE040000}"/>
    <cellStyle name="Cálculo 11 4 5" xfId="40366" xr:uid="{00000000-0005-0000-0000-0000EF040000}"/>
    <cellStyle name="Cálculo 11 5" xfId="29433" xr:uid="{00000000-0005-0000-0000-0000F0040000}"/>
    <cellStyle name="Cálculo 11 6" xfId="32582" xr:uid="{00000000-0005-0000-0000-0000F1040000}"/>
    <cellStyle name="Cálculo 11 7" xfId="33972" xr:uid="{00000000-0005-0000-0000-0000F2040000}"/>
    <cellStyle name="Cálculo 11 8" xfId="40361" xr:uid="{00000000-0005-0000-0000-0000F3040000}"/>
    <cellStyle name="Cálculo 12" xfId="961" xr:uid="{00000000-0005-0000-0000-0000F4040000}"/>
    <cellStyle name="Cálculo 12 2" xfId="11514" xr:uid="{00000000-0005-0000-0000-0000F5040000}"/>
    <cellStyle name="Cálculo 12 2 2" xfId="11621" xr:uid="{00000000-0005-0000-0000-0000F6040000}"/>
    <cellStyle name="Cálculo 12 2 2 2" xfId="29441" xr:uid="{00000000-0005-0000-0000-0000F7040000}"/>
    <cellStyle name="Cálculo 12 2 2 3" xfId="32590" xr:uid="{00000000-0005-0000-0000-0000F8040000}"/>
    <cellStyle name="Cálculo 12 2 2 4" xfId="33980" xr:uid="{00000000-0005-0000-0000-0000F9040000}"/>
    <cellStyle name="Cálculo 12 2 2 5" xfId="40369" xr:uid="{00000000-0005-0000-0000-0000FA040000}"/>
    <cellStyle name="Cálculo 12 2 3" xfId="11622" xr:uid="{00000000-0005-0000-0000-0000FB040000}"/>
    <cellStyle name="Cálculo 12 2 3 2" xfId="29442" xr:uid="{00000000-0005-0000-0000-0000FC040000}"/>
    <cellStyle name="Cálculo 12 2 3 3" xfId="32591" xr:uid="{00000000-0005-0000-0000-0000FD040000}"/>
    <cellStyle name="Cálculo 12 2 3 4" xfId="33981" xr:uid="{00000000-0005-0000-0000-0000FE040000}"/>
    <cellStyle name="Cálculo 12 2 3 5" xfId="40370" xr:uid="{00000000-0005-0000-0000-0000FF040000}"/>
    <cellStyle name="Cálculo 12 2 4" xfId="29440" xr:uid="{00000000-0005-0000-0000-000000050000}"/>
    <cellStyle name="Cálculo 12 2 5" xfId="32589" xr:uid="{00000000-0005-0000-0000-000001050000}"/>
    <cellStyle name="Cálculo 12 2 6" xfId="33979" xr:uid="{00000000-0005-0000-0000-000002050000}"/>
    <cellStyle name="Cálculo 12 2 7" xfId="40368" xr:uid="{00000000-0005-0000-0000-000003050000}"/>
    <cellStyle name="Cálculo 12 3" xfId="11623" xr:uid="{00000000-0005-0000-0000-000004050000}"/>
    <cellStyle name="Cálculo 12 3 2" xfId="29443" xr:uid="{00000000-0005-0000-0000-000005050000}"/>
    <cellStyle name="Cálculo 12 3 3" xfId="32592" xr:uid="{00000000-0005-0000-0000-000006050000}"/>
    <cellStyle name="Cálculo 12 3 4" xfId="33982" xr:uid="{00000000-0005-0000-0000-000007050000}"/>
    <cellStyle name="Cálculo 12 3 5" xfId="40371" xr:uid="{00000000-0005-0000-0000-000008050000}"/>
    <cellStyle name="Cálculo 12 4" xfId="11624" xr:uid="{00000000-0005-0000-0000-000009050000}"/>
    <cellStyle name="Cálculo 12 4 2" xfId="29444" xr:uid="{00000000-0005-0000-0000-00000A050000}"/>
    <cellStyle name="Cálculo 12 4 3" xfId="32593" xr:uid="{00000000-0005-0000-0000-00000B050000}"/>
    <cellStyle name="Cálculo 12 4 4" xfId="33983" xr:uid="{00000000-0005-0000-0000-00000C050000}"/>
    <cellStyle name="Cálculo 12 4 5" xfId="40372" xr:uid="{00000000-0005-0000-0000-00000D050000}"/>
    <cellStyle name="Cálculo 12 5" xfId="29439" xr:uid="{00000000-0005-0000-0000-00000E050000}"/>
    <cellStyle name="Cálculo 12 6" xfId="32588" xr:uid="{00000000-0005-0000-0000-00000F050000}"/>
    <cellStyle name="Cálculo 12 7" xfId="33978" xr:uid="{00000000-0005-0000-0000-000010050000}"/>
    <cellStyle name="Cálculo 12 8" xfId="40367" xr:uid="{00000000-0005-0000-0000-000011050000}"/>
    <cellStyle name="Cálculo 13" xfId="962" xr:uid="{00000000-0005-0000-0000-000012050000}"/>
    <cellStyle name="Cálculo 13 2" xfId="11515" xr:uid="{00000000-0005-0000-0000-000013050000}"/>
    <cellStyle name="Cálculo 13 2 2" xfId="11625" xr:uid="{00000000-0005-0000-0000-000014050000}"/>
    <cellStyle name="Cálculo 13 2 2 2" xfId="29447" xr:uid="{00000000-0005-0000-0000-000015050000}"/>
    <cellStyle name="Cálculo 13 2 2 3" xfId="32596" xr:uid="{00000000-0005-0000-0000-000016050000}"/>
    <cellStyle name="Cálculo 13 2 2 4" xfId="33986" xr:uid="{00000000-0005-0000-0000-000017050000}"/>
    <cellStyle name="Cálculo 13 2 2 5" xfId="40375" xr:uid="{00000000-0005-0000-0000-000018050000}"/>
    <cellStyle name="Cálculo 13 2 3" xfId="11626" xr:uid="{00000000-0005-0000-0000-000019050000}"/>
    <cellStyle name="Cálculo 13 2 3 2" xfId="29448" xr:uid="{00000000-0005-0000-0000-00001A050000}"/>
    <cellStyle name="Cálculo 13 2 3 3" xfId="32597" xr:uid="{00000000-0005-0000-0000-00001B050000}"/>
    <cellStyle name="Cálculo 13 2 3 4" xfId="33987" xr:uid="{00000000-0005-0000-0000-00001C050000}"/>
    <cellStyle name="Cálculo 13 2 3 5" xfId="40376" xr:uid="{00000000-0005-0000-0000-00001D050000}"/>
    <cellStyle name="Cálculo 13 2 4" xfId="29446" xr:uid="{00000000-0005-0000-0000-00001E050000}"/>
    <cellStyle name="Cálculo 13 2 5" xfId="32595" xr:uid="{00000000-0005-0000-0000-00001F050000}"/>
    <cellStyle name="Cálculo 13 2 6" xfId="33985" xr:uid="{00000000-0005-0000-0000-000020050000}"/>
    <cellStyle name="Cálculo 13 2 7" xfId="40374" xr:uid="{00000000-0005-0000-0000-000021050000}"/>
    <cellStyle name="Cálculo 13 3" xfId="11627" xr:uid="{00000000-0005-0000-0000-000022050000}"/>
    <cellStyle name="Cálculo 13 3 2" xfId="29449" xr:uid="{00000000-0005-0000-0000-000023050000}"/>
    <cellStyle name="Cálculo 13 3 3" xfId="32598" xr:uid="{00000000-0005-0000-0000-000024050000}"/>
    <cellStyle name="Cálculo 13 3 4" xfId="33988" xr:uid="{00000000-0005-0000-0000-000025050000}"/>
    <cellStyle name="Cálculo 13 3 5" xfId="40377" xr:uid="{00000000-0005-0000-0000-000026050000}"/>
    <cellStyle name="Cálculo 13 4" xfId="11628" xr:uid="{00000000-0005-0000-0000-000027050000}"/>
    <cellStyle name="Cálculo 13 4 2" xfId="29450" xr:uid="{00000000-0005-0000-0000-000028050000}"/>
    <cellStyle name="Cálculo 13 4 3" xfId="32599" xr:uid="{00000000-0005-0000-0000-000029050000}"/>
    <cellStyle name="Cálculo 13 4 4" xfId="33989" xr:uid="{00000000-0005-0000-0000-00002A050000}"/>
    <cellStyle name="Cálculo 13 4 5" xfId="40378" xr:uid="{00000000-0005-0000-0000-00002B050000}"/>
    <cellStyle name="Cálculo 13 5" xfId="29445" xr:uid="{00000000-0005-0000-0000-00002C050000}"/>
    <cellStyle name="Cálculo 13 6" xfId="32594" xr:uid="{00000000-0005-0000-0000-00002D050000}"/>
    <cellStyle name="Cálculo 13 7" xfId="33984" xr:uid="{00000000-0005-0000-0000-00002E050000}"/>
    <cellStyle name="Cálculo 13 8" xfId="40373" xr:uid="{00000000-0005-0000-0000-00002F050000}"/>
    <cellStyle name="Cálculo 14" xfId="963" xr:uid="{00000000-0005-0000-0000-000030050000}"/>
    <cellStyle name="Cálculo 14 2" xfId="11516" xr:uid="{00000000-0005-0000-0000-000031050000}"/>
    <cellStyle name="Cálculo 14 2 2" xfId="11629" xr:uid="{00000000-0005-0000-0000-000032050000}"/>
    <cellStyle name="Cálculo 14 2 2 2" xfId="29453" xr:uid="{00000000-0005-0000-0000-000033050000}"/>
    <cellStyle name="Cálculo 14 2 2 3" xfId="32602" xr:uid="{00000000-0005-0000-0000-000034050000}"/>
    <cellStyle name="Cálculo 14 2 2 4" xfId="33992" xr:uid="{00000000-0005-0000-0000-000035050000}"/>
    <cellStyle name="Cálculo 14 2 2 5" xfId="40381" xr:uid="{00000000-0005-0000-0000-000036050000}"/>
    <cellStyle name="Cálculo 14 2 3" xfId="11630" xr:uid="{00000000-0005-0000-0000-000037050000}"/>
    <cellStyle name="Cálculo 14 2 3 2" xfId="29454" xr:uid="{00000000-0005-0000-0000-000038050000}"/>
    <cellStyle name="Cálculo 14 2 3 3" xfId="32603" xr:uid="{00000000-0005-0000-0000-000039050000}"/>
    <cellStyle name="Cálculo 14 2 3 4" xfId="33993" xr:uid="{00000000-0005-0000-0000-00003A050000}"/>
    <cellStyle name="Cálculo 14 2 3 5" xfId="40382" xr:uid="{00000000-0005-0000-0000-00003B050000}"/>
    <cellStyle name="Cálculo 14 2 4" xfId="29452" xr:uid="{00000000-0005-0000-0000-00003C050000}"/>
    <cellStyle name="Cálculo 14 2 5" xfId="32601" xr:uid="{00000000-0005-0000-0000-00003D050000}"/>
    <cellStyle name="Cálculo 14 2 6" xfId="33991" xr:uid="{00000000-0005-0000-0000-00003E050000}"/>
    <cellStyle name="Cálculo 14 2 7" xfId="40380" xr:uid="{00000000-0005-0000-0000-00003F050000}"/>
    <cellStyle name="Cálculo 14 3" xfId="11631" xr:uid="{00000000-0005-0000-0000-000040050000}"/>
    <cellStyle name="Cálculo 14 3 2" xfId="29455" xr:uid="{00000000-0005-0000-0000-000041050000}"/>
    <cellStyle name="Cálculo 14 3 3" xfId="32604" xr:uid="{00000000-0005-0000-0000-000042050000}"/>
    <cellStyle name="Cálculo 14 3 4" xfId="33994" xr:uid="{00000000-0005-0000-0000-000043050000}"/>
    <cellStyle name="Cálculo 14 3 5" xfId="40383" xr:uid="{00000000-0005-0000-0000-000044050000}"/>
    <cellStyle name="Cálculo 14 4" xfId="11632" xr:uid="{00000000-0005-0000-0000-000045050000}"/>
    <cellStyle name="Cálculo 14 4 2" xfId="29456" xr:uid="{00000000-0005-0000-0000-000046050000}"/>
    <cellStyle name="Cálculo 14 4 3" xfId="32605" xr:uid="{00000000-0005-0000-0000-000047050000}"/>
    <cellStyle name="Cálculo 14 4 4" xfId="33995" xr:uid="{00000000-0005-0000-0000-000048050000}"/>
    <cellStyle name="Cálculo 14 4 5" xfId="40384" xr:uid="{00000000-0005-0000-0000-000049050000}"/>
    <cellStyle name="Cálculo 14 5" xfId="29451" xr:uid="{00000000-0005-0000-0000-00004A050000}"/>
    <cellStyle name="Cálculo 14 6" xfId="32600" xr:uid="{00000000-0005-0000-0000-00004B050000}"/>
    <cellStyle name="Cálculo 14 7" xfId="33990" xr:uid="{00000000-0005-0000-0000-00004C050000}"/>
    <cellStyle name="Cálculo 14 8" xfId="40379" xr:uid="{00000000-0005-0000-0000-00004D050000}"/>
    <cellStyle name="Cálculo 15" xfId="964" xr:uid="{00000000-0005-0000-0000-00004E050000}"/>
    <cellStyle name="Cálculo 15 2" xfId="11517" xr:uid="{00000000-0005-0000-0000-00004F050000}"/>
    <cellStyle name="Cálculo 15 2 2" xfId="11633" xr:uid="{00000000-0005-0000-0000-000050050000}"/>
    <cellStyle name="Cálculo 15 2 2 2" xfId="29459" xr:uid="{00000000-0005-0000-0000-000051050000}"/>
    <cellStyle name="Cálculo 15 2 2 3" xfId="32608" xr:uid="{00000000-0005-0000-0000-000052050000}"/>
    <cellStyle name="Cálculo 15 2 2 4" xfId="33998" xr:uid="{00000000-0005-0000-0000-000053050000}"/>
    <cellStyle name="Cálculo 15 2 2 5" xfId="40387" xr:uid="{00000000-0005-0000-0000-000054050000}"/>
    <cellStyle name="Cálculo 15 2 3" xfId="11634" xr:uid="{00000000-0005-0000-0000-000055050000}"/>
    <cellStyle name="Cálculo 15 2 3 2" xfId="29460" xr:uid="{00000000-0005-0000-0000-000056050000}"/>
    <cellStyle name="Cálculo 15 2 3 3" xfId="32609" xr:uid="{00000000-0005-0000-0000-000057050000}"/>
    <cellStyle name="Cálculo 15 2 3 4" xfId="33999" xr:uid="{00000000-0005-0000-0000-000058050000}"/>
    <cellStyle name="Cálculo 15 2 3 5" xfId="40388" xr:uid="{00000000-0005-0000-0000-000059050000}"/>
    <cellStyle name="Cálculo 15 2 4" xfId="29458" xr:uid="{00000000-0005-0000-0000-00005A050000}"/>
    <cellStyle name="Cálculo 15 2 5" xfId="32607" xr:uid="{00000000-0005-0000-0000-00005B050000}"/>
    <cellStyle name="Cálculo 15 2 6" xfId="33997" xr:uid="{00000000-0005-0000-0000-00005C050000}"/>
    <cellStyle name="Cálculo 15 2 7" xfId="40386" xr:uid="{00000000-0005-0000-0000-00005D050000}"/>
    <cellStyle name="Cálculo 15 3" xfId="11635" xr:uid="{00000000-0005-0000-0000-00005E050000}"/>
    <cellStyle name="Cálculo 15 3 2" xfId="29461" xr:uid="{00000000-0005-0000-0000-00005F050000}"/>
    <cellStyle name="Cálculo 15 3 3" xfId="32610" xr:uid="{00000000-0005-0000-0000-000060050000}"/>
    <cellStyle name="Cálculo 15 3 4" xfId="34000" xr:uid="{00000000-0005-0000-0000-000061050000}"/>
    <cellStyle name="Cálculo 15 3 5" xfId="40389" xr:uid="{00000000-0005-0000-0000-000062050000}"/>
    <cellStyle name="Cálculo 15 4" xfId="11636" xr:uid="{00000000-0005-0000-0000-000063050000}"/>
    <cellStyle name="Cálculo 15 4 2" xfId="29462" xr:uid="{00000000-0005-0000-0000-000064050000}"/>
    <cellStyle name="Cálculo 15 4 3" xfId="32611" xr:uid="{00000000-0005-0000-0000-000065050000}"/>
    <cellStyle name="Cálculo 15 4 4" xfId="34001" xr:uid="{00000000-0005-0000-0000-000066050000}"/>
    <cellStyle name="Cálculo 15 4 5" xfId="40390" xr:uid="{00000000-0005-0000-0000-000067050000}"/>
    <cellStyle name="Cálculo 15 5" xfId="29457" xr:uid="{00000000-0005-0000-0000-000068050000}"/>
    <cellStyle name="Cálculo 15 6" xfId="32606" xr:uid="{00000000-0005-0000-0000-000069050000}"/>
    <cellStyle name="Cálculo 15 7" xfId="33996" xr:uid="{00000000-0005-0000-0000-00006A050000}"/>
    <cellStyle name="Cálculo 15 8" xfId="40385" xr:uid="{00000000-0005-0000-0000-00006B050000}"/>
    <cellStyle name="Cálculo 16" xfId="965" xr:uid="{00000000-0005-0000-0000-00006C050000}"/>
    <cellStyle name="Cálculo 16 2" xfId="11518" xr:uid="{00000000-0005-0000-0000-00006D050000}"/>
    <cellStyle name="Cálculo 16 2 2" xfId="11637" xr:uid="{00000000-0005-0000-0000-00006E050000}"/>
    <cellStyle name="Cálculo 16 2 2 2" xfId="29465" xr:uid="{00000000-0005-0000-0000-00006F050000}"/>
    <cellStyle name="Cálculo 16 2 2 3" xfId="32614" xr:uid="{00000000-0005-0000-0000-000070050000}"/>
    <cellStyle name="Cálculo 16 2 2 4" xfId="34004" xr:uid="{00000000-0005-0000-0000-000071050000}"/>
    <cellStyle name="Cálculo 16 2 2 5" xfId="40393" xr:uid="{00000000-0005-0000-0000-000072050000}"/>
    <cellStyle name="Cálculo 16 2 3" xfId="11638" xr:uid="{00000000-0005-0000-0000-000073050000}"/>
    <cellStyle name="Cálculo 16 2 3 2" xfId="29466" xr:uid="{00000000-0005-0000-0000-000074050000}"/>
    <cellStyle name="Cálculo 16 2 3 3" xfId="32615" xr:uid="{00000000-0005-0000-0000-000075050000}"/>
    <cellStyle name="Cálculo 16 2 3 4" xfId="34005" xr:uid="{00000000-0005-0000-0000-000076050000}"/>
    <cellStyle name="Cálculo 16 2 3 5" xfId="40394" xr:uid="{00000000-0005-0000-0000-000077050000}"/>
    <cellStyle name="Cálculo 16 2 4" xfId="29464" xr:uid="{00000000-0005-0000-0000-000078050000}"/>
    <cellStyle name="Cálculo 16 2 5" xfId="32613" xr:uid="{00000000-0005-0000-0000-000079050000}"/>
    <cellStyle name="Cálculo 16 2 6" xfId="34003" xr:uid="{00000000-0005-0000-0000-00007A050000}"/>
    <cellStyle name="Cálculo 16 2 7" xfId="40392" xr:uid="{00000000-0005-0000-0000-00007B050000}"/>
    <cellStyle name="Cálculo 16 3" xfId="11639" xr:uid="{00000000-0005-0000-0000-00007C050000}"/>
    <cellStyle name="Cálculo 16 3 2" xfId="29467" xr:uid="{00000000-0005-0000-0000-00007D050000}"/>
    <cellStyle name="Cálculo 16 3 3" xfId="32616" xr:uid="{00000000-0005-0000-0000-00007E050000}"/>
    <cellStyle name="Cálculo 16 3 4" xfId="34006" xr:uid="{00000000-0005-0000-0000-00007F050000}"/>
    <cellStyle name="Cálculo 16 3 5" xfId="40395" xr:uid="{00000000-0005-0000-0000-000080050000}"/>
    <cellStyle name="Cálculo 16 4" xfId="11640" xr:uid="{00000000-0005-0000-0000-000081050000}"/>
    <cellStyle name="Cálculo 16 4 2" xfId="29468" xr:uid="{00000000-0005-0000-0000-000082050000}"/>
    <cellStyle name="Cálculo 16 4 3" xfId="32617" xr:uid="{00000000-0005-0000-0000-000083050000}"/>
    <cellStyle name="Cálculo 16 4 4" xfId="34007" xr:uid="{00000000-0005-0000-0000-000084050000}"/>
    <cellStyle name="Cálculo 16 4 5" xfId="40396" xr:uid="{00000000-0005-0000-0000-000085050000}"/>
    <cellStyle name="Cálculo 16 5" xfId="29463" xr:uid="{00000000-0005-0000-0000-000086050000}"/>
    <cellStyle name="Cálculo 16 6" xfId="32612" xr:uid="{00000000-0005-0000-0000-000087050000}"/>
    <cellStyle name="Cálculo 16 7" xfId="34002" xr:uid="{00000000-0005-0000-0000-000088050000}"/>
    <cellStyle name="Cálculo 16 8" xfId="40391" xr:uid="{00000000-0005-0000-0000-000089050000}"/>
    <cellStyle name="Cálculo 17" xfId="966" xr:uid="{00000000-0005-0000-0000-00008A050000}"/>
    <cellStyle name="Cálculo 17 2" xfId="11519" xr:uid="{00000000-0005-0000-0000-00008B050000}"/>
    <cellStyle name="Cálculo 17 2 2" xfId="11641" xr:uid="{00000000-0005-0000-0000-00008C050000}"/>
    <cellStyle name="Cálculo 17 2 2 2" xfId="29471" xr:uid="{00000000-0005-0000-0000-00008D050000}"/>
    <cellStyle name="Cálculo 17 2 2 3" xfId="32620" xr:uid="{00000000-0005-0000-0000-00008E050000}"/>
    <cellStyle name="Cálculo 17 2 2 4" xfId="34010" xr:uid="{00000000-0005-0000-0000-00008F050000}"/>
    <cellStyle name="Cálculo 17 2 2 5" xfId="40399" xr:uid="{00000000-0005-0000-0000-000090050000}"/>
    <cellStyle name="Cálculo 17 2 3" xfId="11642" xr:uid="{00000000-0005-0000-0000-000091050000}"/>
    <cellStyle name="Cálculo 17 2 3 2" xfId="29472" xr:uid="{00000000-0005-0000-0000-000092050000}"/>
    <cellStyle name="Cálculo 17 2 3 3" xfId="32621" xr:uid="{00000000-0005-0000-0000-000093050000}"/>
    <cellStyle name="Cálculo 17 2 3 4" xfId="34011" xr:uid="{00000000-0005-0000-0000-000094050000}"/>
    <cellStyle name="Cálculo 17 2 3 5" xfId="40400" xr:uid="{00000000-0005-0000-0000-000095050000}"/>
    <cellStyle name="Cálculo 17 2 4" xfId="29470" xr:uid="{00000000-0005-0000-0000-000096050000}"/>
    <cellStyle name="Cálculo 17 2 5" xfId="32619" xr:uid="{00000000-0005-0000-0000-000097050000}"/>
    <cellStyle name="Cálculo 17 2 6" xfId="34009" xr:uid="{00000000-0005-0000-0000-000098050000}"/>
    <cellStyle name="Cálculo 17 2 7" xfId="40398" xr:uid="{00000000-0005-0000-0000-000099050000}"/>
    <cellStyle name="Cálculo 17 3" xfId="11643" xr:uid="{00000000-0005-0000-0000-00009A050000}"/>
    <cellStyle name="Cálculo 17 3 2" xfId="29473" xr:uid="{00000000-0005-0000-0000-00009B050000}"/>
    <cellStyle name="Cálculo 17 3 3" xfId="32622" xr:uid="{00000000-0005-0000-0000-00009C050000}"/>
    <cellStyle name="Cálculo 17 3 4" xfId="34012" xr:uid="{00000000-0005-0000-0000-00009D050000}"/>
    <cellStyle name="Cálculo 17 3 5" xfId="40401" xr:uid="{00000000-0005-0000-0000-00009E050000}"/>
    <cellStyle name="Cálculo 17 4" xfId="11644" xr:uid="{00000000-0005-0000-0000-00009F050000}"/>
    <cellStyle name="Cálculo 17 4 2" xfId="29474" xr:uid="{00000000-0005-0000-0000-0000A0050000}"/>
    <cellStyle name="Cálculo 17 4 3" xfId="32623" xr:uid="{00000000-0005-0000-0000-0000A1050000}"/>
    <cellStyle name="Cálculo 17 4 4" xfId="34013" xr:uid="{00000000-0005-0000-0000-0000A2050000}"/>
    <cellStyle name="Cálculo 17 4 5" xfId="40402" xr:uid="{00000000-0005-0000-0000-0000A3050000}"/>
    <cellStyle name="Cálculo 17 5" xfId="29469" xr:uid="{00000000-0005-0000-0000-0000A4050000}"/>
    <cellStyle name="Cálculo 17 6" xfId="32618" xr:uid="{00000000-0005-0000-0000-0000A5050000}"/>
    <cellStyle name="Cálculo 17 7" xfId="34008" xr:uid="{00000000-0005-0000-0000-0000A6050000}"/>
    <cellStyle name="Cálculo 17 8" xfId="40397" xr:uid="{00000000-0005-0000-0000-0000A7050000}"/>
    <cellStyle name="Cálculo 18" xfId="967" xr:uid="{00000000-0005-0000-0000-0000A8050000}"/>
    <cellStyle name="Cálculo 18 2" xfId="11520" xr:uid="{00000000-0005-0000-0000-0000A9050000}"/>
    <cellStyle name="Cálculo 18 2 2" xfId="11645" xr:uid="{00000000-0005-0000-0000-0000AA050000}"/>
    <cellStyle name="Cálculo 18 2 2 2" xfId="29477" xr:uid="{00000000-0005-0000-0000-0000AB050000}"/>
    <cellStyle name="Cálculo 18 2 2 3" xfId="32626" xr:uid="{00000000-0005-0000-0000-0000AC050000}"/>
    <cellStyle name="Cálculo 18 2 2 4" xfId="34016" xr:uid="{00000000-0005-0000-0000-0000AD050000}"/>
    <cellStyle name="Cálculo 18 2 2 5" xfId="40405" xr:uid="{00000000-0005-0000-0000-0000AE050000}"/>
    <cellStyle name="Cálculo 18 2 3" xfId="11646" xr:uid="{00000000-0005-0000-0000-0000AF050000}"/>
    <cellStyle name="Cálculo 18 2 3 2" xfId="29478" xr:uid="{00000000-0005-0000-0000-0000B0050000}"/>
    <cellStyle name="Cálculo 18 2 3 3" xfId="32627" xr:uid="{00000000-0005-0000-0000-0000B1050000}"/>
    <cellStyle name="Cálculo 18 2 3 4" xfId="34017" xr:uid="{00000000-0005-0000-0000-0000B2050000}"/>
    <cellStyle name="Cálculo 18 2 3 5" xfId="40406" xr:uid="{00000000-0005-0000-0000-0000B3050000}"/>
    <cellStyle name="Cálculo 18 2 4" xfId="29476" xr:uid="{00000000-0005-0000-0000-0000B4050000}"/>
    <cellStyle name="Cálculo 18 2 5" xfId="32625" xr:uid="{00000000-0005-0000-0000-0000B5050000}"/>
    <cellStyle name="Cálculo 18 2 6" xfId="34015" xr:uid="{00000000-0005-0000-0000-0000B6050000}"/>
    <cellStyle name="Cálculo 18 2 7" xfId="40404" xr:uid="{00000000-0005-0000-0000-0000B7050000}"/>
    <cellStyle name="Cálculo 18 3" xfId="11647" xr:uid="{00000000-0005-0000-0000-0000B8050000}"/>
    <cellStyle name="Cálculo 18 3 2" xfId="29479" xr:uid="{00000000-0005-0000-0000-0000B9050000}"/>
    <cellStyle name="Cálculo 18 3 3" xfId="32628" xr:uid="{00000000-0005-0000-0000-0000BA050000}"/>
    <cellStyle name="Cálculo 18 3 4" xfId="34018" xr:uid="{00000000-0005-0000-0000-0000BB050000}"/>
    <cellStyle name="Cálculo 18 3 5" xfId="40407" xr:uid="{00000000-0005-0000-0000-0000BC050000}"/>
    <cellStyle name="Cálculo 18 4" xfId="11648" xr:uid="{00000000-0005-0000-0000-0000BD050000}"/>
    <cellStyle name="Cálculo 18 4 2" xfId="29480" xr:uid="{00000000-0005-0000-0000-0000BE050000}"/>
    <cellStyle name="Cálculo 18 4 3" xfId="32629" xr:uid="{00000000-0005-0000-0000-0000BF050000}"/>
    <cellStyle name="Cálculo 18 4 4" xfId="34019" xr:uid="{00000000-0005-0000-0000-0000C0050000}"/>
    <cellStyle name="Cálculo 18 4 5" xfId="40408" xr:uid="{00000000-0005-0000-0000-0000C1050000}"/>
    <cellStyle name="Cálculo 18 5" xfId="29475" xr:uid="{00000000-0005-0000-0000-0000C2050000}"/>
    <cellStyle name="Cálculo 18 6" xfId="32624" xr:uid="{00000000-0005-0000-0000-0000C3050000}"/>
    <cellStyle name="Cálculo 18 7" xfId="34014" xr:uid="{00000000-0005-0000-0000-0000C4050000}"/>
    <cellStyle name="Cálculo 18 8" xfId="40403" xr:uid="{00000000-0005-0000-0000-0000C5050000}"/>
    <cellStyle name="Cálculo 19" xfId="968" xr:uid="{00000000-0005-0000-0000-0000C6050000}"/>
    <cellStyle name="Cálculo 19 2" xfId="11521" xr:uid="{00000000-0005-0000-0000-0000C7050000}"/>
    <cellStyle name="Cálculo 19 2 2" xfId="11649" xr:uid="{00000000-0005-0000-0000-0000C8050000}"/>
    <cellStyle name="Cálculo 19 2 2 2" xfId="29483" xr:uid="{00000000-0005-0000-0000-0000C9050000}"/>
    <cellStyle name="Cálculo 19 2 2 3" xfId="32632" xr:uid="{00000000-0005-0000-0000-0000CA050000}"/>
    <cellStyle name="Cálculo 19 2 2 4" xfId="34022" xr:uid="{00000000-0005-0000-0000-0000CB050000}"/>
    <cellStyle name="Cálculo 19 2 2 5" xfId="40411" xr:uid="{00000000-0005-0000-0000-0000CC050000}"/>
    <cellStyle name="Cálculo 19 2 3" xfId="11650" xr:uid="{00000000-0005-0000-0000-0000CD050000}"/>
    <cellStyle name="Cálculo 19 2 3 2" xfId="29484" xr:uid="{00000000-0005-0000-0000-0000CE050000}"/>
    <cellStyle name="Cálculo 19 2 3 3" xfId="32633" xr:uid="{00000000-0005-0000-0000-0000CF050000}"/>
    <cellStyle name="Cálculo 19 2 3 4" xfId="34023" xr:uid="{00000000-0005-0000-0000-0000D0050000}"/>
    <cellStyle name="Cálculo 19 2 3 5" xfId="40412" xr:uid="{00000000-0005-0000-0000-0000D1050000}"/>
    <cellStyle name="Cálculo 19 2 4" xfId="29482" xr:uid="{00000000-0005-0000-0000-0000D2050000}"/>
    <cellStyle name="Cálculo 19 2 5" xfId="32631" xr:uid="{00000000-0005-0000-0000-0000D3050000}"/>
    <cellStyle name="Cálculo 19 2 6" xfId="34021" xr:uid="{00000000-0005-0000-0000-0000D4050000}"/>
    <cellStyle name="Cálculo 19 2 7" xfId="40410" xr:uid="{00000000-0005-0000-0000-0000D5050000}"/>
    <cellStyle name="Cálculo 19 3" xfId="11651" xr:uid="{00000000-0005-0000-0000-0000D6050000}"/>
    <cellStyle name="Cálculo 19 3 2" xfId="29485" xr:uid="{00000000-0005-0000-0000-0000D7050000}"/>
    <cellStyle name="Cálculo 19 3 3" xfId="32634" xr:uid="{00000000-0005-0000-0000-0000D8050000}"/>
    <cellStyle name="Cálculo 19 3 4" xfId="34024" xr:uid="{00000000-0005-0000-0000-0000D9050000}"/>
    <cellStyle name="Cálculo 19 3 5" xfId="40413" xr:uid="{00000000-0005-0000-0000-0000DA050000}"/>
    <cellStyle name="Cálculo 19 4" xfId="11652" xr:uid="{00000000-0005-0000-0000-0000DB050000}"/>
    <cellStyle name="Cálculo 19 4 2" xfId="29486" xr:uid="{00000000-0005-0000-0000-0000DC050000}"/>
    <cellStyle name="Cálculo 19 4 3" xfId="32635" xr:uid="{00000000-0005-0000-0000-0000DD050000}"/>
    <cellStyle name="Cálculo 19 4 4" xfId="34025" xr:uid="{00000000-0005-0000-0000-0000DE050000}"/>
    <cellStyle name="Cálculo 19 4 5" xfId="40414" xr:uid="{00000000-0005-0000-0000-0000DF050000}"/>
    <cellStyle name="Cálculo 19 5" xfId="29481" xr:uid="{00000000-0005-0000-0000-0000E0050000}"/>
    <cellStyle name="Cálculo 19 6" xfId="32630" xr:uid="{00000000-0005-0000-0000-0000E1050000}"/>
    <cellStyle name="Cálculo 19 7" xfId="34020" xr:uid="{00000000-0005-0000-0000-0000E2050000}"/>
    <cellStyle name="Cálculo 19 8" xfId="40409" xr:uid="{00000000-0005-0000-0000-0000E3050000}"/>
    <cellStyle name="Cálculo 2" xfId="969" xr:uid="{00000000-0005-0000-0000-0000E4050000}"/>
    <cellStyle name="Cálculo 2 10" xfId="12459" xr:uid="{00000000-0005-0000-0000-0000E5050000}"/>
    <cellStyle name="Cálculo 2 10 2" xfId="12460" xr:uid="{00000000-0005-0000-0000-0000E6050000}"/>
    <cellStyle name="Cálculo 2 10 2 2" xfId="29489" xr:uid="{00000000-0005-0000-0000-0000E7050000}"/>
    <cellStyle name="Cálculo 2 10 3" xfId="29488" xr:uid="{00000000-0005-0000-0000-0000E8050000}"/>
    <cellStyle name="Cálculo 2 11" xfId="12461" xr:uid="{00000000-0005-0000-0000-0000E9050000}"/>
    <cellStyle name="Cálculo 2 11 2" xfId="29490" xr:uid="{00000000-0005-0000-0000-0000EA050000}"/>
    <cellStyle name="Cálculo 2 12" xfId="29487" xr:uid="{00000000-0005-0000-0000-0000EB050000}"/>
    <cellStyle name="Cálculo 2 13" xfId="32636" xr:uid="{00000000-0005-0000-0000-0000EC050000}"/>
    <cellStyle name="Cálculo 2 14" xfId="33526" xr:uid="{00000000-0005-0000-0000-0000ED050000}"/>
    <cellStyle name="Cálculo 2 15" xfId="34026" xr:uid="{00000000-0005-0000-0000-0000EE050000}"/>
    <cellStyle name="Cálculo 2 16" xfId="40415" xr:uid="{00000000-0005-0000-0000-0000EF050000}"/>
    <cellStyle name="Cálculo 2 2" xfId="11522" xr:uid="{00000000-0005-0000-0000-0000F0050000}"/>
    <cellStyle name="Cálculo 2 2 10" xfId="12462" xr:uid="{00000000-0005-0000-0000-0000F1050000}"/>
    <cellStyle name="Cálculo 2 2 10 2" xfId="29492" xr:uid="{00000000-0005-0000-0000-0000F2050000}"/>
    <cellStyle name="Cálculo 2 2 11" xfId="29491" xr:uid="{00000000-0005-0000-0000-0000F3050000}"/>
    <cellStyle name="Cálculo 2 2 12" xfId="32637" xr:uid="{00000000-0005-0000-0000-0000F4050000}"/>
    <cellStyle name="Cálculo 2 2 13" xfId="33527" xr:uid="{00000000-0005-0000-0000-0000F5050000}"/>
    <cellStyle name="Cálculo 2 2 14" xfId="34027" xr:uid="{00000000-0005-0000-0000-0000F6050000}"/>
    <cellStyle name="Cálculo 2 2 15" xfId="40416" xr:uid="{00000000-0005-0000-0000-0000F7050000}"/>
    <cellStyle name="Cálculo 2 2 2" xfId="11653" xr:uid="{00000000-0005-0000-0000-0000F8050000}"/>
    <cellStyle name="Cálculo 2 2 2 10" xfId="40417" xr:uid="{00000000-0005-0000-0000-0000F9050000}"/>
    <cellStyle name="Cálculo 2 2 2 2" xfId="12463" xr:uid="{00000000-0005-0000-0000-0000FA050000}"/>
    <cellStyle name="Cálculo 2 2 2 2 2" xfId="29494" xr:uid="{00000000-0005-0000-0000-0000FB050000}"/>
    <cellStyle name="Cálculo 2 2 2 3" xfId="12464" xr:uid="{00000000-0005-0000-0000-0000FC050000}"/>
    <cellStyle name="Cálculo 2 2 2 3 2" xfId="29495" xr:uid="{00000000-0005-0000-0000-0000FD050000}"/>
    <cellStyle name="Cálculo 2 2 2 4" xfId="12465" xr:uid="{00000000-0005-0000-0000-0000FE050000}"/>
    <cellStyle name="Cálculo 2 2 2 4 2" xfId="29496" xr:uid="{00000000-0005-0000-0000-0000FF050000}"/>
    <cellStyle name="Cálculo 2 2 2 5" xfId="12466" xr:uid="{00000000-0005-0000-0000-000000060000}"/>
    <cellStyle name="Cálculo 2 2 2 5 2" xfId="29497" xr:uid="{00000000-0005-0000-0000-000001060000}"/>
    <cellStyle name="Cálculo 2 2 2 6" xfId="12467" xr:uid="{00000000-0005-0000-0000-000002060000}"/>
    <cellStyle name="Cálculo 2 2 2 6 2" xfId="29498" xr:uid="{00000000-0005-0000-0000-000003060000}"/>
    <cellStyle name="Cálculo 2 2 2 7" xfId="29493" xr:uid="{00000000-0005-0000-0000-000004060000}"/>
    <cellStyle name="Cálculo 2 2 2 8" xfId="32638" xr:uid="{00000000-0005-0000-0000-000005060000}"/>
    <cellStyle name="Cálculo 2 2 2 9" xfId="34028" xr:uid="{00000000-0005-0000-0000-000006060000}"/>
    <cellStyle name="Cálculo 2 2 3" xfId="11654" xr:uid="{00000000-0005-0000-0000-000007060000}"/>
    <cellStyle name="Cálculo 2 2 3 10" xfId="40418" xr:uid="{00000000-0005-0000-0000-000008060000}"/>
    <cellStyle name="Cálculo 2 2 3 2" xfId="12468" xr:uid="{00000000-0005-0000-0000-000009060000}"/>
    <cellStyle name="Cálculo 2 2 3 2 2" xfId="29500" xr:uid="{00000000-0005-0000-0000-00000A060000}"/>
    <cellStyle name="Cálculo 2 2 3 3" xfId="12469" xr:uid="{00000000-0005-0000-0000-00000B060000}"/>
    <cellStyle name="Cálculo 2 2 3 3 2" xfId="29501" xr:uid="{00000000-0005-0000-0000-00000C060000}"/>
    <cellStyle name="Cálculo 2 2 3 4" xfId="12470" xr:uid="{00000000-0005-0000-0000-00000D060000}"/>
    <cellStyle name="Cálculo 2 2 3 4 2" xfId="29502" xr:uid="{00000000-0005-0000-0000-00000E060000}"/>
    <cellStyle name="Cálculo 2 2 3 5" xfId="12471" xr:uid="{00000000-0005-0000-0000-00000F060000}"/>
    <cellStyle name="Cálculo 2 2 3 5 2" xfId="29503" xr:uid="{00000000-0005-0000-0000-000010060000}"/>
    <cellStyle name="Cálculo 2 2 3 6" xfId="12472" xr:uid="{00000000-0005-0000-0000-000011060000}"/>
    <cellStyle name="Cálculo 2 2 3 6 2" xfId="29504" xr:uid="{00000000-0005-0000-0000-000012060000}"/>
    <cellStyle name="Cálculo 2 2 3 7" xfId="29499" xr:uid="{00000000-0005-0000-0000-000013060000}"/>
    <cellStyle name="Cálculo 2 2 3 8" xfId="32639" xr:uid="{00000000-0005-0000-0000-000014060000}"/>
    <cellStyle name="Cálculo 2 2 3 9" xfId="34029" xr:uid="{00000000-0005-0000-0000-000015060000}"/>
    <cellStyle name="Cálculo 2 2 4" xfId="12473" xr:uid="{00000000-0005-0000-0000-000016060000}"/>
    <cellStyle name="Cálculo 2 2 4 2" xfId="12474" xr:uid="{00000000-0005-0000-0000-000017060000}"/>
    <cellStyle name="Cálculo 2 2 4 2 2" xfId="29506" xr:uid="{00000000-0005-0000-0000-000018060000}"/>
    <cellStyle name="Cálculo 2 2 4 3" xfId="12475" xr:uid="{00000000-0005-0000-0000-000019060000}"/>
    <cellStyle name="Cálculo 2 2 4 3 2" xfId="29507" xr:uid="{00000000-0005-0000-0000-00001A060000}"/>
    <cellStyle name="Cálculo 2 2 4 4" xfId="12476" xr:uid="{00000000-0005-0000-0000-00001B060000}"/>
    <cellStyle name="Cálculo 2 2 4 4 2" xfId="29508" xr:uid="{00000000-0005-0000-0000-00001C060000}"/>
    <cellStyle name="Cálculo 2 2 4 5" xfId="12477" xr:uid="{00000000-0005-0000-0000-00001D060000}"/>
    <cellStyle name="Cálculo 2 2 4 5 2" xfId="29509" xr:uid="{00000000-0005-0000-0000-00001E060000}"/>
    <cellStyle name="Cálculo 2 2 4 6" xfId="29505" xr:uid="{00000000-0005-0000-0000-00001F060000}"/>
    <cellStyle name="Cálculo 2 2 5" xfId="12478" xr:uid="{00000000-0005-0000-0000-000020060000}"/>
    <cellStyle name="Cálculo 2 2 5 2" xfId="12479" xr:uid="{00000000-0005-0000-0000-000021060000}"/>
    <cellStyle name="Cálculo 2 2 5 2 2" xfId="29511" xr:uid="{00000000-0005-0000-0000-000022060000}"/>
    <cellStyle name="Cálculo 2 2 5 3" xfId="12480" xr:uid="{00000000-0005-0000-0000-000023060000}"/>
    <cellStyle name="Cálculo 2 2 5 3 2" xfId="29512" xr:uid="{00000000-0005-0000-0000-000024060000}"/>
    <cellStyle name="Cálculo 2 2 5 4" xfId="12481" xr:uid="{00000000-0005-0000-0000-000025060000}"/>
    <cellStyle name="Cálculo 2 2 5 4 2" xfId="29513" xr:uid="{00000000-0005-0000-0000-000026060000}"/>
    <cellStyle name="Cálculo 2 2 5 5" xfId="12482" xr:uid="{00000000-0005-0000-0000-000027060000}"/>
    <cellStyle name="Cálculo 2 2 5 5 2" xfId="29514" xr:uid="{00000000-0005-0000-0000-000028060000}"/>
    <cellStyle name="Cálculo 2 2 5 6" xfId="29510" xr:uid="{00000000-0005-0000-0000-000029060000}"/>
    <cellStyle name="Cálculo 2 2 6" xfId="12483" xr:uid="{00000000-0005-0000-0000-00002A060000}"/>
    <cellStyle name="Cálculo 2 2 6 2" xfId="12484" xr:uid="{00000000-0005-0000-0000-00002B060000}"/>
    <cellStyle name="Cálculo 2 2 6 2 2" xfId="29516" xr:uid="{00000000-0005-0000-0000-00002C060000}"/>
    <cellStyle name="Cálculo 2 2 6 3" xfId="12485" xr:uid="{00000000-0005-0000-0000-00002D060000}"/>
    <cellStyle name="Cálculo 2 2 6 3 2" xfId="29517" xr:uid="{00000000-0005-0000-0000-00002E060000}"/>
    <cellStyle name="Cálculo 2 2 6 4" xfId="12486" xr:uid="{00000000-0005-0000-0000-00002F060000}"/>
    <cellStyle name="Cálculo 2 2 6 4 2" xfId="29518" xr:uid="{00000000-0005-0000-0000-000030060000}"/>
    <cellStyle name="Cálculo 2 2 6 5" xfId="12487" xr:uid="{00000000-0005-0000-0000-000031060000}"/>
    <cellStyle name="Cálculo 2 2 6 5 2" xfId="29519" xr:uid="{00000000-0005-0000-0000-000032060000}"/>
    <cellStyle name="Cálculo 2 2 6 6" xfId="29515" xr:uid="{00000000-0005-0000-0000-000033060000}"/>
    <cellStyle name="Cálculo 2 2 7" xfId="12488" xr:uid="{00000000-0005-0000-0000-000034060000}"/>
    <cellStyle name="Cálculo 2 2 7 2" xfId="12489" xr:uid="{00000000-0005-0000-0000-000035060000}"/>
    <cellStyle name="Cálculo 2 2 7 2 2" xfId="29521" xr:uid="{00000000-0005-0000-0000-000036060000}"/>
    <cellStyle name="Cálculo 2 2 7 3" xfId="12490" xr:uid="{00000000-0005-0000-0000-000037060000}"/>
    <cellStyle name="Cálculo 2 2 7 3 2" xfId="29522" xr:uid="{00000000-0005-0000-0000-000038060000}"/>
    <cellStyle name="Cálculo 2 2 7 4" xfId="12491" xr:uid="{00000000-0005-0000-0000-000039060000}"/>
    <cellStyle name="Cálculo 2 2 7 4 2" xfId="29523" xr:uid="{00000000-0005-0000-0000-00003A060000}"/>
    <cellStyle name="Cálculo 2 2 7 5" xfId="12492" xr:uid="{00000000-0005-0000-0000-00003B060000}"/>
    <cellStyle name="Cálculo 2 2 7 5 2" xfId="29524" xr:uid="{00000000-0005-0000-0000-00003C060000}"/>
    <cellStyle name="Cálculo 2 2 7 6" xfId="29520" xr:uid="{00000000-0005-0000-0000-00003D060000}"/>
    <cellStyle name="Cálculo 2 2 8" xfId="12493" xr:uid="{00000000-0005-0000-0000-00003E060000}"/>
    <cellStyle name="Cálculo 2 2 8 2" xfId="12494" xr:uid="{00000000-0005-0000-0000-00003F060000}"/>
    <cellStyle name="Cálculo 2 2 8 2 2" xfId="29526" xr:uid="{00000000-0005-0000-0000-000040060000}"/>
    <cellStyle name="Cálculo 2 2 8 3" xfId="12495" xr:uid="{00000000-0005-0000-0000-000041060000}"/>
    <cellStyle name="Cálculo 2 2 8 3 2" xfId="29527" xr:uid="{00000000-0005-0000-0000-000042060000}"/>
    <cellStyle name="Cálculo 2 2 8 4" xfId="12496" xr:uid="{00000000-0005-0000-0000-000043060000}"/>
    <cellStyle name="Cálculo 2 2 8 4 2" xfId="29528" xr:uid="{00000000-0005-0000-0000-000044060000}"/>
    <cellStyle name="Cálculo 2 2 8 5" xfId="12497" xr:uid="{00000000-0005-0000-0000-000045060000}"/>
    <cellStyle name="Cálculo 2 2 8 5 2" xfId="29529" xr:uid="{00000000-0005-0000-0000-000046060000}"/>
    <cellStyle name="Cálculo 2 2 8 6" xfId="12498" xr:uid="{00000000-0005-0000-0000-000047060000}"/>
    <cellStyle name="Cálculo 2 2 8 6 2" xfId="29530" xr:uid="{00000000-0005-0000-0000-000048060000}"/>
    <cellStyle name="Cálculo 2 2 8 7" xfId="29525" xr:uid="{00000000-0005-0000-0000-000049060000}"/>
    <cellStyle name="Cálculo 2 2 9" xfId="12499" xr:uid="{00000000-0005-0000-0000-00004A060000}"/>
    <cellStyle name="Cálculo 2 2 9 2" xfId="12500" xr:uid="{00000000-0005-0000-0000-00004B060000}"/>
    <cellStyle name="Cálculo 2 2 9 2 2" xfId="29532" xr:uid="{00000000-0005-0000-0000-00004C060000}"/>
    <cellStyle name="Cálculo 2 2 9 3" xfId="29531" xr:uid="{00000000-0005-0000-0000-00004D060000}"/>
    <cellStyle name="Cálculo 2 3" xfId="11655" xr:uid="{00000000-0005-0000-0000-00004E060000}"/>
    <cellStyle name="Cálculo 2 3 10" xfId="40419" xr:uid="{00000000-0005-0000-0000-00004F060000}"/>
    <cellStyle name="Cálculo 2 3 2" xfId="12501" xr:uid="{00000000-0005-0000-0000-000050060000}"/>
    <cellStyle name="Cálculo 2 3 2 2" xfId="29534" xr:uid="{00000000-0005-0000-0000-000051060000}"/>
    <cellStyle name="Cálculo 2 3 3" xfId="12502" xr:uid="{00000000-0005-0000-0000-000052060000}"/>
    <cellStyle name="Cálculo 2 3 3 2" xfId="29535" xr:uid="{00000000-0005-0000-0000-000053060000}"/>
    <cellStyle name="Cálculo 2 3 4" xfId="12503" xr:uid="{00000000-0005-0000-0000-000054060000}"/>
    <cellStyle name="Cálculo 2 3 4 2" xfId="29536" xr:uid="{00000000-0005-0000-0000-000055060000}"/>
    <cellStyle name="Cálculo 2 3 5" xfId="12504" xr:uid="{00000000-0005-0000-0000-000056060000}"/>
    <cellStyle name="Cálculo 2 3 5 2" xfId="29537" xr:uid="{00000000-0005-0000-0000-000057060000}"/>
    <cellStyle name="Cálculo 2 3 6" xfId="12505" xr:uid="{00000000-0005-0000-0000-000058060000}"/>
    <cellStyle name="Cálculo 2 3 6 2" xfId="29538" xr:uid="{00000000-0005-0000-0000-000059060000}"/>
    <cellStyle name="Cálculo 2 3 7" xfId="29533" xr:uid="{00000000-0005-0000-0000-00005A060000}"/>
    <cellStyle name="Cálculo 2 3 8" xfId="32640" xr:uid="{00000000-0005-0000-0000-00005B060000}"/>
    <cellStyle name="Cálculo 2 3 9" xfId="34030" xr:uid="{00000000-0005-0000-0000-00005C060000}"/>
    <cellStyle name="Cálculo 2 4" xfId="11656" xr:uid="{00000000-0005-0000-0000-00005D060000}"/>
    <cellStyle name="Cálculo 2 4 10" xfId="40420" xr:uid="{00000000-0005-0000-0000-00005E060000}"/>
    <cellStyle name="Cálculo 2 4 2" xfId="12506" xr:uid="{00000000-0005-0000-0000-00005F060000}"/>
    <cellStyle name="Cálculo 2 4 2 2" xfId="29540" xr:uid="{00000000-0005-0000-0000-000060060000}"/>
    <cellStyle name="Cálculo 2 4 3" xfId="12507" xr:uid="{00000000-0005-0000-0000-000061060000}"/>
    <cellStyle name="Cálculo 2 4 3 2" xfId="29541" xr:uid="{00000000-0005-0000-0000-000062060000}"/>
    <cellStyle name="Cálculo 2 4 4" xfId="12508" xr:uid="{00000000-0005-0000-0000-000063060000}"/>
    <cellStyle name="Cálculo 2 4 4 2" xfId="29542" xr:uid="{00000000-0005-0000-0000-000064060000}"/>
    <cellStyle name="Cálculo 2 4 5" xfId="12509" xr:uid="{00000000-0005-0000-0000-000065060000}"/>
    <cellStyle name="Cálculo 2 4 5 2" xfId="29543" xr:uid="{00000000-0005-0000-0000-000066060000}"/>
    <cellStyle name="Cálculo 2 4 6" xfId="12510" xr:uid="{00000000-0005-0000-0000-000067060000}"/>
    <cellStyle name="Cálculo 2 4 6 2" xfId="29544" xr:uid="{00000000-0005-0000-0000-000068060000}"/>
    <cellStyle name="Cálculo 2 4 7" xfId="29539" xr:uid="{00000000-0005-0000-0000-000069060000}"/>
    <cellStyle name="Cálculo 2 4 8" xfId="32641" xr:uid="{00000000-0005-0000-0000-00006A060000}"/>
    <cellStyle name="Cálculo 2 4 9" xfId="34031" xr:uid="{00000000-0005-0000-0000-00006B060000}"/>
    <cellStyle name="Cálculo 2 5" xfId="12511" xr:uid="{00000000-0005-0000-0000-00006C060000}"/>
    <cellStyle name="Cálculo 2 5 2" xfId="12512" xr:uid="{00000000-0005-0000-0000-00006D060000}"/>
    <cellStyle name="Cálculo 2 5 2 2" xfId="29546" xr:uid="{00000000-0005-0000-0000-00006E060000}"/>
    <cellStyle name="Cálculo 2 5 3" xfId="12513" xr:uid="{00000000-0005-0000-0000-00006F060000}"/>
    <cellStyle name="Cálculo 2 5 3 2" xfId="29547" xr:uid="{00000000-0005-0000-0000-000070060000}"/>
    <cellStyle name="Cálculo 2 5 4" xfId="12514" xr:uid="{00000000-0005-0000-0000-000071060000}"/>
    <cellStyle name="Cálculo 2 5 4 2" xfId="29548" xr:uid="{00000000-0005-0000-0000-000072060000}"/>
    <cellStyle name="Cálculo 2 5 5" xfId="12515" xr:uid="{00000000-0005-0000-0000-000073060000}"/>
    <cellStyle name="Cálculo 2 5 5 2" xfId="29549" xr:uid="{00000000-0005-0000-0000-000074060000}"/>
    <cellStyle name="Cálculo 2 5 6" xfId="29545" xr:uid="{00000000-0005-0000-0000-000075060000}"/>
    <cellStyle name="Cálculo 2 6" xfId="12516" xr:uid="{00000000-0005-0000-0000-000076060000}"/>
    <cellStyle name="Cálculo 2 6 2" xfId="12517" xr:uid="{00000000-0005-0000-0000-000077060000}"/>
    <cellStyle name="Cálculo 2 6 2 2" xfId="29551" xr:uid="{00000000-0005-0000-0000-000078060000}"/>
    <cellStyle name="Cálculo 2 6 3" xfId="12518" xr:uid="{00000000-0005-0000-0000-000079060000}"/>
    <cellStyle name="Cálculo 2 6 3 2" xfId="29552" xr:uid="{00000000-0005-0000-0000-00007A060000}"/>
    <cellStyle name="Cálculo 2 6 4" xfId="12519" xr:uid="{00000000-0005-0000-0000-00007B060000}"/>
    <cellStyle name="Cálculo 2 6 4 2" xfId="29553" xr:uid="{00000000-0005-0000-0000-00007C060000}"/>
    <cellStyle name="Cálculo 2 6 5" xfId="12520" xr:uid="{00000000-0005-0000-0000-00007D060000}"/>
    <cellStyle name="Cálculo 2 6 5 2" xfId="29554" xr:uid="{00000000-0005-0000-0000-00007E060000}"/>
    <cellStyle name="Cálculo 2 6 6" xfId="29550" xr:uid="{00000000-0005-0000-0000-00007F060000}"/>
    <cellStyle name="Cálculo 2 7" xfId="12521" xr:uid="{00000000-0005-0000-0000-000080060000}"/>
    <cellStyle name="Cálculo 2 7 2" xfId="12522" xr:uid="{00000000-0005-0000-0000-000081060000}"/>
    <cellStyle name="Cálculo 2 7 2 2" xfId="29556" xr:uid="{00000000-0005-0000-0000-000082060000}"/>
    <cellStyle name="Cálculo 2 7 3" xfId="12523" xr:uid="{00000000-0005-0000-0000-000083060000}"/>
    <cellStyle name="Cálculo 2 7 3 2" xfId="29557" xr:uid="{00000000-0005-0000-0000-000084060000}"/>
    <cellStyle name="Cálculo 2 7 4" xfId="12524" xr:uid="{00000000-0005-0000-0000-000085060000}"/>
    <cellStyle name="Cálculo 2 7 4 2" xfId="29558" xr:uid="{00000000-0005-0000-0000-000086060000}"/>
    <cellStyle name="Cálculo 2 7 5" xfId="12525" xr:uid="{00000000-0005-0000-0000-000087060000}"/>
    <cellStyle name="Cálculo 2 7 5 2" xfId="29559" xr:uid="{00000000-0005-0000-0000-000088060000}"/>
    <cellStyle name="Cálculo 2 7 6" xfId="29555" xr:uid="{00000000-0005-0000-0000-000089060000}"/>
    <cellStyle name="Cálculo 2 8" xfId="12526" xr:uid="{00000000-0005-0000-0000-00008A060000}"/>
    <cellStyle name="Cálculo 2 8 2" xfId="12527" xr:uid="{00000000-0005-0000-0000-00008B060000}"/>
    <cellStyle name="Cálculo 2 8 2 2" xfId="29561" xr:uid="{00000000-0005-0000-0000-00008C060000}"/>
    <cellStyle name="Cálculo 2 8 3" xfId="12528" xr:uid="{00000000-0005-0000-0000-00008D060000}"/>
    <cellStyle name="Cálculo 2 8 3 2" xfId="29562" xr:uid="{00000000-0005-0000-0000-00008E060000}"/>
    <cellStyle name="Cálculo 2 8 4" xfId="12529" xr:uid="{00000000-0005-0000-0000-00008F060000}"/>
    <cellStyle name="Cálculo 2 8 4 2" xfId="29563" xr:uid="{00000000-0005-0000-0000-000090060000}"/>
    <cellStyle name="Cálculo 2 8 5" xfId="12530" xr:uid="{00000000-0005-0000-0000-000091060000}"/>
    <cellStyle name="Cálculo 2 8 5 2" xfId="29564" xr:uid="{00000000-0005-0000-0000-000092060000}"/>
    <cellStyle name="Cálculo 2 8 6" xfId="29560" xr:uid="{00000000-0005-0000-0000-000093060000}"/>
    <cellStyle name="Cálculo 2 9" xfId="12531" xr:uid="{00000000-0005-0000-0000-000094060000}"/>
    <cellStyle name="Cálculo 2 9 2" xfId="12532" xr:uid="{00000000-0005-0000-0000-000095060000}"/>
    <cellStyle name="Cálculo 2 9 2 2" xfId="29566" xr:uid="{00000000-0005-0000-0000-000096060000}"/>
    <cellStyle name="Cálculo 2 9 3" xfId="12533" xr:uid="{00000000-0005-0000-0000-000097060000}"/>
    <cellStyle name="Cálculo 2 9 3 2" xfId="29567" xr:uid="{00000000-0005-0000-0000-000098060000}"/>
    <cellStyle name="Cálculo 2 9 4" xfId="12534" xr:uid="{00000000-0005-0000-0000-000099060000}"/>
    <cellStyle name="Cálculo 2 9 4 2" xfId="29568" xr:uid="{00000000-0005-0000-0000-00009A060000}"/>
    <cellStyle name="Cálculo 2 9 5" xfId="12535" xr:uid="{00000000-0005-0000-0000-00009B060000}"/>
    <cellStyle name="Cálculo 2 9 5 2" xfId="29569" xr:uid="{00000000-0005-0000-0000-00009C060000}"/>
    <cellStyle name="Cálculo 2 9 6" xfId="12536" xr:uid="{00000000-0005-0000-0000-00009D060000}"/>
    <cellStyle name="Cálculo 2 9 6 2" xfId="29570" xr:uid="{00000000-0005-0000-0000-00009E060000}"/>
    <cellStyle name="Cálculo 2 9 7" xfId="29565" xr:uid="{00000000-0005-0000-0000-00009F060000}"/>
    <cellStyle name="Cálculo 20" xfId="970" xr:uid="{00000000-0005-0000-0000-0000A0060000}"/>
    <cellStyle name="Cálculo 20 2" xfId="11523" xr:uid="{00000000-0005-0000-0000-0000A1060000}"/>
    <cellStyle name="Cálculo 20 2 2" xfId="11657" xr:uid="{00000000-0005-0000-0000-0000A2060000}"/>
    <cellStyle name="Cálculo 20 2 2 2" xfId="29573" xr:uid="{00000000-0005-0000-0000-0000A3060000}"/>
    <cellStyle name="Cálculo 20 2 2 3" xfId="32644" xr:uid="{00000000-0005-0000-0000-0000A4060000}"/>
    <cellStyle name="Cálculo 20 2 2 4" xfId="34034" xr:uid="{00000000-0005-0000-0000-0000A5060000}"/>
    <cellStyle name="Cálculo 20 2 2 5" xfId="40423" xr:uid="{00000000-0005-0000-0000-0000A6060000}"/>
    <cellStyle name="Cálculo 20 2 3" xfId="11658" xr:uid="{00000000-0005-0000-0000-0000A7060000}"/>
    <cellStyle name="Cálculo 20 2 3 2" xfId="29574" xr:uid="{00000000-0005-0000-0000-0000A8060000}"/>
    <cellStyle name="Cálculo 20 2 3 3" xfId="32645" xr:uid="{00000000-0005-0000-0000-0000A9060000}"/>
    <cellStyle name="Cálculo 20 2 3 4" xfId="34035" xr:uid="{00000000-0005-0000-0000-0000AA060000}"/>
    <cellStyle name="Cálculo 20 2 3 5" xfId="40424" xr:uid="{00000000-0005-0000-0000-0000AB060000}"/>
    <cellStyle name="Cálculo 20 2 4" xfId="29572" xr:uid="{00000000-0005-0000-0000-0000AC060000}"/>
    <cellStyle name="Cálculo 20 2 5" xfId="32643" xr:uid="{00000000-0005-0000-0000-0000AD060000}"/>
    <cellStyle name="Cálculo 20 2 6" xfId="34033" xr:uid="{00000000-0005-0000-0000-0000AE060000}"/>
    <cellStyle name="Cálculo 20 2 7" xfId="40422" xr:uid="{00000000-0005-0000-0000-0000AF060000}"/>
    <cellStyle name="Cálculo 20 3" xfId="11659" xr:uid="{00000000-0005-0000-0000-0000B0060000}"/>
    <cellStyle name="Cálculo 20 3 2" xfId="29575" xr:uid="{00000000-0005-0000-0000-0000B1060000}"/>
    <cellStyle name="Cálculo 20 3 3" xfId="32646" xr:uid="{00000000-0005-0000-0000-0000B2060000}"/>
    <cellStyle name="Cálculo 20 3 4" xfId="34036" xr:uid="{00000000-0005-0000-0000-0000B3060000}"/>
    <cellStyle name="Cálculo 20 3 5" xfId="40425" xr:uid="{00000000-0005-0000-0000-0000B4060000}"/>
    <cellStyle name="Cálculo 20 4" xfId="11660" xr:uid="{00000000-0005-0000-0000-0000B5060000}"/>
    <cellStyle name="Cálculo 20 4 2" xfId="29576" xr:uid="{00000000-0005-0000-0000-0000B6060000}"/>
    <cellStyle name="Cálculo 20 4 3" xfId="32647" xr:uid="{00000000-0005-0000-0000-0000B7060000}"/>
    <cellStyle name="Cálculo 20 4 4" xfId="34037" xr:uid="{00000000-0005-0000-0000-0000B8060000}"/>
    <cellStyle name="Cálculo 20 4 5" xfId="40426" xr:uid="{00000000-0005-0000-0000-0000B9060000}"/>
    <cellStyle name="Cálculo 20 5" xfId="29571" xr:uid="{00000000-0005-0000-0000-0000BA060000}"/>
    <cellStyle name="Cálculo 20 6" xfId="32642" xr:uid="{00000000-0005-0000-0000-0000BB060000}"/>
    <cellStyle name="Cálculo 20 7" xfId="34032" xr:uid="{00000000-0005-0000-0000-0000BC060000}"/>
    <cellStyle name="Cálculo 20 8" xfId="40421" xr:uid="{00000000-0005-0000-0000-0000BD060000}"/>
    <cellStyle name="Cálculo 21" xfId="971" xr:uid="{00000000-0005-0000-0000-0000BE060000}"/>
    <cellStyle name="Cálculo 21 2" xfId="11524" xr:uid="{00000000-0005-0000-0000-0000BF060000}"/>
    <cellStyle name="Cálculo 21 2 2" xfId="11661" xr:uid="{00000000-0005-0000-0000-0000C0060000}"/>
    <cellStyle name="Cálculo 21 2 2 2" xfId="29579" xr:uid="{00000000-0005-0000-0000-0000C1060000}"/>
    <cellStyle name="Cálculo 21 2 2 3" xfId="32650" xr:uid="{00000000-0005-0000-0000-0000C2060000}"/>
    <cellStyle name="Cálculo 21 2 2 4" xfId="34040" xr:uid="{00000000-0005-0000-0000-0000C3060000}"/>
    <cellStyle name="Cálculo 21 2 2 5" xfId="40429" xr:uid="{00000000-0005-0000-0000-0000C4060000}"/>
    <cellStyle name="Cálculo 21 2 3" xfId="11662" xr:uid="{00000000-0005-0000-0000-0000C5060000}"/>
    <cellStyle name="Cálculo 21 2 3 2" xfId="29580" xr:uid="{00000000-0005-0000-0000-0000C6060000}"/>
    <cellStyle name="Cálculo 21 2 3 3" xfId="32651" xr:uid="{00000000-0005-0000-0000-0000C7060000}"/>
    <cellStyle name="Cálculo 21 2 3 4" xfId="34041" xr:uid="{00000000-0005-0000-0000-0000C8060000}"/>
    <cellStyle name="Cálculo 21 2 3 5" xfId="40430" xr:uid="{00000000-0005-0000-0000-0000C9060000}"/>
    <cellStyle name="Cálculo 21 2 4" xfId="29578" xr:uid="{00000000-0005-0000-0000-0000CA060000}"/>
    <cellStyle name="Cálculo 21 2 5" xfId="32649" xr:uid="{00000000-0005-0000-0000-0000CB060000}"/>
    <cellStyle name="Cálculo 21 2 6" xfId="34039" xr:uid="{00000000-0005-0000-0000-0000CC060000}"/>
    <cellStyle name="Cálculo 21 2 7" xfId="40428" xr:uid="{00000000-0005-0000-0000-0000CD060000}"/>
    <cellStyle name="Cálculo 21 3" xfId="11663" xr:uid="{00000000-0005-0000-0000-0000CE060000}"/>
    <cellStyle name="Cálculo 21 3 2" xfId="29581" xr:uid="{00000000-0005-0000-0000-0000CF060000}"/>
    <cellStyle name="Cálculo 21 3 3" xfId="32652" xr:uid="{00000000-0005-0000-0000-0000D0060000}"/>
    <cellStyle name="Cálculo 21 3 4" xfId="34042" xr:uid="{00000000-0005-0000-0000-0000D1060000}"/>
    <cellStyle name="Cálculo 21 3 5" xfId="40431" xr:uid="{00000000-0005-0000-0000-0000D2060000}"/>
    <cellStyle name="Cálculo 21 4" xfId="11664" xr:uid="{00000000-0005-0000-0000-0000D3060000}"/>
    <cellStyle name="Cálculo 21 4 2" xfId="29582" xr:uid="{00000000-0005-0000-0000-0000D4060000}"/>
    <cellStyle name="Cálculo 21 4 3" xfId="32653" xr:uid="{00000000-0005-0000-0000-0000D5060000}"/>
    <cellStyle name="Cálculo 21 4 4" xfId="34043" xr:uid="{00000000-0005-0000-0000-0000D6060000}"/>
    <cellStyle name="Cálculo 21 4 5" xfId="40432" xr:uid="{00000000-0005-0000-0000-0000D7060000}"/>
    <cellStyle name="Cálculo 21 5" xfId="29577" xr:uid="{00000000-0005-0000-0000-0000D8060000}"/>
    <cellStyle name="Cálculo 21 6" xfId="32648" xr:uid="{00000000-0005-0000-0000-0000D9060000}"/>
    <cellStyle name="Cálculo 21 7" xfId="34038" xr:uid="{00000000-0005-0000-0000-0000DA060000}"/>
    <cellStyle name="Cálculo 21 8" xfId="40427" xr:uid="{00000000-0005-0000-0000-0000DB060000}"/>
    <cellStyle name="Cálculo 22" xfId="972" xr:uid="{00000000-0005-0000-0000-0000DC060000}"/>
    <cellStyle name="Cálculo 22 2" xfId="11525" xr:uid="{00000000-0005-0000-0000-0000DD060000}"/>
    <cellStyle name="Cálculo 22 2 2" xfId="11665" xr:uid="{00000000-0005-0000-0000-0000DE060000}"/>
    <cellStyle name="Cálculo 22 2 2 2" xfId="29585" xr:uid="{00000000-0005-0000-0000-0000DF060000}"/>
    <cellStyle name="Cálculo 22 2 2 3" xfId="32656" xr:uid="{00000000-0005-0000-0000-0000E0060000}"/>
    <cellStyle name="Cálculo 22 2 2 4" xfId="34046" xr:uid="{00000000-0005-0000-0000-0000E1060000}"/>
    <cellStyle name="Cálculo 22 2 2 5" xfId="40435" xr:uid="{00000000-0005-0000-0000-0000E2060000}"/>
    <cellStyle name="Cálculo 22 2 3" xfId="11666" xr:uid="{00000000-0005-0000-0000-0000E3060000}"/>
    <cellStyle name="Cálculo 22 2 3 2" xfId="29586" xr:uid="{00000000-0005-0000-0000-0000E4060000}"/>
    <cellStyle name="Cálculo 22 2 3 3" xfId="32657" xr:uid="{00000000-0005-0000-0000-0000E5060000}"/>
    <cellStyle name="Cálculo 22 2 3 4" xfId="34047" xr:uid="{00000000-0005-0000-0000-0000E6060000}"/>
    <cellStyle name="Cálculo 22 2 3 5" xfId="40436" xr:uid="{00000000-0005-0000-0000-0000E7060000}"/>
    <cellStyle name="Cálculo 22 2 4" xfId="29584" xr:uid="{00000000-0005-0000-0000-0000E8060000}"/>
    <cellStyle name="Cálculo 22 2 5" xfId="32655" xr:uid="{00000000-0005-0000-0000-0000E9060000}"/>
    <cellStyle name="Cálculo 22 2 6" xfId="34045" xr:uid="{00000000-0005-0000-0000-0000EA060000}"/>
    <cellStyle name="Cálculo 22 2 7" xfId="40434" xr:uid="{00000000-0005-0000-0000-0000EB060000}"/>
    <cellStyle name="Cálculo 22 3" xfId="11667" xr:uid="{00000000-0005-0000-0000-0000EC060000}"/>
    <cellStyle name="Cálculo 22 3 2" xfId="29587" xr:uid="{00000000-0005-0000-0000-0000ED060000}"/>
    <cellStyle name="Cálculo 22 3 3" xfId="32658" xr:uid="{00000000-0005-0000-0000-0000EE060000}"/>
    <cellStyle name="Cálculo 22 3 4" xfId="34048" xr:uid="{00000000-0005-0000-0000-0000EF060000}"/>
    <cellStyle name="Cálculo 22 3 5" xfId="40437" xr:uid="{00000000-0005-0000-0000-0000F0060000}"/>
    <cellStyle name="Cálculo 22 4" xfId="11668" xr:uid="{00000000-0005-0000-0000-0000F1060000}"/>
    <cellStyle name="Cálculo 22 4 2" xfId="29588" xr:uid="{00000000-0005-0000-0000-0000F2060000}"/>
    <cellStyle name="Cálculo 22 4 3" xfId="32659" xr:uid="{00000000-0005-0000-0000-0000F3060000}"/>
    <cellStyle name="Cálculo 22 4 4" xfId="34049" xr:uid="{00000000-0005-0000-0000-0000F4060000}"/>
    <cellStyle name="Cálculo 22 4 5" xfId="40438" xr:uid="{00000000-0005-0000-0000-0000F5060000}"/>
    <cellStyle name="Cálculo 22 5" xfId="29583" xr:uid="{00000000-0005-0000-0000-0000F6060000}"/>
    <cellStyle name="Cálculo 22 6" xfId="32654" xr:uid="{00000000-0005-0000-0000-0000F7060000}"/>
    <cellStyle name="Cálculo 22 7" xfId="34044" xr:uid="{00000000-0005-0000-0000-0000F8060000}"/>
    <cellStyle name="Cálculo 22 8" xfId="40433" xr:uid="{00000000-0005-0000-0000-0000F9060000}"/>
    <cellStyle name="Cálculo 23" xfId="973" xr:uid="{00000000-0005-0000-0000-0000FA060000}"/>
    <cellStyle name="Cálculo 23 2" xfId="11526" xr:uid="{00000000-0005-0000-0000-0000FB060000}"/>
    <cellStyle name="Cálculo 23 2 2" xfId="11669" xr:uid="{00000000-0005-0000-0000-0000FC060000}"/>
    <cellStyle name="Cálculo 23 2 2 2" xfId="29591" xr:uid="{00000000-0005-0000-0000-0000FD060000}"/>
    <cellStyle name="Cálculo 23 2 2 3" xfId="32662" xr:uid="{00000000-0005-0000-0000-0000FE060000}"/>
    <cellStyle name="Cálculo 23 2 2 4" xfId="34052" xr:uid="{00000000-0005-0000-0000-0000FF060000}"/>
    <cellStyle name="Cálculo 23 2 2 5" xfId="40441" xr:uid="{00000000-0005-0000-0000-000000070000}"/>
    <cellStyle name="Cálculo 23 2 3" xfId="11670" xr:uid="{00000000-0005-0000-0000-000001070000}"/>
    <cellStyle name="Cálculo 23 2 3 2" xfId="29592" xr:uid="{00000000-0005-0000-0000-000002070000}"/>
    <cellStyle name="Cálculo 23 2 3 3" xfId="32663" xr:uid="{00000000-0005-0000-0000-000003070000}"/>
    <cellStyle name="Cálculo 23 2 3 4" xfId="34053" xr:uid="{00000000-0005-0000-0000-000004070000}"/>
    <cellStyle name="Cálculo 23 2 3 5" xfId="40442" xr:uid="{00000000-0005-0000-0000-000005070000}"/>
    <cellStyle name="Cálculo 23 2 4" xfId="29590" xr:uid="{00000000-0005-0000-0000-000006070000}"/>
    <cellStyle name="Cálculo 23 2 5" xfId="32661" xr:uid="{00000000-0005-0000-0000-000007070000}"/>
    <cellStyle name="Cálculo 23 2 6" xfId="34051" xr:uid="{00000000-0005-0000-0000-000008070000}"/>
    <cellStyle name="Cálculo 23 2 7" xfId="40440" xr:uid="{00000000-0005-0000-0000-000009070000}"/>
    <cellStyle name="Cálculo 23 3" xfId="11671" xr:uid="{00000000-0005-0000-0000-00000A070000}"/>
    <cellStyle name="Cálculo 23 3 2" xfId="29593" xr:uid="{00000000-0005-0000-0000-00000B070000}"/>
    <cellStyle name="Cálculo 23 3 3" xfId="32664" xr:uid="{00000000-0005-0000-0000-00000C070000}"/>
    <cellStyle name="Cálculo 23 3 4" xfId="34054" xr:uid="{00000000-0005-0000-0000-00000D070000}"/>
    <cellStyle name="Cálculo 23 3 5" xfId="40443" xr:uid="{00000000-0005-0000-0000-00000E070000}"/>
    <cellStyle name="Cálculo 23 4" xfId="11672" xr:uid="{00000000-0005-0000-0000-00000F070000}"/>
    <cellStyle name="Cálculo 23 4 2" xfId="29594" xr:uid="{00000000-0005-0000-0000-000010070000}"/>
    <cellStyle name="Cálculo 23 4 3" xfId="32665" xr:uid="{00000000-0005-0000-0000-000011070000}"/>
    <cellStyle name="Cálculo 23 4 4" xfId="34055" xr:uid="{00000000-0005-0000-0000-000012070000}"/>
    <cellStyle name="Cálculo 23 4 5" xfId="40444" xr:uid="{00000000-0005-0000-0000-000013070000}"/>
    <cellStyle name="Cálculo 23 5" xfId="29589" xr:uid="{00000000-0005-0000-0000-000014070000}"/>
    <cellStyle name="Cálculo 23 6" xfId="32660" xr:uid="{00000000-0005-0000-0000-000015070000}"/>
    <cellStyle name="Cálculo 23 7" xfId="34050" xr:uid="{00000000-0005-0000-0000-000016070000}"/>
    <cellStyle name="Cálculo 23 8" xfId="40439" xr:uid="{00000000-0005-0000-0000-000017070000}"/>
    <cellStyle name="Cálculo 24" xfId="974" xr:uid="{00000000-0005-0000-0000-000018070000}"/>
    <cellStyle name="Cálculo 24 2" xfId="11527" xr:uid="{00000000-0005-0000-0000-000019070000}"/>
    <cellStyle name="Cálculo 24 2 2" xfId="11673" xr:uid="{00000000-0005-0000-0000-00001A070000}"/>
    <cellStyle name="Cálculo 24 2 2 2" xfId="29597" xr:uid="{00000000-0005-0000-0000-00001B070000}"/>
    <cellStyle name="Cálculo 24 2 2 3" xfId="32668" xr:uid="{00000000-0005-0000-0000-00001C070000}"/>
    <cellStyle name="Cálculo 24 2 2 4" xfId="34058" xr:uid="{00000000-0005-0000-0000-00001D070000}"/>
    <cellStyle name="Cálculo 24 2 2 5" xfId="40447" xr:uid="{00000000-0005-0000-0000-00001E070000}"/>
    <cellStyle name="Cálculo 24 2 3" xfId="11674" xr:uid="{00000000-0005-0000-0000-00001F070000}"/>
    <cellStyle name="Cálculo 24 2 3 2" xfId="29598" xr:uid="{00000000-0005-0000-0000-000020070000}"/>
    <cellStyle name="Cálculo 24 2 3 3" xfId="32669" xr:uid="{00000000-0005-0000-0000-000021070000}"/>
    <cellStyle name="Cálculo 24 2 3 4" xfId="34059" xr:uid="{00000000-0005-0000-0000-000022070000}"/>
    <cellStyle name="Cálculo 24 2 3 5" xfId="40448" xr:uid="{00000000-0005-0000-0000-000023070000}"/>
    <cellStyle name="Cálculo 24 2 4" xfId="29596" xr:uid="{00000000-0005-0000-0000-000024070000}"/>
    <cellStyle name="Cálculo 24 2 5" xfId="32667" xr:uid="{00000000-0005-0000-0000-000025070000}"/>
    <cellStyle name="Cálculo 24 2 6" xfId="34057" xr:uid="{00000000-0005-0000-0000-000026070000}"/>
    <cellStyle name="Cálculo 24 2 7" xfId="40446" xr:uid="{00000000-0005-0000-0000-000027070000}"/>
    <cellStyle name="Cálculo 24 3" xfId="11675" xr:uid="{00000000-0005-0000-0000-000028070000}"/>
    <cellStyle name="Cálculo 24 3 2" xfId="29599" xr:uid="{00000000-0005-0000-0000-000029070000}"/>
    <cellStyle name="Cálculo 24 3 3" xfId="32670" xr:uid="{00000000-0005-0000-0000-00002A070000}"/>
    <cellStyle name="Cálculo 24 3 4" xfId="34060" xr:uid="{00000000-0005-0000-0000-00002B070000}"/>
    <cellStyle name="Cálculo 24 3 5" xfId="40449" xr:uid="{00000000-0005-0000-0000-00002C070000}"/>
    <cellStyle name="Cálculo 24 4" xfId="11676" xr:uid="{00000000-0005-0000-0000-00002D070000}"/>
    <cellStyle name="Cálculo 24 4 2" xfId="29600" xr:uid="{00000000-0005-0000-0000-00002E070000}"/>
    <cellStyle name="Cálculo 24 4 3" xfId="32671" xr:uid="{00000000-0005-0000-0000-00002F070000}"/>
    <cellStyle name="Cálculo 24 4 4" xfId="34061" xr:uid="{00000000-0005-0000-0000-000030070000}"/>
    <cellStyle name="Cálculo 24 4 5" xfId="40450" xr:uid="{00000000-0005-0000-0000-000031070000}"/>
    <cellStyle name="Cálculo 24 5" xfId="29595" xr:uid="{00000000-0005-0000-0000-000032070000}"/>
    <cellStyle name="Cálculo 24 6" xfId="32666" xr:uid="{00000000-0005-0000-0000-000033070000}"/>
    <cellStyle name="Cálculo 24 7" xfId="34056" xr:uid="{00000000-0005-0000-0000-000034070000}"/>
    <cellStyle name="Cálculo 24 8" xfId="40445" xr:uid="{00000000-0005-0000-0000-000035070000}"/>
    <cellStyle name="Cálculo 25" xfId="975" xr:uid="{00000000-0005-0000-0000-000036070000}"/>
    <cellStyle name="Cálculo 25 2" xfId="11528" xr:uid="{00000000-0005-0000-0000-000037070000}"/>
    <cellStyle name="Cálculo 25 2 2" xfId="11677" xr:uid="{00000000-0005-0000-0000-000038070000}"/>
    <cellStyle name="Cálculo 25 2 2 2" xfId="29603" xr:uid="{00000000-0005-0000-0000-000039070000}"/>
    <cellStyle name="Cálculo 25 2 2 3" xfId="32674" xr:uid="{00000000-0005-0000-0000-00003A070000}"/>
    <cellStyle name="Cálculo 25 2 2 4" xfId="34064" xr:uid="{00000000-0005-0000-0000-00003B070000}"/>
    <cellStyle name="Cálculo 25 2 2 5" xfId="40453" xr:uid="{00000000-0005-0000-0000-00003C070000}"/>
    <cellStyle name="Cálculo 25 2 3" xfId="11678" xr:uid="{00000000-0005-0000-0000-00003D070000}"/>
    <cellStyle name="Cálculo 25 2 3 2" xfId="29604" xr:uid="{00000000-0005-0000-0000-00003E070000}"/>
    <cellStyle name="Cálculo 25 2 3 3" xfId="32675" xr:uid="{00000000-0005-0000-0000-00003F070000}"/>
    <cellStyle name="Cálculo 25 2 3 4" xfId="34065" xr:uid="{00000000-0005-0000-0000-000040070000}"/>
    <cellStyle name="Cálculo 25 2 3 5" xfId="40454" xr:uid="{00000000-0005-0000-0000-000041070000}"/>
    <cellStyle name="Cálculo 25 2 4" xfId="29602" xr:uid="{00000000-0005-0000-0000-000042070000}"/>
    <cellStyle name="Cálculo 25 2 5" xfId="32673" xr:uid="{00000000-0005-0000-0000-000043070000}"/>
    <cellStyle name="Cálculo 25 2 6" xfId="34063" xr:uid="{00000000-0005-0000-0000-000044070000}"/>
    <cellStyle name="Cálculo 25 2 7" xfId="40452" xr:uid="{00000000-0005-0000-0000-000045070000}"/>
    <cellStyle name="Cálculo 25 3" xfId="11679" xr:uid="{00000000-0005-0000-0000-000046070000}"/>
    <cellStyle name="Cálculo 25 3 2" xfId="29605" xr:uid="{00000000-0005-0000-0000-000047070000}"/>
    <cellStyle name="Cálculo 25 3 3" xfId="32676" xr:uid="{00000000-0005-0000-0000-000048070000}"/>
    <cellStyle name="Cálculo 25 3 4" xfId="34066" xr:uid="{00000000-0005-0000-0000-000049070000}"/>
    <cellStyle name="Cálculo 25 3 5" xfId="40455" xr:uid="{00000000-0005-0000-0000-00004A070000}"/>
    <cellStyle name="Cálculo 25 4" xfId="11680" xr:uid="{00000000-0005-0000-0000-00004B070000}"/>
    <cellStyle name="Cálculo 25 4 2" xfId="29606" xr:uid="{00000000-0005-0000-0000-00004C070000}"/>
    <cellStyle name="Cálculo 25 4 3" xfId="32677" xr:uid="{00000000-0005-0000-0000-00004D070000}"/>
    <cellStyle name="Cálculo 25 4 4" xfId="34067" xr:uid="{00000000-0005-0000-0000-00004E070000}"/>
    <cellStyle name="Cálculo 25 4 5" xfId="40456" xr:uid="{00000000-0005-0000-0000-00004F070000}"/>
    <cellStyle name="Cálculo 25 5" xfId="29601" xr:uid="{00000000-0005-0000-0000-000050070000}"/>
    <cellStyle name="Cálculo 25 6" xfId="32672" xr:uid="{00000000-0005-0000-0000-000051070000}"/>
    <cellStyle name="Cálculo 25 7" xfId="34062" xr:uid="{00000000-0005-0000-0000-000052070000}"/>
    <cellStyle name="Cálculo 25 8" xfId="40451" xr:uid="{00000000-0005-0000-0000-000053070000}"/>
    <cellStyle name="Cálculo 26" xfId="976" xr:uid="{00000000-0005-0000-0000-000054070000}"/>
    <cellStyle name="Cálculo 26 2" xfId="11529" xr:uid="{00000000-0005-0000-0000-000055070000}"/>
    <cellStyle name="Cálculo 26 2 2" xfId="11681" xr:uid="{00000000-0005-0000-0000-000056070000}"/>
    <cellStyle name="Cálculo 26 2 2 2" xfId="29609" xr:uid="{00000000-0005-0000-0000-000057070000}"/>
    <cellStyle name="Cálculo 26 2 2 3" xfId="32680" xr:uid="{00000000-0005-0000-0000-000058070000}"/>
    <cellStyle name="Cálculo 26 2 2 4" xfId="34070" xr:uid="{00000000-0005-0000-0000-000059070000}"/>
    <cellStyle name="Cálculo 26 2 2 5" xfId="40459" xr:uid="{00000000-0005-0000-0000-00005A070000}"/>
    <cellStyle name="Cálculo 26 2 3" xfId="11682" xr:uid="{00000000-0005-0000-0000-00005B070000}"/>
    <cellStyle name="Cálculo 26 2 3 2" xfId="29610" xr:uid="{00000000-0005-0000-0000-00005C070000}"/>
    <cellStyle name="Cálculo 26 2 3 3" xfId="32681" xr:uid="{00000000-0005-0000-0000-00005D070000}"/>
    <cellStyle name="Cálculo 26 2 3 4" xfId="34071" xr:uid="{00000000-0005-0000-0000-00005E070000}"/>
    <cellStyle name="Cálculo 26 2 3 5" xfId="40460" xr:uid="{00000000-0005-0000-0000-00005F070000}"/>
    <cellStyle name="Cálculo 26 2 4" xfId="29608" xr:uid="{00000000-0005-0000-0000-000060070000}"/>
    <cellStyle name="Cálculo 26 2 5" xfId="32679" xr:uid="{00000000-0005-0000-0000-000061070000}"/>
    <cellStyle name="Cálculo 26 2 6" xfId="34069" xr:uid="{00000000-0005-0000-0000-000062070000}"/>
    <cellStyle name="Cálculo 26 2 7" xfId="40458" xr:uid="{00000000-0005-0000-0000-000063070000}"/>
    <cellStyle name="Cálculo 26 3" xfId="11683" xr:uid="{00000000-0005-0000-0000-000064070000}"/>
    <cellStyle name="Cálculo 26 3 2" xfId="29611" xr:uid="{00000000-0005-0000-0000-000065070000}"/>
    <cellStyle name="Cálculo 26 3 3" xfId="32682" xr:uid="{00000000-0005-0000-0000-000066070000}"/>
    <cellStyle name="Cálculo 26 3 4" xfId="34072" xr:uid="{00000000-0005-0000-0000-000067070000}"/>
    <cellStyle name="Cálculo 26 3 5" xfId="40461" xr:uid="{00000000-0005-0000-0000-000068070000}"/>
    <cellStyle name="Cálculo 26 4" xfId="11684" xr:uid="{00000000-0005-0000-0000-000069070000}"/>
    <cellStyle name="Cálculo 26 4 2" xfId="29612" xr:uid="{00000000-0005-0000-0000-00006A070000}"/>
    <cellStyle name="Cálculo 26 4 3" xfId="32683" xr:uid="{00000000-0005-0000-0000-00006B070000}"/>
    <cellStyle name="Cálculo 26 4 4" xfId="34073" xr:uid="{00000000-0005-0000-0000-00006C070000}"/>
    <cellStyle name="Cálculo 26 4 5" xfId="40462" xr:uid="{00000000-0005-0000-0000-00006D070000}"/>
    <cellStyle name="Cálculo 26 5" xfId="29607" xr:uid="{00000000-0005-0000-0000-00006E070000}"/>
    <cellStyle name="Cálculo 26 6" xfId="32678" xr:uid="{00000000-0005-0000-0000-00006F070000}"/>
    <cellStyle name="Cálculo 26 7" xfId="34068" xr:uid="{00000000-0005-0000-0000-000070070000}"/>
    <cellStyle name="Cálculo 26 8" xfId="40457" xr:uid="{00000000-0005-0000-0000-000071070000}"/>
    <cellStyle name="Cálculo 27" xfId="977" xr:uid="{00000000-0005-0000-0000-000072070000}"/>
    <cellStyle name="Cálculo 27 2" xfId="11530" xr:uid="{00000000-0005-0000-0000-000073070000}"/>
    <cellStyle name="Cálculo 27 2 2" xfId="11685" xr:uid="{00000000-0005-0000-0000-000074070000}"/>
    <cellStyle name="Cálculo 27 2 2 2" xfId="29615" xr:uid="{00000000-0005-0000-0000-000075070000}"/>
    <cellStyle name="Cálculo 27 2 2 3" xfId="32686" xr:uid="{00000000-0005-0000-0000-000076070000}"/>
    <cellStyle name="Cálculo 27 2 2 4" xfId="34076" xr:uid="{00000000-0005-0000-0000-000077070000}"/>
    <cellStyle name="Cálculo 27 2 2 5" xfId="40465" xr:uid="{00000000-0005-0000-0000-000078070000}"/>
    <cellStyle name="Cálculo 27 2 3" xfId="11686" xr:uid="{00000000-0005-0000-0000-000079070000}"/>
    <cellStyle name="Cálculo 27 2 3 2" xfId="29616" xr:uid="{00000000-0005-0000-0000-00007A070000}"/>
    <cellStyle name="Cálculo 27 2 3 3" xfId="32687" xr:uid="{00000000-0005-0000-0000-00007B070000}"/>
    <cellStyle name="Cálculo 27 2 3 4" xfId="34077" xr:uid="{00000000-0005-0000-0000-00007C070000}"/>
    <cellStyle name="Cálculo 27 2 3 5" xfId="40466" xr:uid="{00000000-0005-0000-0000-00007D070000}"/>
    <cellStyle name="Cálculo 27 2 4" xfId="29614" xr:uid="{00000000-0005-0000-0000-00007E070000}"/>
    <cellStyle name="Cálculo 27 2 5" xfId="32685" xr:uid="{00000000-0005-0000-0000-00007F070000}"/>
    <cellStyle name="Cálculo 27 2 6" xfId="34075" xr:uid="{00000000-0005-0000-0000-000080070000}"/>
    <cellStyle name="Cálculo 27 2 7" xfId="40464" xr:uid="{00000000-0005-0000-0000-000081070000}"/>
    <cellStyle name="Cálculo 27 3" xfId="11687" xr:uid="{00000000-0005-0000-0000-000082070000}"/>
    <cellStyle name="Cálculo 27 3 2" xfId="29617" xr:uid="{00000000-0005-0000-0000-000083070000}"/>
    <cellStyle name="Cálculo 27 3 3" xfId="32688" xr:uid="{00000000-0005-0000-0000-000084070000}"/>
    <cellStyle name="Cálculo 27 3 4" xfId="34078" xr:uid="{00000000-0005-0000-0000-000085070000}"/>
    <cellStyle name="Cálculo 27 3 5" xfId="40467" xr:uid="{00000000-0005-0000-0000-000086070000}"/>
    <cellStyle name="Cálculo 27 4" xfId="11688" xr:uid="{00000000-0005-0000-0000-000087070000}"/>
    <cellStyle name="Cálculo 27 4 2" xfId="29618" xr:uid="{00000000-0005-0000-0000-000088070000}"/>
    <cellStyle name="Cálculo 27 4 3" xfId="32689" xr:uid="{00000000-0005-0000-0000-000089070000}"/>
    <cellStyle name="Cálculo 27 4 4" xfId="34079" xr:uid="{00000000-0005-0000-0000-00008A070000}"/>
    <cellStyle name="Cálculo 27 4 5" xfId="40468" xr:uid="{00000000-0005-0000-0000-00008B070000}"/>
    <cellStyle name="Cálculo 27 5" xfId="29613" xr:uid="{00000000-0005-0000-0000-00008C070000}"/>
    <cellStyle name="Cálculo 27 6" xfId="32684" xr:uid="{00000000-0005-0000-0000-00008D070000}"/>
    <cellStyle name="Cálculo 27 7" xfId="34074" xr:uid="{00000000-0005-0000-0000-00008E070000}"/>
    <cellStyle name="Cálculo 27 8" xfId="40463" xr:uid="{00000000-0005-0000-0000-00008F070000}"/>
    <cellStyle name="Cálculo 28" xfId="978" xr:uid="{00000000-0005-0000-0000-000090070000}"/>
    <cellStyle name="Cálculo 28 2" xfId="11531" xr:uid="{00000000-0005-0000-0000-000091070000}"/>
    <cellStyle name="Cálculo 28 2 2" xfId="11689" xr:uid="{00000000-0005-0000-0000-000092070000}"/>
    <cellStyle name="Cálculo 28 2 2 2" xfId="29621" xr:uid="{00000000-0005-0000-0000-000093070000}"/>
    <cellStyle name="Cálculo 28 2 2 3" xfId="32692" xr:uid="{00000000-0005-0000-0000-000094070000}"/>
    <cellStyle name="Cálculo 28 2 2 4" xfId="34082" xr:uid="{00000000-0005-0000-0000-000095070000}"/>
    <cellStyle name="Cálculo 28 2 2 5" xfId="40471" xr:uid="{00000000-0005-0000-0000-000096070000}"/>
    <cellStyle name="Cálculo 28 2 3" xfId="11690" xr:uid="{00000000-0005-0000-0000-000097070000}"/>
    <cellStyle name="Cálculo 28 2 3 2" xfId="29622" xr:uid="{00000000-0005-0000-0000-000098070000}"/>
    <cellStyle name="Cálculo 28 2 3 3" xfId="32693" xr:uid="{00000000-0005-0000-0000-000099070000}"/>
    <cellStyle name="Cálculo 28 2 3 4" xfId="34083" xr:uid="{00000000-0005-0000-0000-00009A070000}"/>
    <cellStyle name="Cálculo 28 2 3 5" xfId="40472" xr:uid="{00000000-0005-0000-0000-00009B070000}"/>
    <cellStyle name="Cálculo 28 2 4" xfId="29620" xr:uid="{00000000-0005-0000-0000-00009C070000}"/>
    <cellStyle name="Cálculo 28 2 5" xfId="32691" xr:uid="{00000000-0005-0000-0000-00009D070000}"/>
    <cellStyle name="Cálculo 28 2 6" xfId="34081" xr:uid="{00000000-0005-0000-0000-00009E070000}"/>
    <cellStyle name="Cálculo 28 2 7" xfId="40470" xr:uid="{00000000-0005-0000-0000-00009F070000}"/>
    <cellStyle name="Cálculo 28 3" xfId="11691" xr:uid="{00000000-0005-0000-0000-0000A0070000}"/>
    <cellStyle name="Cálculo 28 3 2" xfId="29623" xr:uid="{00000000-0005-0000-0000-0000A1070000}"/>
    <cellStyle name="Cálculo 28 3 3" xfId="32694" xr:uid="{00000000-0005-0000-0000-0000A2070000}"/>
    <cellStyle name="Cálculo 28 3 4" xfId="34084" xr:uid="{00000000-0005-0000-0000-0000A3070000}"/>
    <cellStyle name="Cálculo 28 3 5" xfId="40473" xr:uid="{00000000-0005-0000-0000-0000A4070000}"/>
    <cellStyle name="Cálculo 28 4" xfId="11692" xr:uid="{00000000-0005-0000-0000-0000A5070000}"/>
    <cellStyle name="Cálculo 28 4 2" xfId="29624" xr:uid="{00000000-0005-0000-0000-0000A6070000}"/>
    <cellStyle name="Cálculo 28 4 3" xfId="32695" xr:uid="{00000000-0005-0000-0000-0000A7070000}"/>
    <cellStyle name="Cálculo 28 4 4" xfId="34085" xr:uid="{00000000-0005-0000-0000-0000A8070000}"/>
    <cellStyle name="Cálculo 28 4 5" xfId="40474" xr:uid="{00000000-0005-0000-0000-0000A9070000}"/>
    <cellStyle name="Cálculo 28 5" xfId="29619" xr:uid="{00000000-0005-0000-0000-0000AA070000}"/>
    <cellStyle name="Cálculo 28 6" xfId="32690" xr:uid="{00000000-0005-0000-0000-0000AB070000}"/>
    <cellStyle name="Cálculo 28 7" xfId="34080" xr:uid="{00000000-0005-0000-0000-0000AC070000}"/>
    <cellStyle name="Cálculo 28 8" xfId="40469" xr:uid="{00000000-0005-0000-0000-0000AD070000}"/>
    <cellStyle name="Cálculo 29" xfId="979" xr:uid="{00000000-0005-0000-0000-0000AE070000}"/>
    <cellStyle name="Cálculo 29 2" xfId="11532" xr:uid="{00000000-0005-0000-0000-0000AF070000}"/>
    <cellStyle name="Cálculo 29 2 2" xfId="11693" xr:uid="{00000000-0005-0000-0000-0000B0070000}"/>
    <cellStyle name="Cálculo 29 2 2 2" xfId="29627" xr:uid="{00000000-0005-0000-0000-0000B1070000}"/>
    <cellStyle name="Cálculo 29 2 2 3" xfId="32698" xr:uid="{00000000-0005-0000-0000-0000B2070000}"/>
    <cellStyle name="Cálculo 29 2 2 4" xfId="34088" xr:uid="{00000000-0005-0000-0000-0000B3070000}"/>
    <cellStyle name="Cálculo 29 2 2 5" xfId="40477" xr:uid="{00000000-0005-0000-0000-0000B4070000}"/>
    <cellStyle name="Cálculo 29 2 3" xfId="11694" xr:uid="{00000000-0005-0000-0000-0000B5070000}"/>
    <cellStyle name="Cálculo 29 2 3 2" xfId="29628" xr:uid="{00000000-0005-0000-0000-0000B6070000}"/>
    <cellStyle name="Cálculo 29 2 3 3" xfId="32699" xr:uid="{00000000-0005-0000-0000-0000B7070000}"/>
    <cellStyle name="Cálculo 29 2 3 4" xfId="34089" xr:uid="{00000000-0005-0000-0000-0000B8070000}"/>
    <cellStyle name="Cálculo 29 2 3 5" xfId="40478" xr:uid="{00000000-0005-0000-0000-0000B9070000}"/>
    <cellStyle name="Cálculo 29 2 4" xfId="29626" xr:uid="{00000000-0005-0000-0000-0000BA070000}"/>
    <cellStyle name="Cálculo 29 2 5" xfId="32697" xr:uid="{00000000-0005-0000-0000-0000BB070000}"/>
    <cellStyle name="Cálculo 29 2 6" xfId="34087" xr:uid="{00000000-0005-0000-0000-0000BC070000}"/>
    <cellStyle name="Cálculo 29 2 7" xfId="40476" xr:uid="{00000000-0005-0000-0000-0000BD070000}"/>
    <cellStyle name="Cálculo 29 3" xfId="11695" xr:uid="{00000000-0005-0000-0000-0000BE070000}"/>
    <cellStyle name="Cálculo 29 3 2" xfId="29629" xr:uid="{00000000-0005-0000-0000-0000BF070000}"/>
    <cellStyle name="Cálculo 29 3 3" xfId="32700" xr:uid="{00000000-0005-0000-0000-0000C0070000}"/>
    <cellStyle name="Cálculo 29 3 4" xfId="34090" xr:uid="{00000000-0005-0000-0000-0000C1070000}"/>
    <cellStyle name="Cálculo 29 3 5" xfId="40479" xr:uid="{00000000-0005-0000-0000-0000C2070000}"/>
    <cellStyle name="Cálculo 29 4" xfId="11696" xr:uid="{00000000-0005-0000-0000-0000C3070000}"/>
    <cellStyle name="Cálculo 29 4 2" xfId="29630" xr:uid="{00000000-0005-0000-0000-0000C4070000}"/>
    <cellStyle name="Cálculo 29 4 3" xfId="32701" xr:uid="{00000000-0005-0000-0000-0000C5070000}"/>
    <cellStyle name="Cálculo 29 4 4" xfId="34091" xr:uid="{00000000-0005-0000-0000-0000C6070000}"/>
    <cellStyle name="Cálculo 29 4 5" xfId="40480" xr:uid="{00000000-0005-0000-0000-0000C7070000}"/>
    <cellStyle name="Cálculo 29 5" xfId="29625" xr:uid="{00000000-0005-0000-0000-0000C8070000}"/>
    <cellStyle name="Cálculo 29 6" xfId="32696" xr:uid="{00000000-0005-0000-0000-0000C9070000}"/>
    <cellStyle name="Cálculo 29 7" xfId="34086" xr:uid="{00000000-0005-0000-0000-0000CA070000}"/>
    <cellStyle name="Cálculo 29 8" xfId="40475" xr:uid="{00000000-0005-0000-0000-0000CB070000}"/>
    <cellStyle name="Cálculo 3" xfId="980" xr:uid="{00000000-0005-0000-0000-0000CC070000}"/>
    <cellStyle name="Cálculo 3 10" xfId="12537" xr:uid="{00000000-0005-0000-0000-0000CD070000}"/>
    <cellStyle name="Cálculo 3 10 2" xfId="12538" xr:uid="{00000000-0005-0000-0000-0000CE070000}"/>
    <cellStyle name="Cálculo 3 10 2 2" xfId="29633" xr:uid="{00000000-0005-0000-0000-0000CF070000}"/>
    <cellStyle name="Cálculo 3 10 3" xfId="29632" xr:uid="{00000000-0005-0000-0000-0000D0070000}"/>
    <cellStyle name="Cálculo 3 11" xfId="12539" xr:uid="{00000000-0005-0000-0000-0000D1070000}"/>
    <cellStyle name="Cálculo 3 11 2" xfId="29634" xr:uid="{00000000-0005-0000-0000-0000D2070000}"/>
    <cellStyle name="Cálculo 3 12" xfId="29631" xr:uid="{00000000-0005-0000-0000-0000D3070000}"/>
    <cellStyle name="Cálculo 3 13" xfId="32702" xr:uid="{00000000-0005-0000-0000-0000D4070000}"/>
    <cellStyle name="Cálculo 3 14" xfId="33528" xr:uid="{00000000-0005-0000-0000-0000D5070000}"/>
    <cellStyle name="Cálculo 3 15" xfId="34092" xr:uid="{00000000-0005-0000-0000-0000D6070000}"/>
    <cellStyle name="Cálculo 3 16" xfId="40481" xr:uid="{00000000-0005-0000-0000-0000D7070000}"/>
    <cellStyle name="Cálculo 3 2" xfId="11533" xr:uid="{00000000-0005-0000-0000-0000D8070000}"/>
    <cellStyle name="Cálculo 3 2 10" xfId="12540" xr:uid="{00000000-0005-0000-0000-0000D9070000}"/>
    <cellStyle name="Cálculo 3 2 10 2" xfId="29636" xr:uid="{00000000-0005-0000-0000-0000DA070000}"/>
    <cellStyle name="Cálculo 3 2 11" xfId="29635" xr:uid="{00000000-0005-0000-0000-0000DB070000}"/>
    <cellStyle name="Cálculo 3 2 12" xfId="32703" xr:uid="{00000000-0005-0000-0000-0000DC070000}"/>
    <cellStyle name="Cálculo 3 2 13" xfId="33529" xr:uid="{00000000-0005-0000-0000-0000DD070000}"/>
    <cellStyle name="Cálculo 3 2 14" xfId="34093" xr:uid="{00000000-0005-0000-0000-0000DE070000}"/>
    <cellStyle name="Cálculo 3 2 15" xfId="40482" xr:uid="{00000000-0005-0000-0000-0000DF070000}"/>
    <cellStyle name="Cálculo 3 2 2" xfId="11697" xr:uid="{00000000-0005-0000-0000-0000E0070000}"/>
    <cellStyle name="Cálculo 3 2 2 10" xfId="40483" xr:uid="{00000000-0005-0000-0000-0000E1070000}"/>
    <cellStyle name="Cálculo 3 2 2 2" xfId="12541" xr:uid="{00000000-0005-0000-0000-0000E2070000}"/>
    <cellStyle name="Cálculo 3 2 2 2 2" xfId="29638" xr:uid="{00000000-0005-0000-0000-0000E3070000}"/>
    <cellStyle name="Cálculo 3 2 2 3" xfId="12542" xr:uid="{00000000-0005-0000-0000-0000E4070000}"/>
    <cellStyle name="Cálculo 3 2 2 3 2" xfId="29639" xr:uid="{00000000-0005-0000-0000-0000E5070000}"/>
    <cellStyle name="Cálculo 3 2 2 4" xfId="12543" xr:uid="{00000000-0005-0000-0000-0000E6070000}"/>
    <cellStyle name="Cálculo 3 2 2 4 2" xfId="29640" xr:uid="{00000000-0005-0000-0000-0000E7070000}"/>
    <cellStyle name="Cálculo 3 2 2 5" xfId="12544" xr:uid="{00000000-0005-0000-0000-0000E8070000}"/>
    <cellStyle name="Cálculo 3 2 2 5 2" xfId="29641" xr:uid="{00000000-0005-0000-0000-0000E9070000}"/>
    <cellStyle name="Cálculo 3 2 2 6" xfId="12545" xr:uid="{00000000-0005-0000-0000-0000EA070000}"/>
    <cellStyle name="Cálculo 3 2 2 6 2" xfId="29642" xr:uid="{00000000-0005-0000-0000-0000EB070000}"/>
    <cellStyle name="Cálculo 3 2 2 7" xfId="29637" xr:uid="{00000000-0005-0000-0000-0000EC070000}"/>
    <cellStyle name="Cálculo 3 2 2 8" xfId="32704" xr:uid="{00000000-0005-0000-0000-0000ED070000}"/>
    <cellStyle name="Cálculo 3 2 2 9" xfId="34094" xr:uid="{00000000-0005-0000-0000-0000EE070000}"/>
    <cellStyle name="Cálculo 3 2 3" xfId="11698" xr:uid="{00000000-0005-0000-0000-0000EF070000}"/>
    <cellStyle name="Cálculo 3 2 3 10" xfId="40484" xr:uid="{00000000-0005-0000-0000-0000F0070000}"/>
    <cellStyle name="Cálculo 3 2 3 2" xfId="12546" xr:uid="{00000000-0005-0000-0000-0000F1070000}"/>
    <cellStyle name="Cálculo 3 2 3 2 2" xfId="29644" xr:uid="{00000000-0005-0000-0000-0000F2070000}"/>
    <cellStyle name="Cálculo 3 2 3 3" xfId="12547" xr:uid="{00000000-0005-0000-0000-0000F3070000}"/>
    <cellStyle name="Cálculo 3 2 3 3 2" xfId="29645" xr:uid="{00000000-0005-0000-0000-0000F4070000}"/>
    <cellStyle name="Cálculo 3 2 3 4" xfId="12548" xr:uid="{00000000-0005-0000-0000-0000F5070000}"/>
    <cellStyle name="Cálculo 3 2 3 4 2" xfId="29646" xr:uid="{00000000-0005-0000-0000-0000F6070000}"/>
    <cellStyle name="Cálculo 3 2 3 5" xfId="12549" xr:uid="{00000000-0005-0000-0000-0000F7070000}"/>
    <cellStyle name="Cálculo 3 2 3 5 2" xfId="29647" xr:uid="{00000000-0005-0000-0000-0000F8070000}"/>
    <cellStyle name="Cálculo 3 2 3 6" xfId="12550" xr:uid="{00000000-0005-0000-0000-0000F9070000}"/>
    <cellStyle name="Cálculo 3 2 3 6 2" xfId="29648" xr:uid="{00000000-0005-0000-0000-0000FA070000}"/>
    <cellStyle name="Cálculo 3 2 3 7" xfId="29643" xr:uid="{00000000-0005-0000-0000-0000FB070000}"/>
    <cellStyle name="Cálculo 3 2 3 8" xfId="32705" xr:uid="{00000000-0005-0000-0000-0000FC070000}"/>
    <cellStyle name="Cálculo 3 2 3 9" xfId="34095" xr:uid="{00000000-0005-0000-0000-0000FD070000}"/>
    <cellStyle name="Cálculo 3 2 4" xfId="12551" xr:uid="{00000000-0005-0000-0000-0000FE070000}"/>
    <cellStyle name="Cálculo 3 2 4 2" xfId="12552" xr:uid="{00000000-0005-0000-0000-0000FF070000}"/>
    <cellStyle name="Cálculo 3 2 4 2 2" xfId="29650" xr:uid="{00000000-0005-0000-0000-000000080000}"/>
    <cellStyle name="Cálculo 3 2 4 3" xfId="12553" xr:uid="{00000000-0005-0000-0000-000001080000}"/>
    <cellStyle name="Cálculo 3 2 4 3 2" xfId="29651" xr:uid="{00000000-0005-0000-0000-000002080000}"/>
    <cellStyle name="Cálculo 3 2 4 4" xfId="12554" xr:uid="{00000000-0005-0000-0000-000003080000}"/>
    <cellStyle name="Cálculo 3 2 4 4 2" xfId="29652" xr:uid="{00000000-0005-0000-0000-000004080000}"/>
    <cellStyle name="Cálculo 3 2 4 5" xfId="12555" xr:uid="{00000000-0005-0000-0000-000005080000}"/>
    <cellStyle name="Cálculo 3 2 4 5 2" xfId="29653" xr:uid="{00000000-0005-0000-0000-000006080000}"/>
    <cellStyle name="Cálculo 3 2 4 6" xfId="29649" xr:uid="{00000000-0005-0000-0000-000007080000}"/>
    <cellStyle name="Cálculo 3 2 5" xfId="12556" xr:uid="{00000000-0005-0000-0000-000008080000}"/>
    <cellStyle name="Cálculo 3 2 5 2" xfId="12557" xr:uid="{00000000-0005-0000-0000-000009080000}"/>
    <cellStyle name="Cálculo 3 2 5 2 2" xfId="29655" xr:uid="{00000000-0005-0000-0000-00000A080000}"/>
    <cellStyle name="Cálculo 3 2 5 3" xfId="12558" xr:uid="{00000000-0005-0000-0000-00000B080000}"/>
    <cellStyle name="Cálculo 3 2 5 3 2" xfId="29656" xr:uid="{00000000-0005-0000-0000-00000C080000}"/>
    <cellStyle name="Cálculo 3 2 5 4" xfId="12559" xr:uid="{00000000-0005-0000-0000-00000D080000}"/>
    <cellStyle name="Cálculo 3 2 5 4 2" xfId="29657" xr:uid="{00000000-0005-0000-0000-00000E080000}"/>
    <cellStyle name="Cálculo 3 2 5 5" xfId="12560" xr:uid="{00000000-0005-0000-0000-00000F080000}"/>
    <cellStyle name="Cálculo 3 2 5 5 2" xfId="29658" xr:uid="{00000000-0005-0000-0000-000010080000}"/>
    <cellStyle name="Cálculo 3 2 5 6" xfId="29654" xr:uid="{00000000-0005-0000-0000-000011080000}"/>
    <cellStyle name="Cálculo 3 2 6" xfId="12561" xr:uid="{00000000-0005-0000-0000-000012080000}"/>
    <cellStyle name="Cálculo 3 2 6 2" xfId="12562" xr:uid="{00000000-0005-0000-0000-000013080000}"/>
    <cellStyle name="Cálculo 3 2 6 2 2" xfId="29660" xr:uid="{00000000-0005-0000-0000-000014080000}"/>
    <cellStyle name="Cálculo 3 2 6 3" xfId="12563" xr:uid="{00000000-0005-0000-0000-000015080000}"/>
    <cellStyle name="Cálculo 3 2 6 3 2" xfId="29661" xr:uid="{00000000-0005-0000-0000-000016080000}"/>
    <cellStyle name="Cálculo 3 2 6 4" xfId="12564" xr:uid="{00000000-0005-0000-0000-000017080000}"/>
    <cellStyle name="Cálculo 3 2 6 4 2" xfId="29662" xr:uid="{00000000-0005-0000-0000-000018080000}"/>
    <cellStyle name="Cálculo 3 2 6 5" xfId="12565" xr:uid="{00000000-0005-0000-0000-000019080000}"/>
    <cellStyle name="Cálculo 3 2 6 5 2" xfId="29663" xr:uid="{00000000-0005-0000-0000-00001A080000}"/>
    <cellStyle name="Cálculo 3 2 6 6" xfId="29659" xr:uid="{00000000-0005-0000-0000-00001B080000}"/>
    <cellStyle name="Cálculo 3 2 7" xfId="12566" xr:uid="{00000000-0005-0000-0000-00001C080000}"/>
    <cellStyle name="Cálculo 3 2 7 2" xfId="12567" xr:uid="{00000000-0005-0000-0000-00001D080000}"/>
    <cellStyle name="Cálculo 3 2 7 2 2" xfId="29665" xr:uid="{00000000-0005-0000-0000-00001E080000}"/>
    <cellStyle name="Cálculo 3 2 7 3" xfId="12568" xr:uid="{00000000-0005-0000-0000-00001F080000}"/>
    <cellStyle name="Cálculo 3 2 7 3 2" xfId="29666" xr:uid="{00000000-0005-0000-0000-000020080000}"/>
    <cellStyle name="Cálculo 3 2 7 4" xfId="12569" xr:uid="{00000000-0005-0000-0000-000021080000}"/>
    <cellStyle name="Cálculo 3 2 7 4 2" xfId="29667" xr:uid="{00000000-0005-0000-0000-000022080000}"/>
    <cellStyle name="Cálculo 3 2 7 5" xfId="12570" xr:uid="{00000000-0005-0000-0000-000023080000}"/>
    <cellStyle name="Cálculo 3 2 7 5 2" xfId="29668" xr:uid="{00000000-0005-0000-0000-000024080000}"/>
    <cellStyle name="Cálculo 3 2 7 6" xfId="29664" xr:uid="{00000000-0005-0000-0000-000025080000}"/>
    <cellStyle name="Cálculo 3 2 8" xfId="12571" xr:uid="{00000000-0005-0000-0000-000026080000}"/>
    <cellStyle name="Cálculo 3 2 8 2" xfId="12572" xr:uid="{00000000-0005-0000-0000-000027080000}"/>
    <cellStyle name="Cálculo 3 2 8 2 2" xfId="29670" xr:uid="{00000000-0005-0000-0000-000028080000}"/>
    <cellStyle name="Cálculo 3 2 8 3" xfId="12573" xr:uid="{00000000-0005-0000-0000-000029080000}"/>
    <cellStyle name="Cálculo 3 2 8 3 2" xfId="29671" xr:uid="{00000000-0005-0000-0000-00002A080000}"/>
    <cellStyle name="Cálculo 3 2 8 4" xfId="12574" xr:uid="{00000000-0005-0000-0000-00002B080000}"/>
    <cellStyle name="Cálculo 3 2 8 4 2" xfId="29672" xr:uid="{00000000-0005-0000-0000-00002C080000}"/>
    <cellStyle name="Cálculo 3 2 8 5" xfId="12575" xr:uid="{00000000-0005-0000-0000-00002D080000}"/>
    <cellStyle name="Cálculo 3 2 8 5 2" xfId="29673" xr:uid="{00000000-0005-0000-0000-00002E080000}"/>
    <cellStyle name="Cálculo 3 2 8 6" xfId="12576" xr:uid="{00000000-0005-0000-0000-00002F080000}"/>
    <cellStyle name="Cálculo 3 2 8 6 2" xfId="29674" xr:uid="{00000000-0005-0000-0000-000030080000}"/>
    <cellStyle name="Cálculo 3 2 8 7" xfId="29669" xr:uid="{00000000-0005-0000-0000-000031080000}"/>
    <cellStyle name="Cálculo 3 2 9" xfId="12577" xr:uid="{00000000-0005-0000-0000-000032080000}"/>
    <cellStyle name="Cálculo 3 2 9 2" xfId="12578" xr:uid="{00000000-0005-0000-0000-000033080000}"/>
    <cellStyle name="Cálculo 3 2 9 2 2" xfId="29676" xr:uid="{00000000-0005-0000-0000-000034080000}"/>
    <cellStyle name="Cálculo 3 2 9 3" xfId="29675" xr:uid="{00000000-0005-0000-0000-000035080000}"/>
    <cellStyle name="Cálculo 3 3" xfId="11699" xr:uid="{00000000-0005-0000-0000-000036080000}"/>
    <cellStyle name="Cálculo 3 3 10" xfId="40485" xr:uid="{00000000-0005-0000-0000-000037080000}"/>
    <cellStyle name="Cálculo 3 3 2" xfId="12579" xr:uid="{00000000-0005-0000-0000-000038080000}"/>
    <cellStyle name="Cálculo 3 3 2 2" xfId="29678" xr:uid="{00000000-0005-0000-0000-000039080000}"/>
    <cellStyle name="Cálculo 3 3 3" xfId="12580" xr:uid="{00000000-0005-0000-0000-00003A080000}"/>
    <cellStyle name="Cálculo 3 3 3 2" xfId="29679" xr:uid="{00000000-0005-0000-0000-00003B080000}"/>
    <cellStyle name="Cálculo 3 3 4" xfId="12581" xr:uid="{00000000-0005-0000-0000-00003C080000}"/>
    <cellStyle name="Cálculo 3 3 4 2" xfId="29680" xr:uid="{00000000-0005-0000-0000-00003D080000}"/>
    <cellStyle name="Cálculo 3 3 5" xfId="12582" xr:uid="{00000000-0005-0000-0000-00003E080000}"/>
    <cellStyle name="Cálculo 3 3 5 2" xfId="29681" xr:uid="{00000000-0005-0000-0000-00003F080000}"/>
    <cellStyle name="Cálculo 3 3 6" xfId="12583" xr:uid="{00000000-0005-0000-0000-000040080000}"/>
    <cellStyle name="Cálculo 3 3 6 2" xfId="29682" xr:uid="{00000000-0005-0000-0000-000041080000}"/>
    <cellStyle name="Cálculo 3 3 7" xfId="29677" xr:uid="{00000000-0005-0000-0000-000042080000}"/>
    <cellStyle name="Cálculo 3 3 8" xfId="32706" xr:uid="{00000000-0005-0000-0000-000043080000}"/>
    <cellStyle name="Cálculo 3 3 9" xfId="34096" xr:uid="{00000000-0005-0000-0000-000044080000}"/>
    <cellStyle name="Cálculo 3 4" xfId="11700" xr:uid="{00000000-0005-0000-0000-000045080000}"/>
    <cellStyle name="Cálculo 3 4 10" xfId="40486" xr:uid="{00000000-0005-0000-0000-000046080000}"/>
    <cellStyle name="Cálculo 3 4 2" xfId="12584" xr:uid="{00000000-0005-0000-0000-000047080000}"/>
    <cellStyle name="Cálculo 3 4 2 2" xfId="29684" xr:uid="{00000000-0005-0000-0000-000048080000}"/>
    <cellStyle name="Cálculo 3 4 3" xfId="12585" xr:uid="{00000000-0005-0000-0000-000049080000}"/>
    <cellStyle name="Cálculo 3 4 3 2" xfId="29685" xr:uid="{00000000-0005-0000-0000-00004A080000}"/>
    <cellStyle name="Cálculo 3 4 4" xfId="12586" xr:uid="{00000000-0005-0000-0000-00004B080000}"/>
    <cellStyle name="Cálculo 3 4 4 2" xfId="29686" xr:uid="{00000000-0005-0000-0000-00004C080000}"/>
    <cellStyle name="Cálculo 3 4 5" xfId="12587" xr:uid="{00000000-0005-0000-0000-00004D080000}"/>
    <cellStyle name="Cálculo 3 4 5 2" xfId="29687" xr:uid="{00000000-0005-0000-0000-00004E080000}"/>
    <cellStyle name="Cálculo 3 4 6" xfId="12588" xr:uid="{00000000-0005-0000-0000-00004F080000}"/>
    <cellStyle name="Cálculo 3 4 6 2" xfId="29688" xr:uid="{00000000-0005-0000-0000-000050080000}"/>
    <cellStyle name="Cálculo 3 4 7" xfId="29683" xr:uid="{00000000-0005-0000-0000-000051080000}"/>
    <cellStyle name="Cálculo 3 4 8" xfId="32707" xr:uid="{00000000-0005-0000-0000-000052080000}"/>
    <cellStyle name="Cálculo 3 4 9" xfId="34097" xr:uid="{00000000-0005-0000-0000-000053080000}"/>
    <cellStyle name="Cálculo 3 5" xfId="12589" xr:uid="{00000000-0005-0000-0000-000054080000}"/>
    <cellStyle name="Cálculo 3 5 2" xfId="12590" xr:uid="{00000000-0005-0000-0000-000055080000}"/>
    <cellStyle name="Cálculo 3 5 2 2" xfId="29690" xr:uid="{00000000-0005-0000-0000-000056080000}"/>
    <cellStyle name="Cálculo 3 5 3" xfId="12591" xr:uid="{00000000-0005-0000-0000-000057080000}"/>
    <cellStyle name="Cálculo 3 5 3 2" xfId="29691" xr:uid="{00000000-0005-0000-0000-000058080000}"/>
    <cellStyle name="Cálculo 3 5 4" xfId="12592" xr:uid="{00000000-0005-0000-0000-000059080000}"/>
    <cellStyle name="Cálculo 3 5 4 2" xfId="29692" xr:uid="{00000000-0005-0000-0000-00005A080000}"/>
    <cellStyle name="Cálculo 3 5 5" xfId="12593" xr:uid="{00000000-0005-0000-0000-00005B080000}"/>
    <cellStyle name="Cálculo 3 5 5 2" xfId="29693" xr:uid="{00000000-0005-0000-0000-00005C080000}"/>
    <cellStyle name="Cálculo 3 5 6" xfId="29689" xr:uid="{00000000-0005-0000-0000-00005D080000}"/>
    <cellStyle name="Cálculo 3 6" xfId="12594" xr:uid="{00000000-0005-0000-0000-00005E080000}"/>
    <cellStyle name="Cálculo 3 6 2" xfId="12595" xr:uid="{00000000-0005-0000-0000-00005F080000}"/>
    <cellStyle name="Cálculo 3 6 2 2" xfId="29695" xr:uid="{00000000-0005-0000-0000-000060080000}"/>
    <cellStyle name="Cálculo 3 6 3" xfId="12596" xr:uid="{00000000-0005-0000-0000-000061080000}"/>
    <cellStyle name="Cálculo 3 6 3 2" xfId="29696" xr:uid="{00000000-0005-0000-0000-000062080000}"/>
    <cellStyle name="Cálculo 3 6 4" xfId="12597" xr:uid="{00000000-0005-0000-0000-000063080000}"/>
    <cellStyle name="Cálculo 3 6 4 2" xfId="29697" xr:uid="{00000000-0005-0000-0000-000064080000}"/>
    <cellStyle name="Cálculo 3 6 5" xfId="12598" xr:uid="{00000000-0005-0000-0000-000065080000}"/>
    <cellStyle name="Cálculo 3 6 5 2" xfId="29698" xr:uid="{00000000-0005-0000-0000-000066080000}"/>
    <cellStyle name="Cálculo 3 6 6" xfId="29694" xr:uid="{00000000-0005-0000-0000-000067080000}"/>
    <cellStyle name="Cálculo 3 7" xfId="12599" xr:uid="{00000000-0005-0000-0000-000068080000}"/>
    <cellStyle name="Cálculo 3 7 2" xfId="12600" xr:uid="{00000000-0005-0000-0000-000069080000}"/>
    <cellStyle name="Cálculo 3 7 2 2" xfId="29700" xr:uid="{00000000-0005-0000-0000-00006A080000}"/>
    <cellStyle name="Cálculo 3 7 3" xfId="12601" xr:uid="{00000000-0005-0000-0000-00006B080000}"/>
    <cellStyle name="Cálculo 3 7 3 2" xfId="29701" xr:uid="{00000000-0005-0000-0000-00006C080000}"/>
    <cellStyle name="Cálculo 3 7 4" xfId="12602" xr:uid="{00000000-0005-0000-0000-00006D080000}"/>
    <cellStyle name="Cálculo 3 7 4 2" xfId="29702" xr:uid="{00000000-0005-0000-0000-00006E080000}"/>
    <cellStyle name="Cálculo 3 7 5" xfId="12603" xr:uid="{00000000-0005-0000-0000-00006F080000}"/>
    <cellStyle name="Cálculo 3 7 5 2" xfId="29703" xr:uid="{00000000-0005-0000-0000-000070080000}"/>
    <cellStyle name="Cálculo 3 7 6" xfId="29699" xr:uid="{00000000-0005-0000-0000-000071080000}"/>
    <cellStyle name="Cálculo 3 8" xfId="12604" xr:uid="{00000000-0005-0000-0000-000072080000}"/>
    <cellStyle name="Cálculo 3 8 2" xfId="12605" xr:uid="{00000000-0005-0000-0000-000073080000}"/>
    <cellStyle name="Cálculo 3 8 2 2" xfId="29705" xr:uid="{00000000-0005-0000-0000-000074080000}"/>
    <cellStyle name="Cálculo 3 8 3" xfId="12606" xr:uid="{00000000-0005-0000-0000-000075080000}"/>
    <cellStyle name="Cálculo 3 8 3 2" xfId="29706" xr:uid="{00000000-0005-0000-0000-000076080000}"/>
    <cellStyle name="Cálculo 3 8 4" xfId="12607" xr:uid="{00000000-0005-0000-0000-000077080000}"/>
    <cellStyle name="Cálculo 3 8 4 2" xfId="29707" xr:uid="{00000000-0005-0000-0000-000078080000}"/>
    <cellStyle name="Cálculo 3 8 5" xfId="12608" xr:uid="{00000000-0005-0000-0000-000079080000}"/>
    <cellStyle name="Cálculo 3 8 5 2" xfId="29708" xr:uid="{00000000-0005-0000-0000-00007A080000}"/>
    <cellStyle name="Cálculo 3 8 6" xfId="29704" xr:uid="{00000000-0005-0000-0000-00007B080000}"/>
    <cellStyle name="Cálculo 3 9" xfId="12609" xr:uid="{00000000-0005-0000-0000-00007C080000}"/>
    <cellStyle name="Cálculo 3 9 2" xfId="12610" xr:uid="{00000000-0005-0000-0000-00007D080000}"/>
    <cellStyle name="Cálculo 3 9 2 2" xfId="29710" xr:uid="{00000000-0005-0000-0000-00007E080000}"/>
    <cellStyle name="Cálculo 3 9 3" xfId="12611" xr:uid="{00000000-0005-0000-0000-00007F080000}"/>
    <cellStyle name="Cálculo 3 9 3 2" xfId="29711" xr:uid="{00000000-0005-0000-0000-000080080000}"/>
    <cellStyle name="Cálculo 3 9 4" xfId="12612" xr:uid="{00000000-0005-0000-0000-000081080000}"/>
    <cellStyle name="Cálculo 3 9 4 2" xfId="29712" xr:uid="{00000000-0005-0000-0000-000082080000}"/>
    <cellStyle name="Cálculo 3 9 5" xfId="12613" xr:uid="{00000000-0005-0000-0000-000083080000}"/>
    <cellStyle name="Cálculo 3 9 5 2" xfId="29713" xr:uid="{00000000-0005-0000-0000-000084080000}"/>
    <cellStyle name="Cálculo 3 9 6" xfId="12614" xr:uid="{00000000-0005-0000-0000-000085080000}"/>
    <cellStyle name="Cálculo 3 9 6 2" xfId="29714" xr:uid="{00000000-0005-0000-0000-000086080000}"/>
    <cellStyle name="Cálculo 3 9 7" xfId="29709" xr:uid="{00000000-0005-0000-0000-000087080000}"/>
    <cellStyle name="Cálculo 30" xfId="981" xr:uid="{00000000-0005-0000-0000-000088080000}"/>
    <cellStyle name="Cálculo 30 2" xfId="11534" xr:uid="{00000000-0005-0000-0000-000089080000}"/>
    <cellStyle name="Cálculo 30 2 2" xfId="11701" xr:uid="{00000000-0005-0000-0000-00008A080000}"/>
    <cellStyle name="Cálculo 30 2 2 2" xfId="29717" xr:uid="{00000000-0005-0000-0000-00008B080000}"/>
    <cellStyle name="Cálculo 30 2 2 3" xfId="32710" xr:uid="{00000000-0005-0000-0000-00008C080000}"/>
    <cellStyle name="Cálculo 30 2 2 4" xfId="34100" xr:uid="{00000000-0005-0000-0000-00008D080000}"/>
    <cellStyle name="Cálculo 30 2 2 5" xfId="40489" xr:uid="{00000000-0005-0000-0000-00008E080000}"/>
    <cellStyle name="Cálculo 30 2 3" xfId="11702" xr:uid="{00000000-0005-0000-0000-00008F080000}"/>
    <cellStyle name="Cálculo 30 2 3 2" xfId="29718" xr:uid="{00000000-0005-0000-0000-000090080000}"/>
    <cellStyle name="Cálculo 30 2 3 3" xfId="32711" xr:uid="{00000000-0005-0000-0000-000091080000}"/>
    <cellStyle name="Cálculo 30 2 3 4" xfId="34101" xr:uid="{00000000-0005-0000-0000-000092080000}"/>
    <cellStyle name="Cálculo 30 2 3 5" xfId="40490" xr:uid="{00000000-0005-0000-0000-000093080000}"/>
    <cellStyle name="Cálculo 30 2 4" xfId="29716" xr:uid="{00000000-0005-0000-0000-000094080000}"/>
    <cellStyle name="Cálculo 30 2 5" xfId="32709" xr:uid="{00000000-0005-0000-0000-000095080000}"/>
    <cellStyle name="Cálculo 30 2 6" xfId="34099" xr:uid="{00000000-0005-0000-0000-000096080000}"/>
    <cellStyle name="Cálculo 30 2 7" xfId="40488" xr:uid="{00000000-0005-0000-0000-000097080000}"/>
    <cellStyle name="Cálculo 30 3" xfId="11703" xr:uid="{00000000-0005-0000-0000-000098080000}"/>
    <cellStyle name="Cálculo 30 3 2" xfId="29719" xr:uid="{00000000-0005-0000-0000-000099080000}"/>
    <cellStyle name="Cálculo 30 3 3" xfId="32712" xr:uid="{00000000-0005-0000-0000-00009A080000}"/>
    <cellStyle name="Cálculo 30 3 4" xfId="34102" xr:uid="{00000000-0005-0000-0000-00009B080000}"/>
    <cellStyle name="Cálculo 30 3 5" xfId="40491" xr:uid="{00000000-0005-0000-0000-00009C080000}"/>
    <cellStyle name="Cálculo 30 4" xfId="11704" xr:uid="{00000000-0005-0000-0000-00009D080000}"/>
    <cellStyle name="Cálculo 30 4 2" xfId="29720" xr:uid="{00000000-0005-0000-0000-00009E080000}"/>
    <cellStyle name="Cálculo 30 4 3" xfId="32713" xr:uid="{00000000-0005-0000-0000-00009F080000}"/>
    <cellStyle name="Cálculo 30 4 4" xfId="34103" xr:uid="{00000000-0005-0000-0000-0000A0080000}"/>
    <cellStyle name="Cálculo 30 4 5" xfId="40492" xr:uid="{00000000-0005-0000-0000-0000A1080000}"/>
    <cellStyle name="Cálculo 30 5" xfId="29715" xr:uid="{00000000-0005-0000-0000-0000A2080000}"/>
    <cellStyle name="Cálculo 30 6" xfId="32708" xr:uid="{00000000-0005-0000-0000-0000A3080000}"/>
    <cellStyle name="Cálculo 30 7" xfId="34098" xr:uid="{00000000-0005-0000-0000-0000A4080000}"/>
    <cellStyle name="Cálculo 30 8" xfId="40487" xr:uid="{00000000-0005-0000-0000-0000A5080000}"/>
    <cellStyle name="Cálculo 31" xfId="982" xr:uid="{00000000-0005-0000-0000-0000A6080000}"/>
    <cellStyle name="Cálculo 31 2" xfId="11535" xr:uid="{00000000-0005-0000-0000-0000A7080000}"/>
    <cellStyle name="Cálculo 31 2 2" xfId="11705" xr:uid="{00000000-0005-0000-0000-0000A8080000}"/>
    <cellStyle name="Cálculo 31 2 2 2" xfId="29723" xr:uid="{00000000-0005-0000-0000-0000A9080000}"/>
    <cellStyle name="Cálculo 31 2 2 3" xfId="32716" xr:uid="{00000000-0005-0000-0000-0000AA080000}"/>
    <cellStyle name="Cálculo 31 2 2 4" xfId="34106" xr:uid="{00000000-0005-0000-0000-0000AB080000}"/>
    <cellStyle name="Cálculo 31 2 2 5" xfId="40495" xr:uid="{00000000-0005-0000-0000-0000AC080000}"/>
    <cellStyle name="Cálculo 31 2 3" xfId="11706" xr:uid="{00000000-0005-0000-0000-0000AD080000}"/>
    <cellStyle name="Cálculo 31 2 3 2" xfId="29724" xr:uid="{00000000-0005-0000-0000-0000AE080000}"/>
    <cellStyle name="Cálculo 31 2 3 3" xfId="32717" xr:uid="{00000000-0005-0000-0000-0000AF080000}"/>
    <cellStyle name="Cálculo 31 2 3 4" xfId="34107" xr:uid="{00000000-0005-0000-0000-0000B0080000}"/>
    <cellStyle name="Cálculo 31 2 3 5" xfId="40496" xr:uid="{00000000-0005-0000-0000-0000B1080000}"/>
    <cellStyle name="Cálculo 31 2 4" xfId="29722" xr:uid="{00000000-0005-0000-0000-0000B2080000}"/>
    <cellStyle name="Cálculo 31 2 5" xfId="32715" xr:uid="{00000000-0005-0000-0000-0000B3080000}"/>
    <cellStyle name="Cálculo 31 2 6" xfId="34105" xr:uid="{00000000-0005-0000-0000-0000B4080000}"/>
    <cellStyle name="Cálculo 31 2 7" xfId="40494" xr:uid="{00000000-0005-0000-0000-0000B5080000}"/>
    <cellStyle name="Cálculo 31 3" xfId="11707" xr:uid="{00000000-0005-0000-0000-0000B6080000}"/>
    <cellStyle name="Cálculo 31 3 2" xfId="29725" xr:uid="{00000000-0005-0000-0000-0000B7080000}"/>
    <cellStyle name="Cálculo 31 3 3" xfId="32718" xr:uid="{00000000-0005-0000-0000-0000B8080000}"/>
    <cellStyle name="Cálculo 31 3 4" xfId="34108" xr:uid="{00000000-0005-0000-0000-0000B9080000}"/>
    <cellStyle name="Cálculo 31 3 5" xfId="40497" xr:uid="{00000000-0005-0000-0000-0000BA080000}"/>
    <cellStyle name="Cálculo 31 4" xfId="11708" xr:uid="{00000000-0005-0000-0000-0000BB080000}"/>
    <cellStyle name="Cálculo 31 4 2" xfId="29726" xr:uid="{00000000-0005-0000-0000-0000BC080000}"/>
    <cellStyle name="Cálculo 31 4 3" xfId="32719" xr:uid="{00000000-0005-0000-0000-0000BD080000}"/>
    <cellStyle name="Cálculo 31 4 4" xfId="34109" xr:uid="{00000000-0005-0000-0000-0000BE080000}"/>
    <cellStyle name="Cálculo 31 4 5" xfId="40498" xr:uid="{00000000-0005-0000-0000-0000BF080000}"/>
    <cellStyle name="Cálculo 31 5" xfId="29721" xr:uid="{00000000-0005-0000-0000-0000C0080000}"/>
    <cellStyle name="Cálculo 31 6" xfId="32714" xr:uid="{00000000-0005-0000-0000-0000C1080000}"/>
    <cellStyle name="Cálculo 31 7" xfId="34104" xr:uid="{00000000-0005-0000-0000-0000C2080000}"/>
    <cellStyle name="Cálculo 31 8" xfId="40493" xr:uid="{00000000-0005-0000-0000-0000C3080000}"/>
    <cellStyle name="Cálculo 32" xfId="983" xr:uid="{00000000-0005-0000-0000-0000C4080000}"/>
    <cellStyle name="Cálculo 32 2" xfId="11536" xr:uid="{00000000-0005-0000-0000-0000C5080000}"/>
    <cellStyle name="Cálculo 32 2 2" xfId="11709" xr:uid="{00000000-0005-0000-0000-0000C6080000}"/>
    <cellStyle name="Cálculo 32 2 2 2" xfId="29729" xr:uid="{00000000-0005-0000-0000-0000C7080000}"/>
    <cellStyle name="Cálculo 32 2 2 3" xfId="32722" xr:uid="{00000000-0005-0000-0000-0000C8080000}"/>
    <cellStyle name="Cálculo 32 2 2 4" xfId="34112" xr:uid="{00000000-0005-0000-0000-0000C9080000}"/>
    <cellStyle name="Cálculo 32 2 2 5" xfId="40501" xr:uid="{00000000-0005-0000-0000-0000CA080000}"/>
    <cellStyle name="Cálculo 32 2 3" xfId="11710" xr:uid="{00000000-0005-0000-0000-0000CB080000}"/>
    <cellStyle name="Cálculo 32 2 3 2" xfId="29730" xr:uid="{00000000-0005-0000-0000-0000CC080000}"/>
    <cellStyle name="Cálculo 32 2 3 3" xfId="32723" xr:uid="{00000000-0005-0000-0000-0000CD080000}"/>
    <cellStyle name="Cálculo 32 2 3 4" xfId="34113" xr:uid="{00000000-0005-0000-0000-0000CE080000}"/>
    <cellStyle name="Cálculo 32 2 3 5" xfId="40502" xr:uid="{00000000-0005-0000-0000-0000CF080000}"/>
    <cellStyle name="Cálculo 32 2 4" xfId="29728" xr:uid="{00000000-0005-0000-0000-0000D0080000}"/>
    <cellStyle name="Cálculo 32 2 5" xfId="32721" xr:uid="{00000000-0005-0000-0000-0000D1080000}"/>
    <cellStyle name="Cálculo 32 2 6" xfId="34111" xr:uid="{00000000-0005-0000-0000-0000D2080000}"/>
    <cellStyle name="Cálculo 32 2 7" xfId="40500" xr:uid="{00000000-0005-0000-0000-0000D3080000}"/>
    <cellStyle name="Cálculo 32 3" xfId="11711" xr:uid="{00000000-0005-0000-0000-0000D4080000}"/>
    <cellStyle name="Cálculo 32 3 2" xfId="29731" xr:uid="{00000000-0005-0000-0000-0000D5080000}"/>
    <cellStyle name="Cálculo 32 3 3" xfId="32724" xr:uid="{00000000-0005-0000-0000-0000D6080000}"/>
    <cellStyle name="Cálculo 32 3 4" xfId="34114" xr:uid="{00000000-0005-0000-0000-0000D7080000}"/>
    <cellStyle name="Cálculo 32 3 5" xfId="40503" xr:uid="{00000000-0005-0000-0000-0000D8080000}"/>
    <cellStyle name="Cálculo 32 4" xfId="11712" xr:uid="{00000000-0005-0000-0000-0000D9080000}"/>
    <cellStyle name="Cálculo 32 4 2" xfId="29732" xr:uid="{00000000-0005-0000-0000-0000DA080000}"/>
    <cellStyle name="Cálculo 32 4 3" xfId="32725" xr:uid="{00000000-0005-0000-0000-0000DB080000}"/>
    <cellStyle name="Cálculo 32 4 4" xfId="34115" xr:uid="{00000000-0005-0000-0000-0000DC080000}"/>
    <cellStyle name="Cálculo 32 4 5" xfId="40504" xr:uid="{00000000-0005-0000-0000-0000DD080000}"/>
    <cellStyle name="Cálculo 32 5" xfId="29727" xr:uid="{00000000-0005-0000-0000-0000DE080000}"/>
    <cellStyle name="Cálculo 32 6" xfId="32720" xr:uid="{00000000-0005-0000-0000-0000DF080000}"/>
    <cellStyle name="Cálculo 32 7" xfId="34110" xr:uid="{00000000-0005-0000-0000-0000E0080000}"/>
    <cellStyle name="Cálculo 32 8" xfId="40499" xr:uid="{00000000-0005-0000-0000-0000E1080000}"/>
    <cellStyle name="Cálculo 33" xfId="984" xr:uid="{00000000-0005-0000-0000-0000E2080000}"/>
    <cellStyle name="Cálculo 33 2" xfId="11537" xr:uid="{00000000-0005-0000-0000-0000E3080000}"/>
    <cellStyle name="Cálculo 33 2 2" xfId="11713" xr:uid="{00000000-0005-0000-0000-0000E4080000}"/>
    <cellStyle name="Cálculo 33 2 2 2" xfId="29735" xr:uid="{00000000-0005-0000-0000-0000E5080000}"/>
    <cellStyle name="Cálculo 33 2 2 3" xfId="32728" xr:uid="{00000000-0005-0000-0000-0000E6080000}"/>
    <cellStyle name="Cálculo 33 2 2 4" xfId="34118" xr:uid="{00000000-0005-0000-0000-0000E7080000}"/>
    <cellStyle name="Cálculo 33 2 2 5" xfId="40507" xr:uid="{00000000-0005-0000-0000-0000E8080000}"/>
    <cellStyle name="Cálculo 33 2 3" xfId="11714" xr:uid="{00000000-0005-0000-0000-0000E9080000}"/>
    <cellStyle name="Cálculo 33 2 3 2" xfId="29736" xr:uid="{00000000-0005-0000-0000-0000EA080000}"/>
    <cellStyle name="Cálculo 33 2 3 3" xfId="32729" xr:uid="{00000000-0005-0000-0000-0000EB080000}"/>
    <cellStyle name="Cálculo 33 2 3 4" xfId="34119" xr:uid="{00000000-0005-0000-0000-0000EC080000}"/>
    <cellStyle name="Cálculo 33 2 3 5" xfId="40508" xr:uid="{00000000-0005-0000-0000-0000ED080000}"/>
    <cellStyle name="Cálculo 33 2 4" xfId="29734" xr:uid="{00000000-0005-0000-0000-0000EE080000}"/>
    <cellStyle name="Cálculo 33 2 5" xfId="32727" xr:uid="{00000000-0005-0000-0000-0000EF080000}"/>
    <cellStyle name="Cálculo 33 2 6" xfId="34117" xr:uid="{00000000-0005-0000-0000-0000F0080000}"/>
    <cellStyle name="Cálculo 33 2 7" xfId="40506" xr:uid="{00000000-0005-0000-0000-0000F1080000}"/>
    <cellStyle name="Cálculo 33 3" xfId="11715" xr:uid="{00000000-0005-0000-0000-0000F2080000}"/>
    <cellStyle name="Cálculo 33 3 2" xfId="29737" xr:uid="{00000000-0005-0000-0000-0000F3080000}"/>
    <cellStyle name="Cálculo 33 3 3" xfId="32730" xr:uid="{00000000-0005-0000-0000-0000F4080000}"/>
    <cellStyle name="Cálculo 33 3 4" xfId="34120" xr:uid="{00000000-0005-0000-0000-0000F5080000}"/>
    <cellStyle name="Cálculo 33 3 5" xfId="40509" xr:uid="{00000000-0005-0000-0000-0000F6080000}"/>
    <cellStyle name="Cálculo 33 4" xfId="11716" xr:uid="{00000000-0005-0000-0000-0000F7080000}"/>
    <cellStyle name="Cálculo 33 4 2" xfId="29738" xr:uid="{00000000-0005-0000-0000-0000F8080000}"/>
    <cellStyle name="Cálculo 33 4 3" xfId="32731" xr:uid="{00000000-0005-0000-0000-0000F9080000}"/>
    <cellStyle name="Cálculo 33 4 4" xfId="34121" xr:uid="{00000000-0005-0000-0000-0000FA080000}"/>
    <cellStyle name="Cálculo 33 4 5" xfId="40510" xr:uid="{00000000-0005-0000-0000-0000FB080000}"/>
    <cellStyle name="Cálculo 33 5" xfId="29733" xr:uid="{00000000-0005-0000-0000-0000FC080000}"/>
    <cellStyle name="Cálculo 33 6" xfId="32726" xr:uid="{00000000-0005-0000-0000-0000FD080000}"/>
    <cellStyle name="Cálculo 33 7" xfId="34116" xr:uid="{00000000-0005-0000-0000-0000FE080000}"/>
    <cellStyle name="Cálculo 33 8" xfId="40505" xr:uid="{00000000-0005-0000-0000-0000FF080000}"/>
    <cellStyle name="Cálculo 34" xfId="985" xr:uid="{00000000-0005-0000-0000-000000090000}"/>
    <cellStyle name="Cálculo 34 2" xfId="11538" xr:uid="{00000000-0005-0000-0000-000001090000}"/>
    <cellStyle name="Cálculo 34 2 2" xfId="11717" xr:uid="{00000000-0005-0000-0000-000002090000}"/>
    <cellStyle name="Cálculo 34 2 2 2" xfId="29741" xr:uid="{00000000-0005-0000-0000-000003090000}"/>
    <cellStyle name="Cálculo 34 2 2 3" xfId="32734" xr:uid="{00000000-0005-0000-0000-000004090000}"/>
    <cellStyle name="Cálculo 34 2 2 4" xfId="34124" xr:uid="{00000000-0005-0000-0000-000005090000}"/>
    <cellStyle name="Cálculo 34 2 2 5" xfId="40513" xr:uid="{00000000-0005-0000-0000-000006090000}"/>
    <cellStyle name="Cálculo 34 2 3" xfId="11718" xr:uid="{00000000-0005-0000-0000-000007090000}"/>
    <cellStyle name="Cálculo 34 2 3 2" xfId="29742" xr:uid="{00000000-0005-0000-0000-000008090000}"/>
    <cellStyle name="Cálculo 34 2 3 3" xfId="32735" xr:uid="{00000000-0005-0000-0000-000009090000}"/>
    <cellStyle name="Cálculo 34 2 3 4" xfId="34125" xr:uid="{00000000-0005-0000-0000-00000A090000}"/>
    <cellStyle name="Cálculo 34 2 3 5" xfId="40514" xr:uid="{00000000-0005-0000-0000-00000B090000}"/>
    <cellStyle name="Cálculo 34 2 4" xfId="29740" xr:uid="{00000000-0005-0000-0000-00000C090000}"/>
    <cellStyle name="Cálculo 34 2 5" xfId="32733" xr:uid="{00000000-0005-0000-0000-00000D090000}"/>
    <cellStyle name="Cálculo 34 2 6" xfId="34123" xr:uid="{00000000-0005-0000-0000-00000E090000}"/>
    <cellStyle name="Cálculo 34 2 7" xfId="40512" xr:uid="{00000000-0005-0000-0000-00000F090000}"/>
    <cellStyle name="Cálculo 34 3" xfId="11719" xr:uid="{00000000-0005-0000-0000-000010090000}"/>
    <cellStyle name="Cálculo 34 3 2" xfId="29743" xr:uid="{00000000-0005-0000-0000-000011090000}"/>
    <cellStyle name="Cálculo 34 3 3" xfId="32736" xr:uid="{00000000-0005-0000-0000-000012090000}"/>
    <cellStyle name="Cálculo 34 3 4" xfId="34126" xr:uid="{00000000-0005-0000-0000-000013090000}"/>
    <cellStyle name="Cálculo 34 3 5" xfId="40515" xr:uid="{00000000-0005-0000-0000-000014090000}"/>
    <cellStyle name="Cálculo 34 4" xfId="11720" xr:uid="{00000000-0005-0000-0000-000015090000}"/>
    <cellStyle name="Cálculo 34 4 2" xfId="29744" xr:uid="{00000000-0005-0000-0000-000016090000}"/>
    <cellStyle name="Cálculo 34 4 3" xfId="32737" xr:uid="{00000000-0005-0000-0000-000017090000}"/>
    <cellStyle name="Cálculo 34 4 4" xfId="34127" xr:uid="{00000000-0005-0000-0000-000018090000}"/>
    <cellStyle name="Cálculo 34 4 5" xfId="40516" xr:uid="{00000000-0005-0000-0000-000019090000}"/>
    <cellStyle name="Cálculo 34 5" xfId="29739" xr:uid="{00000000-0005-0000-0000-00001A090000}"/>
    <cellStyle name="Cálculo 34 6" xfId="32732" xr:uid="{00000000-0005-0000-0000-00001B090000}"/>
    <cellStyle name="Cálculo 34 7" xfId="34122" xr:uid="{00000000-0005-0000-0000-00001C090000}"/>
    <cellStyle name="Cálculo 34 8" xfId="40511" xr:uid="{00000000-0005-0000-0000-00001D090000}"/>
    <cellStyle name="Cálculo 35" xfId="986" xr:uid="{00000000-0005-0000-0000-00001E090000}"/>
    <cellStyle name="Cálculo 35 2" xfId="11539" xr:uid="{00000000-0005-0000-0000-00001F090000}"/>
    <cellStyle name="Cálculo 35 2 2" xfId="11721" xr:uid="{00000000-0005-0000-0000-000020090000}"/>
    <cellStyle name="Cálculo 35 2 2 2" xfId="29747" xr:uid="{00000000-0005-0000-0000-000021090000}"/>
    <cellStyle name="Cálculo 35 2 2 3" xfId="32740" xr:uid="{00000000-0005-0000-0000-000022090000}"/>
    <cellStyle name="Cálculo 35 2 2 4" xfId="34130" xr:uid="{00000000-0005-0000-0000-000023090000}"/>
    <cellStyle name="Cálculo 35 2 2 5" xfId="40519" xr:uid="{00000000-0005-0000-0000-000024090000}"/>
    <cellStyle name="Cálculo 35 2 3" xfId="11722" xr:uid="{00000000-0005-0000-0000-000025090000}"/>
    <cellStyle name="Cálculo 35 2 3 2" xfId="29748" xr:uid="{00000000-0005-0000-0000-000026090000}"/>
    <cellStyle name="Cálculo 35 2 3 3" xfId="32741" xr:uid="{00000000-0005-0000-0000-000027090000}"/>
    <cellStyle name="Cálculo 35 2 3 4" xfId="34131" xr:uid="{00000000-0005-0000-0000-000028090000}"/>
    <cellStyle name="Cálculo 35 2 3 5" xfId="40520" xr:uid="{00000000-0005-0000-0000-000029090000}"/>
    <cellStyle name="Cálculo 35 2 4" xfId="29746" xr:uid="{00000000-0005-0000-0000-00002A090000}"/>
    <cellStyle name="Cálculo 35 2 5" xfId="32739" xr:uid="{00000000-0005-0000-0000-00002B090000}"/>
    <cellStyle name="Cálculo 35 2 6" xfId="34129" xr:uid="{00000000-0005-0000-0000-00002C090000}"/>
    <cellStyle name="Cálculo 35 2 7" xfId="40518" xr:uid="{00000000-0005-0000-0000-00002D090000}"/>
    <cellStyle name="Cálculo 35 3" xfId="11723" xr:uid="{00000000-0005-0000-0000-00002E090000}"/>
    <cellStyle name="Cálculo 35 3 2" xfId="29749" xr:uid="{00000000-0005-0000-0000-00002F090000}"/>
    <cellStyle name="Cálculo 35 3 3" xfId="32742" xr:uid="{00000000-0005-0000-0000-000030090000}"/>
    <cellStyle name="Cálculo 35 3 4" xfId="34132" xr:uid="{00000000-0005-0000-0000-000031090000}"/>
    <cellStyle name="Cálculo 35 3 5" xfId="40521" xr:uid="{00000000-0005-0000-0000-000032090000}"/>
    <cellStyle name="Cálculo 35 4" xfId="11724" xr:uid="{00000000-0005-0000-0000-000033090000}"/>
    <cellStyle name="Cálculo 35 4 2" xfId="29750" xr:uid="{00000000-0005-0000-0000-000034090000}"/>
    <cellStyle name="Cálculo 35 4 3" xfId="32743" xr:uid="{00000000-0005-0000-0000-000035090000}"/>
    <cellStyle name="Cálculo 35 4 4" xfId="34133" xr:uid="{00000000-0005-0000-0000-000036090000}"/>
    <cellStyle name="Cálculo 35 4 5" xfId="40522" xr:uid="{00000000-0005-0000-0000-000037090000}"/>
    <cellStyle name="Cálculo 35 5" xfId="29745" xr:uid="{00000000-0005-0000-0000-000038090000}"/>
    <cellStyle name="Cálculo 35 6" xfId="32738" xr:uid="{00000000-0005-0000-0000-000039090000}"/>
    <cellStyle name="Cálculo 35 7" xfId="34128" xr:uid="{00000000-0005-0000-0000-00003A090000}"/>
    <cellStyle name="Cálculo 35 8" xfId="40517" xr:uid="{00000000-0005-0000-0000-00003B090000}"/>
    <cellStyle name="Cálculo 36" xfId="987" xr:uid="{00000000-0005-0000-0000-00003C090000}"/>
    <cellStyle name="Cálculo 36 2" xfId="11540" xr:uid="{00000000-0005-0000-0000-00003D090000}"/>
    <cellStyle name="Cálculo 36 2 2" xfId="11725" xr:uid="{00000000-0005-0000-0000-00003E090000}"/>
    <cellStyle name="Cálculo 36 2 2 2" xfId="29753" xr:uid="{00000000-0005-0000-0000-00003F090000}"/>
    <cellStyle name="Cálculo 36 2 2 3" xfId="32746" xr:uid="{00000000-0005-0000-0000-000040090000}"/>
    <cellStyle name="Cálculo 36 2 2 4" xfId="34136" xr:uid="{00000000-0005-0000-0000-000041090000}"/>
    <cellStyle name="Cálculo 36 2 2 5" xfId="40525" xr:uid="{00000000-0005-0000-0000-000042090000}"/>
    <cellStyle name="Cálculo 36 2 3" xfId="11726" xr:uid="{00000000-0005-0000-0000-000043090000}"/>
    <cellStyle name="Cálculo 36 2 3 2" xfId="29754" xr:uid="{00000000-0005-0000-0000-000044090000}"/>
    <cellStyle name="Cálculo 36 2 3 3" xfId="32747" xr:uid="{00000000-0005-0000-0000-000045090000}"/>
    <cellStyle name="Cálculo 36 2 3 4" xfId="34137" xr:uid="{00000000-0005-0000-0000-000046090000}"/>
    <cellStyle name="Cálculo 36 2 3 5" xfId="40526" xr:uid="{00000000-0005-0000-0000-000047090000}"/>
    <cellStyle name="Cálculo 36 2 4" xfId="29752" xr:uid="{00000000-0005-0000-0000-000048090000}"/>
    <cellStyle name="Cálculo 36 2 5" xfId="32745" xr:uid="{00000000-0005-0000-0000-000049090000}"/>
    <cellStyle name="Cálculo 36 2 6" xfId="34135" xr:uid="{00000000-0005-0000-0000-00004A090000}"/>
    <cellStyle name="Cálculo 36 2 7" xfId="40524" xr:uid="{00000000-0005-0000-0000-00004B090000}"/>
    <cellStyle name="Cálculo 36 3" xfId="11727" xr:uid="{00000000-0005-0000-0000-00004C090000}"/>
    <cellStyle name="Cálculo 36 3 2" xfId="29755" xr:uid="{00000000-0005-0000-0000-00004D090000}"/>
    <cellStyle name="Cálculo 36 3 3" xfId="32748" xr:uid="{00000000-0005-0000-0000-00004E090000}"/>
    <cellStyle name="Cálculo 36 3 4" xfId="34138" xr:uid="{00000000-0005-0000-0000-00004F090000}"/>
    <cellStyle name="Cálculo 36 3 5" xfId="40527" xr:uid="{00000000-0005-0000-0000-000050090000}"/>
    <cellStyle name="Cálculo 36 4" xfId="11728" xr:uid="{00000000-0005-0000-0000-000051090000}"/>
    <cellStyle name="Cálculo 36 4 2" xfId="29756" xr:uid="{00000000-0005-0000-0000-000052090000}"/>
    <cellStyle name="Cálculo 36 4 3" xfId="32749" xr:uid="{00000000-0005-0000-0000-000053090000}"/>
    <cellStyle name="Cálculo 36 4 4" xfId="34139" xr:uid="{00000000-0005-0000-0000-000054090000}"/>
    <cellStyle name="Cálculo 36 4 5" xfId="40528" xr:uid="{00000000-0005-0000-0000-000055090000}"/>
    <cellStyle name="Cálculo 36 5" xfId="29751" xr:uid="{00000000-0005-0000-0000-000056090000}"/>
    <cellStyle name="Cálculo 36 6" xfId="32744" xr:uid="{00000000-0005-0000-0000-000057090000}"/>
    <cellStyle name="Cálculo 36 7" xfId="34134" xr:uid="{00000000-0005-0000-0000-000058090000}"/>
    <cellStyle name="Cálculo 36 8" xfId="40523" xr:uid="{00000000-0005-0000-0000-000059090000}"/>
    <cellStyle name="Cálculo 37" xfId="988" xr:uid="{00000000-0005-0000-0000-00005A090000}"/>
    <cellStyle name="Cálculo 37 2" xfId="11541" xr:uid="{00000000-0005-0000-0000-00005B090000}"/>
    <cellStyle name="Cálculo 37 2 2" xfId="11729" xr:uid="{00000000-0005-0000-0000-00005C090000}"/>
    <cellStyle name="Cálculo 37 2 2 2" xfId="29759" xr:uid="{00000000-0005-0000-0000-00005D090000}"/>
    <cellStyle name="Cálculo 37 2 2 3" xfId="32752" xr:uid="{00000000-0005-0000-0000-00005E090000}"/>
    <cellStyle name="Cálculo 37 2 2 4" xfId="34142" xr:uid="{00000000-0005-0000-0000-00005F090000}"/>
    <cellStyle name="Cálculo 37 2 2 5" xfId="40531" xr:uid="{00000000-0005-0000-0000-000060090000}"/>
    <cellStyle name="Cálculo 37 2 3" xfId="11730" xr:uid="{00000000-0005-0000-0000-000061090000}"/>
    <cellStyle name="Cálculo 37 2 3 2" xfId="29760" xr:uid="{00000000-0005-0000-0000-000062090000}"/>
    <cellStyle name="Cálculo 37 2 3 3" xfId="32753" xr:uid="{00000000-0005-0000-0000-000063090000}"/>
    <cellStyle name="Cálculo 37 2 3 4" xfId="34143" xr:uid="{00000000-0005-0000-0000-000064090000}"/>
    <cellStyle name="Cálculo 37 2 3 5" xfId="40532" xr:uid="{00000000-0005-0000-0000-000065090000}"/>
    <cellStyle name="Cálculo 37 2 4" xfId="29758" xr:uid="{00000000-0005-0000-0000-000066090000}"/>
    <cellStyle name="Cálculo 37 2 5" xfId="32751" xr:uid="{00000000-0005-0000-0000-000067090000}"/>
    <cellStyle name="Cálculo 37 2 6" xfId="34141" xr:uid="{00000000-0005-0000-0000-000068090000}"/>
    <cellStyle name="Cálculo 37 2 7" xfId="40530" xr:uid="{00000000-0005-0000-0000-000069090000}"/>
    <cellStyle name="Cálculo 37 3" xfId="11731" xr:uid="{00000000-0005-0000-0000-00006A090000}"/>
    <cellStyle name="Cálculo 37 3 2" xfId="29761" xr:uid="{00000000-0005-0000-0000-00006B090000}"/>
    <cellStyle name="Cálculo 37 3 3" xfId="32754" xr:uid="{00000000-0005-0000-0000-00006C090000}"/>
    <cellStyle name="Cálculo 37 3 4" xfId="34144" xr:uid="{00000000-0005-0000-0000-00006D090000}"/>
    <cellStyle name="Cálculo 37 3 5" xfId="40533" xr:uid="{00000000-0005-0000-0000-00006E090000}"/>
    <cellStyle name="Cálculo 37 4" xfId="11732" xr:uid="{00000000-0005-0000-0000-00006F090000}"/>
    <cellStyle name="Cálculo 37 4 2" xfId="29762" xr:uid="{00000000-0005-0000-0000-000070090000}"/>
    <cellStyle name="Cálculo 37 4 3" xfId="32755" xr:uid="{00000000-0005-0000-0000-000071090000}"/>
    <cellStyle name="Cálculo 37 4 4" xfId="34145" xr:uid="{00000000-0005-0000-0000-000072090000}"/>
    <cellStyle name="Cálculo 37 4 5" xfId="40534" xr:uid="{00000000-0005-0000-0000-000073090000}"/>
    <cellStyle name="Cálculo 37 5" xfId="29757" xr:uid="{00000000-0005-0000-0000-000074090000}"/>
    <cellStyle name="Cálculo 37 6" xfId="32750" xr:uid="{00000000-0005-0000-0000-000075090000}"/>
    <cellStyle name="Cálculo 37 7" xfId="34140" xr:uid="{00000000-0005-0000-0000-000076090000}"/>
    <cellStyle name="Cálculo 37 8" xfId="40529" xr:uid="{00000000-0005-0000-0000-000077090000}"/>
    <cellStyle name="Cálculo 38" xfId="989" xr:uid="{00000000-0005-0000-0000-000078090000}"/>
    <cellStyle name="Cálculo 38 2" xfId="11542" xr:uid="{00000000-0005-0000-0000-000079090000}"/>
    <cellStyle name="Cálculo 38 2 2" xfId="11733" xr:uid="{00000000-0005-0000-0000-00007A090000}"/>
    <cellStyle name="Cálculo 38 2 2 2" xfId="29765" xr:uid="{00000000-0005-0000-0000-00007B090000}"/>
    <cellStyle name="Cálculo 38 2 2 3" xfId="32758" xr:uid="{00000000-0005-0000-0000-00007C090000}"/>
    <cellStyle name="Cálculo 38 2 2 4" xfId="34148" xr:uid="{00000000-0005-0000-0000-00007D090000}"/>
    <cellStyle name="Cálculo 38 2 2 5" xfId="40537" xr:uid="{00000000-0005-0000-0000-00007E090000}"/>
    <cellStyle name="Cálculo 38 2 3" xfId="11734" xr:uid="{00000000-0005-0000-0000-00007F090000}"/>
    <cellStyle name="Cálculo 38 2 3 2" xfId="29766" xr:uid="{00000000-0005-0000-0000-000080090000}"/>
    <cellStyle name="Cálculo 38 2 3 3" xfId="32759" xr:uid="{00000000-0005-0000-0000-000081090000}"/>
    <cellStyle name="Cálculo 38 2 3 4" xfId="34149" xr:uid="{00000000-0005-0000-0000-000082090000}"/>
    <cellStyle name="Cálculo 38 2 3 5" xfId="40538" xr:uid="{00000000-0005-0000-0000-000083090000}"/>
    <cellStyle name="Cálculo 38 2 4" xfId="29764" xr:uid="{00000000-0005-0000-0000-000084090000}"/>
    <cellStyle name="Cálculo 38 2 5" xfId="32757" xr:uid="{00000000-0005-0000-0000-000085090000}"/>
    <cellStyle name="Cálculo 38 2 6" xfId="34147" xr:uid="{00000000-0005-0000-0000-000086090000}"/>
    <cellStyle name="Cálculo 38 2 7" xfId="40536" xr:uid="{00000000-0005-0000-0000-000087090000}"/>
    <cellStyle name="Cálculo 38 3" xfId="11735" xr:uid="{00000000-0005-0000-0000-000088090000}"/>
    <cellStyle name="Cálculo 38 3 2" xfId="29767" xr:uid="{00000000-0005-0000-0000-000089090000}"/>
    <cellStyle name="Cálculo 38 3 3" xfId="32760" xr:uid="{00000000-0005-0000-0000-00008A090000}"/>
    <cellStyle name="Cálculo 38 3 4" xfId="34150" xr:uid="{00000000-0005-0000-0000-00008B090000}"/>
    <cellStyle name="Cálculo 38 3 5" xfId="40539" xr:uid="{00000000-0005-0000-0000-00008C090000}"/>
    <cellStyle name="Cálculo 38 4" xfId="11736" xr:uid="{00000000-0005-0000-0000-00008D090000}"/>
    <cellStyle name="Cálculo 38 4 2" xfId="29768" xr:uid="{00000000-0005-0000-0000-00008E090000}"/>
    <cellStyle name="Cálculo 38 4 3" xfId="32761" xr:uid="{00000000-0005-0000-0000-00008F090000}"/>
    <cellStyle name="Cálculo 38 4 4" xfId="34151" xr:uid="{00000000-0005-0000-0000-000090090000}"/>
    <cellStyle name="Cálculo 38 4 5" xfId="40540" xr:uid="{00000000-0005-0000-0000-000091090000}"/>
    <cellStyle name="Cálculo 38 5" xfId="29763" xr:uid="{00000000-0005-0000-0000-000092090000}"/>
    <cellStyle name="Cálculo 38 6" xfId="32756" xr:uid="{00000000-0005-0000-0000-000093090000}"/>
    <cellStyle name="Cálculo 38 7" xfId="34146" xr:uid="{00000000-0005-0000-0000-000094090000}"/>
    <cellStyle name="Cálculo 38 8" xfId="40535" xr:uid="{00000000-0005-0000-0000-000095090000}"/>
    <cellStyle name="Cálculo 39" xfId="990" xr:uid="{00000000-0005-0000-0000-000096090000}"/>
    <cellStyle name="Cálculo 39 2" xfId="11543" xr:uid="{00000000-0005-0000-0000-000097090000}"/>
    <cellStyle name="Cálculo 39 2 2" xfId="11737" xr:uid="{00000000-0005-0000-0000-000098090000}"/>
    <cellStyle name="Cálculo 39 2 2 2" xfId="29771" xr:uid="{00000000-0005-0000-0000-000099090000}"/>
    <cellStyle name="Cálculo 39 2 2 3" xfId="32764" xr:uid="{00000000-0005-0000-0000-00009A090000}"/>
    <cellStyle name="Cálculo 39 2 2 4" xfId="34154" xr:uid="{00000000-0005-0000-0000-00009B090000}"/>
    <cellStyle name="Cálculo 39 2 2 5" xfId="40543" xr:uid="{00000000-0005-0000-0000-00009C090000}"/>
    <cellStyle name="Cálculo 39 2 3" xfId="11738" xr:uid="{00000000-0005-0000-0000-00009D090000}"/>
    <cellStyle name="Cálculo 39 2 3 2" xfId="29772" xr:uid="{00000000-0005-0000-0000-00009E090000}"/>
    <cellStyle name="Cálculo 39 2 3 3" xfId="32765" xr:uid="{00000000-0005-0000-0000-00009F090000}"/>
    <cellStyle name="Cálculo 39 2 3 4" xfId="34155" xr:uid="{00000000-0005-0000-0000-0000A0090000}"/>
    <cellStyle name="Cálculo 39 2 3 5" xfId="40544" xr:uid="{00000000-0005-0000-0000-0000A1090000}"/>
    <cellStyle name="Cálculo 39 2 4" xfId="29770" xr:uid="{00000000-0005-0000-0000-0000A2090000}"/>
    <cellStyle name="Cálculo 39 2 5" xfId="32763" xr:uid="{00000000-0005-0000-0000-0000A3090000}"/>
    <cellStyle name="Cálculo 39 2 6" xfId="34153" xr:uid="{00000000-0005-0000-0000-0000A4090000}"/>
    <cellStyle name="Cálculo 39 2 7" xfId="40542" xr:uid="{00000000-0005-0000-0000-0000A5090000}"/>
    <cellStyle name="Cálculo 39 3" xfId="11739" xr:uid="{00000000-0005-0000-0000-0000A6090000}"/>
    <cellStyle name="Cálculo 39 3 2" xfId="29773" xr:uid="{00000000-0005-0000-0000-0000A7090000}"/>
    <cellStyle name="Cálculo 39 3 3" xfId="32766" xr:uid="{00000000-0005-0000-0000-0000A8090000}"/>
    <cellStyle name="Cálculo 39 3 4" xfId="34156" xr:uid="{00000000-0005-0000-0000-0000A9090000}"/>
    <cellStyle name="Cálculo 39 3 5" xfId="40545" xr:uid="{00000000-0005-0000-0000-0000AA090000}"/>
    <cellStyle name="Cálculo 39 4" xfId="11740" xr:uid="{00000000-0005-0000-0000-0000AB090000}"/>
    <cellStyle name="Cálculo 39 4 2" xfId="29774" xr:uid="{00000000-0005-0000-0000-0000AC090000}"/>
    <cellStyle name="Cálculo 39 4 3" xfId="32767" xr:uid="{00000000-0005-0000-0000-0000AD090000}"/>
    <cellStyle name="Cálculo 39 4 4" xfId="34157" xr:uid="{00000000-0005-0000-0000-0000AE090000}"/>
    <cellStyle name="Cálculo 39 4 5" xfId="40546" xr:uid="{00000000-0005-0000-0000-0000AF090000}"/>
    <cellStyle name="Cálculo 39 5" xfId="29769" xr:uid="{00000000-0005-0000-0000-0000B0090000}"/>
    <cellStyle name="Cálculo 39 6" xfId="32762" xr:uid="{00000000-0005-0000-0000-0000B1090000}"/>
    <cellStyle name="Cálculo 39 7" xfId="34152" xr:uid="{00000000-0005-0000-0000-0000B2090000}"/>
    <cellStyle name="Cálculo 39 8" xfId="40541" xr:uid="{00000000-0005-0000-0000-0000B3090000}"/>
    <cellStyle name="Cálculo 4" xfId="991" xr:uid="{00000000-0005-0000-0000-0000B4090000}"/>
    <cellStyle name="Cálculo 4 10" xfId="12615" xr:uid="{00000000-0005-0000-0000-0000B5090000}"/>
    <cellStyle name="Cálculo 4 10 2" xfId="12616" xr:uid="{00000000-0005-0000-0000-0000B6090000}"/>
    <cellStyle name="Cálculo 4 10 2 2" xfId="29777" xr:uid="{00000000-0005-0000-0000-0000B7090000}"/>
    <cellStyle name="Cálculo 4 10 3" xfId="29776" xr:uid="{00000000-0005-0000-0000-0000B8090000}"/>
    <cellStyle name="Cálculo 4 11" xfId="12617" xr:uid="{00000000-0005-0000-0000-0000B9090000}"/>
    <cellStyle name="Cálculo 4 11 2" xfId="29778" xr:uid="{00000000-0005-0000-0000-0000BA090000}"/>
    <cellStyle name="Cálculo 4 12" xfId="29775" xr:uid="{00000000-0005-0000-0000-0000BB090000}"/>
    <cellStyle name="Cálculo 4 13" xfId="32768" xr:uid="{00000000-0005-0000-0000-0000BC090000}"/>
    <cellStyle name="Cálculo 4 14" xfId="33530" xr:uid="{00000000-0005-0000-0000-0000BD090000}"/>
    <cellStyle name="Cálculo 4 15" xfId="34158" xr:uid="{00000000-0005-0000-0000-0000BE090000}"/>
    <cellStyle name="Cálculo 4 16" xfId="40547" xr:uid="{00000000-0005-0000-0000-0000BF090000}"/>
    <cellStyle name="Cálculo 4 2" xfId="11544" xr:uid="{00000000-0005-0000-0000-0000C0090000}"/>
    <cellStyle name="Cálculo 4 2 10" xfId="12618" xr:uid="{00000000-0005-0000-0000-0000C1090000}"/>
    <cellStyle name="Cálculo 4 2 10 2" xfId="29780" xr:uid="{00000000-0005-0000-0000-0000C2090000}"/>
    <cellStyle name="Cálculo 4 2 11" xfId="29779" xr:uid="{00000000-0005-0000-0000-0000C3090000}"/>
    <cellStyle name="Cálculo 4 2 12" xfId="32769" xr:uid="{00000000-0005-0000-0000-0000C4090000}"/>
    <cellStyle name="Cálculo 4 2 13" xfId="33531" xr:uid="{00000000-0005-0000-0000-0000C5090000}"/>
    <cellStyle name="Cálculo 4 2 14" xfId="34159" xr:uid="{00000000-0005-0000-0000-0000C6090000}"/>
    <cellStyle name="Cálculo 4 2 15" xfId="40548" xr:uid="{00000000-0005-0000-0000-0000C7090000}"/>
    <cellStyle name="Cálculo 4 2 2" xfId="11741" xr:uid="{00000000-0005-0000-0000-0000C8090000}"/>
    <cellStyle name="Cálculo 4 2 2 10" xfId="40549" xr:uid="{00000000-0005-0000-0000-0000C9090000}"/>
    <cellStyle name="Cálculo 4 2 2 2" xfId="12619" xr:uid="{00000000-0005-0000-0000-0000CA090000}"/>
    <cellStyle name="Cálculo 4 2 2 2 2" xfId="29782" xr:uid="{00000000-0005-0000-0000-0000CB090000}"/>
    <cellStyle name="Cálculo 4 2 2 3" xfId="12620" xr:uid="{00000000-0005-0000-0000-0000CC090000}"/>
    <cellStyle name="Cálculo 4 2 2 3 2" xfId="29783" xr:uid="{00000000-0005-0000-0000-0000CD090000}"/>
    <cellStyle name="Cálculo 4 2 2 4" xfId="12621" xr:uid="{00000000-0005-0000-0000-0000CE090000}"/>
    <cellStyle name="Cálculo 4 2 2 4 2" xfId="29784" xr:uid="{00000000-0005-0000-0000-0000CF090000}"/>
    <cellStyle name="Cálculo 4 2 2 5" xfId="12622" xr:uid="{00000000-0005-0000-0000-0000D0090000}"/>
    <cellStyle name="Cálculo 4 2 2 5 2" xfId="29785" xr:uid="{00000000-0005-0000-0000-0000D1090000}"/>
    <cellStyle name="Cálculo 4 2 2 6" xfId="12623" xr:uid="{00000000-0005-0000-0000-0000D2090000}"/>
    <cellStyle name="Cálculo 4 2 2 6 2" xfId="29786" xr:uid="{00000000-0005-0000-0000-0000D3090000}"/>
    <cellStyle name="Cálculo 4 2 2 7" xfId="29781" xr:uid="{00000000-0005-0000-0000-0000D4090000}"/>
    <cellStyle name="Cálculo 4 2 2 8" xfId="32770" xr:uid="{00000000-0005-0000-0000-0000D5090000}"/>
    <cellStyle name="Cálculo 4 2 2 9" xfId="34160" xr:uid="{00000000-0005-0000-0000-0000D6090000}"/>
    <cellStyle name="Cálculo 4 2 3" xfId="11742" xr:uid="{00000000-0005-0000-0000-0000D7090000}"/>
    <cellStyle name="Cálculo 4 2 3 10" xfId="40550" xr:uid="{00000000-0005-0000-0000-0000D8090000}"/>
    <cellStyle name="Cálculo 4 2 3 2" xfId="12624" xr:uid="{00000000-0005-0000-0000-0000D9090000}"/>
    <cellStyle name="Cálculo 4 2 3 2 2" xfId="29788" xr:uid="{00000000-0005-0000-0000-0000DA090000}"/>
    <cellStyle name="Cálculo 4 2 3 3" xfId="12625" xr:uid="{00000000-0005-0000-0000-0000DB090000}"/>
    <cellStyle name="Cálculo 4 2 3 3 2" xfId="29789" xr:uid="{00000000-0005-0000-0000-0000DC090000}"/>
    <cellStyle name="Cálculo 4 2 3 4" xfId="12626" xr:uid="{00000000-0005-0000-0000-0000DD090000}"/>
    <cellStyle name="Cálculo 4 2 3 4 2" xfId="29790" xr:uid="{00000000-0005-0000-0000-0000DE090000}"/>
    <cellStyle name="Cálculo 4 2 3 5" xfId="12627" xr:uid="{00000000-0005-0000-0000-0000DF090000}"/>
    <cellStyle name="Cálculo 4 2 3 5 2" xfId="29791" xr:uid="{00000000-0005-0000-0000-0000E0090000}"/>
    <cellStyle name="Cálculo 4 2 3 6" xfId="12628" xr:uid="{00000000-0005-0000-0000-0000E1090000}"/>
    <cellStyle name="Cálculo 4 2 3 6 2" xfId="29792" xr:uid="{00000000-0005-0000-0000-0000E2090000}"/>
    <cellStyle name="Cálculo 4 2 3 7" xfId="29787" xr:uid="{00000000-0005-0000-0000-0000E3090000}"/>
    <cellStyle name="Cálculo 4 2 3 8" xfId="32771" xr:uid="{00000000-0005-0000-0000-0000E4090000}"/>
    <cellStyle name="Cálculo 4 2 3 9" xfId="34161" xr:uid="{00000000-0005-0000-0000-0000E5090000}"/>
    <cellStyle name="Cálculo 4 2 4" xfId="12629" xr:uid="{00000000-0005-0000-0000-0000E6090000}"/>
    <cellStyle name="Cálculo 4 2 4 2" xfId="12630" xr:uid="{00000000-0005-0000-0000-0000E7090000}"/>
    <cellStyle name="Cálculo 4 2 4 2 2" xfId="29794" xr:uid="{00000000-0005-0000-0000-0000E8090000}"/>
    <cellStyle name="Cálculo 4 2 4 3" xfId="12631" xr:uid="{00000000-0005-0000-0000-0000E9090000}"/>
    <cellStyle name="Cálculo 4 2 4 3 2" xfId="29795" xr:uid="{00000000-0005-0000-0000-0000EA090000}"/>
    <cellStyle name="Cálculo 4 2 4 4" xfId="12632" xr:uid="{00000000-0005-0000-0000-0000EB090000}"/>
    <cellStyle name="Cálculo 4 2 4 4 2" xfId="29796" xr:uid="{00000000-0005-0000-0000-0000EC090000}"/>
    <cellStyle name="Cálculo 4 2 4 5" xfId="12633" xr:uid="{00000000-0005-0000-0000-0000ED090000}"/>
    <cellStyle name="Cálculo 4 2 4 5 2" xfId="29797" xr:uid="{00000000-0005-0000-0000-0000EE090000}"/>
    <cellStyle name="Cálculo 4 2 4 6" xfId="29793" xr:uid="{00000000-0005-0000-0000-0000EF090000}"/>
    <cellStyle name="Cálculo 4 2 5" xfId="12634" xr:uid="{00000000-0005-0000-0000-0000F0090000}"/>
    <cellStyle name="Cálculo 4 2 5 2" xfId="12635" xr:uid="{00000000-0005-0000-0000-0000F1090000}"/>
    <cellStyle name="Cálculo 4 2 5 2 2" xfId="29799" xr:uid="{00000000-0005-0000-0000-0000F2090000}"/>
    <cellStyle name="Cálculo 4 2 5 3" xfId="12636" xr:uid="{00000000-0005-0000-0000-0000F3090000}"/>
    <cellStyle name="Cálculo 4 2 5 3 2" xfId="29800" xr:uid="{00000000-0005-0000-0000-0000F4090000}"/>
    <cellStyle name="Cálculo 4 2 5 4" xfId="12637" xr:uid="{00000000-0005-0000-0000-0000F5090000}"/>
    <cellStyle name="Cálculo 4 2 5 4 2" xfId="29801" xr:uid="{00000000-0005-0000-0000-0000F6090000}"/>
    <cellStyle name="Cálculo 4 2 5 5" xfId="12638" xr:uid="{00000000-0005-0000-0000-0000F7090000}"/>
    <cellStyle name="Cálculo 4 2 5 5 2" xfId="29802" xr:uid="{00000000-0005-0000-0000-0000F8090000}"/>
    <cellStyle name="Cálculo 4 2 5 6" xfId="29798" xr:uid="{00000000-0005-0000-0000-0000F9090000}"/>
    <cellStyle name="Cálculo 4 2 6" xfId="12639" xr:uid="{00000000-0005-0000-0000-0000FA090000}"/>
    <cellStyle name="Cálculo 4 2 6 2" xfId="12640" xr:uid="{00000000-0005-0000-0000-0000FB090000}"/>
    <cellStyle name="Cálculo 4 2 6 2 2" xfId="29804" xr:uid="{00000000-0005-0000-0000-0000FC090000}"/>
    <cellStyle name="Cálculo 4 2 6 3" xfId="12641" xr:uid="{00000000-0005-0000-0000-0000FD090000}"/>
    <cellStyle name="Cálculo 4 2 6 3 2" xfId="29805" xr:uid="{00000000-0005-0000-0000-0000FE090000}"/>
    <cellStyle name="Cálculo 4 2 6 4" xfId="12642" xr:uid="{00000000-0005-0000-0000-0000FF090000}"/>
    <cellStyle name="Cálculo 4 2 6 4 2" xfId="29806" xr:uid="{00000000-0005-0000-0000-0000000A0000}"/>
    <cellStyle name="Cálculo 4 2 6 5" xfId="12643" xr:uid="{00000000-0005-0000-0000-0000010A0000}"/>
    <cellStyle name="Cálculo 4 2 6 5 2" xfId="29807" xr:uid="{00000000-0005-0000-0000-0000020A0000}"/>
    <cellStyle name="Cálculo 4 2 6 6" xfId="29803" xr:uid="{00000000-0005-0000-0000-0000030A0000}"/>
    <cellStyle name="Cálculo 4 2 7" xfId="12644" xr:uid="{00000000-0005-0000-0000-0000040A0000}"/>
    <cellStyle name="Cálculo 4 2 7 2" xfId="12645" xr:uid="{00000000-0005-0000-0000-0000050A0000}"/>
    <cellStyle name="Cálculo 4 2 7 2 2" xfId="29809" xr:uid="{00000000-0005-0000-0000-0000060A0000}"/>
    <cellStyle name="Cálculo 4 2 7 3" xfId="12646" xr:uid="{00000000-0005-0000-0000-0000070A0000}"/>
    <cellStyle name="Cálculo 4 2 7 3 2" xfId="29810" xr:uid="{00000000-0005-0000-0000-0000080A0000}"/>
    <cellStyle name="Cálculo 4 2 7 4" xfId="12647" xr:uid="{00000000-0005-0000-0000-0000090A0000}"/>
    <cellStyle name="Cálculo 4 2 7 4 2" xfId="29811" xr:uid="{00000000-0005-0000-0000-00000A0A0000}"/>
    <cellStyle name="Cálculo 4 2 7 5" xfId="12648" xr:uid="{00000000-0005-0000-0000-00000B0A0000}"/>
    <cellStyle name="Cálculo 4 2 7 5 2" xfId="29812" xr:uid="{00000000-0005-0000-0000-00000C0A0000}"/>
    <cellStyle name="Cálculo 4 2 7 6" xfId="29808" xr:uid="{00000000-0005-0000-0000-00000D0A0000}"/>
    <cellStyle name="Cálculo 4 2 8" xfId="12649" xr:uid="{00000000-0005-0000-0000-00000E0A0000}"/>
    <cellStyle name="Cálculo 4 2 8 2" xfId="12650" xr:uid="{00000000-0005-0000-0000-00000F0A0000}"/>
    <cellStyle name="Cálculo 4 2 8 2 2" xfId="29814" xr:uid="{00000000-0005-0000-0000-0000100A0000}"/>
    <cellStyle name="Cálculo 4 2 8 3" xfId="12651" xr:uid="{00000000-0005-0000-0000-0000110A0000}"/>
    <cellStyle name="Cálculo 4 2 8 3 2" xfId="29815" xr:uid="{00000000-0005-0000-0000-0000120A0000}"/>
    <cellStyle name="Cálculo 4 2 8 4" xfId="12652" xr:uid="{00000000-0005-0000-0000-0000130A0000}"/>
    <cellStyle name="Cálculo 4 2 8 4 2" xfId="29816" xr:uid="{00000000-0005-0000-0000-0000140A0000}"/>
    <cellStyle name="Cálculo 4 2 8 5" xfId="12653" xr:uid="{00000000-0005-0000-0000-0000150A0000}"/>
    <cellStyle name="Cálculo 4 2 8 5 2" xfId="29817" xr:uid="{00000000-0005-0000-0000-0000160A0000}"/>
    <cellStyle name="Cálculo 4 2 8 6" xfId="12654" xr:uid="{00000000-0005-0000-0000-0000170A0000}"/>
    <cellStyle name="Cálculo 4 2 8 6 2" xfId="29818" xr:uid="{00000000-0005-0000-0000-0000180A0000}"/>
    <cellStyle name="Cálculo 4 2 8 7" xfId="29813" xr:uid="{00000000-0005-0000-0000-0000190A0000}"/>
    <cellStyle name="Cálculo 4 2 9" xfId="12655" xr:uid="{00000000-0005-0000-0000-00001A0A0000}"/>
    <cellStyle name="Cálculo 4 2 9 2" xfId="12656" xr:uid="{00000000-0005-0000-0000-00001B0A0000}"/>
    <cellStyle name="Cálculo 4 2 9 2 2" xfId="29820" xr:uid="{00000000-0005-0000-0000-00001C0A0000}"/>
    <cellStyle name="Cálculo 4 2 9 3" xfId="29819" xr:uid="{00000000-0005-0000-0000-00001D0A0000}"/>
    <cellStyle name="Cálculo 4 3" xfId="11743" xr:uid="{00000000-0005-0000-0000-00001E0A0000}"/>
    <cellStyle name="Cálculo 4 3 10" xfId="40551" xr:uid="{00000000-0005-0000-0000-00001F0A0000}"/>
    <cellStyle name="Cálculo 4 3 2" xfId="12657" xr:uid="{00000000-0005-0000-0000-0000200A0000}"/>
    <cellStyle name="Cálculo 4 3 2 2" xfId="29822" xr:uid="{00000000-0005-0000-0000-0000210A0000}"/>
    <cellStyle name="Cálculo 4 3 3" xfId="12658" xr:uid="{00000000-0005-0000-0000-0000220A0000}"/>
    <cellStyle name="Cálculo 4 3 3 2" xfId="29823" xr:uid="{00000000-0005-0000-0000-0000230A0000}"/>
    <cellStyle name="Cálculo 4 3 4" xfId="12659" xr:uid="{00000000-0005-0000-0000-0000240A0000}"/>
    <cellStyle name="Cálculo 4 3 4 2" xfId="29824" xr:uid="{00000000-0005-0000-0000-0000250A0000}"/>
    <cellStyle name="Cálculo 4 3 5" xfId="12660" xr:uid="{00000000-0005-0000-0000-0000260A0000}"/>
    <cellStyle name="Cálculo 4 3 5 2" xfId="29825" xr:uid="{00000000-0005-0000-0000-0000270A0000}"/>
    <cellStyle name="Cálculo 4 3 6" xfId="12661" xr:uid="{00000000-0005-0000-0000-0000280A0000}"/>
    <cellStyle name="Cálculo 4 3 6 2" xfId="29826" xr:uid="{00000000-0005-0000-0000-0000290A0000}"/>
    <cellStyle name="Cálculo 4 3 7" xfId="29821" xr:uid="{00000000-0005-0000-0000-00002A0A0000}"/>
    <cellStyle name="Cálculo 4 3 8" xfId="32772" xr:uid="{00000000-0005-0000-0000-00002B0A0000}"/>
    <cellStyle name="Cálculo 4 3 9" xfId="34162" xr:uid="{00000000-0005-0000-0000-00002C0A0000}"/>
    <cellStyle name="Cálculo 4 4" xfId="11744" xr:uid="{00000000-0005-0000-0000-00002D0A0000}"/>
    <cellStyle name="Cálculo 4 4 10" xfId="40552" xr:uid="{00000000-0005-0000-0000-00002E0A0000}"/>
    <cellStyle name="Cálculo 4 4 2" xfId="12662" xr:uid="{00000000-0005-0000-0000-00002F0A0000}"/>
    <cellStyle name="Cálculo 4 4 2 2" xfId="29828" xr:uid="{00000000-0005-0000-0000-0000300A0000}"/>
    <cellStyle name="Cálculo 4 4 3" xfId="12663" xr:uid="{00000000-0005-0000-0000-0000310A0000}"/>
    <cellStyle name="Cálculo 4 4 3 2" xfId="29829" xr:uid="{00000000-0005-0000-0000-0000320A0000}"/>
    <cellStyle name="Cálculo 4 4 4" xfId="12664" xr:uid="{00000000-0005-0000-0000-0000330A0000}"/>
    <cellStyle name="Cálculo 4 4 4 2" xfId="29830" xr:uid="{00000000-0005-0000-0000-0000340A0000}"/>
    <cellStyle name="Cálculo 4 4 5" xfId="12665" xr:uid="{00000000-0005-0000-0000-0000350A0000}"/>
    <cellStyle name="Cálculo 4 4 5 2" xfId="29831" xr:uid="{00000000-0005-0000-0000-0000360A0000}"/>
    <cellStyle name="Cálculo 4 4 6" xfId="12666" xr:uid="{00000000-0005-0000-0000-0000370A0000}"/>
    <cellStyle name="Cálculo 4 4 6 2" xfId="29832" xr:uid="{00000000-0005-0000-0000-0000380A0000}"/>
    <cellStyle name="Cálculo 4 4 7" xfId="29827" xr:uid="{00000000-0005-0000-0000-0000390A0000}"/>
    <cellStyle name="Cálculo 4 4 8" xfId="32773" xr:uid="{00000000-0005-0000-0000-00003A0A0000}"/>
    <cellStyle name="Cálculo 4 4 9" xfId="34163" xr:uid="{00000000-0005-0000-0000-00003B0A0000}"/>
    <cellStyle name="Cálculo 4 5" xfId="12667" xr:uid="{00000000-0005-0000-0000-00003C0A0000}"/>
    <cellStyle name="Cálculo 4 5 2" xfId="12668" xr:uid="{00000000-0005-0000-0000-00003D0A0000}"/>
    <cellStyle name="Cálculo 4 5 2 2" xfId="29834" xr:uid="{00000000-0005-0000-0000-00003E0A0000}"/>
    <cellStyle name="Cálculo 4 5 3" xfId="12669" xr:uid="{00000000-0005-0000-0000-00003F0A0000}"/>
    <cellStyle name="Cálculo 4 5 3 2" xfId="29835" xr:uid="{00000000-0005-0000-0000-0000400A0000}"/>
    <cellStyle name="Cálculo 4 5 4" xfId="12670" xr:uid="{00000000-0005-0000-0000-0000410A0000}"/>
    <cellStyle name="Cálculo 4 5 4 2" xfId="29836" xr:uid="{00000000-0005-0000-0000-0000420A0000}"/>
    <cellStyle name="Cálculo 4 5 5" xfId="12671" xr:uid="{00000000-0005-0000-0000-0000430A0000}"/>
    <cellStyle name="Cálculo 4 5 5 2" xfId="29837" xr:uid="{00000000-0005-0000-0000-0000440A0000}"/>
    <cellStyle name="Cálculo 4 5 6" xfId="29833" xr:uid="{00000000-0005-0000-0000-0000450A0000}"/>
    <cellStyle name="Cálculo 4 6" xfId="12672" xr:uid="{00000000-0005-0000-0000-0000460A0000}"/>
    <cellStyle name="Cálculo 4 6 2" xfId="12673" xr:uid="{00000000-0005-0000-0000-0000470A0000}"/>
    <cellStyle name="Cálculo 4 6 2 2" xfId="29839" xr:uid="{00000000-0005-0000-0000-0000480A0000}"/>
    <cellStyle name="Cálculo 4 6 3" xfId="12674" xr:uid="{00000000-0005-0000-0000-0000490A0000}"/>
    <cellStyle name="Cálculo 4 6 3 2" xfId="29840" xr:uid="{00000000-0005-0000-0000-00004A0A0000}"/>
    <cellStyle name="Cálculo 4 6 4" xfId="12675" xr:uid="{00000000-0005-0000-0000-00004B0A0000}"/>
    <cellStyle name="Cálculo 4 6 4 2" xfId="29841" xr:uid="{00000000-0005-0000-0000-00004C0A0000}"/>
    <cellStyle name="Cálculo 4 6 5" xfId="12676" xr:uid="{00000000-0005-0000-0000-00004D0A0000}"/>
    <cellStyle name="Cálculo 4 6 5 2" xfId="29842" xr:uid="{00000000-0005-0000-0000-00004E0A0000}"/>
    <cellStyle name="Cálculo 4 6 6" xfId="29838" xr:uid="{00000000-0005-0000-0000-00004F0A0000}"/>
    <cellStyle name="Cálculo 4 7" xfId="12677" xr:uid="{00000000-0005-0000-0000-0000500A0000}"/>
    <cellStyle name="Cálculo 4 7 2" xfId="12678" xr:uid="{00000000-0005-0000-0000-0000510A0000}"/>
    <cellStyle name="Cálculo 4 7 2 2" xfId="29844" xr:uid="{00000000-0005-0000-0000-0000520A0000}"/>
    <cellStyle name="Cálculo 4 7 3" xfId="12679" xr:uid="{00000000-0005-0000-0000-0000530A0000}"/>
    <cellStyle name="Cálculo 4 7 3 2" xfId="29845" xr:uid="{00000000-0005-0000-0000-0000540A0000}"/>
    <cellStyle name="Cálculo 4 7 4" xfId="12680" xr:uid="{00000000-0005-0000-0000-0000550A0000}"/>
    <cellStyle name="Cálculo 4 7 4 2" xfId="29846" xr:uid="{00000000-0005-0000-0000-0000560A0000}"/>
    <cellStyle name="Cálculo 4 7 5" xfId="12681" xr:uid="{00000000-0005-0000-0000-0000570A0000}"/>
    <cellStyle name="Cálculo 4 7 5 2" xfId="29847" xr:uid="{00000000-0005-0000-0000-0000580A0000}"/>
    <cellStyle name="Cálculo 4 7 6" xfId="29843" xr:uid="{00000000-0005-0000-0000-0000590A0000}"/>
    <cellStyle name="Cálculo 4 8" xfId="12682" xr:uid="{00000000-0005-0000-0000-00005A0A0000}"/>
    <cellStyle name="Cálculo 4 8 2" xfId="12683" xr:uid="{00000000-0005-0000-0000-00005B0A0000}"/>
    <cellStyle name="Cálculo 4 8 2 2" xfId="29849" xr:uid="{00000000-0005-0000-0000-00005C0A0000}"/>
    <cellStyle name="Cálculo 4 8 3" xfId="12684" xr:uid="{00000000-0005-0000-0000-00005D0A0000}"/>
    <cellStyle name="Cálculo 4 8 3 2" xfId="29850" xr:uid="{00000000-0005-0000-0000-00005E0A0000}"/>
    <cellStyle name="Cálculo 4 8 4" xfId="12685" xr:uid="{00000000-0005-0000-0000-00005F0A0000}"/>
    <cellStyle name="Cálculo 4 8 4 2" xfId="29851" xr:uid="{00000000-0005-0000-0000-0000600A0000}"/>
    <cellStyle name="Cálculo 4 8 5" xfId="12686" xr:uid="{00000000-0005-0000-0000-0000610A0000}"/>
    <cellStyle name="Cálculo 4 8 5 2" xfId="29852" xr:uid="{00000000-0005-0000-0000-0000620A0000}"/>
    <cellStyle name="Cálculo 4 8 6" xfId="29848" xr:uid="{00000000-0005-0000-0000-0000630A0000}"/>
    <cellStyle name="Cálculo 4 9" xfId="12687" xr:uid="{00000000-0005-0000-0000-0000640A0000}"/>
    <cellStyle name="Cálculo 4 9 2" xfId="12688" xr:uid="{00000000-0005-0000-0000-0000650A0000}"/>
    <cellStyle name="Cálculo 4 9 2 2" xfId="29854" xr:uid="{00000000-0005-0000-0000-0000660A0000}"/>
    <cellStyle name="Cálculo 4 9 3" xfId="12689" xr:uid="{00000000-0005-0000-0000-0000670A0000}"/>
    <cellStyle name="Cálculo 4 9 3 2" xfId="29855" xr:uid="{00000000-0005-0000-0000-0000680A0000}"/>
    <cellStyle name="Cálculo 4 9 4" xfId="12690" xr:uid="{00000000-0005-0000-0000-0000690A0000}"/>
    <cellStyle name="Cálculo 4 9 4 2" xfId="29856" xr:uid="{00000000-0005-0000-0000-00006A0A0000}"/>
    <cellStyle name="Cálculo 4 9 5" xfId="12691" xr:uid="{00000000-0005-0000-0000-00006B0A0000}"/>
    <cellStyle name="Cálculo 4 9 5 2" xfId="29857" xr:uid="{00000000-0005-0000-0000-00006C0A0000}"/>
    <cellStyle name="Cálculo 4 9 6" xfId="12692" xr:uid="{00000000-0005-0000-0000-00006D0A0000}"/>
    <cellStyle name="Cálculo 4 9 6 2" xfId="29858" xr:uid="{00000000-0005-0000-0000-00006E0A0000}"/>
    <cellStyle name="Cálculo 4 9 7" xfId="29853" xr:uid="{00000000-0005-0000-0000-00006F0A0000}"/>
    <cellStyle name="Cálculo 40" xfId="992" xr:uid="{00000000-0005-0000-0000-0000700A0000}"/>
    <cellStyle name="Cálculo 40 2" xfId="11545" xr:uid="{00000000-0005-0000-0000-0000710A0000}"/>
    <cellStyle name="Cálculo 40 2 2" xfId="11745" xr:uid="{00000000-0005-0000-0000-0000720A0000}"/>
    <cellStyle name="Cálculo 40 2 2 2" xfId="29861" xr:uid="{00000000-0005-0000-0000-0000730A0000}"/>
    <cellStyle name="Cálculo 40 2 2 3" xfId="32776" xr:uid="{00000000-0005-0000-0000-0000740A0000}"/>
    <cellStyle name="Cálculo 40 2 2 4" xfId="34166" xr:uid="{00000000-0005-0000-0000-0000750A0000}"/>
    <cellStyle name="Cálculo 40 2 2 5" xfId="40555" xr:uid="{00000000-0005-0000-0000-0000760A0000}"/>
    <cellStyle name="Cálculo 40 2 3" xfId="11746" xr:uid="{00000000-0005-0000-0000-0000770A0000}"/>
    <cellStyle name="Cálculo 40 2 3 2" xfId="29862" xr:uid="{00000000-0005-0000-0000-0000780A0000}"/>
    <cellStyle name="Cálculo 40 2 3 3" xfId="32777" xr:uid="{00000000-0005-0000-0000-0000790A0000}"/>
    <cellStyle name="Cálculo 40 2 3 4" xfId="34167" xr:uid="{00000000-0005-0000-0000-00007A0A0000}"/>
    <cellStyle name="Cálculo 40 2 3 5" xfId="40556" xr:uid="{00000000-0005-0000-0000-00007B0A0000}"/>
    <cellStyle name="Cálculo 40 2 4" xfId="29860" xr:uid="{00000000-0005-0000-0000-00007C0A0000}"/>
    <cellStyle name="Cálculo 40 2 5" xfId="32775" xr:uid="{00000000-0005-0000-0000-00007D0A0000}"/>
    <cellStyle name="Cálculo 40 2 6" xfId="34165" xr:uid="{00000000-0005-0000-0000-00007E0A0000}"/>
    <cellStyle name="Cálculo 40 2 7" xfId="40554" xr:uid="{00000000-0005-0000-0000-00007F0A0000}"/>
    <cellStyle name="Cálculo 40 3" xfId="11747" xr:uid="{00000000-0005-0000-0000-0000800A0000}"/>
    <cellStyle name="Cálculo 40 3 2" xfId="29863" xr:uid="{00000000-0005-0000-0000-0000810A0000}"/>
    <cellStyle name="Cálculo 40 3 3" xfId="32778" xr:uid="{00000000-0005-0000-0000-0000820A0000}"/>
    <cellStyle name="Cálculo 40 3 4" xfId="34168" xr:uid="{00000000-0005-0000-0000-0000830A0000}"/>
    <cellStyle name="Cálculo 40 3 5" xfId="40557" xr:uid="{00000000-0005-0000-0000-0000840A0000}"/>
    <cellStyle name="Cálculo 40 4" xfId="11748" xr:uid="{00000000-0005-0000-0000-0000850A0000}"/>
    <cellStyle name="Cálculo 40 4 2" xfId="29864" xr:uid="{00000000-0005-0000-0000-0000860A0000}"/>
    <cellStyle name="Cálculo 40 4 3" xfId="32779" xr:uid="{00000000-0005-0000-0000-0000870A0000}"/>
    <cellStyle name="Cálculo 40 4 4" xfId="34169" xr:uid="{00000000-0005-0000-0000-0000880A0000}"/>
    <cellStyle name="Cálculo 40 4 5" xfId="40558" xr:uid="{00000000-0005-0000-0000-0000890A0000}"/>
    <cellStyle name="Cálculo 40 5" xfId="29859" xr:uid="{00000000-0005-0000-0000-00008A0A0000}"/>
    <cellStyle name="Cálculo 40 6" xfId="32774" xr:uid="{00000000-0005-0000-0000-00008B0A0000}"/>
    <cellStyle name="Cálculo 40 7" xfId="34164" xr:uid="{00000000-0005-0000-0000-00008C0A0000}"/>
    <cellStyle name="Cálculo 40 8" xfId="40553" xr:uid="{00000000-0005-0000-0000-00008D0A0000}"/>
    <cellStyle name="Cálculo 41" xfId="993" xr:uid="{00000000-0005-0000-0000-00008E0A0000}"/>
    <cellStyle name="Cálculo 41 2" xfId="11546" xr:uid="{00000000-0005-0000-0000-00008F0A0000}"/>
    <cellStyle name="Cálculo 41 2 2" xfId="11749" xr:uid="{00000000-0005-0000-0000-0000900A0000}"/>
    <cellStyle name="Cálculo 41 2 2 2" xfId="29867" xr:uid="{00000000-0005-0000-0000-0000910A0000}"/>
    <cellStyle name="Cálculo 41 2 2 3" xfId="32782" xr:uid="{00000000-0005-0000-0000-0000920A0000}"/>
    <cellStyle name="Cálculo 41 2 2 4" xfId="34172" xr:uid="{00000000-0005-0000-0000-0000930A0000}"/>
    <cellStyle name="Cálculo 41 2 2 5" xfId="40561" xr:uid="{00000000-0005-0000-0000-0000940A0000}"/>
    <cellStyle name="Cálculo 41 2 3" xfId="11750" xr:uid="{00000000-0005-0000-0000-0000950A0000}"/>
    <cellStyle name="Cálculo 41 2 3 2" xfId="29868" xr:uid="{00000000-0005-0000-0000-0000960A0000}"/>
    <cellStyle name="Cálculo 41 2 3 3" xfId="32783" xr:uid="{00000000-0005-0000-0000-0000970A0000}"/>
    <cellStyle name="Cálculo 41 2 3 4" xfId="34173" xr:uid="{00000000-0005-0000-0000-0000980A0000}"/>
    <cellStyle name="Cálculo 41 2 3 5" xfId="40562" xr:uid="{00000000-0005-0000-0000-0000990A0000}"/>
    <cellStyle name="Cálculo 41 2 4" xfId="29866" xr:uid="{00000000-0005-0000-0000-00009A0A0000}"/>
    <cellStyle name="Cálculo 41 2 5" xfId="32781" xr:uid="{00000000-0005-0000-0000-00009B0A0000}"/>
    <cellStyle name="Cálculo 41 2 6" xfId="34171" xr:uid="{00000000-0005-0000-0000-00009C0A0000}"/>
    <cellStyle name="Cálculo 41 2 7" xfId="40560" xr:uid="{00000000-0005-0000-0000-00009D0A0000}"/>
    <cellStyle name="Cálculo 41 3" xfId="11751" xr:uid="{00000000-0005-0000-0000-00009E0A0000}"/>
    <cellStyle name="Cálculo 41 3 2" xfId="29869" xr:uid="{00000000-0005-0000-0000-00009F0A0000}"/>
    <cellStyle name="Cálculo 41 3 3" xfId="32784" xr:uid="{00000000-0005-0000-0000-0000A00A0000}"/>
    <cellStyle name="Cálculo 41 3 4" xfId="34174" xr:uid="{00000000-0005-0000-0000-0000A10A0000}"/>
    <cellStyle name="Cálculo 41 3 5" xfId="40563" xr:uid="{00000000-0005-0000-0000-0000A20A0000}"/>
    <cellStyle name="Cálculo 41 4" xfId="11752" xr:uid="{00000000-0005-0000-0000-0000A30A0000}"/>
    <cellStyle name="Cálculo 41 4 2" xfId="29870" xr:uid="{00000000-0005-0000-0000-0000A40A0000}"/>
    <cellStyle name="Cálculo 41 4 3" xfId="32785" xr:uid="{00000000-0005-0000-0000-0000A50A0000}"/>
    <cellStyle name="Cálculo 41 4 4" xfId="34175" xr:uid="{00000000-0005-0000-0000-0000A60A0000}"/>
    <cellStyle name="Cálculo 41 4 5" xfId="40564" xr:uid="{00000000-0005-0000-0000-0000A70A0000}"/>
    <cellStyle name="Cálculo 41 5" xfId="29865" xr:uid="{00000000-0005-0000-0000-0000A80A0000}"/>
    <cellStyle name="Cálculo 41 6" xfId="32780" xr:uid="{00000000-0005-0000-0000-0000A90A0000}"/>
    <cellStyle name="Cálculo 41 7" xfId="34170" xr:uid="{00000000-0005-0000-0000-0000AA0A0000}"/>
    <cellStyle name="Cálculo 41 8" xfId="40559" xr:uid="{00000000-0005-0000-0000-0000AB0A0000}"/>
    <cellStyle name="Cálculo 42" xfId="994" xr:uid="{00000000-0005-0000-0000-0000AC0A0000}"/>
    <cellStyle name="Cálculo 42 2" xfId="11547" xr:uid="{00000000-0005-0000-0000-0000AD0A0000}"/>
    <cellStyle name="Cálculo 42 2 2" xfId="11753" xr:uid="{00000000-0005-0000-0000-0000AE0A0000}"/>
    <cellStyle name="Cálculo 42 2 2 2" xfId="29873" xr:uid="{00000000-0005-0000-0000-0000AF0A0000}"/>
    <cellStyle name="Cálculo 42 2 2 3" xfId="32788" xr:uid="{00000000-0005-0000-0000-0000B00A0000}"/>
    <cellStyle name="Cálculo 42 2 2 4" xfId="34178" xr:uid="{00000000-0005-0000-0000-0000B10A0000}"/>
    <cellStyle name="Cálculo 42 2 2 5" xfId="40567" xr:uid="{00000000-0005-0000-0000-0000B20A0000}"/>
    <cellStyle name="Cálculo 42 2 3" xfId="11754" xr:uid="{00000000-0005-0000-0000-0000B30A0000}"/>
    <cellStyle name="Cálculo 42 2 3 2" xfId="29874" xr:uid="{00000000-0005-0000-0000-0000B40A0000}"/>
    <cellStyle name="Cálculo 42 2 3 3" xfId="32789" xr:uid="{00000000-0005-0000-0000-0000B50A0000}"/>
    <cellStyle name="Cálculo 42 2 3 4" xfId="34179" xr:uid="{00000000-0005-0000-0000-0000B60A0000}"/>
    <cellStyle name="Cálculo 42 2 3 5" xfId="40568" xr:uid="{00000000-0005-0000-0000-0000B70A0000}"/>
    <cellStyle name="Cálculo 42 2 4" xfId="29872" xr:uid="{00000000-0005-0000-0000-0000B80A0000}"/>
    <cellStyle name="Cálculo 42 2 5" xfId="32787" xr:uid="{00000000-0005-0000-0000-0000B90A0000}"/>
    <cellStyle name="Cálculo 42 2 6" xfId="34177" xr:uid="{00000000-0005-0000-0000-0000BA0A0000}"/>
    <cellStyle name="Cálculo 42 2 7" xfId="40566" xr:uid="{00000000-0005-0000-0000-0000BB0A0000}"/>
    <cellStyle name="Cálculo 42 3" xfId="11755" xr:uid="{00000000-0005-0000-0000-0000BC0A0000}"/>
    <cellStyle name="Cálculo 42 3 2" xfId="29875" xr:uid="{00000000-0005-0000-0000-0000BD0A0000}"/>
    <cellStyle name="Cálculo 42 3 3" xfId="32790" xr:uid="{00000000-0005-0000-0000-0000BE0A0000}"/>
    <cellStyle name="Cálculo 42 3 4" xfId="34180" xr:uid="{00000000-0005-0000-0000-0000BF0A0000}"/>
    <cellStyle name="Cálculo 42 3 5" xfId="40569" xr:uid="{00000000-0005-0000-0000-0000C00A0000}"/>
    <cellStyle name="Cálculo 42 4" xfId="11756" xr:uid="{00000000-0005-0000-0000-0000C10A0000}"/>
    <cellStyle name="Cálculo 42 4 2" xfId="29876" xr:uid="{00000000-0005-0000-0000-0000C20A0000}"/>
    <cellStyle name="Cálculo 42 4 3" xfId="32791" xr:uid="{00000000-0005-0000-0000-0000C30A0000}"/>
    <cellStyle name="Cálculo 42 4 4" xfId="34181" xr:uid="{00000000-0005-0000-0000-0000C40A0000}"/>
    <cellStyle name="Cálculo 42 4 5" xfId="40570" xr:uid="{00000000-0005-0000-0000-0000C50A0000}"/>
    <cellStyle name="Cálculo 42 5" xfId="29871" xr:uid="{00000000-0005-0000-0000-0000C60A0000}"/>
    <cellStyle name="Cálculo 42 6" xfId="32786" xr:uid="{00000000-0005-0000-0000-0000C70A0000}"/>
    <cellStyle name="Cálculo 42 7" xfId="34176" xr:uid="{00000000-0005-0000-0000-0000C80A0000}"/>
    <cellStyle name="Cálculo 42 8" xfId="40565" xr:uid="{00000000-0005-0000-0000-0000C90A0000}"/>
    <cellStyle name="Cálculo 43" xfId="995" xr:uid="{00000000-0005-0000-0000-0000CA0A0000}"/>
    <cellStyle name="Cálculo 43 2" xfId="11548" xr:uid="{00000000-0005-0000-0000-0000CB0A0000}"/>
    <cellStyle name="Cálculo 43 2 2" xfId="11757" xr:uid="{00000000-0005-0000-0000-0000CC0A0000}"/>
    <cellStyle name="Cálculo 43 2 2 2" xfId="29879" xr:uid="{00000000-0005-0000-0000-0000CD0A0000}"/>
    <cellStyle name="Cálculo 43 2 2 3" xfId="32794" xr:uid="{00000000-0005-0000-0000-0000CE0A0000}"/>
    <cellStyle name="Cálculo 43 2 2 4" xfId="34184" xr:uid="{00000000-0005-0000-0000-0000CF0A0000}"/>
    <cellStyle name="Cálculo 43 2 2 5" xfId="40573" xr:uid="{00000000-0005-0000-0000-0000D00A0000}"/>
    <cellStyle name="Cálculo 43 2 3" xfId="11758" xr:uid="{00000000-0005-0000-0000-0000D10A0000}"/>
    <cellStyle name="Cálculo 43 2 3 2" xfId="29880" xr:uid="{00000000-0005-0000-0000-0000D20A0000}"/>
    <cellStyle name="Cálculo 43 2 3 3" xfId="32795" xr:uid="{00000000-0005-0000-0000-0000D30A0000}"/>
    <cellStyle name="Cálculo 43 2 3 4" xfId="34185" xr:uid="{00000000-0005-0000-0000-0000D40A0000}"/>
    <cellStyle name="Cálculo 43 2 3 5" xfId="40574" xr:uid="{00000000-0005-0000-0000-0000D50A0000}"/>
    <cellStyle name="Cálculo 43 2 4" xfId="29878" xr:uid="{00000000-0005-0000-0000-0000D60A0000}"/>
    <cellStyle name="Cálculo 43 2 5" xfId="32793" xr:uid="{00000000-0005-0000-0000-0000D70A0000}"/>
    <cellStyle name="Cálculo 43 2 6" xfId="34183" xr:uid="{00000000-0005-0000-0000-0000D80A0000}"/>
    <cellStyle name="Cálculo 43 2 7" xfId="40572" xr:uid="{00000000-0005-0000-0000-0000D90A0000}"/>
    <cellStyle name="Cálculo 43 3" xfId="11759" xr:uid="{00000000-0005-0000-0000-0000DA0A0000}"/>
    <cellStyle name="Cálculo 43 3 2" xfId="29881" xr:uid="{00000000-0005-0000-0000-0000DB0A0000}"/>
    <cellStyle name="Cálculo 43 3 3" xfId="32796" xr:uid="{00000000-0005-0000-0000-0000DC0A0000}"/>
    <cellStyle name="Cálculo 43 3 4" xfId="34186" xr:uid="{00000000-0005-0000-0000-0000DD0A0000}"/>
    <cellStyle name="Cálculo 43 3 5" xfId="40575" xr:uid="{00000000-0005-0000-0000-0000DE0A0000}"/>
    <cellStyle name="Cálculo 43 4" xfId="11760" xr:uid="{00000000-0005-0000-0000-0000DF0A0000}"/>
    <cellStyle name="Cálculo 43 4 2" xfId="29882" xr:uid="{00000000-0005-0000-0000-0000E00A0000}"/>
    <cellStyle name="Cálculo 43 4 3" xfId="32797" xr:uid="{00000000-0005-0000-0000-0000E10A0000}"/>
    <cellStyle name="Cálculo 43 4 4" xfId="34187" xr:uid="{00000000-0005-0000-0000-0000E20A0000}"/>
    <cellStyle name="Cálculo 43 4 5" xfId="40576" xr:uid="{00000000-0005-0000-0000-0000E30A0000}"/>
    <cellStyle name="Cálculo 43 5" xfId="29877" xr:uid="{00000000-0005-0000-0000-0000E40A0000}"/>
    <cellStyle name="Cálculo 43 6" xfId="32792" xr:uid="{00000000-0005-0000-0000-0000E50A0000}"/>
    <cellStyle name="Cálculo 43 7" xfId="34182" xr:uid="{00000000-0005-0000-0000-0000E60A0000}"/>
    <cellStyle name="Cálculo 43 8" xfId="40571" xr:uid="{00000000-0005-0000-0000-0000E70A0000}"/>
    <cellStyle name="Cálculo 44" xfId="996" xr:uid="{00000000-0005-0000-0000-0000E80A0000}"/>
    <cellStyle name="Cálculo 44 2" xfId="11549" xr:uid="{00000000-0005-0000-0000-0000E90A0000}"/>
    <cellStyle name="Cálculo 44 2 2" xfId="11761" xr:uid="{00000000-0005-0000-0000-0000EA0A0000}"/>
    <cellStyle name="Cálculo 44 2 2 2" xfId="29885" xr:uid="{00000000-0005-0000-0000-0000EB0A0000}"/>
    <cellStyle name="Cálculo 44 2 2 3" xfId="32800" xr:uid="{00000000-0005-0000-0000-0000EC0A0000}"/>
    <cellStyle name="Cálculo 44 2 2 4" xfId="34190" xr:uid="{00000000-0005-0000-0000-0000ED0A0000}"/>
    <cellStyle name="Cálculo 44 2 2 5" xfId="40579" xr:uid="{00000000-0005-0000-0000-0000EE0A0000}"/>
    <cellStyle name="Cálculo 44 2 3" xfId="11762" xr:uid="{00000000-0005-0000-0000-0000EF0A0000}"/>
    <cellStyle name="Cálculo 44 2 3 2" xfId="29886" xr:uid="{00000000-0005-0000-0000-0000F00A0000}"/>
    <cellStyle name="Cálculo 44 2 3 3" xfId="32801" xr:uid="{00000000-0005-0000-0000-0000F10A0000}"/>
    <cellStyle name="Cálculo 44 2 3 4" xfId="34191" xr:uid="{00000000-0005-0000-0000-0000F20A0000}"/>
    <cellStyle name="Cálculo 44 2 3 5" xfId="40580" xr:uid="{00000000-0005-0000-0000-0000F30A0000}"/>
    <cellStyle name="Cálculo 44 2 4" xfId="29884" xr:uid="{00000000-0005-0000-0000-0000F40A0000}"/>
    <cellStyle name="Cálculo 44 2 5" xfId="32799" xr:uid="{00000000-0005-0000-0000-0000F50A0000}"/>
    <cellStyle name="Cálculo 44 2 6" xfId="34189" xr:uid="{00000000-0005-0000-0000-0000F60A0000}"/>
    <cellStyle name="Cálculo 44 2 7" xfId="40578" xr:uid="{00000000-0005-0000-0000-0000F70A0000}"/>
    <cellStyle name="Cálculo 44 3" xfId="11763" xr:uid="{00000000-0005-0000-0000-0000F80A0000}"/>
    <cellStyle name="Cálculo 44 3 2" xfId="29887" xr:uid="{00000000-0005-0000-0000-0000F90A0000}"/>
    <cellStyle name="Cálculo 44 3 3" xfId="32802" xr:uid="{00000000-0005-0000-0000-0000FA0A0000}"/>
    <cellStyle name="Cálculo 44 3 4" xfId="34192" xr:uid="{00000000-0005-0000-0000-0000FB0A0000}"/>
    <cellStyle name="Cálculo 44 3 5" xfId="40581" xr:uid="{00000000-0005-0000-0000-0000FC0A0000}"/>
    <cellStyle name="Cálculo 44 4" xfId="11764" xr:uid="{00000000-0005-0000-0000-0000FD0A0000}"/>
    <cellStyle name="Cálculo 44 4 2" xfId="29888" xr:uid="{00000000-0005-0000-0000-0000FE0A0000}"/>
    <cellStyle name="Cálculo 44 4 3" xfId="32803" xr:uid="{00000000-0005-0000-0000-0000FF0A0000}"/>
    <cellStyle name="Cálculo 44 4 4" xfId="34193" xr:uid="{00000000-0005-0000-0000-0000000B0000}"/>
    <cellStyle name="Cálculo 44 4 5" xfId="40582" xr:uid="{00000000-0005-0000-0000-0000010B0000}"/>
    <cellStyle name="Cálculo 44 5" xfId="29883" xr:uid="{00000000-0005-0000-0000-0000020B0000}"/>
    <cellStyle name="Cálculo 44 6" xfId="32798" xr:uid="{00000000-0005-0000-0000-0000030B0000}"/>
    <cellStyle name="Cálculo 44 7" xfId="34188" xr:uid="{00000000-0005-0000-0000-0000040B0000}"/>
    <cellStyle name="Cálculo 44 8" xfId="40577" xr:uid="{00000000-0005-0000-0000-0000050B0000}"/>
    <cellStyle name="Cálculo 45" xfId="997" xr:uid="{00000000-0005-0000-0000-0000060B0000}"/>
    <cellStyle name="Cálculo 45 2" xfId="11550" xr:uid="{00000000-0005-0000-0000-0000070B0000}"/>
    <cellStyle name="Cálculo 45 2 2" xfId="11765" xr:uid="{00000000-0005-0000-0000-0000080B0000}"/>
    <cellStyle name="Cálculo 45 2 2 2" xfId="29891" xr:uid="{00000000-0005-0000-0000-0000090B0000}"/>
    <cellStyle name="Cálculo 45 2 2 3" xfId="32806" xr:uid="{00000000-0005-0000-0000-00000A0B0000}"/>
    <cellStyle name="Cálculo 45 2 2 4" xfId="34196" xr:uid="{00000000-0005-0000-0000-00000B0B0000}"/>
    <cellStyle name="Cálculo 45 2 2 5" xfId="40585" xr:uid="{00000000-0005-0000-0000-00000C0B0000}"/>
    <cellStyle name="Cálculo 45 2 3" xfId="11766" xr:uid="{00000000-0005-0000-0000-00000D0B0000}"/>
    <cellStyle name="Cálculo 45 2 3 2" xfId="29892" xr:uid="{00000000-0005-0000-0000-00000E0B0000}"/>
    <cellStyle name="Cálculo 45 2 3 3" xfId="32807" xr:uid="{00000000-0005-0000-0000-00000F0B0000}"/>
    <cellStyle name="Cálculo 45 2 3 4" xfId="34197" xr:uid="{00000000-0005-0000-0000-0000100B0000}"/>
    <cellStyle name="Cálculo 45 2 3 5" xfId="40586" xr:uid="{00000000-0005-0000-0000-0000110B0000}"/>
    <cellStyle name="Cálculo 45 2 4" xfId="29890" xr:uid="{00000000-0005-0000-0000-0000120B0000}"/>
    <cellStyle name="Cálculo 45 2 5" xfId="32805" xr:uid="{00000000-0005-0000-0000-0000130B0000}"/>
    <cellStyle name="Cálculo 45 2 6" xfId="34195" xr:uid="{00000000-0005-0000-0000-0000140B0000}"/>
    <cellStyle name="Cálculo 45 2 7" xfId="40584" xr:uid="{00000000-0005-0000-0000-0000150B0000}"/>
    <cellStyle name="Cálculo 45 3" xfId="11767" xr:uid="{00000000-0005-0000-0000-0000160B0000}"/>
    <cellStyle name="Cálculo 45 3 2" xfId="29893" xr:uid="{00000000-0005-0000-0000-0000170B0000}"/>
    <cellStyle name="Cálculo 45 3 3" xfId="32808" xr:uid="{00000000-0005-0000-0000-0000180B0000}"/>
    <cellStyle name="Cálculo 45 3 4" xfId="34198" xr:uid="{00000000-0005-0000-0000-0000190B0000}"/>
    <cellStyle name="Cálculo 45 3 5" xfId="40587" xr:uid="{00000000-0005-0000-0000-00001A0B0000}"/>
    <cellStyle name="Cálculo 45 4" xfId="11768" xr:uid="{00000000-0005-0000-0000-00001B0B0000}"/>
    <cellStyle name="Cálculo 45 4 2" xfId="29894" xr:uid="{00000000-0005-0000-0000-00001C0B0000}"/>
    <cellStyle name="Cálculo 45 4 3" xfId="32809" xr:uid="{00000000-0005-0000-0000-00001D0B0000}"/>
    <cellStyle name="Cálculo 45 4 4" xfId="34199" xr:uid="{00000000-0005-0000-0000-00001E0B0000}"/>
    <cellStyle name="Cálculo 45 4 5" xfId="40588" xr:uid="{00000000-0005-0000-0000-00001F0B0000}"/>
    <cellStyle name="Cálculo 45 5" xfId="29889" xr:uid="{00000000-0005-0000-0000-0000200B0000}"/>
    <cellStyle name="Cálculo 45 6" xfId="32804" xr:uid="{00000000-0005-0000-0000-0000210B0000}"/>
    <cellStyle name="Cálculo 45 7" xfId="34194" xr:uid="{00000000-0005-0000-0000-0000220B0000}"/>
    <cellStyle name="Cálculo 45 8" xfId="40583" xr:uid="{00000000-0005-0000-0000-0000230B0000}"/>
    <cellStyle name="Cálculo 46" xfId="998" xr:uid="{00000000-0005-0000-0000-0000240B0000}"/>
    <cellStyle name="Cálculo 46 2" xfId="11551" xr:uid="{00000000-0005-0000-0000-0000250B0000}"/>
    <cellStyle name="Cálculo 46 2 2" xfId="11769" xr:uid="{00000000-0005-0000-0000-0000260B0000}"/>
    <cellStyle name="Cálculo 46 2 2 2" xfId="29897" xr:uid="{00000000-0005-0000-0000-0000270B0000}"/>
    <cellStyle name="Cálculo 46 2 2 3" xfId="32812" xr:uid="{00000000-0005-0000-0000-0000280B0000}"/>
    <cellStyle name="Cálculo 46 2 2 4" xfId="34202" xr:uid="{00000000-0005-0000-0000-0000290B0000}"/>
    <cellStyle name="Cálculo 46 2 2 5" xfId="40591" xr:uid="{00000000-0005-0000-0000-00002A0B0000}"/>
    <cellStyle name="Cálculo 46 2 3" xfId="11770" xr:uid="{00000000-0005-0000-0000-00002B0B0000}"/>
    <cellStyle name="Cálculo 46 2 3 2" xfId="29898" xr:uid="{00000000-0005-0000-0000-00002C0B0000}"/>
    <cellStyle name="Cálculo 46 2 3 3" xfId="32813" xr:uid="{00000000-0005-0000-0000-00002D0B0000}"/>
    <cellStyle name="Cálculo 46 2 3 4" xfId="34203" xr:uid="{00000000-0005-0000-0000-00002E0B0000}"/>
    <cellStyle name="Cálculo 46 2 3 5" xfId="40592" xr:uid="{00000000-0005-0000-0000-00002F0B0000}"/>
    <cellStyle name="Cálculo 46 2 4" xfId="29896" xr:uid="{00000000-0005-0000-0000-0000300B0000}"/>
    <cellStyle name="Cálculo 46 2 5" xfId="32811" xr:uid="{00000000-0005-0000-0000-0000310B0000}"/>
    <cellStyle name="Cálculo 46 2 6" xfId="34201" xr:uid="{00000000-0005-0000-0000-0000320B0000}"/>
    <cellStyle name="Cálculo 46 2 7" xfId="40590" xr:uid="{00000000-0005-0000-0000-0000330B0000}"/>
    <cellStyle name="Cálculo 46 3" xfId="11771" xr:uid="{00000000-0005-0000-0000-0000340B0000}"/>
    <cellStyle name="Cálculo 46 3 2" xfId="29899" xr:uid="{00000000-0005-0000-0000-0000350B0000}"/>
    <cellStyle name="Cálculo 46 3 3" xfId="32814" xr:uid="{00000000-0005-0000-0000-0000360B0000}"/>
    <cellStyle name="Cálculo 46 3 4" xfId="34204" xr:uid="{00000000-0005-0000-0000-0000370B0000}"/>
    <cellStyle name="Cálculo 46 3 5" xfId="40593" xr:uid="{00000000-0005-0000-0000-0000380B0000}"/>
    <cellStyle name="Cálculo 46 4" xfId="11772" xr:uid="{00000000-0005-0000-0000-0000390B0000}"/>
    <cellStyle name="Cálculo 46 4 2" xfId="29900" xr:uid="{00000000-0005-0000-0000-00003A0B0000}"/>
    <cellStyle name="Cálculo 46 4 3" xfId="32815" xr:uid="{00000000-0005-0000-0000-00003B0B0000}"/>
    <cellStyle name="Cálculo 46 4 4" xfId="34205" xr:uid="{00000000-0005-0000-0000-00003C0B0000}"/>
    <cellStyle name="Cálculo 46 4 5" xfId="40594" xr:uid="{00000000-0005-0000-0000-00003D0B0000}"/>
    <cellStyle name="Cálculo 46 5" xfId="29895" xr:uid="{00000000-0005-0000-0000-00003E0B0000}"/>
    <cellStyle name="Cálculo 46 6" xfId="32810" xr:uid="{00000000-0005-0000-0000-00003F0B0000}"/>
    <cellStyle name="Cálculo 46 7" xfId="34200" xr:uid="{00000000-0005-0000-0000-0000400B0000}"/>
    <cellStyle name="Cálculo 46 8" xfId="40589" xr:uid="{00000000-0005-0000-0000-0000410B0000}"/>
    <cellStyle name="Cálculo 47" xfId="999" xr:uid="{00000000-0005-0000-0000-0000420B0000}"/>
    <cellStyle name="Cálculo 47 2" xfId="11552" xr:uid="{00000000-0005-0000-0000-0000430B0000}"/>
    <cellStyle name="Cálculo 47 2 2" xfId="11773" xr:uid="{00000000-0005-0000-0000-0000440B0000}"/>
    <cellStyle name="Cálculo 47 2 2 2" xfId="29903" xr:uid="{00000000-0005-0000-0000-0000450B0000}"/>
    <cellStyle name="Cálculo 47 2 2 3" xfId="32818" xr:uid="{00000000-0005-0000-0000-0000460B0000}"/>
    <cellStyle name="Cálculo 47 2 2 4" xfId="34208" xr:uid="{00000000-0005-0000-0000-0000470B0000}"/>
    <cellStyle name="Cálculo 47 2 2 5" xfId="40597" xr:uid="{00000000-0005-0000-0000-0000480B0000}"/>
    <cellStyle name="Cálculo 47 2 3" xfId="11774" xr:uid="{00000000-0005-0000-0000-0000490B0000}"/>
    <cellStyle name="Cálculo 47 2 3 2" xfId="29904" xr:uid="{00000000-0005-0000-0000-00004A0B0000}"/>
    <cellStyle name="Cálculo 47 2 3 3" xfId="32819" xr:uid="{00000000-0005-0000-0000-00004B0B0000}"/>
    <cellStyle name="Cálculo 47 2 3 4" xfId="34209" xr:uid="{00000000-0005-0000-0000-00004C0B0000}"/>
    <cellStyle name="Cálculo 47 2 3 5" xfId="40598" xr:uid="{00000000-0005-0000-0000-00004D0B0000}"/>
    <cellStyle name="Cálculo 47 2 4" xfId="29902" xr:uid="{00000000-0005-0000-0000-00004E0B0000}"/>
    <cellStyle name="Cálculo 47 2 5" xfId="32817" xr:uid="{00000000-0005-0000-0000-00004F0B0000}"/>
    <cellStyle name="Cálculo 47 2 6" xfId="34207" xr:uid="{00000000-0005-0000-0000-0000500B0000}"/>
    <cellStyle name="Cálculo 47 2 7" xfId="40596" xr:uid="{00000000-0005-0000-0000-0000510B0000}"/>
    <cellStyle name="Cálculo 47 3" xfId="11775" xr:uid="{00000000-0005-0000-0000-0000520B0000}"/>
    <cellStyle name="Cálculo 47 3 2" xfId="29905" xr:uid="{00000000-0005-0000-0000-0000530B0000}"/>
    <cellStyle name="Cálculo 47 3 3" xfId="32820" xr:uid="{00000000-0005-0000-0000-0000540B0000}"/>
    <cellStyle name="Cálculo 47 3 4" xfId="34210" xr:uid="{00000000-0005-0000-0000-0000550B0000}"/>
    <cellStyle name="Cálculo 47 3 5" xfId="40599" xr:uid="{00000000-0005-0000-0000-0000560B0000}"/>
    <cellStyle name="Cálculo 47 4" xfId="11776" xr:uid="{00000000-0005-0000-0000-0000570B0000}"/>
    <cellStyle name="Cálculo 47 4 2" xfId="29906" xr:uid="{00000000-0005-0000-0000-0000580B0000}"/>
    <cellStyle name="Cálculo 47 4 3" xfId="32821" xr:uid="{00000000-0005-0000-0000-0000590B0000}"/>
    <cellStyle name="Cálculo 47 4 4" xfId="34211" xr:uid="{00000000-0005-0000-0000-00005A0B0000}"/>
    <cellStyle name="Cálculo 47 4 5" xfId="40600" xr:uid="{00000000-0005-0000-0000-00005B0B0000}"/>
    <cellStyle name="Cálculo 47 5" xfId="29901" xr:uid="{00000000-0005-0000-0000-00005C0B0000}"/>
    <cellStyle name="Cálculo 47 6" xfId="32816" xr:uid="{00000000-0005-0000-0000-00005D0B0000}"/>
    <cellStyle name="Cálculo 47 7" xfId="34206" xr:uid="{00000000-0005-0000-0000-00005E0B0000}"/>
    <cellStyle name="Cálculo 47 8" xfId="40595" xr:uid="{00000000-0005-0000-0000-00005F0B0000}"/>
    <cellStyle name="Cálculo 48" xfId="1000" xr:uid="{00000000-0005-0000-0000-0000600B0000}"/>
    <cellStyle name="Cálculo 48 2" xfId="11553" xr:uid="{00000000-0005-0000-0000-0000610B0000}"/>
    <cellStyle name="Cálculo 48 2 2" xfId="11777" xr:uid="{00000000-0005-0000-0000-0000620B0000}"/>
    <cellStyle name="Cálculo 48 2 2 2" xfId="29909" xr:uid="{00000000-0005-0000-0000-0000630B0000}"/>
    <cellStyle name="Cálculo 48 2 2 3" xfId="32824" xr:uid="{00000000-0005-0000-0000-0000640B0000}"/>
    <cellStyle name="Cálculo 48 2 2 4" xfId="34214" xr:uid="{00000000-0005-0000-0000-0000650B0000}"/>
    <cellStyle name="Cálculo 48 2 2 5" xfId="40603" xr:uid="{00000000-0005-0000-0000-0000660B0000}"/>
    <cellStyle name="Cálculo 48 2 3" xfId="11778" xr:uid="{00000000-0005-0000-0000-0000670B0000}"/>
    <cellStyle name="Cálculo 48 2 3 2" xfId="29910" xr:uid="{00000000-0005-0000-0000-0000680B0000}"/>
    <cellStyle name="Cálculo 48 2 3 3" xfId="32825" xr:uid="{00000000-0005-0000-0000-0000690B0000}"/>
    <cellStyle name="Cálculo 48 2 3 4" xfId="34215" xr:uid="{00000000-0005-0000-0000-00006A0B0000}"/>
    <cellStyle name="Cálculo 48 2 3 5" xfId="40604" xr:uid="{00000000-0005-0000-0000-00006B0B0000}"/>
    <cellStyle name="Cálculo 48 2 4" xfId="29908" xr:uid="{00000000-0005-0000-0000-00006C0B0000}"/>
    <cellStyle name="Cálculo 48 2 5" xfId="32823" xr:uid="{00000000-0005-0000-0000-00006D0B0000}"/>
    <cellStyle name="Cálculo 48 2 6" xfId="34213" xr:uid="{00000000-0005-0000-0000-00006E0B0000}"/>
    <cellStyle name="Cálculo 48 2 7" xfId="40602" xr:uid="{00000000-0005-0000-0000-00006F0B0000}"/>
    <cellStyle name="Cálculo 48 3" xfId="11779" xr:uid="{00000000-0005-0000-0000-0000700B0000}"/>
    <cellStyle name="Cálculo 48 3 2" xfId="29911" xr:uid="{00000000-0005-0000-0000-0000710B0000}"/>
    <cellStyle name="Cálculo 48 3 3" xfId="32826" xr:uid="{00000000-0005-0000-0000-0000720B0000}"/>
    <cellStyle name="Cálculo 48 3 4" xfId="34216" xr:uid="{00000000-0005-0000-0000-0000730B0000}"/>
    <cellStyle name="Cálculo 48 3 5" xfId="40605" xr:uid="{00000000-0005-0000-0000-0000740B0000}"/>
    <cellStyle name="Cálculo 48 4" xfId="11780" xr:uid="{00000000-0005-0000-0000-0000750B0000}"/>
    <cellStyle name="Cálculo 48 4 2" xfId="29912" xr:uid="{00000000-0005-0000-0000-0000760B0000}"/>
    <cellStyle name="Cálculo 48 4 3" xfId="32827" xr:uid="{00000000-0005-0000-0000-0000770B0000}"/>
    <cellStyle name="Cálculo 48 4 4" xfId="34217" xr:uid="{00000000-0005-0000-0000-0000780B0000}"/>
    <cellStyle name="Cálculo 48 4 5" xfId="40606" xr:uid="{00000000-0005-0000-0000-0000790B0000}"/>
    <cellStyle name="Cálculo 48 5" xfId="29907" xr:uid="{00000000-0005-0000-0000-00007A0B0000}"/>
    <cellStyle name="Cálculo 48 6" xfId="32822" xr:uid="{00000000-0005-0000-0000-00007B0B0000}"/>
    <cellStyle name="Cálculo 48 7" xfId="34212" xr:uid="{00000000-0005-0000-0000-00007C0B0000}"/>
    <cellStyle name="Cálculo 48 8" xfId="40601" xr:uid="{00000000-0005-0000-0000-00007D0B0000}"/>
    <cellStyle name="Cálculo 49" xfId="1001" xr:uid="{00000000-0005-0000-0000-00007E0B0000}"/>
    <cellStyle name="Cálculo 49 2" xfId="11554" xr:uid="{00000000-0005-0000-0000-00007F0B0000}"/>
    <cellStyle name="Cálculo 49 2 2" xfId="11781" xr:uid="{00000000-0005-0000-0000-0000800B0000}"/>
    <cellStyle name="Cálculo 49 2 2 2" xfId="29915" xr:uid="{00000000-0005-0000-0000-0000810B0000}"/>
    <cellStyle name="Cálculo 49 2 2 3" xfId="32830" xr:uid="{00000000-0005-0000-0000-0000820B0000}"/>
    <cellStyle name="Cálculo 49 2 2 4" xfId="34220" xr:uid="{00000000-0005-0000-0000-0000830B0000}"/>
    <cellStyle name="Cálculo 49 2 2 5" xfId="40609" xr:uid="{00000000-0005-0000-0000-0000840B0000}"/>
    <cellStyle name="Cálculo 49 2 3" xfId="11782" xr:uid="{00000000-0005-0000-0000-0000850B0000}"/>
    <cellStyle name="Cálculo 49 2 3 2" xfId="29916" xr:uid="{00000000-0005-0000-0000-0000860B0000}"/>
    <cellStyle name="Cálculo 49 2 3 3" xfId="32831" xr:uid="{00000000-0005-0000-0000-0000870B0000}"/>
    <cellStyle name="Cálculo 49 2 3 4" xfId="34221" xr:uid="{00000000-0005-0000-0000-0000880B0000}"/>
    <cellStyle name="Cálculo 49 2 3 5" xfId="40610" xr:uid="{00000000-0005-0000-0000-0000890B0000}"/>
    <cellStyle name="Cálculo 49 2 4" xfId="29914" xr:uid="{00000000-0005-0000-0000-00008A0B0000}"/>
    <cellStyle name="Cálculo 49 2 5" xfId="32829" xr:uid="{00000000-0005-0000-0000-00008B0B0000}"/>
    <cellStyle name="Cálculo 49 2 6" xfId="34219" xr:uid="{00000000-0005-0000-0000-00008C0B0000}"/>
    <cellStyle name="Cálculo 49 2 7" xfId="40608" xr:uid="{00000000-0005-0000-0000-00008D0B0000}"/>
    <cellStyle name="Cálculo 49 3" xfId="11783" xr:uid="{00000000-0005-0000-0000-00008E0B0000}"/>
    <cellStyle name="Cálculo 49 3 2" xfId="29917" xr:uid="{00000000-0005-0000-0000-00008F0B0000}"/>
    <cellStyle name="Cálculo 49 3 3" xfId="32832" xr:uid="{00000000-0005-0000-0000-0000900B0000}"/>
    <cellStyle name="Cálculo 49 3 4" xfId="34222" xr:uid="{00000000-0005-0000-0000-0000910B0000}"/>
    <cellStyle name="Cálculo 49 3 5" xfId="40611" xr:uid="{00000000-0005-0000-0000-0000920B0000}"/>
    <cellStyle name="Cálculo 49 4" xfId="11784" xr:uid="{00000000-0005-0000-0000-0000930B0000}"/>
    <cellStyle name="Cálculo 49 4 2" xfId="29918" xr:uid="{00000000-0005-0000-0000-0000940B0000}"/>
    <cellStyle name="Cálculo 49 4 3" xfId="32833" xr:uid="{00000000-0005-0000-0000-0000950B0000}"/>
    <cellStyle name="Cálculo 49 4 4" xfId="34223" xr:uid="{00000000-0005-0000-0000-0000960B0000}"/>
    <cellStyle name="Cálculo 49 4 5" xfId="40612" xr:uid="{00000000-0005-0000-0000-0000970B0000}"/>
    <cellStyle name="Cálculo 49 5" xfId="29913" xr:uid="{00000000-0005-0000-0000-0000980B0000}"/>
    <cellStyle name="Cálculo 49 6" xfId="32828" xr:uid="{00000000-0005-0000-0000-0000990B0000}"/>
    <cellStyle name="Cálculo 49 7" xfId="34218" xr:uid="{00000000-0005-0000-0000-00009A0B0000}"/>
    <cellStyle name="Cálculo 49 8" xfId="40607" xr:uid="{00000000-0005-0000-0000-00009B0B0000}"/>
    <cellStyle name="Cálculo 5" xfId="1002" xr:uid="{00000000-0005-0000-0000-00009C0B0000}"/>
    <cellStyle name="Cálculo 5 2" xfId="11555" xr:uid="{00000000-0005-0000-0000-00009D0B0000}"/>
    <cellStyle name="Cálculo 5 2 10" xfId="12693" xr:uid="{00000000-0005-0000-0000-00009E0B0000}"/>
    <cellStyle name="Cálculo 5 2 10 2" xfId="29921" xr:uid="{00000000-0005-0000-0000-00009F0B0000}"/>
    <cellStyle name="Cálculo 5 2 11" xfId="29920" xr:uid="{00000000-0005-0000-0000-0000A00B0000}"/>
    <cellStyle name="Cálculo 5 2 12" xfId="32835" xr:uid="{00000000-0005-0000-0000-0000A10B0000}"/>
    <cellStyle name="Cálculo 5 2 13" xfId="33532" xr:uid="{00000000-0005-0000-0000-0000A20B0000}"/>
    <cellStyle name="Cálculo 5 2 14" xfId="34225" xr:uid="{00000000-0005-0000-0000-0000A30B0000}"/>
    <cellStyle name="Cálculo 5 2 15" xfId="40614" xr:uid="{00000000-0005-0000-0000-0000A40B0000}"/>
    <cellStyle name="Cálculo 5 2 2" xfId="11785" xr:uid="{00000000-0005-0000-0000-0000A50B0000}"/>
    <cellStyle name="Cálculo 5 2 2 10" xfId="40615" xr:uid="{00000000-0005-0000-0000-0000A60B0000}"/>
    <cellStyle name="Cálculo 5 2 2 2" xfId="12694" xr:uid="{00000000-0005-0000-0000-0000A70B0000}"/>
    <cellStyle name="Cálculo 5 2 2 2 2" xfId="29923" xr:uid="{00000000-0005-0000-0000-0000A80B0000}"/>
    <cellStyle name="Cálculo 5 2 2 3" xfId="12695" xr:uid="{00000000-0005-0000-0000-0000A90B0000}"/>
    <cellStyle name="Cálculo 5 2 2 3 2" xfId="29924" xr:uid="{00000000-0005-0000-0000-0000AA0B0000}"/>
    <cellStyle name="Cálculo 5 2 2 4" xfId="12696" xr:uid="{00000000-0005-0000-0000-0000AB0B0000}"/>
    <cellStyle name="Cálculo 5 2 2 4 2" xfId="29925" xr:uid="{00000000-0005-0000-0000-0000AC0B0000}"/>
    <cellStyle name="Cálculo 5 2 2 5" xfId="12697" xr:uid="{00000000-0005-0000-0000-0000AD0B0000}"/>
    <cellStyle name="Cálculo 5 2 2 5 2" xfId="29926" xr:uid="{00000000-0005-0000-0000-0000AE0B0000}"/>
    <cellStyle name="Cálculo 5 2 2 6" xfId="12698" xr:uid="{00000000-0005-0000-0000-0000AF0B0000}"/>
    <cellStyle name="Cálculo 5 2 2 6 2" xfId="29927" xr:uid="{00000000-0005-0000-0000-0000B00B0000}"/>
    <cellStyle name="Cálculo 5 2 2 7" xfId="29922" xr:uid="{00000000-0005-0000-0000-0000B10B0000}"/>
    <cellStyle name="Cálculo 5 2 2 8" xfId="32836" xr:uid="{00000000-0005-0000-0000-0000B20B0000}"/>
    <cellStyle name="Cálculo 5 2 2 9" xfId="34226" xr:uid="{00000000-0005-0000-0000-0000B30B0000}"/>
    <cellStyle name="Cálculo 5 2 3" xfId="11786" xr:uid="{00000000-0005-0000-0000-0000B40B0000}"/>
    <cellStyle name="Cálculo 5 2 3 10" xfId="40616" xr:uid="{00000000-0005-0000-0000-0000B50B0000}"/>
    <cellStyle name="Cálculo 5 2 3 2" xfId="12699" xr:uid="{00000000-0005-0000-0000-0000B60B0000}"/>
    <cellStyle name="Cálculo 5 2 3 2 2" xfId="29929" xr:uid="{00000000-0005-0000-0000-0000B70B0000}"/>
    <cellStyle name="Cálculo 5 2 3 3" xfId="12700" xr:uid="{00000000-0005-0000-0000-0000B80B0000}"/>
    <cellStyle name="Cálculo 5 2 3 3 2" xfId="29930" xr:uid="{00000000-0005-0000-0000-0000B90B0000}"/>
    <cellStyle name="Cálculo 5 2 3 4" xfId="12701" xr:uid="{00000000-0005-0000-0000-0000BA0B0000}"/>
    <cellStyle name="Cálculo 5 2 3 4 2" xfId="29931" xr:uid="{00000000-0005-0000-0000-0000BB0B0000}"/>
    <cellStyle name="Cálculo 5 2 3 5" xfId="12702" xr:uid="{00000000-0005-0000-0000-0000BC0B0000}"/>
    <cellStyle name="Cálculo 5 2 3 5 2" xfId="29932" xr:uid="{00000000-0005-0000-0000-0000BD0B0000}"/>
    <cellStyle name="Cálculo 5 2 3 6" xfId="12703" xr:uid="{00000000-0005-0000-0000-0000BE0B0000}"/>
    <cellStyle name="Cálculo 5 2 3 6 2" xfId="29933" xr:uid="{00000000-0005-0000-0000-0000BF0B0000}"/>
    <cellStyle name="Cálculo 5 2 3 7" xfId="29928" xr:uid="{00000000-0005-0000-0000-0000C00B0000}"/>
    <cellStyle name="Cálculo 5 2 3 8" xfId="32837" xr:uid="{00000000-0005-0000-0000-0000C10B0000}"/>
    <cellStyle name="Cálculo 5 2 3 9" xfId="34227" xr:uid="{00000000-0005-0000-0000-0000C20B0000}"/>
    <cellStyle name="Cálculo 5 2 4" xfId="12704" xr:uid="{00000000-0005-0000-0000-0000C30B0000}"/>
    <cellStyle name="Cálculo 5 2 4 2" xfId="12705" xr:uid="{00000000-0005-0000-0000-0000C40B0000}"/>
    <cellStyle name="Cálculo 5 2 4 2 2" xfId="29935" xr:uid="{00000000-0005-0000-0000-0000C50B0000}"/>
    <cellStyle name="Cálculo 5 2 4 3" xfId="12706" xr:uid="{00000000-0005-0000-0000-0000C60B0000}"/>
    <cellStyle name="Cálculo 5 2 4 3 2" xfId="29936" xr:uid="{00000000-0005-0000-0000-0000C70B0000}"/>
    <cellStyle name="Cálculo 5 2 4 4" xfId="12707" xr:uid="{00000000-0005-0000-0000-0000C80B0000}"/>
    <cellStyle name="Cálculo 5 2 4 4 2" xfId="29937" xr:uid="{00000000-0005-0000-0000-0000C90B0000}"/>
    <cellStyle name="Cálculo 5 2 4 5" xfId="12708" xr:uid="{00000000-0005-0000-0000-0000CA0B0000}"/>
    <cellStyle name="Cálculo 5 2 4 5 2" xfId="29938" xr:uid="{00000000-0005-0000-0000-0000CB0B0000}"/>
    <cellStyle name="Cálculo 5 2 4 6" xfId="29934" xr:uid="{00000000-0005-0000-0000-0000CC0B0000}"/>
    <cellStyle name="Cálculo 5 2 5" xfId="12709" xr:uid="{00000000-0005-0000-0000-0000CD0B0000}"/>
    <cellStyle name="Cálculo 5 2 5 2" xfId="12710" xr:uid="{00000000-0005-0000-0000-0000CE0B0000}"/>
    <cellStyle name="Cálculo 5 2 5 2 2" xfId="29940" xr:uid="{00000000-0005-0000-0000-0000CF0B0000}"/>
    <cellStyle name="Cálculo 5 2 5 3" xfId="12711" xr:uid="{00000000-0005-0000-0000-0000D00B0000}"/>
    <cellStyle name="Cálculo 5 2 5 3 2" xfId="29941" xr:uid="{00000000-0005-0000-0000-0000D10B0000}"/>
    <cellStyle name="Cálculo 5 2 5 4" xfId="12712" xr:uid="{00000000-0005-0000-0000-0000D20B0000}"/>
    <cellStyle name="Cálculo 5 2 5 4 2" xfId="29942" xr:uid="{00000000-0005-0000-0000-0000D30B0000}"/>
    <cellStyle name="Cálculo 5 2 5 5" xfId="12713" xr:uid="{00000000-0005-0000-0000-0000D40B0000}"/>
    <cellStyle name="Cálculo 5 2 5 5 2" xfId="29943" xr:uid="{00000000-0005-0000-0000-0000D50B0000}"/>
    <cellStyle name="Cálculo 5 2 5 6" xfId="29939" xr:uid="{00000000-0005-0000-0000-0000D60B0000}"/>
    <cellStyle name="Cálculo 5 2 6" xfId="12714" xr:uid="{00000000-0005-0000-0000-0000D70B0000}"/>
    <cellStyle name="Cálculo 5 2 6 2" xfId="12715" xr:uid="{00000000-0005-0000-0000-0000D80B0000}"/>
    <cellStyle name="Cálculo 5 2 6 2 2" xfId="29945" xr:uid="{00000000-0005-0000-0000-0000D90B0000}"/>
    <cellStyle name="Cálculo 5 2 6 3" xfId="12716" xr:uid="{00000000-0005-0000-0000-0000DA0B0000}"/>
    <cellStyle name="Cálculo 5 2 6 3 2" xfId="29946" xr:uid="{00000000-0005-0000-0000-0000DB0B0000}"/>
    <cellStyle name="Cálculo 5 2 6 4" xfId="12717" xr:uid="{00000000-0005-0000-0000-0000DC0B0000}"/>
    <cellStyle name="Cálculo 5 2 6 4 2" xfId="29947" xr:uid="{00000000-0005-0000-0000-0000DD0B0000}"/>
    <cellStyle name="Cálculo 5 2 6 5" xfId="12718" xr:uid="{00000000-0005-0000-0000-0000DE0B0000}"/>
    <cellStyle name="Cálculo 5 2 6 5 2" xfId="29948" xr:uid="{00000000-0005-0000-0000-0000DF0B0000}"/>
    <cellStyle name="Cálculo 5 2 6 6" xfId="29944" xr:uid="{00000000-0005-0000-0000-0000E00B0000}"/>
    <cellStyle name="Cálculo 5 2 7" xfId="12719" xr:uid="{00000000-0005-0000-0000-0000E10B0000}"/>
    <cellStyle name="Cálculo 5 2 7 2" xfId="12720" xr:uid="{00000000-0005-0000-0000-0000E20B0000}"/>
    <cellStyle name="Cálculo 5 2 7 2 2" xfId="29950" xr:uid="{00000000-0005-0000-0000-0000E30B0000}"/>
    <cellStyle name="Cálculo 5 2 7 3" xfId="12721" xr:uid="{00000000-0005-0000-0000-0000E40B0000}"/>
    <cellStyle name="Cálculo 5 2 7 3 2" xfId="29951" xr:uid="{00000000-0005-0000-0000-0000E50B0000}"/>
    <cellStyle name="Cálculo 5 2 7 4" xfId="12722" xr:uid="{00000000-0005-0000-0000-0000E60B0000}"/>
    <cellStyle name="Cálculo 5 2 7 4 2" xfId="29952" xr:uid="{00000000-0005-0000-0000-0000E70B0000}"/>
    <cellStyle name="Cálculo 5 2 7 5" xfId="12723" xr:uid="{00000000-0005-0000-0000-0000E80B0000}"/>
    <cellStyle name="Cálculo 5 2 7 5 2" xfId="29953" xr:uid="{00000000-0005-0000-0000-0000E90B0000}"/>
    <cellStyle name="Cálculo 5 2 7 6" xfId="29949" xr:uid="{00000000-0005-0000-0000-0000EA0B0000}"/>
    <cellStyle name="Cálculo 5 2 8" xfId="12724" xr:uid="{00000000-0005-0000-0000-0000EB0B0000}"/>
    <cellStyle name="Cálculo 5 2 8 2" xfId="12725" xr:uid="{00000000-0005-0000-0000-0000EC0B0000}"/>
    <cellStyle name="Cálculo 5 2 8 2 2" xfId="29955" xr:uid="{00000000-0005-0000-0000-0000ED0B0000}"/>
    <cellStyle name="Cálculo 5 2 8 3" xfId="12726" xr:uid="{00000000-0005-0000-0000-0000EE0B0000}"/>
    <cellStyle name="Cálculo 5 2 8 3 2" xfId="29956" xr:uid="{00000000-0005-0000-0000-0000EF0B0000}"/>
    <cellStyle name="Cálculo 5 2 8 4" xfId="12727" xr:uid="{00000000-0005-0000-0000-0000F00B0000}"/>
    <cellStyle name="Cálculo 5 2 8 4 2" xfId="29957" xr:uid="{00000000-0005-0000-0000-0000F10B0000}"/>
    <cellStyle name="Cálculo 5 2 8 5" xfId="12728" xr:uid="{00000000-0005-0000-0000-0000F20B0000}"/>
    <cellStyle name="Cálculo 5 2 8 5 2" xfId="29958" xr:uid="{00000000-0005-0000-0000-0000F30B0000}"/>
    <cellStyle name="Cálculo 5 2 8 6" xfId="12729" xr:uid="{00000000-0005-0000-0000-0000F40B0000}"/>
    <cellStyle name="Cálculo 5 2 8 6 2" xfId="29959" xr:uid="{00000000-0005-0000-0000-0000F50B0000}"/>
    <cellStyle name="Cálculo 5 2 8 7" xfId="29954" xr:uid="{00000000-0005-0000-0000-0000F60B0000}"/>
    <cellStyle name="Cálculo 5 2 9" xfId="12730" xr:uid="{00000000-0005-0000-0000-0000F70B0000}"/>
    <cellStyle name="Cálculo 5 2 9 2" xfId="12731" xr:uid="{00000000-0005-0000-0000-0000F80B0000}"/>
    <cellStyle name="Cálculo 5 2 9 2 2" xfId="29961" xr:uid="{00000000-0005-0000-0000-0000F90B0000}"/>
    <cellStyle name="Cálculo 5 2 9 3" xfId="29960" xr:uid="{00000000-0005-0000-0000-0000FA0B0000}"/>
    <cellStyle name="Cálculo 5 3" xfId="11787" xr:uid="{00000000-0005-0000-0000-0000FB0B0000}"/>
    <cellStyle name="Cálculo 5 3 2" xfId="29962" xr:uid="{00000000-0005-0000-0000-0000FC0B0000}"/>
    <cellStyle name="Cálculo 5 3 3" xfId="32838" xr:uid="{00000000-0005-0000-0000-0000FD0B0000}"/>
    <cellStyle name="Cálculo 5 3 4" xfId="34228" xr:uid="{00000000-0005-0000-0000-0000FE0B0000}"/>
    <cellStyle name="Cálculo 5 3 5" xfId="40617" xr:uid="{00000000-0005-0000-0000-0000FF0B0000}"/>
    <cellStyle name="Cálculo 5 4" xfId="11788" xr:uid="{00000000-0005-0000-0000-0000000C0000}"/>
    <cellStyle name="Cálculo 5 4 2" xfId="29963" xr:uid="{00000000-0005-0000-0000-0000010C0000}"/>
    <cellStyle name="Cálculo 5 4 3" xfId="32839" xr:uid="{00000000-0005-0000-0000-0000020C0000}"/>
    <cellStyle name="Cálculo 5 4 4" xfId="34229" xr:uid="{00000000-0005-0000-0000-0000030C0000}"/>
    <cellStyle name="Cálculo 5 4 5" xfId="40618" xr:uid="{00000000-0005-0000-0000-0000040C0000}"/>
    <cellStyle name="Cálculo 5 5" xfId="12732" xr:uid="{00000000-0005-0000-0000-0000050C0000}"/>
    <cellStyle name="Cálculo 5 6" xfId="29919" xr:uid="{00000000-0005-0000-0000-0000060C0000}"/>
    <cellStyle name="Cálculo 5 7" xfId="32834" xr:uid="{00000000-0005-0000-0000-0000070C0000}"/>
    <cellStyle name="Cálculo 5 8" xfId="34224" xr:uid="{00000000-0005-0000-0000-0000080C0000}"/>
    <cellStyle name="Cálculo 5 9" xfId="40613" xr:uid="{00000000-0005-0000-0000-0000090C0000}"/>
    <cellStyle name="Cálculo 50" xfId="1003" xr:uid="{00000000-0005-0000-0000-00000A0C0000}"/>
    <cellStyle name="Cálculo 50 2" xfId="11556" xr:uid="{00000000-0005-0000-0000-00000B0C0000}"/>
    <cellStyle name="Cálculo 50 2 2" xfId="11789" xr:uid="{00000000-0005-0000-0000-00000C0C0000}"/>
    <cellStyle name="Cálculo 50 2 2 2" xfId="29966" xr:uid="{00000000-0005-0000-0000-00000D0C0000}"/>
    <cellStyle name="Cálculo 50 2 2 3" xfId="32842" xr:uid="{00000000-0005-0000-0000-00000E0C0000}"/>
    <cellStyle name="Cálculo 50 2 2 4" xfId="34232" xr:uid="{00000000-0005-0000-0000-00000F0C0000}"/>
    <cellStyle name="Cálculo 50 2 2 5" xfId="40621" xr:uid="{00000000-0005-0000-0000-0000100C0000}"/>
    <cellStyle name="Cálculo 50 2 3" xfId="11790" xr:uid="{00000000-0005-0000-0000-0000110C0000}"/>
    <cellStyle name="Cálculo 50 2 3 2" xfId="29967" xr:uid="{00000000-0005-0000-0000-0000120C0000}"/>
    <cellStyle name="Cálculo 50 2 3 3" xfId="32843" xr:uid="{00000000-0005-0000-0000-0000130C0000}"/>
    <cellStyle name="Cálculo 50 2 3 4" xfId="34233" xr:uid="{00000000-0005-0000-0000-0000140C0000}"/>
    <cellStyle name="Cálculo 50 2 3 5" xfId="40622" xr:uid="{00000000-0005-0000-0000-0000150C0000}"/>
    <cellStyle name="Cálculo 50 2 4" xfId="29965" xr:uid="{00000000-0005-0000-0000-0000160C0000}"/>
    <cellStyle name="Cálculo 50 2 5" xfId="32841" xr:uid="{00000000-0005-0000-0000-0000170C0000}"/>
    <cellStyle name="Cálculo 50 2 6" xfId="34231" xr:uid="{00000000-0005-0000-0000-0000180C0000}"/>
    <cellStyle name="Cálculo 50 2 7" xfId="40620" xr:uid="{00000000-0005-0000-0000-0000190C0000}"/>
    <cellStyle name="Cálculo 50 3" xfId="11791" xr:uid="{00000000-0005-0000-0000-00001A0C0000}"/>
    <cellStyle name="Cálculo 50 3 2" xfId="29968" xr:uid="{00000000-0005-0000-0000-00001B0C0000}"/>
    <cellStyle name="Cálculo 50 3 3" xfId="32844" xr:uid="{00000000-0005-0000-0000-00001C0C0000}"/>
    <cellStyle name="Cálculo 50 3 4" xfId="34234" xr:uid="{00000000-0005-0000-0000-00001D0C0000}"/>
    <cellStyle name="Cálculo 50 3 5" xfId="40623" xr:uid="{00000000-0005-0000-0000-00001E0C0000}"/>
    <cellStyle name="Cálculo 50 4" xfId="11792" xr:uid="{00000000-0005-0000-0000-00001F0C0000}"/>
    <cellStyle name="Cálculo 50 4 2" xfId="29969" xr:uid="{00000000-0005-0000-0000-0000200C0000}"/>
    <cellStyle name="Cálculo 50 4 3" xfId="32845" xr:uid="{00000000-0005-0000-0000-0000210C0000}"/>
    <cellStyle name="Cálculo 50 4 4" xfId="34235" xr:uid="{00000000-0005-0000-0000-0000220C0000}"/>
    <cellStyle name="Cálculo 50 4 5" xfId="40624" xr:uid="{00000000-0005-0000-0000-0000230C0000}"/>
    <cellStyle name="Cálculo 50 5" xfId="29964" xr:uid="{00000000-0005-0000-0000-0000240C0000}"/>
    <cellStyle name="Cálculo 50 6" xfId="32840" xr:uid="{00000000-0005-0000-0000-0000250C0000}"/>
    <cellStyle name="Cálculo 50 7" xfId="34230" xr:uid="{00000000-0005-0000-0000-0000260C0000}"/>
    <cellStyle name="Cálculo 50 8" xfId="40619" xr:uid="{00000000-0005-0000-0000-0000270C0000}"/>
    <cellStyle name="Cálculo 6" xfId="1004" xr:uid="{00000000-0005-0000-0000-0000280C0000}"/>
    <cellStyle name="Cálculo 6 2" xfId="11557" xr:uid="{00000000-0005-0000-0000-0000290C0000}"/>
    <cellStyle name="Cálculo 6 2 10" xfId="12733" xr:uid="{00000000-0005-0000-0000-00002A0C0000}"/>
    <cellStyle name="Cálculo 6 2 10 2" xfId="29972" xr:uid="{00000000-0005-0000-0000-00002B0C0000}"/>
    <cellStyle name="Cálculo 6 2 11" xfId="29971" xr:uid="{00000000-0005-0000-0000-00002C0C0000}"/>
    <cellStyle name="Cálculo 6 2 12" xfId="32847" xr:uid="{00000000-0005-0000-0000-00002D0C0000}"/>
    <cellStyle name="Cálculo 6 2 13" xfId="33533" xr:uid="{00000000-0005-0000-0000-00002E0C0000}"/>
    <cellStyle name="Cálculo 6 2 14" xfId="34237" xr:uid="{00000000-0005-0000-0000-00002F0C0000}"/>
    <cellStyle name="Cálculo 6 2 15" xfId="40626" xr:uid="{00000000-0005-0000-0000-0000300C0000}"/>
    <cellStyle name="Cálculo 6 2 2" xfId="11793" xr:uid="{00000000-0005-0000-0000-0000310C0000}"/>
    <cellStyle name="Cálculo 6 2 2 10" xfId="40627" xr:uid="{00000000-0005-0000-0000-0000320C0000}"/>
    <cellStyle name="Cálculo 6 2 2 2" xfId="12734" xr:uid="{00000000-0005-0000-0000-0000330C0000}"/>
    <cellStyle name="Cálculo 6 2 2 2 2" xfId="29974" xr:uid="{00000000-0005-0000-0000-0000340C0000}"/>
    <cellStyle name="Cálculo 6 2 2 3" xfId="12735" xr:uid="{00000000-0005-0000-0000-0000350C0000}"/>
    <cellStyle name="Cálculo 6 2 2 3 2" xfId="29975" xr:uid="{00000000-0005-0000-0000-0000360C0000}"/>
    <cellStyle name="Cálculo 6 2 2 4" xfId="12736" xr:uid="{00000000-0005-0000-0000-0000370C0000}"/>
    <cellStyle name="Cálculo 6 2 2 4 2" xfId="29976" xr:uid="{00000000-0005-0000-0000-0000380C0000}"/>
    <cellStyle name="Cálculo 6 2 2 5" xfId="12737" xr:uid="{00000000-0005-0000-0000-0000390C0000}"/>
    <cellStyle name="Cálculo 6 2 2 5 2" xfId="29977" xr:uid="{00000000-0005-0000-0000-00003A0C0000}"/>
    <cellStyle name="Cálculo 6 2 2 6" xfId="12738" xr:uid="{00000000-0005-0000-0000-00003B0C0000}"/>
    <cellStyle name="Cálculo 6 2 2 6 2" xfId="29978" xr:uid="{00000000-0005-0000-0000-00003C0C0000}"/>
    <cellStyle name="Cálculo 6 2 2 7" xfId="29973" xr:uid="{00000000-0005-0000-0000-00003D0C0000}"/>
    <cellStyle name="Cálculo 6 2 2 8" xfId="32848" xr:uid="{00000000-0005-0000-0000-00003E0C0000}"/>
    <cellStyle name="Cálculo 6 2 2 9" xfId="34238" xr:uid="{00000000-0005-0000-0000-00003F0C0000}"/>
    <cellStyle name="Cálculo 6 2 3" xfId="11794" xr:uid="{00000000-0005-0000-0000-0000400C0000}"/>
    <cellStyle name="Cálculo 6 2 3 10" xfId="40628" xr:uid="{00000000-0005-0000-0000-0000410C0000}"/>
    <cellStyle name="Cálculo 6 2 3 2" xfId="12739" xr:uid="{00000000-0005-0000-0000-0000420C0000}"/>
    <cellStyle name="Cálculo 6 2 3 2 2" xfId="29980" xr:uid="{00000000-0005-0000-0000-0000430C0000}"/>
    <cellStyle name="Cálculo 6 2 3 3" xfId="12740" xr:uid="{00000000-0005-0000-0000-0000440C0000}"/>
    <cellStyle name="Cálculo 6 2 3 3 2" xfId="29981" xr:uid="{00000000-0005-0000-0000-0000450C0000}"/>
    <cellStyle name="Cálculo 6 2 3 4" xfId="12741" xr:uid="{00000000-0005-0000-0000-0000460C0000}"/>
    <cellStyle name="Cálculo 6 2 3 4 2" xfId="29982" xr:uid="{00000000-0005-0000-0000-0000470C0000}"/>
    <cellStyle name="Cálculo 6 2 3 5" xfId="12742" xr:uid="{00000000-0005-0000-0000-0000480C0000}"/>
    <cellStyle name="Cálculo 6 2 3 5 2" xfId="29983" xr:uid="{00000000-0005-0000-0000-0000490C0000}"/>
    <cellStyle name="Cálculo 6 2 3 6" xfId="12743" xr:uid="{00000000-0005-0000-0000-00004A0C0000}"/>
    <cellStyle name="Cálculo 6 2 3 6 2" xfId="29984" xr:uid="{00000000-0005-0000-0000-00004B0C0000}"/>
    <cellStyle name="Cálculo 6 2 3 7" xfId="29979" xr:uid="{00000000-0005-0000-0000-00004C0C0000}"/>
    <cellStyle name="Cálculo 6 2 3 8" xfId="32849" xr:uid="{00000000-0005-0000-0000-00004D0C0000}"/>
    <cellStyle name="Cálculo 6 2 3 9" xfId="34239" xr:uid="{00000000-0005-0000-0000-00004E0C0000}"/>
    <cellStyle name="Cálculo 6 2 4" xfId="12744" xr:uid="{00000000-0005-0000-0000-00004F0C0000}"/>
    <cellStyle name="Cálculo 6 2 4 2" xfId="12745" xr:uid="{00000000-0005-0000-0000-0000500C0000}"/>
    <cellStyle name="Cálculo 6 2 4 2 2" xfId="29986" xr:uid="{00000000-0005-0000-0000-0000510C0000}"/>
    <cellStyle name="Cálculo 6 2 4 3" xfId="12746" xr:uid="{00000000-0005-0000-0000-0000520C0000}"/>
    <cellStyle name="Cálculo 6 2 4 3 2" xfId="29987" xr:uid="{00000000-0005-0000-0000-0000530C0000}"/>
    <cellStyle name="Cálculo 6 2 4 4" xfId="12747" xr:uid="{00000000-0005-0000-0000-0000540C0000}"/>
    <cellStyle name="Cálculo 6 2 4 4 2" xfId="29988" xr:uid="{00000000-0005-0000-0000-0000550C0000}"/>
    <cellStyle name="Cálculo 6 2 4 5" xfId="12748" xr:uid="{00000000-0005-0000-0000-0000560C0000}"/>
    <cellStyle name="Cálculo 6 2 4 5 2" xfId="29989" xr:uid="{00000000-0005-0000-0000-0000570C0000}"/>
    <cellStyle name="Cálculo 6 2 4 6" xfId="29985" xr:uid="{00000000-0005-0000-0000-0000580C0000}"/>
    <cellStyle name="Cálculo 6 2 5" xfId="12749" xr:uid="{00000000-0005-0000-0000-0000590C0000}"/>
    <cellStyle name="Cálculo 6 2 5 2" xfId="12750" xr:uid="{00000000-0005-0000-0000-00005A0C0000}"/>
    <cellStyle name="Cálculo 6 2 5 2 2" xfId="29991" xr:uid="{00000000-0005-0000-0000-00005B0C0000}"/>
    <cellStyle name="Cálculo 6 2 5 3" xfId="12751" xr:uid="{00000000-0005-0000-0000-00005C0C0000}"/>
    <cellStyle name="Cálculo 6 2 5 3 2" xfId="29992" xr:uid="{00000000-0005-0000-0000-00005D0C0000}"/>
    <cellStyle name="Cálculo 6 2 5 4" xfId="12752" xr:uid="{00000000-0005-0000-0000-00005E0C0000}"/>
    <cellStyle name="Cálculo 6 2 5 4 2" xfId="29993" xr:uid="{00000000-0005-0000-0000-00005F0C0000}"/>
    <cellStyle name="Cálculo 6 2 5 5" xfId="12753" xr:uid="{00000000-0005-0000-0000-0000600C0000}"/>
    <cellStyle name="Cálculo 6 2 5 5 2" xfId="29994" xr:uid="{00000000-0005-0000-0000-0000610C0000}"/>
    <cellStyle name="Cálculo 6 2 5 6" xfId="29990" xr:uid="{00000000-0005-0000-0000-0000620C0000}"/>
    <cellStyle name="Cálculo 6 2 6" xfId="12754" xr:uid="{00000000-0005-0000-0000-0000630C0000}"/>
    <cellStyle name="Cálculo 6 2 6 2" xfId="12755" xr:uid="{00000000-0005-0000-0000-0000640C0000}"/>
    <cellStyle name="Cálculo 6 2 6 2 2" xfId="29996" xr:uid="{00000000-0005-0000-0000-0000650C0000}"/>
    <cellStyle name="Cálculo 6 2 6 3" xfId="12756" xr:uid="{00000000-0005-0000-0000-0000660C0000}"/>
    <cellStyle name="Cálculo 6 2 6 3 2" xfId="29997" xr:uid="{00000000-0005-0000-0000-0000670C0000}"/>
    <cellStyle name="Cálculo 6 2 6 4" xfId="12757" xr:uid="{00000000-0005-0000-0000-0000680C0000}"/>
    <cellStyle name="Cálculo 6 2 6 4 2" xfId="29998" xr:uid="{00000000-0005-0000-0000-0000690C0000}"/>
    <cellStyle name="Cálculo 6 2 6 5" xfId="12758" xr:uid="{00000000-0005-0000-0000-00006A0C0000}"/>
    <cellStyle name="Cálculo 6 2 6 5 2" xfId="29999" xr:uid="{00000000-0005-0000-0000-00006B0C0000}"/>
    <cellStyle name="Cálculo 6 2 6 6" xfId="29995" xr:uid="{00000000-0005-0000-0000-00006C0C0000}"/>
    <cellStyle name="Cálculo 6 2 7" xfId="12759" xr:uid="{00000000-0005-0000-0000-00006D0C0000}"/>
    <cellStyle name="Cálculo 6 2 7 2" xfId="12760" xr:uid="{00000000-0005-0000-0000-00006E0C0000}"/>
    <cellStyle name="Cálculo 6 2 7 2 2" xfId="30001" xr:uid="{00000000-0005-0000-0000-00006F0C0000}"/>
    <cellStyle name="Cálculo 6 2 7 3" xfId="12761" xr:uid="{00000000-0005-0000-0000-0000700C0000}"/>
    <cellStyle name="Cálculo 6 2 7 3 2" xfId="30002" xr:uid="{00000000-0005-0000-0000-0000710C0000}"/>
    <cellStyle name="Cálculo 6 2 7 4" xfId="12762" xr:uid="{00000000-0005-0000-0000-0000720C0000}"/>
    <cellStyle name="Cálculo 6 2 7 4 2" xfId="30003" xr:uid="{00000000-0005-0000-0000-0000730C0000}"/>
    <cellStyle name="Cálculo 6 2 7 5" xfId="12763" xr:uid="{00000000-0005-0000-0000-0000740C0000}"/>
    <cellStyle name="Cálculo 6 2 7 5 2" xfId="30004" xr:uid="{00000000-0005-0000-0000-0000750C0000}"/>
    <cellStyle name="Cálculo 6 2 7 6" xfId="30000" xr:uid="{00000000-0005-0000-0000-0000760C0000}"/>
    <cellStyle name="Cálculo 6 2 8" xfId="12764" xr:uid="{00000000-0005-0000-0000-0000770C0000}"/>
    <cellStyle name="Cálculo 6 2 8 2" xfId="12765" xr:uid="{00000000-0005-0000-0000-0000780C0000}"/>
    <cellStyle name="Cálculo 6 2 8 2 2" xfId="30006" xr:uid="{00000000-0005-0000-0000-0000790C0000}"/>
    <cellStyle name="Cálculo 6 2 8 3" xfId="12766" xr:uid="{00000000-0005-0000-0000-00007A0C0000}"/>
    <cellStyle name="Cálculo 6 2 8 3 2" xfId="30007" xr:uid="{00000000-0005-0000-0000-00007B0C0000}"/>
    <cellStyle name="Cálculo 6 2 8 4" xfId="12767" xr:uid="{00000000-0005-0000-0000-00007C0C0000}"/>
    <cellStyle name="Cálculo 6 2 8 4 2" xfId="30008" xr:uid="{00000000-0005-0000-0000-00007D0C0000}"/>
    <cellStyle name="Cálculo 6 2 8 5" xfId="12768" xr:uid="{00000000-0005-0000-0000-00007E0C0000}"/>
    <cellStyle name="Cálculo 6 2 8 5 2" xfId="30009" xr:uid="{00000000-0005-0000-0000-00007F0C0000}"/>
    <cellStyle name="Cálculo 6 2 8 6" xfId="12769" xr:uid="{00000000-0005-0000-0000-0000800C0000}"/>
    <cellStyle name="Cálculo 6 2 8 6 2" xfId="30010" xr:uid="{00000000-0005-0000-0000-0000810C0000}"/>
    <cellStyle name="Cálculo 6 2 8 7" xfId="30005" xr:uid="{00000000-0005-0000-0000-0000820C0000}"/>
    <cellStyle name="Cálculo 6 2 9" xfId="12770" xr:uid="{00000000-0005-0000-0000-0000830C0000}"/>
    <cellStyle name="Cálculo 6 2 9 2" xfId="12771" xr:uid="{00000000-0005-0000-0000-0000840C0000}"/>
    <cellStyle name="Cálculo 6 2 9 2 2" xfId="30012" xr:uid="{00000000-0005-0000-0000-0000850C0000}"/>
    <cellStyle name="Cálculo 6 2 9 3" xfId="30011" xr:uid="{00000000-0005-0000-0000-0000860C0000}"/>
    <cellStyle name="Cálculo 6 3" xfId="11795" xr:uid="{00000000-0005-0000-0000-0000870C0000}"/>
    <cellStyle name="Cálculo 6 3 2" xfId="30013" xr:uid="{00000000-0005-0000-0000-0000880C0000}"/>
    <cellStyle name="Cálculo 6 3 3" xfId="32850" xr:uid="{00000000-0005-0000-0000-0000890C0000}"/>
    <cellStyle name="Cálculo 6 3 4" xfId="34240" xr:uid="{00000000-0005-0000-0000-00008A0C0000}"/>
    <cellStyle name="Cálculo 6 3 5" xfId="40629" xr:uid="{00000000-0005-0000-0000-00008B0C0000}"/>
    <cellStyle name="Cálculo 6 4" xfId="11796" xr:uid="{00000000-0005-0000-0000-00008C0C0000}"/>
    <cellStyle name="Cálculo 6 4 2" xfId="30014" xr:uid="{00000000-0005-0000-0000-00008D0C0000}"/>
    <cellStyle name="Cálculo 6 4 3" xfId="32851" xr:uid="{00000000-0005-0000-0000-00008E0C0000}"/>
    <cellStyle name="Cálculo 6 4 4" xfId="34241" xr:uid="{00000000-0005-0000-0000-00008F0C0000}"/>
    <cellStyle name="Cálculo 6 4 5" xfId="40630" xr:uid="{00000000-0005-0000-0000-0000900C0000}"/>
    <cellStyle name="Cálculo 6 5" xfId="29970" xr:uid="{00000000-0005-0000-0000-0000910C0000}"/>
    <cellStyle name="Cálculo 6 6" xfId="32846" xr:uid="{00000000-0005-0000-0000-0000920C0000}"/>
    <cellStyle name="Cálculo 6 7" xfId="34236" xr:uid="{00000000-0005-0000-0000-0000930C0000}"/>
    <cellStyle name="Cálculo 6 8" xfId="40625" xr:uid="{00000000-0005-0000-0000-0000940C0000}"/>
    <cellStyle name="Cálculo 7" xfId="1005" xr:uid="{00000000-0005-0000-0000-0000950C0000}"/>
    <cellStyle name="Cálculo 7 2" xfId="11558" xr:uid="{00000000-0005-0000-0000-0000960C0000}"/>
    <cellStyle name="Cálculo 7 2 10" xfId="12772" xr:uid="{00000000-0005-0000-0000-0000970C0000}"/>
    <cellStyle name="Cálculo 7 2 10 2" xfId="30017" xr:uid="{00000000-0005-0000-0000-0000980C0000}"/>
    <cellStyle name="Cálculo 7 2 11" xfId="30016" xr:uid="{00000000-0005-0000-0000-0000990C0000}"/>
    <cellStyle name="Cálculo 7 2 12" xfId="32853" xr:uid="{00000000-0005-0000-0000-00009A0C0000}"/>
    <cellStyle name="Cálculo 7 2 13" xfId="33534" xr:uid="{00000000-0005-0000-0000-00009B0C0000}"/>
    <cellStyle name="Cálculo 7 2 14" xfId="34243" xr:uid="{00000000-0005-0000-0000-00009C0C0000}"/>
    <cellStyle name="Cálculo 7 2 15" xfId="40632" xr:uid="{00000000-0005-0000-0000-00009D0C0000}"/>
    <cellStyle name="Cálculo 7 2 2" xfId="11797" xr:uid="{00000000-0005-0000-0000-00009E0C0000}"/>
    <cellStyle name="Cálculo 7 2 2 10" xfId="40633" xr:uid="{00000000-0005-0000-0000-00009F0C0000}"/>
    <cellStyle name="Cálculo 7 2 2 2" xfId="12773" xr:uid="{00000000-0005-0000-0000-0000A00C0000}"/>
    <cellStyle name="Cálculo 7 2 2 2 2" xfId="30019" xr:uid="{00000000-0005-0000-0000-0000A10C0000}"/>
    <cellStyle name="Cálculo 7 2 2 3" xfId="12774" xr:uid="{00000000-0005-0000-0000-0000A20C0000}"/>
    <cellStyle name="Cálculo 7 2 2 3 2" xfId="30020" xr:uid="{00000000-0005-0000-0000-0000A30C0000}"/>
    <cellStyle name="Cálculo 7 2 2 4" xfId="12775" xr:uid="{00000000-0005-0000-0000-0000A40C0000}"/>
    <cellStyle name="Cálculo 7 2 2 4 2" xfId="30021" xr:uid="{00000000-0005-0000-0000-0000A50C0000}"/>
    <cellStyle name="Cálculo 7 2 2 5" xfId="12776" xr:uid="{00000000-0005-0000-0000-0000A60C0000}"/>
    <cellStyle name="Cálculo 7 2 2 5 2" xfId="30022" xr:uid="{00000000-0005-0000-0000-0000A70C0000}"/>
    <cellStyle name="Cálculo 7 2 2 6" xfId="12777" xr:uid="{00000000-0005-0000-0000-0000A80C0000}"/>
    <cellStyle name="Cálculo 7 2 2 6 2" xfId="30023" xr:uid="{00000000-0005-0000-0000-0000A90C0000}"/>
    <cellStyle name="Cálculo 7 2 2 7" xfId="30018" xr:uid="{00000000-0005-0000-0000-0000AA0C0000}"/>
    <cellStyle name="Cálculo 7 2 2 8" xfId="32854" xr:uid="{00000000-0005-0000-0000-0000AB0C0000}"/>
    <cellStyle name="Cálculo 7 2 2 9" xfId="34244" xr:uid="{00000000-0005-0000-0000-0000AC0C0000}"/>
    <cellStyle name="Cálculo 7 2 3" xfId="11798" xr:uid="{00000000-0005-0000-0000-0000AD0C0000}"/>
    <cellStyle name="Cálculo 7 2 3 10" xfId="40634" xr:uid="{00000000-0005-0000-0000-0000AE0C0000}"/>
    <cellStyle name="Cálculo 7 2 3 2" xfId="12778" xr:uid="{00000000-0005-0000-0000-0000AF0C0000}"/>
    <cellStyle name="Cálculo 7 2 3 2 2" xfId="30025" xr:uid="{00000000-0005-0000-0000-0000B00C0000}"/>
    <cellStyle name="Cálculo 7 2 3 3" xfId="12779" xr:uid="{00000000-0005-0000-0000-0000B10C0000}"/>
    <cellStyle name="Cálculo 7 2 3 3 2" xfId="30026" xr:uid="{00000000-0005-0000-0000-0000B20C0000}"/>
    <cellStyle name="Cálculo 7 2 3 4" xfId="12780" xr:uid="{00000000-0005-0000-0000-0000B30C0000}"/>
    <cellStyle name="Cálculo 7 2 3 4 2" xfId="30027" xr:uid="{00000000-0005-0000-0000-0000B40C0000}"/>
    <cellStyle name="Cálculo 7 2 3 5" xfId="12781" xr:uid="{00000000-0005-0000-0000-0000B50C0000}"/>
    <cellStyle name="Cálculo 7 2 3 5 2" xfId="30028" xr:uid="{00000000-0005-0000-0000-0000B60C0000}"/>
    <cellStyle name="Cálculo 7 2 3 6" xfId="12782" xr:uid="{00000000-0005-0000-0000-0000B70C0000}"/>
    <cellStyle name="Cálculo 7 2 3 6 2" xfId="30029" xr:uid="{00000000-0005-0000-0000-0000B80C0000}"/>
    <cellStyle name="Cálculo 7 2 3 7" xfId="30024" xr:uid="{00000000-0005-0000-0000-0000B90C0000}"/>
    <cellStyle name="Cálculo 7 2 3 8" xfId="32855" xr:uid="{00000000-0005-0000-0000-0000BA0C0000}"/>
    <cellStyle name="Cálculo 7 2 3 9" xfId="34245" xr:uid="{00000000-0005-0000-0000-0000BB0C0000}"/>
    <cellStyle name="Cálculo 7 2 4" xfId="12783" xr:uid="{00000000-0005-0000-0000-0000BC0C0000}"/>
    <cellStyle name="Cálculo 7 2 4 2" xfId="12784" xr:uid="{00000000-0005-0000-0000-0000BD0C0000}"/>
    <cellStyle name="Cálculo 7 2 4 2 2" xfId="30031" xr:uid="{00000000-0005-0000-0000-0000BE0C0000}"/>
    <cellStyle name="Cálculo 7 2 4 3" xfId="12785" xr:uid="{00000000-0005-0000-0000-0000BF0C0000}"/>
    <cellStyle name="Cálculo 7 2 4 3 2" xfId="30032" xr:uid="{00000000-0005-0000-0000-0000C00C0000}"/>
    <cellStyle name="Cálculo 7 2 4 4" xfId="12786" xr:uid="{00000000-0005-0000-0000-0000C10C0000}"/>
    <cellStyle name="Cálculo 7 2 4 4 2" xfId="30033" xr:uid="{00000000-0005-0000-0000-0000C20C0000}"/>
    <cellStyle name="Cálculo 7 2 4 5" xfId="12787" xr:uid="{00000000-0005-0000-0000-0000C30C0000}"/>
    <cellStyle name="Cálculo 7 2 4 5 2" xfId="30034" xr:uid="{00000000-0005-0000-0000-0000C40C0000}"/>
    <cellStyle name="Cálculo 7 2 4 6" xfId="30030" xr:uid="{00000000-0005-0000-0000-0000C50C0000}"/>
    <cellStyle name="Cálculo 7 2 5" xfId="12788" xr:uid="{00000000-0005-0000-0000-0000C60C0000}"/>
    <cellStyle name="Cálculo 7 2 5 2" xfId="12789" xr:uid="{00000000-0005-0000-0000-0000C70C0000}"/>
    <cellStyle name="Cálculo 7 2 5 2 2" xfId="30036" xr:uid="{00000000-0005-0000-0000-0000C80C0000}"/>
    <cellStyle name="Cálculo 7 2 5 3" xfId="12790" xr:uid="{00000000-0005-0000-0000-0000C90C0000}"/>
    <cellStyle name="Cálculo 7 2 5 3 2" xfId="30037" xr:uid="{00000000-0005-0000-0000-0000CA0C0000}"/>
    <cellStyle name="Cálculo 7 2 5 4" xfId="12791" xr:uid="{00000000-0005-0000-0000-0000CB0C0000}"/>
    <cellStyle name="Cálculo 7 2 5 4 2" xfId="30038" xr:uid="{00000000-0005-0000-0000-0000CC0C0000}"/>
    <cellStyle name="Cálculo 7 2 5 5" xfId="12792" xr:uid="{00000000-0005-0000-0000-0000CD0C0000}"/>
    <cellStyle name="Cálculo 7 2 5 5 2" xfId="30039" xr:uid="{00000000-0005-0000-0000-0000CE0C0000}"/>
    <cellStyle name="Cálculo 7 2 5 6" xfId="30035" xr:uid="{00000000-0005-0000-0000-0000CF0C0000}"/>
    <cellStyle name="Cálculo 7 2 6" xfId="12793" xr:uid="{00000000-0005-0000-0000-0000D00C0000}"/>
    <cellStyle name="Cálculo 7 2 6 2" xfId="12794" xr:uid="{00000000-0005-0000-0000-0000D10C0000}"/>
    <cellStyle name="Cálculo 7 2 6 2 2" xfId="30041" xr:uid="{00000000-0005-0000-0000-0000D20C0000}"/>
    <cellStyle name="Cálculo 7 2 6 3" xfId="12795" xr:uid="{00000000-0005-0000-0000-0000D30C0000}"/>
    <cellStyle name="Cálculo 7 2 6 3 2" xfId="30042" xr:uid="{00000000-0005-0000-0000-0000D40C0000}"/>
    <cellStyle name="Cálculo 7 2 6 4" xfId="12796" xr:uid="{00000000-0005-0000-0000-0000D50C0000}"/>
    <cellStyle name="Cálculo 7 2 6 4 2" xfId="30043" xr:uid="{00000000-0005-0000-0000-0000D60C0000}"/>
    <cellStyle name="Cálculo 7 2 6 5" xfId="12797" xr:uid="{00000000-0005-0000-0000-0000D70C0000}"/>
    <cellStyle name="Cálculo 7 2 6 5 2" xfId="30044" xr:uid="{00000000-0005-0000-0000-0000D80C0000}"/>
    <cellStyle name="Cálculo 7 2 6 6" xfId="30040" xr:uid="{00000000-0005-0000-0000-0000D90C0000}"/>
    <cellStyle name="Cálculo 7 2 7" xfId="12798" xr:uid="{00000000-0005-0000-0000-0000DA0C0000}"/>
    <cellStyle name="Cálculo 7 2 7 2" xfId="12799" xr:uid="{00000000-0005-0000-0000-0000DB0C0000}"/>
    <cellStyle name="Cálculo 7 2 7 2 2" xfId="30046" xr:uid="{00000000-0005-0000-0000-0000DC0C0000}"/>
    <cellStyle name="Cálculo 7 2 7 3" xfId="12800" xr:uid="{00000000-0005-0000-0000-0000DD0C0000}"/>
    <cellStyle name="Cálculo 7 2 7 3 2" xfId="30047" xr:uid="{00000000-0005-0000-0000-0000DE0C0000}"/>
    <cellStyle name="Cálculo 7 2 7 4" xfId="12801" xr:uid="{00000000-0005-0000-0000-0000DF0C0000}"/>
    <cellStyle name="Cálculo 7 2 7 4 2" xfId="30048" xr:uid="{00000000-0005-0000-0000-0000E00C0000}"/>
    <cellStyle name="Cálculo 7 2 7 5" xfId="12802" xr:uid="{00000000-0005-0000-0000-0000E10C0000}"/>
    <cellStyle name="Cálculo 7 2 7 5 2" xfId="30049" xr:uid="{00000000-0005-0000-0000-0000E20C0000}"/>
    <cellStyle name="Cálculo 7 2 7 6" xfId="30045" xr:uid="{00000000-0005-0000-0000-0000E30C0000}"/>
    <cellStyle name="Cálculo 7 2 8" xfId="12803" xr:uid="{00000000-0005-0000-0000-0000E40C0000}"/>
    <cellStyle name="Cálculo 7 2 8 2" xfId="12804" xr:uid="{00000000-0005-0000-0000-0000E50C0000}"/>
    <cellStyle name="Cálculo 7 2 8 2 2" xfId="30051" xr:uid="{00000000-0005-0000-0000-0000E60C0000}"/>
    <cellStyle name="Cálculo 7 2 8 3" xfId="12805" xr:uid="{00000000-0005-0000-0000-0000E70C0000}"/>
    <cellStyle name="Cálculo 7 2 8 3 2" xfId="30052" xr:uid="{00000000-0005-0000-0000-0000E80C0000}"/>
    <cellStyle name="Cálculo 7 2 8 4" xfId="12806" xr:uid="{00000000-0005-0000-0000-0000E90C0000}"/>
    <cellStyle name="Cálculo 7 2 8 4 2" xfId="30053" xr:uid="{00000000-0005-0000-0000-0000EA0C0000}"/>
    <cellStyle name="Cálculo 7 2 8 5" xfId="12807" xr:uid="{00000000-0005-0000-0000-0000EB0C0000}"/>
    <cellStyle name="Cálculo 7 2 8 5 2" xfId="30054" xr:uid="{00000000-0005-0000-0000-0000EC0C0000}"/>
    <cellStyle name="Cálculo 7 2 8 6" xfId="12808" xr:uid="{00000000-0005-0000-0000-0000ED0C0000}"/>
    <cellStyle name="Cálculo 7 2 8 6 2" xfId="30055" xr:uid="{00000000-0005-0000-0000-0000EE0C0000}"/>
    <cellStyle name="Cálculo 7 2 8 7" xfId="30050" xr:uid="{00000000-0005-0000-0000-0000EF0C0000}"/>
    <cellStyle name="Cálculo 7 2 9" xfId="12809" xr:uid="{00000000-0005-0000-0000-0000F00C0000}"/>
    <cellStyle name="Cálculo 7 2 9 2" xfId="12810" xr:uid="{00000000-0005-0000-0000-0000F10C0000}"/>
    <cellStyle name="Cálculo 7 2 9 2 2" xfId="30057" xr:uid="{00000000-0005-0000-0000-0000F20C0000}"/>
    <cellStyle name="Cálculo 7 2 9 3" xfId="30056" xr:uid="{00000000-0005-0000-0000-0000F30C0000}"/>
    <cellStyle name="Cálculo 7 3" xfId="11799" xr:uid="{00000000-0005-0000-0000-0000F40C0000}"/>
    <cellStyle name="Cálculo 7 3 2" xfId="30058" xr:uid="{00000000-0005-0000-0000-0000F50C0000}"/>
    <cellStyle name="Cálculo 7 3 3" xfId="32856" xr:uid="{00000000-0005-0000-0000-0000F60C0000}"/>
    <cellStyle name="Cálculo 7 3 4" xfId="34246" xr:uid="{00000000-0005-0000-0000-0000F70C0000}"/>
    <cellStyle name="Cálculo 7 3 5" xfId="40635" xr:uid="{00000000-0005-0000-0000-0000F80C0000}"/>
    <cellStyle name="Cálculo 7 4" xfId="11800" xr:uid="{00000000-0005-0000-0000-0000F90C0000}"/>
    <cellStyle name="Cálculo 7 4 2" xfId="30059" xr:uid="{00000000-0005-0000-0000-0000FA0C0000}"/>
    <cellStyle name="Cálculo 7 4 3" xfId="32857" xr:uid="{00000000-0005-0000-0000-0000FB0C0000}"/>
    <cellStyle name="Cálculo 7 4 4" xfId="34247" xr:uid="{00000000-0005-0000-0000-0000FC0C0000}"/>
    <cellStyle name="Cálculo 7 4 5" xfId="40636" xr:uid="{00000000-0005-0000-0000-0000FD0C0000}"/>
    <cellStyle name="Cálculo 7 5" xfId="30015" xr:uid="{00000000-0005-0000-0000-0000FE0C0000}"/>
    <cellStyle name="Cálculo 7 6" xfId="32852" xr:uid="{00000000-0005-0000-0000-0000FF0C0000}"/>
    <cellStyle name="Cálculo 7 7" xfId="34242" xr:uid="{00000000-0005-0000-0000-0000000D0000}"/>
    <cellStyle name="Cálculo 7 8" xfId="40631" xr:uid="{00000000-0005-0000-0000-0000010D0000}"/>
    <cellStyle name="Cálculo 8" xfId="1006" xr:uid="{00000000-0005-0000-0000-0000020D0000}"/>
    <cellStyle name="Cálculo 8 2" xfId="11559" xr:uid="{00000000-0005-0000-0000-0000030D0000}"/>
    <cellStyle name="Cálculo 8 2 10" xfId="12811" xr:uid="{00000000-0005-0000-0000-0000040D0000}"/>
    <cellStyle name="Cálculo 8 2 10 2" xfId="30062" xr:uid="{00000000-0005-0000-0000-0000050D0000}"/>
    <cellStyle name="Cálculo 8 2 11" xfId="30061" xr:uid="{00000000-0005-0000-0000-0000060D0000}"/>
    <cellStyle name="Cálculo 8 2 12" xfId="32859" xr:uid="{00000000-0005-0000-0000-0000070D0000}"/>
    <cellStyle name="Cálculo 8 2 13" xfId="33535" xr:uid="{00000000-0005-0000-0000-0000080D0000}"/>
    <cellStyle name="Cálculo 8 2 14" xfId="34249" xr:uid="{00000000-0005-0000-0000-0000090D0000}"/>
    <cellStyle name="Cálculo 8 2 15" xfId="40638" xr:uid="{00000000-0005-0000-0000-00000A0D0000}"/>
    <cellStyle name="Cálculo 8 2 2" xfId="11801" xr:uid="{00000000-0005-0000-0000-00000B0D0000}"/>
    <cellStyle name="Cálculo 8 2 2 10" xfId="40639" xr:uid="{00000000-0005-0000-0000-00000C0D0000}"/>
    <cellStyle name="Cálculo 8 2 2 2" xfId="12812" xr:uid="{00000000-0005-0000-0000-00000D0D0000}"/>
    <cellStyle name="Cálculo 8 2 2 2 2" xfId="30064" xr:uid="{00000000-0005-0000-0000-00000E0D0000}"/>
    <cellStyle name="Cálculo 8 2 2 3" xfId="12813" xr:uid="{00000000-0005-0000-0000-00000F0D0000}"/>
    <cellStyle name="Cálculo 8 2 2 3 2" xfId="30065" xr:uid="{00000000-0005-0000-0000-0000100D0000}"/>
    <cellStyle name="Cálculo 8 2 2 4" xfId="12814" xr:uid="{00000000-0005-0000-0000-0000110D0000}"/>
    <cellStyle name="Cálculo 8 2 2 4 2" xfId="30066" xr:uid="{00000000-0005-0000-0000-0000120D0000}"/>
    <cellStyle name="Cálculo 8 2 2 5" xfId="12815" xr:uid="{00000000-0005-0000-0000-0000130D0000}"/>
    <cellStyle name="Cálculo 8 2 2 5 2" xfId="30067" xr:uid="{00000000-0005-0000-0000-0000140D0000}"/>
    <cellStyle name="Cálculo 8 2 2 6" xfId="12816" xr:uid="{00000000-0005-0000-0000-0000150D0000}"/>
    <cellStyle name="Cálculo 8 2 2 6 2" xfId="30068" xr:uid="{00000000-0005-0000-0000-0000160D0000}"/>
    <cellStyle name="Cálculo 8 2 2 7" xfId="30063" xr:uid="{00000000-0005-0000-0000-0000170D0000}"/>
    <cellStyle name="Cálculo 8 2 2 8" xfId="32860" xr:uid="{00000000-0005-0000-0000-0000180D0000}"/>
    <cellStyle name="Cálculo 8 2 2 9" xfId="34250" xr:uid="{00000000-0005-0000-0000-0000190D0000}"/>
    <cellStyle name="Cálculo 8 2 3" xfId="11802" xr:uid="{00000000-0005-0000-0000-00001A0D0000}"/>
    <cellStyle name="Cálculo 8 2 3 10" xfId="40640" xr:uid="{00000000-0005-0000-0000-00001B0D0000}"/>
    <cellStyle name="Cálculo 8 2 3 2" xfId="12817" xr:uid="{00000000-0005-0000-0000-00001C0D0000}"/>
    <cellStyle name="Cálculo 8 2 3 2 2" xfId="30070" xr:uid="{00000000-0005-0000-0000-00001D0D0000}"/>
    <cellStyle name="Cálculo 8 2 3 3" xfId="12818" xr:uid="{00000000-0005-0000-0000-00001E0D0000}"/>
    <cellStyle name="Cálculo 8 2 3 3 2" xfId="30071" xr:uid="{00000000-0005-0000-0000-00001F0D0000}"/>
    <cellStyle name="Cálculo 8 2 3 4" xfId="12819" xr:uid="{00000000-0005-0000-0000-0000200D0000}"/>
    <cellStyle name="Cálculo 8 2 3 4 2" xfId="30072" xr:uid="{00000000-0005-0000-0000-0000210D0000}"/>
    <cellStyle name="Cálculo 8 2 3 5" xfId="12820" xr:uid="{00000000-0005-0000-0000-0000220D0000}"/>
    <cellStyle name="Cálculo 8 2 3 5 2" xfId="30073" xr:uid="{00000000-0005-0000-0000-0000230D0000}"/>
    <cellStyle name="Cálculo 8 2 3 6" xfId="12821" xr:uid="{00000000-0005-0000-0000-0000240D0000}"/>
    <cellStyle name="Cálculo 8 2 3 6 2" xfId="30074" xr:uid="{00000000-0005-0000-0000-0000250D0000}"/>
    <cellStyle name="Cálculo 8 2 3 7" xfId="30069" xr:uid="{00000000-0005-0000-0000-0000260D0000}"/>
    <cellStyle name="Cálculo 8 2 3 8" xfId="32861" xr:uid="{00000000-0005-0000-0000-0000270D0000}"/>
    <cellStyle name="Cálculo 8 2 3 9" xfId="34251" xr:uid="{00000000-0005-0000-0000-0000280D0000}"/>
    <cellStyle name="Cálculo 8 2 4" xfId="12822" xr:uid="{00000000-0005-0000-0000-0000290D0000}"/>
    <cellStyle name="Cálculo 8 2 4 2" xfId="12823" xr:uid="{00000000-0005-0000-0000-00002A0D0000}"/>
    <cellStyle name="Cálculo 8 2 4 2 2" xfId="30076" xr:uid="{00000000-0005-0000-0000-00002B0D0000}"/>
    <cellStyle name="Cálculo 8 2 4 3" xfId="12824" xr:uid="{00000000-0005-0000-0000-00002C0D0000}"/>
    <cellStyle name="Cálculo 8 2 4 3 2" xfId="30077" xr:uid="{00000000-0005-0000-0000-00002D0D0000}"/>
    <cellStyle name="Cálculo 8 2 4 4" xfId="12825" xr:uid="{00000000-0005-0000-0000-00002E0D0000}"/>
    <cellStyle name="Cálculo 8 2 4 4 2" xfId="30078" xr:uid="{00000000-0005-0000-0000-00002F0D0000}"/>
    <cellStyle name="Cálculo 8 2 4 5" xfId="12826" xr:uid="{00000000-0005-0000-0000-0000300D0000}"/>
    <cellStyle name="Cálculo 8 2 4 5 2" xfId="30079" xr:uid="{00000000-0005-0000-0000-0000310D0000}"/>
    <cellStyle name="Cálculo 8 2 4 6" xfId="30075" xr:uid="{00000000-0005-0000-0000-0000320D0000}"/>
    <cellStyle name="Cálculo 8 2 5" xfId="12827" xr:uid="{00000000-0005-0000-0000-0000330D0000}"/>
    <cellStyle name="Cálculo 8 2 5 2" xfId="12828" xr:uid="{00000000-0005-0000-0000-0000340D0000}"/>
    <cellStyle name="Cálculo 8 2 5 2 2" xfId="30081" xr:uid="{00000000-0005-0000-0000-0000350D0000}"/>
    <cellStyle name="Cálculo 8 2 5 3" xfId="12829" xr:uid="{00000000-0005-0000-0000-0000360D0000}"/>
    <cellStyle name="Cálculo 8 2 5 3 2" xfId="30082" xr:uid="{00000000-0005-0000-0000-0000370D0000}"/>
    <cellStyle name="Cálculo 8 2 5 4" xfId="12830" xr:uid="{00000000-0005-0000-0000-0000380D0000}"/>
    <cellStyle name="Cálculo 8 2 5 4 2" xfId="30083" xr:uid="{00000000-0005-0000-0000-0000390D0000}"/>
    <cellStyle name="Cálculo 8 2 5 5" xfId="12831" xr:uid="{00000000-0005-0000-0000-00003A0D0000}"/>
    <cellStyle name="Cálculo 8 2 5 5 2" xfId="30084" xr:uid="{00000000-0005-0000-0000-00003B0D0000}"/>
    <cellStyle name="Cálculo 8 2 5 6" xfId="30080" xr:uid="{00000000-0005-0000-0000-00003C0D0000}"/>
    <cellStyle name="Cálculo 8 2 6" xfId="12832" xr:uid="{00000000-0005-0000-0000-00003D0D0000}"/>
    <cellStyle name="Cálculo 8 2 6 2" xfId="12833" xr:uid="{00000000-0005-0000-0000-00003E0D0000}"/>
    <cellStyle name="Cálculo 8 2 6 2 2" xfId="30086" xr:uid="{00000000-0005-0000-0000-00003F0D0000}"/>
    <cellStyle name="Cálculo 8 2 6 3" xfId="12834" xr:uid="{00000000-0005-0000-0000-0000400D0000}"/>
    <cellStyle name="Cálculo 8 2 6 3 2" xfId="30087" xr:uid="{00000000-0005-0000-0000-0000410D0000}"/>
    <cellStyle name="Cálculo 8 2 6 4" xfId="12835" xr:uid="{00000000-0005-0000-0000-0000420D0000}"/>
    <cellStyle name="Cálculo 8 2 6 4 2" xfId="30088" xr:uid="{00000000-0005-0000-0000-0000430D0000}"/>
    <cellStyle name="Cálculo 8 2 6 5" xfId="12836" xr:uid="{00000000-0005-0000-0000-0000440D0000}"/>
    <cellStyle name="Cálculo 8 2 6 5 2" xfId="30089" xr:uid="{00000000-0005-0000-0000-0000450D0000}"/>
    <cellStyle name="Cálculo 8 2 6 6" xfId="30085" xr:uid="{00000000-0005-0000-0000-0000460D0000}"/>
    <cellStyle name="Cálculo 8 2 7" xfId="12837" xr:uid="{00000000-0005-0000-0000-0000470D0000}"/>
    <cellStyle name="Cálculo 8 2 7 2" xfId="12838" xr:uid="{00000000-0005-0000-0000-0000480D0000}"/>
    <cellStyle name="Cálculo 8 2 7 2 2" xfId="30091" xr:uid="{00000000-0005-0000-0000-0000490D0000}"/>
    <cellStyle name="Cálculo 8 2 7 3" xfId="12839" xr:uid="{00000000-0005-0000-0000-00004A0D0000}"/>
    <cellStyle name="Cálculo 8 2 7 3 2" xfId="30092" xr:uid="{00000000-0005-0000-0000-00004B0D0000}"/>
    <cellStyle name="Cálculo 8 2 7 4" xfId="12840" xr:uid="{00000000-0005-0000-0000-00004C0D0000}"/>
    <cellStyle name="Cálculo 8 2 7 4 2" xfId="30093" xr:uid="{00000000-0005-0000-0000-00004D0D0000}"/>
    <cellStyle name="Cálculo 8 2 7 5" xfId="12841" xr:uid="{00000000-0005-0000-0000-00004E0D0000}"/>
    <cellStyle name="Cálculo 8 2 7 5 2" xfId="30094" xr:uid="{00000000-0005-0000-0000-00004F0D0000}"/>
    <cellStyle name="Cálculo 8 2 7 6" xfId="30090" xr:uid="{00000000-0005-0000-0000-0000500D0000}"/>
    <cellStyle name="Cálculo 8 2 8" xfId="12842" xr:uid="{00000000-0005-0000-0000-0000510D0000}"/>
    <cellStyle name="Cálculo 8 2 8 2" xfId="12843" xr:uid="{00000000-0005-0000-0000-0000520D0000}"/>
    <cellStyle name="Cálculo 8 2 8 2 2" xfId="30096" xr:uid="{00000000-0005-0000-0000-0000530D0000}"/>
    <cellStyle name="Cálculo 8 2 8 3" xfId="12844" xr:uid="{00000000-0005-0000-0000-0000540D0000}"/>
    <cellStyle name="Cálculo 8 2 8 3 2" xfId="30097" xr:uid="{00000000-0005-0000-0000-0000550D0000}"/>
    <cellStyle name="Cálculo 8 2 8 4" xfId="12845" xr:uid="{00000000-0005-0000-0000-0000560D0000}"/>
    <cellStyle name="Cálculo 8 2 8 4 2" xfId="30098" xr:uid="{00000000-0005-0000-0000-0000570D0000}"/>
    <cellStyle name="Cálculo 8 2 8 5" xfId="12846" xr:uid="{00000000-0005-0000-0000-0000580D0000}"/>
    <cellStyle name="Cálculo 8 2 8 5 2" xfId="30099" xr:uid="{00000000-0005-0000-0000-0000590D0000}"/>
    <cellStyle name="Cálculo 8 2 8 6" xfId="12847" xr:uid="{00000000-0005-0000-0000-00005A0D0000}"/>
    <cellStyle name="Cálculo 8 2 8 6 2" xfId="30100" xr:uid="{00000000-0005-0000-0000-00005B0D0000}"/>
    <cellStyle name="Cálculo 8 2 8 7" xfId="30095" xr:uid="{00000000-0005-0000-0000-00005C0D0000}"/>
    <cellStyle name="Cálculo 8 2 9" xfId="12848" xr:uid="{00000000-0005-0000-0000-00005D0D0000}"/>
    <cellStyle name="Cálculo 8 2 9 2" xfId="12849" xr:uid="{00000000-0005-0000-0000-00005E0D0000}"/>
    <cellStyle name="Cálculo 8 2 9 2 2" xfId="30102" xr:uid="{00000000-0005-0000-0000-00005F0D0000}"/>
    <cellStyle name="Cálculo 8 2 9 3" xfId="30101" xr:uid="{00000000-0005-0000-0000-0000600D0000}"/>
    <cellStyle name="Cálculo 8 3" xfId="11803" xr:uid="{00000000-0005-0000-0000-0000610D0000}"/>
    <cellStyle name="Cálculo 8 3 2" xfId="30103" xr:uid="{00000000-0005-0000-0000-0000620D0000}"/>
    <cellStyle name="Cálculo 8 3 3" xfId="32862" xr:uid="{00000000-0005-0000-0000-0000630D0000}"/>
    <cellStyle name="Cálculo 8 3 4" xfId="34252" xr:uid="{00000000-0005-0000-0000-0000640D0000}"/>
    <cellStyle name="Cálculo 8 3 5" xfId="40641" xr:uid="{00000000-0005-0000-0000-0000650D0000}"/>
    <cellStyle name="Cálculo 8 4" xfId="11804" xr:uid="{00000000-0005-0000-0000-0000660D0000}"/>
    <cellStyle name="Cálculo 8 4 2" xfId="30104" xr:uid="{00000000-0005-0000-0000-0000670D0000}"/>
    <cellStyle name="Cálculo 8 4 3" xfId="32863" xr:uid="{00000000-0005-0000-0000-0000680D0000}"/>
    <cellStyle name="Cálculo 8 4 4" xfId="34253" xr:uid="{00000000-0005-0000-0000-0000690D0000}"/>
    <cellStyle name="Cálculo 8 4 5" xfId="40642" xr:uid="{00000000-0005-0000-0000-00006A0D0000}"/>
    <cellStyle name="Cálculo 8 5" xfId="30060" xr:uid="{00000000-0005-0000-0000-00006B0D0000}"/>
    <cellStyle name="Cálculo 8 6" xfId="32858" xr:uid="{00000000-0005-0000-0000-00006C0D0000}"/>
    <cellStyle name="Cálculo 8 7" xfId="34248" xr:uid="{00000000-0005-0000-0000-00006D0D0000}"/>
    <cellStyle name="Cálculo 8 8" xfId="40637" xr:uid="{00000000-0005-0000-0000-00006E0D0000}"/>
    <cellStyle name="Cálculo 9" xfId="1007" xr:uid="{00000000-0005-0000-0000-00006F0D0000}"/>
    <cellStyle name="Cálculo 9 2" xfId="11560" xr:uid="{00000000-0005-0000-0000-0000700D0000}"/>
    <cellStyle name="Cálculo 9 2 10" xfId="12850" xr:uid="{00000000-0005-0000-0000-0000710D0000}"/>
    <cellStyle name="Cálculo 9 2 10 2" xfId="30107" xr:uid="{00000000-0005-0000-0000-0000720D0000}"/>
    <cellStyle name="Cálculo 9 2 11" xfId="30106" xr:uid="{00000000-0005-0000-0000-0000730D0000}"/>
    <cellStyle name="Cálculo 9 2 12" xfId="32865" xr:uid="{00000000-0005-0000-0000-0000740D0000}"/>
    <cellStyle name="Cálculo 9 2 13" xfId="33536" xr:uid="{00000000-0005-0000-0000-0000750D0000}"/>
    <cellStyle name="Cálculo 9 2 14" xfId="34255" xr:uid="{00000000-0005-0000-0000-0000760D0000}"/>
    <cellStyle name="Cálculo 9 2 15" xfId="40644" xr:uid="{00000000-0005-0000-0000-0000770D0000}"/>
    <cellStyle name="Cálculo 9 2 2" xfId="11805" xr:uid="{00000000-0005-0000-0000-0000780D0000}"/>
    <cellStyle name="Cálculo 9 2 2 10" xfId="40645" xr:uid="{00000000-0005-0000-0000-0000790D0000}"/>
    <cellStyle name="Cálculo 9 2 2 2" xfId="12851" xr:uid="{00000000-0005-0000-0000-00007A0D0000}"/>
    <cellStyle name="Cálculo 9 2 2 2 2" xfId="30109" xr:uid="{00000000-0005-0000-0000-00007B0D0000}"/>
    <cellStyle name="Cálculo 9 2 2 3" xfId="12852" xr:uid="{00000000-0005-0000-0000-00007C0D0000}"/>
    <cellStyle name="Cálculo 9 2 2 3 2" xfId="30110" xr:uid="{00000000-0005-0000-0000-00007D0D0000}"/>
    <cellStyle name="Cálculo 9 2 2 4" xfId="12853" xr:uid="{00000000-0005-0000-0000-00007E0D0000}"/>
    <cellStyle name="Cálculo 9 2 2 4 2" xfId="30111" xr:uid="{00000000-0005-0000-0000-00007F0D0000}"/>
    <cellStyle name="Cálculo 9 2 2 5" xfId="12854" xr:uid="{00000000-0005-0000-0000-0000800D0000}"/>
    <cellStyle name="Cálculo 9 2 2 5 2" xfId="30112" xr:uid="{00000000-0005-0000-0000-0000810D0000}"/>
    <cellStyle name="Cálculo 9 2 2 6" xfId="12855" xr:uid="{00000000-0005-0000-0000-0000820D0000}"/>
    <cellStyle name="Cálculo 9 2 2 6 2" xfId="30113" xr:uid="{00000000-0005-0000-0000-0000830D0000}"/>
    <cellStyle name="Cálculo 9 2 2 7" xfId="30108" xr:uid="{00000000-0005-0000-0000-0000840D0000}"/>
    <cellStyle name="Cálculo 9 2 2 8" xfId="32866" xr:uid="{00000000-0005-0000-0000-0000850D0000}"/>
    <cellStyle name="Cálculo 9 2 2 9" xfId="34256" xr:uid="{00000000-0005-0000-0000-0000860D0000}"/>
    <cellStyle name="Cálculo 9 2 3" xfId="11806" xr:uid="{00000000-0005-0000-0000-0000870D0000}"/>
    <cellStyle name="Cálculo 9 2 3 10" xfId="40646" xr:uid="{00000000-0005-0000-0000-0000880D0000}"/>
    <cellStyle name="Cálculo 9 2 3 2" xfId="12856" xr:uid="{00000000-0005-0000-0000-0000890D0000}"/>
    <cellStyle name="Cálculo 9 2 3 2 2" xfId="30115" xr:uid="{00000000-0005-0000-0000-00008A0D0000}"/>
    <cellStyle name="Cálculo 9 2 3 3" xfId="12857" xr:uid="{00000000-0005-0000-0000-00008B0D0000}"/>
    <cellStyle name="Cálculo 9 2 3 3 2" xfId="30116" xr:uid="{00000000-0005-0000-0000-00008C0D0000}"/>
    <cellStyle name="Cálculo 9 2 3 4" xfId="12858" xr:uid="{00000000-0005-0000-0000-00008D0D0000}"/>
    <cellStyle name="Cálculo 9 2 3 4 2" xfId="30117" xr:uid="{00000000-0005-0000-0000-00008E0D0000}"/>
    <cellStyle name="Cálculo 9 2 3 5" xfId="12859" xr:uid="{00000000-0005-0000-0000-00008F0D0000}"/>
    <cellStyle name="Cálculo 9 2 3 5 2" xfId="30118" xr:uid="{00000000-0005-0000-0000-0000900D0000}"/>
    <cellStyle name="Cálculo 9 2 3 6" xfId="12860" xr:uid="{00000000-0005-0000-0000-0000910D0000}"/>
    <cellStyle name="Cálculo 9 2 3 6 2" xfId="30119" xr:uid="{00000000-0005-0000-0000-0000920D0000}"/>
    <cellStyle name="Cálculo 9 2 3 7" xfId="30114" xr:uid="{00000000-0005-0000-0000-0000930D0000}"/>
    <cellStyle name="Cálculo 9 2 3 8" xfId="32867" xr:uid="{00000000-0005-0000-0000-0000940D0000}"/>
    <cellStyle name="Cálculo 9 2 3 9" xfId="34257" xr:uid="{00000000-0005-0000-0000-0000950D0000}"/>
    <cellStyle name="Cálculo 9 2 4" xfId="12861" xr:uid="{00000000-0005-0000-0000-0000960D0000}"/>
    <cellStyle name="Cálculo 9 2 4 2" xfId="12862" xr:uid="{00000000-0005-0000-0000-0000970D0000}"/>
    <cellStyle name="Cálculo 9 2 4 2 2" xfId="30121" xr:uid="{00000000-0005-0000-0000-0000980D0000}"/>
    <cellStyle name="Cálculo 9 2 4 3" xfId="12863" xr:uid="{00000000-0005-0000-0000-0000990D0000}"/>
    <cellStyle name="Cálculo 9 2 4 3 2" xfId="30122" xr:uid="{00000000-0005-0000-0000-00009A0D0000}"/>
    <cellStyle name="Cálculo 9 2 4 4" xfId="12864" xr:uid="{00000000-0005-0000-0000-00009B0D0000}"/>
    <cellStyle name="Cálculo 9 2 4 4 2" xfId="30123" xr:uid="{00000000-0005-0000-0000-00009C0D0000}"/>
    <cellStyle name="Cálculo 9 2 4 5" xfId="12865" xr:uid="{00000000-0005-0000-0000-00009D0D0000}"/>
    <cellStyle name="Cálculo 9 2 4 5 2" xfId="30124" xr:uid="{00000000-0005-0000-0000-00009E0D0000}"/>
    <cellStyle name="Cálculo 9 2 4 6" xfId="30120" xr:uid="{00000000-0005-0000-0000-00009F0D0000}"/>
    <cellStyle name="Cálculo 9 2 5" xfId="12866" xr:uid="{00000000-0005-0000-0000-0000A00D0000}"/>
    <cellStyle name="Cálculo 9 2 5 2" xfId="12867" xr:uid="{00000000-0005-0000-0000-0000A10D0000}"/>
    <cellStyle name="Cálculo 9 2 5 2 2" xfId="30126" xr:uid="{00000000-0005-0000-0000-0000A20D0000}"/>
    <cellStyle name="Cálculo 9 2 5 3" xfId="12868" xr:uid="{00000000-0005-0000-0000-0000A30D0000}"/>
    <cellStyle name="Cálculo 9 2 5 3 2" xfId="30127" xr:uid="{00000000-0005-0000-0000-0000A40D0000}"/>
    <cellStyle name="Cálculo 9 2 5 4" xfId="12869" xr:uid="{00000000-0005-0000-0000-0000A50D0000}"/>
    <cellStyle name="Cálculo 9 2 5 4 2" xfId="30128" xr:uid="{00000000-0005-0000-0000-0000A60D0000}"/>
    <cellStyle name="Cálculo 9 2 5 5" xfId="12870" xr:uid="{00000000-0005-0000-0000-0000A70D0000}"/>
    <cellStyle name="Cálculo 9 2 5 5 2" xfId="30129" xr:uid="{00000000-0005-0000-0000-0000A80D0000}"/>
    <cellStyle name="Cálculo 9 2 5 6" xfId="30125" xr:uid="{00000000-0005-0000-0000-0000A90D0000}"/>
    <cellStyle name="Cálculo 9 2 6" xfId="12871" xr:uid="{00000000-0005-0000-0000-0000AA0D0000}"/>
    <cellStyle name="Cálculo 9 2 6 2" xfId="12872" xr:uid="{00000000-0005-0000-0000-0000AB0D0000}"/>
    <cellStyle name="Cálculo 9 2 6 2 2" xfId="30131" xr:uid="{00000000-0005-0000-0000-0000AC0D0000}"/>
    <cellStyle name="Cálculo 9 2 6 3" xfId="12873" xr:uid="{00000000-0005-0000-0000-0000AD0D0000}"/>
    <cellStyle name="Cálculo 9 2 6 3 2" xfId="30132" xr:uid="{00000000-0005-0000-0000-0000AE0D0000}"/>
    <cellStyle name="Cálculo 9 2 6 4" xfId="12874" xr:uid="{00000000-0005-0000-0000-0000AF0D0000}"/>
    <cellStyle name="Cálculo 9 2 6 4 2" xfId="30133" xr:uid="{00000000-0005-0000-0000-0000B00D0000}"/>
    <cellStyle name="Cálculo 9 2 6 5" xfId="12875" xr:uid="{00000000-0005-0000-0000-0000B10D0000}"/>
    <cellStyle name="Cálculo 9 2 6 5 2" xfId="30134" xr:uid="{00000000-0005-0000-0000-0000B20D0000}"/>
    <cellStyle name="Cálculo 9 2 6 6" xfId="30130" xr:uid="{00000000-0005-0000-0000-0000B30D0000}"/>
    <cellStyle name="Cálculo 9 2 7" xfId="12876" xr:uid="{00000000-0005-0000-0000-0000B40D0000}"/>
    <cellStyle name="Cálculo 9 2 7 2" xfId="12877" xr:uid="{00000000-0005-0000-0000-0000B50D0000}"/>
    <cellStyle name="Cálculo 9 2 7 2 2" xfId="30136" xr:uid="{00000000-0005-0000-0000-0000B60D0000}"/>
    <cellStyle name="Cálculo 9 2 7 3" xfId="12878" xr:uid="{00000000-0005-0000-0000-0000B70D0000}"/>
    <cellStyle name="Cálculo 9 2 7 3 2" xfId="30137" xr:uid="{00000000-0005-0000-0000-0000B80D0000}"/>
    <cellStyle name="Cálculo 9 2 7 4" xfId="12879" xr:uid="{00000000-0005-0000-0000-0000B90D0000}"/>
    <cellStyle name="Cálculo 9 2 7 4 2" xfId="30138" xr:uid="{00000000-0005-0000-0000-0000BA0D0000}"/>
    <cellStyle name="Cálculo 9 2 7 5" xfId="12880" xr:uid="{00000000-0005-0000-0000-0000BB0D0000}"/>
    <cellStyle name="Cálculo 9 2 7 5 2" xfId="30139" xr:uid="{00000000-0005-0000-0000-0000BC0D0000}"/>
    <cellStyle name="Cálculo 9 2 7 6" xfId="30135" xr:uid="{00000000-0005-0000-0000-0000BD0D0000}"/>
    <cellStyle name="Cálculo 9 2 8" xfId="12881" xr:uid="{00000000-0005-0000-0000-0000BE0D0000}"/>
    <cellStyle name="Cálculo 9 2 8 2" xfId="12882" xr:uid="{00000000-0005-0000-0000-0000BF0D0000}"/>
    <cellStyle name="Cálculo 9 2 8 2 2" xfId="30141" xr:uid="{00000000-0005-0000-0000-0000C00D0000}"/>
    <cellStyle name="Cálculo 9 2 8 3" xfId="12883" xr:uid="{00000000-0005-0000-0000-0000C10D0000}"/>
    <cellStyle name="Cálculo 9 2 8 3 2" xfId="30142" xr:uid="{00000000-0005-0000-0000-0000C20D0000}"/>
    <cellStyle name="Cálculo 9 2 8 4" xfId="12884" xr:uid="{00000000-0005-0000-0000-0000C30D0000}"/>
    <cellStyle name="Cálculo 9 2 8 4 2" xfId="30143" xr:uid="{00000000-0005-0000-0000-0000C40D0000}"/>
    <cellStyle name="Cálculo 9 2 8 5" xfId="12885" xr:uid="{00000000-0005-0000-0000-0000C50D0000}"/>
    <cellStyle name="Cálculo 9 2 8 5 2" xfId="30144" xr:uid="{00000000-0005-0000-0000-0000C60D0000}"/>
    <cellStyle name="Cálculo 9 2 8 6" xfId="12886" xr:uid="{00000000-0005-0000-0000-0000C70D0000}"/>
    <cellStyle name="Cálculo 9 2 8 6 2" xfId="30145" xr:uid="{00000000-0005-0000-0000-0000C80D0000}"/>
    <cellStyle name="Cálculo 9 2 8 7" xfId="30140" xr:uid="{00000000-0005-0000-0000-0000C90D0000}"/>
    <cellStyle name="Cálculo 9 2 9" xfId="12887" xr:uid="{00000000-0005-0000-0000-0000CA0D0000}"/>
    <cellStyle name="Cálculo 9 2 9 2" xfId="12888" xr:uid="{00000000-0005-0000-0000-0000CB0D0000}"/>
    <cellStyle name="Cálculo 9 2 9 2 2" xfId="30147" xr:uid="{00000000-0005-0000-0000-0000CC0D0000}"/>
    <cellStyle name="Cálculo 9 2 9 3" xfId="30146" xr:uid="{00000000-0005-0000-0000-0000CD0D0000}"/>
    <cellStyle name="Cálculo 9 3" xfId="11807" xr:uid="{00000000-0005-0000-0000-0000CE0D0000}"/>
    <cellStyle name="Cálculo 9 3 2" xfId="30148" xr:uid="{00000000-0005-0000-0000-0000CF0D0000}"/>
    <cellStyle name="Cálculo 9 3 3" xfId="32868" xr:uid="{00000000-0005-0000-0000-0000D00D0000}"/>
    <cellStyle name="Cálculo 9 3 4" xfId="34258" xr:uid="{00000000-0005-0000-0000-0000D10D0000}"/>
    <cellStyle name="Cálculo 9 3 5" xfId="40647" xr:uid="{00000000-0005-0000-0000-0000D20D0000}"/>
    <cellStyle name="Cálculo 9 4" xfId="11808" xr:uid="{00000000-0005-0000-0000-0000D30D0000}"/>
    <cellStyle name="Cálculo 9 4 2" xfId="30149" xr:uid="{00000000-0005-0000-0000-0000D40D0000}"/>
    <cellStyle name="Cálculo 9 4 3" xfId="32869" xr:uid="{00000000-0005-0000-0000-0000D50D0000}"/>
    <cellStyle name="Cálculo 9 4 4" xfId="34259" xr:uid="{00000000-0005-0000-0000-0000D60D0000}"/>
    <cellStyle name="Cálculo 9 4 5" xfId="40648" xr:uid="{00000000-0005-0000-0000-0000D70D0000}"/>
    <cellStyle name="Cálculo 9 5" xfId="30105" xr:uid="{00000000-0005-0000-0000-0000D80D0000}"/>
    <cellStyle name="Cálculo 9 6" xfId="32864" xr:uid="{00000000-0005-0000-0000-0000D90D0000}"/>
    <cellStyle name="Cálculo 9 7" xfId="34254" xr:uid="{00000000-0005-0000-0000-0000DA0D0000}"/>
    <cellStyle name="Cálculo 9 8" xfId="40643" xr:uid="{00000000-0005-0000-0000-0000DB0D0000}"/>
    <cellStyle name="Celda de comprobación 10" xfId="1008" xr:uid="{00000000-0005-0000-0000-0000DC0D0000}"/>
    <cellStyle name="Celda de comprobación 10 10" xfId="1009" xr:uid="{00000000-0005-0000-0000-0000DD0D0000}"/>
    <cellStyle name="Celda de comprobación 10 10 2" xfId="1010" xr:uid="{00000000-0005-0000-0000-0000DE0D0000}"/>
    <cellStyle name="Celda de comprobación 10 10 3" xfId="1011" xr:uid="{00000000-0005-0000-0000-0000DF0D0000}"/>
    <cellStyle name="Celda de comprobación 10 10 4" xfId="1012" xr:uid="{00000000-0005-0000-0000-0000E00D0000}"/>
    <cellStyle name="Celda de comprobación 10 11" xfId="1013" xr:uid="{00000000-0005-0000-0000-0000E10D0000}"/>
    <cellStyle name="Celda de comprobación 10 11 2" xfId="1014" xr:uid="{00000000-0005-0000-0000-0000E20D0000}"/>
    <cellStyle name="Celda de comprobación 10 11 3" xfId="1015" xr:uid="{00000000-0005-0000-0000-0000E30D0000}"/>
    <cellStyle name="Celda de comprobación 10 11 4" xfId="1016" xr:uid="{00000000-0005-0000-0000-0000E40D0000}"/>
    <cellStyle name="Celda de comprobación 10 12" xfId="1017" xr:uid="{00000000-0005-0000-0000-0000E50D0000}"/>
    <cellStyle name="Celda de comprobación 10 12 2" xfId="1018" xr:uid="{00000000-0005-0000-0000-0000E60D0000}"/>
    <cellStyle name="Celda de comprobación 10 12 3" xfId="1019" xr:uid="{00000000-0005-0000-0000-0000E70D0000}"/>
    <cellStyle name="Celda de comprobación 10 12 4" xfId="1020" xr:uid="{00000000-0005-0000-0000-0000E80D0000}"/>
    <cellStyle name="Celda de comprobación 10 13" xfId="1021" xr:uid="{00000000-0005-0000-0000-0000E90D0000}"/>
    <cellStyle name="Celda de comprobación 10 13 2" xfId="1022" xr:uid="{00000000-0005-0000-0000-0000EA0D0000}"/>
    <cellStyle name="Celda de comprobación 10 13 3" xfId="1023" xr:uid="{00000000-0005-0000-0000-0000EB0D0000}"/>
    <cellStyle name="Celda de comprobación 10 13 4" xfId="1024" xr:uid="{00000000-0005-0000-0000-0000EC0D0000}"/>
    <cellStyle name="Celda de comprobación 10 14" xfId="1025" xr:uid="{00000000-0005-0000-0000-0000ED0D0000}"/>
    <cellStyle name="Celda de comprobación 10 14 2" xfId="1026" xr:uid="{00000000-0005-0000-0000-0000EE0D0000}"/>
    <cellStyle name="Celda de comprobación 10 14 3" xfId="1027" xr:uid="{00000000-0005-0000-0000-0000EF0D0000}"/>
    <cellStyle name="Celda de comprobación 10 14 4" xfId="1028" xr:uid="{00000000-0005-0000-0000-0000F00D0000}"/>
    <cellStyle name="Celda de comprobación 10 15" xfId="1029" xr:uid="{00000000-0005-0000-0000-0000F10D0000}"/>
    <cellStyle name="Celda de comprobación 10 15 2" xfId="1030" xr:uid="{00000000-0005-0000-0000-0000F20D0000}"/>
    <cellStyle name="Celda de comprobación 10 15 3" xfId="1031" xr:uid="{00000000-0005-0000-0000-0000F30D0000}"/>
    <cellStyle name="Celda de comprobación 10 15 4" xfId="1032" xr:uid="{00000000-0005-0000-0000-0000F40D0000}"/>
    <cellStyle name="Celda de comprobación 10 16" xfId="1033" xr:uid="{00000000-0005-0000-0000-0000F50D0000}"/>
    <cellStyle name="Celda de comprobación 10 16 2" xfId="1034" xr:uid="{00000000-0005-0000-0000-0000F60D0000}"/>
    <cellStyle name="Celda de comprobación 10 16 3" xfId="1035" xr:uid="{00000000-0005-0000-0000-0000F70D0000}"/>
    <cellStyle name="Celda de comprobación 10 16 4" xfId="1036" xr:uid="{00000000-0005-0000-0000-0000F80D0000}"/>
    <cellStyle name="Celda de comprobación 10 17" xfId="1037" xr:uid="{00000000-0005-0000-0000-0000F90D0000}"/>
    <cellStyle name="Celda de comprobación 10 17 2" xfId="1038" xr:uid="{00000000-0005-0000-0000-0000FA0D0000}"/>
    <cellStyle name="Celda de comprobación 10 17 3" xfId="1039" xr:uid="{00000000-0005-0000-0000-0000FB0D0000}"/>
    <cellStyle name="Celda de comprobación 10 17 4" xfId="1040" xr:uid="{00000000-0005-0000-0000-0000FC0D0000}"/>
    <cellStyle name="Celda de comprobación 10 18" xfId="1041" xr:uid="{00000000-0005-0000-0000-0000FD0D0000}"/>
    <cellStyle name="Celda de comprobación 10 18 2" xfId="1042" xr:uid="{00000000-0005-0000-0000-0000FE0D0000}"/>
    <cellStyle name="Celda de comprobación 10 18 3" xfId="1043" xr:uid="{00000000-0005-0000-0000-0000FF0D0000}"/>
    <cellStyle name="Celda de comprobación 10 18 4" xfId="1044" xr:uid="{00000000-0005-0000-0000-0000000E0000}"/>
    <cellStyle name="Celda de comprobación 10 19" xfId="1045" xr:uid="{00000000-0005-0000-0000-0000010E0000}"/>
    <cellStyle name="Celda de comprobación 10 19 2" xfId="1046" xr:uid="{00000000-0005-0000-0000-0000020E0000}"/>
    <cellStyle name="Celda de comprobación 10 19 3" xfId="1047" xr:uid="{00000000-0005-0000-0000-0000030E0000}"/>
    <cellStyle name="Celda de comprobación 10 19 4" xfId="1048" xr:uid="{00000000-0005-0000-0000-0000040E0000}"/>
    <cellStyle name="Celda de comprobación 10 2" xfId="1049" xr:uid="{00000000-0005-0000-0000-0000050E0000}"/>
    <cellStyle name="Celda de comprobación 10 2 2" xfId="1050" xr:uid="{00000000-0005-0000-0000-0000060E0000}"/>
    <cellStyle name="Celda de comprobación 10 2 3" xfId="1051" xr:uid="{00000000-0005-0000-0000-0000070E0000}"/>
    <cellStyle name="Celda de comprobación 10 2 4" xfId="1052" xr:uid="{00000000-0005-0000-0000-0000080E0000}"/>
    <cellStyle name="Celda de comprobación 10 20" xfId="1053" xr:uid="{00000000-0005-0000-0000-0000090E0000}"/>
    <cellStyle name="Celda de comprobación 10 20 2" xfId="1054" xr:uid="{00000000-0005-0000-0000-00000A0E0000}"/>
    <cellStyle name="Celda de comprobación 10 20 3" xfId="1055" xr:uid="{00000000-0005-0000-0000-00000B0E0000}"/>
    <cellStyle name="Celda de comprobación 10 20 4" xfId="1056" xr:uid="{00000000-0005-0000-0000-00000C0E0000}"/>
    <cellStyle name="Celda de comprobación 10 21" xfId="1057" xr:uid="{00000000-0005-0000-0000-00000D0E0000}"/>
    <cellStyle name="Celda de comprobación 10 21 2" xfId="1058" xr:uid="{00000000-0005-0000-0000-00000E0E0000}"/>
    <cellStyle name="Celda de comprobación 10 21 3" xfId="1059" xr:uid="{00000000-0005-0000-0000-00000F0E0000}"/>
    <cellStyle name="Celda de comprobación 10 21 4" xfId="1060" xr:uid="{00000000-0005-0000-0000-0000100E0000}"/>
    <cellStyle name="Celda de comprobación 10 22" xfId="1061" xr:uid="{00000000-0005-0000-0000-0000110E0000}"/>
    <cellStyle name="Celda de comprobación 10 22 2" xfId="1062" xr:uid="{00000000-0005-0000-0000-0000120E0000}"/>
    <cellStyle name="Celda de comprobación 10 22 3" xfId="1063" xr:uid="{00000000-0005-0000-0000-0000130E0000}"/>
    <cellStyle name="Celda de comprobación 10 22 4" xfId="1064" xr:uid="{00000000-0005-0000-0000-0000140E0000}"/>
    <cellStyle name="Celda de comprobación 10 23" xfId="1065" xr:uid="{00000000-0005-0000-0000-0000150E0000}"/>
    <cellStyle name="Celda de comprobación 10 23 2" xfId="1066" xr:uid="{00000000-0005-0000-0000-0000160E0000}"/>
    <cellStyle name="Celda de comprobación 10 23 3" xfId="1067" xr:uid="{00000000-0005-0000-0000-0000170E0000}"/>
    <cellStyle name="Celda de comprobación 10 23 4" xfId="1068" xr:uid="{00000000-0005-0000-0000-0000180E0000}"/>
    <cellStyle name="Celda de comprobación 10 24" xfId="1069" xr:uid="{00000000-0005-0000-0000-0000190E0000}"/>
    <cellStyle name="Celda de comprobación 10 24 2" xfId="1070" xr:uid="{00000000-0005-0000-0000-00001A0E0000}"/>
    <cellStyle name="Celda de comprobación 10 24 3" xfId="1071" xr:uid="{00000000-0005-0000-0000-00001B0E0000}"/>
    <cellStyle name="Celda de comprobación 10 24 4" xfId="1072" xr:uid="{00000000-0005-0000-0000-00001C0E0000}"/>
    <cellStyle name="Celda de comprobación 10 25" xfId="1073" xr:uid="{00000000-0005-0000-0000-00001D0E0000}"/>
    <cellStyle name="Celda de comprobación 10 25 2" xfId="1074" xr:uid="{00000000-0005-0000-0000-00001E0E0000}"/>
    <cellStyle name="Celda de comprobación 10 25 3" xfId="1075" xr:uid="{00000000-0005-0000-0000-00001F0E0000}"/>
    <cellStyle name="Celda de comprobación 10 25 4" xfId="1076" xr:uid="{00000000-0005-0000-0000-0000200E0000}"/>
    <cellStyle name="Celda de comprobación 10 26" xfId="1077" xr:uid="{00000000-0005-0000-0000-0000210E0000}"/>
    <cellStyle name="Celda de comprobación 10 26 2" xfId="1078" xr:uid="{00000000-0005-0000-0000-0000220E0000}"/>
    <cellStyle name="Celda de comprobación 10 26 3" xfId="1079" xr:uid="{00000000-0005-0000-0000-0000230E0000}"/>
    <cellStyle name="Celda de comprobación 10 26 4" xfId="1080" xr:uid="{00000000-0005-0000-0000-0000240E0000}"/>
    <cellStyle name="Celda de comprobación 10 27" xfId="1081" xr:uid="{00000000-0005-0000-0000-0000250E0000}"/>
    <cellStyle name="Celda de comprobación 10 27 2" xfId="1082" xr:uid="{00000000-0005-0000-0000-0000260E0000}"/>
    <cellStyle name="Celda de comprobación 10 27 3" xfId="1083" xr:uid="{00000000-0005-0000-0000-0000270E0000}"/>
    <cellStyle name="Celda de comprobación 10 27 4" xfId="1084" xr:uid="{00000000-0005-0000-0000-0000280E0000}"/>
    <cellStyle name="Celda de comprobación 10 28" xfId="1085" xr:uid="{00000000-0005-0000-0000-0000290E0000}"/>
    <cellStyle name="Celda de comprobación 10 28 2" xfId="1086" xr:uid="{00000000-0005-0000-0000-00002A0E0000}"/>
    <cellStyle name="Celda de comprobación 10 28 3" xfId="1087" xr:uid="{00000000-0005-0000-0000-00002B0E0000}"/>
    <cellStyle name="Celda de comprobación 10 28 4" xfId="1088" xr:uid="{00000000-0005-0000-0000-00002C0E0000}"/>
    <cellStyle name="Celda de comprobación 10 29" xfId="1089" xr:uid="{00000000-0005-0000-0000-00002D0E0000}"/>
    <cellStyle name="Celda de comprobación 10 29 2" xfId="1090" xr:uid="{00000000-0005-0000-0000-00002E0E0000}"/>
    <cellStyle name="Celda de comprobación 10 29 3" xfId="1091" xr:uid="{00000000-0005-0000-0000-00002F0E0000}"/>
    <cellStyle name="Celda de comprobación 10 29 4" xfId="1092" xr:uid="{00000000-0005-0000-0000-0000300E0000}"/>
    <cellStyle name="Celda de comprobación 10 3" xfId="1093" xr:uid="{00000000-0005-0000-0000-0000310E0000}"/>
    <cellStyle name="Celda de comprobación 10 3 2" xfId="1094" xr:uid="{00000000-0005-0000-0000-0000320E0000}"/>
    <cellStyle name="Celda de comprobación 10 3 3" xfId="1095" xr:uid="{00000000-0005-0000-0000-0000330E0000}"/>
    <cellStyle name="Celda de comprobación 10 3 4" xfId="1096" xr:uid="{00000000-0005-0000-0000-0000340E0000}"/>
    <cellStyle name="Celda de comprobación 10 30" xfId="1097" xr:uid="{00000000-0005-0000-0000-0000350E0000}"/>
    <cellStyle name="Celda de comprobación 10 30 2" xfId="1098" xr:uid="{00000000-0005-0000-0000-0000360E0000}"/>
    <cellStyle name="Celda de comprobación 10 30 3" xfId="1099" xr:uid="{00000000-0005-0000-0000-0000370E0000}"/>
    <cellStyle name="Celda de comprobación 10 30 4" xfId="1100" xr:uid="{00000000-0005-0000-0000-0000380E0000}"/>
    <cellStyle name="Celda de comprobación 10 31" xfId="1101" xr:uid="{00000000-0005-0000-0000-0000390E0000}"/>
    <cellStyle name="Celda de comprobación 10 31 2" xfId="1102" xr:uid="{00000000-0005-0000-0000-00003A0E0000}"/>
    <cellStyle name="Celda de comprobación 10 31 3" xfId="1103" xr:uid="{00000000-0005-0000-0000-00003B0E0000}"/>
    <cellStyle name="Celda de comprobación 10 31 4" xfId="1104" xr:uid="{00000000-0005-0000-0000-00003C0E0000}"/>
    <cellStyle name="Celda de comprobación 10 32" xfId="1105" xr:uid="{00000000-0005-0000-0000-00003D0E0000}"/>
    <cellStyle name="Celda de comprobación 10 32 2" xfId="1106" xr:uid="{00000000-0005-0000-0000-00003E0E0000}"/>
    <cellStyle name="Celda de comprobación 10 32 3" xfId="1107" xr:uid="{00000000-0005-0000-0000-00003F0E0000}"/>
    <cellStyle name="Celda de comprobación 10 32 4" xfId="1108" xr:uid="{00000000-0005-0000-0000-0000400E0000}"/>
    <cellStyle name="Celda de comprobación 10 33" xfId="1109" xr:uid="{00000000-0005-0000-0000-0000410E0000}"/>
    <cellStyle name="Celda de comprobación 10 33 2" xfId="1110" xr:uid="{00000000-0005-0000-0000-0000420E0000}"/>
    <cellStyle name="Celda de comprobación 10 33 3" xfId="1111" xr:uid="{00000000-0005-0000-0000-0000430E0000}"/>
    <cellStyle name="Celda de comprobación 10 33 4" xfId="1112" xr:uid="{00000000-0005-0000-0000-0000440E0000}"/>
    <cellStyle name="Celda de comprobación 10 34" xfId="1113" xr:uid="{00000000-0005-0000-0000-0000450E0000}"/>
    <cellStyle name="Celda de comprobación 10 34 2" xfId="1114" xr:uid="{00000000-0005-0000-0000-0000460E0000}"/>
    <cellStyle name="Celda de comprobación 10 34 3" xfId="1115" xr:uid="{00000000-0005-0000-0000-0000470E0000}"/>
    <cellStyle name="Celda de comprobación 10 34 4" xfId="1116" xr:uid="{00000000-0005-0000-0000-0000480E0000}"/>
    <cellStyle name="Celda de comprobación 10 35" xfId="1117" xr:uid="{00000000-0005-0000-0000-0000490E0000}"/>
    <cellStyle name="Celda de comprobación 10 35 2" xfId="1118" xr:uid="{00000000-0005-0000-0000-00004A0E0000}"/>
    <cellStyle name="Celda de comprobación 10 35 3" xfId="1119" xr:uid="{00000000-0005-0000-0000-00004B0E0000}"/>
    <cellStyle name="Celda de comprobación 10 35 4" xfId="1120" xr:uid="{00000000-0005-0000-0000-00004C0E0000}"/>
    <cellStyle name="Celda de comprobación 10 36" xfId="1121" xr:uid="{00000000-0005-0000-0000-00004D0E0000}"/>
    <cellStyle name="Celda de comprobación 10 36 2" xfId="1122" xr:uid="{00000000-0005-0000-0000-00004E0E0000}"/>
    <cellStyle name="Celda de comprobación 10 36 3" xfId="1123" xr:uid="{00000000-0005-0000-0000-00004F0E0000}"/>
    <cellStyle name="Celda de comprobación 10 36 4" xfId="1124" xr:uid="{00000000-0005-0000-0000-0000500E0000}"/>
    <cellStyle name="Celda de comprobación 10 37" xfId="1125" xr:uid="{00000000-0005-0000-0000-0000510E0000}"/>
    <cellStyle name="Celda de comprobación 10 38" xfId="1126" xr:uid="{00000000-0005-0000-0000-0000520E0000}"/>
    <cellStyle name="Celda de comprobación 10 39" xfId="1127" xr:uid="{00000000-0005-0000-0000-0000530E0000}"/>
    <cellStyle name="Celda de comprobación 10 4" xfId="1128" xr:uid="{00000000-0005-0000-0000-0000540E0000}"/>
    <cellStyle name="Celda de comprobación 10 4 2" xfId="1129" xr:uid="{00000000-0005-0000-0000-0000550E0000}"/>
    <cellStyle name="Celda de comprobación 10 4 3" xfId="1130" xr:uid="{00000000-0005-0000-0000-0000560E0000}"/>
    <cellStyle name="Celda de comprobación 10 4 4" xfId="1131" xr:uid="{00000000-0005-0000-0000-0000570E0000}"/>
    <cellStyle name="Celda de comprobación 10 40" xfId="1132" xr:uid="{00000000-0005-0000-0000-0000580E0000}"/>
    <cellStyle name="Celda de comprobación 10 41" xfId="1133" xr:uid="{00000000-0005-0000-0000-0000590E0000}"/>
    <cellStyle name="Celda de comprobación 10 42" xfId="1134" xr:uid="{00000000-0005-0000-0000-00005A0E0000}"/>
    <cellStyle name="Celda de comprobación 10 43" xfId="1135" xr:uid="{00000000-0005-0000-0000-00005B0E0000}"/>
    <cellStyle name="Celda de comprobación 10 44" xfId="1136" xr:uid="{00000000-0005-0000-0000-00005C0E0000}"/>
    <cellStyle name="Celda de comprobación 10 45" xfId="1137" xr:uid="{00000000-0005-0000-0000-00005D0E0000}"/>
    <cellStyle name="Celda de comprobación 10 46" xfId="1138" xr:uid="{00000000-0005-0000-0000-00005E0E0000}"/>
    <cellStyle name="Celda de comprobación 10 47" xfId="1139" xr:uid="{00000000-0005-0000-0000-00005F0E0000}"/>
    <cellStyle name="Celda de comprobación 10 48" xfId="1140" xr:uid="{00000000-0005-0000-0000-0000600E0000}"/>
    <cellStyle name="Celda de comprobación 10 49" xfId="1141" xr:uid="{00000000-0005-0000-0000-0000610E0000}"/>
    <cellStyle name="Celda de comprobación 10 5" xfId="1142" xr:uid="{00000000-0005-0000-0000-0000620E0000}"/>
    <cellStyle name="Celda de comprobación 10 5 2" xfId="1143" xr:uid="{00000000-0005-0000-0000-0000630E0000}"/>
    <cellStyle name="Celda de comprobación 10 5 3" xfId="1144" xr:uid="{00000000-0005-0000-0000-0000640E0000}"/>
    <cellStyle name="Celda de comprobación 10 5 4" xfId="1145" xr:uid="{00000000-0005-0000-0000-0000650E0000}"/>
    <cellStyle name="Celda de comprobación 10 50" xfId="1146" xr:uid="{00000000-0005-0000-0000-0000660E0000}"/>
    <cellStyle name="Celda de comprobación 10 51" xfId="1147" xr:uid="{00000000-0005-0000-0000-0000670E0000}"/>
    <cellStyle name="Celda de comprobación 10 6" xfId="1148" xr:uid="{00000000-0005-0000-0000-0000680E0000}"/>
    <cellStyle name="Celda de comprobación 10 6 2" xfId="1149" xr:uid="{00000000-0005-0000-0000-0000690E0000}"/>
    <cellStyle name="Celda de comprobación 10 6 3" xfId="1150" xr:uid="{00000000-0005-0000-0000-00006A0E0000}"/>
    <cellStyle name="Celda de comprobación 10 6 4" xfId="1151" xr:uid="{00000000-0005-0000-0000-00006B0E0000}"/>
    <cellStyle name="Celda de comprobación 10 7" xfId="1152" xr:uid="{00000000-0005-0000-0000-00006C0E0000}"/>
    <cellStyle name="Celda de comprobación 10 7 2" xfId="1153" xr:uid="{00000000-0005-0000-0000-00006D0E0000}"/>
    <cellStyle name="Celda de comprobación 10 7 3" xfId="1154" xr:uid="{00000000-0005-0000-0000-00006E0E0000}"/>
    <cellStyle name="Celda de comprobación 10 7 4" xfId="1155" xr:uid="{00000000-0005-0000-0000-00006F0E0000}"/>
    <cellStyle name="Celda de comprobación 10 8" xfId="1156" xr:uid="{00000000-0005-0000-0000-0000700E0000}"/>
    <cellStyle name="Celda de comprobación 10 8 2" xfId="1157" xr:uid="{00000000-0005-0000-0000-0000710E0000}"/>
    <cellStyle name="Celda de comprobación 10 8 3" xfId="1158" xr:uid="{00000000-0005-0000-0000-0000720E0000}"/>
    <cellStyle name="Celda de comprobación 10 8 4" xfId="1159" xr:uid="{00000000-0005-0000-0000-0000730E0000}"/>
    <cellStyle name="Celda de comprobación 10 9" xfId="1160" xr:uid="{00000000-0005-0000-0000-0000740E0000}"/>
    <cellStyle name="Celda de comprobación 10 9 2" xfId="1161" xr:uid="{00000000-0005-0000-0000-0000750E0000}"/>
    <cellStyle name="Celda de comprobación 10 9 3" xfId="1162" xr:uid="{00000000-0005-0000-0000-0000760E0000}"/>
    <cellStyle name="Celda de comprobación 10 9 4" xfId="1163" xr:uid="{00000000-0005-0000-0000-0000770E0000}"/>
    <cellStyle name="Celda de comprobación 11" xfId="1164" xr:uid="{00000000-0005-0000-0000-0000780E0000}"/>
    <cellStyle name="Celda de comprobación 11 10" xfId="1165" xr:uid="{00000000-0005-0000-0000-0000790E0000}"/>
    <cellStyle name="Celda de comprobación 11 10 2" xfId="1166" xr:uid="{00000000-0005-0000-0000-00007A0E0000}"/>
    <cellStyle name="Celda de comprobación 11 10 3" xfId="1167" xr:uid="{00000000-0005-0000-0000-00007B0E0000}"/>
    <cellStyle name="Celda de comprobación 11 10 4" xfId="1168" xr:uid="{00000000-0005-0000-0000-00007C0E0000}"/>
    <cellStyle name="Celda de comprobación 11 11" xfId="1169" xr:uid="{00000000-0005-0000-0000-00007D0E0000}"/>
    <cellStyle name="Celda de comprobación 11 11 2" xfId="1170" xr:uid="{00000000-0005-0000-0000-00007E0E0000}"/>
    <cellStyle name="Celda de comprobación 11 11 3" xfId="1171" xr:uid="{00000000-0005-0000-0000-00007F0E0000}"/>
    <cellStyle name="Celda de comprobación 11 11 4" xfId="1172" xr:uid="{00000000-0005-0000-0000-0000800E0000}"/>
    <cellStyle name="Celda de comprobación 11 12" xfId="1173" xr:uid="{00000000-0005-0000-0000-0000810E0000}"/>
    <cellStyle name="Celda de comprobación 11 12 2" xfId="1174" xr:uid="{00000000-0005-0000-0000-0000820E0000}"/>
    <cellStyle name="Celda de comprobación 11 12 3" xfId="1175" xr:uid="{00000000-0005-0000-0000-0000830E0000}"/>
    <cellStyle name="Celda de comprobación 11 12 4" xfId="1176" xr:uid="{00000000-0005-0000-0000-0000840E0000}"/>
    <cellStyle name="Celda de comprobación 11 13" xfId="1177" xr:uid="{00000000-0005-0000-0000-0000850E0000}"/>
    <cellStyle name="Celda de comprobación 11 13 2" xfId="1178" xr:uid="{00000000-0005-0000-0000-0000860E0000}"/>
    <cellStyle name="Celda de comprobación 11 13 3" xfId="1179" xr:uid="{00000000-0005-0000-0000-0000870E0000}"/>
    <cellStyle name="Celda de comprobación 11 13 4" xfId="1180" xr:uid="{00000000-0005-0000-0000-0000880E0000}"/>
    <cellStyle name="Celda de comprobación 11 14" xfId="1181" xr:uid="{00000000-0005-0000-0000-0000890E0000}"/>
    <cellStyle name="Celda de comprobación 11 14 2" xfId="1182" xr:uid="{00000000-0005-0000-0000-00008A0E0000}"/>
    <cellStyle name="Celda de comprobación 11 14 3" xfId="1183" xr:uid="{00000000-0005-0000-0000-00008B0E0000}"/>
    <cellStyle name="Celda de comprobación 11 14 4" xfId="1184" xr:uid="{00000000-0005-0000-0000-00008C0E0000}"/>
    <cellStyle name="Celda de comprobación 11 15" xfId="1185" xr:uid="{00000000-0005-0000-0000-00008D0E0000}"/>
    <cellStyle name="Celda de comprobación 11 15 2" xfId="1186" xr:uid="{00000000-0005-0000-0000-00008E0E0000}"/>
    <cellStyle name="Celda de comprobación 11 15 3" xfId="1187" xr:uid="{00000000-0005-0000-0000-00008F0E0000}"/>
    <cellStyle name="Celda de comprobación 11 15 4" xfId="1188" xr:uid="{00000000-0005-0000-0000-0000900E0000}"/>
    <cellStyle name="Celda de comprobación 11 16" xfId="1189" xr:uid="{00000000-0005-0000-0000-0000910E0000}"/>
    <cellStyle name="Celda de comprobación 11 16 2" xfId="1190" xr:uid="{00000000-0005-0000-0000-0000920E0000}"/>
    <cellStyle name="Celda de comprobación 11 16 3" xfId="1191" xr:uid="{00000000-0005-0000-0000-0000930E0000}"/>
    <cellStyle name="Celda de comprobación 11 16 4" xfId="1192" xr:uid="{00000000-0005-0000-0000-0000940E0000}"/>
    <cellStyle name="Celda de comprobación 11 17" xfId="1193" xr:uid="{00000000-0005-0000-0000-0000950E0000}"/>
    <cellStyle name="Celda de comprobación 11 17 2" xfId="1194" xr:uid="{00000000-0005-0000-0000-0000960E0000}"/>
    <cellStyle name="Celda de comprobación 11 17 3" xfId="1195" xr:uid="{00000000-0005-0000-0000-0000970E0000}"/>
    <cellStyle name="Celda de comprobación 11 17 4" xfId="1196" xr:uid="{00000000-0005-0000-0000-0000980E0000}"/>
    <cellStyle name="Celda de comprobación 11 18" xfId="1197" xr:uid="{00000000-0005-0000-0000-0000990E0000}"/>
    <cellStyle name="Celda de comprobación 11 18 2" xfId="1198" xr:uid="{00000000-0005-0000-0000-00009A0E0000}"/>
    <cellStyle name="Celda de comprobación 11 18 3" xfId="1199" xr:uid="{00000000-0005-0000-0000-00009B0E0000}"/>
    <cellStyle name="Celda de comprobación 11 18 4" xfId="1200" xr:uid="{00000000-0005-0000-0000-00009C0E0000}"/>
    <cellStyle name="Celda de comprobación 11 19" xfId="1201" xr:uid="{00000000-0005-0000-0000-00009D0E0000}"/>
    <cellStyle name="Celda de comprobación 11 19 2" xfId="1202" xr:uid="{00000000-0005-0000-0000-00009E0E0000}"/>
    <cellStyle name="Celda de comprobación 11 19 3" xfId="1203" xr:uid="{00000000-0005-0000-0000-00009F0E0000}"/>
    <cellStyle name="Celda de comprobación 11 19 4" xfId="1204" xr:uid="{00000000-0005-0000-0000-0000A00E0000}"/>
    <cellStyle name="Celda de comprobación 11 2" xfId="1205" xr:uid="{00000000-0005-0000-0000-0000A10E0000}"/>
    <cellStyle name="Celda de comprobación 11 2 2" xfId="1206" xr:uid="{00000000-0005-0000-0000-0000A20E0000}"/>
    <cellStyle name="Celda de comprobación 11 2 3" xfId="1207" xr:uid="{00000000-0005-0000-0000-0000A30E0000}"/>
    <cellStyle name="Celda de comprobación 11 2 4" xfId="1208" xr:uid="{00000000-0005-0000-0000-0000A40E0000}"/>
    <cellStyle name="Celda de comprobación 11 20" xfId="1209" xr:uid="{00000000-0005-0000-0000-0000A50E0000}"/>
    <cellStyle name="Celda de comprobación 11 20 2" xfId="1210" xr:uid="{00000000-0005-0000-0000-0000A60E0000}"/>
    <cellStyle name="Celda de comprobación 11 20 3" xfId="1211" xr:uid="{00000000-0005-0000-0000-0000A70E0000}"/>
    <cellStyle name="Celda de comprobación 11 20 4" xfId="1212" xr:uid="{00000000-0005-0000-0000-0000A80E0000}"/>
    <cellStyle name="Celda de comprobación 11 21" xfId="1213" xr:uid="{00000000-0005-0000-0000-0000A90E0000}"/>
    <cellStyle name="Celda de comprobación 11 21 2" xfId="1214" xr:uid="{00000000-0005-0000-0000-0000AA0E0000}"/>
    <cellStyle name="Celda de comprobación 11 21 3" xfId="1215" xr:uid="{00000000-0005-0000-0000-0000AB0E0000}"/>
    <cellStyle name="Celda de comprobación 11 21 4" xfId="1216" xr:uid="{00000000-0005-0000-0000-0000AC0E0000}"/>
    <cellStyle name="Celda de comprobación 11 22" xfId="1217" xr:uid="{00000000-0005-0000-0000-0000AD0E0000}"/>
    <cellStyle name="Celda de comprobación 11 22 2" xfId="1218" xr:uid="{00000000-0005-0000-0000-0000AE0E0000}"/>
    <cellStyle name="Celda de comprobación 11 22 3" xfId="1219" xr:uid="{00000000-0005-0000-0000-0000AF0E0000}"/>
    <cellStyle name="Celda de comprobación 11 22 4" xfId="1220" xr:uid="{00000000-0005-0000-0000-0000B00E0000}"/>
    <cellStyle name="Celda de comprobación 11 23" xfId="1221" xr:uid="{00000000-0005-0000-0000-0000B10E0000}"/>
    <cellStyle name="Celda de comprobación 11 23 2" xfId="1222" xr:uid="{00000000-0005-0000-0000-0000B20E0000}"/>
    <cellStyle name="Celda de comprobación 11 23 3" xfId="1223" xr:uid="{00000000-0005-0000-0000-0000B30E0000}"/>
    <cellStyle name="Celda de comprobación 11 23 4" xfId="1224" xr:uid="{00000000-0005-0000-0000-0000B40E0000}"/>
    <cellStyle name="Celda de comprobación 11 24" xfId="1225" xr:uid="{00000000-0005-0000-0000-0000B50E0000}"/>
    <cellStyle name="Celda de comprobación 11 24 2" xfId="1226" xr:uid="{00000000-0005-0000-0000-0000B60E0000}"/>
    <cellStyle name="Celda de comprobación 11 24 3" xfId="1227" xr:uid="{00000000-0005-0000-0000-0000B70E0000}"/>
    <cellStyle name="Celda de comprobación 11 24 4" xfId="1228" xr:uid="{00000000-0005-0000-0000-0000B80E0000}"/>
    <cellStyle name="Celda de comprobación 11 25" xfId="1229" xr:uid="{00000000-0005-0000-0000-0000B90E0000}"/>
    <cellStyle name="Celda de comprobación 11 25 2" xfId="1230" xr:uid="{00000000-0005-0000-0000-0000BA0E0000}"/>
    <cellStyle name="Celda de comprobación 11 25 3" xfId="1231" xr:uid="{00000000-0005-0000-0000-0000BB0E0000}"/>
    <cellStyle name="Celda de comprobación 11 25 4" xfId="1232" xr:uid="{00000000-0005-0000-0000-0000BC0E0000}"/>
    <cellStyle name="Celda de comprobación 11 26" xfId="1233" xr:uid="{00000000-0005-0000-0000-0000BD0E0000}"/>
    <cellStyle name="Celda de comprobación 11 26 2" xfId="1234" xr:uid="{00000000-0005-0000-0000-0000BE0E0000}"/>
    <cellStyle name="Celda de comprobación 11 26 3" xfId="1235" xr:uid="{00000000-0005-0000-0000-0000BF0E0000}"/>
    <cellStyle name="Celda de comprobación 11 26 4" xfId="1236" xr:uid="{00000000-0005-0000-0000-0000C00E0000}"/>
    <cellStyle name="Celda de comprobación 11 27" xfId="1237" xr:uid="{00000000-0005-0000-0000-0000C10E0000}"/>
    <cellStyle name="Celda de comprobación 11 27 2" xfId="1238" xr:uid="{00000000-0005-0000-0000-0000C20E0000}"/>
    <cellStyle name="Celda de comprobación 11 27 3" xfId="1239" xr:uid="{00000000-0005-0000-0000-0000C30E0000}"/>
    <cellStyle name="Celda de comprobación 11 27 4" xfId="1240" xr:uid="{00000000-0005-0000-0000-0000C40E0000}"/>
    <cellStyle name="Celda de comprobación 11 28" xfId="1241" xr:uid="{00000000-0005-0000-0000-0000C50E0000}"/>
    <cellStyle name="Celda de comprobación 11 28 2" xfId="1242" xr:uid="{00000000-0005-0000-0000-0000C60E0000}"/>
    <cellStyle name="Celda de comprobación 11 28 3" xfId="1243" xr:uid="{00000000-0005-0000-0000-0000C70E0000}"/>
    <cellStyle name="Celda de comprobación 11 28 4" xfId="1244" xr:uid="{00000000-0005-0000-0000-0000C80E0000}"/>
    <cellStyle name="Celda de comprobación 11 29" xfId="1245" xr:uid="{00000000-0005-0000-0000-0000C90E0000}"/>
    <cellStyle name="Celda de comprobación 11 29 2" xfId="1246" xr:uid="{00000000-0005-0000-0000-0000CA0E0000}"/>
    <cellStyle name="Celda de comprobación 11 29 3" xfId="1247" xr:uid="{00000000-0005-0000-0000-0000CB0E0000}"/>
    <cellStyle name="Celda de comprobación 11 29 4" xfId="1248" xr:uid="{00000000-0005-0000-0000-0000CC0E0000}"/>
    <cellStyle name="Celda de comprobación 11 3" xfId="1249" xr:uid="{00000000-0005-0000-0000-0000CD0E0000}"/>
    <cellStyle name="Celda de comprobación 11 3 2" xfId="1250" xr:uid="{00000000-0005-0000-0000-0000CE0E0000}"/>
    <cellStyle name="Celda de comprobación 11 3 3" xfId="1251" xr:uid="{00000000-0005-0000-0000-0000CF0E0000}"/>
    <cellStyle name="Celda de comprobación 11 3 4" xfId="1252" xr:uid="{00000000-0005-0000-0000-0000D00E0000}"/>
    <cellStyle name="Celda de comprobación 11 30" xfId="1253" xr:uid="{00000000-0005-0000-0000-0000D10E0000}"/>
    <cellStyle name="Celda de comprobación 11 30 2" xfId="1254" xr:uid="{00000000-0005-0000-0000-0000D20E0000}"/>
    <cellStyle name="Celda de comprobación 11 30 3" xfId="1255" xr:uid="{00000000-0005-0000-0000-0000D30E0000}"/>
    <cellStyle name="Celda de comprobación 11 30 4" xfId="1256" xr:uid="{00000000-0005-0000-0000-0000D40E0000}"/>
    <cellStyle name="Celda de comprobación 11 31" xfId="1257" xr:uid="{00000000-0005-0000-0000-0000D50E0000}"/>
    <cellStyle name="Celda de comprobación 11 31 2" xfId="1258" xr:uid="{00000000-0005-0000-0000-0000D60E0000}"/>
    <cellStyle name="Celda de comprobación 11 31 3" xfId="1259" xr:uid="{00000000-0005-0000-0000-0000D70E0000}"/>
    <cellStyle name="Celda de comprobación 11 31 4" xfId="1260" xr:uid="{00000000-0005-0000-0000-0000D80E0000}"/>
    <cellStyle name="Celda de comprobación 11 32" xfId="1261" xr:uid="{00000000-0005-0000-0000-0000D90E0000}"/>
    <cellStyle name="Celda de comprobación 11 32 2" xfId="1262" xr:uid="{00000000-0005-0000-0000-0000DA0E0000}"/>
    <cellStyle name="Celda de comprobación 11 32 3" xfId="1263" xr:uid="{00000000-0005-0000-0000-0000DB0E0000}"/>
    <cellStyle name="Celda de comprobación 11 32 4" xfId="1264" xr:uid="{00000000-0005-0000-0000-0000DC0E0000}"/>
    <cellStyle name="Celda de comprobación 11 33" xfId="1265" xr:uid="{00000000-0005-0000-0000-0000DD0E0000}"/>
    <cellStyle name="Celda de comprobación 11 33 2" xfId="1266" xr:uid="{00000000-0005-0000-0000-0000DE0E0000}"/>
    <cellStyle name="Celda de comprobación 11 33 3" xfId="1267" xr:uid="{00000000-0005-0000-0000-0000DF0E0000}"/>
    <cellStyle name="Celda de comprobación 11 33 4" xfId="1268" xr:uid="{00000000-0005-0000-0000-0000E00E0000}"/>
    <cellStyle name="Celda de comprobación 11 34" xfId="1269" xr:uid="{00000000-0005-0000-0000-0000E10E0000}"/>
    <cellStyle name="Celda de comprobación 11 34 2" xfId="1270" xr:uid="{00000000-0005-0000-0000-0000E20E0000}"/>
    <cellStyle name="Celda de comprobación 11 34 3" xfId="1271" xr:uid="{00000000-0005-0000-0000-0000E30E0000}"/>
    <cellStyle name="Celda de comprobación 11 34 4" xfId="1272" xr:uid="{00000000-0005-0000-0000-0000E40E0000}"/>
    <cellStyle name="Celda de comprobación 11 35" xfId="1273" xr:uid="{00000000-0005-0000-0000-0000E50E0000}"/>
    <cellStyle name="Celda de comprobación 11 35 2" xfId="1274" xr:uid="{00000000-0005-0000-0000-0000E60E0000}"/>
    <cellStyle name="Celda de comprobación 11 35 3" xfId="1275" xr:uid="{00000000-0005-0000-0000-0000E70E0000}"/>
    <cellStyle name="Celda de comprobación 11 35 4" xfId="1276" xr:uid="{00000000-0005-0000-0000-0000E80E0000}"/>
    <cellStyle name="Celda de comprobación 11 36" xfId="1277" xr:uid="{00000000-0005-0000-0000-0000E90E0000}"/>
    <cellStyle name="Celda de comprobación 11 36 2" xfId="1278" xr:uid="{00000000-0005-0000-0000-0000EA0E0000}"/>
    <cellStyle name="Celda de comprobación 11 36 3" xfId="1279" xr:uid="{00000000-0005-0000-0000-0000EB0E0000}"/>
    <cellStyle name="Celda de comprobación 11 36 4" xfId="1280" xr:uid="{00000000-0005-0000-0000-0000EC0E0000}"/>
    <cellStyle name="Celda de comprobación 11 37" xfId="1281" xr:uid="{00000000-0005-0000-0000-0000ED0E0000}"/>
    <cellStyle name="Celda de comprobación 11 38" xfId="1282" xr:uid="{00000000-0005-0000-0000-0000EE0E0000}"/>
    <cellStyle name="Celda de comprobación 11 39" xfId="1283" xr:uid="{00000000-0005-0000-0000-0000EF0E0000}"/>
    <cellStyle name="Celda de comprobación 11 4" xfId="1284" xr:uid="{00000000-0005-0000-0000-0000F00E0000}"/>
    <cellStyle name="Celda de comprobación 11 4 2" xfId="1285" xr:uid="{00000000-0005-0000-0000-0000F10E0000}"/>
    <cellStyle name="Celda de comprobación 11 4 3" xfId="1286" xr:uid="{00000000-0005-0000-0000-0000F20E0000}"/>
    <cellStyle name="Celda de comprobación 11 4 4" xfId="1287" xr:uid="{00000000-0005-0000-0000-0000F30E0000}"/>
    <cellStyle name="Celda de comprobación 11 40" xfId="1288" xr:uid="{00000000-0005-0000-0000-0000F40E0000}"/>
    <cellStyle name="Celda de comprobación 11 41" xfId="1289" xr:uid="{00000000-0005-0000-0000-0000F50E0000}"/>
    <cellStyle name="Celda de comprobación 11 42" xfId="1290" xr:uid="{00000000-0005-0000-0000-0000F60E0000}"/>
    <cellStyle name="Celda de comprobación 11 43" xfId="1291" xr:uid="{00000000-0005-0000-0000-0000F70E0000}"/>
    <cellStyle name="Celda de comprobación 11 44" xfId="1292" xr:uid="{00000000-0005-0000-0000-0000F80E0000}"/>
    <cellStyle name="Celda de comprobación 11 45" xfId="1293" xr:uid="{00000000-0005-0000-0000-0000F90E0000}"/>
    <cellStyle name="Celda de comprobación 11 46" xfId="1294" xr:uid="{00000000-0005-0000-0000-0000FA0E0000}"/>
    <cellStyle name="Celda de comprobación 11 47" xfId="1295" xr:uid="{00000000-0005-0000-0000-0000FB0E0000}"/>
    <cellStyle name="Celda de comprobación 11 48" xfId="1296" xr:uid="{00000000-0005-0000-0000-0000FC0E0000}"/>
    <cellStyle name="Celda de comprobación 11 49" xfId="1297" xr:uid="{00000000-0005-0000-0000-0000FD0E0000}"/>
    <cellStyle name="Celda de comprobación 11 5" xfId="1298" xr:uid="{00000000-0005-0000-0000-0000FE0E0000}"/>
    <cellStyle name="Celda de comprobación 11 5 2" xfId="1299" xr:uid="{00000000-0005-0000-0000-0000FF0E0000}"/>
    <cellStyle name="Celda de comprobación 11 5 3" xfId="1300" xr:uid="{00000000-0005-0000-0000-0000000F0000}"/>
    <cellStyle name="Celda de comprobación 11 5 4" xfId="1301" xr:uid="{00000000-0005-0000-0000-0000010F0000}"/>
    <cellStyle name="Celda de comprobación 11 50" xfId="1302" xr:uid="{00000000-0005-0000-0000-0000020F0000}"/>
    <cellStyle name="Celda de comprobación 11 51" xfId="1303" xr:uid="{00000000-0005-0000-0000-0000030F0000}"/>
    <cellStyle name="Celda de comprobación 11 6" xfId="1304" xr:uid="{00000000-0005-0000-0000-0000040F0000}"/>
    <cellStyle name="Celda de comprobación 11 6 2" xfId="1305" xr:uid="{00000000-0005-0000-0000-0000050F0000}"/>
    <cellStyle name="Celda de comprobación 11 6 3" xfId="1306" xr:uid="{00000000-0005-0000-0000-0000060F0000}"/>
    <cellStyle name="Celda de comprobación 11 6 4" xfId="1307" xr:uid="{00000000-0005-0000-0000-0000070F0000}"/>
    <cellStyle name="Celda de comprobación 11 7" xfId="1308" xr:uid="{00000000-0005-0000-0000-0000080F0000}"/>
    <cellStyle name="Celda de comprobación 11 7 2" xfId="1309" xr:uid="{00000000-0005-0000-0000-0000090F0000}"/>
    <cellStyle name="Celda de comprobación 11 7 3" xfId="1310" xr:uid="{00000000-0005-0000-0000-00000A0F0000}"/>
    <cellStyle name="Celda de comprobación 11 7 4" xfId="1311" xr:uid="{00000000-0005-0000-0000-00000B0F0000}"/>
    <cellStyle name="Celda de comprobación 11 8" xfId="1312" xr:uid="{00000000-0005-0000-0000-00000C0F0000}"/>
    <cellStyle name="Celda de comprobación 11 8 2" xfId="1313" xr:uid="{00000000-0005-0000-0000-00000D0F0000}"/>
    <cellStyle name="Celda de comprobación 11 8 3" xfId="1314" xr:uid="{00000000-0005-0000-0000-00000E0F0000}"/>
    <cellStyle name="Celda de comprobación 11 8 4" xfId="1315" xr:uid="{00000000-0005-0000-0000-00000F0F0000}"/>
    <cellStyle name="Celda de comprobación 11 9" xfId="1316" xr:uid="{00000000-0005-0000-0000-0000100F0000}"/>
    <cellStyle name="Celda de comprobación 11 9 2" xfId="1317" xr:uid="{00000000-0005-0000-0000-0000110F0000}"/>
    <cellStyle name="Celda de comprobación 11 9 3" xfId="1318" xr:uid="{00000000-0005-0000-0000-0000120F0000}"/>
    <cellStyle name="Celda de comprobación 11 9 4" xfId="1319" xr:uid="{00000000-0005-0000-0000-0000130F0000}"/>
    <cellStyle name="Celda de comprobación 12" xfId="1320" xr:uid="{00000000-0005-0000-0000-0000140F0000}"/>
    <cellStyle name="Celda de comprobación 12 10" xfId="1321" xr:uid="{00000000-0005-0000-0000-0000150F0000}"/>
    <cellStyle name="Celda de comprobación 12 10 2" xfId="1322" xr:uid="{00000000-0005-0000-0000-0000160F0000}"/>
    <cellStyle name="Celda de comprobación 12 10 3" xfId="1323" xr:uid="{00000000-0005-0000-0000-0000170F0000}"/>
    <cellStyle name="Celda de comprobación 12 10 4" xfId="1324" xr:uid="{00000000-0005-0000-0000-0000180F0000}"/>
    <cellStyle name="Celda de comprobación 12 11" xfId="1325" xr:uid="{00000000-0005-0000-0000-0000190F0000}"/>
    <cellStyle name="Celda de comprobación 12 11 2" xfId="1326" xr:uid="{00000000-0005-0000-0000-00001A0F0000}"/>
    <cellStyle name="Celda de comprobación 12 11 3" xfId="1327" xr:uid="{00000000-0005-0000-0000-00001B0F0000}"/>
    <cellStyle name="Celda de comprobación 12 11 4" xfId="1328" xr:uid="{00000000-0005-0000-0000-00001C0F0000}"/>
    <cellStyle name="Celda de comprobación 12 12" xfId="1329" xr:uid="{00000000-0005-0000-0000-00001D0F0000}"/>
    <cellStyle name="Celda de comprobación 12 12 2" xfId="1330" xr:uid="{00000000-0005-0000-0000-00001E0F0000}"/>
    <cellStyle name="Celda de comprobación 12 12 3" xfId="1331" xr:uid="{00000000-0005-0000-0000-00001F0F0000}"/>
    <cellStyle name="Celda de comprobación 12 12 4" xfId="1332" xr:uid="{00000000-0005-0000-0000-0000200F0000}"/>
    <cellStyle name="Celda de comprobación 12 13" xfId="1333" xr:uid="{00000000-0005-0000-0000-0000210F0000}"/>
    <cellStyle name="Celda de comprobación 12 13 2" xfId="1334" xr:uid="{00000000-0005-0000-0000-0000220F0000}"/>
    <cellStyle name="Celda de comprobación 12 13 3" xfId="1335" xr:uid="{00000000-0005-0000-0000-0000230F0000}"/>
    <cellStyle name="Celda de comprobación 12 13 4" xfId="1336" xr:uid="{00000000-0005-0000-0000-0000240F0000}"/>
    <cellStyle name="Celda de comprobación 12 14" xfId="1337" xr:uid="{00000000-0005-0000-0000-0000250F0000}"/>
    <cellStyle name="Celda de comprobación 12 14 2" xfId="1338" xr:uid="{00000000-0005-0000-0000-0000260F0000}"/>
    <cellStyle name="Celda de comprobación 12 14 3" xfId="1339" xr:uid="{00000000-0005-0000-0000-0000270F0000}"/>
    <cellStyle name="Celda de comprobación 12 14 4" xfId="1340" xr:uid="{00000000-0005-0000-0000-0000280F0000}"/>
    <cellStyle name="Celda de comprobación 12 15" xfId="1341" xr:uid="{00000000-0005-0000-0000-0000290F0000}"/>
    <cellStyle name="Celda de comprobación 12 15 2" xfId="1342" xr:uid="{00000000-0005-0000-0000-00002A0F0000}"/>
    <cellStyle name="Celda de comprobación 12 15 3" xfId="1343" xr:uid="{00000000-0005-0000-0000-00002B0F0000}"/>
    <cellStyle name="Celda de comprobación 12 15 4" xfId="1344" xr:uid="{00000000-0005-0000-0000-00002C0F0000}"/>
    <cellStyle name="Celda de comprobación 12 16" xfId="1345" xr:uid="{00000000-0005-0000-0000-00002D0F0000}"/>
    <cellStyle name="Celda de comprobación 12 16 2" xfId="1346" xr:uid="{00000000-0005-0000-0000-00002E0F0000}"/>
    <cellStyle name="Celda de comprobación 12 16 3" xfId="1347" xr:uid="{00000000-0005-0000-0000-00002F0F0000}"/>
    <cellStyle name="Celda de comprobación 12 16 4" xfId="1348" xr:uid="{00000000-0005-0000-0000-0000300F0000}"/>
    <cellStyle name="Celda de comprobación 12 17" xfId="1349" xr:uid="{00000000-0005-0000-0000-0000310F0000}"/>
    <cellStyle name="Celda de comprobación 12 17 2" xfId="1350" xr:uid="{00000000-0005-0000-0000-0000320F0000}"/>
    <cellStyle name="Celda de comprobación 12 17 3" xfId="1351" xr:uid="{00000000-0005-0000-0000-0000330F0000}"/>
    <cellStyle name="Celda de comprobación 12 17 4" xfId="1352" xr:uid="{00000000-0005-0000-0000-0000340F0000}"/>
    <cellStyle name="Celda de comprobación 12 18" xfId="1353" xr:uid="{00000000-0005-0000-0000-0000350F0000}"/>
    <cellStyle name="Celda de comprobación 12 18 2" xfId="1354" xr:uid="{00000000-0005-0000-0000-0000360F0000}"/>
    <cellStyle name="Celda de comprobación 12 18 3" xfId="1355" xr:uid="{00000000-0005-0000-0000-0000370F0000}"/>
    <cellStyle name="Celda de comprobación 12 18 4" xfId="1356" xr:uid="{00000000-0005-0000-0000-0000380F0000}"/>
    <cellStyle name="Celda de comprobación 12 19" xfId="1357" xr:uid="{00000000-0005-0000-0000-0000390F0000}"/>
    <cellStyle name="Celda de comprobación 12 19 2" xfId="1358" xr:uid="{00000000-0005-0000-0000-00003A0F0000}"/>
    <cellStyle name="Celda de comprobación 12 19 3" xfId="1359" xr:uid="{00000000-0005-0000-0000-00003B0F0000}"/>
    <cellStyle name="Celda de comprobación 12 19 4" xfId="1360" xr:uid="{00000000-0005-0000-0000-00003C0F0000}"/>
    <cellStyle name="Celda de comprobación 12 2" xfId="1361" xr:uid="{00000000-0005-0000-0000-00003D0F0000}"/>
    <cellStyle name="Celda de comprobación 12 2 2" xfId="1362" xr:uid="{00000000-0005-0000-0000-00003E0F0000}"/>
    <cellStyle name="Celda de comprobación 12 2 3" xfId="1363" xr:uid="{00000000-0005-0000-0000-00003F0F0000}"/>
    <cellStyle name="Celda de comprobación 12 2 4" xfId="1364" xr:uid="{00000000-0005-0000-0000-0000400F0000}"/>
    <cellStyle name="Celda de comprobación 12 20" xfId="1365" xr:uid="{00000000-0005-0000-0000-0000410F0000}"/>
    <cellStyle name="Celda de comprobación 12 20 2" xfId="1366" xr:uid="{00000000-0005-0000-0000-0000420F0000}"/>
    <cellStyle name="Celda de comprobación 12 20 3" xfId="1367" xr:uid="{00000000-0005-0000-0000-0000430F0000}"/>
    <cellStyle name="Celda de comprobación 12 20 4" xfId="1368" xr:uid="{00000000-0005-0000-0000-0000440F0000}"/>
    <cellStyle name="Celda de comprobación 12 21" xfId="1369" xr:uid="{00000000-0005-0000-0000-0000450F0000}"/>
    <cellStyle name="Celda de comprobación 12 21 2" xfId="1370" xr:uid="{00000000-0005-0000-0000-0000460F0000}"/>
    <cellStyle name="Celda de comprobación 12 21 3" xfId="1371" xr:uid="{00000000-0005-0000-0000-0000470F0000}"/>
    <cellStyle name="Celda de comprobación 12 21 4" xfId="1372" xr:uid="{00000000-0005-0000-0000-0000480F0000}"/>
    <cellStyle name="Celda de comprobación 12 22" xfId="1373" xr:uid="{00000000-0005-0000-0000-0000490F0000}"/>
    <cellStyle name="Celda de comprobación 12 22 2" xfId="1374" xr:uid="{00000000-0005-0000-0000-00004A0F0000}"/>
    <cellStyle name="Celda de comprobación 12 22 3" xfId="1375" xr:uid="{00000000-0005-0000-0000-00004B0F0000}"/>
    <cellStyle name="Celda de comprobación 12 22 4" xfId="1376" xr:uid="{00000000-0005-0000-0000-00004C0F0000}"/>
    <cellStyle name="Celda de comprobación 12 23" xfId="1377" xr:uid="{00000000-0005-0000-0000-00004D0F0000}"/>
    <cellStyle name="Celda de comprobación 12 23 2" xfId="1378" xr:uid="{00000000-0005-0000-0000-00004E0F0000}"/>
    <cellStyle name="Celda de comprobación 12 23 3" xfId="1379" xr:uid="{00000000-0005-0000-0000-00004F0F0000}"/>
    <cellStyle name="Celda de comprobación 12 23 4" xfId="1380" xr:uid="{00000000-0005-0000-0000-0000500F0000}"/>
    <cellStyle name="Celda de comprobación 12 24" xfId="1381" xr:uid="{00000000-0005-0000-0000-0000510F0000}"/>
    <cellStyle name="Celda de comprobación 12 24 2" xfId="1382" xr:uid="{00000000-0005-0000-0000-0000520F0000}"/>
    <cellStyle name="Celda de comprobación 12 24 3" xfId="1383" xr:uid="{00000000-0005-0000-0000-0000530F0000}"/>
    <cellStyle name="Celda de comprobación 12 24 4" xfId="1384" xr:uid="{00000000-0005-0000-0000-0000540F0000}"/>
    <cellStyle name="Celda de comprobación 12 25" xfId="1385" xr:uid="{00000000-0005-0000-0000-0000550F0000}"/>
    <cellStyle name="Celda de comprobación 12 25 2" xfId="1386" xr:uid="{00000000-0005-0000-0000-0000560F0000}"/>
    <cellStyle name="Celda de comprobación 12 25 3" xfId="1387" xr:uid="{00000000-0005-0000-0000-0000570F0000}"/>
    <cellStyle name="Celda de comprobación 12 25 4" xfId="1388" xr:uid="{00000000-0005-0000-0000-0000580F0000}"/>
    <cellStyle name="Celda de comprobación 12 26" xfId="1389" xr:uid="{00000000-0005-0000-0000-0000590F0000}"/>
    <cellStyle name="Celda de comprobación 12 26 2" xfId="1390" xr:uid="{00000000-0005-0000-0000-00005A0F0000}"/>
    <cellStyle name="Celda de comprobación 12 26 3" xfId="1391" xr:uid="{00000000-0005-0000-0000-00005B0F0000}"/>
    <cellStyle name="Celda de comprobación 12 26 4" xfId="1392" xr:uid="{00000000-0005-0000-0000-00005C0F0000}"/>
    <cellStyle name="Celda de comprobación 12 27" xfId="1393" xr:uid="{00000000-0005-0000-0000-00005D0F0000}"/>
    <cellStyle name="Celda de comprobación 12 27 2" xfId="1394" xr:uid="{00000000-0005-0000-0000-00005E0F0000}"/>
    <cellStyle name="Celda de comprobación 12 27 3" xfId="1395" xr:uid="{00000000-0005-0000-0000-00005F0F0000}"/>
    <cellStyle name="Celda de comprobación 12 27 4" xfId="1396" xr:uid="{00000000-0005-0000-0000-0000600F0000}"/>
    <cellStyle name="Celda de comprobación 12 28" xfId="1397" xr:uid="{00000000-0005-0000-0000-0000610F0000}"/>
    <cellStyle name="Celda de comprobación 12 28 2" xfId="1398" xr:uid="{00000000-0005-0000-0000-0000620F0000}"/>
    <cellStyle name="Celda de comprobación 12 28 3" xfId="1399" xr:uid="{00000000-0005-0000-0000-0000630F0000}"/>
    <cellStyle name="Celda de comprobación 12 28 4" xfId="1400" xr:uid="{00000000-0005-0000-0000-0000640F0000}"/>
    <cellStyle name="Celda de comprobación 12 29" xfId="1401" xr:uid="{00000000-0005-0000-0000-0000650F0000}"/>
    <cellStyle name="Celda de comprobación 12 29 2" xfId="1402" xr:uid="{00000000-0005-0000-0000-0000660F0000}"/>
    <cellStyle name="Celda de comprobación 12 29 3" xfId="1403" xr:uid="{00000000-0005-0000-0000-0000670F0000}"/>
    <cellStyle name="Celda de comprobación 12 29 4" xfId="1404" xr:uid="{00000000-0005-0000-0000-0000680F0000}"/>
    <cellStyle name="Celda de comprobación 12 3" xfId="1405" xr:uid="{00000000-0005-0000-0000-0000690F0000}"/>
    <cellStyle name="Celda de comprobación 12 3 2" xfId="1406" xr:uid="{00000000-0005-0000-0000-00006A0F0000}"/>
    <cellStyle name="Celda de comprobación 12 3 3" xfId="1407" xr:uid="{00000000-0005-0000-0000-00006B0F0000}"/>
    <cellStyle name="Celda de comprobación 12 3 4" xfId="1408" xr:uid="{00000000-0005-0000-0000-00006C0F0000}"/>
    <cellStyle name="Celda de comprobación 12 30" xfId="1409" xr:uid="{00000000-0005-0000-0000-00006D0F0000}"/>
    <cellStyle name="Celda de comprobación 12 30 2" xfId="1410" xr:uid="{00000000-0005-0000-0000-00006E0F0000}"/>
    <cellStyle name="Celda de comprobación 12 30 3" xfId="1411" xr:uid="{00000000-0005-0000-0000-00006F0F0000}"/>
    <cellStyle name="Celda de comprobación 12 30 4" xfId="1412" xr:uid="{00000000-0005-0000-0000-0000700F0000}"/>
    <cellStyle name="Celda de comprobación 12 31" xfId="1413" xr:uid="{00000000-0005-0000-0000-0000710F0000}"/>
    <cellStyle name="Celda de comprobación 12 31 2" xfId="1414" xr:uid="{00000000-0005-0000-0000-0000720F0000}"/>
    <cellStyle name="Celda de comprobación 12 31 3" xfId="1415" xr:uid="{00000000-0005-0000-0000-0000730F0000}"/>
    <cellStyle name="Celda de comprobación 12 31 4" xfId="1416" xr:uid="{00000000-0005-0000-0000-0000740F0000}"/>
    <cellStyle name="Celda de comprobación 12 32" xfId="1417" xr:uid="{00000000-0005-0000-0000-0000750F0000}"/>
    <cellStyle name="Celda de comprobación 12 32 2" xfId="1418" xr:uid="{00000000-0005-0000-0000-0000760F0000}"/>
    <cellStyle name="Celda de comprobación 12 32 3" xfId="1419" xr:uid="{00000000-0005-0000-0000-0000770F0000}"/>
    <cellStyle name="Celda de comprobación 12 32 4" xfId="1420" xr:uid="{00000000-0005-0000-0000-0000780F0000}"/>
    <cellStyle name="Celda de comprobación 12 33" xfId="1421" xr:uid="{00000000-0005-0000-0000-0000790F0000}"/>
    <cellStyle name="Celda de comprobación 12 33 2" xfId="1422" xr:uid="{00000000-0005-0000-0000-00007A0F0000}"/>
    <cellStyle name="Celda de comprobación 12 33 3" xfId="1423" xr:uid="{00000000-0005-0000-0000-00007B0F0000}"/>
    <cellStyle name="Celda de comprobación 12 33 4" xfId="1424" xr:uid="{00000000-0005-0000-0000-00007C0F0000}"/>
    <cellStyle name="Celda de comprobación 12 34" xfId="1425" xr:uid="{00000000-0005-0000-0000-00007D0F0000}"/>
    <cellStyle name="Celda de comprobación 12 34 2" xfId="1426" xr:uid="{00000000-0005-0000-0000-00007E0F0000}"/>
    <cellStyle name="Celda de comprobación 12 34 3" xfId="1427" xr:uid="{00000000-0005-0000-0000-00007F0F0000}"/>
    <cellStyle name="Celda de comprobación 12 34 4" xfId="1428" xr:uid="{00000000-0005-0000-0000-0000800F0000}"/>
    <cellStyle name="Celda de comprobación 12 35" xfId="1429" xr:uid="{00000000-0005-0000-0000-0000810F0000}"/>
    <cellStyle name="Celda de comprobación 12 35 2" xfId="1430" xr:uid="{00000000-0005-0000-0000-0000820F0000}"/>
    <cellStyle name="Celda de comprobación 12 35 3" xfId="1431" xr:uid="{00000000-0005-0000-0000-0000830F0000}"/>
    <cellStyle name="Celda de comprobación 12 35 4" xfId="1432" xr:uid="{00000000-0005-0000-0000-0000840F0000}"/>
    <cellStyle name="Celda de comprobación 12 36" xfId="1433" xr:uid="{00000000-0005-0000-0000-0000850F0000}"/>
    <cellStyle name="Celda de comprobación 12 36 2" xfId="1434" xr:uid="{00000000-0005-0000-0000-0000860F0000}"/>
    <cellStyle name="Celda de comprobación 12 36 3" xfId="1435" xr:uid="{00000000-0005-0000-0000-0000870F0000}"/>
    <cellStyle name="Celda de comprobación 12 36 4" xfId="1436" xr:uid="{00000000-0005-0000-0000-0000880F0000}"/>
    <cellStyle name="Celda de comprobación 12 37" xfId="1437" xr:uid="{00000000-0005-0000-0000-0000890F0000}"/>
    <cellStyle name="Celda de comprobación 12 38" xfId="1438" xr:uid="{00000000-0005-0000-0000-00008A0F0000}"/>
    <cellStyle name="Celda de comprobación 12 39" xfId="1439" xr:uid="{00000000-0005-0000-0000-00008B0F0000}"/>
    <cellStyle name="Celda de comprobación 12 4" xfId="1440" xr:uid="{00000000-0005-0000-0000-00008C0F0000}"/>
    <cellStyle name="Celda de comprobación 12 4 2" xfId="1441" xr:uid="{00000000-0005-0000-0000-00008D0F0000}"/>
    <cellStyle name="Celda de comprobación 12 4 3" xfId="1442" xr:uid="{00000000-0005-0000-0000-00008E0F0000}"/>
    <cellStyle name="Celda de comprobación 12 4 4" xfId="1443" xr:uid="{00000000-0005-0000-0000-00008F0F0000}"/>
    <cellStyle name="Celda de comprobación 12 40" xfId="1444" xr:uid="{00000000-0005-0000-0000-0000900F0000}"/>
    <cellStyle name="Celda de comprobación 12 41" xfId="1445" xr:uid="{00000000-0005-0000-0000-0000910F0000}"/>
    <cellStyle name="Celda de comprobación 12 42" xfId="1446" xr:uid="{00000000-0005-0000-0000-0000920F0000}"/>
    <cellStyle name="Celda de comprobación 12 43" xfId="1447" xr:uid="{00000000-0005-0000-0000-0000930F0000}"/>
    <cellStyle name="Celda de comprobación 12 44" xfId="1448" xr:uid="{00000000-0005-0000-0000-0000940F0000}"/>
    <cellStyle name="Celda de comprobación 12 45" xfId="1449" xr:uid="{00000000-0005-0000-0000-0000950F0000}"/>
    <cellStyle name="Celda de comprobación 12 46" xfId="1450" xr:uid="{00000000-0005-0000-0000-0000960F0000}"/>
    <cellStyle name="Celda de comprobación 12 47" xfId="1451" xr:uid="{00000000-0005-0000-0000-0000970F0000}"/>
    <cellStyle name="Celda de comprobación 12 48" xfId="1452" xr:uid="{00000000-0005-0000-0000-0000980F0000}"/>
    <cellStyle name="Celda de comprobación 12 49" xfId="1453" xr:uid="{00000000-0005-0000-0000-0000990F0000}"/>
    <cellStyle name="Celda de comprobación 12 5" xfId="1454" xr:uid="{00000000-0005-0000-0000-00009A0F0000}"/>
    <cellStyle name="Celda de comprobación 12 5 2" xfId="1455" xr:uid="{00000000-0005-0000-0000-00009B0F0000}"/>
    <cellStyle name="Celda de comprobación 12 5 3" xfId="1456" xr:uid="{00000000-0005-0000-0000-00009C0F0000}"/>
    <cellStyle name="Celda de comprobación 12 5 4" xfId="1457" xr:uid="{00000000-0005-0000-0000-00009D0F0000}"/>
    <cellStyle name="Celda de comprobación 12 50" xfId="1458" xr:uid="{00000000-0005-0000-0000-00009E0F0000}"/>
    <cellStyle name="Celda de comprobación 12 51" xfId="1459" xr:uid="{00000000-0005-0000-0000-00009F0F0000}"/>
    <cellStyle name="Celda de comprobación 12 6" xfId="1460" xr:uid="{00000000-0005-0000-0000-0000A00F0000}"/>
    <cellStyle name="Celda de comprobación 12 6 2" xfId="1461" xr:uid="{00000000-0005-0000-0000-0000A10F0000}"/>
    <cellStyle name="Celda de comprobación 12 6 3" xfId="1462" xr:uid="{00000000-0005-0000-0000-0000A20F0000}"/>
    <cellStyle name="Celda de comprobación 12 6 4" xfId="1463" xr:uid="{00000000-0005-0000-0000-0000A30F0000}"/>
    <cellStyle name="Celda de comprobación 12 7" xfId="1464" xr:uid="{00000000-0005-0000-0000-0000A40F0000}"/>
    <cellStyle name="Celda de comprobación 12 7 2" xfId="1465" xr:uid="{00000000-0005-0000-0000-0000A50F0000}"/>
    <cellStyle name="Celda de comprobación 12 7 3" xfId="1466" xr:uid="{00000000-0005-0000-0000-0000A60F0000}"/>
    <cellStyle name="Celda de comprobación 12 7 4" xfId="1467" xr:uid="{00000000-0005-0000-0000-0000A70F0000}"/>
    <cellStyle name="Celda de comprobación 12 8" xfId="1468" xr:uid="{00000000-0005-0000-0000-0000A80F0000}"/>
    <cellStyle name="Celda de comprobación 12 8 2" xfId="1469" xr:uid="{00000000-0005-0000-0000-0000A90F0000}"/>
    <cellStyle name="Celda de comprobación 12 8 3" xfId="1470" xr:uid="{00000000-0005-0000-0000-0000AA0F0000}"/>
    <cellStyle name="Celda de comprobación 12 8 4" xfId="1471" xr:uid="{00000000-0005-0000-0000-0000AB0F0000}"/>
    <cellStyle name="Celda de comprobación 12 9" xfId="1472" xr:uid="{00000000-0005-0000-0000-0000AC0F0000}"/>
    <cellStyle name="Celda de comprobación 12 9 2" xfId="1473" xr:uid="{00000000-0005-0000-0000-0000AD0F0000}"/>
    <cellStyle name="Celda de comprobación 12 9 3" xfId="1474" xr:uid="{00000000-0005-0000-0000-0000AE0F0000}"/>
    <cellStyle name="Celda de comprobación 12 9 4" xfId="1475" xr:uid="{00000000-0005-0000-0000-0000AF0F0000}"/>
    <cellStyle name="Celda de comprobación 13" xfId="1476" xr:uid="{00000000-0005-0000-0000-0000B00F0000}"/>
    <cellStyle name="Celda de comprobación 13 10" xfId="1477" xr:uid="{00000000-0005-0000-0000-0000B10F0000}"/>
    <cellStyle name="Celda de comprobación 13 10 2" xfId="1478" xr:uid="{00000000-0005-0000-0000-0000B20F0000}"/>
    <cellStyle name="Celda de comprobación 13 10 3" xfId="1479" xr:uid="{00000000-0005-0000-0000-0000B30F0000}"/>
    <cellStyle name="Celda de comprobación 13 10 4" xfId="1480" xr:uid="{00000000-0005-0000-0000-0000B40F0000}"/>
    <cellStyle name="Celda de comprobación 13 11" xfId="1481" xr:uid="{00000000-0005-0000-0000-0000B50F0000}"/>
    <cellStyle name="Celda de comprobación 13 11 2" xfId="1482" xr:uid="{00000000-0005-0000-0000-0000B60F0000}"/>
    <cellStyle name="Celda de comprobación 13 11 3" xfId="1483" xr:uid="{00000000-0005-0000-0000-0000B70F0000}"/>
    <cellStyle name="Celda de comprobación 13 11 4" xfId="1484" xr:uid="{00000000-0005-0000-0000-0000B80F0000}"/>
    <cellStyle name="Celda de comprobación 13 12" xfId="1485" xr:uid="{00000000-0005-0000-0000-0000B90F0000}"/>
    <cellStyle name="Celda de comprobación 13 12 2" xfId="1486" xr:uid="{00000000-0005-0000-0000-0000BA0F0000}"/>
    <cellStyle name="Celda de comprobación 13 12 3" xfId="1487" xr:uid="{00000000-0005-0000-0000-0000BB0F0000}"/>
    <cellStyle name="Celda de comprobación 13 12 4" xfId="1488" xr:uid="{00000000-0005-0000-0000-0000BC0F0000}"/>
    <cellStyle name="Celda de comprobación 13 13" xfId="1489" xr:uid="{00000000-0005-0000-0000-0000BD0F0000}"/>
    <cellStyle name="Celda de comprobación 13 13 2" xfId="1490" xr:uid="{00000000-0005-0000-0000-0000BE0F0000}"/>
    <cellStyle name="Celda de comprobación 13 13 3" xfId="1491" xr:uid="{00000000-0005-0000-0000-0000BF0F0000}"/>
    <cellStyle name="Celda de comprobación 13 13 4" xfId="1492" xr:uid="{00000000-0005-0000-0000-0000C00F0000}"/>
    <cellStyle name="Celda de comprobación 13 14" xfId="1493" xr:uid="{00000000-0005-0000-0000-0000C10F0000}"/>
    <cellStyle name="Celda de comprobación 13 14 2" xfId="1494" xr:uid="{00000000-0005-0000-0000-0000C20F0000}"/>
    <cellStyle name="Celda de comprobación 13 14 3" xfId="1495" xr:uid="{00000000-0005-0000-0000-0000C30F0000}"/>
    <cellStyle name="Celda de comprobación 13 14 4" xfId="1496" xr:uid="{00000000-0005-0000-0000-0000C40F0000}"/>
    <cellStyle name="Celda de comprobación 13 15" xfId="1497" xr:uid="{00000000-0005-0000-0000-0000C50F0000}"/>
    <cellStyle name="Celda de comprobación 13 15 2" xfId="1498" xr:uid="{00000000-0005-0000-0000-0000C60F0000}"/>
    <cellStyle name="Celda de comprobación 13 15 3" xfId="1499" xr:uid="{00000000-0005-0000-0000-0000C70F0000}"/>
    <cellStyle name="Celda de comprobación 13 15 4" xfId="1500" xr:uid="{00000000-0005-0000-0000-0000C80F0000}"/>
    <cellStyle name="Celda de comprobación 13 16" xfId="1501" xr:uid="{00000000-0005-0000-0000-0000C90F0000}"/>
    <cellStyle name="Celda de comprobación 13 16 2" xfId="1502" xr:uid="{00000000-0005-0000-0000-0000CA0F0000}"/>
    <cellStyle name="Celda de comprobación 13 16 3" xfId="1503" xr:uid="{00000000-0005-0000-0000-0000CB0F0000}"/>
    <cellStyle name="Celda de comprobación 13 16 4" xfId="1504" xr:uid="{00000000-0005-0000-0000-0000CC0F0000}"/>
    <cellStyle name="Celda de comprobación 13 17" xfId="1505" xr:uid="{00000000-0005-0000-0000-0000CD0F0000}"/>
    <cellStyle name="Celda de comprobación 13 17 2" xfId="1506" xr:uid="{00000000-0005-0000-0000-0000CE0F0000}"/>
    <cellStyle name="Celda de comprobación 13 17 3" xfId="1507" xr:uid="{00000000-0005-0000-0000-0000CF0F0000}"/>
    <cellStyle name="Celda de comprobación 13 17 4" xfId="1508" xr:uid="{00000000-0005-0000-0000-0000D00F0000}"/>
    <cellStyle name="Celda de comprobación 13 18" xfId="1509" xr:uid="{00000000-0005-0000-0000-0000D10F0000}"/>
    <cellStyle name="Celda de comprobación 13 18 2" xfId="1510" xr:uid="{00000000-0005-0000-0000-0000D20F0000}"/>
    <cellStyle name="Celda de comprobación 13 18 3" xfId="1511" xr:uid="{00000000-0005-0000-0000-0000D30F0000}"/>
    <cellStyle name="Celda de comprobación 13 18 4" xfId="1512" xr:uid="{00000000-0005-0000-0000-0000D40F0000}"/>
    <cellStyle name="Celda de comprobación 13 19" xfId="1513" xr:uid="{00000000-0005-0000-0000-0000D50F0000}"/>
    <cellStyle name="Celda de comprobación 13 19 2" xfId="1514" xr:uid="{00000000-0005-0000-0000-0000D60F0000}"/>
    <cellStyle name="Celda de comprobación 13 19 3" xfId="1515" xr:uid="{00000000-0005-0000-0000-0000D70F0000}"/>
    <cellStyle name="Celda de comprobación 13 19 4" xfId="1516" xr:uid="{00000000-0005-0000-0000-0000D80F0000}"/>
    <cellStyle name="Celda de comprobación 13 2" xfId="1517" xr:uid="{00000000-0005-0000-0000-0000D90F0000}"/>
    <cellStyle name="Celda de comprobación 13 2 2" xfId="1518" xr:uid="{00000000-0005-0000-0000-0000DA0F0000}"/>
    <cellStyle name="Celda de comprobación 13 2 3" xfId="1519" xr:uid="{00000000-0005-0000-0000-0000DB0F0000}"/>
    <cellStyle name="Celda de comprobación 13 2 4" xfId="1520" xr:uid="{00000000-0005-0000-0000-0000DC0F0000}"/>
    <cellStyle name="Celda de comprobación 13 20" xfId="1521" xr:uid="{00000000-0005-0000-0000-0000DD0F0000}"/>
    <cellStyle name="Celda de comprobación 13 20 2" xfId="1522" xr:uid="{00000000-0005-0000-0000-0000DE0F0000}"/>
    <cellStyle name="Celda de comprobación 13 20 3" xfId="1523" xr:uid="{00000000-0005-0000-0000-0000DF0F0000}"/>
    <cellStyle name="Celda de comprobación 13 20 4" xfId="1524" xr:uid="{00000000-0005-0000-0000-0000E00F0000}"/>
    <cellStyle name="Celda de comprobación 13 21" xfId="1525" xr:uid="{00000000-0005-0000-0000-0000E10F0000}"/>
    <cellStyle name="Celda de comprobación 13 21 2" xfId="1526" xr:uid="{00000000-0005-0000-0000-0000E20F0000}"/>
    <cellStyle name="Celda de comprobación 13 21 3" xfId="1527" xr:uid="{00000000-0005-0000-0000-0000E30F0000}"/>
    <cellStyle name="Celda de comprobación 13 21 4" xfId="1528" xr:uid="{00000000-0005-0000-0000-0000E40F0000}"/>
    <cellStyle name="Celda de comprobación 13 22" xfId="1529" xr:uid="{00000000-0005-0000-0000-0000E50F0000}"/>
    <cellStyle name="Celda de comprobación 13 22 2" xfId="1530" xr:uid="{00000000-0005-0000-0000-0000E60F0000}"/>
    <cellStyle name="Celda de comprobación 13 22 3" xfId="1531" xr:uid="{00000000-0005-0000-0000-0000E70F0000}"/>
    <cellStyle name="Celda de comprobación 13 22 4" xfId="1532" xr:uid="{00000000-0005-0000-0000-0000E80F0000}"/>
    <cellStyle name="Celda de comprobación 13 23" xfId="1533" xr:uid="{00000000-0005-0000-0000-0000E90F0000}"/>
    <cellStyle name="Celda de comprobación 13 23 2" xfId="1534" xr:uid="{00000000-0005-0000-0000-0000EA0F0000}"/>
    <cellStyle name="Celda de comprobación 13 23 3" xfId="1535" xr:uid="{00000000-0005-0000-0000-0000EB0F0000}"/>
    <cellStyle name="Celda de comprobación 13 23 4" xfId="1536" xr:uid="{00000000-0005-0000-0000-0000EC0F0000}"/>
    <cellStyle name="Celda de comprobación 13 24" xfId="1537" xr:uid="{00000000-0005-0000-0000-0000ED0F0000}"/>
    <cellStyle name="Celda de comprobación 13 24 2" xfId="1538" xr:uid="{00000000-0005-0000-0000-0000EE0F0000}"/>
    <cellStyle name="Celda de comprobación 13 24 3" xfId="1539" xr:uid="{00000000-0005-0000-0000-0000EF0F0000}"/>
    <cellStyle name="Celda de comprobación 13 24 4" xfId="1540" xr:uid="{00000000-0005-0000-0000-0000F00F0000}"/>
    <cellStyle name="Celda de comprobación 13 25" xfId="1541" xr:uid="{00000000-0005-0000-0000-0000F10F0000}"/>
    <cellStyle name="Celda de comprobación 13 25 2" xfId="1542" xr:uid="{00000000-0005-0000-0000-0000F20F0000}"/>
    <cellStyle name="Celda de comprobación 13 25 3" xfId="1543" xr:uid="{00000000-0005-0000-0000-0000F30F0000}"/>
    <cellStyle name="Celda de comprobación 13 25 4" xfId="1544" xr:uid="{00000000-0005-0000-0000-0000F40F0000}"/>
    <cellStyle name="Celda de comprobación 13 26" xfId="1545" xr:uid="{00000000-0005-0000-0000-0000F50F0000}"/>
    <cellStyle name="Celda de comprobación 13 26 2" xfId="1546" xr:uid="{00000000-0005-0000-0000-0000F60F0000}"/>
    <cellStyle name="Celda de comprobación 13 26 3" xfId="1547" xr:uid="{00000000-0005-0000-0000-0000F70F0000}"/>
    <cellStyle name="Celda de comprobación 13 26 4" xfId="1548" xr:uid="{00000000-0005-0000-0000-0000F80F0000}"/>
    <cellStyle name="Celda de comprobación 13 27" xfId="1549" xr:uid="{00000000-0005-0000-0000-0000F90F0000}"/>
    <cellStyle name="Celda de comprobación 13 27 2" xfId="1550" xr:uid="{00000000-0005-0000-0000-0000FA0F0000}"/>
    <cellStyle name="Celda de comprobación 13 27 3" xfId="1551" xr:uid="{00000000-0005-0000-0000-0000FB0F0000}"/>
    <cellStyle name="Celda de comprobación 13 27 4" xfId="1552" xr:uid="{00000000-0005-0000-0000-0000FC0F0000}"/>
    <cellStyle name="Celda de comprobación 13 28" xfId="1553" xr:uid="{00000000-0005-0000-0000-0000FD0F0000}"/>
    <cellStyle name="Celda de comprobación 13 28 2" xfId="1554" xr:uid="{00000000-0005-0000-0000-0000FE0F0000}"/>
    <cellStyle name="Celda de comprobación 13 28 3" xfId="1555" xr:uid="{00000000-0005-0000-0000-0000FF0F0000}"/>
    <cellStyle name="Celda de comprobación 13 28 4" xfId="1556" xr:uid="{00000000-0005-0000-0000-000000100000}"/>
    <cellStyle name="Celda de comprobación 13 29" xfId="1557" xr:uid="{00000000-0005-0000-0000-000001100000}"/>
    <cellStyle name="Celda de comprobación 13 29 2" xfId="1558" xr:uid="{00000000-0005-0000-0000-000002100000}"/>
    <cellStyle name="Celda de comprobación 13 29 3" xfId="1559" xr:uid="{00000000-0005-0000-0000-000003100000}"/>
    <cellStyle name="Celda de comprobación 13 29 4" xfId="1560" xr:uid="{00000000-0005-0000-0000-000004100000}"/>
    <cellStyle name="Celda de comprobación 13 3" xfId="1561" xr:uid="{00000000-0005-0000-0000-000005100000}"/>
    <cellStyle name="Celda de comprobación 13 3 2" xfId="1562" xr:uid="{00000000-0005-0000-0000-000006100000}"/>
    <cellStyle name="Celda de comprobación 13 3 3" xfId="1563" xr:uid="{00000000-0005-0000-0000-000007100000}"/>
    <cellStyle name="Celda de comprobación 13 3 4" xfId="1564" xr:uid="{00000000-0005-0000-0000-000008100000}"/>
    <cellStyle name="Celda de comprobación 13 30" xfId="1565" xr:uid="{00000000-0005-0000-0000-000009100000}"/>
    <cellStyle name="Celda de comprobación 13 30 2" xfId="1566" xr:uid="{00000000-0005-0000-0000-00000A100000}"/>
    <cellStyle name="Celda de comprobación 13 30 3" xfId="1567" xr:uid="{00000000-0005-0000-0000-00000B100000}"/>
    <cellStyle name="Celda de comprobación 13 30 4" xfId="1568" xr:uid="{00000000-0005-0000-0000-00000C100000}"/>
    <cellStyle name="Celda de comprobación 13 31" xfId="1569" xr:uid="{00000000-0005-0000-0000-00000D100000}"/>
    <cellStyle name="Celda de comprobación 13 31 2" xfId="1570" xr:uid="{00000000-0005-0000-0000-00000E100000}"/>
    <cellStyle name="Celda de comprobación 13 31 3" xfId="1571" xr:uid="{00000000-0005-0000-0000-00000F100000}"/>
    <cellStyle name="Celda de comprobación 13 31 4" xfId="1572" xr:uid="{00000000-0005-0000-0000-000010100000}"/>
    <cellStyle name="Celda de comprobación 13 32" xfId="1573" xr:uid="{00000000-0005-0000-0000-000011100000}"/>
    <cellStyle name="Celda de comprobación 13 32 2" xfId="1574" xr:uid="{00000000-0005-0000-0000-000012100000}"/>
    <cellStyle name="Celda de comprobación 13 32 3" xfId="1575" xr:uid="{00000000-0005-0000-0000-000013100000}"/>
    <cellStyle name="Celda de comprobación 13 32 4" xfId="1576" xr:uid="{00000000-0005-0000-0000-000014100000}"/>
    <cellStyle name="Celda de comprobación 13 33" xfId="1577" xr:uid="{00000000-0005-0000-0000-000015100000}"/>
    <cellStyle name="Celda de comprobación 13 33 2" xfId="1578" xr:uid="{00000000-0005-0000-0000-000016100000}"/>
    <cellStyle name="Celda de comprobación 13 33 3" xfId="1579" xr:uid="{00000000-0005-0000-0000-000017100000}"/>
    <cellStyle name="Celda de comprobación 13 33 4" xfId="1580" xr:uid="{00000000-0005-0000-0000-000018100000}"/>
    <cellStyle name="Celda de comprobación 13 34" xfId="1581" xr:uid="{00000000-0005-0000-0000-000019100000}"/>
    <cellStyle name="Celda de comprobación 13 34 2" xfId="1582" xr:uid="{00000000-0005-0000-0000-00001A100000}"/>
    <cellStyle name="Celda de comprobación 13 34 3" xfId="1583" xr:uid="{00000000-0005-0000-0000-00001B100000}"/>
    <cellStyle name="Celda de comprobación 13 34 4" xfId="1584" xr:uid="{00000000-0005-0000-0000-00001C100000}"/>
    <cellStyle name="Celda de comprobación 13 35" xfId="1585" xr:uid="{00000000-0005-0000-0000-00001D100000}"/>
    <cellStyle name="Celda de comprobación 13 35 2" xfId="1586" xr:uid="{00000000-0005-0000-0000-00001E100000}"/>
    <cellStyle name="Celda de comprobación 13 35 3" xfId="1587" xr:uid="{00000000-0005-0000-0000-00001F100000}"/>
    <cellStyle name="Celda de comprobación 13 35 4" xfId="1588" xr:uid="{00000000-0005-0000-0000-000020100000}"/>
    <cellStyle name="Celda de comprobación 13 36" xfId="1589" xr:uid="{00000000-0005-0000-0000-000021100000}"/>
    <cellStyle name="Celda de comprobación 13 36 2" xfId="1590" xr:uid="{00000000-0005-0000-0000-000022100000}"/>
    <cellStyle name="Celda de comprobación 13 36 3" xfId="1591" xr:uid="{00000000-0005-0000-0000-000023100000}"/>
    <cellStyle name="Celda de comprobación 13 36 4" xfId="1592" xr:uid="{00000000-0005-0000-0000-000024100000}"/>
    <cellStyle name="Celda de comprobación 13 37" xfId="1593" xr:uid="{00000000-0005-0000-0000-000025100000}"/>
    <cellStyle name="Celda de comprobación 13 38" xfId="1594" xr:uid="{00000000-0005-0000-0000-000026100000}"/>
    <cellStyle name="Celda de comprobación 13 39" xfId="1595" xr:uid="{00000000-0005-0000-0000-000027100000}"/>
    <cellStyle name="Celda de comprobación 13 4" xfId="1596" xr:uid="{00000000-0005-0000-0000-000028100000}"/>
    <cellStyle name="Celda de comprobación 13 4 2" xfId="1597" xr:uid="{00000000-0005-0000-0000-000029100000}"/>
    <cellStyle name="Celda de comprobación 13 4 3" xfId="1598" xr:uid="{00000000-0005-0000-0000-00002A100000}"/>
    <cellStyle name="Celda de comprobación 13 4 4" xfId="1599" xr:uid="{00000000-0005-0000-0000-00002B100000}"/>
    <cellStyle name="Celda de comprobación 13 40" xfId="1600" xr:uid="{00000000-0005-0000-0000-00002C100000}"/>
    <cellStyle name="Celda de comprobación 13 41" xfId="1601" xr:uid="{00000000-0005-0000-0000-00002D100000}"/>
    <cellStyle name="Celda de comprobación 13 42" xfId="1602" xr:uid="{00000000-0005-0000-0000-00002E100000}"/>
    <cellStyle name="Celda de comprobación 13 43" xfId="1603" xr:uid="{00000000-0005-0000-0000-00002F100000}"/>
    <cellStyle name="Celda de comprobación 13 44" xfId="1604" xr:uid="{00000000-0005-0000-0000-000030100000}"/>
    <cellStyle name="Celda de comprobación 13 45" xfId="1605" xr:uid="{00000000-0005-0000-0000-000031100000}"/>
    <cellStyle name="Celda de comprobación 13 46" xfId="1606" xr:uid="{00000000-0005-0000-0000-000032100000}"/>
    <cellStyle name="Celda de comprobación 13 47" xfId="1607" xr:uid="{00000000-0005-0000-0000-000033100000}"/>
    <cellStyle name="Celda de comprobación 13 48" xfId="1608" xr:uid="{00000000-0005-0000-0000-000034100000}"/>
    <cellStyle name="Celda de comprobación 13 49" xfId="1609" xr:uid="{00000000-0005-0000-0000-000035100000}"/>
    <cellStyle name="Celda de comprobación 13 5" xfId="1610" xr:uid="{00000000-0005-0000-0000-000036100000}"/>
    <cellStyle name="Celda de comprobación 13 5 2" xfId="1611" xr:uid="{00000000-0005-0000-0000-000037100000}"/>
    <cellStyle name="Celda de comprobación 13 5 3" xfId="1612" xr:uid="{00000000-0005-0000-0000-000038100000}"/>
    <cellStyle name="Celda de comprobación 13 5 4" xfId="1613" xr:uid="{00000000-0005-0000-0000-000039100000}"/>
    <cellStyle name="Celda de comprobación 13 50" xfId="1614" xr:uid="{00000000-0005-0000-0000-00003A100000}"/>
    <cellStyle name="Celda de comprobación 13 51" xfId="1615" xr:uid="{00000000-0005-0000-0000-00003B100000}"/>
    <cellStyle name="Celda de comprobación 13 6" xfId="1616" xr:uid="{00000000-0005-0000-0000-00003C100000}"/>
    <cellStyle name="Celda de comprobación 13 6 2" xfId="1617" xr:uid="{00000000-0005-0000-0000-00003D100000}"/>
    <cellStyle name="Celda de comprobación 13 6 3" xfId="1618" xr:uid="{00000000-0005-0000-0000-00003E100000}"/>
    <cellStyle name="Celda de comprobación 13 6 4" xfId="1619" xr:uid="{00000000-0005-0000-0000-00003F100000}"/>
    <cellStyle name="Celda de comprobación 13 7" xfId="1620" xr:uid="{00000000-0005-0000-0000-000040100000}"/>
    <cellStyle name="Celda de comprobación 13 7 2" xfId="1621" xr:uid="{00000000-0005-0000-0000-000041100000}"/>
    <cellStyle name="Celda de comprobación 13 7 3" xfId="1622" xr:uid="{00000000-0005-0000-0000-000042100000}"/>
    <cellStyle name="Celda de comprobación 13 7 4" xfId="1623" xr:uid="{00000000-0005-0000-0000-000043100000}"/>
    <cellStyle name="Celda de comprobación 13 8" xfId="1624" xr:uid="{00000000-0005-0000-0000-000044100000}"/>
    <cellStyle name="Celda de comprobación 13 8 2" xfId="1625" xr:uid="{00000000-0005-0000-0000-000045100000}"/>
    <cellStyle name="Celda de comprobación 13 8 3" xfId="1626" xr:uid="{00000000-0005-0000-0000-000046100000}"/>
    <cellStyle name="Celda de comprobación 13 8 4" xfId="1627" xr:uid="{00000000-0005-0000-0000-000047100000}"/>
    <cellStyle name="Celda de comprobación 13 9" xfId="1628" xr:uid="{00000000-0005-0000-0000-000048100000}"/>
    <cellStyle name="Celda de comprobación 13 9 2" xfId="1629" xr:uid="{00000000-0005-0000-0000-000049100000}"/>
    <cellStyle name="Celda de comprobación 13 9 3" xfId="1630" xr:uid="{00000000-0005-0000-0000-00004A100000}"/>
    <cellStyle name="Celda de comprobación 13 9 4" xfId="1631" xr:uid="{00000000-0005-0000-0000-00004B100000}"/>
    <cellStyle name="Celda de comprobación 14" xfId="1632" xr:uid="{00000000-0005-0000-0000-00004C100000}"/>
    <cellStyle name="Celda de comprobación 14 10" xfId="1633" xr:uid="{00000000-0005-0000-0000-00004D100000}"/>
    <cellStyle name="Celda de comprobación 14 10 2" xfId="1634" xr:uid="{00000000-0005-0000-0000-00004E100000}"/>
    <cellStyle name="Celda de comprobación 14 10 3" xfId="1635" xr:uid="{00000000-0005-0000-0000-00004F100000}"/>
    <cellStyle name="Celda de comprobación 14 10 4" xfId="1636" xr:uid="{00000000-0005-0000-0000-000050100000}"/>
    <cellStyle name="Celda de comprobación 14 11" xfId="1637" xr:uid="{00000000-0005-0000-0000-000051100000}"/>
    <cellStyle name="Celda de comprobación 14 11 2" xfId="1638" xr:uid="{00000000-0005-0000-0000-000052100000}"/>
    <cellStyle name="Celda de comprobación 14 11 3" xfId="1639" xr:uid="{00000000-0005-0000-0000-000053100000}"/>
    <cellStyle name="Celda de comprobación 14 11 4" xfId="1640" xr:uid="{00000000-0005-0000-0000-000054100000}"/>
    <cellStyle name="Celda de comprobación 14 12" xfId="1641" xr:uid="{00000000-0005-0000-0000-000055100000}"/>
    <cellStyle name="Celda de comprobación 14 12 2" xfId="1642" xr:uid="{00000000-0005-0000-0000-000056100000}"/>
    <cellStyle name="Celda de comprobación 14 12 3" xfId="1643" xr:uid="{00000000-0005-0000-0000-000057100000}"/>
    <cellStyle name="Celda de comprobación 14 12 4" xfId="1644" xr:uid="{00000000-0005-0000-0000-000058100000}"/>
    <cellStyle name="Celda de comprobación 14 13" xfId="1645" xr:uid="{00000000-0005-0000-0000-000059100000}"/>
    <cellStyle name="Celda de comprobación 14 13 2" xfId="1646" xr:uid="{00000000-0005-0000-0000-00005A100000}"/>
    <cellStyle name="Celda de comprobación 14 13 3" xfId="1647" xr:uid="{00000000-0005-0000-0000-00005B100000}"/>
    <cellStyle name="Celda de comprobación 14 13 4" xfId="1648" xr:uid="{00000000-0005-0000-0000-00005C100000}"/>
    <cellStyle name="Celda de comprobación 14 14" xfId="1649" xr:uid="{00000000-0005-0000-0000-00005D100000}"/>
    <cellStyle name="Celda de comprobación 14 14 2" xfId="1650" xr:uid="{00000000-0005-0000-0000-00005E100000}"/>
    <cellStyle name="Celda de comprobación 14 14 3" xfId="1651" xr:uid="{00000000-0005-0000-0000-00005F100000}"/>
    <cellStyle name="Celda de comprobación 14 14 4" xfId="1652" xr:uid="{00000000-0005-0000-0000-000060100000}"/>
    <cellStyle name="Celda de comprobación 14 15" xfId="1653" xr:uid="{00000000-0005-0000-0000-000061100000}"/>
    <cellStyle name="Celda de comprobación 14 15 2" xfId="1654" xr:uid="{00000000-0005-0000-0000-000062100000}"/>
    <cellStyle name="Celda de comprobación 14 15 3" xfId="1655" xr:uid="{00000000-0005-0000-0000-000063100000}"/>
    <cellStyle name="Celda de comprobación 14 15 4" xfId="1656" xr:uid="{00000000-0005-0000-0000-000064100000}"/>
    <cellStyle name="Celda de comprobación 14 16" xfId="1657" xr:uid="{00000000-0005-0000-0000-000065100000}"/>
    <cellStyle name="Celda de comprobación 14 16 2" xfId="1658" xr:uid="{00000000-0005-0000-0000-000066100000}"/>
    <cellStyle name="Celda de comprobación 14 16 3" xfId="1659" xr:uid="{00000000-0005-0000-0000-000067100000}"/>
    <cellStyle name="Celda de comprobación 14 16 4" xfId="1660" xr:uid="{00000000-0005-0000-0000-000068100000}"/>
    <cellStyle name="Celda de comprobación 14 17" xfId="1661" xr:uid="{00000000-0005-0000-0000-000069100000}"/>
    <cellStyle name="Celda de comprobación 14 17 2" xfId="1662" xr:uid="{00000000-0005-0000-0000-00006A100000}"/>
    <cellStyle name="Celda de comprobación 14 17 3" xfId="1663" xr:uid="{00000000-0005-0000-0000-00006B100000}"/>
    <cellStyle name="Celda de comprobación 14 17 4" xfId="1664" xr:uid="{00000000-0005-0000-0000-00006C100000}"/>
    <cellStyle name="Celda de comprobación 14 18" xfId="1665" xr:uid="{00000000-0005-0000-0000-00006D100000}"/>
    <cellStyle name="Celda de comprobación 14 18 2" xfId="1666" xr:uid="{00000000-0005-0000-0000-00006E100000}"/>
    <cellStyle name="Celda de comprobación 14 18 3" xfId="1667" xr:uid="{00000000-0005-0000-0000-00006F100000}"/>
    <cellStyle name="Celda de comprobación 14 18 4" xfId="1668" xr:uid="{00000000-0005-0000-0000-000070100000}"/>
    <cellStyle name="Celda de comprobación 14 19" xfId="1669" xr:uid="{00000000-0005-0000-0000-000071100000}"/>
    <cellStyle name="Celda de comprobación 14 19 2" xfId="1670" xr:uid="{00000000-0005-0000-0000-000072100000}"/>
    <cellStyle name="Celda de comprobación 14 19 3" xfId="1671" xr:uid="{00000000-0005-0000-0000-000073100000}"/>
    <cellStyle name="Celda de comprobación 14 19 4" xfId="1672" xr:uid="{00000000-0005-0000-0000-000074100000}"/>
    <cellStyle name="Celda de comprobación 14 2" xfId="1673" xr:uid="{00000000-0005-0000-0000-000075100000}"/>
    <cellStyle name="Celda de comprobación 14 2 2" xfId="1674" xr:uid="{00000000-0005-0000-0000-000076100000}"/>
    <cellStyle name="Celda de comprobación 14 2 3" xfId="1675" xr:uid="{00000000-0005-0000-0000-000077100000}"/>
    <cellStyle name="Celda de comprobación 14 2 4" xfId="1676" xr:uid="{00000000-0005-0000-0000-000078100000}"/>
    <cellStyle name="Celda de comprobación 14 20" xfId="1677" xr:uid="{00000000-0005-0000-0000-000079100000}"/>
    <cellStyle name="Celda de comprobación 14 20 2" xfId="1678" xr:uid="{00000000-0005-0000-0000-00007A100000}"/>
    <cellStyle name="Celda de comprobación 14 20 3" xfId="1679" xr:uid="{00000000-0005-0000-0000-00007B100000}"/>
    <cellStyle name="Celda de comprobación 14 20 4" xfId="1680" xr:uid="{00000000-0005-0000-0000-00007C100000}"/>
    <cellStyle name="Celda de comprobación 14 21" xfId="1681" xr:uid="{00000000-0005-0000-0000-00007D100000}"/>
    <cellStyle name="Celda de comprobación 14 21 2" xfId="1682" xr:uid="{00000000-0005-0000-0000-00007E100000}"/>
    <cellStyle name="Celda de comprobación 14 21 3" xfId="1683" xr:uid="{00000000-0005-0000-0000-00007F100000}"/>
    <cellStyle name="Celda de comprobación 14 21 4" xfId="1684" xr:uid="{00000000-0005-0000-0000-000080100000}"/>
    <cellStyle name="Celda de comprobación 14 22" xfId="1685" xr:uid="{00000000-0005-0000-0000-000081100000}"/>
    <cellStyle name="Celda de comprobación 14 22 2" xfId="1686" xr:uid="{00000000-0005-0000-0000-000082100000}"/>
    <cellStyle name="Celda de comprobación 14 22 3" xfId="1687" xr:uid="{00000000-0005-0000-0000-000083100000}"/>
    <cellStyle name="Celda de comprobación 14 22 4" xfId="1688" xr:uid="{00000000-0005-0000-0000-000084100000}"/>
    <cellStyle name="Celda de comprobación 14 23" xfId="1689" xr:uid="{00000000-0005-0000-0000-000085100000}"/>
    <cellStyle name="Celda de comprobación 14 23 2" xfId="1690" xr:uid="{00000000-0005-0000-0000-000086100000}"/>
    <cellStyle name="Celda de comprobación 14 23 3" xfId="1691" xr:uid="{00000000-0005-0000-0000-000087100000}"/>
    <cellStyle name="Celda de comprobación 14 23 4" xfId="1692" xr:uid="{00000000-0005-0000-0000-000088100000}"/>
    <cellStyle name="Celda de comprobación 14 24" xfId="1693" xr:uid="{00000000-0005-0000-0000-000089100000}"/>
    <cellStyle name="Celda de comprobación 14 24 2" xfId="1694" xr:uid="{00000000-0005-0000-0000-00008A100000}"/>
    <cellStyle name="Celda de comprobación 14 24 3" xfId="1695" xr:uid="{00000000-0005-0000-0000-00008B100000}"/>
    <cellStyle name="Celda de comprobación 14 24 4" xfId="1696" xr:uid="{00000000-0005-0000-0000-00008C100000}"/>
    <cellStyle name="Celda de comprobación 14 25" xfId="1697" xr:uid="{00000000-0005-0000-0000-00008D100000}"/>
    <cellStyle name="Celda de comprobación 14 25 2" xfId="1698" xr:uid="{00000000-0005-0000-0000-00008E100000}"/>
    <cellStyle name="Celda de comprobación 14 25 3" xfId="1699" xr:uid="{00000000-0005-0000-0000-00008F100000}"/>
    <cellStyle name="Celda de comprobación 14 25 4" xfId="1700" xr:uid="{00000000-0005-0000-0000-000090100000}"/>
    <cellStyle name="Celda de comprobación 14 26" xfId="1701" xr:uid="{00000000-0005-0000-0000-000091100000}"/>
    <cellStyle name="Celda de comprobación 14 26 2" xfId="1702" xr:uid="{00000000-0005-0000-0000-000092100000}"/>
    <cellStyle name="Celda de comprobación 14 26 3" xfId="1703" xr:uid="{00000000-0005-0000-0000-000093100000}"/>
    <cellStyle name="Celda de comprobación 14 26 4" xfId="1704" xr:uid="{00000000-0005-0000-0000-000094100000}"/>
    <cellStyle name="Celda de comprobación 14 27" xfId="1705" xr:uid="{00000000-0005-0000-0000-000095100000}"/>
    <cellStyle name="Celda de comprobación 14 27 2" xfId="1706" xr:uid="{00000000-0005-0000-0000-000096100000}"/>
    <cellStyle name="Celda de comprobación 14 27 3" xfId="1707" xr:uid="{00000000-0005-0000-0000-000097100000}"/>
    <cellStyle name="Celda de comprobación 14 27 4" xfId="1708" xr:uid="{00000000-0005-0000-0000-000098100000}"/>
    <cellStyle name="Celda de comprobación 14 28" xfId="1709" xr:uid="{00000000-0005-0000-0000-000099100000}"/>
    <cellStyle name="Celda de comprobación 14 28 2" xfId="1710" xr:uid="{00000000-0005-0000-0000-00009A100000}"/>
    <cellStyle name="Celda de comprobación 14 28 3" xfId="1711" xr:uid="{00000000-0005-0000-0000-00009B100000}"/>
    <cellStyle name="Celda de comprobación 14 28 4" xfId="1712" xr:uid="{00000000-0005-0000-0000-00009C100000}"/>
    <cellStyle name="Celda de comprobación 14 29" xfId="1713" xr:uid="{00000000-0005-0000-0000-00009D100000}"/>
    <cellStyle name="Celda de comprobación 14 29 2" xfId="1714" xr:uid="{00000000-0005-0000-0000-00009E100000}"/>
    <cellStyle name="Celda de comprobación 14 29 3" xfId="1715" xr:uid="{00000000-0005-0000-0000-00009F100000}"/>
    <cellStyle name="Celda de comprobación 14 29 4" xfId="1716" xr:uid="{00000000-0005-0000-0000-0000A0100000}"/>
    <cellStyle name="Celda de comprobación 14 3" xfId="1717" xr:uid="{00000000-0005-0000-0000-0000A1100000}"/>
    <cellStyle name="Celda de comprobación 14 3 2" xfId="1718" xr:uid="{00000000-0005-0000-0000-0000A2100000}"/>
    <cellStyle name="Celda de comprobación 14 3 3" xfId="1719" xr:uid="{00000000-0005-0000-0000-0000A3100000}"/>
    <cellStyle name="Celda de comprobación 14 3 4" xfId="1720" xr:uid="{00000000-0005-0000-0000-0000A4100000}"/>
    <cellStyle name="Celda de comprobación 14 30" xfId="1721" xr:uid="{00000000-0005-0000-0000-0000A5100000}"/>
    <cellStyle name="Celda de comprobación 14 30 2" xfId="1722" xr:uid="{00000000-0005-0000-0000-0000A6100000}"/>
    <cellStyle name="Celda de comprobación 14 30 3" xfId="1723" xr:uid="{00000000-0005-0000-0000-0000A7100000}"/>
    <cellStyle name="Celda de comprobación 14 30 4" xfId="1724" xr:uid="{00000000-0005-0000-0000-0000A8100000}"/>
    <cellStyle name="Celda de comprobación 14 31" xfId="1725" xr:uid="{00000000-0005-0000-0000-0000A9100000}"/>
    <cellStyle name="Celda de comprobación 14 31 2" xfId="1726" xr:uid="{00000000-0005-0000-0000-0000AA100000}"/>
    <cellStyle name="Celda de comprobación 14 31 3" xfId="1727" xr:uid="{00000000-0005-0000-0000-0000AB100000}"/>
    <cellStyle name="Celda de comprobación 14 31 4" xfId="1728" xr:uid="{00000000-0005-0000-0000-0000AC100000}"/>
    <cellStyle name="Celda de comprobación 14 32" xfId="1729" xr:uid="{00000000-0005-0000-0000-0000AD100000}"/>
    <cellStyle name="Celda de comprobación 14 32 2" xfId="1730" xr:uid="{00000000-0005-0000-0000-0000AE100000}"/>
    <cellStyle name="Celda de comprobación 14 32 3" xfId="1731" xr:uid="{00000000-0005-0000-0000-0000AF100000}"/>
    <cellStyle name="Celda de comprobación 14 32 4" xfId="1732" xr:uid="{00000000-0005-0000-0000-0000B0100000}"/>
    <cellStyle name="Celda de comprobación 14 33" xfId="1733" xr:uid="{00000000-0005-0000-0000-0000B1100000}"/>
    <cellStyle name="Celda de comprobación 14 33 2" xfId="1734" xr:uid="{00000000-0005-0000-0000-0000B2100000}"/>
    <cellStyle name="Celda de comprobación 14 33 3" xfId="1735" xr:uid="{00000000-0005-0000-0000-0000B3100000}"/>
    <cellStyle name="Celda de comprobación 14 33 4" xfId="1736" xr:uid="{00000000-0005-0000-0000-0000B4100000}"/>
    <cellStyle name="Celda de comprobación 14 34" xfId="1737" xr:uid="{00000000-0005-0000-0000-0000B5100000}"/>
    <cellStyle name="Celda de comprobación 14 34 2" xfId="1738" xr:uid="{00000000-0005-0000-0000-0000B6100000}"/>
    <cellStyle name="Celda de comprobación 14 34 3" xfId="1739" xr:uid="{00000000-0005-0000-0000-0000B7100000}"/>
    <cellStyle name="Celda de comprobación 14 34 4" xfId="1740" xr:uid="{00000000-0005-0000-0000-0000B8100000}"/>
    <cellStyle name="Celda de comprobación 14 35" xfId="1741" xr:uid="{00000000-0005-0000-0000-0000B9100000}"/>
    <cellStyle name="Celda de comprobación 14 35 2" xfId="1742" xr:uid="{00000000-0005-0000-0000-0000BA100000}"/>
    <cellStyle name="Celda de comprobación 14 35 3" xfId="1743" xr:uid="{00000000-0005-0000-0000-0000BB100000}"/>
    <cellStyle name="Celda de comprobación 14 35 4" xfId="1744" xr:uid="{00000000-0005-0000-0000-0000BC100000}"/>
    <cellStyle name="Celda de comprobación 14 36" xfId="1745" xr:uid="{00000000-0005-0000-0000-0000BD100000}"/>
    <cellStyle name="Celda de comprobación 14 36 2" xfId="1746" xr:uid="{00000000-0005-0000-0000-0000BE100000}"/>
    <cellStyle name="Celda de comprobación 14 36 3" xfId="1747" xr:uid="{00000000-0005-0000-0000-0000BF100000}"/>
    <cellStyle name="Celda de comprobación 14 36 4" xfId="1748" xr:uid="{00000000-0005-0000-0000-0000C0100000}"/>
    <cellStyle name="Celda de comprobación 14 37" xfId="1749" xr:uid="{00000000-0005-0000-0000-0000C1100000}"/>
    <cellStyle name="Celda de comprobación 14 38" xfId="1750" xr:uid="{00000000-0005-0000-0000-0000C2100000}"/>
    <cellStyle name="Celda de comprobación 14 39" xfId="1751" xr:uid="{00000000-0005-0000-0000-0000C3100000}"/>
    <cellStyle name="Celda de comprobación 14 4" xfId="1752" xr:uid="{00000000-0005-0000-0000-0000C4100000}"/>
    <cellStyle name="Celda de comprobación 14 4 2" xfId="1753" xr:uid="{00000000-0005-0000-0000-0000C5100000}"/>
    <cellStyle name="Celda de comprobación 14 4 3" xfId="1754" xr:uid="{00000000-0005-0000-0000-0000C6100000}"/>
    <cellStyle name="Celda de comprobación 14 4 4" xfId="1755" xr:uid="{00000000-0005-0000-0000-0000C7100000}"/>
    <cellStyle name="Celda de comprobación 14 40" xfId="1756" xr:uid="{00000000-0005-0000-0000-0000C8100000}"/>
    <cellStyle name="Celda de comprobación 14 41" xfId="1757" xr:uid="{00000000-0005-0000-0000-0000C9100000}"/>
    <cellStyle name="Celda de comprobación 14 42" xfId="1758" xr:uid="{00000000-0005-0000-0000-0000CA100000}"/>
    <cellStyle name="Celda de comprobación 14 43" xfId="1759" xr:uid="{00000000-0005-0000-0000-0000CB100000}"/>
    <cellStyle name="Celda de comprobación 14 44" xfId="1760" xr:uid="{00000000-0005-0000-0000-0000CC100000}"/>
    <cellStyle name="Celda de comprobación 14 45" xfId="1761" xr:uid="{00000000-0005-0000-0000-0000CD100000}"/>
    <cellStyle name="Celda de comprobación 14 46" xfId="1762" xr:uid="{00000000-0005-0000-0000-0000CE100000}"/>
    <cellStyle name="Celda de comprobación 14 47" xfId="1763" xr:uid="{00000000-0005-0000-0000-0000CF100000}"/>
    <cellStyle name="Celda de comprobación 14 48" xfId="1764" xr:uid="{00000000-0005-0000-0000-0000D0100000}"/>
    <cellStyle name="Celda de comprobación 14 49" xfId="1765" xr:uid="{00000000-0005-0000-0000-0000D1100000}"/>
    <cellStyle name="Celda de comprobación 14 5" xfId="1766" xr:uid="{00000000-0005-0000-0000-0000D2100000}"/>
    <cellStyle name="Celda de comprobación 14 5 2" xfId="1767" xr:uid="{00000000-0005-0000-0000-0000D3100000}"/>
    <cellStyle name="Celda de comprobación 14 5 3" xfId="1768" xr:uid="{00000000-0005-0000-0000-0000D4100000}"/>
    <cellStyle name="Celda de comprobación 14 5 4" xfId="1769" xr:uid="{00000000-0005-0000-0000-0000D5100000}"/>
    <cellStyle name="Celda de comprobación 14 50" xfId="1770" xr:uid="{00000000-0005-0000-0000-0000D6100000}"/>
    <cellStyle name="Celda de comprobación 14 51" xfId="1771" xr:uid="{00000000-0005-0000-0000-0000D7100000}"/>
    <cellStyle name="Celda de comprobación 14 6" xfId="1772" xr:uid="{00000000-0005-0000-0000-0000D8100000}"/>
    <cellStyle name="Celda de comprobación 14 6 2" xfId="1773" xr:uid="{00000000-0005-0000-0000-0000D9100000}"/>
    <cellStyle name="Celda de comprobación 14 6 3" xfId="1774" xr:uid="{00000000-0005-0000-0000-0000DA100000}"/>
    <cellStyle name="Celda de comprobación 14 6 4" xfId="1775" xr:uid="{00000000-0005-0000-0000-0000DB100000}"/>
    <cellStyle name="Celda de comprobación 14 7" xfId="1776" xr:uid="{00000000-0005-0000-0000-0000DC100000}"/>
    <cellStyle name="Celda de comprobación 14 7 2" xfId="1777" xr:uid="{00000000-0005-0000-0000-0000DD100000}"/>
    <cellStyle name="Celda de comprobación 14 7 3" xfId="1778" xr:uid="{00000000-0005-0000-0000-0000DE100000}"/>
    <cellStyle name="Celda de comprobación 14 7 4" xfId="1779" xr:uid="{00000000-0005-0000-0000-0000DF100000}"/>
    <cellStyle name="Celda de comprobación 14 8" xfId="1780" xr:uid="{00000000-0005-0000-0000-0000E0100000}"/>
    <cellStyle name="Celda de comprobación 14 8 2" xfId="1781" xr:uid="{00000000-0005-0000-0000-0000E1100000}"/>
    <cellStyle name="Celda de comprobación 14 8 3" xfId="1782" xr:uid="{00000000-0005-0000-0000-0000E2100000}"/>
    <cellStyle name="Celda de comprobación 14 8 4" xfId="1783" xr:uid="{00000000-0005-0000-0000-0000E3100000}"/>
    <cellStyle name="Celda de comprobación 14 9" xfId="1784" xr:uid="{00000000-0005-0000-0000-0000E4100000}"/>
    <cellStyle name="Celda de comprobación 14 9 2" xfId="1785" xr:uid="{00000000-0005-0000-0000-0000E5100000}"/>
    <cellStyle name="Celda de comprobación 14 9 3" xfId="1786" xr:uid="{00000000-0005-0000-0000-0000E6100000}"/>
    <cellStyle name="Celda de comprobación 14 9 4" xfId="1787" xr:uid="{00000000-0005-0000-0000-0000E7100000}"/>
    <cellStyle name="Celda de comprobación 15" xfId="1788" xr:uid="{00000000-0005-0000-0000-0000E8100000}"/>
    <cellStyle name="Celda de comprobación 15 10" xfId="1789" xr:uid="{00000000-0005-0000-0000-0000E9100000}"/>
    <cellStyle name="Celda de comprobación 15 10 2" xfId="1790" xr:uid="{00000000-0005-0000-0000-0000EA100000}"/>
    <cellStyle name="Celda de comprobación 15 10 3" xfId="1791" xr:uid="{00000000-0005-0000-0000-0000EB100000}"/>
    <cellStyle name="Celda de comprobación 15 10 4" xfId="1792" xr:uid="{00000000-0005-0000-0000-0000EC100000}"/>
    <cellStyle name="Celda de comprobación 15 11" xfId="1793" xr:uid="{00000000-0005-0000-0000-0000ED100000}"/>
    <cellStyle name="Celda de comprobación 15 11 2" xfId="1794" xr:uid="{00000000-0005-0000-0000-0000EE100000}"/>
    <cellStyle name="Celda de comprobación 15 11 3" xfId="1795" xr:uid="{00000000-0005-0000-0000-0000EF100000}"/>
    <cellStyle name="Celda de comprobación 15 11 4" xfId="1796" xr:uid="{00000000-0005-0000-0000-0000F0100000}"/>
    <cellStyle name="Celda de comprobación 15 12" xfId="1797" xr:uid="{00000000-0005-0000-0000-0000F1100000}"/>
    <cellStyle name="Celda de comprobación 15 12 2" xfId="1798" xr:uid="{00000000-0005-0000-0000-0000F2100000}"/>
    <cellStyle name="Celda de comprobación 15 12 3" xfId="1799" xr:uid="{00000000-0005-0000-0000-0000F3100000}"/>
    <cellStyle name="Celda de comprobación 15 12 4" xfId="1800" xr:uid="{00000000-0005-0000-0000-0000F4100000}"/>
    <cellStyle name="Celda de comprobación 15 13" xfId="1801" xr:uid="{00000000-0005-0000-0000-0000F5100000}"/>
    <cellStyle name="Celda de comprobación 15 13 2" xfId="1802" xr:uid="{00000000-0005-0000-0000-0000F6100000}"/>
    <cellStyle name="Celda de comprobación 15 13 3" xfId="1803" xr:uid="{00000000-0005-0000-0000-0000F7100000}"/>
    <cellStyle name="Celda de comprobación 15 13 4" xfId="1804" xr:uid="{00000000-0005-0000-0000-0000F8100000}"/>
    <cellStyle name="Celda de comprobación 15 14" xfId="1805" xr:uid="{00000000-0005-0000-0000-0000F9100000}"/>
    <cellStyle name="Celda de comprobación 15 14 2" xfId="1806" xr:uid="{00000000-0005-0000-0000-0000FA100000}"/>
    <cellStyle name="Celda de comprobación 15 14 3" xfId="1807" xr:uid="{00000000-0005-0000-0000-0000FB100000}"/>
    <cellStyle name="Celda de comprobación 15 14 4" xfId="1808" xr:uid="{00000000-0005-0000-0000-0000FC100000}"/>
    <cellStyle name="Celda de comprobación 15 15" xfId="1809" xr:uid="{00000000-0005-0000-0000-0000FD100000}"/>
    <cellStyle name="Celda de comprobación 15 15 2" xfId="1810" xr:uid="{00000000-0005-0000-0000-0000FE100000}"/>
    <cellStyle name="Celda de comprobación 15 15 3" xfId="1811" xr:uid="{00000000-0005-0000-0000-0000FF100000}"/>
    <cellStyle name="Celda de comprobación 15 15 4" xfId="1812" xr:uid="{00000000-0005-0000-0000-000000110000}"/>
    <cellStyle name="Celda de comprobación 15 16" xfId="1813" xr:uid="{00000000-0005-0000-0000-000001110000}"/>
    <cellStyle name="Celda de comprobación 15 16 2" xfId="1814" xr:uid="{00000000-0005-0000-0000-000002110000}"/>
    <cellStyle name="Celda de comprobación 15 16 3" xfId="1815" xr:uid="{00000000-0005-0000-0000-000003110000}"/>
    <cellStyle name="Celda de comprobación 15 16 4" xfId="1816" xr:uid="{00000000-0005-0000-0000-000004110000}"/>
    <cellStyle name="Celda de comprobación 15 17" xfId="1817" xr:uid="{00000000-0005-0000-0000-000005110000}"/>
    <cellStyle name="Celda de comprobación 15 17 2" xfId="1818" xr:uid="{00000000-0005-0000-0000-000006110000}"/>
    <cellStyle name="Celda de comprobación 15 17 3" xfId="1819" xr:uid="{00000000-0005-0000-0000-000007110000}"/>
    <cellStyle name="Celda de comprobación 15 17 4" xfId="1820" xr:uid="{00000000-0005-0000-0000-000008110000}"/>
    <cellStyle name="Celda de comprobación 15 18" xfId="1821" xr:uid="{00000000-0005-0000-0000-000009110000}"/>
    <cellStyle name="Celda de comprobación 15 18 2" xfId="1822" xr:uid="{00000000-0005-0000-0000-00000A110000}"/>
    <cellStyle name="Celda de comprobación 15 18 3" xfId="1823" xr:uid="{00000000-0005-0000-0000-00000B110000}"/>
    <cellStyle name="Celda de comprobación 15 18 4" xfId="1824" xr:uid="{00000000-0005-0000-0000-00000C110000}"/>
    <cellStyle name="Celda de comprobación 15 19" xfId="1825" xr:uid="{00000000-0005-0000-0000-00000D110000}"/>
    <cellStyle name="Celda de comprobación 15 19 2" xfId="1826" xr:uid="{00000000-0005-0000-0000-00000E110000}"/>
    <cellStyle name="Celda de comprobación 15 19 3" xfId="1827" xr:uid="{00000000-0005-0000-0000-00000F110000}"/>
    <cellStyle name="Celda de comprobación 15 19 4" xfId="1828" xr:uid="{00000000-0005-0000-0000-000010110000}"/>
    <cellStyle name="Celda de comprobación 15 2" xfId="1829" xr:uid="{00000000-0005-0000-0000-000011110000}"/>
    <cellStyle name="Celda de comprobación 15 2 2" xfId="1830" xr:uid="{00000000-0005-0000-0000-000012110000}"/>
    <cellStyle name="Celda de comprobación 15 2 3" xfId="1831" xr:uid="{00000000-0005-0000-0000-000013110000}"/>
    <cellStyle name="Celda de comprobación 15 2 4" xfId="1832" xr:uid="{00000000-0005-0000-0000-000014110000}"/>
    <cellStyle name="Celda de comprobación 15 20" xfId="1833" xr:uid="{00000000-0005-0000-0000-000015110000}"/>
    <cellStyle name="Celda de comprobación 15 20 2" xfId="1834" xr:uid="{00000000-0005-0000-0000-000016110000}"/>
    <cellStyle name="Celda de comprobación 15 20 3" xfId="1835" xr:uid="{00000000-0005-0000-0000-000017110000}"/>
    <cellStyle name="Celda de comprobación 15 20 4" xfId="1836" xr:uid="{00000000-0005-0000-0000-000018110000}"/>
    <cellStyle name="Celda de comprobación 15 21" xfId="1837" xr:uid="{00000000-0005-0000-0000-000019110000}"/>
    <cellStyle name="Celda de comprobación 15 21 2" xfId="1838" xr:uid="{00000000-0005-0000-0000-00001A110000}"/>
    <cellStyle name="Celda de comprobación 15 21 3" xfId="1839" xr:uid="{00000000-0005-0000-0000-00001B110000}"/>
    <cellStyle name="Celda de comprobación 15 21 4" xfId="1840" xr:uid="{00000000-0005-0000-0000-00001C110000}"/>
    <cellStyle name="Celda de comprobación 15 22" xfId="1841" xr:uid="{00000000-0005-0000-0000-00001D110000}"/>
    <cellStyle name="Celda de comprobación 15 22 2" xfId="1842" xr:uid="{00000000-0005-0000-0000-00001E110000}"/>
    <cellStyle name="Celda de comprobación 15 22 3" xfId="1843" xr:uid="{00000000-0005-0000-0000-00001F110000}"/>
    <cellStyle name="Celda de comprobación 15 22 4" xfId="1844" xr:uid="{00000000-0005-0000-0000-000020110000}"/>
    <cellStyle name="Celda de comprobación 15 23" xfId="1845" xr:uid="{00000000-0005-0000-0000-000021110000}"/>
    <cellStyle name="Celda de comprobación 15 23 2" xfId="1846" xr:uid="{00000000-0005-0000-0000-000022110000}"/>
    <cellStyle name="Celda de comprobación 15 23 3" xfId="1847" xr:uid="{00000000-0005-0000-0000-000023110000}"/>
    <cellStyle name="Celda de comprobación 15 23 4" xfId="1848" xr:uid="{00000000-0005-0000-0000-000024110000}"/>
    <cellStyle name="Celda de comprobación 15 24" xfId="1849" xr:uid="{00000000-0005-0000-0000-000025110000}"/>
    <cellStyle name="Celda de comprobación 15 24 2" xfId="1850" xr:uid="{00000000-0005-0000-0000-000026110000}"/>
    <cellStyle name="Celda de comprobación 15 24 3" xfId="1851" xr:uid="{00000000-0005-0000-0000-000027110000}"/>
    <cellStyle name="Celda de comprobación 15 24 4" xfId="1852" xr:uid="{00000000-0005-0000-0000-000028110000}"/>
    <cellStyle name="Celda de comprobación 15 25" xfId="1853" xr:uid="{00000000-0005-0000-0000-000029110000}"/>
    <cellStyle name="Celda de comprobación 15 25 2" xfId="1854" xr:uid="{00000000-0005-0000-0000-00002A110000}"/>
    <cellStyle name="Celda de comprobación 15 25 3" xfId="1855" xr:uid="{00000000-0005-0000-0000-00002B110000}"/>
    <cellStyle name="Celda de comprobación 15 25 4" xfId="1856" xr:uid="{00000000-0005-0000-0000-00002C110000}"/>
    <cellStyle name="Celda de comprobación 15 26" xfId="1857" xr:uid="{00000000-0005-0000-0000-00002D110000}"/>
    <cellStyle name="Celda de comprobación 15 26 2" xfId="1858" xr:uid="{00000000-0005-0000-0000-00002E110000}"/>
    <cellStyle name="Celda de comprobación 15 26 3" xfId="1859" xr:uid="{00000000-0005-0000-0000-00002F110000}"/>
    <cellStyle name="Celda de comprobación 15 26 4" xfId="1860" xr:uid="{00000000-0005-0000-0000-000030110000}"/>
    <cellStyle name="Celda de comprobación 15 27" xfId="1861" xr:uid="{00000000-0005-0000-0000-000031110000}"/>
    <cellStyle name="Celda de comprobación 15 27 2" xfId="1862" xr:uid="{00000000-0005-0000-0000-000032110000}"/>
    <cellStyle name="Celda de comprobación 15 27 3" xfId="1863" xr:uid="{00000000-0005-0000-0000-000033110000}"/>
    <cellStyle name="Celda de comprobación 15 27 4" xfId="1864" xr:uid="{00000000-0005-0000-0000-000034110000}"/>
    <cellStyle name="Celda de comprobación 15 28" xfId="1865" xr:uid="{00000000-0005-0000-0000-000035110000}"/>
    <cellStyle name="Celda de comprobación 15 28 2" xfId="1866" xr:uid="{00000000-0005-0000-0000-000036110000}"/>
    <cellStyle name="Celda de comprobación 15 28 3" xfId="1867" xr:uid="{00000000-0005-0000-0000-000037110000}"/>
    <cellStyle name="Celda de comprobación 15 28 4" xfId="1868" xr:uid="{00000000-0005-0000-0000-000038110000}"/>
    <cellStyle name="Celda de comprobación 15 29" xfId="1869" xr:uid="{00000000-0005-0000-0000-000039110000}"/>
    <cellStyle name="Celda de comprobación 15 29 2" xfId="1870" xr:uid="{00000000-0005-0000-0000-00003A110000}"/>
    <cellStyle name="Celda de comprobación 15 29 3" xfId="1871" xr:uid="{00000000-0005-0000-0000-00003B110000}"/>
    <cellStyle name="Celda de comprobación 15 29 4" xfId="1872" xr:uid="{00000000-0005-0000-0000-00003C110000}"/>
    <cellStyle name="Celda de comprobación 15 3" xfId="1873" xr:uid="{00000000-0005-0000-0000-00003D110000}"/>
    <cellStyle name="Celda de comprobación 15 3 2" xfId="1874" xr:uid="{00000000-0005-0000-0000-00003E110000}"/>
    <cellStyle name="Celda de comprobación 15 3 3" xfId="1875" xr:uid="{00000000-0005-0000-0000-00003F110000}"/>
    <cellStyle name="Celda de comprobación 15 3 4" xfId="1876" xr:uid="{00000000-0005-0000-0000-000040110000}"/>
    <cellStyle name="Celda de comprobación 15 30" xfId="1877" xr:uid="{00000000-0005-0000-0000-000041110000}"/>
    <cellStyle name="Celda de comprobación 15 30 2" xfId="1878" xr:uid="{00000000-0005-0000-0000-000042110000}"/>
    <cellStyle name="Celda de comprobación 15 30 3" xfId="1879" xr:uid="{00000000-0005-0000-0000-000043110000}"/>
    <cellStyle name="Celda de comprobación 15 30 4" xfId="1880" xr:uid="{00000000-0005-0000-0000-000044110000}"/>
    <cellStyle name="Celda de comprobación 15 31" xfId="1881" xr:uid="{00000000-0005-0000-0000-000045110000}"/>
    <cellStyle name="Celda de comprobación 15 31 2" xfId="1882" xr:uid="{00000000-0005-0000-0000-000046110000}"/>
    <cellStyle name="Celda de comprobación 15 31 3" xfId="1883" xr:uid="{00000000-0005-0000-0000-000047110000}"/>
    <cellStyle name="Celda de comprobación 15 31 4" xfId="1884" xr:uid="{00000000-0005-0000-0000-000048110000}"/>
    <cellStyle name="Celda de comprobación 15 32" xfId="1885" xr:uid="{00000000-0005-0000-0000-000049110000}"/>
    <cellStyle name="Celda de comprobación 15 32 2" xfId="1886" xr:uid="{00000000-0005-0000-0000-00004A110000}"/>
    <cellStyle name="Celda de comprobación 15 32 3" xfId="1887" xr:uid="{00000000-0005-0000-0000-00004B110000}"/>
    <cellStyle name="Celda de comprobación 15 32 4" xfId="1888" xr:uid="{00000000-0005-0000-0000-00004C110000}"/>
    <cellStyle name="Celda de comprobación 15 33" xfId="1889" xr:uid="{00000000-0005-0000-0000-00004D110000}"/>
    <cellStyle name="Celda de comprobación 15 33 2" xfId="1890" xr:uid="{00000000-0005-0000-0000-00004E110000}"/>
    <cellStyle name="Celda de comprobación 15 33 3" xfId="1891" xr:uid="{00000000-0005-0000-0000-00004F110000}"/>
    <cellStyle name="Celda de comprobación 15 33 4" xfId="1892" xr:uid="{00000000-0005-0000-0000-000050110000}"/>
    <cellStyle name="Celda de comprobación 15 34" xfId="1893" xr:uid="{00000000-0005-0000-0000-000051110000}"/>
    <cellStyle name="Celda de comprobación 15 34 2" xfId="1894" xr:uid="{00000000-0005-0000-0000-000052110000}"/>
    <cellStyle name="Celda de comprobación 15 34 3" xfId="1895" xr:uid="{00000000-0005-0000-0000-000053110000}"/>
    <cellStyle name="Celda de comprobación 15 34 4" xfId="1896" xr:uid="{00000000-0005-0000-0000-000054110000}"/>
    <cellStyle name="Celda de comprobación 15 35" xfId="1897" xr:uid="{00000000-0005-0000-0000-000055110000}"/>
    <cellStyle name="Celda de comprobación 15 35 2" xfId="1898" xr:uid="{00000000-0005-0000-0000-000056110000}"/>
    <cellStyle name="Celda de comprobación 15 35 3" xfId="1899" xr:uid="{00000000-0005-0000-0000-000057110000}"/>
    <cellStyle name="Celda de comprobación 15 35 4" xfId="1900" xr:uid="{00000000-0005-0000-0000-000058110000}"/>
    <cellStyle name="Celda de comprobación 15 36" xfId="1901" xr:uid="{00000000-0005-0000-0000-000059110000}"/>
    <cellStyle name="Celda de comprobación 15 36 2" xfId="1902" xr:uid="{00000000-0005-0000-0000-00005A110000}"/>
    <cellStyle name="Celda de comprobación 15 36 3" xfId="1903" xr:uid="{00000000-0005-0000-0000-00005B110000}"/>
    <cellStyle name="Celda de comprobación 15 36 4" xfId="1904" xr:uid="{00000000-0005-0000-0000-00005C110000}"/>
    <cellStyle name="Celda de comprobación 15 37" xfId="1905" xr:uid="{00000000-0005-0000-0000-00005D110000}"/>
    <cellStyle name="Celda de comprobación 15 38" xfId="1906" xr:uid="{00000000-0005-0000-0000-00005E110000}"/>
    <cellStyle name="Celda de comprobación 15 39" xfId="1907" xr:uid="{00000000-0005-0000-0000-00005F110000}"/>
    <cellStyle name="Celda de comprobación 15 4" xfId="1908" xr:uid="{00000000-0005-0000-0000-000060110000}"/>
    <cellStyle name="Celda de comprobación 15 4 2" xfId="1909" xr:uid="{00000000-0005-0000-0000-000061110000}"/>
    <cellStyle name="Celda de comprobación 15 4 3" xfId="1910" xr:uid="{00000000-0005-0000-0000-000062110000}"/>
    <cellStyle name="Celda de comprobación 15 4 4" xfId="1911" xr:uid="{00000000-0005-0000-0000-000063110000}"/>
    <cellStyle name="Celda de comprobación 15 40" xfId="1912" xr:uid="{00000000-0005-0000-0000-000064110000}"/>
    <cellStyle name="Celda de comprobación 15 41" xfId="1913" xr:uid="{00000000-0005-0000-0000-000065110000}"/>
    <cellStyle name="Celda de comprobación 15 42" xfId="1914" xr:uid="{00000000-0005-0000-0000-000066110000}"/>
    <cellStyle name="Celda de comprobación 15 43" xfId="1915" xr:uid="{00000000-0005-0000-0000-000067110000}"/>
    <cellStyle name="Celda de comprobación 15 44" xfId="1916" xr:uid="{00000000-0005-0000-0000-000068110000}"/>
    <cellStyle name="Celda de comprobación 15 45" xfId="1917" xr:uid="{00000000-0005-0000-0000-000069110000}"/>
    <cellStyle name="Celda de comprobación 15 46" xfId="1918" xr:uid="{00000000-0005-0000-0000-00006A110000}"/>
    <cellStyle name="Celda de comprobación 15 47" xfId="1919" xr:uid="{00000000-0005-0000-0000-00006B110000}"/>
    <cellStyle name="Celda de comprobación 15 48" xfId="1920" xr:uid="{00000000-0005-0000-0000-00006C110000}"/>
    <cellStyle name="Celda de comprobación 15 49" xfId="1921" xr:uid="{00000000-0005-0000-0000-00006D110000}"/>
    <cellStyle name="Celda de comprobación 15 5" xfId="1922" xr:uid="{00000000-0005-0000-0000-00006E110000}"/>
    <cellStyle name="Celda de comprobación 15 5 2" xfId="1923" xr:uid="{00000000-0005-0000-0000-00006F110000}"/>
    <cellStyle name="Celda de comprobación 15 5 3" xfId="1924" xr:uid="{00000000-0005-0000-0000-000070110000}"/>
    <cellStyle name="Celda de comprobación 15 5 4" xfId="1925" xr:uid="{00000000-0005-0000-0000-000071110000}"/>
    <cellStyle name="Celda de comprobación 15 50" xfId="1926" xr:uid="{00000000-0005-0000-0000-000072110000}"/>
    <cellStyle name="Celda de comprobación 15 51" xfId="1927" xr:uid="{00000000-0005-0000-0000-000073110000}"/>
    <cellStyle name="Celda de comprobación 15 6" xfId="1928" xr:uid="{00000000-0005-0000-0000-000074110000}"/>
    <cellStyle name="Celda de comprobación 15 6 2" xfId="1929" xr:uid="{00000000-0005-0000-0000-000075110000}"/>
    <cellStyle name="Celda de comprobación 15 6 3" xfId="1930" xr:uid="{00000000-0005-0000-0000-000076110000}"/>
    <cellStyle name="Celda de comprobación 15 6 4" xfId="1931" xr:uid="{00000000-0005-0000-0000-000077110000}"/>
    <cellStyle name="Celda de comprobación 15 7" xfId="1932" xr:uid="{00000000-0005-0000-0000-000078110000}"/>
    <cellStyle name="Celda de comprobación 15 7 2" xfId="1933" xr:uid="{00000000-0005-0000-0000-000079110000}"/>
    <cellStyle name="Celda de comprobación 15 7 3" xfId="1934" xr:uid="{00000000-0005-0000-0000-00007A110000}"/>
    <cellStyle name="Celda de comprobación 15 7 4" xfId="1935" xr:uid="{00000000-0005-0000-0000-00007B110000}"/>
    <cellStyle name="Celda de comprobación 15 8" xfId="1936" xr:uid="{00000000-0005-0000-0000-00007C110000}"/>
    <cellStyle name="Celda de comprobación 15 8 2" xfId="1937" xr:uid="{00000000-0005-0000-0000-00007D110000}"/>
    <cellStyle name="Celda de comprobación 15 8 3" xfId="1938" xr:uid="{00000000-0005-0000-0000-00007E110000}"/>
    <cellStyle name="Celda de comprobación 15 8 4" xfId="1939" xr:uid="{00000000-0005-0000-0000-00007F110000}"/>
    <cellStyle name="Celda de comprobación 15 9" xfId="1940" xr:uid="{00000000-0005-0000-0000-000080110000}"/>
    <cellStyle name="Celda de comprobación 15 9 2" xfId="1941" xr:uid="{00000000-0005-0000-0000-000081110000}"/>
    <cellStyle name="Celda de comprobación 15 9 3" xfId="1942" xr:uid="{00000000-0005-0000-0000-000082110000}"/>
    <cellStyle name="Celda de comprobación 15 9 4" xfId="1943" xr:uid="{00000000-0005-0000-0000-000083110000}"/>
    <cellStyle name="Celda de comprobación 16" xfId="1944" xr:uid="{00000000-0005-0000-0000-000084110000}"/>
    <cellStyle name="Celda de comprobación 16 10" xfId="1945" xr:uid="{00000000-0005-0000-0000-000085110000}"/>
    <cellStyle name="Celda de comprobación 16 11" xfId="1946" xr:uid="{00000000-0005-0000-0000-000086110000}"/>
    <cellStyle name="Celda de comprobación 16 12" xfId="1947" xr:uid="{00000000-0005-0000-0000-000087110000}"/>
    <cellStyle name="Celda de comprobación 16 13" xfId="1948" xr:uid="{00000000-0005-0000-0000-000088110000}"/>
    <cellStyle name="Celda de comprobación 16 14" xfId="1949" xr:uid="{00000000-0005-0000-0000-000089110000}"/>
    <cellStyle name="Celda de comprobación 16 15" xfId="1950" xr:uid="{00000000-0005-0000-0000-00008A110000}"/>
    <cellStyle name="Celda de comprobación 16 16" xfId="1951" xr:uid="{00000000-0005-0000-0000-00008B110000}"/>
    <cellStyle name="Celda de comprobación 16 2" xfId="1952" xr:uid="{00000000-0005-0000-0000-00008C110000}"/>
    <cellStyle name="Celda de comprobación 16 3" xfId="1953" xr:uid="{00000000-0005-0000-0000-00008D110000}"/>
    <cellStyle name="Celda de comprobación 16 4" xfId="1954" xr:uid="{00000000-0005-0000-0000-00008E110000}"/>
    <cellStyle name="Celda de comprobación 16 5" xfId="1955" xr:uid="{00000000-0005-0000-0000-00008F110000}"/>
    <cellStyle name="Celda de comprobación 16 6" xfId="1956" xr:uid="{00000000-0005-0000-0000-000090110000}"/>
    <cellStyle name="Celda de comprobación 16 7" xfId="1957" xr:uid="{00000000-0005-0000-0000-000091110000}"/>
    <cellStyle name="Celda de comprobación 16 8" xfId="1958" xr:uid="{00000000-0005-0000-0000-000092110000}"/>
    <cellStyle name="Celda de comprobación 16 9" xfId="1959" xr:uid="{00000000-0005-0000-0000-000093110000}"/>
    <cellStyle name="Celda de comprobación 17" xfId="1960" xr:uid="{00000000-0005-0000-0000-000094110000}"/>
    <cellStyle name="Celda de comprobación 17 10" xfId="1961" xr:uid="{00000000-0005-0000-0000-000095110000}"/>
    <cellStyle name="Celda de comprobación 17 11" xfId="1962" xr:uid="{00000000-0005-0000-0000-000096110000}"/>
    <cellStyle name="Celda de comprobación 17 12" xfId="1963" xr:uid="{00000000-0005-0000-0000-000097110000}"/>
    <cellStyle name="Celda de comprobación 17 13" xfId="1964" xr:uid="{00000000-0005-0000-0000-000098110000}"/>
    <cellStyle name="Celda de comprobación 17 14" xfId="1965" xr:uid="{00000000-0005-0000-0000-000099110000}"/>
    <cellStyle name="Celda de comprobación 17 15" xfId="1966" xr:uid="{00000000-0005-0000-0000-00009A110000}"/>
    <cellStyle name="Celda de comprobación 17 16" xfId="1967" xr:uid="{00000000-0005-0000-0000-00009B110000}"/>
    <cellStyle name="Celda de comprobación 17 2" xfId="1968" xr:uid="{00000000-0005-0000-0000-00009C110000}"/>
    <cellStyle name="Celda de comprobación 17 3" xfId="1969" xr:uid="{00000000-0005-0000-0000-00009D110000}"/>
    <cellStyle name="Celda de comprobación 17 4" xfId="1970" xr:uid="{00000000-0005-0000-0000-00009E110000}"/>
    <cellStyle name="Celda de comprobación 17 5" xfId="1971" xr:uid="{00000000-0005-0000-0000-00009F110000}"/>
    <cellStyle name="Celda de comprobación 17 6" xfId="1972" xr:uid="{00000000-0005-0000-0000-0000A0110000}"/>
    <cellStyle name="Celda de comprobación 17 7" xfId="1973" xr:uid="{00000000-0005-0000-0000-0000A1110000}"/>
    <cellStyle name="Celda de comprobación 17 8" xfId="1974" xr:uid="{00000000-0005-0000-0000-0000A2110000}"/>
    <cellStyle name="Celda de comprobación 17 9" xfId="1975" xr:uid="{00000000-0005-0000-0000-0000A3110000}"/>
    <cellStyle name="Celda de comprobación 18" xfId="1976" xr:uid="{00000000-0005-0000-0000-0000A4110000}"/>
    <cellStyle name="Celda de comprobación 18 10" xfId="1977" xr:uid="{00000000-0005-0000-0000-0000A5110000}"/>
    <cellStyle name="Celda de comprobación 18 11" xfId="1978" xr:uid="{00000000-0005-0000-0000-0000A6110000}"/>
    <cellStyle name="Celda de comprobación 18 12" xfId="1979" xr:uid="{00000000-0005-0000-0000-0000A7110000}"/>
    <cellStyle name="Celda de comprobación 18 13" xfId="1980" xr:uid="{00000000-0005-0000-0000-0000A8110000}"/>
    <cellStyle name="Celda de comprobación 18 14" xfId="1981" xr:uid="{00000000-0005-0000-0000-0000A9110000}"/>
    <cellStyle name="Celda de comprobación 18 15" xfId="1982" xr:uid="{00000000-0005-0000-0000-0000AA110000}"/>
    <cellStyle name="Celda de comprobación 18 16" xfId="1983" xr:uid="{00000000-0005-0000-0000-0000AB110000}"/>
    <cellStyle name="Celda de comprobación 18 2" xfId="1984" xr:uid="{00000000-0005-0000-0000-0000AC110000}"/>
    <cellStyle name="Celda de comprobación 18 3" xfId="1985" xr:uid="{00000000-0005-0000-0000-0000AD110000}"/>
    <cellStyle name="Celda de comprobación 18 4" xfId="1986" xr:uid="{00000000-0005-0000-0000-0000AE110000}"/>
    <cellStyle name="Celda de comprobación 18 5" xfId="1987" xr:uid="{00000000-0005-0000-0000-0000AF110000}"/>
    <cellStyle name="Celda de comprobación 18 6" xfId="1988" xr:uid="{00000000-0005-0000-0000-0000B0110000}"/>
    <cellStyle name="Celda de comprobación 18 7" xfId="1989" xr:uid="{00000000-0005-0000-0000-0000B1110000}"/>
    <cellStyle name="Celda de comprobación 18 8" xfId="1990" xr:uid="{00000000-0005-0000-0000-0000B2110000}"/>
    <cellStyle name="Celda de comprobación 18 9" xfId="1991" xr:uid="{00000000-0005-0000-0000-0000B3110000}"/>
    <cellStyle name="Celda de comprobación 19" xfId="1992" xr:uid="{00000000-0005-0000-0000-0000B4110000}"/>
    <cellStyle name="Celda de comprobación 19 10" xfId="1993" xr:uid="{00000000-0005-0000-0000-0000B5110000}"/>
    <cellStyle name="Celda de comprobación 19 11" xfId="1994" xr:uid="{00000000-0005-0000-0000-0000B6110000}"/>
    <cellStyle name="Celda de comprobación 19 12" xfId="1995" xr:uid="{00000000-0005-0000-0000-0000B7110000}"/>
    <cellStyle name="Celda de comprobación 19 13" xfId="1996" xr:uid="{00000000-0005-0000-0000-0000B8110000}"/>
    <cellStyle name="Celda de comprobación 19 14" xfId="1997" xr:uid="{00000000-0005-0000-0000-0000B9110000}"/>
    <cellStyle name="Celda de comprobación 19 15" xfId="1998" xr:uid="{00000000-0005-0000-0000-0000BA110000}"/>
    <cellStyle name="Celda de comprobación 19 16" xfId="1999" xr:uid="{00000000-0005-0000-0000-0000BB110000}"/>
    <cellStyle name="Celda de comprobación 19 2" xfId="2000" xr:uid="{00000000-0005-0000-0000-0000BC110000}"/>
    <cellStyle name="Celda de comprobación 19 3" xfId="2001" xr:uid="{00000000-0005-0000-0000-0000BD110000}"/>
    <cellStyle name="Celda de comprobación 19 4" xfId="2002" xr:uid="{00000000-0005-0000-0000-0000BE110000}"/>
    <cellStyle name="Celda de comprobación 19 5" xfId="2003" xr:uid="{00000000-0005-0000-0000-0000BF110000}"/>
    <cellStyle name="Celda de comprobación 19 6" xfId="2004" xr:uid="{00000000-0005-0000-0000-0000C0110000}"/>
    <cellStyle name="Celda de comprobación 19 7" xfId="2005" xr:uid="{00000000-0005-0000-0000-0000C1110000}"/>
    <cellStyle name="Celda de comprobación 19 8" xfId="2006" xr:uid="{00000000-0005-0000-0000-0000C2110000}"/>
    <cellStyle name="Celda de comprobación 19 9" xfId="2007" xr:uid="{00000000-0005-0000-0000-0000C3110000}"/>
    <cellStyle name="Celda de comprobación 2" xfId="2008" xr:uid="{00000000-0005-0000-0000-0000C4110000}"/>
    <cellStyle name="Celda de comprobación 2 10" xfId="2009" xr:uid="{00000000-0005-0000-0000-0000C5110000}"/>
    <cellStyle name="Celda de comprobación 2 10 2" xfId="2010" xr:uid="{00000000-0005-0000-0000-0000C6110000}"/>
    <cellStyle name="Celda de comprobación 2 10 3" xfId="2011" xr:uid="{00000000-0005-0000-0000-0000C7110000}"/>
    <cellStyle name="Celda de comprobación 2 10 4" xfId="2012" xr:uid="{00000000-0005-0000-0000-0000C8110000}"/>
    <cellStyle name="Celda de comprobación 2 11" xfId="2013" xr:uid="{00000000-0005-0000-0000-0000C9110000}"/>
    <cellStyle name="Celda de comprobación 2 11 2" xfId="2014" xr:uid="{00000000-0005-0000-0000-0000CA110000}"/>
    <cellStyle name="Celda de comprobación 2 11 3" xfId="2015" xr:uid="{00000000-0005-0000-0000-0000CB110000}"/>
    <cellStyle name="Celda de comprobación 2 11 4" xfId="2016" xr:uid="{00000000-0005-0000-0000-0000CC110000}"/>
    <cellStyle name="Celda de comprobación 2 12" xfId="2017" xr:uid="{00000000-0005-0000-0000-0000CD110000}"/>
    <cellStyle name="Celda de comprobación 2 12 2" xfId="2018" xr:uid="{00000000-0005-0000-0000-0000CE110000}"/>
    <cellStyle name="Celda de comprobación 2 12 3" xfId="2019" xr:uid="{00000000-0005-0000-0000-0000CF110000}"/>
    <cellStyle name="Celda de comprobación 2 12 4" xfId="2020" xr:uid="{00000000-0005-0000-0000-0000D0110000}"/>
    <cellStyle name="Celda de comprobación 2 13" xfId="2021" xr:uid="{00000000-0005-0000-0000-0000D1110000}"/>
    <cellStyle name="Celda de comprobación 2 13 2" xfId="2022" xr:uid="{00000000-0005-0000-0000-0000D2110000}"/>
    <cellStyle name="Celda de comprobación 2 13 3" xfId="2023" xr:uid="{00000000-0005-0000-0000-0000D3110000}"/>
    <cellStyle name="Celda de comprobación 2 13 4" xfId="2024" xr:uid="{00000000-0005-0000-0000-0000D4110000}"/>
    <cellStyle name="Celda de comprobación 2 14" xfId="2025" xr:uid="{00000000-0005-0000-0000-0000D5110000}"/>
    <cellStyle name="Celda de comprobación 2 14 2" xfId="2026" xr:uid="{00000000-0005-0000-0000-0000D6110000}"/>
    <cellStyle name="Celda de comprobación 2 14 3" xfId="2027" xr:uid="{00000000-0005-0000-0000-0000D7110000}"/>
    <cellStyle name="Celda de comprobación 2 14 4" xfId="2028" xr:uid="{00000000-0005-0000-0000-0000D8110000}"/>
    <cellStyle name="Celda de comprobación 2 15" xfId="2029" xr:uid="{00000000-0005-0000-0000-0000D9110000}"/>
    <cellStyle name="Celda de comprobación 2 15 2" xfId="2030" xr:uid="{00000000-0005-0000-0000-0000DA110000}"/>
    <cellStyle name="Celda de comprobación 2 15 3" xfId="2031" xr:uid="{00000000-0005-0000-0000-0000DB110000}"/>
    <cellStyle name="Celda de comprobación 2 15 4" xfId="2032" xr:uid="{00000000-0005-0000-0000-0000DC110000}"/>
    <cellStyle name="Celda de comprobación 2 16" xfId="2033" xr:uid="{00000000-0005-0000-0000-0000DD110000}"/>
    <cellStyle name="Celda de comprobación 2 16 2" xfId="2034" xr:uid="{00000000-0005-0000-0000-0000DE110000}"/>
    <cellStyle name="Celda de comprobación 2 16 3" xfId="2035" xr:uid="{00000000-0005-0000-0000-0000DF110000}"/>
    <cellStyle name="Celda de comprobación 2 16 4" xfId="2036" xr:uid="{00000000-0005-0000-0000-0000E0110000}"/>
    <cellStyle name="Celda de comprobación 2 17" xfId="2037" xr:uid="{00000000-0005-0000-0000-0000E1110000}"/>
    <cellStyle name="Celda de comprobación 2 17 2" xfId="2038" xr:uid="{00000000-0005-0000-0000-0000E2110000}"/>
    <cellStyle name="Celda de comprobación 2 17 3" xfId="2039" xr:uid="{00000000-0005-0000-0000-0000E3110000}"/>
    <cellStyle name="Celda de comprobación 2 17 4" xfId="2040" xr:uid="{00000000-0005-0000-0000-0000E4110000}"/>
    <cellStyle name="Celda de comprobación 2 18" xfId="2041" xr:uid="{00000000-0005-0000-0000-0000E5110000}"/>
    <cellStyle name="Celda de comprobación 2 18 2" xfId="2042" xr:uid="{00000000-0005-0000-0000-0000E6110000}"/>
    <cellStyle name="Celda de comprobación 2 18 3" xfId="2043" xr:uid="{00000000-0005-0000-0000-0000E7110000}"/>
    <cellStyle name="Celda de comprobación 2 18 4" xfId="2044" xr:uid="{00000000-0005-0000-0000-0000E8110000}"/>
    <cellStyle name="Celda de comprobación 2 19" xfId="2045" xr:uid="{00000000-0005-0000-0000-0000E9110000}"/>
    <cellStyle name="Celda de comprobación 2 19 2" xfId="2046" xr:uid="{00000000-0005-0000-0000-0000EA110000}"/>
    <cellStyle name="Celda de comprobación 2 19 3" xfId="2047" xr:uid="{00000000-0005-0000-0000-0000EB110000}"/>
    <cellStyle name="Celda de comprobación 2 19 4" xfId="2048" xr:uid="{00000000-0005-0000-0000-0000EC110000}"/>
    <cellStyle name="Celda de comprobación 2 2" xfId="2049" xr:uid="{00000000-0005-0000-0000-0000ED110000}"/>
    <cellStyle name="Celda de comprobación 2 2 2" xfId="2050" xr:uid="{00000000-0005-0000-0000-0000EE110000}"/>
    <cellStyle name="Celda de comprobación 2 2 3" xfId="2051" xr:uid="{00000000-0005-0000-0000-0000EF110000}"/>
    <cellStyle name="Celda de comprobación 2 2 4" xfId="2052" xr:uid="{00000000-0005-0000-0000-0000F0110000}"/>
    <cellStyle name="Celda de comprobación 2 2 5" xfId="12889" xr:uid="{00000000-0005-0000-0000-0000F1110000}"/>
    <cellStyle name="Celda de comprobación 2 20" xfId="2053" xr:uid="{00000000-0005-0000-0000-0000F2110000}"/>
    <cellStyle name="Celda de comprobación 2 20 2" xfId="2054" xr:uid="{00000000-0005-0000-0000-0000F3110000}"/>
    <cellStyle name="Celda de comprobación 2 20 3" xfId="2055" xr:uid="{00000000-0005-0000-0000-0000F4110000}"/>
    <cellStyle name="Celda de comprobación 2 20 4" xfId="2056" xr:uid="{00000000-0005-0000-0000-0000F5110000}"/>
    <cellStyle name="Celda de comprobación 2 21" xfId="2057" xr:uid="{00000000-0005-0000-0000-0000F6110000}"/>
    <cellStyle name="Celda de comprobación 2 21 2" xfId="2058" xr:uid="{00000000-0005-0000-0000-0000F7110000}"/>
    <cellStyle name="Celda de comprobación 2 21 3" xfId="2059" xr:uid="{00000000-0005-0000-0000-0000F8110000}"/>
    <cellStyle name="Celda de comprobación 2 21 4" xfId="2060" xr:uid="{00000000-0005-0000-0000-0000F9110000}"/>
    <cellStyle name="Celda de comprobación 2 22" xfId="2061" xr:uid="{00000000-0005-0000-0000-0000FA110000}"/>
    <cellStyle name="Celda de comprobación 2 22 2" xfId="2062" xr:uid="{00000000-0005-0000-0000-0000FB110000}"/>
    <cellStyle name="Celda de comprobación 2 22 3" xfId="2063" xr:uid="{00000000-0005-0000-0000-0000FC110000}"/>
    <cellStyle name="Celda de comprobación 2 22 4" xfId="2064" xr:uid="{00000000-0005-0000-0000-0000FD110000}"/>
    <cellStyle name="Celda de comprobación 2 23" xfId="2065" xr:uid="{00000000-0005-0000-0000-0000FE110000}"/>
    <cellStyle name="Celda de comprobación 2 23 2" xfId="2066" xr:uid="{00000000-0005-0000-0000-0000FF110000}"/>
    <cellStyle name="Celda de comprobación 2 23 3" xfId="2067" xr:uid="{00000000-0005-0000-0000-000000120000}"/>
    <cellStyle name="Celda de comprobación 2 23 4" xfId="2068" xr:uid="{00000000-0005-0000-0000-000001120000}"/>
    <cellStyle name="Celda de comprobación 2 24" xfId="2069" xr:uid="{00000000-0005-0000-0000-000002120000}"/>
    <cellStyle name="Celda de comprobación 2 24 2" xfId="2070" xr:uid="{00000000-0005-0000-0000-000003120000}"/>
    <cellStyle name="Celda de comprobación 2 24 3" xfId="2071" xr:uid="{00000000-0005-0000-0000-000004120000}"/>
    <cellStyle name="Celda de comprobación 2 24 4" xfId="2072" xr:uid="{00000000-0005-0000-0000-000005120000}"/>
    <cellStyle name="Celda de comprobación 2 25" xfId="2073" xr:uid="{00000000-0005-0000-0000-000006120000}"/>
    <cellStyle name="Celda de comprobación 2 25 2" xfId="2074" xr:uid="{00000000-0005-0000-0000-000007120000}"/>
    <cellStyle name="Celda de comprobación 2 25 3" xfId="2075" xr:uid="{00000000-0005-0000-0000-000008120000}"/>
    <cellStyle name="Celda de comprobación 2 25 4" xfId="2076" xr:uid="{00000000-0005-0000-0000-000009120000}"/>
    <cellStyle name="Celda de comprobación 2 26" xfId="2077" xr:uid="{00000000-0005-0000-0000-00000A120000}"/>
    <cellStyle name="Celda de comprobación 2 26 2" xfId="2078" xr:uid="{00000000-0005-0000-0000-00000B120000}"/>
    <cellStyle name="Celda de comprobación 2 26 3" xfId="2079" xr:uid="{00000000-0005-0000-0000-00000C120000}"/>
    <cellStyle name="Celda de comprobación 2 26 4" xfId="2080" xr:uid="{00000000-0005-0000-0000-00000D120000}"/>
    <cellStyle name="Celda de comprobación 2 27" xfId="2081" xr:uid="{00000000-0005-0000-0000-00000E120000}"/>
    <cellStyle name="Celda de comprobación 2 27 2" xfId="2082" xr:uid="{00000000-0005-0000-0000-00000F120000}"/>
    <cellStyle name="Celda de comprobación 2 27 3" xfId="2083" xr:uid="{00000000-0005-0000-0000-000010120000}"/>
    <cellStyle name="Celda de comprobación 2 27 4" xfId="2084" xr:uid="{00000000-0005-0000-0000-000011120000}"/>
    <cellStyle name="Celda de comprobación 2 28" xfId="2085" xr:uid="{00000000-0005-0000-0000-000012120000}"/>
    <cellStyle name="Celda de comprobación 2 28 2" xfId="2086" xr:uid="{00000000-0005-0000-0000-000013120000}"/>
    <cellStyle name="Celda de comprobación 2 28 3" xfId="2087" xr:uid="{00000000-0005-0000-0000-000014120000}"/>
    <cellStyle name="Celda de comprobación 2 28 4" xfId="2088" xr:uid="{00000000-0005-0000-0000-000015120000}"/>
    <cellStyle name="Celda de comprobación 2 29" xfId="2089" xr:uid="{00000000-0005-0000-0000-000016120000}"/>
    <cellStyle name="Celda de comprobación 2 29 2" xfId="2090" xr:uid="{00000000-0005-0000-0000-000017120000}"/>
    <cellStyle name="Celda de comprobación 2 29 3" xfId="2091" xr:uid="{00000000-0005-0000-0000-000018120000}"/>
    <cellStyle name="Celda de comprobación 2 29 4" xfId="2092" xr:uid="{00000000-0005-0000-0000-000019120000}"/>
    <cellStyle name="Celda de comprobación 2 3" xfId="2093" xr:uid="{00000000-0005-0000-0000-00001A120000}"/>
    <cellStyle name="Celda de comprobación 2 3 2" xfId="2094" xr:uid="{00000000-0005-0000-0000-00001B120000}"/>
    <cellStyle name="Celda de comprobación 2 3 3" xfId="2095" xr:uid="{00000000-0005-0000-0000-00001C120000}"/>
    <cellStyle name="Celda de comprobación 2 3 4" xfId="2096" xr:uid="{00000000-0005-0000-0000-00001D120000}"/>
    <cellStyle name="Celda de comprobación 2 30" xfId="2097" xr:uid="{00000000-0005-0000-0000-00001E120000}"/>
    <cellStyle name="Celda de comprobación 2 30 2" xfId="2098" xr:uid="{00000000-0005-0000-0000-00001F120000}"/>
    <cellStyle name="Celda de comprobación 2 30 3" xfId="2099" xr:uid="{00000000-0005-0000-0000-000020120000}"/>
    <cellStyle name="Celda de comprobación 2 30 4" xfId="2100" xr:uid="{00000000-0005-0000-0000-000021120000}"/>
    <cellStyle name="Celda de comprobación 2 31" xfId="2101" xr:uid="{00000000-0005-0000-0000-000022120000}"/>
    <cellStyle name="Celda de comprobación 2 31 2" xfId="2102" xr:uid="{00000000-0005-0000-0000-000023120000}"/>
    <cellStyle name="Celda de comprobación 2 31 3" xfId="2103" xr:uid="{00000000-0005-0000-0000-000024120000}"/>
    <cellStyle name="Celda de comprobación 2 31 4" xfId="2104" xr:uid="{00000000-0005-0000-0000-000025120000}"/>
    <cellStyle name="Celda de comprobación 2 32" xfId="2105" xr:uid="{00000000-0005-0000-0000-000026120000}"/>
    <cellStyle name="Celda de comprobación 2 32 2" xfId="2106" xr:uid="{00000000-0005-0000-0000-000027120000}"/>
    <cellStyle name="Celda de comprobación 2 32 3" xfId="2107" xr:uid="{00000000-0005-0000-0000-000028120000}"/>
    <cellStyle name="Celda de comprobación 2 32 4" xfId="2108" xr:uid="{00000000-0005-0000-0000-000029120000}"/>
    <cellStyle name="Celda de comprobación 2 33" xfId="2109" xr:uid="{00000000-0005-0000-0000-00002A120000}"/>
    <cellStyle name="Celda de comprobación 2 33 2" xfId="2110" xr:uid="{00000000-0005-0000-0000-00002B120000}"/>
    <cellStyle name="Celda de comprobación 2 33 3" xfId="2111" xr:uid="{00000000-0005-0000-0000-00002C120000}"/>
    <cellStyle name="Celda de comprobación 2 33 4" xfId="2112" xr:uid="{00000000-0005-0000-0000-00002D120000}"/>
    <cellStyle name="Celda de comprobación 2 34" xfId="2113" xr:uid="{00000000-0005-0000-0000-00002E120000}"/>
    <cellStyle name="Celda de comprobación 2 34 2" xfId="2114" xr:uid="{00000000-0005-0000-0000-00002F120000}"/>
    <cellStyle name="Celda de comprobación 2 34 3" xfId="2115" xr:uid="{00000000-0005-0000-0000-000030120000}"/>
    <cellStyle name="Celda de comprobación 2 34 4" xfId="2116" xr:uid="{00000000-0005-0000-0000-000031120000}"/>
    <cellStyle name="Celda de comprobación 2 35" xfId="2117" xr:uid="{00000000-0005-0000-0000-000032120000}"/>
    <cellStyle name="Celda de comprobación 2 35 2" xfId="2118" xr:uid="{00000000-0005-0000-0000-000033120000}"/>
    <cellStyle name="Celda de comprobación 2 35 3" xfId="2119" xr:uid="{00000000-0005-0000-0000-000034120000}"/>
    <cellStyle name="Celda de comprobación 2 35 4" xfId="2120" xr:uid="{00000000-0005-0000-0000-000035120000}"/>
    <cellStyle name="Celda de comprobación 2 36" xfId="2121" xr:uid="{00000000-0005-0000-0000-000036120000}"/>
    <cellStyle name="Celda de comprobación 2 36 2" xfId="2122" xr:uid="{00000000-0005-0000-0000-000037120000}"/>
    <cellStyle name="Celda de comprobación 2 36 3" xfId="2123" xr:uid="{00000000-0005-0000-0000-000038120000}"/>
    <cellStyle name="Celda de comprobación 2 36 4" xfId="2124" xr:uid="{00000000-0005-0000-0000-000039120000}"/>
    <cellStyle name="Celda de comprobación 2 37" xfId="2125" xr:uid="{00000000-0005-0000-0000-00003A120000}"/>
    <cellStyle name="Celda de comprobación 2 38" xfId="2126" xr:uid="{00000000-0005-0000-0000-00003B120000}"/>
    <cellStyle name="Celda de comprobación 2 39" xfId="2127" xr:uid="{00000000-0005-0000-0000-00003C120000}"/>
    <cellStyle name="Celda de comprobación 2 4" xfId="2128" xr:uid="{00000000-0005-0000-0000-00003D120000}"/>
    <cellStyle name="Celda de comprobación 2 4 2" xfId="2129" xr:uid="{00000000-0005-0000-0000-00003E120000}"/>
    <cellStyle name="Celda de comprobación 2 4 3" xfId="2130" xr:uid="{00000000-0005-0000-0000-00003F120000}"/>
    <cellStyle name="Celda de comprobación 2 4 4" xfId="2131" xr:uid="{00000000-0005-0000-0000-000040120000}"/>
    <cellStyle name="Celda de comprobación 2 40" xfId="2132" xr:uid="{00000000-0005-0000-0000-000041120000}"/>
    <cellStyle name="Celda de comprobación 2 41" xfId="2133" xr:uid="{00000000-0005-0000-0000-000042120000}"/>
    <cellStyle name="Celda de comprobación 2 42" xfId="2134" xr:uid="{00000000-0005-0000-0000-000043120000}"/>
    <cellStyle name="Celda de comprobación 2 43" xfId="2135" xr:uid="{00000000-0005-0000-0000-000044120000}"/>
    <cellStyle name="Celda de comprobación 2 44" xfId="2136" xr:uid="{00000000-0005-0000-0000-000045120000}"/>
    <cellStyle name="Celda de comprobación 2 45" xfId="2137" xr:uid="{00000000-0005-0000-0000-000046120000}"/>
    <cellStyle name="Celda de comprobación 2 46" xfId="2138" xr:uid="{00000000-0005-0000-0000-000047120000}"/>
    <cellStyle name="Celda de comprobación 2 47" xfId="2139" xr:uid="{00000000-0005-0000-0000-000048120000}"/>
    <cellStyle name="Celda de comprobación 2 48" xfId="2140" xr:uid="{00000000-0005-0000-0000-000049120000}"/>
    <cellStyle name="Celda de comprobación 2 49" xfId="2141" xr:uid="{00000000-0005-0000-0000-00004A120000}"/>
    <cellStyle name="Celda de comprobación 2 5" xfId="2142" xr:uid="{00000000-0005-0000-0000-00004B120000}"/>
    <cellStyle name="Celda de comprobación 2 5 2" xfId="2143" xr:uid="{00000000-0005-0000-0000-00004C120000}"/>
    <cellStyle name="Celda de comprobación 2 5 3" xfId="2144" xr:uid="{00000000-0005-0000-0000-00004D120000}"/>
    <cellStyle name="Celda de comprobación 2 5 4" xfId="2145" xr:uid="{00000000-0005-0000-0000-00004E120000}"/>
    <cellStyle name="Celda de comprobación 2 50" xfId="2146" xr:uid="{00000000-0005-0000-0000-00004F120000}"/>
    <cellStyle name="Celda de comprobación 2 51" xfId="2147" xr:uid="{00000000-0005-0000-0000-000050120000}"/>
    <cellStyle name="Celda de comprobación 2 52" xfId="12890" xr:uid="{00000000-0005-0000-0000-000051120000}"/>
    <cellStyle name="Celda de comprobación 2 6" xfId="2148" xr:uid="{00000000-0005-0000-0000-000052120000}"/>
    <cellStyle name="Celda de comprobación 2 6 2" xfId="2149" xr:uid="{00000000-0005-0000-0000-000053120000}"/>
    <cellStyle name="Celda de comprobación 2 6 3" xfId="2150" xr:uid="{00000000-0005-0000-0000-000054120000}"/>
    <cellStyle name="Celda de comprobación 2 6 4" xfId="2151" xr:uid="{00000000-0005-0000-0000-000055120000}"/>
    <cellStyle name="Celda de comprobación 2 7" xfId="2152" xr:uid="{00000000-0005-0000-0000-000056120000}"/>
    <cellStyle name="Celda de comprobación 2 7 2" xfId="2153" xr:uid="{00000000-0005-0000-0000-000057120000}"/>
    <cellStyle name="Celda de comprobación 2 7 3" xfId="2154" xr:uid="{00000000-0005-0000-0000-000058120000}"/>
    <cellStyle name="Celda de comprobación 2 7 4" xfId="2155" xr:uid="{00000000-0005-0000-0000-000059120000}"/>
    <cellStyle name="Celda de comprobación 2 8" xfId="2156" xr:uid="{00000000-0005-0000-0000-00005A120000}"/>
    <cellStyle name="Celda de comprobación 2 8 2" xfId="2157" xr:uid="{00000000-0005-0000-0000-00005B120000}"/>
    <cellStyle name="Celda de comprobación 2 8 3" xfId="2158" xr:uid="{00000000-0005-0000-0000-00005C120000}"/>
    <cellStyle name="Celda de comprobación 2 8 4" xfId="2159" xr:uid="{00000000-0005-0000-0000-00005D120000}"/>
    <cellStyle name="Celda de comprobación 2 9" xfId="2160" xr:uid="{00000000-0005-0000-0000-00005E120000}"/>
    <cellStyle name="Celda de comprobación 2 9 2" xfId="2161" xr:uid="{00000000-0005-0000-0000-00005F120000}"/>
    <cellStyle name="Celda de comprobación 2 9 3" xfId="2162" xr:uid="{00000000-0005-0000-0000-000060120000}"/>
    <cellStyle name="Celda de comprobación 2 9 4" xfId="2163" xr:uid="{00000000-0005-0000-0000-000061120000}"/>
    <cellStyle name="Celda de comprobación 20" xfId="2164" xr:uid="{00000000-0005-0000-0000-000062120000}"/>
    <cellStyle name="Celda de comprobación 20 10" xfId="2165" xr:uid="{00000000-0005-0000-0000-000063120000}"/>
    <cellStyle name="Celda de comprobación 20 11" xfId="2166" xr:uid="{00000000-0005-0000-0000-000064120000}"/>
    <cellStyle name="Celda de comprobación 20 12" xfId="2167" xr:uid="{00000000-0005-0000-0000-000065120000}"/>
    <cellStyle name="Celda de comprobación 20 13" xfId="2168" xr:uid="{00000000-0005-0000-0000-000066120000}"/>
    <cellStyle name="Celda de comprobación 20 14" xfId="2169" xr:uid="{00000000-0005-0000-0000-000067120000}"/>
    <cellStyle name="Celda de comprobación 20 15" xfId="2170" xr:uid="{00000000-0005-0000-0000-000068120000}"/>
    <cellStyle name="Celda de comprobación 20 16" xfId="2171" xr:uid="{00000000-0005-0000-0000-000069120000}"/>
    <cellStyle name="Celda de comprobación 20 2" xfId="2172" xr:uid="{00000000-0005-0000-0000-00006A120000}"/>
    <cellStyle name="Celda de comprobación 20 3" xfId="2173" xr:uid="{00000000-0005-0000-0000-00006B120000}"/>
    <cellStyle name="Celda de comprobación 20 4" xfId="2174" xr:uid="{00000000-0005-0000-0000-00006C120000}"/>
    <cellStyle name="Celda de comprobación 20 5" xfId="2175" xr:uid="{00000000-0005-0000-0000-00006D120000}"/>
    <cellStyle name="Celda de comprobación 20 6" xfId="2176" xr:uid="{00000000-0005-0000-0000-00006E120000}"/>
    <cellStyle name="Celda de comprobación 20 7" xfId="2177" xr:uid="{00000000-0005-0000-0000-00006F120000}"/>
    <cellStyle name="Celda de comprobación 20 8" xfId="2178" xr:uid="{00000000-0005-0000-0000-000070120000}"/>
    <cellStyle name="Celda de comprobación 20 9" xfId="2179" xr:uid="{00000000-0005-0000-0000-000071120000}"/>
    <cellStyle name="Celda de comprobación 21" xfId="2180" xr:uid="{00000000-0005-0000-0000-000072120000}"/>
    <cellStyle name="Celda de comprobación 21 10" xfId="2181" xr:uid="{00000000-0005-0000-0000-000073120000}"/>
    <cellStyle name="Celda de comprobación 21 11" xfId="2182" xr:uid="{00000000-0005-0000-0000-000074120000}"/>
    <cellStyle name="Celda de comprobación 21 12" xfId="2183" xr:uid="{00000000-0005-0000-0000-000075120000}"/>
    <cellStyle name="Celda de comprobación 21 13" xfId="2184" xr:uid="{00000000-0005-0000-0000-000076120000}"/>
    <cellStyle name="Celda de comprobación 21 14" xfId="2185" xr:uid="{00000000-0005-0000-0000-000077120000}"/>
    <cellStyle name="Celda de comprobación 21 15" xfId="2186" xr:uid="{00000000-0005-0000-0000-000078120000}"/>
    <cellStyle name="Celda de comprobación 21 16" xfId="2187" xr:uid="{00000000-0005-0000-0000-000079120000}"/>
    <cellStyle name="Celda de comprobación 21 2" xfId="2188" xr:uid="{00000000-0005-0000-0000-00007A120000}"/>
    <cellStyle name="Celda de comprobación 21 3" xfId="2189" xr:uid="{00000000-0005-0000-0000-00007B120000}"/>
    <cellStyle name="Celda de comprobación 21 4" xfId="2190" xr:uid="{00000000-0005-0000-0000-00007C120000}"/>
    <cellStyle name="Celda de comprobación 21 5" xfId="2191" xr:uid="{00000000-0005-0000-0000-00007D120000}"/>
    <cellStyle name="Celda de comprobación 21 6" xfId="2192" xr:uid="{00000000-0005-0000-0000-00007E120000}"/>
    <cellStyle name="Celda de comprobación 21 7" xfId="2193" xr:uid="{00000000-0005-0000-0000-00007F120000}"/>
    <cellStyle name="Celda de comprobación 21 8" xfId="2194" xr:uid="{00000000-0005-0000-0000-000080120000}"/>
    <cellStyle name="Celda de comprobación 21 9" xfId="2195" xr:uid="{00000000-0005-0000-0000-000081120000}"/>
    <cellStyle name="Celda de comprobación 22" xfId="2196" xr:uid="{00000000-0005-0000-0000-000082120000}"/>
    <cellStyle name="Celda de comprobación 22 10" xfId="2197" xr:uid="{00000000-0005-0000-0000-000083120000}"/>
    <cellStyle name="Celda de comprobación 22 11" xfId="2198" xr:uid="{00000000-0005-0000-0000-000084120000}"/>
    <cellStyle name="Celda de comprobación 22 12" xfId="2199" xr:uid="{00000000-0005-0000-0000-000085120000}"/>
    <cellStyle name="Celda de comprobación 22 13" xfId="2200" xr:uid="{00000000-0005-0000-0000-000086120000}"/>
    <cellStyle name="Celda de comprobación 22 14" xfId="2201" xr:uid="{00000000-0005-0000-0000-000087120000}"/>
    <cellStyle name="Celda de comprobación 22 15" xfId="2202" xr:uid="{00000000-0005-0000-0000-000088120000}"/>
    <cellStyle name="Celda de comprobación 22 16" xfId="2203" xr:uid="{00000000-0005-0000-0000-000089120000}"/>
    <cellStyle name="Celda de comprobación 22 2" xfId="2204" xr:uid="{00000000-0005-0000-0000-00008A120000}"/>
    <cellStyle name="Celda de comprobación 22 3" xfId="2205" xr:uid="{00000000-0005-0000-0000-00008B120000}"/>
    <cellStyle name="Celda de comprobación 22 4" xfId="2206" xr:uid="{00000000-0005-0000-0000-00008C120000}"/>
    <cellStyle name="Celda de comprobación 22 5" xfId="2207" xr:uid="{00000000-0005-0000-0000-00008D120000}"/>
    <cellStyle name="Celda de comprobación 22 6" xfId="2208" xr:uid="{00000000-0005-0000-0000-00008E120000}"/>
    <cellStyle name="Celda de comprobación 22 7" xfId="2209" xr:uid="{00000000-0005-0000-0000-00008F120000}"/>
    <cellStyle name="Celda de comprobación 22 8" xfId="2210" xr:uid="{00000000-0005-0000-0000-000090120000}"/>
    <cellStyle name="Celda de comprobación 22 9" xfId="2211" xr:uid="{00000000-0005-0000-0000-000091120000}"/>
    <cellStyle name="Celda de comprobación 23" xfId="2212" xr:uid="{00000000-0005-0000-0000-000092120000}"/>
    <cellStyle name="Celda de comprobación 23 10" xfId="2213" xr:uid="{00000000-0005-0000-0000-000093120000}"/>
    <cellStyle name="Celda de comprobación 23 11" xfId="2214" xr:uid="{00000000-0005-0000-0000-000094120000}"/>
    <cellStyle name="Celda de comprobación 23 12" xfId="2215" xr:uid="{00000000-0005-0000-0000-000095120000}"/>
    <cellStyle name="Celda de comprobación 23 13" xfId="2216" xr:uid="{00000000-0005-0000-0000-000096120000}"/>
    <cellStyle name="Celda de comprobación 23 14" xfId="2217" xr:uid="{00000000-0005-0000-0000-000097120000}"/>
    <cellStyle name="Celda de comprobación 23 15" xfId="2218" xr:uid="{00000000-0005-0000-0000-000098120000}"/>
    <cellStyle name="Celda de comprobación 23 16" xfId="2219" xr:uid="{00000000-0005-0000-0000-000099120000}"/>
    <cellStyle name="Celda de comprobación 23 2" xfId="2220" xr:uid="{00000000-0005-0000-0000-00009A120000}"/>
    <cellStyle name="Celda de comprobación 23 3" xfId="2221" xr:uid="{00000000-0005-0000-0000-00009B120000}"/>
    <cellStyle name="Celda de comprobación 23 4" xfId="2222" xr:uid="{00000000-0005-0000-0000-00009C120000}"/>
    <cellStyle name="Celda de comprobación 23 5" xfId="2223" xr:uid="{00000000-0005-0000-0000-00009D120000}"/>
    <cellStyle name="Celda de comprobación 23 6" xfId="2224" xr:uid="{00000000-0005-0000-0000-00009E120000}"/>
    <cellStyle name="Celda de comprobación 23 7" xfId="2225" xr:uid="{00000000-0005-0000-0000-00009F120000}"/>
    <cellStyle name="Celda de comprobación 23 8" xfId="2226" xr:uid="{00000000-0005-0000-0000-0000A0120000}"/>
    <cellStyle name="Celda de comprobación 23 9" xfId="2227" xr:uid="{00000000-0005-0000-0000-0000A1120000}"/>
    <cellStyle name="Celda de comprobación 24" xfId="2228" xr:uid="{00000000-0005-0000-0000-0000A2120000}"/>
    <cellStyle name="Celda de comprobación 24 2" xfId="2229" xr:uid="{00000000-0005-0000-0000-0000A3120000}"/>
    <cellStyle name="Celda de comprobación 24 3" xfId="2230" xr:uid="{00000000-0005-0000-0000-0000A4120000}"/>
    <cellStyle name="Celda de comprobación 24 4" xfId="2231" xr:uid="{00000000-0005-0000-0000-0000A5120000}"/>
    <cellStyle name="Celda de comprobación 25" xfId="2232" xr:uid="{00000000-0005-0000-0000-0000A6120000}"/>
    <cellStyle name="Celda de comprobación 25 2" xfId="2233" xr:uid="{00000000-0005-0000-0000-0000A7120000}"/>
    <cellStyle name="Celda de comprobación 25 3" xfId="2234" xr:uid="{00000000-0005-0000-0000-0000A8120000}"/>
    <cellStyle name="Celda de comprobación 25 4" xfId="2235" xr:uid="{00000000-0005-0000-0000-0000A9120000}"/>
    <cellStyle name="Celda de comprobación 26" xfId="2236" xr:uid="{00000000-0005-0000-0000-0000AA120000}"/>
    <cellStyle name="Celda de comprobación 26 2" xfId="2237" xr:uid="{00000000-0005-0000-0000-0000AB120000}"/>
    <cellStyle name="Celda de comprobación 26 3" xfId="2238" xr:uid="{00000000-0005-0000-0000-0000AC120000}"/>
    <cellStyle name="Celda de comprobación 26 4" xfId="2239" xr:uid="{00000000-0005-0000-0000-0000AD120000}"/>
    <cellStyle name="Celda de comprobación 27" xfId="2240" xr:uid="{00000000-0005-0000-0000-0000AE120000}"/>
    <cellStyle name="Celda de comprobación 27 2" xfId="2241" xr:uid="{00000000-0005-0000-0000-0000AF120000}"/>
    <cellStyle name="Celda de comprobación 27 3" xfId="2242" xr:uid="{00000000-0005-0000-0000-0000B0120000}"/>
    <cellStyle name="Celda de comprobación 27 4" xfId="2243" xr:uid="{00000000-0005-0000-0000-0000B1120000}"/>
    <cellStyle name="Celda de comprobación 28" xfId="2244" xr:uid="{00000000-0005-0000-0000-0000B2120000}"/>
    <cellStyle name="Celda de comprobación 28 2" xfId="2245" xr:uid="{00000000-0005-0000-0000-0000B3120000}"/>
    <cellStyle name="Celda de comprobación 28 3" xfId="2246" xr:uid="{00000000-0005-0000-0000-0000B4120000}"/>
    <cellStyle name="Celda de comprobación 28 4" xfId="2247" xr:uid="{00000000-0005-0000-0000-0000B5120000}"/>
    <cellStyle name="Celda de comprobación 29" xfId="2248" xr:uid="{00000000-0005-0000-0000-0000B6120000}"/>
    <cellStyle name="Celda de comprobación 29 2" xfId="2249" xr:uid="{00000000-0005-0000-0000-0000B7120000}"/>
    <cellStyle name="Celda de comprobación 29 3" xfId="2250" xr:uid="{00000000-0005-0000-0000-0000B8120000}"/>
    <cellStyle name="Celda de comprobación 29 4" xfId="2251" xr:uid="{00000000-0005-0000-0000-0000B9120000}"/>
    <cellStyle name="Celda de comprobación 3" xfId="2252" xr:uid="{00000000-0005-0000-0000-0000BA120000}"/>
    <cellStyle name="Celda de comprobación 3 10" xfId="2253" xr:uid="{00000000-0005-0000-0000-0000BB120000}"/>
    <cellStyle name="Celda de comprobación 3 10 2" xfId="2254" xr:uid="{00000000-0005-0000-0000-0000BC120000}"/>
    <cellStyle name="Celda de comprobación 3 10 3" xfId="2255" xr:uid="{00000000-0005-0000-0000-0000BD120000}"/>
    <cellStyle name="Celda de comprobación 3 10 4" xfId="2256" xr:uid="{00000000-0005-0000-0000-0000BE120000}"/>
    <cellStyle name="Celda de comprobación 3 11" xfId="2257" xr:uid="{00000000-0005-0000-0000-0000BF120000}"/>
    <cellStyle name="Celda de comprobación 3 11 2" xfId="2258" xr:uid="{00000000-0005-0000-0000-0000C0120000}"/>
    <cellStyle name="Celda de comprobación 3 11 3" xfId="2259" xr:uid="{00000000-0005-0000-0000-0000C1120000}"/>
    <cellStyle name="Celda de comprobación 3 11 4" xfId="2260" xr:uid="{00000000-0005-0000-0000-0000C2120000}"/>
    <cellStyle name="Celda de comprobación 3 12" xfId="2261" xr:uid="{00000000-0005-0000-0000-0000C3120000}"/>
    <cellStyle name="Celda de comprobación 3 12 2" xfId="2262" xr:uid="{00000000-0005-0000-0000-0000C4120000}"/>
    <cellStyle name="Celda de comprobación 3 12 3" xfId="2263" xr:uid="{00000000-0005-0000-0000-0000C5120000}"/>
    <cellStyle name="Celda de comprobación 3 12 4" xfId="2264" xr:uid="{00000000-0005-0000-0000-0000C6120000}"/>
    <cellStyle name="Celda de comprobación 3 13" xfId="2265" xr:uid="{00000000-0005-0000-0000-0000C7120000}"/>
    <cellStyle name="Celda de comprobación 3 13 2" xfId="2266" xr:uid="{00000000-0005-0000-0000-0000C8120000}"/>
    <cellStyle name="Celda de comprobación 3 13 3" xfId="2267" xr:uid="{00000000-0005-0000-0000-0000C9120000}"/>
    <cellStyle name="Celda de comprobación 3 13 4" xfId="2268" xr:uid="{00000000-0005-0000-0000-0000CA120000}"/>
    <cellStyle name="Celda de comprobación 3 14" xfId="2269" xr:uid="{00000000-0005-0000-0000-0000CB120000}"/>
    <cellStyle name="Celda de comprobación 3 14 2" xfId="2270" xr:uid="{00000000-0005-0000-0000-0000CC120000}"/>
    <cellStyle name="Celda de comprobación 3 14 3" xfId="2271" xr:uid="{00000000-0005-0000-0000-0000CD120000}"/>
    <cellStyle name="Celda de comprobación 3 14 4" xfId="2272" xr:uid="{00000000-0005-0000-0000-0000CE120000}"/>
    <cellStyle name="Celda de comprobación 3 15" xfId="2273" xr:uid="{00000000-0005-0000-0000-0000CF120000}"/>
    <cellStyle name="Celda de comprobación 3 15 2" xfId="2274" xr:uid="{00000000-0005-0000-0000-0000D0120000}"/>
    <cellStyle name="Celda de comprobación 3 15 3" xfId="2275" xr:uid="{00000000-0005-0000-0000-0000D1120000}"/>
    <cellStyle name="Celda de comprobación 3 15 4" xfId="2276" xr:uid="{00000000-0005-0000-0000-0000D2120000}"/>
    <cellStyle name="Celda de comprobación 3 16" xfId="2277" xr:uid="{00000000-0005-0000-0000-0000D3120000}"/>
    <cellStyle name="Celda de comprobación 3 16 2" xfId="2278" xr:uid="{00000000-0005-0000-0000-0000D4120000}"/>
    <cellStyle name="Celda de comprobación 3 16 3" xfId="2279" xr:uid="{00000000-0005-0000-0000-0000D5120000}"/>
    <cellStyle name="Celda de comprobación 3 16 4" xfId="2280" xr:uid="{00000000-0005-0000-0000-0000D6120000}"/>
    <cellStyle name="Celda de comprobación 3 17" xfId="2281" xr:uid="{00000000-0005-0000-0000-0000D7120000}"/>
    <cellStyle name="Celda de comprobación 3 17 2" xfId="2282" xr:uid="{00000000-0005-0000-0000-0000D8120000}"/>
    <cellStyle name="Celda de comprobación 3 17 3" xfId="2283" xr:uid="{00000000-0005-0000-0000-0000D9120000}"/>
    <cellStyle name="Celda de comprobación 3 17 4" xfId="2284" xr:uid="{00000000-0005-0000-0000-0000DA120000}"/>
    <cellStyle name="Celda de comprobación 3 18" xfId="2285" xr:uid="{00000000-0005-0000-0000-0000DB120000}"/>
    <cellStyle name="Celda de comprobación 3 18 2" xfId="2286" xr:uid="{00000000-0005-0000-0000-0000DC120000}"/>
    <cellStyle name="Celda de comprobación 3 18 3" xfId="2287" xr:uid="{00000000-0005-0000-0000-0000DD120000}"/>
    <cellStyle name="Celda de comprobación 3 18 4" xfId="2288" xr:uid="{00000000-0005-0000-0000-0000DE120000}"/>
    <cellStyle name="Celda de comprobación 3 19" xfId="2289" xr:uid="{00000000-0005-0000-0000-0000DF120000}"/>
    <cellStyle name="Celda de comprobación 3 19 2" xfId="2290" xr:uid="{00000000-0005-0000-0000-0000E0120000}"/>
    <cellStyle name="Celda de comprobación 3 19 3" xfId="2291" xr:uid="{00000000-0005-0000-0000-0000E1120000}"/>
    <cellStyle name="Celda de comprobación 3 19 4" xfId="2292" xr:uid="{00000000-0005-0000-0000-0000E2120000}"/>
    <cellStyle name="Celda de comprobación 3 2" xfId="2293" xr:uid="{00000000-0005-0000-0000-0000E3120000}"/>
    <cellStyle name="Celda de comprobación 3 2 2" xfId="2294" xr:uid="{00000000-0005-0000-0000-0000E4120000}"/>
    <cellStyle name="Celda de comprobación 3 2 3" xfId="2295" xr:uid="{00000000-0005-0000-0000-0000E5120000}"/>
    <cellStyle name="Celda de comprobación 3 2 4" xfId="2296" xr:uid="{00000000-0005-0000-0000-0000E6120000}"/>
    <cellStyle name="Celda de comprobación 3 2 5" xfId="12891" xr:uid="{00000000-0005-0000-0000-0000E7120000}"/>
    <cellStyle name="Celda de comprobación 3 20" xfId="2297" xr:uid="{00000000-0005-0000-0000-0000E8120000}"/>
    <cellStyle name="Celda de comprobación 3 20 2" xfId="2298" xr:uid="{00000000-0005-0000-0000-0000E9120000}"/>
    <cellStyle name="Celda de comprobación 3 20 3" xfId="2299" xr:uid="{00000000-0005-0000-0000-0000EA120000}"/>
    <cellStyle name="Celda de comprobación 3 20 4" xfId="2300" xr:uid="{00000000-0005-0000-0000-0000EB120000}"/>
    <cellStyle name="Celda de comprobación 3 21" xfId="2301" xr:uid="{00000000-0005-0000-0000-0000EC120000}"/>
    <cellStyle name="Celda de comprobación 3 21 2" xfId="2302" xr:uid="{00000000-0005-0000-0000-0000ED120000}"/>
    <cellStyle name="Celda de comprobación 3 21 3" xfId="2303" xr:uid="{00000000-0005-0000-0000-0000EE120000}"/>
    <cellStyle name="Celda de comprobación 3 21 4" xfId="2304" xr:uid="{00000000-0005-0000-0000-0000EF120000}"/>
    <cellStyle name="Celda de comprobación 3 22" xfId="2305" xr:uid="{00000000-0005-0000-0000-0000F0120000}"/>
    <cellStyle name="Celda de comprobación 3 22 2" xfId="2306" xr:uid="{00000000-0005-0000-0000-0000F1120000}"/>
    <cellStyle name="Celda de comprobación 3 22 3" xfId="2307" xr:uid="{00000000-0005-0000-0000-0000F2120000}"/>
    <cellStyle name="Celda de comprobación 3 22 4" xfId="2308" xr:uid="{00000000-0005-0000-0000-0000F3120000}"/>
    <cellStyle name="Celda de comprobación 3 23" xfId="2309" xr:uid="{00000000-0005-0000-0000-0000F4120000}"/>
    <cellStyle name="Celda de comprobación 3 23 2" xfId="2310" xr:uid="{00000000-0005-0000-0000-0000F5120000}"/>
    <cellStyle name="Celda de comprobación 3 23 3" xfId="2311" xr:uid="{00000000-0005-0000-0000-0000F6120000}"/>
    <cellStyle name="Celda de comprobación 3 23 4" xfId="2312" xr:uid="{00000000-0005-0000-0000-0000F7120000}"/>
    <cellStyle name="Celda de comprobación 3 24" xfId="2313" xr:uid="{00000000-0005-0000-0000-0000F8120000}"/>
    <cellStyle name="Celda de comprobación 3 24 2" xfId="2314" xr:uid="{00000000-0005-0000-0000-0000F9120000}"/>
    <cellStyle name="Celda de comprobación 3 24 3" xfId="2315" xr:uid="{00000000-0005-0000-0000-0000FA120000}"/>
    <cellStyle name="Celda de comprobación 3 24 4" xfId="2316" xr:uid="{00000000-0005-0000-0000-0000FB120000}"/>
    <cellStyle name="Celda de comprobación 3 25" xfId="2317" xr:uid="{00000000-0005-0000-0000-0000FC120000}"/>
    <cellStyle name="Celda de comprobación 3 25 2" xfId="2318" xr:uid="{00000000-0005-0000-0000-0000FD120000}"/>
    <cellStyle name="Celda de comprobación 3 25 3" xfId="2319" xr:uid="{00000000-0005-0000-0000-0000FE120000}"/>
    <cellStyle name="Celda de comprobación 3 25 4" xfId="2320" xr:uid="{00000000-0005-0000-0000-0000FF120000}"/>
    <cellStyle name="Celda de comprobación 3 26" xfId="2321" xr:uid="{00000000-0005-0000-0000-000000130000}"/>
    <cellStyle name="Celda de comprobación 3 26 2" xfId="2322" xr:uid="{00000000-0005-0000-0000-000001130000}"/>
    <cellStyle name="Celda de comprobación 3 26 3" xfId="2323" xr:uid="{00000000-0005-0000-0000-000002130000}"/>
    <cellStyle name="Celda de comprobación 3 26 4" xfId="2324" xr:uid="{00000000-0005-0000-0000-000003130000}"/>
    <cellStyle name="Celda de comprobación 3 27" xfId="2325" xr:uid="{00000000-0005-0000-0000-000004130000}"/>
    <cellStyle name="Celda de comprobación 3 27 2" xfId="2326" xr:uid="{00000000-0005-0000-0000-000005130000}"/>
    <cellStyle name="Celda de comprobación 3 27 3" xfId="2327" xr:uid="{00000000-0005-0000-0000-000006130000}"/>
    <cellStyle name="Celda de comprobación 3 27 4" xfId="2328" xr:uid="{00000000-0005-0000-0000-000007130000}"/>
    <cellStyle name="Celda de comprobación 3 28" xfId="2329" xr:uid="{00000000-0005-0000-0000-000008130000}"/>
    <cellStyle name="Celda de comprobación 3 28 2" xfId="2330" xr:uid="{00000000-0005-0000-0000-000009130000}"/>
    <cellStyle name="Celda de comprobación 3 28 3" xfId="2331" xr:uid="{00000000-0005-0000-0000-00000A130000}"/>
    <cellStyle name="Celda de comprobación 3 28 4" xfId="2332" xr:uid="{00000000-0005-0000-0000-00000B130000}"/>
    <cellStyle name="Celda de comprobación 3 29" xfId="2333" xr:uid="{00000000-0005-0000-0000-00000C130000}"/>
    <cellStyle name="Celda de comprobación 3 29 2" xfId="2334" xr:uid="{00000000-0005-0000-0000-00000D130000}"/>
    <cellStyle name="Celda de comprobación 3 29 3" xfId="2335" xr:uid="{00000000-0005-0000-0000-00000E130000}"/>
    <cellStyle name="Celda de comprobación 3 29 4" xfId="2336" xr:uid="{00000000-0005-0000-0000-00000F130000}"/>
    <cellStyle name="Celda de comprobación 3 3" xfId="2337" xr:uid="{00000000-0005-0000-0000-000010130000}"/>
    <cellStyle name="Celda de comprobación 3 3 2" xfId="2338" xr:uid="{00000000-0005-0000-0000-000011130000}"/>
    <cellStyle name="Celda de comprobación 3 3 3" xfId="2339" xr:uid="{00000000-0005-0000-0000-000012130000}"/>
    <cellStyle name="Celda de comprobación 3 3 4" xfId="2340" xr:uid="{00000000-0005-0000-0000-000013130000}"/>
    <cellStyle name="Celda de comprobación 3 30" xfId="2341" xr:uid="{00000000-0005-0000-0000-000014130000}"/>
    <cellStyle name="Celda de comprobación 3 30 2" xfId="2342" xr:uid="{00000000-0005-0000-0000-000015130000}"/>
    <cellStyle name="Celda de comprobación 3 30 3" xfId="2343" xr:uid="{00000000-0005-0000-0000-000016130000}"/>
    <cellStyle name="Celda de comprobación 3 30 4" xfId="2344" xr:uid="{00000000-0005-0000-0000-000017130000}"/>
    <cellStyle name="Celda de comprobación 3 31" xfId="2345" xr:uid="{00000000-0005-0000-0000-000018130000}"/>
    <cellStyle name="Celda de comprobación 3 31 2" xfId="2346" xr:uid="{00000000-0005-0000-0000-000019130000}"/>
    <cellStyle name="Celda de comprobación 3 31 3" xfId="2347" xr:uid="{00000000-0005-0000-0000-00001A130000}"/>
    <cellStyle name="Celda de comprobación 3 31 4" xfId="2348" xr:uid="{00000000-0005-0000-0000-00001B130000}"/>
    <cellStyle name="Celda de comprobación 3 32" xfId="2349" xr:uid="{00000000-0005-0000-0000-00001C130000}"/>
    <cellStyle name="Celda de comprobación 3 32 2" xfId="2350" xr:uid="{00000000-0005-0000-0000-00001D130000}"/>
    <cellStyle name="Celda de comprobación 3 32 3" xfId="2351" xr:uid="{00000000-0005-0000-0000-00001E130000}"/>
    <cellStyle name="Celda de comprobación 3 32 4" xfId="2352" xr:uid="{00000000-0005-0000-0000-00001F130000}"/>
    <cellStyle name="Celda de comprobación 3 33" xfId="2353" xr:uid="{00000000-0005-0000-0000-000020130000}"/>
    <cellStyle name="Celda de comprobación 3 33 2" xfId="2354" xr:uid="{00000000-0005-0000-0000-000021130000}"/>
    <cellStyle name="Celda de comprobación 3 33 3" xfId="2355" xr:uid="{00000000-0005-0000-0000-000022130000}"/>
    <cellStyle name="Celda de comprobación 3 33 4" xfId="2356" xr:uid="{00000000-0005-0000-0000-000023130000}"/>
    <cellStyle name="Celda de comprobación 3 34" xfId="2357" xr:uid="{00000000-0005-0000-0000-000024130000}"/>
    <cellStyle name="Celda de comprobación 3 34 2" xfId="2358" xr:uid="{00000000-0005-0000-0000-000025130000}"/>
    <cellStyle name="Celda de comprobación 3 34 3" xfId="2359" xr:uid="{00000000-0005-0000-0000-000026130000}"/>
    <cellStyle name="Celda de comprobación 3 34 4" xfId="2360" xr:uid="{00000000-0005-0000-0000-000027130000}"/>
    <cellStyle name="Celda de comprobación 3 35" xfId="2361" xr:uid="{00000000-0005-0000-0000-000028130000}"/>
    <cellStyle name="Celda de comprobación 3 35 2" xfId="2362" xr:uid="{00000000-0005-0000-0000-000029130000}"/>
    <cellStyle name="Celda de comprobación 3 35 3" xfId="2363" xr:uid="{00000000-0005-0000-0000-00002A130000}"/>
    <cellStyle name="Celda de comprobación 3 35 4" xfId="2364" xr:uid="{00000000-0005-0000-0000-00002B130000}"/>
    <cellStyle name="Celda de comprobación 3 36" xfId="2365" xr:uid="{00000000-0005-0000-0000-00002C130000}"/>
    <cellStyle name="Celda de comprobación 3 36 2" xfId="2366" xr:uid="{00000000-0005-0000-0000-00002D130000}"/>
    <cellStyle name="Celda de comprobación 3 36 3" xfId="2367" xr:uid="{00000000-0005-0000-0000-00002E130000}"/>
    <cellStyle name="Celda de comprobación 3 36 4" xfId="2368" xr:uid="{00000000-0005-0000-0000-00002F130000}"/>
    <cellStyle name="Celda de comprobación 3 37" xfId="2369" xr:uid="{00000000-0005-0000-0000-000030130000}"/>
    <cellStyle name="Celda de comprobación 3 38" xfId="2370" xr:uid="{00000000-0005-0000-0000-000031130000}"/>
    <cellStyle name="Celda de comprobación 3 39" xfId="2371" xr:uid="{00000000-0005-0000-0000-000032130000}"/>
    <cellStyle name="Celda de comprobación 3 4" xfId="2372" xr:uid="{00000000-0005-0000-0000-000033130000}"/>
    <cellStyle name="Celda de comprobación 3 4 2" xfId="2373" xr:uid="{00000000-0005-0000-0000-000034130000}"/>
    <cellStyle name="Celda de comprobación 3 4 3" xfId="2374" xr:uid="{00000000-0005-0000-0000-000035130000}"/>
    <cellStyle name="Celda de comprobación 3 4 4" xfId="2375" xr:uid="{00000000-0005-0000-0000-000036130000}"/>
    <cellStyle name="Celda de comprobación 3 40" xfId="2376" xr:uid="{00000000-0005-0000-0000-000037130000}"/>
    <cellStyle name="Celda de comprobación 3 41" xfId="2377" xr:uid="{00000000-0005-0000-0000-000038130000}"/>
    <cellStyle name="Celda de comprobación 3 42" xfId="2378" xr:uid="{00000000-0005-0000-0000-000039130000}"/>
    <cellStyle name="Celda de comprobación 3 43" xfId="2379" xr:uid="{00000000-0005-0000-0000-00003A130000}"/>
    <cellStyle name="Celda de comprobación 3 44" xfId="2380" xr:uid="{00000000-0005-0000-0000-00003B130000}"/>
    <cellStyle name="Celda de comprobación 3 45" xfId="2381" xr:uid="{00000000-0005-0000-0000-00003C130000}"/>
    <cellStyle name="Celda de comprobación 3 46" xfId="2382" xr:uid="{00000000-0005-0000-0000-00003D130000}"/>
    <cellStyle name="Celda de comprobación 3 47" xfId="2383" xr:uid="{00000000-0005-0000-0000-00003E130000}"/>
    <cellStyle name="Celda de comprobación 3 48" xfId="2384" xr:uid="{00000000-0005-0000-0000-00003F130000}"/>
    <cellStyle name="Celda de comprobación 3 49" xfId="2385" xr:uid="{00000000-0005-0000-0000-000040130000}"/>
    <cellStyle name="Celda de comprobación 3 5" xfId="2386" xr:uid="{00000000-0005-0000-0000-000041130000}"/>
    <cellStyle name="Celda de comprobación 3 5 2" xfId="2387" xr:uid="{00000000-0005-0000-0000-000042130000}"/>
    <cellStyle name="Celda de comprobación 3 5 3" xfId="2388" xr:uid="{00000000-0005-0000-0000-000043130000}"/>
    <cellStyle name="Celda de comprobación 3 5 4" xfId="2389" xr:uid="{00000000-0005-0000-0000-000044130000}"/>
    <cellStyle name="Celda de comprobación 3 50" xfId="2390" xr:uid="{00000000-0005-0000-0000-000045130000}"/>
    <cellStyle name="Celda de comprobación 3 51" xfId="2391" xr:uid="{00000000-0005-0000-0000-000046130000}"/>
    <cellStyle name="Celda de comprobación 3 52" xfId="12892" xr:uid="{00000000-0005-0000-0000-000047130000}"/>
    <cellStyle name="Celda de comprobación 3 6" xfId="2392" xr:uid="{00000000-0005-0000-0000-000048130000}"/>
    <cellStyle name="Celda de comprobación 3 6 2" xfId="2393" xr:uid="{00000000-0005-0000-0000-000049130000}"/>
    <cellStyle name="Celda de comprobación 3 6 3" xfId="2394" xr:uid="{00000000-0005-0000-0000-00004A130000}"/>
    <cellStyle name="Celda de comprobación 3 6 4" xfId="2395" xr:uid="{00000000-0005-0000-0000-00004B130000}"/>
    <cellStyle name="Celda de comprobación 3 7" xfId="2396" xr:uid="{00000000-0005-0000-0000-00004C130000}"/>
    <cellStyle name="Celda de comprobación 3 7 2" xfId="2397" xr:uid="{00000000-0005-0000-0000-00004D130000}"/>
    <cellStyle name="Celda de comprobación 3 7 3" xfId="2398" xr:uid="{00000000-0005-0000-0000-00004E130000}"/>
    <cellStyle name="Celda de comprobación 3 7 4" xfId="2399" xr:uid="{00000000-0005-0000-0000-00004F130000}"/>
    <cellStyle name="Celda de comprobación 3 8" xfId="2400" xr:uid="{00000000-0005-0000-0000-000050130000}"/>
    <cellStyle name="Celda de comprobación 3 8 2" xfId="2401" xr:uid="{00000000-0005-0000-0000-000051130000}"/>
    <cellStyle name="Celda de comprobación 3 8 3" xfId="2402" xr:uid="{00000000-0005-0000-0000-000052130000}"/>
    <cellStyle name="Celda de comprobación 3 8 4" xfId="2403" xr:uid="{00000000-0005-0000-0000-000053130000}"/>
    <cellStyle name="Celda de comprobación 3 9" xfId="2404" xr:uid="{00000000-0005-0000-0000-000054130000}"/>
    <cellStyle name="Celda de comprobación 3 9 2" xfId="2405" xr:uid="{00000000-0005-0000-0000-000055130000}"/>
    <cellStyle name="Celda de comprobación 3 9 3" xfId="2406" xr:uid="{00000000-0005-0000-0000-000056130000}"/>
    <cellStyle name="Celda de comprobación 3 9 4" xfId="2407" xr:uid="{00000000-0005-0000-0000-000057130000}"/>
    <cellStyle name="Celda de comprobación 30" xfId="2408" xr:uid="{00000000-0005-0000-0000-000058130000}"/>
    <cellStyle name="Celda de comprobación 30 2" xfId="2409" xr:uid="{00000000-0005-0000-0000-000059130000}"/>
    <cellStyle name="Celda de comprobación 30 3" xfId="2410" xr:uid="{00000000-0005-0000-0000-00005A130000}"/>
    <cellStyle name="Celda de comprobación 30 4" xfId="2411" xr:uid="{00000000-0005-0000-0000-00005B130000}"/>
    <cellStyle name="Celda de comprobación 31" xfId="2412" xr:uid="{00000000-0005-0000-0000-00005C130000}"/>
    <cellStyle name="Celda de comprobación 31 2" xfId="2413" xr:uid="{00000000-0005-0000-0000-00005D130000}"/>
    <cellStyle name="Celda de comprobación 31 3" xfId="2414" xr:uid="{00000000-0005-0000-0000-00005E130000}"/>
    <cellStyle name="Celda de comprobación 31 4" xfId="2415" xr:uid="{00000000-0005-0000-0000-00005F130000}"/>
    <cellStyle name="Celda de comprobación 32" xfId="2416" xr:uid="{00000000-0005-0000-0000-000060130000}"/>
    <cellStyle name="Celda de comprobación 32 2" xfId="2417" xr:uid="{00000000-0005-0000-0000-000061130000}"/>
    <cellStyle name="Celda de comprobación 32 3" xfId="2418" xr:uid="{00000000-0005-0000-0000-000062130000}"/>
    <cellStyle name="Celda de comprobación 32 4" xfId="2419" xr:uid="{00000000-0005-0000-0000-000063130000}"/>
    <cellStyle name="Celda de comprobación 33" xfId="2420" xr:uid="{00000000-0005-0000-0000-000064130000}"/>
    <cellStyle name="Celda de comprobación 33 2" xfId="2421" xr:uid="{00000000-0005-0000-0000-000065130000}"/>
    <cellStyle name="Celda de comprobación 33 3" xfId="2422" xr:uid="{00000000-0005-0000-0000-000066130000}"/>
    <cellStyle name="Celda de comprobación 33 4" xfId="2423" xr:uid="{00000000-0005-0000-0000-000067130000}"/>
    <cellStyle name="Celda de comprobación 34" xfId="2424" xr:uid="{00000000-0005-0000-0000-000068130000}"/>
    <cellStyle name="Celda de comprobación 34 2" xfId="2425" xr:uid="{00000000-0005-0000-0000-000069130000}"/>
    <cellStyle name="Celda de comprobación 34 3" xfId="2426" xr:uid="{00000000-0005-0000-0000-00006A130000}"/>
    <cellStyle name="Celda de comprobación 34 4" xfId="2427" xr:uid="{00000000-0005-0000-0000-00006B130000}"/>
    <cellStyle name="Celda de comprobación 35" xfId="2428" xr:uid="{00000000-0005-0000-0000-00006C130000}"/>
    <cellStyle name="Celda de comprobación 35 2" xfId="2429" xr:uid="{00000000-0005-0000-0000-00006D130000}"/>
    <cellStyle name="Celda de comprobación 35 3" xfId="2430" xr:uid="{00000000-0005-0000-0000-00006E130000}"/>
    <cellStyle name="Celda de comprobación 35 4" xfId="2431" xr:uid="{00000000-0005-0000-0000-00006F130000}"/>
    <cellStyle name="Celda de comprobación 36" xfId="2432" xr:uid="{00000000-0005-0000-0000-000070130000}"/>
    <cellStyle name="Celda de comprobación 36 2" xfId="2433" xr:uid="{00000000-0005-0000-0000-000071130000}"/>
    <cellStyle name="Celda de comprobación 36 3" xfId="2434" xr:uid="{00000000-0005-0000-0000-000072130000}"/>
    <cellStyle name="Celda de comprobación 36 4" xfId="2435" xr:uid="{00000000-0005-0000-0000-000073130000}"/>
    <cellStyle name="Celda de comprobación 37" xfId="2436" xr:uid="{00000000-0005-0000-0000-000074130000}"/>
    <cellStyle name="Celda de comprobación 37 2" xfId="2437" xr:uid="{00000000-0005-0000-0000-000075130000}"/>
    <cellStyle name="Celda de comprobación 37 3" xfId="2438" xr:uid="{00000000-0005-0000-0000-000076130000}"/>
    <cellStyle name="Celda de comprobación 37 4" xfId="2439" xr:uid="{00000000-0005-0000-0000-000077130000}"/>
    <cellStyle name="Celda de comprobación 38" xfId="2440" xr:uid="{00000000-0005-0000-0000-000078130000}"/>
    <cellStyle name="Celda de comprobación 38 2" xfId="2441" xr:uid="{00000000-0005-0000-0000-000079130000}"/>
    <cellStyle name="Celda de comprobación 38 3" xfId="2442" xr:uid="{00000000-0005-0000-0000-00007A130000}"/>
    <cellStyle name="Celda de comprobación 38 4" xfId="2443" xr:uid="{00000000-0005-0000-0000-00007B130000}"/>
    <cellStyle name="Celda de comprobación 39" xfId="2444" xr:uid="{00000000-0005-0000-0000-00007C130000}"/>
    <cellStyle name="Celda de comprobación 39 2" xfId="2445" xr:uid="{00000000-0005-0000-0000-00007D130000}"/>
    <cellStyle name="Celda de comprobación 39 3" xfId="2446" xr:uid="{00000000-0005-0000-0000-00007E130000}"/>
    <cellStyle name="Celda de comprobación 39 4" xfId="2447" xr:uid="{00000000-0005-0000-0000-00007F130000}"/>
    <cellStyle name="Celda de comprobación 4" xfId="2448" xr:uid="{00000000-0005-0000-0000-000080130000}"/>
    <cellStyle name="Celda de comprobación 4 10" xfId="2449" xr:uid="{00000000-0005-0000-0000-000081130000}"/>
    <cellStyle name="Celda de comprobación 4 10 2" xfId="2450" xr:uid="{00000000-0005-0000-0000-000082130000}"/>
    <cellStyle name="Celda de comprobación 4 10 3" xfId="2451" xr:uid="{00000000-0005-0000-0000-000083130000}"/>
    <cellStyle name="Celda de comprobación 4 10 4" xfId="2452" xr:uid="{00000000-0005-0000-0000-000084130000}"/>
    <cellStyle name="Celda de comprobación 4 11" xfId="2453" xr:uid="{00000000-0005-0000-0000-000085130000}"/>
    <cellStyle name="Celda de comprobación 4 11 2" xfId="2454" xr:uid="{00000000-0005-0000-0000-000086130000}"/>
    <cellStyle name="Celda de comprobación 4 11 3" xfId="2455" xr:uid="{00000000-0005-0000-0000-000087130000}"/>
    <cellStyle name="Celda de comprobación 4 11 4" xfId="2456" xr:uid="{00000000-0005-0000-0000-000088130000}"/>
    <cellStyle name="Celda de comprobación 4 12" xfId="2457" xr:uid="{00000000-0005-0000-0000-000089130000}"/>
    <cellStyle name="Celda de comprobación 4 12 2" xfId="2458" xr:uid="{00000000-0005-0000-0000-00008A130000}"/>
    <cellStyle name="Celda de comprobación 4 12 3" xfId="2459" xr:uid="{00000000-0005-0000-0000-00008B130000}"/>
    <cellStyle name="Celda de comprobación 4 12 4" xfId="2460" xr:uid="{00000000-0005-0000-0000-00008C130000}"/>
    <cellStyle name="Celda de comprobación 4 13" xfId="2461" xr:uid="{00000000-0005-0000-0000-00008D130000}"/>
    <cellStyle name="Celda de comprobación 4 13 2" xfId="2462" xr:uid="{00000000-0005-0000-0000-00008E130000}"/>
    <cellStyle name="Celda de comprobación 4 13 3" xfId="2463" xr:uid="{00000000-0005-0000-0000-00008F130000}"/>
    <cellStyle name="Celda de comprobación 4 13 4" xfId="2464" xr:uid="{00000000-0005-0000-0000-000090130000}"/>
    <cellStyle name="Celda de comprobación 4 14" xfId="2465" xr:uid="{00000000-0005-0000-0000-000091130000}"/>
    <cellStyle name="Celda de comprobación 4 14 2" xfId="2466" xr:uid="{00000000-0005-0000-0000-000092130000}"/>
    <cellStyle name="Celda de comprobación 4 14 3" xfId="2467" xr:uid="{00000000-0005-0000-0000-000093130000}"/>
    <cellStyle name="Celda de comprobación 4 14 4" xfId="2468" xr:uid="{00000000-0005-0000-0000-000094130000}"/>
    <cellStyle name="Celda de comprobación 4 15" xfId="2469" xr:uid="{00000000-0005-0000-0000-000095130000}"/>
    <cellStyle name="Celda de comprobación 4 15 2" xfId="2470" xr:uid="{00000000-0005-0000-0000-000096130000}"/>
    <cellStyle name="Celda de comprobación 4 15 3" xfId="2471" xr:uid="{00000000-0005-0000-0000-000097130000}"/>
    <cellStyle name="Celda de comprobación 4 15 4" xfId="2472" xr:uid="{00000000-0005-0000-0000-000098130000}"/>
    <cellStyle name="Celda de comprobación 4 16" xfId="2473" xr:uid="{00000000-0005-0000-0000-000099130000}"/>
    <cellStyle name="Celda de comprobación 4 16 2" xfId="2474" xr:uid="{00000000-0005-0000-0000-00009A130000}"/>
    <cellStyle name="Celda de comprobación 4 16 3" xfId="2475" xr:uid="{00000000-0005-0000-0000-00009B130000}"/>
    <cellStyle name="Celda de comprobación 4 16 4" xfId="2476" xr:uid="{00000000-0005-0000-0000-00009C130000}"/>
    <cellStyle name="Celda de comprobación 4 17" xfId="2477" xr:uid="{00000000-0005-0000-0000-00009D130000}"/>
    <cellStyle name="Celda de comprobación 4 17 2" xfId="2478" xr:uid="{00000000-0005-0000-0000-00009E130000}"/>
    <cellStyle name="Celda de comprobación 4 17 3" xfId="2479" xr:uid="{00000000-0005-0000-0000-00009F130000}"/>
    <cellStyle name="Celda de comprobación 4 17 4" xfId="2480" xr:uid="{00000000-0005-0000-0000-0000A0130000}"/>
    <cellStyle name="Celda de comprobación 4 18" xfId="2481" xr:uid="{00000000-0005-0000-0000-0000A1130000}"/>
    <cellStyle name="Celda de comprobación 4 18 2" xfId="2482" xr:uid="{00000000-0005-0000-0000-0000A2130000}"/>
    <cellStyle name="Celda de comprobación 4 18 3" xfId="2483" xr:uid="{00000000-0005-0000-0000-0000A3130000}"/>
    <cellStyle name="Celda de comprobación 4 18 4" xfId="2484" xr:uid="{00000000-0005-0000-0000-0000A4130000}"/>
    <cellStyle name="Celda de comprobación 4 19" xfId="2485" xr:uid="{00000000-0005-0000-0000-0000A5130000}"/>
    <cellStyle name="Celda de comprobación 4 19 2" xfId="2486" xr:uid="{00000000-0005-0000-0000-0000A6130000}"/>
    <cellStyle name="Celda de comprobación 4 19 3" xfId="2487" xr:uid="{00000000-0005-0000-0000-0000A7130000}"/>
    <cellStyle name="Celda de comprobación 4 19 4" xfId="2488" xr:uid="{00000000-0005-0000-0000-0000A8130000}"/>
    <cellStyle name="Celda de comprobación 4 2" xfId="2489" xr:uid="{00000000-0005-0000-0000-0000A9130000}"/>
    <cellStyle name="Celda de comprobación 4 2 2" xfId="2490" xr:uid="{00000000-0005-0000-0000-0000AA130000}"/>
    <cellStyle name="Celda de comprobación 4 2 3" xfId="2491" xr:uid="{00000000-0005-0000-0000-0000AB130000}"/>
    <cellStyle name="Celda de comprobación 4 2 4" xfId="2492" xr:uid="{00000000-0005-0000-0000-0000AC130000}"/>
    <cellStyle name="Celda de comprobación 4 2 5" xfId="12893" xr:uid="{00000000-0005-0000-0000-0000AD130000}"/>
    <cellStyle name="Celda de comprobación 4 20" xfId="2493" xr:uid="{00000000-0005-0000-0000-0000AE130000}"/>
    <cellStyle name="Celda de comprobación 4 20 2" xfId="2494" xr:uid="{00000000-0005-0000-0000-0000AF130000}"/>
    <cellStyle name="Celda de comprobación 4 20 3" xfId="2495" xr:uid="{00000000-0005-0000-0000-0000B0130000}"/>
    <cellStyle name="Celda de comprobación 4 20 4" xfId="2496" xr:uid="{00000000-0005-0000-0000-0000B1130000}"/>
    <cellStyle name="Celda de comprobación 4 21" xfId="2497" xr:uid="{00000000-0005-0000-0000-0000B2130000}"/>
    <cellStyle name="Celda de comprobación 4 21 2" xfId="2498" xr:uid="{00000000-0005-0000-0000-0000B3130000}"/>
    <cellStyle name="Celda de comprobación 4 21 3" xfId="2499" xr:uid="{00000000-0005-0000-0000-0000B4130000}"/>
    <cellStyle name="Celda de comprobación 4 21 4" xfId="2500" xr:uid="{00000000-0005-0000-0000-0000B5130000}"/>
    <cellStyle name="Celda de comprobación 4 22" xfId="2501" xr:uid="{00000000-0005-0000-0000-0000B6130000}"/>
    <cellStyle name="Celda de comprobación 4 22 2" xfId="2502" xr:uid="{00000000-0005-0000-0000-0000B7130000}"/>
    <cellStyle name="Celda de comprobación 4 22 3" xfId="2503" xr:uid="{00000000-0005-0000-0000-0000B8130000}"/>
    <cellStyle name="Celda de comprobación 4 22 4" xfId="2504" xr:uid="{00000000-0005-0000-0000-0000B9130000}"/>
    <cellStyle name="Celda de comprobación 4 23" xfId="2505" xr:uid="{00000000-0005-0000-0000-0000BA130000}"/>
    <cellStyle name="Celda de comprobación 4 23 2" xfId="2506" xr:uid="{00000000-0005-0000-0000-0000BB130000}"/>
    <cellStyle name="Celda de comprobación 4 23 3" xfId="2507" xr:uid="{00000000-0005-0000-0000-0000BC130000}"/>
    <cellStyle name="Celda de comprobación 4 23 4" xfId="2508" xr:uid="{00000000-0005-0000-0000-0000BD130000}"/>
    <cellStyle name="Celda de comprobación 4 24" xfId="2509" xr:uid="{00000000-0005-0000-0000-0000BE130000}"/>
    <cellStyle name="Celda de comprobación 4 24 2" xfId="2510" xr:uid="{00000000-0005-0000-0000-0000BF130000}"/>
    <cellStyle name="Celda de comprobación 4 24 3" xfId="2511" xr:uid="{00000000-0005-0000-0000-0000C0130000}"/>
    <cellStyle name="Celda de comprobación 4 24 4" xfId="2512" xr:uid="{00000000-0005-0000-0000-0000C1130000}"/>
    <cellStyle name="Celda de comprobación 4 25" xfId="2513" xr:uid="{00000000-0005-0000-0000-0000C2130000}"/>
    <cellStyle name="Celda de comprobación 4 25 2" xfId="2514" xr:uid="{00000000-0005-0000-0000-0000C3130000}"/>
    <cellStyle name="Celda de comprobación 4 25 3" xfId="2515" xr:uid="{00000000-0005-0000-0000-0000C4130000}"/>
    <cellStyle name="Celda de comprobación 4 25 4" xfId="2516" xr:uid="{00000000-0005-0000-0000-0000C5130000}"/>
    <cellStyle name="Celda de comprobación 4 26" xfId="2517" xr:uid="{00000000-0005-0000-0000-0000C6130000}"/>
    <cellStyle name="Celda de comprobación 4 26 2" xfId="2518" xr:uid="{00000000-0005-0000-0000-0000C7130000}"/>
    <cellStyle name="Celda de comprobación 4 26 3" xfId="2519" xr:uid="{00000000-0005-0000-0000-0000C8130000}"/>
    <cellStyle name="Celda de comprobación 4 26 4" xfId="2520" xr:uid="{00000000-0005-0000-0000-0000C9130000}"/>
    <cellStyle name="Celda de comprobación 4 27" xfId="2521" xr:uid="{00000000-0005-0000-0000-0000CA130000}"/>
    <cellStyle name="Celda de comprobación 4 27 2" xfId="2522" xr:uid="{00000000-0005-0000-0000-0000CB130000}"/>
    <cellStyle name="Celda de comprobación 4 27 3" xfId="2523" xr:uid="{00000000-0005-0000-0000-0000CC130000}"/>
    <cellStyle name="Celda de comprobación 4 27 4" xfId="2524" xr:uid="{00000000-0005-0000-0000-0000CD130000}"/>
    <cellStyle name="Celda de comprobación 4 28" xfId="2525" xr:uid="{00000000-0005-0000-0000-0000CE130000}"/>
    <cellStyle name="Celda de comprobación 4 28 2" xfId="2526" xr:uid="{00000000-0005-0000-0000-0000CF130000}"/>
    <cellStyle name="Celda de comprobación 4 28 3" xfId="2527" xr:uid="{00000000-0005-0000-0000-0000D0130000}"/>
    <cellStyle name="Celda de comprobación 4 28 4" xfId="2528" xr:uid="{00000000-0005-0000-0000-0000D1130000}"/>
    <cellStyle name="Celda de comprobación 4 29" xfId="2529" xr:uid="{00000000-0005-0000-0000-0000D2130000}"/>
    <cellStyle name="Celda de comprobación 4 29 2" xfId="2530" xr:uid="{00000000-0005-0000-0000-0000D3130000}"/>
    <cellStyle name="Celda de comprobación 4 29 3" xfId="2531" xr:uid="{00000000-0005-0000-0000-0000D4130000}"/>
    <cellStyle name="Celda de comprobación 4 29 4" xfId="2532" xr:uid="{00000000-0005-0000-0000-0000D5130000}"/>
    <cellStyle name="Celda de comprobación 4 3" xfId="2533" xr:uid="{00000000-0005-0000-0000-0000D6130000}"/>
    <cellStyle name="Celda de comprobación 4 3 2" xfId="2534" xr:uid="{00000000-0005-0000-0000-0000D7130000}"/>
    <cellStyle name="Celda de comprobación 4 3 3" xfId="2535" xr:uid="{00000000-0005-0000-0000-0000D8130000}"/>
    <cellStyle name="Celda de comprobación 4 3 4" xfId="2536" xr:uid="{00000000-0005-0000-0000-0000D9130000}"/>
    <cellStyle name="Celda de comprobación 4 30" xfId="2537" xr:uid="{00000000-0005-0000-0000-0000DA130000}"/>
    <cellStyle name="Celda de comprobación 4 30 2" xfId="2538" xr:uid="{00000000-0005-0000-0000-0000DB130000}"/>
    <cellStyle name="Celda de comprobación 4 30 3" xfId="2539" xr:uid="{00000000-0005-0000-0000-0000DC130000}"/>
    <cellStyle name="Celda de comprobación 4 30 4" xfId="2540" xr:uid="{00000000-0005-0000-0000-0000DD130000}"/>
    <cellStyle name="Celda de comprobación 4 31" xfId="2541" xr:uid="{00000000-0005-0000-0000-0000DE130000}"/>
    <cellStyle name="Celda de comprobación 4 31 2" xfId="2542" xr:uid="{00000000-0005-0000-0000-0000DF130000}"/>
    <cellStyle name="Celda de comprobación 4 31 3" xfId="2543" xr:uid="{00000000-0005-0000-0000-0000E0130000}"/>
    <cellStyle name="Celda de comprobación 4 31 4" xfId="2544" xr:uid="{00000000-0005-0000-0000-0000E1130000}"/>
    <cellStyle name="Celda de comprobación 4 32" xfId="2545" xr:uid="{00000000-0005-0000-0000-0000E2130000}"/>
    <cellStyle name="Celda de comprobación 4 32 2" xfId="2546" xr:uid="{00000000-0005-0000-0000-0000E3130000}"/>
    <cellStyle name="Celda de comprobación 4 32 3" xfId="2547" xr:uid="{00000000-0005-0000-0000-0000E4130000}"/>
    <cellStyle name="Celda de comprobación 4 32 4" xfId="2548" xr:uid="{00000000-0005-0000-0000-0000E5130000}"/>
    <cellStyle name="Celda de comprobación 4 33" xfId="2549" xr:uid="{00000000-0005-0000-0000-0000E6130000}"/>
    <cellStyle name="Celda de comprobación 4 33 2" xfId="2550" xr:uid="{00000000-0005-0000-0000-0000E7130000}"/>
    <cellStyle name="Celda de comprobación 4 33 3" xfId="2551" xr:uid="{00000000-0005-0000-0000-0000E8130000}"/>
    <cellStyle name="Celda de comprobación 4 33 4" xfId="2552" xr:uid="{00000000-0005-0000-0000-0000E9130000}"/>
    <cellStyle name="Celda de comprobación 4 34" xfId="2553" xr:uid="{00000000-0005-0000-0000-0000EA130000}"/>
    <cellStyle name="Celda de comprobación 4 34 2" xfId="2554" xr:uid="{00000000-0005-0000-0000-0000EB130000}"/>
    <cellStyle name="Celda de comprobación 4 34 3" xfId="2555" xr:uid="{00000000-0005-0000-0000-0000EC130000}"/>
    <cellStyle name="Celda de comprobación 4 34 4" xfId="2556" xr:uid="{00000000-0005-0000-0000-0000ED130000}"/>
    <cellStyle name="Celda de comprobación 4 35" xfId="2557" xr:uid="{00000000-0005-0000-0000-0000EE130000}"/>
    <cellStyle name="Celda de comprobación 4 35 2" xfId="2558" xr:uid="{00000000-0005-0000-0000-0000EF130000}"/>
    <cellStyle name="Celda de comprobación 4 35 3" xfId="2559" xr:uid="{00000000-0005-0000-0000-0000F0130000}"/>
    <cellStyle name="Celda de comprobación 4 35 4" xfId="2560" xr:uid="{00000000-0005-0000-0000-0000F1130000}"/>
    <cellStyle name="Celda de comprobación 4 36" xfId="2561" xr:uid="{00000000-0005-0000-0000-0000F2130000}"/>
    <cellStyle name="Celda de comprobación 4 36 2" xfId="2562" xr:uid="{00000000-0005-0000-0000-0000F3130000}"/>
    <cellStyle name="Celda de comprobación 4 36 3" xfId="2563" xr:uid="{00000000-0005-0000-0000-0000F4130000}"/>
    <cellStyle name="Celda de comprobación 4 36 4" xfId="2564" xr:uid="{00000000-0005-0000-0000-0000F5130000}"/>
    <cellStyle name="Celda de comprobación 4 37" xfId="2565" xr:uid="{00000000-0005-0000-0000-0000F6130000}"/>
    <cellStyle name="Celda de comprobación 4 38" xfId="2566" xr:uid="{00000000-0005-0000-0000-0000F7130000}"/>
    <cellStyle name="Celda de comprobación 4 39" xfId="2567" xr:uid="{00000000-0005-0000-0000-0000F8130000}"/>
    <cellStyle name="Celda de comprobación 4 4" xfId="2568" xr:uid="{00000000-0005-0000-0000-0000F9130000}"/>
    <cellStyle name="Celda de comprobación 4 4 2" xfId="2569" xr:uid="{00000000-0005-0000-0000-0000FA130000}"/>
    <cellStyle name="Celda de comprobación 4 4 3" xfId="2570" xr:uid="{00000000-0005-0000-0000-0000FB130000}"/>
    <cellStyle name="Celda de comprobación 4 4 4" xfId="2571" xr:uid="{00000000-0005-0000-0000-0000FC130000}"/>
    <cellStyle name="Celda de comprobación 4 40" xfId="2572" xr:uid="{00000000-0005-0000-0000-0000FD130000}"/>
    <cellStyle name="Celda de comprobación 4 41" xfId="2573" xr:uid="{00000000-0005-0000-0000-0000FE130000}"/>
    <cellStyle name="Celda de comprobación 4 42" xfId="2574" xr:uid="{00000000-0005-0000-0000-0000FF130000}"/>
    <cellStyle name="Celda de comprobación 4 43" xfId="2575" xr:uid="{00000000-0005-0000-0000-000000140000}"/>
    <cellStyle name="Celda de comprobación 4 44" xfId="2576" xr:uid="{00000000-0005-0000-0000-000001140000}"/>
    <cellStyle name="Celda de comprobación 4 45" xfId="2577" xr:uid="{00000000-0005-0000-0000-000002140000}"/>
    <cellStyle name="Celda de comprobación 4 46" xfId="2578" xr:uid="{00000000-0005-0000-0000-000003140000}"/>
    <cellStyle name="Celda de comprobación 4 47" xfId="2579" xr:uid="{00000000-0005-0000-0000-000004140000}"/>
    <cellStyle name="Celda de comprobación 4 48" xfId="2580" xr:uid="{00000000-0005-0000-0000-000005140000}"/>
    <cellStyle name="Celda de comprobación 4 49" xfId="2581" xr:uid="{00000000-0005-0000-0000-000006140000}"/>
    <cellStyle name="Celda de comprobación 4 5" xfId="2582" xr:uid="{00000000-0005-0000-0000-000007140000}"/>
    <cellStyle name="Celda de comprobación 4 5 2" xfId="2583" xr:uid="{00000000-0005-0000-0000-000008140000}"/>
    <cellStyle name="Celda de comprobación 4 5 3" xfId="2584" xr:uid="{00000000-0005-0000-0000-000009140000}"/>
    <cellStyle name="Celda de comprobación 4 5 4" xfId="2585" xr:uid="{00000000-0005-0000-0000-00000A140000}"/>
    <cellStyle name="Celda de comprobación 4 50" xfId="2586" xr:uid="{00000000-0005-0000-0000-00000B140000}"/>
    <cellStyle name="Celda de comprobación 4 51" xfId="2587" xr:uid="{00000000-0005-0000-0000-00000C140000}"/>
    <cellStyle name="Celda de comprobación 4 52" xfId="12894" xr:uid="{00000000-0005-0000-0000-00000D140000}"/>
    <cellStyle name="Celda de comprobación 4 6" xfId="2588" xr:uid="{00000000-0005-0000-0000-00000E140000}"/>
    <cellStyle name="Celda de comprobación 4 6 2" xfId="2589" xr:uid="{00000000-0005-0000-0000-00000F140000}"/>
    <cellStyle name="Celda de comprobación 4 6 3" xfId="2590" xr:uid="{00000000-0005-0000-0000-000010140000}"/>
    <cellStyle name="Celda de comprobación 4 6 4" xfId="2591" xr:uid="{00000000-0005-0000-0000-000011140000}"/>
    <cellStyle name="Celda de comprobación 4 7" xfId="2592" xr:uid="{00000000-0005-0000-0000-000012140000}"/>
    <cellStyle name="Celda de comprobación 4 7 2" xfId="2593" xr:uid="{00000000-0005-0000-0000-000013140000}"/>
    <cellStyle name="Celda de comprobación 4 7 3" xfId="2594" xr:uid="{00000000-0005-0000-0000-000014140000}"/>
    <cellStyle name="Celda de comprobación 4 7 4" xfId="2595" xr:uid="{00000000-0005-0000-0000-000015140000}"/>
    <cellStyle name="Celda de comprobación 4 8" xfId="2596" xr:uid="{00000000-0005-0000-0000-000016140000}"/>
    <cellStyle name="Celda de comprobación 4 8 2" xfId="2597" xr:uid="{00000000-0005-0000-0000-000017140000}"/>
    <cellStyle name="Celda de comprobación 4 8 3" xfId="2598" xr:uid="{00000000-0005-0000-0000-000018140000}"/>
    <cellStyle name="Celda de comprobación 4 8 4" xfId="2599" xr:uid="{00000000-0005-0000-0000-000019140000}"/>
    <cellStyle name="Celda de comprobación 4 9" xfId="2600" xr:uid="{00000000-0005-0000-0000-00001A140000}"/>
    <cellStyle name="Celda de comprobación 4 9 2" xfId="2601" xr:uid="{00000000-0005-0000-0000-00001B140000}"/>
    <cellStyle name="Celda de comprobación 4 9 3" xfId="2602" xr:uid="{00000000-0005-0000-0000-00001C140000}"/>
    <cellStyle name="Celda de comprobación 4 9 4" xfId="2603" xr:uid="{00000000-0005-0000-0000-00001D140000}"/>
    <cellStyle name="Celda de comprobación 40" xfId="2604" xr:uid="{00000000-0005-0000-0000-00001E140000}"/>
    <cellStyle name="Celda de comprobación 40 2" xfId="2605" xr:uid="{00000000-0005-0000-0000-00001F140000}"/>
    <cellStyle name="Celda de comprobación 40 3" xfId="2606" xr:uid="{00000000-0005-0000-0000-000020140000}"/>
    <cellStyle name="Celda de comprobación 40 4" xfId="2607" xr:uid="{00000000-0005-0000-0000-000021140000}"/>
    <cellStyle name="Celda de comprobación 41" xfId="2608" xr:uid="{00000000-0005-0000-0000-000022140000}"/>
    <cellStyle name="Celda de comprobación 41 2" xfId="2609" xr:uid="{00000000-0005-0000-0000-000023140000}"/>
    <cellStyle name="Celda de comprobación 41 3" xfId="2610" xr:uid="{00000000-0005-0000-0000-000024140000}"/>
    <cellStyle name="Celda de comprobación 41 4" xfId="2611" xr:uid="{00000000-0005-0000-0000-000025140000}"/>
    <cellStyle name="Celda de comprobación 42" xfId="2612" xr:uid="{00000000-0005-0000-0000-000026140000}"/>
    <cellStyle name="Celda de comprobación 42 2" xfId="2613" xr:uid="{00000000-0005-0000-0000-000027140000}"/>
    <cellStyle name="Celda de comprobación 42 3" xfId="2614" xr:uid="{00000000-0005-0000-0000-000028140000}"/>
    <cellStyle name="Celda de comprobación 42 4" xfId="2615" xr:uid="{00000000-0005-0000-0000-000029140000}"/>
    <cellStyle name="Celda de comprobación 43" xfId="2616" xr:uid="{00000000-0005-0000-0000-00002A140000}"/>
    <cellStyle name="Celda de comprobación 43 2" xfId="2617" xr:uid="{00000000-0005-0000-0000-00002B140000}"/>
    <cellStyle name="Celda de comprobación 43 3" xfId="2618" xr:uid="{00000000-0005-0000-0000-00002C140000}"/>
    <cellStyle name="Celda de comprobación 43 4" xfId="2619" xr:uid="{00000000-0005-0000-0000-00002D140000}"/>
    <cellStyle name="Celda de comprobación 44" xfId="2620" xr:uid="{00000000-0005-0000-0000-00002E140000}"/>
    <cellStyle name="Celda de comprobación 44 2" xfId="2621" xr:uid="{00000000-0005-0000-0000-00002F140000}"/>
    <cellStyle name="Celda de comprobación 44 3" xfId="2622" xr:uid="{00000000-0005-0000-0000-000030140000}"/>
    <cellStyle name="Celda de comprobación 44 4" xfId="2623" xr:uid="{00000000-0005-0000-0000-000031140000}"/>
    <cellStyle name="Celda de comprobación 45" xfId="2624" xr:uid="{00000000-0005-0000-0000-000032140000}"/>
    <cellStyle name="Celda de comprobación 45 2" xfId="2625" xr:uid="{00000000-0005-0000-0000-000033140000}"/>
    <cellStyle name="Celda de comprobación 45 3" xfId="2626" xr:uid="{00000000-0005-0000-0000-000034140000}"/>
    <cellStyle name="Celda de comprobación 45 4" xfId="2627" xr:uid="{00000000-0005-0000-0000-000035140000}"/>
    <cellStyle name="Celda de comprobación 46" xfId="2628" xr:uid="{00000000-0005-0000-0000-000036140000}"/>
    <cellStyle name="Celda de comprobación 46 2" xfId="2629" xr:uid="{00000000-0005-0000-0000-000037140000}"/>
    <cellStyle name="Celda de comprobación 46 3" xfId="2630" xr:uid="{00000000-0005-0000-0000-000038140000}"/>
    <cellStyle name="Celda de comprobación 46 4" xfId="2631" xr:uid="{00000000-0005-0000-0000-000039140000}"/>
    <cellStyle name="Celda de comprobación 47" xfId="2632" xr:uid="{00000000-0005-0000-0000-00003A140000}"/>
    <cellStyle name="Celda de comprobación 47 2" xfId="2633" xr:uid="{00000000-0005-0000-0000-00003B140000}"/>
    <cellStyle name="Celda de comprobación 47 3" xfId="2634" xr:uid="{00000000-0005-0000-0000-00003C140000}"/>
    <cellStyle name="Celda de comprobación 47 4" xfId="2635" xr:uid="{00000000-0005-0000-0000-00003D140000}"/>
    <cellStyle name="Celda de comprobación 48" xfId="2636" xr:uid="{00000000-0005-0000-0000-00003E140000}"/>
    <cellStyle name="Celda de comprobación 48 2" xfId="2637" xr:uid="{00000000-0005-0000-0000-00003F140000}"/>
    <cellStyle name="Celda de comprobación 48 3" xfId="2638" xr:uid="{00000000-0005-0000-0000-000040140000}"/>
    <cellStyle name="Celda de comprobación 48 4" xfId="2639" xr:uid="{00000000-0005-0000-0000-000041140000}"/>
    <cellStyle name="Celda de comprobación 49" xfId="2640" xr:uid="{00000000-0005-0000-0000-000042140000}"/>
    <cellStyle name="Celda de comprobación 49 2" xfId="2641" xr:uid="{00000000-0005-0000-0000-000043140000}"/>
    <cellStyle name="Celda de comprobación 49 3" xfId="2642" xr:uid="{00000000-0005-0000-0000-000044140000}"/>
    <cellStyle name="Celda de comprobación 49 4" xfId="2643" xr:uid="{00000000-0005-0000-0000-000045140000}"/>
    <cellStyle name="Celda de comprobación 5" xfId="2644" xr:uid="{00000000-0005-0000-0000-000046140000}"/>
    <cellStyle name="Celda de comprobación 5 10" xfId="2645" xr:uid="{00000000-0005-0000-0000-000047140000}"/>
    <cellStyle name="Celda de comprobación 5 10 2" xfId="2646" xr:uid="{00000000-0005-0000-0000-000048140000}"/>
    <cellStyle name="Celda de comprobación 5 10 3" xfId="2647" xr:uid="{00000000-0005-0000-0000-000049140000}"/>
    <cellStyle name="Celda de comprobación 5 10 4" xfId="2648" xr:uid="{00000000-0005-0000-0000-00004A140000}"/>
    <cellStyle name="Celda de comprobación 5 11" xfId="2649" xr:uid="{00000000-0005-0000-0000-00004B140000}"/>
    <cellStyle name="Celda de comprobación 5 11 2" xfId="2650" xr:uid="{00000000-0005-0000-0000-00004C140000}"/>
    <cellStyle name="Celda de comprobación 5 11 3" xfId="2651" xr:uid="{00000000-0005-0000-0000-00004D140000}"/>
    <cellStyle name="Celda de comprobación 5 11 4" xfId="2652" xr:uid="{00000000-0005-0000-0000-00004E140000}"/>
    <cellStyle name="Celda de comprobación 5 12" xfId="2653" xr:uid="{00000000-0005-0000-0000-00004F140000}"/>
    <cellStyle name="Celda de comprobación 5 12 2" xfId="2654" xr:uid="{00000000-0005-0000-0000-000050140000}"/>
    <cellStyle name="Celda de comprobación 5 12 3" xfId="2655" xr:uid="{00000000-0005-0000-0000-000051140000}"/>
    <cellStyle name="Celda de comprobación 5 12 4" xfId="2656" xr:uid="{00000000-0005-0000-0000-000052140000}"/>
    <cellStyle name="Celda de comprobación 5 13" xfId="2657" xr:uid="{00000000-0005-0000-0000-000053140000}"/>
    <cellStyle name="Celda de comprobación 5 13 2" xfId="2658" xr:uid="{00000000-0005-0000-0000-000054140000}"/>
    <cellStyle name="Celda de comprobación 5 13 3" xfId="2659" xr:uid="{00000000-0005-0000-0000-000055140000}"/>
    <cellStyle name="Celda de comprobación 5 13 4" xfId="2660" xr:uid="{00000000-0005-0000-0000-000056140000}"/>
    <cellStyle name="Celda de comprobación 5 14" xfId="2661" xr:uid="{00000000-0005-0000-0000-000057140000}"/>
    <cellStyle name="Celda de comprobación 5 14 2" xfId="2662" xr:uid="{00000000-0005-0000-0000-000058140000}"/>
    <cellStyle name="Celda de comprobación 5 14 3" xfId="2663" xr:uid="{00000000-0005-0000-0000-000059140000}"/>
    <cellStyle name="Celda de comprobación 5 14 4" xfId="2664" xr:uid="{00000000-0005-0000-0000-00005A140000}"/>
    <cellStyle name="Celda de comprobación 5 15" xfId="2665" xr:uid="{00000000-0005-0000-0000-00005B140000}"/>
    <cellStyle name="Celda de comprobación 5 15 2" xfId="2666" xr:uid="{00000000-0005-0000-0000-00005C140000}"/>
    <cellStyle name="Celda de comprobación 5 15 3" xfId="2667" xr:uid="{00000000-0005-0000-0000-00005D140000}"/>
    <cellStyle name="Celda de comprobación 5 15 4" xfId="2668" xr:uid="{00000000-0005-0000-0000-00005E140000}"/>
    <cellStyle name="Celda de comprobación 5 16" xfId="2669" xr:uid="{00000000-0005-0000-0000-00005F140000}"/>
    <cellStyle name="Celda de comprobación 5 16 2" xfId="2670" xr:uid="{00000000-0005-0000-0000-000060140000}"/>
    <cellStyle name="Celda de comprobación 5 16 3" xfId="2671" xr:uid="{00000000-0005-0000-0000-000061140000}"/>
    <cellStyle name="Celda de comprobación 5 16 4" xfId="2672" xr:uid="{00000000-0005-0000-0000-000062140000}"/>
    <cellStyle name="Celda de comprobación 5 17" xfId="2673" xr:uid="{00000000-0005-0000-0000-000063140000}"/>
    <cellStyle name="Celda de comprobación 5 17 2" xfId="2674" xr:uid="{00000000-0005-0000-0000-000064140000}"/>
    <cellStyle name="Celda de comprobación 5 17 3" xfId="2675" xr:uid="{00000000-0005-0000-0000-000065140000}"/>
    <cellStyle name="Celda de comprobación 5 17 4" xfId="2676" xr:uid="{00000000-0005-0000-0000-000066140000}"/>
    <cellStyle name="Celda de comprobación 5 18" xfId="2677" xr:uid="{00000000-0005-0000-0000-000067140000}"/>
    <cellStyle name="Celda de comprobación 5 18 2" xfId="2678" xr:uid="{00000000-0005-0000-0000-000068140000}"/>
    <cellStyle name="Celda de comprobación 5 18 3" xfId="2679" xr:uid="{00000000-0005-0000-0000-000069140000}"/>
    <cellStyle name="Celda de comprobación 5 18 4" xfId="2680" xr:uid="{00000000-0005-0000-0000-00006A140000}"/>
    <cellStyle name="Celda de comprobación 5 19" xfId="2681" xr:uid="{00000000-0005-0000-0000-00006B140000}"/>
    <cellStyle name="Celda de comprobación 5 19 2" xfId="2682" xr:uid="{00000000-0005-0000-0000-00006C140000}"/>
    <cellStyle name="Celda de comprobación 5 19 3" xfId="2683" xr:uid="{00000000-0005-0000-0000-00006D140000}"/>
    <cellStyle name="Celda de comprobación 5 19 4" xfId="2684" xr:uid="{00000000-0005-0000-0000-00006E140000}"/>
    <cellStyle name="Celda de comprobación 5 2" xfId="2685" xr:uid="{00000000-0005-0000-0000-00006F140000}"/>
    <cellStyle name="Celda de comprobación 5 2 2" xfId="2686" xr:uid="{00000000-0005-0000-0000-000070140000}"/>
    <cellStyle name="Celda de comprobación 5 2 3" xfId="2687" xr:uid="{00000000-0005-0000-0000-000071140000}"/>
    <cellStyle name="Celda de comprobación 5 2 4" xfId="2688" xr:uid="{00000000-0005-0000-0000-000072140000}"/>
    <cellStyle name="Celda de comprobación 5 2 5" xfId="12895" xr:uid="{00000000-0005-0000-0000-000073140000}"/>
    <cellStyle name="Celda de comprobación 5 20" xfId="2689" xr:uid="{00000000-0005-0000-0000-000074140000}"/>
    <cellStyle name="Celda de comprobación 5 20 2" xfId="2690" xr:uid="{00000000-0005-0000-0000-000075140000}"/>
    <cellStyle name="Celda de comprobación 5 20 3" xfId="2691" xr:uid="{00000000-0005-0000-0000-000076140000}"/>
    <cellStyle name="Celda de comprobación 5 20 4" xfId="2692" xr:uid="{00000000-0005-0000-0000-000077140000}"/>
    <cellStyle name="Celda de comprobación 5 21" xfId="2693" xr:uid="{00000000-0005-0000-0000-000078140000}"/>
    <cellStyle name="Celda de comprobación 5 21 2" xfId="2694" xr:uid="{00000000-0005-0000-0000-000079140000}"/>
    <cellStyle name="Celda de comprobación 5 21 3" xfId="2695" xr:uid="{00000000-0005-0000-0000-00007A140000}"/>
    <cellStyle name="Celda de comprobación 5 21 4" xfId="2696" xr:uid="{00000000-0005-0000-0000-00007B140000}"/>
    <cellStyle name="Celda de comprobación 5 22" xfId="2697" xr:uid="{00000000-0005-0000-0000-00007C140000}"/>
    <cellStyle name="Celda de comprobación 5 22 2" xfId="2698" xr:uid="{00000000-0005-0000-0000-00007D140000}"/>
    <cellStyle name="Celda de comprobación 5 22 3" xfId="2699" xr:uid="{00000000-0005-0000-0000-00007E140000}"/>
    <cellStyle name="Celda de comprobación 5 22 4" xfId="2700" xr:uid="{00000000-0005-0000-0000-00007F140000}"/>
    <cellStyle name="Celda de comprobación 5 23" xfId="2701" xr:uid="{00000000-0005-0000-0000-000080140000}"/>
    <cellStyle name="Celda de comprobación 5 23 2" xfId="2702" xr:uid="{00000000-0005-0000-0000-000081140000}"/>
    <cellStyle name="Celda de comprobación 5 23 3" xfId="2703" xr:uid="{00000000-0005-0000-0000-000082140000}"/>
    <cellStyle name="Celda de comprobación 5 23 4" xfId="2704" xr:uid="{00000000-0005-0000-0000-000083140000}"/>
    <cellStyle name="Celda de comprobación 5 24" xfId="2705" xr:uid="{00000000-0005-0000-0000-000084140000}"/>
    <cellStyle name="Celda de comprobación 5 24 2" xfId="2706" xr:uid="{00000000-0005-0000-0000-000085140000}"/>
    <cellStyle name="Celda de comprobación 5 24 3" xfId="2707" xr:uid="{00000000-0005-0000-0000-000086140000}"/>
    <cellStyle name="Celda de comprobación 5 24 4" xfId="2708" xr:uid="{00000000-0005-0000-0000-000087140000}"/>
    <cellStyle name="Celda de comprobación 5 25" xfId="2709" xr:uid="{00000000-0005-0000-0000-000088140000}"/>
    <cellStyle name="Celda de comprobación 5 25 2" xfId="2710" xr:uid="{00000000-0005-0000-0000-000089140000}"/>
    <cellStyle name="Celda de comprobación 5 25 3" xfId="2711" xr:uid="{00000000-0005-0000-0000-00008A140000}"/>
    <cellStyle name="Celda de comprobación 5 25 4" xfId="2712" xr:uid="{00000000-0005-0000-0000-00008B140000}"/>
    <cellStyle name="Celda de comprobación 5 26" xfId="2713" xr:uid="{00000000-0005-0000-0000-00008C140000}"/>
    <cellStyle name="Celda de comprobación 5 26 2" xfId="2714" xr:uid="{00000000-0005-0000-0000-00008D140000}"/>
    <cellStyle name="Celda de comprobación 5 26 3" xfId="2715" xr:uid="{00000000-0005-0000-0000-00008E140000}"/>
    <cellStyle name="Celda de comprobación 5 26 4" xfId="2716" xr:uid="{00000000-0005-0000-0000-00008F140000}"/>
    <cellStyle name="Celda de comprobación 5 27" xfId="2717" xr:uid="{00000000-0005-0000-0000-000090140000}"/>
    <cellStyle name="Celda de comprobación 5 27 2" xfId="2718" xr:uid="{00000000-0005-0000-0000-000091140000}"/>
    <cellStyle name="Celda de comprobación 5 27 3" xfId="2719" xr:uid="{00000000-0005-0000-0000-000092140000}"/>
    <cellStyle name="Celda de comprobación 5 27 4" xfId="2720" xr:uid="{00000000-0005-0000-0000-000093140000}"/>
    <cellStyle name="Celda de comprobación 5 28" xfId="2721" xr:uid="{00000000-0005-0000-0000-000094140000}"/>
    <cellStyle name="Celda de comprobación 5 28 2" xfId="2722" xr:uid="{00000000-0005-0000-0000-000095140000}"/>
    <cellStyle name="Celda de comprobación 5 28 3" xfId="2723" xr:uid="{00000000-0005-0000-0000-000096140000}"/>
    <cellStyle name="Celda de comprobación 5 28 4" xfId="2724" xr:uid="{00000000-0005-0000-0000-000097140000}"/>
    <cellStyle name="Celda de comprobación 5 29" xfId="2725" xr:uid="{00000000-0005-0000-0000-000098140000}"/>
    <cellStyle name="Celda de comprobación 5 29 2" xfId="2726" xr:uid="{00000000-0005-0000-0000-000099140000}"/>
    <cellStyle name="Celda de comprobación 5 29 3" xfId="2727" xr:uid="{00000000-0005-0000-0000-00009A140000}"/>
    <cellStyle name="Celda de comprobación 5 29 4" xfId="2728" xr:uid="{00000000-0005-0000-0000-00009B140000}"/>
    <cellStyle name="Celda de comprobación 5 3" xfId="2729" xr:uid="{00000000-0005-0000-0000-00009C140000}"/>
    <cellStyle name="Celda de comprobación 5 3 2" xfId="2730" xr:uid="{00000000-0005-0000-0000-00009D140000}"/>
    <cellStyle name="Celda de comprobación 5 3 3" xfId="2731" xr:uid="{00000000-0005-0000-0000-00009E140000}"/>
    <cellStyle name="Celda de comprobación 5 3 4" xfId="2732" xr:uid="{00000000-0005-0000-0000-00009F140000}"/>
    <cellStyle name="Celda de comprobación 5 30" xfId="2733" xr:uid="{00000000-0005-0000-0000-0000A0140000}"/>
    <cellStyle name="Celda de comprobación 5 30 2" xfId="2734" xr:uid="{00000000-0005-0000-0000-0000A1140000}"/>
    <cellStyle name="Celda de comprobación 5 30 3" xfId="2735" xr:uid="{00000000-0005-0000-0000-0000A2140000}"/>
    <cellStyle name="Celda de comprobación 5 30 4" xfId="2736" xr:uid="{00000000-0005-0000-0000-0000A3140000}"/>
    <cellStyle name="Celda de comprobación 5 31" xfId="2737" xr:uid="{00000000-0005-0000-0000-0000A4140000}"/>
    <cellStyle name="Celda de comprobación 5 31 2" xfId="2738" xr:uid="{00000000-0005-0000-0000-0000A5140000}"/>
    <cellStyle name="Celda de comprobación 5 31 3" xfId="2739" xr:uid="{00000000-0005-0000-0000-0000A6140000}"/>
    <cellStyle name="Celda de comprobación 5 31 4" xfId="2740" xr:uid="{00000000-0005-0000-0000-0000A7140000}"/>
    <cellStyle name="Celda de comprobación 5 32" xfId="2741" xr:uid="{00000000-0005-0000-0000-0000A8140000}"/>
    <cellStyle name="Celda de comprobación 5 32 2" xfId="2742" xr:uid="{00000000-0005-0000-0000-0000A9140000}"/>
    <cellStyle name="Celda de comprobación 5 32 3" xfId="2743" xr:uid="{00000000-0005-0000-0000-0000AA140000}"/>
    <cellStyle name="Celda de comprobación 5 32 4" xfId="2744" xr:uid="{00000000-0005-0000-0000-0000AB140000}"/>
    <cellStyle name="Celda de comprobación 5 33" xfId="2745" xr:uid="{00000000-0005-0000-0000-0000AC140000}"/>
    <cellStyle name="Celda de comprobación 5 33 2" xfId="2746" xr:uid="{00000000-0005-0000-0000-0000AD140000}"/>
    <cellStyle name="Celda de comprobación 5 33 3" xfId="2747" xr:uid="{00000000-0005-0000-0000-0000AE140000}"/>
    <cellStyle name="Celda de comprobación 5 33 4" xfId="2748" xr:uid="{00000000-0005-0000-0000-0000AF140000}"/>
    <cellStyle name="Celda de comprobación 5 34" xfId="2749" xr:uid="{00000000-0005-0000-0000-0000B0140000}"/>
    <cellStyle name="Celda de comprobación 5 34 2" xfId="2750" xr:uid="{00000000-0005-0000-0000-0000B1140000}"/>
    <cellStyle name="Celda de comprobación 5 34 3" xfId="2751" xr:uid="{00000000-0005-0000-0000-0000B2140000}"/>
    <cellStyle name="Celda de comprobación 5 34 4" xfId="2752" xr:uid="{00000000-0005-0000-0000-0000B3140000}"/>
    <cellStyle name="Celda de comprobación 5 35" xfId="2753" xr:uid="{00000000-0005-0000-0000-0000B4140000}"/>
    <cellStyle name="Celda de comprobación 5 35 2" xfId="2754" xr:uid="{00000000-0005-0000-0000-0000B5140000}"/>
    <cellStyle name="Celda de comprobación 5 35 3" xfId="2755" xr:uid="{00000000-0005-0000-0000-0000B6140000}"/>
    <cellStyle name="Celda de comprobación 5 35 4" xfId="2756" xr:uid="{00000000-0005-0000-0000-0000B7140000}"/>
    <cellStyle name="Celda de comprobación 5 36" xfId="2757" xr:uid="{00000000-0005-0000-0000-0000B8140000}"/>
    <cellStyle name="Celda de comprobación 5 36 2" xfId="2758" xr:uid="{00000000-0005-0000-0000-0000B9140000}"/>
    <cellStyle name="Celda de comprobación 5 36 3" xfId="2759" xr:uid="{00000000-0005-0000-0000-0000BA140000}"/>
    <cellStyle name="Celda de comprobación 5 36 4" xfId="2760" xr:uid="{00000000-0005-0000-0000-0000BB140000}"/>
    <cellStyle name="Celda de comprobación 5 37" xfId="2761" xr:uid="{00000000-0005-0000-0000-0000BC140000}"/>
    <cellStyle name="Celda de comprobación 5 38" xfId="2762" xr:uid="{00000000-0005-0000-0000-0000BD140000}"/>
    <cellStyle name="Celda de comprobación 5 39" xfId="2763" xr:uid="{00000000-0005-0000-0000-0000BE140000}"/>
    <cellStyle name="Celda de comprobación 5 4" xfId="2764" xr:uid="{00000000-0005-0000-0000-0000BF140000}"/>
    <cellStyle name="Celda de comprobación 5 4 2" xfId="2765" xr:uid="{00000000-0005-0000-0000-0000C0140000}"/>
    <cellStyle name="Celda de comprobación 5 4 3" xfId="2766" xr:uid="{00000000-0005-0000-0000-0000C1140000}"/>
    <cellStyle name="Celda de comprobación 5 4 4" xfId="2767" xr:uid="{00000000-0005-0000-0000-0000C2140000}"/>
    <cellStyle name="Celda de comprobación 5 40" xfId="2768" xr:uid="{00000000-0005-0000-0000-0000C3140000}"/>
    <cellStyle name="Celda de comprobación 5 41" xfId="2769" xr:uid="{00000000-0005-0000-0000-0000C4140000}"/>
    <cellStyle name="Celda de comprobación 5 42" xfId="2770" xr:uid="{00000000-0005-0000-0000-0000C5140000}"/>
    <cellStyle name="Celda de comprobación 5 43" xfId="2771" xr:uid="{00000000-0005-0000-0000-0000C6140000}"/>
    <cellStyle name="Celda de comprobación 5 44" xfId="2772" xr:uid="{00000000-0005-0000-0000-0000C7140000}"/>
    <cellStyle name="Celda de comprobación 5 45" xfId="2773" xr:uid="{00000000-0005-0000-0000-0000C8140000}"/>
    <cellStyle name="Celda de comprobación 5 46" xfId="2774" xr:uid="{00000000-0005-0000-0000-0000C9140000}"/>
    <cellStyle name="Celda de comprobación 5 47" xfId="2775" xr:uid="{00000000-0005-0000-0000-0000CA140000}"/>
    <cellStyle name="Celda de comprobación 5 48" xfId="2776" xr:uid="{00000000-0005-0000-0000-0000CB140000}"/>
    <cellStyle name="Celda de comprobación 5 49" xfId="2777" xr:uid="{00000000-0005-0000-0000-0000CC140000}"/>
    <cellStyle name="Celda de comprobación 5 5" xfId="2778" xr:uid="{00000000-0005-0000-0000-0000CD140000}"/>
    <cellStyle name="Celda de comprobación 5 5 2" xfId="2779" xr:uid="{00000000-0005-0000-0000-0000CE140000}"/>
    <cellStyle name="Celda de comprobación 5 5 3" xfId="2780" xr:uid="{00000000-0005-0000-0000-0000CF140000}"/>
    <cellStyle name="Celda de comprobación 5 5 4" xfId="2781" xr:uid="{00000000-0005-0000-0000-0000D0140000}"/>
    <cellStyle name="Celda de comprobación 5 50" xfId="2782" xr:uid="{00000000-0005-0000-0000-0000D1140000}"/>
    <cellStyle name="Celda de comprobación 5 51" xfId="2783" xr:uid="{00000000-0005-0000-0000-0000D2140000}"/>
    <cellStyle name="Celda de comprobación 5 6" xfId="2784" xr:uid="{00000000-0005-0000-0000-0000D3140000}"/>
    <cellStyle name="Celda de comprobación 5 6 2" xfId="2785" xr:uid="{00000000-0005-0000-0000-0000D4140000}"/>
    <cellStyle name="Celda de comprobación 5 6 3" xfId="2786" xr:uid="{00000000-0005-0000-0000-0000D5140000}"/>
    <cellStyle name="Celda de comprobación 5 6 4" xfId="2787" xr:uid="{00000000-0005-0000-0000-0000D6140000}"/>
    <cellStyle name="Celda de comprobación 5 7" xfId="2788" xr:uid="{00000000-0005-0000-0000-0000D7140000}"/>
    <cellStyle name="Celda de comprobación 5 7 2" xfId="2789" xr:uid="{00000000-0005-0000-0000-0000D8140000}"/>
    <cellStyle name="Celda de comprobación 5 7 3" xfId="2790" xr:uid="{00000000-0005-0000-0000-0000D9140000}"/>
    <cellStyle name="Celda de comprobación 5 7 4" xfId="2791" xr:uid="{00000000-0005-0000-0000-0000DA140000}"/>
    <cellStyle name="Celda de comprobación 5 8" xfId="2792" xr:uid="{00000000-0005-0000-0000-0000DB140000}"/>
    <cellStyle name="Celda de comprobación 5 8 2" xfId="2793" xr:uid="{00000000-0005-0000-0000-0000DC140000}"/>
    <cellStyle name="Celda de comprobación 5 8 3" xfId="2794" xr:uid="{00000000-0005-0000-0000-0000DD140000}"/>
    <cellStyle name="Celda de comprobación 5 8 4" xfId="2795" xr:uid="{00000000-0005-0000-0000-0000DE140000}"/>
    <cellStyle name="Celda de comprobación 5 9" xfId="2796" xr:uid="{00000000-0005-0000-0000-0000DF140000}"/>
    <cellStyle name="Celda de comprobación 5 9 2" xfId="2797" xr:uid="{00000000-0005-0000-0000-0000E0140000}"/>
    <cellStyle name="Celda de comprobación 5 9 3" xfId="2798" xr:uid="{00000000-0005-0000-0000-0000E1140000}"/>
    <cellStyle name="Celda de comprobación 5 9 4" xfId="2799" xr:uid="{00000000-0005-0000-0000-0000E2140000}"/>
    <cellStyle name="Celda de comprobación 50" xfId="2800" xr:uid="{00000000-0005-0000-0000-0000E3140000}"/>
    <cellStyle name="Celda de comprobación 50 2" xfId="2801" xr:uid="{00000000-0005-0000-0000-0000E4140000}"/>
    <cellStyle name="Celda de comprobación 50 3" xfId="2802" xr:uid="{00000000-0005-0000-0000-0000E5140000}"/>
    <cellStyle name="Celda de comprobación 50 4" xfId="2803" xr:uid="{00000000-0005-0000-0000-0000E6140000}"/>
    <cellStyle name="Celda de comprobación 6" xfId="2804" xr:uid="{00000000-0005-0000-0000-0000E7140000}"/>
    <cellStyle name="Celda de comprobación 6 10" xfId="2805" xr:uid="{00000000-0005-0000-0000-0000E8140000}"/>
    <cellStyle name="Celda de comprobación 6 10 2" xfId="2806" xr:uid="{00000000-0005-0000-0000-0000E9140000}"/>
    <cellStyle name="Celda de comprobación 6 10 3" xfId="2807" xr:uid="{00000000-0005-0000-0000-0000EA140000}"/>
    <cellStyle name="Celda de comprobación 6 10 4" xfId="2808" xr:uid="{00000000-0005-0000-0000-0000EB140000}"/>
    <cellStyle name="Celda de comprobación 6 11" xfId="2809" xr:uid="{00000000-0005-0000-0000-0000EC140000}"/>
    <cellStyle name="Celda de comprobación 6 11 2" xfId="2810" xr:uid="{00000000-0005-0000-0000-0000ED140000}"/>
    <cellStyle name="Celda de comprobación 6 11 3" xfId="2811" xr:uid="{00000000-0005-0000-0000-0000EE140000}"/>
    <cellStyle name="Celda de comprobación 6 11 4" xfId="2812" xr:uid="{00000000-0005-0000-0000-0000EF140000}"/>
    <cellStyle name="Celda de comprobación 6 12" xfId="2813" xr:uid="{00000000-0005-0000-0000-0000F0140000}"/>
    <cellStyle name="Celda de comprobación 6 12 2" xfId="2814" xr:uid="{00000000-0005-0000-0000-0000F1140000}"/>
    <cellStyle name="Celda de comprobación 6 12 3" xfId="2815" xr:uid="{00000000-0005-0000-0000-0000F2140000}"/>
    <cellStyle name="Celda de comprobación 6 12 4" xfId="2816" xr:uid="{00000000-0005-0000-0000-0000F3140000}"/>
    <cellStyle name="Celda de comprobación 6 13" xfId="2817" xr:uid="{00000000-0005-0000-0000-0000F4140000}"/>
    <cellStyle name="Celda de comprobación 6 13 2" xfId="2818" xr:uid="{00000000-0005-0000-0000-0000F5140000}"/>
    <cellStyle name="Celda de comprobación 6 13 3" xfId="2819" xr:uid="{00000000-0005-0000-0000-0000F6140000}"/>
    <cellStyle name="Celda de comprobación 6 13 4" xfId="2820" xr:uid="{00000000-0005-0000-0000-0000F7140000}"/>
    <cellStyle name="Celda de comprobación 6 14" xfId="2821" xr:uid="{00000000-0005-0000-0000-0000F8140000}"/>
    <cellStyle name="Celda de comprobación 6 14 2" xfId="2822" xr:uid="{00000000-0005-0000-0000-0000F9140000}"/>
    <cellStyle name="Celda de comprobación 6 14 3" xfId="2823" xr:uid="{00000000-0005-0000-0000-0000FA140000}"/>
    <cellStyle name="Celda de comprobación 6 14 4" xfId="2824" xr:uid="{00000000-0005-0000-0000-0000FB140000}"/>
    <cellStyle name="Celda de comprobación 6 15" xfId="2825" xr:uid="{00000000-0005-0000-0000-0000FC140000}"/>
    <cellStyle name="Celda de comprobación 6 15 2" xfId="2826" xr:uid="{00000000-0005-0000-0000-0000FD140000}"/>
    <cellStyle name="Celda de comprobación 6 15 3" xfId="2827" xr:uid="{00000000-0005-0000-0000-0000FE140000}"/>
    <cellStyle name="Celda de comprobación 6 15 4" xfId="2828" xr:uid="{00000000-0005-0000-0000-0000FF140000}"/>
    <cellStyle name="Celda de comprobación 6 16" xfId="2829" xr:uid="{00000000-0005-0000-0000-000000150000}"/>
    <cellStyle name="Celda de comprobación 6 16 2" xfId="2830" xr:uid="{00000000-0005-0000-0000-000001150000}"/>
    <cellStyle name="Celda de comprobación 6 16 3" xfId="2831" xr:uid="{00000000-0005-0000-0000-000002150000}"/>
    <cellStyle name="Celda de comprobación 6 16 4" xfId="2832" xr:uid="{00000000-0005-0000-0000-000003150000}"/>
    <cellStyle name="Celda de comprobación 6 17" xfId="2833" xr:uid="{00000000-0005-0000-0000-000004150000}"/>
    <cellStyle name="Celda de comprobación 6 17 2" xfId="2834" xr:uid="{00000000-0005-0000-0000-000005150000}"/>
    <cellStyle name="Celda de comprobación 6 17 3" xfId="2835" xr:uid="{00000000-0005-0000-0000-000006150000}"/>
    <cellStyle name="Celda de comprobación 6 17 4" xfId="2836" xr:uid="{00000000-0005-0000-0000-000007150000}"/>
    <cellStyle name="Celda de comprobación 6 18" xfId="2837" xr:uid="{00000000-0005-0000-0000-000008150000}"/>
    <cellStyle name="Celda de comprobación 6 18 2" xfId="2838" xr:uid="{00000000-0005-0000-0000-000009150000}"/>
    <cellStyle name="Celda de comprobación 6 18 3" xfId="2839" xr:uid="{00000000-0005-0000-0000-00000A150000}"/>
    <cellStyle name="Celda de comprobación 6 18 4" xfId="2840" xr:uid="{00000000-0005-0000-0000-00000B150000}"/>
    <cellStyle name="Celda de comprobación 6 19" xfId="2841" xr:uid="{00000000-0005-0000-0000-00000C150000}"/>
    <cellStyle name="Celda de comprobación 6 19 2" xfId="2842" xr:uid="{00000000-0005-0000-0000-00000D150000}"/>
    <cellStyle name="Celda de comprobación 6 19 3" xfId="2843" xr:uid="{00000000-0005-0000-0000-00000E150000}"/>
    <cellStyle name="Celda de comprobación 6 19 4" xfId="2844" xr:uid="{00000000-0005-0000-0000-00000F150000}"/>
    <cellStyle name="Celda de comprobación 6 2" xfId="2845" xr:uid="{00000000-0005-0000-0000-000010150000}"/>
    <cellStyle name="Celda de comprobación 6 2 2" xfId="2846" xr:uid="{00000000-0005-0000-0000-000011150000}"/>
    <cellStyle name="Celda de comprobación 6 2 3" xfId="2847" xr:uid="{00000000-0005-0000-0000-000012150000}"/>
    <cellStyle name="Celda de comprobación 6 2 4" xfId="2848" xr:uid="{00000000-0005-0000-0000-000013150000}"/>
    <cellStyle name="Celda de comprobación 6 2 5" xfId="12896" xr:uid="{00000000-0005-0000-0000-000014150000}"/>
    <cellStyle name="Celda de comprobación 6 20" xfId="2849" xr:uid="{00000000-0005-0000-0000-000015150000}"/>
    <cellStyle name="Celda de comprobación 6 20 2" xfId="2850" xr:uid="{00000000-0005-0000-0000-000016150000}"/>
    <cellStyle name="Celda de comprobación 6 20 3" xfId="2851" xr:uid="{00000000-0005-0000-0000-000017150000}"/>
    <cellStyle name="Celda de comprobación 6 20 4" xfId="2852" xr:uid="{00000000-0005-0000-0000-000018150000}"/>
    <cellStyle name="Celda de comprobación 6 21" xfId="2853" xr:uid="{00000000-0005-0000-0000-000019150000}"/>
    <cellStyle name="Celda de comprobación 6 21 2" xfId="2854" xr:uid="{00000000-0005-0000-0000-00001A150000}"/>
    <cellStyle name="Celda de comprobación 6 21 3" xfId="2855" xr:uid="{00000000-0005-0000-0000-00001B150000}"/>
    <cellStyle name="Celda de comprobación 6 21 4" xfId="2856" xr:uid="{00000000-0005-0000-0000-00001C150000}"/>
    <cellStyle name="Celda de comprobación 6 22" xfId="2857" xr:uid="{00000000-0005-0000-0000-00001D150000}"/>
    <cellStyle name="Celda de comprobación 6 22 2" xfId="2858" xr:uid="{00000000-0005-0000-0000-00001E150000}"/>
    <cellStyle name="Celda de comprobación 6 22 3" xfId="2859" xr:uid="{00000000-0005-0000-0000-00001F150000}"/>
    <cellStyle name="Celda de comprobación 6 22 4" xfId="2860" xr:uid="{00000000-0005-0000-0000-000020150000}"/>
    <cellStyle name="Celda de comprobación 6 23" xfId="2861" xr:uid="{00000000-0005-0000-0000-000021150000}"/>
    <cellStyle name="Celda de comprobación 6 23 2" xfId="2862" xr:uid="{00000000-0005-0000-0000-000022150000}"/>
    <cellStyle name="Celda de comprobación 6 23 3" xfId="2863" xr:uid="{00000000-0005-0000-0000-000023150000}"/>
    <cellStyle name="Celda de comprobación 6 23 4" xfId="2864" xr:uid="{00000000-0005-0000-0000-000024150000}"/>
    <cellStyle name="Celda de comprobación 6 24" xfId="2865" xr:uid="{00000000-0005-0000-0000-000025150000}"/>
    <cellStyle name="Celda de comprobación 6 24 2" xfId="2866" xr:uid="{00000000-0005-0000-0000-000026150000}"/>
    <cellStyle name="Celda de comprobación 6 24 3" xfId="2867" xr:uid="{00000000-0005-0000-0000-000027150000}"/>
    <cellStyle name="Celda de comprobación 6 24 4" xfId="2868" xr:uid="{00000000-0005-0000-0000-000028150000}"/>
    <cellStyle name="Celda de comprobación 6 25" xfId="2869" xr:uid="{00000000-0005-0000-0000-000029150000}"/>
    <cellStyle name="Celda de comprobación 6 25 2" xfId="2870" xr:uid="{00000000-0005-0000-0000-00002A150000}"/>
    <cellStyle name="Celda de comprobación 6 25 3" xfId="2871" xr:uid="{00000000-0005-0000-0000-00002B150000}"/>
    <cellStyle name="Celda de comprobación 6 25 4" xfId="2872" xr:uid="{00000000-0005-0000-0000-00002C150000}"/>
    <cellStyle name="Celda de comprobación 6 26" xfId="2873" xr:uid="{00000000-0005-0000-0000-00002D150000}"/>
    <cellStyle name="Celda de comprobación 6 26 2" xfId="2874" xr:uid="{00000000-0005-0000-0000-00002E150000}"/>
    <cellStyle name="Celda de comprobación 6 26 3" xfId="2875" xr:uid="{00000000-0005-0000-0000-00002F150000}"/>
    <cellStyle name="Celda de comprobación 6 26 4" xfId="2876" xr:uid="{00000000-0005-0000-0000-000030150000}"/>
    <cellStyle name="Celda de comprobación 6 27" xfId="2877" xr:uid="{00000000-0005-0000-0000-000031150000}"/>
    <cellStyle name="Celda de comprobación 6 27 2" xfId="2878" xr:uid="{00000000-0005-0000-0000-000032150000}"/>
    <cellStyle name="Celda de comprobación 6 27 3" xfId="2879" xr:uid="{00000000-0005-0000-0000-000033150000}"/>
    <cellStyle name="Celda de comprobación 6 27 4" xfId="2880" xr:uid="{00000000-0005-0000-0000-000034150000}"/>
    <cellStyle name="Celda de comprobación 6 28" xfId="2881" xr:uid="{00000000-0005-0000-0000-000035150000}"/>
    <cellStyle name="Celda de comprobación 6 28 2" xfId="2882" xr:uid="{00000000-0005-0000-0000-000036150000}"/>
    <cellStyle name="Celda de comprobación 6 28 3" xfId="2883" xr:uid="{00000000-0005-0000-0000-000037150000}"/>
    <cellStyle name="Celda de comprobación 6 28 4" xfId="2884" xr:uid="{00000000-0005-0000-0000-000038150000}"/>
    <cellStyle name="Celda de comprobación 6 29" xfId="2885" xr:uid="{00000000-0005-0000-0000-000039150000}"/>
    <cellStyle name="Celda de comprobación 6 29 2" xfId="2886" xr:uid="{00000000-0005-0000-0000-00003A150000}"/>
    <cellStyle name="Celda de comprobación 6 29 3" xfId="2887" xr:uid="{00000000-0005-0000-0000-00003B150000}"/>
    <cellStyle name="Celda de comprobación 6 29 4" xfId="2888" xr:uid="{00000000-0005-0000-0000-00003C150000}"/>
    <cellStyle name="Celda de comprobación 6 3" xfId="2889" xr:uid="{00000000-0005-0000-0000-00003D150000}"/>
    <cellStyle name="Celda de comprobación 6 3 2" xfId="2890" xr:uid="{00000000-0005-0000-0000-00003E150000}"/>
    <cellStyle name="Celda de comprobación 6 3 3" xfId="2891" xr:uid="{00000000-0005-0000-0000-00003F150000}"/>
    <cellStyle name="Celda de comprobación 6 3 4" xfId="2892" xr:uid="{00000000-0005-0000-0000-000040150000}"/>
    <cellStyle name="Celda de comprobación 6 30" xfId="2893" xr:uid="{00000000-0005-0000-0000-000041150000}"/>
    <cellStyle name="Celda de comprobación 6 30 2" xfId="2894" xr:uid="{00000000-0005-0000-0000-000042150000}"/>
    <cellStyle name="Celda de comprobación 6 30 3" xfId="2895" xr:uid="{00000000-0005-0000-0000-000043150000}"/>
    <cellStyle name="Celda de comprobación 6 30 4" xfId="2896" xr:uid="{00000000-0005-0000-0000-000044150000}"/>
    <cellStyle name="Celda de comprobación 6 31" xfId="2897" xr:uid="{00000000-0005-0000-0000-000045150000}"/>
    <cellStyle name="Celda de comprobación 6 31 2" xfId="2898" xr:uid="{00000000-0005-0000-0000-000046150000}"/>
    <cellStyle name="Celda de comprobación 6 31 3" xfId="2899" xr:uid="{00000000-0005-0000-0000-000047150000}"/>
    <cellStyle name="Celda de comprobación 6 31 4" xfId="2900" xr:uid="{00000000-0005-0000-0000-000048150000}"/>
    <cellStyle name="Celda de comprobación 6 32" xfId="2901" xr:uid="{00000000-0005-0000-0000-000049150000}"/>
    <cellStyle name="Celda de comprobación 6 32 2" xfId="2902" xr:uid="{00000000-0005-0000-0000-00004A150000}"/>
    <cellStyle name="Celda de comprobación 6 32 3" xfId="2903" xr:uid="{00000000-0005-0000-0000-00004B150000}"/>
    <cellStyle name="Celda de comprobación 6 32 4" xfId="2904" xr:uid="{00000000-0005-0000-0000-00004C150000}"/>
    <cellStyle name="Celda de comprobación 6 33" xfId="2905" xr:uid="{00000000-0005-0000-0000-00004D150000}"/>
    <cellStyle name="Celda de comprobación 6 33 2" xfId="2906" xr:uid="{00000000-0005-0000-0000-00004E150000}"/>
    <cellStyle name="Celda de comprobación 6 33 3" xfId="2907" xr:uid="{00000000-0005-0000-0000-00004F150000}"/>
    <cellStyle name="Celda de comprobación 6 33 4" xfId="2908" xr:uid="{00000000-0005-0000-0000-000050150000}"/>
    <cellStyle name="Celda de comprobación 6 34" xfId="2909" xr:uid="{00000000-0005-0000-0000-000051150000}"/>
    <cellStyle name="Celda de comprobación 6 34 2" xfId="2910" xr:uid="{00000000-0005-0000-0000-000052150000}"/>
    <cellStyle name="Celda de comprobación 6 34 3" xfId="2911" xr:uid="{00000000-0005-0000-0000-000053150000}"/>
    <cellStyle name="Celda de comprobación 6 34 4" xfId="2912" xr:uid="{00000000-0005-0000-0000-000054150000}"/>
    <cellStyle name="Celda de comprobación 6 35" xfId="2913" xr:uid="{00000000-0005-0000-0000-000055150000}"/>
    <cellStyle name="Celda de comprobación 6 35 2" xfId="2914" xr:uid="{00000000-0005-0000-0000-000056150000}"/>
    <cellStyle name="Celda de comprobación 6 35 3" xfId="2915" xr:uid="{00000000-0005-0000-0000-000057150000}"/>
    <cellStyle name="Celda de comprobación 6 35 4" xfId="2916" xr:uid="{00000000-0005-0000-0000-000058150000}"/>
    <cellStyle name="Celda de comprobación 6 36" xfId="2917" xr:uid="{00000000-0005-0000-0000-000059150000}"/>
    <cellStyle name="Celda de comprobación 6 36 2" xfId="2918" xr:uid="{00000000-0005-0000-0000-00005A150000}"/>
    <cellStyle name="Celda de comprobación 6 36 3" xfId="2919" xr:uid="{00000000-0005-0000-0000-00005B150000}"/>
    <cellStyle name="Celda de comprobación 6 36 4" xfId="2920" xr:uid="{00000000-0005-0000-0000-00005C150000}"/>
    <cellStyle name="Celda de comprobación 6 37" xfId="2921" xr:uid="{00000000-0005-0000-0000-00005D150000}"/>
    <cellStyle name="Celda de comprobación 6 38" xfId="2922" xr:uid="{00000000-0005-0000-0000-00005E150000}"/>
    <cellStyle name="Celda de comprobación 6 39" xfId="2923" xr:uid="{00000000-0005-0000-0000-00005F150000}"/>
    <cellStyle name="Celda de comprobación 6 4" xfId="2924" xr:uid="{00000000-0005-0000-0000-000060150000}"/>
    <cellStyle name="Celda de comprobación 6 4 2" xfId="2925" xr:uid="{00000000-0005-0000-0000-000061150000}"/>
    <cellStyle name="Celda de comprobación 6 4 3" xfId="2926" xr:uid="{00000000-0005-0000-0000-000062150000}"/>
    <cellStyle name="Celda de comprobación 6 4 4" xfId="2927" xr:uid="{00000000-0005-0000-0000-000063150000}"/>
    <cellStyle name="Celda de comprobación 6 40" xfId="2928" xr:uid="{00000000-0005-0000-0000-000064150000}"/>
    <cellStyle name="Celda de comprobación 6 41" xfId="2929" xr:uid="{00000000-0005-0000-0000-000065150000}"/>
    <cellStyle name="Celda de comprobación 6 42" xfId="2930" xr:uid="{00000000-0005-0000-0000-000066150000}"/>
    <cellStyle name="Celda de comprobación 6 43" xfId="2931" xr:uid="{00000000-0005-0000-0000-000067150000}"/>
    <cellStyle name="Celda de comprobación 6 44" xfId="2932" xr:uid="{00000000-0005-0000-0000-000068150000}"/>
    <cellStyle name="Celda de comprobación 6 45" xfId="2933" xr:uid="{00000000-0005-0000-0000-000069150000}"/>
    <cellStyle name="Celda de comprobación 6 46" xfId="2934" xr:uid="{00000000-0005-0000-0000-00006A150000}"/>
    <cellStyle name="Celda de comprobación 6 47" xfId="2935" xr:uid="{00000000-0005-0000-0000-00006B150000}"/>
    <cellStyle name="Celda de comprobación 6 48" xfId="2936" xr:uid="{00000000-0005-0000-0000-00006C150000}"/>
    <cellStyle name="Celda de comprobación 6 49" xfId="2937" xr:uid="{00000000-0005-0000-0000-00006D150000}"/>
    <cellStyle name="Celda de comprobación 6 5" xfId="2938" xr:uid="{00000000-0005-0000-0000-00006E150000}"/>
    <cellStyle name="Celda de comprobación 6 5 2" xfId="2939" xr:uid="{00000000-0005-0000-0000-00006F150000}"/>
    <cellStyle name="Celda de comprobación 6 5 3" xfId="2940" xr:uid="{00000000-0005-0000-0000-000070150000}"/>
    <cellStyle name="Celda de comprobación 6 5 4" xfId="2941" xr:uid="{00000000-0005-0000-0000-000071150000}"/>
    <cellStyle name="Celda de comprobación 6 50" xfId="2942" xr:uid="{00000000-0005-0000-0000-000072150000}"/>
    <cellStyle name="Celda de comprobación 6 51" xfId="2943" xr:uid="{00000000-0005-0000-0000-000073150000}"/>
    <cellStyle name="Celda de comprobación 6 6" xfId="2944" xr:uid="{00000000-0005-0000-0000-000074150000}"/>
    <cellStyle name="Celda de comprobación 6 6 2" xfId="2945" xr:uid="{00000000-0005-0000-0000-000075150000}"/>
    <cellStyle name="Celda de comprobación 6 6 3" xfId="2946" xr:uid="{00000000-0005-0000-0000-000076150000}"/>
    <cellStyle name="Celda de comprobación 6 6 4" xfId="2947" xr:uid="{00000000-0005-0000-0000-000077150000}"/>
    <cellStyle name="Celda de comprobación 6 7" xfId="2948" xr:uid="{00000000-0005-0000-0000-000078150000}"/>
    <cellStyle name="Celda de comprobación 6 7 2" xfId="2949" xr:uid="{00000000-0005-0000-0000-000079150000}"/>
    <cellStyle name="Celda de comprobación 6 7 3" xfId="2950" xr:uid="{00000000-0005-0000-0000-00007A150000}"/>
    <cellStyle name="Celda de comprobación 6 7 4" xfId="2951" xr:uid="{00000000-0005-0000-0000-00007B150000}"/>
    <cellStyle name="Celda de comprobación 6 8" xfId="2952" xr:uid="{00000000-0005-0000-0000-00007C150000}"/>
    <cellStyle name="Celda de comprobación 6 8 2" xfId="2953" xr:uid="{00000000-0005-0000-0000-00007D150000}"/>
    <cellStyle name="Celda de comprobación 6 8 3" xfId="2954" xr:uid="{00000000-0005-0000-0000-00007E150000}"/>
    <cellStyle name="Celda de comprobación 6 8 4" xfId="2955" xr:uid="{00000000-0005-0000-0000-00007F150000}"/>
    <cellStyle name="Celda de comprobación 6 9" xfId="2956" xr:uid="{00000000-0005-0000-0000-000080150000}"/>
    <cellStyle name="Celda de comprobación 6 9 2" xfId="2957" xr:uid="{00000000-0005-0000-0000-000081150000}"/>
    <cellStyle name="Celda de comprobación 6 9 3" xfId="2958" xr:uid="{00000000-0005-0000-0000-000082150000}"/>
    <cellStyle name="Celda de comprobación 6 9 4" xfId="2959" xr:uid="{00000000-0005-0000-0000-000083150000}"/>
    <cellStyle name="Celda de comprobación 7" xfId="2960" xr:uid="{00000000-0005-0000-0000-000084150000}"/>
    <cellStyle name="Celda de comprobación 7 10" xfId="2961" xr:uid="{00000000-0005-0000-0000-000085150000}"/>
    <cellStyle name="Celda de comprobación 7 10 2" xfId="2962" xr:uid="{00000000-0005-0000-0000-000086150000}"/>
    <cellStyle name="Celda de comprobación 7 10 3" xfId="2963" xr:uid="{00000000-0005-0000-0000-000087150000}"/>
    <cellStyle name="Celda de comprobación 7 10 4" xfId="2964" xr:uid="{00000000-0005-0000-0000-000088150000}"/>
    <cellStyle name="Celda de comprobación 7 11" xfId="2965" xr:uid="{00000000-0005-0000-0000-000089150000}"/>
    <cellStyle name="Celda de comprobación 7 11 2" xfId="2966" xr:uid="{00000000-0005-0000-0000-00008A150000}"/>
    <cellStyle name="Celda de comprobación 7 11 3" xfId="2967" xr:uid="{00000000-0005-0000-0000-00008B150000}"/>
    <cellStyle name="Celda de comprobación 7 11 4" xfId="2968" xr:uid="{00000000-0005-0000-0000-00008C150000}"/>
    <cellStyle name="Celda de comprobación 7 12" xfId="2969" xr:uid="{00000000-0005-0000-0000-00008D150000}"/>
    <cellStyle name="Celda de comprobación 7 12 2" xfId="2970" xr:uid="{00000000-0005-0000-0000-00008E150000}"/>
    <cellStyle name="Celda de comprobación 7 12 3" xfId="2971" xr:uid="{00000000-0005-0000-0000-00008F150000}"/>
    <cellStyle name="Celda de comprobación 7 12 4" xfId="2972" xr:uid="{00000000-0005-0000-0000-000090150000}"/>
    <cellStyle name="Celda de comprobación 7 13" xfId="2973" xr:uid="{00000000-0005-0000-0000-000091150000}"/>
    <cellStyle name="Celda de comprobación 7 13 2" xfId="2974" xr:uid="{00000000-0005-0000-0000-000092150000}"/>
    <cellStyle name="Celda de comprobación 7 13 3" xfId="2975" xr:uid="{00000000-0005-0000-0000-000093150000}"/>
    <cellStyle name="Celda de comprobación 7 13 4" xfId="2976" xr:uid="{00000000-0005-0000-0000-000094150000}"/>
    <cellStyle name="Celda de comprobación 7 14" xfId="2977" xr:uid="{00000000-0005-0000-0000-000095150000}"/>
    <cellStyle name="Celda de comprobación 7 14 2" xfId="2978" xr:uid="{00000000-0005-0000-0000-000096150000}"/>
    <cellStyle name="Celda de comprobación 7 14 3" xfId="2979" xr:uid="{00000000-0005-0000-0000-000097150000}"/>
    <cellStyle name="Celda de comprobación 7 14 4" xfId="2980" xr:uid="{00000000-0005-0000-0000-000098150000}"/>
    <cellStyle name="Celda de comprobación 7 15" xfId="2981" xr:uid="{00000000-0005-0000-0000-000099150000}"/>
    <cellStyle name="Celda de comprobación 7 15 2" xfId="2982" xr:uid="{00000000-0005-0000-0000-00009A150000}"/>
    <cellStyle name="Celda de comprobación 7 15 3" xfId="2983" xr:uid="{00000000-0005-0000-0000-00009B150000}"/>
    <cellStyle name="Celda de comprobación 7 15 4" xfId="2984" xr:uid="{00000000-0005-0000-0000-00009C150000}"/>
    <cellStyle name="Celda de comprobación 7 16" xfId="2985" xr:uid="{00000000-0005-0000-0000-00009D150000}"/>
    <cellStyle name="Celda de comprobación 7 16 2" xfId="2986" xr:uid="{00000000-0005-0000-0000-00009E150000}"/>
    <cellStyle name="Celda de comprobación 7 16 3" xfId="2987" xr:uid="{00000000-0005-0000-0000-00009F150000}"/>
    <cellStyle name="Celda de comprobación 7 16 4" xfId="2988" xr:uid="{00000000-0005-0000-0000-0000A0150000}"/>
    <cellStyle name="Celda de comprobación 7 17" xfId="2989" xr:uid="{00000000-0005-0000-0000-0000A1150000}"/>
    <cellStyle name="Celda de comprobación 7 17 2" xfId="2990" xr:uid="{00000000-0005-0000-0000-0000A2150000}"/>
    <cellStyle name="Celda de comprobación 7 17 3" xfId="2991" xr:uid="{00000000-0005-0000-0000-0000A3150000}"/>
    <cellStyle name="Celda de comprobación 7 17 4" xfId="2992" xr:uid="{00000000-0005-0000-0000-0000A4150000}"/>
    <cellStyle name="Celda de comprobación 7 18" xfId="2993" xr:uid="{00000000-0005-0000-0000-0000A5150000}"/>
    <cellStyle name="Celda de comprobación 7 18 2" xfId="2994" xr:uid="{00000000-0005-0000-0000-0000A6150000}"/>
    <cellStyle name="Celda de comprobación 7 18 3" xfId="2995" xr:uid="{00000000-0005-0000-0000-0000A7150000}"/>
    <cellStyle name="Celda de comprobación 7 18 4" xfId="2996" xr:uid="{00000000-0005-0000-0000-0000A8150000}"/>
    <cellStyle name="Celda de comprobación 7 19" xfId="2997" xr:uid="{00000000-0005-0000-0000-0000A9150000}"/>
    <cellStyle name="Celda de comprobación 7 19 2" xfId="2998" xr:uid="{00000000-0005-0000-0000-0000AA150000}"/>
    <cellStyle name="Celda de comprobación 7 19 3" xfId="2999" xr:uid="{00000000-0005-0000-0000-0000AB150000}"/>
    <cellStyle name="Celda de comprobación 7 19 4" xfId="3000" xr:uid="{00000000-0005-0000-0000-0000AC150000}"/>
    <cellStyle name="Celda de comprobación 7 2" xfId="3001" xr:uid="{00000000-0005-0000-0000-0000AD150000}"/>
    <cellStyle name="Celda de comprobación 7 2 2" xfId="3002" xr:uid="{00000000-0005-0000-0000-0000AE150000}"/>
    <cellStyle name="Celda de comprobación 7 2 3" xfId="3003" xr:uid="{00000000-0005-0000-0000-0000AF150000}"/>
    <cellStyle name="Celda de comprobación 7 2 4" xfId="3004" xr:uid="{00000000-0005-0000-0000-0000B0150000}"/>
    <cellStyle name="Celda de comprobación 7 2 5" xfId="12897" xr:uid="{00000000-0005-0000-0000-0000B1150000}"/>
    <cellStyle name="Celda de comprobación 7 20" xfId="3005" xr:uid="{00000000-0005-0000-0000-0000B2150000}"/>
    <cellStyle name="Celda de comprobación 7 20 2" xfId="3006" xr:uid="{00000000-0005-0000-0000-0000B3150000}"/>
    <cellStyle name="Celda de comprobación 7 20 3" xfId="3007" xr:uid="{00000000-0005-0000-0000-0000B4150000}"/>
    <cellStyle name="Celda de comprobación 7 20 4" xfId="3008" xr:uid="{00000000-0005-0000-0000-0000B5150000}"/>
    <cellStyle name="Celda de comprobación 7 21" xfId="3009" xr:uid="{00000000-0005-0000-0000-0000B6150000}"/>
    <cellStyle name="Celda de comprobación 7 21 2" xfId="3010" xr:uid="{00000000-0005-0000-0000-0000B7150000}"/>
    <cellStyle name="Celda de comprobación 7 21 3" xfId="3011" xr:uid="{00000000-0005-0000-0000-0000B8150000}"/>
    <cellStyle name="Celda de comprobación 7 21 4" xfId="3012" xr:uid="{00000000-0005-0000-0000-0000B9150000}"/>
    <cellStyle name="Celda de comprobación 7 22" xfId="3013" xr:uid="{00000000-0005-0000-0000-0000BA150000}"/>
    <cellStyle name="Celda de comprobación 7 22 2" xfId="3014" xr:uid="{00000000-0005-0000-0000-0000BB150000}"/>
    <cellStyle name="Celda de comprobación 7 22 3" xfId="3015" xr:uid="{00000000-0005-0000-0000-0000BC150000}"/>
    <cellStyle name="Celda de comprobación 7 22 4" xfId="3016" xr:uid="{00000000-0005-0000-0000-0000BD150000}"/>
    <cellStyle name="Celda de comprobación 7 23" xfId="3017" xr:uid="{00000000-0005-0000-0000-0000BE150000}"/>
    <cellStyle name="Celda de comprobación 7 23 2" xfId="3018" xr:uid="{00000000-0005-0000-0000-0000BF150000}"/>
    <cellStyle name="Celda de comprobación 7 23 3" xfId="3019" xr:uid="{00000000-0005-0000-0000-0000C0150000}"/>
    <cellStyle name="Celda de comprobación 7 23 4" xfId="3020" xr:uid="{00000000-0005-0000-0000-0000C1150000}"/>
    <cellStyle name="Celda de comprobación 7 24" xfId="3021" xr:uid="{00000000-0005-0000-0000-0000C2150000}"/>
    <cellStyle name="Celda de comprobación 7 24 2" xfId="3022" xr:uid="{00000000-0005-0000-0000-0000C3150000}"/>
    <cellStyle name="Celda de comprobación 7 24 3" xfId="3023" xr:uid="{00000000-0005-0000-0000-0000C4150000}"/>
    <cellStyle name="Celda de comprobación 7 24 4" xfId="3024" xr:uid="{00000000-0005-0000-0000-0000C5150000}"/>
    <cellStyle name="Celda de comprobación 7 25" xfId="3025" xr:uid="{00000000-0005-0000-0000-0000C6150000}"/>
    <cellStyle name="Celda de comprobación 7 25 2" xfId="3026" xr:uid="{00000000-0005-0000-0000-0000C7150000}"/>
    <cellStyle name="Celda de comprobación 7 25 3" xfId="3027" xr:uid="{00000000-0005-0000-0000-0000C8150000}"/>
    <cellStyle name="Celda de comprobación 7 25 4" xfId="3028" xr:uid="{00000000-0005-0000-0000-0000C9150000}"/>
    <cellStyle name="Celda de comprobación 7 26" xfId="3029" xr:uid="{00000000-0005-0000-0000-0000CA150000}"/>
    <cellStyle name="Celda de comprobación 7 26 2" xfId="3030" xr:uid="{00000000-0005-0000-0000-0000CB150000}"/>
    <cellStyle name="Celda de comprobación 7 26 3" xfId="3031" xr:uid="{00000000-0005-0000-0000-0000CC150000}"/>
    <cellStyle name="Celda de comprobación 7 26 4" xfId="3032" xr:uid="{00000000-0005-0000-0000-0000CD150000}"/>
    <cellStyle name="Celda de comprobación 7 27" xfId="3033" xr:uid="{00000000-0005-0000-0000-0000CE150000}"/>
    <cellStyle name="Celda de comprobación 7 27 2" xfId="3034" xr:uid="{00000000-0005-0000-0000-0000CF150000}"/>
    <cellStyle name="Celda de comprobación 7 27 3" xfId="3035" xr:uid="{00000000-0005-0000-0000-0000D0150000}"/>
    <cellStyle name="Celda de comprobación 7 27 4" xfId="3036" xr:uid="{00000000-0005-0000-0000-0000D1150000}"/>
    <cellStyle name="Celda de comprobación 7 28" xfId="3037" xr:uid="{00000000-0005-0000-0000-0000D2150000}"/>
    <cellStyle name="Celda de comprobación 7 28 2" xfId="3038" xr:uid="{00000000-0005-0000-0000-0000D3150000}"/>
    <cellStyle name="Celda de comprobación 7 28 3" xfId="3039" xr:uid="{00000000-0005-0000-0000-0000D4150000}"/>
    <cellStyle name="Celda de comprobación 7 28 4" xfId="3040" xr:uid="{00000000-0005-0000-0000-0000D5150000}"/>
    <cellStyle name="Celda de comprobación 7 29" xfId="3041" xr:uid="{00000000-0005-0000-0000-0000D6150000}"/>
    <cellStyle name="Celda de comprobación 7 29 2" xfId="3042" xr:uid="{00000000-0005-0000-0000-0000D7150000}"/>
    <cellStyle name="Celda de comprobación 7 29 3" xfId="3043" xr:uid="{00000000-0005-0000-0000-0000D8150000}"/>
    <cellStyle name="Celda de comprobación 7 29 4" xfId="3044" xr:uid="{00000000-0005-0000-0000-0000D9150000}"/>
    <cellStyle name="Celda de comprobación 7 3" xfId="3045" xr:uid="{00000000-0005-0000-0000-0000DA150000}"/>
    <cellStyle name="Celda de comprobación 7 3 2" xfId="3046" xr:uid="{00000000-0005-0000-0000-0000DB150000}"/>
    <cellStyle name="Celda de comprobación 7 3 3" xfId="3047" xr:uid="{00000000-0005-0000-0000-0000DC150000}"/>
    <cellStyle name="Celda de comprobación 7 3 4" xfId="3048" xr:uid="{00000000-0005-0000-0000-0000DD150000}"/>
    <cellStyle name="Celda de comprobación 7 30" xfId="3049" xr:uid="{00000000-0005-0000-0000-0000DE150000}"/>
    <cellStyle name="Celda de comprobación 7 30 2" xfId="3050" xr:uid="{00000000-0005-0000-0000-0000DF150000}"/>
    <cellStyle name="Celda de comprobación 7 30 3" xfId="3051" xr:uid="{00000000-0005-0000-0000-0000E0150000}"/>
    <cellStyle name="Celda de comprobación 7 30 4" xfId="3052" xr:uid="{00000000-0005-0000-0000-0000E1150000}"/>
    <cellStyle name="Celda de comprobación 7 31" xfId="3053" xr:uid="{00000000-0005-0000-0000-0000E2150000}"/>
    <cellStyle name="Celda de comprobación 7 31 2" xfId="3054" xr:uid="{00000000-0005-0000-0000-0000E3150000}"/>
    <cellStyle name="Celda de comprobación 7 31 3" xfId="3055" xr:uid="{00000000-0005-0000-0000-0000E4150000}"/>
    <cellStyle name="Celda de comprobación 7 31 4" xfId="3056" xr:uid="{00000000-0005-0000-0000-0000E5150000}"/>
    <cellStyle name="Celda de comprobación 7 32" xfId="3057" xr:uid="{00000000-0005-0000-0000-0000E6150000}"/>
    <cellStyle name="Celda de comprobación 7 32 2" xfId="3058" xr:uid="{00000000-0005-0000-0000-0000E7150000}"/>
    <cellStyle name="Celda de comprobación 7 32 3" xfId="3059" xr:uid="{00000000-0005-0000-0000-0000E8150000}"/>
    <cellStyle name="Celda de comprobación 7 32 4" xfId="3060" xr:uid="{00000000-0005-0000-0000-0000E9150000}"/>
    <cellStyle name="Celda de comprobación 7 33" xfId="3061" xr:uid="{00000000-0005-0000-0000-0000EA150000}"/>
    <cellStyle name="Celda de comprobación 7 33 2" xfId="3062" xr:uid="{00000000-0005-0000-0000-0000EB150000}"/>
    <cellStyle name="Celda de comprobación 7 33 3" xfId="3063" xr:uid="{00000000-0005-0000-0000-0000EC150000}"/>
    <cellStyle name="Celda de comprobación 7 33 4" xfId="3064" xr:uid="{00000000-0005-0000-0000-0000ED150000}"/>
    <cellStyle name="Celda de comprobación 7 34" xfId="3065" xr:uid="{00000000-0005-0000-0000-0000EE150000}"/>
    <cellStyle name="Celda de comprobación 7 34 2" xfId="3066" xr:uid="{00000000-0005-0000-0000-0000EF150000}"/>
    <cellStyle name="Celda de comprobación 7 34 3" xfId="3067" xr:uid="{00000000-0005-0000-0000-0000F0150000}"/>
    <cellStyle name="Celda de comprobación 7 34 4" xfId="3068" xr:uid="{00000000-0005-0000-0000-0000F1150000}"/>
    <cellStyle name="Celda de comprobación 7 35" xfId="3069" xr:uid="{00000000-0005-0000-0000-0000F2150000}"/>
    <cellStyle name="Celda de comprobación 7 35 2" xfId="3070" xr:uid="{00000000-0005-0000-0000-0000F3150000}"/>
    <cellStyle name="Celda de comprobación 7 35 3" xfId="3071" xr:uid="{00000000-0005-0000-0000-0000F4150000}"/>
    <cellStyle name="Celda de comprobación 7 35 4" xfId="3072" xr:uid="{00000000-0005-0000-0000-0000F5150000}"/>
    <cellStyle name="Celda de comprobación 7 36" xfId="3073" xr:uid="{00000000-0005-0000-0000-0000F6150000}"/>
    <cellStyle name="Celda de comprobación 7 36 2" xfId="3074" xr:uid="{00000000-0005-0000-0000-0000F7150000}"/>
    <cellStyle name="Celda de comprobación 7 36 3" xfId="3075" xr:uid="{00000000-0005-0000-0000-0000F8150000}"/>
    <cellStyle name="Celda de comprobación 7 36 4" xfId="3076" xr:uid="{00000000-0005-0000-0000-0000F9150000}"/>
    <cellStyle name="Celda de comprobación 7 37" xfId="3077" xr:uid="{00000000-0005-0000-0000-0000FA150000}"/>
    <cellStyle name="Celda de comprobación 7 38" xfId="3078" xr:uid="{00000000-0005-0000-0000-0000FB150000}"/>
    <cellStyle name="Celda de comprobación 7 39" xfId="3079" xr:uid="{00000000-0005-0000-0000-0000FC150000}"/>
    <cellStyle name="Celda de comprobación 7 4" xfId="3080" xr:uid="{00000000-0005-0000-0000-0000FD150000}"/>
    <cellStyle name="Celda de comprobación 7 4 2" xfId="3081" xr:uid="{00000000-0005-0000-0000-0000FE150000}"/>
    <cellStyle name="Celda de comprobación 7 4 3" xfId="3082" xr:uid="{00000000-0005-0000-0000-0000FF150000}"/>
    <cellStyle name="Celda de comprobación 7 4 4" xfId="3083" xr:uid="{00000000-0005-0000-0000-000000160000}"/>
    <cellStyle name="Celda de comprobación 7 40" xfId="3084" xr:uid="{00000000-0005-0000-0000-000001160000}"/>
    <cellStyle name="Celda de comprobación 7 41" xfId="3085" xr:uid="{00000000-0005-0000-0000-000002160000}"/>
    <cellStyle name="Celda de comprobación 7 42" xfId="3086" xr:uid="{00000000-0005-0000-0000-000003160000}"/>
    <cellStyle name="Celda de comprobación 7 43" xfId="3087" xr:uid="{00000000-0005-0000-0000-000004160000}"/>
    <cellStyle name="Celda de comprobación 7 44" xfId="3088" xr:uid="{00000000-0005-0000-0000-000005160000}"/>
    <cellStyle name="Celda de comprobación 7 45" xfId="3089" xr:uid="{00000000-0005-0000-0000-000006160000}"/>
    <cellStyle name="Celda de comprobación 7 46" xfId="3090" xr:uid="{00000000-0005-0000-0000-000007160000}"/>
    <cellStyle name="Celda de comprobación 7 47" xfId="3091" xr:uid="{00000000-0005-0000-0000-000008160000}"/>
    <cellStyle name="Celda de comprobación 7 48" xfId="3092" xr:uid="{00000000-0005-0000-0000-000009160000}"/>
    <cellStyle name="Celda de comprobación 7 49" xfId="3093" xr:uid="{00000000-0005-0000-0000-00000A160000}"/>
    <cellStyle name="Celda de comprobación 7 5" xfId="3094" xr:uid="{00000000-0005-0000-0000-00000B160000}"/>
    <cellStyle name="Celda de comprobación 7 5 2" xfId="3095" xr:uid="{00000000-0005-0000-0000-00000C160000}"/>
    <cellStyle name="Celda de comprobación 7 5 3" xfId="3096" xr:uid="{00000000-0005-0000-0000-00000D160000}"/>
    <cellStyle name="Celda de comprobación 7 5 4" xfId="3097" xr:uid="{00000000-0005-0000-0000-00000E160000}"/>
    <cellStyle name="Celda de comprobación 7 50" xfId="3098" xr:uid="{00000000-0005-0000-0000-00000F160000}"/>
    <cellStyle name="Celda de comprobación 7 51" xfId="3099" xr:uid="{00000000-0005-0000-0000-000010160000}"/>
    <cellStyle name="Celda de comprobación 7 6" xfId="3100" xr:uid="{00000000-0005-0000-0000-000011160000}"/>
    <cellStyle name="Celda de comprobación 7 6 2" xfId="3101" xr:uid="{00000000-0005-0000-0000-000012160000}"/>
    <cellStyle name="Celda de comprobación 7 6 3" xfId="3102" xr:uid="{00000000-0005-0000-0000-000013160000}"/>
    <cellStyle name="Celda de comprobación 7 6 4" xfId="3103" xr:uid="{00000000-0005-0000-0000-000014160000}"/>
    <cellStyle name="Celda de comprobación 7 7" xfId="3104" xr:uid="{00000000-0005-0000-0000-000015160000}"/>
    <cellStyle name="Celda de comprobación 7 7 2" xfId="3105" xr:uid="{00000000-0005-0000-0000-000016160000}"/>
    <cellStyle name="Celda de comprobación 7 7 3" xfId="3106" xr:uid="{00000000-0005-0000-0000-000017160000}"/>
    <cellStyle name="Celda de comprobación 7 7 4" xfId="3107" xr:uid="{00000000-0005-0000-0000-000018160000}"/>
    <cellStyle name="Celda de comprobación 7 8" xfId="3108" xr:uid="{00000000-0005-0000-0000-000019160000}"/>
    <cellStyle name="Celda de comprobación 7 8 2" xfId="3109" xr:uid="{00000000-0005-0000-0000-00001A160000}"/>
    <cellStyle name="Celda de comprobación 7 8 3" xfId="3110" xr:uid="{00000000-0005-0000-0000-00001B160000}"/>
    <cellStyle name="Celda de comprobación 7 8 4" xfId="3111" xr:uid="{00000000-0005-0000-0000-00001C160000}"/>
    <cellStyle name="Celda de comprobación 7 9" xfId="3112" xr:uid="{00000000-0005-0000-0000-00001D160000}"/>
    <cellStyle name="Celda de comprobación 7 9 2" xfId="3113" xr:uid="{00000000-0005-0000-0000-00001E160000}"/>
    <cellStyle name="Celda de comprobación 7 9 3" xfId="3114" xr:uid="{00000000-0005-0000-0000-00001F160000}"/>
    <cellStyle name="Celda de comprobación 7 9 4" xfId="3115" xr:uid="{00000000-0005-0000-0000-000020160000}"/>
    <cellStyle name="Celda de comprobación 8" xfId="3116" xr:uid="{00000000-0005-0000-0000-000021160000}"/>
    <cellStyle name="Celda de comprobación 8 10" xfId="3117" xr:uid="{00000000-0005-0000-0000-000022160000}"/>
    <cellStyle name="Celda de comprobación 8 10 2" xfId="3118" xr:uid="{00000000-0005-0000-0000-000023160000}"/>
    <cellStyle name="Celda de comprobación 8 10 3" xfId="3119" xr:uid="{00000000-0005-0000-0000-000024160000}"/>
    <cellStyle name="Celda de comprobación 8 10 4" xfId="3120" xr:uid="{00000000-0005-0000-0000-000025160000}"/>
    <cellStyle name="Celda de comprobación 8 11" xfId="3121" xr:uid="{00000000-0005-0000-0000-000026160000}"/>
    <cellStyle name="Celda de comprobación 8 11 2" xfId="3122" xr:uid="{00000000-0005-0000-0000-000027160000}"/>
    <cellStyle name="Celda de comprobación 8 11 3" xfId="3123" xr:uid="{00000000-0005-0000-0000-000028160000}"/>
    <cellStyle name="Celda de comprobación 8 11 4" xfId="3124" xr:uid="{00000000-0005-0000-0000-000029160000}"/>
    <cellStyle name="Celda de comprobación 8 12" xfId="3125" xr:uid="{00000000-0005-0000-0000-00002A160000}"/>
    <cellStyle name="Celda de comprobación 8 12 2" xfId="3126" xr:uid="{00000000-0005-0000-0000-00002B160000}"/>
    <cellStyle name="Celda de comprobación 8 12 3" xfId="3127" xr:uid="{00000000-0005-0000-0000-00002C160000}"/>
    <cellStyle name="Celda de comprobación 8 12 4" xfId="3128" xr:uid="{00000000-0005-0000-0000-00002D160000}"/>
    <cellStyle name="Celda de comprobación 8 13" xfId="3129" xr:uid="{00000000-0005-0000-0000-00002E160000}"/>
    <cellStyle name="Celda de comprobación 8 13 2" xfId="3130" xr:uid="{00000000-0005-0000-0000-00002F160000}"/>
    <cellStyle name="Celda de comprobación 8 13 3" xfId="3131" xr:uid="{00000000-0005-0000-0000-000030160000}"/>
    <cellStyle name="Celda de comprobación 8 13 4" xfId="3132" xr:uid="{00000000-0005-0000-0000-000031160000}"/>
    <cellStyle name="Celda de comprobación 8 14" xfId="3133" xr:uid="{00000000-0005-0000-0000-000032160000}"/>
    <cellStyle name="Celda de comprobación 8 14 2" xfId="3134" xr:uid="{00000000-0005-0000-0000-000033160000}"/>
    <cellStyle name="Celda de comprobación 8 14 3" xfId="3135" xr:uid="{00000000-0005-0000-0000-000034160000}"/>
    <cellStyle name="Celda de comprobación 8 14 4" xfId="3136" xr:uid="{00000000-0005-0000-0000-000035160000}"/>
    <cellStyle name="Celda de comprobación 8 15" xfId="3137" xr:uid="{00000000-0005-0000-0000-000036160000}"/>
    <cellStyle name="Celda de comprobación 8 15 2" xfId="3138" xr:uid="{00000000-0005-0000-0000-000037160000}"/>
    <cellStyle name="Celda de comprobación 8 15 3" xfId="3139" xr:uid="{00000000-0005-0000-0000-000038160000}"/>
    <cellStyle name="Celda de comprobación 8 15 4" xfId="3140" xr:uid="{00000000-0005-0000-0000-000039160000}"/>
    <cellStyle name="Celda de comprobación 8 16" xfId="3141" xr:uid="{00000000-0005-0000-0000-00003A160000}"/>
    <cellStyle name="Celda de comprobación 8 16 2" xfId="3142" xr:uid="{00000000-0005-0000-0000-00003B160000}"/>
    <cellStyle name="Celda de comprobación 8 16 3" xfId="3143" xr:uid="{00000000-0005-0000-0000-00003C160000}"/>
    <cellStyle name="Celda de comprobación 8 16 4" xfId="3144" xr:uid="{00000000-0005-0000-0000-00003D160000}"/>
    <cellStyle name="Celda de comprobación 8 17" xfId="3145" xr:uid="{00000000-0005-0000-0000-00003E160000}"/>
    <cellStyle name="Celda de comprobación 8 17 2" xfId="3146" xr:uid="{00000000-0005-0000-0000-00003F160000}"/>
    <cellStyle name="Celda de comprobación 8 17 3" xfId="3147" xr:uid="{00000000-0005-0000-0000-000040160000}"/>
    <cellStyle name="Celda de comprobación 8 17 4" xfId="3148" xr:uid="{00000000-0005-0000-0000-000041160000}"/>
    <cellStyle name="Celda de comprobación 8 18" xfId="3149" xr:uid="{00000000-0005-0000-0000-000042160000}"/>
    <cellStyle name="Celda de comprobación 8 18 2" xfId="3150" xr:uid="{00000000-0005-0000-0000-000043160000}"/>
    <cellStyle name="Celda de comprobación 8 18 3" xfId="3151" xr:uid="{00000000-0005-0000-0000-000044160000}"/>
    <cellStyle name="Celda de comprobación 8 18 4" xfId="3152" xr:uid="{00000000-0005-0000-0000-000045160000}"/>
    <cellStyle name="Celda de comprobación 8 19" xfId="3153" xr:uid="{00000000-0005-0000-0000-000046160000}"/>
    <cellStyle name="Celda de comprobación 8 19 2" xfId="3154" xr:uid="{00000000-0005-0000-0000-000047160000}"/>
    <cellStyle name="Celda de comprobación 8 19 3" xfId="3155" xr:uid="{00000000-0005-0000-0000-000048160000}"/>
    <cellStyle name="Celda de comprobación 8 19 4" xfId="3156" xr:uid="{00000000-0005-0000-0000-000049160000}"/>
    <cellStyle name="Celda de comprobación 8 2" xfId="3157" xr:uid="{00000000-0005-0000-0000-00004A160000}"/>
    <cellStyle name="Celda de comprobación 8 2 2" xfId="3158" xr:uid="{00000000-0005-0000-0000-00004B160000}"/>
    <cellStyle name="Celda de comprobación 8 2 3" xfId="3159" xr:uid="{00000000-0005-0000-0000-00004C160000}"/>
    <cellStyle name="Celda de comprobación 8 2 4" xfId="3160" xr:uid="{00000000-0005-0000-0000-00004D160000}"/>
    <cellStyle name="Celda de comprobación 8 2 5" xfId="12898" xr:uid="{00000000-0005-0000-0000-00004E160000}"/>
    <cellStyle name="Celda de comprobación 8 20" xfId="3161" xr:uid="{00000000-0005-0000-0000-00004F160000}"/>
    <cellStyle name="Celda de comprobación 8 20 2" xfId="3162" xr:uid="{00000000-0005-0000-0000-000050160000}"/>
    <cellStyle name="Celda de comprobación 8 20 3" xfId="3163" xr:uid="{00000000-0005-0000-0000-000051160000}"/>
    <cellStyle name="Celda de comprobación 8 20 4" xfId="3164" xr:uid="{00000000-0005-0000-0000-000052160000}"/>
    <cellStyle name="Celda de comprobación 8 21" xfId="3165" xr:uid="{00000000-0005-0000-0000-000053160000}"/>
    <cellStyle name="Celda de comprobación 8 21 2" xfId="3166" xr:uid="{00000000-0005-0000-0000-000054160000}"/>
    <cellStyle name="Celda de comprobación 8 21 3" xfId="3167" xr:uid="{00000000-0005-0000-0000-000055160000}"/>
    <cellStyle name="Celda de comprobación 8 21 4" xfId="3168" xr:uid="{00000000-0005-0000-0000-000056160000}"/>
    <cellStyle name="Celda de comprobación 8 22" xfId="3169" xr:uid="{00000000-0005-0000-0000-000057160000}"/>
    <cellStyle name="Celda de comprobación 8 22 2" xfId="3170" xr:uid="{00000000-0005-0000-0000-000058160000}"/>
    <cellStyle name="Celda de comprobación 8 22 3" xfId="3171" xr:uid="{00000000-0005-0000-0000-000059160000}"/>
    <cellStyle name="Celda de comprobación 8 22 4" xfId="3172" xr:uid="{00000000-0005-0000-0000-00005A160000}"/>
    <cellStyle name="Celda de comprobación 8 23" xfId="3173" xr:uid="{00000000-0005-0000-0000-00005B160000}"/>
    <cellStyle name="Celda de comprobación 8 23 2" xfId="3174" xr:uid="{00000000-0005-0000-0000-00005C160000}"/>
    <cellStyle name="Celda de comprobación 8 23 3" xfId="3175" xr:uid="{00000000-0005-0000-0000-00005D160000}"/>
    <cellStyle name="Celda de comprobación 8 23 4" xfId="3176" xr:uid="{00000000-0005-0000-0000-00005E160000}"/>
    <cellStyle name="Celda de comprobación 8 24" xfId="3177" xr:uid="{00000000-0005-0000-0000-00005F160000}"/>
    <cellStyle name="Celda de comprobación 8 24 2" xfId="3178" xr:uid="{00000000-0005-0000-0000-000060160000}"/>
    <cellStyle name="Celda de comprobación 8 24 3" xfId="3179" xr:uid="{00000000-0005-0000-0000-000061160000}"/>
    <cellStyle name="Celda de comprobación 8 24 4" xfId="3180" xr:uid="{00000000-0005-0000-0000-000062160000}"/>
    <cellStyle name="Celda de comprobación 8 25" xfId="3181" xr:uid="{00000000-0005-0000-0000-000063160000}"/>
    <cellStyle name="Celda de comprobación 8 25 2" xfId="3182" xr:uid="{00000000-0005-0000-0000-000064160000}"/>
    <cellStyle name="Celda de comprobación 8 25 3" xfId="3183" xr:uid="{00000000-0005-0000-0000-000065160000}"/>
    <cellStyle name="Celda de comprobación 8 25 4" xfId="3184" xr:uid="{00000000-0005-0000-0000-000066160000}"/>
    <cellStyle name="Celda de comprobación 8 26" xfId="3185" xr:uid="{00000000-0005-0000-0000-000067160000}"/>
    <cellStyle name="Celda de comprobación 8 26 2" xfId="3186" xr:uid="{00000000-0005-0000-0000-000068160000}"/>
    <cellStyle name="Celda de comprobación 8 26 3" xfId="3187" xr:uid="{00000000-0005-0000-0000-000069160000}"/>
    <cellStyle name="Celda de comprobación 8 26 4" xfId="3188" xr:uid="{00000000-0005-0000-0000-00006A160000}"/>
    <cellStyle name="Celda de comprobación 8 27" xfId="3189" xr:uid="{00000000-0005-0000-0000-00006B160000}"/>
    <cellStyle name="Celda de comprobación 8 27 2" xfId="3190" xr:uid="{00000000-0005-0000-0000-00006C160000}"/>
    <cellStyle name="Celda de comprobación 8 27 3" xfId="3191" xr:uid="{00000000-0005-0000-0000-00006D160000}"/>
    <cellStyle name="Celda de comprobación 8 27 4" xfId="3192" xr:uid="{00000000-0005-0000-0000-00006E160000}"/>
    <cellStyle name="Celda de comprobación 8 28" xfId="3193" xr:uid="{00000000-0005-0000-0000-00006F160000}"/>
    <cellStyle name="Celda de comprobación 8 28 2" xfId="3194" xr:uid="{00000000-0005-0000-0000-000070160000}"/>
    <cellStyle name="Celda de comprobación 8 28 3" xfId="3195" xr:uid="{00000000-0005-0000-0000-000071160000}"/>
    <cellStyle name="Celda de comprobación 8 28 4" xfId="3196" xr:uid="{00000000-0005-0000-0000-000072160000}"/>
    <cellStyle name="Celda de comprobación 8 29" xfId="3197" xr:uid="{00000000-0005-0000-0000-000073160000}"/>
    <cellStyle name="Celda de comprobación 8 29 2" xfId="3198" xr:uid="{00000000-0005-0000-0000-000074160000}"/>
    <cellStyle name="Celda de comprobación 8 29 3" xfId="3199" xr:uid="{00000000-0005-0000-0000-000075160000}"/>
    <cellStyle name="Celda de comprobación 8 29 4" xfId="3200" xr:uid="{00000000-0005-0000-0000-000076160000}"/>
    <cellStyle name="Celda de comprobación 8 3" xfId="3201" xr:uid="{00000000-0005-0000-0000-000077160000}"/>
    <cellStyle name="Celda de comprobación 8 3 2" xfId="3202" xr:uid="{00000000-0005-0000-0000-000078160000}"/>
    <cellStyle name="Celda de comprobación 8 3 3" xfId="3203" xr:uid="{00000000-0005-0000-0000-000079160000}"/>
    <cellStyle name="Celda de comprobación 8 3 4" xfId="3204" xr:uid="{00000000-0005-0000-0000-00007A160000}"/>
    <cellStyle name="Celda de comprobación 8 30" xfId="3205" xr:uid="{00000000-0005-0000-0000-00007B160000}"/>
    <cellStyle name="Celda de comprobación 8 30 2" xfId="3206" xr:uid="{00000000-0005-0000-0000-00007C160000}"/>
    <cellStyle name="Celda de comprobación 8 30 3" xfId="3207" xr:uid="{00000000-0005-0000-0000-00007D160000}"/>
    <cellStyle name="Celda de comprobación 8 30 4" xfId="3208" xr:uid="{00000000-0005-0000-0000-00007E160000}"/>
    <cellStyle name="Celda de comprobación 8 31" xfId="3209" xr:uid="{00000000-0005-0000-0000-00007F160000}"/>
    <cellStyle name="Celda de comprobación 8 31 2" xfId="3210" xr:uid="{00000000-0005-0000-0000-000080160000}"/>
    <cellStyle name="Celda de comprobación 8 31 3" xfId="3211" xr:uid="{00000000-0005-0000-0000-000081160000}"/>
    <cellStyle name="Celda de comprobación 8 31 4" xfId="3212" xr:uid="{00000000-0005-0000-0000-000082160000}"/>
    <cellStyle name="Celda de comprobación 8 32" xfId="3213" xr:uid="{00000000-0005-0000-0000-000083160000}"/>
    <cellStyle name="Celda de comprobación 8 32 2" xfId="3214" xr:uid="{00000000-0005-0000-0000-000084160000}"/>
    <cellStyle name="Celda de comprobación 8 32 3" xfId="3215" xr:uid="{00000000-0005-0000-0000-000085160000}"/>
    <cellStyle name="Celda de comprobación 8 32 4" xfId="3216" xr:uid="{00000000-0005-0000-0000-000086160000}"/>
    <cellStyle name="Celda de comprobación 8 33" xfId="3217" xr:uid="{00000000-0005-0000-0000-000087160000}"/>
    <cellStyle name="Celda de comprobación 8 33 2" xfId="3218" xr:uid="{00000000-0005-0000-0000-000088160000}"/>
    <cellStyle name="Celda de comprobación 8 33 3" xfId="3219" xr:uid="{00000000-0005-0000-0000-000089160000}"/>
    <cellStyle name="Celda de comprobación 8 33 4" xfId="3220" xr:uid="{00000000-0005-0000-0000-00008A160000}"/>
    <cellStyle name="Celda de comprobación 8 34" xfId="3221" xr:uid="{00000000-0005-0000-0000-00008B160000}"/>
    <cellStyle name="Celda de comprobación 8 34 2" xfId="3222" xr:uid="{00000000-0005-0000-0000-00008C160000}"/>
    <cellStyle name="Celda de comprobación 8 34 3" xfId="3223" xr:uid="{00000000-0005-0000-0000-00008D160000}"/>
    <cellStyle name="Celda de comprobación 8 34 4" xfId="3224" xr:uid="{00000000-0005-0000-0000-00008E160000}"/>
    <cellStyle name="Celda de comprobación 8 35" xfId="3225" xr:uid="{00000000-0005-0000-0000-00008F160000}"/>
    <cellStyle name="Celda de comprobación 8 35 2" xfId="3226" xr:uid="{00000000-0005-0000-0000-000090160000}"/>
    <cellStyle name="Celda de comprobación 8 35 3" xfId="3227" xr:uid="{00000000-0005-0000-0000-000091160000}"/>
    <cellStyle name="Celda de comprobación 8 35 4" xfId="3228" xr:uid="{00000000-0005-0000-0000-000092160000}"/>
    <cellStyle name="Celda de comprobación 8 36" xfId="3229" xr:uid="{00000000-0005-0000-0000-000093160000}"/>
    <cellStyle name="Celda de comprobación 8 36 2" xfId="3230" xr:uid="{00000000-0005-0000-0000-000094160000}"/>
    <cellStyle name="Celda de comprobación 8 36 3" xfId="3231" xr:uid="{00000000-0005-0000-0000-000095160000}"/>
    <cellStyle name="Celda de comprobación 8 36 4" xfId="3232" xr:uid="{00000000-0005-0000-0000-000096160000}"/>
    <cellStyle name="Celda de comprobación 8 37" xfId="3233" xr:uid="{00000000-0005-0000-0000-000097160000}"/>
    <cellStyle name="Celda de comprobación 8 38" xfId="3234" xr:uid="{00000000-0005-0000-0000-000098160000}"/>
    <cellStyle name="Celda de comprobación 8 39" xfId="3235" xr:uid="{00000000-0005-0000-0000-000099160000}"/>
    <cellStyle name="Celda de comprobación 8 4" xfId="3236" xr:uid="{00000000-0005-0000-0000-00009A160000}"/>
    <cellStyle name="Celda de comprobación 8 4 2" xfId="3237" xr:uid="{00000000-0005-0000-0000-00009B160000}"/>
    <cellStyle name="Celda de comprobación 8 4 3" xfId="3238" xr:uid="{00000000-0005-0000-0000-00009C160000}"/>
    <cellStyle name="Celda de comprobación 8 4 4" xfId="3239" xr:uid="{00000000-0005-0000-0000-00009D160000}"/>
    <cellStyle name="Celda de comprobación 8 40" xfId="3240" xr:uid="{00000000-0005-0000-0000-00009E160000}"/>
    <cellStyle name="Celda de comprobación 8 41" xfId="3241" xr:uid="{00000000-0005-0000-0000-00009F160000}"/>
    <cellStyle name="Celda de comprobación 8 42" xfId="3242" xr:uid="{00000000-0005-0000-0000-0000A0160000}"/>
    <cellStyle name="Celda de comprobación 8 43" xfId="3243" xr:uid="{00000000-0005-0000-0000-0000A1160000}"/>
    <cellStyle name="Celda de comprobación 8 44" xfId="3244" xr:uid="{00000000-0005-0000-0000-0000A2160000}"/>
    <cellStyle name="Celda de comprobación 8 45" xfId="3245" xr:uid="{00000000-0005-0000-0000-0000A3160000}"/>
    <cellStyle name="Celda de comprobación 8 46" xfId="3246" xr:uid="{00000000-0005-0000-0000-0000A4160000}"/>
    <cellStyle name="Celda de comprobación 8 47" xfId="3247" xr:uid="{00000000-0005-0000-0000-0000A5160000}"/>
    <cellStyle name="Celda de comprobación 8 48" xfId="3248" xr:uid="{00000000-0005-0000-0000-0000A6160000}"/>
    <cellStyle name="Celda de comprobación 8 49" xfId="3249" xr:uid="{00000000-0005-0000-0000-0000A7160000}"/>
    <cellStyle name="Celda de comprobación 8 5" xfId="3250" xr:uid="{00000000-0005-0000-0000-0000A8160000}"/>
    <cellStyle name="Celda de comprobación 8 5 2" xfId="3251" xr:uid="{00000000-0005-0000-0000-0000A9160000}"/>
    <cellStyle name="Celda de comprobación 8 5 3" xfId="3252" xr:uid="{00000000-0005-0000-0000-0000AA160000}"/>
    <cellStyle name="Celda de comprobación 8 5 4" xfId="3253" xr:uid="{00000000-0005-0000-0000-0000AB160000}"/>
    <cellStyle name="Celda de comprobación 8 50" xfId="3254" xr:uid="{00000000-0005-0000-0000-0000AC160000}"/>
    <cellStyle name="Celda de comprobación 8 51" xfId="3255" xr:uid="{00000000-0005-0000-0000-0000AD160000}"/>
    <cellStyle name="Celda de comprobación 8 6" xfId="3256" xr:uid="{00000000-0005-0000-0000-0000AE160000}"/>
    <cellStyle name="Celda de comprobación 8 6 2" xfId="3257" xr:uid="{00000000-0005-0000-0000-0000AF160000}"/>
    <cellStyle name="Celda de comprobación 8 6 3" xfId="3258" xr:uid="{00000000-0005-0000-0000-0000B0160000}"/>
    <cellStyle name="Celda de comprobación 8 6 4" xfId="3259" xr:uid="{00000000-0005-0000-0000-0000B1160000}"/>
    <cellStyle name="Celda de comprobación 8 7" xfId="3260" xr:uid="{00000000-0005-0000-0000-0000B2160000}"/>
    <cellStyle name="Celda de comprobación 8 7 2" xfId="3261" xr:uid="{00000000-0005-0000-0000-0000B3160000}"/>
    <cellStyle name="Celda de comprobación 8 7 3" xfId="3262" xr:uid="{00000000-0005-0000-0000-0000B4160000}"/>
    <cellStyle name="Celda de comprobación 8 7 4" xfId="3263" xr:uid="{00000000-0005-0000-0000-0000B5160000}"/>
    <cellStyle name="Celda de comprobación 8 8" xfId="3264" xr:uid="{00000000-0005-0000-0000-0000B6160000}"/>
    <cellStyle name="Celda de comprobación 8 8 2" xfId="3265" xr:uid="{00000000-0005-0000-0000-0000B7160000}"/>
    <cellStyle name="Celda de comprobación 8 8 3" xfId="3266" xr:uid="{00000000-0005-0000-0000-0000B8160000}"/>
    <cellStyle name="Celda de comprobación 8 8 4" xfId="3267" xr:uid="{00000000-0005-0000-0000-0000B9160000}"/>
    <cellStyle name="Celda de comprobación 8 9" xfId="3268" xr:uid="{00000000-0005-0000-0000-0000BA160000}"/>
    <cellStyle name="Celda de comprobación 8 9 2" xfId="3269" xr:uid="{00000000-0005-0000-0000-0000BB160000}"/>
    <cellStyle name="Celda de comprobación 8 9 3" xfId="3270" xr:uid="{00000000-0005-0000-0000-0000BC160000}"/>
    <cellStyle name="Celda de comprobación 8 9 4" xfId="3271" xr:uid="{00000000-0005-0000-0000-0000BD160000}"/>
    <cellStyle name="Celda de comprobación 9" xfId="3272" xr:uid="{00000000-0005-0000-0000-0000BE160000}"/>
    <cellStyle name="Celda de comprobación 9 10" xfId="3273" xr:uid="{00000000-0005-0000-0000-0000BF160000}"/>
    <cellStyle name="Celda de comprobación 9 10 2" xfId="3274" xr:uid="{00000000-0005-0000-0000-0000C0160000}"/>
    <cellStyle name="Celda de comprobación 9 10 3" xfId="3275" xr:uid="{00000000-0005-0000-0000-0000C1160000}"/>
    <cellStyle name="Celda de comprobación 9 10 4" xfId="3276" xr:uid="{00000000-0005-0000-0000-0000C2160000}"/>
    <cellStyle name="Celda de comprobación 9 11" xfId="3277" xr:uid="{00000000-0005-0000-0000-0000C3160000}"/>
    <cellStyle name="Celda de comprobación 9 11 2" xfId="3278" xr:uid="{00000000-0005-0000-0000-0000C4160000}"/>
    <cellStyle name="Celda de comprobación 9 11 3" xfId="3279" xr:uid="{00000000-0005-0000-0000-0000C5160000}"/>
    <cellStyle name="Celda de comprobación 9 11 4" xfId="3280" xr:uid="{00000000-0005-0000-0000-0000C6160000}"/>
    <cellStyle name="Celda de comprobación 9 12" xfId="3281" xr:uid="{00000000-0005-0000-0000-0000C7160000}"/>
    <cellStyle name="Celda de comprobación 9 12 2" xfId="3282" xr:uid="{00000000-0005-0000-0000-0000C8160000}"/>
    <cellStyle name="Celda de comprobación 9 12 3" xfId="3283" xr:uid="{00000000-0005-0000-0000-0000C9160000}"/>
    <cellStyle name="Celda de comprobación 9 12 4" xfId="3284" xr:uid="{00000000-0005-0000-0000-0000CA160000}"/>
    <cellStyle name="Celda de comprobación 9 13" xfId="3285" xr:uid="{00000000-0005-0000-0000-0000CB160000}"/>
    <cellStyle name="Celda de comprobación 9 13 2" xfId="3286" xr:uid="{00000000-0005-0000-0000-0000CC160000}"/>
    <cellStyle name="Celda de comprobación 9 13 3" xfId="3287" xr:uid="{00000000-0005-0000-0000-0000CD160000}"/>
    <cellStyle name="Celda de comprobación 9 13 4" xfId="3288" xr:uid="{00000000-0005-0000-0000-0000CE160000}"/>
    <cellStyle name="Celda de comprobación 9 14" xfId="3289" xr:uid="{00000000-0005-0000-0000-0000CF160000}"/>
    <cellStyle name="Celda de comprobación 9 14 2" xfId="3290" xr:uid="{00000000-0005-0000-0000-0000D0160000}"/>
    <cellStyle name="Celda de comprobación 9 14 3" xfId="3291" xr:uid="{00000000-0005-0000-0000-0000D1160000}"/>
    <cellStyle name="Celda de comprobación 9 14 4" xfId="3292" xr:uid="{00000000-0005-0000-0000-0000D2160000}"/>
    <cellStyle name="Celda de comprobación 9 15" xfId="3293" xr:uid="{00000000-0005-0000-0000-0000D3160000}"/>
    <cellStyle name="Celda de comprobación 9 15 2" xfId="3294" xr:uid="{00000000-0005-0000-0000-0000D4160000}"/>
    <cellStyle name="Celda de comprobación 9 15 3" xfId="3295" xr:uid="{00000000-0005-0000-0000-0000D5160000}"/>
    <cellStyle name="Celda de comprobación 9 15 4" xfId="3296" xr:uid="{00000000-0005-0000-0000-0000D6160000}"/>
    <cellStyle name="Celda de comprobación 9 16" xfId="3297" xr:uid="{00000000-0005-0000-0000-0000D7160000}"/>
    <cellStyle name="Celda de comprobación 9 16 2" xfId="3298" xr:uid="{00000000-0005-0000-0000-0000D8160000}"/>
    <cellStyle name="Celda de comprobación 9 16 3" xfId="3299" xr:uid="{00000000-0005-0000-0000-0000D9160000}"/>
    <cellStyle name="Celda de comprobación 9 16 4" xfId="3300" xr:uid="{00000000-0005-0000-0000-0000DA160000}"/>
    <cellStyle name="Celda de comprobación 9 17" xfId="3301" xr:uid="{00000000-0005-0000-0000-0000DB160000}"/>
    <cellStyle name="Celda de comprobación 9 17 2" xfId="3302" xr:uid="{00000000-0005-0000-0000-0000DC160000}"/>
    <cellStyle name="Celda de comprobación 9 17 3" xfId="3303" xr:uid="{00000000-0005-0000-0000-0000DD160000}"/>
    <cellStyle name="Celda de comprobación 9 17 4" xfId="3304" xr:uid="{00000000-0005-0000-0000-0000DE160000}"/>
    <cellStyle name="Celda de comprobación 9 18" xfId="3305" xr:uid="{00000000-0005-0000-0000-0000DF160000}"/>
    <cellStyle name="Celda de comprobación 9 18 2" xfId="3306" xr:uid="{00000000-0005-0000-0000-0000E0160000}"/>
    <cellStyle name="Celda de comprobación 9 18 3" xfId="3307" xr:uid="{00000000-0005-0000-0000-0000E1160000}"/>
    <cellStyle name="Celda de comprobación 9 18 4" xfId="3308" xr:uid="{00000000-0005-0000-0000-0000E2160000}"/>
    <cellStyle name="Celda de comprobación 9 19" xfId="3309" xr:uid="{00000000-0005-0000-0000-0000E3160000}"/>
    <cellStyle name="Celda de comprobación 9 19 2" xfId="3310" xr:uid="{00000000-0005-0000-0000-0000E4160000}"/>
    <cellStyle name="Celda de comprobación 9 19 3" xfId="3311" xr:uid="{00000000-0005-0000-0000-0000E5160000}"/>
    <cellStyle name="Celda de comprobación 9 19 4" xfId="3312" xr:uid="{00000000-0005-0000-0000-0000E6160000}"/>
    <cellStyle name="Celda de comprobación 9 2" xfId="3313" xr:uid="{00000000-0005-0000-0000-0000E7160000}"/>
    <cellStyle name="Celda de comprobación 9 2 2" xfId="3314" xr:uid="{00000000-0005-0000-0000-0000E8160000}"/>
    <cellStyle name="Celda de comprobación 9 2 3" xfId="3315" xr:uid="{00000000-0005-0000-0000-0000E9160000}"/>
    <cellStyle name="Celda de comprobación 9 2 4" xfId="3316" xr:uid="{00000000-0005-0000-0000-0000EA160000}"/>
    <cellStyle name="Celda de comprobación 9 2 5" xfId="12899" xr:uid="{00000000-0005-0000-0000-0000EB160000}"/>
    <cellStyle name="Celda de comprobación 9 20" xfId="3317" xr:uid="{00000000-0005-0000-0000-0000EC160000}"/>
    <cellStyle name="Celda de comprobación 9 20 2" xfId="3318" xr:uid="{00000000-0005-0000-0000-0000ED160000}"/>
    <cellStyle name="Celda de comprobación 9 20 3" xfId="3319" xr:uid="{00000000-0005-0000-0000-0000EE160000}"/>
    <cellStyle name="Celda de comprobación 9 20 4" xfId="3320" xr:uid="{00000000-0005-0000-0000-0000EF160000}"/>
    <cellStyle name="Celda de comprobación 9 21" xfId="3321" xr:uid="{00000000-0005-0000-0000-0000F0160000}"/>
    <cellStyle name="Celda de comprobación 9 21 2" xfId="3322" xr:uid="{00000000-0005-0000-0000-0000F1160000}"/>
    <cellStyle name="Celda de comprobación 9 21 3" xfId="3323" xr:uid="{00000000-0005-0000-0000-0000F2160000}"/>
    <cellStyle name="Celda de comprobación 9 21 4" xfId="3324" xr:uid="{00000000-0005-0000-0000-0000F3160000}"/>
    <cellStyle name="Celda de comprobación 9 22" xfId="3325" xr:uid="{00000000-0005-0000-0000-0000F4160000}"/>
    <cellStyle name="Celda de comprobación 9 22 2" xfId="3326" xr:uid="{00000000-0005-0000-0000-0000F5160000}"/>
    <cellStyle name="Celda de comprobación 9 22 3" xfId="3327" xr:uid="{00000000-0005-0000-0000-0000F6160000}"/>
    <cellStyle name="Celda de comprobación 9 22 4" xfId="3328" xr:uid="{00000000-0005-0000-0000-0000F7160000}"/>
    <cellStyle name="Celda de comprobación 9 23" xfId="3329" xr:uid="{00000000-0005-0000-0000-0000F8160000}"/>
    <cellStyle name="Celda de comprobación 9 23 2" xfId="3330" xr:uid="{00000000-0005-0000-0000-0000F9160000}"/>
    <cellStyle name="Celda de comprobación 9 23 3" xfId="3331" xr:uid="{00000000-0005-0000-0000-0000FA160000}"/>
    <cellStyle name="Celda de comprobación 9 23 4" xfId="3332" xr:uid="{00000000-0005-0000-0000-0000FB160000}"/>
    <cellStyle name="Celda de comprobación 9 24" xfId="3333" xr:uid="{00000000-0005-0000-0000-0000FC160000}"/>
    <cellStyle name="Celda de comprobación 9 24 2" xfId="3334" xr:uid="{00000000-0005-0000-0000-0000FD160000}"/>
    <cellStyle name="Celda de comprobación 9 24 3" xfId="3335" xr:uid="{00000000-0005-0000-0000-0000FE160000}"/>
    <cellStyle name="Celda de comprobación 9 24 4" xfId="3336" xr:uid="{00000000-0005-0000-0000-0000FF160000}"/>
    <cellStyle name="Celda de comprobación 9 25" xfId="3337" xr:uid="{00000000-0005-0000-0000-000000170000}"/>
    <cellStyle name="Celda de comprobación 9 25 2" xfId="3338" xr:uid="{00000000-0005-0000-0000-000001170000}"/>
    <cellStyle name="Celda de comprobación 9 25 3" xfId="3339" xr:uid="{00000000-0005-0000-0000-000002170000}"/>
    <cellStyle name="Celda de comprobación 9 25 4" xfId="3340" xr:uid="{00000000-0005-0000-0000-000003170000}"/>
    <cellStyle name="Celda de comprobación 9 26" xfId="3341" xr:uid="{00000000-0005-0000-0000-000004170000}"/>
    <cellStyle name="Celda de comprobación 9 26 2" xfId="3342" xr:uid="{00000000-0005-0000-0000-000005170000}"/>
    <cellStyle name="Celda de comprobación 9 26 3" xfId="3343" xr:uid="{00000000-0005-0000-0000-000006170000}"/>
    <cellStyle name="Celda de comprobación 9 26 4" xfId="3344" xr:uid="{00000000-0005-0000-0000-000007170000}"/>
    <cellStyle name="Celda de comprobación 9 27" xfId="3345" xr:uid="{00000000-0005-0000-0000-000008170000}"/>
    <cellStyle name="Celda de comprobación 9 27 2" xfId="3346" xr:uid="{00000000-0005-0000-0000-000009170000}"/>
    <cellStyle name="Celda de comprobación 9 27 3" xfId="3347" xr:uid="{00000000-0005-0000-0000-00000A170000}"/>
    <cellStyle name="Celda de comprobación 9 27 4" xfId="3348" xr:uid="{00000000-0005-0000-0000-00000B170000}"/>
    <cellStyle name="Celda de comprobación 9 28" xfId="3349" xr:uid="{00000000-0005-0000-0000-00000C170000}"/>
    <cellStyle name="Celda de comprobación 9 28 2" xfId="3350" xr:uid="{00000000-0005-0000-0000-00000D170000}"/>
    <cellStyle name="Celda de comprobación 9 28 3" xfId="3351" xr:uid="{00000000-0005-0000-0000-00000E170000}"/>
    <cellStyle name="Celda de comprobación 9 28 4" xfId="3352" xr:uid="{00000000-0005-0000-0000-00000F170000}"/>
    <cellStyle name="Celda de comprobación 9 29" xfId="3353" xr:uid="{00000000-0005-0000-0000-000010170000}"/>
    <cellStyle name="Celda de comprobación 9 29 2" xfId="3354" xr:uid="{00000000-0005-0000-0000-000011170000}"/>
    <cellStyle name="Celda de comprobación 9 29 3" xfId="3355" xr:uid="{00000000-0005-0000-0000-000012170000}"/>
    <cellStyle name="Celda de comprobación 9 29 4" xfId="3356" xr:uid="{00000000-0005-0000-0000-000013170000}"/>
    <cellStyle name="Celda de comprobación 9 3" xfId="3357" xr:uid="{00000000-0005-0000-0000-000014170000}"/>
    <cellStyle name="Celda de comprobación 9 3 2" xfId="3358" xr:uid="{00000000-0005-0000-0000-000015170000}"/>
    <cellStyle name="Celda de comprobación 9 3 3" xfId="3359" xr:uid="{00000000-0005-0000-0000-000016170000}"/>
    <cellStyle name="Celda de comprobación 9 3 4" xfId="3360" xr:uid="{00000000-0005-0000-0000-000017170000}"/>
    <cellStyle name="Celda de comprobación 9 30" xfId="3361" xr:uid="{00000000-0005-0000-0000-000018170000}"/>
    <cellStyle name="Celda de comprobación 9 30 2" xfId="3362" xr:uid="{00000000-0005-0000-0000-000019170000}"/>
    <cellStyle name="Celda de comprobación 9 30 3" xfId="3363" xr:uid="{00000000-0005-0000-0000-00001A170000}"/>
    <cellStyle name="Celda de comprobación 9 30 4" xfId="3364" xr:uid="{00000000-0005-0000-0000-00001B170000}"/>
    <cellStyle name="Celda de comprobación 9 31" xfId="3365" xr:uid="{00000000-0005-0000-0000-00001C170000}"/>
    <cellStyle name="Celda de comprobación 9 31 2" xfId="3366" xr:uid="{00000000-0005-0000-0000-00001D170000}"/>
    <cellStyle name="Celda de comprobación 9 31 3" xfId="3367" xr:uid="{00000000-0005-0000-0000-00001E170000}"/>
    <cellStyle name="Celda de comprobación 9 31 4" xfId="3368" xr:uid="{00000000-0005-0000-0000-00001F170000}"/>
    <cellStyle name="Celda de comprobación 9 32" xfId="3369" xr:uid="{00000000-0005-0000-0000-000020170000}"/>
    <cellStyle name="Celda de comprobación 9 32 2" xfId="3370" xr:uid="{00000000-0005-0000-0000-000021170000}"/>
    <cellStyle name="Celda de comprobación 9 32 3" xfId="3371" xr:uid="{00000000-0005-0000-0000-000022170000}"/>
    <cellStyle name="Celda de comprobación 9 32 4" xfId="3372" xr:uid="{00000000-0005-0000-0000-000023170000}"/>
    <cellStyle name="Celda de comprobación 9 33" xfId="3373" xr:uid="{00000000-0005-0000-0000-000024170000}"/>
    <cellStyle name="Celda de comprobación 9 33 2" xfId="3374" xr:uid="{00000000-0005-0000-0000-000025170000}"/>
    <cellStyle name="Celda de comprobación 9 33 3" xfId="3375" xr:uid="{00000000-0005-0000-0000-000026170000}"/>
    <cellStyle name="Celda de comprobación 9 33 4" xfId="3376" xr:uid="{00000000-0005-0000-0000-000027170000}"/>
    <cellStyle name="Celda de comprobación 9 34" xfId="3377" xr:uid="{00000000-0005-0000-0000-000028170000}"/>
    <cellStyle name="Celda de comprobación 9 34 2" xfId="3378" xr:uid="{00000000-0005-0000-0000-000029170000}"/>
    <cellStyle name="Celda de comprobación 9 34 3" xfId="3379" xr:uid="{00000000-0005-0000-0000-00002A170000}"/>
    <cellStyle name="Celda de comprobación 9 34 4" xfId="3380" xr:uid="{00000000-0005-0000-0000-00002B170000}"/>
    <cellStyle name="Celda de comprobación 9 35" xfId="3381" xr:uid="{00000000-0005-0000-0000-00002C170000}"/>
    <cellStyle name="Celda de comprobación 9 35 2" xfId="3382" xr:uid="{00000000-0005-0000-0000-00002D170000}"/>
    <cellStyle name="Celda de comprobación 9 35 3" xfId="3383" xr:uid="{00000000-0005-0000-0000-00002E170000}"/>
    <cellStyle name="Celda de comprobación 9 35 4" xfId="3384" xr:uid="{00000000-0005-0000-0000-00002F170000}"/>
    <cellStyle name="Celda de comprobación 9 36" xfId="3385" xr:uid="{00000000-0005-0000-0000-000030170000}"/>
    <cellStyle name="Celda de comprobación 9 36 2" xfId="3386" xr:uid="{00000000-0005-0000-0000-000031170000}"/>
    <cellStyle name="Celda de comprobación 9 36 3" xfId="3387" xr:uid="{00000000-0005-0000-0000-000032170000}"/>
    <cellStyle name="Celda de comprobación 9 36 4" xfId="3388" xr:uid="{00000000-0005-0000-0000-000033170000}"/>
    <cellStyle name="Celda de comprobación 9 37" xfId="3389" xr:uid="{00000000-0005-0000-0000-000034170000}"/>
    <cellStyle name="Celda de comprobación 9 38" xfId="3390" xr:uid="{00000000-0005-0000-0000-000035170000}"/>
    <cellStyle name="Celda de comprobación 9 39" xfId="3391" xr:uid="{00000000-0005-0000-0000-000036170000}"/>
    <cellStyle name="Celda de comprobación 9 4" xfId="3392" xr:uid="{00000000-0005-0000-0000-000037170000}"/>
    <cellStyle name="Celda de comprobación 9 4 2" xfId="3393" xr:uid="{00000000-0005-0000-0000-000038170000}"/>
    <cellStyle name="Celda de comprobación 9 4 3" xfId="3394" xr:uid="{00000000-0005-0000-0000-000039170000}"/>
    <cellStyle name="Celda de comprobación 9 4 4" xfId="3395" xr:uid="{00000000-0005-0000-0000-00003A170000}"/>
    <cellStyle name="Celda de comprobación 9 40" xfId="3396" xr:uid="{00000000-0005-0000-0000-00003B170000}"/>
    <cellStyle name="Celda de comprobación 9 41" xfId="3397" xr:uid="{00000000-0005-0000-0000-00003C170000}"/>
    <cellStyle name="Celda de comprobación 9 42" xfId="3398" xr:uid="{00000000-0005-0000-0000-00003D170000}"/>
    <cellStyle name="Celda de comprobación 9 43" xfId="3399" xr:uid="{00000000-0005-0000-0000-00003E170000}"/>
    <cellStyle name="Celda de comprobación 9 44" xfId="3400" xr:uid="{00000000-0005-0000-0000-00003F170000}"/>
    <cellStyle name="Celda de comprobación 9 45" xfId="3401" xr:uid="{00000000-0005-0000-0000-000040170000}"/>
    <cellStyle name="Celda de comprobación 9 46" xfId="3402" xr:uid="{00000000-0005-0000-0000-000041170000}"/>
    <cellStyle name="Celda de comprobación 9 47" xfId="3403" xr:uid="{00000000-0005-0000-0000-000042170000}"/>
    <cellStyle name="Celda de comprobación 9 48" xfId="3404" xr:uid="{00000000-0005-0000-0000-000043170000}"/>
    <cellStyle name="Celda de comprobación 9 49" xfId="3405" xr:uid="{00000000-0005-0000-0000-000044170000}"/>
    <cellStyle name="Celda de comprobación 9 5" xfId="3406" xr:uid="{00000000-0005-0000-0000-000045170000}"/>
    <cellStyle name="Celda de comprobación 9 5 2" xfId="3407" xr:uid="{00000000-0005-0000-0000-000046170000}"/>
    <cellStyle name="Celda de comprobación 9 5 3" xfId="3408" xr:uid="{00000000-0005-0000-0000-000047170000}"/>
    <cellStyle name="Celda de comprobación 9 5 4" xfId="3409" xr:uid="{00000000-0005-0000-0000-000048170000}"/>
    <cellStyle name="Celda de comprobación 9 50" xfId="3410" xr:uid="{00000000-0005-0000-0000-000049170000}"/>
    <cellStyle name="Celda de comprobación 9 51" xfId="3411" xr:uid="{00000000-0005-0000-0000-00004A170000}"/>
    <cellStyle name="Celda de comprobación 9 6" xfId="3412" xr:uid="{00000000-0005-0000-0000-00004B170000}"/>
    <cellStyle name="Celda de comprobación 9 6 2" xfId="3413" xr:uid="{00000000-0005-0000-0000-00004C170000}"/>
    <cellStyle name="Celda de comprobación 9 6 3" xfId="3414" xr:uid="{00000000-0005-0000-0000-00004D170000}"/>
    <cellStyle name="Celda de comprobación 9 6 4" xfId="3415" xr:uid="{00000000-0005-0000-0000-00004E170000}"/>
    <cellStyle name="Celda de comprobación 9 7" xfId="3416" xr:uid="{00000000-0005-0000-0000-00004F170000}"/>
    <cellStyle name="Celda de comprobación 9 7 2" xfId="3417" xr:uid="{00000000-0005-0000-0000-000050170000}"/>
    <cellStyle name="Celda de comprobación 9 7 3" xfId="3418" xr:uid="{00000000-0005-0000-0000-000051170000}"/>
    <cellStyle name="Celda de comprobación 9 7 4" xfId="3419" xr:uid="{00000000-0005-0000-0000-000052170000}"/>
    <cellStyle name="Celda de comprobación 9 8" xfId="3420" xr:uid="{00000000-0005-0000-0000-000053170000}"/>
    <cellStyle name="Celda de comprobación 9 8 2" xfId="3421" xr:uid="{00000000-0005-0000-0000-000054170000}"/>
    <cellStyle name="Celda de comprobación 9 8 3" xfId="3422" xr:uid="{00000000-0005-0000-0000-000055170000}"/>
    <cellStyle name="Celda de comprobación 9 8 4" xfId="3423" xr:uid="{00000000-0005-0000-0000-000056170000}"/>
    <cellStyle name="Celda de comprobación 9 9" xfId="3424" xr:uid="{00000000-0005-0000-0000-000057170000}"/>
    <cellStyle name="Celda de comprobación 9 9 2" xfId="3425" xr:uid="{00000000-0005-0000-0000-000058170000}"/>
    <cellStyle name="Celda de comprobación 9 9 3" xfId="3426" xr:uid="{00000000-0005-0000-0000-000059170000}"/>
    <cellStyle name="Celda de comprobación 9 9 4" xfId="3427" xr:uid="{00000000-0005-0000-0000-00005A170000}"/>
    <cellStyle name="Celda vinculada 10" xfId="3428" xr:uid="{00000000-0005-0000-0000-00005B170000}"/>
    <cellStyle name="Celda vinculada 10 2" xfId="32870" xr:uid="{00000000-0005-0000-0000-00005C170000}"/>
    <cellStyle name="Celda vinculada 11" xfId="3429" xr:uid="{00000000-0005-0000-0000-00005D170000}"/>
    <cellStyle name="Celda vinculada 11 2" xfId="32871" xr:uid="{00000000-0005-0000-0000-00005E170000}"/>
    <cellStyle name="Celda vinculada 12" xfId="3430" xr:uid="{00000000-0005-0000-0000-00005F170000}"/>
    <cellStyle name="Celda vinculada 12 2" xfId="32872" xr:uid="{00000000-0005-0000-0000-000060170000}"/>
    <cellStyle name="Celda vinculada 13" xfId="3431" xr:uid="{00000000-0005-0000-0000-000061170000}"/>
    <cellStyle name="Celda vinculada 13 2" xfId="32873" xr:uid="{00000000-0005-0000-0000-000062170000}"/>
    <cellStyle name="Celda vinculada 14" xfId="3432" xr:uid="{00000000-0005-0000-0000-000063170000}"/>
    <cellStyle name="Celda vinculada 14 2" xfId="32874" xr:uid="{00000000-0005-0000-0000-000064170000}"/>
    <cellStyle name="Celda vinculada 15" xfId="3433" xr:uid="{00000000-0005-0000-0000-000065170000}"/>
    <cellStyle name="Celda vinculada 15 2" xfId="32875" xr:uid="{00000000-0005-0000-0000-000066170000}"/>
    <cellStyle name="Celda vinculada 16" xfId="3434" xr:uid="{00000000-0005-0000-0000-000067170000}"/>
    <cellStyle name="Celda vinculada 16 2" xfId="32876" xr:uid="{00000000-0005-0000-0000-000068170000}"/>
    <cellStyle name="Celda vinculada 17" xfId="3435" xr:uid="{00000000-0005-0000-0000-000069170000}"/>
    <cellStyle name="Celda vinculada 17 2" xfId="32877" xr:uid="{00000000-0005-0000-0000-00006A170000}"/>
    <cellStyle name="Celda vinculada 18" xfId="3436" xr:uid="{00000000-0005-0000-0000-00006B170000}"/>
    <cellStyle name="Celda vinculada 18 2" xfId="32878" xr:uid="{00000000-0005-0000-0000-00006C170000}"/>
    <cellStyle name="Celda vinculada 19" xfId="3437" xr:uid="{00000000-0005-0000-0000-00006D170000}"/>
    <cellStyle name="Celda vinculada 19 2" xfId="32879" xr:uid="{00000000-0005-0000-0000-00006E170000}"/>
    <cellStyle name="Celda vinculada 2" xfId="3438" xr:uid="{00000000-0005-0000-0000-00006F170000}"/>
    <cellStyle name="Celda vinculada 2 2" xfId="12900" xr:uid="{00000000-0005-0000-0000-000070170000}"/>
    <cellStyle name="Celda vinculada 2 3" xfId="12901" xr:uid="{00000000-0005-0000-0000-000071170000}"/>
    <cellStyle name="Celda vinculada 2 4" xfId="32880" xr:uid="{00000000-0005-0000-0000-000072170000}"/>
    <cellStyle name="Celda vinculada 20" xfId="3439" xr:uid="{00000000-0005-0000-0000-000073170000}"/>
    <cellStyle name="Celda vinculada 20 2" xfId="32881" xr:uid="{00000000-0005-0000-0000-000074170000}"/>
    <cellStyle name="Celda vinculada 21" xfId="3440" xr:uid="{00000000-0005-0000-0000-000075170000}"/>
    <cellStyle name="Celda vinculada 21 2" xfId="32882" xr:uid="{00000000-0005-0000-0000-000076170000}"/>
    <cellStyle name="Celda vinculada 22" xfId="3441" xr:uid="{00000000-0005-0000-0000-000077170000}"/>
    <cellStyle name="Celda vinculada 22 2" xfId="32883" xr:uid="{00000000-0005-0000-0000-000078170000}"/>
    <cellStyle name="Celda vinculada 23" xfId="3442" xr:uid="{00000000-0005-0000-0000-000079170000}"/>
    <cellStyle name="Celda vinculada 23 2" xfId="32884" xr:uid="{00000000-0005-0000-0000-00007A170000}"/>
    <cellStyle name="Celda vinculada 24" xfId="3443" xr:uid="{00000000-0005-0000-0000-00007B170000}"/>
    <cellStyle name="Celda vinculada 24 2" xfId="32885" xr:uid="{00000000-0005-0000-0000-00007C170000}"/>
    <cellStyle name="Celda vinculada 25" xfId="3444" xr:uid="{00000000-0005-0000-0000-00007D170000}"/>
    <cellStyle name="Celda vinculada 25 2" xfId="32886" xr:uid="{00000000-0005-0000-0000-00007E170000}"/>
    <cellStyle name="Celda vinculada 26" xfId="3445" xr:uid="{00000000-0005-0000-0000-00007F170000}"/>
    <cellStyle name="Celda vinculada 26 2" xfId="32887" xr:uid="{00000000-0005-0000-0000-000080170000}"/>
    <cellStyle name="Celda vinculada 27" xfId="3446" xr:uid="{00000000-0005-0000-0000-000081170000}"/>
    <cellStyle name="Celda vinculada 27 2" xfId="32888" xr:uid="{00000000-0005-0000-0000-000082170000}"/>
    <cellStyle name="Celda vinculada 28" xfId="3447" xr:uid="{00000000-0005-0000-0000-000083170000}"/>
    <cellStyle name="Celda vinculada 28 2" xfId="32889" xr:uid="{00000000-0005-0000-0000-000084170000}"/>
    <cellStyle name="Celda vinculada 29" xfId="3448" xr:uid="{00000000-0005-0000-0000-000085170000}"/>
    <cellStyle name="Celda vinculada 29 2" xfId="32890" xr:uid="{00000000-0005-0000-0000-000086170000}"/>
    <cellStyle name="Celda vinculada 3" xfId="3449" xr:uid="{00000000-0005-0000-0000-000087170000}"/>
    <cellStyle name="Celda vinculada 3 2" xfId="12902" xr:uid="{00000000-0005-0000-0000-000088170000}"/>
    <cellStyle name="Celda vinculada 3 3" xfId="12903" xr:uid="{00000000-0005-0000-0000-000089170000}"/>
    <cellStyle name="Celda vinculada 3 4" xfId="32891" xr:uid="{00000000-0005-0000-0000-00008A170000}"/>
    <cellStyle name="Celda vinculada 30" xfId="3450" xr:uid="{00000000-0005-0000-0000-00008B170000}"/>
    <cellStyle name="Celda vinculada 30 2" xfId="32892" xr:uid="{00000000-0005-0000-0000-00008C170000}"/>
    <cellStyle name="Celda vinculada 31" xfId="3451" xr:uid="{00000000-0005-0000-0000-00008D170000}"/>
    <cellStyle name="Celda vinculada 31 2" xfId="32893" xr:uid="{00000000-0005-0000-0000-00008E170000}"/>
    <cellStyle name="Celda vinculada 32" xfId="3452" xr:uid="{00000000-0005-0000-0000-00008F170000}"/>
    <cellStyle name="Celda vinculada 32 2" xfId="32894" xr:uid="{00000000-0005-0000-0000-000090170000}"/>
    <cellStyle name="Celda vinculada 33" xfId="3453" xr:uid="{00000000-0005-0000-0000-000091170000}"/>
    <cellStyle name="Celda vinculada 33 2" xfId="32895" xr:uid="{00000000-0005-0000-0000-000092170000}"/>
    <cellStyle name="Celda vinculada 34" xfId="3454" xr:uid="{00000000-0005-0000-0000-000093170000}"/>
    <cellStyle name="Celda vinculada 34 2" xfId="32896" xr:uid="{00000000-0005-0000-0000-000094170000}"/>
    <cellStyle name="Celda vinculada 35" xfId="3455" xr:uid="{00000000-0005-0000-0000-000095170000}"/>
    <cellStyle name="Celda vinculada 35 2" xfId="32897" xr:uid="{00000000-0005-0000-0000-000096170000}"/>
    <cellStyle name="Celda vinculada 36" xfId="3456" xr:uid="{00000000-0005-0000-0000-000097170000}"/>
    <cellStyle name="Celda vinculada 36 2" xfId="32898" xr:uid="{00000000-0005-0000-0000-000098170000}"/>
    <cellStyle name="Celda vinculada 37" xfId="3457" xr:uid="{00000000-0005-0000-0000-000099170000}"/>
    <cellStyle name="Celda vinculada 37 2" xfId="32899" xr:uid="{00000000-0005-0000-0000-00009A170000}"/>
    <cellStyle name="Celda vinculada 38" xfId="3458" xr:uid="{00000000-0005-0000-0000-00009B170000}"/>
    <cellStyle name="Celda vinculada 38 2" xfId="32900" xr:uid="{00000000-0005-0000-0000-00009C170000}"/>
    <cellStyle name="Celda vinculada 39" xfId="3459" xr:uid="{00000000-0005-0000-0000-00009D170000}"/>
    <cellStyle name="Celda vinculada 39 2" xfId="32901" xr:uid="{00000000-0005-0000-0000-00009E170000}"/>
    <cellStyle name="Celda vinculada 4" xfId="3460" xr:uid="{00000000-0005-0000-0000-00009F170000}"/>
    <cellStyle name="Celda vinculada 4 2" xfId="12904" xr:uid="{00000000-0005-0000-0000-0000A0170000}"/>
    <cellStyle name="Celda vinculada 4 3" xfId="12905" xr:uid="{00000000-0005-0000-0000-0000A1170000}"/>
    <cellStyle name="Celda vinculada 4 4" xfId="32902" xr:uid="{00000000-0005-0000-0000-0000A2170000}"/>
    <cellStyle name="Celda vinculada 40" xfId="3461" xr:uid="{00000000-0005-0000-0000-0000A3170000}"/>
    <cellStyle name="Celda vinculada 40 2" xfId="32903" xr:uid="{00000000-0005-0000-0000-0000A4170000}"/>
    <cellStyle name="Celda vinculada 41" xfId="3462" xr:uid="{00000000-0005-0000-0000-0000A5170000}"/>
    <cellStyle name="Celda vinculada 41 2" xfId="32904" xr:uid="{00000000-0005-0000-0000-0000A6170000}"/>
    <cellStyle name="Celda vinculada 42" xfId="3463" xr:uid="{00000000-0005-0000-0000-0000A7170000}"/>
    <cellStyle name="Celda vinculada 42 2" xfId="32905" xr:uid="{00000000-0005-0000-0000-0000A8170000}"/>
    <cellStyle name="Celda vinculada 43" xfId="3464" xr:uid="{00000000-0005-0000-0000-0000A9170000}"/>
    <cellStyle name="Celda vinculada 43 2" xfId="32906" xr:uid="{00000000-0005-0000-0000-0000AA170000}"/>
    <cellStyle name="Celda vinculada 44" xfId="3465" xr:uid="{00000000-0005-0000-0000-0000AB170000}"/>
    <cellStyle name="Celda vinculada 44 2" xfId="32907" xr:uid="{00000000-0005-0000-0000-0000AC170000}"/>
    <cellStyle name="Celda vinculada 45" xfId="3466" xr:uid="{00000000-0005-0000-0000-0000AD170000}"/>
    <cellStyle name="Celda vinculada 45 2" xfId="32908" xr:uid="{00000000-0005-0000-0000-0000AE170000}"/>
    <cellStyle name="Celda vinculada 46" xfId="3467" xr:uid="{00000000-0005-0000-0000-0000AF170000}"/>
    <cellStyle name="Celda vinculada 46 2" xfId="32909" xr:uid="{00000000-0005-0000-0000-0000B0170000}"/>
    <cellStyle name="Celda vinculada 47" xfId="3468" xr:uid="{00000000-0005-0000-0000-0000B1170000}"/>
    <cellStyle name="Celda vinculada 47 2" xfId="32910" xr:uid="{00000000-0005-0000-0000-0000B2170000}"/>
    <cellStyle name="Celda vinculada 48" xfId="3469" xr:uid="{00000000-0005-0000-0000-0000B3170000}"/>
    <cellStyle name="Celda vinculada 48 2" xfId="32911" xr:uid="{00000000-0005-0000-0000-0000B4170000}"/>
    <cellStyle name="Celda vinculada 49" xfId="3470" xr:uid="{00000000-0005-0000-0000-0000B5170000}"/>
    <cellStyle name="Celda vinculada 49 2" xfId="32912" xr:uid="{00000000-0005-0000-0000-0000B6170000}"/>
    <cellStyle name="Celda vinculada 5" xfId="3471" xr:uid="{00000000-0005-0000-0000-0000B7170000}"/>
    <cellStyle name="Celda vinculada 5 2" xfId="12906" xr:uid="{00000000-0005-0000-0000-0000B8170000}"/>
    <cellStyle name="Celda vinculada 5 3" xfId="32913" xr:uid="{00000000-0005-0000-0000-0000B9170000}"/>
    <cellStyle name="Celda vinculada 50" xfId="3472" xr:uid="{00000000-0005-0000-0000-0000BA170000}"/>
    <cellStyle name="Celda vinculada 50 2" xfId="32914" xr:uid="{00000000-0005-0000-0000-0000BB170000}"/>
    <cellStyle name="Celda vinculada 6" xfId="3473" xr:uid="{00000000-0005-0000-0000-0000BC170000}"/>
    <cellStyle name="Celda vinculada 6 2" xfId="12907" xr:uid="{00000000-0005-0000-0000-0000BD170000}"/>
    <cellStyle name="Celda vinculada 6 3" xfId="32915" xr:uid="{00000000-0005-0000-0000-0000BE170000}"/>
    <cellStyle name="Celda vinculada 7" xfId="3474" xr:uid="{00000000-0005-0000-0000-0000BF170000}"/>
    <cellStyle name="Celda vinculada 7 2" xfId="12908" xr:uid="{00000000-0005-0000-0000-0000C0170000}"/>
    <cellStyle name="Celda vinculada 7 3" xfId="32916" xr:uid="{00000000-0005-0000-0000-0000C1170000}"/>
    <cellStyle name="Celda vinculada 8" xfId="3475" xr:uid="{00000000-0005-0000-0000-0000C2170000}"/>
    <cellStyle name="Celda vinculada 8 2" xfId="12909" xr:uid="{00000000-0005-0000-0000-0000C3170000}"/>
    <cellStyle name="Celda vinculada 8 3" xfId="32917" xr:uid="{00000000-0005-0000-0000-0000C4170000}"/>
    <cellStyle name="Celda vinculada 9" xfId="3476" xr:uid="{00000000-0005-0000-0000-0000C5170000}"/>
    <cellStyle name="Celda vinculada 9 2" xfId="12910" xr:uid="{00000000-0005-0000-0000-0000C6170000}"/>
    <cellStyle name="Celda vinculada 9 3" xfId="32918" xr:uid="{00000000-0005-0000-0000-0000C7170000}"/>
    <cellStyle name="Check Cell" xfId="12911" xr:uid="{00000000-0005-0000-0000-0000C8170000}"/>
    <cellStyle name="Check Cell 2" xfId="34262" xr:uid="{00000000-0005-0000-0000-0000C9170000}"/>
    <cellStyle name="Check Cell 3" xfId="34261" xr:uid="{00000000-0005-0000-0000-0000CA170000}"/>
    <cellStyle name="Comma  - Style1" xfId="7" xr:uid="{00000000-0005-0000-0000-0000CB170000}"/>
    <cellStyle name="Comma  - Style1 10" xfId="12912" xr:uid="{00000000-0005-0000-0000-0000CC170000}"/>
    <cellStyle name="Comma  - Style1 10 2" xfId="34263" xr:uid="{00000000-0005-0000-0000-0000CD170000}"/>
    <cellStyle name="Comma  - Style1 11" xfId="12913" xr:uid="{00000000-0005-0000-0000-0000CE170000}"/>
    <cellStyle name="Comma  - Style1 11 2" xfId="34264" xr:uid="{00000000-0005-0000-0000-0000CF170000}"/>
    <cellStyle name="Comma  - Style1 12" xfId="12914" xr:uid="{00000000-0005-0000-0000-0000D0170000}"/>
    <cellStyle name="Comma  - Style1 12 2" xfId="34265" xr:uid="{00000000-0005-0000-0000-0000D1170000}"/>
    <cellStyle name="Comma  - Style1 13" xfId="12915" xr:uid="{00000000-0005-0000-0000-0000D2170000}"/>
    <cellStyle name="Comma  - Style1 13 2" xfId="34266" xr:uid="{00000000-0005-0000-0000-0000D3170000}"/>
    <cellStyle name="Comma  - Style1 14" xfId="12916" xr:uid="{00000000-0005-0000-0000-0000D4170000}"/>
    <cellStyle name="Comma  - Style1 14 2" xfId="34267" xr:uid="{00000000-0005-0000-0000-0000D5170000}"/>
    <cellStyle name="Comma  - Style1 15" xfId="12917" xr:uid="{00000000-0005-0000-0000-0000D6170000}"/>
    <cellStyle name="Comma  - Style1 15 2" xfId="34268" xr:uid="{00000000-0005-0000-0000-0000D7170000}"/>
    <cellStyle name="Comma  - Style1 16" xfId="12918" xr:uid="{00000000-0005-0000-0000-0000D8170000}"/>
    <cellStyle name="Comma  - Style1 16 2" xfId="34269" xr:uid="{00000000-0005-0000-0000-0000D9170000}"/>
    <cellStyle name="Comma  - Style1 17" xfId="12919" xr:uid="{00000000-0005-0000-0000-0000DA170000}"/>
    <cellStyle name="Comma  - Style1 17 2" xfId="34270" xr:uid="{00000000-0005-0000-0000-0000DB170000}"/>
    <cellStyle name="Comma  - Style1 18" xfId="12920" xr:uid="{00000000-0005-0000-0000-0000DC170000}"/>
    <cellStyle name="Comma  - Style1 18 2" xfId="34271" xr:uid="{00000000-0005-0000-0000-0000DD170000}"/>
    <cellStyle name="Comma  - Style1 2" xfId="12921" xr:uid="{00000000-0005-0000-0000-0000DE170000}"/>
    <cellStyle name="Comma  - Style1 2 2" xfId="12922" xr:uid="{00000000-0005-0000-0000-0000DF170000}"/>
    <cellStyle name="Comma  - Style1 2 2 2" xfId="34273" xr:uid="{00000000-0005-0000-0000-0000E0170000}"/>
    <cellStyle name="Comma  - Style1 2 3" xfId="34274" xr:uid="{00000000-0005-0000-0000-0000E1170000}"/>
    <cellStyle name="Comma  - Style1 2 3 2" xfId="34275" xr:uid="{00000000-0005-0000-0000-0000E2170000}"/>
    <cellStyle name="Comma  - Style1 2 4" xfId="34276" xr:uid="{00000000-0005-0000-0000-0000E3170000}"/>
    <cellStyle name="Comma  - Style1 2 5" xfId="34277" xr:uid="{00000000-0005-0000-0000-0000E4170000}"/>
    <cellStyle name="Comma  - Style1 2 6" xfId="34272" xr:uid="{00000000-0005-0000-0000-0000E5170000}"/>
    <cellStyle name="Comma  - Style1 3" xfId="12923" xr:uid="{00000000-0005-0000-0000-0000E6170000}"/>
    <cellStyle name="Comma  - Style1 3 2" xfId="12924" xr:uid="{00000000-0005-0000-0000-0000E7170000}"/>
    <cellStyle name="Comma  - Style1 3 2 2" xfId="34279" xr:uid="{00000000-0005-0000-0000-0000E8170000}"/>
    <cellStyle name="Comma  - Style1 3 3" xfId="34280" xr:uid="{00000000-0005-0000-0000-0000E9170000}"/>
    <cellStyle name="Comma  - Style1 3 3 2" xfId="34281" xr:uid="{00000000-0005-0000-0000-0000EA170000}"/>
    <cellStyle name="Comma  - Style1 3 4" xfId="34282" xr:uid="{00000000-0005-0000-0000-0000EB170000}"/>
    <cellStyle name="Comma  - Style1 3 5" xfId="34278" xr:uid="{00000000-0005-0000-0000-0000EC170000}"/>
    <cellStyle name="Comma  - Style1 4" xfId="12925" xr:uid="{00000000-0005-0000-0000-0000ED170000}"/>
    <cellStyle name="Comma  - Style1 4 2" xfId="12926" xr:uid="{00000000-0005-0000-0000-0000EE170000}"/>
    <cellStyle name="Comma  - Style1 4 2 2" xfId="34283" xr:uid="{00000000-0005-0000-0000-0000EF170000}"/>
    <cellStyle name="Comma  - Style1 4 3" xfId="34284" xr:uid="{00000000-0005-0000-0000-0000F0170000}"/>
    <cellStyle name="Comma  - Style1 5" xfId="12927" xr:uid="{00000000-0005-0000-0000-0000F1170000}"/>
    <cellStyle name="Comma  - Style1 5 2" xfId="12928" xr:uid="{00000000-0005-0000-0000-0000F2170000}"/>
    <cellStyle name="Comma  - Style1 5 2 2" xfId="34285" xr:uid="{00000000-0005-0000-0000-0000F3170000}"/>
    <cellStyle name="Comma  - Style1 5 3" xfId="34286" xr:uid="{00000000-0005-0000-0000-0000F4170000}"/>
    <cellStyle name="Comma  - Style1 6" xfId="12929" xr:uid="{00000000-0005-0000-0000-0000F5170000}"/>
    <cellStyle name="Comma  - Style1 6 2" xfId="12930" xr:uid="{00000000-0005-0000-0000-0000F6170000}"/>
    <cellStyle name="Comma  - Style1 6 2 2" xfId="34287" xr:uid="{00000000-0005-0000-0000-0000F7170000}"/>
    <cellStyle name="Comma  - Style1 6 3" xfId="34288" xr:uid="{00000000-0005-0000-0000-0000F8170000}"/>
    <cellStyle name="Comma  - Style1 7" xfId="12931" xr:uid="{00000000-0005-0000-0000-0000F9170000}"/>
    <cellStyle name="Comma  - Style1 7 2" xfId="12932" xr:uid="{00000000-0005-0000-0000-0000FA170000}"/>
    <cellStyle name="Comma  - Style1 7 2 2" xfId="34289" xr:uid="{00000000-0005-0000-0000-0000FB170000}"/>
    <cellStyle name="Comma  - Style1 7 3" xfId="34290" xr:uid="{00000000-0005-0000-0000-0000FC170000}"/>
    <cellStyle name="Comma  - Style1 8" xfId="12933" xr:uid="{00000000-0005-0000-0000-0000FD170000}"/>
    <cellStyle name="Comma  - Style1 8 2" xfId="12934" xr:uid="{00000000-0005-0000-0000-0000FE170000}"/>
    <cellStyle name="Comma  - Style1 8 2 2" xfId="34291" xr:uid="{00000000-0005-0000-0000-0000FF170000}"/>
    <cellStyle name="Comma  - Style1 8 3" xfId="34292" xr:uid="{00000000-0005-0000-0000-000000180000}"/>
    <cellStyle name="Comma  - Style1 9" xfId="12935" xr:uid="{00000000-0005-0000-0000-000001180000}"/>
    <cellStyle name="Comma  - Style1 9 2" xfId="12936" xr:uid="{00000000-0005-0000-0000-000002180000}"/>
    <cellStyle name="Comma  - Style1 9 2 2" xfId="34293" xr:uid="{00000000-0005-0000-0000-000003180000}"/>
    <cellStyle name="Comma  - Style1 9 3" xfId="34294" xr:uid="{00000000-0005-0000-0000-000004180000}"/>
    <cellStyle name="Comma  - Style1_1.Cuadro 1A TEMPRANILLO-1 Mayo-08" xfId="12937" xr:uid="{00000000-0005-0000-0000-000005180000}"/>
    <cellStyle name="Comma  - Style2" xfId="8" xr:uid="{00000000-0005-0000-0000-000006180000}"/>
    <cellStyle name="Comma  - Style2 10" xfId="12938" xr:uid="{00000000-0005-0000-0000-000007180000}"/>
    <cellStyle name="Comma  - Style2 10 2" xfId="34295" xr:uid="{00000000-0005-0000-0000-000008180000}"/>
    <cellStyle name="Comma  - Style2 11" xfId="12939" xr:uid="{00000000-0005-0000-0000-000009180000}"/>
    <cellStyle name="Comma  - Style2 11 2" xfId="34296" xr:uid="{00000000-0005-0000-0000-00000A180000}"/>
    <cellStyle name="Comma  - Style2 12" xfId="12940" xr:uid="{00000000-0005-0000-0000-00000B180000}"/>
    <cellStyle name="Comma  - Style2 12 2" xfId="34297" xr:uid="{00000000-0005-0000-0000-00000C180000}"/>
    <cellStyle name="Comma  - Style2 13" xfId="12941" xr:uid="{00000000-0005-0000-0000-00000D180000}"/>
    <cellStyle name="Comma  - Style2 13 2" xfId="34298" xr:uid="{00000000-0005-0000-0000-00000E180000}"/>
    <cellStyle name="Comma  - Style2 14" xfId="12942" xr:uid="{00000000-0005-0000-0000-00000F180000}"/>
    <cellStyle name="Comma  - Style2 14 2" xfId="34299" xr:uid="{00000000-0005-0000-0000-000010180000}"/>
    <cellStyle name="Comma  - Style2 15" xfId="12943" xr:uid="{00000000-0005-0000-0000-000011180000}"/>
    <cellStyle name="Comma  - Style2 15 2" xfId="34300" xr:uid="{00000000-0005-0000-0000-000012180000}"/>
    <cellStyle name="Comma  - Style2 16" xfId="12944" xr:uid="{00000000-0005-0000-0000-000013180000}"/>
    <cellStyle name="Comma  - Style2 16 2" xfId="34301" xr:uid="{00000000-0005-0000-0000-000014180000}"/>
    <cellStyle name="Comma  - Style2 17" xfId="12945" xr:uid="{00000000-0005-0000-0000-000015180000}"/>
    <cellStyle name="Comma  - Style2 17 2" xfId="34302" xr:uid="{00000000-0005-0000-0000-000016180000}"/>
    <cellStyle name="Comma  - Style2 18" xfId="12946" xr:uid="{00000000-0005-0000-0000-000017180000}"/>
    <cellStyle name="Comma  - Style2 18 2" xfId="34303" xr:uid="{00000000-0005-0000-0000-000018180000}"/>
    <cellStyle name="Comma  - Style2 2" xfId="12947" xr:uid="{00000000-0005-0000-0000-000019180000}"/>
    <cellStyle name="Comma  - Style2 2 2" xfId="12948" xr:uid="{00000000-0005-0000-0000-00001A180000}"/>
    <cellStyle name="Comma  - Style2 2 2 2" xfId="34305" xr:uid="{00000000-0005-0000-0000-00001B180000}"/>
    <cellStyle name="Comma  - Style2 2 3" xfId="34306" xr:uid="{00000000-0005-0000-0000-00001C180000}"/>
    <cellStyle name="Comma  - Style2 2 3 2" xfId="34307" xr:uid="{00000000-0005-0000-0000-00001D180000}"/>
    <cellStyle name="Comma  - Style2 2 4" xfId="34308" xr:uid="{00000000-0005-0000-0000-00001E180000}"/>
    <cellStyle name="Comma  - Style2 2 5" xfId="34309" xr:uid="{00000000-0005-0000-0000-00001F180000}"/>
    <cellStyle name="Comma  - Style2 2 6" xfId="34304" xr:uid="{00000000-0005-0000-0000-000020180000}"/>
    <cellStyle name="Comma  - Style2 3" xfId="12949" xr:uid="{00000000-0005-0000-0000-000021180000}"/>
    <cellStyle name="Comma  - Style2 3 2" xfId="12950" xr:uid="{00000000-0005-0000-0000-000022180000}"/>
    <cellStyle name="Comma  - Style2 3 2 2" xfId="34311" xr:uid="{00000000-0005-0000-0000-000023180000}"/>
    <cellStyle name="Comma  - Style2 3 3" xfId="34312" xr:uid="{00000000-0005-0000-0000-000024180000}"/>
    <cellStyle name="Comma  - Style2 3 3 2" xfId="34313" xr:uid="{00000000-0005-0000-0000-000025180000}"/>
    <cellStyle name="Comma  - Style2 3 4" xfId="34314" xr:uid="{00000000-0005-0000-0000-000026180000}"/>
    <cellStyle name="Comma  - Style2 3 5" xfId="34310" xr:uid="{00000000-0005-0000-0000-000027180000}"/>
    <cellStyle name="Comma  - Style2 4" xfId="12951" xr:uid="{00000000-0005-0000-0000-000028180000}"/>
    <cellStyle name="Comma  - Style2 4 2" xfId="12952" xr:uid="{00000000-0005-0000-0000-000029180000}"/>
    <cellStyle name="Comma  - Style2 4 2 2" xfId="34315" xr:uid="{00000000-0005-0000-0000-00002A180000}"/>
    <cellStyle name="Comma  - Style2 4 3" xfId="34316" xr:uid="{00000000-0005-0000-0000-00002B180000}"/>
    <cellStyle name="Comma  - Style2 5" xfId="12953" xr:uid="{00000000-0005-0000-0000-00002C180000}"/>
    <cellStyle name="Comma  - Style2 5 2" xfId="12954" xr:uid="{00000000-0005-0000-0000-00002D180000}"/>
    <cellStyle name="Comma  - Style2 5 2 2" xfId="34317" xr:uid="{00000000-0005-0000-0000-00002E180000}"/>
    <cellStyle name="Comma  - Style2 5 3" xfId="34318" xr:uid="{00000000-0005-0000-0000-00002F180000}"/>
    <cellStyle name="Comma  - Style2 6" xfId="12955" xr:uid="{00000000-0005-0000-0000-000030180000}"/>
    <cellStyle name="Comma  - Style2 6 2" xfId="12956" xr:uid="{00000000-0005-0000-0000-000031180000}"/>
    <cellStyle name="Comma  - Style2 6 2 2" xfId="34319" xr:uid="{00000000-0005-0000-0000-000032180000}"/>
    <cellStyle name="Comma  - Style2 6 3" xfId="34320" xr:uid="{00000000-0005-0000-0000-000033180000}"/>
    <cellStyle name="Comma  - Style2 7" xfId="12957" xr:uid="{00000000-0005-0000-0000-000034180000}"/>
    <cellStyle name="Comma  - Style2 7 2" xfId="12958" xr:uid="{00000000-0005-0000-0000-000035180000}"/>
    <cellStyle name="Comma  - Style2 7 2 2" xfId="34321" xr:uid="{00000000-0005-0000-0000-000036180000}"/>
    <cellStyle name="Comma  - Style2 7 3" xfId="34322" xr:uid="{00000000-0005-0000-0000-000037180000}"/>
    <cellStyle name="Comma  - Style2 8" xfId="12959" xr:uid="{00000000-0005-0000-0000-000038180000}"/>
    <cellStyle name="Comma  - Style2 8 2" xfId="12960" xr:uid="{00000000-0005-0000-0000-000039180000}"/>
    <cellStyle name="Comma  - Style2 8 2 2" xfId="34323" xr:uid="{00000000-0005-0000-0000-00003A180000}"/>
    <cellStyle name="Comma  - Style2 8 3" xfId="34324" xr:uid="{00000000-0005-0000-0000-00003B180000}"/>
    <cellStyle name="Comma  - Style2 9" xfId="12961" xr:uid="{00000000-0005-0000-0000-00003C180000}"/>
    <cellStyle name="Comma  - Style2 9 2" xfId="12962" xr:uid="{00000000-0005-0000-0000-00003D180000}"/>
    <cellStyle name="Comma  - Style2 9 2 2" xfId="34325" xr:uid="{00000000-0005-0000-0000-00003E180000}"/>
    <cellStyle name="Comma  - Style2 9 3" xfId="34326" xr:uid="{00000000-0005-0000-0000-00003F180000}"/>
    <cellStyle name="Comma  - Style2_1.Cuadro 1A TEMPRANILLO-1 Mayo-08" xfId="12963" xr:uid="{00000000-0005-0000-0000-000040180000}"/>
    <cellStyle name="Comma  - Style3" xfId="9" xr:uid="{00000000-0005-0000-0000-000041180000}"/>
    <cellStyle name="Comma  - Style3 10" xfId="12964" xr:uid="{00000000-0005-0000-0000-000042180000}"/>
    <cellStyle name="Comma  - Style3 10 2" xfId="34327" xr:uid="{00000000-0005-0000-0000-000043180000}"/>
    <cellStyle name="Comma  - Style3 11" xfId="12965" xr:uid="{00000000-0005-0000-0000-000044180000}"/>
    <cellStyle name="Comma  - Style3 11 2" xfId="34328" xr:uid="{00000000-0005-0000-0000-000045180000}"/>
    <cellStyle name="Comma  - Style3 12" xfId="12966" xr:uid="{00000000-0005-0000-0000-000046180000}"/>
    <cellStyle name="Comma  - Style3 12 2" xfId="34329" xr:uid="{00000000-0005-0000-0000-000047180000}"/>
    <cellStyle name="Comma  - Style3 13" xfId="12967" xr:uid="{00000000-0005-0000-0000-000048180000}"/>
    <cellStyle name="Comma  - Style3 13 2" xfId="34330" xr:uid="{00000000-0005-0000-0000-000049180000}"/>
    <cellStyle name="Comma  - Style3 14" xfId="12968" xr:uid="{00000000-0005-0000-0000-00004A180000}"/>
    <cellStyle name="Comma  - Style3 14 2" xfId="34331" xr:uid="{00000000-0005-0000-0000-00004B180000}"/>
    <cellStyle name="Comma  - Style3 15" xfId="12969" xr:uid="{00000000-0005-0000-0000-00004C180000}"/>
    <cellStyle name="Comma  - Style3 15 2" xfId="34332" xr:uid="{00000000-0005-0000-0000-00004D180000}"/>
    <cellStyle name="Comma  - Style3 16" xfId="12970" xr:uid="{00000000-0005-0000-0000-00004E180000}"/>
    <cellStyle name="Comma  - Style3 16 2" xfId="34333" xr:uid="{00000000-0005-0000-0000-00004F180000}"/>
    <cellStyle name="Comma  - Style3 17" xfId="12971" xr:uid="{00000000-0005-0000-0000-000050180000}"/>
    <cellStyle name="Comma  - Style3 17 2" xfId="34334" xr:uid="{00000000-0005-0000-0000-000051180000}"/>
    <cellStyle name="Comma  - Style3 18" xfId="12972" xr:uid="{00000000-0005-0000-0000-000052180000}"/>
    <cellStyle name="Comma  - Style3 18 2" xfId="34335" xr:uid="{00000000-0005-0000-0000-000053180000}"/>
    <cellStyle name="Comma  - Style3 2" xfId="12973" xr:uid="{00000000-0005-0000-0000-000054180000}"/>
    <cellStyle name="Comma  - Style3 2 2" xfId="12974" xr:uid="{00000000-0005-0000-0000-000055180000}"/>
    <cellStyle name="Comma  - Style3 2 2 2" xfId="34337" xr:uid="{00000000-0005-0000-0000-000056180000}"/>
    <cellStyle name="Comma  - Style3 2 3" xfId="34338" xr:uid="{00000000-0005-0000-0000-000057180000}"/>
    <cellStyle name="Comma  - Style3 2 3 2" xfId="34339" xr:uid="{00000000-0005-0000-0000-000058180000}"/>
    <cellStyle name="Comma  - Style3 2 4" xfId="34340" xr:uid="{00000000-0005-0000-0000-000059180000}"/>
    <cellStyle name="Comma  - Style3 2 5" xfId="34341" xr:uid="{00000000-0005-0000-0000-00005A180000}"/>
    <cellStyle name="Comma  - Style3 2 6" xfId="34336" xr:uid="{00000000-0005-0000-0000-00005B180000}"/>
    <cellStyle name="Comma  - Style3 3" xfId="12975" xr:uid="{00000000-0005-0000-0000-00005C180000}"/>
    <cellStyle name="Comma  - Style3 3 2" xfId="12976" xr:uid="{00000000-0005-0000-0000-00005D180000}"/>
    <cellStyle name="Comma  - Style3 3 2 2" xfId="34343" xr:uid="{00000000-0005-0000-0000-00005E180000}"/>
    <cellStyle name="Comma  - Style3 3 3" xfId="34344" xr:uid="{00000000-0005-0000-0000-00005F180000}"/>
    <cellStyle name="Comma  - Style3 3 3 2" xfId="34345" xr:uid="{00000000-0005-0000-0000-000060180000}"/>
    <cellStyle name="Comma  - Style3 3 4" xfId="34346" xr:uid="{00000000-0005-0000-0000-000061180000}"/>
    <cellStyle name="Comma  - Style3 3 5" xfId="34342" xr:uid="{00000000-0005-0000-0000-000062180000}"/>
    <cellStyle name="Comma  - Style3 4" xfId="12977" xr:uid="{00000000-0005-0000-0000-000063180000}"/>
    <cellStyle name="Comma  - Style3 4 2" xfId="12978" xr:uid="{00000000-0005-0000-0000-000064180000}"/>
    <cellStyle name="Comma  - Style3 4 2 2" xfId="34347" xr:uid="{00000000-0005-0000-0000-000065180000}"/>
    <cellStyle name="Comma  - Style3 4 3" xfId="34348" xr:uid="{00000000-0005-0000-0000-000066180000}"/>
    <cellStyle name="Comma  - Style3 5" xfId="12979" xr:uid="{00000000-0005-0000-0000-000067180000}"/>
    <cellStyle name="Comma  - Style3 5 2" xfId="12980" xr:uid="{00000000-0005-0000-0000-000068180000}"/>
    <cellStyle name="Comma  - Style3 5 2 2" xfId="34349" xr:uid="{00000000-0005-0000-0000-000069180000}"/>
    <cellStyle name="Comma  - Style3 5 3" xfId="34350" xr:uid="{00000000-0005-0000-0000-00006A180000}"/>
    <cellStyle name="Comma  - Style3 6" xfId="12981" xr:uid="{00000000-0005-0000-0000-00006B180000}"/>
    <cellStyle name="Comma  - Style3 6 2" xfId="12982" xr:uid="{00000000-0005-0000-0000-00006C180000}"/>
    <cellStyle name="Comma  - Style3 6 2 2" xfId="34351" xr:uid="{00000000-0005-0000-0000-00006D180000}"/>
    <cellStyle name="Comma  - Style3 6 3" xfId="34352" xr:uid="{00000000-0005-0000-0000-00006E180000}"/>
    <cellStyle name="Comma  - Style3 7" xfId="12983" xr:uid="{00000000-0005-0000-0000-00006F180000}"/>
    <cellStyle name="Comma  - Style3 7 2" xfId="12984" xr:uid="{00000000-0005-0000-0000-000070180000}"/>
    <cellStyle name="Comma  - Style3 7 2 2" xfId="34353" xr:uid="{00000000-0005-0000-0000-000071180000}"/>
    <cellStyle name="Comma  - Style3 7 3" xfId="34354" xr:uid="{00000000-0005-0000-0000-000072180000}"/>
    <cellStyle name="Comma  - Style3 8" xfId="12985" xr:uid="{00000000-0005-0000-0000-000073180000}"/>
    <cellStyle name="Comma  - Style3 8 2" xfId="12986" xr:uid="{00000000-0005-0000-0000-000074180000}"/>
    <cellStyle name="Comma  - Style3 8 2 2" xfId="34355" xr:uid="{00000000-0005-0000-0000-000075180000}"/>
    <cellStyle name="Comma  - Style3 8 3" xfId="34356" xr:uid="{00000000-0005-0000-0000-000076180000}"/>
    <cellStyle name="Comma  - Style3 9" xfId="12987" xr:uid="{00000000-0005-0000-0000-000077180000}"/>
    <cellStyle name="Comma  - Style3 9 2" xfId="12988" xr:uid="{00000000-0005-0000-0000-000078180000}"/>
    <cellStyle name="Comma  - Style3 9 2 2" xfId="34357" xr:uid="{00000000-0005-0000-0000-000079180000}"/>
    <cellStyle name="Comma  - Style3 9 3" xfId="34358" xr:uid="{00000000-0005-0000-0000-00007A180000}"/>
    <cellStyle name="Comma  - Style3_1.Cuadro 1A TEMPRANILLO-1 Mayo-08" xfId="12989" xr:uid="{00000000-0005-0000-0000-00007B180000}"/>
    <cellStyle name="Comma  - Style4" xfId="10" xr:uid="{00000000-0005-0000-0000-00007C180000}"/>
    <cellStyle name="Comma  - Style4 10" xfId="12990" xr:uid="{00000000-0005-0000-0000-00007D180000}"/>
    <cellStyle name="Comma  - Style4 10 2" xfId="34359" xr:uid="{00000000-0005-0000-0000-00007E180000}"/>
    <cellStyle name="Comma  - Style4 11" xfId="12991" xr:uid="{00000000-0005-0000-0000-00007F180000}"/>
    <cellStyle name="Comma  - Style4 11 2" xfId="34360" xr:uid="{00000000-0005-0000-0000-000080180000}"/>
    <cellStyle name="Comma  - Style4 12" xfId="12992" xr:uid="{00000000-0005-0000-0000-000081180000}"/>
    <cellStyle name="Comma  - Style4 12 2" xfId="34361" xr:uid="{00000000-0005-0000-0000-000082180000}"/>
    <cellStyle name="Comma  - Style4 13" xfId="12993" xr:uid="{00000000-0005-0000-0000-000083180000}"/>
    <cellStyle name="Comma  - Style4 13 2" xfId="34362" xr:uid="{00000000-0005-0000-0000-000084180000}"/>
    <cellStyle name="Comma  - Style4 14" xfId="12994" xr:uid="{00000000-0005-0000-0000-000085180000}"/>
    <cellStyle name="Comma  - Style4 14 2" xfId="34363" xr:uid="{00000000-0005-0000-0000-000086180000}"/>
    <cellStyle name="Comma  - Style4 15" xfId="12995" xr:uid="{00000000-0005-0000-0000-000087180000}"/>
    <cellStyle name="Comma  - Style4 15 2" xfId="34364" xr:uid="{00000000-0005-0000-0000-000088180000}"/>
    <cellStyle name="Comma  - Style4 16" xfId="12996" xr:uid="{00000000-0005-0000-0000-000089180000}"/>
    <cellStyle name="Comma  - Style4 16 2" xfId="34365" xr:uid="{00000000-0005-0000-0000-00008A180000}"/>
    <cellStyle name="Comma  - Style4 17" xfId="12997" xr:uid="{00000000-0005-0000-0000-00008B180000}"/>
    <cellStyle name="Comma  - Style4 17 2" xfId="34366" xr:uid="{00000000-0005-0000-0000-00008C180000}"/>
    <cellStyle name="Comma  - Style4 18" xfId="12998" xr:uid="{00000000-0005-0000-0000-00008D180000}"/>
    <cellStyle name="Comma  - Style4 18 2" xfId="34367" xr:uid="{00000000-0005-0000-0000-00008E180000}"/>
    <cellStyle name="Comma  - Style4 2" xfId="12999" xr:uid="{00000000-0005-0000-0000-00008F180000}"/>
    <cellStyle name="Comma  - Style4 2 2" xfId="13000" xr:uid="{00000000-0005-0000-0000-000090180000}"/>
    <cellStyle name="Comma  - Style4 2 2 2" xfId="34369" xr:uid="{00000000-0005-0000-0000-000091180000}"/>
    <cellStyle name="Comma  - Style4 2 3" xfId="34370" xr:uid="{00000000-0005-0000-0000-000092180000}"/>
    <cellStyle name="Comma  - Style4 2 3 2" xfId="34371" xr:uid="{00000000-0005-0000-0000-000093180000}"/>
    <cellStyle name="Comma  - Style4 2 4" xfId="34372" xr:uid="{00000000-0005-0000-0000-000094180000}"/>
    <cellStyle name="Comma  - Style4 2 5" xfId="34373" xr:uid="{00000000-0005-0000-0000-000095180000}"/>
    <cellStyle name="Comma  - Style4 2 6" xfId="34368" xr:uid="{00000000-0005-0000-0000-000096180000}"/>
    <cellStyle name="Comma  - Style4 3" xfId="13001" xr:uid="{00000000-0005-0000-0000-000097180000}"/>
    <cellStyle name="Comma  - Style4 3 2" xfId="13002" xr:uid="{00000000-0005-0000-0000-000098180000}"/>
    <cellStyle name="Comma  - Style4 3 2 2" xfId="34375" xr:uid="{00000000-0005-0000-0000-000099180000}"/>
    <cellStyle name="Comma  - Style4 3 3" xfId="34376" xr:uid="{00000000-0005-0000-0000-00009A180000}"/>
    <cellStyle name="Comma  - Style4 3 3 2" xfId="34377" xr:uid="{00000000-0005-0000-0000-00009B180000}"/>
    <cellStyle name="Comma  - Style4 3 4" xfId="34378" xr:uid="{00000000-0005-0000-0000-00009C180000}"/>
    <cellStyle name="Comma  - Style4 3 5" xfId="34374" xr:uid="{00000000-0005-0000-0000-00009D180000}"/>
    <cellStyle name="Comma  - Style4 4" xfId="13003" xr:uid="{00000000-0005-0000-0000-00009E180000}"/>
    <cellStyle name="Comma  - Style4 4 2" xfId="13004" xr:uid="{00000000-0005-0000-0000-00009F180000}"/>
    <cellStyle name="Comma  - Style4 4 2 2" xfId="34379" xr:uid="{00000000-0005-0000-0000-0000A0180000}"/>
    <cellStyle name="Comma  - Style4 4 3" xfId="34380" xr:uid="{00000000-0005-0000-0000-0000A1180000}"/>
    <cellStyle name="Comma  - Style4 5" xfId="13005" xr:uid="{00000000-0005-0000-0000-0000A2180000}"/>
    <cellStyle name="Comma  - Style4 5 2" xfId="13006" xr:uid="{00000000-0005-0000-0000-0000A3180000}"/>
    <cellStyle name="Comma  - Style4 5 2 2" xfId="34381" xr:uid="{00000000-0005-0000-0000-0000A4180000}"/>
    <cellStyle name="Comma  - Style4 5 3" xfId="34382" xr:uid="{00000000-0005-0000-0000-0000A5180000}"/>
    <cellStyle name="Comma  - Style4 6" xfId="13007" xr:uid="{00000000-0005-0000-0000-0000A6180000}"/>
    <cellStyle name="Comma  - Style4 6 2" xfId="13008" xr:uid="{00000000-0005-0000-0000-0000A7180000}"/>
    <cellStyle name="Comma  - Style4 6 2 2" xfId="34383" xr:uid="{00000000-0005-0000-0000-0000A8180000}"/>
    <cellStyle name="Comma  - Style4 6 3" xfId="34384" xr:uid="{00000000-0005-0000-0000-0000A9180000}"/>
    <cellStyle name="Comma  - Style4 7" xfId="13009" xr:uid="{00000000-0005-0000-0000-0000AA180000}"/>
    <cellStyle name="Comma  - Style4 7 2" xfId="13010" xr:uid="{00000000-0005-0000-0000-0000AB180000}"/>
    <cellStyle name="Comma  - Style4 7 2 2" xfId="34385" xr:uid="{00000000-0005-0000-0000-0000AC180000}"/>
    <cellStyle name="Comma  - Style4 7 3" xfId="34386" xr:uid="{00000000-0005-0000-0000-0000AD180000}"/>
    <cellStyle name="Comma  - Style4 8" xfId="13011" xr:uid="{00000000-0005-0000-0000-0000AE180000}"/>
    <cellStyle name="Comma  - Style4 8 2" xfId="13012" xr:uid="{00000000-0005-0000-0000-0000AF180000}"/>
    <cellStyle name="Comma  - Style4 8 2 2" xfId="34387" xr:uid="{00000000-0005-0000-0000-0000B0180000}"/>
    <cellStyle name="Comma  - Style4 8 3" xfId="34388" xr:uid="{00000000-0005-0000-0000-0000B1180000}"/>
    <cellStyle name="Comma  - Style4 9" xfId="13013" xr:uid="{00000000-0005-0000-0000-0000B2180000}"/>
    <cellStyle name="Comma  - Style4 9 2" xfId="13014" xr:uid="{00000000-0005-0000-0000-0000B3180000}"/>
    <cellStyle name="Comma  - Style4 9 2 2" xfId="34389" xr:uid="{00000000-0005-0000-0000-0000B4180000}"/>
    <cellStyle name="Comma  - Style4 9 3" xfId="34390" xr:uid="{00000000-0005-0000-0000-0000B5180000}"/>
    <cellStyle name="Comma  - Style4_1.Cuadro 1A TEMPRANILLO-1 Mayo-08" xfId="13015" xr:uid="{00000000-0005-0000-0000-0000B6180000}"/>
    <cellStyle name="Comma  - Style5" xfId="11" xr:uid="{00000000-0005-0000-0000-0000B7180000}"/>
    <cellStyle name="Comma  - Style5 10" xfId="13016" xr:uid="{00000000-0005-0000-0000-0000B8180000}"/>
    <cellStyle name="Comma  - Style5 10 2" xfId="34391" xr:uid="{00000000-0005-0000-0000-0000B9180000}"/>
    <cellStyle name="Comma  - Style5 11" xfId="13017" xr:uid="{00000000-0005-0000-0000-0000BA180000}"/>
    <cellStyle name="Comma  - Style5 11 2" xfId="34392" xr:uid="{00000000-0005-0000-0000-0000BB180000}"/>
    <cellStyle name="Comma  - Style5 12" xfId="13018" xr:uid="{00000000-0005-0000-0000-0000BC180000}"/>
    <cellStyle name="Comma  - Style5 12 2" xfId="34393" xr:uid="{00000000-0005-0000-0000-0000BD180000}"/>
    <cellStyle name="Comma  - Style5 13" xfId="13019" xr:uid="{00000000-0005-0000-0000-0000BE180000}"/>
    <cellStyle name="Comma  - Style5 13 2" xfId="34394" xr:uid="{00000000-0005-0000-0000-0000BF180000}"/>
    <cellStyle name="Comma  - Style5 14" xfId="13020" xr:uid="{00000000-0005-0000-0000-0000C0180000}"/>
    <cellStyle name="Comma  - Style5 14 2" xfId="34395" xr:uid="{00000000-0005-0000-0000-0000C1180000}"/>
    <cellStyle name="Comma  - Style5 15" xfId="13021" xr:uid="{00000000-0005-0000-0000-0000C2180000}"/>
    <cellStyle name="Comma  - Style5 15 2" xfId="34396" xr:uid="{00000000-0005-0000-0000-0000C3180000}"/>
    <cellStyle name="Comma  - Style5 16" xfId="13022" xr:uid="{00000000-0005-0000-0000-0000C4180000}"/>
    <cellStyle name="Comma  - Style5 16 2" xfId="34397" xr:uid="{00000000-0005-0000-0000-0000C5180000}"/>
    <cellStyle name="Comma  - Style5 17" xfId="13023" xr:uid="{00000000-0005-0000-0000-0000C6180000}"/>
    <cellStyle name="Comma  - Style5 17 2" xfId="34398" xr:uid="{00000000-0005-0000-0000-0000C7180000}"/>
    <cellStyle name="Comma  - Style5 18" xfId="13024" xr:uid="{00000000-0005-0000-0000-0000C8180000}"/>
    <cellStyle name="Comma  - Style5 18 2" xfId="34399" xr:uid="{00000000-0005-0000-0000-0000C9180000}"/>
    <cellStyle name="Comma  - Style5 2" xfId="13025" xr:uid="{00000000-0005-0000-0000-0000CA180000}"/>
    <cellStyle name="Comma  - Style5 2 2" xfId="13026" xr:uid="{00000000-0005-0000-0000-0000CB180000}"/>
    <cellStyle name="Comma  - Style5 2 2 2" xfId="34401" xr:uid="{00000000-0005-0000-0000-0000CC180000}"/>
    <cellStyle name="Comma  - Style5 2 3" xfId="34402" xr:uid="{00000000-0005-0000-0000-0000CD180000}"/>
    <cellStyle name="Comma  - Style5 2 3 2" xfId="34403" xr:uid="{00000000-0005-0000-0000-0000CE180000}"/>
    <cellStyle name="Comma  - Style5 2 4" xfId="34404" xr:uid="{00000000-0005-0000-0000-0000CF180000}"/>
    <cellStyle name="Comma  - Style5 2 5" xfId="34405" xr:uid="{00000000-0005-0000-0000-0000D0180000}"/>
    <cellStyle name="Comma  - Style5 2 6" xfId="34400" xr:uid="{00000000-0005-0000-0000-0000D1180000}"/>
    <cellStyle name="Comma  - Style5 3" xfId="13027" xr:uid="{00000000-0005-0000-0000-0000D2180000}"/>
    <cellStyle name="Comma  - Style5 3 2" xfId="13028" xr:uid="{00000000-0005-0000-0000-0000D3180000}"/>
    <cellStyle name="Comma  - Style5 3 2 2" xfId="34407" xr:uid="{00000000-0005-0000-0000-0000D4180000}"/>
    <cellStyle name="Comma  - Style5 3 3" xfId="34408" xr:uid="{00000000-0005-0000-0000-0000D5180000}"/>
    <cellStyle name="Comma  - Style5 3 3 2" xfId="34409" xr:uid="{00000000-0005-0000-0000-0000D6180000}"/>
    <cellStyle name="Comma  - Style5 3 4" xfId="34410" xr:uid="{00000000-0005-0000-0000-0000D7180000}"/>
    <cellStyle name="Comma  - Style5 3 5" xfId="34406" xr:uid="{00000000-0005-0000-0000-0000D8180000}"/>
    <cellStyle name="Comma  - Style5 4" xfId="13029" xr:uid="{00000000-0005-0000-0000-0000D9180000}"/>
    <cellStyle name="Comma  - Style5 4 2" xfId="13030" xr:uid="{00000000-0005-0000-0000-0000DA180000}"/>
    <cellStyle name="Comma  - Style5 4 2 2" xfId="34411" xr:uid="{00000000-0005-0000-0000-0000DB180000}"/>
    <cellStyle name="Comma  - Style5 4 3" xfId="34412" xr:uid="{00000000-0005-0000-0000-0000DC180000}"/>
    <cellStyle name="Comma  - Style5 5" xfId="13031" xr:uid="{00000000-0005-0000-0000-0000DD180000}"/>
    <cellStyle name="Comma  - Style5 5 2" xfId="13032" xr:uid="{00000000-0005-0000-0000-0000DE180000}"/>
    <cellStyle name="Comma  - Style5 5 2 2" xfId="34413" xr:uid="{00000000-0005-0000-0000-0000DF180000}"/>
    <cellStyle name="Comma  - Style5 5 3" xfId="34414" xr:uid="{00000000-0005-0000-0000-0000E0180000}"/>
    <cellStyle name="Comma  - Style5 6" xfId="13033" xr:uid="{00000000-0005-0000-0000-0000E1180000}"/>
    <cellStyle name="Comma  - Style5 6 2" xfId="13034" xr:uid="{00000000-0005-0000-0000-0000E2180000}"/>
    <cellStyle name="Comma  - Style5 6 2 2" xfId="34415" xr:uid="{00000000-0005-0000-0000-0000E3180000}"/>
    <cellStyle name="Comma  - Style5 6 3" xfId="34416" xr:uid="{00000000-0005-0000-0000-0000E4180000}"/>
    <cellStyle name="Comma  - Style5 7" xfId="13035" xr:uid="{00000000-0005-0000-0000-0000E5180000}"/>
    <cellStyle name="Comma  - Style5 7 2" xfId="13036" xr:uid="{00000000-0005-0000-0000-0000E6180000}"/>
    <cellStyle name="Comma  - Style5 7 2 2" xfId="34417" xr:uid="{00000000-0005-0000-0000-0000E7180000}"/>
    <cellStyle name="Comma  - Style5 7 3" xfId="34418" xr:uid="{00000000-0005-0000-0000-0000E8180000}"/>
    <cellStyle name="Comma  - Style5 8" xfId="13037" xr:uid="{00000000-0005-0000-0000-0000E9180000}"/>
    <cellStyle name="Comma  - Style5 8 2" xfId="13038" xr:uid="{00000000-0005-0000-0000-0000EA180000}"/>
    <cellStyle name="Comma  - Style5 8 2 2" xfId="34419" xr:uid="{00000000-0005-0000-0000-0000EB180000}"/>
    <cellStyle name="Comma  - Style5 8 3" xfId="34420" xr:uid="{00000000-0005-0000-0000-0000EC180000}"/>
    <cellStyle name="Comma  - Style5 9" xfId="13039" xr:uid="{00000000-0005-0000-0000-0000ED180000}"/>
    <cellStyle name="Comma  - Style5 9 2" xfId="13040" xr:uid="{00000000-0005-0000-0000-0000EE180000}"/>
    <cellStyle name="Comma  - Style5 9 2 2" xfId="34421" xr:uid="{00000000-0005-0000-0000-0000EF180000}"/>
    <cellStyle name="Comma  - Style5 9 3" xfId="34422" xr:uid="{00000000-0005-0000-0000-0000F0180000}"/>
    <cellStyle name="Comma  - Style5_1.Cuadro 1A TEMPRANILLO-1 Mayo-08" xfId="13041" xr:uid="{00000000-0005-0000-0000-0000F1180000}"/>
    <cellStyle name="Comma  - Style6" xfId="12" xr:uid="{00000000-0005-0000-0000-0000F2180000}"/>
    <cellStyle name="Comma  - Style6 10" xfId="13042" xr:uid="{00000000-0005-0000-0000-0000F3180000}"/>
    <cellStyle name="Comma  - Style6 10 2" xfId="34423" xr:uid="{00000000-0005-0000-0000-0000F4180000}"/>
    <cellStyle name="Comma  - Style6 11" xfId="13043" xr:uid="{00000000-0005-0000-0000-0000F5180000}"/>
    <cellStyle name="Comma  - Style6 11 2" xfId="34424" xr:uid="{00000000-0005-0000-0000-0000F6180000}"/>
    <cellStyle name="Comma  - Style6 12" xfId="13044" xr:uid="{00000000-0005-0000-0000-0000F7180000}"/>
    <cellStyle name="Comma  - Style6 12 2" xfId="34425" xr:uid="{00000000-0005-0000-0000-0000F8180000}"/>
    <cellStyle name="Comma  - Style6 13" xfId="13045" xr:uid="{00000000-0005-0000-0000-0000F9180000}"/>
    <cellStyle name="Comma  - Style6 13 2" xfId="34426" xr:uid="{00000000-0005-0000-0000-0000FA180000}"/>
    <cellStyle name="Comma  - Style6 14" xfId="13046" xr:uid="{00000000-0005-0000-0000-0000FB180000}"/>
    <cellStyle name="Comma  - Style6 14 2" xfId="34427" xr:uid="{00000000-0005-0000-0000-0000FC180000}"/>
    <cellStyle name="Comma  - Style6 15" xfId="13047" xr:uid="{00000000-0005-0000-0000-0000FD180000}"/>
    <cellStyle name="Comma  - Style6 15 2" xfId="34428" xr:uid="{00000000-0005-0000-0000-0000FE180000}"/>
    <cellStyle name="Comma  - Style6 16" xfId="13048" xr:uid="{00000000-0005-0000-0000-0000FF180000}"/>
    <cellStyle name="Comma  - Style6 16 2" xfId="34429" xr:uid="{00000000-0005-0000-0000-000000190000}"/>
    <cellStyle name="Comma  - Style6 17" xfId="13049" xr:uid="{00000000-0005-0000-0000-000001190000}"/>
    <cellStyle name="Comma  - Style6 17 2" xfId="34430" xr:uid="{00000000-0005-0000-0000-000002190000}"/>
    <cellStyle name="Comma  - Style6 18" xfId="13050" xr:uid="{00000000-0005-0000-0000-000003190000}"/>
    <cellStyle name="Comma  - Style6 18 2" xfId="34431" xr:uid="{00000000-0005-0000-0000-000004190000}"/>
    <cellStyle name="Comma  - Style6 2" xfId="13051" xr:uid="{00000000-0005-0000-0000-000005190000}"/>
    <cellStyle name="Comma  - Style6 2 2" xfId="13052" xr:uid="{00000000-0005-0000-0000-000006190000}"/>
    <cellStyle name="Comma  - Style6 2 2 2" xfId="34433" xr:uid="{00000000-0005-0000-0000-000007190000}"/>
    <cellStyle name="Comma  - Style6 2 3" xfId="34434" xr:uid="{00000000-0005-0000-0000-000008190000}"/>
    <cellStyle name="Comma  - Style6 2 3 2" xfId="34435" xr:uid="{00000000-0005-0000-0000-000009190000}"/>
    <cellStyle name="Comma  - Style6 2 4" xfId="34436" xr:uid="{00000000-0005-0000-0000-00000A190000}"/>
    <cellStyle name="Comma  - Style6 2 5" xfId="34437" xr:uid="{00000000-0005-0000-0000-00000B190000}"/>
    <cellStyle name="Comma  - Style6 2 6" xfId="34432" xr:uid="{00000000-0005-0000-0000-00000C190000}"/>
    <cellStyle name="Comma  - Style6 3" xfId="13053" xr:uid="{00000000-0005-0000-0000-00000D190000}"/>
    <cellStyle name="Comma  - Style6 3 2" xfId="13054" xr:uid="{00000000-0005-0000-0000-00000E190000}"/>
    <cellStyle name="Comma  - Style6 3 2 2" xfId="34439" xr:uid="{00000000-0005-0000-0000-00000F190000}"/>
    <cellStyle name="Comma  - Style6 3 3" xfId="34440" xr:uid="{00000000-0005-0000-0000-000010190000}"/>
    <cellStyle name="Comma  - Style6 3 3 2" xfId="34441" xr:uid="{00000000-0005-0000-0000-000011190000}"/>
    <cellStyle name="Comma  - Style6 3 4" xfId="34442" xr:uid="{00000000-0005-0000-0000-000012190000}"/>
    <cellStyle name="Comma  - Style6 3 5" xfId="34438" xr:uid="{00000000-0005-0000-0000-000013190000}"/>
    <cellStyle name="Comma  - Style6 4" xfId="13055" xr:uid="{00000000-0005-0000-0000-000014190000}"/>
    <cellStyle name="Comma  - Style6 4 2" xfId="13056" xr:uid="{00000000-0005-0000-0000-000015190000}"/>
    <cellStyle name="Comma  - Style6 4 2 2" xfId="34443" xr:uid="{00000000-0005-0000-0000-000016190000}"/>
    <cellStyle name="Comma  - Style6 4 3" xfId="34444" xr:uid="{00000000-0005-0000-0000-000017190000}"/>
    <cellStyle name="Comma  - Style6 5" xfId="13057" xr:uid="{00000000-0005-0000-0000-000018190000}"/>
    <cellStyle name="Comma  - Style6 5 2" xfId="13058" xr:uid="{00000000-0005-0000-0000-000019190000}"/>
    <cellStyle name="Comma  - Style6 5 2 2" xfId="34445" xr:uid="{00000000-0005-0000-0000-00001A190000}"/>
    <cellStyle name="Comma  - Style6 5 3" xfId="34446" xr:uid="{00000000-0005-0000-0000-00001B190000}"/>
    <cellStyle name="Comma  - Style6 6" xfId="13059" xr:uid="{00000000-0005-0000-0000-00001C190000}"/>
    <cellStyle name="Comma  - Style6 6 2" xfId="13060" xr:uid="{00000000-0005-0000-0000-00001D190000}"/>
    <cellStyle name="Comma  - Style6 6 2 2" xfId="34447" xr:uid="{00000000-0005-0000-0000-00001E190000}"/>
    <cellStyle name="Comma  - Style6 6 3" xfId="34448" xr:uid="{00000000-0005-0000-0000-00001F190000}"/>
    <cellStyle name="Comma  - Style6 7" xfId="13061" xr:uid="{00000000-0005-0000-0000-000020190000}"/>
    <cellStyle name="Comma  - Style6 7 2" xfId="13062" xr:uid="{00000000-0005-0000-0000-000021190000}"/>
    <cellStyle name="Comma  - Style6 7 2 2" xfId="34449" xr:uid="{00000000-0005-0000-0000-000022190000}"/>
    <cellStyle name="Comma  - Style6 7 3" xfId="34450" xr:uid="{00000000-0005-0000-0000-000023190000}"/>
    <cellStyle name="Comma  - Style6 8" xfId="13063" xr:uid="{00000000-0005-0000-0000-000024190000}"/>
    <cellStyle name="Comma  - Style6 8 2" xfId="13064" xr:uid="{00000000-0005-0000-0000-000025190000}"/>
    <cellStyle name="Comma  - Style6 8 2 2" xfId="34451" xr:uid="{00000000-0005-0000-0000-000026190000}"/>
    <cellStyle name="Comma  - Style6 8 3" xfId="34452" xr:uid="{00000000-0005-0000-0000-000027190000}"/>
    <cellStyle name="Comma  - Style6 9" xfId="13065" xr:uid="{00000000-0005-0000-0000-000028190000}"/>
    <cellStyle name="Comma  - Style6 9 2" xfId="13066" xr:uid="{00000000-0005-0000-0000-000029190000}"/>
    <cellStyle name="Comma  - Style6 9 2 2" xfId="34453" xr:uid="{00000000-0005-0000-0000-00002A190000}"/>
    <cellStyle name="Comma  - Style6 9 3" xfId="34454" xr:uid="{00000000-0005-0000-0000-00002B190000}"/>
    <cellStyle name="Comma  - Style6_1.Cuadro 1A TEMPRANILLO-1 Mayo-08" xfId="13067" xr:uid="{00000000-0005-0000-0000-00002C190000}"/>
    <cellStyle name="Comma  - Style7" xfId="13" xr:uid="{00000000-0005-0000-0000-00002D190000}"/>
    <cellStyle name="Comma  - Style7 10" xfId="13068" xr:uid="{00000000-0005-0000-0000-00002E190000}"/>
    <cellStyle name="Comma  - Style7 10 2" xfId="34455" xr:uid="{00000000-0005-0000-0000-00002F190000}"/>
    <cellStyle name="Comma  - Style7 11" xfId="13069" xr:uid="{00000000-0005-0000-0000-000030190000}"/>
    <cellStyle name="Comma  - Style7 11 2" xfId="34456" xr:uid="{00000000-0005-0000-0000-000031190000}"/>
    <cellStyle name="Comma  - Style7 12" xfId="13070" xr:uid="{00000000-0005-0000-0000-000032190000}"/>
    <cellStyle name="Comma  - Style7 12 2" xfId="34457" xr:uid="{00000000-0005-0000-0000-000033190000}"/>
    <cellStyle name="Comma  - Style7 13" xfId="13071" xr:uid="{00000000-0005-0000-0000-000034190000}"/>
    <cellStyle name="Comma  - Style7 13 2" xfId="34458" xr:uid="{00000000-0005-0000-0000-000035190000}"/>
    <cellStyle name="Comma  - Style7 14" xfId="13072" xr:uid="{00000000-0005-0000-0000-000036190000}"/>
    <cellStyle name="Comma  - Style7 14 2" xfId="34459" xr:uid="{00000000-0005-0000-0000-000037190000}"/>
    <cellStyle name="Comma  - Style7 15" xfId="13073" xr:uid="{00000000-0005-0000-0000-000038190000}"/>
    <cellStyle name="Comma  - Style7 15 2" xfId="34460" xr:uid="{00000000-0005-0000-0000-000039190000}"/>
    <cellStyle name="Comma  - Style7 16" xfId="13074" xr:uid="{00000000-0005-0000-0000-00003A190000}"/>
    <cellStyle name="Comma  - Style7 16 2" xfId="34461" xr:uid="{00000000-0005-0000-0000-00003B190000}"/>
    <cellStyle name="Comma  - Style7 17" xfId="13075" xr:uid="{00000000-0005-0000-0000-00003C190000}"/>
    <cellStyle name="Comma  - Style7 17 2" xfId="34462" xr:uid="{00000000-0005-0000-0000-00003D190000}"/>
    <cellStyle name="Comma  - Style7 18" xfId="13076" xr:uid="{00000000-0005-0000-0000-00003E190000}"/>
    <cellStyle name="Comma  - Style7 18 2" xfId="34463" xr:uid="{00000000-0005-0000-0000-00003F190000}"/>
    <cellStyle name="Comma  - Style7 2" xfId="13077" xr:uid="{00000000-0005-0000-0000-000040190000}"/>
    <cellStyle name="Comma  - Style7 2 2" xfId="13078" xr:uid="{00000000-0005-0000-0000-000041190000}"/>
    <cellStyle name="Comma  - Style7 2 2 2" xfId="34465" xr:uid="{00000000-0005-0000-0000-000042190000}"/>
    <cellStyle name="Comma  - Style7 2 3" xfId="34466" xr:uid="{00000000-0005-0000-0000-000043190000}"/>
    <cellStyle name="Comma  - Style7 2 3 2" xfId="34467" xr:uid="{00000000-0005-0000-0000-000044190000}"/>
    <cellStyle name="Comma  - Style7 2 4" xfId="34468" xr:uid="{00000000-0005-0000-0000-000045190000}"/>
    <cellStyle name="Comma  - Style7 2 5" xfId="34469" xr:uid="{00000000-0005-0000-0000-000046190000}"/>
    <cellStyle name="Comma  - Style7 2 6" xfId="34464" xr:uid="{00000000-0005-0000-0000-000047190000}"/>
    <cellStyle name="Comma  - Style7 3" xfId="13079" xr:uid="{00000000-0005-0000-0000-000048190000}"/>
    <cellStyle name="Comma  - Style7 3 2" xfId="13080" xr:uid="{00000000-0005-0000-0000-000049190000}"/>
    <cellStyle name="Comma  - Style7 3 2 2" xfId="34471" xr:uid="{00000000-0005-0000-0000-00004A190000}"/>
    <cellStyle name="Comma  - Style7 3 3" xfId="34472" xr:uid="{00000000-0005-0000-0000-00004B190000}"/>
    <cellStyle name="Comma  - Style7 3 3 2" xfId="34473" xr:uid="{00000000-0005-0000-0000-00004C190000}"/>
    <cellStyle name="Comma  - Style7 3 4" xfId="34474" xr:uid="{00000000-0005-0000-0000-00004D190000}"/>
    <cellStyle name="Comma  - Style7 3 5" xfId="34470" xr:uid="{00000000-0005-0000-0000-00004E190000}"/>
    <cellStyle name="Comma  - Style7 4" xfId="13081" xr:uid="{00000000-0005-0000-0000-00004F190000}"/>
    <cellStyle name="Comma  - Style7 4 2" xfId="13082" xr:uid="{00000000-0005-0000-0000-000050190000}"/>
    <cellStyle name="Comma  - Style7 4 2 2" xfId="34475" xr:uid="{00000000-0005-0000-0000-000051190000}"/>
    <cellStyle name="Comma  - Style7 4 3" xfId="34476" xr:uid="{00000000-0005-0000-0000-000052190000}"/>
    <cellStyle name="Comma  - Style7 5" xfId="13083" xr:uid="{00000000-0005-0000-0000-000053190000}"/>
    <cellStyle name="Comma  - Style7 5 2" xfId="13084" xr:uid="{00000000-0005-0000-0000-000054190000}"/>
    <cellStyle name="Comma  - Style7 5 2 2" xfId="34477" xr:uid="{00000000-0005-0000-0000-000055190000}"/>
    <cellStyle name="Comma  - Style7 5 3" xfId="34478" xr:uid="{00000000-0005-0000-0000-000056190000}"/>
    <cellStyle name="Comma  - Style7 6" xfId="13085" xr:uid="{00000000-0005-0000-0000-000057190000}"/>
    <cellStyle name="Comma  - Style7 6 2" xfId="13086" xr:uid="{00000000-0005-0000-0000-000058190000}"/>
    <cellStyle name="Comma  - Style7 6 2 2" xfId="34479" xr:uid="{00000000-0005-0000-0000-000059190000}"/>
    <cellStyle name="Comma  - Style7 6 3" xfId="34480" xr:uid="{00000000-0005-0000-0000-00005A190000}"/>
    <cellStyle name="Comma  - Style7 7" xfId="13087" xr:uid="{00000000-0005-0000-0000-00005B190000}"/>
    <cellStyle name="Comma  - Style7 7 2" xfId="13088" xr:uid="{00000000-0005-0000-0000-00005C190000}"/>
    <cellStyle name="Comma  - Style7 7 2 2" xfId="34481" xr:uid="{00000000-0005-0000-0000-00005D190000}"/>
    <cellStyle name="Comma  - Style7 7 3" xfId="34482" xr:uid="{00000000-0005-0000-0000-00005E190000}"/>
    <cellStyle name="Comma  - Style7 8" xfId="13089" xr:uid="{00000000-0005-0000-0000-00005F190000}"/>
    <cellStyle name="Comma  - Style7 8 2" xfId="13090" xr:uid="{00000000-0005-0000-0000-000060190000}"/>
    <cellStyle name="Comma  - Style7 8 2 2" xfId="34483" xr:uid="{00000000-0005-0000-0000-000061190000}"/>
    <cellStyle name="Comma  - Style7 8 3" xfId="34484" xr:uid="{00000000-0005-0000-0000-000062190000}"/>
    <cellStyle name="Comma  - Style7 9" xfId="13091" xr:uid="{00000000-0005-0000-0000-000063190000}"/>
    <cellStyle name="Comma  - Style7 9 2" xfId="13092" xr:uid="{00000000-0005-0000-0000-000064190000}"/>
    <cellStyle name="Comma  - Style7 9 2 2" xfId="34485" xr:uid="{00000000-0005-0000-0000-000065190000}"/>
    <cellStyle name="Comma  - Style7 9 3" xfId="34486" xr:uid="{00000000-0005-0000-0000-000066190000}"/>
    <cellStyle name="Comma  - Style7_1.Cuadro 1A TEMPRANILLO-1 Mayo-08" xfId="13093" xr:uid="{00000000-0005-0000-0000-000067190000}"/>
    <cellStyle name="Comma  - Style8" xfId="14" xr:uid="{00000000-0005-0000-0000-000068190000}"/>
    <cellStyle name="Comma  - Style8 10" xfId="13094" xr:uid="{00000000-0005-0000-0000-000069190000}"/>
    <cellStyle name="Comma  - Style8 10 2" xfId="34487" xr:uid="{00000000-0005-0000-0000-00006A190000}"/>
    <cellStyle name="Comma  - Style8 11" xfId="13095" xr:uid="{00000000-0005-0000-0000-00006B190000}"/>
    <cellStyle name="Comma  - Style8 11 2" xfId="34488" xr:uid="{00000000-0005-0000-0000-00006C190000}"/>
    <cellStyle name="Comma  - Style8 12" xfId="13096" xr:uid="{00000000-0005-0000-0000-00006D190000}"/>
    <cellStyle name="Comma  - Style8 12 2" xfId="34489" xr:uid="{00000000-0005-0000-0000-00006E190000}"/>
    <cellStyle name="Comma  - Style8 13" xfId="13097" xr:uid="{00000000-0005-0000-0000-00006F190000}"/>
    <cellStyle name="Comma  - Style8 13 2" xfId="34490" xr:uid="{00000000-0005-0000-0000-000070190000}"/>
    <cellStyle name="Comma  - Style8 14" xfId="13098" xr:uid="{00000000-0005-0000-0000-000071190000}"/>
    <cellStyle name="Comma  - Style8 14 2" xfId="34491" xr:uid="{00000000-0005-0000-0000-000072190000}"/>
    <cellStyle name="Comma  - Style8 15" xfId="13099" xr:uid="{00000000-0005-0000-0000-000073190000}"/>
    <cellStyle name="Comma  - Style8 15 2" xfId="34492" xr:uid="{00000000-0005-0000-0000-000074190000}"/>
    <cellStyle name="Comma  - Style8 16" xfId="13100" xr:uid="{00000000-0005-0000-0000-000075190000}"/>
    <cellStyle name="Comma  - Style8 16 2" xfId="34493" xr:uid="{00000000-0005-0000-0000-000076190000}"/>
    <cellStyle name="Comma  - Style8 17" xfId="13101" xr:uid="{00000000-0005-0000-0000-000077190000}"/>
    <cellStyle name="Comma  - Style8 17 2" xfId="34494" xr:uid="{00000000-0005-0000-0000-000078190000}"/>
    <cellStyle name="Comma  - Style8 18" xfId="13102" xr:uid="{00000000-0005-0000-0000-000079190000}"/>
    <cellStyle name="Comma  - Style8 18 2" xfId="34495" xr:uid="{00000000-0005-0000-0000-00007A190000}"/>
    <cellStyle name="Comma  - Style8 2" xfId="13103" xr:uid="{00000000-0005-0000-0000-00007B190000}"/>
    <cellStyle name="Comma  - Style8 2 2" xfId="13104" xr:uid="{00000000-0005-0000-0000-00007C190000}"/>
    <cellStyle name="Comma  - Style8 2 2 2" xfId="34497" xr:uid="{00000000-0005-0000-0000-00007D190000}"/>
    <cellStyle name="Comma  - Style8 2 3" xfId="34498" xr:uid="{00000000-0005-0000-0000-00007E190000}"/>
    <cellStyle name="Comma  - Style8 2 3 2" xfId="34499" xr:uid="{00000000-0005-0000-0000-00007F190000}"/>
    <cellStyle name="Comma  - Style8 2 4" xfId="34500" xr:uid="{00000000-0005-0000-0000-000080190000}"/>
    <cellStyle name="Comma  - Style8 2 5" xfId="34501" xr:uid="{00000000-0005-0000-0000-000081190000}"/>
    <cellStyle name="Comma  - Style8 2 6" xfId="34496" xr:uid="{00000000-0005-0000-0000-000082190000}"/>
    <cellStyle name="Comma  - Style8 3" xfId="13105" xr:uid="{00000000-0005-0000-0000-000083190000}"/>
    <cellStyle name="Comma  - Style8 3 2" xfId="13106" xr:uid="{00000000-0005-0000-0000-000084190000}"/>
    <cellStyle name="Comma  - Style8 3 2 2" xfId="34503" xr:uid="{00000000-0005-0000-0000-000085190000}"/>
    <cellStyle name="Comma  - Style8 3 3" xfId="34504" xr:uid="{00000000-0005-0000-0000-000086190000}"/>
    <cellStyle name="Comma  - Style8 3 3 2" xfId="34505" xr:uid="{00000000-0005-0000-0000-000087190000}"/>
    <cellStyle name="Comma  - Style8 3 4" xfId="34506" xr:uid="{00000000-0005-0000-0000-000088190000}"/>
    <cellStyle name="Comma  - Style8 3 5" xfId="34502" xr:uid="{00000000-0005-0000-0000-000089190000}"/>
    <cellStyle name="Comma  - Style8 4" xfId="13107" xr:uid="{00000000-0005-0000-0000-00008A190000}"/>
    <cellStyle name="Comma  - Style8 4 2" xfId="13108" xr:uid="{00000000-0005-0000-0000-00008B190000}"/>
    <cellStyle name="Comma  - Style8 4 2 2" xfId="34507" xr:uid="{00000000-0005-0000-0000-00008C190000}"/>
    <cellStyle name="Comma  - Style8 4 3" xfId="34508" xr:uid="{00000000-0005-0000-0000-00008D190000}"/>
    <cellStyle name="Comma  - Style8 5" xfId="13109" xr:uid="{00000000-0005-0000-0000-00008E190000}"/>
    <cellStyle name="Comma  - Style8 5 2" xfId="13110" xr:uid="{00000000-0005-0000-0000-00008F190000}"/>
    <cellStyle name="Comma  - Style8 5 2 2" xfId="34509" xr:uid="{00000000-0005-0000-0000-000090190000}"/>
    <cellStyle name="Comma  - Style8 5 3" xfId="34510" xr:uid="{00000000-0005-0000-0000-000091190000}"/>
    <cellStyle name="Comma  - Style8 6" xfId="13111" xr:uid="{00000000-0005-0000-0000-000092190000}"/>
    <cellStyle name="Comma  - Style8 6 2" xfId="13112" xr:uid="{00000000-0005-0000-0000-000093190000}"/>
    <cellStyle name="Comma  - Style8 6 2 2" xfId="34511" xr:uid="{00000000-0005-0000-0000-000094190000}"/>
    <cellStyle name="Comma  - Style8 6 3" xfId="34512" xr:uid="{00000000-0005-0000-0000-000095190000}"/>
    <cellStyle name="Comma  - Style8 7" xfId="13113" xr:uid="{00000000-0005-0000-0000-000096190000}"/>
    <cellStyle name="Comma  - Style8 7 2" xfId="13114" xr:uid="{00000000-0005-0000-0000-000097190000}"/>
    <cellStyle name="Comma  - Style8 7 2 2" xfId="34513" xr:uid="{00000000-0005-0000-0000-000098190000}"/>
    <cellStyle name="Comma  - Style8 7 3" xfId="34514" xr:uid="{00000000-0005-0000-0000-000099190000}"/>
    <cellStyle name="Comma  - Style8 8" xfId="13115" xr:uid="{00000000-0005-0000-0000-00009A190000}"/>
    <cellStyle name="Comma  - Style8 8 2" xfId="13116" xr:uid="{00000000-0005-0000-0000-00009B190000}"/>
    <cellStyle name="Comma  - Style8 8 2 2" xfId="34515" xr:uid="{00000000-0005-0000-0000-00009C190000}"/>
    <cellStyle name="Comma  - Style8 8 3" xfId="34516" xr:uid="{00000000-0005-0000-0000-00009D190000}"/>
    <cellStyle name="Comma  - Style8 9" xfId="13117" xr:uid="{00000000-0005-0000-0000-00009E190000}"/>
    <cellStyle name="Comma  - Style8 9 2" xfId="13118" xr:uid="{00000000-0005-0000-0000-00009F190000}"/>
    <cellStyle name="Comma  - Style8 9 2 2" xfId="34517" xr:uid="{00000000-0005-0000-0000-0000A0190000}"/>
    <cellStyle name="Comma  - Style8 9 3" xfId="34518" xr:uid="{00000000-0005-0000-0000-0000A1190000}"/>
    <cellStyle name="Comma  - Style8_1.Cuadro 1A TEMPRANILLO-1 Mayo-08" xfId="13119" xr:uid="{00000000-0005-0000-0000-0000A2190000}"/>
    <cellStyle name="Comma [0]_1¿ùÈ¸ºñ³»¿ª (2)" xfId="13120" xr:uid="{00000000-0005-0000-0000-0000A3190000}"/>
    <cellStyle name="Comma [1]" xfId="13121" xr:uid="{00000000-0005-0000-0000-0000A4190000}"/>
    <cellStyle name="Comma 2" xfId="2" xr:uid="{00000000-0005-0000-0000-0000A5190000}"/>
    <cellStyle name="Comma 2 2" xfId="34519" xr:uid="{00000000-0005-0000-0000-0000A6190000}"/>
    <cellStyle name="Comma 2 2 2" xfId="34520" xr:uid="{00000000-0005-0000-0000-0000A7190000}"/>
    <cellStyle name="Comma 2 3" xfId="34521" xr:uid="{00000000-0005-0000-0000-0000A8190000}"/>
    <cellStyle name="Comma 3" xfId="34522" xr:uid="{00000000-0005-0000-0000-0000A9190000}"/>
    <cellStyle name="Comma 3 2" xfId="34523" xr:uid="{00000000-0005-0000-0000-0000AA190000}"/>
    <cellStyle name="Comma 3 2 2" xfId="34524" xr:uid="{00000000-0005-0000-0000-0000AB190000}"/>
    <cellStyle name="Comma 3 3" xfId="34525" xr:uid="{00000000-0005-0000-0000-0000AC190000}"/>
    <cellStyle name="Comma 4" xfId="34526" xr:uid="{00000000-0005-0000-0000-0000AD190000}"/>
    <cellStyle name="Comma_1¿ùÈ¸ºñ³»¿ª (2)" xfId="13122" xr:uid="{00000000-0005-0000-0000-0000AE190000}"/>
    <cellStyle name="Comma0" xfId="3477" xr:uid="{00000000-0005-0000-0000-0000AF190000}"/>
    <cellStyle name="Comma0 2" xfId="13123" xr:uid="{00000000-0005-0000-0000-0000B0190000}"/>
    <cellStyle name="Copied" xfId="13124" xr:uid="{00000000-0005-0000-0000-0000B1190000}"/>
    <cellStyle name="Currency [0]_0401 Curva de avance de proyecto" xfId="13125" xr:uid="{00000000-0005-0000-0000-0000B2190000}"/>
    <cellStyle name="Currency()" xfId="13126" xr:uid="{00000000-0005-0000-0000-0000B3190000}"/>
    <cellStyle name="Currency_0401 Curva de avance de proyecto" xfId="13127" xr:uid="{00000000-0005-0000-0000-0000B4190000}"/>
    <cellStyle name="Currency0" xfId="3478" xr:uid="{00000000-0005-0000-0000-0000B5190000}"/>
    <cellStyle name="Currency0 2" xfId="13128" xr:uid="{00000000-0005-0000-0000-0000B6190000}"/>
    <cellStyle name="Date" xfId="3479" xr:uid="{00000000-0005-0000-0000-0000B7190000}"/>
    <cellStyle name="Date 2" xfId="13129" xr:uid="{00000000-0005-0000-0000-0000B8190000}"/>
    <cellStyle name="Date 2 2" xfId="30150" xr:uid="{00000000-0005-0000-0000-0000B9190000}"/>
    <cellStyle name="Date 3" xfId="13130" xr:uid="{00000000-0005-0000-0000-0000BA190000}"/>
    <cellStyle name="Dezimal [0]_NEGS" xfId="13131" xr:uid="{00000000-0005-0000-0000-0000BB190000}"/>
    <cellStyle name="Dezimal_NEGS" xfId="13132" xr:uid="{00000000-0005-0000-0000-0000BC190000}"/>
    <cellStyle name="Encabezado 4 10" xfId="3480" xr:uid="{00000000-0005-0000-0000-0000BD190000}"/>
    <cellStyle name="Encabezado 4 11" xfId="3481" xr:uid="{00000000-0005-0000-0000-0000BE190000}"/>
    <cellStyle name="Encabezado 4 12" xfId="3482" xr:uid="{00000000-0005-0000-0000-0000BF190000}"/>
    <cellStyle name="Encabezado 4 13" xfId="3483" xr:uid="{00000000-0005-0000-0000-0000C0190000}"/>
    <cellStyle name="Encabezado 4 14" xfId="3484" xr:uid="{00000000-0005-0000-0000-0000C1190000}"/>
    <cellStyle name="Encabezado 4 15" xfId="3485" xr:uid="{00000000-0005-0000-0000-0000C2190000}"/>
    <cellStyle name="Encabezado 4 16" xfId="3486" xr:uid="{00000000-0005-0000-0000-0000C3190000}"/>
    <cellStyle name="Encabezado 4 17" xfId="3487" xr:uid="{00000000-0005-0000-0000-0000C4190000}"/>
    <cellStyle name="Encabezado 4 18" xfId="3488" xr:uid="{00000000-0005-0000-0000-0000C5190000}"/>
    <cellStyle name="Encabezado 4 19" xfId="3489" xr:uid="{00000000-0005-0000-0000-0000C6190000}"/>
    <cellStyle name="Encabezado 4 2" xfId="3490" xr:uid="{00000000-0005-0000-0000-0000C7190000}"/>
    <cellStyle name="Encabezado 4 2 2" xfId="13133" xr:uid="{00000000-0005-0000-0000-0000C8190000}"/>
    <cellStyle name="Encabezado 4 2 3" xfId="13134" xr:uid="{00000000-0005-0000-0000-0000C9190000}"/>
    <cellStyle name="Encabezado 4 20" xfId="3491" xr:uid="{00000000-0005-0000-0000-0000CA190000}"/>
    <cellStyle name="Encabezado 4 21" xfId="3492" xr:uid="{00000000-0005-0000-0000-0000CB190000}"/>
    <cellStyle name="Encabezado 4 22" xfId="3493" xr:uid="{00000000-0005-0000-0000-0000CC190000}"/>
    <cellStyle name="Encabezado 4 23" xfId="3494" xr:uid="{00000000-0005-0000-0000-0000CD190000}"/>
    <cellStyle name="Encabezado 4 24" xfId="3495" xr:uid="{00000000-0005-0000-0000-0000CE190000}"/>
    <cellStyle name="Encabezado 4 25" xfId="3496" xr:uid="{00000000-0005-0000-0000-0000CF190000}"/>
    <cellStyle name="Encabezado 4 26" xfId="3497" xr:uid="{00000000-0005-0000-0000-0000D0190000}"/>
    <cellStyle name="Encabezado 4 27" xfId="3498" xr:uid="{00000000-0005-0000-0000-0000D1190000}"/>
    <cellStyle name="Encabezado 4 28" xfId="3499" xr:uid="{00000000-0005-0000-0000-0000D2190000}"/>
    <cellStyle name="Encabezado 4 29" xfId="3500" xr:uid="{00000000-0005-0000-0000-0000D3190000}"/>
    <cellStyle name="Encabezado 4 3" xfId="3501" xr:uid="{00000000-0005-0000-0000-0000D4190000}"/>
    <cellStyle name="Encabezado 4 3 2" xfId="13135" xr:uid="{00000000-0005-0000-0000-0000D5190000}"/>
    <cellStyle name="Encabezado 4 3 3" xfId="13136" xr:uid="{00000000-0005-0000-0000-0000D6190000}"/>
    <cellStyle name="Encabezado 4 30" xfId="3502" xr:uid="{00000000-0005-0000-0000-0000D7190000}"/>
    <cellStyle name="Encabezado 4 31" xfId="3503" xr:uid="{00000000-0005-0000-0000-0000D8190000}"/>
    <cellStyle name="Encabezado 4 32" xfId="3504" xr:uid="{00000000-0005-0000-0000-0000D9190000}"/>
    <cellStyle name="Encabezado 4 33" xfId="3505" xr:uid="{00000000-0005-0000-0000-0000DA190000}"/>
    <cellStyle name="Encabezado 4 34" xfId="3506" xr:uid="{00000000-0005-0000-0000-0000DB190000}"/>
    <cellStyle name="Encabezado 4 35" xfId="3507" xr:uid="{00000000-0005-0000-0000-0000DC190000}"/>
    <cellStyle name="Encabezado 4 36" xfId="3508" xr:uid="{00000000-0005-0000-0000-0000DD190000}"/>
    <cellStyle name="Encabezado 4 37" xfId="3509" xr:uid="{00000000-0005-0000-0000-0000DE190000}"/>
    <cellStyle name="Encabezado 4 38" xfId="3510" xr:uid="{00000000-0005-0000-0000-0000DF190000}"/>
    <cellStyle name="Encabezado 4 39" xfId="3511" xr:uid="{00000000-0005-0000-0000-0000E0190000}"/>
    <cellStyle name="Encabezado 4 4" xfId="3512" xr:uid="{00000000-0005-0000-0000-0000E1190000}"/>
    <cellStyle name="Encabezado 4 4 2" xfId="13137" xr:uid="{00000000-0005-0000-0000-0000E2190000}"/>
    <cellStyle name="Encabezado 4 4 3" xfId="13138" xr:uid="{00000000-0005-0000-0000-0000E3190000}"/>
    <cellStyle name="Encabezado 4 40" xfId="3513" xr:uid="{00000000-0005-0000-0000-0000E4190000}"/>
    <cellStyle name="Encabezado 4 41" xfId="3514" xr:uid="{00000000-0005-0000-0000-0000E5190000}"/>
    <cellStyle name="Encabezado 4 42" xfId="3515" xr:uid="{00000000-0005-0000-0000-0000E6190000}"/>
    <cellStyle name="Encabezado 4 43" xfId="3516" xr:uid="{00000000-0005-0000-0000-0000E7190000}"/>
    <cellStyle name="Encabezado 4 44" xfId="3517" xr:uid="{00000000-0005-0000-0000-0000E8190000}"/>
    <cellStyle name="Encabezado 4 45" xfId="3518" xr:uid="{00000000-0005-0000-0000-0000E9190000}"/>
    <cellStyle name="Encabezado 4 46" xfId="3519" xr:uid="{00000000-0005-0000-0000-0000EA190000}"/>
    <cellStyle name="Encabezado 4 47" xfId="3520" xr:uid="{00000000-0005-0000-0000-0000EB190000}"/>
    <cellStyle name="Encabezado 4 48" xfId="3521" xr:uid="{00000000-0005-0000-0000-0000EC190000}"/>
    <cellStyle name="Encabezado 4 49" xfId="3522" xr:uid="{00000000-0005-0000-0000-0000ED190000}"/>
    <cellStyle name="Encabezado 4 5" xfId="3523" xr:uid="{00000000-0005-0000-0000-0000EE190000}"/>
    <cellStyle name="Encabezado 4 5 2" xfId="13139" xr:uid="{00000000-0005-0000-0000-0000EF190000}"/>
    <cellStyle name="Encabezado 4 50" xfId="3524" xr:uid="{00000000-0005-0000-0000-0000F0190000}"/>
    <cellStyle name="Encabezado 4 6" xfId="3525" xr:uid="{00000000-0005-0000-0000-0000F1190000}"/>
    <cellStyle name="Encabezado 4 6 2" xfId="13140" xr:uid="{00000000-0005-0000-0000-0000F2190000}"/>
    <cellStyle name="Encabezado 4 7" xfId="3526" xr:uid="{00000000-0005-0000-0000-0000F3190000}"/>
    <cellStyle name="Encabezado 4 7 2" xfId="13141" xr:uid="{00000000-0005-0000-0000-0000F4190000}"/>
    <cellStyle name="Encabezado 4 8" xfId="3527" xr:uid="{00000000-0005-0000-0000-0000F5190000}"/>
    <cellStyle name="Encabezado 4 8 2" xfId="13142" xr:uid="{00000000-0005-0000-0000-0000F6190000}"/>
    <cellStyle name="Encabezado 4 9" xfId="3528" xr:uid="{00000000-0005-0000-0000-0000F7190000}"/>
    <cellStyle name="Encabezado 4 9 2" xfId="13143" xr:uid="{00000000-0005-0000-0000-0000F8190000}"/>
    <cellStyle name="Énfasis1 10" xfId="3529" xr:uid="{00000000-0005-0000-0000-0000F9190000}"/>
    <cellStyle name="Énfasis1 11" xfId="3530" xr:uid="{00000000-0005-0000-0000-0000FA190000}"/>
    <cellStyle name="Énfasis1 12" xfId="3531" xr:uid="{00000000-0005-0000-0000-0000FB190000}"/>
    <cellStyle name="Énfasis1 13" xfId="3532" xr:uid="{00000000-0005-0000-0000-0000FC190000}"/>
    <cellStyle name="Énfasis1 14" xfId="3533" xr:uid="{00000000-0005-0000-0000-0000FD190000}"/>
    <cellStyle name="Énfasis1 15" xfId="3534" xr:uid="{00000000-0005-0000-0000-0000FE190000}"/>
    <cellStyle name="Énfasis1 16" xfId="3535" xr:uid="{00000000-0005-0000-0000-0000FF190000}"/>
    <cellStyle name="Énfasis1 17" xfId="3536" xr:uid="{00000000-0005-0000-0000-0000001A0000}"/>
    <cellStyle name="Énfasis1 18" xfId="3537" xr:uid="{00000000-0005-0000-0000-0000011A0000}"/>
    <cellStyle name="Énfasis1 19" xfId="3538" xr:uid="{00000000-0005-0000-0000-0000021A0000}"/>
    <cellStyle name="Énfasis1 2" xfId="3539" xr:uid="{00000000-0005-0000-0000-0000031A0000}"/>
    <cellStyle name="Énfasis1 2 2" xfId="13144" xr:uid="{00000000-0005-0000-0000-0000041A0000}"/>
    <cellStyle name="Énfasis1 2 3" xfId="13145" xr:uid="{00000000-0005-0000-0000-0000051A0000}"/>
    <cellStyle name="Énfasis1 20" xfId="3540" xr:uid="{00000000-0005-0000-0000-0000061A0000}"/>
    <cellStyle name="Énfasis1 21" xfId="3541" xr:uid="{00000000-0005-0000-0000-0000071A0000}"/>
    <cellStyle name="Énfasis1 22" xfId="3542" xr:uid="{00000000-0005-0000-0000-0000081A0000}"/>
    <cellStyle name="Énfasis1 23" xfId="3543" xr:uid="{00000000-0005-0000-0000-0000091A0000}"/>
    <cellStyle name="Énfasis1 24" xfId="3544" xr:uid="{00000000-0005-0000-0000-00000A1A0000}"/>
    <cellStyle name="Énfasis1 25" xfId="3545" xr:uid="{00000000-0005-0000-0000-00000B1A0000}"/>
    <cellStyle name="Énfasis1 26" xfId="3546" xr:uid="{00000000-0005-0000-0000-00000C1A0000}"/>
    <cellStyle name="Énfasis1 27" xfId="3547" xr:uid="{00000000-0005-0000-0000-00000D1A0000}"/>
    <cellStyle name="Énfasis1 28" xfId="3548" xr:uid="{00000000-0005-0000-0000-00000E1A0000}"/>
    <cellStyle name="Énfasis1 29" xfId="3549" xr:uid="{00000000-0005-0000-0000-00000F1A0000}"/>
    <cellStyle name="Énfasis1 3" xfId="3550" xr:uid="{00000000-0005-0000-0000-0000101A0000}"/>
    <cellStyle name="Énfasis1 3 2" xfId="13146" xr:uid="{00000000-0005-0000-0000-0000111A0000}"/>
    <cellStyle name="Énfasis1 3 3" xfId="13147" xr:uid="{00000000-0005-0000-0000-0000121A0000}"/>
    <cellStyle name="Énfasis1 30" xfId="3551" xr:uid="{00000000-0005-0000-0000-0000131A0000}"/>
    <cellStyle name="Énfasis1 31" xfId="3552" xr:uid="{00000000-0005-0000-0000-0000141A0000}"/>
    <cellStyle name="Énfasis1 32" xfId="3553" xr:uid="{00000000-0005-0000-0000-0000151A0000}"/>
    <cellStyle name="Énfasis1 33" xfId="3554" xr:uid="{00000000-0005-0000-0000-0000161A0000}"/>
    <cellStyle name="Énfasis1 34" xfId="3555" xr:uid="{00000000-0005-0000-0000-0000171A0000}"/>
    <cellStyle name="Énfasis1 35" xfId="3556" xr:uid="{00000000-0005-0000-0000-0000181A0000}"/>
    <cellStyle name="Énfasis1 36" xfId="3557" xr:uid="{00000000-0005-0000-0000-0000191A0000}"/>
    <cellStyle name="Énfasis1 37" xfId="3558" xr:uid="{00000000-0005-0000-0000-00001A1A0000}"/>
    <cellStyle name="Énfasis1 38" xfId="3559" xr:uid="{00000000-0005-0000-0000-00001B1A0000}"/>
    <cellStyle name="Énfasis1 39" xfId="3560" xr:uid="{00000000-0005-0000-0000-00001C1A0000}"/>
    <cellStyle name="Énfasis1 4" xfId="3561" xr:uid="{00000000-0005-0000-0000-00001D1A0000}"/>
    <cellStyle name="Énfasis1 4 2" xfId="13148" xr:uid="{00000000-0005-0000-0000-00001E1A0000}"/>
    <cellStyle name="Énfasis1 4 3" xfId="13149" xr:uid="{00000000-0005-0000-0000-00001F1A0000}"/>
    <cellStyle name="Énfasis1 40" xfId="3562" xr:uid="{00000000-0005-0000-0000-0000201A0000}"/>
    <cellStyle name="Énfasis1 41" xfId="3563" xr:uid="{00000000-0005-0000-0000-0000211A0000}"/>
    <cellStyle name="Énfasis1 42" xfId="3564" xr:uid="{00000000-0005-0000-0000-0000221A0000}"/>
    <cellStyle name="Énfasis1 43" xfId="3565" xr:uid="{00000000-0005-0000-0000-0000231A0000}"/>
    <cellStyle name="Énfasis1 44" xfId="3566" xr:uid="{00000000-0005-0000-0000-0000241A0000}"/>
    <cellStyle name="Énfasis1 45" xfId="3567" xr:uid="{00000000-0005-0000-0000-0000251A0000}"/>
    <cellStyle name="Énfasis1 46" xfId="3568" xr:uid="{00000000-0005-0000-0000-0000261A0000}"/>
    <cellStyle name="Énfasis1 47" xfId="3569" xr:uid="{00000000-0005-0000-0000-0000271A0000}"/>
    <cellStyle name="Énfasis1 48" xfId="3570" xr:uid="{00000000-0005-0000-0000-0000281A0000}"/>
    <cellStyle name="Énfasis1 49" xfId="3571" xr:uid="{00000000-0005-0000-0000-0000291A0000}"/>
    <cellStyle name="Énfasis1 5" xfId="3572" xr:uid="{00000000-0005-0000-0000-00002A1A0000}"/>
    <cellStyle name="Énfasis1 5 2" xfId="13150" xr:uid="{00000000-0005-0000-0000-00002B1A0000}"/>
    <cellStyle name="Énfasis1 50" xfId="3573" xr:uid="{00000000-0005-0000-0000-00002C1A0000}"/>
    <cellStyle name="Énfasis1 6" xfId="3574" xr:uid="{00000000-0005-0000-0000-00002D1A0000}"/>
    <cellStyle name="Énfasis1 6 2" xfId="13151" xr:uid="{00000000-0005-0000-0000-00002E1A0000}"/>
    <cellStyle name="Énfasis1 7" xfId="3575" xr:uid="{00000000-0005-0000-0000-00002F1A0000}"/>
    <cellStyle name="Énfasis1 7 2" xfId="13152" xr:uid="{00000000-0005-0000-0000-0000301A0000}"/>
    <cellStyle name="Énfasis1 8" xfId="3576" xr:uid="{00000000-0005-0000-0000-0000311A0000}"/>
    <cellStyle name="Énfasis1 8 2" xfId="13153" xr:uid="{00000000-0005-0000-0000-0000321A0000}"/>
    <cellStyle name="Énfasis1 9" xfId="3577" xr:uid="{00000000-0005-0000-0000-0000331A0000}"/>
    <cellStyle name="Énfasis1 9 2" xfId="13154" xr:uid="{00000000-0005-0000-0000-0000341A0000}"/>
    <cellStyle name="Énfasis2 10" xfId="3578" xr:uid="{00000000-0005-0000-0000-0000351A0000}"/>
    <cellStyle name="Énfasis2 11" xfId="3579" xr:uid="{00000000-0005-0000-0000-0000361A0000}"/>
    <cellStyle name="Énfasis2 12" xfId="3580" xr:uid="{00000000-0005-0000-0000-0000371A0000}"/>
    <cellStyle name="Énfasis2 13" xfId="3581" xr:uid="{00000000-0005-0000-0000-0000381A0000}"/>
    <cellStyle name="Énfasis2 14" xfId="3582" xr:uid="{00000000-0005-0000-0000-0000391A0000}"/>
    <cellStyle name="Énfasis2 15" xfId="3583" xr:uid="{00000000-0005-0000-0000-00003A1A0000}"/>
    <cellStyle name="Énfasis2 16" xfId="3584" xr:uid="{00000000-0005-0000-0000-00003B1A0000}"/>
    <cellStyle name="Énfasis2 17" xfId="3585" xr:uid="{00000000-0005-0000-0000-00003C1A0000}"/>
    <cellStyle name="Énfasis2 18" xfId="3586" xr:uid="{00000000-0005-0000-0000-00003D1A0000}"/>
    <cellStyle name="Énfasis2 19" xfId="3587" xr:uid="{00000000-0005-0000-0000-00003E1A0000}"/>
    <cellStyle name="Énfasis2 2" xfId="3588" xr:uid="{00000000-0005-0000-0000-00003F1A0000}"/>
    <cellStyle name="Énfasis2 2 2" xfId="13155" xr:uid="{00000000-0005-0000-0000-0000401A0000}"/>
    <cellStyle name="Énfasis2 2 3" xfId="13156" xr:uid="{00000000-0005-0000-0000-0000411A0000}"/>
    <cellStyle name="Énfasis2 20" xfId="3589" xr:uid="{00000000-0005-0000-0000-0000421A0000}"/>
    <cellStyle name="Énfasis2 21" xfId="3590" xr:uid="{00000000-0005-0000-0000-0000431A0000}"/>
    <cellStyle name="Énfasis2 22" xfId="3591" xr:uid="{00000000-0005-0000-0000-0000441A0000}"/>
    <cellStyle name="Énfasis2 23" xfId="3592" xr:uid="{00000000-0005-0000-0000-0000451A0000}"/>
    <cellStyle name="Énfasis2 24" xfId="3593" xr:uid="{00000000-0005-0000-0000-0000461A0000}"/>
    <cellStyle name="Énfasis2 25" xfId="3594" xr:uid="{00000000-0005-0000-0000-0000471A0000}"/>
    <cellStyle name="Énfasis2 26" xfId="3595" xr:uid="{00000000-0005-0000-0000-0000481A0000}"/>
    <cellStyle name="Énfasis2 27" xfId="3596" xr:uid="{00000000-0005-0000-0000-0000491A0000}"/>
    <cellStyle name="Énfasis2 28" xfId="3597" xr:uid="{00000000-0005-0000-0000-00004A1A0000}"/>
    <cellStyle name="Énfasis2 29" xfId="3598" xr:uid="{00000000-0005-0000-0000-00004B1A0000}"/>
    <cellStyle name="Énfasis2 3" xfId="3599" xr:uid="{00000000-0005-0000-0000-00004C1A0000}"/>
    <cellStyle name="Énfasis2 3 2" xfId="13157" xr:uid="{00000000-0005-0000-0000-00004D1A0000}"/>
    <cellStyle name="Énfasis2 3 3" xfId="13158" xr:uid="{00000000-0005-0000-0000-00004E1A0000}"/>
    <cellStyle name="Énfasis2 30" xfId="3600" xr:uid="{00000000-0005-0000-0000-00004F1A0000}"/>
    <cellStyle name="Énfasis2 31" xfId="3601" xr:uid="{00000000-0005-0000-0000-0000501A0000}"/>
    <cellStyle name="Énfasis2 32" xfId="3602" xr:uid="{00000000-0005-0000-0000-0000511A0000}"/>
    <cellStyle name="Énfasis2 33" xfId="3603" xr:uid="{00000000-0005-0000-0000-0000521A0000}"/>
    <cellStyle name="Énfasis2 34" xfId="3604" xr:uid="{00000000-0005-0000-0000-0000531A0000}"/>
    <cellStyle name="Énfasis2 35" xfId="3605" xr:uid="{00000000-0005-0000-0000-0000541A0000}"/>
    <cellStyle name="Énfasis2 36" xfId="3606" xr:uid="{00000000-0005-0000-0000-0000551A0000}"/>
    <cellStyle name="Énfasis2 37" xfId="3607" xr:uid="{00000000-0005-0000-0000-0000561A0000}"/>
    <cellStyle name="Énfasis2 38" xfId="3608" xr:uid="{00000000-0005-0000-0000-0000571A0000}"/>
    <cellStyle name="Énfasis2 39" xfId="3609" xr:uid="{00000000-0005-0000-0000-0000581A0000}"/>
    <cellStyle name="Énfasis2 4" xfId="3610" xr:uid="{00000000-0005-0000-0000-0000591A0000}"/>
    <cellStyle name="Énfasis2 4 2" xfId="13159" xr:uid="{00000000-0005-0000-0000-00005A1A0000}"/>
    <cellStyle name="Énfasis2 4 3" xfId="13160" xr:uid="{00000000-0005-0000-0000-00005B1A0000}"/>
    <cellStyle name="Énfasis2 40" xfId="3611" xr:uid="{00000000-0005-0000-0000-00005C1A0000}"/>
    <cellStyle name="Énfasis2 41" xfId="3612" xr:uid="{00000000-0005-0000-0000-00005D1A0000}"/>
    <cellStyle name="Énfasis2 42" xfId="3613" xr:uid="{00000000-0005-0000-0000-00005E1A0000}"/>
    <cellStyle name="Énfasis2 43" xfId="3614" xr:uid="{00000000-0005-0000-0000-00005F1A0000}"/>
    <cellStyle name="Énfasis2 44" xfId="3615" xr:uid="{00000000-0005-0000-0000-0000601A0000}"/>
    <cellStyle name="Énfasis2 45" xfId="3616" xr:uid="{00000000-0005-0000-0000-0000611A0000}"/>
    <cellStyle name="Énfasis2 46" xfId="3617" xr:uid="{00000000-0005-0000-0000-0000621A0000}"/>
    <cellStyle name="Énfasis2 47" xfId="3618" xr:uid="{00000000-0005-0000-0000-0000631A0000}"/>
    <cellStyle name="Énfasis2 48" xfId="3619" xr:uid="{00000000-0005-0000-0000-0000641A0000}"/>
    <cellStyle name="Énfasis2 49" xfId="3620" xr:uid="{00000000-0005-0000-0000-0000651A0000}"/>
    <cellStyle name="Énfasis2 5" xfId="3621" xr:uid="{00000000-0005-0000-0000-0000661A0000}"/>
    <cellStyle name="Énfasis2 5 2" xfId="13161" xr:uid="{00000000-0005-0000-0000-0000671A0000}"/>
    <cellStyle name="Énfasis2 50" xfId="3622" xr:uid="{00000000-0005-0000-0000-0000681A0000}"/>
    <cellStyle name="Énfasis2 6" xfId="3623" xr:uid="{00000000-0005-0000-0000-0000691A0000}"/>
    <cellStyle name="Énfasis2 6 2" xfId="13162" xr:uid="{00000000-0005-0000-0000-00006A1A0000}"/>
    <cellStyle name="Énfasis2 7" xfId="3624" xr:uid="{00000000-0005-0000-0000-00006B1A0000}"/>
    <cellStyle name="Énfasis2 7 2" xfId="13163" xr:uid="{00000000-0005-0000-0000-00006C1A0000}"/>
    <cellStyle name="Énfasis2 8" xfId="3625" xr:uid="{00000000-0005-0000-0000-00006D1A0000}"/>
    <cellStyle name="Énfasis2 8 2" xfId="13164" xr:uid="{00000000-0005-0000-0000-00006E1A0000}"/>
    <cellStyle name="Énfasis2 9" xfId="3626" xr:uid="{00000000-0005-0000-0000-00006F1A0000}"/>
    <cellStyle name="Énfasis2 9 2" xfId="13165" xr:uid="{00000000-0005-0000-0000-0000701A0000}"/>
    <cellStyle name="Énfasis3 10" xfId="3627" xr:uid="{00000000-0005-0000-0000-0000711A0000}"/>
    <cellStyle name="Énfasis3 11" xfId="3628" xr:uid="{00000000-0005-0000-0000-0000721A0000}"/>
    <cellStyle name="Énfasis3 12" xfId="3629" xr:uid="{00000000-0005-0000-0000-0000731A0000}"/>
    <cellStyle name="Énfasis3 13" xfId="3630" xr:uid="{00000000-0005-0000-0000-0000741A0000}"/>
    <cellStyle name="Énfasis3 14" xfId="3631" xr:uid="{00000000-0005-0000-0000-0000751A0000}"/>
    <cellStyle name="Énfasis3 15" xfId="3632" xr:uid="{00000000-0005-0000-0000-0000761A0000}"/>
    <cellStyle name="Énfasis3 16" xfId="3633" xr:uid="{00000000-0005-0000-0000-0000771A0000}"/>
    <cellStyle name="Énfasis3 17" xfId="3634" xr:uid="{00000000-0005-0000-0000-0000781A0000}"/>
    <cellStyle name="Énfasis3 18" xfId="3635" xr:uid="{00000000-0005-0000-0000-0000791A0000}"/>
    <cellStyle name="Énfasis3 19" xfId="3636" xr:uid="{00000000-0005-0000-0000-00007A1A0000}"/>
    <cellStyle name="Énfasis3 2" xfId="3637" xr:uid="{00000000-0005-0000-0000-00007B1A0000}"/>
    <cellStyle name="Énfasis3 2 2" xfId="13166" xr:uid="{00000000-0005-0000-0000-00007C1A0000}"/>
    <cellStyle name="Énfasis3 2 3" xfId="13167" xr:uid="{00000000-0005-0000-0000-00007D1A0000}"/>
    <cellStyle name="Énfasis3 20" xfId="3638" xr:uid="{00000000-0005-0000-0000-00007E1A0000}"/>
    <cellStyle name="Énfasis3 21" xfId="3639" xr:uid="{00000000-0005-0000-0000-00007F1A0000}"/>
    <cellStyle name="Énfasis3 22" xfId="3640" xr:uid="{00000000-0005-0000-0000-0000801A0000}"/>
    <cellStyle name="Énfasis3 23" xfId="3641" xr:uid="{00000000-0005-0000-0000-0000811A0000}"/>
    <cellStyle name="Énfasis3 24" xfId="3642" xr:uid="{00000000-0005-0000-0000-0000821A0000}"/>
    <cellStyle name="Énfasis3 25" xfId="3643" xr:uid="{00000000-0005-0000-0000-0000831A0000}"/>
    <cellStyle name="Énfasis3 26" xfId="3644" xr:uid="{00000000-0005-0000-0000-0000841A0000}"/>
    <cellStyle name="Énfasis3 27" xfId="3645" xr:uid="{00000000-0005-0000-0000-0000851A0000}"/>
    <cellStyle name="Énfasis3 28" xfId="3646" xr:uid="{00000000-0005-0000-0000-0000861A0000}"/>
    <cellStyle name="Énfasis3 29" xfId="3647" xr:uid="{00000000-0005-0000-0000-0000871A0000}"/>
    <cellStyle name="Énfasis3 3" xfId="3648" xr:uid="{00000000-0005-0000-0000-0000881A0000}"/>
    <cellStyle name="Énfasis3 3 2" xfId="13168" xr:uid="{00000000-0005-0000-0000-0000891A0000}"/>
    <cellStyle name="Énfasis3 3 3" xfId="13169" xr:uid="{00000000-0005-0000-0000-00008A1A0000}"/>
    <cellStyle name="Énfasis3 30" xfId="3649" xr:uid="{00000000-0005-0000-0000-00008B1A0000}"/>
    <cellStyle name="Énfasis3 31" xfId="3650" xr:uid="{00000000-0005-0000-0000-00008C1A0000}"/>
    <cellStyle name="Énfasis3 32" xfId="3651" xr:uid="{00000000-0005-0000-0000-00008D1A0000}"/>
    <cellStyle name="Énfasis3 33" xfId="3652" xr:uid="{00000000-0005-0000-0000-00008E1A0000}"/>
    <cellStyle name="Énfasis3 34" xfId="3653" xr:uid="{00000000-0005-0000-0000-00008F1A0000}"/>
    <cellStyle name="Énfasis3 35" xfId="3654" xr:uid="{00000000-0005-0000-0000-0000901A0000}"/>
    <cellStyle name="Énfasis3 36" xfId="3655" xr:uid="{00000000-0005-0000-0000-0000911A0000}"/>
    <cellStyle name="Énfasis3 37" xfId="3656" xr:uid="{00000000-0005-0000-0000-0000921A0000}"/>
    <cellStyle name="Énfasis3 38" xfId="3657" xr:uid="{00000000-0005-0000-0000-0000931A0000}"/>
    <cellStyle name="Énfasis3 39" xfId="3658" xr:uid="{00000000-0005-0000-0000-0000941A0000}"/>
    <cellStyle name="Énfasis3 4" xfId="3659" xr:uid="{00000000-0005-0000-0000-0000951A0000}"/>
    <cellStyle name="Énfasis3 4 2" xfId="13170" xr:uid="{00000000-0005-0000-0000-0000961A0000}"/>
    <cellStyle name="Énfasis3 4 3" xfId="13171" xr:uid="{00000000-0005-0000-0000-0000971A0000}"/>
    <cellStyle name="Énfasis3 40" xfId="3660" xr:uid="{00000000-0005-0000-0000-0000981A0000}"/>
    <cellStyle name="Énfasis3 41" xfId="3661" xr:uid="{00000000-0005-0000-0000-0000991A0000}"/>
    <cellStyle name="Énfasis3 42" xfId="3662" xr:uid="{00000000-0005-0000-0000-00009A1A0000}"/>
    <cellStyle name="Énfasis3 43" xfId="3663" xr:uid="{00000000-0005-0000-0000-00009B1A0000}"/>
    <cellStyle name="Énfasis3 44" xfId="3664" xr:uid="{00000000-0005-0000-0000-00009C1A0000}"/>
    <cellStyle name="Énfasis3 45" xfId="3665" xr:uid="{00000000-0005-0000-0000-00009D1A0000}"/>
    <cellStyle name="Énfasis3 46" xfId="3666" xr:uid="{00000000-0005-0000-0000-00009E1A0000}"/>
    <cellStyle name="Énfasis3 47" xfId="3667" xr:uid="{00000000-0005-0000-0000-00009F1A0000}"/>
    <cellStyle name="Énfasis3 48" xfId="3668" xr:uid="{00000000-0005-0000-0000-0000A01A0000}"/>
    <cellStyle name="Énfasis3 49" xfId="3669" xr:uid="{00000000-0005-0000-0000-0000A11A0000}"/>
    <cellStyle name="Énfasis3 5" xfId="3670" xr:uid="{00000000-0005-0000-0000-0000A21A0000}"/>
    <cellStyle name="Énfasis3 5 2" xfId="13172" xr:uid="{00000000-0005-0000-0000-0000A31A0000}"/>
    <cellStyle name="Énfasis3 50" xfId="3671" xr:uid="{00000000-0005-0000-0000-0000A41A0000}"/>
    <cellStyle name="Énfasis3 6" xfId="3672" xr:uid="{00000000-0005-0000-0000-0000A51A0000}"/>
    <cellStyle name="Énfasis3 6 2" xfId="13173" xr:uid="{00000000-0005-0000-0000-0000A61A0000}"/>
    <cellStyle name="Énfasis3 7" xfId="3673" xr:uid="{00000000-0005-0000-0000-0000A71A0000}"/>
    <cellStyle name="Énfasis3 7 2" xfId="13174" xr:uid="{00000000-0005-0000-0000-0000A81A0000}"/>
    <cellStyle name="Énfasis3 8" xfId="3674" xr:uid="{00000000-0005-0000-0000-0000A91A0000}"/>
    <cellStyle name="Énfasis3 8 2" xfId="13175" xr:uid="{00000000-0005-0000-0000-0000AA1A0000}"/>
    <cellStyle name="Énfasis3 9" xfId="3675" xr:uid="{00000000-0005-0000-0000-0000AB1A0000}"/>
    <cellStyle name="Énfasis3 9 2" xfId="13176" xr:uid="{00000000-0005-0000-0000-0000AC1A0000}"/>
    <cellStyle name="Énfasis4 10" xfId="3676" xr:uid="{00000000-0005-0000-0000-0000AD1A0000}"/>
    <cellStyle name="Énfasis4 11" xfId="3677" xr:uid="{00000000-0005-0000-0000-0000AE1A0000}"/>
    <cellStyle name="Énfasis4 12" xfId="3678" xr:uid="{00000000-0005-0000-0000-0000AF1A0000}"/>
    <cellStyle name="Énfasis4 13" xfId="3679" xr:uid="{00000000-0005-0000-0000-0000B01A0000}"/>
    <cellStyle name="Énfasis4 14" xfId="3680" xr:uid="{00000000-0005-0000-0000-0000B11A0000}"/>
    <cellStyle name="Énfasis4 15" xfId="3681" xr:uid="{00000000-0005-0000-0000-0000B21A0000}"/>
    <cellStyle name="Énfasis4 16" xfId="3682" xr:uid="{00000000-0005-0000-0000-0000B31A0000}"/>
    <cellStyle name="Énfasis4 17" xfId="3683" xr:uid="{00000000-0005-0000-0000-0000B41A0000}"/>
    <cellStyle name="Énfasis4 18" xfId="3684" xr:uid="{00000000-0005-0000-0000-0000B51A0000}"/>
    <cellStyle name="Énfasis4 19" xfId="3685" xr:uid="{00000000-0005-0000-0000-0000B61A0000}"/>
    <cellStyle name="Énfasis4 2" xfId="3686" xr:uid="{00000000-0005-0000-0000-0000B71A0000}"/>
    <cellStyle name="Énfasis4 2 2" xfId="13177" xr:uid="{00000000-0005-0000-0000-0000B81A0000}"/>
    <cellStyle name="Énfasis4 2 3" xfId="13178" xr:uid="{00000000-0005-0000-0000-0000B91A0000}"/>
    <cellStyle name="Énfasis4 20" xfId="3687" xr:uid="{00000000-0005-0000-0000-0000BA1A0000}"/>
    <cellStyle name="Énfasis4 21" xfId="3688" xr:uid="{00000000-0005-0000-0000-0000BB1A0000}"/>
    <cellStyle name="Énfasis4 22" xfId="3689" xr:uid="{00000000-0005-0000-0000-0000BC1A0000}"/>
    <cellStyle name="Énfasis4 23" xfId="3690" xr:uid="{00000000-0005-0000-0000-0000BD1A0000}"/>
    <cellStyle name="Énfasis4 24" xfId="3691" xr:uid="{00000000-0005-0000-0000-0000BE1A0000}"/>
    <cellStyle name="Énfasis4 25" xfId="3692" xr:uid="{00000000-0005-0000-0000-0000BF1A0000}"/>
    <cellStyle name="Énfasis4 26" xfId="3693" xr:uid="{00000000-0005-0000-0000-0000C01A0000}"/>
    <cellStyle name="Énfasis4 27" xfId="3694" xr:uid="{00000000-0005-0000-0000-0000C11A0000}"/>
    <cellStyle name="Énfasis4 28" xfId="3695" xr:uid="{00000000-0005-0000-0000-0000C21A0000}"/>
    <cellStyle name="Énfasis4 29" xfId="3696" xr:uid="{00000000-0005-0000-0000-0000C31A0000}"/>
    <cellStyle name="Énfasis4 3" xfId="3697" xr:uid="{00000000-0005-0000-0000-0000C41A0000}"/>
    <cellStyle name="Énfasis4 3 2" xfId="13179" xr:uid="{00000000-0005-0000-0000-0000C51A0000}"/>
    <cellStyle name="Énfasis4 3 3" xfId="13180" xr:uid="{00000000-0005-0000-0000-0000C61A0000}"/>
    <cellStyle name="Énfasis4 30" xfId="3698" xr:uid="{00000000-0005-0000-0000-0000C71A0000}"/>
    <cellStyle name="Énfasis4 31" xfId="3699" xr:uid="{00000000-0005-0000-0000-0000C81A0000}"/>
    <cellStyle name="Énfasis4 32" xfId="3700" xr:uid="{00000000-0005-0000-0000-0000C91A0000}"/>
    <cellStyle name="Énfasis4 33" xfId="3701" xr:uid="{00000000-0005-0000-0000-0000CA1A0000}"/>
    <cellStyle name="Énfasis4 34" xfId="3702" xr:uid="{00000000-0005-0000-0000-0000CB1A0000}"/>
    <cellStyle name="Énfasis4 35" xfId="3703" xr:uid="{00000000-0005-0000-0000-0000CC1A0000}"/>
    <cellStyle name="Énfasis4 36" xfId="3704" xr:uid="{00000000-0005-0000-0000-0000CD1A0000}"/>
    <cellStyle name="Énfasis4 37" xfId="3705" xr:uid="{00000000-0005-0000-0000-0000CE1A0000}"/>
    <cellStyle name="Énfasis4 38" xfId="3706" xr:uid="{00000000-0005-0000-0000-0000CF1A0000}"/>
    <cellStyle name="Énfasis4 39" xfId="3707" xr:uid="{00000000-0005-0000-0000-0000D01A0000}"/>
    <cellStyle name="Énfasis4 4" xfId="3708" xr:uid="{00000000-0005-0000-0000-0000D11A0000}"/>
    <cellStyle name="Énfasis4 4 2" xfId="13181" xr:uid="{00000000-0005-0000-0000-0000D21A0000}"/>
    <cellStyle name="Énfasis4 4 3" xfId="13182" xr:uid="{00000000-0005-0000-0000-0000D31A0000}"/>
    <cellStyle name="Énfasis4 40" xfId="3709" xr:uid="{00000000-0005-0000-0000-0000D41A0000}"/>
    <cellStyle name="Énfasis4 41" xfId="3710" xr:uid="{00000000-0005-0000-0000-0000D51A0000}"/>
    <cellStyle name="Énfasis4 42" xfId="3711" xr:uid="{00000000-0005-0000-0000-0000D61A0000}"/>
    <cellStyle name="Énfasis4 43" xfId="3712" xr:uid="{00000000-0005-0000-0000-0000D71A0000}"/>
    <cellStyle name="Énfasis4 44" xfId="3713" xr:uid="{00000000-0005-0000-0000-0000D81A0000}"/>
    <cellStyle name="Énfasis4 45" xfId="3714" xr:uid="{00000000-0005-0000-0000-0000D91A0000}"/>
    <cellStyle name="Énfasis4 46" xfId="3715" xr:uid="{00000000-0005-0000-0000-0000DA1A0000}"/>
    <cellStyle name="Énfasis4 47" xfId="3716" xr:uid="{00000000-0005-0000-0000-0000DB1A0000}"/>
    <cellStyle name="Énfasis4 48" xfId="3717" xr:uid="{00000000-0005-0000-0000-0000DC1A0000}"/>
    <cellStyle name="Énfasis4 49" xfId="3718" xr:uid="{00000000-0005-0000-0000-0000DD1A0000}"/>
    <cellStyle name="Énfasis4 5" xfId="3719" xr:uid="{00000000-0005-0000-0000-0000DE1A0000}"/>
    <cellStyle name="Énfasis4 5 2" xfId="13183" xr:uid="{00000000-0005-0000-0000-0000DF1A0000}"/>
    <cellStyle name="Énfasis4 50" xfId="3720" xr:uid="{00000000-0005-0000-0000-0000E01A0000}"/>
    <cellStyle name="Énfasis4 6" xfId="3721" xr:uid="{00000000-0005-0000-0000-0000E11A0000}"/>
    <cellStyle name="Énfasis4 6 2" xfId="13184" xr:uid="{00000000-0005-0000-0000-0000E21A0000}"/>
    <cellStyle name="Énfasis4 7" xfId="3722" xr:uid="{00000000-0005-0000-0000-0000E31A0000}"/>
    <cellStyle name="Énfasis4 7 2" xfId="13185" xr:uid="{00000000-0005-0000-0000-0000E41A0000}"/>
    <cellStyle name="Énfasis4 8" xfId="3723" xr:uid="{00000000-0005-0000-0000-0000E51A0000}"/>
    <cellStyle name="Énfasis4 8 2" xfId="13186" xr:uid="{00000000-0005-0000-0000-0000E61A0000}"/>
    <cellStyle name="Énfasis4 9" xfId="3724" xr:uid="{00000000-0005-0000-0000-0000E71A0000}"/>
    <cellStyle name="Énfasis4 9 2" xfId="13187" xr:uid="{00000000-0005-0000-0000-0000E81A0000}"/>
    <cellStyle name="Énfasis5 10" xfId="3725" xr:uid="{00000000-0005-0000-0000-0000E91A0000}"/>
    <cellStyle name="Énfasis5 11" xfId="3726" xr:uid="{00000000-0005-0000-0000-0000EA1A0000}"/>
    <cellStyle name="Énfasis5 12" xfId="3727" xr:uid="{00000000-0005-0000-0000-0000EB1A0000}"/>
    <cellStyle name="Énfasis5 13" xfId="3728" xr:uid="{00000000-0005-0000-0000-0000EC1A0000}"/>
    <cellStyle name="Énfasis5 14" xfId="3729" xr:uid="{00000000-0005-0000-0000-0000ED1A0000}"/>
    <cellStyle name="Énfasis5 15" xfId="3730" xr:uid="{00000000-0005-0000-0000-0000EE1A0000}"/>
    <cellStyle name="Énfasis5 16" xfId="3731" xr:uid="{00000000-0005-0000-0000-0000EF1A0000}"/>
    <cellStyle name="Énfasis5 17" xfId="3732" xr:uid="{00000000-0005-0000-0000-0000F01A0000}"/>
    <cellStyle name="Énfasis5 18" xfId="3733" xr:uid="{00000000-0005-0000-0000-0000F11A0000}"/>
    <cellStyle name="Énfasis5 19" xfId="3734" xr:uid="{00000000-0005-0000-0000-0000F21A0000}"/>
    <cellStyle name="Énfasis5 2" xfId="3735" xr:uid="{00000000-0005-0000-0000-0000F31A0000}"/>
    <cellStyle name="Énfasis5 2 2" xfId="13188" xr:uid="{00000000-0005-0000-0000-0000F41A0000}"/>
    <cellStyle name="Énfasis5 2 3" xfId="13189" xr:uid="{00000000-0005-0000-0000-0000F51A0000}"/>
    <cellStyle name="Énfasis5 20" xfId="3736" xr:uid="{00000000-0005-0000-0000-0000F61A0000}"/>
    <cellStyle name="Énfasis5 21" xfId="3737" xr:uid="{00000000-0005-0000-0000-0000F71A0000}"/>
    <cellStyle name="Énfasis5 22" xfId="3738" xr:uid="{00000000-0005-0000-0000-0000F81A0000}"/>
    <cellStyle name="Énfasis5 23" xfId="3739" xr:uid="{00000000-0005-0000-0000-0000F91A0000}"/>
    <cellStyle name="Énfasis5 24" xfId="3740" xr:uid="{00000000-0005-0000-0000-0000FA1A0000}"/>
    <cellStyle name="Énfasis5 25" xfId="3741" xr:uid="{00000000-0005-0000-0000-0000FB1A0000}"/>
    <cellStyle name="Énfasis5 26" xfId="3742" xr:uid="{00000000-0005-0000-0000-0000FC1A0000}"/>
    <cellStyle name="Énfasis5 27" xfId="3743" xr:uid="{00000000-0005-0000-0000-0000FD1A0000}"/>
    <cellStyle name="Énfasis5 28" xfId="3744" xr:uid="{00000000-0005-0000-0000-0000FE1A0000}"/>
    <cellStyle name="Énfasis5 29" xfId="3745" xr:uid="{00000000-0005-0000-0000-0000FF1A0000}"/>
    <cellStyle name="Énfasis5 3" xfId="3746" xr:uid="{00000000-0005-0000-0000-0000001B0000}"/>
    <cellStyle name="Énfasis5 3 2" xfId="13190" xr:uid="{00000000-0005-0000-0000-0000011B0000}"/>
    <cellStyle name="Énfasis5 3 3" xfId="13191" xr:uid="{00000000-0005-0000-0000-0000021B0000}"/>
    <cellStyle name="Énfasis5 30" xfId="3747" xr:uid="{00000000-0005-0000-0000-0000031B0000}"/>
    <cellStyle name="Énfasis5 31" xfId="3748" xr:uid="{00000000-0005-0000-0000-0000041B0000}"/>
    <cellStyle name="Énfasis5 32" xfId="3749" xr:uid="{00000000-0005-0000-0000-0000051B0000}"/>
    <cellStyle name="Énfasis5 33" xfId="3750" xr:uid="{00000000-0005-0000-0000-0000061B0000}"/>
    <cellStyle name="Énfasis5 34" xfId="3751" xr:uid="{00000000-0005-0000-0000-0000071B0000}"/>
    <cellStyle name="Énfasis5 35" xfId="3752" xr:uid="{00000000-0005-0000-0000-0000081B0000}"/>
    <cellStyle name="Énfasis5 36" xfId="3753" xr:uid="{00000000-0005-0000-0000-0000091B0000}"/>
    <cellStyle name="Énfasis5 37" xfId="3754" xr:uid="{00000000-0005-0000-0000-00000A1B0000}"/>
    <cellStyle name="Énfasis5 38" xfId="3755" xr:uid="{00000000-0005-0000-0000-00000B1B0000}"/>
    <cellStyle name="Énfasis5 39" xfId="3756" xr:uid="{00000000-0005-0000-0000-00000C1B0000}"/>
    <cellStyle name="Énfasis5 4" xfId="3757" xr:uid="{00000000-0005-0000-0000-00000D1B0000}"/>
    <cellStyle name="Énfasis5 4 2" xfId="13192" xr:uid="{00000000-0005-0000-0000-00000E1B0000}"/>
    <cellStyle name="Énfasis5 4 3" xfId="13193" xr:uid="{00000000-0005-0000-0000-00000F1B0000}"/>
    <cellStyle name="Énfasis5 40" xfId="3758" xr:uid="{00000000-0005-0000-0000-0000101B0000}"/>
    <cellStyle name="Énfasis5 41" xfId="3759" xr:uid="{00000000-0005-0000-0000-0000111B0000}"/>
    <cellStyle name="Énfasis5 42" xfId="3760" xr:uid="{00000000-0005-0000-0000-0000121B0000}"/>
    <cellStyle name="Énfasis5 43" xfId="3761" xr:uid="{00000000-0005-0000-0000-0000131B0000}"/>
    <cellStyle name="Énfasis5 44" xfId="3762" xr:uid="{00000000-0005-0000-0000-0000141B0000}"/>
    <cellStyle name="Énfasis5 45" xfId="3763" xr:uid="{00000000-0005-0000-0000-0000151B0000}"/>
    <cellStyle name="Énfasis5 46" xfId="3764" xr:uid="{00000000-0005-0000-0000-0000161B0000}"/>
    <cellStyle name="Énfasis5 47" xfId="3765" xr:uid="{00000000-0005-0000-0000-0000171B0000}"/>
    <cellStyle name="Énfasis5 48" xfId="3766" xr:uid="{00000000-0005-0000-0000-0000181B0000}"/>
    <cellStyle name="Énfasis5 49" xfId="3767" xr:uid="{00000000-0005-0000-0000-0000191B0000}"/>
    <cellStyle name="Énfasis5 5" xfId="3768" xr:uid="{00000000-0005-0000-0000-00001A1B0000}"/>
    <cellStyle name="Énfasis5 5 2" xfId="13194" xr:uid="{00000000-0005-0000-0000-00001B1B0000}"/>
    <cellStyle name="Énfasis5 50" xfId="3769" xr:uid="{00000000-0005-0000-0000-00001C1B0000}"/>
    <cellStyle name="Énfasis5 6" xfId="3770" xr:uid="{00000000-0005-0000-0000-00001D1B0000}"/>
    <cellStyle name="Énfasis5 6 2" xfId="13195" xr:uid="{00000000-0005-0000-0000-00001E1B0000}"/>
    <cellStyle name="Énfasis5 7" xfId="3771" xr:uid="{00000000-0005-0000-0000-00001F1B0000}"/>
    <cellStyle name="Énfasis5 7 2" xfId="13196" xr:uid="{00000000-0005-0000-0000-0000201B0000}"/>
    <cellStyle name="Énfasis5 8" xfId="3772" xr:uid="{00000000-0005-0000-0000-0000211B0000}"/>
    <cellStyle name="Énfasis5 8 2" xfId="13197" xr:uid="{00000000-0005-0000-0000-0000221B0000}"/>
    <cellStyle name="Énfasis5 9" xfId="3773" xr:uid="{00000000-0005-0000-0000-0000231B0000}"/>
    <cellStyle name="Énfasis5 9 2" xfId="13198" xr:uid="{00000000-0005-0000-0000-0000241B0000}"/>
    <cellStyle name="Énfasis6 10" xfId="3774" xr:uid="{00000000-0005-0000-0000-0000251B0000}"/>
    <cellStyle name="Énfasis6 11" xfId="3775" xr:uid="{00000000-0005-0000-0000-0000261B0000}"/>
    <cellStyle name="Énfasis6 12" xfId="3776" xr:uid="{00000000-0005-0000-0000-0000271B0000}"/>
    <cellStyle name="Énfasis6 13" xfId="3777" xr:uid="{00000000-0005-0000-0000-0000281B0000}"/>
    <cellStyle name="Énfasis6 14" xfId="3778" xr:uid="{00000000-0005-0000-0000-0000291B0000}"/>
    <cellStyle name="Énfasis6 15" xfId="3779" xr:uid="{00000000-0005-0000-0000-00002A1B0000}"/>
    <cellStyle name="Énfasis6 16" xfId="3780" xr:uid="{00000000-0005-0000-0000-00002B1B0000}"/>
    <cellStyle name="Énfasis6 17" xfId="3781" xr:uid="{00000000-0005-0000-0000-00002C1B0000}"/>
    <cellStyle name="Énfasis6 18" xfId="3782" xr:uid="{00000000-0005-0000-0000-00002D1B0000}"/>
    <cellStyle name="Énfasis6 19" xfId="3783" xr:uid="{00000000-0005-0000-0000-00002E1B0000}"/>
    <cellStyle name="Énfasis6 2" xfId="3784" xr:uid="{00000000-0005-0000-0000-00002F1B0000}"/>
    <cellStyle name="Énfasis6 2 2" xfId="13199" xr:uid="{00000000-0005-0000-0000-0000301B0000}"/>
    <cellStyle name="Énfasis6 2 3" xfId="13200" xr:uid="{00000000-0005-0000-0000-0000311B0000}"/>
    <cellStyle name="Énfasis6 20" xfId="3785" xr:uid="{00000000-0005-0000-0000-0000321B0000}"/>
    <cellStyle name="Énfasis6 21" xfId="3786" xr:uid="{00000000-0005-0000-0000-0000331B0000}"/>
    <cellStyle name="Énfasis6 22" xfId="3787" xr:uid="{00000000-0005-0000-0000-0000341B0000}"/>
    <cellStyle name="Énfasis6 23" xfId="3788" xr:uid="{00000000-0005-0000-0000-0000351B0000}"/>
    <cellStyle name="Énfasis6 24" xfId="3789" xr:uid="{00000000-0005-0000-0000-0000361B0000}"/>
    <cellStyle name="Énfasis6 25" xfId="3790" xr:uid="{00000000-0005-0000-0000-0000371B0000}"/>
    <cellStyle name="Énfasis6 26" xfId="3791" xr:uid="{00000000-0005-0000-0000-0000381B0000}"/>
    <cellStyle name="Énfasis6 27" xfId="3792" xr:uid="{00000000-0005-0000-0000-0000391B0000}"/>
    <cellStyle name="Énfasis6 28" xfId="3793" xr:uid="{00000000-0005-0000-0000-00003A1B0000}"/>
    <cellStyle name="Énfasis6 29" xfId="3794" xr:uid="{00000000-0005-0000-0000-00003B1B0000}"/>
    <cellStyle name="Énfasis6 3" xfId="3795" xr:uid="{00000000-0005-0000-0000-00003C1B0000}"/>
    <cellStyle name="Énfasis6 3 2" xfId="13201" xr:uid="{00000000-0005-0000-0000-00003D1B0000}"/>
    <cellStyle name="Énfasis6 3 3" xfId="13202" xr:uid="{00000000-0005-0000-0000-00003E1B0000}"/>
    <cellStyle name="Énfasis6 30" xfId="3796" xr:uid="{00000000-0005-0000-0000-00003F1B0000}"/>
    <cellStyle name="Énfasis6 31" xfId="3797" xr:uid="{00000000-0005-0000-0000-0000401B0000}"/>
    <cellStyle name="Énfasis6 32" xfId="3798" xr:uid="{00000000-0005-0000-0000-0000411B0000}"/>
    <cellStyle name="Énfasis6 33" xfId="3799" xr:uid="{00000000-0005-0000-0000-0000421B0000}"/>
    <cellStyle name="Énfasis6 34" xfId="3800" xr:uid="{00000000-0005-0000-0000-0000431B0000}"/>
    <cellStyle name="Énfasis6 35" xfId="3801" xr:uid="{00000000-0005-0000-0000-0000441B0000}"/>
    <cellStyle name="Énfasis6 36" xfId="3802" xr:uid="{00000000-0005-0000-0000-0000451B0000}"/>
    <cellStyle name="Énfasis6 37" xfId="3803" xr:uid="{00000000-0005-0000-0000-0000461B0000}"/>
    <cellStyle name="Énfasis6 38" xfId="3804" xr:uid="{00000000-0005-0000-0000-0000471B0000}"/>
    <cellStyle name="Énfasis6 39" xfId="3805" xr:uid="{00000000-0005-0000-0000-0000481B0000}"/>
    <cellStyle name="Énfasis6 4" xfId="3806" xr:uid="{00000000-0005-0000-0000-0000491B0000}"/>
    <cellStyle name="Énfasis6 4 2" xfId="13203" xr:uid="{00000000-0005-0000-0000-00004A1B0000}"/>
    <cellStyle name="Énfasis6 4 3" xfId="13204" xr:uid="{00000000-0005-0000-0000-00004B1B0000}"/>
    <cellStyle name="Énfasis6 40" xfId="3807" xr:uid="{00000000-0005-0000-0000-00004C1B0000}"/>
    <cellStyle name="Énfasis6 41" xfId="3808" xr:uid="{00000000-0005-0000-0000-00004D1B0000}"/>
    <cellStyle name="Énfasis6 42" xfId="3809" xr:uid="{00000000-0005-0000-0000-00004E1B0000}"/>
    <cellStyle name="Énfasis6 43" xfId="3810" xr:uid="{00000000-0005-0000-0000-00004F1B0000}"/>
    <cellStyle name="Énfasis6 44" xfId="3811" xr:uid="{00000000-0005-0000-0000-0000501B0000}"/>
    <cellStyle name="Énfasis6 45" xfId="3812" xr:uid="{00000000-0005-0000-0000-0000511B0000}"/>
    <cellStyle name="Énfasis6 46" xfId="3813" xr:uid="{00000000-0005-0000-0000-0000521B0000}"/>
    <cellStyle name="Énfasis6 47" xfId="3814" xr:uid="{00000000-0005-0000-0000-0000531B0000}"/>
    <cellStyle name="Énfasis6 48" xfId="3815" xr:uid="{00000000-0005-0000-0000-0000541B0000}"/>
    <cellStyle name="Énfasis6 49" xfId="3816" xr:uid="{00000000-0005-0000-0000-0000551B0000}"/>
    <cellStyle name="Énfasis6 5" xfId="3817" xr:uid="{00000000-0005-0000-0000-0000561B0000}"/>
    <cellStyle name="Énfasis6 5 2" xfId="13205" xr:uid="{00000000-0005-0000-0000-0000571B0000}"/>
    <cellStyle name="Énfasis6 50" xfId="3818" xr:uid="{00000000-0005-0000-0000-0000581B0000}"/>
    <cellStyle name="Énfasis6 6" xfId="3819" xr:uid="{00000000-0005-0000-0000-0000591B0000}"/>
    <cellStyle name="Énfasis6 6 2" xfId="13206" xr:uid="{00000000-0005-0000-0000-00005A1B0000}"/>
    <cellStyle name="Énfasis6 7" xfId="3820" xr:uid="{00000000-0005-0000-0000-00005B1B0000}"/>
    <cellStyle name="Énfasis6 7 2" xfId="13207" xr:uid="{00000000-0005-0000-0000-00005C1B0000}"/>
    <cellStyle name="Énfasis6 8" xfId="3821" xr:uid="{00000000-0005-0000-0000-00005D1B0000}"/>
    <cellStyle name="Énfasis6 8 2" xfId="13208" xr:uid="{00000000-0005-0000-0000-00005E1B0000}"/>
    <cellStyle name="Énfasis6 9" xfId="3822" xr:uid="{00000000-0005-0000-0000-00005F1B0000}"/>
    <cellStyle name="Énfasis6 9 2" xfId="13209" xr:uid="{00000000-0005-0000-0000-0000601B0000}"/>
    <cellStyle name="Entered" xfId="13210" xr:uid="{00000000-0005-0000-0000-0000611B0000}"/>
    <cellStyle name="Entrada 10" xfId="3823" xr:uid="{00000000-0005-0000-0000-0000621B0000}"/>
    <cellStyle name="Entrada 10 2" xfId="11561" xr:uid="{00000000-0005-0000-0000-0000631B0000}"/>
    <cellStyle name="Entrada 10 2 2" xfId="11809" xr:uid="{00000000-0005-0000-0000-0000641B0000}"/>
    <cellStyle name="Entrada 10 2 2 2" xfId="30153" xr:uid="{00000000-0005-0000-0000-0000651B0000}"/>
    <cellStyle name="Entrada 10 2 2 3" xfId="32922" xr:uid="{00000000-0005-0000-0000-0000661B0000}"/>
    <cellStyle name="Entrada 10 2 2 4" xfId="34529" xr:uid="{00000000-0005-0000-0000-0000671B0000}"/>
    <cellStyle name="Entrada 10 2 2 5" xfId="40651" xr:uid="{00000000-0005-0000-0000-0000681B0000}"/>
    <cellStyle name="Entrada 10 2 3" xfId="11810" xr:uid="{00000000-0005-0000-0000-0000691B0000}"/>
    <cellStyle name="Entrada 10 2 3 2" xfId="30154" xr:uid="{00000000-0005-0000-0000-00006A1B0000}"/>
    <cellStyle name="Entrada 10 2 3 3" xfId="32923" xr:uid="{00000000-0005-0000-0000-00006B1B0000}"/>
    <cellStyle name="Entrada 10 2 3 4" xfId="34530" xr:uid="{00000000-0005-0000-0000-00006C1B0000}"/>
    <cellStyle name="Entrada 10 2 3 5" xfId="40652" xr:uid="{00000000-0005-0000-0000-00006D1B0000}"/>
    <cellStyle name="Entrada 10 2 4" xfId="30152" xr:uid="{00000000-0005-0000-0000-00006E1B0000}"/>
    <cellStyle name="Entrada 10 2 5" xfId="32921" xr:uid="{00000000-0005-0000-0000-00006F1B0000}"/>
    <cellStyle name="Entrada 10 2 6" xfId="34528" xr:uid="{00000000-0005-0000-0000-0000701B0000}"/>
    <cellStyle name="Entrada 10 2 7" xfId="40650" xr:uid="{00000000-0005-0000-0000-0000711B0000}"/>
    <cellStyle name="Entrada 10 3" xfId="11811" xr:uid="{00000000-0005-0000-0000-0000721B0000}"/>
    <cellStyle name="Entrada 10 3 2" xfId="30155" xr:uid="{00000000-0005-0000-0000-0000731B0000}"/>
    <cellStyle name="Entrada 10 3 3" xfId="32924" xr:uid="{00000000-0005-0000-0000-0000741B0000}"/>
    <cellStyle name="Entrada 10 3 4" xfId="34531" xr:uid="{00000000-0005-0000-0000-0000751B0000}"/>
    <cellStyle name="Entrada 10 3 5" xfId="40653" xr:uid="{00000000-0005-0000-0000-0000761B0000}"/>
    <cellStyle name="Entrada 10 4" xfId="11812" xr:uid="{00000000-0005-0000-0000-0000771B0000}"/>
    <cellStyle name="Entrada 10 4 2" xfId="30156" xr:uid="{00000000-0005-0000-0000-0000781B0000}"/>
    <cellStyle name="Entrada 10 4 3" xfId="32925" xr:uid="{00000000-0005-0000-0000-0000791B0000}"/>
    <cellStyle name="Entrada 10 4 4" xfId="34532" xr:uid="{00000000-0005-0000-0000-00007A1B0000}"/>
    <cellStyle name="Entrada 10 4 5" xfId="40654" xr:uid="{00000000-0005-0000-0000-00007B1B0000}"/>
    <cellStyle name="Entrada 10 5" xfId="30151" xr:uid="{00000000-0005-0000-0000-00007C1B0000}"/>
    <cellStyle name="Entrada 10 6" xfId="32920" xr:uid="{00000000-0005-0000-0000-00007D1B0000}"/>
    <cellStyle name="Entrada 10 7" xfId="34527" xr:uid="{00000000-0005-0000-0000-00007E1B0000}"/>
    <cellStyle name="Entrada 10 8" xfId="40649" xr:uid="{00000000-0005-0000-0000-00007F1B0000}"/>
    <cellStyle name="Entrada 11" xfId="3824" xr:uid="{00000000-0005-0000-0000-0000801B0000}"/>
    <cellStyle name="Entrada 11 2" xfId="11562" xr:uid="{00000000-0005-0000-0000-0000811B0000}"/>
    <cellStyle name="Entrada 11 2 2" xfId="11813" xr:uid="{00000000-0005-0000-0000-0000821B0000}"/>
    <cellStyle name="Entrada 11 2 2 2" xfId="30159" xr:uid="{00000000-0005-0000-0000-0000831B0000}"/>
    <cellStyle name="Entrada 11 2 2 3" xfId="32928" xr:uid="{00000000-0005-0000-0000-0000841B0000}"/>
    <cellStyle name="Entrada 11 2 2 4" xfId="34535" xr:uid="{00000000-0005-0000-0000-0000851B0000}"/>
    <cellStyle name="Entrada 11 2 2 5" xfId="40657" xr:uid="{00000000-0005-0000-0000-0000861B0000}"/>
    <cellStyle name="Entrada 11 2 3" xfId="11814" xr:uid="{00000000-0005-0000-0000-0000871B0000}"/>
    <cellStyle name="Entrada 11 2 3 2" xfId="30160" xr:uid="{00000000-0005-0000-0000-0000881B0000}"/>
    <cellStyle name="Entrada 11 2 3 3" xfId="32929" xr:uid="{00000000-0005-0000-0000-0000891B0000}"/>
    <cellStyle name="Entrada 11 2 3 4" xfId="34536" xr:uid="{00000000-0005-0000-0000-00008A1B0000}"/>
    <cellStyle name="Entrada 11 2 3 5" xfId="40658" xr:uid="{00000000-0005-0000-0000-00008B1B0000}"/>
    <cellStyle name="Entrada 11 2 4" xfId="30158" xr:uid="{00000000-0005-0000-0000-00008C1B0000}"/>
    <cellStyle name="Entrada 11 2 5" xfId="32927" xr:uid="{00000000-0005-0000-0000-00008D1B0000}"/>
    <cellStyle name="Entrada 11 2 6" xfId="34534" xr:uid="{00000000-0005-0000-0000-00008E1B0000}"/>
    <cellStyle name="Entrada 11 2 7" xfId="40656" xr:uid="{00000000-0005-0000-0000-00008F1B0000}"/>
    <cellStyle name="Entrada 11 3" xfId="11815" xr:uid="{00000000-0005-0000-0000-0000901B0000}"/>
    <cellStyle name="Entrada 11 3 2" xfId="30161" xr:uid="{00000000-0005-0000-0000-0000911B0000}"/>
    <cellStyle name="Entrada 11 3 3" xfId="32930" xr:uid="{00000000-0005-0000-0000-0000921B0000}"/>
    <cellStyle name="Entrada 11 3 4" xfId="34537" xr:uid="{00000000-0005-0000-0000-0000931B0000}"/>
    <cellStyle name="Entrada 11 3 5" xfId="40659" xr:uid="{00000000-0005-0000-0000-0000941B0000}"/>
    <cellStyle name="Entrada 11 4" xfId="11816" xr:uid="{00000000-0005-0000-0000-0000951B0000}"/>
    <cellStyle name="Entrada 11 4 2" xfId="30162" xr:uid="{00000000-0005-0000-0000-0000961B0000}"/>
    <cellStyle name="Entrada 11 4 3" xfId="32931" xr:uid="{00000000-0005-0000-0000-0000971B0000}"/>
    <cellStyle name="Entrada 11 4 4" xfId="34538" xr:uid="{00000000-0005-0000-0000-0000981B0000}"/>
    <cellStyle name="Entrada 11 4 5" xfId="40660" xr:uid="{00000000-0005-0000-0000-0000991B0000}"/>
    <cellStyle name="Entrada 11 5" xfId="30157" xr:uid="{00000000-0005-0000-0000-00009A1B0000}"/>
    <cellStyle name="Entrada 11 6" xfId="32926" xr:uid="{00000000-0005-0000-0000-00009B1B0000}"/>
    <cellStyle name="Entrada 11 7" xfId="34533" xr:uid="{00000000-0005-0000-0000-00009C1B0000}"/>
    <cellStyle name="Entrada 11 8" xfId="40655" xr:uid="{00000000-0005-0000-0000-00009D1B0000}"/>
    <cellStyle name="Entrada 12" xfId="3825" xr:uid="{00000000-0005-0000-0000-00009E1B0000}"/>
    <cellStyle name="Entrada 12 2" xfId="11563" xr:uid="{00000000-0005-0000-0000-00009F1B0000}"/>
    <cellStyle name="Entrada 12 2 2" xfId="11817" xr:uid="{00000000-0005-0000-0000-0000A01B0000}"/>
    <cellStyle name="Entrada 12 2 2 2" xfId="30165" xr:uid="{00000000-0005-0000-0000-0000A11B0000}"/>
    <cellStyle name="Entrada 12 2 2 3" xfId="32934" xr:uid="{00000000-0005-0000-0000-0000A21B0000}"/>
    <cellStyle name="Entrada 12 2 2 4" xfId="34541" xr:uid="{00000000-0005-0000-0000-0000A31B0000}"/>
    <cellStyle name="Entrada 12 2 2 5" xfId="40663" xr:uid="{00000000-0005-0000-0000-0000A41B0000}"/>
    <cellStyle name="Entrada 12 2 3" xfId="11818" xr:uid="{00000000-0005-0000-0000-0000A51B0000}"/>
    <cellStyle name="Entrada 12 2 3 2" xfId="30166" xr:uid="{00000000-0005-0000-0000-0000A61B0000}"/>
    <cellStyle name="Entrada 12 2 3 3" xfId="32935" xr:uid="{00000000-0005-0000-0000-0000A71B0000}"/>
    <cellStyle name="Entrada 12 2 3 4" xfId="34542" xr:uid="{00000000-0005-0000-0000-0000A81B0000}"/>
    <cellStyle name="Entrada 12 2 3 5" xfId="40664" xr:uid="{00000000-0005-0000-0000-0000A91B0000}"/>
    <cellStyle name="Entrada 12 2 4" xfId="30164" xr:uid="{00000000-0005-0000-0000-0000AA1B0000}"/>
    <cellStyle name="Entrada 12 2 5" xfId="32933" xr:uid="{00000000-0005-0000-0000-0000AB1B0000}"/>
    <cellStyle name="Entrada 12 2 6" xfId="34540" xr:uid="{00000000-0005-0000-0000-0000AC1B0000}"/>
    <cellStyle name="Entrada 12 2 7" xfId="40662" xr:uid="{00000000-0005-0000-0000-0000AD1B0000}"/>
    <cellStyle name="Entrada 12 3" xfId="11819" xr:uid="{00000000-0005-0000-0000-0000AE1B0000}"/>
    <cellStyle name="Entrada 12 3 2" xfId="30167" xr:uid="{00000000-0005-0000-0000-0000AF1B0000}"/>
    <cellStyle name="Entrada 12 3 3" xfId="32936" xr:uid="{00000000-0005-0000-0000-0000B01B0000}"/>
    <cellStyle name="Entrada 12 3 4" xfId="34543" xr:uid="{00000000-0005-0000-0000-0000B11B0000}"/>
    <cellStyle name="Entrada 12 3 5" xfId="40665" xr:uid="{00000000-0005-0000-0000-0000B21B0000}"/>
    <cellStyle name="Entrada 12 4" xfId="11820" xr:uid="{00000000-0005-0000-0000-0000B31B0000}"/>
    <cellStyle name="Entrada 12 4 2" xfId="30168" xr:uid="{00000000-0005-0000-0000-0000B41B0000}"/>
    <cellStyle name="Entrada 12 4 3" xfId="32937" xr:uid="{00000000-0005-0000-0000-0000B51B0000}"/>
    <cellStyle name="Entrada 12 4 4" xfId="34544" xr:uid="{00000000-0005-0000-0000-0000B61B0000}"/>
    <cellStyle name="Entrada 12 4 5" xfId="40666" xr:uid="{00000000-0005-0000-0000-0000B71B0000}"/>
    <cellStyle name="Entrada 12 5" xfId="30163" xr:uid="{00000000-0005-0000-0000-0000B81B0000}"/>
    <cellStyle name="Entrada 12 6" xfId="32932" xr:uid="{00000000-0005-0000-0000-0000B91B0000}"/>
    <cellStyle name="Entrada 12 7" xfId="34539" xr:uid="{00000000-0005-0000-0000-0000BA1B0000}"/>
    <cellStyle name="Entrada 12 8" xfId="40661" xr:uid="{00000000-0005-0000-0000-0000BB1B0000}"/>
    <cellStyle name="Entrada 13" xfId="3826" xr:uid="{00000000-0005-0000-0000-0000BC1B0000}"/>
    <cellStyle name="Entrada 13 2" xfId="11564" xr:uid="{00000000-0005-0000-0000-0000BD1B0000}"/>
    <cellStyle name="Entrada 13 2 2" xfId="11821" xr:uid="{00000000-0005-0000-0000-0000BE1B0000}"/>
    <cellStyle name="Entrada 13 2 2 2" xfId="30171" xr:uid="{00000000-0005-0000-0000-0000BF1B0000}"/>
    <cellStyle name="Entrada 13 2 2 3" xfId="32940" xr:uid="{00000000-0005-0000-0000-0000C01B0000}"/>
    <cellStyle name="Entrada 13 2 2 4" xfId="34547" xr:uid="{00000000-0005-0000-0000-0000C11B0000}"/>
    <cellStyle name="Entrada 13 2 2 5" xfId="40669" xr:uid="{00000000-0005-0000-0000-0000C21B0000}"/>
    <cellStyle name="Entrada 13 2 3" xfId="11822" xr:uid="{00000000-0005-0000-0000-0000C31B0000}"/>
    <cellStyle name="Entrada 13 2 3 2" xfId="30172" xr:uid="{00000000-0005-0000-0000-0000C41B0000}"/>
    <cellStyle name="Entrada 13 2 3 3" xfId="32941" xr:uid="{00000000-0005-0000-0000-0000C51B0000}"/>
    <cellStyle name="Entrada 13 2 3 4" xfId="34548" xr:uid="{00000000-0005-0000-0000-0000C61B0000}"/>
    <cellStyle name="Entrada 13 2 3 5" xfId="40670" xr:uid="{00000000-0005-0000-0000-0000C71B0000}"/>
    <cellStyle name="Entrada 13 2 4" xfId="30170" xr:uid="{00000000-0005-0000-0000-0000C81B0000}"/>
    <cellStyle name="Entrada 13 2 5" xfId="32939" xr:uid="{00000000-0005-0000-0000-0000C91B0000}"/>
    <cellStyle name="Entrada 13 2 6" xfId="34546" xr:uid="{00000000-0005-0000-0000-0000CA1B0000}"/>
    <cellStyle name="Entrada 13 2 7" xfId="40668" xr:uid="{00000000-0005-0000-0000-0000CB1B0000}"/>
    <cellStyle name="Entrada 13 3" xfId="11823" xr:uid="{00000000-0005-0000-0000-0000CC1B0000}"/>
    <cellStyle name="Entrada 13 3 2" xfId="30173" xr:uid="{00000000-0005-0000-0000-0000CD1B0000}"/>
    <cellStyle name="Entrada 13 3 3" xfId="32942" xr:uid="{00000000-0005-0000-0000-0000CE1B0000}"/>
    <cellStyle name="Entrada 13 3 4" xfId="34549" xr:uid="{00000000-0005-0000-0000-0000CF1B0000}"/>
    <cellStyle name="Entrada 13 3 5" xfId="40671" xr:uid="{00000000-0005-0000-0000-0000D01B0000}"/>
    <cellStyle name="Entrada 13 4" xfId="11824" xr:uid="{00000000-0005-0000-0000-0000D11B0000}"/>
    <cellStyle name="Entrada 13 4 2" xfId="30174" xr:uid="{00000000-0005-0000-0000-0000D21B0000}"/>
    <cellStyle name="Entrada 13 4 3" xfId="32943" xr:uid="{00000000-0005-0000-0000-0000D31B0000}"/>
    <cellStyle name="Entrada 13 4 4" xfId="34550" xr:uid="{00000000-0005-0000-0000-0000D41B0000}"/>
    <cellStyle name="Entrada 13 4 5" xfId="40672" xr:uid="{00000000-0005-0000-0000-0000D51B0000}"/>
    <cellStyle name="Entrada 13 5" xfId="30169" xr:uid="{00000000-0005-0000-0000-0000D61B0000}"/>
    <cellStyle name="Entrada 13 6" xfId="32938" xr:uid="{00000000-0005-0000-0000-0000D71B0000}"/>
    <cellStyle name="Entrada 13 7" xfId="34545" xr:uid="{00000000-0005-0000-0000-0000D81B0000}"/>
    <cellStyle name="Entrada 13 8" xfId="40667" xr:uid="{00000000-0005-0000-0000-0000D91B0000}"/>
    <cellStyle name="Entrada 14" xfId="3827" xr:uid="{00000000-0005-0000-0000-0000DA1B0000}"/>
    <cellStyle name="Entrada 14 2" xfId="11565" xr:uid="{00000000-0005-0000-0000-0000DB1B0000}"/>
    <cellStyle name="Entrada 14 2 2" xfId="11825" xr:uid="{00000000-0005-0000-0000-0000DC1B0000}"/>
    <cellStyle name="Entrada 14 2 2 2" xfId="30177" xr:uid="{00000000-0005-0000-0000-0000DD1B0000}"/>
    <cellStyle name="Entrada 14 2 2 3" xfId="32946" xr:uid="{00000000-0005-0000-0000-0000DE1B0000}"/>
    <cellStyle name="Entrada 14 2 2 4" xfId="34553" xr:uid="{00000000-0005-0000-0000-0000DF1B0000}"/>
    <cellStyle name="Entrada 14 2 2 5" xfId="40675" xr:uid="{00000000-0005-0000-0000-0000E01B0000}"/>
    <cellStyle name="Entrada 14 2 3" xfId="11826" xr:uid="{00000000-0005-0000-0000-0000E11B0000}"/>
    <cellStyle name="Entrada 14 2 3 2" xfId="30178" xr:uid="{00000000-0005-0000-0000-0000E21B0000}"/>
    <cellStyle name="Entrada 14 2 3 3" xfId="32947" xr:uid="{00000000-0005-0000-0000-0000E31B0000}"/>
    <cellStyle name="Entrada 14 2 3 4" xfId="34554" xr:uid="{00000000-0005-0000-0000-0000E41B0000}"/>
    <cellStyle name="Entrada 14 2 3 5" xfId="40676" xr:uid="{00000000-0005-0000-0000-0000E51B0000}"/>
    <cellStyle name="Entrada 14 2 4" xfId="30176" xr:uid="{00000000-0005-0000-0000-0000E61B0000}"/>
    <cellStyle name="Entrada 14 2 5" xfId="32945" xr:uid="{00000000-0005-0000-0000-0000E71B0000}"/>
    <cellStyle name="Entrada 14 2 6" xfId="34552" xr:uid="{00000000-0005-0000-0000-0000E81B0000}"/>
    <cellStyle name="Entrada 14 2 7" xfId="40674" xr:uid="{00000000-0005-0000-0000-0000E91B0000}"/>
    <cellStyle name="Entrada 14 3" xfId="11827" xr:uid="{00000000-0005-0000-0000-0000EA1B0000}"/>
    <cellStyle name="Entrada 14 3 2" xfId="30179" xr:uid="{00000000-0005-0000-0000-0000EB1B0000}"/>
    <cellStyle name="Entrada 14 3 3" xfId="32948" xr:uid="{00000000-0005-0000-0000-0000EC1B0000}"/>
    <cellStyle name="Entrada 14 3 4" xfId="34555" xr:uid="{00000000-0005-0000-0000-0000ED1B0000}"/>
    <cellStyle name="Entrada 14 3 5" xfId="40677" xr:uid="{00000000-0005-0000-0000-0000EE1B0000}"/>
    <cellStyle name="Entrada 14 4" xfId="11828" xr:uid="{00000000-0005-0000-0000-0000EF1B0000}"/>
    <cellStyle name="Entrada 14 4 2" xfId="30180" xr:uid="{00000000-0005-0000-0000-0000F01B0000}"/>
    <cellStyle name="Entrada 14 4 3" xfId="32949" xr:uid="{00000000-0005-0000-0000-0000F11B0000}"/>
    <cellStyle name="Entrada 14 4 4" xfId="34556" xr:uid="{00000000-0005-0000-0000-0000F21B0000}"/>
    <cellStyle name="Entrada 14 4 5" xfId="40678" xr:uid="{00000000-0005-0000-0000-0000F31B0000}"/>
    <cellStyle name="Entrada 14 5" xfId="30175" xr:uid="{00000000-0005-0000-0000-0000F41B0000}"/>
    <cellStyle name="Entrada 14 6" xfId="32944" xr:uid="{00000000-0005-0000-0000-0000F51B0000}"/>
    <cellStyle name="Entrada 14 7" xfId="34551" xr:uid="{00000000-0005-0000-0000-0000F61B0000}"/>
    <cellStyle name="Entrada 14 8" xfId="40673" xr:uid="{00000000-0005-0000-0000-0000F71B0000}"/>
    <cellStyle name="Entrada 15" xfId="3828" xr:uid="{00000000-0005-0000-0000-0000F81B0000}"/>
    <cellStyle name="Entrada 15 2" xfId="11566" xr:uid="{00000000-0005-0000-0000-0000F91B0000}"/>
    <cellStyle name="Entrada 15 2 2" xfId="11829" xr:uid="{00000000-0005-0000-0000-0000FA1B0000}"/>
    <cellStyle name="Entrada 15 2 2 2" xfId="30183" xr:uid="{00000000-0005-0000-0000-0000FB1B0000}"/>
    <cellStyle name="Entrada 15 2 2 3" xfId="32952" xr:uid="{00000000-0005-0000-0000-0000FC1B0000}"/>
    <cellStyle name="Entrada 15 2 2 4" xfId="34559" xr:uid="{00000000-0005-0000-0000-0000FD1B0000}"/>
    <cellStyle name="Entrada 15 2 2 5" xfId="40681" xr:uid="{00000000-0005-0000-0000-0000FE1B0000}"/>
    <cellStyle name="Entrada 15 2 3" xfId="11830" xr:uid="{00000000-0005-0000-0000-0000FF1B0000}"/>
    <cellStyle name="Entrada 15 2 3 2" xfId="30184" xr:uid="{00000000-0005-0000-0000-0000001C0000}"/>
    <cellStyle name="Entrada 15 2 3 3" xfId="32953" xr:uid="{00000000-0005-0000-0000-0000011C0000}"/>
    <cellStyle name="Entrada 15 2 3 4" xfId="34560" xr:uid="{00000000-0005-0000-0000-0000021C0000}"/>
    <cellStyle name="Entrada 15 2 3 5" xfId="40682" xr:uid="{00000000-0005-0000-0000-0000031C0000}"/>
    <cellStyle name="Entrada 15 2 4" xfId="30182" xr:uid="{00000000-0005-0000-0000-0000041C0000}"/>
    <cellStyle name="Entrada 15 2 5" xfId="32951" xr:uid="{00000000-0005-0000-0000-0000051C0000}"/>
    <cellStyle name="Entrada 15 2 6" xfId="34558" xr:uid="{00000000-0005-0000-0000-0000061C0000}"/>
    <cellStyle name="Entrada 15 2 7" xfId="40680" xr:uid="{00000000-0005-0000-0000-0000071C0000}"/>
    <cellStyle name="Entrada 15 3" xfId="11831" xr:uid="{00000000-0005-0000-0000-0000081C0000}"/>
    <cellStyle name="Entrada 15 3 2" xfId="30185" xr:uid="{00000000-0005-0000-0000-0000091C0000}"/>
    <cellStyle name="Entrada 15 3 3" xfId="32954" xr:uid="{00000000-0005-0000-0000-00000A1C0000}"/>
    <cellStyle name="Entrada 15 3 4" xfId="34561" xr:uid="{00000000-0005-0000-0000-00000B1C0000}"/>
    <cellStyle name="Entrada 15 3 5" xfId="40683" xr:uid="{00000000-0005-0000-0000-00000C1C0000}"/>
    <cellStyle name="Entrada 15 4" xfId="11832" xr:uid="{00000000-0005-0000-0000-00000D1C0000}"/>
    <cellStyle name="Entrada 15 4 2" xfId="30186" xr:uid="{00000000-0005-0000-0000-00000E1C0000}"/>
    <cellStyle name="Entrada 15 4 3" xfId="32955" xr:uid="{00000000-0005-0000-0000-00000F1C0000}"/>
    <cellStyle name="Entrada 15 4 4" xfId="34562" xr:uid="{00000000-0005-0000-0000-0000101C0000}"/>
    <cellStyle name="Entrada 15 4 5" xfId="40684" xr:uid="{00000000-0005-0000-0000-0000111C0000}"/>
    <cellStyle name="Entrada 15 5" xfId="30181" xr:uid="{00000000-0005-0000-0000-0000121C0000}"/>
    <cellStyle name="Entrada 15 6" xfId="32950" xr:uid="{00000000-0005-0000-0000-0000131C0000}"/>
    <cellStyle name="Entrada 15 7" xfId="34557" xr:uid="{00000000-0005-0000-0000-0000141C0000}"/>
    <cellStyle name="Entrada 15 8" xfId="40679" xr:uid="{00000000-0005-0000-0000-0000151C0000}"/>
    <cellStyle name="Entrada 16" xfId="3829" xr:uid="{00000000-0005-0000-0000-0000161C0000}"/>
    <cellStyle name="Entrada 16 2" xfId="11567" xr:uid="{00000000-0005-0000-0000-0000171C0000}"/>
    <cellStyle name="Entrada 16 2 2" xfId="11833" xr:uid="{00000000-0005-0000-0000-0000181C0000}"/>
    <cellStyle name="Entrada 16 2 2 2" xfId="30189" xr:uid="{00000000-0005-0000-0000-0000191C0000}"/>
    <cellStyle name="Entrada 16 2 2 3" xfId="32958" xr:uid="{00000000-0005-0000-0000-00001A1C0000}"/>
    <cellStyle name="Entrada 16 2 2 4" xfId="34565" xr:uid="{00000000-0005-0000-0000-00001B1C0000}"/>
    <cellStyle name="Entrada 16 2 2 5" xfId="40687" xr:uid="{00000000-0005-0000-0000-00001C1C0000}"/>
    <cellStyle name="Entrada 16 2 3" xfId="11834" xr:uid="{00000000-0005-0000-0000-00001D1C0000}"/>
    <cellStyle name="Entrada 16 2 3 2" xfId="30190" xr:uid="{00000000-0005-0000-0000-00001E1C0000}"/>
    <cellStyle name="Entrada 16 2 3 3" xfId="32959" xr:uid="{00000000-0005-0000-0000-00001F1C0000}"/>
    <cellStyle name="Entrada 16 2 3 4" xfId="34566" xr:uid="{00000000-0005-0000-0000-0000201C0000}"/>
    <cellStyle name="Entrada 16 2 3 5" xfId="40688" xr:uid="{00000000-0005-0000-0000-0000211C0000}"/>
    <cellStyle name="Entrada 16 2 4" xfId="30188" xr:uid="{00000000-0005-0000-0000-0000221C0000}"/>
    <cellStyle name="Entrada 16 2 5" xfId="32957" xr:uid="{00000000-0005-0000-0000-0000231C0000}"/>
    <cellStyle name="Entrada 16 2 6" xfId="34564" xr:uid="{00000000-0005-0000-0000-0000241C0000}"/>
    <cellStyle name="Entrada 16 2 7" xfId="40686" xr:uid="{00000000-0005-0000-0000-0000251C0000}"/>
    <cellStyle name="Entrada 16 3" xfId="11835" xr:uid="{00000000-0005-0000-0000-0000261C0000}"/>
    <cellStyle name="Entrada 16 3 2" xfId="30191" xr:uid="{00000000-0005-0000-0000-0000271C0000}"/>
    <cellStyle name="Entrada 16 3 3" xfId="32960" xr:uid="{00000000-0005-0000-0000-0000281C0000}"/>
    <cellStyle name="Entrada 16 3 4" xfId="34567" xr:uid="{00000000-0005-0000-0000-0000291C0000}"/>
    <cellStyle name="Entrada 16 3 5" xfId="40689" xr:uid="{00000000-0005-0000-0000-00002A1C0000}"/>
    <cellStyle name="Entrada 16 4" xfId="11836" xr:uid="{00000000-0005-0000-0000-00002B1C0000}"/>
    <cellStyle name="Entrada 16 4 2" xfId="30192" xr:uid="{00000000-0005-0000-0000-00002C1C0000}"/>
    <cellStyle name="Entrada 16 4 3" xfId="32961" xr:uid="{00000000-0005-0000-0000-00002D1C0000}"/>
    <cellStyle name="Entrada 16 4 4" xfId="34568" xr:uid="{00000000-0005-0000-0000-00002E1C0000}"/>
    <cellStyle name="Entrada 16 4 5" xfId="40690" xr:uid="{00000000-0005-0000-0000-00002F1C0000}"/>
    <cellStyle name="Entrada 16 5" xfId="30187" xr:uid="{00000000-0005-0000-0000-0000301C0000}"/>
    <cellStyle name="Entrada 16 6" xfId="32956" xr:uid="{00000000-0005-0000-0000-0000311C0000}"/>
    <cellStyle name="Entrada 16 7" xfId="34563" xr:uid="{00000000-0005-0000-0000-0000321C0000}"/>
    <cellStyle name="Entrada 16 8" xfId="40685" xr:uid="{00000000-0005-0000-0000-0000331C0000}"/>
    <cellStyle name="Entrada 17" xfId="3830" xr:uid="{00000000-0005-0000-0000-0000341C0000}"/>
    <cellStyle name="Entrada 17 2" xfId="11568" xr:uid="{00000000-0005-0000-0000-0000351C0000}"/>
    <cellStyle name="Entrada 17 2 2" xfId="11837" xr:uid="{00000000-0005-0000-0000-0000361C0000}"/>
    <cellStyle name="Entrada 17 2 2 2" xfId="30195" xr:uid="{00000000-0005-0000-0000-0000371C0000}"/>
    <cellStyle name="Entrada 17 2 2 3" xfId="32964" xr:uid="{00000000-0005-0000-0000-0000381C0000}"/>
    <cellStyle name="Entrada 17 2 2 4" xfId="34571" xr:uid="{00000000-0005-0000-0000-0000391C0000}"/>
    <cellStyle name="Entrada 17 2 2 5" xfId="40693" xr:uid="{00000000-0005-0000-0000-00003A1C0000}"/>
    <cellStyle name="Entrada 17 2 3" xfId="11838" xr:uid="{00000000-0005-0000-0000-00003B1C0000}"/>
    <cellStyle name="Entrada 17 2 3 2" xfId="30196" xr:uid="{00000000-0005-0000-0000-00003C1C0000}"/>
    <cellStyle name="Entrada 17 2 3 3" xfId="32965" xr:uid="{00000000-0005-0000-0000-00003D1C0000}"/>
    <cellStyle name="Entrada 17 2 3 4" xfId="34572" xr:uid="{00000000-0005-0000-0000-00003E1C0000}"/>
    <cellStyle name="Entrada 17 2 3 5" xfId="40694" xr:uid="{00000000-0005-0000-0000-00003F1C0000}"/>
    <cellStyle name="Entrada 17 2 4" xfId="30194" xr:uid="{00000000-0005-0000-0000-0000401C0000}"/>
    <cellStyle name="Entrada 17 2 5" xfId="32963" xr:uid="{00000000-0005-0000-0000-0000411C0000}"/>
    <cellStyle name="Entrada 17 2 6" xfId="34570" xr:uid="{00000000-0005-0000-0000-0000421C0000}"/>
    <cellStyle name="Entrada 17 2 7" xfId="40692" xr:uid="{00000000-0005-0000-0000-0000431C0000}"/>
    <cellStyle name="Entrada 17 3" xfId="11839" xr:uid="{00000000-0005-0000-0000-0000441C0000}"/>
    <cellStyle name="Entrada 17 3 2" xfId="30197" xr:uid="{00000000-0005-0000-0000-0000451C0000}"/>
    <cellStyle name="Entrada 17 3 3" xfId="32966" xr:uid="{00000000-0005-0000-0000-0000461C0000}"/>
    <cellStyle name="Entrada 17 3 4" xfId="34573" xr:uid="{00000000-0005-0000-0000-0000471C0000}"/>
    <cellStyle name="Entrada 17 3 5" xfId="40695" xr:uid="{00000000-0005-0000-0000-0000481C0000}"/>
    <cellStyle name="Entrada 17 4" xfId="11840" xr:uid="{00000000-0005-0000-0000-0000491C0000}"/>
    <cellStyle name="Entrada 17 4 2" xfId="30198" xr:uid="{00000000-0005-0000-0000-00004A1C0000}"/>
    <cellStyle name="Entrada 17 4 3" xfId="32967" xr:uid="{00000000-0005-0000-0000-00004B1C0000}"/>
    <cellStyle name="Entrada 17 4 4" xfId="34574" xr:uid="{00000000-0005-0000-0000-00004C1C0000}"/>
    <cellStyle name="Entrada 17 4 5" xfId="40696" xr:uid="{00000000-0005-0000-0000-00004D1C0000}"/>
    <cellStyle name="Entrada 17 5" xfId="30193" xr:uid="{00000000-0005-0000-0000-00004E1C0000}"/>
    <cellStyle name="Entrada 17 6" xfId="32962" xr:uid="{00000000-0005-0000-0000-00004F1C0000}"/>
    <cellStyle name="Entrada 17 7" xfId="34569" xr:uid="{00000000-0005-0000-0000-0000501C0000}"/>
    <cellStyle name="Entrada 17 8" xfId="40691" xr:uid="{00000000-0005-0000-0000-0000511C0000}"/>
    <cellStyle name="Entrada 18" xfId="3831" xr:uid="{00000000-0005-0000-0000-0000521C0000}"/>
    <cellStyle name="Entrada 18 2" xfId="11569" xr:uid="{00000000-0005-0000-0000-0000531C0000}"/>
    <cellStyle name="Entrada 18 2 2" xfId="11841" xr:uid="{00000000-0005-0000-0000-0000541C0000}"/>
    <cellStyle name="Entrada 18 2 2 2" xfId="30201" xr:uid="{00000000-0005-0000-0000-0000551C0000}"/>
    <cellStyle name="Entrada 18 2 2 3" xfId="32970" xr:uid="{00000000-0005-0000-0000-0000561C0000}"/>
    <cellStyle name="Entrada 18 2 2 4" xfId="34577" xr:uid="{00000000-0005-0000-0000-0000571C0000}"/>
    <cellStyle name="Entrada 18 2 2 5" xfId="40699" xr:uid="{00000000-0005-0000-0000-0000581C0000}"/>
    <cellStyle name="Entrada 18 2 3" xfId="11842" xr:uid="{00000000-0005-0000-0000-0000591C0000}"/>
    <cellStyle name="Entrada 18 2 3 2" xfId="30202" xr:uid="{00000000-0005-0000-0000-00005A1C0000}"/>
    <cellStyle name="Entrada 18 2 3 3" xfId="32971" xr:uid="{00000000-0005-0000-0000-00005B1C0000}"/>
    <cellStyle name="Entrada 18 2 3 4" xfId="34578" xr:uid="{00000000-0005-0000-0000-00005C1C0000}"/>
    <cellStyle name="Entrada 18 2 3 5" xfId="40700" xr:uid="{00000000-0005-0000-0000-00005D1C0000}"/>
    <cellStyle name="Entrada 18 2 4" xfId="30200" xr:uid="{00000000-0005-0000-0000-00005E1C0000}"/>
    <cellStyle name="Entrada 18 2 5" xfId="32969" xr:uid="{00000000-0005-0000-0000-00005F1C0000}"/>
    <cellStyle name="Entrada 18 2 6" xfId="34576" xr:uid="{00000000-0005-0000-0000-0000601C0000}"/>
    <cellStyle name="Entrada 18 2 7" xfId="40698" xr:uid="{00000000-0005-0000-0000-0000611C0000}"/>
    <cellStyle name="Entrada 18 3" xfId="11843" xr:uid="{00000000-0005-0000-0000-0000621C0000}"/>
    <cellStyle name="Entrada 18 3 2" xfId="30203" xr:uid="{00000000-0005-0000-0000-0000631C0000}"/>
    <cellStyle name="Entrada 18 3 3" xfId="32972" xr:uid="{00000000-0005-0000-0000-0000641C0000}"/>
    <cellStyle name="Entrada 18 3 4" xfId="34579" xr:uid="{00000000-0005-0000-0000-0000651C0000}"/>
    <cellStyle name="Entrada 18 3 5" xfId="40701" xr:uid="{00000000-0005-0000-0000-0000661C0000}"/>
    <cellStyle name="Entrada 18 4" xfId="11844" xr:uid="{00000000-0005-0000-0000-0000671C0000}"/>
    <cellStyle name="Entrada 18 4 2" xfId="30204" xr:uid="{00000000-0005-0000-0000-0000681C0000}"/>
    <cellStyle name="Entrada 18 4 3" xfId="32973" xr:uid="{00000000-0005-0000-0000-0000691C0000}"/>
    <cellStyle name="Entrada 18 4 4" xfId="34580" xr:uid="{00000000-0005-0000-0000-00006A1C0000}"/>
    <cellStyle name="Entrada 18 4 5" xfId="40702" xr:uid="{00000000-0005-0000-0000-00006B1C0000}"/>
    <cellStyle name="Entrada 18 5" xfId="30199" xr:uid="{00000000-0005-0000-0000-00006C1C0000}"/>
    <cellStyle name="Entrada 18 6" xfId="32968" xr:uid="{00000000-0005-0000-0000-00006D1C0000}"/>
    <cellStyle name="Entrada 18 7" xfId="34575" xr:uid="{00000000-0005-0000-0000-00006E1C0000}"/>
    <cellStyle name="Entrada 18 8" xfId="40697" xr:uid="{00000000-0005-0000-0000-00006F1C0000}"/>
    <cellStyle name="Entrada 19" xfId="3832" xr:uid="{00000000-0005-0000-0000-0000701C0000}"/>
    <cellStyle name="Entrada 19 2" xfId="11570" xr:uid="{00000000-0005-0000-0000-0000711C0000}"/>
    <cellStyle name="Entrada 19 2 2" xfId="11845" xr:uid="{00000000-0005-0000-0000-0000721C0000}"/>
    <cellStyle name="Entrada 19 2 2 2" xfId="30207" xr:uid="{00000000-0005-0000-0000-0000731C0000}"/>
    <cellStyle name="Entrada 19 2 2 3" xfId="32976" xr:uid="{00000000-0005-0000-0000-0000741C0000}"/>
    <cellStyle name="Entrada 19 2 2 4" xfId="34583" xr:uid="{00000000-0005-0000-0000-0000751C0000}"/>
    <cellStyle name="Entrada 19 2 2 5" xfId="40705" xr:uid="{00000000-0005-0000-0000-0000761C0000}"/>
    <cellStyle name="Entrada 19 2 3" xfId="11846" xr:uid="{00000000-0005-0000-0000-0000771C0000}"/>
    <cellStyle name="Entrada 19 2 3 2" xfId="30208" xr:uid="{00000000-0005-0000-0000-0000781C0000}"/>
    <cellStyle name="Entrada 19 2 3 3" xfId="32977" xr:uid="{00000000-0005-0000-0000-0000791C0000}"/>
    <cellStyle name="Entrada 19 2 3 4" xfId="34584" xr:uid="{00000000-0005-0000-0000-00007A1C0000}"/>
    <cellStyle name="Entrada 19 2 3 5" xfId="40706" xr:uid="{00000000-0005-0000-0000-00007B1C0000}"/>
    <cellStyle name="Entrada 19 2 4" xfId="30206" xr:uid="{00000000-0005-0000-0000-00007C1C0000}"/>
    <cellStyle name="Entrada 19 2 5" xfId="32975" xr:uid="{00000000-0005-0000-0000-00007D1C0000}"/>
    <cellStyle name="Entrada 19 2 6" xfId="34582" xr:uid="{00000000-0005-0000-0000-00007E1C0000}"/>
    <cellStyle name="Entrada 19 2 7" xfId="40704" xr:uid="{00000000-0005-0000-0000-00007F1C0000}"/>
    <cellStyle name="Entrada 19 3" xfId="11847" xr:uid="{00000000-0005-0000-0000-0000801C0000}"/>
    <cellStyle name="Entrada 19 3 2" xfId="30209" xr:uid="{00000000-0005-0000-0000-0000811C0000}"/>
    <cellStyle name="Entrada 19 3 3" xfId="32978" xr:uid="{00000000-0005-0000-0000-0000821C0000}"/>
    <cellStyle name="Entrada 19 3 4" xfId="34585" xr:uid="{00000000-0005-0000-0000-0000831C0000}"/>
    <cellStyle name="Entrada 19 3 5" xfId="40707" xr:uid="{00000000-0005-0000-0000-0000841C0000}"/>
    <cellStyle name="Entrada 19 4" xfId="11848" xr:uid="{00000000-0005-0000-0000-0000851C0000}"/>
    <cellStyle name="Entrada 19 4 2" xfId="30210" xr:uid="{00000000-0005-0000-0000-0000861C0000}"/>
    <cellStyle name="Entrada 19 4 3" xfId="32979" xr:uid="{00000000-0005-0000-0000-0000871C0000}"/>
    <cellStyle name="Entrada 19 4 4" xfId="34586" xr:uid="{00000000-0005-0000-0000-0000881C0000}"/>
    <cellStyle name="Entrada 19 4 5" xfId="40708" xr:uid="{00000000-0005-0000-0000-0000891C0000}"/>
    <cellStyle name="Entrada 19 5" xfId="30205" xr:uid="{00000000-0005-0000-0000-00008A1C0000}"/>
    <cellStyle name="Entrada 19 6" xfId="32974" xr:uid="{00000000-0005-0000-0000-00008B1C0000}"/>
    <cellStyle name="Entrada 19 7" xfId="34581" xr:uid="{00000000-0005-0000-0000-00008C1C0000}"/>
    <cellStyle name="Entrada 19 8" xfId="40703" xr:uid="{00000000-0005-0000-0000-00008D1C0000}"/>
    <cellStyle name="Entrada 2" xfId="3833" xr:uid="{00000000-0005-0000-0000-00008E1C0000}"/>
    <cellStyle name="Entrada 2 10" xfId="13211" xr:uid="{00000000-0005-0000-0000-00008F1C0000}"/>
    <cellStyle name="Entrada 2 10 2" xfId="13212" xr:uid="{00000000-0005-0000-0000-0000901C0000}"/>
    <cellStyle name="Entrada 2 10 2 2" xfId="30213" xr:uid="{00000000-0005-0000-0000-0000911C0000}"/>
    <cellStyle name="Entrada 2 10 3" xfId="30212" xr:uid="{00000000-0005-0000-0000-0000921C0000}"/>
    <cellStyle name="Entrada 2 11" xfId="13213" xr:uid="{00000000-0005-0000-0000-0000931C0000}"/>
    <cellStyle name="Entrada 2 11 2" xfId="30214" xr:uid="{00000000-0005-0000-0000-0000941C0000}"/>
    <cellStyle name="Entrada 2 12" xfId="30211" xr:uid="{00000000-0005-0000-0000-0000951C0000}"/>
    <cellStyle name="Entrada 2 13" xfId="32980" xr:uid="{00000000-0005-0000-0000-0000961C0000}"/>
    <cellStyle name="Entrada 2 14" xfId="33537" xr:uid="{00000000-0005-0000-0000-0000971C0000}"/>
    <cellStyle name="Entrada 2 15" xfId="34587" xr:uid="{00000000-0005-0000-0000-0000981C0000}"/>
    <cellStyle name="Entrada 2 16" xfId="40709" xr:uid="{00000000-0005-0000-0000-0000991C0000}"/>
    <cellStyle name="Entrada 2 2" xfId="11571" xr:uid="{00000000-0005-0000-0000-00009A1C0000}"/>
    <cellStyle name="Entrada 2 2 10" xfId="13214" xr:uid="{00000000-0005-0000-0000-00009B1C0000}"/>
    <cellStyle name="Entrada 2 2 10 2" xfId="30216" xr:uid="{00000000-0005-0000-0000-00009C1C0000}"/>
    <cellStyle name="Entrada 2 2 11" xfId="30215" xr:uid="{00000000-0005-0000-0000-00009D1C0000}"/>
    <cellStyle name="Entrada 2 2 12" xfId="32981" xr:uid="{00000000-0005-0000-0000-00009E1C0000}"/>
    <cellStyle name="Entrada 2 2 13" xfId="33538" xr:uid="{00000000-0005-0000-0000-00009F1C0000}"/>
    <cellStyle name="Entrada 2 2 14" xfId="34588" xr:uid="{00000000-0005-0000-0000-0000A01C0000}"/>
    <cellStyle name="Entrada 2 2 15" xfId="40710" xr:uid="{00000000-0005-0000-0000-0000A11C0000}"/>
    <cellStyle name="Entrada 2 2 2" xfId="11849" xr:uid="{00000000-0005-0000-0000-0000A21C0000}"/>
    <cellStyle name="Entrada 2 2 2 10" xfId="40711" xr:uid="{00000000-0005-0000-0000-0000A31C0000}"/>
    <cellStyle name="Entrada 2 2 2 2" xfId="13215" xr:uid="{00000000-0005-0000-0000-0000A41C0000}"/>
    <cellStyle name="Entrada 2 2 2 2 2" xfId="30218" xr:uid="{00000000-0005-0000-0000-0000A51C0000}"/>
    <cellStyle name="Entrada 2 2 2 3" xfId="13216" xr:uid="{00000000-0005-0000-0000-0000A61C0000}"/>
    <cellStyle name="Entrada 2 2 2 3 2" xfId="30219" xr:uid="{00000000-0005-0000-0000-0000A71C0000}"/>
    <cellStyle name="Entrada 2 2 2 4" xfId="13217" xr:uid="{00000000-0005-0000-0000-0000A81C0000}"/>
    <cellStyle name="Entrada 2 2 2 4 2" xfId="30220" xr:uid="{00000000-0005-0000-0000-0000A91C0000}"/>
    <cellStyle name="Entrada 2 2 2 5" xfId="13218" xr:uid="{00000000-0005-0000-0000-0000AA1C0000}"/>
    <cellStyle name="Entrada 2 2 2 5 2" xfId="30221" xr:uid="{00000000-0005-0000-0000-0000AB1C0000}"/>
    <cellStyle name="Entrada 2 2 2 6" xfId="13219" xr:uid="{00000000-0005-0000-0000-0000AC1C0000}"/>
    <cellStyle name="Entrada 2 2 2 6 2" xfId="30222" xr:uid="{00000000-0005-0000-0000-0000AD1C0000}"/>
    <cellStyle name="Entrada 2 2 2 7" xfId="30217" xr:uid="{00000000-0005-0000-0000-0000AE1C0000}"/>
    <cellStyle name="Entrada 2 2 2 8" xfId="32982" xr:uid="{00000000-0005-0000-0000-0000AF1C0000}"/>
    <cellStyle name="Entrada 2 2 2 9" xfId="34589" xr:uid="{00000000-0005-0000-0000-0000B01C0000}"/>
    <cellStyle name="Entrada 2 2 3" xfId="11850" xr:uid="{00000000-0005-0000-0000-0000B11C0000}"/>
    <cellStyle name="Entrada 2 2 3 10" xfId="40712" xr:uid="{00000000-0005-0000-0000-0000B21C0000}"/>
    <cellStyle name="Entrada 2 2 3 2" xfId="13220" xr:uid="{00000000-0005-0000-0000-0000B31C0000}"/>
    <cellStyle name="Entrada 2 2 3 2 2" xfId="30224" xr:uid="{00000000-0005-0000-0000-0000B41C0000}"/>
    <cellStyle name="Entrada 2 2 3 3" xfId="13221" xr:uid="{00000000-0005-0000-0000-0000B51C0000}"/>
    <cellStyle name="Entrada 2 2 3 3 2" xfId="30225" xr:uid="{00000000-0005-0000-0000-0000B61C0000}"/>
    <cellStyle name="Entrada 2 2 3 4" xfId="13222" xr:uid="{00000000-0005-0000-0000-0000B71C0000}"/>
    <cellStyle name="Entrada 2 2 3 4 2" xfId="30226" xr:uid="{00000000-0005-0000-0000-0000B81C0000}"/>
    <cellStyle name="Entrada 2 2 3 5" xfId="13223" xr:uid="{00000000-0005-0000-0000-0000B91C0000}"/>
    <cellStyle name="Entrada 2 2 3 5 2" xfId="30227" xr:uid="{00000000-0005-0000-0000-0000BA1C0000}"/>
    <cellStyle name="Entrada 2 2 3 6" xfId="13224" xr:uid="{00000000-0005-0000-0000-0000BB1C0000}"/>
    <cellStyle name="Entrada 2 2 3 6 2" xfId="30228" xr:uid="{00000000-0005-0000-0000-0000BC1C0000}"/>
    <cellStyle name="Entrada 2 2 3 7" xfId="30223" xr:uid="{00000000-0005-0000-0000-0000BD1C0000}"/>
    <cellStyle name="Entrada 2 2 3 8" xfId="32983" xr:uid="{00000000-0005-0000-0000-0000BE1C0000}"/>
    <cellStyle name="Entrada 2 2 3 9" xfId="34590" xr:uid="{00000000-0005-0000-0000-0000BF1C0000}"/>
    <cellStyle name="Entrada 2 2 4" xfId="13225" xr:uid="{00000000-0005-0000-0000-0000C01C0000}"/>
    <cellStyle name="Entrada 2 2 4 2" xfId="13226" xr:uid="{00000000-0005-0000-0000-0000C11C0000}"/>
    <cellStyle name="Entrada 2 2 4 2 2" xfId="30230" xr:uid="{00000000-0005-0000-0000-0000C21C0000}"/>
    <cellStyle name="Entrada 2 2 4 3" xfId="13227" xr:uid="{00000000-0005-0000-0000-0000C31C0000}"/>
    <cellStyle name="Entrada 2 2 4 3 2" xfId="30231" xr:uid="{00000000-0005-0000-0000-0000C41C0000}"/>
    <cellStyle name="Entrada 2 2 4 4" xfId="13228" xr:uid="{00000000-0005-0000-0000-0000C51C0000}"/>
    <cellStyle name="Entrada 2 2 4 4 2" xfId="30232" xr:uid="{00000000-0005-0000-0000-0000C61C0000}"/>
    <cellStyle name="Entrada 2 2 4 5" xfId="13229" xr:uid="{00000000-0005-0000-0000-0000C71C0000}"/>
    <cellStyle name="Entrada 2 2 4 5 2" xfId="30233" xr:uid="{00000000-0005-0000-0000-0000C81C0000}"/>
    <cellStyle name="Entrada 2 2 4 6" xfId="30229" xr:uid="{00000000-0005-0000-0000-0000C91C0000}"/>
    <cellStyle name="Entrada 2 2 5" xfId="13230" xr:uid="{00000000-0005-0000-0000-0000CA1C0000}"/>
    <cellStyle name="Entrada 2 2 5 2" xfId="13231" xr:uid="{00000000-0005-0000-0000-0000CB1C0000}"/>
    <cellStyle name="Entrada 2 2 5 2 2" xfId="30235" xr:uid="{00000000-0005-0000-0000-0000CC1C0000}"/>
    <cellStyle name="Entrada 2 2 5 3" xfId="13232" xr:uid="{00000000-0005-0000-0000-0000CD1C0000}"/>
    <cellStyle name="Entrada 2 2 5 3 2" xfId="30236" xr:uid="{00000000-0005-0000-0000-0000CE1C0000}"/>
    <cellStyle name="Entrada 2 2 5 4" xfId="13233" xr:uid="{00000000-0005-0000-0000-0000CF1C0000}"/>
    <cellStyle name="Entrada 2 2 5 4 2" xfId="30237" xr:uid="{00000000-0005-0000-0000-0000D01C0000}"/>
    <cellStyle name="Entrada 2 2 5 5" xfId="13234" xr:uid="{00000000-0005-0000-0000-0000D11C0000}"/>
    <cellStyle name="Entrada 2 2 5 5 2" xfId="30238" xr:uid="{00000000-0005-0000-0000-0000D21C0000}"/>
    <cellStyle name="Entrada 2 2 5 6" xfId="30234" xr:uid="{00000000-0005-0000-0000-0000D31C0000}"/>
    <cellStyle name="Entrada 2 2 6" xfId="13235" xr:uid="{00000000-0005-0000-0000-0000D41C0000}"/>
    <cellStyle name="Entrada 2 2 6 2" xfId="13236" xr:uid="{00000000-0005-0000-0000-0000D51C0000}"/>
    <cellStyle name="Entrada 2 2 6 2 2" xfId="30240" xr:uid="{00000000-0005-0000-0000-0000D61C0000}"/>
    <cellStyle name="Entrada 2 2 6 3" xfId="13237" xr:uid="{00000000-0005-0000-0000-0000D71C0000}"/>
    <cellStyle name="Entrada 2 2 6 3 2" xfId="30241" xr:uid="{00000000-0005-0000-0000-0000D81C0000}"/>
    <cellStyle name="Entrada 2 2 6 4" xfId="13238" xr:uid="{00000000-0005-0000-0000-0000D91C0000}"/>
    <cellStyle name="Entrada 2 2 6 4 2" xfId="30242" xr:uid="{00000000-0005-0000-0000-0000DA1C0000}"/>
    <cellStyle name="Entrada 2 2 6 5" xfId="13239" xr:uid="{00000000-0005-0000-0000-0000DB1C0000}"/>
    <cellStyle name="Entrada 2 2 6 5 2" xfId="30243" xr:uid="{00000000-0005-0000-0000-0000DC1C0000}"/>
    <cellStyle name="Entrada 2 2 6 6" xfId="30239" xr:uid="{00000000-0005-0000-0000-0000DD1C0000}"/>
    <cellStyle name="Entrada 2 2 7" xfId="13240" xr:uid="{00000000-0005-0000-0000-0000DE1C0000}"/>
    <cellStyle name="Entrada 2 2 7 2" xfId="13241" xr:uid="{00000000-0005-0000-0000-0000DF1C0000}"/>
    <cellStyle name="Entrada 2 2 7 2 2" xfId="30245" xr:uid="{00000000-0005-0000-0000-0000E01C0000}"/>
    <cellStyle name="Entrada 2 2 7 3" xfId="13242" xr:uid="{00000000-0005-0000-0000-0000E11C0000}"/>
    <cellStyle name="Entrada 2 2 7 3 2" xfId="30246" xr:uid="{00000000-0005-0000-0000-0000E21C0000}"/>
    <cellStyle name="Entrada 2 2 7 4" xfId="13243" xr:uid="{00000000-0005-0000-0000-0000E31C0000}"/>
    <cellStyle name="Entrada 2 2 7 4 2" xfId="30247" xr:uid="{00000000-0005-0000-0000-0000E41C0000}"/>
    <cellStyle name="Entrada 2 2 7 5" xfId="13244" xr:uid="{00000000-0005-0000-0000-0000E51C0000}"/>
    <cellStyle name="Entrada 2 2 7 5 2" xfId="30248" xr:uid="{00000000-0005-0000-0000-0000E61C0000}"/>
    <cellStyle name="Entrada 2 2 7 6" xfId="30244" xr:uid="{00000000-0005-0000-0000-0000E71C0000}"/>
    <cellStyle name="Entrada 2 2 8" xfId="13245" xr:uid="{00000000-0005-0000-0000-0000E81C0000}"/>
    <cellStyle name="Entrada 2 2 8 2" xfId="13246" xr:uid="{00000000-0005-0000-0000-0000E91C0000}"/>
    <cellStyle name="Entrada 2 2 8 2 2" xfId="30250" xr:uid="{00000000-0005-0000-0000-0000EA1C0000}"/>
    <cellStyle name="Entrada 2 2 8 3" xfId="13247" xr:uid="{00000000-0005-0000-0000-0000EB1C0000}"/>
    <cellStyle name="Entrada 2 2 8 3 2" xfId="30251" xr:uid="{00000000-0005-0000-0000-0000EC1C0000}"/>
    <cellStyle name="Entrada 2 2 8 4" xfId="13248" xr:uid="{00000000-0005-0000-0000-0000ED1C0000}"/>
    <cellStyle name="Entrada 2 2 8 4 2" xfId="30252" xr:uid="{00000000-0005-0000-0000-0000EE1C0000}"/>
    <cellStyle name="Entrada 2 2 8 5" xfId="13249" xr:uid="{00000000-0005-0000-0000-0000EF1C0000}"/>
    <cellStyle name="Entrada 2 2 8 5 2" xfId="30253" xr:uid="{00000000-0005-0000-0000-0000F01C0000}"/>
    <cellStyle name="Entrada 2 2 8 6" xfId="13250" xr:uid="{00000000-0005-0000-0000-0000F11C0000}"/>
    <cellStyle name="Entrada 2 2 8 6 2" xfId="30254" xr:uid="{00000000-0005-0000-0000-0000F21C0000}"/>
    <cellStyle name="Entrada 2 2 8 7" xfId="30249" xr:uid="{00000000-0005-0000-0000-0000F31C0000}"/>
    <cellStyle name="Entrada 2 2 9" xfId="13251" xr:uid="{00000000-0005-0000-0000-0000F41C0000}"/>
    <cellStyle name="Entrada 2 2 9 2" xfId="13252" xr:uid="{00000000-0005-0000-0000-0000F51C0000}"/>
    <cellStyle name="Entrada 2 2 9 2 2" xfId="30256" xr:uid="{00000000-0005-0000-0000-0000F61C0000}"/>
    <cellStyle name="Entrada 2 2 9 3" xfId="30255" xr:uid="{00000000-0005-0000-0000-0000F71C0000}"/>
    <cellStyle name="Entrada 2 3" xfId="11851" xr:uid="{00000000-0005-0000-0000-0000F81C0000}"/>
    <cellStyle name="Entrada 2 3 10" xfId="40713" xr:uid="{00000000-0005-0000-0000-0000F91C0000}"/>
    <cellStyle name="Entrada 2 3 2" xfId="13253" xr:uid="{00000000-0005-0000-0000-0000FA1C0000}"/>
    <cellStyle name="Entrada 2 3 2 2" xfId="30258" xr:uid="{00000000-0005-0000-0000-0000FB1C0000}"/>
    <cellStyle name="Entrada 2 3 3" xfId="13254" xr:uid="{00000000-0005-0000-0000-0000FC1C0000}"/>
    <cellStyle name="Entrada 2 3 3 2" xfId="30259" xr:uid="{00000000-0005-0000-0000-0000FD1C0000}"/>
    <cellStyle name="Entrada 2 3 4" xfId="13255" xr:uid="{00000000-0005-0000-0000-0000FE1C0000}"/>
    <cellStyle name="Entrada 2 3 4 2" xfId="30260" xr:uid="{00000000-0005-0000-0000-0000FF1C0000}"/>
    <cellStyle name="Entrada 2 3 5" xfId="13256" xr:uid="{00000000-0005-0000-0000-0000001D0000}"/>
    <cellStyle name="Entrada 2 3 5 2" xfId="30261" xr:uid="{00000000-0005-0000-0000-0000011D0000}"/>
    <cellStyle name="Entrada 2 3 6" xfId="13257" xr:uid="{00000000-0005-0000-0000-0000021D0000}"/>
    <cellStyle name="Entrada 2 3 6 2" xfId="30262" xr:uid="{00000000-0005-0000-0000-0000031D0000}"/>
    <cellStyle name="Entrada 2 3 7" xfId="30257" xr:uid="{00000000-0005-0000-0000-0000041D0000}"/>
    <cellStyle name="Entrada 2 3 8" xfId="32984" xr:uid="{00000000-0005-0000-0000-0000051D0000}"/>
    <cellStyle name="Entrada 2 3 9" xfId="34591" xr:uid="{00000000-0005-0000-0000-0000061D0000}"/>
    <cellStyle name="Entrada 2 4" xfId="11852" xr:uid="{00000000-0005-0000-0000-0000071D0000}"/>
    <cellStyle name="Entrada 2 4 10" xfId="40714" xr:uid="{00000000-0005-0000-0000-0000081D0000}"/>
    <cellStyle name="Entrada 2 4 2" xfId="13258" xr:uid="{00000000-0005-0000-0000-0000091D0000}"/>
    <cellStyle name="Entrada 2 4 2 2" xfId="30264" xr:uid="{00000000-0005-0000-0000-00000A1D0000}"/>
    <cellStyle name="Entrada 2 4 3" xfId="13259" xr:uid="{00000000-0005-0000-0000-00000B1D0000}"/>
    <cellStyle name="Entrada 2 4 3 2" xfId="30265" xr:uid="{00000000-0005-0000-0000-00000C1D0000}"/>
    <cellStyle name="Entrada 2 4 4" xfId="13260" xr:uid="{00000000-0005-0000-0000-00000D1D0000}"/>
    <cellStyle name="Entrada 2 4 4 2" xfId="30266" xr:uid="{00000000-0005-0000-0000-00000E1D0000}"/>
    <cellStyle name="Entrada 2 4 5" xfId="13261" xr:uid="{00000000-0005-0000-0000-00000F1D0000}"/>
    <cellStyle name="Entrada 2 4 5 2" xfId="30267" xr:uid="{00000000-0005-0000-0000-0000101D0000}"/>
    <cellStyle name="Entrada 2 4 6" xfId="13262" xr:uid="{00000000-0005-0000-0000-0000111D0000}"/>
    <cellStyle name="Entrada 2 4 6 2" xfId="30268" xr:uid="{00000000-0005-0000-0000-0000121D0000}"/>
    <cellStyle name="Entrada 2 4 7" xfId="30263" xr:uid="{00000000-0005-0000-0000-0000131D0000}"/>
    <cellStyle name="Entrada 2 4 8" xfId="32985" xr:uid="{00000000-0005-0000-0000-0000141D0000}"/>
    <cellStyle name="Entrada 2 4 9" xfId="34592" xr:uid="{00000000-0005-0000-0000-0000151D0000}"/>
    <cellStyle name="Entrada 2 5" xfId="13263" xr:uid="{00000000-0005-0000-0000-0000161D0000}"/>
    <cellStyle name="Entrada 2 5 2" xfId="13264" xr:uid="{00000000-0005-0000-0000-0000171D0000}"/>
    <cellStyle name="Entrada 2 5 2 2" xfId="30270" xr:uid="{00000000-0005-0000-0000-0000181D0000}"/>
    <cellStyle name="Entrada 2 5 3" xfId="13265" xr:uid="{00000000-0005-0000-0000-0000191D0000}"/>
    <cellStyle name="Entrada 2 5 3 2" xfId="30271" xr:uid="{00000000-0005-0000-0000-00001A1D0000}"/>
    <cellStyle name="Entrada 2 5 4" xfId="13266" xr:uid="{00000000-0005-0000-0000-00001B1D0000}"/>
    <cellStyle name="Entrada 2 5 4 2" xfId="30272" xr:uid="{00000000-0005-0000-0000-00001C1D0000}"/>
    <cellStyle name="Entrada 2 5 5" xfId="13267" xr:uid="{00000000-0005-0000-0000-00001D1D0000}"/>
    <cellStyle name="Entrada 2 5 5 2" xfId="30273" xr:uid="{00000000-0005-0000-0000-00001E1D0000}"/>
    <cellStyle name="Entrada 2 5 6" xfId="30269" xr:uid="{00000000-0005-0000-0000-00001F1D0000}"/>
    <cellStyle name="Entrada 2 6" xfId="13268" xr:uid="{00000000-0005-0000-0000-0000201D0000}"/>
    <cellStyle name="Entrada 2 6 2" xfId="13269" xr:uid="{00000000-0005-0000-0000-0000211D0000}"/>
    <cellStyle name="Entrada 2 6 2 2" xfId="30275" xr:uid="{00000000-0005-0000-0000-0000221D0000}"/>
    <cellStyle name="Entrada 2 6 3" xfId="13270" xr:uid="{00000000-0005-0000-0000-0000231D0000}"/>
    <cellStyle name="Entrada 2 6 3 2" xfId="30276" xr:uid="{00000000-0005-0000-0000-0000241D0000}"/>
    <cellStyle name="Entrada 2 6 4" xfId="13271" xr:uid="{00000000-0005-0000-0000-0000251D0000}"/>
    <cellStyle name="Entrada 2 6 4 2" xfId="30277" xr:uid="{00000000-0005-0000-0000-0000261D0000}"/>
    <cellStyle name="Entrada 2 6 5" xfId="13272" xr:uid="{00000000-0005-0000-0000-0000271D0000}"/>
    <cellStyle name="Entrada 2 6 5 2" xfId="30278" xr:uid="{00000000-0005-0000-0000-0000281D0000}"/>
    <cellStyle name="Entrada 2 6 6" xfId="30274" xr:uid="{00000000-0005-0000-0000-0000291D0000}"/>
    <cellStyle name="Entrada 2 7" xfId="13273" xr:uid="{00000000-0005-0000-0000-00002A1D0000}"/>
    <cellStyle name="Entrada 2 7 2" xfId="13274" xr:uid="{00000000-0005-0000-0000-00002B1D0000}"/>
    <cellStyle name="Entrada 2 7 2 2" xfId="30280" xr:uid="{00000000-0005-0000-0000-00002C1D0000}"/>
    <cellStyle name="Entrada 2 7 3" xfId="13275" xr:uid="{00000000-0005-0000-0000-00002D1D0000}"/>
    <cellStyle name="Entrada 2 7 3 2" xfId="30281" xr:uid="{00000000-0005-0000-0000-00002E1D0000}"/>
    <cellStyle name="Entrada 2 7 4" xfId="13276" xr:uid="{00000000-0005-0000-0000-00002F1D0000}"/>
    <cellStyle name="Entrada 2 7 4 2" xfId="30282" xr:uid="{00000000-0005-0000-0000-0000301D0000}"/>
    <cellStyle name="Entrada 2 7 5" xfId="13277" xr:uid="{00000000-0005-0000-0000-0000311D0000}"/>
    <cellStyle name="Entrada 2 7 5 2" xfId="30283" xr:uid="{00000000-0005-0000-0000-0000321D0000}"/>
    <cellStyle name="Entrada 2 7 6" xfId="30279" xr:uid="{00000000-0005-0000-0000-0000331D0000}"/>
    <cellStyle name="Entrada 2 8" xfId="13278" xr:uid="{00000000-0005-0000-0000-0000341D0000}"/>
    <cellStyle name="Entrada 2 8 2" xfId="13279" xr:uid="{00000000-0005-0000-0000-0000351D0000}"/>
    <cellStyle name="Entrada 2 8 2 2" xfId="30285" xr:uid="{00000000-0005-0000-0000-0000361D0000}"/>
    <cellStyle name="Entrada 2 8 3" xfId="13280" xr:uid="{00000000-0005-0000-0000-0000371D0000}"/>
    <cellStyle name="Entrada 2 8 3 2" xfId="30286" xr:uid="{00000000-0005-0000-0000-0000381D0000}"/>
    <cellStyle name="Entrada 2 8 4" xfId="13281" xr:uid="{00000000-0005-0000-0000-0000391D0000}"/>
    <cellStyle name="Entrada 2 8 4 2" xfId="30287" xr:uid="{00000000-0005-0000-0000-00003A1D0000}"/>
    <cellStyle name="Entrada 2 8 5" xfId="13282" xr:uid="{00000000-0005-0000-0000-00003B1D0000}"/>
    <cellStyle name="Entrada 2 8 5 2" xfId="30288" xr:uid="{00000000-0005-0000-0000-00003C1D0000}"/>
    <cellStyle name="Entrada 2 8 6" xfId="30284" xr:uid="{00000000-0005-0000-0000-00003D1D0000}"/>
    <cellStyle name="Entrada 2 9" xfId="13283" xr:uid="{00000000-0005-0000-0000-00003E1D0000}"/>
    <cellStyle name="Entrada 2 9 2" xfId="13284" xr:uid="{00000000-0005-0000-0000-00003F1D0000}"/>
    <cellStyle name="Entrada 2 9 2 2" xfId="30290" xr:uid="{00000000-0005-0000-0000-0000401D0000}"/>
    <cellStyle name="Entrada 2 9 3" xfId="13285" xr:uid="{00000000-0005-0000-0000-0000411D0000}"/>
    <cellStyle name="Entrada 2 9 3 2" xfId="30291" xr:uid="{00000000-0005-0000-0000-0000421D0000}"/>
    <cellStyle name="Entrada 2 9 4" xfId="13286" xr:uid="{00000000-0005-0000-0000-0000431D0000}"/>
    <cellStyle name="Entrada 2 9 4 2" xfId="30292" xr:uid="{00000000-0005-0000-0000-0000441D0000}"/>
    <cellStyle name="Entrada 2 9 5" xfId="13287" xr:uid="{00000000-0005-0000-0000-0000451D0000}"/>
    <cellStyle name="Entrada 2 9 5 2" xfId="30293" xr:uid="{00000000-0005-0000-0000-0000461D0000}"/>
    <cellStyle name="Entrada 2 9 6" xfId="13288" xr:uid="{00000000-0005-0000-0000-0000471D0000}"/>
    <cellStyle name="Entrada 2 9 6 2" xfId="30294" xr:uid="{00000000-0005-0000-0000-0000481D0000}"/>
    <cellStyle name="Entrada 2 9 7" xfId="30289" xr:uid="{00000000-0005-0000-0000-0000491D0000}"/>
    <cellStyle name="Entrada 20" xfId="3834" xr:uid="{00000000-0005-0000-0000-00004A1D0000}"/>
    <cellStyle name="Entrada 20 2" xfId="11572" xr:uid="{00000000-0005-0000-0000-00004B1D0000}"/>
    <cellStyle name="Entrada 20 2 2" xfId="11853" xr:uid="{00000000-0005-0000-0000-00004C1D0000}"/>
    <cellStyle name="Entrada 20 2 2 2" xfId="30297" xr:uid="{00000000-0005-0000-0000-00004D1D0000}"/>
    <cellStyle name="Entrada 20 2 2 3" xfId="32988" xr:uid="{00000000-0005-0000-0000-00004E1D0000}"/>
    <cellStyle name="Entrada 20 2 2 4" xfId="34595" xr:uid="{00000000-0005-0000-0000-00004F1D0000}"/>
    <cellStyle name="Entrada 20 2 2 5" xfId="40717" xr:uid="{00000000-0005-0000-0000-0000501D0000}"/>
    <cellStyle name="Entrada 20 2 3" xfId="11854" xr:uid="{00000000-0005-0000-0000-0000511D0000}"/>
    <cellStyle name="Entrada 20 2 3 2" xfId="30298" xr:uid="{00000000-0005-0000-0000-0000521D0000}"/>
    <cellStyle name="Entrada 20 2 3 3" xfId="32989" xr:uid="{00000000-0005-0000-0000-0000531D0000}"/>
    <cellStyle name="Entrada 20 2 3 4" xfId="34596" xr:uid="{00000000-0005-0000-0000-0000541D0000}"/>
    <cellStyle name="Entrada 20 2 3 5" xfId="40718" xr:uid="{00000000-0005-0000-0000-0000551D0000}"/>
    <cellStyle name="Entrada 20 2 4" xfId="30296" xr:uid="{00000000-0005-0000-0000-0000561D0000}"/>
    <cellStyle name="Entrada 20 2 5" xfId="32987" xr:uid="{00000000-0005-0000-0000-0000571D0000}"/>
    <cellStyle name="Entrada 20 2 6" xfId="34594" xr:uid="{00000000-0005-0000-0000-0000581D0000}"/>
    <cellStyle name="Entrada 20 2 7" xfId="40716" xr:uid="{00000000-0005-0000-0000-0000591D0000}"/>
    <cellStyle name="Entrada 20 3" xfId="11855" xr:uid="{00000000-0005-0000-0000-00005A1D0000}"/>
    <cellStyle name="Entrada 20 3 2" xfId="30299" xr:uid="{00000000-0005-0000-0000-00005B1D0000}"/>
    <cellStyle name="Entrada 20 3 3" xfId="32990" xr:uid="{00000000-0005-0000-0000-00005C1D0000}"/>
    <cellStyle name="Entrada 20 3 4" xfId="34597" xr:uid="{00000000-0005-0000-0000-00005D1D0000}"/>
    <cellStyle name="Entrada 20 3 5" xfId="40719" xr:uid="{00000000-0005-0000-0000-00005E1D0000}"/>
    <cellStyle name="Entrada 20 4" xfId="11856" xr:uid="{00000000-0005-0000-0000-00005F1D0000}"/>
    <cellStyle name="Entrada 20 4 2" xfId="30300" xr:uid="{00000000-0005-0000-0000-0000601D0000}"/>
    <cellStyle name="Entrada 20 4 3" xfId="32991" xr:uid="{00000000-0005-0000-0000-0000611D0000}"/>
    <cellStyle name="Entrada 20 4 4" xfId="34598" xr:uid="{00000000-0005-0000-0000-0000621D0000}"/>
    <cellStyle name="Entrada 20 4 5" xfId="40720" xr:uid="{00000000-0005-0000-0000-0000631D0000}"/>
    <cellStyle name="Entrada 20 5" xfId="30295" xr:uid="{00000000-0005-0000-0000-0000641D0000}"/>
    <cellStyle name="Entrada 20 6" xfId="32986" xr:uid="{00000000-0005-0000-0000-0000651D0000}"/>
    <cellStyle name="Entrada 20 7" xfId="34593" xr:uid="{00000000-0005-0000-0000-0000661D0000}"/>
    <cellStyle name="Entrada 20 8" xfId="40715" xr:uid="{00000000-0005-0000-0000-0000671D0000}"/>
    <cellStyle name="Entrada 21" xfId="3835" xr:uid="{00000000-0005-0000-0000-0000681D0000}"/>
    <cellStyle name="Entrada 21 2" xfId="11573" xr:uid="{00000000-0005-0000-0000-0000691D0000}"/>
    <cellStyle name="Entrada 21 2 2" xfId="11857" xr:uid="{00000000-0005-0000-0000-00006A1D0000}"/>
    <cellStyle name="Entrada 21 2 2 2" xfId="30303" xr:uid="{00000000-0005-0000-0000-00006B1D0000}"/>
    <cellStyle name="Entrada 21 2 2 3" xfId="32994" xr:uid="{00000000-0005-0000-0000-00006C1D0000}"/>
    <cellStyle name="Entrada 21 2 2 4" xfId="34601" xr:uid="{00000000-0005-0000-0000-00006D1D0000}"/>
    <cellStyle name="Entrada 21 2 2 5" xfId="40723" xr:uid="{00000000-0005-0000-0000-00006E1D0000}"/>
    <cellStyle name="Entrada 21 2 3" xfId="11858" xr:uid="{00000000-0005-0000-0000-00006F1D0000}"/>
    <cellStyle name="Entrada 21 2 3 2" xfId="30304" xr:uid="{00000000-0005-0000-0000-0000701D0000}"/>
    <cellStyle name="Entrada 21 2 3 3" xfId="32995" xr:uid="{00000000-0005-0000-0000-0000711D0000}"/>
    <cellStyle name="Entrada 21 2 3 4" xfId="34602" xr:uid="{00000000-0005-0000-0000-0000721D0000}"/>
    <cellStyle name="Entrada 21 2 3 5" xfId="40724" xr:uid="{00000000-0005-0000-0000-0000731D0000}"/>
    <cellStyle name="Entrada 21 2 4" xfId="30302" xr:uid="{00000000-0005-0000-0000-0000741D0000}"/>
    <cellStyle name="Entrada 21 2 5" xfId="32993" xr:uid="{00000000-0005-0000-0000-0000751D0000}"/>
    <cellStyle name="Entrada 21 2 6" xfId="34600" xr:uid="{00000000-0005-0000-0000-0000761D0000}"/>
    <cellStyle name="Entrada 21 2 7" xfId="40722" xr:uid="{00000000-0005-0000-0000-0000771D0000}"/>
    <cellStyle name="Entrada 21 3" xfId="11859" xr:uid="{00000000-0005-0000-0000-0000781D0000}"/>
    <cellStyle name="Entrada 21 3 2" xfId="30305" xr:uid="{00000000-0005-0000-0000-0000791D0000}"/>
    <cellStyle name="Entrada 21 3 3" xfId="32996" xr:uid="{00000000-0005-0000-0000-00007A1D0000}"/>
    <cellStyle name="Entrada 21 3 4" xfId="34603" xr:uid="{00000000-0005-0000-0000-00007B1D0000}"/>
    <cellStyle name="Entrada 21 3 5" xfId="40725" xr:uid="{00000000-0005-0000-0000-00007C1D0000}"/>
    <cellStyle name="Entrada 21 4" xfId="11860" xr:uid="{00000000-0005-0000-0000-00007D1D0000}"/>
    <cellStyle name="Entrada 21 4 2" xfId="30306" xr:uid="{00000000-0005-0000-0000-00007E1D0000}"/>
    <cellStyle name="Entrada 21 4 3" xfId="32997" xr:uid="{00000000-0005-0000-0000-00007F1D0000}"/>
    <cellStyle name="Entrada 21 4 4" xfId="34604" xr:uid="{00000000-0005-0000-0000-0000801D0000}"/>
    <cellStyle name="Entrada 21 4 5" xfId="40726" xr:uid="{00000000-0005-0000-0000-0000811D0000}"/>
    <cellStyle name="Entrada 21 5" xfId="30301" xr:uid="{00000000-0005-0000-0000-0000821D0000}"/>
    <cellStyle name="Entrada 21 6" xfId="32992" xr:uid="{00000000-0005-0000-0000-0000831D0000}"/>
    <cellStyle name="Entrada 21 7" xfId="34599" xr:uid="{00000000-0005-0000-0000-0000841D0000}"/>
    <cellStyle name="Entrada 21 8" xfId="40721" xr:uid="{00000000-0005-0000-0000-0000851D0000}"/>
    <cellStyle name="Entrada 22" xfId="3836" xr:uid="{00000000-0005-0000-0000-0000861D0000}"/>
    <cellStyle name="Entrada 22 2" xfId="11574" xr:uid="{00000000-0005-0000-0000-0000871D0000}"/>
    <cellStyle name="Entrada 22 2 2" xfId="11861" xr:uid="{00000000-0005-0000-0000-0000881D0000}"/>
    <cellStyle name="Entrada 22 2 2 2" xfId="30309" xr:uid="{00000000-0005-0000-0000-0000891D0000}"/>
    <cellStyle name="Entrada 22 2 2 3" xfId="33000" xr:uid="{00000000-0005-0000-0000-00008A1D0000}"/>
    <cellStyle name="Entrada 22 2 2 4" xfId="34607" xr:uid="{00000000-0005-0000-0000-00008B1D0000}"/>
    <cellStyle name="Entrada 22 2 2 5" xfId="40729" xr:uid="{00000000-0005-0000-0000-00008C1D0000}"/>
    <cellStyle name="Entrada 22 2 3" xfId="11862" xr:uid="{00000000-0005-0000-0000-00008D1D0000}"/>
    <cellStyle name="Entrada 22 2 3 2" xfId="30310" xr:uid="{00000000-0005-0000-0000-00008E1D0000}"/>
    <cellStyle name="Entrada 22 2 3 3" xfId="33001" xr:uid="{00000000-0005-0000-0000-00008F1D0000}"/>
    <cellStyle name="Entrada 22 2 3 4" xfId="34608" xr:uid="{00000000-0005-0000-0000-0000901D0000}"/>
    <cellStyle name="Entrada 22 2 3 5" xfId="40730" xr:uid="{00000000-0005-0000-0000-0000911D0000}"/>
    <cellStyle name="Entrada 22 2 4" xfId="30308" xr:uid="{00000000-0005-0000-0000-0000921D0000}"/>
    <cellStyle name="Entrada 22 2 5" xfId="32999" xr:uid="{00000000-0005-0000-0000-0000931D0000}"/>
    <cellStyle name="Entrada 22 2 6" xfId="34606" xr:uid="{00000000-0005-0000-0000-0000941D0000}"/>
    <cellStyle name="Entrada 22 2 7" xfId="40728" xr:uid="{00000000-0005-0000-0000-0000951D0000}"/>
    <cellStyle name="Entrada 22 3" xfId="11863" xr:uid="{00000000-0005-0000-0000-0000961D0000}"/>
    <cellStyle name="Entrada 22 3 2" xfId="30311" xr:uid="{00000000-0005-0000-0000-0000971D0000}"/>
    <cellStyle name="Entrada 22 3 3" xfId="33002" xr:uid="{00000000-0005-0000-0000-0000981D0000}"/>
    <cellStyle name="Entrada 22 3 4" xfId="34609" xr:uid="{00000000-0005-0000-0000-0000991D0000}"/>
    <cellStyle name="Entrada 22 3 5" xfId="40731" xr:uid="{00000000-0005-0000-0000-00009A1D0000}"/>
    <cellStyle name="Entrada 22 4" xfId="11864" xr:uid="{00000000-0005-0000-0000-00009B1D0000}"/>
    <cellStyle name="Entrada 22 4 2" xfId="30312" xr:uid="{00000000-0005-0000-0000-00009C1D0000}"/>
    <cellStyle name="Entrada 22 4 3" xfId="33003" xr:uid="{00000000-0005-0000-0000-00009D1D0000}"/>
    <cellStyle name="Entrada 22 4 4" xfId="34610" xr:uid="{00000000-0005-0000-0000-00009E1D0000}"/>
    <cellStyle name="Entrada 22 4 5" xfId="40732" xr:uid="{00000000-0005-0000-0000-00009F1D0000}"/>
    <cellStyle name="Entrada 22 5" xfId="30307" xr:uid="{00000000-0005-0000-0000-0000A01D0000}"/>
    <cellStyle name="Entrada 22 6" xfId="32998" xr:uid="{00000000-0005-0000-0000-0000A11D0000}"/>
    <cellStyle name="Entrada 22 7" xfId="34605" xr:uid="{00000000-0005-0000-0000-0000A21D0000}"/>
    <cellStyle name="Entrada 22 8" xfId="40727" xr:uid="{00000000-0005-0000-0000-0000A31D0000}"/>
    <cellStyle name="Entrada 23" xfId="3837" xr:uid="{00000000-0005-0000-0000-0000A41D0000}"/>
    <cellStyle name="Entrada 23 2" xfId="11575" xr:uid="{00000000-0005-0000-0000-0000A51D0000}"/>
    <cellStyle name="Entrada 23 2 2" xfId="11865" xr:uid="{00000000-0005-0000-0000-0000A61D0000}"/>
    <cellStyle name="Entrada 23 2 2 2" xfId="30315" xr:uid="{00000000-0005-0000-0000-0000A71D0000}"/>
    <cellStyle name="Entrada 23 2 2 3" xfId="33006" xr:uid="{00000000-0005-0000-0000-0000A81D0000}"/>
    <cellStyle name="Entrada 23 2 2 4" xfId="34613" xr:uid="{00000000-0005-0000-0000-0000A91D0000}"/>
    <cellStyle name="Entrada 23 2 2 5" xfId="40735" xr:uid="{00000000-0005-0000-0000-0000AA1D0000}"/>
    <cellStyle name="Entrada 23 2 3" xfId="11866" xr:uid="{00000000-0005-0000-0000-0000AB1D0000}"/>
    <cellStyle name="Entrada 23 2 3 2" xfId="30316" xr:uid="{00000000-0005-0000-0000-0000AC1D0000}"/>
    <cellStyle name="Entrada 23 2 3 3" xfId="33007" xr:uid="{00000000-0005-0000-0000-0000AD1D0000}"/>
    <cellStyle name="Entrada 23 2 3 4" xfId="34614" xr:uid="{00000000-0005-0000-0000-0000AE1D0000}"/>
    <cellStyle name="Entrada 23 2 3 5" xfId="40736" xr:uid="{00000000-0005-0000-0000-0000AF1D0000}"/>
    <cellStyle name="Entrada 23 2 4" xfId="30314" xr:uid="{00000000-0005-0000-0000-0000B01D0000}"/>
    <cellStyle name="Entrada 23 2 5" xfId="33005" xr:uid="{00000000-0005-0000-0000-0000B11D0000}"/>
    <cellStyle name="Entrada 23 2 6" xfId="34612" xr:uid="{00000000-0005-0000-0000-0000B21D0000}"/>
    <cellStyle name="Entrada 23 2 7" xfId="40734" xr:uid="{00000000-0005-0000-0000-0000B31D0000}"/>
    <cellStyle name="Entrada 23 3" xfId="11867" xr:uid="{00000000-0005-0000-0000-0000B41D0000}"/>
    <cellStyle name="Entrada 23 3 2" xfId="30317" xr:uid="{00000000-0005-0000-0000-0000B51D0000}"/>
    <cellStyle name="Entrada 23 3 3" xfId="33008" xr:uid="{00000000-0005-0000-0000-0000B61D0000}"/>
    <cellStyle name="Entrada 23 3 4" xfId="34615" xr:uid="{00000000-0005-0000-0000-0000B71D0000}"/>
    <cellStyle name="Entrada 23 3 5" xfId="40737" xr:uid="{00000000-0005-0000-0000-0000B81D0000}"/>
    <cellStyle name="Entrada 23 4" xfId="11868" xr:uid="{00000000-0005-0000-0000-0000B91D0000}"/>
    <cellStyle name="Entrada 23 4 2" xfId="30318" xr:uid="{00000000-0005-0000-0000-0000BA1D0000}"/>
    <cellStyle name="Entrada 23 4 3" xfId="33009" xr:uid="{00000000-0005-0000-0000-0000BB1D0000}"/>
    <cellStyle name="Entrada 23 4 4" xfId="34616" xr:uid="{00000000-0005-0000-0000-0000BC1D0000}"/>
    <cellStyle name="Entrada 23 4 5" xfId="40738" xr:uid="{00000000-0005-0000-0000-0000BD1D0000}"/>
    <cellStyle name="Entrada 23 5" xfId="30313" xr:uid="{00000000-0005-0000-0000-0000BE1D0000}"/>
    <cellStyle name="Entrada 23 6" xfId="33004" xr:uid="{00000000-0005-0000-0000-0000BF1D0000}"/>
    <cellStyle name="Entrada 23 7" xfId="34611" xr:uid="{00000000-0005-0000-0000-0000C01D0000}"/>
    <cellStyle name="Entrada 23 8" xfId="40733" xr:uid="{00000000-0005-0000-0000-0000C11D0000}"/>
    <cellStyle name="Entrada 24" xfId="3838" xr:uid="{00000000-0005-0000-0000-0000C21D0000}"/>
    <cellStyle name="Entrada 24 2" xfId="11576" xr:uid="{00000000-0005-0000-0000-0000C31D0000}"/>
    <cellStyle name="Entrada 24 2 2" xfId="11869" xr:uid="{00000000-0005-0000-0000-0000C41D0000}"/>
    <cellStyle name="Entrada 24 2 2 2" xfId="30321" xr:uid="{00000000-0005-0000-0000-0000C51D0000}"/>
    <cellStyle name="Entrada 24 2 2 3" xfId="33012" xr:uid="{00000000-0005-0000-0000-0000C61D0000}"/>
    <cellStyle name="Entrada 24 2 2 4" xfId="34619" xr:uid="{00000000-0005-0000-0000-0000C71D0000}"/>
    <cellStyle name="Entrada 24 2 2 5" xfId="40741" xr:uid="{00000000-0005-0000-0000-0000C81D0000}"/>
    <cellStyle name="Entrada 24 2 3" xfId="11870" xr:uid="{00000000-0005-0000-0000-0000C91D0000}"/>
    <cellStyle name="Entrada 24 2 3 2" xfId="30322" xr:uid="{00000000-0005-0000-0000-0000CA1D0000}"/>
    <cellStyle name="Entrada 24 2 3 3" xfId="33013" xr:uid="{00000000-0005-0000-0000-0000CB1D0000}"/>
    <cellStyle name="Entrada 24 2 3 4" xfId="34620" xr:uid="{00000000-0005-0000-0000-0000CC1D0000}"/>
    <cellStyle name="Entrada 24 2 3 5" xfId="40742" xr:uid="{00000000-0005-0000-0000-0000CD1D0000}"/>
    <cellStyle name="Entrada 24 2 4" xfId="30320" xr:uid="{00000000-0005-0000-0000-0000CE1D0000}"/>
    <cellStyle name="Entrada 24 2 5" xfId="33011" xr:uid="{00000000-0005-0000-0000-0000CF1D0000}"/>
    <cellStyle name="Entrada 24 2 6" xfId="34618" xr:uid="{00000000-0005-0000-0000-0000D01D0000}"/>
    <cellStyle name="Entrada 24 2 7" xfId="40740" xr:uid="{00000000-0005-0000-0000-0000D11D0000}"/>
    <cellStyle name="Entrada 24 3" xfId="11871" xr:uid="{00000000-0005-0000-0000-0000D21D0000}"/>
    <cellStyle name="Entrada 24 3 2" xfId="30323" xr:uid="{00000000-0005-0000-0000-0000D31D0000}"/>
    <cellStyle name="Entrada 24 3 3" xfId="33014" xr:uid="{00000000-0005-0000-0000-0000D41D0000}"/>
    <cellStyle name="Entrada 24 3 4" xfId="34621" xr:uid="{00000000-0005-0000-0000-0000D51D0000}"/>
    <cellStyle name="Entrada 24 3 5" xfId="40743" xr:uid="{00000000-0005-0000-0000-0000D61D0000}"/>
    <cellStyle name="Entrada 24 4" xfId="11872" xr:uid="{00000000-0005-0000-0000-0000D71D0000}"/>
    <cellStyle name="Entrada 24 4 2" xfId="30324" xr:uid="{00000000-0005-0000-0000-0000D81D0000}"/>
    <cellStyle name="Entrada 24 4 3" xfId="33015" xr:uid="{00000000-0005-0000-0000-0000D91D0000}"/>
    <cellStyle name="Entrada 24 4 4" xfId="34622" xr:uid="{00000000-0005-0000-0000-0000DA1D0000}"/>
    <cellStyle name="Entrada 24 4 5" xfId="40744" xr:uid="{00000000-0005-0000-0000-0000DB1D0000}"/>
    <cellStyle name="Entrada 24 5" xfId="30319" xr:uid="{00000000-0005-0000-0000-0000DC1D0000}"/>
    <cellStyle name="Entrada 24 6" xfId="33010" xr:uid="{00000000-0005-0000-0000-0000DD1D0000}"/>
    <cellStyle name="Entrada 24 7" xfId="34617" xr:uid="{00000000-0005-0000-0000-0000DE1D0000}"/>
    <cellStyle name="Entrada 24 8" xfId="40739" xr:uid="{00000000-0005-0000-0000-0000DF1D0000}"/>
    <cellStyle name="Entrada 25" xfId="3839" xr:uid="{00000000-0005-0000-0000-0000E01D0000}"/>
    <cellStyle name="Entrada 25 2" xfId="11577" xr:uid="{00000000-0005-0000-0000-0000E11D0000}"/>
    <cellStyle name="Entrada 25 2 2" xfId="11873" xr:uid="{00000000-0005-0000-0000-0000E21D0000}"/>
    <cellStyle name="Entrada 25 2 2 2" xfId="30327" xr:uid="{00000000-0005-0000-0000-0000E31D0000}"/>
    <cellStyle name="Entrada 25 2 2 3" xfId="33018" xr:uid="{00000000-0005-0000-0000-0000E41D0000}"/>
    <cellStyle name="Entrada 25 2 2 4" xfId="34625" xr:uid="{00000000-0005-0000-0000-0000E51D0000}"/>
    <cellStyle name="Entrada 25 2 2 5" xfId="40747" xr:uid="{00000000-0005-0000-0000-0000E61D0000}"/>
    <cellStyle name="Entrada 25 2 3" xfId="11874" xr:uid="{00000000-0005-0000-0000-0000E71D0000}"/>
    <cellStyle name="Entrada 25 2 3 2" xfId="30328" xr:uid="{00000000-0005-0000-0000-0000E81D0000}"/>
    <cellStyle name="Entrada 25 2 3 3" xfId="33019" xr:uid="{00000000-0005-0000-0000-0000E91D0000}"/>
    <cellStyle name="Entrada 25 2 3 4" xfId="34626" xr:uid="{00000000-0005-0000-0000-0000EA1D0000}"/>
    <cellStyle name="Entrada 25 2 3 5" xfId="40748" xr:uid="{00000000-0005-0000-0000-0000EB1D0000}"/>
    <cellStyle name="Entrada 25 2 4" xfId="30326" xr:uid="{00000000-0005-0000-0000-0000EC1D0000}"/>
    <cellStyle name="Entrada 25 2 5" xfId="33017" xr:uid="{00000000-0005-0000-0000-0000ED1D0000}"/>
    <cellStyle name="Entrada 25 2 6" xfId="34624" xr:uid="{00000000-0005-0000-0000-0000EE1D0000}"/>
    <cellStyle name="Entrada 25 2 7" xfId="40746" xr:uid="{00000000-0005-0000-0000-0000EF1D0000}"/>
    <cellStyle name="Entrada 25 3" xfId="11875" xr:uid="{00000000-0005-0000-0000-0000F01D0000}"/>
    <cellStyle name="Entrada 25 3 2" xfId="30329" xr:uid="{00000000-0005-0000-0000-0000F11D0000}"/>
    <cellStyle name="Entrada 25 3 3" xfId="33020" xr:uid="{00000000-0005-0000-0000-0000F21D0000}"/>
    <cellStyle name="Entrada 25 3 4" xfId="34627" xr:uid="{00000000-0005-0000-0000-0000F31D0000}"/>
    <cellStyle name="Entrada 25 3 5" xfId="40749" xr:uid="{00000000-0005-0000-0000-0000F41D0000}"/>
    <cellStyle name="Entrada 25 4" xfId="11876" xr:uid="{00000000-0005-0000-0000-0000F51D0000}"/>
    <cellStyle name="Entrada 25 4 2" xfId="30330" xr:uid="{00000000-0005-0000-0000-0000F61D0000}"/>
    <cellStyle name="Entrada 25 4 3" xfId="33021" xr:uid="{00000000-0005-0000-0000-0000F71D0000}"/>
    <cellStyle name="Entrada 25 4 4" xfId="34628" xr:uid="{00000000-0005-0000-0000-0000F81D0000}"/>
    <cellStyle name="Entrada 25 4 5" xfId="40750" xr:uid="{00000000-0005-0000-0000-0000F91D0000}"/>
    <cellStyle name="Entrada 25 5" xfId="30325" xr:uid="{00000000-0005-0000-0000-0000FA1D0000}"/>
    <cellStyle name="Entrada 25 6" xfId="33016" xr:uid="{00000000-0005-0000-0000-0000FB1D0000}"/>
    <cellStyle name="Entrada 25 7" xfId="34623" xr:uid="{00000000-0005-0000-0000-0000FC1D0000}"/>
    <cellStyle name="Entrada 25 8" xfId="40745" xr:uid="{00000000-0005-0000-0000-0000FD1D0000}"/>
    <cellStyle name="Entrada 26" xfId="3840" xr:uid="{00000000-0005-0000-0000-0000FE1D0000}"/>
    <cellStyle name="Entrada 26 2" xfId="11578" xr:uid="{00000000-0005-0000-0000-0000FF1D0000}"/>
    <cellStyle name="Entrada 26 2 2" xfId="11877" xr:uid="{00000000-0005-0000-0000-0000001E0000}"/>
    <cellStyle name="Entrada 26 2 2 2" xfId="30333" xr:uid="{00000000-0005-0000-0000-0000011E0000}"/>
    <cellStyle name="Entrada 26 2 2 3" xfId="33024" xr:uid="{00000000-0005-0000-0000-0000021E0000}"/>
    <cellStyle name="Entrada 26 2 2 4" xfId="34631" xr:uid="{00000000-0005-0000-0000-0000031E0000}"/>
    <cellStyle name="Entrada 26 2 2 5" xfId="40753" xr:uid="{00000000-0005-0000-0000-0000041E0000}"/>
    <cellStyle name="Entrada 26 2 3" xfId="11878" xr:uid="{00000000-0005-0000-0000-0000051E0000}"/>
    <cellStyle name="Entrada 26 2 3 2" xfId="30334" xr:uid="{00000000-0005-0000-0000-0000061E0000}"/>
    <cellStyle name="Entrada 26 2 3 3" xfId="33025" xr:uid="{00000000-0005-0000-0000-0000071E0000}"/>
    <cellStyle name="Entrada 26 2 3 4" xfId="34632" xr:uid="{00000000-0005-0000-0000-0000081E0000}"/>
    <cellStyle name="Entrada 26 2 3 5" xfId="40754" xr:uid="{00000000-0005-0000-0000-0000091E0000}"/>
    <cellStyle name="Entrada 26 2 4" xfId="30332" xr:uid="{00000000-0005-0000-0000-00000A1E0000}"/>
    <cellStyle name="Entrada 26 2 5" xfId="33023" xr:uid="{00000000-0005-0000-0000-00000B1E0000}"/>
    <cellStyle name="Entrada 26 2 6" xfId="34630" xr:uid="{00000000-0005-0000-0000-00000C1E0000}"/>
    <cellStyle name="Entrada 26 2 7" xfId="40752" xr:uid="{00000000-0005-0000-0000-00000D1E0000}"/>
    <cellStyle name="Entrada 26 3" xfId="11879" xr:uid="{00000000-0005-0000-0000-00000E1E0000}"/>
    <cellStyle name="Entrada 26 3 2" xfId="30335" xr:uid="{00000000-0005-0000-0000-00000F1E0000}"/>
    <cellStyle name="Entrada 26 3 3" xfId="33026" xr:uid="{00000000-0005-0000-0000-0000101E0000}"/>
    <cellStyle name="Entrada 26 3 4" xfId="34633" xr:uid="{00000000-0005-0000-0000-0000111E0000}"/>
    <cellStyle name="Entrada 26 3 5" xfId="40755" xr:uid="{00000000-0005-0000-0000-0000121E0000}"/>
    <cellStyle name="Entrada 26 4" xfId="11880" xr:uid="{00000000-0005-0000-0000-0000131E0000}"/>
    <cellStyle name="Entrada 26 4 2" xfId="30336" xr:uid="{00000000-0005-0000-0000-0000141E0000}"/>
    <cellStyle name="Entrada 26 4 3" xfId="33027" xr:uid="{00000000-0005-0000-0000-0000151E0000}"/>
    <cellStyle name="Entrada 26 4 4" xfId="34634" xr:uid="{00000000-0005-0000-0000-0000161E0000}"/>
    <cellStyle name="Entrada 26 4 5" xfId="40756" xr:uid="{00000000-0005-0000-0000-0000171E0000}"/>
    <cellStyle name="Entrada 26 5" xfId="30331" xr:uid="{00000000-0005-0000-0000-0000181E0000}"/>
    <cellStyle name="Entrada 26 6" xfId="33022" xr:uid="{00000000-0005-0000-0000-0000191E0000}"/>
    <cellStyle name="Entrada 26 7" xfId="34629" xr:uid="{00000000-0005-0000-0000-00001A1E0000}"/>
    <cellStyle name="Entrada 26 8" xfId="40751" xr:uid="{00000000-0005-0000-0000-00001B1E0000}"/>
    <cellStyle name="Entrada 27" xfId="3841" xr:uid="{00000000-0005-0000-0000-00001C1E0000}"/>
    <cellStyle name="Entrada 27 2" xfId="11579" xr:uid="{00000000-0005-0000-0000-00001D1E0000}"/>
    <cellStyle name="Entrada 27 2 2" xfId="11881" xr:uid="{00000000-0005-0000-0000-00001E1E0000}"/>
    <cellStyle name="Entrada 27 2 2 2" xfId="30339" xr:uid="{00000000-0005-0000-0000-00001F1E0000}"/>
    <cellStyle name="Entrada 27 2 2 3" xfId="33030" xr:uid="{00000000-0005-0000-0000-0000201E0000}"/>
    <cellStyle name="Entrada 27 2 2 4" xfId="34637" xr:uid="{00000000-0005-0000-0000-0000211E0000}"/>
    <cellStyle name="Entrada 27 2 2 5" xfId="40759" xr:uid="{00000000-0005-0000-0000-0000221E0000}"/>
    <cellStyle name="Entrada 27 2 3" xfId="11882" xr:uid="{00000000-0005-0000-0000-0000231E0000}"/>
    <cellStyle name="Entrada 27 2 3 2" xfId="30340" xr:uid="{00000000-0005-0000-0000-0000241E0000}"/>
    <cellStyle name="Entrada 27 2 3 3" xfId="33031" xr:uid="{00000000-0005-0000-0000-0000251E0000}"/>
    <cellStyle name="Entrada 27 2 3 4" xfId="34638" xr:uid="{00000000-0005-0000-0000-0000261E0000}"/>
    <cellStyle name="Entrada 27 2 3 5" xfId="40760" xr:uid="{00000000-0005-0000-0000-0000271E0000}"/>
    <cellStyle name="Entrada 27 2 4" xfId="30338" xr:uid="{00000000-0005-0000-0000-0000281E0000}"/>
    <cellStyle name="Entrada 27 2 5" xfId="33029" xr:uid="{00000000-0005-0000-0000-0000291E0000}"/>
    <cellStyle name="Entrada 27 2 6" xfId="34636" xr:uid="{00000000-0005-0000-0000-00002A1E0000}"/>
    <cellStyle name="Entrada 27 2 7" xfId="40758" xr:uid="{00000000-0005-0000-0000-00002B1E0000}"/>
    <cellStyle name="Entrada 27 3" xfId="11883" xr:uid="{00000000-0005-0000-0000-00002C1E0000}"/>
    <cellStyle name="Entrada 27 3 2" xfId="30341" xr:uid="{00000000-0005-0000-0000-00002D1E0000}"/>
    <cellStyle name="Entrada 27 3 3" xfId="33032" xr:uid="{00000000-0005-0000-0000-00002E1E0000}"/>
    <cellStyle name="Entrada 27 3 4" xfId="34639" xr:uid="{00000000-0005-0000-0000-00002F1E0000}"/>
    <cellStyle name="Entrada 27 3 5" xfId="40761" xr:uid="{00000000-0005-0000-0000-0000301E0000}"/>
    <cellStyle name="Entrada 27 4" xfId="11884" xr:uid="{00000000-0005-0000-0000-0000311E0000}"/>
    <cellStyle name="Entrada 27 4 2" xfId="30342" xr:uid="{00000000-0005-0000-0000-0000321E0000}"/>
    <cellStyle name="Entrada 27 4 3" xfId="33033" xr:uid="{00000000-0005-0000-0000-0000331E0000}"/>
    <cellStyle name="Entrada 27 4 4" xfId="34640" xr:uid="{00000000-0005-0000-0000-0000341E0000}"/>
    <cellStyle name="Entrada 27 4 5" xfId="40762" xr:uid="{00000000-0005-0000-0000-0000351E0000}"/>
    <cellStyle name="Entrada 27 5" xfId="30337" xr:uid="{00000000-0005-0000-0000-0000361E0000}"/>
    <cellStyle name="Entrada 27 6" xfId="33028" xr:uid="{00000000-0005-0000-0000-0000371E0000}"/>
    <cellStyle name="Entrada 27 7" xfId="34635" xr:uid="{00000000-0005-0000-0000-0000381E0000}"/>
    <cellStyle name="Entrada 27 8" xfId="40757" xr:uid="{00000000-0005-0000-0000-0000391E0000}"/>
    <cellStyle name="Entrada 28" xfId="3842" xr:uid="{00000000-0005-0000-0000-00003A1E0000}"/>
    <cellStyle name="Entrada 28 2" xfId="11580" xr:uid="{00000000-0005-0000-0000-00003B1E0000}"/>
    <cellStyle name="Entrada 28 2 2" xfId="11885" xr:uid="{00000000-0005-0000-0000-00003C1E0000}"/>
    <cellStyle name="Entrada 28 2 2 2" xfId="30345" xr:uid="{00000000-0005-0000-0000-00003D1E0000}"/>
    <cellStyle name="Entrada 28 2 2 3" xfId="33036" xr:uid="{00000000-0005-0000-0000-00003E1E0000}"/>
    <cellStyle name="Entrada 28 2 2 4" xfId="34643" xr:uid="{00000000-0005-0000-0000-00003F1E0000}"/>
    <cellStyle name="Entrada 28 2 2 5" xfId="40765" xr:uid="{00000000-0005-0000-0000-0000401E0000}"/>
    <cellStyle name="Entrada 28 2 3" xfId="11886" xr:uid="{00000000-0005-0000-0000-0000411E0000}"/>
    <cellStyle name="Entrada 28 2 3 2" xfId="30346" xr:uid="{00000000-0005-0000-0000-0000421E0000}"/>
    <cellStyle name="Entrada 28 2 3 3" xfId="33037" xr:uid="{00000000-0005-0000-0000-0000431E0000}"/>
    <cellStyle name="Entrada 28 2 3 4" xfId="34644" xr:uid="{00000000-0005-0000-0000-0000441E0000}"/>
    <cellStyle name="Entrada 28 2 3 5" xfId="40766" xr:uid="{00000000-0005-0000-0000-0000451E0000}"/>
    <cellStyle name="Entrada 28 2 4" xfId="30344" xr:uid="{00000000-0005-0000-0000-0000461E0000}"/>
    <cellStyle name="Entrada 28 2 5" xfId="33035" xr:uid="{00000000-0005-0000-0000-0000471E0000}"/>
    <cellStyle name="Entrada 28 2 6" xfId="34642" xr:uid="{00000000-0005-0000-0000-0000481E0000}"/>
    <cellStyle name="Entrada 28 2 7" xfId="40764" xr:uid="{00000000-0005-0000-0000-0000491E0000}"/>
    <cellStyle name="Entrada 28 3" xfId="11887" xr:uid="{00000000-0005-0000-0000-00004A1E0000}"/>
    <cellStyle name="Entrada 28 3 2" xfId="30347" xr:uid="{00000000-0005-0000-0000-00004B1E0000}"/>
    <cellStyle name="Entrada 28 3 3" xfId="33038" xr:uid="{00000000-0005-0000-0000-00004C1E0000}"/>
    <cellStyle name="Entrada 28 3 4" xfId="34645" xr:uid="{00000000-0005-0000-0000-00004D1E0000}"/>
    <cellStyle name="Entrada 28 3 5" xfId="40767" xr:uid="{00000000-0005-0000-0000-00004E1E0000}"/>
    <cellStyle name="Entrada 28 4" xfId="11888" xr:uid="{00000000-0005-0000-0000-00004F1E0000}"/>
    <cellStyle name="Entrada 28 4 2" xfId="30348" xr:uid="{00000000-0005-0000-0000-0000501E0000}"/>
    <cellStyle name="Entrada 28 4 3" xfId="33039" xr:uid="{00000000-0005-0000-0000-0000511E0000}"/>
    <cellStyle name="Entrada 28 4 4" xfId="34646" xr:uid="{00000000-0005-0000-0000-0000521E0000}"/>
    <cellStyle name="Entrada 28 4 5" xfId="40768" xr:uid="{00000000-0005-0000-0000-0000531E0000}"/>
    <cellStyle name="Entrada 28 5" xfId="30343" xr:uid="{00000000-0005-0000-0000-0000541E0000}"/>
    <cellStyle name="Entrada 28 6" xfId="33034" xr:uid="{00000000-0005-0000-0000-0000551E0000}"/>
    <cellStyle name="Entrada 28 7" xfId="34641" xr:uid="{00000000-0005-0000-0000-0000561E0000}"/>
    <cellStyle name="Entrada 28 8" xfId="40763" xr:uid="{00000000-0005-0000-0000-0000571E0000}"/>
    <cellStyle name="Entrada 29" xfId="3843" xr:uid="{00000000-0005-0000-0000-0000581E0000}"/>
    <cellStyle name="Entrada 29 2" xfId="11581" xr:uid="{00000000-0005-0000-0000-0000591E0000}"/>
    <cellStyle name="Entrada 29 2 2" xfId="11889" xr:uid="{00000000-0005-0000-0000-00005A1E0000}"/>
    <cellStyle name="Entrada 29 2 2 2" xfId="30351" xr:uid="{00000000-0005-0000-0000-00005B1E0000}"/>
    <cellStyle name="Entrada 29 2 2 3" xfId="33042" xr:uid="{00000000-0005-0000-0000-00005C1E0000}"/>
    <cellStyle name="Entrada 29 2 2 4" xfId="34649" xr:uid="{00000000-0005-0000-0000-00005D1E0000}"/>
    <cellStyle name="Entrada 29 2 2 5" xfId="40771" xr:uid="{00000000-0005-0000-0000-00005E1E0000}"/>
    <cellStyle name="Entrada 29 2 3" xfId="11890" xr:uid="{00000000-0005-0000-0000-00005F1E0000}"/>
    <cellStyle name="Entrada 29 2 3 2" xfId="30352" xr:uid="{00000000-0005-0000-0000-0000601E0000}"/>
    <cellStyle name="Entrada 29 2 3 3" xfId="33043" xr:uid="{00000000-0005-0000-0000-0000611E0000}"/>
    <cellStyle name="Entrada 29 2 3 4" xfId="34650" xr:uid="{00000000-0005-0000-0000-0000621E0000}"/>
    <cellStyle name="Entrada 29 2 3 5" xfId="40772" xr:uid="{00000000-0005-0000-0000-0000631E0000}"/>
    <cellStyle name="Entrada 29 2 4" xfId="30350" xr:uid="{00000000-0005-0000-0000-0000641E0000}"/>
    <cellStyle name="Entrada 29 2 5" xfId="33041" xr:uid="{00000000-0005-0000-0000-0000651E0000}"/>
    <cellStyle name="Entrada 29 2 6" xfId="34648" xr:uid="{00000000-0005-0000-0000-0000661E0000}"/>
    <cellStyle name="Entrada 29 2 7" xfId="40770" xr:uid="{00000000-0005-0000-0000-0000671E0000}"/>
    <cellStyle name="Entrada 29 3" xfId="11891" xr:uid="{00000000-0005-0000-0000-0000681E0000}"/>
    <cellStyle name="Entrada 29 3 2" xfId="30353" xr:uid="{00000000-0005-0000-0000-0000691E0000}"/>
    <cellStyle name="Entrada 29 3 3" xfId="33044" xr:uid="{00000000-0005-0000-0000-00006A1E0000}"/>
    <cellStyle name="Entrada 29 3 4" xfId="34651" xr:uid="{00000000-0005-0000-0000-00006B1E0000}"/>
    <cellStyle name="Entrada 29 3 5" xfId="40773" xr:uid="{00000000-0005-0000-0000-00006C1E0000}"/>
    <cellStyle name="Entrada 29 4" xfId="11892" xr:uid="{00000000-0005-0000-0000-00006D1E0000}"/>
    <cellStyle name="Entrada 29 4 2" xfId="30354" xr:uid="{00000000-0005-0000-0000-00006E1E0000}"/>
    <cellStyle name="Entrada 29 4 3" xfId="33045" xr:uid="{00000000-0005-0000-0000-00006F1E0000}"/>
    <cellStyle name="Entrada 29 4 4" xfId="34652" xr:uid="{00000000-0005-0000-0000-0000701E0000}"/>
    <cellStyle name="Entrada 29 4 5" xfId="40774" xr:uid="{00000000-0005-0000-0000-0000711E0000}"/>
    <cellStyle name="Entrada 29 5" xfId="30349" xr:uid="{00000000-0005-0000-0000-0000721E0000}"/>
    <cellStyle name="Entrada 29 6" xfId="33040" xr:uid="{00000000-0005-0000-0000-0000731E0000}"/>
    <cellStyle name="Entrada 29 7" xfId="34647" xr:uid="{00000000-0005-0000-0000-0000741E0000}"/>
    <cellStyle name="Entrada 29 8" xfId="40769" xr:uid="{00000000-0005-0000-0000-0000751E0000}"/>
    <cellStyle name="Entrada 3" xfId="3844" xr:uid="{00000000-0005-0000-0000-0000761E0000}"/>
    <cellStyle name="Entrada 3 10" xfId="13289" xr:uid="{00000000-0005-0000-0000-0000771E0000}"/>
    <cellStyle name="Entrada 3 10 2" xfId="13290" xr:uid="{00000000-0005-0000-0000-0000781E0000}"/>
    <cellStyle name="Entrada 3 10 2 2" xfId="30357" xr:uid="{00000000-0005-0000-0000-0000791E0000}"/>
    <cellStyle name="Entrada 3 10 3" xfId="30356" xr:uid="{00000000-0005-0000-0000-00007A1E0000}"/>
    <cellStyle name="Entrada 3 11" xfId="13291" xr:uid="{00000000-0005-0000-0000-00007B1E0000}"/>
    <cellStyle name="Entrada 3 11 2" xfId="30358" xr:uid="{00000000-0005-0000-0000-00007C1E0000}"/>
    <cellStyle name="Entrada 3 12" xfId="30355" xr:uid="{00000000-0005-0000-0000-00007D1E0000}"/>
    <cellStyle name="Entrada 3 13" xfId="33046" xr:uid="{00000000-0005-0000-0000-00007E1E0000}"/>
    <cellStyle name="Entrada 3 14" xfId="33539" xr:uid="{00000000-0005-0000-0000-00007F1E0000}"/>
    <cellStyle name="Entrada 3 15" xfId="34653" xr:uid="{00000000-0005-0000-0000-0000801E0000}"/>
    <cellStyle name="Entrada 3 16" xfId="40775" xr:uid="{00000000-0005-0000-0000-0000811E0000}"/>
    <cellStyle name="Entrada 3 2" xfId="11582" xr:uid="{00000000-0005-0000-0000-0000821E0000}"/>
    <cellStyle name="Entrada 3 2 10" xfId="13292" xr:uid="{00000000-0005-0000-0000-0000831E0000}"/>
    <cellStyle name="Entrada 3 2 10 2" xfId="30360" xr:uid="{00000000-0005-0000-0000-0000841E0000}"/>
    <cellStyle name="Entrada 3 2 11" xfId="30359" xr:uid="{00000000-0005-0000-0000-0000851E0000}"/>
    <cellStyle name="Entrada 3 2 12" xfId="33047" xr:uid="{00000000-0005-0000-0000-0000861E0000}"/>
    <cellStyle name="Entrada 3 2 13" xfId="33540" xr:uid="{00000000-0005-0000-0000-0000871E0000}"/>
    <cellStyle name="Entrada 3 2 14" xfId="34654" xr:uid="{00000000-0005-0000-0000-0000881E0000}"/>
    <cellStyle name="Entrada 3 2 15" xfId="40776" xr:uid="{00000000-0005-0000-0000-0000891E0000}"/>
    <cellStyle name="Entrada 3 2 2" xfId="11893" xr:uid="{00000000-0005-0000-0000-00008A1E0000}"/>
    <cellStyle name="Entrada 3 2 2 10" xfId="40777" xr:uid="{00000000-0005-0000-0000-00008B1E0000}"/>
    <cellStyle name="Entrada 3 2 2 2" xfId="13293" xr:uid="{00000000-0005-0000-0000-00008C1E0000}"/>
    <cellStyle name="Entrada 3 2 2 2 2" xfId="30362" xr:uid="{00000000-0005-0000-0000-00008D1E0000}"/>
    <cellStyle name="Entrada 3 2 2 3" xfId="13294" xr:uid="{00000000-0005-0000-0000-00008E1E0000}"/>
    <cellStyle name="Entrada 3 2 2 3 2" xfId="30363" xr:uid="{00000000-0005-0000-0000-00008F1E0000}"/>
    <cellStyle name="Entrada 3 2 2 4" xfId="13295" xr:uid="{00000000-0005-0000-0000-0000901E0000}"/>
    <cellStyle name="Entrada 3 2 2 4 2" xfId="30364" xr:uid="{00000000-0005-0000-0000-0000911E0000}"/>
    <cellStyle name="Entrada 3 2 2 5" xfId="13296" xr:uid="{00000000-0005-0000-0000-0000921E0000}"/>
    <cellStyle name="Entrada 3 2 2 5 2" xfId="30365" xr:uid="{00000000-0005-0000-0000-0000931E0000}"/>
    <cellStyle name="Entrada 3 2 2 6" xfId="13297" xr:uid="{00000000-0005-0000-0000-0000941E0000}"/>
    <cellStyle name="Entrada 3 2 2 6 2" xfId="30366" xr:uid="{00000000-0005-0000-0000-0000951E0000}"/>
    <cellStyle name="Entrada 3 2 2 7" xfId="30361" xr:uid="{00000000-0005-0000-0000-0000961E0000}"/>
    <cellStyle name="Entrada 3 2 2 8" xfId="33048" xr:uid="{00000000-0005-0000-0000-0000971E0000}"/>
    <cellStyle name="Entrada 3 2 2 9" xfId="34655" xr:uid="{00000000-0005-0000-0000-0000981E0000}"/>
    <cellStyle name="Entrada 3 2 3" xfId="11894" xr:uid="{00000000-0005-0000-0000-0000991E0000}"/>
    <cellStyle name="Entrada 3 2 3 10" xfId="40778" xr:uid="{00000000-0005-0000-0000-00009A1E0000}"/>
    <cellStyle name="Entrada 3 2 3 2" xfId="13298" xr:uid="{00000000-0005-0000-0000-00009B1E0000}"/>
    <cellStyle name="Entrada 3 2 3 2 2" xfId="30368" xr:uid="{00000000-0005-0000-0000-00009C1E0000}"/>
    <cellStyle name="Entrada 3 2 3 3" xfId="13299" xr:uid="{00000000-0005-0000-0000-00009D1E0000}"/>
    <cellStyle name="Entrada 3 2 3 3 2" xfId="30369" xr:uid="{00000000-0005-0000-0000-00009E1E0000}"/>
    <cellStyle name="Entrada 3 2 3 4" xfId="13300" xr:uid="{00000000-0005-0000-0000-00009F1E0000}"/>
    <cellStyle name="Entrada 3 2 3 4 2" xfId="30370" xr:uid="{00000000-0005-0000-0000-0000A01E0000}"/>
    <cellStyle name="Entrada 3 2 3 5" xfId="13301" xr:uid="{00000000-0005-0000-0000-0000A11E0000}"/>
    <cellStyle name="Entrada 3 2 3 5 2" xfId="30371" xr:uid="{00000000-0005-0000-0000-0000A21E0000}"/>
    <cellStyle name="Entrada 3 2 3 6" xfId="13302" xr:uid="{00000000-0005-0000-0000-0000A31E0000}"/>
    <cellStyle name="Entrada 3 2 3 6 2" xfId="30372" xr:uid="{00000000-0005-0000-0000-0000A41E0000}"/>
    <cellStyle name="Entrada 3 2 3 7" xfId="30367" xr:uid="{00000000-0005-0000-0000-0000A51E0000}"/>
    <cellStyle name="Entrada 3 2 3 8" xfId="33049" xr:uid="{00000000-0005-0000-0000-0000A61E0000}"/>
    <cellStyle name="Entrada 3 2 3 9" xfId="34656" xr:uid="{00000000-0005-0000-0000-0000A71E0000}"/>
    <cellStyle name="Entrada 3 2 4" xfId="13303" xr:uid="{00000000-0005-0000-0000-0000A81E0000}"/>
    <cellStyle name="Entrada 3 2 4 2" xfId="13304" xr:uid="{00000000-0005-0000-0000-0000A91E0000}"/>
    <cellStyle name="Entrada 3 2 4 2 2" xfId="30374" xr:uid="{00000000-0005-0000-0000-0000AA1E0000}"/>
    <cellStyle name="Entrada 3 2 4 3" xfId="13305" xr:uid="{00000000-0005-0000-0000-0000AB1E0000}"/>
    <cellStyle name="Entrada 3 2 4 3 2" xfId="30375" xr:uid="{00000000-0005-0000-0000-0000AC1E0000}"/>
    <cellStyle name="Entrada 3 2 4 4" xfId="13306" xr:uid="{00000000-0005-0000-0000-0000AD1E0000}"/>
    <cellStyle name="Entrada 3 2 4 4 2" xfId="30376" xr:uid="{00000000-0005-0000-0000-0000AE1E0000}"/>
    <cellStyle name="Entrada 3 2 4 5" xfId="13307" xr:uid="{00000000-0005-0000-0000-0000AF1E0000}"/>
    <cellStyle name="Entrada 3 2 4 5 2" xfId="30377" xr:uid="{00000000-0005-0000-0000-0000B01E0000}"/>
    <cellStyle name="Entrada 3 2 4 6" xfId="30373" xr:uid="{00000000-0005-0000-0000-0000B11E0000}"/>
    <cellStyle name="Entrada 3 2 5" xfId="13308" xr:uid="{00000000-0005-0000-0000-0000B21E0000}"/>
    <cellStyle name="Entrada 3 2 5 2" xfId="13309" xr:uid="{00000000-0005-0000-0000-0000B31E0000}"/>
    <cellStyle name="Entrada 3 2 5 2 2" xfId="30379" xr:uid="{00000000-0005-0000-0000-0000B41E0000}"/>
    <cellStyle name="Entrada 3 2 5 3" xfId="13310" xr:uid="{00000000-0005-0000-0000-0000B51E0000}"/>
    <cellStyle name="Entrada 3 2 5 3 2" xfId="30380" xr:uid="{00000000-0005-0000-0000-0000B61E0000}"/>
    <cellStyle name="Entrada 3 2 5 4" xfId="13311" xr:uid="{00000000-0005-0000-0000-0000B71E0000}"/>
    <cellStyle name="Entrada 3 2 5 4 2" xfId="30381" xr:uid="{00000000-0005-0000-0000-0000B81E0000}"/>
    <cellStyle name="Entrada 3 2 5 5" xfId="13312" xr:uid="{00000000-0005-0000-0000-0000B91E0000}"/>
    <cellStyle name="Entrada 3 2 5 5 2" xfId="30382" xr:uid="{00000000-0005-0000-0000-0000BA1E0000}"/>
    <cellStyle name="Entrada 3 2 5 6" xfId="30378" xr:uid="{00000000-0005-0000-0000-0000BB1E0000}"/>
    <cellStyle name="Entrada 3 2 6" xfId="13313" xr:uid="{00000000-0005-0000-0000-0000BC1E0000}"/>
    <cellStyle name="Entrada 3 2 6 2" xfId="13314" xr:uid="{00000000-0005-0000-0000-0000BD1E0000}"/>
    <cellStyle name="Entrada 3 2 6 2 2" xfId="30384" xr:uid="{00000000-0005-0000-0000-0000BE1E0000}"/>
    <cellStyle name="Entrada 3 2 6 3" xfId="13315" xr:uid="{00000000-0005-0000-0000-0000BF1E0000}"/>
    <cellStyle name="Entrada 3 2 6 3 2" xfId="30385" xr:uid="{00000000-0005-0000-0000-0000C01E0000}"/>
    <cellStyle name="Entrada 3 2 6 4" xfId="13316" xr:uid="{00000000-0005-0000-0000-0000C11E0000}"/>
    <cellStyle name="Entrada 3 2 6 4 2" xfId="30386" xr:uid="{00000000-0005-0000-0000-0000C21E0000}"/>
    <cellStyle name="Entrada 3 2 6 5" xfId="13317" xr:uid="{00000000-0005-0000-0000-0000C31E0000}"/>
    <cellStyle name="Entrada 3 2 6 5 2" xfId="30387" xr:uid="{00000000-0005-0000-0000-0000C41E0000}"/>
    <cellStyle name="Entrada 3 2 6 6" xfId="30383" xr:uid="{00000000-0005-0000-0000-0000C51E0000}"/>
    <cellStyle name="Entrada 3 2 7" xfId="13318" xr:uid="{00000000-0005-0000-0000-0000C61E0000}"/>
    <cellStyle name="Entrada 3 2 7 2" xfId="13319" xr:uid="{00000000-0005-0000-0000-0000C71E0000}"/>
    <cellStyle name="Entrada 3 2 7 2 2" xfId="30389" xr:uid="{00000000-0005-0000-0000-0000C81E0000}"/>
    <cellStyle name="Entrada 3 2 7 3" xfId="13320" xr:uid="{00000000-0005-0000-0000-0000C91E0000}"/>
    <cellStyle name="Entrada 3 2 7 3 2" xfId="30390" xr:uid="{00000000-0005-0000-0000-0000CA1E0000}"/>
    <cellStyle name="Entrada 3 2 7 4" xfId="13321" xr:uid="{00000000-0005-0000-0000-0000CB1E0000}"/>
    <cellStyle name="Entrada 3 2 7 4 2" xfId="30391" xr:uid="{00000000-0005-0000-0000-0000CC1E0000}"/>
    <cellStyle name="Entrada 3 2 7 5" xfId="13322" xr:uid="{00000000-0005-0000-0000-0000CD1E0000}"/>
    <cellStyle name="Entrada 3 2 7 5 2" xfId="30392" xr:uid="{00000000-0005-0000-0000-0000CE1E0000}"/>
    <cellStyle name="Entrada 3 2 7 6" xfId="30388" xr:uid="{00000000-0005-0000-0000-0000CF1E0000}"/>
    <cellStyle name="Entrada 3 2 8" xfId="13323" xr:uid="{00000000-0005-0000-0000-0000D01E0000}"/>
    <cellStyle name="Entrada 3 2 8 2" xfId="13324" xr:uid="{00000000-0005-0000-0000-0000D11E0000}"/>
    <cellStyle name="Entrada 3 2 8 2 2" xfId="30394" xr:uid="{00000000-0005-0000-0000-0000D21E0000}"/>
    <cellStyle name="Entrada 3 2 8 3" xfId="13325" xr:uid="{00000000-0005-0000-0000-0000D31E0000}"/>
    <cellStyle name="Entrada 3 2 8 3 2" xfId="30395" xr:uid="{00000000-0005-0000-0000-0000D41E0000}"/>
    <cellStyle name="Entrada 3 2 8 4" xfId="13326" xr:uid="{00000000-0005-0000-0000-0000D51E0000}"/>
    <cellStyle name="Entrada 3 2 8 4 2" xfId="30396" xr:uid="{00000000-0005-0000-0000-0000D61E0000}"/>
    <cellStyle name="Entrada 3 2 8 5" xfId="13327" xr:uid="{00000000-0005-0000-0000-0000D71E0000}"/>
    <cellStyle name="Entrada 3 2 8 5 2" xfId="30397" xr:uid="{00000000-0005-0000-0000-0000D81E0000}"/>
    <cellStyle name="Entrada 3 2 8 6" xfId="13328" xr:uid="{00000000-0005-0000-0000-0000D91E0000}"/>
    <cellStyle name="Entrada 3 2 8 6 2" xfId="30398" xr:uid="{00000000-0005-0000-0000-0000DA1E0000}"/>
    <cellStyle name="Entrada 3 2 8 7" xfId="30393" xr:uid="{00000000-0005-0000-0000-0000DB1E0000}"/>
    <cellStyle name="Entrada 3 2 9" xfId="13329" xr:uid="{00000000-0005-0000-0000-0000DC1E0000}"/>
    <cellStyle name="Entrada 3 2 9 2" xfId="13330" xr:uid="{00000000-0005-0000-0000-0000DD1E0000}"/>
    <cellStyle name="Entrada 3 2 9 2 2" xfId="30400" xr:uid="{00000000-0005-0000-0000-0000DE1E0000}"/>
    <cellStyle name="Entrada 3 2 9 3" xfId="30399" xr:uid="{00000000-0005-0000-0000-0000DF1E0000}"/>
    <cellStyle name="Entrada 3 3" xfId="11895" xr:uid="{00000000-0005-0000-0000-0000E01E0000}"/>
    <cellStyle name="Entrada 3 3 10" xfId="40779" xr:uid="{00000000-0005-0000-0000-0000E11E0000}"/>
    <cellStyle name="Entrada 3 3 2" xfId="13331" xr:uid="{00000000-0005-0000-0000-0000E21E0000}"/>
    <cellStyle name="Entrada 3 3 2 2" xfId="30402" xr:uid="{00000000-0005-0000-0000-0000E31E0000}"/>
    <cellStyle name="Entrada 3 3 3" xfId="13332" xr:uid="{00000000-0005-0000-0000-0000E41E0000}"/>
    <cellStyle name="Entrada 3 3 3 2" xfId="30403" xr:uid="{00000000-0005-0000-0000-0000E51E0000}"/>
    <cellStyle name="Entrada 3 3 4" xfId="13333" xr:uid="{00000000-0005-0000-0000-0000E61E0000}"/>
    <cellStyle name="Entrada 3 3 4 2" xfId="30404" xr:uid="{00000000-0005-0000-0000-0000E71E0000}"/>
    <cellStyle name="Entrada 3 3 5" xfId="13334" xr:uid="{00000000-0005-0000-0000-0000E81E0000}"/>
    <cellStyle name="Entrada 3 3 5 2" xfId="30405" xr:uid="{00000000-0005-0000-0000-0000E91E0000}"/>
    <cellStyle name="Entrada 3 3 6" xfId="13335" xr:uid="{00000000-0005-0000-0000-0000EA1E0000}"/>
    <cellStyle name="Entrada 3 3 6 2" xfId="30406" xr:uid="{00000000-0005-0000-0000-0000EB1E0000}"/>
    <cellStyle name="Entrada 3 3 7" xfId="30401" xr:uid="{00000000-0005-0000-0000-0000EC1E0000}"/>
    <cellStyle name="Entrada 3 3 8" xfId="33050" xr:uid="{00000000-0005-0000-0000-0000ED1E0000}"/>
    <cellStyle name="Entrada 3 3 9" xfId="34657" xr:uid="{00000000-0005-0000-0000-0000EE1E0000}"/>
    <cellStyle name="Entrada 3 4" xfId="11896" xr:uid="{00000000-0005-0000-0000-0000EF1E0000}"/>
    <cellStyle name="Entrada 3 4 10" xfId="40780" xr:uid="{00000000-0005-0000-0000-0000F01E0000}"/>
    <cellStyle name="Entrada 3 4 2" xfId="13336" xr:uid="{00000000-0005-0000-0000-0000F11E0000}"/>
    <cellStyle name="Entrada 3 4 2 2" xfId="30408" xr:uid="{00000000-0005-0000-0000-0000F21E0000}"/>
    <cellStyle name="Entrada 3 4 3" xfId="13337" xr:uid="{00000000-0005-0000-0000-0000F31E0000}"/>
    <cellStyle name="Entrada 3 4 3 2" xfId="30409" xr:uid="{00000000-0005-0000-0000-0000F41E0000}"/>
    <cellStyle name="Entrada 3 4 4" xfId="13338" xr:uid="{00000000-0005-0000-0000-0000F51E0000}"/>
    <cellStyle name="Entrada 3 4 4 2" xfId="30410" xr:uid="{00000000-0005-0000-0000-0000F61E0000}"/>
    <cellStyle name="Entrada 3 4 5" xfId="13339" xr:uid="{00000000-0005-0000-0000-0000F71E0000}"/>
    <cellStyle name="Entrada 3 4 5 2" xfId="30411" xr:uid="{00000000-0005-0000-0000-0000F81E0000}"/>
    <cellStyle name="Entrada 3 4 6" xfId="13340" xr:uid="{00000000-0005-0000-0000-0000F91E0000}"/>
    <cellStyle name="Entrada 3 4 6 2" xfId="30412" xr:uid="{00000000-0005-0000-0000-0000FA1E0000}"/>
    <cellStyle name="Entrada 3 4 7" xfId="30407" xr:uid="{00000000-0005-0000-0000-0000FB1E0000}"/>
    <cellStyle name="Entrada 3 4 8" xfId="33051" xr:uid="{00000000-0005-0000-0000-0000FC1E0000}"/>
    <cellStyle name="Entrada 3 4 9" xfId="34658" xr:uid="{00000000-0005-0000-0000-0000FD1E0000}"/>
    <cellStyle name="Entrada 3 5" xfId="13341" xr:uid="{00000000-0005-0000-0000-0000FE1E0000}"/>
    <cellStyle name="Entrada 3 5 2" xfId="13342" xr:uid="{00000000-0005-0000-0000-0000FF1E0000}"/>
    <cellStyle name="Entrada 3 5 2 2" xfId="30414" xr:uid="{00000000-0005-0000-0000-0000001F0000}"/>
    <cellStyle name="Entrada 3 5 3" xfId="13343" xr:uid="{00000000-0005-0000-0000-0000011F0000}"/>
    <cellStyle name="Entrada 3 5 3 2" xfId="30415" xr:uid="{00000000-0005-0000-0000-0000021F0000}"/>
    <cellStyle name="Entrada 3 5 4" xfId="13344" xr:uid="{00000000-0005-0000-0000-0000031F0000}"/>
    <cellStyle name="Entrada 3 5 4 2" xfId="30416" xr:uid="{00000000-0005-0000-0000-0000041F0000}"/>
    <cellStyle name="Entrada 3 5 5" xfId="13345" xr:uid="{00000000-0005-0000-0000-0000051F0000}"/>
    <cellStyle name="Entrada 3 5 5 2" xfId="30417" xr:uid="{00000000-0005-0000-0000-0000061F0000}"/>
    <cellStyle name="Entrada 3 5 6" xfId="30413" xr:uid="{00000000-0005-0000-0000-0000071F0000}"/>
    <cellStyle name="Entrada 3 6" xfId="13346" xr:uid="{00000000-0005-0000-0000-0000081F0000}"/>
    <cellStyle name="Entrada 3 6 2" xfId="13347" xr:uid="{00000000-0005-0000-0000-0000091F0000}"/>
    <cellStyle name="Entrada 3 6 2 2" xfId="30419" xr:uid="{00000000-0005-0000-0000-00000A1F0000}"/>
    <cellStyle name="Entrada 3 6 3" xfId="13348" xr:uid="{00000000-0005-0000-0000-00000B1F0000}"/>
    <cellStyle name="Entrada 3 6 3 2" xfId="30420" xr:uid="{00000000-0005-0000-0000-00000C1F0000}"/>
    <cellStyle name="Entrada 3 6 4" xfId="13349" xr:uid="{00000000-0005-0000-0000-00000D1F0000}"/>
    <cellStyle name="Entrada 3 6 4 2" xfId="30421" xr:uid="{00000000-0005-0000-0000-00000E1F0000}"/>
    <cellStyle name="Entrada 3 6 5" xfId="13350" xr:uid="{00000000-0005-0000-0000-00000F1F0000}"/>
    <cellStyle name="Entrada 3 6 5 2" xfId="30422" xr:uid="{00000000-0005-0000-0000-0000101F0000}"/>
    <cellStyle name="Entrada 3 6 6" xfId="30418" xr:uid="{00000000-0005-0000-0000-0000111F0000}"/>
    <cellStyle name="Entrada 3 7" xfId="13351" xr:uid="{00000000-0005-0000-0000-0000121F0000}"/>
    <cellStyle name="Entrada 3 7 2" xfId="13352" xr:uid="{00000000-0005-0000-0000-0000131F0000}"/>
    <cellStyle name="Entrada 3 7 2 2" xfId="30424" xr:uid="{00000000-0005-0000-0000-0000141F0000}"/>
    <cellStyle name="Entrada 3 7 3" xfId="13353" xr:uid="{00000000-0005-0000-0000-0000151F0000}"/>
    <cellStyle name="Entrada 3 7 3 2" xfId="30425" xr:uid="{00000000-0005-0000-0000-0000161F0000}"/>
    <cellStyle name="Entrada 3 7 4" xfId="13354" xr:uid="{00000000-0005-0000-0000-0000171F0000}"/>
    <cellStyle name="Entrada 3 7 4 2" xfId="30426" xr:uid="{00000000-0005-0000-0000-0000181F0000}"/>
    <cellStyle name="Entrada 3 7 5" xfId="13355" xr:uid="{00000000-0005-0000-0000-0000191F0000}"/>
    <cellStyle name="Entrada 3 7 5 2" xfId="30427" xr:uid="{00000000-0005-0000-0000-00001A1F0000}"/>
    <cellStyle name="Entrada 3 7 6" xfId="30423" xr:uid="{00000000-0005-0000-0000-00001B1F0000}"/>
    <cellStyle name="Entrada 3 8" xfId="13356" xr:uid="{00000000-0005-0000-0000-00001C1F0000}"/>
    <cellStyle name="Entrada 3 8 2" xfId="13357" xr:uid="{00000000-0005-0000-0000-00001D1F0000}"/>
    <cellStyle name="Entrada 3 8 2 2" xfId="30429" xr:uid="{00000000-0005-0000-0000-00001E1F0000}"/>
    <cellStyle name="Entrada 3 8 3" xfId="13358" xr:uid="{00000000-0005-0000-0000-00001F1F0000}"/>
    <cellStyle name="Entrada 3 8 3 2" xfId="30430" xr:uid="{00000000-0005-0000-0000-0000201F0000}"/>
    <cellStyle name="Entrada 3 8 4" xfId="13359" xr:uid="{00000000-0005-0000-0000-0000211F0000}"/>
    <cellStyle name="Entrada 3 8 4 2" xfId="30431" xr:uid="{00000000-0005-0000-0000-0000221F0000}"/>
    <cellStyle name="Entrada 3 8 5" xfId="13360" xr:uid="{00000000-0005-0000-0000-0000231F0000}"/>
    <cellStyle name="Entrada 3 8 5 2" xfId="30432" xr:uid="{00000000-0005-0000-0000-0000241F0000}"/>
    <cellStyle name="Entrada 3 8 6" xfId="30428" xr:uid="{00000000-0005-0000-0000-0000251F0000}"/>
    <cellStyle name="Entrada 3 9" xfId="13361" xr:uid="{00000000-0005-0000-0000-0000261F0000}"/>
    <cellStyle name="Entrada 3 9 2" xfId="13362" xr:uid="{00000000-0005-0000-0000-0000271F0000}"/>
    <cellStyle name="Entrada 3 9 2 2" xfId="30434" xr:uid="{00000000-0005-0000-0000-0000281F0000}"/>
    <cellStyle name="Entrada 3 9 3" xfId="13363" xr:uid="{00000000-0005-0000-0000-0000291F0000}"/>
    <cellStyle name="Entrada 3 9 3 2" xfId="30435" xr:uid="{00000000-0005-0000-0000-00002A1F0000}"/>
    <cellStyle name="Entrada 3 9 4" xfId="13364" xr:uid="{00000000-0005-0000-0000-00002B1F0000}"/>
    <cellStyle name="Entrada 3 9 4 2" xfId="30436" xr:uid="{00000000-0005-0000-0000-00002C1F0000}"/>
    <cellStyle name="Entrada 3 9 5" xfId="13365" xr:uid="{00000000-0005-0000-0000-00002D1F0000}"/>
    <cellStyle name="Entrada 3 9 5 2" xfId="30437" xr:uid="{00000000-0005-0000-0000-00002E1F0000}"/>
    <cellStyle name="Entrada 3 9 6" xfId="13366" xr:uid="{00000000-0005-0000-0000-00002F1F0000}"/>
    <cellStyle name="Entrada 3 9 6 2" xfId="30438" xr:uid="{00000000-0005-0000-0000-0000301F0000}"/>
    <cellStyle name="Entrada 3 9 7" xfId="30433" xr:uid="{00000000-0005-0000-0000-0000311F0000}"/>
    <cellStyle name="Entrada 30" xfId="3845" xr:uid="{00000000-0005-0000-0000-0000321F0000}"/>
    <cellStyle name="Entrada 30 2" xfId="11583" xr:uid="{00000000-0005-0000-0000-0000331F0000}"/>
    <cellStyle name="Entrada 30 2 2" xfId="11897" xr:uid="{00000000-0005-0000-0000-0000341F0000}"/>
    <cellStyle name="Entrada 30 2 2 2" xfId="30441" xr:uid="{00000000-0005-0000-0000-0000351F0000}"/>
    <cellStyle name="Entrada 30 2 2 3" xfId="33054" xr:uid="{00000000-0005-0000-0000-0000361F0000}"/>
    <cellStyle name="Entrada 30 2 2 4" xfId="34661" xr:uid="{00000000-0005-0000-0000-0000371F0000}"/>
    <cellStyle name="Entrada 30 2 2 5" xfId="40783" xr:uid="{00000000-0005-0000-0000-0000381F0000}"/>
    <cellStyle name="Entrada 30 2 3" xfId="11898" xr:uid="{00000000-0005-0000-0000-0000391F0000}"/>
    <cellStyle name="Entrada 30 2 3 2" xfId="30442" xr:uid="{00000000-0005-0000-0000-00003A1F0000}"/>
    <cellStyle name="Entrada 30 2 3 3" xfId="33055" xr:uid="{00000000-0005-0000-0000-00003B1F0000}"/>
    <cellStyle name="Entrada 30 2 3 4" xfId="34662" xr:uid="{00000000-0005-0000-0000-00003C1F0000}"/>
    <cellStyle name="Entrada 30 2 3 5" xfId="40784" xr:uid="{00000000-0005-0000-0000-00003D1F0000}"/>
    <cellStyle name="Entrada 30 2 4" xfId="30440" xr:uid="{00000000-0005-0000-0000-00003E1F0000}"/>
    <cellStyle name="Entrada 30 2 5" xfId="33053" xr:uid="{00000000-0005-0000-0000-00003F1F0000}"/>
    <cellStyle name="Entrada 30 2 6" xfId="34660" xr:uid="{00000000-0005-0000-0000-0000401F0000}"/>
    <cellStyle name="Entrada 30 2 7" xfId="40782" xr:uid="{00000000-0005-0000-0000-0000411F0000}"/>
    <cellStyle name="Entrada 30 3" xfId="11899" xr:uid="{00000000-0005-0000-0000-0000421F0000}"/>
    <cellStyle name="Entrada 30 3 2" xfId="30443" xr:uid="{00000000-0005-0000-0000-0000431F0000}"/>
    <cellStyle name="Entrada 30 3 3" xfId="33056" xr:uid="{00000000-0005-0000-0000-0000441F0000}"/>
    <cellStyle name="Entrada 30 3 4" xfId="34663" xr:uid="{00000000-0005-0000-0000-0000451F0000}"/>
    <cellStyle name="Entrada 30 3 5" xfId="40785" xr:uid="{00000000-0005-0000-0000-0000461F0000}"/>
    <cellStyle name="Entrada 30 4" xfId="11900" xr:uid="{00000000-0005-0000-0000-0000471F0000}"/>
    <cellStyle name="Entrada 30 4 2" xfId="30444" xr:uid="{00000000-0005-0000-0000-0000481F0000}"/>
    <cellStyle name="Entrada 30 4 3" xfId="33057" xr:uid="{00000000-0005-0000-0000-0000491F0000}"/>
    <cellStyle name="Entrada 30 4 4" xfId="34664" xr:uid="{00000000-0005-0000-0000-00004A1F0000}"/>
    <cellStyle name="Entrada 30 4 5" xfId="40786" xr:uid="{00000000-0005-0000-0000-00004B1F0000}"/>
    <cellStyle name="Entrada 30 5" xfId="30439" xr:uid="{00000000-0005-0000-0000-00004C1F0000}"/>
    <cellStyle name="Entrada 30 6" xfId="33052" xr:uid="{00000000-0005-0000-0000-00004D1F0000}"/>
    <cellStyle name="Entrada 30 7" xfId="34659" xr:uid="{00000000-0005-0000-0000-00004E1F0000}"/>
    <cellStyle name="Entrada 30 8" xfId="40781" xr:uid="{00000000-0005-0000-0000-00004F1F0000}"/>
    <cellStyle name="Entrada 31" xfId="3846" xr:uid="{00000000-0005-0000-0000-0000501F0000}"/>
    <cellStyle name="Entrada 31 2" xfId="11584" xr:uid="{00000000-0005-0000-0000-0000511F0000}"/>
    <cellStyle name="Entrada 31 2 2" xfId="11901" xr:uid="{00000000-0005-0000-0000-0000521F0000}"/>
    <cellStyle name="Entrada 31 2 2 2" xfId="30447" xr:uid="{00000000-0005-0000-0000-0000531F0000}"/>
    <cellStyle name="Entrada 31 2 2 3" xfId="33060" xr:uid="{00000000-0005-0000-0000-0000541F0000}"/>
    <cellStyle name="Entrada 31 2 2 4" xfId="34667" xr:uid="{00000000-0005-0000-0000-0000551F0000}"/>
    <cellStyle name="Entrada 31 2 2 5" xfId="40789" xr:uid="{00000000-0005-0000-0000-0000561F0000}"/>
    <cellStyle name="Entrada 31 2 3" xfId="11902" xr:uid="{00000000-0005-0000-0000-0000571F0000}"/>
    <cellStyle name="Entrada 31 2 3 2" xfId="30448" xr:uid="{00000000-0005-0000-0000-0000581F0000}"/>
    <cellStyle name="Entrada 31 2 3 3" xfId="33061" xr:uid="{00000000-0005-0000-0000-0000591F0000}"/>
    <cellStyle name="Entrada 31 2 3 4" xfId="34668" xr:uid="{00000000-0005-0000-0000-00005A1F0000}"/>
    <cellStyle name="Entrada 31 2 3 5" xfId="40790" xr:uid="{00000000-0005-0000-0000-00005B1F0000}"/>
    <cellStyle name="Entrada 31 2 4" xfId="30446" xr:uid="{00000000-0005-0000-0000-00005C1F0000}"/>
    <cellStyle name="Entrada 31 2 5" xfId="33059" xr:uid="{00000000-0005-0000-0000-00005D1F0000}"/>
    <cellStyle name="Entrada 31 2 6" xfId="34666" xr:uid="{00000000-0005-0000-0000-00005E1F0000}"/>
    <cellStyle name="Entrada 31 2 7" xfId="40788" xr:uid="{00000000-0005-0000-0000-00005F1F0000}"/>
    <cellStyle name="Entrada 31 3" xfId="11903" xr:uid="{00000000-0005-0000-0000-0000601F0000}"/>
    <cellStyle name="Entrada 31 3 2" xfId="30449" xr:uid="{00000000-0005-0000-0000-0000611F0000}"/>
    <cellStyle name="Entrada 31 3 3" xfId="33062" xr:uid="{00000000-0005-0000-0000-0000621F0000}"/>
    <cellStyle name="Entrada 31 3 4" xfId="34669" xr:uid="{00000000-0005-0000-0000-0000631F0000}"/>
    <cellStyle name="Entrada 31 3 5" xfId="40791" xr:uid="{00000000-0005-0000-0000-0000641F0000}"/>
    <cellStyle name="Entrada 31 4" xfId="11904" xr:uid="{00000000-0005-0000-0000-0000651F0000}"/>
    <cellStyle name="Entrada 31 4 2" xfId="30450" xr:uid="{00000000-0005-0000-0000-0000661F0000}"/>
    <cellStyle name="Entrada 31 4 3" xfId="33063" xr:uid="{00000000-0005-0000-0000-0000671F0000}"/>
    <cellStyle name="Entrada 31 4 4" xfId="34670" xr:uid="{00000000-0005-0000-0000-0000681F0000}"/>
    <cellStyle name="Entrada 31 4 5" xfId="40792" xr:uid="{00000000-0005-0000-0000-0000691F0000}"/>
    <cellStyle name="Entrada 31 5" xfId="30445" xr:uid="{00000000-0005-0000-0000-00006A1F0000}"/>
    <cellStyle name="Entrada 31 6" xfId="33058" xr:uid="{00000000-0005-0000-0000-00006B1F0000}"/>
    <cellStyle name="Entrada 31 7" xfId="34665" xr:uid="{00000000-0005-0000-0000-00006C1F0000}"/>
    <cellStyle name="Entrada 31 8" xfId="40787" xr:uid="{00000000-0005-0000-0000-00006D1F0000}"/>
    <cellStyle name="Entrada 32" xfId="3847" xr:uid="{00000000-0005-0000-0000-00006E1F0000}"/>
    <cellStyle name="Entrada 32 2" xfId="11585" xr:uid="{00000000-0005-0000-0000-00006F1F0000}"/>
    <cellStyle name="Entrada 32 2 2" xfId="11905" xr:uid="{00000000-0005-0000-0000-0000701F0000}"/>
    <cellStyle name="Entrada 32 2 2 2" xfId="30453" xr:uid="{00000000-0005-0000-0000-0000711F0000}"/>
    <cellStyle name="Entrada 32 2 2 3" xfId="33066" xr:uid="{00000000-0005-0000-0000-0000721F0000}"/>
    <cellStyle name="Entrada 32 2 2 4" xfId="34673" xr:uid="{00000000-0005-0000-0000-0000731F0000}"/>
    <cellStyle name="Entrada 32 2 2 5" xfId="40795" xr:uid="{00000000-0005-0000-0000-0000741F0000}"/>
    <cellStyle name="Entrada 32 2 3" xfId="11906" xr:uid="{00000000-0005-0000-0000-0000751F0000}"/>
    <cellStyle name="Entrada 32 2 3 2" xfId="30454" xr:uid="{00000000-0005-0000-0000-0000761F0000}"/>
    <cellStyle name="Entrada 32 2 3 3" xfId="33067" xr:uid="{00000000-0005-0000-0000-0000771F0000}"/>
    <cellStyle name="Entrada 32 2 3 4" xfId="34674" xr:uid="{00000000-0005-0000-0000-0000781F0000}"/>
    <cellStyle name="Entrada 32 2 3 5" xfId="40796" xr:uid="{00000000-0005-0000-0000-0000791F0000}"/>
    <cellStyle name="Entrada 32 2 4" xfId="30452" xr:uid="{00000000-0005-0000-0000-00007A1F0000}"/>
    <cellStyle name="Entrada 32 2 5" xfId="33065" xr:uid="{00000000-0005-0000-0000-00007B1F0000}"/>
    <cellStyle name="Entrada 32 2 6" xfId="34672" xr:uid="{00000000-0005-0000-0000-00007C1F0000}"/>
    <cellStyle name="Entrada 32 2 7" xfId="40794" xr:uid="{00000000-0005-0000-0000-00007D1F0000}"/>
    <cellStyle name="Entrada 32 3" xfId="11907" xr:uid="{00000000-0005-0000-0000-00007E1F0000}"/>
    <cellStyle name="Entrada 32 3 2" xfId="30455" xr:uid="{00000000-0005-0000-0000-00007F1F0000}"/>
    <cellStyle name="Entrada 32 3 3" xfId="33068" xr:uid="{00000000-0005-0000-0000-0000801F0000}"/>
    <cellStyle name="Entrada 32 3 4" xfId="34675" xr:uid="{00000000-0005-0000-0000-0000811F0000}"/>
    <cellStyle name="Entrada 32 3 5" xfId="40797" xr:uid="{00000000-0005-0000-0000-0000821F0000}"/>
    <cellStyle name="Entrada 32 4" xfId="11908" xr:uid="{00000000-0005-0000-0000-0000831F0000}"/>
    <cellStyle name="Entrada 32 4 2" xfId="30456" xr:uid="{00000000-0005-0000-0000-0000841F0000}"/>
    <cellStyle name="Entrada 32 4 3" xfId="33069" xr:uid="{00000000-0005-0000-0000-0000851F0000}"/>
    <cellStyle name="Entrada 32 4 4" xfId="34676" xr:uid="{00000000-0005-0000-0000-0000861F0000}"/>
    <cellStyle name="Entrada 32 4 5" xfId="40798" xr:uid="{00000000-0005-0000-0000-0000871F0000}"/>
    <cellStyle name="Entrada 32 5" xfId="30451" xr:uid="{00000000-0005-0000-0000-0000881F0000}"/>
    <cellStyle name="Entrada 32 6" xfId="33064" xr:uid="{00000000-0005-0000-0000-0000891F0000}"/>
    <cellStyle name="Entrada 32 7" xfId="34671" xr:uid="{00000000-0005-0000-0000-00008A1F0000}"/>
    <cellStyle name="Entrada 32 8" xfId="40793" xr:uid="{00000000-0005-0000-0000-00008B1F0000}"/>
    <cellStyle name="Entrada 33" xfId="3848" xr:uid="{00000000-0005-0000-0000-00008C1F0000}"/>
    <cellStyle name="Entrada 33 2" xfId="11586" xr:uid="{00000000-0005-0000-0000-00008D1F0000}"/>
    <cellStyle name="Entrada 33 2 2" xfId="11909" xr:uid="{00000000-0005-0000-0000-00008E1F0000}"/>
    <cellStyle name="Entrada 33 2 2 2" xfId="30459" xr:uid="{00000000-0005-0000-0000-00008F1F0000}"/>
    <cellStyle name="Entrada 33 2 2 3" xfId="33072" xr:uid="{00000000-0005-0000-0000-0000901F0000}"/>
    <cellStyle name="Entrada 33 2 2 4" xfId="34679" xr:uid="{00000000-0005-0000-0000-0000911F0000}"/>
    <cellStyle name="Entrada 33 2 2 5" xfId="40801" xr:uid="{00000000-0005-0000-0000-0000921F0000}"/>
    <cellStyle name="Entrada 33 2 3" xfId="11910" xr:uid="{00000000-0005-0000-0000-0000931F0000}"/>
    <cellStyle name="Entrada 33 2 3 2" xfId="30460" xr:uid="{00000000-0005-0000-0000-0000941F0000}"/>
    <cellStyle name="Entrada 33 2 3 3" xfId="33073" xr:uid="{00000000-0005-0000-0000-0000951F0000}"/>
    <cellStyle name="Entrada 33 2 3 4" xfId="34680" xr:uid="{00000000-0005-0000-0000-0000961F0000}"/>
    <cellStyle name="Entrada 33 2 3 5" xfId="40802" xr:uid="{00000000-0005-0000-0000-0000971F0000}"/>
    <cellStyle name="Entrada 33 2 4" xfId="30458" xr:uid="{00000000-0005-0000-0000-0000981F0000}"/>
    <cellStyle name="Entrada 33 2 5" xfId="33071" xr:uid="{00000000-0005-0000-0000-0000991F0000}"/>
    <cellStyle name="Entrada 33 2 6" xfId="34678" xr:uid="{00000000-0005-0000-0000-00009A1F0000}"/>
    <cellStyle name="Entrada 33 2 7" xfId="40800" xr:uid="{00000000-0005-0000-0000-00009B1F0000}"/>
    <cellStyle name="Entrada 33 3" xfId="11911" xr:uid="{00000000-0005-0000-0000-00009C1F0000}"/>
    <cellStyle name="Entrada 33 3 2" xfId="30461" xr:uid="{00000000-0005-0000-0000-00009D1F0000}"/>
    <cellStyle name="Entrada 33 3 3" xfId="33074" xr:uid="{00000000-0005-0000-0000-00009E1F0000}"/>
    <cellStyle name="Entrada 33 3 4" xfId="34681" xr:uid="{00000000-0005-0000-0000-00009F1F0000}"/>
    <cellStyle name="Entrada 33 3 5" xfId="40803" xr:uid="{00000000-0005-0000-0000-0000A01F0000}"/>
    <cellStyle name="Entrada 33 4" xfId="11912" xr:uid="{00000000-0005-0000-0000-0000A11F0000}"/>
    <cellStyle name="Entrada 33 4 2" xfId="30462" xr:uid="{00000000-0005-0000-0000-0000A21F0000}"/>
    <cellStyle name="Entrada 33 4 3" xfId="33075" xr:uid="{00000000-0005-0000-0000-0000A31F0000}"/>
    <cellStyle name="Entrada 33 4 4" xfId="34682" xr:uid="{00000000-0005-0000-0000-0000A41F0000}"/>
    <cellStyle name="Entrada 33 4 5" xfId="40804" xr:uid="{00000000-0005-0000-0000-0000A51F0000}"/>
    <cellStyle name="Entrada 33 5" xfId="30457" xr:uid="{00000000-0005-0000-0000-0000A61F0000}"/>
    <cellStyle name="Entrada 33 6" xfId="33070" xr:uid="{00000000-0005-0000-0000-0000A71F0000}"/>
    <cellStyle name="Entrada 33 7" xfId="34677" xr:uid="{00000000-0005-0000-0000-0000A81F0000}"/>
    <cellStyle name="Entrada 33 8" xfId="40799" xr:uid="{00000000-0005-0000-0000-0000A91F0000}"/>
    <cellStyle name="Entrada 34" xfId="3849" xr:uid="{00000000-0005-0000-0000-0000AA1F0000}"/>
    <cellStyle name="Entrada 34 2" xfId="11587" xr:uid="{00000000-0005-0000-0000-0000AB1F0000}"/>
    <cellStyle name="Entrada 34 2 2" xfId="11913" xr:uid="{00000000-0005-0000-0000-0000AC1F0000}"/>
    <cellStyle name="Entrada 34 2 2 2" xfId="30465" xr:uid="{00000000-0005-0000-0000-0000AD1F0000}"/>
    <cellStyle name="Entrada 34 2 2 3" xfId="33078" xr:uid="{00000000-0005-0000-0000-0000AE1F0000}"/>
    <cellStyle name="Entrada 34 2 2 4" xfId="34685" xr:uid="{00000000-0005-0000-0000-0000AF1F0000}"/>
    <cellStyle name="Entrada 34 2 2 5" xfId="40807" xr:uid="{00000000-0005-0000-0000-0000B01F0000}"/>
    <cellStyle name="Entrada 34 2 3" xfId="11914" xr:uid="{00000000-0005-0000-0000-0000B11F0000}"/>
    <cellStyle name="Entrada 34 2 3 2" xfId="30466" xr:uid="{00000000-0005-0000-0000-0000B21F0000}"/>
    <cellStyle name="Entrada 34 2 3 3" xfId="33079" xr:uid="{00000000-0005-0000-0000-0000B31F0000}"/>
    <cellStyle name="Entrada 34 2 3 4" xfId="34686" xr:uid="{00000000-0005-0000-0000-0000B41F0000}"/>
    <cellStyle name="Entrada 34 2 3 5" xfId="40808" xr:uid="{00000000-0005-0000-0000-0000B51F0000}"/>
    <cellStyle name="Entrada 34 2 4" xfId="30464" xr:uid="{00000000-0005-0000-0000-0000B61F0000}"/>
    <cellStyle name="Entrada 34 2 5" xfId="33077" xr:uid="{00000000-0005-0000-0000-0000B71F0000}"/>
    <cellStyle name="Entrada 34 2 6" xfId="34684" xr:uid="{00000000-0005-0000-0000-0000B81F0000}"/>
    <cellStyle name="Entrada 34 2 7" xfId="40806" xr:uid="{00000000-0005-0000-0000-0000B91F0000}"/>
    <cellStyle name="Entrada 34 3" xfId="11915" xr:uid="{00000000-0005-0000-0000-0000BA1F0000}"/>
    <cellStyle name="Entrada 34 3 2" xfId="30467" xr:uid="{00000000-0005-0000-0000-0000BB1F0000}"/>
    <cellStyle name="Entrada 34 3 3" xfId="33080" xr:uid="{00000000-0005-0000-0000-0000BC1F0000}"/>
    <cellStyle name="Entrada 34 3 4" xfId="34687" xr:uid="{00000000-0005-0000-0000-0000BD1F0000}"/>
    <cellStyle name="Entrada 34 3 5" xfId="40809" xr:uid="{00000000-0005-0000-0000-0000BE1F0000}"/>
    <cellStyle name="Entrada 34 4" xfId="11916" xr:uid="{00000000-0005-0000-0000-0000BF1F0000}"/>
    <cellStyle name="Entrada 34 4 2" xfId="30468" xr:uid="{00000000-0005-0000-0000-0000C01F0000}"/>
    <cellStyle name="Entrada 34 4 3" xfId="33081" xr:uid="{00000000-0005-0000-0000-0000C11F0000}"/>
    <cellStyle name="Entrada 34 4 4" xfId="34688" xr:uid="{00000000-0005-0000-0000-0000C21F0000}"/>
    <cellStyle name="Entrada 34 4 5" xfId="40810" xr:uid="{00000000-0005-0000-0000-0000C31F0000}"/>
    <cellStyle name="Entrada 34 5" xfId="30463" xr:uid="{00000000-0005-0000-0000-0000C41F0000}"/>
    <cellStyle name="Entrada 34 6" xfId="33076" xr:uid="{00000000-0005-0000-0000-0000C51F0000}"/>
    <cellStyle name="Entrada 34 7" xfId="34683" xr:uid="{00000000-0005-0000-0000-0000C61F0000}"/>
    <cellStyle name="Entrada 34 8" xfId="40805" xr:uid="{00000000-0005-0000-0000-0000C71F0000}"/>
    <cellStyle name="Entrada 35" xfId="3850" xr:uid="{00000000-0005-0000-0000-0000C81F0000}"/>
    <cellStyle name="Entrada 35 2" xfId="11588" xr:uid="{00000000-0005-0000-0000-0000C91F0000}"/>
    <cellStyle name="Entrada 35 2 2" xfId="11917" xr:uid="{00000000-0005-0000-0000-0000CA1F0000}"/>
    <cellStyle name="Entrada 35 2 2 2" xfId="30471" xr:uid="{00000000-0005-0000-0000-0000CB1F0000}"/>
    <cellStyle name="Entrada 35 2 2 3" xfId="33084" xr:uid="{00000000-0005-0000-0000-0000CC1F0000}"/>
    <cellStyle name="Entrada 35 2 2 4" xfId="34691" xr:uid="{00000000-0005-0000-0000-0000CD1F0000}"/>
    <cellStyle name="Entrada 35 2 2 5" xfId="40813" xr:uid="{00000000-0005-0000-0000-0000CE1F0000}"/>
    <cellStyle name="Entrada 35 2 3" xfId="11918" xr:uid="{00000000-0005-0000-0000-0000CF1F0000}"/>
    <cellStyle name="Entrada 35 2 3 2" xfId="30472" xr:uid="{00000000-0005-0000-0000-0000D01F0000}"/>
    <cellStyle name="Entrada 35 2 3 3" xfId="33085" xr:uid="{00000000-0005-0000-0000-0000D11F0000}"/>
    <cellStyle name="Entrada 35 2 3 4" xfId="34692" xr:uid="{00000000-0005-0000-0000-0000D21F0000}"/>
    <cellStyle name="Entrada 35 2 3 5" xfId="40814" xr:uid="{00000000-0005-0000-0000-0000D31F0000}"/>
    <cellStyle name="Entrada 35 2 4" xfId="30470" xr:uid="{00000000-0005-0000-0000-0000D41F0000}"/>
    <cellStyle name="Entrada 35 2 5" xfId="33083" xr:uid="{00000000-0005-0000-0000-0000D51F0000}"/>
    <cellStyle name="Entrada 35 2 6" xfId="34690" xr:uid="{00000000-0005-0000-0000-0000D61F0000}"/>
    <cellStyle name="Entrada 35 2 7" xfId="40812" xr:uid="{00000000-0005-0000-0000-0000D71F0000}"/>
    <cellStyle name="Entrada 35 3" xfId="11919" xr:uid="{00000000-0005-0000-0000-0000D81F0000}"/>
    <cellStyle name="Entrada 35 3 2" xfId="30473" xr:uid="{00000000-0005-0000-0000-0000D91F0000}"/>
    <cellStyle name="Entrada 35 3 3" xfId="33086" xr:uid="{00000000-0005-0000-0000-0000DA1F0000}"/>
    <cellStyle name="Entrada 35 3 4" xfId="34693" xr:uid="{00000000-0005-0000-0000-0000DB1F0000}"/>
    <cellStyle name="Entrada 35 3 5" xfId="40815" xr:uid="{00000000-0005-0000-0000-0000DC1F0000}"/>
    <cellStyle name="Entrada 35 4" xfId="11920" xr:uid="{00000000-0005-0000-0000-0000DD1F0000}"/>
    <cellStyle name="Entrada 35 4 2" xfId="30474" xr:uid="{00000000-0005-0000-0000-0000DE1F0000}"/>
    <cellStyle name="Entrada 35 4 3" xfId="33087" xr:uid="{00000000-0005-0000-0000-0000DF1F0000}"/>
    <cellStyle name="Entrada 35 4 4" xfId="34694" xr:uid="{00000000-0005-0000-0000-0000E01F0000}"/>
    <cellStyle name="Entrada 35 4 5" xfId="40816" xr:uid="{00000000-0005-0000-0000-0000E11F0000}"/>
    <cellStyle name="Entrada 35 5" xfId="30469" xr:uid="{00000000-0005-0000-0000-0000E21F0000}"/>
    <cellStyle name="Entrada 35 6" xfId="33082" xr:uid="{00000000-0005-0000-0000-0000E31F0000}"/>
    <cellStyle name="Entrada 35 7" xfId="34689" xr:uid="{00000000-0005-0000-0000-0000E41F0000}"/>
    <cellStyle name="Entrada 35 8" xfId="40811" xr:uid="{00000000-0005-0000-0000-0000E51F0000}"/>
    <cellStyle name="Entrada 36" xfId="3851" xr:uid="{00000000-0005-0000-0000-0000E61F0000}"/>
    <cellStyle name="Entrada 36 2" xfId="11589" xr:uid="{00000000-0005-0000-0000-0000E71F0000}"/>
    <cellStyle name="Entrada 36 2 2" xfId="11921" xr:uid="{00000000-0005-0000-0000-0000E81F0000}"/>
    <cellStyle name="Entrada 36 2 2 2" xfId="30477" xr:uid="{00000000-0005-0000-0000-0000E91F0000}"/>
    <cellStyle name="Entrada 36 2 2 3" xfId="33090" xr:uid="{00000000-0005-0000-0000-0000EA1F0000}"/>
    <cellStyle name="Entrada 36 2 2 4" xfId="34697" xr:uid="{00000000-0005-0000-0000-0000EB1F0000}"/>
    <cellStyle name="Entrada 36 2 2 5" xfId="40819" xr:uid="{00000000-0005-0000-0000-0000EC1F0000}"/>
    <cellStyle name="Entrada 36 2 3" xfId="11922" xr:uid="{00000000-0005-0000-0000-0000ED1F0000}"/>
    <cellStyle name="Entrada 36 2 3 2" xfId="30478" xr:uid="{00000000-0005-0000-0000-0000EE1F0000}"/>
    <cellStyle name="Entrada 36 2 3 3" xfId="33091" xr:uid="{00000000-0005-0000-0000-0000EF1F0000}"/>
    <cellStyle name="Entrada 36 2 3 4" xfId="34698" xr:uid="{00000000-0005-0000-0000-0000F01F0000}"/>
    <cellStyle name="Entrada 36 2 3 5" xfId="40820" xr:uid="{00000000-0005-0000-0000-0000F11F0000}"/>
    <cellStyle name="Entrada 36 2 4" xfId="30476" xr:uid="{00000000-0005-0000-0000-0000F21F0000}"/>
    <cellStyle name="Entrada 36 2 5" xfId="33089" xr:uid="{00000000-0005-0000-0000-0000F31F0000}"/>
    <cellStyle name="Entrada 36 2 6" xfId="34696" xr:uid="{00000000-0005-0000-0000-0000F41F0000}"/>
    <cellStyle name="Entrada 36 2 7" xfId="40818" xr:uid="{00000000-0005-0000-0000-0000F51F0000}"/>
    <cellStyle name="Entrada 36 3" xfId="11923" xr:uid="{00000000-0005-0000-0000-0000F61F0000}"/>
    <cellStyle name="Entrada 36 3 2" xfId="30479" xr:uid="{00000000-0005-0000-0000-0000F71F0000}"/>
    <cellStyle name="Entrada 36 3 3" xfId="33092" xr:uid="{00000000-0005-0000-0000-0000F81F0000}"/>
    <cellStyle name="Entrada 36 3 4" xfId="34699" xr:uid="{00000000-0005-0000-0000-0000F91F0000}"/>
    <cellStyle name="Entrada 36 3 5" xfId="40821" xr:uid="{00000000-0005-0000-0000-0000FA1F0000}"/>
    <cellStyle name="Entrada 36 4" xfId="11924" xr:uid="{00000000-0005-0000-0000-0000FB1F0000}"/>
    <cellStyle name="Entrada 36 4 2" xfId="30480" xr:uid="{00000000-0005-0000-0000-0000FC1F0000}"/>
    <cellStyle name="Entrada 36 4 3" xfId="33093" xr:uid="{00000000-0005-0000-0000-0000FD1F0000}"/>
    <cellStyle name="Entrada 36 4 4" xfId="34700" xr:uid="{00000000-0005-0000-0000-0000FE1F0000}"/>
    <cellStyle name="Entrada 36 4 5" xfId="40822" xr:uid="{00000000-0005-0000-0000-0000FF1F0000}"/>
    <cellStyle name="Entrada 36 5" xfId="30475" xr:uid="{00000000-0005-0000-0000-000000200000}"/>
    <cellStyle name="Entrada 36 6" xfId="33088" xr:uid="{00000000-0005-0000-0000-000001200000}"/>
    <cellStyle name="Entrada 36 7" xfId="34695" xr:uid="{00000000-0005-0000-0000-000002200000}"/>
    <cellStyle name="Entrada 36 8" xfId="40817" xr:uid="{00000000-0005-0000-0000-000003200000}"/>
    <cellStyle name="Entrada 37" xfId="3852" xr:uid="{00000000-0005-0000-0000-000004200000}"/>
    <cellStyle name="Entrada 37 2" xfId="11590" xr:uid="{00000000-0005-0000-0000-000005200000}"/>
    <cellStyle name="Entrada 37 2 2" xfId="11925" xr:uid="{00000000-0005-0000-0000-000006200000}"/>
    <cellStyle name="Entrada 37 2 2 2" xfId="30483" xr:uid="{00000000-0005-0000-0000-000007200000}"/>
    <cellStyle name="Entrada 37 2 2 3" xfId="33096" xr:uid="{00000000-0005-0000-0000-000008200000}"/>
    <cellStyle name="Entrada 37 2 2 4" xfId="34703" xr:uid="{00000000-0005-0000-0000-000009200000}"/>
    <cellStyle name="Entrada 37 2 2 5" xfId="40825" xr:uid="{00000000-0005-0000-0000-00000A200000}"/>
    <cellStyle name="Entrada 37 2 3" xfId="11926" xr:uid="{00000000-0005-0000-0000-00000B200000}"/>
    <cellStyle name="Entrada 37 2 3 2" xfId="30484" xr:uid="{00000000-0005-0000-0000-00000C200000}"/>
    <cellStyle name="Entrada 37 2 3 3" xfId="33097" xr:uid="{00000000-0005-0000-0000-00000D200000}"/>
    <cellStyle name="Entrada 37 2 3 4" xfId="34704" xr:uid="{00000000-0005-0000-0000-00000E200000}"/>
    <cellStyle name="Entrada 37 2 3 5" xfId="40826" xr:uid="{00000000-0005-0000-0000-00000F200000}"/>
    <cellStyle name="Entrada 37 2 4" xfId="30482" xr:uid="{00000000-0005-0000-0000-000010200000}"/>
    <cellStyle name="Entrada 37 2 5" xfId="33095" xr:uid="{00000000-0005-0000-0000-000011200000}"/>
    <cellStyle name="Entrada 37 2 6" xfId="34702" xr:uid="{00000000-0005-0000-0000-000012200000}"/>
    <cellStyle name="Entrada 37 2 7" xfId="40824" xr:uid="{00000000-0005-0000-0000-000013200000}"/>
    <cellStyle name="Entrada 37 3" xfId="11927" xr:uid="{00000000-0005-0000-0000-000014200000}"/>
    <cellStyle name="Entrada 37 3 2" xfId="30485" xr:uid="{00000000-0005-0000-0000-000015200000}"/>
    <cellStyle name="Entrada 37 3 3" xfId="33098" xr:uid="{00000000-0005-0000-0000-000016200000}"/>
    <cellStyle name="Entrada 37 3 4" xfId="34705" xr:uid="{00000000-0005-0000-0000-000017200000}"/>
    <cellStyle name="Entrada 37 3 5" xfId="40827" xr:uid="{00000000-0005-0000-0000-000018200000}"/>
    <cellStyle name="Entrada 37 4" xfId="11928" xr:uid="{00000000-0005-0000-0000-000019200000}"/>
    <cellStyle name="Entrada 37 4 2" xfId="30486" xr:uid="{00000000-0005-0000-0000-00001A200000}"/>
    <cellStyle name="Entrada 37 4 3" xfId="33099" xr:uid="{00000000-0005-0000-0000-00001B200000}"/>
    <cellStyle name="Entrada 37 4 4" xfId="34706" xr:uid="{00000000-0005-0000-0000-00001C200000}"/>
    <cellStyle name="Entrada 37 4 5" xfId="40828" xr:uid="{00000000-0005-0000-0000-00001D200000}"/>
    <cellStyle name="Entrada 37 5" xfId="30481" xr:uid="{00000000-0005-0000-0000-00001E200000}"/>
    <cellStyle name="Entrada 37 6" xfId="33094" xr:uid="{00000000-0005-0000-0000-00001F200000}"/>
    <cellStyle name="Entrada 37 7" xfId="34701" xr:uid="{00000000-0005-0000-0000-000020200000}"/>
    <cellStyle name="Entrada 37 8" xfId="40823" xr:uid="{00000000-0005-0000-0000-000021200000}"/>
    <cellStyle name="Entrada 38" xfId="3853" xr:uid="{00000000-0005-0000-0000-000022200000}"/>
    <cellStyle name="Entrada 38 2" xfId="11591" xr:uid="{00000000-0005-0000-0000-000023200000}"/>
    <cellStyle name="Entrada 38 2 2" xfId="11929" xr:uid="{00000000-0005-0000-0000-000024200000}"/>
    <cellStyle name="Entrada 38 2 2 2" xfId="30489" xr:uid="{00000000-0005-0000-0000-000025200000}"/>
    <cellStyle name="Entrada 38 2 2 3" xfId="33102" xr:uid="{00000000-0005-0000-0000-000026200000}"/>
    <cellStyle name="Entrada 38 2 2 4" xfId="34709" xr:uid="{00000000-0005-0000-0000-000027200000}"/>
    <cellStyle name="Entrada 38 2 2 5" xfId="40831" xr:uid="{00000000-0005-0000-0000-000028200000}"/>
    <cellStyle name="Entrada 38 2 3" xfId="11930" xr:uid="{00000000-0005-0000-0000-000029200000}"/>
    <cellStyle name="Entrada 38 2 3 2" xfId="30490" xr:uid="{00000000-0005-0000-0000-00002A200000}"/>
    <cellStyle name="Entrada 38 2 3 3" xfId="33103" xr:uid="{00000000-0005-0000-0000-00002B200000}"/>
    <cellStyle name="Entrada 38 2 3 4" xfId="34710" xr:uid="{00000000-0005-0000-0000-00002C200000}"/>
    <cellStyle name="Entrada 38 2 3 5" xfId="40832" xr:uid="{00000000-0005-0000-0000-00002D200000}"/>
    <cellStyle name="Entrada 38 2 4" xfId="30488" xr:uid="{00000000-0005-0000-0000-00002E200000}"/>
    <cellStyle name="Entrada 38 2 5" xfId="33101" xr:uid="{00000000-0005-0000-0000-00002F200000}"/>
    <cellStyle name="Entrada 38 2 6" xfId="34708" xr:uid="{00000000-0005-0000-0000-000030200000}"/>
    <cellStyle name="Entrada 38 2 7" xfId="40830" xr:uid="{00000000-0005-0000-0000-000031200000}"/>
    <cellStyle name="Entrada 38 3" xfId="11931" xr:uid="{00000000-0005-0000-0000-000032200000}"/>
    <cellStyle name="Entrada 38 3 2" xfId="30491" xr:uid="{00000000-0005-0000-0000-000033200000}"/>
    <cellStyle name="Entrada 38 3 3" xfId="33104" xr:uid="{00000000-0005-0000-0000-000034200000}"/>
    <cellStyle name="Entrada 38 3 4" xfId="34711" xr:uid="{00000000-0005-0000-0000-000035200000}"/>
    <cellStyle name="Entrada 38 3 5" xfId="40833" xr:uid="{00000000-0005-0000-0000-000036200000}"/>
    <cellStyle name="Entrada 38 4" xfId="11932" xr:uid="{00000000-0005-0000-0000-000037200000}"/>
    <cellStyle name="Entrada 38 4 2" xfId="30492" xr:uid="{00000000-0005-0000-0000-000038200000}"/>
    <cellStyle name="Entrada 38 4 3" xfId="33105" xr:uid="{00000000-0005-0000-0000-000039200000}"/>
    <cellStyle name="Entrada 38 4 4" xfId="34712" xr:uid="{00000000-0005-0000-0000-00003A200000}"/>
    <cellStyle name="Entrada 38 4 5" xfId="40834" xr:uid="{00000000-0005-0000-0000-00003B200000}"/>
    <cellStyle name="Entrada 38 5" xfId="30487" xr:uid="{00000000-0005-0000-0000-00003C200000}"/>
    <cellStyle name="Entrada 38 6" xfId="33100" xr:uid="{00000000-0005-0000-0000-00003D200000}"/>
    <cellStyle name="Entrada 38 7" xfId="34707" xr:uid="{00000000-0005-0000-0000-00003E200000}"/>
    <cellStyle name="Entrada 38 8" xfId="40829" xr:uid="{00000000-0005-0000-0000-00003F200000}"/>
    <cellStyle name="Entrada 39" xfId="3854" xr:uid="{00000000-0005-0000-0000-000040200000}"/>
    <cellStyle name="Entrada 39 2" xfId="11592" xr:uid="{00000000-0005-0000-0000-000041200000}"/>
    <cellStyle name="Entrada 39 2 2" xfId="11933" xr:uid="{00000000-0005-0000-0000-000042200000}"/>
    <cellStyle name="Entrada 39 2 2 2" xfId="30495" xr:uid="{00000000-0005-0000-0000-000043200000}"/>
    <cellStyle name="Entrada 39 2 2 3" xfId="33108" xr:uid="{00000000-0005-0000-0000-000044200000}"/>
    <cellStyle name="Entrada 39 2 2 4" xfId="34715" xr:uid="{00000000-0005-0000-0000-000045200000}"/>
    <cellStyle name="Entrada 39 2 2 5" xfId="40837" xr:uid="{00000000-0005-0000-0000-000046200000}"/>
    <cellStyle name="Entrada 39 2 3" xfId="11934" xr:uid="{00000000-0005-0000-0000-000047200000}"/>
    <cellStyle name="Entrada 39 2 3 2" xfId="30496" xr:uid="{00000000-0005-0000-0000-000048200000}"/>
    <cellStyle name="Entrada 39 2 3 3" xfId="33109" xr:uid="{00000000-0005-0000-0000-000049200000}"/>
    <cellStyle name="Entrada 39 2 3 4" xfId="34716" xr:uid="{00000000-0005-0000-0000-00004A200000}"/>
    <cellStyle name="Entrada 39 2 3 5" xfId="40838" xr:uid="{00000000-0005-0000-0000-00004B200000}"/>
    <cellStyle name="Entrada 39 2 4" xfId="30494" xr:uid="{00000000-0005-0000-0000-00004C200000}"/>
    <cellStyle name="Entrada 39 2 5" xfId="33107" xr:uid="{00000000-0005-0000-0000-00004D200000}"/>
    <cellStyle name="Entrada 39 2 6" xfId="34714" xr:uid="{00000000-0005-0000-0000-00004E200000}"/>
    <cellStyle name="Entrada 39 2 7" xfId="40836" xr:uid="{00000000-0005-0000-0000-00004F200000}"/>
    <cellStyle name="Entrada 39 3" xfId="11935" xr:uid="{00000000-0005-0000-0000-000050200000}"/>
    <cellStyle name="Entrada 39 3 2" xfId="30497" xr:uid="{00000000-0005-0000-0000-000051200000}"/>
    <cellStyle name="Entrada 39 3 3" xfId="33110" xr:uid="{00000000-0005-0000-0000-000052200000}"/>
    <cellStyle name="Entrada 39 3 4" xfId="34717" xr:uid="{00000000-0005-0000-0000-000053200000}"/>
    <cellStyle name="Entrada 39 3 5" xfId="40839" xr:uid="{00000000-0005-0000-0000-000054200000}"/>
    <cellStyle name="Entrada 39 4" xfId="11936" xr:uid="{00000000-0005-0000-0000-000055200000}"/>
    <cellStyle name="Entrada 39 4 2" xfId="30498" xr:uid="{00000000-0005-0000-0000-000056200000}"/>
    <cellStyle name="Entrada 39 4 3" xfId="33111" xr:uid="{00000000-0005-0000-0000-000057200000}"/>
    <cellStyle name="Entrada 39 4 4" xfId="34718" xr:uid="{00000000-0005-0000-0000-000058200000}"/>
    <cellStyle name="Entrada 39 4 5" xfId="40840" xr:uid="{00000000-0005-0000-0000-000059200000}"/>
    <cellStyle name="Entrada 39 5" xfId="30493" xr:uid="{00000000-0005-0000-0000-00005A200000}"/>
    <cellStyle name="Entrada 39 6" xfId="33106" xr:uid="{00000000-0005-0000-0000-00005B200000}"/>
    <cellStyle name="Entrada 39 7" xfId="34713" xr:uid="{00000000-0005-0000-0000-00005C200000}"/>
    <cellStyle name="Entrada 39 8" xfId="40835" xr:uid="{00000000-0005-0000-0000-00005D200000}"/>
    <cellStyle name="Entrada 4" xfId="3855" xr:uid="{00000000-0005-0000-0000-00005E200000}"/>
    <cellStyle name="Entrada 4 10" xfId="13367" xr:uid="{00000000-0005-0000-0000-00005F200000}"/>
    <cellStyle name="Entrada 4 10 2" xfId="13368" xr:uid="{00000000-0005-0000-0000-000060200000}"/>
    <cellStyle name="Entrada 4 10 2 2" xfId="30501" xr:uid="{00000000-0005-0000-0000-000061200000}"/>
    <cellStyle name="Entrada 4 10 3" xfId="30500" xr:uid="{00000000-0005-0000-0000-000062200000}"/>
    <cellStyle name="Entrada 4 11" xfId="13369" xr:uid="{00000000-0005-0000-0000-000063200000}"/>
    <cellStyle name="Entrada 4 11 2" xfId="30502" xr:uid="{00000000-0005-0000-0000-000064200000}"/>
    <cellStyle name="Entrada 4 12" xfId="30499" xr:uid="{00000000-0005-0000-0000-000065200000}"/>
    <cellStyle name="Entrada 4 13" xfId="33112" xr:uid="{00000000-0005-0000-0000-000066200000}"/>
    <cellStyle name="Entrada 4 14" xfId="33541" xr:uid="{00000000-0005-0000-0000-000067200000}"/>
    <cellStyle name="Entrada 4 15" xfId="34719" xr:uid="{00000000-0005-0000-0000-000068200000}"/>
    <cellStyle name="Entrada 4 16" xfId="40841" xr:uid="{00000000-0005-0000-0000-000069200000}"/>
    <cellStyle name="Entrada 4 2" xfId="11593" xr:uid="{00000000-0005-0000-0000-00006A200000}"/>
    <cellStyle name="Entrada 4 2 10" xfId="13370" xr:uid="{00000000-0005-0000-0000-00006B200000}"/>
    <cellStyle name="Entrada 4 2 10 2" xfId="30504" xr:uid="{00000000-0005-0000-0000-00006C200000}"/>
    <cellStyle name="Entrada 4 2 11" xfId="30503" xr:uid="{00000000-0005-0000-0000-00006D200000}"/>
    <cellStyle name="Entrada 4 2 12" xfId="33113" xr:uid="{00000000-0005-0000-0000-00006E200000}"/>
    <cellStyle name="Entrada 4 2 13" xfId="33542" xr:uid="{00000000-0005-0000-0000-00006F200000}"/>
    <cellStyle name="Entrada 4 2 14" xfId="34720" xr:uid="{00000000-0005-0000-0000-000070200000}"/>
    <cellStyle name="Entrada 4 2 15" xfId="40842" xr:uid="{00000000-0005-0000-0000-000071200000}"/>
    <cellStyle name="Entrada 4 2 2" xfId="11937" xr:uid="{00000000-0005-0000-0000-000072200000}"/>
    <cellStyle name="Entrada 4 2 2 10" xfId="40843" xr:uid="{00000000-0005-0000-0000-000073200000}"/>
    <cellStyle name="Entrada 4 2 2 2" xfId="13371" xr:uid="{00000000-0005-0000-0000-000074200000}"/>
    <cellStyle name="Entrada 4 2 2 2 2" xfId="30506" xr:uid="{00000000-0005-0000-0000-000075200000}"/>
    <cellStyle name="Entrada 4 2 2 3" xfId="13372" xr:uid="{00000000-0005-0000-0000-000076200000}"/>
    <cellStyle name="Entrada 4 2 2 3 2" xfId="30507" xr:uid="{00000000-0005-0000-0000-000077200000}"/>
    <cellStyle name="Entrada 4 2 2 4" xfId="13373" xr:uid="{00000000-0005-0000-0000-000078200000}"/>
    <cellStyle name="Entrada 4 2 2 4 2" xfId="30508" xr:uid="{00000000-0005-0000-0000-000079200000}"/>
    <cellStyle name="Entrada 4 2 2 5" xfId="13374" xr:uid="{00000000-0005-0000-0000-00007A200000}"/>
    <cellStyle name="Entrada 4 2 2 5 2" xfId="30509" xr:uid="{00000000-0005-0000-0000-00007B200000}"/>
    <cellStyle name="Entrada 4 2 2 6" xfId="13375" xr:uid="{00000000-0005-0000-0000-00007C200000}"/>
    <cellStyle name="Entrada 4 2 2 6 2" xfId="30510" xr:uid="{00000000-0005-0000-0000-00007D200000}"/>
    <cellStyle name="Entrada 4 2 2 7" xfId="30505" xr:uid="{00000000-0005-0000-0000-00007E200000}"/>
    <cellStyle name="Entrada 4 2 2 8" xfId="33114" xr:uid="{00000000-0005-0000-0000-00007F200000}"/>
    <cellStyle name="Entrada 4 2 2 9" xfId="34721" xr:uid="{00000000-0005-0000-0000-000080200000}"/>
    <cellStyle name="Entrada 4 2 3" xfId="11938" xr:uid="{00000000-0005-0000-0000-000081200000}"/>
    <cellStyle name="Entrada 4 2 3 10" xfId="40844" xr:uid="{00000000-0005-0000-0000-000082200000}"/>
    <cellStyle name="Entrada 4 2 3 2" xfId="13376" xr:uid="{00000000-0005-0000-0000-000083200000}"/>
    <cellStyle name="Entrada 4 2 3 2 2" xfId="30512" xr:uid="{00000000-0005-0000-0000-000084200000}"/>
    <cellStyle name="Entrada 4 2 3 3" xfId="13377" xr:uid="{00000000-0005-0000-0000-000085200000}"/>
    <cellStyle name="Entrada 4 2 3 3 2" xfId="30513" xr:uid="{00000000-0005-0000-0000-000086200000}"/>
    <cellStyle name="Entrada 4 2 3 4" xfId="13378" xr:uid="{00000000-0005-0000-0000-000087200000}"/>
    <cellStyle name="Entrada 4 2 3 4 2" xfId="30514" xr:uid="{00000000-0005-0000-0000-000088200000}"/>
    <cellStyle name="Entrada 4 2 3 5" xfId="13379" xr:uid="{00000000-0005-0000-0000-000089200000}"/>
    <cellStyle name="Entrada 4 2 3 5 2" xfId="30515" xr:uid="{00000000-0005-0000-0000-00008A200000}"/>
    <cellStyle name="Entrada 4 2 3 6" xfId="13380" xr:uid="{00000000-0005-0000-0000-00008B200000}"/>
    <cellStyle name="Entrada 4 2 3 6 2" xfId="30516" xr:uid="{00000000-0005-0000-0000-00008C200000}"/>
    <cellStyle name="Entrada 4 2 3 7" xfId="30511" xr:uid="{00000000-0005-0000-0000-00008D200000}"/>
    <cellStyle name="Entrada 4 2 3 8" xfId="33115" xr:uid="{00000000-0005-0000-0000-00008E200000}"/>
    <cellStyle name="Entrada 4 2 3 9" xfId="34722" xr:uid="{00000000-0005-0000-0000-00008F200000}"/>
    <cellStyle name="Entrada 4 2 4" xfId="13381" xr:uid="{00000000-0005-0000-0000-000090200000}"/>
    <cellStyle name="Entrada 4 2 4 2" xfId="13382" xr:uid="{00000000-0005-0000-0000-000091200000}"/>
    <cellStyle name="Entrada 4 2 4 2 2" xfId="30518" xr:uid="{00000000-0005-0000-0000-000092200000}"/>
    <cellStyle name="Entrada 4 2 4 3" xfId="13383" xr:uid="{00000000-0005-0000-0000-000093200000}"/>
    <cellStyle name="Entrada 4 2 4 3 2" xfId="30519" xr:uid="{00000000-0005-0000-0000-000094200000}"/>
    <cellStyle name="Entrada 4 2 4 4" xfId="13384" xr:uid="{00000000-0005-0000-0000-000095200000}"/>
    <cellStyle name="Entrada 4 2 4 4 2" xfId="30520" xr:uid="{00000000-0005-0000-0000-000096200000}"/>
    <cellStyle name="Entrada 4 2 4 5" xfId="13385" xr:uid="{00000000-0005-0000-0000-000097200000}"/>
    <cellStyle name="Entrada 4 2 4 5 2" xfId="30521" xr:uid="{00000000-0005-0000-0000-000098200000}"/>
    <cellStyle name="Entrada 4 2 4 6" xfId="30517" xr:uid="{00000000-0005-0000-0000-000099200000}"/>
    <cellStyle name="Entrada 4 2 5" xfId="13386" xr:uid="{00000000-0005-0000-0000-00009A200000}"/>
    <cellStyle name="Entrada 4 2 5 2" xfId="13387" xr:uid="{00000000-0005-0000-0000-00009B200000}"/>
    <cellStyle name="Entrada 4 2 5 2 2" xfId="30523" xr:uid="{00000000-0005-0000-0000-00009C200000}"/>
    <cellStyle name="Entrada 4 2 5 3" xfId="13388" xr:uid="{00000000-0005-0000-0000-00009D200000}"/>
    <cellStyle name="Entrada 4 2 5 3 2" xfId="30524" xr:uid="{00000000-0005-0000-0000-00009E200000}"/>
    <cellStyle name="Entrada 4 2 5 4" xfId="13389" xr:uid="{00000000-0005-0000-0000-00009F200000}"/>
    <cellStyle name="Entrada 4 2 5 4 2" xfId="30525" xr:uid="{00000000-0005-0000-0000-0000A0200000}"/>
    <cellStyle name="Entrada 4 2 5 5" xfId="13390" xr:uid="{00000000-0005-0000-0000-0000A1200000}"/>
    <cellStyle name="Entrada 4 2 5 5 2" xfId="30526" xr:uid="{00000000-0005-0000-0000-0000A2200000}"/>
    <cellStyle name="Entrada 4 2 5 6" xfId="30522" xr:uid="{00000000-0005-0000-0000-0000A3200000}"/>
    <cellStyle name="Entrada 4 2 6" xfId="13391" xr:uid="{00000000-0005-0000-0000-0000A4200000}"/>
    <cellStyle name="Entrada 4 2 6 2" xfId="13392" xr:uid="{00000000-0005-0000-0000-0000A5200000}"/>
    <cellStyle name="Entrada 4 2 6 2 2" xfId="30528" xr:uid="{00000000-0005-0000-0000-0000A6200000}"/>
    <cellStyle name="Entrada 4 2 6 3" xfId="13393" xr:uid="{00000000-0005-0000-0000-0000A7200000}"/>
    <cellStyle name="Entrada 4 2 6 3 2" xfId="30529" xr:uid="{00000000-0005-0000-0000-0000A8200000}"/>
    <cellStyle name="Entrada 4 2 6 4" xfId="13394" xr:uid="{00000000-0005-0000-0000-0000A9200000}"/>
    <cellStyle name="Entrada 4 2 6 4 2" xfId="30530" xr:uid="{00000000-0005-0000-0000-0000AA200000}"/>
    <cellStyle name="Entrada 4 2 6 5" xfId="13395" xr:uid="{00000000-0005-0000-0000-0000AB200000}"/>
    <cellStyle name="Entrada 4 2 6 5 2" xfId="30531" xr:uid="{00000000-0005-0000-0000-0000AC200000}"/>
    <cellStyle name="Entrada 4 2 6 6" xfId="30527" xr:uid="{00000000-0005-0000-0000-0000AD200000}"/>
    <cellStyle name="Entrada 4 2 7" xfId="13396" xr:uid="{00000000-0005-0000-0000-0000AE200000}"/>
    <cellStyle name="Entrada 4 2 7 2" xfId="13397" xr:uid="{00000000-0005-0000-0000-0000AF200000}"/>
    <cellStyle name="Entrada 4 2 7 2 2" xfId="30533" xr:uid="{00000000-0005-0000-0000-0000B0200000}"/>
    <cellStyle name="Entrada 4 2 7 3" xfId="13398" xr:uid="{00000000-0005-0000-0000-0000B1200000}"/>
    <cellStyle name="Entrada 4 2 7 3 2" xfId="30534" xr:uid="{00000000-0005-0000-0000-0000B2200000}"/>
    <cellStyle name="Entrada 4 2 7 4" xfId="13399" xr:uid="{00000000-0005-0000-0000-0000B3200000}"/>
    <cellStyle name="Entrada 4 2 7 4 2" xfId="30535" xr:uid="{00000000-0005-0000-0000-0000B4200000}"/>
    <cellStyle name="Entrada 4 2 7 5" xfId="13400" xr:uid="{00000000-0005-0000-0000-0000B5200000}"/>
    <cellStyle name="Entrada 4 2 7 5 2" xfId="30536" xr:uid="{00000000-0005-0000-0000-0000B6200000}"/>
    <cellStyle name="Entrada 4 2 7 6" xfId="30532" xr:uid="{00000000-0005-0000-0000-0000B7200000}"/>
    <cellStyle name="Entrada 4 2 8" xfId="13401" xr:uid="{00000000-0005-0000-0000-0000B8200000}"/>
    <cellStyle name="Entrada 4 2 8 2" xfId="13402" xr:uid="{00000000-0005-0000-0000-0000B9200000}"/>
    <cellStyle name="Entrada 4 2 8 2 2" xfId="30538" xr:uid="{00000000-0005-0000-0000-0000BA200000}"/>
    <cellStyle name="Entrada 4 2 8 3" xfId="13403" xr:uid="{00000000-0005-0000-0000-0000BB200000}"/>
    <cellStyle name="Entrada 4 2 8 3 2" xfId="30539" xr:uid="{00000000-0005-0000-0000-0000BC200000}"/>
    <cellStyle name="Entrada 4 2 8 4" xfId="13404" xr:uid="{00000000-0005-0000-0000-0000BD200000}"/>
    <cellStyle name="Entrada 4 2 8 4 2" xfId="30540" xr:uid="{00000000-0005-0000-0000-0000BE200000}"/>
    <cellStyle name="Entrada 4 2 8 5" xfId="13405" xr:uid="{00000000-0005-0000-0000-0000BF200000}"/>
    <cellStyle name="Entrada 4 2 8 5 2" xfId="30541" xr:uid="{00000000-0005-0000-0000-0000C0200000}"/>
    <cellStyle name="Entrada 4 2 8 6" xfId="13406" xr:uid="{00000000-0005-0000-0000-0000C1200000}"/>
    <cellStyle name="Entrada 4 2 8 6 2" xfId="30542" xr:uid="{00000000-0005-0000-0000-0000C2200000}"/>
    <cellStyle name="Entrada 4 2 8 7" xfId="30537" xr:uid="{00000000-0005-0000-0000-0000C3200000}"/>
    <cellStyle name="Entrada 4 2 9" xfId="13407" xr:uid="{00000000-0005-0000-0000-0000C4200000}"/>
    <cellStyle name="Entrada 4 2 9 2" xfId="13408" xr:uid="{00000000-0005-0000-0000-0000C5200000}"/>
    <cellStyle name="Entrada 4 2 9 2 2" xfId="30544" xr:uid="{00000000-0005-0000-0000-0000C6200000}"/>
    <cellStyle name="Entrada 4 2 9 3" xfId="30543" xr:uid="{00000000-0005-0000-0000-0000C7200000}"/>
    <cellStyle name="Entrada 4 3" xfId="11939" xr:uid="{00000000-0005-0000-0000-0000C8200000}"/>
    <cellStyle name="Entrada 4 3 10" xfId="40845" xr:uid="{00000000-0005-0000-0000-0000C9200000}"/>
    <cellStyle name="Entrada 4 3 2" xfId="13409" xr:uid="{00000000-0005-0000-0000-0000CA200000}"/>
    <cellStyle name="Entrada 4 3 2 2" xfId="30546" xr:uid="{00000000-0005-0000-0000-0000CB200000}"/>
    <cellStyle name="Entrada 4 3 3" xfId="13410" xr:uid="{00000000-0005-0000-0000-0000CC200000}"/>
    <cellStyle name="Entrada 4 3 3 2" xfId="30547" xr:uid="{00000000-0005-0000-0000-0000CD200000}"/>
    <cellStyle name="Entrada 4 3 4" xfId="13411" xr:uid="{00000000-0005-0000-0000-0000CE200000}"/>
    <cellStyle name="Entrada 4 3 4 2" xfId="30548" xr:uid="{00000000-0005-0000-0000-0000CF200000}"/>
    <cellStyle name="Entrada 4 3 5" xfId="13412" xr:uid="{00000000-0005-0000-0000-0000D0200000}"/>
    <cellStyle name="Entrada 4 3 5 2" xfId="30549" xr:uid="{00000000-0005-0000-0000-0000D1200000}"/>
    <cellStyle name="Entrada 4 3 6" xfId="13413" xr:uid="{00000000-0005-0000-0000-0000D2200000}"/>
    <cellStyle name="Entrada 4 3 6 2" xfId="30550" xr:uid="{00000000-0005-0000-0000-0000D3200000}"/>
    <cellStyle name="Entrada 4 3 7" xfId="30545" xr:uid="{00000000-0005-0000-0000-0000D4200000}"/>
    <cellStyle name="Entrada 4 3 8" xfId="33116" xr:uid="{00000000-0005-0000-0000-0000D5200000}"/>
    <cellStyle name="Entrada 4 3 9" xfId="34723" xr:uid="{00000000-0005-0000-0000-0000D6200000}"/>
    <cellStyle name="Entrada 4 4" xfId="11940" xr:uid="{00000000-0005-0000-0000-0000D7200000}"/>
    <cellStyle name="Entrada 4 4 10" xfId="40846" xr:uid="{00000000-0005-0000-0000-0000D8200000}"/>
    <cellStyle name="Entrada 4 4 2" xfId="13414" xr:uid="{00000000-0005-0000-0000-0000D9200000}"/>
    <cellStyle name="Entrada 4 4 2 2" xfId="30552" xr:uid="{00000000-0005-0000-0000-0000DA200000}"/>
    <cellStyle name="Entrada 4 4 3" xfId="13415" xr:uid="{00000000-0005-0000-0000-0000DB200000}"/>
    <cellStyle name="Entrada 4 4 3 2" xfId="30553" xr:uid="{00000000-0005-0000-0000-0000DC200000}"/>
    <cellStyle name="Entrada 4 4 4" xfId="13416" xr:uid="{00000000-0005-0000-0000-0000DD200000}"/>
    <cellStyle name="Entrada 4 4 4 2" xfId="30554" xr:uid="{00000000-0005-0000-0000-0000DE200000}"/>
    <cellStyle name="Entrada 4 4 5" xfId="13417" xr:uid="{00000000-0005-0000-0000-0000DF200000}"/>
    <cellStyle name="Entrada 4 4 5 2" xfId="30555" xr:uid="{00000000-0005-0000-0000-0000E0200000}"/>
    <cellStyle name="Entrada 4 4 6" xfId="13418" xr:uid="{00000000-0005-0000-0000-0000E1200000}"/>
    <cellStyle name="Entrada 4 4 6 2" xfId="30556" xr:uid="{00000000-0005-0000-0000-0000E2200000}"/>
    <cellStyle name="Entrada 4 4 7" xfId="30551" xr:uid="{00000000-0005-0000-0000-0000E3200000}"/>
    <cellStyle name="Entrada 4 4 8" xfId="33117" xr:uid="{00000000-0005-0000-0000-0000E4200000}"/>
    <cellStyle name="Entrada 4 4 9" xfId="34724" xr:uid="{00000000-0005-0000-0000-0000E5200000}"/>
    <cellStyle name="Entrada 4 5" xfId="13419" xr:uid="{00000000-0005-0000-0000-0000E6200000}"/>
    <cellStyle name="Entrada 4 5 2" xfId="13420" xr:uid="{00000000-0005-0000-0000-0000E7200000}"/>
    <cellStyle name="Entrada 4 5 2 2" xfId="30558" xr:uid="{00000000-0005-0000-0000-0000E8200000}"/>
    <cellStyle name="Entrada 4 5 3" xfId="13421" xr:uid="{00000000-0005-0000-0000-0000E9200000}"/>
    <cellStyle name="Entrada 4 5 3 2" xfId="30559" xr:uid="{00000000-0005-0000-0000-0000EA200000}"/>
    <cellStyle name="Entrada 4 5 4" xfId="13422" xr:uid="{00000000-0005-0000-0000-0000EB200000}"/>
    <cellStyle name="Entrada 4 5 4 2" xfId="30560" xr:uid="{00000000-0005-0000-0000-0000EC200000}"/>
    <cellStyle name="Entrada 4 5 5" xfId="13423" xr:uid="{00000000-0005-0000-0000-0000ED200000}"/>
    <cellStyle name="Entrada 4 5 5 2" xfId="30561" xr:uid="{00000000-0005-0000-0000-0000EE200000}"/>
    <cellStyle name="Entrada 4 5 6" xfId="30557" xr:uid="{00000000-0005-0000-0000-0000EF200000}"/>
    <cellStyle name="Entrada 4 6" xfId="13424" xr:uid="{00000000-0005-0000-0000-0000F0200000}"/>
    <cellStyle name="Entrada 4 6 2" xfId="13425" xr:uid="{00000000-0005-0000-0000-0000F1200000}"/>
    <cellStyle name="Entrada 4 6 2 2" xfId="30563" xr:uid="{00000000-0005-0000-0000-0000F2200000}"/>
    <cellStyle name="Entrada 4 6 3" xfId="13426" xr:uid="{00000000-0005-0000-0000-0000F3200000}"/>
    <cellStyle name="Entrada 4 6 3 2" xfId="30564" xr:uid="{00000000-0005-0000-0000-0000F4200000}"/>
    <cellStyle name="Entrada 4 6 4" xfId="13427" xr:uid="{00000000-0005-0000-0000-0000F5200000}"/>
    <cellStyle name="Entrada 4 6 4 2" xfId="30565" xr:uid="{00000000-0005-0000-0000-0000F6200000}"/>
    <cellStyle name="Entrada 4 6 5" xfId="13428" xr:uid="{00000000-0005-0000-0000-0000F7200000}"/>
    <cellStyle name="Entrada 4 6 5 2" xfId="30566" xr:uid="{00000000-0005-0000-0000-0000F8200000}"/>
    <cellStyle name="Entrada 4 6 6" xfId="30562" xr:uid="{00000000-0005-0000-0000-0000F9200000}"/>
    <cellStyle name="Entrada 4 7" xfId="13429" xr:uid="{00000000-0005-0000-0000-0000FA200000}"/>
    <cellStyle name="Entrada 4 7 2" xfId="13430" xr:uid="{00000000-0005-0000-0000-0000FB200000}"/>
    <cellStyle name="Entrada 4 7 2 2" xfId="30568" xr:uid="{00000000-0005-0000-0000-0000FC200000}"/>
    <cellStyle name="Entrada 4 7 3" xfId="13431" xr:uid="{00000000-0005-0000-0000-0000FD200000}"/>
    <cellStyle name="Entrada 4 7 3 2" xfId="30569" xr:uid="{00000000-0005-0000-0000-0000FE200000}"/>
    <cellStyle name="Entrada 4 7 4" xfId="13432" xr:uid="{00000000-0005-0000-0000-0000FF200000}"/>
    <cellStyle name="Entrada 4 7 4 2" xfId="30570" xr:uid="{00000000-0005-0000-0000-000000210000}"/>
    <cellStyle name="Entrada 4 7 5" xfId="13433" xr:uid="{00000000-0005-0000-0000-000001210000}"/>
    <cellStyle name="Entrada 4 7 5 2" xfId="30571" xr:uid="{00000000-0005-0000-0000-000002210000}"/>
    <cellStyle name="Entrada 4 7 6" xfId="30567" xr:uid="{00000000-0005-0000-0000-000003210000}"/>
    <cellStyle name="Entrada 4 8" xfId="13434" xr:uid="{00000000-0005-0000-0000-000004210000}"/>
    <cellStyle name="Entrada 4 8 2" xfId="13435" xr:uid="{00000000-0005-0000-0000-000005210000}"/>
    <cellStyle name="Entrada 4 8 2 2" xfId="30573" xr:uid="{00000000-0005-0000-0000-000006210000}"/>
    <cellStyle name="Entrada 4 8 3" xfId="13436" xr:uid="{00000000-0005-0000-0000-000007210000}"/>
    <cellStyle name="Entrada 4 8 3 2" xfId="30574" xr:uid="{00000000-0005-0000-0000-000008210000}"/>
    <cellStyle name="Entrada 4 8 4" xfId="13437" xr:uid="{00000000-0005-0000-0000-000009210000}"/>
    <cellStyle name="Entrada 4 8 4 2" xfId="30575" xr:uid="{00000000-0005-0000-0000-00000A210000}"/>
    <cellStyle name="Entrada 4 8 5" xfId="13438" xr:uid="{00000000-0005-0000-0000-00000B210000}"/>
    <cellStyle name="Entrada 4 8 5 2" xfId="30576" xr:uid="{00000000-0005-0000-0000-00000C210000}"/>
    <cellStyle name="Entrada 4 8 6" xfId="30572" xr:uid="{00000000-0005-0000-0000-00000D210000}"/>
    <cellStyle name="Entrada 4 9" xfId="13439" xr:uid="{00000000-0005-0000-0000-00000E210000}"/>
    <cellStyle name="Entrada 4 9 2" xfId="13440" xr:uid="{00000000-0005-0000-0000-00000F210000}"/>
    <cellStyle name="Entrada 4 9 2 2" xfId="30578" xr:uid="{00000000-0005-0000-0000-000010210000}"/>
    <cellStyle name="Entrada 4 9 3" xfId="13441" xr:uid="{00000000-0005-0000-0000-000011210000}"/>
    <cellStyle name="Entrada 4 9 3 2" xfId="30579" xr:uid="{00000000-0005-0000-0000-000012210000}"/>
    <cellStyle name="Entrada 4 9 4" xfId="13442" xr:uid="{00000000-0005-0000-0000-000013210000}"/>
    <cellStyle name="Entrada 4 9 4 2" xfId="30580" xr:uid="{00000000-0005-0000-0000-000014210000}"/>
    <cellStyle name="Entrada 4 9 5" xfId="13443" xr:uid="{00000000-0005-0000-0000-000015210000}"/>
    <cellStyle name="Entrada 4 9 5 2" xfId="30581" xr:uid="{00000000-0005-0000-0000-000016210000}"/>
    <cellStyle name="Entrada 4 9 6" xfId="13444" xr:uid="{00000000-0005-0000-0000-000017210000}"/>
    <cellStyle name="Entrada 4 9 6 2" xfId="30582" xr:uid="{00000000-0005-0000-0000-000018210000}"/>
    <cellStyle name="Entrada 4 9 7" xfId="30577" xr:uid="{00000000-0005-0000-0000-000019210000}"/>
    <cellStyle name="Entrada 40" xfId="3856" xr:uid="{00000000-0005-0000-0000-00001A210000}"/>
    <cellStyle name="Entrada 40 2" xfId="11594" xr:uid="{00000000-0005-0000-0000-00001B210000}"/>
    <cellStyle name="Entrada 40 2 2" xfId="11941" xr:uid="{00000000-0005-0000-0000-00001C210000}"/>
    <cellStyle name="Entrada 40 2 2 2" xfId="30585" xr:uid="{00000000-0005-0000-0000-00001D210000}"/>
    <cellStyle name="Entrada 40 2 2 3" xfId="33120" xr:uid="{00000000-0005-0000-0000-00001E210000}"/>
    <cellStyle name="Entrada 40 2 2 4" xfId="34727" xr:uid="{00000000-0005-0000-0000-00001F210000}"/>
    <cellStyle name="Entrada 40 2 2 5" xfId="40849" xr:uid="{00000000-0005-0000-0000-000020210000}"/>
    <cellStyle name="Entrada 40 2 3" xfId="11942" xr:uid="{00000000-0005-0000-0000-000021210000}"/>
    <cellStyle name="Entrada 40 2 3 2" xfId="30586" xr:uid="{00000000-0005-0000-0000-000022210000}"/>
    <cellStyle name="Entrada 40 2 3 3" xfId="33121" xr:uid="{00000000-0005-0000-0000-000023210000}"/>
    <cellStyle name="Entrada 40 2 3 4" xfId="34728" xr:uid="{00000000-0005-0000-0000-000024210000}"/>
    <cellStyle name="Entrada 40 2 3 5" xfId="40850" xr:uid="{00000000-0005-0000-0000-000025210000}"/>
    <cellStyle name="Entrada 40 2 4" xfId="30584" xr:uid="{00000000-0005-0000-0000-000026210000}"/>
    <cellStyle name="Entrada 40 2 5" xfId="33119" xr:uid="{00000000-0005-0000-0000-000027210000}"/>
    <cellStyle name="Entrada 40 2 6" xfId="34726" xr:uid="{00000000-0005-0000-0000-000028210000}"/>
    <cellStyle name="Entrada 40 2 7" xfId="40848" xr:uid="{00000000-0005-0000-0000-000029210000}"/>
    <cellStyle name="Entrada 40 3" xfId="11943" xr:uid="{00000000-0005-0000-0000-00002A210000}"/>
    <cellStyle name="Entrada 40 3 2" xfId="30587" xr:uid="{00000000-0005-0000-0000-00002B210000}"/>
    <cellStyle name="Entrada 40 3 3" xfId="33122" xr:uid="{00000000-0005-0000-0000-00002C210000}"/>
    <cellStyle name="Entrada 40 3 4" xfId="34729" xr:uid="{00000000-0005-0000-0000-00002D210000}"/>
    <cellStyle name="Entrada 40 3 5" xfId="40851" xr:uid="{00000000-0005-0000-0000-00002E210000}"/>
    <cellStyle name="Entrada 40 4" xfId="11944" xr:uid="{00000000-0005-0000-0000-00002F210000}"/>
    <cellStyle name="Entrada 40 4 2" xfId="30588" xr:uid="{00000000-0005-0000-0000-000030210000}"/>
    <cellStyle name="Entrada 40 4 3" xfId="33123" xr:uid="{00000000-0005-0000-0000-000031210000}"/>
    <cellStyle name="Entrada 40 4 4" xfId="34730" xr:uid="{00000000-0005-0000-0000-000032210000}"/>
    <cellStyle name="Entrada 40 4 5" xfId="40852" xr:uid="{00000000-0005-0000-0000-000033210000}"/>
    <cellStyle name="Entrada 40 5" xfId="30583" xr:uid="{00000000-0005-0000-0000-000034210000}"/>
    <cellStyle name="Entrada 40 6" xfId="33118" xr:uid="{00000000-0005-0000-0000-000035210000}"/>
    <cellStyle name="Entrada 40 7" xfId="34725" xr:uid="{00000000-0005-0000-0000-000036210000}"/>
    <cellStyle name="Entrada 40 8" xfId="40847" xr:uid="{00000000-0005-0000-0000-000037210000}"/>
    <cellStyle name="Entrada 41" xfId="3857" xr:uid="{00000000-0005-0000-0000-000038210000}"/>
    <cellStyle name="Entrada 41 2" xfId="11595" xr:uid="{00000000-0005-0000-0000-000039210000}"/>
    <cellStyle name="Entrada 41 2 2" xfId="11945" xr:uid="{00000000-0005-0000-0000-00003A210000}"/>
    <cellStyle name="Entrada 41 2 2 2" xfId="30591" xr:uid="{00000000-0005-0000-0000-00003B210000}"/>
    <cellStyle name="Entrada 41 2 2 3" xfId="33126" xr:uid="{00000000-0005-0000-0000-00003C210000}"/>
    <cellStyle name="Entrada 41 2 2 4" xfId="34733" xr:uid="{00000000-0005-0000-0000-00003D210000}"/>
    <cellStyle name="Entrada 41 2 2 5" xfId="40855" xr:uid="{00000000-0005-0000-0000-00003E210000}"/>
    <cellStyle name="Entrada 41 2 3" xfId="11946" xr:uid="{00000000-0005-0000-0000-00003F210000}"/>
    <cellStyle name="Entrada 41 2 3 2" xfId="30592" xr:uid="{00000000-0005-0000-0000-000040210000}"/>
    <cellStyle name="Entrada 41 2 3 3" xfId="33127" xr:uid="{00000000-0005-0000-0000-000041210000}"/>
    <cellStyle name="Entrada 41 2 3 4" xfId="34734" xr:uid="{00000000-0005-0000-0000-000042210000}"/>
    <cellStyle name="Entrada 41 2 3 5" xfId="40856" xr:uid="{00000000-0005-0000-0000-000043210000}"/>
    <cellStyle name="Entrada 41 2 4" xfId="30590" xr:uid="{00000000-0005-0000-0000-000044210000}"/>
    <cellStyle name="Entrada 41 2 5" xfId="33125" xr:uid="{00000000-0005-0000-0000-000045210000}"/>
    <cellStyle name="Entrada 41 2 6" xfId="34732" xr:uid="{00000000-0005-0000-0000-000046210000}"/>
    <cellStyle name="Entrada 41 2 7" xfId="40854" xr:uid="{00000000-0005-0000-0000-000047210000}"/>
    <cellStyle name="Entrada 41 3" xfId="11947" xr:uid="{00000000-0005-0000-0000-000048210000}"/>
    <cellStyle name="Entrada 41 3 2" xfId="30593" xr:uid="{00000000-0005-0000-0000-000049210000}"/>
    <cellStyle name="Entrada 41 3 3" xfId="33128" xr:uid="{00000000-0005-0000-0000-00004A210000}"/>
    <cellStyle name="Entrada 41 3 4" xfId="34735" xr:uid="{00000000-0005-0000-0000-00004B210000}"/>
    <cellStyle name="Entrada 41 3 5" xfId="40857" xr:uid="{00000000-0005-0000-0000-00004C210000}"/>
    <cellStyle name="Entrada 41 4" xfId="11948" xr:uid="{00000000-0005-0000-0000-00004D210000}"/>
    <cellStyle name="Entrada 41 4 2" xfId="30594" xr:uid="{00000000-0005-0000-0000-00004E210000}"/>
    <cellStyle name="Entrada 41 4 3" xfId="33129" xr:uid="{00000000-0005-0000-0000-00004F210000}"/>
    <cellStyle name="Entrada 41 4 4" xfId="34736" xr:uid="{00000000-0005-0000-0000-000050210000}"/>
    <cellStyle name="Entrada 41 4 5" xfId="40858" xr:uid="{00000000-0005-0000-0000-000051210000}"/>
    <cellStyle name="Entrada 41 5" xfId="30589" xr:uid="{00000000-0005-0000-0000-000052210000}"/>
    <cellStyle name="Entrada 41 6" xfId="33124" xr:uid="{00000000-0005-0000-0000-000053210000}"/>
    <cellStyle name="Entrada 41 7" xfId="34731" xr:uid="{00000000-0005-0000-0000-000054210000}"/>
    <cellStyle name="Entrada 41 8" xfId="40853" xr:uid="{00000000-0005-0000-0000-000055210000}"/>
    <cellStyle name="Entrada 42" xfId="3858" xr:uid="{00000000-0005-0000-0000-000056210000}"/>
    <cellStyle name="Entrada 42 2" xfId="11596" xr:uid="{00000000-0005-0000-0000-000057210000}"/>
    <cellStyle name="Entrada 42 2 2" xfId="11949" xr:uid="{00000000-0005-0000-0000-000058210000}"/>
    <cellStyle name="Entrada 42 2 2 2" xfId="30597" xr:uid="{00000000-0005-0000-0000-000059210000}"/>
    <cellStyle name="Entrada 42 2 2 3" xfId="33132" xr:uid="{00000000-0005-0000-0000-00005A210000}"/>
    <cellStyle name="Entrada 42 2 2 4" xfId="34739" xr:uid="{00000000-0005-0000-0000-00005B210000}"/>
    <cellStyle name="Entrada 42 2 2 5" xfId="40861" xr:uid="{00000000-0005-0000-0000-00005C210000}"/>
    <cellStyle name="Entrada 42 2 3" xfId="11950" xr:uid="{00000000-0005-0000-0000-00005D210000}"/>
    <cellStyle name="Entrada 42 2 3 2" xfId="30598" xr:uid="{00000000-0005-0000-0000-00005E210000}"/>
    <cellStyle name="Entrada 42 2 3 3" xfId="33133" xr:uid="{00000000-0005-0000-0000-00005F210000}"/>
    <cellStyle name="Entrada 42 2 3 4" xfId="34740" xr:uid="{00000000-0005-0000-0000-000060210000}"/>
    <cellStyle name="Entrada 42 2 3 5" xfId="40862" xr:uid="{00000000-0005-0000-0000-000061210000}"/>
    <cellStyle name="Entrada 42 2 4" xfId="30596" xr:uid="{00000000-0005-0000-0000-000062210000}"/>
    <cellStyle name="Entrada 42 2 5" xfId="33131" xr:uid="{00000000-0005-0000-0000-000063210000}"/>
    <cellStyle name="Entrada 42 2 6" xfId="34738" xr:uid="{00000000-0005-0000-0000-000064210000}"/>
    <cellStyle name="Entrada 42 2 7" xfId="40860" xr:uid="{00000000-0005-0000-0000-000065210000}"/>
    <cellStyle name="Entrada 42 3" xfId="11951" xr:uid="{00000000-0005-0000-0000-000066210000}"/>
    <cellStyle name="Entrada 42 3 2" xfId="30599" xr:uid="{00000000-0005-0000-0000-000067210000}"/>
    <cellStyle name="Entrada 42 3 3" xfId="33134" xr:uid="{00000000-0005-0000-0000-000068210000}"/>
    <cellStyle name="Entrada 42 3 4" xfId="34741" xr:uid="{00000000-0005-0000-0000-000069210000}"/>
    <cellStyle name="Entrada 42 3 5" xfId="40863" xr:uid="{00000000-0005-0000-0000-00006A210000}"/>
    <cellStyle name="Entrada 42 4" xfId="11952" xr:uid="{00000000-0005-0000-0000-00006B210000}"/>
    <cellStyle name="Entrada 42 4 2" xfId="30600" xr:uid="{00000000-0005-0000-0000-00006C210000}"/>
    <cellStyle name="Entrada 42 4 3" xfId="33135" xr:uid="{00000000-0005-0000-0000-00006D210000}"/>
    <cellStyle name="Entrada 42 4 4" xfId="34742" xr:uid="{00000000-0005-0000-0000-00006E210000}"/>
    <cellStyle name="Entrada 42 4 5" xfId="40864" xr:uid="{00000000-0005-0000-0000-00006F210000}"/>
    <cellStyle name="Entrada 42 5" xfId="30595" xr:uid="{00000000-0005-0000-0000-000070210000}"/>
    <cellStyle name="Entrada 42 6" xfId="33130" xr:uid="{00000000-0005-0000-0000-000071210000}"/>
    <cellStyle name="Entrada 42 7" xfId="34737" xr:uid="{00000000-0005-0000-0000-000072210000}"/>
    <cellStyle name="Entrada 42 8" xfId="40859" xr:uid="{00000000-0005-0000-0000-000073210000}"/>
    <cellStyle name="Entrada 43" xfId="3859" xr:uid="{00000000-0005-0000-0000-000074210000}"/>
    <cellStyle name="Entrada 43 2" xfId="11597" xr:uid="{00000000-0005-0000-0000-000075210000}"/>
    <cellStyle name="Entrada 43 2 2" xfId="11953" xr:uid="{00000000-0005-0000-0000-000076210000}"/>
    <cellStyle name="Entrada 43 2 2 2" xfId="30603" xr:uid="{00000000-0005-0000-0000-000077210000}"/>
    <cellStyle name="Entrada 43 2 2 3" xfId="33138" xr:uid="{00000000-0005-0000-0000-000078210000}"/>
    <cellStyle name="Entrada 43 2 2 4" xfId="34745" xr:uid="{00000000-0005-0000-0000-000079210000}"/>
    <cellStyle name="Entrada 43 2 2 5" xfId="40867" xr:uid="{00000000-0005-0000-0000-00007A210000}"/>
    <cellStyle name="Entrada 43 2 3" xfId="11954" xr:uid="{00000000-0005-0000-0000-00007B210000}"/>
    <cellStyle name="Entrada 43 2 3 2" xfId="30604" xr:uid="{00000000-0005-0000-0000-00007C210000}"/>
    <cellStyle name="Entrada 43 2 3 3" xfId="33139" xr:uid="{00000000-0005-0000-0000-00007D210000}"/>
    <cellStyle name="Entrada 43 2 3 4" xfId="34746" xr:uid="{00000000-0005-0000-0000-00007E210000}"/>
    <cellStyle name="Entrada 43 2 3 5" xfId="40868" xr:uid="{00000000-0005-0000-0000-00007F210000}"/>
    <cellStyle name="Entrada 43 2 4" xfId="30602" xr:uid="{00000000-0005-0000-0000-000080210000}"/>
    <cellStyle name="Entrada 43 2 5" xfId="33137" xr:uid="{00000000-0005-0000-0000-000081210000}"/>
    <cellStyle name="Entrada 43 2 6" xfId="34744" xr:uid="{00000000-0005-0000-0000-000082210000}"/>
    <cellStyle name="Entrada 43 2 7" xfId="40866" xr:uid="{00000000-0005-0000-0000-000083210000}"/>
    <cellStyle name="Entrada 43 3" xfId="11955" xr:uid="{00000000-0005-0000-0000-000084210000}"/>
    <cellStyle name="Entrada 43 3 2" xfId="30605" xr:uid="{00000000-0005-0000-0000-000085210000}"/>
    <cellStyle name="Entrada 43 3 3" xfId="33140" xr:uid="{00000000-0005-0000-0000-000086210000}"/>
    <cellStyle name="Entrada 43 3 4" xfId="34747" xr:uid="{00000000-0005-0000-0000-000087210000}"/>
    <cellStyle name="Entrada 43 3 5" xfId="40869" xr:uid="{00000000-0005-0000-0000-000088210000}"/>
    <cellStyle name="Entrada 43 4" xfId="11956" xr:uid="{00000000-0005-0000-0000-000089210000}"/>
    <cellStyle name="Entrada 43 4 2" xfId="30606" xr:uid="{00000000-0005-0000-0000-00008A210000}"/>
    <cellStyle name="Entrada 43 4 3" xfId="33141" xr:uid="{00000000-0005-0000-0000-00008B210000}"/>
    <cellStyle name="Entrada 43 4 4" xfId="34748" xr:uid="{00000000-0005-0000-0000-00008C210000}"/>
    <cellStyle name="Entrada 43 4 5" xfId="40870" xr:uid="{00000000-0005-0000-0000-00008D210000}"/>
    <cellStyle name="Entrada 43 5" xfId="30601" xr:uid="{00000000-0005-0000-0000-00008E210000}"/>
    <cellStyle name="Entrada 43 6" xfId="33136" xr:uid="{00000000-0005-0000-0000-00008F210000}"/>
    <cellStyle name="Entrada 43 7" xfId="34743" xr:uid="{00000000-0005-0000-0000-000090210000}"/>
    <cellStyle name="Entrada 43 8" xfId="40865" xr:uid="{00000000-0005-0000-0000-000091210000}"/>
    <cellStyle name="Entrada 44" xfId="3860" xr:uid="{00000000-0005-0000-0000-000092210000}"/>
    <cellStyle name="Entrada 44 2" xfId="11598" xr:uid="{00000000-0005-0000-0000-000093210000}"/>
    <cellStyle name="Entrada 44 2 2" xfId="11957" xr:uid="{00000000-0005-0000-0000-000094210000}"/>
    <cellStyle name="Entrada 44 2 2 2" xfId="30609" xr:uid="{00000000-0005-0000-0000-000095210000}"/>
    <cellStyle name="Entrada 44 2 2 3" xfId="33144" xr:uid="{00000000-0005-0000-0000-000096210000}"/>
    <cellStyle name="Entrada 44 2 2 4" xfId="34751" xr:uid="{00000000-0005-0000-0000-000097210000}"/>
    <cellStyle name="Entrada 44 2 2 5" xfId="40873" xr:uid="{00000000-0005-0000-0000-000098210000}"/>
    <cellStyle name="Entrada 44 2 3" xfId="11958" xr:uid="{00000000-0005-0000-0000-000099210000}"/>
    <cellStyle name="Entrada 44 2 3 2" xfId="30610" xr:uid="{00000000-0005-0000-0000-00009A210000}"/>
    <cellStyle name="Entrada 44 2 3 3" xfId="33145" xr:uid="{00000000-0005-0000-0000-00009B210000}"/>
    <cellStyle name="Entrada 44 2 3 4" xfId="34752" xr:uid="{00000000-0005-0000-0000-00009C210000}"/>
    <cellStyle name="Entrada 44 2 3 5" xfId="40874" xr:uid="{00000000-0005-0000-0000-00009D210000}"/>
    <cellStyle name="Entrada 44 2 4" xfId="30608" xr:uid="{00000000-0005-0000-0000-00009E210000}"/>
    <cellStyle name="Entrada 44 2 5" xfId="33143" xr:uid="{00000000-0005-0000-0000-00009F210000}"/>
    <cellStyle name="Entrada 44 2 6" xfId="34750" xr:uid="{00000000-0005-0000-0000-0000A0210000}"/>
    <cellStyle name="Entrada 44 2 7" xfId="40872" xr:uid="{00000000-0005-0000-0000-0000A1210000}"/>
    <cellStyle name="Entrada 44 3" xfId="11959" xr:uid="{00000000-0005-0000-0000-0000A2210000}"/>
    <cellStyle name="Entrada 44 3 2" xfId="30611" xr:uid="{00000000-0005-0000-0000-0000A3210000}"/>
    <cellStyle name="Entrada 44 3 3" xfId="33146" xr:uid="{00000000-0005-0000-0000-0000A4210000}"/>
    <cellStyle name="Entrada 44 3 4" xfId="34753" xr:uid="{00000000-0005-0000-0000-0000A5210000}"/>
    <cellStyle name="Entrada 44 3 5" xfId="40875" xr:uid="{00000000-0005-0000-0000-0000A6210000}"/>
    <cellStyle name="Entrada 44 4" xfId="11960" xr:uid="{00000000-0005-0000-0000-0000A7210000}"/>
    <cellStyle name="Entrada 44 4 2" xfId="30612" xr:uid="{00000000-0005-0000-0000-0000A8210000}"/>
    <cellStyle name="Entrada 44 4 3" xfId="33147" xr:uid="{00000000-0005-0000-0000-0000A9210000}"/>
    <cellStyle name="Entrada 44 4 4" xfId="34754" xr:uid="{00000000-0005-0000-0000-0000AA210000}"/>
    <cellStyle name="Entrada 44 4 5" xfId="40876" xr:uid="{00000000-0005-0000-0000-0000AB210000}"/>
    <cellStyle name="Entrada 44 5" xfId="30607" xr:uid="{00000000-0005-0000-0000-0000AC210000}"/>
    <cellStyle name="Entrada 44 6" xfId="33142" xr:uid="{00000000-0005-0000-0000-0000AD210000}"/>
    <cellStyle name="Entrada 44 7" xfId="34749" xr:uid="{00000000-0005-0000-0000-0000AE210000}"/>
    <cellStyle name="Entrada 44 8" xfId="40871" xr:uid="{00000000-0005-0000-0000-0000AF210000}"/>
    <cellStyle name="Entrada 45" xfId="3861" xr:uid="{00000000-0005-0000-0000-0000B0210000}"/>
    <cellStyle name="Entrada 45 2" xfId="11599" xr:uid="{00000000-0005-0000-0000-0000B1210000}"/>
    <cellStyle name="Entrada 45 2 2" xfId="11961" xr:uid="{00000000-0005-0000-0000-0000B2210000}"/>
    <cellStyle name="Entrada 45 2 2 2" xfId="30615" xr:uid="{00000000-0005-0000-0000-0000B3210000}"/>
    <cellStyle name="Entrada 45 2 2 3" xfId="33150" xr:uid="{00000000-0005-0000-0000-0000B4210000}"/>
    <cellStyle name="Entrada 45 2 2 4" xfId="34757" xr:uid="{00000000-0005-0000-0000-0000B5210000}"/>
    <cellStyle name="Entrada 45 2 2 5" xfId="40879" xr:uid="{00000000-0005-0000-0000-0000B6210000}"/>
    <cellStyle name="Entrada 45 2 3" xfId="11962" xr:uid="{00000000-0005-0000-0000-0000B7210000}"/>
    <cellStyle name="Entrada 45 2 3 2" xfId="30616" xr:uid="{00000000-0005-0000-0000-0000B8210000}"/>
    <cellStyle name="Entrada 45 2 3 3" xfId="33151" xr:uid="{00000000-0005-0000-0000-0000B9210000}"/>
    <cellStyle name="Entrada 45 2 3 4" xfId="34758" xr:uid="{00000000-0005-0000-0000-0000BA210000}"/>
    <cellStyle name="Entrada 45 2 3 5" xfId="40880" xr:uid="{00000000-0005-0000-0000-0000BB210000}"/>
    <cellStyle name="Entrada 45 2 4" xfId="30614" xr:uid="{00000000-0005-0000-0000-0000BC210000}"/>
    <cellStyle name="Entrada 45 2 5" xfId="33149" xr:uid="{00000000-0005-0000-0000-0000BD210000}"/>
    <cellStyle name="Entrada 45 2 6" xfId="34756" xr:uid="{00000000-0005-0000-0000-0000BE210000}"/>
    <cellStyle name="Entrada 45 2 7" xfId="40878" xr:uid="{00000000-0005-0000-0000-0000BF210000}"/>
    <cellStyle name="Entrada 45 3" xfId="11963" xr:uid="{00000000-0005-0000-0000-0000C0210000}"/>
    <cellStyle name="Entrada 45 3 2" xfId="30617" xr:uid="{00000000-0005-0000-0000-0000C1210000}"/>
    <cellStyle name="Entrada 45 3 3" xfId="33152" xr:uid="{00000000-0005-0000-0000-0000C2210000}"/>
    <cellStyle name="Entrada 45 3 4" xfId="34759" xr:uid="{00000000-0005-0000-0000-0000C3210000}"/>
    <cellStyle name="Entrada 45 3 5" xfId="40881" xr:uid="{00000000-0005-0000-0000-0000C4210000}"/>
    <cellStyle name="Entrada 45 4" xfId="11964" xr:uid="{00000000-0005-0000-0000-0000C5210000}"/>
    <cellStyle name="Entrada 45 4 2" xfId="30618" xr:uid="{00000000-0005-0000-0000-0000C6210000}"/>
    <cellStyle name="Entrada 45 4 3" xfId="33153" xr:uid="{00000000-0005-0000-0000-0000C7210000}"/>
    <cellStyle name="Entrada 45 4 4" xfId="34760" xr:uid="{00000000-0005-0000-0000-0000C8210000}"/>
    <cellStyle name="Entrada 45 4 5" xfId="40882" xr:uid="{00000000-0005-0000-0000-0000C9210000}"/>
    <cellStyle name="Entrada 45 5" xfId="30613" xr:uid="{00000000-0005-0000-0000-0000CA210000}"/>
    <cellStyle name="Entrada 45 6" xfId="33148" xr:uid="{00000000-0005-0000-0000-0000CB210000}"/>
    <cellStyle name="Entrada 45 7" xfId="34755" xr:uid="{00000000-0005-0000-0000-0000CC210000}"/>
    <cellStyle name="Entrada 45 8" xfId="40877" xr:uid="{00000000-0005-0000-0000-0000CD210000}"/>
    <cellStyle name="Entrada 46" xfId="3862" xr:uid="{00000000-0005-0000-0000-0000CE210000}"/>
    <cellStyle name="Entrada 46 2" xfId="11600" xr:uid="{00000000-0005-0000-0000-0000CF210000}"/>
    <cellStyle name="Entrada 46 2 2" xfId="11965" xr:uid="{00000000-0005-0000-0000-0000D0210000}"/>
    <cellStyle name="Entrada 46 2 2 2" xfId="30621" xr:uid="{00000000-0005-0000-0000-0000D1210000}"/>
    <cellStyle name="Entrada 46 2 2 3" xfId="33156" xr:uid="{00000000-0005-0000-0000-0000D2210000}"/>
    <cellStyle name="Entrada 46 2 2 4" xfId="34763" xr:uid="{00000000-0005-0000-0000-0000D3210000}"/>
    <cellStyle name="Entrada 46 2 2 5" xfId="40885" xr:uid="{00000000-0005-0000-0000-0000D4210000}"/>
    <cellStyle name="Entrada 46 2 3" xfId="11966" xr:uid="{00000000-0005-0000-0000-0000D5210000}"/>
    <cellStyle name="Entrada 46 2 3 2" xfId="30622" xr:uid="{00000000-0005-0000-0000-0000D6210000}"/>
    <cellStyle name="Entrada 46 2 3 3" xfId="33157" xr:uid="{00000000-0005-0000-0000-0000D7210000}"/>
    <cellStyle name="Entrada 46 2 3 4" xfId="34764" xr:uid="{00000000-0005-0000-0000-0000D8210000}"/>
    <cellStyle name="Entrada 46 2 3 5" xfId="40886" xr:uid="{00000000-0005-0000-0000-0000D9210000}"/>
    <cellStyle name="Entrada 46 2 4" xfId="30620" xr:uid="{00000000-0005-0000-0000-0000DA210000}"/>
    <cellStyle name="Entrada 46 2 5" xfId="33155" xr:uid="{00000000-0005-0000-0000-0000DB210000}"/>
    <cellStyle name="Entrada 46 2 6" xfId="34762" xr:uid="{00000000-0005-0000-0000-0000DC210000}"/>
    <cellStyle name="Entrada 46 2 7" xfId="40884" xr:uid="{00000000-0005-0000-0000-0000DD210000}"/>
    <cellStyle name="Entrada 46 3" xfId="11967" xr:uid="{00000000-0005-0000-0000-0000DE210000}"/>
    <cellStyle name="Entrada 46 3 2" xfId="30623" xr:uid="{00000000-0005-0000-0000-0000DF210000}"/>
    <cellStyle name="Entrada 46 3 3" xfId="33158" xr:uid="{00000000-0005-0000-0000-0000E0210000}"/>
    <cellStyle name="Entrada 46 3 4" xfId="34765" xr:uid="{00000000-0005-0000-0000-0000E1210000}"/>
    <cellStyle name="Entrada 46 3 5" xfId="40887" xr:uid="{00000000-0005-0000-0000-0000E2210000}"/>
    <cellStyle name="Entrada 46 4" xfId="11968" xr:uid="{00000000-0005-0000-0000-0000E3210000}"/>
    <cellStyle name="Entrada 46 4 2" xfId="30624" xr:uid="{00000000-0005-0000-0000-0000E4210000}"/>
    <cellStyle name="Entrada 46 4 3" xfId="33159" xr:uid="{00000000-0005-0000-0000-0000E5210000}"/>
    <cellStyle name="Entrada 46 4 4" xfId="34766" xr:uid="{00000000-0005-0000-0000-0000E6210000}"/>
    <cellStyle name="Entrada 46 4 5" xfId="40888" xr:uid="{00000000-0005-0000-0000-0000E7210000}"/>
    <cellStyle name="Entrada 46 5" xfId="30619" xr:uid="{00000000-0005-0000-0000-0000E8210000}"/>
    <cellStyle name="Entrada 46 6" xfId="33154" xr:uid="{00000000-0005-0000-0000-0000E9210000}"/>
    <cellStyle name="Entrada 46 7" xfId="34761" xr:uid="{00000000-0005-0000-0000-0000EA210000}"/>
    <cellStyle name="Entrada 46 8" xfId="40883" xr:uid="{00000000-0005-0000-0000-0000EB210000}"/>
    <cellStyle name="Entrada 47" xfId="3863" xr:uid="{00000000-0005-0000-0000-0000EC210000}"/>
    <cellStyle name="Entrada 47 2" xfId="11601" xr:uid="{00000000-0005-0000-0000-0000ED210000}"/>
    <cellStyle name="Entrada 47 2 2" xfId="11969" xr:uid="{00000000-0005-0000-0000-0000EE210000}"/>
    <cellStyle name="Entrada 47 2 2 2" xfId="30627" xr:uid="{00000000-0005-0000-0000-0000EF210000}"/>
    <cellStyle name="Entrada 47 2 2 3" xfId="33162" xr:uid="{00000000-0005-0000-0000-0000F0210000}"/>
    <cellStyle name="Entrada 47 2 2 4" xfId="34769" xr:uid="{00000000-0005-0000-0000-0000F1210000}"/>
    <cellStyle name="Entrada 47 2 2 5" xfId="40891" xr:uid="{00000000-0005-0000-0000-0000F2210000}"/>
    <cellStyle name="Entrada 47 2 3" xfId="11970" xr:uid="{00000000-0005-0000-0000-0000F3210000}"/>
    <cellStyle name="Entrada 47 2 3 2" xfId="30628" xr:uid="{00000000-0005-0000-0000-0000F4210000}"/>
    <cellStyle name="Entrada 47 2 3 3" xfId="33163" xr:uid="{00000000-0005-0000-0000-0000F5210000}"/>
    <cellStyle name="Entrada 47 2 3 4" xfId="34770" xr:uid="{00000000-0005-0000-0000-0000F6210000}"/>
    <cellStyle name="Entrada 47 2 3 5" xfId="40892" xr:uid="{00000000-0005-0000-0000-0000F7210000}"/>
    <cellStyle name="Entrada 47 2 4" xfId="30626" xr:uid="{00000000-0005-0000-0000-0000F8210000}"/>
    <cellStyle name="Entrada 47 2 5" xfId="33161" xr:uid="{00000000-0005-0000-0000-0000F9210000}"/>
    <cellStyle name="Entrada 47 2 6" xfId="34768" xr:uid="{00000000-0005-0000-0000-0000FA210000}"/>
    <cellStyle name="Entrada 47 2 7" xfId="40890" xr:uid="{00000000-0005-0000-0000-0000FB210000}"/>
    <cellStyle name="Entrada 47 3" xfId="11971" xr:uid="{00000000-0005-0000-0000-0000FC210000}"/>
    <cellStyle name="Entrada 47 3 2" xfId="30629" xr:uid="{00000000-0005-0000-0000-0000FD210000}"/>
    <cellStyle name="Entrada 47 3 3" xfId="33164" xr:uid="{00000000-0005-0000-0000-0000FE210000}"/>
    <cellStyle name="Entrada 47 3 4" xfId="34771" xr:uid="{00000000-0005-0000-0000-0000FF210000}"/>
    <cellStyle name="Entrada 47 3 5" xfId="40893" xr:uid="{00000000-0005-0000-0000-000000220000}"/>
    <cellStyle name="Entrada 47 4" xfId="11972" xr:uid="{00000000-0005-0000-0000-000001220000}"/>
    <cellStyle name="Entrada 47 4 2" xfId="30630" xr:uid="{00000000-0005-0000-0000-000002220000}"/>
    <cellStyle name="Entrada 47 4 3" xfId="33165" xr:uid="{00000000-0005-0000-0000-000003220000}"/>
    <cellStyle name="Entrada 47 4 4" xfId="34772" xr:uid="{00000000-0005-0000-0000-000004220000}"/>
    <cellStyle name="Entrada 47 4 5" xfId="40894" xr:uid="{00000000-0005-0000-0000-000005220000}"/>
    <cellStyle name="Entrada 47 5" xfId="30625" xr:uid="{00000000-0005-0000-0000-000006220000}"/>
    <cellStyle name="Entrada 47 6" xfId="33160" xr:uid="{00000000-0005-0000-0000-000007220000}"/>
    <cellStyle name="Entrada 47 7" xfId="34767" xr:uid="{00000000-0005-0000-0000-000008220000}"/>
    <cellStyle name="Entrada 47 8" xfId="40889" xr:uid="{00000000-0005-0000-0000-000009220000}"/>
    <cellStyle name="Entrada 48" xfId="3864" xr:uid="{00000000-0005-0000-0000-00000A220000}"/>
    <cellStyle name="Entrada 48 2" xfId="11602" xr:uid="{00000000-0005-0000-0000-00000B220000}"/>
    <cellStyle name="Entrada 48 2 2" xfId="11973" xr:uid="{00000000-0005-0000-0000-00000C220000}"/>
    <cellStyle name="Entrada 48 2 2 2" xfId="30633" xr:uid="{00000000-0005-0000-0000-00000D220000}"/>
    <cellStyle name="Entrada 48 2 2 3" xfId="33168" xr:uid="{00000000-0005-0000-0000-00000E220000}"/>
    <cellStyle name="Entrada 48 2 2 4" xfId="34775" xr:uid="{00000000-0005-0000-0000-00000F220000}"/>
    <cellStyle name="Entrada 48 2 2 5" xfId="40897" xr:uid="{00000000-0005-0000-0000-000010220000}"/>
    <cellStyle name="Entrada 48 2 3" xfId="11974" xr:uid="{00000000-0005-0000-0000-000011220000}"/>
    <cellStyle name="Entrada 48 2 3 2" xfId="30634" xr:uid="{00000000-0005-0000-0000-000012220000}"/>
    <cellStyle name="Entrada 48 2 3 3" xfId="33169" xr:uid="{00000000-0005-0000-0000-000013220000}"/>
    <cellStyle name="Entrada 48 2 3 4" xfId="34776" xr:uid="{00000000-0005-0000-0000-000014220000}"/>
    <cellStyle name="Entrada 48 2 3 5" xfId="40898" xr:uid="{00000000-0005-0000-0000-000015220000}"/>
    <cellStyle name="Entrada 48 2 4" xfId="30632" xr:uid="{00000000-0005-0000-0000-000016220000}"/>
    <cellStyle name="Entrada 48 2 5" xfId="33167" xr:uid="{00000000-0005-0000-0000-000017220000}"/>
    <cellStyle name="Entrada 48 2 6" xfId="34774" xr:uid="{00000000-0005-0000-0000-000018220000}"/>
    <cellStyle name="Entrada 48 2 7" xfId="40896" xr:uid="{00000000-0005-0000-0000-000019220000}"/>
    <cellStyle name="Entrada 48 3" xfId="11975" xr:uid="{00000000-0005-0000-0000-00001A220000}"/>
    <cellStyle name="Entrada 48 3 2" xfId="30635" xr:uid="{00000000-0005-0000-0000-00001B220000}"/>
    <cellStyle name="Entrada 48 3 3" xfId="33170" xr:uid="{00000000-0005-0000-0000-00001C220000}"/>
    <cellStyle name="Entrada 48 3 4" xfId="34777" xr:uid="{00000000-0005-0000-0000-00001D220000}"/>
    <cellStyle name="Entrada 48 3 5" xfId="40899" xr:uid="{00000000-0005-0000-0000-00001E220000}"/>
    <cellStyle name="Entrada 48 4" xfId="11976" xr:uid="{00000000-0005-0000-0000-00001F220000}"/>
    <cellStyle name="Entrada 48 4 2" xfId="30636" xr:uid="{00000000-0005-0000-0000-000020220000}"/>
    <cellStyle name="Entrada 48 4 3" xfId="33171" xr:uid="{00000000-0005-0000-0000-000021220000}"/>
    <cellStyle name="Entrada 48 4 4" xfId="34778" xr:uid="{00000000-0005-0000-0000-000022220000}"/>
    <cellStyle name="Entrada 48 4 5" xfId="40900" xr:uid="{00000000-0005-0000-0000-000023220000}"/>
    <cellStyle name="Entrada 48 5" xfId="30631" xr:uid="{00000000-0005-0000-0000-000024220000}"/>
    <cellStyle name="Entrada 48 6" xfId="33166" xr:uid="{00000000-0005-0000-0000-000025220000}"/>
    <cellStyle name="Entrada 48 7" xfId="34773" xr:uid="{00000000-0005-0000-0000-000026220000}"/>
    <cellStyle name="Entrada 48 8" xfId="40895" xr:uid="{00000000-0005-0000-0000-000027220000}"/>
    <cellStyle name="Entrada 49" xfId="3865" xr:uid="{00000000-0005-0000-0000-000028220000}"/>
    <cellStyle name="Entrada 49 2" xfId="11603" xr:uid="{00000000-0005-0000-0000-000029220000}"/>
    <cellStyle name="Entrada 49 2 2" xfId="11977" xr:uid="{00000000-0005-0000-0000-00002A220000}"/>
    <cellStyle name="Entrada 49 2 2 2" xfId="30639" xr:uid="{00000000-0005-0000-0000-00002B220000}"/>
    <cellStyle name="Entrada 49 2 2 3" xfId="33174" xr:uid="{00000000-0005-0000-0000-00002C220000}"/>
    <cellStyle name="Entrada 49 2 2 4" xfId="34781" xr:uid="{00000000-0005-0000-0000-00002D220000}"/>
    <cellStyle name="Entrada 49 2 2 5" xfId="40903" xr:uid="{00000000-0005-0000-0000-00002E220000}"/>
    <cellStyle name="Entrada 49 2 3" xfId="11978" xr:uid="{00000000-0005-0000-0000-00002F220000}"/>
    <cellStyle name="Entrada 49 2 3 2" xfId="30640" xr:uid="{00000000-0005-0000-0000-000030220000}"/>
    <cellStyle name="Entrada 49 2 3 3" xfId="33175" xr:uid="{00000000-0005-0000-0000-000031220000}"/>
    <cellStyle name="Entrada 49 2 3 4" xfId="34782" xr:uid="{00000000-0005-0000-0000-000032220000}"/>
    <cellStyle name="Entrada 49 2 3 5" xfId="40904" xr:uid="{00000000-0005-0000-0000-000033220000}"/>
    <cellStyle name="Entrada 49 2 4" xfId="30638" xr:uid="{00000000-0005-0000-0000-000034220000}"/>
    <cellStyle name="Entrada 49 2 5" xfId="33173" xr:uid="{00000000-0005-0000-0000-000035220000}"/>
    <cellStyle name="Entrada 49 2 6" xfId="34780" xr:uid="{00000000-0005-0000-0000-000036220000}"/>
    <cellStyle name="Entrada 49 2 7" xfId="40902" xr:uid="{00000000-0005-0000-0000-000037220000}"/>
    <cellStyle name="Entrada 49 3" xfId="11979" xr:uid="{00000000-0005-0000-0000-000038220000}"/>
    <cellStyle name="Entrada 49 3 2" xfId="30641" xr:uid="{00000000-0005-0000-0000-000039220000}"/>
    <cellStyle name="Entrada 49 3 3" xfId="33176" xr:uid="{00000000-0005-0000-0000-00003A220000}"/>
    <cellStyle name="Entrada 49 3 4" xfId="34783" xr:uid="{00000000-0005-0000-0000-00003B220000}"/>
    <cellStyle name="Entrada 49 3 5" xfId="40905" xr:uid="{00000000-0005-0000-0000-00003C220000}"/>
    <cellStyle name="Entrada 49 4" xfId="11980" xr:uid="{00000000-0005-0000-0000-00003D220000}"/>
    <cellStyle name="Entrada 49 4 2" xfId="30642" xr:uid="{00000000-0005-0000-0000-00003E220000}"/>
    <cellStyle name="Entrada 49 4 3" xfId="33177" xr:uid="{00000000-0005-0000-0000-00003F220000}"/>
    <cellStyle name="Entrada 49 4 4" xfId="34784" xr:uid="{00000000-0005-0000-0000-000040220000}"/>
    <cellStyle name="Entrada 49 4 5" xfId="40906" xr:uid="{00000000-0005-0000-0000-000041220000}"/>
    <cellStyle name="Entrada 49 5" xfId="30637" xr:uid="{00000000-0005-0000-0000-000042220000}"/>
    <cellStyle name="Entrada 49 6" xfId="33172" xr:uid="{00000000-0005-0000-0000-000043220000}"/>
    <cellStyle name="Entrada 49 7" xfId="34779" xr:uid="{00000000-0005-0000-0000-000044220000}"/>
    <cellStyle name="Entrada 49 8" xfId="40901" xr:uid="{00000000-0005-0000-0000-000045220000}"/>
    <cellStyle name="Entrada 5" xfId="3866" xr:uid="{00000000-0005-0000-0000-000046220000}"/>
    <cellStyle name="Entrada 5 2" xfId="11604" xr:uid="{00000000-0005-0000-0000-000047220000}"/>
    <cellStyle name="Entrada 5 2 10" xfId="13445" xr:uid="{00000000-0005-0000-0000-000048220000}"/>
    <cellStyle name="Entrada 5 2 10 2" xfId="30645" xr:uid="{00000000-0005-0000-0000-000049220000}"/>
    <cellStyle name="Entrada 5 2 11" xfId="30644" xr:uid="{00000000-0005-0000-0000-00004A220000}"/>
    <cellStyle name="Entrada 5 2 12" xfId="33179" xr:uid="{00000000-0005-0000-0000-00004B220000}"/>
    <cellStyle name="Entrada 5 2 13" xfId="33543" xr:uid="{00000000-0005-0000-0000-00004C220000}"/>
    <cellStyle name="Entrada 5 2 14" xfId="34786" xr:uid="{00000000-0005-0000-0000-00004D220000}"/>
    <cellStyle name="Entrada 5 2 15" xfId="40908" xr:uid="{00000000-0005-0000-0000-00004E220000}"/>
    <cellStyle name="Entrada 5 2 2" xfId="11981" xr:uid="{00000000-0005-0000-0000-00004F220000}"/>
    <cellStyle name="Entrada 5 2 2 10" xfId="40909" xr:uid="{00000000-0005-0000-0000-000050220000}"/>
    <cellStyle name="Entrada 5 2 2 2" xfId="13446" xr:uid="{00000000-0005-0000-0000-000051220000}"/>
    <cellStyle name="Entrada 5 2 2 2 2" xfId="30647" xr:uid="{00000000-0005-0000-0000-000052220000}"/>
    <cellStyle name="Entrada 5 2 2 3" xfId="13447" xr:uid="{00000000-0005-0000-0000-000053220000}"/>
    <cellStyle name="Entrada 5 2 2 3 2" xfId="30648" xr:uid="{00000000-0005-0000-0000-000054220000}"/>
    <cellStyle name="Entrada 5 2 2 4" xfId="13448" xr:uid="{00000000-0005-0000-0000-000055220000}"/>
    <cellStyle name="Entrada 5 2 2 4 2" xfId="30649" xr:uid="{00000000-0005-0000-0000-000056220000}"/>
    <cellStyle name="Entrada 5 2 2 5" xfId="13449" xr:uid="{00000000-0005-0000-0000-000057220000}"/>
    <cellStyle name="Entrada 5 2 2 5 2" xfId="30650" xr:uid="{00000000-0005-0000-0000-000058220000}"/>
    <cellStyle name="Entrada 5 2 2 6" xfId="13450" xr:uid="{00000000-0005-0000-0000-000059220000}"/>
    <cellStyle name="Entrada 5 2 2 6 2" xfId="30651" xr:uid="{00000000-0005-0000-0000-00005A220000}"/>
    <cellStyle name="Entrada 5 2 2 7" xfId="30646" xr:uid="{00000000-0005-0000-0000-00005B220000}"/>
    <cellStyle name="Entrada 5 2 2 8" xfId="33180" xr:uid="{00000000-0005-0000-0000-00005C220000}"/>
    <cellStyle name="Entrada 5 2 2 9" xfId="34787" xr:uid="{00000000-0005-0000-0000-00005D220000}"/>
    <cellStyle name="Entrada 5 2 3" xfId="11982" xr:uid="{00000000-0005-0000-0000-00005E220000}"/>
    <cellStyle name="Entrada 5 2 3 10" xfId="40910" xr:uid="{00000000-0005-0000-0000-00005F220000}"/>
    <cellStyle name="Entrada 5 2 3 2" xfId="13451" xr:uid="{00000000-0005-0000-0000-000060220000}"/>
    <cellStyle name="Entrada 5 2 3 2 2" xfId="30653" xr:uid="{00000000-0005-0000-0000-000061220000}"/>
    <cellStyle name="Entrada 5 2 3 3" xfId="13452" xr:uid="{00000000-0005-0000-0000-000062220000}"/>
    <cellStyle name="Entrada 5 2 3 3 2" xfId="30654" xr:uid="{00000000-0005-0000-0000-000063220000}"/>
    <cellStyle name="Entrada 5 2 3 4" xfId="13453" xr:uid="{00000000-0005-0000-0000-000064220000}"/>
    <cellStyle name="Entrada 5 2 3 4 2" xfId="30655" xr:uid="{00000000-0005-0000-0000-000065220000}"/>
    <cellStyle name="Entrada 5 2 3 5" xfId="13454" xr:uid="{00000000-0005-0000-0000-000066220000}"/>
    <cellStyle name="Entrada 5 2 3 5 2" xfId="30656" xr:uid="{00000000-0005-0000-0000-000067220000}"/>
    <cellStyle name="Entrada 5 2 3 6" xfId="13455" xr:uid="{00000000-0005-0000-0000-000068220000}"/>
    <cellStyle name="Entrada 5 2 3 6 2" xfId="30657" xr:uid="{00000000-0005-0000-0000-000069220000}"/>
    <cellStyle name="Entrada 5 2 3 7" xfId="30652" xr:uid="{00000000-0005-0000-0000-00006A220000}"/>
    <cellStyle name="Entrada 5 2 3 8" xfId="33181" xr:uid="{00000000-0005-0000-0000-00006B220000}"/>
    <cellStyle name="Entrada 5 2 3 9" xfId="34788" xr:uid="{00000000-0005-0000-0000-00006C220000}"/>
    <cellStyle name="Entrada 5 2 4" xfId="13456" xr:uid="{00000000-0005-0000-0000-00006D220000}"/>
    <cellStyle name="Entrada 5 2 4 2" xfId="13457" xr:uid="{00000000-0005-0000-0000-00006E220000}"/>
    <cellStyle name="Entrada 5 2 4 2 2" xfId="30659" xr:uid="{00000000-0005-0000-0000-00006F220000}"/>
    <cellStyle name="Entrada 5 2 4 3" xfId="13458" xr:uid="{00000000-0005-0000-0000-000070220000}"/>
    <cellStyle name="Entrada 5 2 4 3 2" xfId="30660" xr:uid="{00000000-0005-0000-0000-000071220000}"/>
    <cellStyle name="Entrada 5 2 4 4" xfId="13459" xr:uid="{00000000-0005-0000-0000-000072220000}"/>
    <cellStyle name="Entrada 5 2 4 4 2" xfId="30661" xr:uid="{00000000-0005-0000-0000-000073220000}"/>
    <cellStyle name="Entrada 5 2 4 5" xfId="13460" xr:uid="{00000000-0005-0000-0000-000074220000}"/>
    <cellStyle name="Entrada 5 2 4 5 2" xfId="30662" xr:uid="{00000000-0005-0000-0000-000075220000}"/>
    <cellStyle name="Entrada 5 2 4 6" xfId="30658" xr:uid="{00000000-0005-0000-0000-000076220000}"/>
    <cellStyle name="Entrada 5 2 5" xfId="13461" xr:uid="{00000000-0005-0000-0000-000077220000}"/>
    <cellStyle name="Entrada 5 2 5 2" xfId="13462" xr:uid="{00000000-0005-0000-0000-000078220000}"/>
    <cellStyle name="Entrada 5 2 5 2 2" xfId="30664" xr:uid="{00000000-0005-0000-0000-000079220000}"/>
    <cellStyle name="Entrada 5 2 5 3" xfId="13463" xr:uid="{00000000-0005-0000-0000-00007A220000}"/>
    <cellStyle name="Entrada 5 2 5 3 2" xfId="30665" xr:uid="{00000000-0005-0000-0000-00007B220000}"/>
    <cellStyle name="Entrada 5 2 5 4" xfId="13464" xr:uid="{00000000-0005-0000-0000-00007C220000}"/>
    <cellStyle name="Entrada 5 2 5 4 2" xfId="30666" xr:uid="{00000000-0005-0000-0000-00007D220000}"/>
    <cellStyle name="Entrada 5 2 5 5" xfId="13465" xr:uid="{00000000-0005-0000-0000-00007E220000}"/>
    <cellStyle name="Entrada 5 2 5 5 2" xfId="30667" xr:uid="{00000000-0005-0000-0000-00007F220000}"/>
    <cellStyle name="Entrada 5 2 5 6" xfId="30663" xr:uid="{00000000-0005-0000-0000-000080220000}"/>
    <cellStyle name="Entrada 5 2 6" xfId="13466" xr:uid="{00000000-0005-0000-0000-000081220000}"/>
    <cellStyle name="Entrada 5 2 6 2" xfId="13467" xr:uid="{00000000-0005-0000-0000-000082220000}"/>
    <cellStyle name="Entrada 5 2 6 2 2" xfId="30669" xr:uid="{00000000-0005-0000-0000-000083220000}"/>
    <cellStyle name="Entrada 5 2 6 3" xfId="13468" xr:uid="{00000000-0005-0000-0000-000084220000}"/>
    <cellStyle name="Entrada 5 2 6 3 2" xfId="30670" xr:uid="{00000000-0005-0000-0000-000085220000}"/>
    <cellStyle name="Entrada 5 2 6 4" xfId="13469" xr:uid="{00000000-0005-0000-0000-000086220000}"/>
    <cellStyle name="Entrada 5 2 6 4 2" xfId="30671" xr:uid="{00000000-0005-0000-0000-000087220000}"/>
    <cellStyle name="Entrada 5 2 6 5" xfId="13470" xr:uid="{00000000-0005-0000-0000-000088220000}"/>
    <cellStyle name="Entrada 5 2 6 5 2" xfId="30672" xr:uid="{00000000-0005-0000-0000-000089220000}"/>
    <cellStyle name="Entrada 5 2 6 6" xfId="30668" xr:uid="{00000000-0005-0000-0000-00008A220000}"/>
    <cellStyle name="Entrada 5 2 7" xfId="13471" xr:uid="{00000000-0005-0000-0000-00008B220000}"/>
    <cellStyle name="Entrada 5 2 7 2" xfId="13472" xr:uid="{00000000-0005-0000-0000-00008C220000}"/>
    <cellStyle name="Entrada 5 2 7 2 2" xfId="30674" xr:uid="{00000000-0005-0000-0000-00008D220000}"/>
    <cellStyle name="Entrada 5 2 7 3" xfId="13473" xr:uid="{00000000-0005-0000-0000-00008E220000}"/>
    <cellStyle name="Entrada 5 2 7 3 2" xfId="30675" xr:uid="{00000000-0005-0000-0000-00008F220000}"/>
    <cellStyle name="Entrada 5 2 7 4" xfId="13474" xr:uid="{00000000-0005-0000-0000-000090220000}"/>
    <cellStyle name="Entrada 5 2 7 4 2" xfId="30676" xr:uid="{00000000-0005-0000-0000-000091220000}"/>
    <cellStyle name="Entrada 5 2 7 5" xfId="13475" xr:uid="{00000000-0005-0000-0000-000092220000}"/>
    <cellStyle name="Entrada 5 2 7 5 2" xfId="30677" xr:uid="{00000000-0005-0000-0000-000093220000}"/>
    <cellStyle name="Entrada 5 2 7 6" xfId="30673" xr:uid="{00000000-0005-0000-0000-000094220000}"/>
    <cellStyle name="Entrada 5 2 8" xfId="13476" xr:uid="{00000000-0005-0000-0000-000095220000}"/>
    <cellStyle name="Entrada 5 2 8 2" xfId="13477" xr:uid="{00000000-0005-0000-0000-000096220000}"/>
    <cellStyle name="Entrada 5 2 8 2 2" xfId="30679" xr:uid="{00000000-0005-0000-0000-000097220000}"/>
    <cellStyle name="Entrada 5 2 8 3" xfId="13478" xr:uid="{00000000-0005-0000-0000-000098220000}"/>
    <cellStyle name="Entrada 5 2 8 3 2" xfId="30680" xr:uid="{00000000-0005-0000-0000-000099220000}"/>
    <cellStyle name="Entrada 5 2 8 4" xfId="13479" xr:uid="{00000000-0005-0000-0000-00009A220000}"/>
    <cellStyle name="Entrada 5 2 8 4 2" xfId="30681" xr:uid="{00000000-0005-0000-0000-00009B220000}"/>
    <cellStyle name="Entrada 5 2 8 5" xfId="13480" xr:uid="{00000000-0005-0000-0000-00009C220000}"/>
    <cellStyle name="Entrada 5 2 8 5 2" xfId="30682" xr:uid="{00000000-0005-0000-0000-00009D220000}"/>
    <cellStyle name="Entrada 5 2 8 6" xfId="13481" xr:uid="{00000000-0005-0000-0000-00009E220000}"/>
    <cellStyle name="Entrada 5 2 8 6 2" xfId="30683" xr:uid="{00000000-0005-0000-0000-00009F220000}"/>
    <cellStyle name="Entrada 5 2 8 7" xfId="30678" xr:uid="{00000000-0005-0000-0000-0000A0220000}"/>
    <cellStyle name="Entrada 5 2 9" xfId="13482" xr:uid="{00000000-0005-0000-0000-0000A1220000}"/>
    <cellStyle name="Entrada 5 2 9 2" xfId="13483" xr:uid="{00000000-0005-0000-0000-0000A2220000}"/>
    <cellStyle name="Entrada 5 2 9 2 2" xfId="30685" xr:uid="{00000000-0005-0000-0000-0000A3220000}"/>
    <cellStyle name="Entrada 5 2 9 3" xfId="30684" xr:uid="{00000000-0005-0000-0000-0000A4220000}"/>
    <cellStyle name="Entrada 5 3" xfId="11983" xr:uid="{00000000-0005-0000-0000-0000A5220000}"/>
    <cellStyle name="Entrada 5 3 2" xfId="30686" xr:uid="{00000000-0005-0000-0000-0000A6220000}"/>
    <cellStyle name="Entrada 5 3 3" xfId="33182" xr:uid="{00000000-0005-0000-0000-0000A7220000}"/>
    <cellStyle name="Entrada 5 3 4" xfId="34789" xr:uid="{00000000-0005-0000-0000-0000A8220000}"/>
    <cellStyle name="Entrada 5 3 5" xfId="40911" xr:uid="{00000000-0005-0000-0000-0000A9220000}"/>
    <cellStyle name="Entrada 5 4" xfId="11984" xr:uid="{00000000-0005-0000-0000-0000AA220000}"/>
    <cellStyle name="Entrada 5 4 2" xfId="30687" xr:uid="{00000000-0005-0000-0000-0000AB220000}"/>
    <cellStyle name="Entrada 5 4 3" xfId="33183" xr:uid="{00000000-0005-0000-0000-0000AC220000}"/>
    <cellStyle name="Entrada 5 4 4" xfId="34790" xr:uid="{00000000-0005-0000-0000-0000AD220000}"/>
    <cellStyle name="Entrada 5 4 5" xfId="40912" xr:uid="{00000000-0005-0000-0000-0000AE220000}"/>
    <cellStyle name="Entrada 5 5" xfId="30643" xr:uid="{00000000-0005-0000-0000-0000AF220000}"/>
    <cellStyle name="Entrada 5 6" xfId="33178" xr:uid="{00000000-0005-0000-0000-0000B0220000}"/>
    <cellStyle name="Entrada 5 7" xfId="34785" xr:uid="{00000000-0005-0000-0000-0000B1220000}"/>
    <cellStyle name="Entrada 5 8" xfId="40907" xr:uid="{00000000-0005-0000-0000-0000B2220000}"/>
    <cellStyle name="Entrada 50" xfId="3867" xr:uid="{00000000-0005-0000-0000-0000B3220000}"/>
    <cellStyle name="Entrada 50 2" xfId="11605" xr:uid="{00000000-0005-0000-0000-0000B4220000}"/>
    <cellStyle name="Entrada 50 2 2" xfId="11985" xr:uid="{00000000-0005-0000-0000-0000B5220000}"/>
    <cellStyle name="Entrada 50 2 2 2" xfId="30690" xr:uid="{00000000-0005-0000-0000-0000B6220000}"/>
    <cellStyle name="Entrada 50 2 2 3" xfId="33186" xr:uid="{00000000-0005-0000-0000-0000B7220000}"/>
    <cellStyle name="Entrada 50 2 2 4" xfId="34793" xr:uid="{00000000-0005-0000-0000-0000B8220000}"/>
    <cellStyle name="Entrada 50 2 2 5" xfId="40915" xr:uid="{00000000-0005-0000-0000-0000B9220000}"/>
    <cellStyle name="Entrada 50 2 3" xfId="11986" xr:uid="{00000000-0005-0000-0000-0000BA220000}"/>
    <cellStyle name="Entrada 50 2 3 2" xfId="30691" xr:uid="{00000000-0005-0000-0000-0000BB220000}"/>
    <cellStyle name="Entrada 50 2 3 3" xfId="33187" xr:uid="{00000000-0005-0000-0000-0000BC220000}"/>
    <cellStyle name="Entrada 50 2 3 4" xfId="34794" xr:uid="{00000000-0005-0000-0000-0000BD220000}"/>
    <cellStyle name="Entrada 50 2 3 5" xfId="40916" xr:uid="{00000000-0005-0000-0000-0000BE220000}"/>
    <cellStyle name="Entrada 50 2 4" xfId="30689" xr:uid="{00000000-0005-0000-0000-0000BF220000}"/>
    <cellStyle name="Entrada 50 2 5" xfId="33185" xr:uid="{00000000-0005-0000-0000-0000C0220000}"/>
    <cellStyle name="Entrada 50 2 6" xfId="34792" xr:uid="{00000000-0005-0000-0000-0000C1220000}"/>
    <cellStyle name="Entrada 50 2 7" xfId="40914" xr:uid="{00000000-0005-0000-0000-0000C2220000}"/>
    <cellStyle name="Entrada 50 3" xfId="11987" xr:uid="{00000000-0005-0000-0000-0000C3220000}"/>
    <cellStyle name="Entrada 50 3 2" xfId="30692" xr:uid="{00000000-0005-0000-0000-0000C4220000}"/>
    <cellStyle name="Entrada 50 3 3" xfId="33188" xr:uid="{00000000-0005-0000-0000-0000C5220000}"/>
    <cellStyle name="Entrada 50 3 4" xfId="34795" xr:uid="{00000000-0005-0000-0000-0000C6220000}"/>
    <cellStyle name="Entrada 50 3 5" xfId="40917" xr:uid="{00000000-0005-0000-0000-0000C7220000}"/>
    <cellStyle name="Entrada 50 4" xfId="11988" xr:uid="{00000000-0005-0000-0000-0000C8220000}"/>
    <cellStyle name="Entrada 50 4 2" xfId="30693" xr:uid="{00000000-0005-0000-0000-0000C9220000}"/>
    <cellStyle name="Entrada 50 4 3" xfId="33189" xr:uid="{00000000-0005-0000-0000-0000CA220000}"/>
    <cellStyle name="Entrada 50 4 4" xfId="34796" xr:uid="{00000000-0005-0000-0000-0000CB220000}"/>
    <cellStyle name="Entrada 50 4 5" xfId="40918" xr:uid="{00000000-0005-0000-0000-0000CC220000}"/>
    <cellStyle name="Entrada 50 5" xfId="30688" xr:uid="{00000000-0005-0000-0000-0000CD220000}"/>
    <cellStyle name="Entrada 50 6" xfId="33184" xr:uid="{00000000-0005-0000-0000-0000CE220000}"/>
    <cellStyle name="Entrada 50 7" xfId="34791" xr:uid="{00000000-0005-0000-0000-0000CF220000}"/>
    <cellStyle name="Entrada 50 8" xfId="40913" xr:uid="{00000000-0005-0000-0000-0000D0220000}"/>
    <cellStyle name="Entrada 6" xfId="3868" xr:uid="{00000000-0005-0000-0000-0000D1220000}"/>
    <cellStyle name="Entrada 6 2" xfId="11606" xr:uid="{00000000-0005-0000-0000-0000D2220000}"/>
    <cellStyle name="Entrada 6 2 10" xfId="13484" xr:uid="{00000000-0005-0000-0000-0000D3220000}"/>
    <cellStyle name="Entrada 6 2 10 2" xfId="30696" xr:uid="{00000000-0005-0000-0000-0000D4220000}"/>
    <cellStyle name="Entrada 6 2 11" xfId="30695" xr:uid="{00000000-0005-0000-0000-0000D5220000}"/>
    <cellStyle name="Entrada 6 2 12" xfId="33191" xr:uid="{00000000-0005-0000-0000-0000D6220000}"/>
    <cellStyle name="Entrada 6 2 13" xfId="33544" xr:uid="{00000000-0005-0000-0000-0000D7220000}"/>
    <cellStyle name="Entrada 6 2 14" xfId="34798" xr:uid="{00000000-0005-0000-0000-0000D8220000}"/>
    <cellStyle name="Entrada 6 2 15" xfId="40920" xr:uid="{00000000-0005-0000-0000-0000D9220000}"/>
    <cellStyle name="Entrada 6 2 2" xfId="11989" xr:uid="{00000000-0005-0000-0000-0000DA220000}"/>
    <cellStyle name="Entrada 6 2 2 10" xfId="40921" xr:uid="{00000000-0005-0000-0000-0000DB220000}"/>
    <cellStyle name="Entrada 6 2 2 2" xfId="13485" xr:uid="{00000000-0005-0000-0000-0000DC220000}"/>
    <cellStyle name="Entrada 6 2 2 2 2" xfId="30698" xr:uid="{00000000-0005-0000-0000-0000DD220000}"/>
    <cellStyle name="Entrada 6 2 2 3" xfId="13486" xr:uid="{00000000-0005-0000-0000-0000DE220000}"/>
    <cellStyle name="Entrada 6 2 2 3 2" xfId="30699" xr:uid="{00000000-0005-0000-0000-0000DF220000}"/>
    <cellStyle name="Entrada 6 2 2 4" xfId="13487" xr:uid="{00000000-0005-0000-0000-0000E0220000}"/>
    <cellStyle name="Entrada 6 2 2 4 2" xfId="30700" xr:uid="{00000000-0005-0000-0000-0000E1220000}"/>
    <cellStyle name="Entrada 6 2 2 5" xfId="13488" xr:uid="{00000000-0005-0000-0000-0000E2220000}"/>
    <cellStyle name="Entrada 6 2 2 5 2" xfId="30701" xr:uid="{00000000-0005-0000-0000-0000E3220000}"/>
    <cellStyle name="Entrada 6 2 2 6" xfId="13489" xr:uid="{00000000-0005-0000-0000-0000E4220000}"/>
    <cellStyle name="Entrada 6 2 2 6 2" xfId="30702" xr:uid="{00000000-0005-0000-0000-0000E5220000}"/>
    <cellStyle name="Entrada 6 2 2 7" xfId="30697" xr:uid="{00000000-0005-0000-0000-0000E6220000}"/>
    <cellStyle name="Entrada 6 2 2 8" xfId="33192" xr:uid="{00000000-0005-0000-0000-0000E7220000}"/>
    <cellStyle name="Entrada 6 2 2 9" xfId="34799" xr:uid="{00000000-0005-0000-0000-0000E8220000}"/>
    <cellStyle name="Entrada 6 2 3" xfId="11990" xr:uid="{00000000-0005-0000-0000-0000E9220000}"/>
    <cellStyle name="Entrada 6 2 3 10" xfId="40922" xr:uid="{00000000-0005-0000-0000-0000EA220000}"/>
    <cellStyle name="Entrada 6 2 3 2" xfId="13490" xr:uid="{00000000-0005-0000-0000-0000EB220000}"/>
    <cellStyle name="Entrada 6 2 3 2 2" xfId="30704" xr:uid="{00000000-0005-0000-0000-0000EC220000}"/>
    <cellStyle name="Entrada 6 2 3 3" xfId="13491" xr:uid="{00000000-0005-0000-0000-0000ED220000}"/>
    <cellStyle name="Entrada 6 2 3 3 2" xfId="30705" xr:uid="{00000000-0005-0000-0000-0000EE220000}"/>
    <cellStyle name="Entrada 6 2 3 4" xfId="13492" xr:uid="{00000000-0005-0000-0000-0000EF220000}"/>
    <cellStyle name="Entrada 6 2 3 4 2" xfId="30706" xr:uid="{00000000-0005-0000-0000-0000F0220000}"/>
    <cellStyle name="Entrada 6 2 3 5" xfId="13493" xr:uid="{00000000-0005-0000-0000-0000F1220000}"/>
    <cellStyle name="Entrada 6 2 3 5 2" xfId="30707" xr:uid="{00000000-0005-0000-0000-0000F2220000}"/>
    <cellStyle name="Entrada 6 2 3 6" xfId="13494" xr:uid="{00000000-0005-0000-0000-0000F3220000}"/>
    <cellStyle name="Entrada 6 2 3 6 2" xfId="30708" xr:uid="{00000000-0005-0000-0000-0000F4220000}"/>
    <cellStyle name="Entrada 6 2 3 7" xfId="30703" xr:uid="{00000000-0005-0000-0000-0000F5220000}"/>
    <cellStyle name="Entrada 6 2 3 8" xfId="33193" xr:uid="{00000000-0005-0000-0000-0000F6220000}"/>
    <cellStyle name="Entrada 6 2 3 9" xfId="34800" xr:uid="{00000000-0005-0000-0000-0000F7220000}"/>
    <cellStyle name="Entrada 6 2 4" xfId="13495" xr:uid="{00000000-0005-0000-0000-0000F8220000}"/>
    <cellStyle name="Entrada 6 2 4 2" xfId="13496" xr:uid="{00000000-0005-0000-0000-0000F9220000}"/>
    <cellStyle name="Entrada 6 2 4 2 2" xfId="30710" xr:uid="{00000000-0005-0000-0000-0000FA220000}"/>
    <cellStyle name="Entrada 6 2 4 3" xfId="13497" xr:uid="{00000000-0005-0000-0000-0000FB220000}"/>
    <cellStyle name="Entrada 6 2 4 3 2" xfId="30711" xr:uid="{00000000-0005-0000-0000-0000FC220000}"/>
    <cellStyle name="Entrada 6 2 4 4" xfId="13498" xr:uid="{00000000-0005-0000-0000-0000FD220000}"/>
    <cellStyle name="Entrada 6 2 4 4 2" xfId="30712" xr:uid="{00000000-0005-0000-0000-0000FE220000}"/>
    <cellStyle name="Entrada 6 2 4 5" xfId="13499" xr:uid="{00000000-0005-0000-0000-0000FF220000}"/>
    <cellStyle name="Entrada 6 2 4 5 2" xfId="30713" xr:uid="{00000000-0005-0000-0000-000000230000}"/>
    <cellStyle name="Entrada 6 2 4 6" xfId="30709" xr:uid="{00000000-0005-0000-0000-000001230000}"/>
    <cellStyle name="Entrada 6 2 5" xfId="13500" xr:uid="{00000000-0005-0000-0000-000002230000}"/>
    <cellStyle name="Entrada 6 2 5 2" xfId="13501" xr:uid="{00000000-0005-0000-0000-000003230000}"/>
    <cellStyle name="Entrada 6 2 5 2 2" xfId="30715" xr:uid="{00000000-0005-0000-0000-000004230000}"/>
    <cellStyle name="Entrada 6 2 5 3" xfId="13502" xr:uid="{00000000-0005-0000-0000-000005230000}"/>
    <cellStyle name="Entrada 6 2 5 3 2" xfId="30716" xr:uid="{00000000-0005-0000-0000-000006230000}"/>
    <cellStyle name="Entrada 6 2 5 4" xfId="13503" xr:uid="{00000000-0005-0000-0000-000007230000}"/>
    <cellStyle name="Entrada 6 2 5 4 2" xfId="30717" xr:uid="{00000000-0005-0000-0000-000008230000}"/>
    <cellStyle name="Entrada 6 2 5 5" xfId="13504" xr:uid="{00000000-0005-0000-0000-000009230000}"/>
    <cellStyle name="Entrada 6 2 5 5 2" xfId="30718" xr:uid="{00000000-0005-0000-0000-00000A230000}"/>
    <cellStyle name="Entrada 6 2 5 6" xfId="30714" xr:uid="{00000000-0005-0000-0000-00000B230000}"/>
    <cellStyle name="Entrada 6 2 6" xfId="13505" xr:uid="{00000000-0005-0000-0000-00000C230000}"/>
    <cellStyle name="Entrada 6 2 6 2" xfId="13506" xr:uid="{00000000-0005-0000-0000-00000D230000}"/>
    <cellStyle name="Entrada 6 2 6 2 2" xfId="30720" xr:uid="{00000000-0005-0000-0000-00000E230000}"/>
    <cellStyle name="Entrada 6 2 6 3" xfId="13507" xr:uid="{00000000-0005-0000-0000-00000F230000}"/>
    <cellStyle name="Entrada 6 2 6 3 2" xfId="30721" xr:uid="{00000000-0005-0000-0000-000010230000}"/>
    <cellStyle name="Entrada 6 2 6 4" xfId="13508" xr:uid="{00000000-0005-0000-0000-000011230000}"/>
    <cellStyle name="Entrada 6 2 6 4 2" xfId="30722" xr:uid="{00000000-0005-0000-0000-000012230000}"/>
    <cellStyle name="Entrada 6 2 6 5" xfId="13509" xr:uid="{00000000-0005-0000-0000-000013230000}"/>
    <cellStyle name="Entrada 6 2 6 5 2" xfId="30723" xr:uid="{00000000-0005-0000-0000-000014230000}"/>
    <cellStyle name="Entrada 6 2 6 6" xfId="30719" xr:uid="{00000000-0005-0000-0000-000015230000}"/>
    <cellStyle name="Entrada 6 2 7" xfId="13510" xr:uid="{00000000-0005-0000-0000-000016230000}"/>
    <cellStyle name="Entrada 6 2 7 2" xfId="13511" xr:uid="{00000000-0005-0000-0000-000017230000}"/>
    <cellStyle name="Entrada 6 2 7 2 2" xfId="30725" xr:uid="{00000000-0005-0000-0000-000018230000}"/>
    <cellStyle name="Entrada 6 2 7 3" xfId="13512" xr:uid="{00000000-0005-0000-0000-000019230000}"/>
    <cellStyle name="Entrada 6 2 7 3 2" xfId="30726" xr:uid="{00000000-0005-0000-0000-00001A230000}"/>
    <cellStyle name="Entrada 6 2 7 4" xfId="13513" xr:uid="{00000000-0005-0000-0000-00001B230000}"/>
    <cellStyle name="Entrada 6 2 7 4 2" xfId="30727" xr:uid="{00000000-0005-0000-0000-00001C230000}"/>
    <cellStyle name="Entrada 6 2 7 5" xfId="13514" xr:uid="{00000000-0005-0000-0000-00001D230000}"/>
    <cellStyle name="Entrada 6 2 7 5 2" xfId="30728" xr:uid="{00000000-0005-0000-0000-00001E230000}"/>
    <cellStyle name="Entrada 6 2 7 6" xfId="30724" xr:uid="{00000000-0005-0000-0000-00001F230000}"/>
    <cellStyle name="Entrada 6 2 8" xfId="13515" xr:uid="{00000000-0005-0000-0000-000020230000}"/>
    <cellStyle name="Entrada 6 2 8 2" xfId="13516" xr:uid="{00000000-0005-0000-0000-000021230000}"/>
    <cellStyle name="Entrada 6 2 8 2 2" xfId="30730" xr:uid="{00000000-0005-0000-0000-000022230000}"/>
    <cellStyle name="Entrada 6 2 8 3" xfId="13517" xr:uid="{00000000-0005-0000-0000-000023230000}"/>
    <cellStyle name="Entrada 6 2 8 3 2" xfId="30731" xr:uid="{00000000-0005-0000-0000-000024230000}"/>
    <cellStyle name="Entrada 6 2 8 4" xfId="13518" xr:uid="{00000000-0005-0000-0000-000025230000}"/>
    <cellStyle name="Entrada 6 2 8 4 2" xfId="30732" xr:uid="{00000000-0005-0000-0000-000026230000}"/>
    <cellStyle name="Entrada 6 2 8 5" xfId="13519" xr:uid="{00000000-0005-0000-0000-000027230000}"/>
    <cellStyle name="Entrada 6 2 8 5 2" xfId="30733" xr:uid="{00000000-0005-0000-0000-000028230000}"/>
    <cellStyle name="Entrada 6 2 8 6" xfId="13520" xr:uid="{00000000-0005-0000-0000-000029230000}"/>
    <cellStyle name="Entrada 6 2 8 6 2" xfId="30734" xr:uid="{00000000-0005-0000-0000-00002A230000}"/>
    <cellStyle name="Entrada 6 2 8 7" xfId="30729" xr:uid="{00000000-0005-0000-0000-00002B230000}"/>
    <cellStyle name="Entrada 6 2 9" xfId="13521" xr:uid="{00000000-0005-0000-0000-00002C230000}"/>
    <cellStyle name="Entrada 6 2 9 2" xfId="13522" xr:uid="{00000000-0005-0000-0000-00002D230000}"/>
    <cellStyle name="Entrada 6 2 9 2 2" xfId="30736" xr:uid="{00000000-0005-0000-0000-00002E230000}"/>
    <cellStyle name="Entrada 6 2 9 3" xfId="30735" xr:uid="{00000000-0005-0000-0000-00002F230000}"/>
    <cellStyle name="Entrada 6 3" xfId="11991" xr:uid="{00000000-0005-0000-0000-000030230000}"/>
    <cellStyle name="Entrada 6 3 2" xfId="30737" xr:uid="{00000000-0005-0000-0000-000031230000}"/>
    <cellStyle name="Entrada 6 3 3" xfId="33194" xr:uid="{00000000-0005-0000-0000-000032230000}"/>
    <cellStyle name="Entrada 6 3 4" xfId="34801" xr:uid="{00000000-0005-0000-0000-000033230000}"/>
    <cellStyle name="Entrada 6 3 5" xfId="40923" xr:uid="{00000000-0005-0000-0000-000034230000}"/>
    <cellStyle name="Entrada 6 4" xfId="11992" xr:uid="{00000000-0005-0000-0000-000035230000}"/>
    <cellStyle name="Entrada 6 4 2" xfId="30738" xr:uid="{00000000-0005-0000-0000-000036230000}"/>
    <cellStyle name="Entrada 6 4 3" xfId="33195" xr:uid="{00000000-0005-0000-0000-000037230000}"/>
    <cellStyle name="Entrada 6 4 4" xfId="34802" xr:uid="{00000000-0005-0000-0000-000038230000}"/>
    <cellStyle name="Entrada 6 4 5" xfId="40924" xr:uid="{00000000-0005-0000-0000-000039230000}"/>
    <cellStyle name="Entrada 6 5" xfId="30694" xr:uid="{00000000-0005-0000-0000-00003A230000}"/>
    <cellStyle name="Entrada 6 6" xfId="33190" xr:uid="{00000000-0005-0000-0000-00003B230000}"/>
    <cellStyle name="Entrada 6 7" xfId="34797" xr:uid="{00000000-0005-0000-0000-00003C230000}"/>
    <cellStyle name="Entrada 6 8" xfId="40919" xr:uid="{00000000-0005-0000-0000-00003D230000}"/>
    <cellStyle name="Entrada 7" xfId="3869" xr:uid="{00000000-0005-0000-0000-00003E230000}"/>
    <cellStyle name="Entrada 7 2" xfId="11607" xr:uid="{00000000-0005-0000-0000-00003F230000}"/>
    <cellStyle name="Entrada 7 2 10" xfId="13523" xr:uid="{00000000-0005-0000-0000-000040230000}"/>
    <cellStyle name="Entrada 7 2 10 2" xfId="30741" xr:uid="{00000000-0005-0000-0000-000041230000}"/>
    <cellStyle name="Entrada 7 2 11" xfId="30740" xr:uid="{00000000-0005-0000-0000-000042230000}"/>
    <cellStyle name="Entrada 7 2 12" xfId="33197" xr:uid="{00000000-0005-0000-0000-000043230000}"/>
    <cellStyle name="Entrada 7 2 13" xfId="33545" xr:uid="{00000000-0005-0000-0000-000044230000}"/>
    <cellStyle name="Entrada 7 2 14" xfId="34804" xr:uid="{00000000-0005-0000-0000-000045230000}"/>
    <cellStyle name="Entrada 7 2 15" xfId="40926" xr:uid="{00000000-0005-0000-0000-000046230000}"/>
    <cellStyle name="Entrada 7 2 2" xfId="11993" xr:uid="{00000000-0005-0000-0000-000047230000}"/>
    <cellStyle name="Entrada 7 2 2 10" xfId="40927" xr:uid="{00000000-0005-0000-0000-000048230000}"/>
    <cellStyle name="Entrada 7 2 2 2" xfId="13524" xr:uid="{00000000-0005-0000-0000-000049230000}"/>
    <cellStyle name="Entrada 7 2 2 2 2" xfId="30743" xr:uid="{00000000-0005-0000-0000-00004A230000}"/>
    <cellStyle name="Entrada 7 2 2 3" xfId="13525" xr:uid="{00000000-0005-0000-0000-00004B230000}"/>
    <cellStyle name="Entrada 7 2 2 3 2" xfId="30744" xr:uid="{00000000-0005-0000-0000-00004C230000}"/>
    <cellStyle name="Entrada 7 2 2 4" xfId="13526" xr:uid="{00000000-0005-0000-0000-00004D230000}"/>
    <cellStyle name="Entrada 7 2 2 4 2" xfId="30745" xr:uid="{00000000-0005-0000-0000-00004E230000}"/>
    <cellStyle name="Entrada 7 2 2 5" xfId="13527" xr:uid="{00000000-0005-0000-0000-00004F230000}"/>
    <cellStyle name="Entrada 7 2 2 5 2" xfId="30746" xr:uid="{00000000-0005-0000-0000-000050230000}"/>
    <cellStyle name="Entrada 7 2 2 6" xfId="13528" xr:uid="{00000000-0005-0000-0000-000051230000}"/>
    <cellStyle name="Entrada 7 2 2 6 2" xfId="30747" xr:uid="{00000000-0005-0000-0000-000052230000}"/>
    <cellStyle name="Entrada 7 2 2 7" xfId="30742" xr:uid="{00000000-0005-0000-0000-000053230000}"/>
    <cellStyle name="Entrada 7 2 2 8" xfId="33198" xr:uid="{00000000-0005-0000-0000-000054230000}"/>
    <cellStyle name="Entrada 7 2 2 9" xfId="34805" xr:uid="{00000000-0005-0000-0000-000055230000}"/>
    <cellStyle name="Entrada 7 2 3" xfId="11994" xr:uid="{00000000-0005-0000-0000-000056230000}"/>
    <cellStyle name="Entrada 7 2 3 10" xfId="40928" xr:uid="{00000000-0005-0000-0000-000057230000}"/>
    <cellStyle name="Entrada 7 2 3 2" xfId="13529" xr:uid="{00000000-0005-0000-0000-000058230000}"/>
    <cellStyle name="Entrada 7 2 3 2 2" xfId="30749" xr:uid="{00000000-0005-0000-0000-000059230000}"/>
    <cellStyle name="Entrada 7 2 3 3" xfId="13530" xr:uid="{00000000-0005-0000-0000-00005A230000}"/>
    <cellStyle name="Entrada 7 2 3 3 2" xfId="30750" xr:uid="{00000000-0005-0000-0000-00005B230000}"/>
    <cellStyle name="Entrada 7 2 3 4" xfId="13531" xr:uid="{00000000-0005-0000-0000-00005C230000}"/>
    <cellStyle name="Entrada 7 2 3 4 2" xfId="30751" xr:uid="{00000000-0005-0000-0000-00005D230000}"/>
    <cellStyle name="Entrada 7 2 3 5" xfId="13532" xr:uid="{00000000-0005-0000-0000-00005E230000}"/>
    <cellStyle name="Entrada 7 2 3 5 2" xfId="30752" xr:uid="{00000000-0005-0000-0000-00005F230000}"/>
    <cellStyle name="Entrada 7 2 3 6" xfId="13533" xr:uid="{00000000-0005-0000-0000-000060230000}"/>
    <cellStyle name="Entrada 7 2 3 6 2" xfId="30753" xr:uid="{00000000-0005-0000-0000-000061230000}"/>
    <cellStyle name="Entrada 7 2 3 7" xfId="30748" xr:uid="{00000000-0005-0000-0000-000062230000}"/>
    <cellStyle name="Entrada 7 2 3 8" xfId="33199" xr:uid="{00000000-0005-0000-0000-000063230000}"/>
    <cellStyle name="Entrada 7 2 3 9" xfId="34806" xr:uid="{00000000-0005-0000-0000-000064230000}"/>
    <cellStyle name="Entrada 7 2 4" xfId="13534" xr:uid="{00000000-0005-0000-0000-000065230000}"/>
    <cellStyle name="Entrada 7 2 4 2" xfId="13535" xr:uid="{00000000-0005-0000-0000-000066230000}"/>
    <cellStyle name="Entrada 7 2 4 2 2" xfId="30755" xr:uid="{00000000-0005-0000-0000-000067230000}"/>
    <cellStyle name="Entrada 7 2 4 3" xfId="13536" xr:uid="{00000000-0005-0000-0000-000068230000}"/>
    <cellStyle name="Entrada 7 2 4 3 2" xfId="30756" xr:uid="{00000000-0005-0000-0000-000069230000}"/>
    <cellStyle name="Entrada 7 2 4 4" xfId="13537" xr:uid="{00000000-0005-0000-0000-00006A230000}"/>
    <cellStyle name="Entrada 7 2 4 4 2" xfId="30757" xr:uid="{00000000-0005-0000-0000-00006B230000}"/>
    <cellStyle name="Entrada 7 2 4 5" xfId="13538" xr:uid="{00000000-0005-0000-0000-00006C230000}"/>
    <cellStyle name="Entrada 7 2 4 5 2" xfId="30758" xr:uid="{00000000-0005-0000-0000-00006D230000}"/>
    <cellStyle name="Entrada 7 2 4 6" xfId="30754" xr:uid="{00000000-0005-0000-0000-00006E230000}"/>
    <cellStyle name="Entrada 7 2 5" xfId="13539" xr:uid="{00000000-0005-0000-0000-00006F230000}"/>
    <cellStyle name="Entrada 7 2 5 2" xfId="13540" xr:uid="{00000000-0005-0000-0000-000070230000}"/>
    <cellStyle name="Entrada 7 2 5 2 2" xfId="30760" xr:uid="{00000000-0005-0000-0000-000071230000}"/>
    <cellStyle name="Entrada 7 2 5 3" xfId="13541" xr:uid="{00000000-0005-0000-0000-000072230000}"/>
    <cellStyle name="Entrada 7 2 5 3 2" xfId="30761" xr:uid="{00000000-0005-0000-0000-000073230000}"/>
    <cellStyle name="Entrada 7 2 5 4" xfId="13542" xr:uid="{00000000-0005-0000-0000-000074230000}"/>
    <cellStyle name="Entrada 7 2 5 4 2" xfId="30762" xr:uid="{00000000-0005-0000-0000-000075230000}"/>
    <cellStyle name="Entrada 7 2 5 5" xfId="13543" xr:uid="{00000000-0005-0000-0000-000076230000}"/>
    <cellStyle name="Entrada 7 2 5 5 2" xfId="30763" xr:uid="{00000000-0005-0000-0000-000077230000}"/>
    <cellStyle name="Entrada 7 2 5 6" xfId="30759" xr:uid="{00000000-0005-0000-0000-000078230000}"/>
    <cellStyle name="Entrada 7 2 6" xfId="13544" xr:uid="{00000000-0005-0000-0000-000079230000}"/>
    <cellStyle name="Entrada 7 2 6 2" xfId="13545" xr:uid="{00000000-0005-0000-0000-00007A230000}"/>
    <cellStyle name="Entrada 7 2 6 2 2" xfId="30765" xr:uid="{00000000-0005-0000-0000-00007B230000}"/>
    <cellStyle name="Entrada 7 2 6 3" xfId="13546" xr:uid="{00000000-0005-0000-0000-00007C230000}"/>
    <cellStyle name="Entrada 7 2 6 3 2" xfId="30766" xr:uid="{00000000-0005-0000-0000-00007D230000}"/>
    <cellStyle name="Entrada 7 2 6 4" xfId="13547" xr:uid="{00000000-0005-0000-0000-00007E230000}"/>
    <cellStyle name="Entrada 7 2 6 4 2" xfId="30767" xr:uid="{00000000-0005-0000-0000-00007F230000}"/>
    <cellStyle name="Entrada 7 2 6 5" xfId="13548" xr:uid="{00000000-0005-0000-0000-000080230000}"/>
    <cellStyle name="Entrada 7 2 6 5 2" xfId="30768" xr:uid="{00000000-0005-0000-0000-000081230000}"/>
    <cellStyle name="Entrada 7 2 6 6" xfId="30764" xr:uid="{00000000-0005-0000-0000-000082230000}"/>
    <cellStyle name="Entrada 7 2 7" xfId="13549" xr:uid="{00000000-0005-0000-0000-000083230000}"/>
    <cellStyle name="Entrada 7 2 7 2" xfId="13550" xr:uid="{00000000-0005-0000-0000-000084230000}"/>
    <cellStyle name="Entrada 7 2 7 2 2" xfId="30770" xr:uid="{00000000-0005-0000-0000-000085230000}"/>
    <cellStyle name="Entrada 7 2 7 3" xfId="13551" xr:uid="{00000000-0005-0000-0000-000086230000}"/>
    <cellStyle name="Entrada 7 2 7 3 2" xfId="30771" xr:uid="{00000000-0005-0000-0000-000087230000}"/>
    <cellStyle name="Entrada 7 2 7 4" xfId="13552" xr:uid="{00000000-0005-0000-0000-000088230000}"/>
    <cellStyle name="Entrada 7 2 7 4 2" xfId="30772" xr:uid="{00000000-0005-0000-0000-000089230000}"/>
    <cellStyle name="Entrada 7 2 7 5" xfId="13553" xr:uid="{00000000-0005-0000-0000-00008A230000}"/>
    <cellStyle name="Entrada 7 2 7 5 2" xfId="30773" xr:uid="{00000000-0005-0000-0000-00008B230000}"/>
    <cellStyle name="Entrada 7 2 7 6" xfId="30769" xr:uid="{00000000-0005-0000-0000-00008C230000}"/>
    <cellStyle name="Entrada 7 2 8" xfId="13554" xr:uid="{00000000-0005-0000-0000-00008D230000}"/>
    <cellStyle name="Entrada 7 2 8 2" xfId="13555" xr:uid="{00000000-0005-0000-0000-00008E230000}"/>
    <cellStyle name="Entrada 7 2 8 2 2" xfId="30775" xr:uid="{00000000-0005-0000-0000-00008F230000}"/>
    <cellStyle name="Entrada 7 2 8 3" xfId="13556" xr:uid="{00000000-0005-0000-0000-000090230000}"/>
    <cellStyle name="Entrada 7 2 8 3 2" xfId="30776" xr:uid="{00000000-0005-0000-0000-000091230000}"/>
    <cellStyle name="Entrada 7 2 8 4" xfId="13557" xr:uid="{00000000-0005-0000-0000-000092230000}"/>
    <cellStyle name="Entrada 7 2 8 4 2" xfId="30777" xr:uid="{00000000-0005-0000-0000-000093230000}"/>
    <cellStyle name="Entrada 7 2 8 5" xfId="13558" xr:uid="{00000000-0005-0000-0000-000094230000}"/>
    <cellStyle name="Entrada 7 2 8 5 2" xfId="30778" xr:uid="{00000000-0005-0000-0000-000095230000}"/>
    <cellStyle name="Entrada 7 2 8 6" xfId="13559" xr:uid="{00000000-0005-0000-0000-000096230000}"/>
    <cellStyle name="Entrada 7 2 8 6 2" xfId="30779" xr:uid="{00000000-0005-0000-0000-000097230000}"/>
    <cellStyle name="Entrada 7 2 8 7" xfId="30774" xr:uid="{00000000-0005-0000-0000-000098230000}"/>
    <cellStyle name="Entrada 7 2 9" xfId="13560" xr:uid="{00000000-0005-0000-0000-000099230000}"/>
    <cellStyle name="Entrada 7 2 9 2" xfId="13561" xr:uid="{00000000-0005-0000-0000-00009A230000}"/>
    <cellStyle name="Entrada 7 2 9 2 2" xfId="30781" xr:uid="{00000000-0005-0000-0000-00009B230000}"/>
    <cellStyle name="Entrada 7 2 9 3" xfId="30780" xr:uid="{00000000-0005-0000-0000-00009C230000}"/>
    <cellStyle name="Entrada 7 3" xfId="11995" xr:uid="{00000000-0005-0000-0000-00009D230000}"/>
    <cellStyle name="Entrada 7 3 2" xfId="30782" xr:uid="{00000000-0005-0000-0000-00009E230000}"/>
    <cellStyle name="Entrada 7 3 3" xfId="33200" xr:uid="{00000000-0005-0000-0000-00009F230000}"/>
    <cellStyle name="Entrada 7 3 4" xfId="34807" xr:uid="{00000000-0005-0000-0000-0000A0230000}"/>
    <cellStyle name="Entrada 7 3 5" xfId="40929" xr:uid="{00000000-0005-0000-0000-0000A1230000}"/>
    <cellStyle name="Entrada 7 4" xfId="11996" xr:uid="{00000000-0005-0000-0000-0000A2230000}"/>
    <cellStyle name="Entrada 7 4 2" xfId="30783" xr:uid="{00000000-0005-0000-0000-0000A3230000}"/>
    <cellStyle name="Entrada 7 4 3" xfId="33201" xr:uid="{00000000-0005-0000-0000-0000A4230000}"/>
    <cellStyle name="Entrada 7 4 4" xfId="34808" xr:uid="{00000000-0005-0000-0000-0000A5230000}"/>
    <cellStyle name="Entrada 7 4 5" xfId="40930" xr:uid="{00000000-0005-0000-0000-0000A6230000}"/>
    <cellStyle name="Entrada 7 5" xfId="30739" xr:uid="{00000000-0005-0000-0000-0000A7230000}"/>
    <cellStyle name="Entrada 7 6" xfId="33196" xr:uid="{00000000-0005-0000-0000-0000A8230000}"/>
    <cellStyle name="Entrada 7 7" xfId="34803" xr:uid="{00000000-0005-0000-0000-0000A9230000}"/>
    <cellStyle name="Entrada 7 8" xfId="40925" xr:uid="{00000000-0005-0000-0000-0000AA230000}"/>
    <cellStyle name="Entrada 8" xfId="3870" xr:uid="{00000000-0005-0000-0000-0000AB230000}"/>
    <cellStyle name="Entrada 8 2" xfId="11608" xr:uid="{00000000-0005-0000-0000-0000AC230000}"/>
    <cellStyle name="Entrada 8 2 10" xfId="13562" xr:uid="{00000000-0005-0000-0000-0000AD230000}"/>
    <cellStyle name="Entrada 8 2 10 2" xfId="30786" xr:uid="{00000000-0005-0000-0000-0000AE230000}"/>
    <cellStyle name="Entrada 8 2 11" xfId="30785" xr:uid="{00000000-0005-0000-0000-0000AF230000}"/>
    <cellStyle name="Entrada 8 2 12" xfId="33203" xr:uid="{00000000-0005-0000-0000-0000B0230000}"/>
    <cellStyle name="Entrada 8 2 13" xfId="33546" xr:uid="{00000000-0005-0000-0000-0000B1230000}"/>
    <cellStyle name="Entrada 8 2 14" xfId="34810" xr:uid="{00000000-0005-0000-0000-0000B2230000}"/>
    <cellStyle name="Entrada 8 2 15" xfId="40932" xr:uid="{00000000-0005-0000-0000-0000B3230000}"/>
    <cellStyle name="Entrada 8 2 2" xfId="11997" xr:uid="{00000000-0005-0000-0000-0000B4230000}"/>
    <cellStyle name="Entrada 8 2 2 10" xfId="40933" xr:uid="{00000000-0005-0000-0000-0000B5230000}"/>
    <cellStyle name="Entrada 8 2 2 2" xfId="13563" xr:uid="{00000000-0005-0000-0000-0000B6230000}"/>
    <cellStyle name="Entrada 8 2 2 2 2" xfId="30788" xr:uid="{00000000-0005-0000-0000-0000B7230000}"/>
    <cellStyle name="Entrada 8 2 2 3" xfId="13564" xr:uid="{00000000-0005-0000-0000-0000B8230000}"/>
    <cellStyle name="Entrada 8 2 2 3 2" xfId="30789" xr:uid="{00000000-0005-0000-0000-0000B9230000}"/>
    <cellStyle name="Entrada 8 2 2 4" xfId="13565" xr:uid="{00000000-0005-0000-0000-0000BA230000}"/>
    <cellStyle name="Entrada 8 2 2 4 2" xfId="30790" xr:uid="{00000000-0005-0000-0000-0000BB230000}"/>
    <cellStyle name="Entrada 8 2 2 5" xfId="13566" xr:uid="{00000000-0005-0000-0000-0000BC230000}"/>
    <cellStyle name="Entrada 8 2 2 5 2" xfId="30791" xr:uid="{00000000-0005-0000-0000-0000BD230000}"/>
    <cellStyle name="Entrada 8 2 2 6" xfId="13567" xr:uid="{00000000-0005-0000-0000-0000BE230000}"/>
    <cellStyle name="Entrada 8 2 2 6 2" xfId="30792" xr:uid="{00000000-0005-0000-0000-0000BF230000}"/>
    <cellStyle name="Entrada 8 2 2 7" xfId="30787" xr:uid="{00000000-0005-0000-0000-0000C0230000}"/>
    <cellStyle name="Entrada 8 2 2 8" xfId="33204" xr:uid="{00000000-0005-0000-0000-0000C1230000}"/>
    <cellStyle name="Entrada 8 2 2 9" xfId="34811" xr:uid="{00000000-0005-0000-0000-0000C2230000}"/>
    <cellStyle name="Entrada 8 2 3" xfId="11998" xr:uid="{00000000-0005-0000-0000-0000C3230000}"/>
    <cellStyle name="Entrada 8 2 3 10" xfId="40934" xr:uid="{00000000-0005-0000-0000-0000C4230000}"/>
    <cellStyle name="Entrada 8 2 3 2" xfId="13568" xr:uid="{00000000-0005-0000-0000-0000C5230000}"/>
    <cellStyle name="Entrada 8 2 3 2 2" xfId="30794" xr:uid="{00000000-0005-0000-0000-0000C6230000}"/>
    <cellStyle name="Entrada 8 2 3 3" xfId="13569" xr:uid="{00000000-0005-0000-0000-0000C7230000}"/>
    <cellStyle name="Entrada 8 2 3 3 2" xfId="30795" xr:uid="{00000000-0005-0000-0000-0000C8230000}"/>
    <cellStyle name="Entrada 8 2 3 4" xfId="13570" xr:uid="{00000000-0005-0000-0000-0000C9230000}"/>
    <cellStyle name="Entrada 8 2 3 4 2" xfId="30796" xr:uid="{00000000-0005-0000-0000-0000CA230000}"/>
    <cellStyle name="Entrada 8 2 3 5" xfId="13571" xr:uid="{00000000-0005-0000-0000-0000CB230000}"/>
    <cellStyle name="Entrada 8 2 3 5 2" xfId="30797" xr:uid="{00000000-0005-0000-0000-0000CC230000}"/>
    <cellStyle name="Entrada 8 2 3 6" xfId="13572" xr:uid="{00000000-0005-0000-0000-0000CD230000}"/>
    <cellStyle name="Entrada 8 2 3 6 2" xfId="30798" xr:uid="{00000000-0005-0000-0000-0000CE230000}"/>
    <cellStyle name="Entrada 8 2 3 7" xfId="30793" xr:uid="{00000000-0005-0000-0000-0000CF230000}"/>
    <cellStyle name="Entrada 8 2 3 8" xfId="33205" xr:uid="{00000000-0005-0000-0000-0000D0230000}"/>
    <cellStyle name="Entrada 8 2 3 9" xfId="34812" xr:uid="{00000000-0005-0000-0000-0000D1230000}"/>
    <cellStyle name="Entrada 8 2 4" xfId="13573" xr:uid="{00000000-0005-0000-0000-0000D2230000}"/>
    <cellStyle name="Entrada 8 2 4 2" xfId="13574" xr:uid="{00000000-0005-0000-0000-0000D3230000}"/>
    <cellStyle name="Entrada 8 2 4 2 2" xfId="30800" xr:uid="{00000000-0005-0000-0000-0000D4230000}"/>
    <cellStyle name="Entrada 8 2 4 3" xfId="13575" xr:uid="{00000000-0005-0000-0000-0000D5230000}"/>
    <cellStyle name="Entrada 8 2 4 3 2" xfId="30801" xr:uid="{00000000-0005-0000-0000-0000D6230000}"/>
    <cellStyle name="Entrada 8 2 4 4" xfId="13576" xr:uid="{00000000-0005-0000-0000-0000D7230000}"/>
    <cellStyle name="Entrada 8 2 4 4 2" xfId="30802" xr:uid="{00000000-0005-0000-0000-0000D8230000}"/>
    <cellStyle name="Entrada 8 2 4 5" xfId="13577" xr:uid="{00000000-0005-0000-0000-0000D9230000}"/>
    <cellStyle name="Entrada 8 2 4 5 2" xfId="30803" xr:uid="{00000000-0005-0000-0000-0000DA230000}"/>
    <cellStyle name="Entrada 8 2 4 6" xfId="30799" xr:uid="{00000000-0005-0000-0000-0000DB230000}"/>
    <cellStyle name="Entrada 8 2 5" xfId="13578" xr:uid="{00000000-0005-0000-0000-0000DC230000}"/>
    <cellStyle name="Entrada 8 2 5 2" xfId="13579" xr:uid="{00000000-0005-0000-0000-0000DD230000}"/>
    <cellStyle name="Entrada 8 2 5 2 2" xfId="30805" xr:uid="{00000000-0005-0000-0000-0000DE230000}"/>
    <cellStyle name="Entrada 8 2 5 3" xfId="13580" xr:uid="{00000000-0005-0000-0000-0000DF230000}"/>
    <cellStyle name="Entrada 8 2 5 3 2" xfId="30806" xr:uid="{00000000-0005-0000-0000-0000E0230000}"/>
    <cellStyle name="Entrada 8 2 5 4" xfId="13581" xr:uid="{00000000-0005-0000-0000-0000E1230000}"/>
    <cellStyle name="Entrada 8 2 5 4 2" xfId="30807" xr:uid="{00000000-0005-0000-0000-0000E2230000}"/>
    <cellStyle name="Entrada 8 2 5 5" xfId="13582" xr:uid="{00000000-0005-0000-0000-0000E3230000}"/>
    <cellStyle name="Entrada 8 2 5 5 2" xfId="30808" xr:uid="{00000000-0005-0000-0000-0000E4230000}"/>
    <cellStyle name="Entrada 8 2 5 6" xfId="30804" xr:uid="{00000000-0005-0000-0000-0000E5230000}"/>
    <cellStyle name="Entrada 8 2 6" xfId="13583" xr:uid="{00000000-0005-0000-0000-0000E6230000}"/>
    <cellStyle name="Entrada 8 2 6 2" xfId="13584" xr:uid="{00000000-0005-0000-0000-0000E7230000}"/>
    <cellStyle name="Entrada 8 2 6 2 2" xfId="30810" xr:uid="{00000000-0005-0000-0000-0000E8230000}"/>
    <cellStyle name="Entrada 8 2 6 3" xfId="13585" xr:uid="{00000000-0005-0000-0000-0000E9230000}"/>
    <cellStyle name="Entrada 8 2 6 3 2" xfId="30811" xr:uid="{00000000-0005-0000-0000-0000EA230000}"/>
    <cellStyle name="Entrada 8 2 6 4" xfId="13586" xr:uid="{00000000-0005-0000-0000-0000EB230000}"/>
    <cellStyle name="Entrada 8 2 6 4 2" xfId="30812" xr:uid="{00000000-0005-0000-0000-0000EC230000}"/>
    <cellStyle name="Entrada 8 2 6 5" xfId="13587" xr:uid="{00000000-0005-0000-0000-0000ED230000}"/>
    <cellStyle name="Entrada 8 2 6 5 2" xfId="30813" xr:uid="{00000000-0005-0000-0000-0000EE230000}"/>
    <cellStyle name="Entrada 8 2 6 6" xfId="30809" xr:uid="{00000000-0005-0000-0000-0000EF230000}"/>
    <cellStyle name="Entrada 8 2 7" xfId="13588" xr:uid="{00000000-0005-0000-0000-0000F0230000}"/>
    <cellStyle name="Entrada 8 2 7 2" xfId="13589" xr:uid="{00000000-0005-0000-0000-0000F1230000}"/>
    <cellStyle name="Entrada 8 2 7 2 2" xfId="30815" xr:uid="{00000000-0005-0000-0000-0000F2230000}"/>
    <cellStyle name="Entrada 8 2 7 3" xfId="13590" xr:uid="{00000000-0005-0000-0000-0000F3230000}"/>
    <cellStyle name="Entrada 8 2 7 3 2" xfId="30816" xr:uid="{00000000-0005-0000-0000-0000F4230000}"/>
    <cellStyle name="Entrada 8 2 7 4" xfId="13591" xr:uid="{00000000-0005-0000-0000-0000F5230000}"/>
    <cellStyle name="Entrada 8 2 7 4 2" xfId="30817" xr:uid="{00000000-0005-0000-0000-0000F6230000}"/>
    <cellStyle name="Entrada 8 2 7 5" xfId="13592" xr:uid="{00000000-0005-0000-0000-0000F7230000}"/>
    <cellStyle name="Entrada 8 2 7 5 2" xfId="30818" xr:uid="{00000000-0005-0000-0000-0000F8230000}"/>
    <cellStyle name="Entrada 8 2 7 6" xfId="30814" xr:uid="{00000000-0005-0000-0000-0000F9230000}"/>
    <cellStyle name="Entrada 8 2 8" xfId="13593" xr:uid="{00000000-0005-0000-0000-0000FA230000}"/>
    <cellStyle name="Entrada 8 2 8 2" xfId="13594" xr:uid="{00000000-0005-0000-0000-0000FB230000}"/>
    <cellStyle name="Entrada 8 2 8 2 2" xfId="30820" xr:uid="{00000000-0005-0000-0000-0000FC230000}"/>
    <cellStyle name="Entrada 8 2 8 3" xfId="13595" xr:uid="{00000000-0005-0000-0000-0000FD230000}"/>
    <cellStyle name="Entrada 8 2 8 3 2" xfId="30821" xr:uid="{00000000-0005-0000-0000-0000FE230000}"/>
    <cellStyle name="Entrada 8 2 8 4" xfId="13596" xr:uid="{00000000-0005-0000-0000-0000FF230000}"/>
    <cellStyle name="Entrada 8 2 8 4 2" xfId="30822" xr:uid="{00000000-0005-0000-0000-000000240000}"/>
    <cellStyle name="Entrada 8 2 8 5" xfId="13597" xr:uid="{00000000-0005-0000-0000-000001240000}"/>
    <cellStyle name="Entrada 8 2 8 5 2" xfId="30823" xr:uid="{00000000-0005-0000-0000-000002240000}"/>
    <cellStyle name="Entrada 8 2 8 6" xfId="13598" xr:uid="{00000000-0005-0000-0000-000003240000}"/>
    <cellStyle name="Entrada 8 2 8 6 2" xfId="30824" xr:uid="{00000000-0005-0000-0000-000004240000}"/>
    <cellStyle name="Entrada 8 2 8 7" xfId="30819" xr:uid="{00000000-0005-0000-0000-000005240000}"/>
    <cellStyle name="Entrada 8 2 9" xfId="13599" xr:uid="{00000000-0005-0000-0000-000006240000}"/>
    <cellStyle name="Entrada 8 2 9 2" xfId="13600" xr:uid="{00000000-0005-0000-0000-000007240000}"/>
    <cellStyle name="Entrada 8 2 9 2 2" xfId="30826" xr:uid="{00000000-0005-0000-0000-000008240000}"/>
    <cellStyle name="Entrada 8 2 9 3" xfId="30825" xr:uid="{00000000-0005-0000-0000-000009240000}"/>
    <cellStyle name="Entrada 8 3" xfId="11999" xr:uid="{00000000-0005-0000-0000-00000A240000}"/>
    <cellStyle name="Entrada 8 3 2" xfId="30827" xr:uid="{00000000-0005-0000-0000-00000B240000}"/>
    <cellStyle name="Entrada 8 3 3" xfId="33206" xr:uid="{00000000-0005-0000-0000-00000C240000}"/>
    <cellStyle name="Entrada 8 3 4" xfId="34813" xr:uid="{00000000-0005-0000-0000-00000D240000}"/>
    <cellStyle name="Entrada 8 3 5" xfId="40935" xr:uid="{00000000-0005-0000-0000-00000E240000}"/>
    <cellStyle name="Entrada 8 4" xfId="12000" xr:uid="{00000000-0005-0000-0000-00000F240000}"/>
    <cellStyle name="Entrada 8 4 2" xfId="30828" xr:uid="{00000000-0005-0000-0000-000010240000}"/>
    <cellStyle name="Entrada 8 4 3" xfId="33207" xr:uid="{00000000-0005-0000-0000-000011240000}"/>
    <cellStyle name="Entrada 8 4 4" xfId="34814" xr:uid="{00000000-0005-0000-0000-000012240000}"/>
    <cellStyle name="Entrada 8 4 5" xfId="40936" xr:uid="{00000000-0005-0000-0000-000013240000}"/>
    <cellStyle name="Entrada 8 5" xfId="30784" xr:uid="{00000000-0005-0000-0000-000014240000}"/>
    <cellStyle name="Entrada 8 6" xfId="33202" xr:uid="{00000000-0005-0000-0000-000015240000}"/>
    <cellStyle name="Entrada 8 7" xfId="34809" xr:uid="{00000000-0005-0000-0000-000016240000}"/>
    <cellStyle name="Entrada 8 8" xfId="40931" xr:uid="{00000000-0005-0000-0000-000017240000}"/>
    <cellStyle name="Entrada 9" xfId="3871" xr:uid="{00000000-0005-0000-0000-000018240000}"/>
    <cellStyle name="Entrada 9 2" xfId="11609" xr:uid="{00000000-0005-0000-0000-000019240000}"/>
    <cellStyle name="Entrada 9 2 10" xfId="13601" xr:uid="{00000000-0005-0000-0000-00001A240000}"/>
    <cellStyle name="Entrada 9 2 10 2" xfId="30831" xr:uid="{00000000-0005-0000-0000-00001B240000}"/>
    <cellStyle name="Entrada 9 2 11" xfId="30830" xr:uid="{00000000-0005-0000-0000-00001C240000}"/>
    <cellStyle name="Entrada 9 2 12" xfId="33209" xr:uid="{00000000-0005-0000-0000-00001D240000}"/>
    <cellStyle name="Entrada 9 2 13" xfId="33547" xr:uid="{00000000-0005-0000-0000-00001E240000}"/>
    <cellStyle name="Entrada 9 2 14" xfId="34816" xr:uid="{00000000-0005-0000-0000-00001F240000}"/>
    <cellStyle name="Entrada 9 2 15" xfId="40938" xr:uid="{00000000-0005-0000-0000-000020240000}"/>
    <cellStyle name="Entrada 9 2 2" xfId="12001" xr:uid="{00000000-0005-0000-0000-000021240000}"/>
    <cellStyle name="Entrada 9 2 2 10" xfId="40939" xr:uid="{00000000-0005-0000-0000-000022240000}"/>
    <cellStyle name="Entrada 9 2 2 2" xfId="13602" xr:uid="{00000000-0005-0000-0000-000023240000}"/>
    <cellStyle name="Entrada 9 2 2 2 2" xfId="30833" xr:uid="{00000000-0005-0000-0000-000024240000}"/>
    <cellStyle name="Entrada 9 2 2 3" xfId="13603" xr:uid="{00000000-0005-0000-0000-000025240000}"/>
    <cellStyle name="Entrada 9 2 2 3 2" xfId="30834" xr:uid="{00000000-0005-0000-0000-000026240000}"/>
    <cellStyle name="Entrada 9 2 2 4" xfId="13604" xr:uid="{00000000-0005-0000-0000-000027240000}"/>
    <cellStyle name="Entrada 9 2 2 4 2" xfId="30835" xr:uid="{00000000-0005-0000-0000-000028240000}"/>
    <cellStyle name="Entrada 9 2 2 5" xfId="13605" xr:uid="{00000000-0005-0000-0000-000029240000}"/>
    <cellStyle name="Entrada 9 2 2 5 2" xfId="30836" xr:uid="{00000000-0005-0000-0000-00002A240000}"/>
    <cellStyle name="Entrada 9 2 2 6" xfId="13606" xr:uid="{00000000-0005-0000-0000-00002B240000}"/>
    <cellStyle name="Entrada 9 2 2 6 2" xfId="30837" xr:uid="{00000000-0005-0000-0000-00002C240000}"/>
    <cellStyle name="Entrada 9 2 2 7" xfId="30832" xr:uid="{00000000-0005-0000-0000-00002D240000}"/>
    <cellStyle name="Entrada 9 2 2 8" xfId="33210" xr:uid="{00000000-0005-0000-0000-00002E240000}"/>
    <cellStyle name="Entrada 9 2 2 9" xfId="34817" xr:uid="{00000000-0005-0000-0000-00002F240000}"/>
    <cellStyle name="Entrada 9 2 3" xfId="12002" xr:uid="{00000000-0005-0000-0000-000030240000}"/>
    <cellStyle name="Entrada 9 2 3 10" xfId="40940" xr:uid="{00000000-0005-0000-0000-000031240000}"/>
    <cellStyle name="Entrada 9 2 3 2" xfId="13607" xr:uid="{00000000-0005-0000-0000-000032240000}"/>
    <cellStyle name="Entrada 9 2 3 2 2" xfId="30839" xr:uid="{00000000-0005-0000-0000-000033240000}"/>
    <cellStyle name="Entrada 9 2 3 3" xfId="13608" xr:uid="{00000000-0005-0000-0000-000034240000}"/>
    <cellStyle name="Entrada 9 2 3 3 2" xfId="30840" xr:uid="{00000000-0005-0000-0000-000035240000}"/>
    <cellStyle name="Entrada 9 2 3 4" xfId="13609" xr:uid="{00000000-0005-0000-0000-000036240000}"/>
    <cellStyle name="Entrada 9 2 3 4 2" xfId="30841" xr:uid="{00000000-0005-0000-0000-000037240000}"/>
    <cellStyle name="Entrada 9 2 3 5" xfId="13610" xr:uid="{00000000-0005-0000-0000-000038240000}"/>
    <cellStyle name="Entrada 9 2 3 5 2" xfId="30842" xr:uid="{00000000-0005-0000-0000-000039240000}"/>
    <cellStyle name="Entrada 9 2 3 6" xfId="13611" xr:uid="{00000000-0005-0000-0000-00003A240000}"/>
    <cellStyle name="Entrada 9 2 3 6 2" xfId="30843" xr:uid="{00000000-0005-0000-0000-00003B240000}"/>
    <cellStyle name="Entrada 9 2 3 7" xfId="30838" xr:uid="{00000000-0005-0000-0000-00003C240000}"/>
    <cellStyle name="Entrada 9 2 3 8" xfId="33211" xr:uid="{00000000-0005-0000-0000-00003D240000}"/>
    <cellStyle name="Entrada 9 2 3 9" xfId="34818" xr:uid="{00000000-0005-0000-0000-00003E240000}"/>
    <cellStyle name="Entrada 9 2 4" xfId="13612" xr:uid="{00000000-0005-0000-0000-00003F240000}"/>
    <cellStyle name="Entrada 9 2 4 2" xfId="13613" xr:uid="{00000000-0005-0000-0000-000040240000}"/>
    <cellStyle name="Entrada 9 2 4 2 2" xfId="30845" xr:uid="{00000000-0005-0000-0000-000041240000}"/>
    <cellStyle name="Entrada 9 2 4 3" xfId="13614" xr:uid="{00000000-0005-0000-0000-000042240000}"/>
    <cellStyle name="Entrada 9 2 4 3 2" xfId="30846" xr:uid="{00000000-0005-0000-0000-000043240000}"/>
    <cellStyle name="Entrada 9 2 4 4" xfId="13615" xr:uid="{00000000-0005-0000-0000-000044240000}"/>
    <cellStyle name="Entrada 9 2 4 4 2" xfId="30847" xr:uid="{00000000-0005-0000-0000-000045240000}"/>
    <cellStyle name="Entrada 9 2 4 5" xfId="13616" xr:uid="{00000000-0005-0000-0000-000046240000}"/>
    <cellStyle name="Entrada 9 2 4 5 2" xfId="30848" xr:uid="{00000000-0005-0000-0000-000047240000}"/>
    <cellStyle name="Entrada 9 2 4 6" xfId="30844" xr:uid="{00000000-0005-0000-0000-000048240000}"/>
    <cellStyle name="Entrada 9 2 5" xfId="13617" xr:uid="{00000000-0005-0000-0000-000049240000}"/>
    <cellStyle name="Entrada 9 2 5 2" xfId="13618" xr:uid="{00000000-0005-0000-0000-00004A240000}"/>
    <cellStyle name="Entrada 9 2 5 2 2" xfId="30850" xr:uid="{00000000-0005-0000-0000-00004B240000}"/>
    <cellStyle name="Entrada 9 2 5 3" xfId="13619" xr:uid="{00000000-0005-0000-0000-00004C240000}"/>
    <cellStyle name="Entrada 9 2 5 3 2" xfId="30851" xr:uid="{00000000-0005-0000-0000-00004D240000}"/>
    <cellStyle name="Entrada 9 2 5 4" xfId="13620" xr:uid="{00000000-0005-0000-0000-00004E240000}"/>
    <cellStyle name="Entrada 9 2 5 4 2" xfId="30852" xr:uid="{00000000-0005-0000-0000-00004F240000}"/>
    <cellStyle name="Entrada 9 2 5 5" xfId="13621" xr:uid="{00000000-0005-0000-0000-000050240000}"/>
    <cellStyle name="Entrada 9 2 5 5 2" xfId="30853" xr:uid="{00000000-0005-0000-0000-000051240000}"/>
    <cellStyle name="Entrada 9 2 5 6" xfId="30849" xr:uid="{00000000-0005-0000-0000-000052240000}"/>
    <cellStyle name="Entrada 9 2 6" xfId="13622" xr:uid="{00000000-0005-0000-0000-000053240000}"/>
    <cellStyle name="Entrada 9 2 6 2" xfId="13623" xr:uid="{00000000-0005-0000-0000-000054240000}"/>
    <cellStyle name="Entrada 9 2 6 2 2" xfId="30855" xr:uid="{00000000-0005-0000-0000-000055240000}"/>
    <cellStyle name="Entrada 9 2 6 3" xfId="13624" xr:uid="{00000000-0005-0000-0000-000056240000}"/>
    <cellStyle name="Entrada 9 2 6 3 2" xfId="30856" xr:uid="{00000000-0005-0000-0000-000057240000}"/>
    <cellStyle name="Entrada 9 2 6 4" xfId="13625" xr:uid="{00000000-0005-0000-0000-000058240000}"/>
    <cellStyle name="Entrada 9 2 6 4 2" xfId="30857" xr:uid="{00000000-0005-0000-0000-000059240000}"/>
    <cellStyle name="Entrada 9 2 6 5" xfId="13626" xr:uid="{00000000-0005-0000-0000-00005A240000}"/>
    <cellStyle name="Entrada 9 2 6 5 2" xfId="30858" xr:uid="{00000000-0005-0000-0000-00005B240000}"/>
    <cellStyle name="Entrada 9 2 6 6" xfId="30854" xr:uid="{00000000-0005-0000-0000-00005C240000}"/>
    <cellStyle name="Entrada 9 2 7" xfId="13627" xr:uid="{00000000-0005-0000-0000-00005D240000}"/>
    <cellStyle name="Entrada 9 2 7 2" xfId="13628" xr:uid="{00000000-0005-0000-0000-00005E240000}"/>
    <cellStyle name="Entrada 9 2 7 2 2" xfId="30860" xr:uid="{00000000-0005-0000-0000-00005F240000}"/>
    <cellStyle name="Entrada 9 2 7 3" xfId="13629" xr:uid="{00000000-0005-0000-0000-000060240000}"/>
    <cellStyle name="Entrada 9 2 7 3 2" xfId="30861" xr:uid="{00000000-0005-0000-0000-000061240000}"/>
    <cellStyle name="Entrada 9 2 7 4" xfId="13630" xr:uid="{00000000-0005-0000-0000-000062240000}"/>
    <cellStyle name="Entrada 9 2 7 4 2" xfId="30862" xr:uid="{00000000-0005-0000-0000-000063240000}"/>
    <cellStyle name="Entrada 9 2 7 5" xfId="13631" xr:uid="{00000000-0005-0000-0000-000064240000}"/>
    <cellStyle name="Entrada 9 2 7 5 2" xfId="30863" xr:uid="{00000000-0005-0000-0000-000065240000}"/>
    <cellStyle name="Entrada 9 2 7 6" xfId="30859" xr:uid="{00000000-0005-0000-0000-000066240000}"/>
    <cellStyle name="Entrada 9 2 8" xfId="13632" xr:uid="{00000000-0005-0000-0000-000067240000}"/>
    <cellStyle name="Entrada 9 2 8 2" xfId="13633" xr:uid="{00000000-0005-0000-0000-000068240000}"/>
    <cellStyle name="Entrada 9 2 8 2 2" xfId="30865" xr:uid="{00000000-0005-0000-0000-000069240000}"/>
    <cellStyle name="Entrada 9 2 8 3" xfId="13634" xr:uid="{00000000-0005-0000-0000-00006A240000}"/>
    <cellStyle name="Entrada 9 2 8 3 2" xfId="30866" xr:uid="{00000000-0005-0000-0000-00006B240000}"/>
    <cellStyle name="Entrada 9 2 8 4" xfId="13635" xr:uid="{00000000-0005-0000-0000-00006C240000}"/>
    <cellStyle name="Entrada 9 2 8 4 2" xfId="30867" xr:uid="{00000000-0005-0000-0000-00006D240000}"/>
    <cellStyle name="Entrada 9 2 8 5" xfId="13636" xr:uid="{00000000-0005-0000-0000-00006E240000}"/>
    <cellStyle name="Entrada 9 2 8 5 2" xfId="30868" xr:uid="{00000000-0005-0000-0000-00006F240000}"/>
    <cellStyle name="Entrada 9 2 8 6" xfId="13637" xr:uid="{00000000-0005-0000-0000-000070240000}"/>
    <cellStyle name="Entrada 9 2 8 6 2" xfId="30869" xr:uid="{00000000-0005-0000-0000-000071240000}"/>
    <cellStyle name="Entrada 9 2 8 7" xfId="30864" xr:uid="{00000000-0005-0000-0000-000072240000}"/>
    <cellStyle name="Entrada 9 2 9" xfId="13638" xr:uid="{00000000-0005-0000-0000-000073240000}"/>
    <cellStyle name="Entrada 9 2 9 2" xfId="13639" xr:uid="{00000000-0005-0000-0000-000074240000}"/>
    <cellStyle name="Entrada 9 2 9 2 2" xfId="30871" xr:uid="{00000000-0005-0000-0000-000075240000}"/>
    <cellStyle name="Entrada 9 2 9 3" xfId="30870" xr:uid="{00000000-0005-0000-0000-000076240000}"/>
    <cellStyle name="Entrada 9 3" xfId="12003" xr:uid="{00000000-0005-0000-0000-000077240000}"/>
    <cellStyle name="Entrada 9 3 2" xfId="30872" xr:uid="{00000000-0005-0000-0000-000078240000}"/>
    <cellStyle name="Entrada 9 3 3" xfId="33212" xr:uid="{00000000-0005-0000-0000-000079240000}"/>
    <cellStyle name="Entrada 9 3 4" xfId="34819" xr:uid="{00000000-0005-0000-0000-00007A240000}"/>
    <cellStyle name="Entrada 9 3 5" xfId="40941" xr:uid="{00000000-0005-0000-0000-00007B240000}"/>
    <cellStyle name="Entrada 9 4" xfId="12004" xr:uid="{00000000-0005-0000-0000-00007C240000}"/>
    <cellStyle name="Entrada 9 4 2" xfId="30873" xr:uid="{00000000-0005-0000-0000-00007D240000}"/>
    <cellStyle name="Entrada 9 4 3" xfId="33213" xr:uid="{00000000-0005-0000-0000-00007E240000}"/>
    <cellStyle name="Entrada 9 4 4" xfId="34820" xr:uid="{00000000-0005-0000-0000-00007F240000}"/>
    <cellStyle name="Entrada 9 4 5" xfId="40942" xr:uid="{00000000-0005-0000-0000-000080240000}"/>
    <cellStyle name="Entrada 9 5" xfId="30829" xr:uid="{00000000-0005-0000-0000-000081240000}"/>
    <cellStyle name="Entrada 9 6" xfId="33208" xr:uid="{00000000-0005-0000-0000-000082240000}"/>
    <cellStyle name="Entrada 9 7" xfId="34815" xr:uid="{00000000-0005-0000-0000-000083240000}"/>
    <cellStyle name="Entrada 9 8" xfId="40937" xr:uid="{00000000-0005-0000-0000-000084240000}"/>
    <cellStyle name="Estilo 1" xfId="3872" xr:uid="{00000000-0005-0000-0000-000085240000}"/>
    <cellStyle name="Estilo 1 2" xfId="12005" xr:uid="{00000000-0005-0000-0000-000086240000}"/>
    <cellStyle name="Estilo 1 2 2" xfId="13640" xr:uid="{00000000-0005-0000-0000-000087240000}"/>
    <cellStyle name="Estilo 1 2 3" xfId="30875" xr:uid="{00000000-0005-0000-0000-000088240000}"/>
    <cellStyle name="Estilo 1 2 4" xfId="33215" xr:uid="{00000000-0005-0000-0000-000089240000}"/>
    <cellStyle name="Estilo 1 2 5" xfId="34822" xr:uid="{00000000-0005-0000-0000-00008A240000}"/>
    <cellStyle name="Estilo 1 3" xfId="12006" xr:uid="{00000000-0005-0000-0000-00008B240000}"/>
    <cellStyle name="Estilo 1 3 2" xfId="30876" xr:uid="{00000000-0005-0000-0000-00008C240000}"/>
    <cellStyle name="Estilo 1 3 3" xfId="33216" xr:uid="{00000000-0005-0000-0000-00008D240000}"/>
    <cellStyle name="Estilo 1 3 4" xfId="34823" xr:uid="{00000000-0005-0000-0000-00008E240000}"/>
    <cellStyle name="Estilo 1 4" xfId="13641" xr:uid="{00000000-0005-0000-0000-00008F240000}"/>
    <cellStyle name="Estilo 1 5" xfId="30874" xr:uid="{00000000-0005-0000-0000-000090240000}"/>
    <cellStyle name="Estilo 1 6" xfId="33214" xr:uid="{00000000-0005-0000-0000-000091240000}"/>
    <cellStyle name="Estilo 1 7" xfId="34821" xr:uid="{00000000-0005-0000-0000-000092240000}"/>
    <cellStyle name="Euro" xfId="3873" xr:uid="{00000000-0005-0000-0000-000093240000}"/>
    <cellStyle name="Euro 10" xfId="3874" xr:uid="{00000000-0005-0000-0000-000094240000}"/>
    <cellStyle name="Euro 10 2" xfId="3875" xr:uid="{00000000-0005-0000-0000-000095240000}"/>
    <cellStyle name="Euro 10 3" xfId="3876" xr:uid="{00000000-0005-0000-0000-000096240000}"/>
    <cellStyle name="Euro 10 4" xfId="3877" xr:uid="{00000000-0005-0000-0000-000097240000}"/>
    <cellStyle name="Euro 10 5" xfId="3878" xr:uid="{00000000-0005-0000-0000-000098240000}"/>
    <cellStyle name="Euro 10 6" xfId="3879" xr:uid="{00000000-0005-0000-0000-000099240000}"/>
    <cellStyle name="Euro 10 7" xfId="3880" xr:uid="{00000000-0005-0000-0000-00009A240000}"/>
    <cellStyle name="Euro 10 8" xfId="13642" xr:uid="{00000000-0005-0000-0000-00009B240000}"/>
    <cellStyle name="Euro 11" xfId="3881" xr:uid="{00000000-0005-0000-0000-00009C240000}"/>
    <cellStyle name="Euro 11 2" xfId="13643" xr:uid="{00000000-0005-0000-0000-00009D240000}"/>
    <cellStyle name="Euro 11 2 2" xfId="34824" xr:uid="{00000000-0005-0000-0000-00009E240000}"/>
    <cellStyle name="Euro 12" xfId="3882" xr:uid="{00000000-0005-0000-0000-00009F240000}"/>
    <cellStyle name="Euro 13" xfId="3883" xr:uid="{00000000-0005-0000-0000-0000A0240000}"/>
    <cellStyle name="Euro 14" xfId="3884" xr:uid="{00000000-0005-0000-0000-0000A1240000}"/>
    <cellStyle name="Euro 15" xfId="3885" xr:uid="{00000000-0005-0000-0000-0000A2240000}"/>
    <cellStyle name="Euro 16" xfId="3886" xr:uid="{00000000-0005-0000-0000-0000A3240000}"/>
    <cellStyle name="Euro 17" xfId="3887" xr:uid="{00000000-0005-0000-0000-0000A4240000}"/>
    <cellStyle name="Euro 17 2" xfId="3888" xr:uid="{00000000-0005-0000-0000-0000A5240000}"/>
    <cellStyle name="Euro 17 3" xfId="3889" xr:uid="{00000000-0005-0000-0000-0000A6240000}"/>
    <cellStyle name="Euro 17 4" xfId="3890" xr:uid="{00000000-0005-0000-0000-0000A7240000}"/>
    <cellStyle name="Euro 18" xfId="13644" xr:uid="{00000000-0005-0000-0000-0000A8240000}"/>
    <cellStyle name="Euro 2" xfId="3891" xr:uid="{00000000-0005-0000-0000-0000A9240000}"/>
    <cellStyle name="Euro 2 10" xfId="3892" xr:uid="{00000000-0005-0000-0000-0000AA240000}"/>
    <cellStyle name="Euro 2 10 2" xfId="13645" xr:uid="{00000000-0005-0000-0000-0000AB240000}"/>
    <cellStyle name="Euro 2 11" xfId="3893" xr:uid="{00000000-0005-0000-0000-0000AC240000}"/>
    <cellStyle name="Euro 2 11 2" xfId="13646" xr:uid="{00000000-0005-0000-0000-0000AD240000}"/>
    <cellStyle name="Euro 2 12" xfId="3894" xr:uid="{00000000-0005-0000-0000-0000AE240000}"/>
    <cellStyle name="Euro 2 12 2" xfId="13647" xr:uid="{00000000-0005-0000-0000-0000AF240000}"/>
    <cellStyle name="Euro 2 13" xfId="3895" xr:uid="{00000000-0005-0000-0000-0000B0240000}"/>
    <cellStyle name="Euro 2 13 2" xfId="13648" xr:uid="{00000000-0005-0000-0000-0000B1240000}"/>
    <cellStyle name="Euro 2 13 2 2" xfId="34825" xr:uid="{00000000-0005-0000-0000-0000B2240000}"/>
    <cellStyle name="Euro 2 14" xfId="3896" xr:uid="{00000000-0005-0000-0000-0000B3240000}"/>
    <cellStyle name="Euro 2 15" xfId="3897" xr:uid="{00000000-0005-0000-0000-0000B4240000}"/>
    <cellStyle name="Euro 2 16" xfId="3898" xr:uid="{00000000-0005-0000-0000-0000B5240000}"/>
    <cellStyle name="Euro 2 17" xfId="3899" xr:uid="{00000000-0005-0000-0000-0000B6240000}"/>
    <cellStyle name="Euro 2 18" xfId="3900" xr:uid="{00000000-0005-0000-0000-0000B7240000}"/>
    <cellStyle name="Euro 2 19" xfId="3901" xr:uid="{00000000-0005-0000-0000-0000B8240000}"/>
    <cellStyle name="Euro 2 2" xfId="3902" xr:uid="{00000000-0005-0000-0000-0000B9240000}"/>
    <cellStyle name="Euro 2 2 2" xfId="13649" xr:uid="{00000000-0005-0000-0000-0000BA240000}"/>
    <cellStyle name="Euro 2 2 2 2" xfId="34826" xr:uid="{00000000-0005-0000-0000-0000BB240000}"/>
    <cellStyle name="Euro 2 2 3" xfId="13650" xr:uid="{00000000-0005-0000-0000-0000BC240000}"/>
    <cellStyle name="Euro 2 2 3 2" xfId="34827" xr:uid="{00000000-0005-0000-0000-0000BD240000}"/>
    <cellStyle name="Euro 2 2 4" xfId="13651" xr:uid="{00000000-0005-0000-0000-0000BE240000}"/>
    <cellStyle name="Euro 2 20" xfId="3903" xr:uid="{00000000-0005-0000-0000-0000BF240000}"/>
    <cellStyle name="Euro 2 21" xfId="13652" xr:uid="{00000000-0005-0000-0000-0000C0240000}"/>
    <cellStyle name="Euro 2 3" xfId="3904" xr:uid="{00000000-0005-0000-0000-0000C1240000}"/>
    <cellStyle name="Euro 2 3 2" xfId="13653" xr:uid="{00000000-0005-0000-0000-0000C2240000}"/>
    <cellStyle name="Euro 2 3 2 2" xfId="34828" xr:uid="{00000000-0005-0000-0000-0000C3240000}"/>
    <cellStyle name="Euro 2 3 3" xfId="13654" xr:uid="{00000000-0005-0000-0000-0000C4240000}"/>
    <cellStyle name="Euro 2 4" xfId="3905" xr:uid="{00000000-0005-0000-0000-0000C5240000}"/>
    <cellStyle name="Euro 2 4 2" xfId="13655" xr:uid="{00000000-0005-0000-0000-0000C6240000}"/>
    <cellStyle name="Euro 2 4 2 2" xfId="34829" xr:uid="{00000000-0005-0000-0000-0000C7240000}"/>
    <cellStyle name="Euro 2 4 3" xfId="13656" xr:uid="{00000000-0005-0000-0000-0000C8240000}"/>
    <cellStyle name="Euro 2 5" xfId="3906" xr:uid="{00000000-0005-0000-0000-0000C9240000}"/>
    <cellStyle name="Euro 2 5 2" xfId="13657" xr:uid="{00000000-0005-0000-0000-0000CA240000}"/>
    <cellStyle name="Euro 2 5 2 2" xfId="34830" xr:uid="{00000000-0005-0000-0000-0000CB240000}"/>
    <cellStyle name="Euro 2 5 3" xfId="13658" xr:uid="{00000000-0005-0000-0000-0000CC240000}"/>
    <cellStyle name="Euro 2 6" xfId="3907" xr:uid="{00000000-0005-0000-0000-0000CD240000}"/>
    <cellStyle name="Euro 2 6 2" xfId="13659" xr:uid="{00000000-0005-0000-0000-0000CE240000}"/>
    <cellStyle name="Euro 2 6 2 2" xfId="34831" xr:uid="{00000000-0005-0000-0000-0000CF240000}"/>
    <cellStyle name="Euro 2 6 3" xfId="13660" xr:uid="{00000000-0005-0000-0000-0000D0240000}"/>
    <cellStyle name="Euro 2 7" xfId="3908" xr:uid="{00000000-0005-0000-0000-0000D1240000}"/>
    <cellStyle name="Euro 2 7 2" xfId="13661" xr:uid="{00000000-0005-0000-0000-0000D2240000}"/>
    <cellStyle name="Euro 2 8" xfId="3909" xr:uid="{00000000-0005-0000-0000-0000D3240000}"/>
    <cellStyle name="Euro 2 8 2" xfId="13662" xr:uid="{00000000-0005-0000-0000-0000D4240000}"/>
    <cellStyle name="Euro 2 9" xfId="3910" xr:uid="{00000000-0005-0000-0000-0000D5240000}"/>
    <cellStyle name="Euro 2 9 2" xfId="13663" xr:uid="{00000000-0005-0000-0000-0000D6240000}"/>
    <cellStyle name="Euro 3" xfId="3911" xr:uid="{00000000-0005-0000-0000-0000D7240000}"/>
    <cellStyle name="Euro 3 10" xfId="3912" xr:uid="{00000000-0005-0000-0000-0000D8240000}"/>
    <cellStyle name="Euro 3 11" xfId="3913" xr:uid="{00000000-0005-0000-0000-0000D9240000}"/>
    <cellStyle name="Euro 3 12" xfId="3914" xr:uid="{00000000-0005-0000-0000-0000DA240000}"/>
    <cellStyle name="Euro 3 13" xfId="3915" xr:uid="{00000000-0005-0000-0000-0000DB240000}"/>
    <cellStyle name="Euro 3 14" xfId="3916" xr:uid="{00000000-0005-0000-0000-0000DC240000}"/>
    <cellStyle name="Euro 3 15" xfId="13664" xr:uid="{00000000-0005-0000-0000-0000DD240000}"/>
    <cellStyle name="Euro 3 2" xfId="3917" xr:uid="{00000000-0005-0000-0000-0000DE240000}"/>
    <cellStyle name="Euro 3 2 2" xfId="13665" xr:uid="{00000000-0005-0000-0000-0000DF240000}"/>
    <cellStyle name="Euro 3 2 2 2" xfId="34832" xr:uid="{00000000-0005-0000-0000-0000E0240000}"/>
    <cellStyle name="Euro 3 2 3" xfId="13666" xr:uid="{00000000-0005-0000-0000-0000E1240000}"/>
    <cellStyle name="Euro 3 3" xfId="3918" xr:uid="{00000000-0005-0000-0000-0000E2240000}"/>
    <cellStyle name="Euro 3 3 2" xfId="13667" xr:uid="{00000000-0005-0000-0000-0000E3240000}"/>
    <cellStyle name="Euro 3 4" xfId="3919" xr:uid="{00000000-0005-0000-0000-0000E4240000}"/>
    <cellStyle name="Euro 3 4 2" xfId="13668" xr:uid="{00000000-0005-0000-0000-0000E5240000}"/>
    <cellStyle name="Euro 3 5" xfId="3920" xr:uid="{00000000-0005-0000-0000-0000E6240000}"/>
    <cellStyle name="Euro 3 5 2" xfId="13669" xr:uid="{00000000-0005-0000-0000-0000E7240000}"/>
    <cellStyle name="Euro 3 6" xfId="3921" xr:uid="{00000000-0005-0000-0000-0000E8240000}"/>
    <cellStyle name="Euro 3 7" xfId="3922" xr:uid="{00000000-0005-0000-0000-0000E9240000}"/>
    <cellStyle name="Euro 3 8" xfId="3923" xr:uid="{00000000-0005-0000-0000-0000EA240000}"/>
    <cellStyle name="Euro 3 9" xfId="3924" xr:uid="{00000000-0005-0000-0000-0000EB240000}"/>
    <cellStyle name="Euro 4" xfId="3925" xr:uid="{00000000-0005-0000-0000-0000EC240000}"/>
    <cellStyle name="Euro 4 2" xfId="13670" xr:uid="{00000000-0005-0000-0000-0000ED240000}"/>
    <cellStyle name="Euro 4 2 2" xfId="34833" xr:uid="{00000000-0005-0000-0000-0000EE240000}"/>
    <cellStyle name="Euro 4 3" xfId="13671" xr:uid="{00000000-0005-0000-0000-0000EF240000}"/>
    <cellStyle name="Euro 5" xfId="3926" xr:uid="{00000000-0005-0000-0000-0000F0240000}"/>
    <cellStyle name="Euro 5 2" xfId="13672" xr:uid="{00000000-0005-0000-0000-0000F1240000}"/>
    <cellStyle name="Euro 6" xfId="3927" xr:uid="{00000000-0005-0000-0000-0000F2240000}"/>
    <cellStyle name="Euro 6 2" xfId="13673" xr:uid="{00000000-0005-0000-0000-0000F3240000}"/>
    <cellStyle name="Euro 7" xfId="3928" xr:uid="{00000000-0005-0000-0000-0000F4240000}"/>
    <cellStyle name="Euro 7 2" xfId="13674" xr:uid="{00000000-0005-0000-0000-0000F5240000}"/>
    <cellStyle name="Euro 8" xfId="3929" xr:uid="{00000000-0005-0000-0000-0000F6240000}"/>
    <cellStyle name="Euro 8 2" xfId="13675" xr:uid="{00000000-0005-0000-0000-0000F7240000}"/>
    <cellStyle name="Euro 9" xfId="3930" xr:uid="{00000000-0005-0000-0000-0000F8240000}"/>
    <cellStyle name="Euro 9 2" xfId="13676" xr:uid="{00000000-0005-0000-0000-0000F9240000}"/>
    <cellStyle name="Euro_1.Cuadro 1A TEMPRANILLO-1 Mayo-08" xfId="13677" xr:uid="{00000000-0005-0000-0000-0000FA240000}"/>
    <cellStyle name="Explanatory Text" xfId="13678" xr:uid="{00000000-0005-0000-0000-0000FB240000}"/>
    <cellStyle name="F2" xfId="13679" xr:uid="{00000000-0005-0000-0000-0000FC240000}"/>
    <cellStyle name="F2 2" xfId="13680" xr:uid="{00000000-0005-0000-0000-0000FD240000}"/>
    <cellStyle name="F2 3" xfId="13681" xr:uid="{00000000-0005-0000-0000-0000FE240000}"/>
    <cellStyle name="F2 4" xfId="13682" xr:uid="{00000000-0005-0000-0000-0000FF240000}"/>
    <cellStyle name="F2 5" xfId="13683" xr:uid="{00000000-0005-0000-0000-000000250000}"/>
    <cellStyle name="F2 6" xfId="13684" xr:uid="{00000000-0005-0000-0000-000001250000}"/>
    <cellStyle name="F2 7" xfId="13685" xr:uid="{00000000-0005-0000-0000-000002250000}"/>
    <cellStyle name="F2 8" xfId="13686" xr:uid="{00000000-0005-0000-0000-000003250000}"/>
    <cellStyle name="F2 9" xfId="13687" xr:uid="{00000000-0005-0000-0000-000004250000}"/>
    <cellStyle name="F2_1.Cuadro 1A TEMPRANILLO-1 Mayo-08" xfId="13688" xr:uid="{00000000-0005-0000-0000-000005250000}"/>
    <cellStyle name="F3" xfId="13689" xr:uid="{00000000-0005-0000-0000-000006250000}"/>
    <cellStyle name="F3 2" xfId="13690" xr:uid="{00000000-0005-0000-0000-000007250000}"/>
    <cellStyle name="F3 3" xfId="13691" xr:uid="{00000000-0005-0000-0000-000008250000}"/>
    <cellStyle name="F3 4" xfId="13692" xr:uid="{00000000-0005-0000-0000-000009250000}"/>
    <cellStyle name="F3 5" xfId="13693" xr:uid="{00000000-0005-0000-0000-00000A250000}"/>
    <cellStyle name="F3 6" xfId="13694" xr:uid="{00000000-0005-0000-0000-00000B250000}"/>
    <cellStyle name="F3 7" xfId="13695" xr:uid="{00000000-0005-0000-0000-00000C250000}"/>
    <cellStyle name="F3 8" xfId="13696" xr:uid="{00000000-0005-0000-0000-00000D250000}"/>
    <cellStyle name="F3 9" xfId="13697" xr:uid="{00000000-0005-0000-0000-00000E250000}"/>
    <cellStyle name="F3_1.Cuadro 1A TEMPRANILLO-1 Mayo-08" xfId="13698" xr:uid="{00000000-0005-0000-0000-00000F250000}"/>
    <cellStyle name="F4" xfId="13699" xr:uid="{00000000-0005-0000-0000-000010250000}"/>
    <cellStyle name="F4 2" xfId="13700" xr:uid="{00000000-0005-0000-0000-000011250000}"/>
    <cellStyle name="F4 3" xfId="13701" xr:uid="{00000000-0005-0000-0000-000012250000}"/>
    <cellStyle name="F4 4" xfId="13702" xr:uid="{00000000-0005-0000-0000-000013250000}"/>
    <cellStyle name="F4 5" xfId="13703" xr:uid="{00000000-0005-0000-0000-000014250000}"/>
    <cellStyle name="F4 6" xfId="13704" xr:uid="{00000000-0005-0000-0000-000015250000}"/>
    <cellStyle name="F4 7" xfId="13705" xr:uid="{00000000-0005-0000-0000-000016250000}"/>
    <cellStyle name="F4 8" xfId="13706" xr:uid="{00000000-0005-0000-0000-000017250000}"/>
    <cellStyle name="F4 9" xfId="13707" xr:uid="{00000000-0005-0000-0000-000018250000}"/>
    <cellStyle name="F4_1.Cuadro 1A TEMPRANILLO-1 Mayo-08" xfId="13708" xr:uid="{00000000-0005-0000-0000-000019250000}"/>
    <cellStyle name="F5" xfId="13709" xr:uid="{00000000-0005-0000-0000-00001A250000}"/>
    <cellStyle name="F5 2" xfId="13710" xr:uid="{00000000-0005-0000-0000-00001B250000}"/>
    <cellStyle name="F5 3" xfId="13711" xr:uid="{00000000-0005-0000-0000-00001C250000}"/>
    <cellStyle name="F5 4" xfId="13712" xr:uid="{00000000-0005-0000-0000-00001D250000}"/>
    <cellStyle name="F5 5" xfId="13713" xr:uid="{00000000-0005-0000-0000-00001E250000}"/>
    <cellStyle name="F5 6" xfId="13714" xr:uid="{00000000-0005-0000-0000-00001F250000}"/>
    <cellStyle name="F5 7" xfId="13715" xr:uid="{00000000-0005-0000-0000-000020250000}"/>
    <cellStyle name="F5 8" xfId="13716" xr:uid="{00000000-0005-0000-0000-000021250000}"/>
    <cellStyle name="F5 9" xfId="13717" xr:uid="{00000000-0005-0000-0000-000022250000}"/>
    <cellStyle name="F5_1.Cuadro 1A TEMPRANILLO-1 Mayo-08" xfId="13718" xr:uid="{00000000-0005-0000-0000-000023250000}"/>
    <cellStyle name="F6" xfId="13719" xr:uid="{00000000-0005-0000-0000-000024250000}"/>
    <cellStyle name="F6 2" xfId="13720" xr:uid="{00000000-0005-0000-0000-000025250000}"/>
    <cellStyle name="F6 3" xfId="13721" xr:uid="{00000000-0005-0000-0000-000026250000}"/>
    <cellStyle name="F6 4" xfId="13722" xr:uid="{00000000-0005-0000-0000-000027250000}"/>
    <cellStyle name="F6 5" xfId="13723" xr:uid="{00000000-0005-0000-0000-000028250000}"/>
    <cellStyle name="F6 6" xfId="13724" xr:uid="{00000000-0005-0000-0000-000029250000}"/>
    <cellStyle name="F6 7" xfId="13725" xr:uid="{00000000-0005-0000-0000-00002A250000}"/>
    <cellStyle name="F6 8" xfId="13726" xr:uid="{00000000-0005-0000-0000-00002B250000}"/>
    <cellStyle name="F6 9" xfId="13727" xr:uid="{00000000-0005-0000-0000-00002C250000}"/>
    <cellStyle name="F6_1.Cuadro 1A TEMPRANILLO-1 Mayo-08" xfId="13728" xr:uid="{00000000-0005-0000-0000-00002D250000}"/>
    <cellStyle name="F7" xfId="13729" xr:uid="{00000000-0005-0000-0000-00002E250000}"/>
    <cellStyle name="F7 2" xfId="13730" xr:uid="{00000000-0005-0000-0000-00002F250000}"/>
    <cellStyle name="F7 3" xfId="13731" xr:uid="{00000000-0005-0000-0000-000030250000}"/>
    <cellStyle name="F7 4" xfId="13732" xr:uid="{00000000-0005-0000-0000-000031250000}"/>
    <cellStyle name="F7 5" xfId="13733" xr:uid="{00000000-0005-0000-0000-000032250000}"/>
    <cellStyle name="F7 6" xfId="13734" xr:uid="{00000000-0005-0000-0000-000033250000}"/>
    <cellStyle name="F7 7" xfId="13735" xr:uid="{00000000-0005-0000-0000-000034250000}"/>
    <cellStyle name="F7 8" xfId="13736" xr:uid="{00000000-0005-0000-0000-000035250000}"/>
    <cellStyle name="F7 9" xfId="13737" xr:uid="{00000000-0005-0000-0000-000036250000}"/>
    <cellStyle name="F7_1.Cuadro 1A TEMPRANILLO-1 Mayo-08" xfId="13738" xr:uid="{00000000-0005-0000-0000-000037250000}"/>
    <cellStyle name="F8" xfId="13739" xr:uid="{00000000-0005-0000-0000-000038250000}"/>
    <cellStyle name="F8 2" xfId="13740" xr:uid="{00000000-0005-0000-0000-000039250000}"/>
    <cellStyle name="F8 3" xfId="13741" xr:uid="{00000000-0005-0000-0000-00003A250000}"/>
    <cellStyle name="F8 4" xfId="13742" xr:uid="{00000000-0005-0000-0000-00003B250000}"/>
    <cellStyle name="F8 5" xfId="13743" xr:uid="{00000000-0005-0000-0000-00003C250000}"/>
    <cellStyle name="F8 6" xfId="13744" xr:uid="{00000000-0005-0000-0000-00003D250000}"/>
    <cellStyle name="F8 7" xfId="13745" xr:uid="{00000000-0005-0000-0000-00003E250000}"/>
    <cellStyle name="F8 8" xfId="13746" xr:uid="{00000000-0005-0000-0000-00003F250000}"/>
    <cellStyle name="F8 9" xfId="13747" xr:uid="{00000000-0005-0000-0000-000040250000}"/>
    <cellStyle name="F8_1.Cuadro 1A TEMPRANILLO-1 Mayo-08" xfId="13748" xr:uid="{00000000-0005-0000-0000-000041250000}"/>
    <cellStyle name="Fixed" xfId="3931" xr:uid="{00000000-0005-0000-0000-000042250000}"/>
    <cellStyle name="Fixed 2" xfId="13749" xr:uid="{00000000-0005-0000-0000-000043250000}"/>
    <cellStyle name="Followed Hyperlink 2" xfId="13750" xr:uid="{00000000-0005-0000-0000-000044250000}"/>
    <cellStyle name="Followed Hyperlink 3" xfId="13751" xr:uid="{00000000-0005-0000-0000-000045250000}"/>
    <cellStyle name="Followed Hyperlink 4" xfId="13752" xr:uid="{00000000-0005-0000-0000-000046250000}"/>
    <cellStyle name="Followed Hyperlink 5" xfId="13753" xr:uid="{00000000-0005-0000-0000-000047250000}"/>
    <cellStyle name="Followed Hyperlink 6" xfId="13754" xr:uid="{00000000-0005-0000-0000-000048250000}"/>
    <cellStyle name="Followed Hyperlink 7" xfId="13755" xr:uid="{00000000-0005-0000-0000-000049250000}"/>
    <cellStyle name="Followed Hyperlink 8" xfId="13756" xr:uid="{00000000-0005-0000-0000-00004A250000}"/>
    <cellStyle name="Followed Hyperlink 9" xfId="13757" xr:uid="{00000000-0005-0000-0000-00004B250000}"/>
    <cellStyle name="Followed Hyperlink_0331longsht" xfId="13758" xr:uid="{00000000-0005-0000-0000-00004C250000}"/>
    <cellStyle name="form" xfId="15" xr:uid="{00000000-0005-0000-0000-00004D250000}"/>
    <cellStyle name="form 2" xfId="13759" xr:uid="{00000000-0005-0000-0000-00004E250000}"/>
    <cellStyle name="form 3" xfId="34834" xr:uid="{00000000-0005-0000-0000-00004F250000}"/>
    <cellStyle name="Formula" xfId="13760" xr:uid="{00000000-0005-0000-0000-000050250000}"/>
    <cellStyle name="Good" xfId="13761" xr:uid="{00000000-0005-0000-0000-000051250000}"/>
    <cellStyle name="Good 2" xfId="34836" xr:uid="{00000000-0005-0000-0000-000052250000}"/>
    <cellStyle name="Good 3" xfId="34835" xr:uid="{00000000-0005-0000-0000-000053250000}"/>
    <cellStyle name="Grey" xfId="13762" xr:uid="{00000000-0005-0000-0000-000054250000}"/>
    <cellStyle name="Head 1" xfId="13763" xr:uid="{00000000-0005-0000-0000-000055250000}"/>
    <cellStyle name="Head 1 2" xfId="13764" xr:uid="{00000000-0005-0000-0000-000056250000}"/>
    <cellStyle name="HEADER" xfId="13765" xr:uid="{00000000-0005-0000-0000-000057250000}"/>
    <cellStyle name="Header1" xfId="13766" xr:uid="{00000000-0005-0000-0000-000058250000}"/>
    <cellStyle name="Header2" xfId="13767" xr:uid="{00000000-0005-0000-0000-000059250000}"/>
    <cellStyle name="Header2 10" xfId="13768" xr:uid="{00000000-0005-0000-0000-00005A250000}"/>
    <cellStyle name="Header2 10 2" xfId="30878" xr:uid="{00000000-0005-0000-0000-00005B250000}"/>
    <cellStyle name="Header2 10 3" xfId="32525" xr:uid="{00000000-0005-0000-0000-00005C250000}"/>
    <cellStyle name="Header2 11" xfId="30877" xr:uid="{00000000-0005-0000-0000-00005D250000}"/>
    <cellStyle name="Header2 12" xfId="32524" xr:uid="{00000000-0005-0000-0000-00005E250000}"/>
    <cellStyle name="Header2 13" xfId="36658" xr:uid="{00000000-0005-0000-0000-00005F250000}"/>
    <cellStyle name="Header2 2" xfId="13769" xr:uid="{00000000-0005-0000-0000-000060250000}"/>
    <cellStyle name="Header2 2 2" xfId="13770" xr:uid="{00000000-0005-0000-0000-000061250000}"/>
    <cellStyle name="Header2 2 2 2" xfId="30880" xr:uid="{00000000-0005-0000-0000-000062250000}"/>
    <cellStyle name="Header2 2 2 3" xfId="32527" xr:uid="{00000000-0005-0000-0000-000063250000}"/>
    <cellStyle name="Header2 2 3" xfId="13771" xr:uid="{00000000-0005-0000-0000-000064250000}"/>
    <cellStyle name="Header2 2 3 2" xfId="30881" xr:uid="{00000000-0005-0000-0000-000065250000}"/>
    <cellStyle name="Header2 2 3 3" xfId="32528" xr:uid="{00000000-0005-0000-0000-000066250000}"/>
    <cellStyle name="Header2 2 4" xfId="13772" xr:uid="{00000000-0005-0000-0000-000067250000}"/>
    <cellStyle name="Header2 2 4 2" xfId="30882" xr:uid="{00000000-0005-0000-0000-000068250000}"/>
    <cellStyle name="Header2 2 4 3" xfId="32529" xr:uid="{00000000-0005-0000-0000-000069250000}"/>
    <cellStyle name="Header2 2 5" xfId="13773" xr:uid="{00000000-0005-0000-0000-00006A250000}"/>
    <cellStyle name="Header2 2 5 2" xfId="30883" xr:uid="{00000000-0005-0000-0000-00006B250000}"/>
    <cellStyle name="Header2 2 5 3" xfId="32530" xr:uid="{00000000-0005-0000-0000-00006C250000}"/>
    <cellStyle name="Header2 2 6" xfId="13774" xr:uid="{00000000-0005-0000-0000-00006D250000}"/>
    <cellStyle name="Header2 2 6 2" xfId="30884" xr:uid="{00000000-0005-0000-0000-00006E250000}"/>
    <cellStyle name="Header2 2 6 3" xfId="32531" xr:uid="{00000000-0005-0000-0000-00006F250000}"/>
    <cellStyle name="Header2 2 7" xfId="30879" xr:uid="{00000000-0005-0000-0000-000070250000}"/>
    <cellStyle name="Header2 2 8" xfId="32526" xr:uid="{00000000-0005-0000-0000-000071250000}"/>
    <cellStyle name="Header2 3" xfId="13775" xr:uid="{00000000-0005-0000-0000-000072250000}"/>
    <cellStyle name="Header2 3 2" xfId="13776" xr:uid="{00000000-0005-0000-0000-000073250000}"/>
    <cellStyle name="Header2 3 2 2" xfId="30886" xr:uid="{00000000-0005-0000-0000-000074250000}"/>
    <cellStyle name="Header2 3 2 3" xfId="32533" xr:uid="{00000000-0005-0000-0000-000075250000}"/>
    <cellStyle name="Header2 3 3" xfId="13777" xr:uid="{00000000-0005-0000-0000-000076250000}"/>
    <cellStyle name="Header2 3 3 2" xfId="30887" xr:uid="{00000000-0005-0000-0000-000077250000}"/>
    <cellStyle name="Header2 3 3 3" xfId="32534" xr:uid="{00000000-0005-0000-0000-000078250000}"/>
    <cellStyle name="Header2 3 4" xfId="13778" xr:uid="{00000000-0005-0000-0000-000079250000}"/>
    <cellStyle name="Header2 3 4 2" xfId="30888" xr:uid="{00000000-0005-0000-0000-00007A250000}"/>
    <cellStyle name="Header2 3 4 3" xfId="32535" xr:uid="{00000000-0005-0000-0000-00007B250000}"/>
    <cellStyle name="Header2 3 5" xfId="13779" xr:uid="{00000000-0005-0000-0000-00007C250000}"/>
    <cellStyle name="Header2 3 5 2" xfId="30889" xr:uid="{00000000-0005-0000-0000-00007D250000}"/>
    <cellStyle name="Header2 3 5 3" xfId="32536" xr:uid="{00000000-0005-0000-0000-00007E250000}"/>
    <cellStyle name="Header2 3 6" xfId="13780" xr:uid="{00000000-0005-0000-0000-00007F250000}"/>
    <cellStyle name="Header2 3 6 2" xfId="30890" xr:uid="{00000000-0005-0000-0000-000080250000}"/>
    <cellStyle name="Header2 3 6 3" xfId="32537" xr:uid="{00000000-0005-0000-0000-000081250000}"/>
    <cellStyle name="Header2 3 7" xfId="30885" xr:uid="{00000000-0005-0000-0000-000082250000}"/>
    <cellStyle name="Header2 3 8" xfId="32532" xr:uid="{00000000-0005-0000-0000-000083250000}"/>
    <cellStyle name="Header2 4" xfId="13781" xr:uid="{00000000-0005-0000-0000-000084250000}"/>
    <cellStyle name="Header2 4 2" xfId="13782" xr:uid="{00000000-0005-0000-0000-000085250000}"/>
    <cellStyle name="Header2 4 2 2" xfId="30892" xr:uid="{00000000-0005-0000-0000-000086250000}"/>
    <cellStyle name="Header2 4 2 3" xfId="32539" xr:uid="{00000000-0005-0000-0000-000087250000}"/>
    <cellStyle name="Header2 4 3" xfId="13783" xr:uid="{00000000-0005-0000-0000-000088250000}"/>
    <cellStyle name="Header2 4 3 2" xfId="30893" xr:uid="{00000000-0005-0000-0000-000089250000}"/>
    <cellStyle name="Header2 4 3 3" xfId="32540" xr:uid="{00000000-0005-0000-0000-00008A250000}"/>
    <cellStyle name="Header2 4 4" xfId="13784" xr:uid="{00000000-0005-0000-0000-00008B250000}"/>
    <cellStyle name="Header2 4 4 2" xfId="30894" xr:uid="{00000000-0005-0000-0000-00008C250000}"/>
    <cellStyle name="Header2 4 4 3" xfId="32541" xr:uid="{00000000-0005-0000-0000-00008D250000}"/>
    <cellStyle name="Header2 4 5" xfId="13785" xr:uid="{00000000-0005-0000-0000-00008E250000}"/>
    <cellStyle name="Header2 4 5 2" xfId="30895" xr:uid="{00000000-0005-0000-0000-00008F250000}"/>
    <cellStyle name="Header2 4 5 3" xfId="32542" xr:uid="{00000000-0005-0000-0000-000090250000}"/>
    <cellStyle name="Header2 4 6" xfId="13786" xr:uid="{00000000-0005-0000-0000-000091250000}"/>
    <cellStyle name="Header2 4 6 2" xfId="30896" xr:uid="{00000000-0005-0000-0000-000092250000}"/>
    <cellStyle name="Header2 4 6 3" xfId="32543" xr:uid="{00000000-0005-0000-0000-000093250000}"/>
    <cellStyle name="Header2 4 7" xfId="30891" xr:uid="{00000000-0005-0000-0000-000094250000}"/>
    <cellStyle name="Header2 4 8" xfId="32538" xr:uid="{00000000-0005-0000-0000-000095250000}"/>
    <cellStyle name="Header2 5" xfId="13787" xr:uid="{00000000-0005-0000-0000-000096250000}"/>
    <cellStyle name="Header2 5 2" xfId="13788" xr:uid="{00000000-0005-0000-0000-000097250000}"/>
    <cellStyle name="Header2 5 2 2" xfId="30898" xr:uid="{00000000-0005-0000-0000-000098250000}"/>
    <cellStyle name="Header2 5 2 3" xfId="32545" xr:uid="{00000000-0005-0000-0000-000099250000}"/>
    <cellStyle name="Header2 5 3" xfId="13789" xr:uid="{00000000-0005-0000-0000-00009A250000}"/>
    <cellStyle name="Header2 5 3 2" xfId="30899" xr:uid="{00000000-0005-0000-0000-00009B250000}"/>
    <cellStyle name="Header2 5 3 3" xfId="32546" xr:uid="{00000000-0005-0000-0000-00009C250000}"/>
    <cellStyle name="Header2 5 4" xfId="13790" xr:uid="{00000000-0005-0000-0000-00009D250000}"/>
    <cellStyle name="Header2 5 4 2" xfId="30900" xr:uid="{00000000-0005-0000-0000-00009E250000}"/>
    <cellStyle name="Header2 5 4 3" xfId="32547" xr:uid="{00000000-0005-0000-0000-00009F250000}"/>
    <cellStyle name="Header2 5 5" xfId="13791" xr:uid="{00000000-0005-0000-0000-0000A0250000}"/>
    <cellStyle name="Header2 5 5 2" xfId="30901" xr:uid="{00000000-0005-0000-0000-0000A1250000}"/>
    <cellStyle name="Header2 5 5 3" xfId="32548" xr:uid="{00000000-0005-0000-0000-0000A2250000}"/>
    <cellStyle name="Header2 5 6" xfId="13792" xr:uid="{00000000-0005-0000-0000-0000A3250000}"/>
    <cellStyle name="Header2 5 6 2" xfId="30902" xr:uid="{00000000-0005-0000-0000-0000A4250000}"/>
    <cellStyle name="Header2 5 6 3" xfId="32549" xr:uid="{00000000-0005-0000-0000-0000A5250000}"/>
    <cellStyle name="Header2 5 7" xfId="30897" xr:uid="{00000000-0005-0000-0000-0000A6250000}"/>
    <cellStyle name="Header2 5 8" xfId="32544" xr:uid="{00000000-0005-0000-0000-0000A7250000}"/>
    <cellStyle name="Header2 6" xfId="13793" xr:uid="{00000000-0005-0000-0000-0000A8250000}"/>
    <cellStyle name="Header2 6 2" xfId="13794" xr:uid="{00000000-0005-0000-0000-0000A9250000}"/>
    <cellStyle name="Header2 6 2 2" xfId="30904" xr:uid="{00000000-0005-0000-0000-0000AA250000}"/>
    <cellStyle name="Header2 6 2 3" xfId="32551" xr:uid="{00000000-0005-0000-0000-0000AB250000}"/>
    <cellStyle name="Header2 6 3" xfId="13795" xr:uid="{00000000-0005-0000-0000-0000AC250000}"/>
    <cellStyle name="Header2 6 3 2" xfId="30905" xr:uid="{00000000-0005-0000-0000-0000AD250000}"/>
    <cellStyle name="Header2 6 3 3" xfId="32552" xr:uid="{00000000-0005-0000-0000-0000AE250000}"/>
    <cellStyle name="Header2 6 4" xfId="13796" xr:uid="{00000000-0005-0000-0000-0000AF250000}"/>
    <cellStyle name="Header2 6 4 2" xfId="30906" xr:uid="{00000000-0005-0000-0000-0000B0250000}"/>
    <cellStyle name="Header2 6 4 3" xfId="32553" xr:uid="{00000000-0005-0000-0000-0000B1250000}"/>
    <cellStyle name="Header2 6 5" xfId="13797" xr:uid="{00000000-0005-0000-0000-0000B2250000}"/>
    <cellStyle name="Header2 6 5 2" xfId="30907" xr:uid="{00000000-0005-0000-0000-0000B3250000}"/>
    <cellStyle name="Header2 6 5 3" xfId="32554" xr:uid="{00000000-0005-0000-0000-0000B4250000}"/>
    <cellStyle name="Header2 6 6" xfId="13798" xr:uid="{00000000-0005-0000-0000-0000B5250000}"/>
    <cellStyle name="Header2 6 6 2" xfId="30908" xr:uid="{00000000-0005-0000-0000-0000B6250000}"/>
    <cellStyle name="Header2 6 6 3" xfId="32555" xr:uid="{00000000-0005-0000-0000-0000B7250000}"/>
    <cellStyle name="Header2 6 7" xfId="30903" xr:uid="{00000000-0005-0000-0000-0000B8250000}"/>
    <cellStyle name="Header2 6 8" xfId="32550" xr:uid="{00000000-0005-0000-0000-0000B9250000}"/>
    <cellStyle name="Header2 7" xfId="13799" xr:uid="{00000000-0005-0000-0000-0000BA250000}"/>
    <cellStyle name="Header2 7 2" xfId="13800" xr:uid="{00000000-0005-0000-0000-0000BB250000}"/>
    <cellStyle name="Header2 7 2 2" xfId="30910" xr:uid="{00000000-0005-0000-0000-0000BC250000}"/>
    <cellStyle name="Header2 7 2 3" xfId="32557" xr:uid="{00000000-0005-0000-0000-0000BD250000}"/>
    <cellStyle name="Header2 7 3" xfId="13801" xr:uid="{00000000-0005-0000-0000-0000BE250000}"/>
    <cellStyle name="Header2 7 3 2" xfId="30911" xr:uid="{00000000-0005-0000-0000-0000BF250000}"/>
    <cellStyle name="Header2 7 3 3" xfId="32558" xr:uid="{00000000-0005-0000-0000-0000C0250000}"/>
    <cellStyle name="Header2 7 4" xfId="13802" xr:uid="{00000000-0005-0000-0000-0000C1250000}"/>
    <cellStyle name="Header2 7 4 2" xfId="30912" xr:uid="{00000000-0005-0000-0000-0000C2250000}"/>
    <cellStyle name="Header2 7 4 3" xfId="32559" xr:uid="{00000000-0005-0000-0000-0000C3250000}"/>
    <cellStyle name="Header2 7 5" xfId="13803" xr:uid="{00000000-0005-0000-0000-0000C4250000}"/>
    <cellStyle name="Header2 7 5 2" xfId="30913" xr:uid="{00000000-0005-0000-0000-0000C5250000}"/>
    <cellStyle name="Header2 7 5 3" xfId="32560" xr:uid="{00000000-0005-0000-0000-0000C6250000}"/>
    <cellStyle name="Header2 7 6" xfId="13804" xr:uid="{00000000-0005-0000-0000-0000C7250000}"/>
    <cellStyle name="Header2 7 6 2" xfId="30914" xr:uid="{00000000-0005-0000-0000-0000C8250000}"/>
    <cellStyle name="Header2 7 6 3" xfId="32561" xr:uid="{00000000-0005-0000-0000-0000C9250000}"/>
    <cellStyle name="Header2 7 7" xfId="30909" xr:uid="{00000000-0005-0000-0000-0000CA250000}"/>
    <cellStyle name="Header2 7 8" xfId="32556" xr:uid="{00000000-0005-0000-0000-0000CB250000}"/>
    <cellStyle name="Header2 8" xfId="13805" xr:uid="{00000000-0005-0000-0000-0000CC250000}"/>
    <cellStyle name="Header2 8 2" xfId="13806" xr:uid="{00000000-0005-0000-0000-0000CD250000}"/>
    <cellStyle name="Header2 8 2 2" xfId="30916" xr:uid="{00000000-0005-0000-0000-0000CE250000}"/>
    <cellStyle name="Header2 8 2 3" xfId="32563" xr:uid="{00000000-0005-0000-0000-0000CF250000}"/>
    <cellStyle name="Header2 8 3" xfId="13807" xr:uid="{00000000-0005-0000-0000-0000D0250000}"/>
    <cellStyle name="Header2 8 3 2" xfId="30917" xr:uid="{00000000-0005-0000-0000-0000D1250000}"/>
    <cellStyle name="Header2 8 3 3" xfId="32564" xr:uid="{00000000-0005-0000-0000-0000D2250000}"/>
    <cellStyle name="Header2 8 4" xfId="13808" xr:uid="{00000000-0005-0000-0000-0000D3250000}"/>
    <cellStyle name="Header2 8 4 2" xfId="30918" xr:uid="{00000000-0005-0000-0000-0000D4250000}"/>
    <cellStyle name="Header2 8 4 3" xfId="32565" xr:uid="{00000000-0005-0000-0000-0000D5250000}"/>
    <cellStyle name="Header2 8 5" xfId="13809" xr:uid="{00000000-0005-0000-0000-0000D6250000}"/>
    <cellStyle name="Header2 8 5 2" xfId="30919" xr:uid="{00000000-0005-0000-0000-0000D7250000}"/>
    <cellStyle name="Header2 8 5 3" xfId="32566" xr:uid="{00000000-0005-0000-0000-0000D8250000}"/>
    <cellStyle name="Header2 8 6" xfId="13810" xr:uid="{00000000-0005-0000-0000-0000D9250000}"/>
    <cellStyle name="Header2 8 6 2" xfId="30920" xr:uid="{00000000-0005-0000-0000-0000DA250000}"/>
    <cellStyle name="Header2 8 6 3" xfId="32567" xr:uid="{00000000-0005-0000-0000-0000DB250000}"/>
    <cellStyle name="Header2 8 7" xfId="30915" xr:uid="{00000000-0005-0000-0000-0000DC250000}"/>
    <cellStyle name="Header2 8 8" xfId="32562" xr:uid="{00000000-0005-0000-0000-0000DD250000}"/>
    <cellStyle name="Header2 9" xfId="13811" xr:uid="{00000000-0005-0000-0000-0000DE250000}"/>
    <cellStyle name="Header2 9 2" xfId="13812" xr:uid="{00000000-0005-0000-0000-0000DF250000}"/>
    <cellStyle name="Header2 9 2 2" xfId="30922" xr:uid="{00000000-0005-0000-0000-0000E0250000}"/>
    <cellStyle name="Header2 9 2 3" xfId="32569" xr:uid="{00000000-0005-0000-0000-0000E1250000}"/>
    <cellStyle name="Header2 9 3" xfId="13813" xr:uid="{00000000-0005-0000-0000-0000E2250000}"/>
    <cellStyle name="Header2 9 3 2" xfId="30923" xr:uid="{00000000-0005-0000-0000-0000E3250000}"/>
    <cellStyle name="Header2 9 3 3" xfId="32570" xr:uid="{00000000-0005-0000-0000-0000E4250000}"/>
    <cellStyle name="Header2 9 4" xfId="13814" xr:uid="{00000000-0005-0000-0000-0000E5250000}"/>
    <cellStyle name="Header2 9 4 2" xfId="30924" xr:uid="{00000000-0005-0000-0000-0000E6250000}"/>
    <cellStyle name="Header2 9 4 3" xfId="32571" xr:uid="{00000000-0005-0000-0000-0000E7250000}"/>
    <cellStyle name="Header2 9 5" xfId="13815" xr:uid="{00000000-0005-0000-0000-0000E8250000}"/>
    <cellStyle name="Header2 9 5 2" xfId="30925" xr:uid="{00000000-0005-0000-0000-0000E9250000}"/>
    <cellStyle name="Header2 9 5 3" xfId="32572" xr:uid="{00000000-0005-0000-0000-0000EA250000}"/>
    <cellStyle name="Header2 9 6" xfId="13816" xr:uid="{00000000-0005-0000-0000-0000EB250000}"/>
    <cellStyle name="Header2 9 6 2" xfId="30926" xr:uid="{00000000-0005-0000-0000-0000EC250000}"/>
    <cellStyle name="Header2 9 6 3" xfId="32573" xr:uid="{00000000-0005-0000-0000-0000ED250000}"/>
    <cellStyle name="Header2 9 7" xfId="30921" xr:uid="{00000000-0005-0000-0000-0000EE250000}"/>
    <cellStyle name="Header2 9 8" xfId="32568" xr:uid="{00000000-0005-0000-0000-0000EF250000}"/>
    <cellStyle name="Heading 1" xfId="13817" xr:uid="{00000000-0005-0000-0000-0000F0250000}"/>
    <cellStyle name="Heading 1 2" xfId="13818" xr:uid="{00000000-0005-0000-0000-0000F1250000}"/>
    <cellStyle name="Heading 1 2 2" xfId="33548" xr:uid="{00000000-0005-0000-0000-0000F2250000}"/>
    <cellStyle name="Heading 1_CARGUE MASIVO INYECCION" xfId="33549" xr:uid="{00000000-0005-0000-0000-0000F3250000}"/>
    <cellStyle name="Heading 2" xfId="13819" xr:uid="{00000000-0005-0000-0000-0000F4250000}"/>
    <cellStyle name="Heading 2 2" xfId="13820" xr:uid="{00000000-0005-0000-0000-0000F5250000}"/>
    <cellStyle name="Heading 2 2 2" xfId="33550" xr:uid="{00000000-0005-0000-0000-0000F6250000}"/>
    <cellStyle name="Heading 2_CARGUE MASIVO INYECCION" xfId="33551" xr:uid="{00000000-0005-0000-0000-0000F7250000}"/>
    <cellStyle name="Heading 3" xfId="13821" xr:uid="{00000000-0005-0000-0000-0000F8250000}"/>
    <cellStyle name="Heading 3 2" xfId="33552" xr:uid="{00000000-0005-0000-0000-0000F9250000}"/>
    <cellStyle name="Heading 3_CARGUE MASIVO INYECCION" xfId="33553" xr:uid="{00000000-0005-0000-0000-0000FA250000}"/>
    <cellStyle name="Heading 4" xfId="13822" xr:uid="{00000000-0005-0000-0000-0000FB250000}"/>
    <cellStyle name="Heading 4 2" xfId="34838" xr:uid="{00000000-0005-0000-0000-0000FC250000}"/>
    <cellStyle name="Heading 4 3" xfId="34837" xr:uid="{00000000-0005-0000-0000-0000FD250000}"/>
    <cellStyle name="Heading1" xfId="13823" xr:uid="{00000000-0005-0000-0000-0000FE250000}"/>
    <cellStyle name="Heading1 2" xfId="13824" xr:uid="{00000000-0005-0000-0000-0000FF250000}"/>
    <cellStyle name="Heading1 2 2" xfId="34839" xr:uid="{00000000-0005-0000-0000-000000260000}"/>
    <cellStyle name="Heading2" xfId="13825" xr:uid="{00000000-0005-0000-0000-000001260000}"/>
    <cellStyle name="Heading2 2" xfId="13826" xr:uid="{00000000-0005-0000-0000-000002260000}"/>
    <cellStyle name="Heading2 2 2" xfId="34840" xr:uid="{00000000-0005-0000-0000-000003260000}"/>
    <cellStyle name="HEADINGS" xfId="13827" xr:uid="{00000000-0005-0000-0000-000004260000}"/>
    <cellStyle name="HEADINGS 2" xfId="33554" xr:uid="{00000000-0005-0000-0000-000005260000}"/>
    <cellStyle name="HEADINGSTOP" xfId="13828" xr:uid="{00000000-0005-0000-0000-000006260000}"/>
    <cellStyle name="Hide" xfId="13829" xr:uid="{00000000-0005-0000-0000-000007260000}"/>
    <cellStyle name="HIGHLIGHT" xfId="13830" xr:uid="{00000000-0005-0000-0000-000008260000}"/>
    <cellStyle name="Hipervínculo" xfId="27" builtinId="8"/>
    <cellStyle name="Hipervínculo 2" xfId="13831" xr:uid="{00000000-0005-0000-0000-00000A260000}"/>
    <cellStyle name="Hipervínculo 2 2" xfId="13832" xr:uid="{00000000-0005-0000-0000-00000B260000}"/>
    <cellStyle name="Hipervínculo 2 3" xfId="34841" xr:uid="{00000000-0005-0000-0000-00000C260000}"/>
    <cellStyle name="Hipervínculo 3" xfId="32574" xr:uid="{00000000-0005-0000-0000-00000D260000}"/>
    <cellStyle name="Hipervínculo visitado 2" xfId="13833" xr:uid="{00000000-0005-0000-0000-00000E260000}"/>
    <cellStyle name="Hipervínculo visitado 2 2" xfId="34842" xr:uid="{00000000-0005-0000-0000-00000F260000}"/>
    <cellStyle name="Hipervínculo visitado 3" xfId="34843" xr:uid="{00000000-0005-0000-0000-000010260000}"/>
    <cellStyle name="Hyperlink" xfId="13834" xr:uid="{00000000-0005-0000-0000-000011260000}"/>
    <cellStyle name="Hyperlink 2" xfId="13835" xr:uid="{00000000-0005-0000-0000-000012260000}"/>
    <cellStyle name="Hyperlink 2 2" xfId="13836" xr:uid="{00000000-0005-0000-0000-000013260000}"/>
    <cellStyle name="Hyperlink 2 2 2" xfId="34845" xr:uid="{00000000-0005-0000-0000-000014260000}"/>
    <cellStyle name="Hyperlink 2 3" xfId="34844" xr:uid="{00000000-0005-0000-0000-000015260000}"/>
    <cellStyle name="Hyperlink 3" xfId="13837" xr:uid="{00000000-0005-0000-0000-000016260000}"/>
    <cellStyle name="Hyperlink 4" xfId="13838" xr:uid="{00000000-0005-0000-0000-000017260000}"/>
    <cellStyle name="Hyperlink 5" xfId="13839" xr:uid="{00000000-0005-0000-0000-000018260000}"/>
    <cellStyle name="Hyperlink 6" xfId="13840" xr:uid="{00000000-0005-0000-0000-000019260000}"/>
    <cellStyle name="Hyperlink 7" xfId="13841" xr:uid="{00000000-0005-0000-0000-00001A260000}"/>
    <cellStyle name="Hyperlink 8" xfId="13842" xr:uid="{00000000-0005-0000-0000-00001B260000}"/>
    <cellStyle name="Hyperlink 9" xfId="13843" xr:uid="{00000000-0005-0000-0000-00001C260000}"/>
    <cellStyle name="Hyperlink_0331ytd_cal" xfId="13844" xr:uid="{00000000-0005-0000-0000-00001D260000}"/>
    <cellStyle name="Hypertextový odkaz" xfId="13845" xr:uid="{00000000-0005-0000-0000-00001E260000}"/>
    <cellStyle name="Incorrecto 10" xfId="3932" xr:uid="{00000000-0005-0000-0000-00001F260000}"/>
    <cellStyle name="Incorrecto 11" xfId="3933" xr:uid="{00000000-0005-0000-0000-000020260000}"/>
    <cellStyle name="Incorrecto 12" xfId="3934" xr:uid="{00000000-0005-0000-0000-000021260000}"/>
    <cellStyle name="Incorrecto 13" xfId="3935" xr:uid="{00000000-0005-0000-0000-000022260000}"/>
    <cellStyle name="Incorrecto 14" xfId="3936" xr:uid="{00000000-0005-0000-0000-000023260000}"/>
    <cellStyle name="Incorrecto 15" xfId="3937" xr:uid="{00000000-0005-0000-0000-000024260000}"/>
    <cellStyle name="Incorrecto 16" xfId="3938" xr:uid="{00000000-0005-0000-0000-000025260000}"/>
    <cellStyle name="Incorrecto 17" xfId="3939" xr:uid="{00000000-0005-0000-0000-000026260000}"/>
    <cellStyle name="Incorrecto 18" xfId="3940" xr:uid="{00000000-0005-0000-0000-000027260000}"/>
    <cellStyle name="Incorrecto 19" xfId="3941" xr:uid="{00000000-0005-0000-0000-000028260000}"/>
    <cellStyle name="Incorrecto 2" xfId="3942" xr:uid="{00000000-0005-0000-0000-000029260000}"/>
    <cellStyle name="Incorrecto 2 2" xfId="13846" xr:uid="{00000000-0005-0000-0000-00002A260000}"/>
    <cellStyle name="Incorrecto 2 3" xfId="13847" xr:uid="{00000000-0005-0000-0000-00002B260000}"/>
    <cellStyle name="Incorrecto 20" xfId="3943" xr:uid="{00000000-0005-0000-0000-00002C260000}"/>
    <cellStyle name="Incorrecto 21" xfId="3944" xr:uid="{00000000-0005-0000-0000-00002D260000}"/>
    <cellStyle name="Incorrecto 22" xfId="3945" xr:uid="{00000000-0005-0000-0000-00002E260000}"/>
    <cellStyle name="Incorrecto 23" xfId="3946" xr:uid="{00000000-0005-0000-0000-00002F260000}"/>
    <cellStyle name="Incorrecto 24" xfId="3947" xr:uid="{00000000-0005-0000-0000-000030260000}"/>
    <cellStyle name="Incorrecto 25" xfId="3948" xr:uid="{00000000-0005-0000-0000-000031260000}"/>
    <cellStyle name="Incorrecto 26" xfId="3949" xr:uid="{00000000-0005-0000-0000-000032260000}"/>
    <cellStyle name="Incorrecto 27" xfId="3950" xr:uid="{00000000-0005-0000-0000-000033260000}"/>
    <cellStyle name="Incorrecto 28" xfId="3951" xr:uid="{00000000-0005-0000-0000-000034260000}"/>
    <cellStyle name="Incorrecto 29" xfId="3952" xr:uid="{00000000-0005-0000-0000-000035260000}"/>
    <cellStyle name="Incorrecto 3" xfId="3953" xr:uid="{00000000-0005-0000-0000-000036260000}"/>
    <cellStyle name="Incorrecto 3 2" xfId="13848" xr:uid="{00000000-0005-0000-0000-000037260000}"/>
    <cellStyle name="Incorrecto 3 3" xfId="13849" xr:uid="{00000000-0005-0000-0000-000038260000}"/>
    <cellStyle name="Incorrecto 30" xfId="3954" xr:uid="{00000000-0005-0000-0000-000039260000}"/>
    <cellStyle name="Incorrecto 31" xfId="3955" xr:uid="{00000000-0005-0000-0000-00003A260000}"/>
    <cellStyle name="Incorrecto 32" xfId="3956" xr:uid="{00000000-0005-0000-0000-00003B260000}"/>
    <cellStyle name="Incorrecto 33" xfId="3957" xr:uid="{00000000-0005-0000-0000-00003C260000}"/>
    <cellStyle name="Incorrecto 34" xfId="3958" xr:uid="{00000000-0005-0000-0000-00003D260000}"/>
    <cellStyle name="Incorrecto 35" xfId="3959" xr:uid="{00000000-0005-0000-0000-00003E260000}"/>
    <cellStyle name="Incorrecto 36" xfId="3960" xr:uid="{00000000-0005-0000-0000-00003F260000}"/>
    <cellStyle name="Incorrecto 37" xfId="3961" xr:uid="{00000000-0005-0000-0000-000040260000}"/>
    <cellStyle name="Incorrecto 38" xfId="3962" xr:uid="{00000000-0005-0000-0000-000041260000}"/>
    <cellStyle name="Incorrecto 39" xfId="3963" xr:uid="{00000000-0005-0000-0000-000042260000}"/>
    <cellStyle name="Incorrecto 4" xfId="3964" xr:uid="{00000000-0005-0000-0000-000043260000}"/>
    <cellStyle name="Incorrecto 4 2" xfId="13850" xr:uid="{00000000-0005-0000-0000-000044260000}"/>
    <cellStyle name="Incorrecto 4 3" xfId="13851" xr:uid="{00000000-0005-0000-0000-000045260000}"/>
    <cellStyle name="Incorrecto 40" xfId="3965" xr:uid="{00000000-0005-0000-0000-000046260000}"/>
    <cellStyle name="Incorrecto 41" xfId="3966" xr:uid="{00000000-0005-0000-0000-000047260000}"/>
    <cellStyle name="Incorrecto 42" xfId="3967" xr:uid="{00000000-0005-0000-0000-000048260000}"/>
    <cellStyle name="Incorrecto 43" xfId="3968" xr:uid="{00000000-0005-0000-0000-000049260000}"/>
    <cellStyle name="Incorrecto 44" xfId="3969" xr:uid="{00000000-0005-0000-0000-00004A260000}"/>
    <cellStyle name="Incorrecto 45" xfId="3970" xr:uid="{00000000-0005-0000-0000-00004B260000}"/>
    <cellStyle name="Incorrecto 46" xfId="3971" xr:uid="{00000000-0005-0000-0000-00004C260000}"/>
    <cellStyle name="Incorrecto 47" xfId="3972" xr:uid="{00000000-0005-0000-0000-00004D260000}"/>
    <cellStyle name="Incorrecto 48" xfId="3973" xr:uid="{00000000-0005-0000-0000-00004E260000}"/>
    <cellStyle name="Incorrecto 49" xfId="3974" xr:uid="{00000000-0005-0000-0000-00004F260000}"/>
    <cellStyle name="Incorrecto 5" xfId="3975" xr:uid="{00000000-0005-0000-0000-000050260000}"/>
    <cellStyle name="Incorrecto 5 2" xfId="13852" xr:uid="{00000000-0005-0000-0000-000051260000}"/>
    <cellStyle name="Incorrecto 5 3" xfId="13853" xr:uid="{00000000-0005-0000-0000-000052260000}"/>
    <cellStyle name="Incorrecto 50" xfId="3976" xr:uid="{00000000-0005-0000-0000-000053260000}"/>
    <cellStyle name="Incorrecto 6" xfId="3977" xr:uid="{00000000-0005-0000-0000-000054260000}"/>
    <cellStyle name="Incorrecto 6 2" xfId="13854" xr:uid="{00000000-0005-0000-0000-000055260000}"/>
    <cellStyle name="Incorrecto 7" xfId="3978" xr:uid="{00000000-0005-0000-0000-000056260000}"/>
    <cellStyle name="Incorrecto 7 2" xfId="13855" xr:uid="{00000000-0005-0000-0000-000057260000}"/>
    <cellStyle name="Incorrecto 8" xfId="3979" xr:uid="{00000000-0005-0000-0000-000058260000}"/>
    <cellStyle name="Incorrecto 8 2" xfId="13856" xr:uid="{00000000-0005-0000-0000-000059260000}"/>
    <cellStyle name="Incorrecto 9" xfId="3980" xr:uid="{00000000-0005-0000-0000-00005A260000}"/>
    <cellStyle name="Incorrecto 9 2" xfId="13857" xr:uid="{00000000-0005-0000-0000-00005B260000}"/>
    <cellStyle name="Input" xfId="13858" xr:uid="{00000000-0005-0000-0000-00005C260000}"/>
    <cellStyle name="Input [yellow]" xfId="13859" xr:uid="{00000000-0005-0000-0000-00005D260000}"/>
    <cellStyle name="Input [yellow] 2" xfId="13860" xr:uid="{00000000-0005-0000-0000-00005E260000}"/>
    <cellStyle name="Input [yellow] 2 2" xfId="30928" xr:uid="{00000000-0005-0000-0000-00005F260000}"/>
    <cellStyle name="Input [yellow] 3" xfId="13861" xr:uid="{00000000-0005-0000-0000-000060260000}"/>
    <cellStyle name="Input [yellow] 3 2" xfId="30929" xr:uid="{00000000-0005-0000-0000-000061260000}"/>
    <cellStyle name="Input [yellow] 4" xfId="30927" xr:uid="{00000000-0005-0000-0000-000062260000}"/>
    <cellStyle name="Input [yellow] 5" xfId="33555" xr:uid="{00000000-0005-0000-0000-000063260000}"/>
    <cellStyle name="Input 2" xfId="34847" xr:uid="{00000000-0005-0000-0000-000064260000}"/>
    <cellStyle name="Input 2 2" xfId="40944" xr:uid="{00000000-0005-0000-0000-000065260000}"/>
    <cellStyle name="Input 3" xfId="34846" xr:uid="{00000000-0005-0000-0000-000066260000}"/>
    <cellStyle name="Input 4" xfId="36590" xr:uid="{00000000-0005-0000-0000-000067260000}"/>
    <cellStyle name="Input 5" xfId="40943" xr:uid="{00000000-0005-0000-0000-000068260000}"/>
    <cellStyle name="Input 6" xfId="40954" xr:uid="{00000000-0005-0000-0000-000069260000}"/>
    <cellStyle name="Linked Cell" xfId="13862" xr:uid="{00000000-0005-0000-0000-00006A260000}"/>
    <cellStyle name="Linked Cell 2" xfId="34849" xr:uid="{00000000-0005-0000-0000-00006B260000}"/>
    <cellStyle name="Linked Cell 3" xfId="34848" xr:uid="{00000000-0005-0000-0000-00006C260000}"/>
    <cellStyle name="MEMO" xfId="13863" xr:uid="{00000000-0005-0000-0000-00006D260000}"/>
    <cellStyle name="MEMO 2" xfId="13864" xr:uid="{00000000-0005-0000-0000-00006E260000}"/>
    <cellStyle name="MEMO 3" xfId="34850" xr:uid="{00000000-0005-0000-0000-00006F260000}"/>
    <cellStyle name="Millares" xfId="21" builtinId="3"/>
    <cellStyle name="Millares [0] 2" xfId="3981" xr:uid="{00000000-0005-0000-0000-000071260000}"/>
    <cellStyle name="Millares [0] 2 2" xfId="3982" xr:uid="{00000000-0005-0000-0000-000072260000}"/>
    <cellStyle name="Millares [0] 2 2 2" xfId="13865" xr:uid="{00000000-0005-0000-0000-000073260000}"/>
    <cellStyle name="Millares [0] 2 3" xfId="3983" xr:uid="{00000000-0005-0000-0000-000074260000}"/>
    <cellStyle name="Millares [0] 2 4" xfId="3984" xr:uid="{00000000-0005-0000-0000-000075260000}"/>
    <cellStyle name="Millares [0] 2 4 2" xfId="13866" xr:uid="{00000000-0005-0000-0000-000076260000}"/>
    <cellStyle name="Millares [0] 2 5" xfId="3985" xr:uid="{00000000-0005-0000-0000-000077260000}"/>
    <cellStyle name="Millares [0] 2 5 2" xfId="13867" xr:uid="{00000000-0005-0000-0000-000078260000}"/>
    <cellStyle name="Millares [0] 2 6" xfId="13868" xr:uid="{00000000-0005-0000-0000-000079260000}"/>
    <cellStyle name="Millares [0] 3" xfId="34851" xr:uid="{00000000-0005-0000-0000-00007A260000}"/>
    <cellStyle name="Millares 10" xfId="13869" xr:uid="{00000000-0005-0000-0000-00007B260000}"/>
    <cellStyle name="Millares 10 10" xfId="13870" xr:uid="{00000000-0005-0000-0000-00007C260000}"/>
    <cellStyle name="Millares 10 11" xfId="13871" xr:uid="{00000000-0005-0000-0000-00007D260000}"/>
    <cellStyle name="Millares 10 2" xfId="13872" xr:uid="{00000000-0005-0000-0000-00007E260000}"/>
    <cellStyle name="Millares 10 2 2" xfId="13873" xr:uid="{00000000-0005-0000-0000-00007F260000}"/>
    <cellStyle name="Millares 10 2 3" xfId="13874" xr:uid="{00000000-0005-0000-0000-000080260000}"/>
    <cellStyle name="Millares 10 2 4" xfId="13875" xr:uid="{00000000-0005-0000-0000-000081260000}"/>
    <cellStyle name="Millares 10 2 5" xfId="13876" xr:uid="{00000000-0005-0000-0000-000082260000}"/>
    <cellStyle name="Millares 10 2 6" xfId="13877" xr:uid="{00000000-0005-0000-0000-000083260000}"/>
    <cellStyle name="Millares 10 2 7" xfId="13878" xr:uid="{00000000-0005-0000-0000-000084260000}"/>
    <cellStyle name="Millares 10 3" xfId="13879" xr:uid="{00000000-0005-0000-0000-000085260000}"/>
    <cellStyle name="Millares 10 4" xfId="13880" xr:uid="{00000000-0005-0000-0000-000086260000}"/>
    <cellStyle name="Millares 10 5" xfId="13881" xr:uid="{00000000-0005-0000-0000-000087260000}"/>
    <cellStyle name="Millares 10 6" xfId="13882" xr:uid="{00000000-0005-0000-0000-000088260000}"/>
    <cellStyle name="Millares 10 7" xfId="13883" xr:uid="{00000000-0005-0000-0000-000089260000}"/>
    <cellStyle name="Millares 10 8" xfId="13884" xr:uid="{00000000-0005-0000-0000-00008A260000}"/>
    <cellStyle name="Millares 10 9" xfId="13885" xr:uid="{00000000-0005-0000-0000-00008B260000}"/>
    <cellStyle name="Millares 11" xfId="13886" xr:uid="{00000000-0005-0000-0000-00008C260000}"/>
    <cellStyle name="Millares 11 10" xfId="13887" xr:uid="{00000000-0005-0000-0000-00008D260000}"/>
    <cellStyle name="Millares 11 2" xfId="13888" xr:uid="{00000000-0005-0000-0000-00008E260000}"/>
    <cellStyle name="Millares 11 2 2" xfId="13889" xr:uid="{00000000-0005-0000-0000-00008F260000}"/>
    <cellStyle name="Millares 11 2 3" xfId="13890" xr:uid="{00000000-0005-0000-0000-000090260000}"/>
    <cellStyle name="Millares 11 2 4" xfId="13891" xr:uid="{00000000-0005-0000-0000-000091260000}"/>
    <cellStyle name="Millares 11 2 5" xfId="13892" xr:uid="{00000000-0005-0000-0000-000092260000}"/>
    <cellStyle name="Millares 11 2 6" xfId="13893" xr:uid="{00000000-0005-0000-0000-000093260000}"/>
    <cellStyle name="Millares 11 2 7" xfId="13894" xr:uid="{00000000-0005-0000-0000-000094260000}"/>
    <cellStyle name="Millares 11 3" xfId="13895" xr:uid="{00000000-0005-0000-0000-000095260000}"/>
    <cellStyle name="Millares 11 4" xfId="13896" xr:uid="{00000000-0005-0000-0000-000096260000}"/>
    <cellStyle name="Millares 11 5" xfId="13897" xr:uid="{00000000-0005-0000-0000-000097260000}"/>
    <cellStyle name="Millares 11 6" xfId="13898" xr:uid="{00000000-0005-0000-0000-000098260000}"/>
    <cellStyle name="Millares 11 7" xfId="13899" xr:uid="{00000000-0005-0000-0000-000099260000}"/>
    <cellStyle name="Millares 11 8" xfId="13900" xr:uid="{00000000-0005-0000-0000-00009A260000}"/>
    <cellStyle name="Millares 11 9" xfId="13901" xr:uid="{00000000-0005-0000-0000-00009B260000}"/>
    <cellStyle name="Millares 12" xfId="13902" xr:uid="{00000000-0005-0000-0000-00009C260000}"/>
    <cellStyle name="Millares 12 10" xfId="13903" xr:uid="{00000000-0005-0000-0000-00009D260000}"/>
    <cellStyle name="Millares 12 2" xfId="13904" xr:uid="{00000000-0005-0000-0000-00009E260000}"/>
    <cellStyle name="Millares 12 2 2" xfId="13905" xr:uid="{00000000-0005-0000-0000-00009F260000}"/>
    <cellStyle name="Millares 12 2 3" xfId="13906" xr:uid="{00000000-0005-0000-0000-0000A0260000}"/>
    <cellStyle name="Millares 12 2 4" xfId="13907" xr:uid="{00000000-0005-0000-0000-0000A1260000}"/>
    <cellStyle name="Millares 12 2 5" xfId="13908" xr:uid="{00000000-0005-0000-0000-0000A2260000}"/>
    <cellStyle name="Millares 12 2 6" xfId="13909" xr:uid="{00000000-0005-0000-0000-0000A3260000}"/>
    <cellStyle name="Millares 12 2 7" xfId="13910" xr:uid="{00000000-0005-0000-0000-0000A4260000}"/>
    <cellStyle name="Millares 12 3" xfId="13911" xr:uid="{00000000-0005-0000-0000-0000A5260000}"/>
    <cellStyle name="Millares 12 4" xfId="13912" xr:uid="{00000000-0005-0000-0000-0000A6260000}"/>
    <cellStyle name="Millares 12 5" xfId="13913" xr:uid="{00000000-0005-0000-0000-0000A7260000}"/>
    <cellStyle name="Millares 12 6" xfId="13914" xr:uid="{00000000-0005-0000-0000-0000A8260000}"/>
    <cellStyle name="Millares 12 7" xfId="13915" xr:uid="{00000000-0005-0000-0000-0000A9260000}"/>
    <cellStyle name="Millares 12 8" xfId="13916" xr:uid="{00000000-0005-0000-0000-0000AA260000}"/>
    <cellStyle name="Millares 12 9" xfId="13917" xr:uid="{00000000-0005-0000-0000-0000AB260000}"/>
    <cellStyle name="Millares 13" xfId="13918" xr:uid="{00000000-0005-0000-0000-0000AC260000}"/>
    <cellStyle name="Millares 13 10" xfId="13919" xr:uid="{00000000-0005-0000-0000-0000AD260000}"/>
    <cellStyle name="Millares 13 2" xfId="13920" xr:uid="{00000000-0005-0000-0000-0000AE260000}"/>
    <cellStyle name="Millares 13 2 2" xfId="13921" xr:uid="{00000000-0005-0000-0000-0000AF260000}"/>
    <cellStyle name="Millares 13 2 3" xfId="13922" xr:uid="{00000000-0005-0000-0000-0000B0260000}"/>
    <cellStyle name="Millares 13 2 4" xfId="13923" xr:uid="{00000000-0005-0000-0000-0000B1260000}"/>
    <cellStyle name="Millares 13 2 5" xfId="13924" xr:uid="{00000000-0005-0000-0000-0000B2260000}"/>
    <cellStyle name="Millares 13 2 6" xfId="13925" xr:uid="{00000000-0005-0000-0000-0000B3260000}"/>
    <cellStyle name="Millares 13 2 7" xfId="13926" xr:uid="{00000000-0005-0000-0000-0000B4260000}"/>
    <cellStyle name="Millares 13 3" xfId="13927" xr:uid="{00000000-0005-0000-0000-0000B5260000}"/>
    <cellStyle name="Millares 13 4" xfId="13928" xr:uid="{00000000-0005-0000-0000-0000B6260000}"/>
    <cellStyle name="Millares 13 5" xfId="13929" xr:uid="{00000000-0005-0000-0000-0000B7260000}"/>
    <cellStyle name="Millares 13 6" xfId="13930" xr:uid="{00000000-0005-0000-0000-0000B8260000}"/>
    <cellStyle name="Millares 13 7" xfId="13931" xr:uid="{00000000-0005-0000-0000-0000B9260000}"/>
    <cellStyle name="Millares 13 8" xfId="13932" xr:uid="{00000000-0005-0000-0000-0000BA260000}"/>
    <cellStyle name="Millares 13 9" xfId="13933" xr:uid="{00000000-0005-0000-0000-0000BB260000}"/>
    <cellStyle name="Millares 14" xfId="13934" xr:uid="{00000000-0005-0000-0000-0000BC260000}"/>
    <cellStyle name="Millares 14 10" xfId="13935" xr:uid="{00000000-0005-0000-0000-0000BD260000}"/>
    <cellStyle name="Millares 14 2" xfId="13936" xr:uid="{00000000-0005-0000-0000-0000BE260000}"/>
    <cellStyle name="Millares 14 2 2" xfId="13937" xr:uid="{00000000-0005-0000-0000-0000BF260000}"/>
    <cellStyle name="Millares 14 2 3" xfId="13938" xr:uid="{00000000-0005-0000-0000-0000C0260000}"/>
    <cellStyle name="Millares 14 2 4" xfId="13939" xr:uid="{00000000-0005-0000-0000-0000C1260000}"/>
    <cellStyle name="Millares 14 2 5" xfId="13940" xr:uid="{00000000-0005-0000-0000-0000C2260000}"/>
    <cellStyle name="Millares 14 2 6" xfId="13941" xr:uid="{00000000-0005-0000-0000-0000C3260000}"/>
    <cellStyle name="Millares 14 2 7" xfId="13942" xr:uid="{00000000-0005-0000-0000-0000C4260000}"/>
    <cellStyle name="Millares 14 3" xfId="13943" xr:uid="{00000000-0005-0000-0000-0000C5260000}"/>
    <cellStyle name="Millares 14 4" xfId="13944" xr:uid="{00000000-0005-0000-0000-0000C6260000}"/>
    <cellStyle name="Millares 14 5" xfId="13945" xr:uid="{00000000-0005-0000-0000-0000C7260000}"/>
    <cellStyle name="Millares 14 6" xfId="13946" xr:uid="{00000000-0005-0000-0000-0000C8260000}"/>
    <cellStyle name="Millares 14 7" xfId="13947" xr:uid="{00000000-0005-0000-0000-0000C9260000}"/>
    <cellStyle name="Millares 14 8" xfId="13948" xr:uid="{00000000-0005-0000-0000-0000CA260000}"/>
    <cellStyle name="Millares 14 9" xfId="13949" xr:uid="{00000000-0005-0000-0000-0000CB260000}"/>
    <cellStyle name="Millares 15" xfId="13950" xr:uid="{00000000-0005-0000-0000-0000CC260000}"/>
    <cellStyle name="Millares 15 2" xfId="13951" xr:uid="{00000000-0005-0000-0000-0000CD260000}"/>
    <cellStyle name="Millares 15 2 2" xfId="13952" xr:uid="{00000000-0005-0000-0000-0000CE260000}"/>
    <cellStyle name="Millares 15 2 2 2" xfId="13953" xr:uid="{00000000-0005-0000-0000-0000CF260000}"/>
    <cellStyle name="Millares 15 2 2 2 2" xfId="33556" xr:uid="{00000000-0005-0000-0000-0000D0260000}"/>
    <cellStyle name="Millares 15 2 3" xfId="13954" xr:uid="{00000000-0005-0000-0000-0000D1260000}"/>
    <cellStyle name="Millares 15 2 4" xfId="13955" xr:uid="{00000000-0005-0000-0000-0000D2260000}"/>
    <cellStyle name="Millares 15 2 5" xfId="13956" xr:uid="{00000000-0005-0000-0000-0000D3260000}"/>
    <cellStyle name="Millares 15 2 6" xfId="13957" xr:uid="{00000000-0005-0000-0000-0000D4260000}"/>
    <cellStyle name="Millares 15 2 7" xfId="13958" xr:uid="{00000000-0005-0000-0000-0000D5260000}"/>
    <cellStyle name="Millares 15 2 8" xfId="13959" xr:uid="{00000000-0005-0000-0000-0000D6260000}"/>
    <cellStyle name="Millares 15 3" xfId="13960" xr:uid="{00000000-0005-0000-0000-0000D7260000}"/>
    <cellStyle name="Millares 15 3 2" xfId="13961" xr:uid="{00000000-0005-0000-0000-0000D8260000}"/>
    <cellStyle name="Millares 15 3 2 2" xfId="33557" xr:uid="{00000000-0005-0000-0000-0000D9260000}"/>
    <cellStyle name="Millares 15 4" xfId="13962" xr:uid="{00000000-0005-0000-0000-0000DA260000}"/>
    <cellStyle name="Millares 15 5" xfId="13963" xr:uid="{00000000-0005-0000-0000-0000DB260000}"/>
    <cellStyle name="Millares 15 6" xfId="13964" xr:uid="{00000000-0005-0000-0000-0000DC260000}"/>
    <cellStyle name="Millares 15 7" xfId="13965" xr:uid="{00000000-0005-0000-0000-0000DD260000}"/>
    <cellStyle name="Millares 15 8" xfId="13966" xr:uid="{00000000-0005-0000-0000-0000DE260000}"/>
    <cellStyle name="Millares 15 9" xfId="13967" xr:uid="{00000000-0005-0000-0000-0000DF260000}"/>
    <cellStyle name="Millares 16" xfId="13968" xr:uid="{00000000-0005-0000-0000-0000E0260000}"/>
    <cellStyle name="Millares 16 2" xfId="13969" xr:uid="{00000000-0005-0000-0000-0000E1260000}"/>
    <cellStyle name="Millares 16 2 2" xfId="13970" xr:uid="{00000000-0005-0000-0000-0000E2260000}"/>
    <cellStyle name="Millares 16 2 3" xfId="13971" xr:uid="{00000000-0005-0000-0000-0000E3260000}"/>
    <cellStyle name="Millares 16 2 4" xfId="13972" xr:uid="{00000000-0005-0000-0000-0000E4260000}"/>
    <cellStyle name="Millares 16 2 5" xfId="13973" xr:uid="{00000000-0005-0000-0000-0000E5260000}"/>
    <cellStyle name="Millares 16 2 6" xfId="13974" xr:uid="{00000000-0005-0000-0000-0000E6260000}"/>
    <cellStyle name="Millares 16 2 7" xfId="13975" xr:uid="{00000000-0005-0000-0000-0000E7260000}"/>
    <cellStyle name="Millares 16 2 8" xfId="13976" xr:uid="{00000000-0005-0000-0000-0000E8260000}"/>
    <cellStyle name="Millares 16 3" xfId="13977" xr:uid="{00000000-0005-0000-0000-0000E9260000}"/>
    <cellStyle name="Millares 16 4" xfId="13978" xr:uid="{00000000-0005-0000-0000-0000EA260000}"/>
    <cellStyle name="Millares 16 5" xfId="13979" xr:uid="{00000000-0005-0000-0000-0000EB260000}"/>
    <cellStyle name="Millares 16 6" xfId="13980" xr:uid="{00000000-0005-0000-0000-0000EC260000}"/>
    <cellStyle name="Millares 16 7" xfId="13981" xr:uid="{00000000-0005-0000-0000-0000ED260000}"/>
    <cellStyle name="Millares 16 8" xfId="13982" xr:uid="{00000000-0005-0000-0000-0000EE260000}"/>
    <cellStyle name="Millares 16 9" xfId="13983" xr:uid="{00000000-0005-0000-0000-0000EF260000}"/>
    <cellStyle name="Millares 17" xfId="13984" xr:uid="{00000000-0005-0000-0000-0000F0260000}"/>
    <cellStyle name="Millares 17 2" xfId="13985" xr:uid="{00000000-0005-0000-0000-0000F1260000}"/>
    <cellStyle name="Millares 17 2 2" xfId="13986" xr:uid="{00000000-0005-0000-0000-0000F2260000}"/>
    <cellStyle name="Millares 17 2 3" xfId="13987" xr:uid="{00000000-0005-0000-0000-0000F3260000}"/>
    <cellStyle name="Millares 17 2 4" xfId="13988" xr:uid="{00000000-0005-0000-0000-0000F4260000}"/>
    <cellStyle name="Millares 17 2 5" xfId="13989" xr:uid="{00000000-0005-0000-0000-0000F5260000}"/>
    <cellStyle name="Millares 17 2 6" xfId="13990" xr:uid="{00000000-0005-0000-0000-0000F6260000}"/>
    <cellStyle name="Millares 17 2 7" xfId="13991" xr:uid="{00000000-0005-0000-0000-0000F7260000}"/>
    <cellStyle name="Millares 17 3" xfId="13992" xr:uid="{00000000-0005-0000-0000-0000F8260000}"/>
    <cellStyle name="Millares 17 4" xfId="13993" xr:uid="{00000000-0005-0000-0000-0000F9260000}"/>
    <cellStyle name="Millares 17 5" xfId="13994" xr:uid="{00000000-0005-0000-0000-0000FA260000}"/>
    <cellStyle name="Millares 17 6" xfId="13995" xr:uid="{00000000-0005-0000-0000-0000FB260000}"/>
    <cellStyle name="Millares 17 7" xfId="13996" xr:uid="{00000000-0005-0000-0000-0000FC260000}"/>
    <cellStyle name="Millares 17 8" xfId="13997" xr:uid="{00000000-0005-0000-0000-0000FD260000}"/>
    <cellStyle name="Millares 17 9" xfId="13998" xr:uid="{00000000-0005-0000-0000-0000FE260000}"/>
    <cellStyle name="Millares 18" xfId="13999" xr:uid="{00000000-0005-0000-0000-0000FF260000}"/>
    <cellStyle name="Millares 18 2" xfId="14000" xr:uid="{00000000-0005-0000-0000-000000270000}"/>
    <cellStyle name="Millares 18 2 2" xfId="14001" xr:uid="{00000000-0005-0000-0000-000001270000}"/>
    <cellStyle name="Millares 18 2 3" xfId="14002" xr:uid="{00000000-0005-0000-0000-000002270000}"/>
    <cellStyle name="Millares 18 2 4" xfId="14003" xr:uid="{00000000-0005-0000-0000-000003270000}"/>
    <cellStyle name="Millares 18 2 5" xfId="14004" xr:uid="{00000000-0005-0000-0000-000004270000}"/>
    <cellStyle name="Millares 18 2 6" xfId="14005" xr:uid="{00000000-0005-0000-0000-000005270000}"/>
    <cellStyle name="Millares 18 2 7" xfId="14006" xr:uid="{00000000-0005-0000-0000-000006270000}"/>
    <cellStyle name="Millares 18 3" xfId="14007" xr:uid="{00000000-0005-0000-0000-000007270000}"/>
    <cellStyle name="Millares 18 4" xfId="14008" xr:uid="{00000000-0005-0000-0000-000008270000}"/>
    <cellStyle name="Millares 18 5" xfId="14009" xr:uid="{00000000-0005-0000-0000-000009270000}"/>
    <cellStyle name="Millares 18 6" xfId="14010" xr:uid="{00000000-0005-0000-0000-00000A270000}"/>
    <cellStyle name="Millares 18 7" xfId="14011" xr:uid="{00000000-0005-0000-0000-00000B270000}"/>
    <cellStyle name="Millares 18 8" xfId="14012" xr:uid="{00000000-0005-0000-0000-00000C270000}"/>
    <cellStyle name="Millares 18 9" xfId="14013" xr:uid="{00000000-0005-0000-0000-00000D270000}"/>
    <cellStyle name="Millares 19" xfId="14014" xr:uid="{00000000-0005-0000-0000-00000E270000}"/>
    <cellStyle name="Millares 19 10" xfId="14015" xr:uid="{00000000-0005-0000-0000-00000F270000}"/>
    <cellStyle name="Millares 19 2" xfId="14016" xr:uid="{00000000-0005-0000-0000-000010270000}"/>
    <cellStyle name="Millares 19 2 2" xfId="14017" xr:uid="{00000000-0005-0000-0000-000011270000}"/>
    <cellStyle name="Millares 19 2 3" xfId="14018" xr:uid="{00000000-0005-0000-0000-000012270000}"/>
    <cellStyle name="Millares 19 2 4" xfId="14019" xr:uid="{00000000-0005-0000-0000-000013270000}"/>
    <cellStyle name="Millares 19 2 5" xfId="14020" xr:uid="{00000000-0005-0000-0000-000014270000}"/>
    <cellStyle name="Millares 19 2 6" xfId="14021" xr:uid="{00000000-0005-0000-0000-000015270000}"/>
    <cellStyle name="Millares 19 2 7" xfId="14022" xr:uid="{00000000-0005-0000-0000-000016270000}"/>
    <cellStyle name="Millares 19 3" xfId="14023" xr:uid="{00000000-0005-0000-0000-000017270000}"/>
    <cellStyle name="Millares 19 4" xfId="14024" xr:uid="{00000000-0005-0000-0000-000018270000}"/>
    <cellStyle name="Millares 19 5" xfId="14025" xr:uid="{00000000-0005-0000-0000-000019270000}"/>
    <cellStyle name="Millares 19 6" xfId="14026" xr:uid="{00000000-0005-0000-0000-00001A270000}"/>
    <cellStyle name="Millares 19 7" xfId="14027" xr:uid="{00000000-0005-0000-0000-00001B270000}"/>
    <cellStyle name="Millares 19 8" xfId="14028" xr:uid="{00000000-0005-0000-0000-00001C270000}"/>
    <cellStyle name="Millares 19 9" xfId="14029" xr:uid="{00000000-0005-0000-0000-00001D270000}"/>
    <cellStyle name="Millares 2" xfId="3986" xr:uid="{00000000-0005-0000-0000-00001E270000}"/>
    <cellStyle name="Millares 2 2" xfId="3987" xr:uid="{00000000-0005-0000-0000-00001F270000}"/>
    <cellStyle name="Millares 2 2 10" xfId="14030" xr:uid="{00000000-0005-0000-0000-000020270000}"/>
    <cellStyle name="Millares 2 2 10 2" xfId="14031" xr:uid="{00000000-0005-0000-0000-000021270000}"/>
    <cellStyle name="Millares 2 2 10 2 2" xfId="14032" xr:uid="{00000000-0005-0000-0000-000022270000}"/>
    <cellStyle name="Millares 2 2 10 2 2 2" xfId="33558" xr:uid="{00000000-0005-0000-0000-000023270000}"/>
    <cellStyle name="Millares 2 2 10 3" xfId="14033" xr:uid="{00000000-0005-0000-0000-000024270000}"/>
    <cellStyle name="Millares 2 2 10 3 2" xfId="33559" xr:uid="{00000000-0005-0000-0000-000025270000}"/>
    <cellStyle name="Millares 2 2 11" xfId="14034" xr:uid="{00000000-0005-0000-0000-000026270000}"/>
    <cellStyle name="Millares 2 2 11 2" xfId="14035" xr:uid="{00000000-0005-0000-0000-000027270000}"/>
    <cellStyle name="Millares 2 2 11 2 2" xfId="14036" xr:uid="{00000000-0005-0000-0000-000028270000}"/>
    <cellStyle name="Millares 2 2 11 2 2 2" xfId="33560" xr:uid="{00000000-0005-0000-0000-000029270000}"/>
    <cellStyle name="Millares 2 2 11 3" xfId="14037" xr:uid="{00000000-0005-0000-0000-00002A270000}"/>
    <cellStyle name="Millares 2 2 11 3 2" xfId="33561" xr:uid="{00000000-0005-0000-0000-00002B270000}"/>
    <cellStyle name="Millares 2 2 12" xfId="14038" xr:uid="{00000000-0005-0000-0000-00002C270000}"/>
    <cellStyle name="Millares 2 2 12 2" xfId="14039" xr:uid="{00000000-0005-0000-0000-00002D270000}"/>
    <cellStyle name="Millares 2 2 12 2 2" xfId="33562" xr:uid="{00000000-0005-0000-0000-00002E270000}"/>
    <cellStyle name="Millares 2 2 13" xfId="14040" xr:uid="{00000000-0005-0000-0000-00002F270000}"/>
    <cellStyle name="Millares 2 2 14" xfId="14041" xr:uid="{00000000-0005-0000-0000-000030270000}"/>
    <cellStyle name="Millares 2 2 15" xfId="14042" xr:uid="{00000000-0005-0000-0000-000031270000}"/>
    <cellStyle name="Millares 2 2 2" xfId="14043" xr:uid="{00000000-0005-0000-0000-000032270000}"/>
    <cellStyle name="Millares 2 2 2 2" xfId="14044" xr:uid="{00000000-0005-0000-0000-000033270000}"/>
    <cellStyle name="Millares 2 2 2 2 2" xfId="14045" xr:uid="{00000000-0005-0000-0000-000034270000}"/>
    <cellStyle name="Millares 2 2 2 2 2 2" xfId="14046" xr:uid="{00000000-0005-0000-0000-000035270000}"/>
    <cellStyle name="Millares 2 2 2 2 2 2 2" xfId="33563" xr:uid="{00000000-0005-0000-0000-000036270000}"/>
    <cellStyle name="Millares 2 2 2 2 3" xfId="14047" xr:uid="{00000000-0005-0000-0000-000037270000}"/>
    <cellStyle name="Millares 2 2 2 2 3 2" xfId="33564" xr:uid="{00000000-0005-0000-0000-000038270000}"/>
    <cellStyle name="Millares 2 2 2 2 4" xfId="34852" xr:uid="{00000000-0005-0000-0000-000039270000}"/>
    <cellStyle name="Millares 2 2 2 3" xfId="14048" xr:uid="{00000000-0005-0000-0000-00003A270000}"/>
    <cellStyle name="Millares 2 2 2 3 2" xfId="14049" xr:uid="{00000000-0005-0000-0000-00003B270000}"/>
    <cellStyle name="Millares 2 2 2 3 2 2" xfId="33565" xr:uid="{00000000-0005-0000-0000-00003C270000}"/>
    <cellStyle name="Millares 2 2 2 4" xfId="14050" xr:uid="{00000000-0005-0000-0000-00003D270000}"/>
    <cellStyle name="Millares 2 2 2 5" xfId="14051" xr:uid="{00000000-0005-0000-0000-00003E270000}"/>
    <cellStyle name="Millares 2 2 3" xfId="14052" xr:uid="{00000000-0005-0000-0000-00003F270000}"/>
    <cellStyle name="Millares 2 2 3 2" xfId="14053" xr:uid="{00000000-0005-0000-0000-000040270000}"/>
    <cellStyle name="Millares 2 2 3 2 2" xfId="14054" xr:uid="{00000000-0005-0000-0000-000041270000}"/>
    <cellStyle name="Millares 2 2 3 2 2 2" xfId="14055" xr:uid="{00000000-0005-0000-0000-000042270000}"/>
    <cellStyle name="Millares 2 2 3 2 2 2 2" xfId="33566" xr:uid="{00000000-0005-0000-0000-000043270000}"/>
    <cellStyle name="Millares 2 2 3 2 3" xfId="14056" xr:uid="{00000000-0005-0000-0000-000044270000}"/>
    <cellStyle name="Millares 2 2 3 2 3 2" xfId="33567" xr:uid="{00000000-0005-0000-0000-000045270000}"/>
    <cellStyle name="Millares 2 2 3 2 4" xfId="34854" xr:uid="{00000000-0005-0000-0000-000046270000}"/>
    <cellStyle name="Millares 2 2 3 3" xfId="14057" xr:uid="{00000000-0005-0000-0000-000047270000}"/>
    <cellStyle name="Millares 2 2 3 3 2" xfId="14058" xr:uid="{00000000-0005-0000-0000-000048270000}"/>
    <cellStyle name="Millares 2 2 3 3 2 2" xfId="33568" xr:uid="{00000000-0005-0000-0000-000049270000}"/>
    <cellStyle name="Millares 2 2 3 4" xfId="14059" xr:uid="{00000000-0005-0000-0000-00004A270000}"/>
    <cellStyle name="Millares 2 2 3 5" xfId="14060" xr:uid="{00000000-0005-0000-0000-00004B270000}"/>
    <cellStyle name="Millares 2 2 3 6" xfId="34853" xr:uid="{00000000-0005-0000-0000-00004C270000}"/>
    <cellStyle name="Millares 2 2 4" xfId="14061" xr:uid="{00000000-0005-0000-0000-00004D270000}"/>
    <cellStyle name="Millares 2 2 4 2" xfId="14062" xr:uid="{00000000-0005-0000-0000-00004E270000}"/>
    <cellStyle name="Millares 2 2 4 2 2" xfId="14063" xr:uid="{00000000-0005-0000-0000-00004F270000}"/>
    <cellStyle name="Millares 2 2 4 2 2 2" xfId="14064" xr:uid="{00000000-0005-0000-0000-000050270000}"/>
    <cellStyle name="Millares 2 2 4 2 2 2 2" xfId="33569" xr:uid="{00000000-0005-0000-0000-000051270000}"/>
    <cellStyle name="Millares 2 2 4 2 3" xfId="14065" xr:uid="{00000000-0005-0000-0000-000052270000}"/>
    <cellStyle name="Millares 2 2 4 2 3 2" xfId="33570" xr:uid="{00000000-0005-0000-0000-000053270000}"/>
    <cellStyle name="Millares 2 2 4 3" xfId="14066" xr:uid="{00000000-0005-0000-0000-000054270000}"/>
    <cellStyle name="Millares 2 2 4 3 2" xfId="14067" xr:uid="{00000000-0005-0000-0000-000055270000}"/>
    <cellStyle name="Millares 2 2 4 3 2 2" xfId="33571" xr:uid="{00000000-0005-0000-0000-000056270000}"/>
    <cellStyle name="Millares 2 2 4 4" xfId="14068" xr:uid="{00000000-0005-0000-0000-000057270000}"/>
    <cellStyle name="Millares 2 2 4 5" xfId="14069" xr:uid="{00000000-0005-0000-0000-000058270000}"/>
    <cellStyle name="Millares 2 2 5" xfId="14070" xr:uid="{00000000-0005-0000-0000-000059270000}"/>
    <cellStyle name="Millares 2 2 5 2" xfId="14071" xr:uid="{00000000-0005-0000-0000-00005A270000}"/>
    <cellStyle name="Millares 2 2 5 2 2" xfId="14072" xr:uid="{00000000-0005-0000-0000-00005B270000}"/>
    <cellStyle name="Millares 2 2 5 2 2 2" xfId="14073" xr:uid="{00000000-0005-0000-0000-00005C270000}"/>
    <cellStyle name="Millares 2 2 5 2 2 2 2" xfId="33572" xr:uid="{00000000-0005-0000-0000-00005D270000}"/>
    <cellStyle name="Millares 2 2 5 2 3" xfId="14074" xr:uid="{00000000-0005-0000-0000-00005E270000}"/>
    <cellStyle name="Millares 2 2 5 2 3 2" xfId="33573" xr:uid="{00000000-0005-0000-0000-00005F270000}"/>
    <cellStyle name="Millares 2 2 5 3" xfId="14075" xr:uid="{00000000-0005-0000-0000-000060270000}"/>
    <cellStyle name="Millares 2 2 5 3 2" xfId="14076" xr:uid="{00000000-0005-0000-0000-000061270000}"/>
    <cellStyle name="Millares 2 2 5 3 2 2" xfId="33574" xr:uid="{00000000-0005-0000-0000-000062270000}"/>
    <cellStyle name="Millares 2 2 5 4" xfId="14077" xr:uid="{00000000-0005-0000-0000-000063270000}"/>
    <cellStyle name="Millares 2 2 5 5" xfId="14078" xr:uid="{00000000-0005-0000-0000-000064270000}"/>
    <cellStyle name="Millares 2 2 5 6" xfId="34855" xr:uid="{00000000-0005-0000-0000-000065270000}"/>
    <cellStyle name="Millares 2 2 6" xfId="14079" xr:uid="{00000000-0005-0000-0000-000066270000}"/>
    <cellStyle name="Millares 2 2 6 2" xfId="14080" xr:uid="{00000000-0005-0000-0000-000067270000}"/>
    <cellStyle name="Millares 2 2 6 2 2" xfId="14081" xr:uid="{00000000-0005-0000-0000-000068270000}"/>
    <cellStyle name="Millares 2 2 6 2 2 2" xfId="14082" xr:uid="{00000000-0005-0000-0000-000069270000}"/>
    <cellStyle name="Millares 2 2 6 2 2 2 2" xfId="33575" xr:uid="{00000000-0005-0000-0000-00006A270000}"/>
    <cellStyle name="Millares 2 2 6 2 3" xfId="14083" xr:uid="{00000000-0005-0000-0000-00006B270000}"/>
    <cellStyle name="Millares 2 2 6 2 3 2" xfId="33576" xr:uid="{00000000-0005-0000-0000-00006C270000}"/>
    <cellStyle name="Millares 2 2 6 3" xfId="14084" xr:uid="{00000000-0005-0000-0000-00006D270000}"/>
    <cellStyle name="Millares 2 2 6 3 2" xfId="14085" xr:uid="{00000000-0005-0000-0000-00006E270000}"/>
    <cellStyle name="Millares 2 2 6 3 2 2" xfId="33577" xr:uid="{00000000-0005-0000-0000-00006F270000}"/>
    <cellStyle name="Millares 2 2 6 4" xfId="14086" xr:uid="{00000000-0005-0000-0000-000070270000}"/>
    <cellStyle name="Millares 2 2 6 4 2" xfId="33578" xr:uid="{00000000-0005-0000-0000-000071270000}"/>
    <cellStyle name="Millares 2 2 7" xfId="14087" xr:uid="{00000000-0005-0000-0000-000072270000}"/>
    <cellStyle name="Millares 2 2 7 2" xfId="14088" xr:uid="{00000000-0005-0000-0000-000073270000}"/>
    <cellStyle name="Millares 2 2 7 2 2" xfId="14089" xr:uid="{00000000-0005-0000-0000-000074270000}"/>
    <cellStyle name="Millares 2 2 7 2 2 2" xfId="14090" xr:uid="{00000000-0005-0000-0000-000075270000}"/>
    <cellStyle name="Millares 2 2 7 2 2 2 2" xfId="33579" xr:uid="{00000000-0005-0000-0000-000076270000}"/>
    <cellStyle name="Millares 2 2 7 2 3" xfId="14091" xr:uid="{00000000-0005-0000-0000-000077270000}"/>
    <cellStyle name="Millares 2 2 7 2 3 2" xfId="33580" xr:uid="{00000000-0005-0000-0000-000078270000}"/>
    <cellStyle name="Millares 2 2 7 3" xfId="14092" xr:uid="{00000000-0005-0000-0000-000079270000}"/>
    <cellStyle name="Millares 2 2 7 3 2" xfId="14093" xr:uid="{00000000-0005-0000-0000-00007A270000}"/>
    <cellStyle name="Millares 2 2 7 3 2 2" xfId="33581" xr:uid="{00000000-0005-0000-0000-00007B270000}"/>
    <cellStyle name="Millares 2 2 7 4" xfId="14094" xr:uid="{00000000-0005-0000-0000-00007C270000}"/>
    <cellStyle name="Millares 2 2 7 4 2" xfId="33582" xr:uid="{00000000-0005-0000-0000-00007D270000}"/>
    <cellStyle name="Millares 2 2 8" xfId="14095" xr:uid="{00000000-0005-0000-0000-00007E270000}"/>
    <cellStyle name="Millares 2 2 8 2" xfId="14096" xr:uid="{00000000-0005-0000-0000-00007F270000}"/>
    <cellStyle name="Millares 2 2 8 2 2" xfId="14097" xr:uid="{00000000-0005-0000-0000-000080270000}"/>
    <cellStyle name="Millares 2 2 8 2 2 2" xfId="14098" xr:uid="{00000000-0005-0000-0000-000081270000}"/>
    <cellStyle name="Millares 2 2 8 2 2 2 2" xfId="33583" xr:uid="{00000000-0005-0000-0000-000082270000}"/>
    <cellStyle name="Millares 2 2 8 2 3" xfId="14099" xr:uid="{00000000-0005-0000-0000-000083270000}"/>
    <cellStyle name="Millares 2 2 8 2 3 2" xfId="33584" xr:uid="{00000000-0005-0000-0000-000084270000}"/>
    <cellStyle name="Millares 2 2 8 3" xfId="14100" xr:uid="{00000000-0005-0000-0000-000085270000}"/>
    <cellStyle name="Millares 2 2 8 3 2" xfId="14101" xr:uid="{00000000-0005-0000-0000-000086270000}"/>
    <cellStyle name="Millares 2 2 8 3 2 2" xfId="33585" xr:uid="{00000000-0005-0000-0000-000087270000}"/>
    <cellStyle name="Millares 2 2 8 4" xfId="14102" xr:uid="{00000000-0005-0000-0000-000088270000}"/>
    <cellStyle name="Millares 2 2 8 4 2" xfId="33586" xr:uid="{00000000-0005-0000-0000-000089270000}"/>
    <cellStyle name="Millares 2 2 9" xfId="14103" xr:uid="{00000000-0005-0000-0000-00008A270000}"/>
    <cellStyle name="Millares 2 2 9 2" xfId="14104" xr:uid="{00000000-0005-0000-0000-00008B270000}"/>
    <cellStyle name="Millares 2 2 9 2 2" xfId="14105" xr:uid="{00000000-0005-0000-0000-00008C270000}"/>
    <cellStyle name="Millares 2 2 9 2 2 2" xfId="33587" xr:uid="{00000000-0005-0000-0000-00008D270000}"/>
    <cellStyle name="Millares 2 2 9 3" xfId="14106" xr:uid="{00000000-0005-0000-0000-00008E270000}"/>
    <cellStyle name="Millares 2 2 9 3 2" xfId="33588" xr:uid="{00000000-0005-0000-0000-00008F270000}"/>
    <cellStyle name="Millares 2 3" xfId="3988" xr:uid="{00000000-0005-0000-0000-000090270000}"/>
    <cellStyle name="Millares 2 3 10" xfId="14107" xr:uid="{00000000-0005-0000-0000-000091270000}"/>
    <cellStyle name="Millares 2 3 10 2" xfId="14108" xr:uid="{00000000-0005-0000-0000-000092270000}"/>
    <cellStyle name="Millares 2 3 10 2 2" xfId="14109" xr:uid="{00000000-0005-0000-0000-000093270000}"/>
    <cellStyle name="Millares 2 3 10 2 2 2" xfId="33589" xr:uid="{00000000-0005-0000-0000-000094270000}"/>
    <cellStyle name="Millares 2 3 10 3" xfId="14110" xr:uid="{00000000-0005-0000-0000-000095270000}"/>
    <cellStyle name="Millares 2 3 10 3 2" xfId="33590" xr:uid="{00000000-0005-0000-0000-000096270000}"/>
    <cellStyle name="Millares 2 3 11" xfId="14111" xr:uid="{00000000-0005-0000-0000-000097270000}"/>
    <cellStyle name="Millares 2 3 11 2" xfId="14112" xr:uid="{00000000-0005-0000-0000-000098270000}"/>
    <cellStyle name="Millares 2 3 11 2 2" xfId="14113" xr:uid="{00000000-0005-0000-0000-000099270000}"/>
    <cellStyle name="Millares 2 3 11 2 2 2" xfId="33591" xr:uid="{00000000-0005-0000-0000-00009A270000}"/>
    <cellStyle name="Millares 2 3 11 3" xfId="14114" xr:uid="{00000000-0005-0000-0000-00009B270000}"/>
    <cellStyle name="Millares 2 3 11 3 2" xfId="33592" xr:uid="{00000000-0005-0000-0000-00009C270000}"/>
    <cellStyle name="Millares 2 3 12" xfId="14115" xr:uid="{00000000-0005-0000-0000-00009D270000}"/>
    <cellStyle name="Millares 2 3 12 2" xfId="14116" xr:uid="{00000000-0005-0000-0000-00009E270000}"/>
    <cellStyle name="Millares 2 3 12 2 2" xfId="33593" xr:uid="{00000000-0005-0000-0000-00009F270000}"/>
    <cellStyle name="Millares 2 3 13" xfId="14117" xr:uid="{00000000-0005-0000-0000-0000A0270000}"/>
    <cellStyle name="Millares 2 3 14" xfId="14118" xr:uid="{00000000-0005-0000-0000-0000A1270000}"/>
    <cellStyle name="Millares 2 3 15" xfId="14119" xr:uid="{00000000-0005-0000-0000-0000A2270000}"/>
    <cellStyle name="Millares 2 3 2" xfId="14120" xr:uid="{00000000-0005-0000-0000-0000A3270000}"/>
    <cellStyle name="Millares 2 3 2 2" xfId="14121" xr:uid="{00000000-0005-0000-0000-0000A4270000}"/>
    <cellStyle name="Millares 2 3 2 2 2" xfId="14122" xr:uid="{00000000-0005-0000-0000-0000A5270000}"/>
    <cellStyle name="Millares 2 3 2 2 2 2" xfId="14123" xr:uid="{00000000-0005-0000-0000-0000A6270000}"/>
    <cellStyle name="Millares 2 3 2 2 2 2 2" xfId="33594" xr:uid="{00000000-0005-0000-0000-0000A7270000}"/>
    <cellStyle name="Millares 2 3 2 2 3" xfId="14124" xr:uid="{00000000-0005-0000-0000-0000A8270000}"/>
    <cellStyle name="Millares 2 3 2 2 3 2" xfId="33595" xr:uid="{00000000-0005-0000-0000-0000A9270000}"/>
    <cellStyle name="Millares 2 3 2 2 4" xfId="34857" xr:uid="{00000000-0005-0000-0000-0000AA270000}"/>
    <cellStyle name="Millares 2 3 2 3" xfId="14125" xr:uid="{00000000-0005-0000-0000-0000AB270000}"/>
    <cellStyle name="Millares 2 3 2 3 2" xfId="14126" xr:uid="{00000000-0005-0000-0000-0000AC270000}"/>
    <cellStyle name="Millares 2 3 2 3 2 2" xfId="33596" xr:uid="{00000000-0005-0000-0000-0000AD270000}"/>
    <cellStyle name="Millares 2 3 2 4" xfId="14127" xr:uid="{00000000-0005-0000-0000-0000AE270000}"/>
    <cellStyle name="Millares 2 3 2 4 2" xfId="33597" xr:uid="{00000000-0005-0000-0000-0000AF270000}"/>
    <cellStyle name="Millares 2 3 2 5" xfId="34856" xr:uid="{00000000-0005-0000-0000-0000B0270000}"/>
    <cellStyle name="Millares 2 3 3" xfId="14128" xr:uid="{00000000-0005-0000-0000-0000B1270000}"/>
    <cellStyle name="Millares 2 3 3 2" xfId="14129" xr:uid="{00000000-0005-0000-0000-0000B2270000}"/>
    <cellStyle name="Millares 2 3 3 2 2" xfId="14130" xr:uid="{00000000-0005-0000-0000-0000B3270000}"/>
    <cellStyle name="Millares 2 3 3 2 2 2" xfId="14131" xr:uid="{00000000-0005-0000-0000-0000B4270000}"/>
    <cellStyle name="Millares 2 3 3 2 2 2 2" xfId="33598" xr:uid="{00000000-0005-0000-0000-0000B5270000}"/>
    <cellStyle name="Millares 2 3 3 2 3" xfId="14132" xr:uid="{00000000-0005-0000-0000-0000B6270000}"/>
    <cellStyle name="Millares 2 3 3 2 3 2" xfId="33599" xr:uid="{00000000-0005-0000-0000-0000B7270000}"/>
    <cellStyle name="Millares 2 3 3 3" xfId="14133" xr:uid="{00000000-0005-0000-0000-0000B8270000}"/>
    <cellStyle name="Millares 2 3 3 3 2" xfId="14134" xr:uid="{00000000-0005-0000-0000-0000B9270000}"/>
    <cellStyle name="Millares 2 3 3 3 2 2" xfId="33600" xr:uid="{00000000-0005-0000-0000-0000BA270000}"/>
    <cellStyle name="Millares 2 3 3 4" xfId="14135" xr:uid="{00000000-0005-0000-0000-0000BB270000}"/>
    <cellStyle name="Millares 2 3 3 4 2" xfId="33601" xr:uid="{00000000-0005-0000-0000-0000BC270000}"/>
    <cellStyle name="Millares 2 3 3 5" xfId="34858" xr:uid="{00000000-0005-0000-0000-0000BD270000}"/>
    <cellStyle name="Millares 2 3 4" xfId="14136" xr:uid="{00000000-0005-0000-0000-0000BE270000}"/>
    <cellStyle name="Millares 2 3 4 2" xfId="14137" xr:uid="{00000000-0005-0000-0000-0000BF270000}"/>
    <cellStyle name="Millares 2 3 4 2 2" xfId="14138" xr:uid="{00000000-0005-0000-0000-0000C0270000}"/>
    <cellStyle name="Millares 2 3 4 2 2 2" xfId="14139" xr:uid="{00000000-0005-0000-0000-0000C1270000}"/>
    <cellStyle name="Millares 2 3 4 2 2 2 2" xfId="33602" xr:uid="{00000000-0005-0000-0000-0000C2270000}"/>
    <cellStyle name="Millares 2 3 4 2 3" xfId="14140" xr:uid="{00000000-0005-0000-0000-0000C3270000}"/>
    <cellStyle name="Millares 2 3 4 2 3 2" xfId="33603" xr:uid="{00000000-0005-0000-0000-0000C4270000}"/>
    <cellStyle name="Millares 2 3 4 3" xfId="14141" xr:uid="{00000000-0005-0000-0000-0000C5270000}"/>
    <cellStyle name="Millares 2 3 4 3 2" xfId="14142" xr:uid="{00000000-0005-0000-0000-0000C6270000}"/>
    <cellStyle name="Millares 2 3 4 3 2 2" xfId="33604" xr:uid="{00000000-0005-0000-0000-0000C7270000}"/>
    <cellStyle name="Millares 2 3 4 4" xfId="14143" xr:uid="{00000000-0005-0000-0000-0000C8270000}"/>
    <cellStyle name="Millares 2 3 4 4 2" xfId="33605" xr:uid="{00000000-0005-0000-0000-0000C9270000}"/>
    <cellStyle name="Millares 2 3 4 5" xfId="34859" xr:uid="{00000000-0005-0000-0000-0000CA270000}"/>
    <cellStyle name="Millares 2 3 5" xfId="14144" xr:uid="{00000000-0005-0000-0000-0000CB270000}"/>
    <cellStyle name="Millares 2 3 5 2" xfId="14145" xr:uid="{00000000-0005-0000-0000-0000CC270000}"/>
    <cellStyle name="Millares 2 3 5 2 2" xfId="14146" xr:uid="{00000000-0005-0000-0000-0000CD270000}"/>
    <cellStyle name="Millares 2 3 5 2 2 2" xfId="14147" xr:uid="{00000000-0005-0000-0000-0000CE270000}"/>
    <cellStyle name="Millares 2 3 5 2 2 2 2" xfId="33606" xr:uid="{00000000-0005-0000-0000-0000CF270000}"/>
    <cellStyle name="Millares 2 3 5 2 3" xfId="14148" xr:uid="{00000000-0005-0000-0000-0000D0270000}"/>
    <cellStyle name="Millares 2 3 5 2 3 2" xfId="33607" xr:uid="{00000000-0005-0000-0000-0000D1270000}"/>
    <cellStyle name="Millares 2 3 5 3" xfId="14149" xr:uid="{00000000-0005-0000-0000-0000D2270000}"/>
    <cellStyle name="Millares 2 3 5 3 2" xfId="14150" xr:uid="{00000000-0005-0000-0000-0000D3270000}"/>
    <cellStyle name="Millares 2 3 5 3 2 2" xfId="33608" xr:uid="{00000000-0005-0000-0000-0000D4270000}"/>
    <cellStyle name="Millares 2 3 5 4" xfId="14151" xr:uid="{00000000-0005-0000-0000-0000D5270000}"/>
    <cellStyle name="Millares 2 3 5 4 2" xfId="33609" xr:uid="{00000000-0005-0000-0000-0000D6270000}"/>
    <cellStyle name="Millares 2 3 6" xfId="14152" xr:uid="{00000000-0005-0000-0000-0000D7270000}"/>
    <cellStyle name="Millares 2 3 6 2" xfId="14153" xr:uid="{00000000-0005-0000-0000-0000D8270000}"/>
    <cellStyle name="Millares 2 3 6 2 2" xfId="14154" xr:uid="{00000000-0005-0000-0000-0000D9270000}"/>
    <cellStyle name="Millares 2 3 6 2 2 2" xfId="14155" xr:uid="{00000000-0005-0000-0000-0000DA270000}"/>
    <cellStyle name="Millares 2 3 6 2 2 2 2" xfId="33610" xr:uid="{00000000-0005-0000-0000-0000DB270000}"/>
    <cellStyle name="Millares 2 3 6 2 3" xfId="14156" xr:uid="{00000000-0005-0000-0000-0000DC270000}"/>
    <cellStyle name="Millares 2 3 6 2 3 2" xfId="33611" xr:uid="{00000000-0005-0000-0000-0000DD270000}"/>
    <cellStyle name="Millares 2 3 6 3" xfId="14157" xr:uid="{00000000-0005-0000-0000-0000DE270000}"/>
    <cellStyle name="Millares 2 3 6 3 2" xfId="14158" xr:uid="{00000000-0005-0000-0000-0000DF270000}"/>
    <cellStyle name="Millares 2 3 6 3 2 2" xfId="33612" xr:uid="{00000000-0005-0000-0000-0000E0270000}"/>
    <cellStyle name="Millares 2 3 6 4" xfId="14159" xr:uid="{00000000-0005-0000-0000-0000E1270000}"/>
    <cellStyle name="Millares 2 3 6 4 2" xfId="33613" xr:uid="{00000000-0005-0000-0000-0000E2270000}"/>
    <cellStyle name="Millares 2 3 7" xfId="14160" xr:uid="{00000000-0005-0000-0000-0000E3270000}"/>
    <cellStyle name="Millares 2 3 7 2" xfId="14161" xr:uid="{00000000-0005-0000-0000-0000E4270000}"/>
    <cellStyle name="Millares 2 3 7 2 2" xfId="14162" xr:uid="{00000000-0005-0000-0000-0000E5270000}"/>
    <cellStyle name="Millares 2 3 7 2 2 2" xfId="14163" xr:uid="{00000000-0005-0000-0000-0000E6270000}"/>
    <cellStyle name="Millares 2 3 7 2 2 2 2" xfId="33614" xr:uid="{00000000-0005-0000-0000-0000E7270000}"/>
    <cellStyle name="Millares 2 3 7 2 3" xfId="14164" xr:uid="{00000000-0005-0000-0000-0000E8270000}"/>
    <cellStyle name="Millares 2 3 7 2 3 2" xfId="33615" xr:uid="{00000000-0005-0000-0000-0000E9270000}"/>
    <cellStyle name="Millares 2 3 7 3" xfId="14165" xr:uid="{00000000-0005-0000-0000-0000EA270000}"/>
    <cellStyle name="Millares 2 3 7 3 2" xfId="14166" xr:uid="{00000000-0005-0000-0000-0000EB270000}"/>
    <cellStyle name="Millares 2 3 7 3 2 2" xfId="33616" xr:uid="{00000000-0005-0000-0000-0000EC270000}"/>
    <cellStyle name="Millares 2 3 7 4" xfId="14167" xr:uid="{00000000-0005-0000-0000-0000ED270000}"/>
    <cellStyle name="Millares 2 3 7 4 2" xfId="33617" xr:uid="{00000000-0005-0000-0000-0000EE270000}"/>
    <cellStyle name="Millares 2 3 8" xfId="14168" xr:uid="{00000000-0005-0000-0000-0000EF270000}"/>
    <cellStyle name="Millares 2 3 8 2" xfId="14169" xr:uid="{00000000-0005-0000-0000-0000F0270000}"/>
    <cellStyle name="Millares 2 3 8 2 2" xfId="14170" xr:uid="{00000000-0005-0000-0000-0000F1270000}"/>
    <cellStyle name="Millares 2 3 8 2 2 2" xfId="14171" xr:uid="{00000000-0005-0000-0000-0000F2270000}"/>
    <cellStyle name="Millares 2 3 8 2 2 2 2" xfId="33618" xr:uid="{00000000-0005-0000-0000-0000F3270000}"/>
    <cellStyle name="Millares 2 3 8 2 3" xfId="14172" xr:uid="{00000000-0005-0000-0000-0000F4270000}"/>
    <cellStyle name="Millares 2 3 8 2 3 2" xfId="33619" xr:uid="{00000000-0005-0000-0000-0000F5270000}"/>
    <cellStyle name="Millares 2 3 8 3" xfId="14173" xr:uid="{00000000-0005-0000-0000-0000F6270000}"/>
    <cellStyle name="Millares 2 3 8 3 2" xfId="14174" xr:uid="{00000000-0005-0000-0000-0000F7270000}"/>
    <cellStyle name="Millares 2 3 8 3 2 2" xfId="33620" xr:uid="{00000000-0005-0000-0000-0000F8270000}"/>
    <cellStyle name="Millares 2 3 8 4" xfId="14175" xr:uid="{00000000-0005-0000-0000-0000F9270000}"/>
    <cellStyle name="Millares 2 3 8 4 2" xfId="33621" xr:uid="{00000000-0005-0000-0000-0000FA270000}"/>
    <cellStyle name="Millares 2 3 9" xfId="14176" xr:uid="{00000000-0005-0000-0000-0000FB270000}"/>
    <cellStyle name="Millares 2 3 9 2" xfId="14177" xr:uid="{00000000-0005-0000-0000-0000FC270000}"/>
    <cellStyle name="Millares 2 3 9 2 2" xfId="14178" xr:uid="{00000000-0005-0000-0000-0000FD270000}"/>
    <cellStyle name="Millares 2 3 9 2 2 2" xfId="33622" xr:uid="{00000000-0005-0000-0000-0000FE270000}"/>
    <cellStyle name="Millares 2 3 9 3" xfId="14179" xr:uid="{00000000-0005-0000-0000-0000FF270000}"/>
    <cellStyle name="Millares 2 3 9 3 2" xfId="33623" xr:uid="{00000000-0005-0000-0000-000000280000}"/>
    <cellStyle name="Millares 2 4" xfId="3989" xr:uid="{00000000-0005-0000-0000-000001280000}"/>
    <cellStyle name="Millares 2 4 2" xfId="14180" xr:uid="{00000000-0005-0000-0000-000002280000}"/>
    <cellStyle name="Millares 2 4 2 2" xfId="14181" xr:uid="{00000000-0005-0000-0000-000003280000}"/>
    <cellStyle name="Millares 2 4 2 2 2" xfId="33624" xr:uid="{00000000-0005-0000-0000-000004280000}"/>
    <cellStyle name="Millares 2 4 2 3" xfId="34860" xr:uid="{00000000-0005-0000-0000-000005280000}"/>
    <cellStyle name="Millares 2 4 3" xfId="14182" xr:uid="{00000000-0005-0000-0000-000006280000}"/>
    <cellStyle name="Millares 2 4 4" xfId="14183" xr:uid="{00000000-0005-0000-0000-000007280000}"/>
    <cellStyle name="Millares 2 5" xfId="3990" xr:uid="{00000000-0005-0000-0000-000008280000}"/>
    <cellStyle name="Millares 2 5 2" xfId="14184" xr:uid="{00000000-0005-0000-0000-000009280000}"/>
    <cellStyle name="Millares 2 5 3" xfId="14185" xr:uid="{00000000-0005-0000-0000-00000A280000}"/>
    <cellStyle name="Millares 2 5 4" xfId="14186" xr:uid="{00000000-0005-0000-0000-00000B280000}"/>
    <cellStyle name="Millares 2 6" xfId="3991" xr:uid="{00000000-0005-0000-0000-00000C280000}"/>
    <cellStyle name="Millares 2 6 2" xfId="14187" xr:uid="{00000000-0005-0000-0000-00000D280000}"/>
    <cellStyle name="Millares 2 6 2 2" xfId="34861" xr:uid="{00000000-0005-0000-0000-00000E280000}"/>
    <cellStyle name="Millares 2 6 3" xfId="14188" xr:uid="{00000000-0005-0000-0000-00000F280000}"/>
    <cellStyle name="Millares 2 6 4" xfId="14189" xr:uid="{00000000-0005-0000-0000-000010280000}"/>
    <cellStyle name="Millares 2 7" xfId="3992" xr:uid="{00000000-0005-0000-0000-000011280000}"/>
    <cellStyle name="Millares 2 7 2" xfId="14190" xr:uid="{00000000-0005-0000-0000-000012280000}"/>
    <cellStyle name="Millares 2 8" xfId="14191" xr:uid="{00000000-0005-0000-0000-000013280000}"/>
    <cellStyle name="Millares 2 8 2" xfId="34862" xr:uid="{00000000-0005-0000-0000-000014280000}"/>
    <cellStyle name="Millares 2 9" xfId="14192" xr:uid="{00000000-0005-0000-0000-000015280000}"/>
    <cellStyle name="Millares 20" xfId="14193" xr:uid="{00000000-0005-0000-0000-000016280000}"/>
    <cellStyle name="Millares 20 2" xfId="14194" xr:uid="{00000000-0005-0000-0000-000017280000}"/>
    <cellStyle name="Millares 20 3" xfId="14195" xr:uid="{00000000-0005-0000-0000-000018280000}"/>
    <cellStyle name="Millares 20 4" xfId="14196" xr:uid="{00000000-0005-0000-0000-000019280000}"/>
    <cellStyle name="Millares 20 5" xfId="14197" xr:uid="{00000000-0005-0000-0000-00001A280000}"/>
    <cellStyle name="Millares 20 6" xfId="14198" xr:uid="{00000000-0005-0000-0000-00001B280000}"/>
    <cellStyle name="Millares 20 7" xfId="14199" xr:uid="{00000000-0005-0000-0000-00001C280000}"/>
    <cellStyle name="Millares 20 8" xfId="14200" xr:uid="{00000000-0005-0000-0000-00001D280000}"/>
    <cellStyle name="Millares 21" xfId="14201" xr:uid="{00000000-0005-0000-0000-00001E280000}"/>
    <cellStyle name="Millares 21 2" xfId="14202" xr:uid="{00000000-0005-0000-0000-00001F280000}"/>
    <cellStyle name="Millares 21 3" xfId="14203" xr:uid="{00000000-0005-0000-0000-000020280000}"/>
    <cellStyle name="Millares 21 4" xfId="14204" xr:uid="{00000000-0005-0000-0000-000021280000}"/>
    <cellStyle name="Millares 21 5" xfId="14205" xr:uid="{00000000-0005-0000-0000-000022280000}"/>
    <cellStyle name="Millares 21 6" xfId="14206" xr:uid="{00000000-0005-0000-0000-000023280000}"/>
    <cellStyle name="Millares 21 7" xfId="14207" xr:uid="{00000000-0005-0000-0000-000024280000}"/>
    <cellStyle name="Millares 22" xfId="14208" xr:uid="{00000000-0005-0000-0000-000025280000}"/>
    <cellStyle name="Millares 22 2" xfId="14209" xr:uid="{00000000-0005-0000-0000-000026280000}"/>
    <cellStyle name="Millares 22 3" xfId="14210" xr:uid="{00000000-0005-0000-0000-000027280000}"/>
    <cellStyle name="Millares 22 4" xfId="14211" xr:uid="{00000000-0005-0000-0000-000028280000}"/>
    <cellStyle name="Millares 22 5" xfId="14212" xr:uid="{00000000-0005-0000-0000-000029280000}"/>
    <cellStyle name="Millares 22 6" xfId="14213" xr:uid="{00000000-0005-0000-0000-00002A280000}"/>
    <cellStyle name="Millares 22 7" xfId="14214" xr:uid="{00000000-0005-0000-0000-00002B280000}"/>
    <cellStyle name="Millares 23" xfId="14215" xr:uid="{00000000-0005-0000-0000-00002C280000}"/>
    <cellStyle name="Millares 23 2" xfId="14216" xr:uid="{00000000-0005-0000-0000-00002D280000}"/>
    <cellStyle name="Millares 23 3" xfId="14217" xr:uid="{00000000-0005-0000-0000-00002E280000}"/>
    <cellStyle name="Millares 23 4" xfId="14218" xr:uid="{00000000-0005-0000-0000-00002F280000}"/>
    <cellStyle name="Millares 23 5" xfId="14219" xr:uid="{00000000-0005-0000-0000-000030280000}"/>
    <cellStyle name="Millares 23 6" xfId="14220" xr:uid="{00000000-0005-0000-0000-000031280000}"/>
    <cellStyle name="Millares 23 7" xfId="14221" xr:uid="{00000000-0005-0000-0000-000032280000}"/>
    <cellStyle name="Millares 24" xfId="14222" xr:uid="{00000000-0005-0000-0000-000033280000}"/>
    <cellStyle name="Millares 24 2" xfId="14223" xr:uid="{00000000-0005-0000-0000-000034280000}"/>
    <cellStyle name="Millares 24 3" xfId="14224" xr:uid="{00000000-0005-0000-0000-000035280000}"/>
    <cellStyle name="Millares 24 4" xfId="14225" xr:uid="{00000000-0005-0000-0000-000036280000}"/>
    <cellStyle name="Millares 24 5" xfId="14226" xr:uid="{00000000-0005-0000-0000-000037280000}"/>
    <cellStyle name="Millares 24 6" xfId="14227" xr:uid="{00000000-0005-0000-0000-000038280000}"/>
    <cellStyle name="Millares 24 7" xfId="14228" xr:uid="{00000000-0005-0000-0000-000039280000}"/>
    <cellStyle name="Millares 25" xfId="14229" xr:uid="{00000000-0005-0000-0000-00003A280000}"/>
    <cellStyle name="Millares 25 2" xfId="14230" xr:uid="{00000000-0005-0000-0000-00003B280000}"/>
    <cellStyle name="Millares 25 3" xfId="14231" xr:uid="{00000000-0005-0000-0000-00003C280000}"/>
    <cellStyle name="Millares 25 4" xfId="14232" xr:uid="{00000000-0005-0000-0000-00003D280000}"/>
    <cellStyle name="Millares 25 5" xfId="14233" xr:uid="{00000000-0005-0000-0000-00003E280000}"/>
    <cellStyle name="Millares 25 6" xfId="14234" xr:uid="{00000000-0005-0000-0000-00003F280000}"/>
    <cellStyle name="Millares 25 7" xfId="14235" xr:uid="{00000000-0005-0000-0000-000040280000}"/>
    <cellStyle name="Millares 26" xfId="14236" xr:uid="{00000000-0005-0000-0000-000041280000}"/>
    <cellStyle name="Millares 26 2" xfId="14237" xr:uid="{00000000-0005-0000-0000-000042280000}"/>
    <cellStyle name="Millares 26 3" xfId="14238" xr:uid="{00000000-0005-0000-0000-000043280000}"/>
    <cellStyle name="Millares 26 4" xfId="14239" xr:uid="{00000000-0005-0000-0000-000044280000}"/>
    <cellStyle name="Millares 26 5" xfId="14240" xr:uid="{00000000-0005-0000-0000-000045280000}"/>
    <cellStyle name="Millares 26 6" xfId="14241" xr:uid="{00000000-0005-0000-0000-000046280000}"/>
    <cellStyle name="Millares 26 7" xfId="14242" xr:uid="{00000000-0005-0000-0000-000047280000}"/>
    <cellStyle name="Millares 27" xfId="14243" xr:uid="{00000000-0005-0000-0000-000048280000}"/>
    <cellStyle name="Millares 27 2" xfId="14244" xr:uid="{00000000-0005-0000-0000-000049280000}"/>
    <cellStyle name="Millares 27 3" xfId="14245" xr:uid="{00000000-0005-0000-0000-00004A280000}"/>
    <cellStyle name="Millares 27 4" xfId="14246" xr:uid="{00000000-0005-0000-0000-00004B280000}"/>
    <cellStyle name="Millares 27 5" xfId="14247" xr:uid="{00000000-0005-0000-0000-00004C280000}"/>
    <cellStyle name="Millares 27 6" xfId="14248" xr:uid="{00000000-0005-0000-0000-00004D280000}"/>
    <cellStyle name="Millares 27 7" xfId="14249" xr:uid="{00000000-0005-0000-0000-00004E280000}"/>
    <cellStyle name="Millares 28" xfId="14250" xr:uid="{00000000-0005-0000-0000-00004F280000}"/>
    <cellStyle name="Millares 28 2" xfId="14251" xr:uid="{00000000-0005-0000-0000-000050280000}"/>
    <cellStyle name="Millares 28 3" xfId="14252" xr:uid="{00000000-0005-0000-0000-000051280000}"/>
    <cellStyle name="Millares 28 4" xfId="14253" xr:uid="{00000000-0005-0000-0000-000052280000}"/>
    <cellStyle name="Millares 28 5" xfId="14254" xr:uid="{00000000-0005-0000-0000-000053280000}"/>
    <cellStyle name="Millares 28 6" xfId="14255" xr:uid="{00000000-0005-0000-0000-000054280000}"/>
    <cellStyle name="Millares 28 7" xfId="14256" xr:uid="{00000000-0005-0000-0000-000055280000}"/>
    <cellStyle name="Millares 29" xfId="14257" xr:uid="{00000000-0005-0000-0000-000056280000}"/>
    <cellStyle name="Millares 29 2" xfId="14258" xr:uid="{00000000-0005-0000-0000-000057280000}"/>
    <cellStyle name="Millares 29 3" xfId="14259" xr:uid="{00000000-0005-0000-0000-000058280000}"/>
    <cellStyle name="Millares 29 4" xfId="14260" xr:uid="{00000000-0005-0000-0000-000059280000}"/>
    <cellStyle name="Millares 29 5" xfId="14261" xr:uid="{00000000-0005-0000-0000-00005A280000}"/>
    <cellStyle name="Millares 29 6" xfId="14262" xr:uid="{00000000-0005-0000-0000-00005B280000}"/>
    <cellStyle name="Millares 29 7" xfId="14263" xr:uid="{00000000-0005-0000-0000-00005C280000}"/>
    <cellStyle name="Millares 3" xfId="3993" xr:uid="{00000000-0005-0000-0000-00005D280000}"/>
    <cellStyle name="Millares 3 2" xfId="3994" xr:uid="{00000000-0005-0000-0000-00005E280000}"/>
    <cellStyle name="Millares 3 2 2" xfId="14264" xr:uid="{00000000-0005-0000-0000-00005F280000}"/>
    <cellStyle name="Millares 3 2 2 2" xfId="34863" xr:uid="{00000000-0005-0000-0000-000060280000}"/>
    <cellStyle name="Millares 3 2 3" xfId="14265" xr:uid="{00000000-0005-0000-0000-000061280000}"/>
    <cellStyle name="Millares 3 2 4" xfId="14266" xr:uid="{00000000-0005-0000-0000-000062280000}"/>
    <cellStyle name="Millares 3 3" xfId="3995" xr:uid="{00000000-0005-0000-0000-000063280000}"/>
    <cellStyle name="Millares 3 3 2" xfId="14267" xr:uid="{00000000-0005-0000-0000-000064280000}"/>
    <cellStyle name="Millares 3 3 2 2" xfId="34864" xr:uid="{00000000-0005-0000-0000-000065280000}"/>
    <cellStyle name="Millares 3 3 3" xfId="14268" xr:uid="{00000000-0005-0000-0000-000066280000}"/>
    <cellStyle name="Millares 3 4" xfId="14269" xr:uid="{00000000-0005-0000-0000-000067280000}"/>
    <cellStyle name="Millares 3 5" xfId="14270" xr:uid="{00000000-0005-0000-0000-000068280000}"/>
    <cellStyle name="Millares 30" xfId="14271" xr:uid="{00000000-0005-0000-0000-000069280000}"/>
    <cellStyle name="Millares 30 2" xfId="14272" xr:uid="{00000000-0005-0000-0000-00006A280000}"/>
    <cellStyle name="Millares 30 3" xfId="14273" xr:uid="{00000000-0005-0000-0000-00006B280000}"/>
    <cellStyle name="Millares 30 4" xfId="14274" xr:uid="{00000000-0005-0000-0000-00006C280000}"/>
    <cellStyle name="Millares 30 5" xfId="14275" xr:uid="{00000000-0005-0000-0000-00006D280000}"/>
    <cellStyle name="Millares 30 6" xfId="14276" xr:uid="{00000000-0005-0000-0000-00006E280000}"/>
    <cellStyle name="Millares 30 7" xfId="14277" xr:uid="{00000000-0005-0000-0000-00006F280000}"/>
    <cellStyle name="Millares 31" xfId="14278" xr:uid="{00000000-0005-0000-0000-000070280000}"/>
    <cellStyle name="Millares 31 2" xfId="14279" xr:uid="{00000000-0005-0000-0000-000071280000}"/>
    <cellStyle name="Millares 31 3" xfId="14280" xr:uid="{00000000-0005-0000-0000-000072280000}"/>
    <cellStyle name="Millares 31 4" xfId="14281" xr:uid="{00000000-0005-0000-0000-000073280000}"/>
    <cellStyle name="Millares 31 5" xfId="14282" xr:uid="{00000000-0005-0000-0000-000074280000}"/>
    <cellStyle name="Millares 31 6" xfId="14283" xr:uid="{00000000-0005-0000-0000-000075280000}"/>
    <cellStyle name="Millares 31 7" xfId="14284" xr:uid="{00000000-0005-0000-0000-000076280000}"/>
    <cellStyle name="Millares 32" xfId="14285" xr:uid="{00000000-0005-0000-0000-000077280000}"/>
    <cellStyle name="Millares 32 2" xfId="14286" xr:uid="{00000000-0005-0000-0000-000078280000}"/>
    <cellStyle name="Millares 32 3" xfId="14287" xr:uid="{00000000-0005-0000-0000-000079280000}"/>
    <cellStyle name="Millares 32 4" xfId="14288" xr:uid="{00000000-0005-0000-0000-00007A280000}"/>
    <cellStyle name="Millares 32 5" xfId="14289" xr:uid="{00000000-0005-0000-0000-00007B280000}"/>
    <cellStyle name="Millares 32 6" xfId="14290" xr:uid="{00000000-0005-0000-0000-00007C280000}"/>
    <cellStyle name="Millares 32 7" xfId="14291" xr:uid="{00000000-0005-0000-0000-00007D280000}"/>
    <cellStyle name="Millares 33" xfId="14292" xr:uid="{00000000-0005-0000-0000-00007E280000}"/>
    <cellStyle name="Millares 33 2" xfId="14293" xr:uid="{00000000-0005-0000-0000-00007F280000}"/>
    <cellStyle name="Millares 33 3" xfId="14294" xr:uid="{00000000-0005-0000-0000-000080280000}"/>
    <cellStyle name="Millares 33 4" xfId="14295" xr:uid="{00000000-0005-0000-0000-000081280000}"/>
    <cellStyle name="Millares 33 5" xfId="14296" xr:uid="{00000000-0005-0000-0000-000082280000}"/>
    <cellStyle name="Millares 33 6" xfId="14297" xr:uid="{00000000-0005-0000-0000-000083280000}"/>
    <cellStyle name="Millares 33 7" xfId="14298" xr:uid="{00000000-0005-0000-0000-000084280000}"/>
    <cellStyle name="Millares 34" xfId="14299" xr:uid="{00000000-0005-0000-0000-000085280000}"/>
    <cellStyle name="Millares 34 2" xfId="14300" xr:uid="{00000000-0005-0000-0000-000086280000}"/>
    <cellStyle name="Millares 34 3" xfId="14301" xr:uid="{00000000-0005-0000-0000-000087280000}"/>
    <cellStyle name="Millares 34 4" xfId="14302" xr:uid="{00000000-0005-0000-0000-000088280000}"/>
    <cellStyle name="Millares 34 5" xfId="14303" xr:uid="{00000000-0005-0000-0000-000089280000}"/>
    <cellStyle name="Millares 34 6" xfId="14304" xr:uid="{00000000-0005-0000-0000-00008A280000}"/>
    <cellStyle name="Millares 34 7" xfId="14305" xr:uid="{00000000-0005-0000-0000-00008B280000}"/>
    <cellStyle name="Millares 35" xfId="14306" xr:uid="{00000000-0005-0000-0000-00008C280000}"/>
    <cellStyle name="Millares 35 2" xfId="14307" xr:uid="{00000000-0005-0000-0000-00008D280000}"/>
    <cellStyle name="Millares 35 3" xfId="14308" xr:uid="{00000000-0005-0000-0000-00008E280000}"/>
    <cellStyle name="Millares 35 4" xfId="14309" xr:uid="{00000000-0005-0000-0000-00008F280000}"/>
    <cellStyle name="Millares 35 5" xfId="14310" xr:uid="{00000000-0005-0000-0000-000090280000}"/>
    <cellStyle name="Millares 35 6" xfId="14311" xr:uid="{00000000-0005-0000-0000-000091280000}"/>
    <cellStyle name="Millares 35 7" xfId="14312" xr:uid="{00000000-0005-0000-0000-000092280000}"/>
    <cellStyle name="Millares 36" xfId="14313" xr:uid="{00000000-0005-0000-0000-000093280000}"/>
    <cellStyle name="Millares 36 2" xfId="14314" xr:uid="{00000000-0005-0000-0000-000094280000}"/>
    <cellStyle name="Millares 36 3" xfId="14315" xr:uid="{00000000-0005-0000-0000-000095280000}"/>
    <cellStyle name="Millares 36 4" xfId="14316" xr:uid="{00000000-0005-0000-0000-000096280000}"/>
    <cellStyle name="Millares 36 5" xfId="14317" xr:uid="{00000000-0005-0000-0000-000097280000}"/>
    <cellStyle name="Millares 36 6" xfId="14318" xr:uid="{00000000-0005-0000-0000-000098280000}"/>
    <cellStyle name="Millares 36 7" xfId="14319" xr:uid="{00000000-0005-0000-0000-000099280000}"/>
    <cellStyle name="Millares 37" xfId="14320" xr:uid="{00000000-0005-0000-0000-00009A280000}"/>
    <cellStyle name="Millares 37 2" xfId="14321" xr:uid="{00000000-0005-0000-0000-00009B280000}"/>
    <cellStyle name="Millares 37 3" xfId="14322" xr:uid="{00000000-0005-0000-0000-00009C280000}"/>
    <cellStyle name="Millares 37 4" xfId="14323" xr:uid="{00000000-0005-0000-0000-00009D280000}"/>
    <cellStyle name="Millares 37 5" xfId="14324" xr:uid="{00000000-0005-0000-0000-00009E280000}"/>
    <cellStyle name="Millares 37 6" xfId="14325" xr:uid="{00000000-0005-0000-0000-00009F280000}"/>
    <cellStyle name="Millares 37 7" xfId="14326" xr:uid="{00000000-0005-0000-0000-0000A0280000}"/>
    <cellStyle name="Millares 38" xfId="14327" xr:uid="{00000000-0005-0000-0000-0000A1280000}"/>
    <cellStyle name="Millares 38 2" xfId="14328" xr:uid="{00000000-0005-0000-0000-0000A2280000}"/>
    <cellStyle name="Millares 38 3" xfId="14329" xr:uid="{00000000-0005-0000-0000-0000A3280000}"/>
    <cellStyle name="Millares 38 4" xfId="14330" xr:uid="{00000000-0005-0000-0000-0000A4280000}"/>
    <cellStyle name="Millares 38 5" xfId="14331" xr:uid="{00000000-0005-0000-0000-0000A5280000}"/>
    <cellStyle name="Millares 38 6" xfId="14332" xr:uid="{00000000-0005-0000-0000-0000A6280000}"/>
    <cellStyle name="Millares 38 7" xfId="14333" xr:uid="{00000000-0005-0000-0000-0000A7280000}"/>
    <cellStyle name="Millares 39" xfId="14334" xr:uid="{00000000-0005-0000-0000-0000A8280000}"/>
    <cellStyle name="Millares 4" xfId="3996" xr:uid="{00000000-0005-0000-0000-0000A9280000}"/>
    <cellStyle name="Millares 4 2" xfId="14335" xr:uid="{00000000-0005-0000-0000-0000AA280000}"/>
    <cellStyle name="Millares 4 2 2" xfId="34865" xr:uid="{00000000-0005-0000-0000-0000AB280000}"/>
    <cellStyle name="Millares 4 3" xfId="14336" xr:uid="{00000000-0005-0000-0000-0000AC280000}"/>
    <cellStyle name="Millares 4 3 2" xfId="34866" xr:uid="{00000000-0005-0000-0000-0000AD280000}"/>
    <cellStyle name="Millares 4 4" xfId="14337" xr:uid="{00000000-0005-0000-0000-0000AE280000}"/>
    <cellStyle name="Millares 4 5" xfId="14338" xr:uid="{00000000-0005-0000-0000-0000AF280000}"/>
    <cellStyle name="Millares 40" xfId="14339" xr:uid="{00000000-0005-0000-0000-0000B0280000}"/>
    <cellStyle name="Millares 41" xfId="14340" xr:uid="{00000000-0005-0000-0000-0000B1280000}"/>
    <cellStyle name="Millares 42" xfId="14341" xr:uid="{00000000-0005-0000-0000-0000B2280000}"/>
    <cellStyle name="Millares 43" xfId="14342" xr:uid="{00000000-0005-0000-0000-0000B3280000}"/>
    <cellStyle name="Millares 44" xfId="14343" xr:uid="{00000000-0005-0000-0000-0000B4280000}"/>
    <cellStyle name="Millares 45" xfId="33625" xr:uid="{00000000-0005-0000-0000-0000B5280000}"/>
    <cellStyle name="Millares 46" xfId="33626" xr:uid="{00000000-0005-0000-0000-0000B6280000}"/>
    <cellStyle name="Millares 47" xfId="33627" xr:uid="{00000000-0005-0000-0000-0000B7280000}"/>
    <cellStyle name="Millares 48" xfId="33628" xr:uid="{00000000-0005-0000-0000-0000B8280000}"/>
    <cellStyle name="Millares 49" xfId="33629" xr:uid="{00000000-0005-0000-0000-0000B9280000}"/>
    <cellStyle name="Millares 5" xfId="3997" xr:uid="{00000000-0005-0000-0000-0000BA280000}"/>
    <cellStyle name="Millares 5 10" xfId="14344" xr:uid="{00000000-0005-0000-0000-0000BB280000}"/>
    <cellStyle name="Millares 5 11" xfId="14345" xr:uid="{00000000-0005-0000-0000-0000BC280000}"/>
    <cellStyle name="Millares 5 12" xfId="14346" xr:uid="{00000000-0005-0000-0000-0000BD280000}"/>
    <cellStyle name="Millares 5 13" xfId="14347" xr:uid="{00000000-0005-0000-0000-0000BE280000}"/>
    <cellStyle name="Millares 5 2" xfId="14348" xr:uid="{00000000-0005-0000-0000-0000BF280000}"/>
    <cellStyle name="Millares 5 2 2" xfId="14349" xr:uid="{00000000-0005-0000-0000-0000C0280000}"/>
    <cellStyle name="Millares 5 2 3" xfId="14350" xr:uid="{00000000-0005-0000-0000-0000C1280000}"/>
    <cellStyle name="Millares 5 2 4" xfId="14351" xr:uid="{00000000-0005-0000-0000-0000C2280000}"/>
    <cellStyle name="Millares 5 2 5" xfId="14352" xr:uid="{00000000-0005-0000-0000-0000C3280000}"/>
    <cellStyle name="Millares 5 2 6" xfId="14353" xr:uid="{00000000-0005-0000-0000-0000C4280000}"/>
    <cellStyle name="Millares 5 2 7" xfId="14354" xr:uid="{00000000-0005-0000-0000-0000C5280000}"/>
    <cellStyle name="Millares 5 3" xfId="14355" xr:uid="{00000000-0005-0000-0000-0000C6280000}"/>
    <cellStyle name="Millares 5 4" xfId="14356" xr:uid="{00000000-0005-0000-0000-0000C7280000}"/>
    <cellStyle name="Millares 5 5" xfId="14357" xr:uid="{00000000-0005-0000-0000-0000C8280000}"/>
    <cellStyle name="Millares 5 6" xfId="14358" xr:uid="{00000000-0005-0000-0000-0000C9280000}"/>
    <cellStyle name="Millares 5 7" xfId="14359" xr:uid="{00000000-0005-0000-0000-0000CA280000}"/>
    <cellStyle name="Millares 5 8" xfId="14360" xr:uid="{00000000-0005-0000-0000-0000CB280000}"/>
    <cellStyle name="Millares 5 9" xfId="14361" xr:uid="{00000000-0005-0000-0000-0000CC280000}"/>
    <cellStyle name="Millares 50" xfId="40959" xr:uid="{00000000-0005-0000-0000-0000CD280000}"/>
    <cellStyle name="Millares 51" xfId="40960" xr:uid="{00000000-0005-0000-0000-0000CE280000}"/>
    <cellStyle name="Millares 52" xfId="40961" xr:uid="{00000000-0005-0000-0000-0000CF280000}"/>
    <cellStyle name="Millares 53" xfId="40962" xr:uid="{00000000-0005-0000-0000-0000D0280000}"/>
    <cellStyle name="Millares 54" xfId="40963" xr:uid="{00000000-0005-0000-0000-0000D1280000}"/>
    <cellStyle name="Millares 55" xfId="40964" xr:uid="{00000000-0005-0000-0000-0000D2280000}"/>
    <cellStyle name="Millares 56" xfId="40966" xr:uid="{00000000-0005-0000-0000-0000D3280000}"/>
    <cellStyle name="Millares 57" xfId="40968" xr:uid="{00000000-0005-0000-0000-0000D4280000}"/>
    <cellStyle name="Millares 58" xfId="40969" xr:uid="{00000000-0005-0000-0000-0000D5280000}"/>
    <cellStyle name="Millares 59" xfId="40970" xr:uid="{00000000-0005-0000-0000-0000D6280000}"/>
    <cellStyle name="Millares 6" xfId="3998" xr:uid="{00000000-0005-0000-0000-0000D7280000}"/>
    <cellStyle name="Millares 6 10" xfId="14362" xr:uid="{00000000-0005-0000-0000-0000D8280000}"/>
    <cellStyle name="Millares 6 11" xfId="14363" xr:uid="{00000000-0005-0000-0000-0000D9280000}"/>
    <cellStyle name="Millares 6 2" xfId="14364" xr:uid="{00000000-0005-0000-0000-0000DA280000}"/>
    <cellStyle name="Millares 6 2 2" xfId="14365" xr:uid="{00000000-0005-0000-0000-0000DB280000}"/>
    <cellStyle name="Millares 6 2 3" xfId="14366" xr:uid="{00000000-0005-0000-0000-0000DC280000}"/>
    <cellStyle name="Millares 6 2 4" xfId="14367" xr:uid="{00000000-0005-0000-0000-0000DD280000}"/>
    <cellStyle name="Millares 6 2 5" xfId="14368" xr:uid="{00000000-0005-0000-0000-0000DE280000}"/>
    <cellStyle name="Millares 6 2 6" xfId="14369" xr:uid="{00000000-0005-0000-0000-0000DF280000}"/>
    <cellStyle name="Millares 6 2 7" xfId="14370" xr:uid="{00000000-0005-0000-0000-0000E0280000}"/>
    <cellStyle name="Millares 6 3" xfId="14371" xr:uid="{00000000-0005-0000-0000-0000E1280000}"/>
    <cellStyle name="Millares 6 4" xfId="14372" xr:uid="{00000000-0005-0000-0000-0000E2280000}"/>
    <cellStyle name="Millares 6 5" xfId="14373" xr:uid="{00000000-0005-0000-0000-0000E3280000}"/>
    <cellStyle name="Millares 6 6" xfId="14374" xr:uid="{00000000-0005-0000-0000-0000E4280000}"/>
    <cellStyle name="Millares 6 7" xfId="14375" xr:uid="{00000000-0005-0000-0000-0000E5280000}"/>
    <cellStyle name="Millares 6 8" xfId="14376" xr:uid="{00000000-0005-0000-0000-0000E6280000}"/>
    <cellStyle name="Millares 6 9" xfId="14377" xr:uid="{00000000-0005-0000-0000-0000E7280000}"/>
    <cellStyle name="Millares 60" xfId="40971" xr:uid="{00000000-0005-0000-0000-0000E8280000}"/>
    <cellStyle name="Millares 61" xfId="40972" xr:uid="{00000000-0005-0000-0000-0000E9280000}"/>
    <cellStyle name="Millares 62" xfId="40974" xr:uid="{00000000-0005-0000-0000-0000EA280000}"/>
    <cellStyle name="Millares 63" xfId="40975" xr:uid="{00000000-0005-0000-0000-0000EB280000}"/>
    <cellStyle name="Millares 64" xfId="40976" xr:uid="{00000000-0005-0000-0000-0000EC280000}"/>
    <cellStyle name="Millares 65" xfId="40977" xr:uid="{00000000-0005-0000-0000-0000ED280000}"/>
    <cellStyle name="Millares 66" xfId="40978" xr:uid="{00000000-0005-0000-0000-0000EE280000}"/>
    <cellStyle name="Millares 67" xfId="40979" xr:uid="{00000000-0005-0000-0000-0000EF280000}"/>
    <cellStyle name="Millares 68" xfId="40980" xr:uid="{00000000-0005-0000-0000-0000F0280000}"/>
    <cellStyle name="Millares 69" xfId="40981" xr:uid="{00000000-0005-0000-0000-0000F1280000}"/>
    <cellStyle name="Millares 7" xfId="3999" xr:uid="{00000000-0005-0000-0000-0000F2280000}"/>
    <cellStyle name="Millares 7 10" xfId="14378" xr:uid="{00000000-0005-0000-0000-0000F3280000}"/>
    <cellStyle name="Millares 7 11" xfId="14379" xr:uid="{00000000-0005-0000-0000-0000F4280000}"/>
    <cellStyle name="Millares 7 2" xfId="14380" xr:uid="{00000000-0005-0000-0000-0000F5280000}"/>
    <cellStyle name="Millares 7 2 2" xfId="14381" xr:uid="{00000000-0005-0000-0000-0000F6280000}"/>
    <cellStyle name="Millares 7 2 3" xfId="14382" xr:uid="{00000000-0005-0000-0000-0000F7280000}"/>
    <cellStyle name="Millares 7 2 4" xfId="14383" xr:uid="{00000000-0005-0000-0000-0000F8280000}"/>
    <cellStyle name="Millares 7 2 5" xfId="14384" xr:uid="{00000000-0005-0000-0000-0000F9280000}"/>
    <cellStyle name="Millares 7 2 6" xfId="14385" xr:uid="{00000000-0005-0000-0000-0000FA280000}"/>
    <cellStyle name="Millares 7 2 7" xfId="14386" xr:uid="{00000000-0005-0000-0000-0000FB280000}"/>
    <cellStyle name="Millares 7 2 8" xfId="14387" xr:uid="{00000000-0005-0000-0000-0000FC280000}"/>
    <cellStyle name="Millares 7 3" xfId="14388" xr:uid="{00000000-0005-0000-0000-0000FD280000}"/>
    <cellStyle name="Millares 7 4" xfId="14389" xr:uid="{00000000-0005-0000-0000-0000FE280000}"/>
    <cellStyle name="Millares 7 5" xfId="14390" xr:uid="{00000000-0005-0000-0000-0000FF280000}"/>
    <cellStyle name="Millares 7 6" xfId="14391" xr:uid="{00000000-0005-0000-0000-000000290000}"/>
    <cellStyle name="Millares 7 7" xfId="14392" xr:uid="{00000000-0005-0000-0000-000001290000}"/>
    <cellStyle name="Millares 7 8" xfId="14393" xr:uid="{00000000-0005-0000-0000-000002290000}"/>
    <cellStyle name="Millares 7 9" xfId="14394" xr:uid="{00000000-0005-0000-0000-000003290000}"/>
    <cellStyle name="Millares 70" xfId="40982" xr:uid="{00000000-0005-0000-0000-000004290000}"/>
    <cellStyle name="Millares 71" xfId="40983" xr:uid="{00000000-0005-0000-0000-000005290000}"/>
    <cellStyle name="Millares 72" xfId="40984" xr:uid="{00000000-0005-0000-0000-000006290000}"/>
    <cellStyle name="Millares 73" xfId="40985" xr:uid="{00000000-0005-0000-0000-000007290000}"/>
    <cellStyle name="Millares 74" xfId="40987" xr:uid="{00000000-0005-0000-0000-000008290000}"/>
    <cellStyle name="Millares 75" xfId="40989" xr:uid="{00000000-0005-0000-0000-000009290000}"/>
    <cellStyle name="Millares 76" xfId="40991" xr:uid="{00000000-0005-0000-0000-00000A290000}"/>
    <cellStyle name="Millares 77" xfId="40993" xr:uid="{00000000-0005-0000-0000-00000B290000}"/>
    <cellStyle name="Millares 78" xfId="40994" xr:uid="{00000000-0005-0000-0000-00000C290000}"/>
    <cellStyle name="Millares 79" xfId="40998" xr:uid="{00000000-0005-0000-0000-00000D290000}"/>
    <cellStyle name="Millares 8" xfId="4000" xr:uid="{00000000-0005-0000-0000-00000E290000}"/>
    <cellStyle name="Millares 8 10" xfId="14395" xr:uid="{00000000-0005-0000-0000-00000F290000}"/>
    <cellStyle name="Millares 8 11" xfId="14396" xr:uid="{00000000-0005-0000-0000-000010290000}"/>
    <cellStyle name="Millares 8 2" xfId="14397" xr:uid="{00000000-0005-0000-0000-000011290000}"/>
    <cellStyle name="Millares 8 2 2" xfId="14398" xr:uid="{00000000-0005-0000-0000-000012290000}"/>
    <cellStyle name="Millares 8 2 3" xfId="14399" xr:uid="{00000000-0005-0000-0000-000013290000}"/>
    <cellStyle name="Millares 8 2 4" xfId="14400" xr:uid="{00000000-0005-0000-0000-000014290000}"/>
    <cellStyle name="Millares 8 2 5" xfId="14401" xr:uid="{00000000-0005-0000-0000-000015290000}"/>
    <cellStyle name="Millares 8 2 6" xfId="14402" xr:uid="{00000000-0005-0000-0000-000016290000}"/>
    <cellStyle name="Millares 8 2 7" xfId="14403" xr:uid="{00000000-0005-0000-0000-000017290000}"/>
    <cellStyle name="Millares 8 3" xfId="14404" xr:uid="{00000000-0005-0000-0000-000018290000}"/>
    <cellStyle name="Millares 8 4" xfId="14405" xr:uid="{00000000-0005-0000-0000-000019290000}"/>
    <cellStyle name="Millares 8 5" xfId="14406" xr:uid="{00000000-0005-0000-0000-00001A290000}"/>
    <cellStyle name="Millares 8 6" xfId="14407" xr:uid="{00000000-0005-0000-0000-00001B290000}"/>
    <cellStyle name="Millares 8 7" xfId="14408" xr:uid="{00000000-0005-0000-0000-00001C290000}"/>
    <cellStyle name="Millares 8 8" xfId="14409" xr:uid="{00000000-0005-0000-0000-00001D290000}"/>
    <cellStyle name="Millares 8 9" xfId="14410" xr:uid="{00000000-0005-0000-0000-00001E290000}"/>
    <cellStyle name="Millares 80" xfId="40999" xr:uid="{00000000-0005-0000-0000-00001F290000}"/>
    <cellStyle name="Millares 81" xfId="41001" xr:uid="{00000000-0005-0000-0000-000020290000}"/>
    <cellStyle name="Millares 82" xfId="41002" xr:uid="{00000000-0005-0000-0000-000021290000}"/>
    <cellStyle name="Millares 83" xfId="41003" xr:uid="{00000000-0005-0000-0000-000022290000}"/>
    <cellStyle name="Millares 84" xfId="41004" xr:uid="{00000000-0005-0000-0000-000023290000}"/>
    <cellStyle name="Millares 85" xfId="41005" xr:uid="{00000000-0005-0000-0000-000024290000}"/>
    <cellStyle name="Millares 86" xfId="41006" xr:uid="{00000000-0005-0000-0000-000025290000}"/>
    <cellStyle name="Millares 87" xfId="41007" xr:uid="{00000000-0005-0000-0000-000026290000}"/>
    <cellStyle name="Millares 88" xfId="41009" xr:uid="{00000000-0005-0000-0000-000027290000}"/>
    <cellStyle name="Millares 89" xfId="41010" xr:uid="{00000000-0005-0000-0000-000028290000}"/>
    <cellStyle name="Millares 9" xfId="4001" xr:uid="{00000000-0005-0000-0000-000029290000}"/>
    <cellStyle name="Millares 9 10" xfId="14411" xr:uid="{00000000-0005-0000-0000-00002A290000}"/>
    <cellStyle name="Millares 9 11" xfId="14412" xr:uid="{00000000-0005-0000-0000-00002B290000}"/>
    <cellStyle name="Millares 9 2" xfId="14413" xr:uid="{00000000-0005-0000-0000-00002C290000}"/>
    <cellStyle name="Millares 9 2 2" xfId="14414" xr:uid="{00000000-0005-0000-0000-00002D290000}"/>
    <cellStyle name="Millares 9 2 3" xfId="14415" xr:uid="{00000000-0005-0000-0000-00002E290000}"/>
    <cellStyle name="Millares 9 2 4" xfId="14416" xr:uid="{00000000-0005-0000-0000-00002F290000}"/>
    <cellStyle name="Millares 9 2 5" xfId="14417" xr:uid="{00000000-0005-0000-0000-000030290000}"/>
    <cellStyle name="Millares 9 2 6" xfId="14418" xr:uid="{00000000-0005-0000-0000-000031290000}"/>
    <cellStyle name="Millares 9 2 7" xfId="14419" xr:uid="{00000000-0005-0000-0000-000032290000}"/>
    <cellStyle name="Millares 9 3" xfId="14420" xr:uid="{00000000-0005-0000-0000-000033290000}"/>
    <cellStyle name="Millares 9 4" xfId="14421" xr:uid="{00000000-0005-0000-0000-000034290000}"/>
    <cellStyle name="Millares 9 5" xfId="14422" xr:uid="{00000000-0005-0000-0000-000035290000}"/>
    <cellStyle name="Millares 9 6" xfId="14423" xr:uid="{00000000-0005-0000-0000-000036290000}"/>
    <cellStyle name="Millares 9 7" xfId="14424" xr:uid="{00000000-0005-0000-0000-000037290000}"/>
    <cellStyle name="Millares 9 8" xfId="14425" xr:uid="{00000000-0005-0000-0000-000038290000}"/>
    <cellStyle name="Millares 9 9" xfId="14426" xr:uid="{00000000-0005-0000-0000-000039290000}"/>
    <cellStyle name="Millares 90" xfId="41011" xr:uid="{00000000-0005-0000-0000-00003A290000}"/>
    <cellStyle name="Millares 91" xfId="41012" xr:uid="{00000000-0005-0000-0000-00003B290000}"/>
    <cellStyle name="Millares 92" xfId="41013" xr:uid="{00000000-0005-0000-0000-00003C290000}"/>
    <cellStyle name="Millares 93" xfId="41015" xr:uid="{00000000-0005-0000-0000-00003D290000}"/>
    <cellStyle name="Millares 94" xfId="41017" xr:uid="{00000000-0005-0000-0000-00003E290000}"/>
    <cellStyle name="Milliers [0]_CREATIVE" xfId="14427" xr:uid="{00000000-0005-0000-0000-00003F290000}"/>
    <cellStyle name="Milliers_CREATIVE" xfId="14428" xr:uid="{00000000-0005-0000-0000-000040290000}"/>
    <cellStyle name="Moneda" xfId="11612" builtinId="4"/>
    <cellStyle name="Moneda [0]" xfId="40973" builtinId="7"/>
    <cellStyle name="Moneda [0] 10" xfId="14429" xr:uid="{00000000-0005-0000-0000-000043290000}"/>
    <cellStyle name="Moneda [0] 10 2" xfId="34867" xr:uid="{00000000-0005-0000-0000-000044290000}"/>
    <cellStyle name="Moneda [0] 2" xfId="4002" xr:uid="{00000000-0005-0000-0000-000045290000}"/>
    <cellStyle name="Moneda [0] 2 2" xfId="33217" xr:uid="{00000000-0005-0000-0000-000046290000}"/>
    <cellStyle name="Moneda [0] 2 3" xfId="34868" xr:uid="{00000000-0005-0000-0000-000047290000}"/>
    <cellStyle name="Moneda [0] 2 4" xfId="40945" xr:uid="{00000000-0005-0000-0000-000048290000}"/>
    <cellStyle name="Moneda [0] 3" xfId="4003" xr:uid="{00000000-0005-0000-0000-000049290000}"/>
    <cellStyle name="Moneda [0] 3 2" xfId="33218" xr:uid="{00000000-0005-0000-0000-00004A290000}"/>
    <cellStyle name="Moneda [0] 3 3" xfId="34869" xr:uid="{00000000-0005-0000-0000-00004B290000}"/>
    <cellStyle name="Moneda [0] 3 4" xfId="40946" xr:uid="{00000000-0005-0000-0000-00004C290000}"/>
    <cellStyle name="Moneda [0] 4" xfId="4004" xr:uid="{00000000-0005-0000-0000-00004D290000}"/>
    <cellStyle name="Moneda [0] 4 2" xfId="33219" xr:uid="{00000000-0005-0000-0000-00004E290000}"/>
    <cellStyle name="Moneda [0] 4 3" xfId="34870" xr:uid="{00000000-0005-0000-0000-00004F290000}"/>
    <cellStyle name="Moneda [0] 4 4" xfId="40947" xr:uid="{00000000-0005-0000-0000-000050290000}"/>
    <cellStyle name="Moneda [0] 5" xfId="4005" xr:uid="{00000000-0005-0000-0000-000051290000}"/>
    <cellStyle name="Moneda [0] 5 2" xfId="33220" xr:uid="{00000000-0005-0000-0000-000052290000}"/>
    <cellStyle name="Moneda [0] 5 3" xfId="34871" xr:uid="{00000000-0005-0000-0000-000053290000}"/>
    <cellStyle name="Moneda [0] 5 4" xfId="40948" xr:uid="{00000000-0005-0000-0000-000054290000}"/>
    <cellStyle name="Moneda [0] 6" xfId="4006" xr:uid="{00000000-0005-0000-0000-000055290000}"/>
    <cellStyle name="Moneda [0] 6 2" xfId="33221" xr:uid="{00000000-0005-0000-0000-000056290000}"/>
    <cellStyle name="Moneda [0] 6 3" xfId="34872" xr:uid="{00000000-0005-0000-0000-000057290000}"/>
    <cellStyle name="Moneda [0] 6 4" xfId="40949" xr:uid="{00000000-0005-0000-0000-000058290000}"/>
    <cellStyle name="Moneda [0] 7" xfId="4007" xr:uid="{00000000-0005-0000-0000-000059290000}"/>
    <cellStyle name="Moneda [0] 7 2" xfId="33222" xr:uid="{00000000-0005-0000-0000-00005A290000}"/>
    <cellStyle name="Moneda [0] 7 3" xfId="34873" xr:uid="{00000000-0005-0000-0000-00005B290000}"/>
    <cellStyle name="Moneda [0] 7 4" xfId="40950" xr:uid="{00000000-0005-0000-0000-00005C290000}"/>
    <cellStyle name="Moneda [0] 8" xfId="4008" xr:uid="{00000000-0005-0000-0000-00005D290000}"/>
    <cellStyle name="Moneda [0] 9" xfId="4009" xr:uid="{00000000-0005-0000-0000-00005E290000}"/>
    <cellStyle name="Moneda 10" xfId="14430" xr:uid="{00000000-0005-0000-0000-00005F290000}"/>
    <cellStyle name="Moneda 10 2" xfId="34874" xr:uid="{00000000-0005-0000-0000-000060290000}"/>
    <cellStyle name="Moneda 11" xfId="14431" xr:uid="{00000000-0005-0000-0000-000061290000}"/>
    <cellStyle name="Moneda 11 2" xfId="30930" xr:uid="{00000000-0005-0000-0000-000062290000}"/>
    <cellStyle name="Moneda 12" xfId="14432" xr:uid="{00000000-0005-0000-0000-000063290000}"/>
    <cellStyle name="Moneda 12 2" xfId="30931" xr:uid="{00000000-0005-0000-0000-000064290000}"/>
    <cellStyle name="Moneda 13" xfId="14433" xr:uid="{00000000-0005-0000-0000-000065290000}"/>
    <cellStyle name="Moneda 13 2" xfId="30932" xr:uid="{00000000-0005-0000-0000-000066290000}"/>
    <cellStyle name="Moneda 2" xfId="4010" xr:uid="{00000000-0005-0000-0000-000067290000}"/>
    <cellStyle name="Moneda 2 2" xfId="14434" xr:uid="{00000000-0005-0000-0000-000068290000}"/>
    <cellStyle name="Moneda 2 2 2" xfId="30933" xr:uid="{00000000-0005-0000-0000-000069290000}"/>
    <cellStyle name="Moneda 2 2 3" xfId="34875" xr:uid="{00000000-0005-0000-0000-00006A290000}"/>
    <cellStyle name="Moneda 2 3" xfId="14435" xr:uid="{00000000-0005-0000-0000-00006B290000}"/>
    <cellStyle name="Moneda 2 3 2" xfId="30934" xr:uid="{00000000-0005-0000-0000-00006C290000}"/>
    <cellStyle name="Moneda 2 4" xfId="33223" xr:uid="{00000000-0005-0000-0000-00006D290000}"/>
    <cellStyle name="Moneda 3" xfId="4011" xr:uid="{00000000-0005-0000-0000-00006E290000}"/>
    <cellStyle name="Moneda 3 2" xfId="4012" xr:uid="{00000000-0005-0000-0000-00006F290000}"/>
    <cellStyle name="Moneda 3 3" xfId="14436" xr:uid="{00000000-0005-0000-0000-000070290000}"/>
    <cellStyle name="Moneda 3 3 2" xfId="34876" xr:uid="{00000000-0005-0000-0000-000071290000}"/>
    <cellStyle name="Moneda 4" xfId="14437" xr:uid="{00000000-0005-0000-0000-000072290000}"/>
    <cellStyle name="Moneda 5" xfId="14438" xr:uid="{00000000-0005-0000-0000-000073290000}"/>
    <cellStyle name="Moneda 5 2" xfId="30935" xr:uid="{00000000-0005-0000-0000-000074290000}"/>
    <cellStyle name="Moneda 6" xfId="14439" xr:uid="{00000000-0005-0000-0000-000075290000}"/>
    <cellStyle name="Moneda 6 2" xfId="30936" xr:uid="{00000000-0005-0000-0000-000076290000}"/>
    <cellStyle name="Moneda 7" xfId="14440" xr:uid="{00000000-0005-0000-0000-000077290000}"/>
    <cellStyle name="Moneda 7 2" xfId="30937" xr:uid="{00000000-0005-0000-0000-000078290000}"/>
    <cellStyle name="Moneda 8" xfId="14441" xr:uid="{00000000-0005-0000-0000-000079290000}"/>
    <cellStyle name="Moneda 8 2" xfId="30938" xr:uid="{00000000-0005-0000-0000-00007A290000}"/>
    <cellStyle name="Moneda 9" xfId="14442" xr:uid="{00000000-0005-0000-0000-00007B290000}"/>
    <cellStyle name="Moneda 9 2" xfId="30939" xr:uid="{00000000-0005-0000-0000-00007C290000}"/>
    <cellStyle name="Monétaire [0]_CREATIVE" xfId="14443" xr:uid="{00000000-0005-0000-0000-00007D290000}"/>
    <cellStyle name="Monétaire_CREATIVE" xfId="14444" xr:uid="{00000000-0005-0000-0000-00007E290000}"/>
    <cellStyle name="MS_Arabic" xfId="14445" xr:uid="{00000000-0005-0000-0000-00007F290000}"/>
    <cellStyle name="Neutral 2" xfId="14446" xr:uid="{00000000-0005-0000-0000-000080290000}"/>
    <cellStyle name="Neutral 2 2" xfId="14447" xr:uid="{00000000-0005-0000-0000-000081290000}"/>
    <cellStyle name="Neutral 2 3" xfId="34878" xr:uid="{00000000-0005-0000-0000-000082290000}"/>
    <cellStyle name="Neutral 2 4" xfId="34877" xr:uid="{00000000-0005-0000-0000-000083290000}"/>
    <cellStyle name="Neutral 3" xfId="14448" xr:uid="{00000000-0005-0000-0000-000084290000}"/>
    <cellStyle name="Neutral 3 2" xfId="14449" xr:uid="{00000000-0005-0000-0000-000085290000}"/>
    <cellStyle name="Neutral 3 3" xfId="34879" xr:uid="{00000000-0005-0000-0000-000086290000}"/>
    <cellStyle name="Neutral 4" xfId="14450" xr:uid="{00000000-0005-0000-0000-000087290000}"/>
    <cellStyle name="Neutral 4 2" xfId="14451" xr:uid="{00000000-0005-0000-0000-000088290000}"/>
    <cellStyle name="Neutral 5 2" xfId="14452" xr:uid="{00000000-0005-0000-0000-000089290000}"/>
    <cellStyle name="Neutral 6 2" xfId="14453" xr:uid="{00000000-0005-0000-0000-00008A290000}"/>
    <cellStyle name="Neutral 7 2" xfId="14454" xr:uid="{00000000-0005-0000-0000-00008B290000}"/>
    <cellStyle name="Neutral 8 2" xfId="14455" xr:uid="{00000000-0005-0000-0000-00008C290000}"/>
    <cellStyle name="Neutral 9 2" xfId="14456" xr:uid="{00000000-0005-0000-0000-00008D290000}"/>
    <cellStyle name="no dec" xfId="14457" xr:uid="{00000000-0005-0000-0000-00008E290000}"/>
    <cellStyle name="Normal" xfId="0" builtinId="0"/>
    <cellStyle name="Normal - Style1" xfId="16" xr:uid="{00000000-0005-0000-0000-000090290000}"/>
    <cellStyle name="Normal - Style1 10" xfId="14458" xr:uid="{00000000-0005-0000-0000-000091290000}"/>
    <cellStyle name="Normal - Style1 10 2" xfId="34880" xr:uid="{00000000-0005-0000-0000-000092290000}"/>
    <cellStyle name="Normal - Style1 11" xfId="14459" xr:uid="{00000000-0005-0000-0000-000093290000}"/>
    <cellStyle name="Normal - Style1 11 2" xfId="34881" xr:uid="{00000000-0005-0000-0000-000094290000}"/>
    <cellStyle name="Normal - Style1 12" xfId="14460" xr:uid="{00000000-0005-0000-0000-000095290000}"/>
    <cellStyle name="Normal - Style1 12 2" xfId="34882" xr:uid="{00000000-0005-0000-0000-000096290000}"/>
    <cellStyle name="Normal - Style1 13" xfId="14461" xr:uid="{00000000-0005-0000-0000-000097290000}"/>
    <cellStyle name="Normal - Style1 13 2" xfId="34883" xr:uid="{00000000-0005-0000-0000-000098290000}"/>
    <cellStyle name="Normal - Style1 14" xfId="14462" xr:uid="{00000000-0005-0000-0000-000099290000}"/>
    <cellStyle name="Normal - Style1 14 2" xfId="34884" xr:uid="{00000000-0005-0000-0000-00009A290000}"/>
    <cellStyle name="Normal - Style1 15" xfId="14463" xr:uid="{00000000-0005-0000-0000-00009B290000}"/>
    <cellStyle name="Normal - Style1 15 2" xfId="34885" xr:uid="{00000000-0005-0000-0000-00009C290000}"/>
    <cellStyle name="Normal - Style1 16" xfId="14464" xr:uid="{00000000-0005-0000-0000-00009D290000}"/>
    <cellStyle name="Normal - Style1 16 2" xfId="34886" xr:uid="{00000000-0005-0000-0000-00009E290000}"/>
    <cellStyle name="Normal - Style1 17" xfId="14465" xr:uid="{00000000-0005-0000-0000-00009F290000}"/>
    <cellStyle name="Normal - Style1 18" xfId="14466" xr:uid="{00000000-0005-0000-0000-0000A0290000}"/>
    <cellStyle name="Normal - Style1 2" xfId="14467" xr:uid="{00000000-0005-0000-0000-0000A1290000}"/>
    <cellStyle name="Normal - Style1 2 2" xfId="14468" xr:uid="{00000000-0005-0000-0000-0000A2290000}"/>
    <cellStyle name="Normal - Style1 2 2 2" xfId="34887" xr:uid="{00000000-0005-0000-0000-0000A3290000}"/>
    <cellStyle name="Normal - Style1 2 3" xfId="14469" xr:uid="{00000000-0005-0000-0000-0000A4290000}"/>
    <cellStyle name="Normal - Style1 2 3 2" xfId="34888" xr:uid="{00000000-0005-0000-0000-0000A5290000}"/>
    <cellStyle name="Normal - Style1 2 4" xfId="34889" xr:uid="{00000000-0005-0000-0000-0000A6290000}"/>
    <cellStyle name="Normal - Style1 3" xfId="14470" xr:uid="{00000000-0005-0000-0000-0000A7290000}"/>
    <cellStyle name="Normal - Style1 3 2" xfId="14471" xr:uid="{00000000-0005-0000-0000-0000A8290000}"/>
    <cellStyle name="Normal - Style1 3 2 2" xfId="34891" xr:uid="{00000000-0005-0000-0000-0000A9290000}"/>
    <cellStyle name="Normal - Style1 3 3" xfId="34892" xr:uid="{00000000-0005-0000-0000-0000AA290000}"/>
    <cellStyle name="Normal - Style1 3 3 2" xfId="34893" xr:uid="{00000000-0005-0000-0000-0000AB290000}"/>
    <cellStyle name="Normal - Style1 3 4" xfId="34894" xr:uid="{00000000-0005-0000-0000-0000AC290000}"/>
    <cellStyle name="Normal - Style1 3 5" xfId="34890" xr:uid="{00000000-0005-0000-0000-0000AD290000}"/>
    <cellStyle name="Normal - Style1 4" xfId="14472" xr:uid="{00000000-0005-0000-0000-0000AE290000}"/>
    <cellStyle name="Normal - Style1 4 2" xfId="14473" xr:uid="{00000000-0005-0000-0000-0000AF290000}"/>
    <cellStyle name="Normal - Style1 4 2 2" xfId="34895" xr:uid="{00000000-0005-0000-0000-0000B0290000}"/>
    <cellStyle name="Normal - Style1 4 3" xfId="34896" xr:uid="{00000000-0005-0000-0000-0000B1290000}"/>
    <cellStyle name="Normal - Style1 5" xfId="14474" xr:uid="{00000000-0005-0000-0000-0000B2290000}"/>
    <cellStyle name="Normal - Style1 5 2" xfId="14475" xr:uid="{00000000-0005-0000-0000-0000B3290000}"/>
    <cellStyle name="Normal - Style1 5 2 2" xfId="34897" xr:uid="{00000000-0005-0000-0000-0000B4290000}"/>
    <cellStyle name="Normal - Style1 5 3" xfId="34898" xr:uid="{00000000-0005-0000-0000-0000B5290000}"/>
    <cellStyle name="Normal - Style1 6" xfId="14476" xr:uid="{00000000-0005-0000-0000-0000B6290000}"/>
    <cellStyle name="Normal - Style1 6 2" xfId="14477" xr:uid="{00000000-0005-0000-0000-0000B7290000}"/>
    <cellStyle name="Normal - Style1 6 2 2" xfId="34899" xr:uid="{00000000-0005-0000-0000-0000B8290000}"/>
    <cellStyle name="Normal - Style1 6 3" xfId="34900" xr:uid="{00000000-0005-0000-0000-0000B9290000}"/>
    <cellStyle name="Normal - Style1 7" xfId="14478" xr:uid="{00000000-0005-0000-0000-0000BA290000}"/>
    <cellStyle name="Normal - Style1 7 2" xfId="14479" xr:uid="{00000000-0005-0000-0000-0000BB290000}"/>
    <cellStyle name="Normal - Style1 7 2 2" xfId="34901" xr:uid="{00000000-0005-0000-0000-0000BC290000}"/>
    <cellStyle name="Normal - Style1 7 3" xfId="34902" xr:uid="{00000000-0005-0000-0000-0000BD290000}"/>
    <cellStyle name="Normal - Style1 8" xfId="14480" xr:uid="{00000000-0005-0000-0000-0000BE290000}"/>
    <cellStyle name="Normal - Style1 8 2" xfId="14481" xr:uid="{00000000-0005-0000-0000-0000BF290000}"/>
    <cellStyle name="Normal - Style1 8 2 2" xfId="34903" xr:uid="{00000000-0005-0000-0000-0000C0290000}"/>
    <cellStyle name="Normal - Style1 8 3" xfId="34904" xr:uid="{00000000-0005-0000-0000-0000C1290000}"/>
    <cellStyle name="Normal - Style1 9" xfId="14482" xr:uid="{00000000-0005-0000-0000-0000C2290000}"/>
    <cellStyle name="Normal - Style1 9 2" xfId="14483" xr:uid="{00000000-0005-0000-0000-0000C3290000}"/>
    <cellStyle name="Normal - Style1 9 2 2" xfId="34905" xr:uid="{00000000-0005-0000-0000-0000C4290000}"/>
    <cellStyle name="Normal - Style1 9 3" xfId="34906" xr:uid="{00000000-0005-0000-0000-0000C5290000}"/>
    <cellStyle name="Normal - Style1_1.Cuadro 1A TEMPRANILLO-1 Mayo-08" xfId="14484" xr:uid="{00000000-0005-0000-0000-0000C6290000}"/>
    <cellStyle name="Normal 10" xfId="4013" xr:uid="{00000000-0005-0000-0000-0000C7290000}"/>
    <cellStyle name="Normal 10 2" xfId="4014" xr:uid="{00000000-0005-0000-0000-0000C8290000}"/>
    <cellStyle name="Normal 10 2 10" xfId="14485" xr:uid="{00000000-0005-0000-0000-0000C9290000}"/>
    <cellStyle name="Normal 10 2 10 2" xfId="14486" xr:uid="{00000000-0005-0000-0000-0000CA290000}"/>
    <cellStyle name="Normal 10 2 10 2 2" xfId="14487" xr:uid="{00000000-0005-0000-0000-0000CB290000}"/>
    <cellStyle name="Normal 10 2 10 2 3" xfId="14488" xr:uid="{00000000-0005-0000-0000-0000CC290000}"/>
    <cellStyle name="Normal 10 2 10 2 4" xfId="14489" xr:uid="{00000000-0005-0000-0000-0000CD290000}"/>
    <cellStyle name="Normal 10 2 10 2 5" xfId="14490" xr:uid="{00000000-0005-0000-0000-0000CE290000}"/>
    <cellStyle name="Normal 10 2 10 2 6" xfId="14491" xr:uid="{00000000-0005-0000-0000-0000CF290000}"/>
    <cellStyle name="Normal 10 2 10 2 7" xfId="14492" xr:uid="{00000000-0005-0000-0000-0000D0290000}"/>
    <cellStyle name="Normal 10 2 10 3" xfId="14493" xr:uid="{00000000-0005-0000-0000-0000D1290000}"/>
    <cellStyle name="Normal 10 2 10 4" xfId="14494" xr:uid="{00000000-0005-0000-0000-0000D2290000}"/>
    <cellStyle name="Normal 10 2 10 5" xfId="14495" xr:uid="{00000000-0005-0000-0000-0000D3290000}"/>
    <cellStyle name="Normal 10 2 10 6" xfId="14496" xr:uid="{00000000-0005-0000-0000-0000D4290000}"/>
    <cellStyle name="Normal 10 2 10 7" xfId="14497" xr:uid="{00000000-0005-0000-0000-0000D5290000}"/>
    <cellStyle name="Normal 10 2 10 8" xfId="14498" xr:uid="{00000000-0005-0000-0000-0000D6290000}"/>
    <cellStyle name="Normal 10 2 11" xfId="14499" xr:uid="{00000000-0005-0000-0000-0000D7290000}"/>
    <cellStyle name="Normal 10 2 11 2" xfId="14500" xr:uid="{00000000-0005-0000-0000-0000D8290000}"/>
    <cellStyle name="Normal 10 2 11 2 2" xfId="14501" xr:uid="{00000000-0005-0000-0000-0000D9290000}"/>
    <cellStyle name="Normal 10 2 11 2 3" xfId="14502" xr:uid="{00000000-0005-0000-0000-0000DA290000}"/>
    <cellStyle name="Normal 10 2 11 2 4" xfId="14503" xr:uid="{00000000-0005-0000-0000-0000DB290000}"/>
    <cellStyle name="Normal 10 2 11 2 5" xfId="14504" xr:uid="{00000000-0005-0000-0000-0000DC290000}"/>
    <cellStyle name="Normal 10 2 11 2 6" xfId="14505" xr:uid="{00000000-0005-0000-0000-0000DD290000}"/>
    <cellStyle name="Normal 10 2 11 2 7" xfId="14506" xr:uid="{00000000-0005-0000-0000-0000DE290000}"/>
    <cellStyle name="Normal 10 2 11 3" xfId="14507" xr:uid="{00000000-0005-0000-0000-0000DF290000}"/>
    <cellStyle name="Normal 10 2 11 4" xfId="14508" xr:uid="{00000000-0005-0000-0000-0000E0290000}"/>
    <cellStyle name="Normal 10 2 11 5" xfId="14509" xr:uid="{00000000-0005-0000-0000-0000E1290000}"/>
    <cellStyle name="Normal 10 2 11 6" xfId="14510" xr:uid="{00000000-0005-0000-0000-0000E2290000}"/>
    <cellStyle name="Normal 10 2 11 7" xfId="14511" xr:uid="{00000000-0005-0000-0000-0000E3290000}"/>
    <cellStyle name="Normal 10 2 11 8" xfId="14512" xr:uid="{00000000-0005-0000-0000-0000E4290000}"/>
    <cellStyle name="Normal 10 2 12" xfId="14513" xr:uid="{00000000-0005-0000-0000-0000E5290000}"/>
    <cellStyle name="Normal 10 2 12 2" xfId="14514" xr:uid="{00000000-0005-0000-0000-0000E6290000}"/>
    <cellStyle name="Normal 10 2 12 2 2" xfId="14515" xr:uid="{00000000-0005-0000-0000-0000E7290000}"/>
    <cellStyle name="Normal 10 2 12 2 3" xfId="14516" xr:uid="{00000000-0005-0000-0000-0000E8290000}"/>
    <cellStyle name="Normal 10 2 12 2 4" xfId="14517" xr:uid="{00000000-0005-0000-0000-0000E9290000}"/>
    <cellStyle name="Normal 10 2 12 2 5" xfId="14518" xr:uid="{00000000-0005-0000-0000-0000EA290000}"/>
    <cellStyle name="Normal 10 2 12 2 6" xfId="14519" xr:uid="{00000000-0005-0000-0000-0000EB290000}"/>
    <cellStyle name="Normal 10 2 12 2 7" xfId="14520" xr:uid="{00000000-0005-0000-0000-0000EC290000}"/>
    <cellStyle name="Normal 10 2 12 3" xfId="14521" xr:uid="{00000000-0005-0000-0000-0000ED290000}"/>
    <cellStyle name="Normal 10 2 12 4" xfId="14522" xr:uid="{00000000-0005-0000-0000-0000EE290000}"/>
    <cellStyle name="Normal 10 2 12 5" xfId="14523" xr:uid="{00000000-0005-0000-0000-0000EF290000}"/>
    <cellStyle name="Normal 10 2 12 6" xfId="14524" xr:uid="{00000000-0005-0000-0000-0000F0290000}"/>
    <cellStyle name="Normal 10 2 12 7" xfId="14525" xr:uid="{00000000-0005-0000-0000-0000F1290000}"/>
    <cellStyle name="Normal 10 2 12 8" xfId="14526" xr:uid="{00000000-0005-0000-0000-0000F2290000}"/>
    <cellStyle name="Normal 10 2 13" xfId="14527" xr:uid="{00000000-0005-0000-0000-0000F3290000}"/>
    <cellStyle name="Normal 10 2 13 2" xfId="14528" xr:uid="{00000000-0005-0000-0000-0000F4290000}"/>
    <cellStyle name="Normal 10 2 13 2 2" xfId="14529" xr:uid="{00000000-0005-0000-0000-0000F5290000}"/>
    <cellStyle name="Normal 10 2 13 2 3" xfId="14530" xr:uid="{00000000-0005-0000-0000-0000F6290000}"/>
    <cellStyle name="Normal 10 2 13 2 4" xfId="14531" xr:uid="{00000000-0005-0000-0000-0000F7290000}"/>
    <cellStyle name="Normal 10 2 13 2 5" xfId="14532" xr:uid="{00000000-0005-0000-0000-0000F8290000}"/>
    <cellStyle name="Normal 10 2 13 2 6" xfId="14533" xr:uid="{00000000-0005-0000-0000-0000F9290000}"/>
    <cellStyle name="Normal 10 2 13 2 7" xfId="14534" xr:uid="{00000000-0005-0000-0000-0000FA290000}"/>
    <cellStyle name="Normal 10 2 13 3" xfId="14535" xr:uid="{00000000-0005-0000-0000-0000FB290000}"/>
    <cellStyle name="Normal 10 2 13 4" xfId="14536" xr:uid="{00000000-0005-0000-0000-0000FC290000}"/>
    <cellStyle name="Normal 10 2 13 5" xfId="14537" xr:uid="{00000000-0005-0000-0000-0000FD290000}"/>
    <cellStyle name="Normal 10 2 13 6" xfId="14538" xr:uid="{00000000-0005-0000-0000-0000FE290000}"/>
    <cellStyle name="Normal 10 2 13 7" xfId="14539" xr:uid="{00000000-0005-0000-0000-0000FF290000}"/>
    <cellStyle name="Normal 10 2 13 8" xfId="14540" xr:uid="{00000000-0005-0000-0000-0000002A0000}"/>
    <cellStyle name="Normal 10 2 14" xfId="14541" xr:uid="{00000000-0005-0000-0000-0000012A0000}"/>
    <cellStyle name="Normal 10 2 14 2" xfId="14542" xr:uid="{00000000-0005-0000-0000-0000022A0000}"/>
    <cellStyle name="Normal 10 2 14 2 2" xfId="14543" xr:uid="{00000000-0005-0000-0000-0000032A0000}"/>
    <cellStyle name="Normal 10 2 14 2 3" xfId="14544" xr:uid="{00000000-0005-0000-0000-0000042A0000}"/>
    <cellStyle name="Normal 10 2 14 2 4" xfId="14545" xr:uid="{00000000-0005-0000-0000-0000052A0000}"/>
    <cellStyle name="Normal 10 2 14 2 5" xfId="14546" xr:uid="{00000000-0005-0000-0000-0000062A0000}"/>
    <cellStyle name="Normal 10 2 14 2 6" xfId="14547" xr:uid="{00000000-0005-0000-0000-0000072A0000}"/>
    <cellStyle name="Normal 10 2 14 2 7" xfId="14548" xr:uid="{00000000-0005-0000-0000-0000082A0000}"/>
    <cellStyle name="Normal 10 2 14 3" xfId="14549" xr:uid="{00000000-0005-0000-0000-0000092A0000}"/>
    <cellStyle name="Normal 10 2 14 4" xfId="14550" xr:uid="{00000000-0005-0000-0000-00000A2A0000}"/>
    <cellStyle name="Normal 10 2 14 5" xfId="14551" xr:uid="{00000000-0005-0000-0000-00000B2A0000}"/>
    <cellStyle name="Normal 10 2 14 6" xfId="14552" xr:uid="{00000000-0005-0000-0000-00000C2A0000}"/>
    <cellStyle name="Normal 10 2 14 7" xfId="14553" xr:uid="{00000000-0005-0000-0000-00000D2A0000}"/>
    <cellStyle name="Normal 10 2 14 8" xfId="14554" xr:uid="{00000000-0005-0000-0000-00000E2A0000}"/>
    <cellStyle name="Normal 10 2 15" xfId="14555" xr:uid="{00000000-0005-0000-0000-00000F2A0000}"/>
    <cellStyle name="Normal 10 2 15 2" xfId="14556" xr:uid="{00000000-0005-0000-0000-0000102A0000}"/>
    <cellStyle name="Normal 10 2 15 2 2" xfId="14557" xr:uid="{00000000-0005-0000-0000-0000112A0000}"/>
    <cellStyle name="Normal 10 2 15 2 3" xfId="14558" xr:uid="{00000000-0005-0000-0000-0000122A0000}"/>
    <cellStyle name="Normal 10 2 15 2 4" xfId="14559" xr:uid="{00000000-0005-0000-0000-0000132A0000}"/>
    <cellStyle name="Normal 10 2 15 2 5" xfId="14560" xr:uid="{00000000-0005-0000-0000-0000142A0000}"/>
    <cellStyle name="Normal 10 2 15 2 6" xfId="14561" xr:uid="{00000000-0005-0000-0000-0000152A0000}"/>
    <cellStyle name="Normal 10 2 15 2 7" xfId="14562" xr:uid="{00000000-0005-0000-0000-0000162A0000}"/>
    <cellStyle name="Normal 10 2 15 3" xfId="14563" xr:uid="{00000000-0005-0000-0000-0000172A0000}"/>
    <cellStyle name="Normal 10 2 15 4" xfId="14564" xr:uid="{00000000-0005-0000-0000-0000182A0000}"/>
    <cellStyle name="Normal 10 2 15 5" xfId="14565" xr:uid="{00000000-0005-0000-0000-0000192A0000}"/>
    <cellStyle name="Normal 10 2 15 6" xfId="14566" xr:uid="{00000000-0005-0000-0000-00001A2A0000}"/>
    <cellStyle name="Normal 10 2 15 7" xfId="14567" xr:uid="{00000000-0005-0000-0000-00001B2A0000}"/>
    <cellStyle name="Normal 10 2 15 8" xfId="14568" xr:uid="{00000000-0005-0000-0000-00001C2A0000}"/>
    <cellStyle name="Normal 10 2 16" xfId="14569" xr:uid="{00000000-0005-0000-0000-00001D2A0000}"/>
    <cellStyle name="Normal 10 2 16 2" xfId="14570" xr:uid="{00000000-0005-0000-0000-00001E2A0000}"/>
    <cellStyle name="Normal 10 2 16 3" xfId="14571" xr:uid="{00000000-0005-0000-0000-00001F2A0000}"/>
    <cellStyle name="Normal 10 2 16 4" xfId="14572" xr:uid="{00000000-0005-0000-0000-0000202A0000}"/>
    <cellStyle name="Normal 10 2 16 5" xfId="14573" xr:uid="{00000000-0005-0000-0000-0000212A0000}"/>
    <cellStyle name="Normal 10 2 16 6" xfId="14574" xr:uid="{00000000-0005-0000-0000-0000222A0000}"/>
    <cellStyle name="Normal 10 2 16 7" xfId="14575" xr:uid="{00000000-0005-0000-0000-0000232A0000}"/>
    <cellStyle name="Normal 10 2 17" xfId="14576" xr:uid="{00000000-0005-0000-0000-0000242A0000}"/>
    <cellStyle name="Normal 10 2 17 2" xfId="14577" xr:uid="{00000000-0005-0000-0000-0000252A0000}"/>
    <cellStyle name="Normal 10 2 17 3" xfId="14578" xr:uid="{00000000-0005-0000-0000-0000262A0000}"/>
    <cellStyle name="Normal 10 2 17 4" xfId="14579" xr:uid="{00000000-0005-0000-0000-0000272A0000}"/>
    <cellStyle name="Normal 10 2 17 5" xfId="14580" xr:uid="{00000000-0005-0000-0000-0000282A0000}"/>
    <cellStyle name="Normal 10 2 17 6" xfId="14581" xr:uid="{00000000-0005-0000-0000-0000292A0000}"/>
    <cellStyle name="Normal 10 2 17 7" xfId="14582" xr:uid="{00000000-0005-0000-0000-00002A2A0000}"/>
    <cellStyle name="Normal 10 2 18" xfId="14583" xr:uid="{00000000-0005-0000-0000-00002B2A0000}"/>
    <cellStyle name="Normal 10 2 18 2" xfId="14584" xr:uid="{00000000-0005-0000-0000-00002C2A0000}"/>
    <cellStyle name="Normal 10 2 18 3" xfId="14585" xr:uid="{00000000-0005-0000-0000-00002D2A0000}"/>
    <cellStyle name="Normal 10 2 18 4" xfId="14586" xr:uid="{00000000-0005-0000-0000-00002E2A0000}"/>
    <cellStyle name="Normal 10 2 18 5" xfId="14587" xr:uid="{00000000-0005-0000-0000-00002F2A0000}"/>
    <cellStyle name="Normal 10 2 18 6" xfId="14588" xr:uid="{00000000-0005-0000-0000-0000302A0000}"/>
    <cellStyle name="Normal 10 2 18 7" xfId="14589" xr:uid="{00000000-0005-0000-0000-0000312A0000}"/>
    <cellStyle name="Normal 10 2 19" xfId="14590" xr:uid="{00000000-0005-0000-0000-0000322A0000}"/>
    <cellStyle name="Normal 10 2 19 2" xfId="14591" xr:uid="{00000000-0005-0000-0000-0000332A0000}"/>
    <cellStyle name="Normal 10 2 19 3" xfId="14592" xr:uid="{00000000-0005-0000-0000-0000342A0000}"/>
    <cellStyle name="Normal 10 2 19 4" xfId="14593" xr:uid="{00000000-0005-0000-0000-0000352A0000}"/>
    <cellStyle name="Normal 10 2 19 5" xfId="14594" xr:uid="{00000000-0005-0000-0000-0000362A0000}"/>
    <cellStyle name="Normal 10 2 19 6" xfId="14595" xr:uid="{00000000-0005-0000-0000-0000372A0000}"/>
    <cellStyle name="Normal 10 2 19 7" xfId="14596" xr:uid="{00000000-0005-0000-0000-0000382A0000}"/>
    <cellStyle name="Normal 10 2 2" xfId="14597" xr:uid="{00000000-0005-0000-0000-0000392A0000}"/>
    <cellStyle name="Normal 10 2 2 2" xfId="14598" xr:uid="{00000000-0005-0000-0000-00003A2A0000}"/>
    <cellStyle name="Normal 10 2 2 2 2" xfId="14599" xr:uid="{00000000-0005-0000-0000-00003B2A0000}"/>
    <cellStyle name="Normal 10 2 2 2 3" xfId="14600" xr:uid="{00000000-0005-0000-0000-00003C2A0000}"/>
    <cellStyle name="Normal 10 2 2 2 4" xfId="14601" xr:uid="{00000000-0005-0000-0000-00003D2A0000}"/>
    <cellStyle name="Normal 10 2 2 2 5" xfId="14602" xr:uid="{00000000-0005-0000-0000-00003E2A0000}"/>
    <cellStyle name="Normal 10 2 2 2 6" xfId="14603" xr:uid="{00000000-0005-0000-0000-00003F2A0000}"/>
    <cellStyle name="Normal 10 2 2 2 7" xfId="14604" xr:uid="{00000000-0005-0000-0000-0000402A0000}"/>
    <cellStyle name="Normal 10 2 2 3" xfId="14605" xr:uid="{00000000-0005-0000-0000-0000412A0000}"/>
    <cellStyle name="Normal 10 2 2 4" xfId="14606" xr:uid="{00000000-0005-0000-0000-0000422A0000}"/>
    <cellStyle name="Normal 10 2 2 5" xfId="14607" xr:uid="{00000000-0005-0000-0000-0000432A0000}"/>
    <cellStyle name="Normal 10 2 2 6" xfId="14608" xr:uid="{00000000-0005-0000-0000-0000442A0000}"/>
    <cellStyle name="Normal 10 2 2 7" xfId="14609" xr:uid="{00000000-0005-0000-0000-0000452A0000}"/>
    <cellStyle name="Normal 10 2 2 8" xfId="14610" xr:uid="{00000000-0005-0000-0000-0000462A0000}"/>
    <cellStyle name="Normal 10 2 2 9" xfId="14611" xr:uid="{00000000-0005-0000-0000-0000472A0000}"/>
    <cellStyle name="Normal 10 2 20" xfId="14612" xr:uid="{00000000-0005-0000-0000-0000482A0000}"/>
    <cellStyle name="Normal 10 2 20 2" xfId="14613" xr:uid="{00000000-0005-0000-0000-0000492A0000}"/>
    <cellStyle name="Normal 10 2 20 3" xfId="14614" xr:uid="{00000000-0005-0000-0000-00004A2A0000}"/>
    <cellStyle name="Normal 10 2 20 4" xfId="14615" xr:uid="{00000000-0005-0000-0000-00004B2A0000}"/>
    <cellStyle name="Normal 10 2 20 5" xfId="14616" xr:uid="{00000000-0005-0000-0000-00004C2A0000}"/>
    <cellStyle name="Normal 10 2 20 6" xfId="14617" xr:uid="{00000000-0005-0000-0000-00004D2A0000}"/>
    <cellStyle name="Normal 10 2 20 7" xfId="14618" xr:uid="{00000000-0005-0000-0000-00004E2A0000}"/>
    <cellStyle name="Normal 10 2 21" xfId="14619" xr:uid="{00000000-0005-0000-0000-00004F2A0000}"/>
    <cellStyle name="Normal 10 2 21 2" xfId="14620" xr:uid="{00000000-0005-0000-0000-0000502A0000}"/>
    <cellStyle name="Normal 10 2 21 3" xfId="14621" xr:uid="{00000000-0005-0000-0000-0000512A0000}"/>
    <cellStyle name="Normal 10 2 21 4" xfId="14622" xr:uid="{00000000-0005-0000-0000-0000522A0000}"/>
    <cellStyle name="Normal 10 2 21 5" xfId="14623" xr:uid="{00000000-0005-0000-0000-0000532A0000}"/>
    <cellStyle name="Normal 10 2 21 6" xfId="14624" xr:uid="{00000000-0005-0000-0000-0000542A0000}"/>
    <cellStyle name="Normal 10 2 21 7" xfId="14625" xr:uid="{00000000-0005-0000-0000-0000552A0000}"/>
    <cellStyle name="Normal 10 2 22" xfId="14626" xr:uid="{00000000-0005-0000-0000-0000562A0000}"/>
    <cellStyle name="Normal 10 2 22 2" xfId="14627" xr:uid="{00000000-0005-0000-0000-0000572A0000}"/>
    <cellStyle name="Normal 10 2 22 3" xfId="14628" xr:uid="{00000000-0005-0000-0000-0000582A0000}"/>
    <cellStyle name="Normal 10 2 22 4" xfId="14629" xr:uid="{00000000-0005-0000-0000-0000592A0000}"/>
    <cellStyle name="Normal 10 2 22 5" xfId="14630" xr:uid="{00000000-0005-0000-0000-00005A2A0000}"/>
    <cellStyle name="Normal 10 2 22 6" xfId="14631" xr:uid="{00000000-0005-0000-0000-00005B2A0000}"/>
    <cellStyle name="Normal 10 2 22 7" xfId="14632" xr:uid="{00000000-0005-0000-0000-00005C2A0000}"/>
    <cellStyle name="Normal 10 2 23" xfId="14633" xr:uid="{00000000-0005-0000-0000-00005D2A0000}"/>
    <cellStyle name="Normal 10 2 23 2" xfId="14634" xr:uid="{00000000-0005-0000-0000-00005E2A0000}"/>
    <cellStyle name="Normal 10 2 23 3" xfId="14635" xr:uid="{00000000-0005-0000-0000-00005F2A0000}"/>
    <cellStyle name="Normal 10 2 23 4" xfId="14636" xr:uid="{00000000-0005-0000-0000-0000602A0000}"/>
    <cellStyle name="Normal 10 2 23 5" xfId="14637" xr:uid="{00000000-0005-0000-0000-0000612A0000}"/>
    <cellStyle name="Normal 10 2 23 6" xfId="14638" xr:uid="{00000000-0005-0000-0000-0000622A0000}"/>
    <cellStyle name="Normal 10 2 23 7" xfId="14639" xr:uid="{00000000-0005-0000-0000-0000632A0000}"/>
    <cellStyle name="Normal 10 2 24" xfId="14640" xr:uid="{00000000-0005-0000-0000-0000642A0000}"/>
    <cellStyle name="Normal 10 2 24 2" xfId="14641" xr:uid="{00000000-0005-0000-0000-0000652A0000}"/>
    <cellStyle name="Normal 10 2 24 3" xfId="14642" xr:uid="{00000000-0005-0000-0000-0000662A0000}"/>
    <cellStyle name="Normal 10 2 24 4" xfId="14643" xr:uid="{00000000-0005-0000-0000-0000672A0000}"/>
    <cellStyle name="Normal 10 2 24 5" xfId="14644" xr:uid="{00000000-0005-0000-0000-0000682A0000}"/>
    <cellStyle name="Normal 10 2 24 6" xfId="14645" xr:uid="{00000000-0005-0000-0000-0000692A0000}"/>
    <cellStyle name="Normal 10 2 24 7" xfId="14646" xr:uid="{00000000-0005-0000-0000-00006A2A0000}"/>
    <cellStyle name="Normal 10 2 25" xfId="14647" xr:uid="{00000000-0005-0000-0000-00006B2A0000}"/>
    <cellStyle name="Normal 10 2 25 2" xfId="14648" xr:uid="{00000000-0005-0000-0000-00006C2A0000}"/>
    <cellStyle name="Normal 10 2 25 3" xfId="14649" xr:uid="{00000000-0005-0000-0000-00006D2A0000}"/>
    <cellStyle name="Normal 10 2 25 4" xfId="14650" xr:uid="{00000000-0005-0000-0000-00006E2A0000}"/>
    <cellStyle name="Normal 10 2 25 5" xfId="14651" xr:uid="{00000000-0005-0000-0000-00006F2A0000}"/>
    <cellStyle name="Normal 10 2 25 6" xfId="14652" xr:uid="{00000000-0005-0000-0000-0000702A0000}"/>
    <cellStyle name="Normal 10 2 25 7" xfId="14653" xr:uid="{00000000-0005-0000-0000-0000712A0000}"/>
    <cellStyle name="Normal 10 2 26" xfId="14654" xr:uid="{00000000-0005-0000-0000-0000722A0000}"/>
    <cellStyle name="Normal 10 2 26 2" xfId="14655" xr:uid="{00000000-0005-0000-0000-0000732A0000}"/>
    <cellStyle name="Normal 10 2 26 3" xfId="14656" xr:uid="{00000000-0005-0000-0000-0000742A0000}"/>
    <cellStyle name="Normal 10 2 26 4" xfId="14657" xr:uid="{00000000-0005-0000-0000-0000752A0000}"/>
    <cellStyle name="Normal 10 2 26 5" xfId="14658" xr:uid="{00000000-0005-0000-0000-0000762A0000}"/>
    <cellStyle name="Normal 10 2 26 6" xfId="14659" xr:uid="{00000000-0005-0000-0000-0000772A0000}"/>
    <cellStyle name="Normal 10 2 26 7" xfId="14660" xr:uid="{00000000-0005-0000-0000-0000782A0000}"/>
    <cellStyle name="Normal 10 2 27" xfId="14661" xr:uid="{00000000-0005-0000-0000-0000792A0000}"/>
    <cellStyle name="Normal 10 2 27 2" xfId="14662" xr:uid="{00000000-0005-0000-0000-00007A2A0000}"/>
    <cellStyle name="Normal 10 2 27 3" xfId="14663" xr:uid="{00000000-0005-0000-0000-00007B2A0000}"/>
    <cellStyle name="Normal 10 2 27 4" xfId="14664" xr:uid="{00000000-0005-0000-0000-00007C2A0000}"/>
    <cellStyle name="Normal 10 2 27 5" xfId="14665" xr:uid="{00000000-0005-0000-0000-00007D2A0000}"/>
    <cellStyle name="Normal 10 2 27 6" xfId="14666" xr:uid="{00000000-0005-0000-0000-00007E2A0000}"/>
    <cellStyle name="Normal 10 2 27 7" xfId="14667" xr:uid="{00000000-0005-0000-0000-00007F2A0000}"/>
    <cellStyle name="Normal 10 2 28" xfId="14668" xr:uid="{00000000-0005-0000-0000-0000802A0000}"/>
    <cellStyle name="Normal 10 2 28 2" xfId="14669" xr:uid="{00000000-0005-0000-0000-0000812A0000}"/>
    <cellStyle name="Normal 10 2 28 3" xfId="14670" xr:uid="{00000000-0005-0000-0000-0000822A0000}"/>
    <cellStyle name="Normal 10 2 28 4" xfId="14671" xr:uid="{00000000-0005-0000-0000-0000832A0000}"/>
    <cellStyle name="Normal 10 2 28 5" xfId="14672" xr:uid="{00000000-0005-0000-0000-0000842A0000}"/>
    <cellStyle name="Normal 10 2 28 6" xfId="14673" xr:uid="{00000000-0005-0000-0000-0000852A0000}"/>
    <cellStyle name="Normal 10 2 28 7" xfId="14674" xr:uid="{00000000-0005-0000-0000-0000862A0000}"/>
    <cellStyle name="Normal 10 2 29" xfId="14675" xr:uid="{00000000-0005-0000-0000-0000872A0000}"/>
    <cellStyle name="Normal 10 2 29 2" xfId="14676" xr:uid="{00000000-0005-0000-0000-0000882A0000}"/>
    <cellStyle name="Normal 10 2 29 3" xfId="14677" xr:uid="{00000000-0005-0000-0000-0000892A0000}"/>
    <cellStyle name="Normal 10 2 29 4" xfId="14678" xr:uid="{00000000-0005-0000-0000-00008A2A0000}"/>
    <cellStyle name="Normal 10 2 29 5" xfId="14679" xr:uid="{00000000-0005-0000-0000-00008B2A0000}"/>
    <cellStyle name="Normal 10 2 29 6" xfId="14680" xr:uid="{00000000-0005-0000-0000-00008C2A0000}"/>
    <cellStyle name="Normal 10 2 29 7" xfId="14681" xr:uid="{00000000-0005-0000-0000-00008D2A0000}"/>
    <cellStyle name="Normal 10 2 3" xfId="14682" xr:uid="{00000000-0005-0000-0000-00008E2A0000}"/>
    <cellStyle name="Normal 10 2 3 2" xfId="14683" xr:uid="{00000000-0005-0000-0000-00008F2A0000}"/>
    <cellStyle name="Normal 10 2 3 2 2" xfId="14684" xr:uid="{00000000-0005-0000-0000-0000902A0000}"/>
    <cellStyle name="Normal 10 2 3 2 3" xfId="14685" xr:uid="{00000000-0005-0000-0000-0000912A0000}"/>
    <cellStyle name="Normal 10 2 3 2 4" xfId="14686" xr:uid="{00000000-0005-0000-0000-0000922A0000}"/>
    <cellStyle name="Normal 10 2 3 2 5" xfId="14687" xr:uid="{00000000-0005-0000-0000-0000932A0000}"/>
    <cellStyle name="Normal 10 2 3 2 6" xfId="14688" xr:uid="{00000000-0005-0000-0000-0000942A0000}"/>
    <cellStyle name="Normal 10 2 3 2 7" xfId="14689" xr:uid="{00000000-0005-0000-0000-0000952A0000}"/>
    <cellStyle name="Normal 10 2 3 3" xfId="14690" xr:uid="{00000000-0005-0000-0000-0000962A0000}"/>
    <cellStyle name="Normal 10 2 3 4" xfId="14691" xr:uid="{00000000-0005-0000-0000-0000972A0000}"/>
    <cellStyle name="Normal 10 2 3 5" xfId="14692" xr:uid="{00000000-0005-0000-0000-0000982A0000}"/>
    <cellStyle name="Normal 10 2 3 6" xfId="14693" xr:uid="{00000000-0005-0000-0000-0000992A0000}"/>
    <cellStyle name="Normal 10 2 3 7" xfId="14694" xr:uid="{00000000-0005-0000-0000-00009A2A0000}"/>
    <cellStyle name="Normal 10 2 3 8" xfId="14695" xr:uid="{00000000-0005-0000-0000-00009B2A0000}"/>
    <cellStyle name="Normal 10 2 30" xfId="14696" xr:uid="{00000000-0005-0000-0000-00009C2A0000}"/>
    <cellStyle name="Normal 10 2 30 2" xfId="14697" xr:uid="{00000000-0005-0000-0000-00009D2A0000}"/>
    <cellStyle name="Normal 10 2 30 3" xfId="14698" xr:uid="{00000000-0005-0000-0000-00009E2A0000}"/>
    <cellStyle name="Normal 10 2 30 4" xfId="14699" xr:uid="{00000000-0005-0000-0000-00009F2A0000}"/>
    <cellStyle name="Normal 10 2 30 5" xfId="14700" xr:uid="{00000000-0005-0000-0000-0000A02A0000}"/>
    <cellStyle name="Normal 10 2 30 6" xfId="14701" xr:uid="{00000000-0005-0000-0000-0000A12A0000}"/>
    <cellStyle name="Normal 10 2 30 7" xfId="14702" xr:uid="{00000000-0005-0000-0000-0000A22A0000}"/>
    <cellStyle name="Normal 10 2 31" xfId="14703" xr:uid="{00000000-0005-0000-0000-0000A32A0000}"/>
    <cellStyle name="Normal 10 2 31 2" xfId="14704" xr:uid="{00000000-0005-0000-0000-0000A42A0000}"/>
    <cellStyle name="Normal 10 2 31 3" xfId="14705" xr:uid="{00000000-0005-0000-0000-0000A52A0000}"/>
    <cellStyle name="Normal 10 2 31 4" xfId="14706" xr:uid="{00000000-0005-0000-0000-0000A62A0000}"/>
    <cellStyle name="Normal 10 2 31 5" xfId="14707" xr:uid="{00000000-0005-0000-0000-0000A72A0000}"/>
    <cellStyle name="Normal 10 2 31 6" xfId="14708" xr:uid="{00000000-0005-0000-0000-0000A82A0000}"/>
    <cellStyle name="Normal 10 2 31 7" xfId="14709" xr:uid="{00000000-0005-0000-0000-0000A92A0000}"/>
    <cellStyle name="Normal 10 2 32" xfId="14710" xr:uid="{00000000-0005-0000-0000-0000AA2A0000}"/>
    <cellStyle name="Normal 10 2 32 2" xfId="14711" xr:uid="{00000000-0005-0000-0000-0000AB2A0000}"/>
    <cellStyle name="Normal 10 2 32 3" xfId="14712" xr:uid="{00000000-0005-0000-0000-0000AC2A0000}"/>
    <cellStyle name="Normal 10 2 32 4" xfId="14713" xr:uid="{00000000-0005-0000-0000-0000AD2A0000}"/>
    <cellStyle name="Normal 10 2 32 5" xfId="14714" xr:uid="{00000000-0005-0000-0000-0000AE2A0000}"/>
    <cellStyle name="Normal 10 2 32 6" xfId="14715" xr:uid="{00000000-0005-0000-0000-0000AF2A0000}"/>
    <cellStyle name="Normal 10 2 32 7" xfId="14716" xr:uid="{00000000-0005-0000-0000-0000B02A0000}"/>
    <cellStyle name="Normal 10 2 33" xfId="14717" xr:uid="{00000000-0005-0000-0000-0000B12A0000}"/>
    <cellStyle name="Normal 10 2 33 2" xfId="14718" xr:uid="{00000000-0005-0000-0000-0000B22A0000}"/>
    <cellStyle name="Normal 10 2 33 3" xfId="14719" xr:uid="{00000000-0005-0000-0000-0000B32A0000}"/>
    <cellStyle name="Normal 10 2 33 4" xfId="14720" xr:uid="{00000000-0005-0000-0000-0000B42A0000}"/>
    <cellStyle name="Normal 10 2 33 5" xfId="14721" xr:uid="{00000000-0005-0000-0000-0000B52A0000}"/>
    <cellStyle name="Normal 10 2 33 6" xfId="14722" xr:uid="{00000000-0005-0000-0000-0000B62A0000}"/>
    <cellStyle name="Normal 10 2 33 7" xfId="14723" xr:uid="{00000000-0005-0000-0000-0000B72A0000}"/>
    <cellStyle name="Normal 10 2 34" xfId="14724" xr:uid="{00000000-0005-0000-0000-0000B82A0000}"/>
    <cellStyle name="Normal 10 2 34 2" xfId="14725" xr:uid="{00000000-0005-0000-0000-0000B92A0000}"/>
    <cellStyle name="Normal 10 2 34 3" xfId="14726" xr:uid="{00000000-0005-0000-0000-0000BA2A0000}"/>
    <cellStyle name="Normal 10 2 34 4" xfId="14727" xr:uid="{00000000-0005-0000-0000-0000BB2A0000}"/>
    <cellStyle name="Normal 10 2 34 5" xfId="14728" xr:uid="{00000000-0005-0000-0000-0000BC2A0000}"/>
    <cellStyle name="Normal 10 2 34 6" xfId="14729" xr:uid="{00000000-0005-0000-0000-0000BD2A0000}"/>
    <cellStyle name="Normal 10 2 34 7" xfId="14730" xr:uid="{00000000-0005-0000-0000-0000BE2A0000}"/>
    <cellStyle name="Normal 10 2 35" xfId="14731" xr:uid="{00000000-0005-0000-0000-0000BF2A0000}"/>
    <cellStyle name="Normal 10 2 35 2" xfId="14732" xr:uid="{00000000-0005-0000-0000-0000C02A0000}"/>
    <cellStyle name="Normal 10 2 35 3" xfId="14733" xr:uid="{00000000-0005-0000-0000-0000C12A0000}"/>
    <cellStyle name="Normal 10 2 35 4" xfId="14734" xr:uid="{00000000-0005-0000-0000-0000C22A0000}"/>
    <cellStyle name="Normal 10 2 35 5" xfId="14735" xr:uid="{00000000-0005-0000-0000-0000C32A0000}"/>
    <cellStyle name="Normal 10 2 35 6" xfId="14736" xr:uid="{00000000-0005-0000-0000-0000C42A0000}"/>
    <cellStyle name="Normal 10 2 35 7" xfId="14737" xr:uid="{00000000-0005-0000-0000-0000C52A0000}"/>
    <cellStyle name="Normal 10 2 36" xfId="14738" xr:uid="{00000000-0005-0000-0000-0000C62A0000}"/>
    <cellStyle name="Normal 10 2 37" xfId="14739" xr:uid="{00000000-0005-0000-0000-0000C72A0000}"/>
    <cellStyle name="Normal 10 2 38" xfId="14740" xr:uid="{00000000-0005-0000-0000-0000C82A0000}"/>
    <cellStyle name="Normal 10 2 39" xfId="14741" xr:uid="{00000000-0005-0000-0000-0000C92A0000}"/>
    <cellStyle name="Normal 10 2 4" xfId="14742" xr:uid="{00000000-0005-0000-0000-0000CA2A0000}"/>
    <cellStyle name="Normal 10 2 4 2" xfId="14743" xr:uid="{00000000-0005-0000-0000-0000CB2A0000}"/>
    <cellStyle name="Normal 10 2 4 2 2" xfId="14744" xr:uid="{00000000-0005-0000-0000-0000CC2A0000}"/>
    <cellStyle name="Normal 10 2 4 2 3" xfId="14745" xr:uid="{00000000-0005-0000-0000-0000CD2A0000}"/>
    <cellStyle name="Normal 10 2 4 2 4" xfId="14746" xr:uid="{00000000-0005-0000-0000-0000CE2A0000}"/>
    <cellStyle name="Normal 10 2 4 2 5" xfId="14747" xr:uid="{00000000-0005-0000-0000-0000CF2A0000}"/>
    <cellStyle name="Normal 10 2 4 2 6" xfId="14748" xr:uid="{00000000-0005-0000-0000-0000D02A0000}"/>
    <cellStyle name="Normal 10 2 4 2 7" xfId="14749" xr:uid="{00000000-0005-0000-0000-0000D12A0000}"/>
    <cellStyle name="Normal 10 2 4 3" xfId="14750" xr:uid="{00000000-0005-0000-0000-0000D22A0000}"/>
    <cellStyle name="Normal 10 2 4 4" xfId="14751" xr:uid="{00000000-0005-0000-0000-0000D32A0000}"/>
    <cellStyle name="Normal 10 2 4 5" xfId="14752" xr:uid="{00000000-0005-0000-0000-0000D42A0000}"/>
    <cellStyle name="Normal 10 2 4 6" xfId="14753" xr:uid="{00000000-0005-0000-0000-0000D52A0000}"/>
    <cellStyle name="Normal 10 2 4 7" xfId="14754" xr:uid="{00000000-0005-0000-0000-0000D62A0000}"/>
    <cellStyle name="Normal 10 2 4 8" xfId="14755" xr:uid="{00000000-0005-0000-0000-0000D72A0000}"/>
    <cellStyle name="Normal 10 2 40" xfId="14756" xr:uid="{00000000-0005-0000-0000-0000D82A0000}"/>
    <cellStyle name="Normal 10 2 41" xfId="14757" xr:uid="{00000000-0005-0000-0000-0000D92A0000}"/>
    <cellStyle name="Normal 10 2 42" xfId="14758" xr:uid="{00000000-0005-0000-0000-0000DA2A0000}"/>
    <cellStyle name="Normal 10 2 43" xfId="14759" xr:uid="{00000000-0005-0000-0000-0000DB2A0000}"/>
    <cellStyle name="Normal 10 2 44" xfId="14760" xr:uid="{00000000-0005-0000-0000-0000DC2A0000}"/>
    <cellStyle name="Normal 10 2 5" xfId="14761" xr:uid="{00000000-0005-0000-0000-0000DD2A0000}"/>
    <cellStyle name="Normal 10 2 5 2" xfId="14762" xr:uid="{00000000-0005-0000-0000-0000DE2A0000}"/>
    <cellStyle name="Normal 10 2 5 2 2" xfId="14763" xr:uid="{00000000-0005-0000-0000-0000DF2A0000}"/>
    <cellStyle name="Normal 10 2 5 2 3" xfId="14764" xr:uid="{00000000-0005-0000-0000-0000E02A0000}"/>
    <cellStyle name="Normal 10 2 5 2 4" xfId="14765" xr:uid="{00000000-0005-0000-0000-0000E12A0000}"/>
    <cellStyle name="Normal 10 2 5 2 5" xfId="14766" xr:uid="{00000000-0005-0000-0000-0000E22A0000}"/>
    <cellStyle name="Normal 10 2 5 2 6" xfId="14767" xr:uid="{00000000-0005-0000-0000-0000E32A0000}"/>
    <cellStyle name="Normal 10 2 5 2 7" xfId="14768" xr:uid="{00000000-0005-0000-0000-0000E42A0000}"/>
    <cellStyle name="Normal 10 2 5 3" xfId="14769" xr:uid="{00000000-0005-0000-0000-0000E52A0000}"/>
    <cellStyle name="Normal 10 2 5 4" xfId="14770" xr:uid="{00000000-0005-0000-0000-0000E62A0000}"/>
    <cellStyle name="Normal 10 2 5 5" xfId="14771" xr:uid="{00000000-0005-0000-0000-0000E72A0000}"/>
    <cellStyle name="Normal 10 2 5 6" xfId="14772" xr:uid="{00000000-0005-0000-0000-0000E82A0000}"/>
    <cellStyle name="Normal 10 2 5 7" xfId="14773" xr:uid="{00000000-0005-0000-0000-0000E92A0000}"/>
    <cellStyle name="Normal 10 2 5 8" xfId="14774" xr:uid="{00000000-0005-0000-0000-0000EA2A0000}"/>
    <cellStyle name="Normal 10 2 6" xfId="14775" xr:uid="{00000000-0005-0000-0000-0000EB2A0000}"/>
    <cellStyle name="Normal 10 2 6 2" xfId="14776" xr:uid="{00000000-0005-0000-0000-0000EC2A0000}"/>
    <cellStyle name="Normal 10 2 6 2 2" xfId="14777" xr:uid="{00000000-0005-0000-0000-0000ED2A0000}"/>
    <cellStyle name="Normal 10 2 6 2 3" xfId="14778" xr:uid="{00000000-0005-0000-0000-0000EE2A0000}"/>
    <cellStyle name="Normal 10 2 6 2 4" xfId="14779" xr:uid="{00000000-0005-0000-0000-0000EF2A0000}"/>
    <cellStyle name="Normal 10 2 6 2 5" xfId="14780" xr:uid="{00000000-0005-0000-0000-0000F02A0000}"/>
    <cellStyle name="Normal 10 2 6 2 6" xfId="14781" xr:uid="{00000000-0005-0000-0000-0000F12A0000}"/>
    <cellStyle name="Normal 10 2 6 2 7" xfId="14782" xr:uid="{00000000-0005-0000-0000-0000F22A0000}"/>
    <cellStyle name="Normal 10 2 6 3" xfId="14783" xr:uid="{00000000-0005-0000-0000-0000F32A0000}"/>
    <cellStyle name="Normal 10 2 6 4" xfId="14784" xr:uid="{00000000-0005-0000-0000-0000F42A0000}"/>
    <cellStyle name="Normal 10 2 6 5" xfId="14785" xr:uid="{00000000-0005-0000-0000-0000F52A0000}"/>
    <cellStyle name="Normal 10 2 6 6" xfId="14786" xr:uid="{00000000-0005-0000-0000-0000F62A0000}"/>
    <cellStyle name="Normal 10 2 6 7" xfId="14787" xr:uid="{00000000-0005-0000-0000-0000F72A0000}"/>
    <cellStyle name="Normal 10 2 6 8" xfId="14788" xr:uid="{00000000-0005-0000-0000-0000F82A0000}"/>
    <cellStyle name="Normal 10 2 7" xfId="14789" xr:uid="{00000000-0005-0000-0000-0000F92A0000}"/>
    <cellStyle name="Normal 10 2 7 2" xfId="14790" xr:uid="{00000000-0005-0000-0000-0000FA2A0000}"/>
    <cellStyle name="Normal 10 2 7 2 2" xfId="14791" xr:uid="{00000000-0005-0000-0000-0000FB2A0000}"/>
    <cellStyle name="Normal 10 2 7 2 3" xfId="14792" xr:uid="{00000000-0005-0000-0000-0000FC2A0000}"/>
    <cellStyle name="Normal 10 2 7 2 4" xfId="14793" xr:uid="{00000000-0005-0000-0000-0000FD2A0000}"/>
    <cellStyle name="Normal 10 2 7 2 5" xfId="14794" xr:uid="{00000000-0005-0000-0000-0000FE2A0000}"/>
    <cellStyle name="Normal 10 2 7 2 6" xfId="14795" xr:uid="{00000000-0005-0000-0000-0000FF2A0000}"/>
    <cellStyle name="Normal 10 2 7 2 7" xfId="14796" xr:uid="{00000000-0005-0000-0000-0000002B0000}"/>
    <cellStyle name="Normal 10 2 7 3" xfId="14797" xr:uid="{00000000-0005-0000-0000-0000012B0000}"/>
    <cellStyle name="Normal 10 2 7 4" xfId="14798" xr:uid="{00000000-0005-0000-0000-0000022B0000}"/>
    <cellStyle name="Normal 10 2 7 5" xfId="14799" xr:uid="{00000000-0005-0000-0000-0000032B0000}"/>
    <cellStyle name="Normal 10 2 7 6" xfId="14800" xr:uid="{00000000-0005-0000-0000-0000042B0000}"/>
    <cellStyle name="Normal 10 2 7 7" xfId="14801" xr:uid="{00000000-0005-0000-0000-0000052B0000}"/>
    <cellStyle name="Normal 10 2 7 8" xfId="14802" xr:uid="{00000000-0005-0000-0000-0000062B0000}"/>
    <cellStyle name="Normal 10 2 8" xfId="14803" xr:uid="{00000000-0005-0000-0000-0000072B0000}"/>
    <cellStyle name="Normal 10 2 8 2" xfId="14804" xr:uid="{00000000-0005-0000-0000-0000082B0000}"/>
    <cellStyle name="Normal 10 2 8 2 2" xfId="14805" xr:uid="{00000000-0005-0000-0000-0000092B0000}"/>
    <cellStyle name="Normal 10 2 8 2 3" xfId="14806" xr:uid="{00000000-0005-0000-0000-00000A2B0000}"/>
    <cellStyle name="Normal 10 2 8 2 4" xfId="14807" xr:uid="{00000000-0005-0000-0000-00000B2B0000}"/>
    <cellStyle name="Normal 10 2 8 2 5" xfId="14808" xr:uid="{00000000-0005-0000-0000-00000C2B0000}"/>
    <cellStyle name="Normal 10 2 8 2 6" xfId="14809" xr:uid="{00000000-0005-0000-0000-00000D2B0000}"/>
    <cellStyle name="Normal 10 2 8 2 7" xfId="14810" xr:uid="{00000000-0005-0000-0000-00000E2B0000}"/>
    <cellStyle name="Normal 10 2 8 3" xfId="14811" xr:uid="{00000000-0005-0000-0000-00000F2B0000}"/>
    <cellStyle name="Normal 10 2 8 4" xfId="14812" xr:uid="{00000000-0005-0000-0000-0000102B0000}"/>
    <cellStyle name="Normal 10 2 8 5" xfId="14813" xr:uid="{00000000-0005-0000-0000-0000112B0000}"/>
    <cellStyle name="Normal 10 2 8 6" xfId="14814" xr:uid="{00000000-0005-0000-0000-0000122B0000}"/>
    <cellStyle name="Normal 10 2 8 7" xfId="14815" xr:uid="{00000000-0005-0000-0000-0000132B0000}"/>
    <cellStyle name="Normal 10 2 8 8" xfId="14816" xr:uid="{00000000-0005-0000-0000-0000142B0000}"/>
    <cellStyle name="Normal 10 2 9" xfId="14817" xr:uid="{00000000-0005-0000-0000-0000152B0000}"/>
    <cellStyle name="Normal 10 2 9 2" xfId="14818" xr:uid="{00000000-0005-0000-0000-0000162B0000}"/>
    <cellStyle name="Normal 10 2 9 2 2" xfId="14819" xr:uid="{00000000-0005-0000-0000-0000172B0000}"/>
    <cellStyle name="Normal 10 2 9 2 3" xfId="14820" xr:uid="{00000000-0005-0000-0000-0000182B0000}"/>
    <cellStyle name="Normal 10 2 9 2 4" xfId="14821" xr:uid="{00000000-0005-0000-0000-0000192B0000}"/>
    <cellStyle name="Normal 10 2 9 2 5" xfId="14822" xr:uid="{00000000-0005-0000-0000-00001A2B0000}"/>
    <cellStyle name="Normal 10 2 9 2 6" xfId="14823" xr:uid="{00000000-0005-0000-0000-00001B2B0000}"/>
    <cellStyle name="Normal 10 2 9 2 7" xfId="14824" xr:uid="{00000000-0005-0000-0000-00001C2B0000}"/>
    <cellStyle name="Normal 10 2 9 3" xfId="14825" xr:uid="{00000000-0005-0000-0000-00001D2B0000}"/>
    <cellStyle name="Normal 10 2 9 4" xfId="14826" xr:uid="{00000000-0005-0000-0000-00001E2B0000}"/>
    <cellStyle name="Normal 10 2 9 5" xfId="14827" xr:uid="{00000000-0005-0000-0000-00001F2B0000}"/>
    <cellStyle name="Normal 10 2 9 6" xfId="14828" xr:uid="{00000000-0005-0000-0000-0000202B0000}"/>
    <cellStyle name="Normal 10 2 9 7" xfId="14829" xr:uid="{00000000-0005-0000-0000-0000212B0000}"/>
    <cellStyle name="Normal 10 2 9 8" xfId="14830" xr:uid="{00000000-0005-0000-0000-0000222B0000}"/>
    <cellStyle name="Normal 10 3" xfId="4015" xr:uid="{00000000-0005-0000-0000-0000232B0000}"/>
    <cellStyle name="Normal 10 3 2" xfId="14831" xr:uid="{00000000-0005-0000-0000-0000242B0000}"/>
    <cellStyle name="Normal 10 3 2 2" xfId="34907" xr:uid="{00000000-0005-0000-0000-0000252B0000}"/>
    <cellStyle name="Normal 10 3 3" xfId="14832" xr:uid="{00000000-0005-0000-0000-0000262B0000}"/>
    <cellStyle name="Normal 10 3 4" xfId="14833" xr:uid="{00000000-0005-0000-0000-0000272B0000}"/>
    <cellStyle name="Normal 10 3 5" xfId="14834" xr:uid="{00000000-0005-0000-0000-0000282B0000}"/>
    <cellStyle name="Normal 10 4" xfId="4016" xr:uid="{00000000-0005-0000-0000-0000292B0000}"/>
    <cellStyle name="Normal 10 4 2" xfId="14835" xr:uid="{00000000-0005-0000-0000-00002A2B0000}"/>
    <cellStyle name="Normal 10 4 2 2" xfId="33630" xr:uid="{00000000-0005-0000-0000-00002B2B0000}"/>
    <cellStyle name="Normal 10 4 3" xfId="14836" xr:uid="{00000000-0005-0000-0000-00002C2B0000}"/>
    <cellStyle name="Normal 10 5" xfId="4017" xr:uid="{00000000-0005-0000-0000-00002D2B0000}"/>
    <cellStyle name="Normal 10 5 2" xfId="14837" xr:uid="{00000000-0005-0000-0000-00002E2B0000}"/>
    <cellStyle name="Normal 10 6" xfId="14838" xr:uid="{00000000-0005-0000-0000-00002F2B0000}"/>
    <cellStyle name="Normal 10 7" xfId="14839" xr:uid="{00000000-0005-0000-0000-0000302B0000}"/>
    <cellStyle name="Normal 100" xfId="14840" xr:uid="{00000000-0005-0000-0000-0000312B0000}"/>
    <cellStyle name="Normal 101" xfId="14841" xr:uid="{00000000-0005-0000-0000-0000322B0000}"/>
    <cellStyle name="Normal 102" xfId="14842" xr:uid="{00000000-0005-0000-0000-0000332B0000}"/>
    <cellStyle name="Normal 102 2" xfId="14843" xr:uid="{00000000-0005-0000-0000-0000342B0000}"/>
    <cellStyle name="Normal 103" xfId="14844" xr:uid="{00000000-0005-0000-0000-0000352B0000}"/>
    <cellStyle name="Normal 103 2" xfId="14845" xr:uid="{00000000-0005-0000-0000-0000362B0000}"/>
    <cellStyle name="Normal 104" xfId="14846" xr:uid="{00000000-0005-0000-0000-0000372B0000}"/>
    <cellStyle name="Normal 104 2" xfId="14847" xr:uid="{00000000-0005-0000-0000-0000382B0000}"/>
    <cellStyle name="Normal 104 2 2" xfId="34908" xr:uid="{00000000-0005-0000-0000-0000392B0000}"/>
    <cellStyle name="Normal 104 3" xfId="34909" xr:uid="{00000000-0005-0000-0000-00003A2B0000}"/>
    <cellStyle name="Normal 105" xfId="14848" xr:uid="{00000000-0005-0000-0000-00003B2B0000}"/>
    <cellStyle name="Normal 105 2" xfId="14849" xr:uid="{00000000-0005-0000-0000-00003C2B0000}"/>
    <cellStyle name="Normal 105 2 2" xfId="34910" xr:uid="{00000000-0005-0000-0000-00003D2B0000}"/>
    <cellStyle name="Normal 105 3" xfId="34911" xr:uid="{00000000-0005-0000-0000-00003E2B0000}"/>
    <cellStyle name="Normal 106" xfId="14850" xr:uid="{00000000-0005-0000-0000-00003F2B0000}"/>
    <cellStyle name="Normal 106 2" xfId="14851" xr:uid="{00000000-0005-0000-0000-0000402B0000}"/>
    <cellStyle name="Normal 106 2 2" xfId="34912" xr:uid="{00000000-0005-0000-0000-0000412B0000}"/>
    <cellStyle name="Normal 106 3" xfId="34913" xr:uid="{00000000-0005-0000-0000-0000422B0000}"/>
    <cellStyle name="Normal 107" xfId="14852" xr:uid="{00000000-0005-0000-0000-0000432B0000}"/>
    <cellStyle name="Normal 107 2" xfId="14853" xr:uid="{00000000-0005-0000-0000-0000442B0000}"/>
    <cellStyle name="Normal 107 2 2" xfId="34914" xr:uid="{00000000-0005-0000-0000-0000452B0000}"/>
    <cellStyle name="Normal 107 3" xfId="34915" xr:uid="{00000000-0005-0000-0000-0000462B0000}"/>
    <cellStyle name="Normal 108" xfId="14854" xr:uid="{00000000-0005-0000-0000-0000472B0000}"/>
    <cellStyle name="Normal 108 2" xfId="14855" xr:uid="{00000000-0005-0000-0000-0000482B0000}"/>
    <cellStyle name="Normal 108 2 2" xfId="34916" xr:uid="{00000000-0005-0000-0000-0000492B0000}"/>
    <cellStyle name="Normal 108 3" xfId="34917" xr:uid="{00000000-0005-0000-0000-00004A2B0000}"/>
    <cellStyle name="Normal 109" xfId="14856" xr:uid="{00000000-0005-0000-0000-00004B2B0000}"/>
    <cellStyle name="Normal 109 2" xfId="14857" xr:uid="{00000000-0005-0000-0000-00004C2B0000}"/>
    <cellStyle name="Normal 109 2 2" xfId="34918" xr:uid="{00000000-0005-0000-0000-00004D2B0000}"/>
    <cellStyle name="Normal 109 3" xfId="34919" xr:uid="{00000000-0005-0000-0000-00004E2B0000}"/>
    <cellStyle name="Normal 11" xfId="4018" xr:uid="{00000000-0005-0000-0000-00004F2B0000}"/>
    <cellStyle name="Normal 11 2" xfId="4019" xr:uid="{00000000-0005-0000-0000-0000502B0000}"/>
    <cellStyle name="Normal 11 2 2" xfId="14858" xr:uid="{00000000-0005-0000-0000-0000512B0000}"/>
    <cellStyle name="Normal 11 2 3" xfId="14859" xr:uid="{00000000-0005-0000-0000-0000522B0000}"/>
    <cellStyle name="Normal 11 3" xfId="14860" xr:uid="{00000000-0005-0000-0000-0000532B0000}"/>
    <cellStyle name="Normal 11 3 2" xfId="14861" xr:uid="{00000000-0005-0000-0000-0000542B0000}"/>
    <cellStyle name="Normal 11 3 2 2" xfId="33631" xr:uid="{00000000-0005-0000-0000-0000552B0000}"/>
    <cellStyle name="Normal 11 3 2 3" xfId="34921" xr:uid="{00000000-0005-0000-0000-0000562B0000}"/>
    <cellStyle name="Normal 11 3 3" xfId="14862" xr:uid="{00000000-0005-0000-0000-0000572B0000}"/>
    <cellStyle name="Normal 11 3 4" xfId="34920" xr:uid="{00000000-0005-0000-0000-0000582B0000}"/>
    <cellStyle name="Normal 11 4" xfId="14863" xr:uid="{00000000-0005-0000-0000-0000592B0000}"/>
    <cellStyle name="Normal 11 4 2" xfId="14864" xr:uid="{00000000-0005-0000-0000-00005A2B0000}"/>
    <cellStyle name="Normal 11 4 2 2" xfId="34923" xr:uid="{00000000-0005-0000-0000-00005B2B0000}"/>
    <cellStyle name="Normal 11 4 3" xfId="34922" xr:uid="{00000000-0005-0000-0000-00005C2B0000}"/>
    <cellStyle name="Normal 11 5" xfId="14865" xr:uid="{00000000-0005-0000-0000-00005D2B0000}"/>
    <cellStyle name="Normal 11 5 2" xfId="34925" xr:uid="{00000000-0005-0000-0000-00005E2B0000}"/>
    <cellStyle name="Normal 11 5 3" xfId="34924" xr:uid="{00000000-0005-0000-0000-00005F2B0000}"/>
    <cellStyle name="Normal 11 6" xfId="14866" xr:uid="{00000000-0005-0000-0000-0000602B0000}"/>
    <cellStyle name="Normal 11 6 2" xfId="14867" xr:uid="{00000000-0005-0000-0000-0000612B0000}"/>
    <cellStyle name="Normal 11 6 3" xfId="34926" xr:uid="{00000000-0005-0000-0000-0000622B0000}"/>
    <cellStyle name="Normal 11 7" xfId="14868" xr:uid="{00000000-0005-0000-0000-0000632B0000}"/>
    <cellStyle name="Normal 110" xfId="14869" xr:uid="{00000000-0005-0000-0000-0000642B0000}"/>
    <cellStyle name="Normal 110 2" xfId="14870" xr:uid="{00000000-0005-0000-0000-0000652B0000}"/>
    <cellStyle name="Normal 110 2 2" xfId="34927" xr:uid="{00000000-0005-0000-0000-0000662B0000}"/>
    <cellStyle name="Normal 110 3" xfId="34928" xr:uid="{00000000-0005-0000-0000-0000672B0000}"/>
    <cellStyle name="Normal 111" xfId="14871" xr:uid="{00000000-0005-0000-0000-0000682B0000}"/>
    <cellStyle name="Normal 111 2" xfId="14872" xr:uid="{00000000-0005-0000-0000-0000692B0000}"/>
    <cellStyle name="Normal 111 2 2" xfId="34929" xr:uid="{00000000-0005-0000-0000-00006A2B0000}"/>
    <cellStyle name="Normal 111 3" xfId="34930" xr:uid="{00000000-0005-0000-0000-00006B2B0000}"/>
    <cellStyle name="Normal 112" xfId="14873" xr:uid="{00000000-0005-0000-0000-00006C2B0000}"/>
    <cellStyle name="Normal 112 2" xfId="14874" xr:uid="{00000000-0005-0000-0000-00006D2B0000}"/>
    <cellStyle name="Normal 112 2 2" xfId="34931" xr:uid="{00000000-0005-0000-0000-00006E2B0000}"/>
    <cellStyle name="Normal 112 3" xfId="34932" xr:uid="{00000000-0005-0000-0000-00006F2B0000}"/>
    <cellStyle name="Normal 113" xfId="14875" xr:uid="{00000000-0005-0000-0000-0000702B0000}"/>
    <cellStyle name="Normal 113 2" xfId="14876" xr:uid="{00000000-0005-0000-0000-0000712B0000}"/>
    <cellStyle name="Normal 113 2 2" xfId="34933" xr:uid="{00000000-0005-0000-0000-0000722B0000}"/>
    <cellStyle name="Normal 113 3" xfId="34934" xr:uid="{00000000-0005-0000-0000-0000732B0000}"/>
    <cellStyle name="Normal 114" xfId="14877" xr:uid="{00000000-0005-0000-0000-0000742B0000}"/>
    <cellStyle name="Normal 114 2" xfId="14878" xr:uid="{00000000-0005-0000-0000-0000752B0000}"/>
    <cellStyle name="Normal 114 2 2" xfId="34935" xr:uid="{00000000-0005-0000-0000-0000762B0000}"/>
    <cellStyle name="Normal 114 3" xfId="34936" xr:uid="{00000000-0005-0000-0000-0000772B0000}"/>
    <cellStyle name="Normal 115" xfId="14879" xr:uid="{00000000-0005-0000-0000-0000782B0000}"/>
    <cellStyle name="Normal 115 2" xfId="14880" xr:uid="{00000000-0005-0000-0000-0000792B0000}"/>
    <cellStyle name="Normal 115 2 2" xfId="34937" xr:uid="{00000000-0005-0000-0000-00007A2B0000}"/>
    <cellStyle name="Normal 115 3" xfId="34938" xr:uid="{00000000-0005-0000-0000-00007B2B0000}"/>
    <cellStyle name="Normal 116" xfId="14881" xr:uid="{00000000-0005-0000-0000-00007C2B0000}"/>
    <cellStyle name="Normal 116 2" xfId="14882" xr:uid="{00000000-0005-0000-0000-00007D2B0000}"/>
    <cellStyle name="Normal 116 2 2" xfId="34939" xr:uid="{00000000-0005-0000-0000-00007E2B0000}"/>
    <cellStyle name="Normal 116 3" xfId="34940" xr:uid="{00000000-0005-0000-0000-00007F2B0000}"/>
    <cellStyle name="Normal 117" xfId="14883" xr:uid="{00000000-0005-0000-0000-0000802B0000}"/>
    <cellStyle name="Normal 117 2" xfId="14884" xr:uid="{00000000-0005-0000-0000-0000812B0000}"/>
    <cellStyle name="Normal 117 2 2" xfId="34941" xr:uid="{00000000-0005-0000-0000-0000822B0000}"/>
    <cellStyle name="Normal 117 3" xfId="34942" xr:uid="{00000000-0005-0000-0000-0000832B0000}"/>
    <cellStyle name="Normal 118" xfId="14885" xr:uid="{00000000-0005-0000-0000-0000842B0000}"/>
    <cellStyle name="Normal 118 2" xfId="14886" xr:uid="{00000000-0005-0000-0000-0000852B0000}"/>
    <cellStyle name="Normal 118 2 2" xfId="34943" xr:uid="{00000000-0005-0000-0000-0000862B0000}"/>
    <cellStyle name="Normal 118 3" xfId="34944" xr:uid="{00000000-0005-0000-0000-0000872B0000}"/>
    <cellStyle name="Normal 119" xfId="14887" xr:uid="{00000000-0005-0000-0000-0000882B0000}"/>
    <cellStyle name="Normal 119 2" xfId="14888" xr:uid="{00000000-0005-0000-0000-0000892B0000}"/>
    <cellStyle name="Normal 119 2 2" xfId="34945" xr:uid="{00000000-0005-0000-0000-00008A2B0000}"/>
    <cellStyle name="Normal 119 3" xfId="34946" xr:uid="{00000000-0005-0000-0000-00008B2B0000}"/>
    <cellStyle name="Normal 12" xfId="4020" xr:uid="{00000000-0005-0000-0000-00008C2B0000}"/>
    <cellStyle name="Normal 12 2" xfId="14889" xr:uid="{00000000-0005-0000-0000-00008D2B0000}"/>
    <cellStyle name="Normal 12 2 2" xfId="34947" xr:uid="{00000000-0005-0000-0000-00008E2B0000}"/>
    <cellStyle name="Normal 12 3" xfId="14890" xr:uid="{00000000-0005-0000-0000-00008F2B0000}"/>
    <cellStyle name="Normal 12 3 2" xfId="34948" xr:uid="{00000000-0005-0000-0000-0000902B0000}"/>
    <cellStyle name="Normal 12 4" xfId="14891" xr:uid="{00000000-0005-0000-0000-0000912B0000}"/>
    <cellStyle name="Normal 12 4 2" xfId="14892" xr:uid="{00000000-0005-0000-0000-0000922B0000}"/>
    <cellStyle name="Normal 12 4 3" xfId="34949" xr:uid="{00000000-0005-0000-0000-0000932B0000}"/>
    <cellStyle name="Normal 120" xfId="14893" xr:uid="{00000000-0005-0000-0000-0000942B0000}"/>
    <cellStyle name="Normal 121" xfId="14894" xr:uid="{00000000-0005-0000-0000-0000952B0000}"/>
    <cellStyle name="Normal 122" xfId="14895" xr:uid="{00000000-0005-0000-0000-0000962B0000}"/>
    <cellStyle name="Normal 123" xfId="14896" xr:uid="{00000000-0005-0000-0000-0000972B0000}"/>
    <cellStyle name="Normal 123 2" xfId="14897" xr:uid="{00000000-0005-0000-0000-0000982B0000}"/>
    <cellStyle name="Normal 124" xfId="14898" xr:uid="{00000000-0005-0000-0000-0000992B0000}"/>
    <cellStyle name="Normal 124 2" xfId="14899" xr:uid="{00000000-0005-0000-0000-00009A2B0000}"/>
    <cellStyle name="Normal 125" xfId="14900" xr:uid="{00000000-0005-0000-0000-00009B2B0000}"/>
    <cellStyle name="Normal 125 2" xfId="14901" xr:uid="{00000000-0005-0000-0000-00009C2B0000}"/>
    <cellStyle name="Normal 126" xfId="14902" xr:uid="{00000000-0005-0000-0000-00009D2B0000}"/>
    <cellStyle name="Normal 126 2" xfId="14903" xr:uid="{00000000-0005-0000-0000-00009E2B0000}"/>
    <cellStyle name="Normal 127" xfId="14904" xr:uid="{00000000-0005-0000-0000-00009F2B0000}"/>
    <cellStyle name="Normal 127 2" xfId="14905" xr:uid="{00000000-0005-0000-0000-0000A02B0000}"/>
    <cellStyle name="Normal 128" xfId="14906" xr:uid="{00000000-0005-0000-0000-0000A12B0000}"/>
    <cellStyle name="Normal 128 2" xfId="14907" xr:uid="{00000000-0005-0000-0000-0000A22B0000}"/>
    <cellStyle name="Normal 128 2 2" xfId="34950" xr:uid="{00000000-0005-0000-0000-0000A32B0000}"/>
    <cellStyle name="Normal 128 3" xfId="34951" xr:uid="{00000000-0005-0000-0000-0000A42B0000}"/>
    <cellStyle name="Normal 129" xfId="14908" xr:uid="{00000000-0005-0000-0000-0000A52B0000}"/>
    <cellStyle name="Normal 129 10" xfId="14909" xr:uid="{00000000-0005-0000-0000-0000A62B0000}"/>
    <cellStyle name="Normal 129 2" xfId="14910" xr:uid="{00000000-0005-0000-0000-0000A72B0000}"/>
    <cellStyle name="Normal 129 2 2" xfId="34952" xr:uid="{00000000-0005-0000-0000-0000A82B0000}"/>
    <cellStyle name="Normal 129 3" xfId="14911" xr:uid="{00000000-0005-0000-0000-0000A92B0000}"/>
    <cellStyle name="Normal 129 3 2" xfId="14912" xr:uid="{00000000-0005-0000-0000-0000AA2B0000}"/>
    <cellStyle name="Normal 129 3 3" xfId="14913" xr:uid="{00000000-0005-0000-0000-0000AB2B0000}"/>
    <cellStyle name="Normal 129 3 4" xfId="14914" xr:uid="{00000000-0005-0000-0000-0000AC2B0000}"/>
    <cellStyle name="Normal 129 3 5" xfId="14915" xr:uid="{00000000-0005-0000-0000-0000AD2B0000}"/>
    <cellStyle name="Normal 129 3 6" xfId="14916" xr:uid="{00000000-0005-0000-0000-0000AE2B0000}"/>
    <cellStyle name="Normal 129 3 7" xfId="14917" xr:uid="{00000000-0005-0000-0000-0000AF2B0000}"/>
    <cellStyle name="Normal 129 3 8" xfId="34953" xr:uid="{00000000-0005-0000-0000-0000B02B0000}"/>
    <cellStyle name="Normal 129 4" xfId="14918" xr:uid="{00000000-0005-0000-0000-0000B12B0000}"/>
    <cellStyle name="Normal 129 5" xfId="14919" xr:uid="{00000000-0005-0000-0000-0000B22B0000}"/>
    <cellStyle name="Normal 129 6" xfId="14920" xr:uid="{00000000-0005-0000-0000-0000B32B0000}"/>
    <cellStyle name="Normal 129 7" xfId="14921" xr:uid="{00000000-0005-0000-0000-0000B42B0000}"/>
    <cellStyle name="Normal 129 8" xfId="14922" xr:uid="{00000000-0005-0000-0000-0000B52B0000}"/>
    <cellStyle name="Normal 129 9" xfId="14923" xr:uid="{00000000-0005-0000-0000-0000B62B0000}"/>
    <cellStyle name="Normal 13" xfId="4021" xr:uid="{00000000-0005-0000-0000-0000B72B0000}"/>
    <cellStyle name="Normal 13 2" xfId="14924" xr:uid="{00000000-0005-0000-0000-0000B82B0000}"/>
    <cellStyle name="Normal 13 2 2" xfId="14925" xr:uid="{00000000-0005-0000-0000-0000B92B0000}"/>
    <cellStyle name="Normal 13 2 2 2" xfId="33632" xr:uid="{00000000-0005-0000-0000-0000BA2B0000}"/>
    <cellStyle name="Normal 13 2 2 3" xfId="34955" xr:uid="{00000000-0005-0000-0000-0000BB2B0000}"/>
    <cellStyle name="Normal 13 2 3" xfId="14926" xr:uid="{00000000-0005-0000-0000-0000BC2B0000}"/>
    <cellStyle name="Normal 13 2 4" xfId="34954" xr:uid="{00000000-0005-0000-0000-0000BD2B0000}"/>
    <cellStyle name="Normal 13 3" xfId="14927" xr:uid="{00000000-0005-0000-0000-0000BE2B0000}"/>
    <cellStyle name="Normal 13 3 2" xfId="33633" xr:uid="{00000000-0005-0000-0000-0000BF2B0000}"/>
    <cellStyle name="Normal 13 3 2 2" xfId="34957" xr:uid="{00000000-0005-0000-0000-0000C02B0000}"/>
    <cellStyle name="Normal 13 3 3" xfId="34956" xr:uid="{00000000-0005-0000-0000-0000C12B0000}"/>
    <cellStyle name="Normal 13 4" xfId="14928" xr:uid="{00000000-0005-0000-0000-0000C22B0000}"/>
    <cellStyle name="Normal 13 4 2" xfId="34958" xr:uid="{00000000-0005-0000-0000-0000C32B0000}"/>
    <cellStyle name="Normal 13 5" xfId="14929" xr:uid="{00000000-0005-0000-0000-0000C42B0000}"/>
    <cellStyle name="Normal 13 5 2" xfId="14930" xr:uid="{00000000-0005-0000-0000-0000C52B0000}"/>
    <cellStyle name="Normal 130" xfId="14931" xr:uid="{00000000-0005-0000-0000-0000C62B0000}"/>
    <cellStyle name="Normal 130 2" xfId="14932" xr:uid="{00000000-0005-0000-0000-0000C72B0000}"/>
    <cellStyle name="Normal 130 2 2" xfId="34959" xr:uid="{00000000-0005-0000-0000-0000C82B0000}"/>
    <cellStyle name="Normal 130 3" xfId="34960" xr:uid="{00000000-0005-0000-0000-0000C92B0000}"/>
    <cellStyle name="Normal 131" xfId="14933" xr:uid="{00000000-0005-0000-0000-0000CA2B0000}"/>
    <cellStyle name="Normal 131 2" xfId="14934" xr:uid="{00000000-0005-0000-0000-0000CB2B0000}"/>
    <cellStyle name="Normal 131 2 2" xfId="34961" xr:uid="{00000000-0005-0000-0000-0000CC2B0000}"/>
    <cellStyle name="Normal 131 3" xfId="34962" xr:uid="{00000000-0005-0000-0000-0000CD2B0000}"/>
    <cellStyle name="Normal 132" xfId="14935" xr:uid="{00000000-0005-0000-0000-0000CE2B0000}"/>
    <cellStyle name="Normal 132 2" xfId="14936" xr:uid="{00000000-0005-0000-0000-0000CF2B0000}"/>
    <cellStyle name="Normal 132 2 2" xfId="34963" xr:uid="{00000000-0005-0000-0000-0000D02B0000}"/>
    <cellStyle name="Normal 132 3" xfId="34964" xr:uid="{00000000-0005-0000-0000-0000D12B0000}"/>
    <cellStyle name="Normal 133" xfId="14937" xr:uid="{00000000-0005-0000-0000-0000D22B0000}"/>
    <cellStyle name="Normal 133 2" xfId="14938" xr:uid="{00000000-0005-0000-0000-0000D32B0000}"/>
    <cellStyle name="Normal 133 2 2" xfId="34965" xr:uid="{00000000-0005-0000-0000-0000D42B0000}"/>
    <cellStyle name="Normal 133 3" xfId="34966" xr:uid="{00000000-0005-0000-0000-0000D52B0000}"/>
    <cellStyle name="Normal 134" xfId="14939" xr:uid="{00000000-0005-0000-0000-0000D62B0000}"/>
    <cellStyle name="Normal 134 2" xfId="14940" xr:uid="{00000000-0005-0000-0000-0000D72B0000}"/>
    <cellStyle name="Normal 134 2 2" xfId="34967" xr:uid="{00000000-0005-0000-0000-0000D82B0000}"/>
    <cellStyle name="Normal 134 3" xfId="34968" xr:uid="{00000000-0005-0000-0000-0000D92B0000}"/>
    <cellStyle name="Normal 135" xfId="14941" xr:uid="{00000000-0005-0000-0000-0000DA2B0000}"/>
    <cellStyle name="Normal 135 2" xfId="14942" xr:uid="{00000000-0005-0000-0000-0000DB2B0000}"/>
    <cellStyle name="Normal 135 2 2" xfId="34969" xr:uid="{00000000-0005-0000-0000-0000DC2B0000}"/>
    <cellStyle name="Normal 135 3" xfId="34970" xr:uid="{00000000-0005-0000-0000-0000DD2B0000}"/>
    <cellStyle name="Normal 136" xfId="14943" xr:uid="{00000000-0005-0000-0000-0000DE2B0000}"/>
    <cellStyle name="Normal 136 2" xfId="14944" xr:uid="{00000000-0005-0000-0000-0000DF2B0000}"/>
    <cellStyle name="Normal 136 2 2" xfId="34971" xr:uid="{00000000-0005-0000-0000-0000E02B0000}"/>
    <cellStyle name="Normal 136 3" xfId="34972" xr:uid="{00000000-0005-0000-0000-0000E12B0000}"/>
    <cellStyle name="Normal 137" xfId="14945" xr:uid="{00000000-0005-0000-0000-0000E22B0000}"/>
    <cellStyle name="Normal 137 2" xfId="14946" xr:uid="{00000000-0005-0000-0000-0000E32B0000}"/>
    <cellStyle name="Normal 137 2 2" xfId="34973" xr:uid="{00000000-0005-0000-0000-0000E42B0000}"/>
    <cellStyle name="Normal 137 3" xfId="34974" xr:uid="{00000000-0005-0000-0000-0000E52B0000}"/>
    <cellStyle name="Normal 138" xfId="14947" xr:uid="{00000000-0005-0000-0000-0000E62B0000}"/>
    <cellStyle name="Normal 138 2" xfId="14948" xr:uid="{00000000-0005-0000-0000-0000E72B0000}"/>
    <cellStyle name="Normal 138 2 2" xfId="34975" xr:uid="{00000000-0005-0000-0000-0000E82B0000}"/>
    <cellStyle name="Normal 138 3" xfId="34976" xr:uid="{00000000-0005-0000-0000-0000E92B0000}"/>
    <cellStyle name="Normal 139" xfId="14949" xr:uid="{00000000-0005-0000-0000-0000EA2B0000}"/>
    <cellStyle name="Normal 139 2" xfId="14950" xr:uid="{00000000-0005-0000-0000-0000EB2B0000}"/>
    <cellStyle name="Normal 139 2 2" xfId="34977" xr:uid="{00000000-0005-0000-0000-0000EC2B0000}"/>
    <cellStyle name="Normal 139 3" xfId="34978" xr:uid="{00000000-0005-0000-0000-0000ED2B0000}"/>
    <cellStyle name="Normal 14" xfId="4022" xr:uid="{00000000-0005-0000-0000-0000EE2B0000}"/>
    <cellStyle name="Normal 14 2" xfId="14951" xr:uid="{00000000-0005-0000-0000-0000EF2B0000}"/>
    <cellStyle name="Normal 14 2 2" xfId="14952" xr:uid="{00000000-0005-0000-0000-0000F02B0000}"/>
    <cellStyle name="Normal 14 2 2 2" xfId="33634" xr:uid="{00000000-0005-0000-0000-0000F12B0000}"/>
    <cellStyle name="Normal 14 2 2 3" xfId="34980" xr:uid="{00000000-0005-0000-0000-0000F22B0000}"/>
    <cellStyle name="Normal 14 2 3" xfId="14953" xr:uid="{00000000-0005-0000-0000-0000F32B0000}"/>
    <cellStyle name="Normal 14 2 4" xfId="34979" xr:uid="{00000000-0005-0000-0000-0000F42B0000}"/>
    <cellStyle name="Normal 14 3" xfId="14954" xr:uid="{00000000-0005-0000-0000-0000F52B0000}"/>
    <cellStyle name="Normal 14 3 2" xfId="14955" xr:uid="{00000000-0005-0000-0000-0000F62B0000}"/>
    <cellStyle name="Normal 14 3 3" xfId="34981" xr:uid="{00000000-0005-0000-0000-0000F72B0000}"/>
    <cellStyle name="Normal 14 4" xfId="14956" xr:uid="{00000000-0005-0000-0000-0000F82B0000}"/>
    <cellStyle name="Normal 14 5" xfId="14957" xr:uid="{00000000-0005-0000-0000-0000F92B0000}"/>
    <cellStyle name="Normal 140" xfId="14958" xr:uid="{00000000-0005-0000-0000-0000FA2B0000}"/>
    <cellStyle name="Normal 140 2" xfId="14959" xr:uid="{00000000-0005-0000-0000-0000FB2B0000}"/>
    <cellStyle name="Normal 140 2 2" xfId="34982" xr:uid="{00000000-0005-0000-0000-0000FC2B0000}"/>
    <cellStyle name="Normal 140 3" xfId="34983" xr:uid="{00000000-0005-0000-0000-0000FD2B0000}"/>
    <cellStyle name="Normal 141" xfId="14960" xr:uid="{00000000-0005-0000-0000-0000FE2B0000}"/>
    <cellStyle name="Normal 141 2" xfId="14961" xr:uid="{00000000-0005-0000-0000-0000FF2B0000}"/>
    <cellStyle name="Normal 141 2 2" xfId="34984" xr:uid="{00000000-0005-0000-0000-0000002C0000}"/>
    <cellStyle name="Normal 141 3" xfId="34985" xr:uid="{00000000-0005-0000-0000-0000012C0000}"/>
    <cellStyle name="Normal 142" xfId="14962" xr:uid="{00000000-0005-0000-0000-0000022C0000}"/>
    <cellStyle name="Normal 142 2" xfId="14963" xr:uid="{00000000-0005-0000-0000-0000032C0000}"/>
    <cellStyle name="Normal 142 2 2" xfId="34986" xr:uid="{00000000-0005-0000-0000-0000042C0000}"/>
    <cellStyle name="Normal 142 3" xfId="34987" xr:uid="{00000000-0005-0000-0000-0000052C0000}"/>
    <cellStyle name="Normal 143" xfId="14964" xr:uid="{00000000-0005-0000-0000-0000062C0000}"/>
    <cellStyle name="Normal 143 2" xfId="14965" xr:uid="{00000000-0005-0000-0000-0000072C0000}"/>
    <cellStyle name="Normal 143 2 2" xfId="34988" xr:uid="{00000000-0005-0000-0000-0000082C0000}"/>
    <cellStyle name="Normal 143 3" xfId="34989" xr:uid="{00000000-0005-0000-0000-0000092C0000}"/>
    <cellStyle name="Normal 144" xfId="14966" xr:uid="{00000000-0005-0000-0000-00000A2C0000}"/>
    <cellStyle name="Normal 144 2" xfId="14967" xr:uid="{00000000-0005-0000-0000-00000B2C0000}"/>
    <cellStyle name="Normal 144 2 2" xfId="34990" xr:uid="{00000000-0005-0000-0000-00000C2C0000}"/>
    <cellStyle name="Normal 144 3" xfId="34991" xr:uid="{00000000-0005-0000-0000-00000D2C0000}"/>
    <cellStyle name="Normal 145" xfId="14968" xr:uid="{00000000-0005-0000-0000-00000E2C0000}"/>
    <cellStyle name="Normal 145 2" xfId="14969" xr:uid="{00000000-0005-0000-0000-00000F2C0000}"/>
    <cellStyle name="Normal 145 2 2" xfId="34992" xr:uid="{00000000-0005-0000-0000-0000102C0000}"/>
    <cellStyle name="Normal 145 3" xfId="34993" xr:uid="{00000000-0005-0000-0000-0000112C0000}"/>
    <cellStyle name="Normal 146" xfId="14970" xr:uid="{00000000-0005-0000-0000-0000122C0000}"/>
    <cellStyle name="Normal 146 2" xfId="14971" xr:uid="{00000000-0005-0000-0000-0000132C0000}"/>
    <cellStyle name="Normal 146 2 2" xfId="34994" xr:uid="{00000000-0005-0000-0000-0000142C0000}"/>
    <cellStyle name="Normal 146 3" xfId="34995" xr:uid="{00000000-0005-0000-0000-0000152C0000}"/>
    <cellStyle name="Normal 147" xfId="14972" xr:uid="{00000000-0005-0000-0000-0000162C0000}"/>
    <cellStyle name="Normal 147 2" xfId="14973" xr:uid="{00000000-0005-0000-0000-0000172C0000}"/>
    <cellStyle name="Normal 148" xfId="14974" xr:uid="{00000000-0005-0000-0000-0000182C0000}"/>
    <cellStyle name="Normal 148 2" xfId="14975" xr:uid="{00000000-0005-0000-0000-0000192C0000}"/>
    <cellStyle name="Normal 149" xfId="14976" xr:uid="{00000000-0005-0000-0000-00001A2C0000}"/>
    <cellStyle name="Normal 149 2" xfId="14977" xr:uid="{00000000-0005-0000-0000-00001B2C0000}"/>
    <cellStyle name="Normal 15" xfId="4023" xr:uid="{00000000-0005-0000-0000-00001C2C0000}"/>
    <cellStyle name="Normal 15 2" xfId="14978" xr:uid="{00000000-0005-0000-0000-00001D2C0000}"/>
    <cellStyle name="Normal 15 2 2" xfId="14979" xr:uid="{00000000-0005-0000-0000-00001E2C0000}"/>
    <cellStyle name="Normal 15 2 2 2" xfId="14980" xr:uid="{00000000-0005-0000-0000-00001F2C0000}"/>
    <cellStyle name="Normal 15 2 3" xfId="14981" xr:uid="{00000000-0005-0000-0000-0000202C0000}"/>
    <cellStyle name="Normal 15 3" xfId="14982" xr:uid="{00000000-0005-0000-0000-0000212C0000}"/>
    <cellStyle name="Normal 15 3 2" xfId="14983" xr:uid="{00000000-0005-0000-0000-0000222C0000}"/>
    <cellStyle name="Normal 15 3 3" xfId="34996" xr:uid="{00000000-0005-0000-0000-0000232C0000}"/>
    <cellStyle name="Normal 15 4" xfId="14984" xr:uid="{00000000-0005-0000-0000-0000242C0000}"/>
    <cellStyle name="Normal 15 5" xfId="14985" xr:uid="{00000000-0005-0000-0000-0000252C0000}"/>
    <cellStyle name="Normal 150" xfId="14986" xr:uid="{00000000-0005-0000-0000-0000262C0000}"/>
    <cellStyle name="Normal 151" xfId="14987" xr:uid="{00000000-0005-0000-0000-0000272C0000}"/>
    <cellStyle name="Normal 152" xfId="14988" xr:uid="{00000000-0005-0000-0000-0000282C0000}"/>
    <cellStyle name="Normal 152 10" xfId="14989" xr:uid="{00000000-0005-0000-0000-0000292C0000}"/>
    <cellStyle name="Normal 152 2" xfId="14990" xr:uid="{00000000-0005-0000-0000-00002A2C0000}"/>
    <cellStyle name="Normal 152 3" xfId="14991" xr:uid="{00000000-0005-0000-0000-00002B2C0000}"/>
    <cellStyle name="Normal 152 3 2" xfId="14992" xr:uid="{00000000-0005-0000-0000-00002C2C0000}"/>
    <cellStyle name="Normal 152 3 3" xfId="14993" xr:uid="{00000000-0005-0000-0000-00002D2C0000}"/>
    <cellStyle name="Normal 152 3 4" xfId="14994" xr:uid="{00000000-0005-0000-0000-00002E2C0000}"/>
    <cellStyle name="Normal 152 3 5" xfId="14995" xr:uid="{00000000-0005-0000-0000-00002F2C0000}"/>
    <cellStyle name="Normal 152 3 6" xfId="14996" xr:uid="{00000000-0005-0000-0000-0000302C0000}"/>
    <cellStyle name="Normal 152 3 7" xfId="14997" xr:uid="{00000000-0005-0000-0000-0000312C0000}"/>
    <cellStyle name="Normal 152 4" xfId="14998" xr:uid="{00000000-0005-0000-0000-0000322C0000}"/>
    <cellStyle name="Normal 152 5" xfId="14999" xr:uid="{00000000-0005-0000-0000-0000332C0000}"/>
    <cellStyle name="Normal 152 6" xfId="15000" xr:uid="{00000000-0005-0000-0000-0000342C0000}"/>
    <cellStyle name="Normal 152 7" xfId="15001" xr:uid="{00000000-0005-0000-0000-0000352C0000}"/>
    <cellStyle name="Normal 152 8" xfId="15002" xr:uid="{00000000-0005-0000-0000-0000362C0000}"/>
    <cellStyle name="Normal 152 9" xfId="15003" xr:uid="{00000000-0005-0000-0000-0000372C0000}"/>
    <cellStyle name="Normal 153" xfId="15004" xr:uid="{00000000-0005-0000-0000-0000382C0000}"/>
    <cellStyle name="Normal 153 10" xfId="15005" xr:uid="{00000000-0005-0000-0000-0000392C0000}"/>
    <cellStyle name="Normal 153 2" xfId="15006" xr:uid="{00000000-0005-0000-0000-00003A2C0000}"/>
    <cellStyle name="Normal 153 3" xfId="15007" xr:uid="{00000000-0005-0000-0000-00003B2C0000}"/>
    <cellStyle name="Normal 153 3 2" xfId="15008" xr:uid="{00000000-0005-0000-0000-00003C2C0000}"/>
    <cellStyle name="Normal 153 3 3" xfId="15009" xr:uid="{00000000-0005-0000-0000-00003D2C0000}"/>
    <cellStyle name="Normal 153 3 4" xfId="15010" xr:uid="{00000000-0005-0000-0000-00003E2C0000}"/>
    <cellStyle name="Normal 153 3 5" xfId="15011" xr:uid="{00000000-0005-0000-0000-00003F2C0000}"/>
    <cellStyle name="Normal 153 3 6" xfId="15012" xr:uid="{00000000-0005-0000-0000-0000402C0000}"/>
    <cellStyle name="Normal 153 3 7" xfId="15013" xr:uid="{00000000-0005-0000-0000-0000412C0000}"/>
    <cellStyle name="Normal 153 4" xfId="15014" xr:uid="{00000000-0005-0000-0000-0000422C0000}"/>
    <cellStyle name="Normal 153 5" xfId="15015" xr:uid="{00000000-0005-0000-0000-0000432C0000}"/>
    <cellStyle name="Normal 153 6" xfId="15016" xr:uid="{00000000-0005-0000-0000-0000442C0000}"/>
    <cellStyle name="Normal 153 7" xfId="15017" xr:uid="{00000000-0005-0000-0000-0000452C0000}"/>
    <cellStyle name="Normal 153 8" xfId="15018" xr:uid="{00000000-0005-0000-0000-0000462C0000}"/>
    <cellStyle name="Normal 153 9" xfId="15019" xr:uid="{00000000-0005-0000-0000-0000472C0000}"/>
    <cellStyle name="Normal 154" xfId="15020" xr:uid="{00000000-0005-0000-0000-0000482C0000}"/>
    <cellStyle name="Normal 154 10" xfId="15021" xr:uid="{00000000-0005-0000-0000-0000492C0000}"/>
    <cellStyle name="Normal 154 2" xfId="15022" xr:uid="{00000000-0005-0000-0000-00004A2C0000}"/>
    <cellStyle name="Normal 154 3" xfId="15023" xr:uid="{00000000-0005-0000-0000-00004B2C0000}"/>
    <cellStyle name="Normal 154 3 2" xfId="15024" xr:uid="{00000000-0005-0000-0000-00004C2C0000}"/>
    <cellStyle name="Normal 154 3 3" xfId="15025" xr:uid="{00000000-0005-0000-0000-00004D2C0000}"/>
    <cellStyle name="Normal 154 3 4" xfId="15026" xr:uid="{00000000-0005-0000-0000-00004E2C0000}"/>
    <cellStyle name="Normal 154 3 5" xfId="15027" xr:uid="{00000000-0005-0000-0000-00004F2C0000}"/>
    <cellStyle name="Normal 154 3 6" xfId="15028" xr:uid="{00000000-0005-0000-0000-0000502C0000}"/>
    <cellStyle name="Normal 154 3 7" xfId="15029" xr:uid="{00000000-0005-0000-0000-0000512C0000}"/>
    <cellStyle name="Normal 154 4" xfId="15030" xr:uid="{00000000-0005-0000-0000-0000522C0000}"/>
    <cellStyle name="Normal 154 5" xfId="15031" xr:uid="{00000000-0005-0000-0000-0000532C0000}"/>
    <cellStyle name="Normal 154 6" xfId="15032" xr:uid="{00000000-0005-0000-0000-0000542C0000}"/>
    <cellStyle name="Normal 154 7" xfId="15033" xr:uid="{00000000-0005-0000-0000-0000552C0000}"/>
    <cellStyle name="Normal 154 8" xfId="15034" xr:uid="{00000000-0005-0000-0000-0000562C0000}"/>
    <cellStyle name="Normal 154 9" xfId="15035" xr:uid="{00000000-0005-0000-0000-0000572C0000}"/>
    <cellStyle name="Normal 155" xfId="15036" xr:uid="{00000000-0005-0000-0000-0000582C0000}"/>
    <cellStyle name="Normal 155 10" xfId="15037" xr:uid="{00000000-0005-0000-0000-0000592C0000}"/>
    <cellStyle name="Normal 155 2" xfId="15038" xr:uid="{00000000-0005-0000-0000-00005A2C0000}"/>
    <cellStyle name="Normal 155 3" xfId="15039" xr:uid="{00000000-0005-0000-0000-00005B2C0000}"/>
    <cellStyle name="Normal 155 3 2" xfId="15040" xr:uid="{00000000-0005-0000-0000-00005C2C0000}"/>
    <cellStyle name="Normal 155 3 3" xfId="15041" xr:uid="{00000000-0005-0000-0000-00005D2C0000}"/>
    <cellStyle name="Normal 155 3 4" xfId="15042" xr:uid="{00000000-0005-0000-0000-00005E2C0000}"/>
    <cellStyle name="Normal 155 3 5" xfId="15043" xr:uid="{00000000-0005-0000-0000-00005F2C0000}"/>
    <cellStyle name="Normal 155 3 6" xfId="15044" xr:uid="{00000000-0005-0000-0000-0000602C0000}"/>
    <cellStyle name="Normal 155 3 7" xfId="15045" xr:uid="{00000000-0005-0000-0000-0000612C0000}"/>
    <cellStyle name="Normal 155 4" xfId="15046" xr:uid="{00000000-0005-0000-0000-0000622C0000}"/>
    <cellStyle name="Normal 155 5" xfId="15047" xr:uid="{00000000-0005-0000-0000-0000632C0000}"/>
    <cellStyle name="Normal 155 6" xfId="15048" xr:uid="{00000000-0005-0000-0000-0000642C0000}"/>
    <cellStyle name="Normal 155 7" xfId="15049" xr:uid="{00000000-0005-0000-0000-0000652C0000}"/>
    <cellStyle name="Normal 155 8" xfId="15050" xr:uid="{00000000-0005-0000-0000-0000662C0000}"/>
    <cellStyle name="Normal 155 9" xfId="15051" xr:uid="{00000000-0005-0000-0000-0000672C0000}"/>
    <cellStyle name="Normal 156" xfId="15052" xr:uid="{00000000-0005-0000-0000-0000682C0000}"/>
    <cellStyle name="Normal 156 10" xfId="15053" xr:uid="{00000000-0005-0000-0000-0000692C0000}"/>
    <cellStyle name="Normal 156 2" xfId="15054" xr:uid="{00000000-0005-0000-0000-00006A2C0000}"/>
    <cellStyle name="Normal 156 3" xfId="15055" xr:uid="{00000000-0005-0000-0000-00006B2C0000}"/>
    <cellStyle name="Normal 156 3 2" xfId="15056" xr:uid="{00000000-0005-0000-0000-00006C2C0000}"/>
    <cellStyle name="Normal 156 3 3" xfId="15057" xr:uid="{00000000-0005-0000-0000-00006D2C0000}"/>
    <cellStyle name="Normal 156 3 4" xfId="15058" xr:uid="{00000000-0005-0000-0000-00006E2C0000}"/>
    <cellStyle name="Normal 156 3 5" xfId="15059" xr:uid="{00000000-0005-0000-0000-00006F2C0000}"/>
    <cellStyle name="Normal 156 3 6" xfId="15060" xr:uid="{00000000-0005-0000-0000-0000702C0000}"/>
    <cellStyle name="Normal 156 3 7" xfId="15061" xr:uid="{00000000-0005-0000-0000-0000712C0000}"/>
    <cellStyle name="Normal 156 4" xfId="15062" xr:uid="{00000000-0005-0000-0000-0000722C0000}"/>
    <cellStyle name="Normal 156 5" xfId="15063" xr:uid="{00000000-0005-0000-0000-0000732C0000}"/>
    <cellStyle name="Normal 156 6" xfId="15064" xr:uid="{00000000-0005-0000-0000-0000742C0000}"/>
    <cellStyle name="Normal 156 7" xfId="15065" xr:uid="{00000000-0005-0000-0000-0000752C0000}"/>
    <cellStyle name="Normal 156 8" xfId="15066" xr:uid="{00000000-0005-0000-0000-0000762C0000}"/>
    <cellStyle name="Normal 156 9" xfId="15067" xr:uid="{00000000-0005-0000-0000-0000772C0000}"/>
    <cellStyle name="Normal 157" xfId="15068" xr:uid="{00000000-0005-0000-0000-0000782C0000}"/>
    <cellStyle name="Normal 157 10" xfId="15069" xr:uid="{00000000-0005-0000-0000-0000792C0000}"/>
    <cellStyle name="Normal 157 2" xfId="15070" xr:uid="{00000000-0005-0000-0000-00007A2C0000}"/>
    <cellStyle name="Normal 157 3" xfId="15071" xr:uid="{00000000-0005-0000-0000-00007B2C0000}"/>
    <cellStyle name="Normal 157 3 2" xfId="15072" xr:uid="{00000000-0005-0000-0000-00007C2C0000}"/>
    <cellStyle name="Normal 157 3 3" xfId="15073" xr:uid="{00000000-0005-0000-0000-00007D2C0000}"/>
    <cellStyle name="Normal 157 3 4" xfId="15074" xr:uid="{00000000-0005-0000-0000-00007E2C0000}"/>
    <cellStyle name="Normal 157 3 5" xfId="15075" xr:uid="{00000000-0005-0000-0000-00007F2C0000}"/>
    <cellStyle name="Normal 157 3 6" xfId="15076" xr:uid="{00000000-0005-0000-0000-0000802C0000}"/>
    <cellStyle name="Normal 157 3 7" xfId="15077" xr:uid="{00000000-0005-0000-0000-0000812C0000}"/>
    <cellStyle name="Normal 157 4" xfId="15078" xr:uid="{00000000-0005-0000-0000-0000822C0000}"/>
    <cellStyle name="Normal 157 5" xfId="15079" xr:uid="{00000000-0005-0000-0000-0000832C0000}"/>
    <cellStyle name="Normal 157 6" xfId="15080" xr:uid="{00000000-0005-0000-0000-0000842C0000}"/>
    <cellStyle name="Normal 157 7" xfId="15081" xr:uid="{00000000-0005-0000-0000-0000852C0000}"/>
    <cellStyle name="Normal 157 8" xfId="15082" xr:uid="{00000000-0005-0000-0000-0000862C0000}"/>
    <cellStyle name="Normal 157 9" xfId="15083" xr:uid="{00000000-0005-0000-0000-0000872C0000}"/>
    <cellStyle name="Normal 158" xfId="15084" xr:uid="{00000000-0005-0000-0000-0000882C0000}"/>
    <cellStyle name="Normal 158 10" xfId="15085" xr:uid="{00000000-0005-0000-0000-0000892C0000}"/>
    <cellStyle name="Normal 158 2" xfId="15086" xr:uid="{00000000-0005-0000-0000-00008A2C0000}"/>
    <cellStyle name="Normal 158 3" xfId="15087" xr:uid="{00000000-0005-0000-0000-00008B2C0000}"/>
    <cellStyle name="Normal 158 3 2" xfId="15088" xr:uid="{00000000-0005-0000-0000-00008C2C0000}"/>
    <cellStyle name="Normal 158 3 3" xfId="15089" xr:uid="{00000000-0005-0000-0000-00008D2C0000}"/>
    <cellStyle name="Normal 158 3 4" xfId="15090" xr:uid="{00000000-0005-0000-0000-00008E2C0000}"/>
    <cellStyle name="Normal 158 3 5" xfId="15091" xr:uid="{00000000-0005-0000-0000-00008F2C0000}"/>
    <cellStyle name="Normal 158 3 6" xfId="15092" xr:uid="{00000000-0005-0000-0000-0000902C0000}"/>
    <cellStyle name="Normal 158 3 7" xfId="15093" xr:uid="{00000000-0005-0000-0000-0000912C0000}"/>
    <cellStyle name="Normal 158 4" xfId="15094" xr:uid="{00000000-0005-0000-0000-0000922C0000}"/>
    <cellStyle name="Normal 158 5" xfId="15095" xr:uid="{00000000-0005-0000-0000-0000932C0000}"/>
    <cellStyle name="Normal 158 6" xfId="15096" xr:uid="{00000000-0005-0000-0000-0000942C0000}"/>
    <cellStyle name="Normal 158 7" xfId="15097" xr:uid="{00000000-0005-0000-0000-0000952C0000}"/>
    <cellStyle name="Normal 158 8" xfId="15098" xr:uid="{00000000-0005-0000-0000-0000962C0000}"/>
    <cellStyle name="Normal 158 9" xfId="15099" xr:uid="{00000000-0005-0000-0000-0000972C0000}"/>
    <cellStyle name="Normal 159" xfId="15100" xr:uid="{00000000-0005-0000-0000-0000982C0000}"/>
    <cellStyle name="Normal 159 10" xfId="15101" xr:uid="{00000000-0005-0000-0000-0000992C0000}"/>
    <cellStyle name="Normal 159 2" xfId="15102" xr:uid="{00000000-0005-0000-0000-00009A2C0000}"/>
    <cellStyle name="Normal 159 3" xfId="15103" xr:uid="{00000000-0005-0000-0000-00009B2C0000}"/>
    <cellStyle name="Normal 159 3 2" xfId="15104" xr:uid="{00000000-0005-0000-0000-00009C2C0000}"/>
    <cellStyle name="Normal 159 3 3" xfId="15105" xr:uid="{00000000-0005-0000-0000-00009D2C0000}"/>
    <cellStyle name="Normal 159 3 4" xfId="15106" xr:uid="{00000000-0005-0000-0000-00009E2C0000}"/>
    <cellStyle name="Normal 159 3 5" xfId="15107" xr:uid="{00000000-0005-0000-0000-00009F2C0000}"/>
    <cellStyle name="Normal 159 3 6" xfId="15108" xr:uid="{00000000-0005-0000-0000-0000A02C0000}"/>
    <cellStyle name="Normal 159 3 7" xfId="15109" xr:uid="{00000000-0005-0000-0000-0000A12C0000}"/>
    <cellStyle name="Normal 159 4" xfId="15110" xr:uid="{00000000-0005-0000-0000-0000A22C0000}"/>
    <cellStyle name="Normal 159 5" xfId="15111" xr:uid="{00000000-0005-0000-0000-0000A32C0000}"/>
    <cellStyle name="Normal 159 6" xfId="15112" xr:uid="{00000000-0005-0000-0000-0000A42C0000}"/>
    <cellStyle name="Normal 159 7" xfId="15113" xr:uid="{00000000-0005-0000-0000-0000A52C0000}"/>
    <cellStyle name="Normal 159 8" xfId="15114" xr:uid="{00000000-0005-0000-0000-0000A62C0000}"/>
    <cellStyle name="Normal 159 9" xfId="15115" xr:uid="{00000000-0005-0000-0000-0000A72C0000}"/>
    <cellStyle name="Normal 16" xfId="4024" xr:uid="{00000000-0005-0000-0000-0000A82C0000}"/>
    <cellStyle name="Normal 16 2" xfId="15116" xr:uid="{00000000-0005-0000-0000-0000A92C0000}"/>
    <cellStyle name="Normal 16 2 2" xfId="15117" xr:uid="{00000000-0005-0000-0000-0000AA2C0000}"/>
    <cellStyle name="Normal 16 2 2 2" xfId="33635" xr:uid="{00000000-0005-0000-0000-0000AB2C0000}"/>
    <cellStyle name="Normal 16 2 3" xfId="15118" xr:uid="{00000000-0005-0000-0000-0000AC2C0000}"/>
    <cellStyle name="Normal 16 2 4" xfId="34997" xr:uid="{00000000-0005-0000-0000-0000AD2C0000}"/>
    <cellStyle name="Normal 16 3" xfId="15119" xr:uid="{00000000-0005-0000-0000-0000AE2C0000}"/>
    <cellStyle name="Normal 16 3 2" xfId="15120" xr:uid="{00000000-0005-0000-0000-0000AF2C0000}"/>
    <cellStyle name="Normal 16 4" xfId="15121" xr:uid="{00000000-0005-0000-0000-0000B02C0000}"/>
    <cellStyle name="Normal 16 5" xfId="15122" xr:uid="{00000000-0005-0000-0000-0000B12C0000}"/>
    <cellStyle name="Normal 160" xfId="15123" xr:uid="{00000000-0005-0000-0000-0000B22C0000}"/>
    <cellStyle name="Normal 160 10" xfId="15124" xr:uid="{00000000-0005-0000-0000-0000B32C0000}"/>
    <cellStyle name="Normal 160 2" xfId="15125" xr:uid="{00000000-0005-0000-0000-0000B42C0000}"/>
    <cellStyle name="Normal 160 3" xfId="15126" xr:uid="{00000000-0005-0000-0000-0000B52C0000}"/>
    <cellStyle name="Normal 160 3 2" xfId="15127" xr:uid="{00000000-0005-0000-0000-0000B62C0000}"/>
    <cellStyle name="Normal 160 3 3" xfId="15128" xr:uid="{00000000-0005-0000-0000-0000B72C0000}"/>
    <cellStyle name="Normal 160 3 4" xfId="15129" xr:uid="{00000000-0005-0000-0000-0000B82C0000}"/>
    <cellStyle name="Normal 160 3 5" xfId="15130" xr:uid="{00000000-0005-0000-0000-0000B92C0000}"/>
    <cellStyle name="Normal 160 3 6" xfId="15131" xr:uid="{00000000-0005-0000-0000-0000BA2C0000}"/>
    <cellStyle name="Normal 160 3 7" xfId="15132" xr:uid="{00000000-0005-0000-0000-0000BB2C0000}"/>
    <cellStyle name="Normal 160 4" xfId="15133" xr:uid="{00000000-0005-0000-0000-0000BC2C0000}"/>
    <cellStyle name="Normal 160 5" xfId="15134" xr:uid="{00000000-0005-0000-0000-0000BD2C0000}"/>
    <cellStyle name="Normal 160 6" xfId="15135" xr:uid="{00000000-0005-0000-0000-0000BE2C0000}"/>
    <cellStyle name="Normal 160 7" xfId="15136" xr:uid="{00000000-0005-0000-0000-0000BF2C0000}"/>
    <cellStyle name="Normal 160 8" xfId="15137" xr:uid="{00000000-0005-0000-0000-0000C02C0000}"/>
    <cellStyle name="Normal 160 9" xfId="15138" xr:uid="{00000000-0005-0000-0000-0000C12C0000}"/>
    <cellStyle name="Normal 161" xfId="15139" xr:uid="{00000000-0005-0000-0000-0000C22C0000}"/>
    <cellStyle name="Normal 161 2" xfId="15140" xr:uid="{00000000-0005-0000-0000-0000C32C0000}"/>
    <cellStyle name="Normal 162" xfId="15141" xr:uid="{00000000-0005-0000-0000-0000C42C0000}"/>
    <cellStyle name="Normal 162 2" xfId="15142" xr:uid="{00000000-0005-0000-0000-0000C52C0000}"/>
    <cellStyle name="Normal 163" xfId="15143" xr:uid="{00000000-0005-0000-0000-0000C62C0000}"/>
    <cellStyle name="Normal 163 2" xfId="15144" xr:uid="{00000000-0005-0000-0000-0000C72C0000}"/>
    <cellStyle name="Normal 164" xfId="15145" xr:uid="{00000000-0005-0000-0000-0000C82C0000}"/>
    <cellStyle name="Normal 164 2" xfId="15146" xr:uid="{00000000-0005-0000-0000-0000C92C0000}"/>
    <cellStyle name="Normal 165" xfId="15147" xr:uid="{00000000-0005-0000-0000-0000CA2C0000}"/>
    <cellStyle name="Normal 165 2" xfId="15148" xr:uid="{00000000-0005-0000-0000-0000CB2C0000}"/>
    <cellStyle name="Normal 166" xfId="15149" xr:uid="{00000000-0005-0000-0000-0000CC2C0000}"/>
    <cellStyle name="Normal 166 2" xfId="15150" xr:uid="{00000000-0005-0000-0000-0000CD2C0000}"/>
    <cellStyle name="Normal 167" xfId="15151" xr:uid="{00000000-0005-0000-0000-0000CE2C0000}"/>
    <cellStyle name="Normal 167 2" xfId="15152" xr:uid="{00000000-0005-0000-0000-0000CF2C0000}"/>
    <cellStyle name="Normal 168" xfId="15153" xr:uid="{00000000-0005-0000-0000-0000D02C0000}"/>
    <cellStyle name="Normal 168 2" xfId="15154" xr:uid="{00000000-0005-0000-0000-0000D12C0000}"/>
    <cellStyle name="Normal 169" xfId="15155" xr:uid="{00000000-0005-0000-0000-0000D22C0000}"/>
    <cellStyle name="Normal 169 2" xfId="15156" xr:uid="{00000000-0005-0000-0000-0000D32C0000}"/>
    <cellStyle name="Normal 17" xfId="4025" xr:uid="{00000000-0005-0000-0000-0000D42C0000}"/>
    <cellStyle name="Normal 17 2" xfId="15157" xr:uid="{00000000-0005-0000-0000-0000D52C0000}"/>
    <cellStyle name="Normal 17 2 2" xfId="15158" xr:uid="{00000000-0005-0000-0000-0000D62C0000}"/>
    <cellStyle name="Normal 17 2 2 2" xfId="33636" xr:uid="{00000000-0005-0000-0000-0000D72C0000}"/>
    <cellStyle name="Normal 17 2 3" xfId="15159" xr:uid="{00000000-0005-0000-0000-0000D82C0000}"/>
    <cellStyle name="Normal 17 2 4" xfId="34998" xr:uid="{00000000-0005-0000-0000-0000D92C0000}"/>
    <cellStyle name="Normal 17 3" xfId="15160" xr:uid="{00000000-0005-0000-0000-0000DA2C0000}"/>
    <cellStyle name="Normal 17 3 2" xfId="15161" xr:uid="{00000000-0005-0000-0000-0000DB2C0000}"/>
    <cellStyle name="Normal 17 4" xfId="15162" xr:uid="{00000000-0005-0000-0000-0000DC2C0000}"/>
    <cellStyle name="Normal 17 5" xfId="15163" xr:uid="{00000000-0005-0000-0000-0000DD2C0000}"/>
    <cellStyle name="Normal 170" xfId="15164" xr:uid="{00000000-0005-0000-0000-0000DE2C0000}"/>
    <cellStyle name="Normal 170 2" xfId="15165" xr:uid="{00000000-0005-0000-0000-0000DF2C0000}"/>
    <cellStyle name="Normal 171" xfId="15166" xr:uid="{00000000-0005-0000-0000-0000E02C0000}"/>
    <cellStyle name="Normal 171 2" xfId="15167" xr:uid="{00000000-0005-0000-0000-0000E12C0000}"/>
    <cellStyle name="Normal 172" xfId="15168" xr:uid="{00000000-0005-0000-0000-0000E22C0000}"/>
    <cellStyle name="Normal 172 2" xfId="15169" xr:uid="{00000000-0005-0000-0000-0000E32C0000}"/>
    <cellStyle name="Normal 173" xfId="15170" xr:uid="{00000000-0005-0000-0000-0000E42C0000}"/>
    <cellStyle name="Normal 173 2" xfId="15171" xr:uid="{00000000-0005-0000-0000-0000E52C0000}"/>
    <cellStyle name="Normal 174" xfId="15172" xr:uid="{00000000-0005-0000-0000-0000E62C0000}"/>
    <cellStyle name="Normal 174 2" xfId="15173" xr:uid="{00000000-0005-0000-0000-0000E72C0000}"/>
    <cellStyle name="Normal 175" xfId="15174" xr:uid="{00000000-0005-0000-0000-0000E82C0000}"/>
    <cellStyle name="Normal 175 2" xfId="15175" xr:uid="{00000000-0005-0000-0000-0000E92C0000}"/>
    <cellStyle name="Normal 176" xfId="15176" xr:uid="{00000000-0005-0000-0000-0000EA2C0000}"/>
    <cellStyle name="Normal 176 2" xfId="15177" xr:uid="{00000000-0005-0000-0000-0000EB2C0000}"/>
    <cellStyle name="Normal 177" xfId="15178" xr:uid="{00000000-0005-0000-0000-0000EC2C0000}"/>
    <cellStyle name="Normal 177 2" xfId="15179" xr:uid="{00000000-0005-0000-0000-0000ED2C0000}"/>
    <cellStyle name="Normal 178" xfId="15180" xr:uid="{00000000-0005-0000-0000-0000EE2C0000}"/>
    <cellStyle name="Normal 178 2" xfId="15181" xr:uid="{00000000-0005-0000-0000-0000EF2C0000}"/>
    <cellStyle name="Normal 179" xfId="15182" xr:uid="{00000000-0005-0000-0000-0000F02C0000}"/>
    <cellStyle name="Normal 179 2" xfId="15183" xr:uid="{00000000-0005-0000-0000-0000F12C0000}"/>
    <cellStyle name="Normal 18" xfId="4026" xr:uid="{00000000-0005-0000-0000-0000F22C0000}"/>
    <cellStyle name="Normal 18 2" xfId="15184" xr:uid="{00000000-0005-0000-0000-0000F32C0000}"/>
    <cellStyle name="Normal 18 2 2" xfId="15185" xr:uid="{00000000-0005-0000-0000-0000F42C0000}"/>
    <cellStyle name="Normal 18 2 3" xfId="34999" xr:uid="{00000000-0005-0000-0000-0000F52C0000}"/>
    <cellStyle name="Normal 18 3" xfId="15186" xr:uid="{00000000-0005-0000-0000-0000F62C0000}"/>
    <cellStyle name="Normal 18 4" xfId="15187" xr:uid="{00000000-0005-0000-0000-0000F72C0000}"/>
    <cellStyle name="Normal 18 5" xfId="15188" xr:uid="{00000000-0005-0000-0000-0000F82C0000}"/>
    <cellStyle name="Normal 18 5 2" xfId="15189" xr:uid="{00000000-0005-0000-0000-0000F92C0000}"/>
    <cellStyle name="Normal 180" xfId="15190" xr:uid="{00000000-0005-0000-0000-0000FA2C0000}"/>
    <cellStyle name="Normal 180 2" xfId="15191" xr:uid="{00000000-0005-0000-0000-0000FB2C0000}"/>
    <cellStyle name="Normal 181" xfId="15192" xr:uid="{00000000-0005-0000-0000-0000FC2C0000}"/>
    <cellStyle name="Normal 181 2" xfId="15193" xr:uid="{00000000-0005-0000-0000-0000FD2C0000}"/>
    <cellStyle name="Normal 182" xfId="15194" xr:uid="{00000000-0005-0000-0000-0000FE2C0000}"/>
    <cellStyle name="Normal 182 2" xfId="15195" xr:uid="{00000000-0005-0000-0000-0000FF2C0000}"/>
    <cellStyle name="Normal 183" xfId="15196" xr:uid="{00000000-0005-0000-0000-0000002D0000}"/>
    <cellStyle name="Normal 183 2" xfId="15197" xr:uid="{00000000-0005-0000-0000-0000012D0000}"/>
    <cellStyle name="Normal 184" xfId="15198" xr:uid="{00000000-0005-0000-0000-0000022D0000}"/>
    <cellStyle name="Normal 184 2" xfId="35000" xr:uid="{00000000-0005-0000-0000-0000032D0000}"/>
    <cellStyle name="Normal 185" xfId="15199" xr:uid="{00000000-0005-0000-0000-0000042D0000}"/>
    <cellStyle name="Normal 185 2" xfId="35001" xr:uid="{00000000-0005-0000-0000-0000052D0000}"/>
    <cellStyle name="Normal 186" xfId="15200" xr:uid="{00000000-0005-0000-0000-0000062D0000}"/>
    <cellStyle name="Normal 186 2" xfId="35002" xr:uid="{00000000-0005-0000-0000-0000072D0000}"/>
    <cellStyle name="Normal 187" xfId="15201" xr:uid="{00000000-0005-0000-0000-0000082D0000}"/>
    <cellStyle name="Normal 187 2" xfId="35003" xr:uid="{00000000-0005-0000-0000-0000092D0000}"/>
    <cellStyle name="Normal 188" xfId="15202" xr:uid="{00000000-0005-0000-0000-00000A2D0000}"/>
    <cellStyle name="Normal 188 2" xfId="35004" xr:uid="{00000000-0005-0000-0000-00000B2D0000}"/>
    <cellStyle name="Normal 189" xfId="15203" xr:uid="{00000000-0005-0000-0000-00000C2D0000}"/>
    <cellStyle name="Normal 189 10" xfId="15204" xr:uid="{00000000-0005-0000-0000-00000D2D0000}"/>
    <cellStyle name="Normal 189 2" xfId="15205" xr:uid="{00000000-0005-0000-0000-00000E2D0000}"/>
    <cellStyle name="Normal 189 3" xfId="15206" xr:uid="{00000000-0005-0000-0000-00000F2D0000}"/>
    <cellStyle name="Normal 189 3 2" xfId="15207" xr:uid="{00000000-0005-0000-0000-0000102D0000}"/>
    <cellStyle name="Normal 189 3 3" xfId="15208" xr:uid="{00000000-0005-0000-0000-0000112D0000}"/>
    <cellStyle name="Normal 189 3 4" xfId="15209" xr:uid="{00000000-0005-0000-0000-0000122D0000}"/>
    <cellStyle name="Normal 189 3 5" xfId="15210" xr:uid="{00000000-0005-0000-0000-0000132D0000}"/>
    <cellStyle name="Normal 189 3 6" xfId="15211" xr:uid="{00000000-0005-0000-0000-0000142D0000}"/>
    <cellStyle name="Normal 189 3 7" xfId="15212" xr:uid="{00000000-0005-0000-0000-0000152D0000}"/>
    <cellStyle name="Normal 189 4" xfId="15213" xr:uid="{00000000-0005-0000-0000-0000162D0000}"/>
    <cellStyle name="Normal 189 5" xfId="15214" xr:uid="{00000000-0005-0000-0000-0000172D0000}"/>
    <cellStyle name="Normal 189 6" xfId="15215" xr:uid="{00000000-0005-0000-0000-0000182D0000}"/>
    <cellStyle name="Normal 189 7" xfId="15216" xr:uid="{00000000-0005-0000-0000-0000192D0000}"/>
    <cellStyle name="Normal 189 8" xfId="15217" xr:uid="{00000000-0005-0000-0000-00001A2D0000}"/>
    <cellStyle name="Normal 189 9" xfId="15218" xr:uid="{00000000-0005-0000-0000-00001B2D0000}"/>
    <cellStyle name="Normal 19" xfId="4027" xr:uid="{00000000-0005-0000-0000-00001C2D0000}"/>
    <cellStyle name="Normal 19 2" xfId="15219" xr:uid="{00000000-0005-0000-0000-00001D2D0000}"/>
    <cellStyle name="Normal 19 2 2" xfId="15220" xr:uid="{00000000-0005-0000-0000-00001E2D0000}"/>
    <cellStyle name="Normal 19 2 2 2" xfId="35005" xr:uid="{00000000-0005-0000-0000-00001F2D0000}"/>
    <cellStyle name="Normal 19 3" xfId="15221" xr:uid="{00000000-0005-0000-0000-0000202D0000}"/>
    <cellStyle name="Normal 19 3 2" xfId="35006" xr:uid="{00000000-0005-0000-0000-0000212D0000}"/>
    <cellStyle name="Normal 19 4" xfId="15222" xr:uid="{00000000-0005-0000-0000-0000222D0000}"/>
    <cellStyle name="Normal 190" xfId="15223" xr:uid="{00000000-0005-0000-0000-0000232D0000}"/>
    <cellStyle name="Normal 190 10" xfId="15224" xr:uid="{00000000-0005-0000-0000-0000242D0000}"/>
    <cellStyle name="Normal 190 2" xfId="15225" xr:uid="{00000000-0005-0000-0000-0000252D0000}"/>
    <cellStyle name="Normal 190 3" xfId="15226" xr:uid="{00000000-0005-0000-0000-0000262D0000}"/>
    <cellStyle name="Normal 190 3 2" xfId="15227" xr:uid="{00000000-0005-0000-0000-0000272D0000}"/>
    <cellStyle name="Normal 190 3 3" xfId="15228" xr:uid="{00000000-0005-0000-0000-0000282D0000}"/>
    <cellStyle name="Normal 190 3 4" xfId="15229" xr:uid="{00000000-0005-0000-0000-0000292D0000}"/>
    <cellStyle name="Normal 190 3 5" xfId="15230" xr:uid="{00000000-0005-0000-0000-00002A2D0000}"/>
    <cellStyle name="Normal 190 3 6" xfId="15231" xr:uid="{00000000-0005-0000-0000-00002B2D0000}"/>
    <cellStyle name="Normal 190 3 7" xfId="15232" xr:uid="{00000000-0005-0000-0000-00002C2D0000}"/>
    <cellStyle name="Normal 190 4" xfId="15233" xr:uid="{00000000-0005-0000-0000-00002D2D0000}"/>
    <cellStyle name="Normal 190 5" xfId="15234" xr:uid="{00000000-0005-0000-0000-00002E2D0000}"/>
    <cellStyle name="Normal 190 6" xfId="15235" xr:uid="{00000000-0005-0000-0000-00002F2D0000}"/>
    <cellStyle name="Normal 190 7" xfId="15236" xr:uid="{00000000-0005-0000-0000-0000302D0000}"/>
    <cellStyle name="Normal 190 8" xfId="15237" xr:uid="{00000000-0005-0000-0000-0000312D0000}"/>
    <cellStyle name="Normal 190 9" xfId="15238" xr:uid="{00000000-0005-0000-0000-0000322D0000}"/>
    <cellStyle name="Normal 191" xfId="15239" xr:uid="{00000000-0005-0000-0000-0000332D0000}"/>
    <cellStyle name="Normal 191 10" xfId="15240" xr:uid="{00000000-0005-0000-0000-0000342D0000}"/>
    <cellStyle name="Normal 191 2" xfId="15241" xr:uid="{00000000-0005-0000-0000-0000352D0000}"/>
    <cellStyle name="Normal 191 2 2" xfId="15242" xr:uid="{00000000-0005-0000-0000-0000362D0000}"/>
    <cellStyle name="Normal 191 2 3" xfId="15243" xr:uid="{00000000-0005-0000-0000-0000372D0000}"/>
    <cellStyle name="Normal 191 2 4" xfId="15244" xr:uid="{00000000-0005-0000-0000-0000382D0000}"/>
    <cellStyle name="Normal 191 2 5" xfId="15245" xr:uid="{00000000-0005-0000-0000-0000392D0000}"/>
    <cellStyle name="Normal 191 2 6" xfId="15246" xr:uid="{00000000-0005-0000-0000-00003A2D0000}"/>
    <cellStyle name="Normal 191 2 7" xfId="15247" xr:uid="{00000000-0005-0000-0000-00003B2D0000}"/>
    <cellStyle name="Normal 191 3" xfId="15248" xr:uid="{00000000-0005-0000-0000-00003C2D0000}"/>
    <cellStyle name="Normal 191 4" xfId="15249" xr:uid="{00000000-0005-0000-0000-00003D2D0000}"/>
    <cellStyle name="Normal 191 5" xfId="15250" xr:uid="{00000000-0005-0000-0000-00003E2D0000}"/>
    <cellStyle name="Normal 191 6" xfId="15251" xr:uid="{00000000-0005-0000-0000-00003F2D0000}"/>
    <cellStyle name="Normal 191 7" xfId="15252" xr:uid="{00000000-0005-0000-0000-0000402D0000}"/>
    <cellStyle name="Normal 191 8" xfId="15253" xr:uid="{00000000-0005-0000-0000-0000412D0000}"/>
    <cellStyle name="Normal 191 9" xfId="15254" xr:uid="{00000000-0005-0000-0000-0000422D0000}"/>
    <cellStyle name="Normal 192" xfId="15255" xr:uid="{00000000-0005-0000-0000-0000432D0000}"/>
    <cellStyle name="Normal 192 10" xfId="15256" xr:uid="{00000000-0005-0000-0000-0000442D0000}"/>
    <cellStyle name="Normal 192 2" xfId="15257" xr:uid="{00000000-0005-0000-0000-0000452D0000}"/>
    <cellStyle name="Normal 192 2 2" xfId="15258" xr:uid="{00000000-0005-0000-0000-0000462D0000}"/>
    <cellStyle name="Normal 192 2 3" xfId="15259" xr:uid="{00000000-0005-0000-0000-0000472D0000}"/>
    <cellStyle name="Normal 192 2 4" xfId="15260" xr:uid="{00000000-0005-0000-0000-0000482D0000}"/>
    <cellStyle name="Normal 192 2 5" xfId="15261" xr:uid="{00000000-0005-0000-0000-0000492D0000}"/>
    <cellStyle name="Normal 192 2 6" xfId="15262" xr:uid="{00000000-0005-0000-0000-00004A2D0000}"/>
    <cellStyle name="Normal 192 2 7" xfId="15263" xr:uid="{00000000-0005-0000-0000-00004B2D0000}"/>
    <cellStyle name="Normal 192 3" xfId="15264" xr:uid="{00000000-0005-0000-0000-00004C2D0000}"/>
    <cellStyle name="Normal 192 4" xfId="15265" xr:uid="{00000000-0005-0000-0000-00004D2D0000}"/>
    <cellStyle name="Normal 192 5" xfId="15266" xr:uid="{00000000-0005-0000-0000-00004E2D0000}"/>
    <cellStyle name="Normal 192 6" xfId="15267" xr:uid="{00000000-0005-0000-0000-00004F2D0000}"/>
    <cellStyle name="Normal 192 7" xfId="15268" xr:uid="{00000000-0005-0000-0000-0000502D0000}"/>
    <cellStyle name="Normal 192 8" xfId="15269" xr:uid="{00000000-0005-0000-0000-0000512D0000}"/>
    <cellStyle name="Normal 192 9" xfId="15270" xr:uid="{00000000-0005-0000-0000-0000522D0000}"/>
    <cellStyle name="Normal 193" xfId="15271" xr:uid="{00000000-0005-0000-0000-0000532D0000}"/>
    <cellStyle name="Normal 193 10" xfId="15272" xr:uid="{00000000-0005-0000-0000-0000542D0000}"/>
    <cellStyle name="Normal 193 2" xfId="15273" xr:uid="{00000000-0005-0000-0000-0000552D0000}"/>
    <cellStyle name="Normal 193 2 2" xfId="15274" xr:uid="{00000000-0005-0000-0000-0000562D0000}"/>
    <cellStyle name="Normal 193 2 3" xfId="15275" xr:uid="{00000000-0005-0000-0000-0000572D0000}"/>
    <cellStyle name="Normal 193 2 4" xfId="15276" xr:uid="{00000000-0005-0000-0000-0000582D0000}"/>
    <cellStyle name="Normal 193 2 5" xfId="15277" xr:uid="{00000000-0005-0000-0000-0000592D0000}"/>
    <cellStyle name="Normal 193 2 6" xfId="15278" xr:uid="{00000000-0005-0000-0000-00005A2D0000}"/>
    <cellStyle name="Normal 193 2 7" xfId="15279" xr:uid="{00000000-0005-0000-0000-00005B2D0000}"/>
    <cellStyle name="Normal 193 3" xfId="15280" xr:uid="{00000000-0005-0000-0000-00005C2D0000}"/>
    <cellStyle name="Normal 193 4" xfId="15281" xr:uid="{00000000-0005-0000-0000-00005D2D0000}"/>
    <cellStyle name="Normal 193 5" xfId="15282" xr:uid="{00000000-0005-0000-0000-00005E2D0000}"/>
    <cellStyle name="Normal 193 6" xfId="15283" xr:uid="{00000000-0005-0000-0000-00005F2D0000}"/>
    <cellStyle name="Normal 193 7" xfId="15284" xr:uid="{00000000-0005-0000-0000-0000602D0000}"/>
    <cellStyle name="Normal 193 8" xfId="15285" xr:uid="{00000000-0005-0000-0000-0000612D0000}"/>
    <cellStyle name="Normal 193 9" xfId="15286" xr:uid="{00000000-0005-0000-0000-0000622D0000}"/>
    <cellStyle name="Normal 194" xfId="15287" xr:uid="{00000000-0005-0000-0000-0000632D0000}"/>
    <cellStyle name="Normal 194 10" xfId="15288" xr:uid="{00000000-0005-0000-0000-0000642D0000}"/>
    <cellStyle name="Normal 194 2" xfId="15289" xr:uid="{00000000-0005-0000-0000-0000652D0000}"/>
    <cellStyle name="Normal 194 2 2" xfId="15290" xr:uid="{00000000-0005-0000-0000-0000662D0000}"/>
    <cellStyle name="Normal 194 2 3" xfId="15291" xr:uid="{00000000-0005-0000-0000-0000672D0000}"/>
    <cellStyle name="Normal 194 2 4" xfId="15292" xr:uid="{00000000-0005-0000-0000-0000682D0000}"/>
    <cellStyle name="Normal 194 2 5" xfId="15293" xr:uid="{00000000-0005-0000-0000-0000692D0000}"/>
    <cellStyle name="Normal 194 2 6" xfId="15294" xr:uid="{00000000-0005-0000-0000-00006A2D0000}"/>
    <cellStyle name="Normal 194 2 7" xfId="15295" xr:uid="{00000000-0005-0000-0000-00006B2D0000}"/>
    <cellStyle name="Normal 194 2 8" xfId="15296" xr:uid="{00000000-0005-0000-0000-00006C2D0000}"/>
    <cellStyle name="Normal 194 2 9" xfId="15297" xr:uid="{00000000-0005-0000-0000-00006D2D0000}"/>
    <cellStyle name="Normal 194 3" xfId="15298" xr:uid="{00000000-0005-0000-0000-00006E2D0000}"/>
    <cellStyle name="Normal 194 4" xfId="15299" xr:uid="{00000000-0005-0000-0000-00006F2D0000}"/>
    <cellStyle name="Normal 194 5" xfId="15300" xr:uid="{00000000-0005-0000-0000-0000702D0000}"/>
    <cellStyle name="Normal 194 6" xfId="15301" xr:uid="{00000000-0005-0000-0000-0000712D0000}"/>
    <cellStyle name="Normal 194 7" xfId="15302" xr:uid="{00000000-0005-0000-0000-0000722D0000}"/>
    <cellStyle name="Normal 194 8" xfId="15303" xr:uid="{00000000-0005-0000-0000-0000732D0000}"/>
    <cellStyle name="Normal 194 9" xfId="15304" xr:uid="{00000000-0005-0000-0000-0000742D0000}"/>
    <cellStyle name="Normal 195" xfId="15305" xr:uid="{00000000-0005-0000-0000-0000752D0000}"/>
    <cellStyle name="Normal 195 2" xfId="15306" xr:uid="{00000000-0005-0000-0000-0000762D0000}"/>
    <cellStyle name="Normal 195 3" xfId="15307" xr:uid="{00000000-0005-0000-0000-0000772D0000}"/>
    <cellStyle name="Normal 196" xfId="15308" xr:uid="{00000000-0005-0000-0000-0000782D0000}"/>
    <cellStyle name="Normal 196 2" xfId="15309" xr:uid="{00000000-0005-0000-0000-0000792D0000}"/>
    <cellStyle name="Normal 196 3" xfId="15310" xr:uid="{00000000-0005-0000-0000-00007A2D0000}"/>
    <cellStyle name="Normal 197" xfId="15311" xr:uid="{00000000-0005-0000-0000-00007B2D0000}"/>
    <cellStyle name="Normal 197 2" xfId="15312" xr:uid="{00000000-0005-0000-0000-00007C2D0000}"/>
    <cellStyle name="Normal 197 3" xfId="15313" xr:uid="{00000000-0005-0000-0000-00007D2D0000}"/>
    <cellStyle name="Normal 198" xfId="15314" xr:uid="{00000000-0005-0000-0000-00007E2D0000}"/>
    <cellStyle name="Normal 198 2" xfId="15315" xr:uid="{00000000-0005-0000-0000-00007F2D0000}"/>
    <cellStyle name="Normal 199" xfId="15316" xr:uid="{00000000-0005-0000-0000-0000802D0000}"/>
    <cellStyle name="Normal 199 2" xfId="15317" xr:uid="{00000000-0005-0000-0000-0000812D0000}"/>
    <cellStyle name="Normal 199 3" xfId="15318" xr:uid="{00000000-0005-0000-0000-0000822D0000}"/>
    <cellStyle name="Normal 199 4" xfId="15319" xr:uid="{00000000-0005-0000-0000-0000832D0000}"/>
    <cellStyle name="Normal 199 5" xfId="15320" xr:uid="{00000000-0005-0000-0000-0000842D0000}"/>
    <cellStyle name="Normal 199 6" xfId="15321" xr:uid="{00000000-0005-0000-0000-0000852D0000}"/>
    <cellStyle name="Normal 199 7" xfId="15322" xr:uid="{00000000-0005-0000-0000-0000862D0000}"/>
    <cellStyle name="Normal 199 8" xfId="15323" xr:uid="{00000000-0005-0000-0000-0000872D0000}"/>
    <cellStyle name="Normal 199 9" xfId="15324" xr:uid="{00000000-0005-0000-0000-0000882D0000}"/>
    <cellStyle name="Normal 2" xfId="1" xr:uid="{00000000-0005-0000-0000-0000892D0000}"/>
    <cellStyle name="Normal 2 10" xfId="4028" xr:uid="{00000000-0005-0000-0000-00008A2D0000}"/>
    <cellStyle name="Normal 2 10 10" xfId="15325" xr:uid="{00000000-0005-0000-0000-00008B2D0000}"/>
    <cellStyle name="Normal 2 10 10 2" xfId="15326" xr:uid="{00000000-0005-0000-0000-00008C2D0000}"/>
    <cellStyle name="Normal 2 10 10 2 2" xfId="15327" xr:uid="{00000000-0005-0000-0000-00008D2D0000}"/>
    <cellStyle name="Normal 2 10 10 2 3" xfId="15328" xr:uid="{00000000-0005-0000-0000-00008E2D0000}"/>
    <cellStyle name="Normal 2 10 10 2 4" xfId="15329" xr:uid="{00000000-0005-0000-0000-00008F2D0000}"/>
    <cellStyle name="Normal 2 10 10 2 5" xfId="15330" xr:uid="{00000000-0005-0000-0000-0000902D0000}"/>
    <cellStyle name="Normal 2 10 10 2 6" xfId="15331" xr:uid="{00000000-0005-0000-0000-0000912D0000}"/>
    <cellStyle name="Normal 2 10 10 2 7" xfId="15332" xr:uid="{00000000-0005-0000-0000-0000922D0000}"/>
    <cellStyle name="Normal 2 10 10 3" xfId="15333" xr:uid="{00000000-0005-0000-0000-0000932D0000}"/>
    <cellStyle name="Normal 2 10 10 4" xfId="15334" xr:uid="{00000000-0005-0000-0000-0000942D0000}"/>
    <cellStyle name="Normal 2 10 10 5" xfId="15335" xr:uid="{00000000-0005-0000-0000-0000952D0000}"/>
    <cellStyle name="Normal 2 10 10 6" xfId="15336" xr:uid="{00000000-0005-0000-0000-0000962D0000}"/>
    <cellStyle name="Normal 2 10 10 7" xfId="15337" xr:uid="{00000000-0005-0000-0000-0000972D0000}"/>
    <cellStyle name="Normal 2 10 10 8" xfId="15338" xr:uid="{00000000-0005-0000-0000-0000982D0000}"/>
    <cellStyle name="Normal 2 10 11" xfId="15339" xr:uid="{00000000-0005-0000-0000-0000992D0000}"/>
    <cellStyle name="Normal 2 10 11 2" xfId="15340" xr:uid="{00000000-0005-0000-0000-00009A2D0000}"/>
    <cellStyle name="Normal 2 10 11 2 2" xfId="15341" xr:uid="{00000000-0005-0000-0000-00009B2D0000}"/>
    <cellStyle name="Normal 2 10 11 2 3" xfId="15342" xr:uid="{00000000-0005-0000-0000-00009C2D0000}"/>
    <cellStyle name="Normal 2 10 11 2 4" xfId="15343" xr:uid="{00000000-0005-0000-0000-00009D2D0000}"/>
    <cellStyle name="Normal 2 10 11 2 5" xfId="15344" xr:uid="{00000000-0005-0000-0000-00009E2D0000}"/>
    <cellStyle name="Normal 2 10 11 2 6" xfId="15345" xr:uid="{00000000-0005-0000-0000-00009F2D0000}"/>
    <cellStyle name="Normal 2 10 11 2 7" xfId="15346" xr:uid="{00000000-0005-0000-0000-0000A02D0000}"/>
    <cellStyle name="Normal 2 10 11 3" xfId="15347" xr:uid="{00000000-0005-0000-0000-0000A12D0000}"/>
    <cellStyle name="Normal 2 10 11 4" xfId="15348" xr:uid="{00000000-0005-0000-0000-0000A22D0000}"/>
    <cellStyle name="Normal 2 10 11 5" xfId="15349" xr:uid="{00000000-0005-0000-0000-0000A32D0000}"/>
    <cellStyle name="Normal 2 10 11 6" xfId="15350" xr:uid="{00000000-0005-0000-0000-0000A42D0000}"/>
    <cellStyle name="Normal 2 10 11 7" xfId="15351" xr:uid="{00000000-0005-0000-0000-0000A52D0000}"/>
    <cellStyle name="Normal 2 10 11 8" xfId="15352" xr:uid="{00000000-0005-0000-0000-0000A62D0000}"/>
    <cellStyle name="Normal 2 10 12" xfId="15353" xr:uid="{00000000-0005-0000-0000-0000A72D0000}"/>
    <cellStyle name="Normal 2 10 12 2" xfId="15354" xr:uid="{00000000-0005-0000-0000-0000A82D0000}"/>
    <cellStyle name="Normal 2 10 12 2 2" xfId="15355" xr:uid="{00000000-0005-0000-0000-0000A92D0000}"/>
    <cellStyle name="Normal 2 10 12 2 3" xfId="15356" xr:uid="{00000000-0005-0000-0000-0000AA2D0000}"/>
    <cellStyle name="Normal 2 10 12 2 4" xfId="15357" xr:uid="{00000000-0005-0000-0000-0000AB2D0000}"/>
    <cellStyle name="Normal 2 10 12 2 5" xfId="15358" xr:uid="{00000000-0005-0000-0000-0000AC2D0000}"/>
    <cellStyle name="Normal 2 10 12 2 6" xfId="15359" xr:uid="{00000000-0005-0000-0000-0000AD2D0000}"/>
    <cellStyle name="Normal 2 10 12 2 7" xfId="15360" xr:uid="{00000000-0005-0000-0000-0000AE2D0000}"/>
    <cellStyle name="Normal 2 10 12 3" xfId="15361" xr:uid="{00000000-0005-0000-0000-0000AF2D0000}"/>
    <cellStyle name="Normal 2 10 12 4" xfId="15362" xr:uid="{00000000-0005-0000-0000-0000B02D0000}"/>
    <cellStyle name="Normal 2 10 12 5" xfId="15363" xr:uid="{00000000-0005-0000-0000-0000B12D0000}"/>
    <cellStyle name="Normal 2 10 12 6" xfId="15364" xr:uid="{00000000-0005-0000-0000-0000B22D0000}"/>
    <cellStyle name="Normal 2 10 12 7" xfId="15365" xr:uid="{00000000-0005-0000-0000-0000B32D0000}"/>
    <cellStyle name="Normal 2 10 12 8" xfId="15366" xr:uid="{00000000-0005-0000-0000-0000B42D0000}"/>
    <cellStyle name="Normal 2 10 13" xfId="15367" xr:uid="{00000000-0005-0000-0000-0000B52D0000}"/>
    <cellStyle name="Normal 2 10 13 2" xfId="15368" xr:uid="{00000000-0005-0000-0000-0000B62D0000}"/>
    <cellStyle name="Normal 2 10 13 2 2" xfId="15369" xr:uid="{00000000-0005-0000-0000-0000B72D0000}"/>
    <cellStyle name="Normal 2 10 13 2 3" xfId="15370" xr:uid="{00000000-0005-0000-0000-0000B82D0000}"/>
    <cellStyle name="Normal 2 10 13 2 4" xfId="15371" xr:uid="{00000000-0005-0000-0000-0000B92D0000}"/>
    <cellStyle name="Normal 2 10 13 2 5" xfId="15372" xr:uid="{00000000-0005-0000-0000-0000BA2D0000}"/>
    <cellStyle name="Normal 2 10 13 2 6" xfId="15373" xr:uid="{00000000-0005-0000-0000-0000BB2D0000}"/>
    <cellStyle name="Normal 2 10 13 2 7" xfId="15374" xr:uid="{00000000-0005-0000-0000-0000BC2D0000}"/>
    <cellStyle name="Normal 2 10 13 3" xfId="15375" xr:uid="{00000000-0005-0000-0000-0000BD2D0000}"/>
    <cellStyle name="Normal 2 10 13 4" xfId="15376" xr:uid="{00000000-0005-0000-0000-0000BE2D0000}"/>
    <cellStyle name="Normal 2 10 13 5" xfId="15377" xr:uid="{00000000-0005-0000-0000-0000BF2D0000}"/>
    <cellStyle name="Normal 2 10 13 6" xfId="15378" xr:uid="{00000000-0005-0000-0000-0000C02D0000}"/>
    <cellStyle name="Normal 2 10 13 7" xfId="15379" xr:uid="{00000000-0005-0000-0000-0000C12D0000}"/>
    <cellStyle name="Normal 2 10 13 8" xfId="15380" xr:uid="{00000000-0005-0000-0000-0000C22D0000}"/>
    <cellStyle name="Normal 2 10 14" xfId="15381" xr:uid="{00000000-0005-0000-0000-0000C32D0000}"/>
    <cellStyle name="Normal 2 10 14 2" xfId="15382" xr:uid="{00000000-0005-0000-0000-0000C42D0000}"/>
    <cellStyle name="Normal 2 10 14 2 2" xfId="15383" xr:uid="{00000000-0005-0000-0000-0000C52D0000}"/>
    <cellStyle name="Normal 2 10 14 2 3" xfId="15384" xr:uid="{00000000-0005-0000-0000-0000C62D0000}"/>
    <cellStyle name="Normal 2 10 14 2 4" xfId="15385" xr:uid="{00000000-0005-0000-0000-0000C72D0000}"/>
    <cellStyle name="Normal 2 10 14 2 5" xfId="15386" xr:uid="{00000000-0005-0000-0000-0000C82D0000}"/>
    <cellStyle name="Normal 2 10 14 2 6" xfId="15387" xr:uid="{00000000-0005-0000-0000-0000C92D0000}"/>
    <cellStyle name="Normal 2 10 14 2 7" xfId="15388" xr:uid="{00000000-0005-0000-0000-0000CA2D0000}"/>
    <cellStyle name="Normal 2 10 14 3" xfId="15389" xr:uid="{00000000-0005-0000-0000-0000CB2D0000}"/>
    <cellStyle name="Normal 2 10 14 4" xfId="15390" xr:uid="{00000000-0005-0000-0000-0000CC2D0000}"/>
    <cellStyle name="Normal 2 10 14 5" xfId="15391" xr:uid="{00000000-0005-0000-0000-0000CD2D0000}"/>
    <cellStyle name="Normal 2 10 14 6" xfId="15392" xr:uid="{00000000-0005-0000-0000-0000CE2D0000}"/>
    <cellStyle name="Normal 2 10 14 7" xfId="15393" xr:uid="{00000000-0005-0000-0000-0000CF2D0000}"/>
    <cellStyle name="Normal 2 10 14 8" xfId="15394" xr:uid="{00000000-0005-0000-0000-0000D02D0000}"/>
    <cellStyle name="Normal 2 10 15" xfId="15395" xr:uid="{00000000-0005-0000-0000-0000D12D0000}"/>
    <cellStyle name="Normal 2 10 15 2" xfId="15396" xr:uid="{00000000-0005-0000-0000-0000D22D0000}"/>
    <cellStyle name="Normal 2 10 15 2 2" xfId="15397" xr:uid="{00000000-0005-0000-0000-0000D32D0000}"/>
    <cellStyle name="Normal 2 10 15 2 3" xfId="15398" xr:uid="{00000000-0005-0000-0000-0000D42D0000}"/>
    <cellStyle name="Normal 2 10 15 2 4" xfId="15399" xr:uid="{00000000-0005-0000-0000-0000D52D0000}"/>
    <cellStyle name="Normal 2 10 15 2 5" xfId="15400" xr:uid="{00000000-0005-0000-0000-0000D62D0000}"/>
    <cellStyle name="Normal 2 10 15 2 6" xfId="15401" xr:uid="{00000000-0005-0000-0000-0000D72D0000}"/>
    <cellStyle name="Normal 2 10 15 2 7" xfId="15402" xr:uid="{00000000-0005-0000-0000-0000D82D0000}"/>
    <cellStyle name="Normal 2 10 15 3" xfId="15403" xr:uid="{00000000-0005-0000-0000-0000D92D0000}"/>
    <cellStyle name="Normal 2 10 15 4" xfId="15404" xr:uid="{00000000-0005-0000-0000-0000DA2D0000}"/>
    <cellStyle name="Normal 2 10 15 5" xfId="15405" xr:uid="{00000000-0005-0000-0000-0000DB2D0000}"/>
    <cellStyle name="Normal 2 10 15 6" xfId="15406" xr:uid="{00000000-0005-0000-0000-0000DC2D0000}"/>
    <cellStyle name="Normal 2 10 15 7" xfId="15407" xr:uid="{00000000-0005-0000-0000-0000DD2D0000}"/>
    <cellStyle name="Normal 2 10 15 8" xfId="15408" xr:uid="{00000000-0005-0000-0000-0000DE2D0000}"/>
    <cellStyle name="Normal 2 10 16" xfId="15409" xr:uid="{00000000-0005-0000-0000-0000DF2D0000}"/>
    <cellStyle name="Normal 2 10 16 2" xfId="15410" xr:uid="{00000000-0005-0000-0000-0000E02D0000}"/>
    <cellStyle name="Normal 2 10 16 3" xfId="15411" xr:uid="{00000000-0005-0000-0000-0000E12D0000}"/>
    <cellStyle name="Normal 2 10 16 4" xfId="15412" xr:uid="{00000000-0005-0000-0000-0000E22D0000}"/>
    <cellStyle name="Normal 2 10 16 5" xfId="15413" xr:uid="{00000000-0005-0000-0000-0000E32D0000}"/>
    <cellStyle name="Normal 2 10 16 6" xfId="15414" xr:uid="{00000000-0005-0000-0000-0000E42D0000}"/>
    <cellStyle name="Normal 2 10 16 7" xfId="15415" xr:uid="{00000000-0005-0000-0000-0000E52D0000}"/>
    <cellStyle name="Normal 2 10 17" xfId="15416" xr:uid="{00000000-0005-0000-0000-0000E62D0000}"/>
    <cellStyle name="Normal 2 10 17 2" xfId="15417" xr:uid="{00000000-0005-0000-0000-0000E72D0000}"/>
    <cellStyle name="Normal 2 10 17 3" xfId="15418" xr:uid="{00000000-0005-0000-0000-0000E82D0000}"/>
    <cellStyle name="Normal 2 10 17 4" xfId="15419" xr:uid="{00000000-0005-0000-0000-0000E92D0000}"/>
    <cellStyle name="Normal 2 10 17 5" xfId="15420" xr:uid="{00000000-0005-0000-0000-0000EA2D0000}"/>
    <cellStyle name="Normal 2 10 17 6" xfId="15421" xr:uid="{00000000-0005-0000-0000-0000EB2D0000}"/>
    <cellStyle name="Normal 2 10 17 7" xfId="15422" xr:uid="{00000000-0005-0000-0000-0000EC2D0000}"/>
    <cellStyle name="Normal 2 10 18" xfId="15423" xr:uid="{00000000-0005-0000-0000-0000ED2D0000}"/>
    <cellStyle name="Normal 2 10 18 2" xfId="15424" xr:uid="{00000000-0005-0000-0000-0000EE2D0000}"/>
    <cellStyle name="Normal 2 10 18 3" xfId="15425" xr:uid="{00000000-0005-0000-0000-0000EF2D0000}"/>
    <cellStyle name="Normal 2 10 18 4" xfId="15426" xr:uid="{00000000-0005-0000-0000-0000F02D0000}"/>
    <cellStyle name="Normal 2 10 18 5" xfId="15427" xr:uid="{00000000-0005-0000-0000-0000F12D0000}"/>
    <cellStyle name="Normal 2 10 18 6" xfId="15428" xr:uid="{00000000-0005-0000-0000-0000F22D0000}"/>
    <cellStyle name="Normal 2 10 18 7" xfId="15429" xr:uid="{00000000-0005-0000-0000-0000F32D0000}"/>
    <cellStyle name="Normal 2 10 19" xfId="15430" xr:uid="{00000000-0005-0000-0000-0000F42D0000}"/>
    <cellStyle name="Normal 2 10 19 2" xfId="15431" xr:uid="{00000000-0005-0000-0000-0000F52D0000}"/>
    <cellStyle name="Normal 2 10 19 3" xfId="15432" xr:uid="{00000000-0005-0000-0000-0000F62D0000}"/>
    <cellStyle name="Normal 2 10 19 4" xfId="15433" xr:uid="{00000000-0005-0000-0000-0000F72D0000}"/>
    <cellStyle name="Normal 2 10 19 5" xfId="15434" xr:uid="{00000000-0005-0000-0000-0000F82D0000}"/>
    <cellStyle name="Normal 2 10 19 6" xfId="15435" xr:uid="{00000000-0005-0000-0000-0000F92D0000}"/>
    <cellStyle name="Normal 2 10 19 7" xfId="15436" xr:uid="{00000000-0005-0000-0000-0000FA2D0000}"/>
    <cellStyle name="Normal 2 10 2" xfId="4029" xr:uid="{00000000-0005-0000-0000-0000FB2D0000}"/>
    <cellStyle name="Normal 2 10 2 2" xfId="15437" xr:uid="{00000000-0005-0000-0000-0000FC2D0000}"/>
    <cellStyle name="Normal 2 10 2 2 2" xfId="15438" xr:uid="{00000000-0005-0000-0000-0000FD2D0000}"/>
    <cellStyle name="Normal 2 10 2 2 3" xfId="15439" xr:uid="{00000000-0005-0000-0000-0000FE2D0000}"/>
    <cellStyle name="Normal 2 10 2 2 4" xfId="15440" xr:uid="{00000000-0005-0000-0000-0000FF2D0000}"/>
    <cellStyle name="Normal 2 10 2 2 5" xfId="15441" xr:uid="{00000000-0005-0000-0000-0000002E0000}"/>
    <cellStyle name="Normal 2 10 2 2 6" xfId="15442" xr:uid="{00000000-0005-0000-0000-0000012E0000}"/>
    <cellStyle name="Normal 2 10 2 2 7" xfId="15443" xr:uid="{00000000-0005-0000-0000-0000022E0000}"/>
    <cellStyle name="Normal 2 10 2 3" xfId="15444" xr:uid="{00000000-0005-0000-0000-0000032E0000}"/>
    <cellStyle name="Normal 2 10 2 4" xfId="15445" xr:uid="{00000000-0005-0000-0000-0000042E0000}"/>
    <cellStyle name="Normal 2 10 2 5" xfId="15446" xr:uid="{00000000-0005-0000-0000-0000052E0000}"/>
    <cellStyle name="Normal 2 10 2 6" xfId="15447" xr:uid="{00000000-0005-0000-0000-0000062E0000}"/>
    <cellStyle name="Normal 2 10 2 7" xfId="15448" xr:uid="{00000000-0005-0000-0000-0000072E0000}"/>
    <cellStyle name="Normal 2 10 2 8" xfId="15449" xr:uid="{00000000-0005-0000-0000-0000082E0000}"/>
    <cellStyle name="Normal 2 10 2 9" xfId="15450" xr:uid="{00000000-0005-0000-0000-0000092E0000}"/>
    <cellStyle name="Normal 2 10 20" xfId="15451" xr:uid="{00000000-0005-0000-0000-00000A2E0000}"/>
    <cellStyle name="Normal 2 10 20 2" xfId="15452" xr:uid="{00000000-0005-0000-0000-00000B2E0000}"/>
    <cellStyle name="Normal 2 10 20 3" xfId="15453" xr:uid="{00000000-0005-0000-0000-00000C2E0000}"/>
    <cellStyle name="Normal 2 10 20 4" xfId="15454" xr:uid="{00000000-0005-0000-0000-00000D2E0000}"/>
    <cellStyle name="Normal 2 10 20 5" xfId="15455" xr:uid="{00000000-0005-0000-0000-00000E2E0000}"/>
    <cellStyle name="Normal 2 10 20 6" xfId="15456" xr:uid="{00000000-0005-0000-0000-00000F2E0000}"/>
    <cellStyle name="Normal 2 10 20 7" xfId="15457" xr:uid="{00000000-0005-0000-0000-0000102E0000}"/>
    <cellStyle name="Normal 2 10 21" xfId="15458" xr:uid="{00000000-0005-0000-0000-0000112E0000}"/>
    <cellStyle name="Normal 2 10 21 2" xfId="15459" xr:uid="{00000000-0005-0000-0000-0000122E0000}"/>
    <cellStyle name="Normal 2 10 21 3" xfId="15460" xr:uid="{00000000-0005-0000-0000-0000132E0000}"/>
    <cellStyle name="Normal 2 10 21 4" xfId="15461" xr:uid="{00000000-0005-0000-0000-0000142E0000}"/>
    <cellStyle name="Normal 2 10 21 5" xfId="15462" xr:uid="{00000000-0005-0000-0000-0000152E0000}"/>
    <cellStyle name="Normal 2 10 21 6" xfId="15463" xr:uid="{00000000-0005-0000-0000-0000162E0000}"/>
    <cellStyle name="Normal 2 10 21 7" xfId="15464" xr:uid="{00000000-0005-0000-0000-0000172E0000}"/>
    <cellStyle name="Normal 2 10 22" xfId="15465" xr:uid="{00000000-0005-0000-0000-0000182E0000}"/>
    <cellStyle name="Normal 2 10 22 2" xfId="15466" xr:uid="{00000000-0005-0000-0000-0000192E0000}"/>
    <cellStyle name="Normal 2 10 22 3" xfId="15467" xr:uid="{00000000-0005-0000-0000-00001A2E0000}"/>
    <cellStyle name="Normal 2 10 22 4" xfId="15468" xr:uid="{00000000-0005-0000-0000-00001B2E0000}"/>
    <cellStyle name="Normal 2 10 22 5" xfId="15469" xr:uid="{00000000-0005-0000-0000-00001C2E0000}"/>
    <cellStyle name="Normal 2 10 22 6" xfId="15470" xr:uid="{00000000-0005-0000-0000-00001D2E0000}"/>
    <cellStyle name="Normal 2 10 22 7" xfId="15471" xr:uid="{00000000-0005-0000-0000-00001E2E0000}"/>
    <cellStyle name="Normal 2 10 23" xfId="15472" xr:uid="{00000000-0005-0000-0000-00001F2E0000}"/>
    <cellStyle name="Normal 2 10 23 2" xfId="15473" xr:uid="{00000000-0005-0000-0000-0000202E0000}"/>
    <cellStyle name="Normal 2 10 23 3" xfId="15474" xr:uid="{00000000-0005-0000-0000-0000212E0000}"/>
    <cellStyle name="Normal 2 10 23 4" xfId="15475" xr:uid="{00000000-0005-0000-0000-0000222E0000}"/>
    <cellStyle name="Normal 2 10 23 5" xfId="15476" xr:uid="{00000000-0005-0000-0000-0000232E0000}"/>
    <cellStyle name="Normal 2 10 23 6" xfId="15477" xr:uid="{00000000-0005-0000-0000-0000242E0000}"/>
    <cellStyle name="Normal 2 10 23 7" xfId="15478" xr:uid="{00000000-0005-0000-0000-0000252E0000}"/>
    <cellStyle name="Normal 2 10 24" xfId="15479" xr:uid="{00000000-0005-0000-0000-0000262E0000}"/>
    <cellStyle name="Normal 2 10 24 2" xfId="15480" xr:uid="{00000000-0005-0000-0000-0000272E0000}"/>
    <cellStyle name="Normal 2 10 24 3" xfId="15481" xr:uid="{00000000-0005-0000-0000-0000282E0000}"/>
    <cellStyle name="Normal 2 10 24 4" xfId="15482" xr:uid="{00000000-0005-0000-0000-0000292E0000}"/>
    <cellStyle name="Normal 2 10 24 5" xfId="15483" xr:uid="{00000000-0005-0000-0000-00002A2E0000}"/>
    <cellStyle name="Normal 2 10 24 6" xfId="15484" xr:uid="{00000000-0005-0000-0000-00002B2E0000}"/>
    <cellStyle name="Normal 2 10 24 7" xfId="15485" xr:uid="{00000000-0005-0000-0000-00002C2E0000}"/>
    <cellStyle name="Normal 2 10 25" xfId="15486" xr:uid="{00000000-0005-0000-0000-00002D2E0000}"/>
    <cellStyle name="Normal 2 10 25 2" xfId="15487" xr:uid="{00000000-0005-0000-0000-00002E2E0000}"/>
    <cellStyle name="Normal 2 10 25 3" xfId="15488" xr:uid="{00000000-0005-0000-0000-00002F2E0000}"/>
    <cellStyle name="Normal 2 10 25 4" xfId="15489" xr:uid="{00000000-0005-0000-0000-0000302E0000}"/>
    <cellStyle name="Normal 2 10 25 5" xfId="15490" xr:uid="{00000000-0005-0000-0000-0000312E0000}"/>
    <cellStyle name="Normal 2 10 25 6" xfId="15491" xr:uid="{00000000-0005-0000-0000-0000322E0000}"/>
    <cellStyle name="Normal 2 10 25 7" xfId="15492" xr:uid="{00000000-0005-0000-0000-0000332E0000}"/>
    <cellStyle name="Normal 2 10 26" xfId="15493" xr:uid="{00000000-0005-0000-0000-0000342E0000}"/>
    <cellStyle name="Normal 2 10 26 2" xfId="15494" xr:uid="{00000000-0005-0000-0000-0000352E0000}"/>
    <cellStyle name="Normal 2 10 26 3" xfId="15495" xr:uid="{00000000-0005-0000-0000-0000362E0000}"/>
    <cellStyle name="Normal 2 10 26 4" xfId="15496" xr:uid="{00000000-0005-0000-0000-0000372E0000}"/>
    <cellStyle name="Normal 2 10 26 5" xfId="15497" xr:uid="{00000000-0005-0000-0000-0000382E0000}"/>
    <cellStyle name="Normal 2 10 26 6" xfId="15498" xr:uid="{00000000-0005-0000-0000-0000392E0000}"/>
    <cellStyle name="Normal 2 10 26 7" xfId="15499" xr:uid="{00000000-0005-0000-0000-00003A2E0000}"/>
    <cellStyle name="Normal 2 10 27" xfId="15500" xr:uid="{00000000-0005-0000-0000-00003B2E0000}"/>
    <cellStyle name="Normal 2 10 27 2" xfId="15501" xr:uid="{00000000-0005-0000-0000-00003C2E0000}"/>
    <cellStyle name="Normal 2 10 27 3" xfId="15502" xr:uid="{00000000-0005-0000-0000-00003D2E0000}"/>
    <cellStyle name="Normal 2 10 27 4" xfId="15503" xr:uid="{00000000-0005-0000-0000-00003E2E0000}"/>
    <cellStyle name="Normal 2 10 27 5" xfId="15504" xr:uid="{00000000-0005-0000-0000-00003F2E0000}"/>
    <cellStyle name="Normal 2 10 27 6" xfId="15505" xr:uid="{00000000-0005-0000-0000-0000402E0000}"/>
    <cellStyle name="Normal 2 10 27 7" xfId="15506" xr:uid="{00000000-0005-0000-0000-0000412E0000}"/>
    <cellStyle name="Normal 2 10 28" xfId="15507" xr:uid="{00000000-0005-0000-0000-0000422E0000}"/>
    <cellStyle name="Normal 2 10 28 2" xfId="15508" xr:uid="{00000000-0005-0000-0000-0000432E0000}"/>
    <cellStyle name="Normal 2 10 28 3" xfId="15509" xr:uid="{00000000-0005-0000-0000-0000442E0000}"/>
    <cellStyle name="Normal 2 10 28 4" xfId="15510" xr:uid="{00000000-0005-0000-0000-0000452E0000}"/>
    <cellStyle name="Normal 2 10 28 5" xfId="15511" xr:uid="{00000000-0005-0000-0000-0000462E0000}"/>
    <cellStyle name="Normal 2 10 28 6" xfId="15512" xr:uid="{00000000-0005-0000-0000-0000472E0000}"/>
    <cellStyle name="Normal 2 10 28 7" xfId="15513" xr:uid="{00000000-0005-0000-0000-0000482E0000}"/>
    <cellStyle name="Normal 2 10 29" xfId="15514" xr:uid="{00000000-0005-0000-0000-0000492E0000}"/>
    <cellStyle name="Normal 2 10 29 2" xfId="15515" xr:uid="{00000000-0005-0000-0000-00004A2E0000}"/>
    <cellStyle name="Normal 2 10 29 3" xfId="15516" xr:uid="{00000000-0005-0000-0000-00004B2E0000}"/>
    <cellStyle name="Normal 2 10 29 4" xfId="15517" xr:uid="{00000000-0005-0000-0000-00004C2E0000}"/>
    <cellStyle name="Normal 2 10 29 5" xfId="15518" xr:uid="{00000000-0005-0000-0000-00004D2E0000}"/>
    <cellStyle name="Normal 2 10 29 6" xfId="15519" xr:uid="{00000000-0005-0000-0000-00004E2E0000}"/>
    <cellStyle name="Normal 2 10 29 7" xfId="15520" xr:uid="{00000000-0005-0000-0000-00004F2E0000}"/>
    <cellStyle name="Normal 2 10 3" xfId="4030" xr:uid="{00000000-0005-0000-0000-0000502E0000}"/>
    <cellStyle name="Normal 2 10 3 2" xfId="15521" xr:uid="{00000000-0005-0000-0000-0000512E0000}"/>
    <cellStyle name="Normal 2 10 3 2 2" xfId="15522" xr:uid="{00000000-0005-0000-0000-0000522E0000}"/>
    <cellStyle name="Normal 2 10 3 2 3" xfId="15523" xr:uid="{00000000-0005-0000-0000-0000532E0000}"/>
    <cellStyle name="Normal 2 10 3 2 4" xfId="15524" xr:uid="{00000000-0005-0000-0000-0000542E0000}"/>
    <cellStyle name="Normal 2 10 3 2 5" xfId="15525" xr:uid="{00000000-0005-0000-0000-0000552E0000}"/>
    <cellStyle name="Normal 2 10 3 2 6" xfId="15526" xr:uid="{00000000-0005-0000-0000-0000562E0000}"/>
    <cellStyle name="Normal 2 10 3 2 7" xfId="15527" xr:uid="{00000000-0005-0000-0000-0000572E0000}"/>
    <cellStyle name="Normal 2 10 3 3" xfId="15528" xr:uid="{00000000-0005-0000-0000-0000582E0000}"/>
    <cellStyle name="Normal 2 10 3 4" xfId="15529" xr:uid="{00000000-0005-0000-0000-0000592E0000}"/>
    <cellStyle name="Normal 2 10 3 5" xfId="15530" xr:uid="{00000000-0005-0000-0000-00005A2E0000}"/>
    <cellStyle name="Normal 2 10 3 6" xfId="15531" xr:uid="{00000000-0005-0000-0000-00005B2E0000}"/>
    <cellStyle name="Normal 2 10 3 7" xfId="15532" xr:uid="{00000000-0005-0000-0000-00005C2E0000}"/>
    <cellStyle name="Normal 2 10 3 8" xfId="15533" xr:uid="{00000000-0005-0000-0000-00005D2E0000}"/>
    <cellStyle name="Normal 2 10 3 9" xfId="15534" xr:uid="{00000000-0005-0000-0000-00005E2E0000}"/>
    <cellStyle name="Normal 2 10 30" xfId="15535" xr:uid="{00000000-0005-0000-0000-00005F2E0000}"/>
    <cellStyle name="Normal 2 10 30 2" xfId="15536" xr:uid="{00000000-0005-0000-0000-0000602E0000}"/>
    <cellStyle name="Normal 2 10 30 3" xfId="15537" xr:uid="{00000000-0005-0000-0000-0000612E0000}"/>
    <cellStyle name="Normal 2 10 30 4" xfId="15538" xr:uid="{00000000-0005-0000-0000-0000622E0000}"/>
    <cellStyle name="Normal 2 10 30 5" xfId="15539" xr:uid="{00000000-0005-0000-0000-0000632E0000}"/>
    <cellStyle name="Normal 2 10 30 6" xfId="15540" xr:uid="{00000000-0005-0000-0000-0000642E0000}"/>
    <cellStyle name="Normal 2 10 30 7" xfId="15541" xr:uid="{00000000-0005-0000-0000-0000652E0000}"/>
    <cellStyle name="Normal 2 10 31" xfId="15542" xr:uid="{00000000-0005-0000-0000-0000662E0000}"/>
    <cellStyle name="Normal 2 10 31 2" xfId="15543" xr:uid="{00000000-0005-0000-0000-0000672E0000}"/>
    <cellStyle name="Normal 2 10 31 3" xfId="15544" xr:uid="{00000000-0005-0000-0000-0000682E0000}"/>
    <cellStyle name="Normal 2 10 31 4" xfId="15545" xr:uid="{00000000-0005-0000-0000-0000692E0000}"/>
    <cellStyle name="Normal 2 10 31 5" xfId="15546" xr:uid="{00000000-0005-0000-0000-00006A2E0000}"/>
    <cellStyle name="Normal 2 10 31 6" xfId="15547" xr:uid="{00000000-0005-0000-0000-00006B2E0000}"/>
    <cellStyle name="Normal 2 10 31 7" xfId="15548" xr:uid="{00000000-0005-0000-0000-00006C2E0000}"/>
    <cellStyle name="Normal 2 10 32" xfId="15549" xr:uid="{00000000-0005-0000-0000-00006D2E0000}"/>
    <cellStyle name="Normal 2 10 32 2" xfId="15550" xr:uid="{00000000-0005-0000-0000-00006E2E0000}"/>
    <cellStyle name="Normal 2 10 32 3" xfId="15551" xr:uid="{00000000-0005-0000-0000-00006F2E0000}"/>
    <cellStyle name="Normal 2 10 32 4" xfId="15552" xr:uid="{00000000-0005-0000-0000-0000702E0000}"/>
    <cellStyle name="Normal 2 10 32 5" xfId="15553" xr:uid="{00000000-0005-0000-0000-0000712E0000}"/>
    <cellStyle name="Normal 2 10 32 6" xfId="15554" xr:uid="{00000000-0005-0000-0000-0000722E0000}"/>
    <cellStyle name="Normal 2 10 32 7" xfId="15555" xr:uid="{00000000-0005-0000-0000-0000732E0000}"/>
    <cellStyle name="Normal 2 10 33" xfId="15556" xr:uid="{00000000-0005-0000-0000-0000742E0000}"/>
    <cellStyle name="Normal 2 10 33 2" xfId="15557" xr:uid="{00000000-0005-0000-0000-0000752E0000}"/>
    <cellStyle name="Normal 2 10 33 3" xfId="15558" xr:uid="{00000000-0005-0000-0000-0000762E0000}"/>
    <cellStyle name="Normal 2 10 33 4" xfId="15559" xr:uid="{00000000-0005-0000-0000-0000772E0000}"/>
    <cellStyle name="Normal 2 10 33 5" xfId="15560" xr:uid="{00000000-0005-0000-0000-0000782E0000}"/>
    <cellStyle name="Normal 2 10 33 6" xfId="15561" xr:uid="{00000000-0005-0000-0000-0000792E0000}"/>
    <cellStyle name="Normal 2 10 33 7" xfId="15562" xr:uid="{00000000-0005-0000-0000-00007A2E0000}"/>
    <cellStyle name="Normal 2 10 34" xfId="15563" xr:uid="{00000000-0005-0000-0000-00007B2E0000}"/>
    <cellStyle name="Normal 2 10 34 2" xfId="15564" xr:uid="{00000000-0005-0000-0000-00007C2E0000}"/>
    <cellStyle name="Normal 2 10 34 3" xfId="15565" xr:uid="{00000000-0005-0000-0000-00007D2E0000}"/>
    <cellStyle name="Normal 2 10 34 4" xfId="15566" xr:uid="{00000000-0005-0000-0000-00007E2E0000}"/>
    <cellStyle name="Normal 2 10 34 5" xfId="15567" xr:uid="{00000000-0005-0000-0000-00007F2E0000}"/>
    <cellStyle name="Normal 2 10 34 6" xfId="15568" xr:uid="{00000000-0005-0000-0000-0000802E0000}"/>
    <cellStyle name="Normal 2 10 34 7" xfId="15569" xr:uid="{00000000-0005-0000-0000-0000812E0000}"/>
    <cellStyle name="Normal 2 10 35" xfId="15570" xr:uid="{00000000-0005-0000-0000-0000822E0000}"/>
    <cellStyle name="Normal 2 10 35 2" xfId="15571" xr:uid="{00000000-0005-0000-0000-0000832E0000}"/>
    <cellStyle name="Normal 2 10 35 3" xfId="15572" xr:uid="{00000000-0005-0000-0000-0000842E0000}"/>
    <cellStyle name="Normal 2 10 35 4" xfId="15573" xr:uid="{00000000-0005-0000-0000-0000852E0000}"/>
    <cellStyle name="Normal 2 10 35 5" xfId="15574" xr:uid="{00000000-0005-0000-0000-0000862E0000}"/>
    <cellStyle name="Normal 2 10 35 6" xfId="15575" xr:uid="{00000000-0005-0000-0000-0000872E0000}"/>
    <cellStyle name="Normal 2 10 35 7" xfId="15576" xr:uid="{00000000-0005-0000-0000-0000882E0000}"/>
    <cellStyle name="Normal 2 10 36" xfId="15577" xr:uid="{00000000-0005-0000-0000-0000892E0000}"/>
    <cellStyle name="Normal 2 10 37" xfId="15578" xr:uid="{00000000-0005-0000-0000-00008A2E0000}"/>
    <cellStyle name="Normal 2 10 38" xfId="15579" xr:uid="{00000000-0005-0000-0000-00008B2E0000}"/>
    <cellStyle name="Normal 2 10 39" xfId="15580" xr:uid="{00000000-0005-0000-0000-00008C2E0000}"/>
    <cellStyle name="Normal 2 10 4" xfId="4031" xr:uid="{00000000-0005-0000-0000-00008D2E0000}"/>
    <cellStyle name="Normal 2 10 4 2" xfId="15581" xr:uid="{00000000-0005-0000-0000-00008E2E0000}"/>
    <cellStyle name="Normal 2 10 4 2 2" xfId="15582" xr:uid="{00000000-0005-0000-0000-00008F2E0000}"/>
    <cellStyle name="Normal 2 10 4 2 3" xfId="15583" xr:uid="{00000000-0005-0000-0000-0000902E0000}"/>
    <cellStyle name="Normal 2 10 4 2 4" xfId="15584" xr:uid="{00000000-0005-0000-0000-0000912E0000}"/>
    <cellStyle name="Normal 2 10 4 2 5" xfId="15585" xr:uid="{00000000-0005-0000-0000-0000922E0000}"/>
    <cellStyle name="Normal 2 10 4 2 6" xfId="15586" xr:uid="{00000000-0005-0000-0000-0000932E0000}"/>
    <cellStyle name="Normal 2 10 4 2 7" xfId="15587" xr:uid="{00000000-0005-0000-0000-0000942E0000}"/>
    <cellStyle name="Normal 2 10 4 3" xfId="15588" xr:uid="{00000000-0005-0000-0000-0000952E0000}"/>
    <cellStyle name="Normal 2 10 4 4" xfId="15589" xr:uid="{00000000-0005-0000-0000-0000962E0000}"/>
    <cellStyle name="Normal 2 10 4 5" xfId="15590" xr:uid="{00000000-0005-0000-0000-0000972E0000}"/>
    <cellStyle name="Normal 2 10 4 6" xfId="15591" xr:uid="{00000000-0005-0000-0000-0000982E0000}"/>
    <cellStyle name="Normal 2 10 4 7" xfId="15592" xr:uid="{00000000-0005-0000-0000-0000992E0000}"/>
    <cellStyle name="Normal 2 10 4 8" xfId="15593" xr:uid="{00000000-0005-0000-0000-00009A2E0000}"/>
    <cellStyle name="Normal 2 10 4 9" xfId="15594" xr:uid="{00000000-0005-0000-0000-00009B2E0000}"/>
    <cellStyle name="Normal 2 10 40" xfId="15595" xr:uid="{00000000-0005-0000-0000-00009C2E0000}"/>
    <cellStyle name="Normal 2 10 41" xfId="15596" xr:uid="{00000000-0005-0000-0000-00009D2E0000}"/>
    <cellStyle name="Normal 2 10 42" xfId="15597" xr:uid="{00000000-0005-0000-0000-00009E2E0000}"/>
    <cellStyle name="Normal 2 10 5" xfId="4032" xr:uid="{00000000-0005-0000-0000-00009F2E0000}"/>
    <cellStyle name="Normal 2 10 5 2" xfId="15598" xr:uid="{00000000-0005-0000-0000-0000A02E0000}"/>
    <cellStyle name="Normal 2 10 5 2 2" xfId="15599" xr:uid="{00000000-0005-0000-0000-0000A12E0000}"/>
    <cellStyle name="Normal 2 10 5 2 3" xfId="15600" xr:uid="{00000000-0005-0000-0000-0000A22E0000}"/>
    <cellStyle name="Normal 2 10 5 2 4" xfId="15601" xr:uid="{00000000-0005-0000-0000-0000A32E0000}"/>
    <cellStyle name="Normal 2 10 5 2 5" xfId="15602" xr:uid="{00000000-0005-0000-0000-0000A42E0000}"/>
    <cellStyle name="Normal 2 10 5 2 6" xfId="15603" xr:uid="{00000000-0005-0000-0000-0000A52E0000}"/>
    <cellStyle name="Normal 2 10 5 2 7" xfId="15604" xr:uid="{00000000-0005-0000-0000-0000A62E0000}"/>
    <cellStyle name="Normal 2 10 5 3" xfId="15605" xr:uid="{00000000-0005-0000-0000-0000A72E0000}"/>
    <cellStyle name="Normal 2 10 5 4" xfId="15606" xr:uid="{00000000-0005-0000-0000-0000A82E0000}"/>
    <cellStyle name="Normal 2 10 5 5" xfId="15607" xr:uid="{00000000-0005-0000-0000-0000A92E0000}"/>
    <cellStyle name="Normal 2 10 5 6" xfId="15608" xr:uid="{00000000-0005-0000-0000-0000AA2E0000}"/>
    <cellStyle name="Normal 2 10 5 7" xfId="15609" xr:uid="{00000000-0005-0000-0000-0000AB2E0000}"/>
    <cellStyle name="Normal 2 10 5 8" xfId="15610" xr:uid="{00000000-0005-0000-0000-0000AC2E0000}"/>
    <cellStyle name="Normal 2 10 5 9" xfId="15611" xr:uid="{00000000-0005-0000-0000-0000AD2E0000}"/>
    <cellStyle name="Normal 2 10 6" xfId="4033" xr:uid="{00000000-0005-0000-0000-0000AE2E0000}"/>
    <cellStyle name="Normal 2 10 6 2" xfId="15612" xr:uid="{00000000-0005-0000-0000-0000AF2E0000}"/>
    <cellStyle name="Normal 2 10 6 2 2" xfId="15613" xr:uid="{00000000-0005-0000-0000-0000B02E0000}"/>
    <cellStyle name="Normal 2 10 6 2 3" xfId="15614" xr:uid="{00000000-0005-0000-0000-0000B12E0000}"/>
    <cellStyle name="Normal 2 10 6 2 4" xfId="15615" xr:uid="{00000000-0005-0000-0000-0000B22E0000}"/>
    <cellStyle name="Normal 2 10 6 2 5" xfId="15616" xr:uid="{00000000-0005-0000-0000-0000B32E0000}"/>
    <cellStyle name="Normal 2 10 6 2 6" xfId="15617" xr:uid="{00000000-0005-0000-0000-0000B42E0000}"/>
    <cellStyle name="Normal 2 10 6 2 7" xfId="15618" xr:uid="{00000000-0005-0000-0000-0000B52E0000}"/>
    <cellStyle name="Normal 2 10 6 3" xfId="15619" xr:uid="{00000000-0005-0000-0000-0000B62E0000}"/>
    <cellStyle name="Normal 2 10 6 4" xfId="15620" xr:uid="{00000000-0005-0000-0000-0000B72E0000}"/>
    <cellStyle name="Normal 2 10 6 5" xfId="15621" xr:uid="{00000000-0005-0000-0000-0000B82E0000}"/>
    <cellStyle name="Normal 2 10 6 6" xfId="15622" xr:uid="{00000000-0005-0000-0000-0000B92E0000}"/>
    <cellStyle name="Normal 2 10 6 7" xfId="15623" xr:uid="{00000000-0005-0000-0000-0000BA2E0000}"/>
    <cellStyle name="Normal 2 10 6 8" xfId="15624" xr:uid="{00000000-0005-0000-0000-0000BB2E0000}"/>
    <cellStyle name="Normal 2 10 6 9" xfId="15625" xr:uid="{00000000-0005-0000-0000-0000BC2E0000}"/>
    <cellStyle name="Normal 2 10 7" xfId="4034" xr:uid="{00000000-0005-0000-0000-0000BD2E0000}"/>
    <cellStyle name="Normal 2 10 7 2" xfId="15626" xr:uid="{00000000-0005-0000-0000-0000BE2E0000}"/>
    <cellStyle name="Normal 2 10 7 2 2" xfId="15627" xr:uid="{00000000-0005-0000-0000-0000BF2E0000}"/>
    <cellStyle name="Normal 2 10 7 2 3" xfId="15628" xr:uid="{00000000-0005-0000-0000-0000C02E0000}"/>
    <cellStyle name="Normal 2 10 7 2 4" xfId="15629" xr:uid="{00000000-0005-0000-0000-0000C12E0000}"/>
    <cellStyle name="Normal 2 10 7 2 5" xfId="15630" xr:uid="{00000000-0005-0000-0000-0000C22E0000}"/>
    <cellStyle name="Normal 2 10 7 2 6" xfId="15631" xr:uid="{00000000-0005-0000-0000-0000C32E0000}"/>
    <cellStyle name="Normal 2 10 7 2 7" xfId="15632" xr:uid="{00000000-0005-0000-0000-0000C42E0000}"/>
    <cellStyle name="Normal 2 10 7 3" xfId="15633" xr:uid="{00000000-0005-0000-0000-0000C52E0000}"/>
    <cellStyle name="Normal 2 10 7 4" xfId="15634" xr:uid="{00000000-0005-0000-0000-0000C62E0000}"/>
    <cellStyle name="Normal 2 10 7 5" xfId="15635" xr:uid="{00000000-0005-0000-0000-0000C72E0000}"/>
    <cellStyle name="Normal 2 10 7 6" xfId="15636" xr:uid="{00000000-0005-0000-0000-0000C82E0000}"/>
    <cellStyle name="Normal 2 10 7 7" xfId="15637" xr:uid="{00000000-0005-0000-0000-0000C92E0000}"/>
    <cellStyle name="Normal 2 10 7 8" xfId="15638" xr:uid="{00000000-0005-0000-0000-0000CA2E0000}"/>
    <cellStyle name="Normal 2 10 7 9" xfId="15639" xr:uid="{00000000-0005-0000-0000-0000CB2E0000}"/>
    <cellStyle name="Normal 2 10 8" xfId="15640" xr:uid="{00000000-0005-0000-0000-0000CC2E0000}"/>
    <cellStyle name="Normal 2 10 8 2" xfId="15641" xr:uid="{00000000-0005-0000-0000-0000CD2E0000}"/>
    <cellStyle name="Normal 2 10 8 2 2" xfId="15642" xr:uid="{00000000-0005-0000-0000-0000CE2E0000}"/>
    <cellStyle name="Normal 2 10 8 2 3" xfId="15643" xr:uid="{00000000-0005-0000-0000-0000CF2E0000}"/>
    <cellStyle name="Normal 2 10 8 2 4" xfId="15644" xr:uid="{00000000-0005-0000-0000-0000D02E0000}"/>
    <cellStyle name="Normal 2 10 8 2 5" xfId="15645" xr:uid="{00000000-0005-0000-0000-0000D12E0000}"/>
    <cellStyle name="Normal 2 10 8 2 6" xfId="15646" xr:uid="{00000000-0005-0000-0000-0000D22E0000}"/>
    <cellStyle name="Normal 2 10 8 2 7" xfId="15647" xr:uid="{00000000-0005-0000-0000-0000D32E0000}"/>
    <cellStyle name="Normal 2 10 8 3" xfId="15648" xr:uid="{00000000-0005-0000-0000-0000D42E0000}"/>
    <cellStyle name="Normal 2 10 8 4" xfId="15649" xr:uid="{00000000-0005-0000-0000-0000D52E0000}"/>
    <cellStyle name="Normal 2 10 8 5" xfId="15650" xr:uid="{00000000-0005-0000-0000-0000D62E0000}"/>
    <cellStyle name="Normal 2 10 8 6" xfId="15651" xr:uid="{00000000-0005-0000-0000-0000D72E0000}"/>
    <cellStyle name="Normal 2 10 8 7" xfId="15652" xr:uid="{00000000-0005-0000-0000-0000D82E0000}"/>
    <cellStyle name="Normal 2 10 8 8" xfId="15653" xr:uid="{00000000-0005-0000-0000-0000D92E0000}"/>
    <cellStyle name="Normal 2 10 9" xfId="15654" xr:uid="{00000000-0005-0000-0000-0000DA2E0000}"/>
    <cellStyle name="Normal 2 10 9 2" xfId="15655" xr:uid="{00000000-0005-0000-0000-0000DB2E0000}"/>
    <cellStyle name="Normal 2 10 9 2 2" xfId="15656" xr:uid="{00000000-0005-0000-0000-0000DC2E0000}"/>
    <cellStyle name="Normal 2 10 9 2 3" xfId="15657" xr:uid="{00000000-0005-0000-0000-0000DD2E0000}"/>
    <cellStyle name="Normal 2 10 9 2 4" xfId="15658" xr:uid="{00000000-0005-0000-0000-0000DE2E0000}"/>
    <cellStyle name="Normal 2 10 9 2 5" xfId="15659" xr:uid="{00000000-0005-0000-0000-0000DF2E0000}"/>
    <cellStyle name="Normal 2 10 9 2 6" xfId="15660" xr:uid="{00000000-0005-0000-0000-0000E02E0000}"/>
    <cellStyle name="Normal 2 10 9 2 7" xfId="15661" xr:uid="{00000000-0005-0000-0000-0000E12E0000}"/>
    <cellStyle name="Normal 2 10 9 3" xfId="15662" xr:uid="{00000000-0005-0000-0000-0000E22E0000}"/>
    <cellStyle name="Normal 2 10 9 4" xfId="15663" xr:uid="{00000000-0005-0000-0000-0000E32E0000}"/>
    <cellStyle name="Normal 2 10 9 5" xfId="15664" xr:uid="{00000000-0005-0000-0000-0000E42E0000}"/>
    <cellStyle name="Normal 2 10 9 6" xfId="15665" xr:uid="{00000000-0005-0000-0000-0000E52E0000}"/>
    <cellStyle name="Normal 2 10 9 7" xfId="15666" xr:uid="{00000000-0005-0000-0000-0000E62E0000}"/>
    <cellStyle name="Normal 2 10 9 8" xfId="15667" xr:uid="{00000000-0005-0000-0000-0000E72E0000}"/>
    <cellStyle name="Normal 2 11" xfId="4035" xr:uid="{00000000-0005-0000-0000-0000E82E0000}"/>
    <cellStyle name="Normal 2 11 10" xfId="15668" xr:uid="{00000000-0005-0000-0000-0000E92E0000}"/>
    <cellStyle name="Normal 2 11 10 2" xfId="15669" xr:uid="{00000000-0005-0000-0000-0000EA2E0000}"/>
    <cellStyle name="Normal 2 11 10 2 2" xfId="15670" xr:uid="{00000000-0005-0000-0000-0000EB2E0000}"/>
    <cellStyle name="Normal 2 11 10 2 3" xfId="15671" xr:uid="{00000000-0005-0000-0000-0000EC2E0000}"/>
    <cellStyle name="Normal 2 11 10 2 4" xfId="15672" xr:uid="{00000000-0005-0000-0000-0000ED2E0000}"/>
    <cellStyle name="Normal 2 11 10 2 5" xfId="15673" xr:uid="{00000000-0005-0000-0000-0000EE2E0000}"/>
    <cellStyle name="Normal 2 11 10 2 6" xfId="15674" xr:uid="{00000000-0005-0000-0000-0000EF2E0000}"/>
    <cellStyle name="Normal 2 11 10 2 7" xfId="15675" xr:uid="{00000000-0005-0000-0000-0000F02E0000}"/>
    <cellStyle name="Normal 2 11 10 3" xfId="15676" xr:uid="{00000000-0005-0000-0000-0000F12E0000}"/>
    <cellStyle name="Normal 2 11 10 4" xfId="15677" xr:uid="{00000000-0005-0000-0000-0000F22E0000}"/>
    <cellStyle name="Normal 2 11 10 5" xfId="15678" xr:uid="{00000000-0005-0000-0000-0000F32E0000}"/>
    <cellStyle name="Normal 2 11 10 6" xfId="15679" xr:uid="{00000000-0005-0000-0000-0000F42E0000}"/>
    <cellStyle name="Normal 2 11 10 7" xfId="15680" xr:uid="{00000000-0005-0000-0000-0000F52E0000}"/>
    <cellStyle name="Normal 2 11 10 8" xfId="15681" xr:uid="{00000000-0005-0000-0000-0000F62E0000}"/>
    <cellStyle name="Normal 2 11 11" xfId="15682" xr:uid="{00000000-0005-0000-0000-0000F72E0000}"/>
    <cellStyle name="Normal 2 11 11 2" xfId="15683" xr:uid="{00000000-0005-0000-0000-0000F82E0000}"/>
    <cellStyle name="Normal 2 11 11 2 2" xfId="15684" xr:uid="{00000000-0005-0000-0000-0000F92E0000}"/>
    <cellStyle name="Normal 2 11 11 2 3" xfId="15685" xr:uid="{00000000-0005-0000-0000-0000FA2E0000}"/>
    <cellStyle name="Normal 2 11 11 2 4" xfId="15686" xr:uid="{00000000-0005-0000-0000-0000FB2E0000}"/>
    <cellStyle name="Normal 2 11 11 2 5" xfId="15687" xr:uid="{00000000-0005-0000-0000-0000FC2E0000}"/>
    <cellStyle name="Normal 2 11 11 2 6" xfId="15688" xr:uid="{00000000-0005-0000-0000-0000FD2E0000}"/>
    <cellStyle name="Normal 2 11 11 2 7" xfId="15689" xr:uid="{00000000-0005-0000-0000-0000FE2E0000}"/>
    <cellStyle name="Normal 2 11 11 3" xfId="15690" xr:uid="{00000000-0005-0000-0000-0000FF2E0000}"/>
    <cellStyle name="Normal 2 11 11 4" xfId="15691" xr:uid="{00000000-0005-0000-0000-0000002F0000}"/>
    <cellStyle name="Normal 2 11 11 5" xfId="15692" xr:uid="{00000000-0005-0000-0000-0000012F0000}"/>
    <cellStyle name="Normal 2 11 11 6" xfId="15693" xr:uid="{00000000-0005-0000-0000-0000022F0000}"/>
    <cellStyle name="Normal 2 11 11 7" xfId="15694" xr:uid="{00000000-0005-0000-0000-0000032F0000}"/>
    <cellStyle name="Normal 2 11 11 8" xfId="15695" xr:uid="{00000000-0005-0000-0000-0000042F0000}"/>
    <cellStyle name="Normal 2 11 12" xfId="15696" xr:uid="{00000000-0005-0000-0000-0000052F0000}"/>
    <cellStyle name="Normal 2 11 12 2" xfId="15697" xr:uid="{00000000-0005-0000-0000-0000062F0000}"/>
    <cellStyle name="Normal 2 11 12 2 2" xfId="15698" xr:uid="{00000000-0005-0000-0000-0000072F0000}"/>
    <cellStyle name="Normal 2 11 12 2 3" xfId="15699" xr:uid="{00000000-0005-0000-0000-0000082F0000}"/>
    <cellStyle name="Normal 2 11 12 2 4" xfId="15700" xr:uid="{00000000-0005-0000-0000-0000092F0000}"/>
    <cellStyle name="Normal 2 11 12 2 5" xfId="15701" xr:uid="{00000000-0005-0000-0000-00000A2F0000}"/>
    <cellStyle name="Normal 2 11 12 2 6" xfId="15702" xr:uid="{00000000-0005-0000-0000-00000B2F0000}"/>
    <cellStyle name="Normal 2 11 12 2 7" xfId="15703" xr:uid="{00000000-0005-0000-0000-00000C2F0000}"/>
    <cellStyle name="Normal 2 11 12 3" xfId="15704" xr:uid="{00000000-0005-0000-0000-00000D2F0000}"/>
    <cellStyle name="Normal 2 11 12 4" xfId="15705" xr:uid="{00000000-0005-0000-0000-00000E2F0000}"/>
    <cellStyle name="Normal 2 11 12 5" xfId="15706" xr:uid="{00000000-0005-0000-0000-00000F2F0000}"/>
    <cellStyle name="Normal 2 11 12 6" xfId="15707" xr:uid="{00000000-0005-0000-0000-0000102F0000}"/>
    <cellStyle name="Normal 2 11 12 7" xfId="15708" xr:uid="{00000000-0005-0000-0000-0000112F0000}"/>
    <cellStyle name="Normal 2 11 12 8" xfId="15709" xr:uid="{00000000-0005-0000-0000-0000122F0000}"/>
    <cellStyle name="Normal 2 11 13" xfId="15710" xr:uid="{00000000-0005-0000-0000-0000132F0000}"/>
    <cellStyle name="Normal 2 11 13 2" xfId="15711" xr:uid="{00000000-0005-0000-0000-0000142F0000}"/>
    <cellStyle name="Normal 2 11 13 2 2" xfId="15712" xr:uid="{00000000-0005-0000-0000-0000152F0000}"/>
    <cellStyle name="Normal 2 11 13 2 3" xfId="15713" xr:uid="{00000000-0005-0000-0000-0000162F0000}"/>
    <cellStyle name="Normal 2 11 13 2 4" xfId="15714" xr:uid="{00000000-0005-0000-0000-0000172F0000}"/>
    <cellStyle name="Normal 2 11 13 2 5" xfId="15715" xr:uid="{00000000-0005-0000-0000-0000182F0000}"/>
    <cellStyle name="Normal 2 11 13 2 6" xfId="15716" xr:uid="{00000000-0005-0000-0000-0000192F0000}"/>
    <cellStyle name="Normal 2 11 13 2 7" xfId="15717" xr:uid="{00000000-0005-0000-0000-00001A2F0000}"/>
    <cellStyle name="Normal 2 11 13 3" xfId="15718" xr:uid="{00000000-0005-0000-0000-00001B2F0000}"/>
    <cellStyle name="Normal 2 11 13 4" xfId="15719" xr:uid="{00000000-0005-0000-0000-00001C2F0000}"/>
    <cellStyle name="Normal 2 11 13 5" xfId="15720" xr:uid="{00000000-0005-0000-0000-00001D2F0000}"/>
    <cellStyle name="Normal 2 11 13 6" xfId="15721" xr:uid="{00000000-0005-0000-0000-00001E2F0000}"/>
    <cellStyle name="Normal 2 11 13 7" xfId="15722" xr:uid="{00000000-0005-0000-0000-00001F2F0000}"/>
    <cellStyle name="Normal 2 11 13 8" xfId="15723" xr:uid="{00000000-0005-0000-0000-0000202F0000}"/>
    <cellStyle name="Normal 2 11 14" xfId="15724" xr:uid="{00000000-0005-0000-0000-0000212F0000}"/>
    <cellStyle name="Normal 2 11 14 2" xfId="15725" xr:uid="{00000000-0005-0000-0000-0000222F0000}"/>
    <cellStyle name="Normal 2 11 14 2 2" xfId="15726" xr:uid="{00000000-0005-0000-0000-0000232F0000}"/>
    <cellStyle name="Normal 2 11 14 2 3" xfId="15727" xr:uid="{00000000-0005-0000-0000-0000242F0000}"/>
    <cellStyle name="Normal 2 11 14 2 4" xfId="15728" xr:uid="{00000000-0005-0000-0000-0000252F0000}"/>
    <cellStyle name="Normal 2 11 14 2 5" xfId="15729" xr:uid="{00000000-0005-0000-0000-0000262F0000}"/>
    <cellStyle name="Normal 2 11 14 2 6" xfId="15730" xr:uid="{00000000-0005-0000-0000-0000272F0000}"/>
    <cellStyle name="Normal 2 11 14 2 7" xfId="15731" xr:uid="{00000000-0005-0000-0000-0000282F0000}"/>
    <cellStyle name="Normal 2 11 14 3" xfId="15732" xr:uid="{00000000-0005-0000-0000-0000292F0000}"/>
    <cellStyle name="Normal 2 11 14 4" xfId="15733" xr:uid="{00000000-0005-0000-0000-00002A2F0000}"/>
    <cellStyle name="Normal 2 11 14 5" xfId="15734" xr:uid="{00000000-0005-0000-0000-00002B2F0000}"/>
    <cellStyle name="Normal 2 11 14 6" xfId="15735" xr:uid="{00000000-0005-0000-0000-00002C2F0000}"/>
    <cellStyle name="Normal 2 11 14 7" xfId="15736" xr:uid="{00000000-0005-0000-0000-00002D2F0000}"/>
    <cellStyle name="Normal 2 11 14 8" xfId="15737" xr:uid="{00000000-0005-0000-0000-00002E2F0000}"/>
    <cellStyle name="Normal 2 11 15" xfId="15738" xr:uid="{00000000-0005-0000-0000-00002F2F0000}"/>
    <cellStyle name="Normal 2 11 15 2" xfId="15739" xr:uid="{00000000-0005-0000-0000-0000302F0000}"/>
    <cellStyle name="Normal 2 11 15 2 2" xfId="15740" xr:uid="{00000000-0005-0000-0000-0000312F0000}"/>
    <cellStyle name="Normal 2 11 15 2 3" xfId="15741" xr:uid="{00000000-0005-0000-0000-0000322F0000}"/>
    <cellStyle name="Normal 2 11 15 2 4" xfId="15742" xr:uid="{00000000-0005-0000-0000-0000332F0000}"/>
    <cellStyle name="Normal 2 11 15 2 5" xfId="15743" xr:uid="{00000000-0005-0000-0000-0000342F0000}"/>
    <cellStyle name="Normal 2 11 15 2 6" xfId="15744" xr:uid="{00000000-0005-0000-0000-0000352F0000}"/>
    <cellStyle name="Normal 2 11 15 2 7" xfId="15745" xr:uid="{00000000-0005-0000-0000-0000362F0000}"/>
    <cellStyle name="Normal 2 11 15 3" xfId="15746" xr:uid="{00000000-0005-0000-0000-0000372F0000}"/>
    <cellStyle name="Normal 2 11 15 4" xfId="15747" xr:uid="{00000000-0005-0000-0000-0000382F0000}"/>
    <cellStyle name="Normal 2 11 15 5" xfId="15748" xr:uid="{00000000-0005-0000-0000-0000392F0000}"/>
    <cellStyle name="Normal 2 11 15 6" xfId="15749" xr:uid="{00000000-0005-0000-0000-00003A2F0000}"/>
    <cellStyle name="Normal 2 11 15 7" xfId="15750" xr:uid="{00000000-0005-0000-0000-00003B2F0000}"/>
    <cellStyle name="Normal 2 11 15 8" xfId="15751" xr:uid="{00000000-0005-0000-0000-00003C2F0000}"/>
    <cellStyle name="Normal 2 11 16" xfId="15752" xr:uid="{00000000-0005-0000-0000-00003D2F0000}"/>
    <cellStyle name="Normal 2 11 16 2" xfId="15753" xr:uid="{00000000-0005-0000-0000-00003E2F0000}"/>
    <cellStyle name="Normal 2 11 16 3" xfId="15754" xr:uid="{00000000-0005-0000-0000-00003F2F0000}"/>
    <cellStyle name="Normal 2 11 16 4" xfId="15755" xr:uid="{00000000-0005-0000-0000-0000402F0000}"/>
    <cellStyle name="Normal 2 11 16 5" xfId="15756" xr:uid="{00000000-0005-0000-0000-0000412F0000}"/>
    <cellStyle name="Normal 2 11 16 6" xfId="15757" xr:uid="{00000000-0005-0000-0000-0000422F0000}"/>
    <cellStyle name="Normal 2 11 16 7" xfId="15758" xr:uid="{00000000-0005-0000-0000-0000432F0000}"/>
    <cellStyle name="Normal 2 11 17" xfId="15759" xr:uid="{00000000-0005-0000-0000-0000442F0000}"/>
    <cellStyle name="Normal 2 11 17 2" xfId="15760" xr:uid="{00000000-0005-0000-0000-0000452F0000}"/>
    <cellStyle name="Normal 2 11 17 3" xfId="15761" xr:uid="{00000000-0005-0000-0000-0000462F0000}"/>
    <cellStyle name="Normal 2 11 17 4" xfId="15762" xr:uid="{00000000-0005-0000-0000-0000472F0000}"/>
    <cellStyle name="Normal 2 11 17 5" xfId="15763" xr:uid="{00000000-0005-0000-0000-0000482F0000}"/>
    <cellStyle name="Normal 2 11 17 6" xfId="15764" xr:uid="{00000000-0005-0000-0000-0000492F0000}"/>
    <cellStyle name="Normal 2 11 17 7" xfId="15765" xr:uid="{00000000-0005-0000-0000-00004A2F0000}"/>
    <cellStyle name="Normal 2 11 18" xfId="15766" xr:uid="{00000000-0005-0000-0000-00004B2F0000}"/>
    <cellStyle name="Normal 2 11 18 2" xfId="15767" xr:uid="{00000000-0005-0000-0000-00004C2F0000}"/>
    <cellStyle name="Normal 2 11 18 3" xfId="15768" xr:uid="{00000000-0005-0000-0000-00004D2F0000}"/>
    <cellStyle name="Normal 2 11 18 4" xfId="15769" xr:uid="{00000000-0005-0000-0000-00004E2F0000}"/>
    <cellStyle name="Normal 2 11 18 5" xfId="15770" xr:uid="{00000000-0005-0000-0000-00004F2F0000}"/>
    <cellStyle name="Normal 2 11 18 6" xfId="15771" xr:uid="{00000000-0005-0000-0000-0000502F0000}"/>
    <cellStyle name="Normal 2 11 18 7" xfId="15772" xr:uid="{00000000-0005-0000-0000-0000512F0000}"/>
    <cellStyle name="Normal 2 11 19" xfId="15773" xr:uid="{00000000-0005-0000-0000-0000522F0000}"/>
    <cellStyle name="Normal 2 11 19 2" xfId="15774" xr:uid="{00000000-0005-0000-0000-0000532F0000}"/>
    <cellStyle name="Normal 2 11 19 3" xfId="15775" xr:uid="{00000000-0005-0000-0000-0000542F0000}"/>
    <cellStyle name="Normal 2 11 19 4" xfId="15776" xr:uid="{00000000-0005-0000-0000-0000552F0000}"/>
    <cellStyle name="Normal 2 11 19 5" xfId="15777" xr:uid="{00000000-0005-0000-0000-0000562F0000}"/>
    <cellStyle name="Normal 2 11 19 6" xfId="15778" xr:uid="{00000000-0005-0000-0000-0000572F0000}"/>
    <cellStyle name="Normal 2 11 19 7" xfId="15779" xr:uid="{00000000-0005-0000-0000-0000582F0000}"/>
    <cellStyle name="Normal 2 11 2" xfId="15780" xr:uid="{00000000-0005-0000-0000-0000592F0000}"/>
    <cellStyle name="Normal 2 11 2 2" xfId="15781" xr:uid="{00000000-0005-0000-0000-00005A2F0000}"/>
    <cellStyle name="Normal 2 11 2 2 2" xfId="15782" xr:uid="{00000000-0005-0000-0000-00005B2F0000}"/>
    <cellStyle name="Normal 2 11 2 2 3" xfId="15783" xr:uid="{00000000-0005-0000-0000-00005C2F0000}"/>
    <cellStyle name="Normal 2 11 2 2 4" xfId="15784" xr:uid="{00000000-0005-0000-0000-00005D2F0000}"/>
    <cellStyle name="Normal 2 11 2 2 5" xfId="15785" xr:uid="{00000000-0005-0000-0000-00005E2F0000}"/>
    <cellStyle name="Normal 2 11 2 2 6" xfId="15786" xr:uid="{00000000-0005-0000-0000-00005F2F0000}"/>
    <cellStyle name="Normal 2 11 2 2 7" xfId="15787" xr:uid="{00000000-0005-0000-0000-0000602F0000}"/>
    <cellStyle name="Normal 2 11 2 3" xfId="15788" xr:uid="{00000000-0005-0000-0000-0000612F0000}"/>
    <cellStyle name="Normal 2 11 2 4" xfId="15789" xr:uid="{00000000-0005-0000-0000-0000622F0000}"/>
    <cellStyle name="Normal 2 11 2 5" xfId="15790" xr:uid="{00000000-0005-0000-0000-0000632F0000}"/>
    <cellStyle name="Normal 2 11 2 6" xfId="15791" xr:uid="{00000000-0005-0000-0000-0000642F0000}"/>
    <cellStyle name="Normal 2 11 2 7" xfId="15792" xr:uid="{00000000-0005-0000-0000-0000652F0000}"/>
    <cellStyle name="Normal 2 11 2 8" xfId="15793" xr:uid="{00000000-0005-0000-0000-0000662F0000}"/>
    <cellStyle name="Normal 2 11 20" xfId="15794" xr:uid="{00000000-0005-0000-0000-0000672F0000}"/>
    <cellStyle name="Normal 2 11 20 2" xfId="15795" xr:uid="{00000000-0005-0000-0000-0000682F0000}"/>
    <cellStyle name="Normal 2 11 20 3" xfId="15796" xr:uid="{00000000-0005-0000-0000-0000692F0000}"/>
    <cellStyle name="Normal 2 11 20 4" xfId="15797" xr:uid="{00000000-0005-0000-0000-00006A2F0000}"/>
    <cellStyle name="Normal 2 11 20 5" xfId="15798" xr:uid="{00000000-0005-0000-0000-00006B2F0000}"/>
    <cellStyle name="Normal 2 11 20 6" xfId="15799" xr:uid="{00000000-0005-0000-0000-00006C2F0000}"/>
    <cellStyle name="Normal 2 11 20 7" xfId="15800" xr:uid="{00000000-0005-0000-0000-00006D2F0000}"/>
    <cellStyle name="Normal 2 11 21" xfId="15801" xr:uid="{00000000-0005-0000-0000-00006E2F0000}"/>
    <cellStyle name="Normal 2 11 21 2" xfId="15802" xr:uid="{00000000-0005-0000-0000-00006F2F0000}"/>
    <cellStyle name="Normal 2 11 21 3" xfId="15803" xr:uid="{00000000-0005-0000-0000-0000702F0000}"/>
    <cellStyle name="Normal 2 11 21 4" xfId="15804" xr:uid="{00000000-0005-0000-0000-0000712F0000}"/>
    <cellStyle name="Normal 2 11 21 5" xfId="15805" xr:uid="{00000000-0005-0000-0000-0000722F0000}"/>
    <cellStyle name="Normal 2 11 21 6" xfId="15806" xr:uid="{00000000-0005-0000-0000-0000732F0000}"/>
    <cellStyle name="Normal 2 11 21 7" xfId="15807" xr:uid="{00000000-0005-0000-0000-0000742F0000}"/>
    <cellStyle name="Normal 2 11 22" xfId="15808" xr:uid="{00000000-0005-0000-0000-0000752F0000}"/>
    <cellStyle name="Normal 2 11 22 2" xfId="15809" xr:uid="{00000000-0005-0000-0000-0000762F0000}"/>
    <cellStyle name="Normal 2 11 22 3" xfId="15810" xr:uid="{00000000-0005-0000-0000-0000772F0000}"/>
    <cellStyle name="Normal 2 11 22 4" xfId="15811" xr:uid="{00000000-0005-0000-0000-0000782F0000}"/>
    <cellStyle name="Normal 2 11 22 5" xfId="15812" xr:uid="{00000000-0005-0000-0000-0000792F0000}"/>
    <cellStyle name="Normal 2 11 22 6" xfId="15813" xr:uid="{00000000-0005-0000-0000-00007A2F0000}"/>
    <cellStyle name="Normal 2 11 22 7" xfId="15814" xr:uid="{00000000-0005-0000-0000-00007B2F0000}"/>
    <cellStyle name="Normal 2 11 23" xfId="15815" xr:uid="{00000000-0005-0000-0000-00007C2F0000}"/>
    <cellStyle name="Normal 2 11 23 2" xfId="15816" xr:uid="{00000000-0005-0000-0000-00007D2F0000}"/>
    <cellStyle name="Normal 2 11 23 3" xfId="15817" xr:uid="{00000000-0005-0000-0000-00007E2F0000}"/>
    <cellStyle name="Normal 2 11 23 4" xfId="15818" xr:uid="{00000000-0005-0000-0000-00007F2F0000}"/>
    <cellStyle name="Normal 2 11 23 5" xfId="15819" xr:uid="{00000000-0005-0000-0000-0000802F0000}"/>
    <cellStyle name="Normal 2 11 23 6" xfId="15820" xr:uid="{00000000-0005-0000-0000-0000812F0000}"/>
    <cellStyle name="Normal 2 11 23 7" xfId="15821" xr:uid="{00000000-0005-0000-0000-0000822F0000}"/>
    <cellStyle name="Normal 2 11 24" xfId="15822" xr:uid="{00000000-0005-0000-0000-0000832F0000}"/>
    <cellStyle name="Normal 2 11 24 2" xfId="15823" xr:uid="{00000000-0005-0000-0000-0000842F0000}"/>
    <cellStyle name="Normal 2 11 24 3" xfId="15824" xr:uid="{00000000-0005-0000-0000-0000852F0000}"/>
    <cellStyle name="Normal 2 11 24 4" xfId="15825" xr:uid="{00000000-0005-0000-0000-0000862F0000}"/>
    <cellStyle name="Normal 2 11 24 5" xfId="15826" xr:uid="{00000000-0005-0000-0000-0000872F0000}"/>
    <cellStyle name="Normal 2 11 24 6" xfId="15827" xr:uid="{00000000-0005-0000-0000-0000882F0000}"/>
    <cellStyle name="Normal 2 11 24 7" xfId="15828" xr:uid="{00000000-0005-0000-0000-0000892F0000}"/>
    <cellStyle name="Normal 2 11 25" xfId="15829" xr:uid="{00000000-0005-0000-0000-00008A2F0000}"/>
    <cellStyle name="Normal 2 11 25 2" xfId="15830" xr:uid="{00000000-0005-0000-0000-00008B2F0000}"/>
    <cellStyle name="Normal 2 11 25 3" xfId="15831" xr:uid="{00000000-0005-0000-0000-00008C2F0000}"/>
    <cellStyle name="Normal 2 11 25 4" xfId="15832" xr:uid="{00000000-0005-0000-0000-00008D2F0000}"/>
    <cellStyle name="Normal 2 11 25 5" xfId="15833" xr:uid="{00000000-0005-0000-0000-00008E2F0000}"/>
    <cellStyle name="Normal 2 11 25 6" xfId="15834" xr:uid="{00000000-0005-0000-0000-00008F2F0000}"/>
    <cellStyle name="Normal 2 11 25 7" xfId="15835" xr:uid="{00000000-0005-0000-0000-0000902F0000}"/>
    <cellStyle name="Normal 2 11 26" xfId="15836" xr:uid="{00000000-0005-0000-0000-0000912F0000}"/>
    <cellStyle name="Normal 2 11 26 2" xfId="15837" xr:uid="{00000000-0005-0000-0000-0000922F0000}"/>
    <cellStyle name="Normal 2 11 26 3" xfId="15838" xr:uid="{00000000-0005-0000-0000-0000932F0000}"/>
    <cellStyle name="Normal 2 11 26 4" xfId="15839" xr:uid="{00000000-0005-0000-0000-0000942F0000}"/>
    <cellStyle name="Normal 2 11 26 5" xfId="15840" xr:uid="{00000000-0005-0000-0000-0000952F0000}"/>
    <cellStyle name="Normal 2 11 26 6" xfId="15841" xr:uid="{00000000-0005-0000-0000-0000962F0000}"/>
    <cellStyle name="Normal 2 11 26 7" xfId="15842" xr:uid="{00000000-0005-0000-0000-0000972F0000}"/>
    <cellStyle name="Normal 2 11 27" xfId="15843" xr:uid="{00000000-0005-0000-0000-0000982F0000}"/>
    <cellStyle name="Normal 2 11 27 2" xfId="15844" xr:uid="{00000000-0005-0000-0000-0000992F0000}"/>
    <cellStyle name="Normal 2 11 27 3" xfId="15845" xr:uid="{00000000-0005-0000-0000-00009A2F0000}"/>
    <cellStyle name="Normal 2 11 27 4" xfId="15846" xr:uid="{00000000-0005-0000-0000-00009B2F0000}"/>
    <cellStyle name="Normal 2 11 27 5" xfId="15847" xr:uid="{00000000-0005-0000-0000-00009C2F0000}"/>
    <cellStyle name="Normal 2 11 27 6" xfId="15848" xr:uid="{00000000-0005-0000-0000-00009D2F0000}"/>
    <cellStyle name="Normal 2 11 27 7" xfId="15849" xr:uid="{00000000-0005-0000-0000-00009E2F0000}"/>
    <cellStyle name="Normal 2 11 28" xfId="15850" xr:uid="{00000000-0005-0000-0000-00009F2F0000}"/>
    <cellStyle name="Normal 2 11 28 2" xfId="15851" xr:uid="{00000000-0005-0000-0000-0000A02F0000}"/>
    <cellStyle name="Normal 2 11 28 3" xfId="15852" xr:uid="{00000000-0005-0000-0000-0000A12F0000}"/>
    <cellStyle name="Normal 2 11 28 4" xfId="15853" xr:uid="{00000000-0005-0000-0000-0000A22F0000}"/>
    <cellStyle name="Normal 2 11 28 5" xfId="15854" xr:uid="{00000000-0005-0000-0000-0000A32F0000}"/>
    <cellStyle name="Normal 2 11 28 6" xfId="15855" xr:uid="{00000000-0005-0000-0000-0000A42F0000}"/>
    <cellStyle name="Normal 2 11 28 7" xfId="15856" xr:uid="{00000000-0005-0000-0000-0000A52F0000}"/>
    <cellStyle name="Normal 2 11 29" xfId="15857" xr:uid="{00000000-0005-0000-0000-0000A62F0000}"/>
    <cellStyle name="Normal 2 11 29 2" xfId="15858" xr:uid="{00000000-0005-0000-0000-0000A72F0000}"/>
    <cellStyle name="Normal 2 11 29 3" xfId="15859" xr:uid="{00000000-0005-0000-0000-0000A82F0000}"/>
    <cellStyle name="Normal 2 11 29 4" xfId="15860" xr:uid="{00000000-0005-0000-0000-0000A92F0000}"/>
    <cellStyle name="Normal 2 11 29 5" xfId="15861" xr:uid="{00000000-0005-0000-0000-0000AA2F0000}"/>
    <cellStyle name="Normal 2 11 29 6" xfId="15862" xr:uid="{00000000-0005-0000-0000-0000AB2F0000}"/>
    <cellStyle name="Normal 2 11 29 7" xfId="15863" xr:uid="{00000000-0005-0000-0000-0000AC2F0000}"/>
    <cellStyle name="Normal 2 11 3" xfId="15864" xr:uid="{00000000-0005-0000-0000-0000AD2F0000}"/>
    <cellStyle name="Normal 2 11 3 2" xfId="15865" xr:uid="{00000000-0005-0000-0000-0000AE2F0000}"/>
    <cellStyle name="Normal 2 11 3 2 2" xfId="15866" xr:uid="{00000000-0005-0000-0000-0000AF2F0000}"/>
    <cellStyle name="Normal 2 11 3 2 3" xfId="15867" xr:uid="{00000000-0005-0000-0000-0000B02F0000}"/>
    <cellStyle name="Normal 2 11 3 2 4" xfId="15868" xr:uid="{00000000-0005-0000-0000-0000B12F0000}"/>
    <cellStyle name="Normal 2 11 3 2 5" xfId="15869" xr:uid="{00000000-0005-0000-0000-0000B22F0000}"/>
    <cellStyle name="Normal 2 11 3 2 6" xfId="15870" xr:uid="{00000000-0005-0000-0000-0000B32F0000}"/>
    <cellStyle name="Normal 2 11 3 2 7" xfId="15871" xr:uid="{00000000-0005-0000-0000-0000B42F0000}"/>
    <cellStyle name="Normal 2 11 3 3" xfId="15872" xr:uid="{00000000-0005-0000-0000-0000B52F0000}"/>
    <cellStyle name="Normal 2 11 3 4" xfId="15873" xr:uid="{00000000-0005-0000-0000-0000B62F0000}"/>
    <cellStyle name="Normal 2 11 3 5" xfId="15874" xr:uid="{00000000-0005-0000-0000-0000B72F0000}"/>
    <cellStyle name="Normal 2 11 3 6" xfId="15875" xr:uid="{00000000-0005-0000-0000-0000B82F0000}"/>
    <cellStyle name="Normal 2 11 3 7" xfId="15876" xr:uid="{00000000-0005-0000-0000-0000B92F0000}"/>
    <cellStyle name="Normal 2 11 3 8" xfId="15877" xr:uid="{00000000-0005-0000-0000-0000BA2F0000}"/>
    <cellStyle name="Normal 2 11 30" xfId="15878" xr:uid="{00000000-0005-0000-0000-0000BB2F0000}"/>
    <cellStyle name="Normal 2 11 30 2" xfId="15879" xr:uid="{00000000-0005-0000-0000-0000BC2F0000}"/>
    <cellStyle name="Normal 2 11 30 3" xfId="15880" xr:uid="{00000000-0005-0000-0000-0000BD2F0000}"/>
    <cellStyle name="Normal 2 11 30 4" xfId="15881" xr:uid="{00000000-0005-0000-0000-0000BE2F0000}"/>
    <cellStyle name="Normal 2 11 30 5" xfId="15882" xr:uid="{00000000-0005-0000-0000-0000BF2F0000}"/>
    <cellStyle name="Normal 2 11 30 6" xfId="15883" xr:uid="{00000000-0005-0000-0000-0000C02F0000}"/>
    <cellStyle name="Normal 2 11 30 7" xfId="15884" xr:uid="{00000000-0005-0000-0000-0000C12F0000}"/>
    <cellStyle name="Normal 2 11 31" xfId="15885" xr:uid="{00000000-0005-0000-0000-0000C22F0000}"/>
    <cellStyle name="Normal 2 11 31 2" xfId="15886" xr:uid="{00000000-0005-0000-0000-0000C32F0000}"/>
    <cellStyle name="Normal 2 11 31 3" xfId="15887" xr:uid="{00000000-0005-0000-0000-0000C42F0000}"/>
    <cellStyle name="Normal 2 11 31 4" xfId="15888" xr:uid="{00000000-0005-0000-0000-0000C52F0000}"/>
    <cellStyle name="Normal 2 11 31 5" xfId="15889" xr:uid="{00000000-0005-0000-0000-0000C62F0000}"/>
    <cellStyle name="Normal 2 11 31 6" xfId="15890" xr:uid="{00000000-0005-0000-0000-0000C72F0000}"/>
    <cellStyle name="Normal 2 11 31 7" xfId="15891" xr:uid="{00000000-0005-0000-0000-0000C82F0000}"/>
    <cellStyle name="Normal 2 11 32" xfId="15892" xr:uid="{00000000-0005-0000-0000-0000C92F0000}"/>
    <cellStyle name="Normal 2 11 32 2" xfId="15893" xr:uid="{00000000-0005-0000-0000-0000CA2F0000}"/>
    <cellStyle name="Normal 2 11 32 3" xfId="15894" xr:uid="{00000000-0005-0000-0000-0000CB2F0000}"/>
    <cellStyle name="Normal 2 11 32 4" xfId="15895" xr:uid="{00000000-0005-0000-0000-0000CC2F0000}"/>
    <cellStyle name="Normal 2 11 32 5" xfId="15896" xr:uid="{00000000-0005-0000-0000-0000CD2F0000}"/>
    <cellStyle name="Normal 2 11 32 6" xfId="15897" xr:uid="{00000000-0005-0000-0000-0000CE2F0000}"/>
    <cellStyle name="Normal 2 11 32 7" xfId="15898" xr:uid="{00000000-0005-0000-0000-0000CF2F0000}"/>
    <cellStyle name="Normal 2 11 33" xfId="15899" xr:uid="{00000000-0005-0000-0000-0000D02F0000}"/>
    <cellStyle name="Normal 2 11 33 2" xfId="15900" xr:uid="{00000000-0005-0000-0000-0000D12F0000}"/>
    <cellStyle name="Normal 2 11 33 3" xfId="15901" xr:uid="{00000000-0005-0000-0000-0000D22F0000}"/>
    <cellStyle name="Normal 2 11 33 4" xfId="15902" xr:uid="{00000000-0005-0000-0000-0000D32F0000}"/>
    <cellStyle name="Normal 2 11 33 5" xfId="15903" xr:uid="{00000000-0005-0000-0000-0000D42F0000}"/>
    <cellStyle name="Normal 2 11 33 6" xfId="15904" xr:uid="{00000000-0005-0000-0000-0000D52F0000}"/>
    <cellStyle name="Normal 2 11 33 7" xfId="15905" xr:uid="{00000000-0005-0000-0000-0000D62F0000}"/>
    <cellStyle name="Normal 2 11 34" xfId="15906" xr:uid="{00000000-0005-0000-0000-0000D72F0000}"/>
    <cellStyle name="Normal 2 11 34 2" xfId="15907" xr:uid="{00000000-0005-0000-0000-0000D82F0000}"/>
    <cellStyle name="Normal 2 11 34 3" xfId="15908" xr:uid="{00000000-0005-0000-0000-0000D92F0000}"/>
    <cellStyle name="Normal 2 11 34 4" xfId="15909" xr:uid="{00000000-0005-0000-0000-0000DA2F0000}"/>
    <cellStyle name="Normal 2 11 34 5" xfId="15910" xr:uid="{00000000-0005-0000-0000-0000DB2F0000}"/>
    <cellStyle name="Normal 2 11 34 6" xfId="15911" xr:uid="{00000000-0005-0000-0000-0000DC2F0000}"/>
    <cellStyle name="Normal 2 11 34 7" xfId="15912" xr:uid="{00000000-0005-0000-0000-0000DD2F0000}"/>
    <cellStyle name="Normal 2 11 35" xfId="15913" xr:uid="{00000000-0005-0000-0000-0000DE2F0000}"/>
    <cellStyle name="Normal 2 11 35 2" xfId="15914" xr:uid="{00000000-0005-0000-0000-0000DF2F0000}"/>
    <cellStyle name="Normal 2 11 35 3" xfId="15915" xr:uid="{00000000-0005-0000-0000-0000E02F0000}"/>
    <cellStyle name="Normal 2 11 35 4" xfId="15916" xr:uid="{00000000-0005-0000-0000-0000E12F0000}"/>
    <cellStyle name="Normal 2 11 35 5" xfId="15917" xr:uid="{00000000-0005-0000-0000-0000E22F0000}"/>
    <cellStyle name="Normal 2 11 35 6" xfId="15918" xr:uid="{00000000-0005-0000-0000-0000E32F0000}"/>
    <cellStyle name="Normal 2 11 35 7" xfId="15919" xr:uid="{00000000-0005-0000-0000-0000E42F0000}"/>
    <cellStyle name="Normal 2 11 36" xfId="15920" xr:uid="{00000000-0005-0000-0000-0000E52F0000}"/>
    <cellStyle name="Normal 2 11 37" xfId="15921" xr:uid="{00000000-0005-0000-0000-0000E62F0000}"/>
    <cellStyle name="Normal 2 11 38" xfId="15922" xr:uid="{00000000-0005-0000-0000-0000E72F0000}"/>
    <cellStyle name="Normal 2 11 39" xfId="15923" xr:uid="{00000000-0005-0000-0000-0000E82F0000}"/>
    <cellStyle name="Normal 2 11 4" xfId="15924" xr:uid="{00000000-0005-0000-0000-0000E92F0000}"/>
    <cellStyle name="Normal 2 11 4 2" xfId="15925" xr:uid="{00000000-0005-0000-0000-0000EA2F0000}"/>
    <cellStyle name="Normal 2 11 4 2 2" xfId="15926" xr:uid="{00000000-0005-0000-0000-0000EB2F0000}"/>
    <cellStyle name="Normal 2 11 4 2 3" xfId="15927" xr:uid="{00000000-0005-0000-0000-0000EC2F0000}"/>
    <cellStyle name="Normal 2 11 4 2 4" xfId="15928" xr:uid="{00000000-0005-0000-0000-0000ED2F0000}"/>
    <cellStyle name="Normal 2 11 4 2 5" xfId="15929" xr:uid="{00000000-0005-0000-0000-0000EE2F0000}"/>
    <cellStyle name="Normal 2 11 4 2 6" xfId="15930" xr:uid="{00000000-0005-0000-0000-0000EF2F0000}"/>
    <cellStyle name="Normal 2 11 4 2 7" xfId="15931" xr:uid="{00000000-0005-0000-0000-0000F02F0000}"/>
    <cellStyle name="Normal 2 11 4 3" xfId="15932" xr:uid="{00000000-0005-0000-0000-0000F12F0000}"/>
    <cellStyle name="Normal 2 11 4 4" xfId="15933" xr:uid="{00000000-0005-0000-0000-0000F22F0000}"/>
    <cellStyle name="Normal 2 11 4 5" xfId="15934" xr:uid="{00000000-0005-0000-0000-0000F32F0000}"/>
    <cellStyle name="Normal 2 11 4 6" xfId="15935" xr:uid="{00000000-0005-0000-0000-0000F42F0000}"/>
    <cellStyle name="Normal 2 11 4 7" xfId="15936" xr:uid="{00000000-0005-0000-0000-0000F52F0000}"/>
    <cellStyle name="Normal 2 11 4 8" xfId="15937" xr:uid="{00000000-0005-0000-0000-0000F62F0000}"/>
    <cellStyle name="Normal 2 11 40" xfId="15938" xr:uid="{00000000-0005-0000-0000-0000F72F0000}"/>
    <cellStyle name="Normal 2 11 41" xfId="15939" xr:uid="{00000000-0005-0000-0000-0000F82F0000}"/>
    <cellStyle name="Normal 2 11 42" xfId="15940" xr:uid="{00000000-0005-0000-0000-0000F92F0000}"/>
    <cellStyle name="Normal 2 11 5" xfId="15941" xr:uid="{00000000-0005-0000-0000-0000FA2F0000}"/>
    <cellStyle name="Normal 2 11 5 2" xfId="15942" xr:uid="{00000000-0005-0000-0000-0000FB2F0000}"/>
    <cellStyle name="Normal 2 11 5 2 2" xfId="15943" xr:uid="{00000000-0005-0000-0000-0000FC2F0000}"/>
    <cellStyle name="Normal 2 11 5 2 3" xfId="15944" xr:uid="{00000000-0005-0000-0000-0000FD2F0000}"/>
    <cellStyle name="Normal 2 11 5 2 4" xfId="15945" xr:uid="{00000000-0005-0000-0000-0000FE2F0000}"/>
    <cellStyle name="Normal 2 11 5 2 5" xfId="15946" xr:uid="{00000000-0005-0000-0000-0000FF2F0000}"/>
    <cellStyle name="Normal 2 11 5 2 6" xfId="15947" xr:uid="{00000000-0005-0000-0000-000000300000}"/>
    <cellStyle name="Normal 2 11 5 2 7" xfId="15948" xr:uid="{00000000-0005-0000-0000-000001300000}"/>
    <cellStyle name="Normal 2 11 5 3" xfId="15949" xr:uid="{00000000-0005-0000-0000-000002300000}"/>
    <cellStyle name="Normal 2 11 5 4" xfId="15950" xr:uid="{00000000-0005-0000-0000-000003300000}"/>
    <cellStyle name="Normal 2 11 5 5" xfId="15951" xr:uid="{00000000-0005-0000-0000-000004300000}"/>
    <cellStyle name="Normal 2 11 5 6" xfId="15952" xr:uid="{00000000-0005-0000-0000-000005300000}"/>
    <cellStyle name="Normal 2 11 5 7" xfId="15953" xr:uid="{00000000-0005-0000-0000-000006300000}"/>
    <cellStyle name="Normal 2 11 5 8" xfId="15954" xr:uid="{00000000-0005-0000-0000-000007300000}"/>
    <cellStyle name="Normal 2 11 6" xfId="15955" xr:uid="{00000000-0005-0000-0000-000008300000}"/>
    <cellStyle name="Normal 2 11 6 2" xfId="15956" xr:uid="{00000000-0005-0000-0000-000009300000}"/>
    <cellStyle name="Normal 2 11 6 2 2" xfId="15957" xr:uid="{00000000-0005-0000-0000-00000A300000}"/>
    <cellStyle name="Normal 2 11 6 2 3" xfId="15958" xr:uid="{00000000-0005-0000-0000-00000B300000}"/>
    <cellStyle name="Normal 2 11 6 2 4" xfId="15959" xr:uid="{00000000-0005-0000-0000-00000C300000}"/>
    <cellStyle name="Normal 2 11 6 2 5" xfId="15960" xr:uid="{00000000-0005-0000-0000-00000D300000}"/>
    <cellStyle name="Normal 2 11 6 2 6" xfId="15961" xr:uid="{00000000-0005-0000-0000-00000E300000}"/>
    <cellStyle name="Normal 2 11 6 2 7" xfId="15962" xr:uid="{00000000-0005-0000-0000-00000F300000}"/>
    <cellStyle name="Normal 2 11 6 3" xfId="15963" xr:uid="{00000000-0005-0000-0000-000010300000}"/>
    <cellStyle name="Normal 2 11 6 4" xfId="15964" xr:uid="{00000000-0005-0000-0000-000011300000}"/>
    <cellStyle name="Normal 2 11 6 5" xfId="15965" xr:uid="{00000000-0005-0000-0000-000012300000}"/>
    <cellStyle name="Normal 2 11 6 6" xfId="15966" xr:uid="{00000000-0005-0000-0000-000013300000}"/>
    <cellStyle name="Normal 2 11 6 7" xfId="15967" xr:uid="{00000000-0005-0000-0000-000014300000}"/>
    <cellStyle name="Normal 2 11 6 8" xfId="15968" xr:uid="{00000000-0005-0000-0000-000015300000}"/>
    <cellStyle name="Normal 2 11 7" xfId="15969" xr:uid="{00000000-0005-0000-0000-000016300000}"/>
    <cellStyle name="Normal 2 11 7 2" xfId="15970" xr:uid="{00000000-0005-0000-0000-000017300000}"/>
    <cellStyle name="Normal 2 11 7 2 2" xfId="15971" xr:uid="{00000000-0005-0000-0000-000018300000}"/>
    <cellStyle name="Normal 2 11 7 2 3" xfId="15972" xr:uid="{00000000-0005-0000-0000-000019300000}"/>
    <cellStyle name="Normal 2 11 7 2 4" xfId="15973" xr:uid="{00000000-0005-0000-0000-00001A300000}"/>
    <cellStyle name="Normal 2 11 7 2 5" xfId="15974" xr:uid="{00000000-0005-0000-0000-00001B300000}"/>
    <cellStyle name="Normal 2 11 7 2 6" xfId="15975" xr:uid="{00000000-0005-0000-0000-00001C300000}"/>
    <cellStyle name="Normal 2 11 7 2 7" xfId="15976" xr:uid="{00000000-0005-0000-0000-00001D300000}"/>
    <cellStyle name="Normal 2 11 7 3" xfId="15977" xr:uid="{00000000-0005-0000-0000-00001E300000}"/>
    <cellStyle name="Normal 2 11 7 4" xfId="15978" xr:uid="{00000000-0005-0000-0000-00001F300000}"/>
    <cellStyle name="Normal 2 11 7 5" xfId="15979" xr:uid="{00000000-0005-0000-0000-000020300000}"/>
    <cellStyle name="Normal 2 11 7 6" xfId="15980" xr:uid="{00000000-0005-0000-0000-000021300000}"/>
    <cellStyle name="Normal 2 11 7 7" xfId="15981" xr:uid="{00000000-0005-0000-0000-000022300000}"/>
    <cellStyle name="Normal 2 11 7 8" xfId="15982" xr:uid="{00000000-0005-0000-0000-000023300000}"/>
    <cellStyle name="Normal 2 11 8" xfId="15983" xr:uid="{00000000-0005-0000-0000-000024300000}"/>
    <cellStyle name="Normal 2 11 8 2" xfId="15984" xr:uid="{00000000-0005-0000-0000-000025300000}"/>
    <cellStyle name="Normal 2 11 8 2 2" xfId="15985" xr:uid="{00000000-0005-0000-0000-000026300000}"/>
    <cellStyle name="Normal 2 11 8 2 3" xfId="15986" xr:uid="{00000000-0005-0000-0000-000027300000}"/>
    <cellStyle name="Normal 2 11 8 2 4" xfId="15987" xr:uid="{00000000-0005-0000-0000-000028300000}"/>
    <cellStyle name="Normal 2 11 8 2 5" xfId="15988" xr:uid="{00000000-0005-0000-0000-000029300000}"/>
    <cellStyle name="Normal 2 11 8 2 6" xfId="15989" xr:uid="{00000000-0005-0000-0000-00002A300000}"/>
    <cellStyle name="Normal 2 11 8 2 7" xfId="15990" xr:uid="{00000000-0005-0000-0000-00002B300000}"/>
    <cellStyle name="Normal 2 11 8 3" xfId="15991" xr:uid="{00000000-0005-0000-0000-00002C300000}"/>
    <cellStyle name="Normal 2 11 8 4" xfId="15992" xr:uid="{00000000-0005-0000-0000-00002D300000}"/>
    <cellStyle name="Normal 2 11 8 5" xfId="15993" xr:uid="{00000000-0005-0000-0000-00002E300000}"/>
    <cellStyle name="Normal 2 11 8 6" xfId="15994" xr:uid="{00000000-0005-0000-0000-00002F300000}"/>
    <cellStyle name="Normal 2 11 8 7" xfId="15995" xr:uid="{00000000-0005-0000-0000-000030300000}"/>
    <cellStyle name="Normal 2 11 8 8" xfId="15996" xr:uid="{00000000-0005-0000-0000-000031300000}"/>
    <cellStyle name="Normal 2 11 9" xfId="15997" xr:uid="{00000000-0005-0000-0000-000032300000}"/>
    <cellStyle name="Normal 2 11 9 2" xfId="15998" xr:uid="{00000000-0005-0000-0000-000033300000}"/>
    <cellStyle name="Normal 2 11 9 2 2" xfId="15999" xr:uid="{00000000-0005-0000-0000-000034300000}"/>
    <cellStyle name="Normal 2 11 9 2 3" xfId="16000" xr:uid="{00000000-0005-0000-0000-000035300000}"/>
    <cellStyle name="Normal 2 11 9 2 4" xfId="16001" xr:uid="{00000000-0005-0000-0000-000036300000}"/>
    <cellStyle name="Normal 2 11 9 2 5" xfId="16002" xr:uid="{00000000-0005-0000-0000-000037300000}"/>
    <cellStyle name="Normal 2 11 9 2 6" xfId="16003" xr:uid="{00000000-0005-0000-0000-000038300000}"/>
    <cellStyle name="Normal 2 11 9 2 7" xfId="16004" xr:uid="{00000000-0005-0000-0000-000039300000}"/>
    <cellStyle name="Normal 2 11 9 3" xfId="16005" xr:uid="{00000000-0005-0000-0000-00003A300000}"/>
    <cellStyle name="Normal 2 11 9 4" xfId="16006" xr:uid="{00000000-0005-0000-0000-00003B300000}"/>
    <cellStyle name="Normal 2 11 9 5" xfId="16007" xr:uid="{00000000-0005-0000-0000-00003C300000}"/>
    <cellStyle name="Normal 2 11 9 6" xfId="16008" xr:uid="{00000000-0005-0000-0000-00003D300000}"/>
    <cellStyle name="Normal 2 11 9 7" xfId="16009" xr:uid="{00000000-0005-0000-0000-00003E300000}"/>
    <cellStyle name="Normal 2 11 9 8" xfId="16010" xr:uid="{00000000-0005-0000-0000-00003F300000}"/>
    <cellStyle name="Normal 2 12" xfId="4036" xr:uid="{00000000-0005-0000-0000-000040300000}"/>
    <cellStyle name="Normal 2 12 10" xfId="16011" xr:uid="{00000000-0005-0000-0000-000041300000}"/>
    <cellStyle name="Normal 2 12 10 2" xfId="16012" xr:uid="{00000000-0005-0000-0000-000042300000}"/>
    <cellStyle name="Normal 2 12 10 2 2" xfId="16013" xr:uid="{00000000-0005-0000-0000-000043300000}"/>
    <cellStyle name="Normal 2 12 10 2 3" xfId="16014" xr:uid="{00000000-0005-0000-0000-000044300000}"/>
    <cellStyle name="Normal 2 12 10 2 4" xfId="16015" xr:uid="{00000000-0005-0000-0000-000045300000}"/>
    <cellStyle name="Normal 2 12 10 2 5" xfId="16016" xr:uid="{00000000-0005-0000-0000-000046300000}"/>
    <cellStyle name="Normal 2 12 10 2 6" xfId="16017" xr:uid="{00000000-0005-0000-0000-000047300000}"/>
    <cellStyle name="Normal 2 12 10 2 7" xfId="16018" xr:uid="{00000000-0005-0000-0000-000048300000}"/>
    <cellStyle name="Normal 2 12 10 3" xfId="16019" xr:uid="{00000000-0005-0000-0000-000049300000}"/>
    <cellStyle name="Normal 2 12 10 4" xfId="16020" xr:uid="{00000000-0005-0000-0000-00004A300000}"/>
    <cellStyle name="Normal 2 12 10 5" xfId="16021" xr:uid="{00000000-0005-0000-0000-00004B300000}"/>
    <cellStyle name="Normal 2 12 10 6" xfId="16022" xr:uid="{00000000-0005-0000-0000-00004C300000}"/>
    <cellStyle name="Normal 2 12 10 7" xfId="16023" xr:uid="{00000000-0005-0000-0000-00004D300000}"/>
    <cellStyle name="Normal 2 12 10 8" xfId="16024" xr:uid="{00000000-0005-0000-0000-00004E300000}"/>
    <cellStyle name="Normal 2 12 11" xfId="16025" xr:uid="{00000000-0005-0000-0000-00004F300000}"/>
    <cellStyle name="Normal 2 12 11 2" xfId="16026" xr:uid="{00000000-0005-0000-0000-000050300000}"/>
    <cellStyle name="Normal 2 12 11 2 2" xfId="16027" xr:uid="{00000000-0005-0000-0000-000051300000}"/>
    <cellStyle name="Normal 2 12 11 2 3" xfId="16028" xr:uid="{00000000-0005-0000-0000-000052300000}"/>
    <cellStyle name="Normal 2 12 11 2 4" xfId="16029" xr:uid="{00000000-0005-0000-0000-000053300000}"/>
    <cellStyle name="Normal 2 12 11 2 5" xfId="16030" xr:uid="{00000000-0005-0000-0000-000054300000}"/>
    <cellStyle name="Normal 2 12 11 2 6" xfId="16031" xr:uid="{00000000-0005-0000-0000-000055300000}"/>
    <cellStyle name="Normal 2 12 11 2 7" xfId="16032" xr:uid="{00000000-0005-0000-0000-000056300000}"/>
    <cellStyle name="Normal 2 12 11 3" xfId="16033" xr:uid="{00000000-0005-0000-0000-000057300000}"/>
    <cellStyle name="Normal 2 12 11 4" xfId="16034" xr:uid="{00000000-0005-0000-0000-000058300000}"/>
    <cellStyle name="Normal 2 12 11 5" xfId="16035" xr:uid="{00000000-0005-0000-0000-000059300000}"/>
    <cellStyle name="Normal 2 12 11 6" xfId="16036" xr:uid="{00000000-0005-0000-0000-00005A300000}"/>
    <cellStyle name="Normal 2 12 11 7" xfId="16037" xr:uid="{00000000-0005-0000-0000-00005B300000}"/>
    <cellStyle name="Normal 2 12 11 8" xfId="16038" xr:uid="{00000000-0005-0000-0000-00005C300000}"/>
    <cellStyle name="Normal 2 12 12" xfId="16039" xr:uid="{00000000-0005-0000-0000-00005D300000}"/>
    <cellStyle name="Normal 2 12 12 2" xfId="16040" xr:uid="{00000000-0005-0000-0000-00005E300000}"/>
    <cellStyle name="Normal 2 12 12 2 2" xfId="16041" xr:uid="{00000000-0005-0000-0000-00005F300000}"/>
    <cellStyle name="Normal 2 12 12 2 3" xfId="16042" xr:uid="{00000000-0005-0000-0000-000060300000}"/>
    <cellStyle name="Normal 2 12 12 2 4" xfId="16043" xr:uid="{00000000-0005-0000-0000-000061300000}"/>
    <cellStyle name="Normal 2 12 12 2 5" xfId="16044" xr:uid="{00000000-0005-0000-0000-000062300000}"/>
    <cellStyle name="Normal 2 12 12 2 6" xfId="16045" xr:uid="{00000000-0005-0000-0000-000063300000}"/>
    <cellStyle name="Normal 2 12 12 2 7" xfId="16046" xr:uid="{00000000-0005-0000-0000-000064300000}"/>
    <cellStyle name="Normal 2 12 12 3" xfId="16047" xr:uid="{00000000-0005-0000-0000-000065300000}"/>
    <cellStyle name="Normal 2 12 12 4" xfId="16048" xr:uid="{00000000-0005-0000-0000-000066300000}"/>
    <cellStyle name="Normal 2 12 12 5" xfId="16049" xr:uid="{00000000-0005-0000-0000-000067300000}"/>
    <cellStyle name="Normal 2 12 12 6" xfId="16050" xr:uid="{00000000-0005-0000-0000-000068300000}"/>
    <cellStyle name="Normal 2 12 12 7" xfId="16051" xr:uid="{00000000-0005-0000-0000-000069300000}"/>
    <cellStyle name="Normal 2 12 12 8" xfId="16052" xr:uid="{00000000-0005-0000-0000-00006A300000}"/>
    <cellStyle name="Normal 2 12 13" xfId="16053" xr:uid="{00000000-0005-0000-0000-00006B300000}"/>
    <cellStyle name="Normal 2 12 13 2" xfId="16054" xr:uid="{00000000-0005-0000-0000-00006C300000}"/>
    <cellStyle name="Normal 2 12 13 2 2" xfId="16055" xr:uid="{00000000-0005-0000-0000-00006D300000}"/>
    <cellStyle name="Normal 2 12 13 2 3" xfId="16056" xr:uid="{00000000-0005-0000-0000-00006E300000}"/>
    <cellStyle name="Normal 2 12 13 2 4" xfId="16057" xr:uid="{00000000-0005-0000-0000-00006F300000}"/>
    <cellStyle name="Normal 2 12 13 2 5" xfId="16058" xr:uid="{00000000-0005-0000-0000-000070300000}"/>
    <cellStyle name="Normal 2 12 13 2 6" xfId="16059" xr:uid="{00000000-0005-0000-0000-000071300000}"/>
    <cellStyle name="Normal 2 12 13 2 7" xfId="16060" xr:uid="{00000000-0005-0000-0000-000072300000}"/>
    <cellStyle name="Normal 2 12 13 3" xfId="16061" xr:uid="{00000000-0005-0000-0000-000073300000}"/>
    <cellStyle name="Normal 2 12 13 4" xfId="16062" xr:uid="{00000000-0005-0000-0000-000074300000}"/>
    <cellStyle name="Normal 2 12 13 5" xfId="16063" xr:uid="{00000000-0005-0000-0000-000075300000}"/>
    <cellStyle name="Normal 2 12 13 6" xfId="16064" xr:uid="{00000000-0005-0000-0000-000076300000}"/>
    <cellStyle name="Normal 2 12 13 7" xfId="16065" xr:uid="{00000000-0005-0000-0000-000077300000}"/>
    <cellStyle name="Normal 2 12 13 8" xfId="16066" xr:uid="{00000000-0005-0000-0000-000078300000}"/>
    <cellStyle name="Normal 2 12 14" xfId="16067" xr:uid="{00000000-0005-0000-0000-000079300000}"/>
    <cellStyle name="Normal 2 12 14 2" xfId="16068" xr:uid="{00000000-0005-0000-0000-00007A300000}"/>
    <cellStyle name="Normal 2 12 14 2 2" xfId="16069" xr:uid="{00000000-0005-0000-0000-00007B300000}"/>
    <cellStyle name="Normal 2 12 14 2 3" xfId="16070" xr:uid="{00000000-0005-0000-0000-00007C300000}"/>
    <cellStyle name="Normal 2 12 14 2 4" xfId="16071" xr:uid="{00000000-0005-0000-0000-00007D300000}"/>
    <cellStyle name="Normal 2 12 14 2 5" xfId="16072" xr:uid="{00000000-0005-0000-0000-00007E300000}"/>
    <cellStyle name="Normal 2 12 14 2 6" xfId="16073" xr:uid="{00000000-0005-0000-0000-00007F300000}"/>
    <cellStyle name="Normal 2 12 14 2 7" xfId="16074" xr:uid="{00000000-0005-0000-0000-000080300000}"/>
    <cellStyle name="Normal 2 12 14 3" xfId="16075" xr:uid="{00000000-0005-0000-0000-000081300000}"/>
    <cellStyle name="Normal 2 12 14 4" xfId="16076" xr:uid="{00000000-0005-0000-0000-000082300000}"/>
    <cellStyle name="Normal 2 12 14 5" xfId="16077" xr:uid="{00000000-0005-0000-0000-000083300000}"/>
    <cellStyle name="Normal 2 12 14 6" xfId="16078" xr:uid="{00000000-0005-0000-0000-000084300000}"/>
    <cellStyle name="Normal 2 12 14 7" xfId="16079" xr:uid="{00000000-0005-0000-0000-000085300000}"/>
    <cellStyle name="Normal 2 12 14 8" xfId="16080" xr:uid="{00000000-0005-0000-0000-000086300000}"/>
    <cellStyle name="Normal 2 12 15" xfId="16081" xr:uid="{00000000-0005-0000-0000-000087300000}"/>
    <cellStyle name="Normal 2 12 15 2" xfId="16082" xr:uid="{00000000-0005-0000-0000-000088300000}"/>
    <cellStyle name="Normal 2 12 15 2 2" xfId="16083" xr:uid="{00000000-0005-0000-0000-000089300000}"/>
    <cellStyle name="Normal 2 12 15 2 3" xfId="16084" xr:uid="{00000000-0005-0000-0000-00008A300000}"/>
    <cellStyle name="Normal 2 12 15 2 4" xfId="16085" xr:uid="{00000000-0005-0000-0000-00008B300000}"/>
    <cellStyle name="Normal 2 12 15 2 5" xfId="16086" xr:uid="{00000000-0005-0000-0000-00008C300000}"/>
    <cellStyle name="Normal 2 12 15 2 6" xfId="16087" xr:uid="{00000000-0005-0000-0000-00008D300000}"/>
    <cellStyle name="Normal 2 12 15 2 7" xfId="16088" xr:uid="{00000000-0005-0000-0000-00008E300000}"/>
    <cellStyle name="Normal 2 12 15 3" xfId="16089" xr:uid="{00000000-0005-0000-0000-00008F300000}"/>
    <cellStyle name="Normal 2 12 15 4" xfId="16090" xr:uid="{00000000-0005-0000-0000-000090300000}"/>
    <cellStyle name="Normal 2 12 15 5" xfId="16091" xr:uid="{00000000-0005-0000-0000-000091300000}"/>
    <cellStyle name="Normal 2 12 15 6" xfId="16092" xr:uid="{00000000-0005-0000-0000-000092300000}"/>
    <cellStyle name="Normal 2 12 15 7" xfId="16093" xr:uid="{00000000-0005-0000-0000-000093300000}"/>
    <cellStyle name="Normal 2 12 15 8" xfId="16094" xr:uid="{00000000-0005-0000-0000-000094300000}"/>
    <cellStyle name="Normal 2 12 16" xfId="16095" xr:uid="{00000000-0005-0000-0000-000095300000}"/>
    <cellStyle name="Normal 2 12 16 2" xfId="16096" xr:uid="{00000000-0005-0000-0000-000096300000}"/>
    <cellStyle name="Normal 2 12 16 3" xfId="16097" xr:uid="{00000000-0005-0000-0000-000097300000}"/>
    <cellStyle name="Normal 2 12 16 4" xfId="16098" xr:uid="{00000000-0005-0000-0000-000098300000}"/>
    <cellStyle name="Normal 2 12 16 5" xfId="16099" xr:uid="{00000000-0005-0000-0000-000099300000}"/>
    <cellStyle name="Normal 2 12 16 6" xfId="16100" xr:uid="{00000000-0005-0000-0000-00009A300000}"/>
    <cellStyle name="Normal 2 12 16 7" xfId="16101" xr:uid="{00000000-0005-0000-0000-00009B300000}"/>
    <cellStyle name="Normal 2 12 17" xfId="16102" xr:uid="{00000000-0005-0000-0000-00009C300000}"/>
    <cellStyle name="Normal 2 12 17 2" xfId="16103" xr:uid="{00000000-0005-0000-0000-00009D300000}"/>
    <cellStyle name="Normal 2 12 17 3" xfId="16104" xr:uid="{00000000-0005-0000-0000-00009E300000}"/>
    <cellStyle name="Normal 2 12 17 4" xfId="16105" xr:uid="{00000000-0005-0000-0000-00009F300000}"/>
    <cellStyle name="Normal 2 12 17 5" xfId="16106" xr:uid="{00000000-0005-0000-0000-0000A0300000}"/>
    <cellStyle name="Normal 2 12 17 6" xfId="16107" xr:uid="{00000000-0005-0000-0000-0000A1300000}"/>
    <cellStyle name="Normal 2 12 17 7" xfId="16108" xr:uid="{00000000-0005-0000-0000-0000A2300000}"/>
    <cellStyle name="Normal 2 12 18" xfId="16109" xr:uid="{00000000-0005-0000-0000-0000A3300000}"/>
    <cellStyle name="Normal 2 12 18 2" xfId="16110" xr:uid="{00000000-0005-0000-0000-0000A4300000}"/>
    <cellStyle name="Normal 2 12 18 3" xfId="16111" xr:uid="{00000000-0005-0000-0000-0000A5300000}"/>
    <cellStyle name="Normal 2 12 18 4" xfId="16112" xr:uid="{00000000-0005-0000-0000-0000A6300000}"/>
    <cellStyle name="Normal 2 12 18 5" xfId="16113" xr:uid="{00000000-0005-0000-0000-0000A7300000}"/>
    <cellStyle name="Normal 2 12 18 6" xfId="16114" xr:uid="{00000000-0005-0000-0000-0000A8300000}"/>
    <cellStyle name="Normal 2 12 18 7" xfId="16115" xr:uid="{00000000-0005-0000-0000-0000A9300000}"/>
    <cellStyle name="Normal 2 12 19" xfId="16116" xr:uid="{00000000-0005-0000-0000-0000AA300000}"/>
    <cellStyle name="Normal 2 12 19 2" xfId="16117" xr:uid="{00000000-0005-0000-0000-0000AB300000}"/>
    <cellStyle name="Normal 2 12 19 3" xfId="16118" xr:uid="{00000000-0005-0000-0000-0000AC300000}"/>
    <cellStyle name="Normal 2 12 19 4" xfId="16119" xr:uid="{00000000-0005-0000-0000-0000AD300000}"/>
    <cellStyle name="Normal 2 12 19 5" xfId="16120" xr:uid="{00000000-0005-0000-0000-0000AE300000}"/>
    <cellStyle name="Normal 2 12 19 6" xfId="16121" xr:uid="{00000000-0005-0000-0000-0000AF300000}"/>
    <cellStyle name="Normal 2 12 19 7" xfId="16122" xr:uid="{00000000-0005-0000-0000-0000B0300000}"/>
    <cellStyle name="Normal 2 12 2" xfId="16123" xr:uid="{00000000-0005-0000-0000-0000B1300000}"/>
    <cellStyle name="Normal 2 12 2 2" xfId="16124" xr:uid="{00000000-0005-0000-0000-0000B2300000}"/>
    <cellStyle name="Normal 2 12 2 2 2" xfId="16125" xr:uid="{00000000-0005-0000-0000-0000B3300000}"/>
    <cellStyle name="Normal 2 12 2 2 3" xfId="16126" xr:uid="{00000000-0005-0000-0000-0000B4300000}"/>
    <cellStyle name="Normal 2 12 2 2 4" xfId="16127" xr:uid="{00000000-0005-0000-0000-0000B5300000}"/>
    <cellStyle name="Normal 2 12 2 2 5" xfId="16128" xr:uid="{00000000-0005-0000-0000-0000B6300000}"/>
    <cellStyle name="Normal 2 12 2 2 6" xfId="16129" xr:uid="{00000000-0005-0000-0000-0000B7300000}"/>
    <cellStyle name="Normal 2 12 2 2 7" xfId="16130" xr:uid="{00000000-0005-0000-0000-0000B8300000}"/>
    <cellStyle name="Normal 2 12 2 3" xfId="16131" xr:uid="{00000000-0005-0000-0000-0000B9300000}"/>
    <cellStyle name="Normal 2 12 2 4" xfId="16132" xr:uid="{00000000-0005-0000-0000-0000BA300000}"/>
    <cellStyle name="Normal 2 12 2 5" xfId="16133" xr:uid="{00000000-0005-0000-0000-0000BB300000}"/>
    <cellStyle name="Normal 2 12 2 6" xfId="16134" xr:uid="{00000000-0005-0000-0000-0000BC300000}"/>
    <cellStyle name="Normal 2 12 2 7" xfId="16135" xr:uid="{00000000-0005-0000-0000-0000BD300000}"/>
    <cellStyle name="Normal 2 12 2 8" xfId="16136" xr:uid="{00000000-0005-0000-0000-0000BE300000}"/>
    <cellStyle name="Normal 2 12 20" xfId="16137" xr:uid="{00000000-0005-0000-0000-0000BF300000}"/>
    <cellStyle name="Normal 2 12 20 2" xfId="16138" xr:uid="{00000000-0005-0000-0000-0000C0300000}"/>
    <cellStyle name="Normal 2 12 20 3" xfId="16139" xr:uid="{00000000-0005-0000-0000-0000C1300000}"/>
    <cellStyle name="Normal 2 12 20 4" xfId="16140" xr:uid="{00000000-0005-0000-0000-0000C2300000}"/>
    <cellStyle name="Normal 2 12 20 5" xfId="16141" xr:uid="{00000000-0005-0000-0000-0000C3300000}"/>
    <cellStyle name="Normal 2 12 20 6" xfId="16142" xr:uid="{00000000-0005-0000-0000-0000C4300000}"/>
    <cellStyle name="Normal 2 12 20 7" xfId="16143" xr:uid="{00000000-0005-0000-0000-0000C5300000}"/>
    <cellStyle name="Normal 2 12 21" xfId="16144" xr:uid="{00000000-0005-0000-0000-0000C6300000}"/>
    <cellStyle name="Normal 2 12 21 2" xfId="16145" xr:uid="{00000000-0005-0000-0000-0000C7300000}"/>
    <cellStyle name="Normal 2 12 21 3" xfId="16146" xr:uid="{00000000-0005-0000-0000-0000C8300000}"/>
    <cellStyle name="Normal 2 12 21 4" xfId="16147" xr:uid="{00000000-0005-0000-0000-0000C9300000}"/>
    <cellStyle name="Normal 2 12 21 5" xfId="16148" xr:uid="{00000000-0005-0000-0000-0000CA300000}"/>
    <cellStyle name="Normal 2 12 21 6" xfId="16149" xr:uid="{00000000-0005-0000-0000-0000CB300000}"/>
    <cellStyle name="Normal 2 12 21 7" xfId="16150" xr:uid="{00000000-0005-0000-0000-0000CC300000}"/>
    <cellStyle name="Normal 2 12 22" xfId="16151" xr:uid="{00000000-0005-0000-0000-0000CD300000}"/>
    <cellStyle name="Normal 2 12 22 2" xfId="16152" xr:uid="{00000000-0005-0000-0000-0000CE300000}"/>
    <cellStyle name="Normal 2 12 22 3" xfId="16153" xr:uid="{00000000-0005-0000-0000-0000CF300000}"/>
    <cellStyle name="Normal 2 12 22 4" xfId="16154" xr:uid="{00000000-0005-0000-0000-0000D0300000}"/>
    <cellStyle name="Normal 2 12 22 5" xfId="16155" xr:uid="{00000000-0005-0000-0000-0000D1300000}"/>
    <cellStyle name="Normal 2 12 22 6" xfId="16156" xr:uid="{00000000-0005-0000-0000-0000D2300000}"/>
    <cellStyle name="Normal 2 12 22 7" xfId="16157" xr:uid="{00000000-0005-0000-0000-0000D3300000}"/>
    <cellStyle name="Normal 2 12 23" xfId="16158" xr:uid="{00000000-0005-0000-0000-0000D4300000}"/>
    <cellStyle name="Normal 2 12 23 2" xfId="16159" xr:uid="{00000000-0005-0000-0000-0000D5300000}"/>
    <cellStyle name="Normal 2 12 23 3" xfId="16160" xr:uid="{00000000-0005-0000-0000-0000D6300000}"/>
    <cellStyle name="Normal 2 12 23 4" xfId="16161" xr:uid="{00000000-0005-0000-0000-0000D7300000}"/>
    <cellStyle name="Normal 2 12 23 5" xfId="16162" xr:uid="{00000000-0005-0000-0000-0000D8300000}"/>
    <cellStyle name="Normal 2 12 23 6" xfId="16163" xr:uid="{00000000-0005-0000-0000-0000D9300000}"/>
    <cellStyle name="Normal 2 12 23 7" xfId="16164" xr:uid="{00000000-0005-0000-0000-0000DA300000}"/>
    <cellStyle name="Normal 2 12 24" xfId="16165" xr:uid="{00000000-0005-0000-0000-0000DB300000}"/>
    <cellStyle name="Normal 2 12 24 2" xfId="16166" xr:uid="{00000000-0005-0000-0000-0000DC300000}"/>
    <cellStyle name="Normal 2 12 24 3" xfId="16167" xr:uid="{00000000-0005-0000-0000-0000DD300000}"/>
    <cellStyle name="Normal 2 12 24 4" xfId="16168" xr:uid="{00000000-0005-0000-0000-0000DE300000}"/>
    <cellStyle name="Normal 2 12 24 5" xfId="16169" xr:uid="{00000000-0005-0000-0000-0000DF300000}"/>
    <cellStyle name="Normal 2 12 24 6" xfId="16170" xr:uid="{00000000-0005-0000-0000-0000E0300000}"/>
    <cellStyle name="Normal 2 12 24 7" xfId="16171" xr:uid="{00000000-0005-0000-0000-0000E1300000}"/>
    <cellStyle name="Normal 2 12 25" xfId="16172" xr:uid="{00000000-0005-0000-0000-0000E2300000}"/>
    <cellStyle name="Normal 2 12 25 2" xfId="16173" xr:uid="{00000000-0005-0000-0000-0000E3300000}"/>
    <cellStyle name="Normal 2 12 25 3" xfId="16174" xr:uid="{00000000-0005-0000-0000-0000E4300000}"/>
    <cellStyle name="Normal 2 12 25 4" xfId="16175" xr:uid="{00000000-0005-0000-0000-0000E5300000}"/>
    <cellStyle name="Normal 2 12 25 5" xfId="16176" xr:uid="{00000000-0005-0000-0000-0000E6300000}"/>
    <cellStyle name="Normal 2 12 25 6" xfId="16177" xr:uid="{00000000-0005-0000-0000-0000E7300000}"/>
    <cellStyle name="Normal 2 12 25 7" xfId="16178" xr:uid="{00000000-0005-0000-0000-0000E8300000}"/>
    <cellStyle name="Normal 2 12 26" xfId="16179" xr:uid="{00000000-0005-0000-0000-0000E9300000}"/>
    <cellStyle name="Normal 2 12 26 2" xfId="16180" xr:uid="{00000000-0005-0000-0000-0000EA300000}"/>
    <cellStyle name="Normal 2 12 26 3" xfId="16181" xr:uid="{00000000-0005-0000-0000-0000EB300000}"/>
    <cellStyle name="Normal 2 12 26 4" xfId="16182" xr:uid="{00000000-0005-0000-0000-0000EC300000}"/>
    <cellStyle name="Normal 2 12 26 5" xfId="16183" xr:uid="{00000000-0005-0000-0000-0000ED300000}"/>
    <cellStyle name="Normal 2 12 26 6" xfId="16184" xr:uid="{00000000-0005-0000-0000-0000EE300000}"/>
    <cellStyle name="Normal 2 12 26 7" xfId="16185" xr:uid="{00000000-0005-0000-0000-0000EF300000}"/>
    <cellStyle name="Normal 2 12 27" xfId="16186" xr:uid="{00000000-0005-0000-0000-0000F0300000}"/>
    <cellStyle name="Normal 2 12 27 2" xfId="16187" xr:uid="{00000000-0005-0000-0000-0000F1300000}"/>
    <cellStyle name="Normal 2 12 27 3" xfId="16188" xr:uid="{00000000-0005-0000-0000-0000F2300000}"/>
    <cellStyle name="Normal 2 12 27 4" xfId="16189" xr:uid="{00000000-0005-0000-0000-0000F3300000}"/>
    <cellStyle name="Normal 2 12 27 5" xfId="16190" xr:uid="{00000000-0005-0000-0000-0000F4300000}"/>
    <cellStyle name="Normal 2 12 27 6" xfId="16191" xr:uid="{00000000-0005-0000-0000-0000F5300000}"/>
    <cellStyle name="Normal 2 12 27 7" xfId="16192" xr:uid="{00000000-0005-0000-0000-0000F6300000}"/>
    <cellStyle name="Normal 2 12 28" xfId="16193" xr:uid="{00000000-0005-0000-0000-0000F7300000}"/>
    <cellStyle name="Normal 2 12 28 2" xfId="16194" xr:uid="{00000000-0005-0000-0000-0000F8300000}"/>
    <cellStyle name="Normal 2 12 28 3" xfId="16195" xr:uid="{00000000-0005-0000-0000-0000F9300000}"/>
    <cellStyle name="Normal 2 12 28 4" xfId="16196" xr:uid="{00000000-0005-0000-0000-0000FA300000}"/>
    <cellStyle name="Normal 2 12 28 5" xfId="16197" xr:uid="{00000000-0005-0000-0000-0000FB300000}"/>
    <cellStyle name="Normal 2 12 28 6" xfId="16198" xr:uid="{00000000-0005-0000-0000-0000FC300000}"/>
    <cellStyle name="Normal 2 12 28 7" xfId="16199" xr:uid="{00000000-0005-0000-0000-0000FD300000}"/>
    <cellStyle name="Normal 2 12 29" xfId="16200" xr:uid="{00000000-0005-0000-0000-0000FE300000}"/>
    <cellStyle name="Normal 2 12 29 2" xfId="16201" xr:uid="{00000000-0005-0000-0000-0000FF300000}"/>
    <cellStyle name="Normal 2 12 29 3" xfId="16202" xr:uid="{00000000-0005-0000-0000-000000310000}"/>
    <cellStyle name="Normal 2 12 29 4" xfId="16203" xr:uid="{00000000-0005-0000-0000-000001310000}"/>
    <cellStyle name="Normal 2 12 29 5" xfId="16204" xr:uid="{00000000-0005-0000-0000-000002310000}"/>
    <cellStyle name="Normal 2 12 29 6" xfId="16205" xr:uid="{00000000-0005-0000-0000-000003310000}"/>
    <cellStyle name="Normal 2 12 29 7" xfId="16206" xr:uid="{00000000-0005-0000-0000-000004310000}"/>
    <cellStyle name="Normal 2 12 3" xfId="16207" xr:uid="{00000000-0005-0000-0000-000005310000}"/>
    <cellStyle name="Normal 2 12 3 2" xfId="16208" xr:uid="{00000000-0005-0000-0000-000006310000}"/>
    <cellStyle name="Normal 2 12 3 2 2" xfId="16209" xr:uid="{00000000-0005-0000-0000-000007310000}"/>
    <cellStyle name="Normal 2 12 3 2 3" xfId="16210" xr:uid="{00000000-0005-0000-0000-000008310000}"/>
    <cellStyle name="Normal 2 12 3 2 4" xfId="16211" xr:uid="{00000000-0005-0000-0000-000009310000}"/>
    <cellStyle name="Normal 2 12 3 2 5" xfId="16212" xr:uid="{00000000-0005-0000-0000-00000A310000}"/>
    <cellStyle name="Normal 2 12 3 2 6" xfId="16213" xr:uid="{00000000-0005-0000-0000-00000B310000}"/>
    <cellStyle name="Normal 2 12 3 2 7" xfId="16214" xr:uid="{00000000-0005-0000-0000-00000C310000}"/>
    <cellStyle name="Normal 2 12 3 3" xfId="16215" xr:uid="{00000000-0005-0000-0000-00000D310000}"/>
    <cellStyle name="Normal 2 12 3 4" xfId="16216" xr:uid="{00000000-0005-0000-0000-00000E310000}"/>
    <cellStyle name="Normal 2 12 3 5" xfId="16217" xr:uid="{00000000-0005-0000-0000-00000F310000}"/>
    <cellStyle name="Normal 2 12 3 6" xfId="16218" xr:uid="{00000000-0005-0000-0000-000010310000}"/>
    <cellStyle name="Normal 2 12 3 7" xfId="16219" xr:uid="{00000000-0005-0000-0000-000011310000}"/>
    <cellStyle name="Normal 2 12 3 8" xfId="16220" xr:uid="{00000000-0005-0000-0000-000012310000}"/>
    <cellStyle name="Normal 2 12 30" xfId="16221" xr:uid="{00000000-0005-0000-0000-000013310000}"/>
    <cellStyle name="Normal 2 12 30 2" xfId="16222" xr:uid="{00000000-0005-0000-0000-000014310000}"/>
    <cellStyle name="Normal 2 12 30 3" xfId="16223" xr:uid="{00000000-0005-0000-0000-000015310000}"/>
    <cellStyle name="Normal 2 12 30 4" xfId="16224" xr:uid="{00000000-0005-0000-0000-000016310000}"/>
    <cellStyle name="Normal 2 12 30 5" xfId="16225" xr:uid="{00000000-0005-0000-0000-000017310000}"/>
    <cellStyle name="Normal 2 12 30 6" xfId="16226" xr:uid="{00000000-0005-0000-0000-000018310000}"/>
    <cellStyle name="Normal 2 12 30 7" xfId="16227" xr:uid="{00000000-0005-0000-0000-000019310000}"/>
    <cellStyle name="Normal 2 12 31" xfId="16228" xr:uid="{00000000-0005-0000-0000-00001A310000}"/>
    <cellStyle name="Normal 2 12 31 2" xfId="16229" xr:uid="{00000000-0005-0000-0000-00001B310000}"/>
    <cellStyle name="Normal 2 12 31 3" xfId="16230" xr:uid="{00000000-0005-0000-0000-00001C310000}"/>
    <cellStyle name="Normal 2 12 31 4" xfId="16231" xr:uid="{00000000-0005-0000-0000-00001D310000}"/>
    <cellStyle name="Normal 2 12 31 5" xfId="16232" xr:uid="{00000000-0005-0000-0000-00001E310000}"/>
    <cellStyle name="Normal 2 12 31 6" xfId="16233" xr:uid="{00000000-0005-0000-0000-00001F310000}"/>
    <cellStyle name="Normal 2 12 31 7" xfId="16234" xr:uid="{00000000-0005-0000-0000-000020310000}"/>
    <cellStyle name="Normal 2 12 32" xfId="16235" xr:uid="{00000000-0005-0000-0000-000021310000}"/>
    <cellStyle name="Normal 2 12 32 2" xfId="16236" xr:uid="{00000000-0005-0000-0000-000022310000}"/>
    <cellStyle name="Normal 2 12 32 3" xfId="16237" xr:uid="{00000000-0005-0000-0000-000023310000}"/>
    <cellStyle name="Normal 2 12 32 4" xfId="16238" xr:uid="{00000000-0005-0000-0000-000024310000}"/>
    <cellStyle name="Normal 2 12 32 5" xfId="16239" xr:uid="{00000000-0005-0000-0000-000025310000}"/>
    <cellStyle name="Normal 2 12 32 6" xfId="16240" xr:uid="{00000000-0005-0000-0000-000026310000}"/>
    <cellStyle name="Normal 2 12 32 7" xfId="16241" xr:uid="{00000000-0005-0000-0000-000027310000}"/>
    <cellStyle name="Normal 2 12 33" xfId="16242" xr:uid="{00000000-0005-0000-0000-000028310000}"/>
    <cellStyle name="Normal 2 12 33 2" xfId="16243" xr:uid="{00000000-0005-0000-0000-000029310000}"/>
    <cellStyle name="Normal 2 12 33 3" xfId="16244" xr:uid="{00000000-0005-0000-0000-00002A310000}"/>
    <cellStyle name="Normal 2 12 33 4" xfId="16245" xr:uid="{00000000-0005-0000-0000-00002B310000}"/>
    <cellStyle name="Normal 2 12 33 5" xfId="16246" xr:uid="{00000000-0005-0000-0000-00002C310000}"/>
    <cellStyle name="Normal 2 12 33 6" xfId="16247" xr:uid="{00000000-0005-0000-0000-00002D310000}"/>
    <cellStyle name="Normal 2 12 33 7" xfId="16248" xr:uid="{00000000-0005-0000-0000-00002E310000}"/>
    <cellStyle name="Normal 2 12 34" xfId="16249" xr:uid="{00000000-0005-0000-0000-00002F310000}"/>
    <cellStyle name="Normal 2 12 34 2" xfId="16250" xr:uid="{00000000-0005-0000-0000-000030310000}"/>
    <cellStyle name="Normal 2 12 34 3" xfId="16251" xr:uid="{00000000-0005-0000-0000-000031310000}"/>
    <cellStyle name="Normal 2 12 34 4" xfId="16252" xr:uid="{00000000-0005-0000-0000-000032310000}"/>
    <cellStyle name="Normal 2 12 34 5" xfId="16253" xr:uid="{00000000-0005-0000-0000-000033310000}"/>
    <cellStyle name="Normal 2 12 34 6" xfId="16254" xr:uid="{00000000-0005-0000-0000-000034310000}"/>
    <cellStyle name="Normal 2 12 34 7" xfId="16255" xr:uid="{00000000-0005-0000-0000-000035310000}"/>
    <cellStyle name="Normal 2 12 35" xfId="16256" xr:uid="{00000000-0005-0000-0000-000036310000}"/>
    <cellStyle name="Normal 2 12 35 2" xfId="16257" xr:uid="{00000000-0005-0000-0000-000037310000}"/>
    <cellStyle name="Normal 2 12 35 3" xfId="16258" xr:uid="{00000000-0005-0000-0000-000038310000}"/>
    <cellStyle name="Normal 2 12 35 4" xfId="16259" xr:uid="{00000000-0005-0000-0000-000039310000}"/>
    <cellStyle name="Normal 2 12 35 5" xfId="16260" xr:uid="{00000000-0005-0000-0000-00003A310000}"/>
    <cellStyle name="Normal 2 12 35 6" xfId="16261" xr:uid="{00000000-0005-0000-0000-00003B310000}"/>
    <cellStyle name="Normal 2 12 35 7" xfId="16262" xr:uid="{00000000-0005-0000-0000-00003C310000}"/>
    <cellStyle name="Normal 2 12 36" xfId="16263" xr:uid="{00000000-0005-0000-0000-00003D310000}"/>
    <cellStyle name="Normal 2 12 37" xfId="16264" xr:uid="{00000000-0005-0000-0000-00003E310000}"/>
    <cellStyle name="Normal 2 12 38" xfId="16265" xr:uid="{00000000-0005-0000-0000-00003F310000}"/>
    <cellStyle name="Normal 2 12 39" xfId="16266" xr:uid="{00000000-0005-0000-0000-000040310000}"/>
    <cellStyle name="Normal 2 12 4" xfId="16267" xr:uid="{00000000-0005-0000-0000-000041310000}"/>
    <cellStyle name="Normal 2 12 4 2" xfId="16268" xr:uid="{00000000-0005-0000-0000-000042310000}"/>
    <cellStyle name="Normal 2 12 4 2 2" xfId="16269" xr:uid="{00000000-0005-0000-0000-000043310000}"/>
    <cellStyle name="Normal 2 12 4 2 3" xfId="16270" xr:uid="{00000000-0005-0000-0000-000044310000}"/>
    <cellStyle name="Normal 2 12 4 2 4" xfId="16271" xr:uid="{00000000-0005-0000-0000-000045310000}"/>
    <cellStyle name="Normal 2 12 4 2 5" xfId="16272" xr:uid="{00000000-0005-0000-0000-000046310000}"/>
    <cellStyle name="Normal 2 12 4 2 6" xfId="16273" xr:uid="{00000000-0005-0000-0000-000047310000}"/>
    <cellStyle name="Normal 2 12 4 2 7" xfId="16274" xr:uid="{00000000-0005-0000-0000-000048310000}"/>
    <cellStyle name="Normal 2 12 4 3" xfId="16275" xr:uid="{00000000-0005-0000-0000-000049310000}"/>
    <cellStyle name="Normal 2 12 4 4" xfId="16276" xr:uid="{00000000-0005-0000-0000-00004A310000}"/>
    <cellStyle name="Normal 2 12 4 5" xfId="16277" xr:uid="{00000000-0005-0000-0000-00004B310000}"/>
    <cellStyle name="Normal 2 12 4 6" xfId="16278" xr:uid="{00000000-0005-0000-0000-00004C310000}"/>
    <cellStyle name="Normal 2 12 4 7" xfId="16279" xr:uid="{00000000-0005-0000-0000-00004D310000}"/>
    <cellStyle name="Normal 2 12 4 8" xfId="16280" xr:uid="{00000000-0005-0000-0000-00004E310000}"/>
    <cellStyle name="Normal 2 12 40" xfId="16281" xr:uid="{00000000-0005-0000-0000-00004F310000}"/>
    <cellStyle name="Normal 2 12 41" xfId="16282" xr:uid="{00000000-0005-0000-0000-000050310000}"/>
    <cellStyle name="Normal 2 12 42" xfId="16283" xr:uid="{00000000-0005-0000-0000-000051310000}"/>
    <cellStyle name="Normal 2 12 5" xfId="16284" xr:uid="{00000000-0005-0000-0000-000052310000}"/>
    <cellStyle name="Normal 2 12 5 2" xfId="16285" xr:uid="{00000000-0005-0000-0000-000053310000}"/>
    <cellStyle name="Normal 2 12 5 2 2" xfId="16286" xr:uid="{00000000-0005-0000-0000-000054310000}"/>
    <cellStyle name="Normal 2 12 5 2 3" xfId="16287" xr:uid="{00000000-0005-0000-0000-000055310000}"/>
    <cellStyle name="Normal 2 12 5 2 4" xfId="16288" xr:uid="{00000000-0005-0000-0000-000056310000}"/>
    <cellStyle name="Normal 2 12 5 2 5" xfId="16289" xr:uid="{00000000-0005-0000-0000-000057310000}"/>
    <cellStyle name="Normal 2 12 5 2 6" xfId="16290" xr:uid="{00000000-0005-0000-0000-000058310000}"/>
    <cellStyle name="Normal 2 12 5 2 7" xfId="16291" xr:uid="{00000000-0005-0000-0000-000059310000}"/>
    <cellStyle name="Normal 2 12 5 3" xfId="16292" xr:uid="{00000000-0005-0000-0000-00005A310000}"/>
    <cellStyle name="Normal 2 12 5 4" xfId="16293" xr:uid="{00000000-0005-0000-0000-00005B310000}"/>
    <cellStyle name="Normal 2 12 5 5" xfId="16294" xr:uid="{00000000-0005-0000-0000-00005C310000}"/>
    <cellStyle name="Normal 2 12 5 6" xfId="16295" xr:uid="{00000000-0005-0000-0000-00005D310000}"/>
    <cellStyle name="Normal 2 12 5 7" xfId="16296" xr:uid="{00000000-0005-0000-0000-00005E310000}"/>
    <cellStyle name="Normal 2 12 5 8" xfId="16297" xr:uid="{00000000-0005-0000-0000-00005F310000}"/>
    <cellStyle name="Normal 2 12 6" xfId="16298" xr:uid="{00000000-0005-0000-0000-000060310000}"/>
    <cellStyle name="Normal 2 12 6 2" xfId="16299" xr:uid="{00000000-0005-0000-0000-000061310000}"/>
    <cellStyle name="Normal 2 12 6 2 2" xfId="16300" xr:uid="{00000000-0005-0000-0000-000062310000}"/>
    <cellStyle name="Normal 2 12 6 2 3" xfId="16301" xr:uid="{00000000-0005-0000-0000-000063310000}"/>
    <cellStyle name="Normal 2 12 6 2 4" xfId="16302" xr:uid="{00000000-0005-0000-0000-000064310000}"/>
    <cellStyle name="Normal 2 12 6 2 5" xfId="16303" xr:uid="{00000000-0005-0000-0000-000065310000}"/>
    <cellStyle name="Normal 2 12 6 2 6" xfId="16304" xr:uid="{00000000-0005-0000-0000-000066310000}"/>
    <cellStyle name="Normal 2 12 6 2 7" xfId="16305" xr:uid="{00000000-0005-0000-0000-000067310000}"/>
    <cellStyle name="Normal 2 12 6 3" xfId="16306" xr:uid="{00000000-0005-0000-0000-000068310000}"/>
    <cellStyle name="Normal 2 12 6 4" xfId="16307" xr:uid="{00000000-0005-0000-0000-000069310000}"/>
    <cellStyle name="Normal 2 12 6 5" xfId="16308" xr:uid="{00000000-0005-0000-0000-00006A310000}"/>
    <cellStyle name="Normal 2 12 6 6" xfId="16309" xr:uid="{00000000-0005-0000-0000-00006B310000}"/>
    <cellStyle name="Normal 2 12 6 7" xfId="16310" xr:uid="{00000000-0005-0000-0000-00006C310000}"/>
    <cellStyle name="Normal 2 12 6 8" xfId="16311" xr:uid="{00000000-0005-0000-0000-00006D310000}"/>
    <cellStyle name="Normal 2 12 7" xfId="16312" xr:uid="{00000000-0005-0000-0000-00006E310000}"/>
    <cellStyle name="Normal 2 12 7 2" xfId="16313" xr:uid="{00000000-0005-0000-0000-00006F310000}"/>
    <cellStyle name="Normal 2 12 7 2 2" xfId="16314" xr:uid="{00000000-0005-0000-0000-000070310000}"/>
    <cellStyle name="Normal 2 12 7 2 3" xfId="16315" xr:uid="{00000000-0005-0000-0000-000071310000}"/>
    <cellStyle name="Normal 2 12 7 2 4" xfId="16316" xr:uid="{00000000-0005-0000-0000-000072310000}"/>
    <cellStyle name="Normal 2 12 7 2 5" xfId="16317" xr:uid="{00000000-0005-0000-0000-000073310000}"/>
    <cellStyle name="Normal 2 12 7 2 6" xfId="16318" xr:uid="{00000000-0005-0000-0000-000074310000}"/>
    <cellStyle name="Normal 2 12 7 2 7" xfId="16319" xr:uid="{00000000-0005-0000-0000-000075310000}"/>
    <cellStyle name="Normal 2 12 7 3" xfId="16320" xr:uid="{00000000-0005-0000-0000-000076310000}"/>
    <cellStyle name="Normal 2 12 7 4" xfId="16321" xr:uid="{00000000-0005-0000-0000-000077310000}"/>
    <cellStyle name="Normal 2 12 7 5" xfId="16322" xr:uid="{00000000-0005-0000-0000-000078310000}"/>
    <cellStyle name="Normal 2 12 7 6" xfId="16323" xr:uid="{00000000-0005-0000-0000-000079310000}"/>
    <cellStyle name="Normal 2 12 7 7" xfId="16324" xr:uid="{00000000-0005-0000-0000-00007A310000}"/>
    <cellStyle name="Normal 2 12 7 8" xfId="16325" xr:uid="{00000000-0005-0000-0000-00007B310000}"/>
    <cellStyle name="Normal 2 12 8" xfId="16326" xr:uid="{00000000-0005-0000-0000-00007C310000}"/>
    <cellStyle name="Normal 2 12 8 2" xfId="16327" xr:uid="{00000000-0005-0000-0000-00007D310000}"/>
    <cellStyle name="Normal 2 12 8 2 2" xfId="16328" xr:uid="{00000000-0005-0000-0000-00007E310000}"/>
    <cellStyle name="Normal 2 12 8 2 3" xfId="16329" xr:uid="{00000000-0005-0000-0000-00007F310000}"/>
    <cellStyle name="Normal 2 12 8 2 4" xfId="16330" xr:uid="{00000000-0005-0000-0000-000080310000}"/>
    <cellStyle name="Normal 2 12 8 2 5" xfId="16331" xr:uid="{00000000-0005-0000-0000-000081310000}"/>
    <cellStyle name="Normal 2 12 8 2 6" xfId="16332" xr:uid="{00000000-0005-0000-0000-000082310000}"/>
    <cellStyle name="Normal 2 12 8 2 7" xfId="16333" xr:uid="{00000000-0005-0000-0000-000083310000}"/>
    <cellStyle name="Normal 2 12 8 3" xfId="16334" xr:uid="{00000000-0005-0000-0000-000084310000}"/>
    <cellStyle name="Normal 2 12 8 4" xfId="16335" xr:uid="{00000000-0005-0000-0000-000085310000}"/>
    <cellStyle name="Normal 2 12 8 5" xfId="16336" xr:uid="{00000000-0005-0000-0000-000086310000}"/>
    <cellStyle name="Normal 2 12 8 6" xfId="16337" xr:uid="{00000000-0005-0000-0000-000087310000}"/>
    <cellStyle name="Normal 2 12 8 7" xfId="16338" xr:uid="{00000000-0005-0000-0000-000088310000}"/>
    <cellStyle name="Normal 2 12 8 8" xfId="16339" xr:uid="{00000000-0005-0000-0000-000089310000}"/>
    <cellStyle name="Normal 2 12 9" xfId="16340" xr:uid="{00000000-0005-0000-0000-00008A310000}"/>
    <cellStyle name="Normal 2 12 9 2" xfId="16341" xr:uid="{00000000-0005-0000-0000-00008B310000}"/>
    <cellStyle name="Normal 2 12 9 2 2" xfId="16342" xr:uid="{00000000-0005-0000-0000-00008C310000}"/>
    <cellStyle name="Normal 2 12 9 2 3" xfId="16343" xr:uid="{00000000-0005-0000-0000-00008D310000}"/>
    <cellStyle name="Normal 2 12 9 2 4" xfId="16344" xr:uid="{00000000-0005-0000-0000-00008E310000}"/>
    <cellStyle name="Normal 2 12 9 2 5" xfId="16345" xr:uid="{00000000-0005-0000-0000-00008F310000}"/>
    <cellStyle name="Normal 2 12 9 2 6" xfId="16346" xr:uid="{00000000-0005-0000-0000-000090310000}"/>
    <cellStyle name="Normal 2 12 9 2 7" xfId="16347" xr:uid="{00000000-0005-0000-0000-000091310000}"/>
    <cellStyle name="Normal 2 12 9 3" xfId="16348" xr:uid="{00000000-0005-0000-0000-000092310000}"/>
    <cellStyle name="Normal 2 12 9 4" xfId="16349" xr:uid="{00000000-0005-0000-0000-000093310000}"/>
    <cellStyle name="Normal 2 12 9 5" xfId="16350" xr:uid="{00000000-0005-0000-0000-000094310000}"/>
    <cellStyle name="Normal 2 12 9 6" xfId="16351" xr:uid="{00000000-0005-0000-0000-000095310000}"/>
    <cellStyle name="Normal 2 12 9 7" xfId="16352" xr:uid="{00000000-0005-0000-0000-000096310000}"/>
    <cellStyle name="Normal 2 12 9 8" xfId="16353" xr:uid="{00000000-0005-0000-0000-000097310000}"/>
    <cellStyle name="Normal 2 13" xfId="4037" xr:uid="{00000000-0005-0000-0000-000098310000}"/>
    <cellStyle name="Normal 2 13 10" xfId="16354" xr:uid="{00000000-0005-0000-0000-000099310000}"/>
    <cellStyle name="Normal 2 13 10 2" xfId="16355" xr:uid="{00000000-0005-0000-0000-00009A310000}"/>
    <cellStyle name="Normal 2 13 10 2 2" xfId="16356" xr:uid="{00000000-0005-0000-0000-00009B310000}"/>
    <cellStyle name="Normal 2 13 10 2 3" xfId="16357" xr:uid="{00000000-0005-0000-0000-00009C310000}"/>
    <cellStyle name="Normal 2 13 10 2 4" xfId="16358" xr:uid="{00000000-0005-0000-0000-00009D310000}"/>
    <cellStyle name="Normal 2 13 10 2 5" xfId="16359" xr:uid="{00000000-0005-0000-0000-00009E310000}"/>
    <cellStyle name="Normal 2 13 10 2 6" xfId="16360" xr:uid="{00000000-0005-0000-0000-00009F310000}"/>
    <cellStyle name="Normal 2 13 10 2 7" xfId="16361" xr:uid="{00000000-0005-0000-0000-0000A0310000}"/>
    <cellStyle name="Normal 2 13 10 3" xfId="16362" xr:uid="{00000000-0005-0000-0000-0000A1310000}"/>
    <cellStyle name="Normal 2 13 10 4" xfId="16363" xr:uid="{00000000-0005-0000-0000-0000A2310000}"/>
    <cellStyle name="Normal 2 13 10 5" xfId="16364" xr:uid="{00000000-0005-0000-0000-0000A3310000}"/>
    <cellStyle name="Normal 2 13 10 6" xfId="16365" xr:uid="{00000000-0005-0000-0000-0000A4310000}"/>
    <cellStyle name="Normal 2 13 10 7" xfId="16366" xr:uid="{00000000-0005-0000-0000-0000A5310000}"/>
    <cellStyle name="Normal 2 13 10 8" xfId="16367" xr:uid="{00000000-0005-0000-0000-0000A6310000}"/>
    <cellStyle name="Normal 2 13 11" xfId="16368" xr:uid="{00000000-0005-0000-0000-0000A7310000}"/>
    <cellStyle name="Normal 2 13 11 2" xfId="16369" xr:uid="{00000000-0005-0000-0000-0000A8310000}"/>
    <cellStyle name="Normal 2 13 11 2 2" xfId="16370" xr:uid="{00000000-0005-0000-0000-0000A9310000}"/>
    <cellStyle name="Normal 2 13 11 2 3" xfId="16371" xr:uid="{00000000-0005-0000-0000-0000AA310000}"/>
    <cellStyle name="Normal 2 13 11 2 4" xfId="16372" xr:uid="{00000000-0005-0000-0000-0000AB310000}"/>
    <cellStyle name="Normal 2 13 11 2 5" xfId="16373" xr:uid="{00000000-0005-0000-0000-0000AC310000}"/>
    <cellStyle name="Normal 2 13 11 2 6" xfId="16374" xr:uid="{00000000-0005-0000-0000-0000AD310000}"/>
    <cellStyle name="Normal 2 13 11 2 7" xfId="16375" xr:uid="{00000000-0005-0000-0000-0000AE310000}"/>
    <cellStyle name="Normal 2 13 11 3" xfId="16376" xr:uid="{00000000-0005-0000-0000-0000AF310000}"/>
    <cellStyle name="Normal 2 13 11 4" xfId="16377" xr:uid="{00000000-0005-0000-0000-0000B0310000}"/>
    <cellStyle name="Normal 2 13 11 5" xfId="16378" xr:uid="{00000000-0005-0000-0000-0000B1310000}"/>
    <cellStyle name="Normal 2 13 11 6" xfId="16379" xr:uid="{00000000-0005-0000-0000-0000B2310000}"/>
    <cellStyle name="Normal 2 13 11 7" xfId="16380" xr:uid="{00000000-0005-0000-0000-0000B3310000}"/>
    <cellStyle name="Normal 2 13 11 8" xfId="16381" xr:uid="{00000000-0005-0000-0000-0000B4310000}"/>
    <cellStyle name="Normal 2 13 12" xfId="16382" xr:uid="{00000000-0005-0000-0000-0000B5310000}"/>
    <cellStyle name="Normal 2 13 12 2" xfId="16383" xr:uid="{00000000-0005-0000-0000-0000B6310000}"/>
    <cellStyle name="Normal 2 13 12 2 2" xfId="16384" xr:uid="{00000000-0005-0000-0000-0000B7310000}"/>
    <cellStyle name="Normal 2 13 12 2 3" xfId="16385" xr:uid="{00000000-0005-0000-0000-0000B8310000}"/>
    <cellStyle name="Normal 2 13 12 2 4" xfId="16386" xr:uid="{00000000-0005-0000-0000-0000B9310000}"/>
    <cellStyle name="Normal 2 13 12 2 5" xfId="16387" xr:uid="{00000000-0005-0000-0000-0000BA310000}"/>
    <cellStyle name="Normal 2 13 12 2 6" xfId="16388" xr:uid="{00000000-0005-0000-0000-0000BB310000}"/>
    <cellStyle name="Normal 2 13 12 2 7" xfId="16389" xr:uid="{00000000-0005-0000-0000-0000BC310000}"/>
    <cellStyle name="Normal 2 13 12 3" xfId="16390" xr:uid="{00000000-0005-0000-0000-0000BD310000}"/>
    <cellStyle name="Normal 2 13 12 4" xfId="16391" xr:uid="{00000000-0005-0000-0000-0000BE310000}"/>
    <cellStyle name="Normal 2 13 12 5" xfId="16392" xr:uid="{00000000-0005-0000-0000-0000BF310000}"/>
    <cellStyle name="Normal 2 13 12 6" xfId="16393" xr:uid="{00000000-0005-0000-0000-0000C0310000}"/>
    <cellStyle name="Normal 2 13 12 7" xfId="16394" xr:uid="{00000000-0005-0000-0000-0000C1310000}"/>
    <cellStyle name="Normal 2 13 12 8" xfId="16395" xr:uid="{00000000-0005-0000-0000-0000C2310000}"/>
    <cellStyle name="Normal 2 13 13" xfId="16396" xr:uid="{00000000-0005-0000-0000-0000C3310000}"/>
    <cellStyle name="Normal 2 13 13 2" xfId="16397" xr:uid="{00000000-0005-0000-0000-0000C4310000}"/>
    <cellStyle name="Normal 2 13 13 2 2" xfId="16398" xr:uid="{00000000-0005-0000-0000-0000C5310000}"/>
    <cellStyle name="Normal 2 13 13 2 3" xfId="16399" xr:uid="{00000000-0005-0000-0000-0000C6310000}"/>
    <cellStyle name="Normal 2 13 13 2 4" xfId="16400" xr:uid="{00000000-0005-0000-0000-0000C7310000}"/>
    <cellStyle name="Normal 2 13 13 2 5" xfId="16401" xr:uid="{00000000-0005-0000-0000-0000C8310000}"/>
    <cellStyle name="Normal 2 13 13 2 6" xfId="16402" xr:uid="{00000000-0005-0000-0000-0000C9310000}"/>
    <cellStyle name="Normal 2 13 13 2 7" xfId="16403" xr:uid="{00000000-0005-0000-0000-0000CA310000}"/>
    <cellStyle name="Normal 2 13 13 3" xfId="16404" xr:uid="{00000000-0005-0000-0000-0000CB310000}"/>
    <cellStyle name="Normal 2 13 13 4" xfId="16405" xr:uid="{00000000-0005-0000-0000-0000CC310000}"/>
    <cellStyle name="Normal 2 13 13 5" xfId="16406" xr:uid="{00000000-0005-0000-0000-0000CD310000}"/>
    <cellStyle name="Normal 2 13 13 6" xfId="16407" xr:uid="{00000000-0005-0000-0000-0000CE310000}"/>
    <cellStyle name="Normal 2 13 13 7" xfId="16408" xr:uid="{00000000-0005-0000-0000-0000CF310000}"/>
    <cellStyle name="Normal 2 13 13 8" xfId="16409" xr:uid="{00000000-0005-0000-0000-0000D0310000}"/>
    <cellStyle name="Normal 2 13 14" xfId="16410" xr:uid="{00000000-0005-0000-0000-0000D1310000}"/>
    <cellStyle name="Normal 2 13 14 2" xfId="16411" xr:uid="{00000000-0005-0000-0000-0000D2310000}"/>
    <cellStyle name="Normal 2 13 14 2 2" xfId="16412" xr:uid="{00000000-0005-0000-0000-0000D3310000}"/>
    <cellStyle name="Normal 2 13 14 2 3" xfId="16413" xr:uid="{00000000-0005-0000-0000-0000D4310000}"/>
    <cellStyle name="Normal 2 13 14 2 4" xfId="16414" xr:uid="{00000000-0005-0000-0000-0000D5310000}"/>
    <cellStyle name="Normal 2 13 14 2 5" xfId="16415" xr:uid="{00000000-0005-0000-0000-0000D6310000}"/>
    <cellStyle name="Normal 2 13 14 2 6" xfId="16416" xr:uid="{00000000-0005-0000-0000-0000D7310000}"/>
    <cellStyle name="Normal 2 13 14 2 7" xfId="16417" xr:uid="{00000000-0005-0000-0000-0000D8310000}"/>
    <cellStyle name="Normal 2 13 14 3" xfId="16418" xr:uid="{00000000-0005-0000-0000-0000D9310000}"/>
    <cellStyle name="Normal 2 13 14 4" xfId="16419" xr:uid="{00000000-0005-0000-0000-0000DA310000}"/>
    <cellStyle name="Normal 2 13 14 5" xfId="16420" xr:uid="{00000000-0005-0000-0000-0000DB310000}"/>
    <cellStyle name="Normal 2 13 14 6" xfId="16421" xr:uid="{00000000-0005-0000-0000-0000DC310000}"/>
    <cellStyle name="Normal 2 13 14 7" xfId="16422" xr:uid="{00000000-0005-0000-0000-0000DD310000}"/>
    <cellStyle name="Normal 2 13 14 8" xfId="16423" xr:uid="{00000000-0005-0000-0000-0000DE310000}"/>
    <cellStyle name="Normal 2 13 15" xfId="16424" xr:uid="{00000000-0005-0000-0000-0000DF310000}"/>
    <cellStyle name="Normal 2 13 15 2" xfId="16425" xr:uid="{00000000-0005-0000-0000-0000E0310000}"/>
    <cellStyle name="Normal 2 13 15 2 2" xfId="16426" xr:uid="{00000000-0005-0000-0000-0000E1310000}"/>
    <cellStyle name="Normal 2 13 15 2 3" xfId="16427" xr:uid="{00000000-0005-0000-0000-0000E2310000}"/>
    <cellStyle name="Normal 2 13 15 2 4" xfId="16428" xr:uid="{00000000-0005-0000-0000-0000E3310000}"/>
    <cellStyle name="Normal 2 13 15 2 5" xfId="16429" xr:uid="{00000000-0005-0000-0000-0000E4310000}"/>
    <cellStyle name="Normal 2 13 15 2 6" xfId="16430" xr:uid="{00000000-0005-0000-0000-0000E5310000}"/>
    <cellStyle name="Normal 2 13 15 2 7" xfId="16431" xr:uid="{00000000-0005-0000-0000-0000E6310000}"/>
    <cellStyle name="Normal 2 13 15 3" xfId="16432" xr:uid="{00000000-0005-0000-0000-0000E7310000}"/>
    <cellStyle name="Normal 2 13 15 4" xfId="16433" xr:uid="{00000000-0005-0000-0000-0000E8310000}"/>
    <cellStyle name="Normal 2 13 15 5" xfId="16434" xr:uid="{00000000-0005-0000-0000-0000E9310000}"/>
    <cellStyle name="Normal 2 13 15 6" xfId="16435" xr:uid="{00000000-0005-0000-0000-0000EA310000}"/>
    <cellStyle name="Normal 2 13 15 7" xfId="16436" xr:uid="{00000000-0005-0000-0000-0000EB310000}"/>
    <cellStyle name="Normal 2 13 15 8" xfId="16437" xr:uid="{00000000-0005-0000-0000-0000EC310000}"/>
    <cellStyle name="Normal 2 13 16" xfId="16438" xr:uid="{00000000-0005-0000-0000-0000ED310000}"/>
    <cellStyle name="Normal 2 13 16 2" xfId="16439" xr:uid="{00000000-0005-0000-0000-0000EE310000}"/>
    <cellStyle name="Normal 2 13 16 3" xfId="16440" xr:uid="{00000000-0005-0000-0000-0000EF310000}"/>
    <cellStyle name="Normal 2 13 16 4" xfId="16441" xr:uid="{00000000-0005-0000-0000-0000F0310000}"/>
    <cellStyle name="Normal 2 13 16 5" xfId="16442" xr:uid="{00000000-0005-0000-0000-0000F1310000}"/>
    <cellStyle name="Normal 2 13 16 6" xfId="16443" xr:uid="{00000000-0005-0000-0000-0000F2310000}"/>
    <cellStyle name="Normal 2 13 16 7" xfId="16444" xr:uid="{00000000-0005-0000-0000-0000F3310000}"/>
    <cellStyle name="Normal 2 13 17" xfId="16445" xr:uid="{00000000-0005-0000-0000-0000F4310000}"/>
    <cellStyle name="Normal 2 13 17 2" xfId="16446" xr:uid="{00000000-0005-0000-0000-0000F5310000}"/>
    <cellStyle name="Normal 2 13 17 3" xfId="16447" xr:uid="{00000000-0005-0000-0000-0000F6310000}"/>
    <cellStyle name="Normal 2 13 17 4" xfId="16448" xr:uid="{00000000-0005-0000-0000-0000F7310000}"/>
    <cellStyle name="Normal 2 13 17 5" xfId="16449" xr:uid="{00000000-0005-0000-0000-0000F8310000}"/>
    <cellStyle name="Normal 2 13 17 6" xfId="16450" xr:uid="{00000000-0005-0000-0000-0000F9310000}"/>
    <cellStyle name="Normal 2 13 17 7" xfId="16451" xr:uid="{00000000-0005-0000-0000-0000FA310000}"/>
    <cellStyle name="Normal 2 13 18" xfId="16452" xr:uid="{00000000-0005-0000-0000-0000FB310000}"/>
    <cellStyle name="Normal 2 13 18 2" xfId="16453" xr:uid="{00000000-0005-0000-0000-0000FC310000}"/>
    <cellStyle name="Normal 2 13 18 3" xfId="16454" xr:uid="{00000000-0005-0000-0000-0000FD310000}"/>
    <cellStyle name="Normal 2 13 18 4" xfId="16455" xr:uid="{00000000-0005-0000-0000-0000FE310000}"/>
    <cellStyle name="Normal 2 13 18 5" xfId="16456" xr:uid="{00000000-0005-0000-0000-0000FF310000}"/>
    <cellStyle name="Normal 2 13 18 6" xfId="16457" xr:uid="{00000000-0005-0000-0000-000000320000}"/>
    <cellStyle name="Normal 2 13 18 7" xfId="16458" xr:uid="{00000000-0005-0000-0000-000001320000}"/>
    <cellStyle name="Normal 2 13 19" xfId="16459" xr:uid="{00000000-0005-0000-0000-000002320000}"/>
    <cellStyle name="Normal 2 13 19 2" xfId="16460" xr:uid="{00000000-0005-0000-0000-000003320000}"/>
    <cellStyle name="Normal 2 13 19 3" xfId="16461" xr:uid="{00000000-0005-0000-0000-000004320000}"/>
    <cellStyle name="Normal 2 13 19 4" xfId="16462" xr:uid="{00000000-0005-0000-0000-000005320000}"/>
    <cellStyle name="Normal 2 13 19 5" xfId="16463" xr:uid="{00000000-0005-0000-0000-000006320000}"/>
    <cellStyle name="Normal 2 13 19 6" xfId="16464" xr:uid="{00000000-0005-0000-0000-000007320000}"/>
    <cellStyle name="Normal 2 13 19 7" xfId="16465" xr:uid="{00000000-0005-0000-0000-000008320000}"/>
    <cellStyle name="Normal 2 13 2" xfId="16466" xr:uid="{00000000-0005-0000-0000-000009320000}"/>
    <cellStyle name="Normal 2 13 2 2" xfId="16467" xr:uid="{00000000-0005-0000-0000-00000A320000}"/>
    <cellStyle name="Normal 2 13 2 2 2" xfId="16468" xr:uid="{00000000-0005-0000-0000-00000B320000}"/>
    <cellStyle name="Normal 2 13 2 2 3" xfId="16469" xr:uid="{00000000-0005-0000-0000-00000C320000}"/>
    <cellStyle name="Normal 2 13 2 2 4" xfId="16470" xr:uid="{00000000-0005-0000-0000-00000D320000}"/>
    <cellStyle name="Normal 2 13 2 2 5" xfId="16471" xr:uid="{00000000-0005-0000-0000-00000E320000}"/>
    <cellStyle name="Normal 2 13 2 2 6" xfId="16472" xr:uid="{00000000-0005-0000-0000-00000F320000}"/>
    <cellStyle name="Normal 2 13 2 2 7" xfId="16473" xr:uid="{00000000-0005-0000-0000-000010320000}"/>
    <cellStyle name="Normal 2 13 2 3" xfId="16474" xr:uid="{00000000-0005-0000-0000-000011320000}"/>
    <cellStyle name="Normal 2 13 2 4" xfId="16475" xr:uid="{00000000-0005-0000-0000-000012320000}"/>
    <cellStyle name="Normal 2 13 2 5" xfId="16476" xr:uid="{00000000-0005-0000-0000-000013320000}"/>
    <cellStyle name="Normal 2 13 2 6" xfId="16477" xr:uid="{00000000-0005-0000-0000-000014320000}"/>
    <cellStyle name="Normal 2 13 2 7" xfId="16478" xr:uid="{00000000-0005-0000-0000-000015320000}"/>
    <cellStyle name="Normal 2 13 2 8" xfId="16479" xr:uid="{00000000-0005-0000-0000-000016320000}"/>
    <cellStyle name="Normal 2 13 20" xfId="16480" xr:uid="{00000000-0005-0000-0000-000017320000}"/>
    <cellStyle name="Normal 2 13 20 2" xfId="16481" xr:uid="{00000000-0005-0000-0000-000018320000}"/>
    <cellStyle name="Normal 2 13 20 3" xfId="16482" xr:uid="{00000000-0005-0000-0000-000019320000}"/>
    <cellStyle name="Normal 2 13 20 4" xfId="16483" xr:uid="{00000000-0005-0000-0000-00001A320000}"/>
    <cellStyle name="Normal 2 13 20 5" xfId="16484" xr:uid="{00000000-0005-0000-0000-00001B320000}"/>
    <cellStyle name="Normal 2 13 20 6" xfId="16485" xr:uid="{00000000-0005-0000-0000-00001C320000}"/>
    <cellStyle name="Normal 2 13 20 7" xfId="16486" xr:uid="{00000000-0005-0000-0000-00001D320000}"/>
    <cellStyle name="Normal 2 13 21" xfId="16487" xr:uid="{00000000-0005-0000-0000-00001E320000}"/>
    <cellStyle name="Normal 2 13 21 2" xfId="16488" xr:uid="{00000000-0005-0000-0000-00001F320000}"/>
    <cellStyle name="Normal 2 13 21 3" xfId="16489" xr:uid="{00000000-0005-0000-0000-000020320000}"/>
    <cellStyle name="Normal 2 13 21 4" xfId="16490" xr:uid="{00000000-0005-0000-0000-000021320000}"/>
    <cellStyle name="Normal 2 13 21 5" xfId="16491" xr:uid="{00000000-0005-0000-0000-000022320000}"/>
    <cellStyle name="Normal 2 13 21 6" xfId="16492" xr:uid="{00000000-0005-0000-0000-000023320000}"/>
    <cellStyle name="Normal 2 13 21 7" xfId="16493" xr:uid="{00000000-0005-0000-0000-000024320000}"/>
    <cellStyle name="Normal 2 13 22" xfId="16494" xr:uid="{00000000-0005-0000-0000-000025320000}"/>
    <cellStyle name="Normal 2 13 22 2" xfId="16495" xr:uid="{00000000-0005-0000-0000-000026320000}"/>
    <cellStyle name="Normal 2 13 22 3" xfId="16496" xr:uid="{00000000-0005-0000-0000-000027320000}"/>
    <cellStyle name="Normal 2 13 22 4" xfId="16497" xr:uid="{00000000-0005-0000-0000-000028320000}"/>
    <cellStyle name="Normal 2 13 22 5" xfId="16498" xr:uid="{00000000-0005-0000-0000-000029320000}"/>
    <cellStyle name="Normal 2 13 22 6" xfId="16499" xr:uid="{00000000-0005-0000-0000-00002A320000}"/>
    <cellStyle name="Normal 2 13 22 7" xfId="16500" xr:uid="{00000000-0005-0000-0000-00002B320000}"/>
    <cellStyle name="Normal 2 13 23" xfId="16501" xr:uid="{00000000-0005-0000-0000-00002C320000}"/>
    <cellStyle name="Normal 2 13 23 2" xfId="16502" xr:uid="{00000000-0005-0000-0000-00002D320000}"/>
    <cellStyle name="Normal 2 13 23 3" xfId="16503" xr:uid="{00000000-0005-0000-0000-00002E320000}"/>
    <cellStyle name="Normal 2 13 23 4" xfId="16504" xr:uid="{00000000-0005-0000-0000-00002F320000}"/>
    <cellStyle name="Normal 2 13 23 5" xfId="16505" xr:uid="{00000000-0005-0000-0000-000030320000}"/>
    <cellStyle name="Normal 2 13 23 6" xfId="16506" xr:uid="{00000000-0005-0000-0000-000031320000}"/>
    <cellStyle name="Normal 2 13 23 7" xfId="16507" xr:uid="{00000000-0005-0000-0000-000032320000}"/>
    <cellStyle name="Normal 2 13 24" xfId="16508" xr:uid="{00000000-0005-0000-0000-000033320000}"/>
    <cellStyle name="Normal 2 13 24 2" xfId="16509" xr:uid="{00000000-0005-0000-0000-000034320000}"/>
    <cellStyle name="Normal 2 13 24 3" xfId="16510" xr:uid="{00000000-0005-0000-0000-000035320000}"/>
    <cellStyle name="Normal 2 13 24 4" xfId="16511" xr:uid="{00000000-0005-0000-0000-000036320000}"/>
    <cellStyle name="Normal 2 13 24 5" xfId="16512" xr:uid="{00000000-0005-0000-0000-000037320000}"/>
    <cellStyle name="Normal 2 13 24 6" xfId="16513" xr:uid="{00000000-0005-0000-0000-000038320000}"/>
    <cellStyle name="Normal 2 13 24 7" xfId="16514" xr:uid="{00000000-0005-0000-0000-000039320000}"/>
    <cellStyle name="Normal 2 13 25" xfId="16515" xr:uid="{00000000-0005-0000-0000-00003A320000}"/>
    <cellStyle name="Normal 2 13 25 2" xfId="16516" xr:uid="{00000000-0005-0000-0000-00003B320000}"/>
    <cellStyle name="Normal 2 13 25 3" xfId="16517" xr:uid="{00000000-0005-0000-0000-00003C320000}"/>
    <cellStyle name="Normal 2 13 25 4" xfId="16518" xr:uid="{00000000-0005-0000-0000-00003D320000}"/>
    <cellStyle name="Normal 2 13 25 5" xfId="16519" xr:uid="{00000000-0005-0000-0000-00003E320000}"/>
    <cellStyle name="Normal 2 13 25 6" xfId="16520" xr:uid="{00000000-0005-0000-0000-00003F320000}"/>
    <cellStyle name="Normal 2 13 25 7" xfId="16521" xr:uid="{00000000-0005-0000-0000-000040320000}"/>
    <cellStyle name="Normal 2 13 26" xfId="16522" xr:uid="{00000000-0005-0000-0000-000041320000}"/>
    <cellStyle name="Normal 2 13 26 2" xfId="16523" xr:uid="{00000000-0005-0000-0000-000042320000}"/>
    <cellStyle name="Normal 2 13 26 3" xfId="16524" xr:uid="{00000000-0005-0000-0000-000043320000}"/>
    <cellStyle name="Normal 2 13 26 4" xfId="16525" xr:uid="{00000000-0005-0000-0000-000044320000}"/>
    <cellStyle name="Normal 2 13 26 5" xfId="16526" xr:uid="{00000000-0005-0000-0000-000045320000}"/>
    <cellStyle name="Normal 2 13 26 6" xfId="16527" xr:uid="{00000000-0005-0000-0000-000046320000}"/>
    <cellStyle name="Normal 2 13 26 7" xfId="16528" xr:uid="{00000000-0005-0000-0000-000047320000}"/>
    <cellStyle name="Normal 2 13 27" xfId="16529" xr:uid="{00000000-0005-0000-0000-000048320000}"/>
    <cellStyle name="Normal 2 13 27 2" xfId="16530" xr:uid="{00000000-0005-0000-0000-000049320000}"/>
    <cellStyle name="Normal 2 13 27 3" xfId="16531" xr:uid="{00000000-0005-0000-0000-00004A320000}"/>
    <cellStyle name="Normal 2 13 27 4" xfId="16532" xr:uid="{00000000-0005-0000-0000-00004B320000}"/>
    <cellStyle name="Normal 2 13 27 5" xfId="16533" xr:uid="{00000000-0005-0000-0000-00004C320000}"/>
    <cellStyle name="Normal 2 13 27 6" xfId="16534" xr:uid="{00000000-0005-0000-0000-00004D320000}"/>
    <cellStyle name="Normal 2 13 27 7" xfId="16535" xr:uid="{00000000-0005-0000-0000-00004E320000}"/>
    <cellStyle name="Normal 2 13 28" xfId="16536" xr:uid="{00000000-0005-0000-0000-00004F320000}"/>
    <cellStyle name="Normal 2 13 28 2" xfId="16537" xr:uid="{00000000-0005-0000-0000-000050320000}"/>
    <cellStyle name="Normal 2 13 28 3" xfId="16538" xr:uid="{00000000-0005-0000-0000-000051320000}"/>
    <cellStyle name="Normal 2 13 28 4" xfId="16539" xr:uid="{00000000-0005-0000-0000-000052320000}"/>
    <cellStyle name="Normal 2 13 28 5" xfId="16540" xr:uid="{00000000-0005-0000-0000-000053320000}"/>
    <cellStyle name="Normal 2 13 28 6" xfId="16541" xr:uid="{00000000-0005-0000-0000-000054320000}"/>
    <cellStyle name="Normal 2 13 28 7" xfId="16542" xr:uid="{00000000-0005-0000-0000-000055320000}"/>
    <cellStyle name="Normal 2 13 29" xfId="16543" xr:uid="{00000000-0005-0000-0000-000056320000}"/>
    <cellStyle name="Normal 2 13 29 2" xfId="16544" xr:uid="{00000000-0005-0000-0000-000057320000}"/>
    <cellStyle name="Normal 2 13 29 3" xfId="16545" xr:uid="{00000000-0005-0000-0000-000058320000}"/>
    <cellStyle name="Normal 2 13 29 4" xfId="16546" xr:uid="{00000000-0005-0000-0000-000059320000}"/>
    <cellStyle name="Normal 2 13 29 5" xfId="16547" xr:uid="{00000000-0005-0000-0000-00005A320000}"/>
    <cellStyle name="Normal 2 13 29 6" xfId="16548" xr:uid="{00000000-0005-0000-0000-00005B320000}"/>
    <cellStyle name="Normal 2 13 29 7" xfId="16549" xr:uid="{00000000-0005-0000-0000-00005C320000}"/>
    <cellStyle name="Normal 2 13 3" xfId="16550" xr:uid="{00000000-0005-0000-0000-00005D320000}"/>
    <cellStyle name="Normal 2 13 3 2" xfId="16551" xr:uid="{00000000-0005-0000-0000-00005E320000}"/>
    <cellStyle name="Normal 2 13 3 2 2" xfId="16552" xr:uid="{00000000-0005-0000-0000-00005F320000}"/>
    <cellStyle name="Normal 2 13 3 2 3" xfId="16553" xr:uid="{00000000-0005-0000-0000-000060320000}"/>
    <cellStyle name="Normal 2 13 3 2 4" xfId="16554" xr:uid="{00000000-0005-0000-0000-000061320000}"/>
    <cellStyle name="Normal 2 13 3 2 5" xfId="16555" xr:uid="{00000000-0005-0000-0000-000062320000}"/>
    <cellStyle name="Normal 2 13 3 2 6" xfId="16556" xr:uid="{00000000-0005-0000-0000-000063320000}"/>
    <cellStyle name="Normal 2 13 3 2 7" xfId="16557" xr:uid="{00000000-0005-0000-0000-000064320000}"/>
    <cellStyle name="Normal 2 13 3 3" xfId="16558" xr:uid="{00000000-0005-0000-0000-000065320000}"/>
    <cellStyle name="Normal 2 13 3 4" xfId="16559" xr:uid="{00000000-0005-0000-0000-000066320000}"/>
    <cellStyle name="Normal 2 13 3 5" xfId="16560" xr:uid="{00000000-0005-0000-0000-000067320000}"/>
    <cellStyle name="Normal 2 13 3 6" xfId="16561" xr:uid="{00000000-0005-0000-0000-000068320000}"/>
    <cellStyle name="Normal 2 13 3 7" xfId="16562" xr:uid="{00000000-0005-0000-0000-000069320000}"/>
    <cellStyle name="Normal 2 13 3 8" xfId="16563" xr:uid="{00000000-0005-0000-0000-00006A320000}"/>
    <cellStyle name="Normal 2 13 30" xfId="16564" xr:uid="{00000000-0005-0000-0000-00006B320000}"/>
    <cellStyle name="Normal 2 13 30 2" xfId="16565" xr:uid="{00000000-0005-0000-0000-00006C320000}"/>
    <cellStyle name="Normal 2 13 30 3" xfId="16566" xr:uid="{00000000-0005-0000-0000-00006D320000}"/>
    <cellStyle name="Normal 2 13 30 4" xfId="16567" xr:uid="{00000000-0005-0000-0000-00006E320000}"/>
    <cellStyle name="Normal 2 13 30 5" xfId="16568" xr:uid="{00000000-0005-0000-0000-00006F320000}"/>
    <cellStyle name="Normal 2 13 30 6" xfId="16569" xr:uid="{00000000-0005-0000-0000-000070320000}"/>
    <cellStyle name="Normal 2 13 30 7" xfId="16570" xr:uid="{00000000-0005-0000-0000-000071320000}"/>
    <cellStyle name="Normal 2 13 31" xfId="16571" xr:uid="{00000000-0005-0000-0000-000072320000}"/>
    <cellStyle name="Normal 2 13 31 2" xfId="16572" xr:uid="{00000000-0005-0000-0000-000073320000}"/>
    <cellStyle name="Normal 2 13 31 3" xfId="16573" xr:uid="{00000000-0005-0000-0000-000074320000}"/>
    <cellStyle name="Normal 2 13 31 4" xfId="16574" xr:uid="{00000000-0005-0000-0000-000075320000}"/>
    <cellStyle name="Normal 2 13 31 5" xfId="16575" xr:uid="{00000000-0005-0000-0000-000076320000}"/>
    <cellStyle name="Normal 2 13 31 6" xfId="16576" xr:uid="{00000000-0005-0000-0000-000077320000}"/>
    <cellStyle name="Normal 2 13 31 7" xfId="16577" xr:uid="{00000000-0005-0000-0000-000078320000}"/>
    <cellStyle name="Normal 2 13 32" xfId="16578" xr:uid="{00000000-0005-0000-0000-000079320000}"/>
    <cellStyle name="Normal 2 13 32 2" xfId="16579" xr:uid="{00000000-0005-0000-0000-00007A320000}"/>
    <cellStyle name="Normal 2 13 32 3" xfId="16580" xr:uid="{00000000-0005-0000-0000-00007B320000}"/>
    <cellStyle name="Normal 2 13 32 4" xfId="16581" xr:uid="{00000000-0005-0000-0000-00007C320000}"/>
    <cellStyle name="Normal 2 13 32 5" xfId="16582" xr:uid="{00000000-0005-0000-0000-00007D320000}"/>
    <cellStyle name="Normal 2 13 32 6" xfId="16583" xr:uid="{00000000-0005-0000-0000-00007E320000}"/>
    <cellStyle name="Normal 2 13 32 7" xfId="16584" xr:uid="{00000000-0005-0000-0000-00007F320000}"/>
    <cellStyle name="Normal 2 13 33" xfId="16585" xr:uid="{00000000-0005-0000-0000-000080320000}"/>
    <cellStyle name="Normal 2 13 33 2" xfId="16586" xr:uid="{00000000-0005-0000-0000-000081320000}"/>
    <cellStyle name="Normal 2 13 33 3" xfId="16587" xr:uid="{00000000-0005-0000-0000-000082320000}"/>
    <cellStyle name="Normal 2 13 33 4" xfId="16588" xr:uid="{00000000-0005-0000-0000-000083320000}"/>
    <cellStyle name="Normal 2 13 33 5" xfId="16589" xr:uid="{00000000-0005-0000-0000-000084320000}"/>
    <cellStyle name="Normal 2 13 33 6" xfId="16590" xr:uid="{00000000-0005-0000-0000-000085320000}"/>
    <cellStyle name="Normal 2 13 33 7" xfId="16591" xr:uid="{00000000-0005-0000-0000-000086320000}"/>
    <cellStyle name="Normal 2 13 34" xfId="16592" xr:uid="{00000000-0005-0000-0000-000087320000}"/>
    <cellStyle name="Normal 2 13 34 2" xfId="16593" xr:uid="{00000000-0005-0000-0000-000088320000}"/>
    <cellStyle name="Normal 2 13 34 3" xfId="16594" xr:uid="{00000000-0005-0000-0000-000089320000}"/>
    <cellStyle name="Normal 2 13 34 4" xfId="16595" xr:uid="{00000000-0005-0000-0000-00008A320000}"/>
    <cellStyle name="Normal 2 13 34 5" xfId="16596" xr:uid="{00000000-0005-0000-0000-00008B320000}"/>
    <cellStyle name="Normal 2 13 34 6" xfId="16597" xr:uid="{00000000-0005-0000-0000-00008C320000}"/>
    <cellStyle name="Normal 2 13 34 7" xfId="16598" xr:uid="{00000000-0005-0000-0000-00008D320000}"/>
    <cellStyle name="Normal 2 13 35" xfId="16599" xr:uid="{00000000-0005-0000-0000-00008E320000}"/>
    <cellStyle name="Normal 2 13 35 2" xfId="16600" xr:uid="{00000000-0005-0000-0000-00008F320000}"/>
    <cellStyle name="Normal 2 13 35 3" xfId="16601" xr:uid="{00000000-0005-0000-0000-000090320000}"/>
    <cellStyle name="Normal 2 13 35 4" xfId="16602" xr:uid="{00000000-0005-0000-0000-000091320000}"/>
    <cellStyle name="Normal 2 13 35 5" xfId="16603" xr:uid="{00000000-0005-0000-0000-000092320000}"/>
    <cellStyle name="Normal 2 13 35 6" xfId="16604" xr:uid="{00000000-0005-0000-0000-000093320000}"/>
    <cellStyle name="Normal 2 13 35 7" xfId="16605" xr:uid="{00000000-0005-0000-0000-000094320000}"/>
    <cellStyle name="Normal 2 13 36" xfId="16606" xr:uid="{00000000-0005-0000-0000-000095320000}"/>
    <cellStyle name="Normal 2 13 37" xfId="16607" xr:uid="{00000000-0005-0000-0000-000096320000}"/>
    <cellStyle name="Normal 2 13 38" xfId="16608" xr:uid="{00000000-0005-0000-0000-000097320000}"/>
    <cellStyle name="Normal 2 13 39" xfId="16609" xr:uid="{00000000-0005-0000-0000-000098320000}"/>
    <cellStyle name="Normal 2 13 4" xfId="16610" xr:uid="{00000000-0005-0000-0000-000099320000}"/>
    <cellStyle name="Normal 2 13 4 2" xfId="16611" xr:uid="{00000000-0005-0000-0000-00009A320000}"/>
    <cellStyle name="Normal 2 13 4 2 2" xfId="16612" xr:uid="{00000000-0005-0000-0000-00009B320000}"/>
    <cellStyle name="Normal 2 13 4 2 3" xfId="16613" xr:uid="{00000000-0005-0000-0000-00009C320000}"/>
    <cellStyle name="Normal 2 13 4 2 4" xfId="16614" xr:uid="{00000000-0005-0000-0000-00009D320000}"/>
    <cellStyle name="Normal 2 13 4 2 5" xfId="16615" xr:uid="{00000000-0005-0000-0000-00009E320000}"/>
    <cellStyle name="Normal 2 13 4 2 6" xfId="16616" xr:uid="{00000000-0005-0000-0000-00009F320000}"/>
    <cellStyle name="Normal 2 13 4 2 7" xfId="16617" xr:uid="{00000000-0005-0000-0000-0000A0320000}"/>
    <cellStyle name="Normal 2 13 4 3" xfId="16618" xr:uid="{00000000-0005-0000-0000-0000A1320000}"/>
    <cellStyle name="Normal 2 13 4 4" xfId="16619" xr:uid="{00000000-0005-0000-0000-0000A2320000}"/>
    <cellStyle name="Normal 2 13 4 5" xfId="16620" xr:uid="{00000000-0005-0000-0000-0000A3320000}"/>
    <cellStyle name="Normal 2 13 4 6" xfId="16621" xr:uid="{00000000-0005-0000-0000-0000A4320000}"/>
    <cellStyle name="Normal 2 13 4 7" xfId="16622" xr:uid="{00000000-0005-0000-0000-0000A5320000}"/>
    <cellStyle name="Normal 2 13 4 8" xfId="16623" xr:uid="{00000000-0005-0000-0000-0000A6320000}"/>
    <cellStyle name="Normal 2 13 40" xfId="16624" xr:uid="{00000000-0005-0000-0000-0000A7320000}"/>
    <cellStyle name="Normal 2 13 41" xfId="16625" xr:uid="{00000000-0005-0000-0000-0000A8320000}"/>
    <cellStyle name="Normal 2 13 42" xfId="16626" xr:uid="{00000000-0005-0000-0000-0000A9320000}"/>
    <cellStyle name="Normal 2 13 5" xfId="16627" xr:uid="{00000000-0005-0000-0000-0000AA320000}"/>
    <cellStyle name="Normal 2 13 5 2" xfId="16628" xr:uid="{00000000-0005-0000-0000-0000AB320000}"/>
    <cellStyle name="Normal 2 13 5 2 2" xfId="16629" xr:uid="{00000000-0005-0000-0000-0000AC320000}"/>
    <cellStyle name="Normal 2 13 5 2 3" xfId="16630" xr:uid="{00000000-0005-0000-0000-0000AD320000}"/>
    <cellStyle name="Normal 2 13 5 2 4" xfId="16631" xr:uid="{00000000-0005-0000-0000-0000AE320000}"/>
    <cellStyle name="Normal 2 13 5 2 5" xfId="16632" xr:uid="{00000000-0005-0000-0000-0000AF320000}"/>
    <cellStyle name="Normal 2 13 5 2 6" xfId="16633" xr:uid="{00000000-0005-0000-0000-0000B0320000}"/>
    <cellStyle name="Normal 2 13 5 2 7" xfId="16634" xr:uid="{00000000-0005-0000-0000-0000B1320000}"/>
    <cellStyle name="Normal 2 13 5 3" xfId="16635" xr:uid="{00000000-0005-0000-0000-0000B2320000}"/>
    <cellStyle name="Normal 2 13 5 4" xfId="16636" xr:uid="{00000000-0005-0000-0000-0000B3320000}"/>
    <cellStyle name="Normal 2 13 5 5" xfId="16637" xr:uid="{00000000-0005-0000-0000-0000B4320000}"/>
    <cellStyle name="Normal 2 13 5 6" xfId="16638" xr:uid="{00000000-0005-0000-0000-0000B5320000}"/>
    <cellStyle name="Normal 2 13 5 7" xfId="16639" xr:uid="{00000000-0005-0000-0000-0000B6320000}"/>
    <cellStyle name="Normal 2 13 5 8" xfId="16640" xr:uid="{00000000-0005-0000-0000-0000B7320000}"/>
    <cellStyle name="Normal 2 13 6" xfId="16641" xr:uid="{00000000-0005-0000-0000-0000B8320000}"/>
    <cellStyle name="Normal 2 13 6 2" xfId="16642" xr:uid="{00000000-0005-0000-0000-0000B9320000}"/>
    <cellStyle name="Normal 2 13 6 2 2" xfId="16643" xr:uid="{00000000-0005-0000-0000-0000BA320000}"/>
    <cellStyle name="Normal 2 13 6 2 3" xfId="16644" xr:uid="{00000000-0005-0000-0000-0000BB320000}"/>
    <cellStyle name="Normal 2 13 6 2 4" xfId="16645" xr:uid="{00000000-0005-0000-0000-0000BC320000}"/>
    <cellStyle name="Normal 2 13 6 2 5" xfId="16646" xr:uid="{00000000-0005-0000-0000-0000BD320000}"/>
    <cellStyle name="Normal 2 13 6 2 6" xfId="16647" xr:uid="{00000000-0005-0000-0000-0000BE320000}"/>
    <cellStyle name="Normal 2 13 6 2 7" xfId="16648" xr:uid="{00000000-0005-0000-0000-0000BF320000}"/>
    <cellStyle name="Normal 2 13 6 3" xfId="16649" xr:uid="{00000000-0005-0000-0000-0000C0320000}"/>
    <cellStyle name="Normal 2 13 6 4" xfId="16650" xr:uid="{00000000-0005-0000-0000-0000C1320000}"/>
    <cellStyle name="Normal 2 13 6 5" xfId="16651" xr:uid="{00000000-0005-0000-0000-0000C2320000}"/>
    <cellStyle name="Normal 2 13 6 6" xfId="16652" xr:uid="{00000000-0005-0000-0000-0000C3320000}"/>
    <cellStyle name="Normal 2 13 6 7" xfId="16653" xr:uid="{00000000-0005-0000-0000-0000C4320000}"/>
    <cellStyle name="Normal 2 13 6 8" xfId="16654" xr:uid="{00000000-0005-0000-0000-0000C5320000}"/>
    <cellStyle name="Normal 2 13 7" xfId="16655" xr:uid="{00000000-0005-0000-0000-0000C6320000}"/>
    <cellStyle name="Normal 2 13 7 2" xfId="16656" xr:uid="{00000000-0005-0000-0000-0000C7320000}"/>
    <cellStyle name="Normal 2 13 7 2 2" xfId="16657" xr:uid="{00000000-0005-0000-0000-0000C8320000}"/>
    <cellStyle name="Normal 2 13 7 2 3" xfId="16658" xr:uid="{00000000-0005-0000-0000-0000C9320000}"/>
    <cellStyle name="Normal 2 13 7 2 4" xfId="16659" xr:uid="{00000000-0005-0000-0000-0000CA320000}"/>
    <cellStyle name="Normal 2 13 7 2 5" xfId="16660" xr:uid="{00000000-0005-0000-0000-0000CB320000}"/>
    <cellStyle name="Normal 2 13 7 2 6" xfId="16661" xr:uid="{00000000-0005-0000-0000-0000CC320000}"/>
    <cellStyle name="Normal 2 13 7 2 7" xfId="16662" xr:uid="{00000000-0005-0000-0000-0000CD320000}"/>
    <cellStyle name="Normal 2 13 7 3" xfId="16663" xr:uid="{00000000-0005-0000-0000-0000CE320000}"/>
    <cellStyle name="Normal 2 13 7 4" xfId="16664" xr:uid="{00000000-0005-0000-0000-0000CF320000}"/>
    <cellStyle name="Normal 2 13 7 5" xfId="16665" xr:uid="{00000000-0005-0000-0000-0000D0320000}"/>
    <cellStyle name="Normal 2 13 7 6" xfId="16666" xr:uid="{00000000-0005-0000-0000-0000D1320000}"/>
    <cellStyle name="Normal 2 13 7 7" xfId="16667" xr:uid="{00000000-0005-0000-0000-0000D2320000}"/>
    <cellStyle name="Normal 2 13 7 8" xfId="16668" xr:uid="{00000000-0005-0000-0000-0000D3320000}"/>
    <cellStyle name="Normal 2 13 8" xfId="16669" xr:uid="{00000000-0005-0000-0000-0000D4320000}"/>
    <cellStyle name="Normal 2 13 8 2" xfId="16670" xr:uid="{00000000-0005-0000-0000-0000D5320000}"/>
    <cellStyle name="Normal 2 13 8 2 2" xfId="16671" xr:uid="{00000000-0005-0000-0000-0000D6320000}"/>
    <cellStyle name="Normal 2 13 8 2 3" xfId="16672" xr:uid="{00000000-0005-0000-0000-0000D7320000}"/>
    <cellStyle name="Normal 2 13 8 2 4" xfId="16673" xr:uid="{00000000-0005-0000-0000-0000D8320000}"/>
    <cellStyle name="Normal 2 13 8 2 5" xfId="16674" xr:uid="{00000000-0005-0000-0000-0000D9320000}"/>
    <cellStyle name="Normal 2 13 8 2 6" xfId="16675" xr:uid="{00000000-0005-0000-0000-0000DA320000}"/>
    <cellStyle name="Normal 2 13 8 2 7" xfId="16676" xr:uid="{00000000-0005-0000-0000-0000DB320000}"/>
    <cellStyle name="Normal 2 13 8 3" xfId="16677" xr:uid="{00000000-0005-0000-0000-0000DC320000}"/>
    <cellStyle name="Normal 2 13 8 4" xfId="16678" xr:uid="{00000000-0005-0000-0000-0000DD320000}"/>
    <cellStyle name="Normal 2 13 8 5" xfId="16679" xr:uid="{00000000-0005-0000-0000-0000DE320000}"/>
    <cellStyle name="Normal 2 13 8 6" xfId="16680" xr:uid="{00000000-0005-0000-0000-0000DF320000}"/>
    <cellStyle name="Normal 2 13 8 7" xfId="16681" xr:uid="{00000000-0005-0000-0000-0000E0320000}"/>
    <cellStyle name="Normal 2 13 8 8" xfId="16682" xr:uid="{00000000-0005-0000-0000-0000E1320000}"/>
    <cellStyle name="Normal 2 13 9" xfId="16683" xr:uid="{00000000-0005-0000-0000-0000E2320000}"/>
    <cellStyle name="Normal 2 13 9 2" xfId="16684" xr:uid="{00000000-0005-0000-0000-0000E3320000}"/>
    <cellStyle name="Normal 2 13 9 2 2" xfId="16685" xr:uid="{00000000-0005-0000-0000-0000E4320000}"/>
    <cellStyle name="Normal 2 13 9 2 3" xfId="16686" xr:uid="{00000000-0005-0000-0000-0000E5320000}"/>
    <cellStyle name="Normal 2 13 9 2 4" xfId="16687" xr:uid="{00000000-0005-0000-0000-0000E6320000}"/>
    <cellStyle name="Normal 2 13 9 2 5" xfId="16688" xr:uid="{00000000-0005-0000-0000-0000E7320000}"/>
    <cellStyle name="Normal 2 13 9 2 6" xfId="16689" xr:uid="{00000000-0005-0000-0000-0000E8320000}"/>
    <cellStyle name="Normal 2 13 9 2 7" xfId="16690" xr:uid="{00000000-0005-0000-0000-0000E9320000}"/>
    <cellStyle name="Normal 2 13 9 3" xfId="16691" xr:uid="{00000000-0005-0000-0000-0000EA320000}"/>
    <cellStyle name="Normal 2 13 9 4" xfId="16692" xr:uid="{00000000-0005-0000-0000-0000EB320000}"/>
    <cellStyle name="Normal 2 13 9 5" xfId="16693" xr:uid="{00000000-0005-0000-0000-0000EC320000}"/>
    <cellStyle name="Normal 2 13 9 6" xfId="16694" xr:uid="{00000000-0005-0000-0000-0000ED320000}"/>
    <cellStyle name="Normal 2 13 9 7" xfId="16695" xr:uid="{00000000-0005-0000-0000-0000EE320000}"/>
    <cellStyle name="Normal 2 13 9 8" xfId="16696" xr:uid="{00000000-0005-0000-0000-0000EF320000}"/>
    <cellStyle name="Normal 2 14" xfId="4038" xr:uid="{00000000-0005-0000-0000-0000F0320000}"/>
    <cellStyle name="Normal 2 14 10" xfId="16697" xr:uid="{00000000-0005-0000-0000-0000F1320000}"/>
    <cellStyle name="Normal 2 14 10 2" xfId="16698" xr:uid="{00000000-0005-0000-0000-0000F2320000}"/>
    <cellStyle name="Normal 2 14 10 2 2" xfId="16699" xr:uid="{00000000-0005-0000-0000-0000F3320000}"/>
    <cellStyle name="Normal 2 14 10 2 3" xfId="16700" xr:uid="{00000000-0005-0000-0000-0000F4320000}"/>
    <cellStyle name="Normal 2 14 10 2 4" xfId="16701" xr:uid="{00000000-0005-0000-0000-0000F5320000}"/>
    <cellStyle name="Normal 2 14 10 2 5" xfId="16702" xr:uid="{00000000-0005-0000-0000-0000F6320000}"/>
    <cellStyle name="Normal 2 14 10 2 6" xfId="16703" xr:uid="{00000000-0005-0000-0000-0000F7320000}"/>
    <cellStyle name="Normal 2 14 10 2 7" xfId="16704" xr:uid="{00000000-0005-0000-0000-0000F8320000}"/>
    <cellStyle name="Normal 2 14 10 3" xfId="16705" xr:uid="{00000000-0005-0000-0000-0000F9320000}"/>
    <cellStyle name="Normal 2 14 10 4" xfId="16706" xr:uid="{00000000-0005-0000-0000-0000FA320000}"/>
    <cellStyle name="Normal 2 14 10 5" xfId="16707" xr:uid="{00000000-0005-0000-0000-0000FB320000}"/>
    <cellStyle name="Normal 2 14 10 6" xfId="16708" xr:uid="{00000000-0005-0000-0000-0000FC320000}"/>
    <cellStyle name="Normal 2 14 10 7" xfId="16709" xr:uid="{00000000-0005-0000-0000-0000FD320000}"/>
    <cellStyle name="Normal 2 14 10 8" xfId="16710" xr:uid="{00000000-0005-0000-0000-0000FE320000}"/>
    <cellStyle name="Normal 2 14 11" xfId="16711" xr:uid="{00000000-0005-0000-0000-0000FF320000}"/>
    <cellStyle name="Normal 2 14 11 2" xfId="16712" xr:uid="{00000000-0005-0000-0000-000000330000}"/>
    <cellStyle name="Normal 2 14 11 2 2" xfId="16713" xr:uid="{00000000-0005-0000-0000-000001330000}"/>
    <cellStyle name="Normal 2 14 11 2 3" xfId="16714" xr:uid="{00000000-0005-0000-0000-000002330000}"/>
    <cellStyle name="Normal 2 14 11 2 4" xfId="16715" xr:uid="{00000000-0005-0000-0000-000003330000}"/>
    <cellStyle name="Normal 2 14 11 2 5" xfId="16716" xr:uid="{00000000-0005-0000-0000-000004330000}"/>
    <cellStyle name="Normal 2 14 11 2 6" xfId="16717" xr:uid="{00000000-0005-0000-0000-000005330000}"/>
    <cellStyle name="Normal 2 14 11 2 7" xfId="16718" xr:uid="{00000000-0005-0000-0000-000006330000}"/>
    <cellStyle name="Normal 2 14 11 3" xfId="16719" xr:uid="{00000000-0005-0000-0000-000007330000}"/>
    <cellStyle name="Normal 2 14 11 4" xfId="16720" xr:uid="{00000000-0005-0000-0000-000008330000}"/>
    <cellStyle name="Normal 2 14 11 5" xfId="16721" xr:uid="{00000000-0005-0000-0000-000009330000}"/>
    <cellStyle name="Normal 2 14 11 6" xfId="16722" xr:uid="{00000000-0005-0000-0000-00000A330000}"/>
    <cellStyle name="Normal 2 14 11 7" xfId="16723" xr:uid="{00000000-0005-0000-0000-00000B330000}"/>
    <cellStyle name="Normal 2 14 11 8" xfId="16724" xr:uid="{00000000-0005-0000-0000-00000C330000}"/>
    <cellStyle name="Normal 2 14 12" xfId="16725" xr:uid="{00000000-0005-0000-0000-00000D330000}"/>
    <cellStyle name="Normal 2 14 12 2" xfId="16726" xr:uid="{00000000-0005-0000-0000-00000E330000}"/>
    <cellStyle name="Normal 2 14 12 2 2" xfId="16727" xr:uid="{00000000-0005-0000-0000-00000F330000}"/>
    <cellStyle name="Normal 2 14 12 2 3" xfId="16728" xr:uid="{00000000-0005-0000-0000-000010330000}"/>
    <cellStyle name="Normal 2 14 12 2 4" xfId="16729" xr:uid="{00000000-0005-0000-0000-000011330000}"/>
    <cellStyle name="Normal 2 14 12 2 5" xfId="16730" xr:uid="{00000000-0005-0000-0000-000012330000}"/>
    <cellStyle name="Normal 2 14 12 2 6" xfId="16731" xr:uid="{00000000-0005-0000-0000-000013330000}"/>
    <cellStyle name="Normal 2 14 12 2 7" xfId="16732" xr:uid="{00000000-0005-0000-0000-000014330000}"/>
    <cellStyle name="Normal 2 14 12 3" xfId="16733" xr:uid="{00000000-0005-0000-0000-000015330000}"/>
    <cellStyle name="Normal 2 14 12 4" xfId="16734" xr:uid="{00000000-0005-0000-0000-000016330000}"/>
    <cellStyle name="Normal 2 14 12 5" xfId="16735" xr:uid="{00000000-0005-0000-0000-000017330000}"/>
    <cellStyle name="Normal 2 14 12 6" xfId="16736" xr:uid="{00000000-0005-0000-0000-000018330000}"/>
    <cellStyle name="Normal 2 14 12 7" xfId="16737" xr:uid="{00000000-0005-0000-0000-000019330000}"/>
    <cellStyle name="Normal 2 14 12 8" xfId="16738" xr:uid="{00000000-0005-0000-0000-00001A330000}"/>
    <cellStyle name="Normal 2 14 13" xfId="16739" xr:uid="{00000000-0005-0000-0000-00001B330000}"/>
    <cellStyle name="Normal 2 14 13 2" xfId="16740" xr:uid="{00000000-0005-0000-0000-00001C330000}"/>
    <cellStyle name="Normal 2 14 13 2 2" xfId="16741" xr:uid="{00000000-0005-0000-0000-00001D330000}"/>
    <cellStyle name="Normal 2 14 13 2 3" xfId="16742" xr:uid="{00000000-0005-0000-0000-00001E330000}"/>
    <cellStyle name="Normal 2 14 13 2 4" xfId="16743" xr:uid="{00000000-0005-0000-0000-00001F330000}"/>
    <cellStyle name="Normal 2 14 13 2 5" xfId="16744" xr:uid="{00000000-0005-0000-0000-000020330000}"/>
    <cellStyle name="Normal 2 14 13 2 6" xfId="16745" xr:uid="{00000000-0005-0000-0000-000021330000}"/>
    <cellStyle name="Normal 2 14 13 2 7" xfId="16746" xr:uid="{00000000-0005-0000-0000-000022330000}"/>
    <cellStyle name="Normal 2 14 13 3" xfId="16747" xr:uid="{00000000-0005-0000-0000-000023330000}"/>
    <cellStyle name="Normal 2 14 13 4" xfId="16748" xr:uid="{00000000-0005-0000-0000-000024330000}"/>
    <cellStyle name="Normal 2 14 13 5" xfId="16749" xr:uid="{00000000-0005-0000-0000-000025330000}"/>
    <cellStyle name="Normal 2 14 13 6" xfId="16750" xr:uid="{00000000-0005-0000-0000-000026330000}"/>
    <cellStyle name="Normal 2 14 13 7" xfId="16751" xr:uid="{00000000-0005-0000-0000-000027330000}"/>
    <cellStyle name="Normal 2 14 13 8" xfId="16752" xr:uid="{00000000-0005-0000-0000-000028330000}"/>
    <cellStyle name="Normal 2 14 14" xfId="16753" xr:uid="{00000000-0005-0000-0000-000029330000}"/>
    <cellStyle name="Normal 2 14 14 2" xfId="16754" xr:uid="{00000000-0005-0000-0000-00002A330000}"/>
    <cellStyle name="Normal 2 14 14 2 2" xfId="16755" xr:uid="{00000000-0005-0000-0000-00002B330000}"/>
    <cellStyle name="Normal 2 14 14 2 3" xfId="16756" xr:uid="{00000000-0005-0000-0000-00002C330000}"/>
    <cellStyle name="Normal 2 14 14 2 4" xfId="16757" xr:uid="{00000000-0005-0000-0000-00002D330000}"/>
    <cellStyle name="Normal 2 14 14 2 5" xfId="16758" xr:uid="{00000000-0005-0000-0000-00002E330000}"/>
    <cellStyle name="Normal 2 14 14 2 6" xfId="16759" xr:uid="{00000000-0005-0000-0000-00002F330000}"/>
    <cellStyle name="Normal 2 14 14 2 7" xfId="16760" xr:uid="{00000000-0005-0000-0000-000030330000}"/>
    <cellStyle name="Normal 2 14 14 3" xfId="16761" xr:uid="{00000000-0005-0000-0000-000031330000}"/>
    <cellStyle name="Normal 2 14 14 4" xfId="16762" xr:uid="{00000000-0005-0000-0000-000032330000}"/>
    <cellStyle name="Normal 2 14 14 5" xfId="16763" xr:uid="{00000000-0005-0000-0000-000033330000}"/>
    <cellStyle name="Normal 2 14 14 6" xfId="16764" xr:uid="{00000000-0005-0000-0000-000034330000}"/>
    <cellStyle name="Normal 2 14 14 7" xfId="16765" xr:uid="{00000000-0005-0000-0000-000035330000}"/>
    <cellStyle name="Normal 2 14 14 8" xfId="16766" xr:uid="{00000000-0005-0000-0000-000036330000}"/>
    <cellStyle name="Normal 2 14 15" xfId="16767" xr:uid="{00000000-0005-0000-0000-000037330000}"/>
    <cellStyle name="Normal 2 14 15 2" xfId="16768" xr:uid="{00000000-0005-0000-0000-000038330000}"/>
    <cellStyle name="Normal 2 14 15 2 2" xfId="16769" xr:uid="{00000000-0005-0000-0000-000039330000}"/>
    <cellStyle name="Normal 2 14 15 2 3" xfId="16770" xr:uid="{00000000-0005-0000-0000-00003A330000}"/>
    <cellStyle name="Normal 2 14 15 2 4" xfId="16771" xr:uid="{00000000-0005-0000-0000-00003B330000}"/>
    <cellStyle name="Normal 2 14 15 2 5" xfId="16772" xr:uid="{00000000-0005-0000-0000-00003C330000}"/>
    <cellStyle name="Normal 2 14 15 2 6" xfId="16773" xr:uid="{00000000-0005-0000-0000-00003D330000}"/>
    <cellStyle name="Normal 2 14 15 2 7" xfId="16774" xr:uid="{00000000-0005-0000-0000-00003E330000}"/>
    <cellStyle name="Normal 2 14 15 3" xfId="16775" xr:uid="{00000000-0005-0000-0000-00003F330000}"/>
    <cellStyle name="Normal 2 14 15 4" xfId="16776" xr:uid="{00000000-0005-0000-0000-000040330000}"/>
    <cellStyle name="Normal 2 14 15 5" xfId="16777" xr:uid="{00000000-0005-0000-0000-000041330000}"/>
    <cellStyle name="Normal 2 14 15 6" xfId="16778" xr:uid="{00000000-0005-0000-0000-000042330000}"/>
    <cellStyle name="Normal 2 14 15 7" xfId="16779" xr:uid="{00000000-0005-0000-0000-000043330000}"/>
    <cellStyle name="Normal 2 14 15 8" xfId="16780" xr:uid="{00000000-0005-0000-0000-000044330000}"/>
    <cellStyle name="Normal 2 14 16" xfId="16781" xr:uid="{00000000-0005-0000-0000-000045330000}"/>
    <cellStyle name="Normal 2 14 16 2" xfId="16782" xr:uid="{00000000-0005-0000-0000-000046330000}"/>
    <cellStyle name="Normal 2 14 16 3" xfId="16783" xr:uid="{00000000-0005-0000-0000-000047330000}"/>
    <cellStyle name="Normal 2 14 16 4" xfId="16784" xr:uid="{00000000-0005-0000-0000-000048330000}"/>
    <cellStyle name="Normal 2 14 16 5" xfId="16785" xr:uid="{00000000-0005-0000-0000-000049330000}"/>
    <cellStyle name="Normal 2 14 16 6" xfId="16786" xr:uid="{00000000-0005-0000-0000-00004A330000}"/>
    <cellStyle name="Normal 2 14 16 7" xfId="16787" xr:uid="{00000000-0005-0000-0000-00004B330000}"/>
    <cellStyle name="Normal 2 14 17" xfId="16788" xr:uid="{00000000-0005-0000-0000-00004C330000}"/>
    <cellStyle name="Normal 2 14 17 2" xfId="16789" xr:uid="{00000000-0005-0000-0000-00004D330000}"/>
    <cellStyle name="Normal 2 14 17 3" xfId="16790" xr:uid="{00000000-0005-0000-0000-00004E330000}"/>
    <cellStyle name="Normal 2 14 17 4" xfId="16791" xr:uid="{00000000-0005-0000-0000-00004F330000}"/>
    <cellStyle name="Normal 2 14 17 5" xfId="16792" xr:uid="{00000000-0005-0000-0000-000050330000}"/>
    <cellStyle name="Normal 2 14 17 6" xfId="16793" xr:uid="{00000000-0005-0000-0000-000051330000}"/>
    <cellStyle name="Normal 2 14 17 7" xfId="16794" xr:uid="{00000000-0005-0000-0000-000052330000}"/>
    <cellStyle name="Normal 2 14 18" xfId="16795" xr:uid="{00000000-0005-0000-0000-000053330000}"/>
    <cellStyle name="Normal 2 14 18 2" xfId="16796" xr:uid="{00000000-0005-0000-0000-000054330000}"/>
    <cellStyle name="Normal 2 14 18 3" xfId="16797" xr:uid="{00000000-0005-0000-0000-000055330000}"/>
    <cellStyle name="Normal 2 14 18 4" xfId="16798" xr:uid="{00000000-0005-0000-0000-000056330000}"/>
    <cellStyle name="Normal 2 14 18 5" xfId="16799" xr:uid="{00000000-0005-0000-0000-000057330000}"/>
    <cellStyle name="Normal 2 14 18 6" xfId="16800" xr:uid="{00000000-0005-0000-0000-000058330000}"/>
    <cellStyle name="Normal 2 14 18 7" xfId="16801" xr:uid="{00000000-0005-0000-0000-000059330000}"/>
    <cellStyle name="Normal 2 14 19" xfId="16802" xr:uid="{00000000-0005-0000-0000-00005A330000}"/>
    <cellStyle name="Normal 2 14 19 2" xfId="16803" xr:uid="{00000000-0005-0000-0000-00005B330000}"/>
    <cellStyle name="Normal 2 14 19 3" xfId="16804" xr:uid="{00000000-0005-0000-0000-00005C330000}"/>
    <cellStyle name="Normal 2 14 19 4" xfId="16805" xr:uid="{00000000-0005-0000-0000-00005D330000}"/>
    <cellStyle name="Normal 2 14 19 5" xfId="16806" xr:uid="{00000000-0005-0000-0000-00005E330000}"/>
    <cellStyle name="Normal 2 14 19 6" xfId="16807" xr:uid="{00000000-0005-0000-0000-00005F330000}"/>
    <cellStyle name="Normal 2 14 19 7" xfId="16808" xr:uid="{00000000-0005-0000-0000-000060330000}"/>
    <cellStyle name="Normal 2 14 2" xfId="16809" xr:uid="{00000000-0005-0000-0000-000061330000}"/>
    <cellStyle name="Normal 2 14 2 2" xfId="16810" xr:uid="{00000000-0005-0000-0000-000062330000}"/>
    <cellStyle name="Normal 2 14 2 2 2" xfId="16811" xr:uid="{00000000-0005-0000-0000-000063330000}"/>
    <cellStyle name="Normal 2 14 2 2 3" xfId="16812" xr:uid="{00000000-0005-0000-0000-000064330000}"/>
    <cellStyle name="Normal 2 14 2 2 4" xfId="16813" xr:uid="{00000000-0005-0000-0000-000065330000}"/>
    <cellStyle name="Normal 2 14 2 2 5" xfId="16814" xr:uid="{00000000-0005-0000-0000-000066330000}"/>
    <cellStyle name="Normal 2 14 2 2 6" xfId="16815" xr:uid="{00000000-0005-0000-0000-000067330000}"/>
    <cellStyle name="Normal 2 14 2 2 7" xfId="16816" xr:uid="{00000000-0005-0000-0000-000068330000}"/>
    <cellStyle name="Normal 2 14 2 3" xfId="16817" xr:uid="{00000000-0005-0000-0000-000069330000}"/>
    <cellStyle name="Normal 2 14 2 4" xfId="16818" xr:uid="{00000000-0005-0000-0000-00006A330000}"/>
    <cellStyle name="Normal 2 14 2 5" xfId="16819" xr:uid="{00000000-0005-0000-0000-00006B330000}"/>
    <cellStyle name="Normal 2 14 2 6" xfId="16820" xr:uid="{00000000-0005-0000-0000-00006C330000}"/>
    <cellStyle name="Normal 2 14 2 7" xfId="16821" xr:uid="{00000000-0005-0000-0000-00006D330000}"/>
    <cellStyle name="Normal 2 14 2 8" xfId="16822" xr:uid="{00000000-0005-0000-0000-00006E330000}"/>
    <cellStyle name="Normal 2 14 20" xfId="16823" xr:uid="{00000000-0005-0000-0000-00006F330000}"/>
    <cellStyle name="Normal 2 14 20 2" xfId="16824" xr:uid="{00000000-0005-0000-0000-000070330000}"/>
    <cellStyle name="Normal 2 14 20 3" xfId="16825" xr:uid="{00000000-0005-0000-0000-000071330000}"/>
    <cellStyle name="Normal 2 14 20 4" xfId="16826" xr:uid="{00000000-0005-0000-0000-000072330000}"/>
    <cellStyle name="Normal 2 14 20 5" xfId="16827" xr:uid="{00000000-0005-0000-0000-000073330000}"/>
    <cellStyle name="Normal 2 14 20 6" xfId="16828" xr:uid="{00000000-0005-0000-0000-000074330000}"/>
    <cellStyle name="Normal 2 14 20 7" xfId="16829" xr:uid="{00000000-0005-0000-0000-000075330000}"/>
    <cellStyle name="Normal 2 14 21" xfId="16830" xr:uid="{00000000-0005-0000-0000-000076330000}"/>
    <cellStyle name="Normal 2 14 21 2" xfId="16831" xr:uid="{00000000-0005-0000-0000-000077330000}"/>
    <cellStyle name="Normal 2 14 21 3" xfId="16832" xr:uid="{00000000-0005-0000-0000-000078330000}"/>
    <cellStyle name="Normal 2 14 21 4" xfId="16833" xr:uid="{00000000-0005-0000-0000-000079330000}"/>
    <cellStyle name="Normal 2 14 21 5" xfId="16834" xr:uid="{00000000-0005-0000-0000-00007A330000}"/>
    <cellStyle name="Normal 2 14 21 6" xfId="16835" xr:uid="{00000000-0005-0000-0000-00007B330000}"/>
    <cellStyle name="Normal 2 14 21 7" xfId="16836" xr:uid="{00000000-0005-0000-0000-00007C330000}"/>
    <cellStyle name="Normal 2 14 22" xfId="16837" xr:uid="{00000000-0005-0000-0000-00007D330000}"/>
    <cellStyle name="Normal 2 14 22 2" xfId="16838" xr:uid="{00000000-0005-0000-0000-00007E330000}"/>
    <cellStyle name="Normal 2 14 22 3" xfId="16839" xr:uid="{00000000-0005-0000-0000-00007F330000}"/>
    <cellStyle name="Normal 2 14 22 4" xfId="16840" xr:uid="{00000000-0005-0000-0000-000080330000}"/>
    <cellStyle name="Normal 2 14 22 5" xfId="16841" xr:uid="{00000000-0005-0000-0000-000081330000}"/>
    <cellStyle name="Normal 2 14 22 6" xfId="16842" xr:uid="{00000000-0005-0000-0000-000082330000}"/>
    <cellStyle name="Normal 2 14 22 7" xfId="16843" xr:uid="{00000000-0005-0000-0000-000083330000}"/>
    <cellStyle name="Normal 2 14 23" xfId="16844" xr:uid="{00000000-0005-0000-0000-000084330000}"/>
    <cellStyle name="Normal 2 14 23 2" xfId="16845" xr:uid="{00000000-0005-0000-0000-000085330000}"/>
    <cellStyle name="Normal 2 14 23 3" xfId="16846" xr:uid="{00000000-0005-0000-0000-000086330000}"/>
    <cellStyle name="Normal 2 14 23 4" xfId="16847" xr:uid="{00000000-0005-0000-0000-000087330000}"/>
    <cellStyle name="Normal 2 14 23 5" xfId="16848" xr:uid="{00000000-0005-0000-0000-000088330000}"/>
    <cellStyle name="Normal 2 14 23 6" xfId="16849" xr:uid="{00000000-0005-0000-0000-000089330000}"/>
    <cellStyle name="Normal 2 14 23 7" xfId="16850" xr:uid="{00000000-0005-0000-0000-00008A330000}"/>
    <cellStyle name="Normal 2 14 24" xfId="16851" xr:uid="{00000000-0005-0000-0000-00008B330000}"/>
    <cellStyle name="Normal 2 14 24 2" xfId="16852" xr:uid="{00000000-0005-0000-0000-00008C330000}"/>
    <cellStyle name="Normal 2 14 24 3" xfId="16853" xr:uid="{00000000-0005-0000-0000-00008D330000}"/>
    <cellStyle name="Normal 2 14 24 4" xfId="16854" xr:uid="{00000000-0005-0000-0000-00008E330000}"/>
    <cellStyle name="Normal 2 14 24 5" xfId="16855" xr:uid="{00000000-0005-0000-0000-00008F330000}"/>
    <cellStyle name="Normal 2 14 24 6" xfId="16856" xr:uid="{00000000-0005-0000-0000-000090330000}"/>
    <cellStyle name="Normal 2 14 24 7" xfId="16857" xr:uid="{00000000-0005-0000-0000-000091330000}"/>
    <cellStyle name="Normal 2 14 25" xfId="16858" xr:uid="{00000000-0005-0000-0000-000092330000}"/>
    <cellStyle name="Normal 2 14 25 2" xfId="16859" xr:uid="{00000000-0005-0000-0000-000093330000}"/>
    <cellStyle name="Normal 2 14 25 3" xfId="16860" xr:uid="{00000000-0005-0000-0000-000094330000}"/>
    <cellStyle name="Normal 2 14 25 4" xfId="16861" xr:uid="{00000000-0005-0000-0000-000095330000}"/>
    <cellStyle name="Normal 2 14 25 5" xfId="16862" xr:uid="{00000000-0005-0000-0000-000096330000}"/>
    <cellStyle name="Normal 2 14 25 6" xfId="16863" xr:uid="{00000000-0005-0000-0000-000097330000}"/>
    <cellStyle name="Normal 2 14 25 7" xfId="16864" xr:uid="{00000000-0005-0000-0000-000098330000}"/>
    <cellStyle name="Normal 2 14 26" xfId="16865" xr:uid="{00000000-0005-0000-0000-000099330000}"/>
    <cellStyle name="Normal 2 14 26 2" xfId="16866" xr:uid="{00000000-0005-0000-0000-00009A330000}"/>
    <cellStyle name="Normal 2 14 26 3" xfId="16867" xr:uid="{00000000-0005-0000-0000-00009B330000}"/>
    <cellStyle name="Normal 2 14 26 4" xfId="16868" xr:uid="{00000000-0005-0000-0000-00009C330000}"/>
    <cellStyle name="Normal 2 14 26 5" xfId="16869" xr:uid="{00000000-0005-0000-0000-00009D330000}"/>
    <cellStyle name="Normal 2 14 26 6" xfId="16870" xr:uid="{00000000-0005-0000-0000-00009E330000}"/>
    <cellStyle name="Normal 2 14 26 7" xfId="16871" xr:uid="{00000000-0005-0000-0000-00009F330000}"/>
    <cellStyle name="Normal 2 14 27" xfId="16872" xr:uid="{00000000-0005-0000-0000-0000A0330000}"/>
    <cellStyle name="Normal 2 14 27 2" xfId="16873" xr:uid="{00000000-0005-0000-0000-0000A1330000}"/>
    <cellStyle name="Normal 2 14 27 3" xfId="16874" xr:uid="{00000000-0005-0000-0000-0000A2330000}"/>
    <cellStyle name="Normal 2 14 27 4" xfId="16875" xr:uid="{00000000-0005-0000-0000-0000A3330000}"/>
    <cellStyle name="Normal 2 14 27 5" xfId="16876" xr:uid="{00000000-0005-0000-0000-0000A4330000}"/>
    <cellStyle name="Normal 2 14 27 6" xfId="16877" xr:uid="{00000000-0005-0000-0000-0000A5330000}"/>
    <cellStyle name="Normal 2 14 27 7" xfId="16878" xr:uid="{00000000-0005-0000-0000-0000A6330000}"/>
    <cellStyle name="Normal 2 14 28" xfId="16879" xr:uid="{00000000-0005-0000-0000-0000A7330000}"/>
    <cellStyle name="Normal 2 14 28 2" xfId="16880" xr:uid="{00000000-0005-0000-0000-0000A8330000}"/>
    <cellStyle name="Normal 2 14 28 3" xfId="16881" xr:uid="{00000000-0005-0000-0000-0000A9330000}"/>
    <cellStyle name="Normal 2 14 28 4" xfId="16882" xr:uid="{00000000-0005-0000-0000-0000AA330000}"/>
    <cellStyle name="Normal 2 14 28 5" xfId="16883" xr:uid="{00000000-0005-0000-0000-0000AB330000}"/>
    <cellStyle name="Normal 2 14 28 6" xfId="16884" xr:uid="{00000000-0005-0000-0000-0000AC330000}"/>
    <cellStyle name="Normal 2 14 28 7" xfId="16885" xr:uid="{00000000-0005-0000-0000-0000AD330000}"/>
    <cellStyle name="Normal 2 14 29" xfId="16886" xr:uid="{00000000-0005-0000-0000-0000AE330000}"/>
    <cellStyle name="Normal 2 14 29 2" xfId="16887" xr:uid="{00000000-0005-0000-0000-0000AF330000}"/>
    <cellStyle name="Normal 2 14 29 3" xfId="16888" xr:uid="{00000000-0005-0000-0000-0000B0330000}"/>
    <cellStyle name="Normal 2 14 29 4" xfId="16889" xr:uid="{00000000-0005-0000-0000-0000B1330000}"/>
    <cellStyle name="Normal 2 14 29 5" xfId="16890" xr:uid="{00000000-0005-0000-0000-0000B2330000}"/>
    <cellStyle name="Normal 2 14 29 6" xfId="16891" xr:uid="{00000000-0005-0000-0000-0000B3330000}"/>
    <cellStyle name="Normal 2 14 29 7" xfId="16892" xr:uid="{00000000-0005-0000-0000-0000B4330000}"/>
    <cellStyle name="Normal 2 14 3" xfId="16893" xr:uid="{00000000-0005-0000-0000-0000B5330000}"/>
    <cellStyle name="Normal 2 14 3 2" xfId="16894" xr:uid="{00000000-0005-0000-0000-0000B6330000}"/>
    <cellStyle name="Normal 2 14 3 2 2" xfId="16895" xr:uid="{00000000-0005-0000-0000-0000B7330000}"/>
    <cellStyle name="Normal 2 14 3 2 3" xfId="16896" xr:uid="{00000000-0005-0000-0000-0000B8330000}"/>
    <cellStyle name="Normal 2 14 3 2 4" xfId="16897" xr:uid="{00000000-0005-0000-0000-0000B9330000}"/>
    <cellStyle name="Normal 2 14 3 2 5" xfId="16898" xr:uid="{00000000-0005-0000-0000-0000BA330000}"/>
    <cellStyle name="Normal 2 14 3 2 6" xfId="16899" xr:uid="{00000000-0005-0000-0000-0000BB330000}"/>
    <cellStyle name="Normal 2 14 3 2 7" xfId="16900" xr:uid="{00000000-0005-0000-0000-0000BC330000}"/>
    <cellStyle name="Normal 2 14 3 3" xfId="16901" xr:uid="{00000000-0005-0000-0000-0000BD330000}"/>
    <cellStyle name="Normal 2 14 3 4" xfId="16902" xr:uid="{00000000-0005-0000-0000-0000BE330000}"/>
    <cellStyle name="Normal 2 14 3 5" xfId="16903" xr:uid="{00000000-0005-0000-0000-0000BF330000}"/>
    <cellStyle name="Normal 2 14 3 6" xfId="16904" xr:uid="{00000000-0005-0000-0000-0000C0330000}"/>
    <cellStyle name="Normal 2 14 3 7" xfId="16905" xr:uid="{00000000-0005-0000-0000-0000C1330000}"/>
    <cellStyle name="Normal 2 14 3 8" xfId="16906" xr:uid="{00000000-0005-0000-0000-0000C2330000}"/>
    <cellStyle name="Normal 2 14 30" xfId="16907" xr:uid="{00000000-0005-0000-0000-0000C3330000}"/>
    <cellStyle name="Normal 2 14 30 2" xfId="16908" xr:uid="{00000000-0005-0000-0000-0000C4330000}"/>
    <cellStyle name="Normal 2 14 30 3" xfId="16909" xr:uid="{00000000-0005-0000-0000-0000C5330000}"/>
    <cellStyle name="Normal 2 14 30 4" xfId="16910" xr:uid="{00000000-0005-0000-0000-0000C6330000}"/>
    <cellStyle name="Normal 2 14 30 5" xfId="16911" xr:uid="{00000000-0005-0000-0000-0000C7330000}"/>
    <cellStyle name="Normal 2 14 30 6" xfId="16912" xr:uid="{00000000-0005-0000-0000-0000C8330000}"/>
    <cellStyle name="Normal 2 14 30 7" xfId="16913" xr:uid="{00000000-0005-0000-0000-0000C9330000}"/>
    <cellStyle name="Normal 2 14 31" xfId="16914" xr:uid="{00000000-0005-0000-0000-0000CA330000}"/>
    <cellStyle name="Normal 2 14 31 2" xfId="16915" xr:uid="{00000000-0005-0000-0000-0000CB330000}"/>
    <cellStyle name="Normal 2 14 31 3" xfId="16916" xr:uid="{00000000-0005-0000-0000-0000CC330000}"/>
    <cellStyle name="Normal 2 14 31 4" xfId="16917" xr:uid="{00000000-0005-0000-0000-0000CD330000}"/>
    <cellStyle name="Normal 2 14 31 5" xfId="16918" xr:uid="{00000000-0005-0000-0000-0000CE330000}"/>
    <cellStyle name="Normal 2 14 31 6" xfId="16919" xr:uid="{00000000-0005-0000-0000-0000CF330000}"/>
    <cellStyle name="Normal 2 14 31 7" xfId="16920" xr:uid="{00000000-0005-0000-0000-0000D0330000}"/>
    <cellStyle name="Normal 2 14 32" xfId="16921" xr:uid="{00000000-0005-0000-0000-0000D1330000}"/>
    <cellStyle name="Normal 2 14 32 2" xfId="16922" xr:uid="{00000000-0005-0000-0000-0000D2330000}"/>
    <cellStyle name="Normal 2 14 32 3" xfId="16923" xr:uid="{00000000-0005-0000-0000-0000D3330000}"/>
    <cellStyle name="Normal 2 14 32 4" xfId="16924" xr:uid="{00000000-0005-0000-0000-0000D4330000}"/>
    <cellStyle name="Normal 2 14 32 5" xfId="16925" xr:uid="{00000000-0005-0000-0000-0000D5330000}"/>
    <cellStyle name="Normal 2 14 32 6" xfId="16926" xr:uid="{00000000-0005-0000-0000-0000D6330000}"/>
    <cellStyle name="Normal 2 14 32 7" xfId="16927" xr:uid="{00000000-0005-0000-0000-0000D7330000}"/>
    <cellStyle name="Normal 2 14 33" xfId="16928" xr:uid="{00000000-0005-0000-0000-0000D8330000}"/>
    <cellStyle name="Normal 2 14 33 2" xfId="16929" xr:uid="{00000000-0005-0000-0000-0000D9330000}"/>
    <cellStyle name="Normal 2 14 33 3" xfId="16930" xr:uid="{00000000-0005-0000-0000-0000DA330000}"/>
    <cellStyle name="Normal 2 14 33 4" xfId="16931" xr:uid="{00000000-0005-0000-0000-0000DB330000}"/>
    <cellStyle name="Normal 2 14 33 5" xfId="16932" xr:uid="{00000000-0005-0000-0000-0000DC330000}"/>
    <cellStyle name="Normal 2 14 33 6" xfId="16933" xr:uid="{00000000-0005-0000-0000-0000DD330000}"/>
    <cellStyle name="Normal 2 14 33 7" xfId="16934" xr:uid="{00000000-0005-0000-0000-0000DE330000}"/>
    <cellStyle name="Normal 2 14 34" xfId="16935" xr:uid="{00000000-0005-0000-0000-0000DF330000}"/>
    <cellStyle name="Normal 2 14 34 2" xfId="16936" xr:uid="{00000000-0005-0000-0000-0000E0330000}"/>
    <cellStyle name="Normal 2 14 34 3" xfId="16937" xr:uid="{00000000-0005-0000-0000-0000E1330000}"/>
    <cellStyle name="Normal 2 14 34 4" xfId="16938" xr:uid="{00000000-0005-0000-0000-0000E2330000}"/>
    <cellStyle name="Normal 2 14 34 5" xfId="16939" xr:uid="{00000000-0005-0000-0000-0000E3330000}"/>
    <cellStyle name="Normal 2 14 34 6" xfId="16940" xr:uid="{00000000-0005-0000-0000-0000E4330000}"/>
    <cellStyle name="Normal 2 14 34 7" xfId="16941" xr:uid="{00000000-0005-0000-0000-0000E5330000}"/>
    <cellStyle name="Normal 2 14 35" xfId="16942" xr:uid="{00000000-0005-0000-0000-0000E6330000}"/>
    <cellStyle name="Normal 2 14 35 2" xfId="16943" xr:uid="{00000000-0005-0000-0000-0000E7330000}"/>
    <cellStyle name="Normal 2 14 35 3" xfId="16944" xr:uid="{00000000-0005-0000-0000-0000E8330000}"/>
    <cellStyle name="Normal 2 14 35 4" xfId="16945" xr:uid="{00000000-0005-0000-0000-0000E9330000}"/>
    <cellStyle name="Normal 2 14 35 5" xfId="16946" xr:uid="{00000000-0005-0000-0000-0000EA330000}"/>
    <cellStyle name="Normal 2 14 35 6" xfId="16947" xr:uid="{00000000-0005-0000-0000-0000EB330000}"/>
    <cellStyle name="Normal 2 14 35 7" xfId="16948" xr:uid="{00000000-0005-0000-0000-0000EC330000}"/>
    <cellStyle name="Normal 2 14 36" xfId="16949" xr:uid="{00000000-0005-0000-0000-0000ED330000}"/>
    <cellStyle name="Normal 2 14 37" xfId="16950" xr:uid="{00000000-0005-0000-0000-0000EE330000}"/>
    <cellStyle name="Normal 2 14 38" xfId="16951" xr:uid="{00000000-0005-0000-0000-0000EF330000}"/>
    <cellStyle name="Normal 2 14 39" xfId="16952" xr:uid="{00000000-0005-0000-0000-0000F0330000}"/>
    <cellStyle name="Normal 2 14 4" xfId="16953" xr:uid="{00000000-0005-0000-0000-0000F1330000}"/>
    <cellStyle name="Normal 2 14 4 2" xfId="16954" xr:uid="{00000000-0005-0000-0000-0000F2330000}"/>
    <cellStyle name="Normal 2 14 4 2 2" xfId="16955" xr:uid="{00000000-0005-0000-0000-0000F3330000}"/>
    <cellStyle name="Normal 2 14 4 2 3" xfId="16956" xr:uid="{00000000-0005-0000-0000-0000F4330000}"/>
    <cellStyle name="Normal 2 14 4 2 4" xfId="16957" xr:uid="{00000000-0005-0000-0000-0000F5330000}"/>
    <cellStyle name="Normal 2 14 4 2 5" xfId="16958" xr:uid="{00000000-0005-0000-0000-0000F6330000}"/>
    <cellStyle name="Normal 2 14 4 2 6" xfId="16959" xr:uid="{00000000-0005-0000-0000-0000F7330000}"/>
    <cellStyle name="Normal 2 14 4 2 7" xfId="16960" xr:uid="{00000000-0005-0000-0000-0000F8330000}"/>
    <cellStyle name="Normal 2 14 4 3" xfId="16961" xr:uid="{00000000-0005-0000-0000-0000F9330000}"/>
    <cellStyle name="Normal 2 14 4 4" xfId="16962" xr:uid="{00000000-0005-0000-0000-0000FA330000}"/>
    <cellStyle name="Normal 2 14 4 5" xfId="16963" xr:uid="{00000000-0005-0000-0000-0000FB330000}"/>
    <cellStyle name="Normal 2 14 4 6" xfId="16964" xr:uid="{00000000-0005-0000-0000-0000FC330000}"/>
    <cellStyle name="Normal 2 14 4 7" xfId="16965" xr:uid="{00000000-0005-0000-0000-0000FD330000}"/>
    <cellStyle name="Normal 2 14 4 8" xfId="16966" xr:uid="{00000000-0005-0000-0000-0000FE330000}"/>
    <cellStyle name="Normal 2 14 40" xfId="16967" xr:uid="{00000000-0005-0000-0000-0000FF330000}"/>
    <cellStyle name="Normal 2 14 41" xfId="16968" xr:uid="{00000000-0005-0000-0000-000000340000}"/>
    <cellStyle name="Normal 2 14 42" xfId="16969" xr:uid="{00000000-0005-0000-0000-000001340000}"/>
    <cellStyle name="Normal 2 14 5" xfId="16970" xr:uid="{00000000-0005-0000-0000-000002340000}"/>
    <cellStyle name="Normal 2 14 5 2" xfId="16971" xr:uid="{00000000-0005-0000-0000-000003340000}"/>
    <cellStyle name="Normal 2 14 5 2 2" xfId="16972" xr:uid="{00000000-0005-0000-0000-000004340000}"/>
    <cellStyle name="Normal 2 14 5 2 3" xfId="16973" xr:uid="{00000000-0005-0000-0000-000005340000}"/>
    <cellStyle name="Normal 2 14 5 2 4" xfId="16974" xr:uid="{00000000-0005-0000-0000-000006340000}"/>
    <cellStyle name="Normal 2 14 5 2 5" xfId="16975" xr:uid="{00000000-0005-0000-0000-000007340000}"/>
    <cellStyle name="Normal 2 14 5 2 6" xfId="16976" xr:uid="{00000000-0005-0000-0000-000008340000}"/>
    <cellStyle name="Normal 2 14 5 2 7" xfId="16977" xr:uid="{00000000-0005-0000-0000-000009340000}"/>
    <cellStyle name="Normal 2 14 5 3" xfId="16978" xr:uid="{00000000-0005-0000-0000-00000A340000}"/>
    <cellStyle name="Normal 2 14 5 4" xfId="16979" xr:uid="{00000000-0005-0000-0000-00000B340000}"/>
    <cellStyle name="Normal 2 14 5 5" xfId="16980" xr:uid="{00000000-0005-0000-0000-00000C340000}"/>
    <cellStyle name="Normal 2 14 5 6" xfId="16981" xr:uid="{00000000-0005-0000-0000-00000D340000}"/>
    <cellStyle name="Normal 2 14 5 7" xfId="16982" xr:uid="{00000000-0005-0000-0000-00000E340000}"/>
    <cellStyle name="Normal 2 14 5 8" xfId="16983" xr:uid="{00000000-0005-0000-0000-00000F340000}"/>
    <cellStyle name="Normal 2 14 6" xfId="16984" xr:uid="{00000000-0005-0000-0000-000010340000}"/>
    <cellStyle name="Normal 2 14 6 2" xfId="16985" xr:uid="{00000000-0005-0000-0000-000011340000}"/>
    <cellStyle name="Normal 2 14 6 2 2" xfId="16986" xr:uid="{00000000-0005-0000-0000-000012340000}"/>
    <cellStyle name="Normal 2 14 6 2 3" xfId="16987" xr:uid="{00000000-0005-0000-0000-000013340000}"/>
    <cellStyle name="Normal 2 14 6 2 4" xfId="16988" xr:uid="{00000000-0005-0000-0000-000014340000}"/>
    <cellStyle name="Normal 2 14 6 2 5" xfId="16989" xr:uid="{00000000-0005-0000-0000-000015340000}"/>
    <cellStyle name="Normal 2 14 6 2 6" xfId="16990" xr:uid="{00000000-0005-0000-0000-000016340000}"/>
    <cellStyle name="Normal 2 14 6 2 7" xfId="16991" xr:uid="{00000000-0005-0000-0000-000017340000}"/>
    <cellStyle name="Normal 2 14 6 3" xfId="16992" xr:uid="{00000000-0005-0000-0000-000018340000}"/>
    <cellStyle name="Normal 2 14 6 4" xfId="16993" xr:uid="{00000000-0005-0000-0000-000019340000}"/>
    <cellStyle name="Normal 2 14 6 5" xfId="16994" xr:uid="{00000000-0005-0000-0000-00001A340000}"/>
    <cellStyle name="Normal 2 14 6 6" xfId="16995" xr:uid="{00000000-0005-0000-0000-00001B340000}"/>
    <cellStyle name="Normal 2 14 6 7" xfId="16996" xr:uid="{00000000-0005-0000-0000-00001C340000}"/>
    <cellStyle name="Normal 2 14 6 8" xfId="16997" xr:uid="{00000000-0005-0000-0000-00001D340000}"/>
    <cellStyle name="Normal 2 14 7" xfId="16998" xr:uid="{00000000-0005-0000-0000-00001E340000}"/>
    <cellStyle name="Normal 2 14 7 2" xfId="16999" xr:uid="{00000000-0005-0000-0000-00001F340000}"/>
    <cellStyle name="Normal 2 14 7 2 2" xfId="17000" xr:uid="{00000000-0005-0000-0000-000020340000}"/>
    <cellStyle name="Normal 2 14 7 2 3" xfId="17001" xr:uid="{00000000-0005-0000-0000-000021340000}"/>
    <cellStyle name="Normal 2 14 7 2 4" xfId="17002" xr:uid="{00000000-0005-0000-0000-000022340000}"/>
    <cellStyle name="Normal 2 14 7 2 5" xfId="17003" xr:uid="{00000000-0005-0000-0000-000023340000}"/>
    <cellStyle name="Normal 2 14 7 2 6" xfId="17004" xr:uid="{00000000-0005-0000-0000-000024340000}"/>
    <cellStyle name="Normal 2 14 7 2 7" xfId="17005" xr:uid="{00000000-0005-0000-0000-000025340000}"/>
    <cellStyle name="Normal 2 14 7 3" xfId="17006" xr:uid="{00000000-0005-0000-0000-000026340000}"/>
    <cellStyle name="Normal 2 14 7 4" xfId="17007" xr:uid="{00000000-0005-0000-0000-000027340000}"/>
    <cellStyle name="Normal 2 14 7 5" xfId="17008" xr:uid="{00000000-0005-0000-0000-000028340000}"/>
    <cellStyle name="Normal 2 14 7 6" xfId="17009" xr:uid="{00000000-0005-0000-0000-000029340000}"/>
    <cellStyle name="Normal 2 14 7 7" xfId="17010" xr:uid="{00000000-0005-0000-0000-00002A340000}"/>
    <cellStyle name="Normal 2 14 7 8" xfId="17011" xr:uid="{00000000-0005-0000-0000-00002B340000}"/>
    <cellStyle name="Normal 2 14 8" xfId="17012" xr:uid="{00000000-0005-0000-0000-00002C340000}"/>
    <cellStyle name="Normal 2 14 8 2" xfId="17013" xr:uid="{00000000-0005-0000-0000-00002D340000}"/>
    <cellStyle name="Normal 2 14 8 2 2" xfId="17014" xr:uid="{00000000-0005-0000-0000-00002E340000}"/>
    <cellStyle name="Normal 2 14 8 2 3" xfId="17015" xr:uid="{00000000-0005-0000-0000-00002F340000}"/>
    <cellStyle name="Normal 2 14 8 2 4" xfId="17016" xr:uid="{00000000-0005-0000-0000-000030340000}"/>
    <cellStyle name="Normal 2 14 8 2 5" xfId="17017" xr:uid="{00000000-0005-0000-0000-000031340000}"/>
    <cellStyle name="Normal 2 14 8 2 6" xfId="17018" xr:uid="{00000000-0005-0000-0000-000032340000}"/>
    <cellStyle name="Normal 2 14 8 2 7" xfId="17019" xr:uid="{00000000-0005-0000-0000-000033340000}"/>
    <cellStyle name="Normal 2 14 8 3" xfId="17020" xr:uid="{00000000-0005-0000-0000-000034340000}"/>
    <cellStyle name="Normal 2 14 8 4" xfId="17021" xr:uid="{00000000-0005-0000-0000-000035340000}"/>
    <cellStyle name="Normal 2 14 8 5" xfId="17022" xr:uid="{00000000-0005-0000-0000-000036340000}"/>
    <cellStyle name="Normal 2 14 8 6" xfId="17023" xr:uid="{00000000-0005-0000-0000-000037340000}"/>
    <cellStyle name="Normal 2 14 8 7" xfId="17024" xr:uid="{00000000-0005-0000-0000-000038340000}"/>
    <cellStyle name="Normal 2 14 8 8" xfId="17025" xr:uid="{00000000-0005-0000-0000-000039340000}"/>
    <cellStyle name="Normal 2 14 9" xfId="17026" xr:uid="{00000000-0005-0000-0000-00003A340000}"/>
    <cellStyle name="Normal 2 14 9 2" xfId="17027" xr:uid="{00000000-0005-0000-0000-00003B340000}"/>
    <cellStyle name="Normal 2 14 9 2 2" xfId="17028" xr:uid="{00000000-0005-0000-0000-00003C340000}"/>
    <cellStyle name="Normal 2 14 9 2 3" xfId="17029" xr:uid="{00000000-0005-0000-0000-00003D340000}"/>
    <cellStyle name="Normal 2 14 9 2 4" xfId="17030" xr:uid="{00000000-0005-0000-0000-00003E340000}"/>
    <cellStyle name="Normal 2 14 9 2 5" xfId="17031" xr:uid="{00000000-0005-0000-0000-00003F340000}"/>
    <cellStyle name="Normal 2 14 9 2 6" xfId="17032" xr:uid="{00000000-0005-0000-0000-000040340000}"/>
    <cellStyle name="Normal 2 14 9 2 7" xfId="17033" xr:uid="{00000000-0005-0000-0000-000041340000}"/>
    <cellStyle name="Normal 2 14 9 3" xfId="17034" xr:uid="{00000000-0005-0000-0000-000042340000}"/>
    <cellStyle name="Normal 2 14 9 4" xfId="17035" xr:uid="{00000000-0005-0000-0000-000043340000}"/>
    <cellStyle name="Normal 2 14 9 5" xfId="17036" xr:uid="{00000000-0005-0000-0000-000044340000}"/>
    <cellStyle name="Normal 2 14 9 6" xfId="17037" xr:uid="{00000000-0005-0000-0000-000045340000}"/>
    <cellStyle name="Normal 2 14 9 7" xfId="17038" xr:uid="{00000000-0005-0000-0000-000046340000}"/>
    <cellStyle name="Normal 2 14 9 8" xfId="17039" xr:uid="{00000000-0005-0000-0000-000047340000}"/>
    <cellStyle name="Normal 2 15" xfId="4039" xr:uid="{00000000-0005-0000-0000-000048340000}"/>
    <cellStyle name="Normal 2 15 2" xfId="17040" xr:uid="{00000000-0005-0000-0000-000049340000}"/>
    <cellStyle name="Normal 2 15 2 2" xfId="17041" xr:uid="{00000000-0005-0000-0000-00004A340000}"/>
    <cellStyle name="Normal 2 15 2 3" xfId="17042" xr:uid="{00000000-0005-0000-0000-00004B340000}"/>
    <cellStyle name="Normal 2 15 2 4" xfId="17043" xr:uid="{00000000-0005-0000-0000-00004C340000}"/>
    <cellStyle name="Normal 2 15 2 5" xfId="17044" xr:uid="{00000000-0005-0000-0000-00004D340000}"/>
    <cellStyle name="Normal 2 15 2 6" xfId="17045" xr:uid="{00000000-0005-0000-0000-00004E340000}"/>
    <cellStyle name="Normal 2 15 2 7" xfId="17046" xr:uid="{00000000-0005-0000-0000-00004F340000}"/>
    <cellStyle name="Normal 2 15 2 8" xfId="35007" xr:uid="{00000000-0005-0000-0000-000050340000}"/>
    <cellStyle name="Normal 2 15 3" xfId="17047" xr:uid="{00000000-0005-0000-0000-000051340000}"/>
    <cellStyle name="Normal 2 15 4" xfId="17048" xr:uid="{00000000-0005-0000-0000-000052340000}"/>
    <cellStyle name="Normal 2 15 5" xfId="17049" xr:uid="{00000000-0005-0000-0000-000053340000}"/>
    <cellStyle name="Normal 2 15 6" xfId="17050" xr:uid="{00000000-0005-0000-0000-000054340000}"/>
    <cellStyle name="Normal 2 15 7" xfId="17051" xr:uid="{00000000-0005-0000-0000-000055340000}"/>
    <cellStyle name="Normal 2 15 8" xfId="17052" xr:uid="{00000000-0005-0000-0000-000056340000}"/>
    <cellStyle name="Normal 2 15 9" xfId="17053" xr:uid="{00000000-0005-0000-0000-000057340000}"/>
    <cellStyle name="Normal 2 16" xfId="4040" xr:uid="{00000000-0005-0000-0000-000058340000}"/>
    <cellStyle name="Normal 2 16 2" xfId="17054" xr:uid="{00000000-0005-0000-0000-000059340000}"/>
    <cellStyle name="Normal 2 16 3" xfId="17055" xr:uid="{00000000-0005-0000-0000-00005A340000}"/>
    <cellStyle name="Normal 2 17" xfId="4041" xr:uid="{00000000-0005-0000-0000-00005B340000}"/>
    <cellStyle name="Normal 2 17 2" xfId="17056" xr:uid="{00000000-0005-0000-0000-00005C340000}"/>
    <cellStyle name="Normal 2 18" xfId="4042" xr:uid="{00000000-0005-0000-0000-00005D340000}"/>
    <cellStyle name="Normal 2 18 10" xfId="4043" xr:uid="{00000000-0005-0000-0000-00005E340000}"/>
    <cellStyle name="Normal 2 18 10 2" xfId="4044" xr:uid="{00000000-0005-0000-0000-00005F340000}"/>
    <cellStyle name="Normal 2 18 10 2 2" xfId="35008" xr:uid="{00000000-0005-0000-0000-000060340000}"/>
    <cellStyle name="Normal 2 18 10 3" xfId="4045" xr:uid="{00000000-0005-0000-0000-000061340000}"/>
    <cellStyle name="Normal 2 18 10 3 2" xfId="35009" xr:uid="{00000000-0005-0000-0000-000062340000}"/>
    <cellStyle name="Normal 2 18 10 4" xfId="4046" xr:uid="{00000000-0005-0000-0000-000063340000}"/>
    <cellStyle name="Normal 2 18 10 4 2" xfId="35010" xr:uid="{00000000-0005-0000-0000-000064340000}"/>
    <cellStyle name="Normal 2 18 10 5" xfId="35011" xr:uid="{00000000-0005-0000-0000-000065340000}"/>
    <cellStyle name="Normal 2 18 10_01-04-2012" xfId="4047" xr:uid="{00000000-0005-0000-0000-000066340000}"/>
    <cellStyle name="Normal 2 18 11" xfId="4048" xr:uid="{00000000-0005-0000-0000-000067340000}"/>
    <cellStyle name="Normal 2 18 11 2" xfId="4049" xr:uid="{00000000-0005-0000-0000-000068340000}"/>
    <cellStyle name="Normal 2 18 11 2 2" xfId="35012" xr:uid="{00000000-0005-0000-0000-000069340000}"/>
    <cellStyle name="Normal 2 18 11 3" xfId="4050" xr:uid="{00000000-0005-0000-0000-00006A340000}"/>
    <cellStyle name="Normal 2 18 11 3 2" xfId="35013" xr:uid="{00000000-0005-0000-0000-00006B340000}"/>
    <cellStyle name="Normal 2 18 11 4" xfId="4051" xr:uid="{00000000-0005-0000-0000-00006C340000}"/>
    <cellStyle name="Normal 2 18 11 4 2" xfId="35014" xr:uid="{00000000-0005-0000-0000-00006D340000}"/>
    <cellStyle name="Normal 2 18 11 5" xfId="35015" xr:uid="{00000000-0005-0000-0000-00006E340000}"/>
    <cellStyle name="Normal 2 18 11_01-04-2012" xfId="4052" xr:uid="{00000000-0005-0000-0000-00006F340000}"/>
    <cellStyle name="Normal 2 18 12" xfId="4053" xr:uid="{00000000-0005-0000-0000-000070340000}"/>
    <cellStyle name="Normal 2 18 12 2" xfId="4054" xr:uid="{00000000-0005-0000-0000-000071340000}"/>
    <cellStyle name="Normal 2 18 12 2 2" xfId="35016" xr:uid="{00000000-0005-0000-0000-000072340000}"/>
    <cellStyle name="Normal 2 18 12 3" xfId="4055" xr:uid="{00000000-0005-0000-0000-000073340000}"/>
    <cellStyle name="Normal 2 18 12 3 2" xfId="35017" xr:uid="{00000000-0005-0000-0000-000074340000}"/>
    <cellStyle name="Normal 2 18 12 4" xfId="4056" xr:uid="{00000000-0005-0000-0000-000075340000}"/>
    <cellStyle name="Normal 2 18 12 4 2" xfId="35018" xr:uid="{00000000-0005-0000-0000-000076340000}"/>
    <cellStyle name="Normal 2 18 12 5" xfId="35019" xr:uid="{00000000-0005-0000-0000-000077340000}"/>
    <cellStyle name="Normal 2 18 12_01-04-2012" xfId="4057" xr:uid="{00000000-0005-0000-0000-000078340000}"/>
    <cellStyle name="Normal 2 18 13" xfId="4058" xr:uid="{00000000-0005-0000-0000-000079340000}"/>
    <cellStyle name="Normal 2 18 13 2" xfId="4059" xr:uid="{00000000-0005-0000-0000-00007A340000}"/>
    <cellStyle name="Normal 2 18 13 2 2" xfId="35020" xr:uid="{00000000-0005-0000-0000-00007B340000}"/>
    <cellStyle name="Normal 2 18 13 3" xfId="4060" xr:uid="{00000000-0005-0000-0000-00007C340000}"/>
    <cellStyle name="Normal 2 18 13 3 2" xfId="35021" xr:uid="{00000000-0005-0000-0000-00007D340000}"/>
    <cellStyle name="Normal 2 18 13 4" xfId="4061" xr:uid="{00000000-0005-0000-0000-00007E340000}"/>
    <cellStyle name="Normal 2 18 13 4 2" xfId="35022" xr:uid="{00000000-0005-0000-0000-00007F340000}"/>
    <cellStyle name="Normal 2 18 13 5" xfId="35023" xr:uid="{00000000-0005-0000-0000-000080340000}"/>
    <cellStyle name="Normal 2 18 13_01-04-2012" xfId="4062" xr:uid="{00000000-0005-0000-0000-000081340000}"/>
    <cellStyle name="Normal 2 18 14" xfId="4063" xr:uid="{00000000-0005-0000-0000-000082340000}"/>
    <cellStyle name="Normal 2 18 14 2" xfId="35024" xr:uid="{00000000-0005-0000-0000-000083340000}"/>
    <cellStyle name="Normal 2 18 15" xfId="4064" xr:uid="{00000000-0005-0000-0000-000084340000}"/>
    <cellStyle name="Normal 2 18 15 2" xfId="35025" xr:uid="{00000000-0005-0000-0000-000085340000}"/>
    <cellStyle name="Normal 2 18 16" xfId="4065" xr:uid="{00000000-0005-0000-0000-000086340000}"/>
    <cellStyle name="Normal 2 18 16 2" xfId="35026" xr:uid="{00000000-0005-0000-0000-000087340000}"/>
    <cellStyle name="Normal 2 18 17" xfId="17057" xr:uid="{00000000-0005-0000-0000-000088340000}"/>
    <cellStyle name="Normal 2 18 17 2" xfId="35027" xr:uid="{00000000-0005-0000-0000-000089340000}"/>
    <cellStyle name="Normal 2 18 18" xfId="17058" xr:uid="{00000000-0005-0000-0000-00008A340000}"/>
    <cellStyle name="Normal 2 18 19" xfId="17059" xr:uid="{00000000-0005-0000-0000-00008B340000}"/>
    <cellStyle name="Normal 2 18 2" xfId="4066" xr:uid="{00000000-0005-0000-0000-00008C340000}"/>
    <cellStyle name="Normal 2 18 2 2" xfId="4067" xr:uid="{00000000-0005-0000-0000-00008D340000}"/>
    <cellStyle name="Normal 2 18 2 2 2" xfId="35028" xr:uid="{00000000-0005-0000-0000-00008E340000}"/>
    <cellStyle name="Normal 2 18 2 3" xfId="4068" xr:uid="{00000000-0005-0000-0000-00008F340000}"/>
    <cellStyle name="Normal 2 18 2 3 2" xfId="35029" xr:uid="{00000000-0005-0000-0000-000090340000}"/>
    <cellStyle name="Normal 2 18 2 4" xfId="4069" xr:uid="{00000000-0005-0000-0000-000091340000}"/>
    <cellStyle name="Normal 2 18 2 4 2" xfId="35030" xr:uid="{00000000-0005-0000-0000-000092340000}"/>
    <cellStyle name="Normal 2 18 2 5" xfId="35031" xr:uid="{00000000-0005-0000-0000-000093340000}"/>
    <cellStyle name="Normal 2 18 2_01-04-2012" xfId="4070" xr:uid="{00000000-0005-0000-0000-000094340000}"/>
    <cellStyle name="Normal 2 18 20" xfId="17060" xr:uid="{00000000-0005-0000-0000-000095340000}"/>
    <cellStyle name="Normal 2 18 21" xfId="17061" xr:uid="{00000000-0005-0000-0000-000096340000}"/>
    <cellStyle name="Normal 2 18 22" xfId="17062" xr:uid="{00000000-0005-0000-0000-000097340000}"/>
    <cellStyle name="Normal 2 18 23" xfId="33637" xr:uid="{00000000-0005-0000-0000-000098340000}"/>
    <cellStyle name="Normal 2 18 3" xfId="4071" xr:uid="{00000000-0005-0000-0000-000099340000}"/>
    <cellStyle name="Normal 2 18 3 2" xfId="4072" xr:uid="{00000000-0005-0000-0000-00009A340000}"/>
    <cellStyle name="Normal 2 18 3 2 2" xfId="35032" xr:uid="{00000000-0005-0000-0000-00009B340000}"/>
    <cellStyle name="Normal 2 18 3 3" xfId="4073" xr:uid="{00000000-0005-0000-0000-00009C340000}"/>
    <cellStyle name="Normal 2 18 3 3 2" xfId="35033" xr:uid="{00000000-0005-0000-0000-00009D340000}"/>
    <cellStyle name="Normal 2 18 3 4" xfId="4074" xr:uid="{00000000-0005-0000-0000-00009E340000}"/>
    <cellStyle name="Normal 2 18 3 4 2" xfId="35034" xr:uid="{00000000-0005-0000-0000-00009F340000}"/>
    <cellStyle name="Normal 2 18 3 5" xfId="35035" xr:uid="{00000000-0005-0000-0000-0000A0340000}"/>
    <cellStyle name="Normal 2 18 3_01-04-2012" xfId="4075" xr:uid="{00000000-0005-0000-0000-0000A1340000}"/>
    <cellStyle name="Normal 2 18 4" xfId="4076" xr:uid="{00000000-0005-0000-0000-0000A2340000}"/>
    <cellStyle name="Normal 2 18 4 2" xfId="4077" xr:uid="{00000000-0005-0000-0000-0000A3340000}"/>
    <cellStyle name="Normal 2 18 4 2 2" xfId="35036" xr:uid="{00000000-0005-0000-0000-0000A4340000}"/>
    <cellStyle name="Normal 2 18 4 3" xfId="4078" xr:uid="{00000000-0005-0000-0000-0000A5340000}"/>
    <cellStyle name="Normal 2 18 4 3 2" xfId="35037" xr:uid="{00000000-0005-0000-0000-0000A6340000}"/>
    <cellStyle name="Normal 2 18 4 4" xfId="4079" xr:uid="{00000000-0005-0000-0000-0000A7340000}"/>
    <cellStyle name="Normal 2 18 4 4 2" xfId="35038" xr:uid="{00000000-0005-0000-0000-0000A8340000}"/>
    <cellStyle name="Normal 2 18 4 5" xfId="35039" xr:uid="{00000000-0005-0000-0000-0000A9340000}"/>
    <cellStyle name="Normal 2 18 4_01-04-2012" xfId="4080" xr:uid="{00000000-0005-0000-0000-0000AA340000}"/>
    <cellStyle name="Normal 2 18 5" xfId="4081" xr:uid="{00000000-0005-0000-0000-0000AB340000}"/>
    <cellStyle name="Normal 2 18 5 2" xfId="4082" xr:uid="{00000000-0005-0000-0000-0000AC340000}"/>
    <cellStyle name="Normal 2 18 5 2 2" xfId="35040" xr:uid="{00000000-0005-0000-0000-0000AD340000}"/>
    <cellStyle name="Normal 2 18 5 3" xfId="4083" xr:uid="{00000000-0005-0000-0000-0000AE340000}"/>
    <cellStyle name="Normal 2 18 5 3 2" xfId="35041" xr:uid="{00000000-0005-0000-0000-0000AF340000}"/>
    <cellStyle name="Normal 2 18 5 4" xfId="4084" xr:uid="{00000000-0005-0000-0000-0000B0340000}"/>
    <cellStyle name="Normal 2 18 5 4 2" xfId="35042" xr:uid="{00000000-0005-0000-0000-0000B1340000}"/>
    <cellStyle name="Normal 2 18 5 5" xfId="35043" xr:uid="{00000000-0005-0000-0000-0000B2340000}"/>
    <cellStyle name="Normal 2 18 5_01-04-2012" xfId="4085" xr:uid="{00000000-0005-0000-0000-0000B3340000}"/>
    <cellStyle name="Normal 2 18 6" xfId="4086" xr:uid="{00000000-0005-0000-0000-0000B4340000}"/>
    <cellStyle name="Normal 2 18 6 2" xfId="4087" xr:uid="{00000000-0005-0000-0000-0000B5340000}"/>
    <cellStyle name="Normal 2 18 6 2 2" xfId="35044" xr:uid="{00000000-0005-0000-0000-0000B6340000}"/>
    <cellStyle name="Normal 2 18 6 3" xfId="4088" xr:uid="{00000000-0005-0000-0000-0000B7340000}"/>
    <cellStyle name="Normal 2 18 6 3 2" xfId="35045" xr:uid="{00000000-0005-0000-0000-0000B8340000}"/>
    <cellStyle name="Normal 2 18 6 4" xfId="4089" xr:uid="{00000000-0005-0000-0000-0000B9340000}"/>
    <cellStyle name="Normal 2 18 6 4 2" xfId="35046" xr:uid="{00000000-0005-0000-0000-0000BA340000}"/>
    <cellStyle name="Normal 2 18 6 5" xfId="35047" xr:uid="{00000000-0005-0000-0000-0000BB340000}"/>
    <cellStyle name="Normal 2 18 6_01-04-2012" xfId="4090" xr:uid="{00000000-0005-0000-0000-0000BC340000}"/>
    <cellStyle name="Normal 2 18 7" xfId="4091" xr:uid="{00000000-0005-0000-0000-0000BD340000}"/>
    <cellStyle name="Normal 2 18 7 2" xfId="4092" xr:uid="{00000000-0005-0000-0000-0000BE340000}"/>
    <cellStyle name="Normal 2 18 7 2 2" xfId="35048" xr:uid="{00000000-0005-0000-0000-0000BF340000}"/>
    <cellStyle name="Normal 2 18 7 3" xfId="4093" xr:uid="{00000000-0005-0000-0000-0000C0340000}"/>
    <cellStyle name="Normal 2 18 7 3 2" xfId="35049" xr:uid="{00000000-0005-0000-0000-0000C1340000}"/>
    <cellStyle name="Normal 2 18 7 4" xfId="4094" xr:uid="{00000000-0005-0000-0000-0000C2340000}"/>
    <cellStyle name="Normal 2 18 7 4 2" xfId="35050" xr:uid="{00000000-0005-0000-0000-0000C3340000}"/>
    <cellStyle name="Normal 2 18 7 5" xfId="35051" xr:uid="{00000000-0005-0000-0000-0000C4340000}"/>
    <cellStyle name="Normal 2 18 7_01-04-2012" xfId="4095" xr:uid="{00000000-0005-0000-0000-0000C5340000}"/>
    <cellStyle name="Normal 2 18 8" xfId="4096" xr:uid="{00000000-0005-0000-0000-0000C6340000}"/>
    <cellStyle name="Normal 2 18 8 2" xfId="4097" xr:uid="{00000000-0005-0000-0000-0000C7340000}"/>
    <cellStyle name="Normal 2 18 8 2 2" xfId="35052" xr:uid="{00000000-0005-0000-0000-0000C8340000}"/>
    <cellStyle name="Normal 2 18 8 3" xfId="4098" xr:uid="{00000000-0005-0000-0000-0000C9340000}"/>
    <cellStyle name="Normal 2 18 8 3 2" xfId="35053" xr:uid="{00000000-0005-0000-0000-0000CA340000}"/>
    <cellStyle name="Normal 2 18 8 4" xfId="4099" xr:uid="{00000000-0005-0000-0000-0000CB340000}"/>
    <cellStyle name="Normal 2 18 8 4 2" xfId="35054" xr:uid="{00000000-0005-0000-0000-0000CC340000}"/>
    <cellStyle name="Normal 2 18 8 5" xfId="35055" xr:uid="{00000000-0005-0000-0000-0000CD340000}"/>
    <cellStyle name="Normal 2 18 8_01-04-2012" xfId="4100" xr:uid="{00000000-0005-0000-0000-0000CE340000}"/>
    <cellStyle name="Normal 2 18 9" xfId="4101" xr:uid="{00000000-0005-0000-0000-0000CF340000}"/>
    <cellStyle name="Normal 2 18 9 2" xfId="4102" xr:uid="{00000000-0005-0000-0000-0000D0340000}"/>
    <cellStyle name="Normal 2 18 9 2 2" xfId="35056" xr:uid="{00000000-0005-0000-0000-0000D1340000}"/>
    <cellStyle name="Normal 2 18 9 3" xfId="4103" xr:uid="{00000000-0005-0000-0000-0000D2340000}"/>
    <cellStyle name="Normal 2 18 9 3 2" xfId="35057" xr:uid="{00000000-0005-0000-0000-0000D3340000}"/>
    <cellStyle name="Normal 2 18 9 4" xfId="4104" xr:uid="{00000000-0005-0000-0000-0000D4340000}"/>
    <cellStyle name="Normal 2 18 9 4 2" xfId="35058" xr:uid="{00000000-0005-0000-0000-0000D5340000}"/>
    <cellStyle name="Normal 2 18 9 5" xfId="35059" xr:uid="{00000000-0005-0000-0000-0000D6340000}"/>
    <cellStyle name="Normal 2 18 9_01-04-2012" xfId="4105" xr:uid="{00000000-0005-0000-0000-0000D7340000}"/>
    <cellStyle name="Normal 2 18_01-04-2012" xfId="4106" xr:uid="{00000000-0005-0000-0000-0000D8340000}"/>
    <cellStyle name="Normal 2 19" xfId="4107" xr:uid="{00000000-0005-0000-0000-0000D9340000}"/>
    <cellStyle name="Normal 2 19 10" xfId="4108" xr:uid="{00000000-0005-0000-0000-0000DA340000}"/>
    <cellStyle name="Normal 2 19 10 2" xfId="4109" xr:uid="{00000000-0005-0000-0000-0000DB340000}"/>
    <cellStyle name="Normal 2 19 10 2 2" xfId="35060" xr:uid="{00000000-0005-0000-0000-0000DC340000}"/>
    <cellStyle name="Normal 2 19 10 3" xfId="4110" xr:uid="{00000000-0005-0000-0000-0000DD340000}"/>
    <cellStyle name="Normal 2 19 10 3 2" xfId="35061" xr:uid="{00000000-0005-0000-0000-0000DE340000}"/>
    <cellStyle name="Normal 2 19 10 4" xfId="4111" xr:uid="{00000000-0005-0000-0000-0000DF340000}"/>
    <cellStyle name="Normal 2 19 10 4 2" xfId="35062" xr:uid="{00000000-0005-0000-0000-0000E0340000}"/>
    <cellStyle name="Normal 2 19 10 5" xfId="35063" xr:uid="{00000000-0005-0000-0000-0000E1340000}"/>
    <cellStyle name="Normal 2 19 10_01-04-2012" xfId="4112" xr:uid="{00000000-0005-0000-0000-0000E2340000}"/>
    <cellStyle name="Normal 2 19 11" xfId="4113" xr:uid="{00000000-0005-0000-0000-0000E3340000}"/>
    <cellStyle name="Normal 2 19 11 2" xfId="4114" xr:uid="{00000000-0005-0000-0000-0000E4340000}"/>
    <cellStyle name="Normal 2 19 11 2 2" xfId="35064" xr:uid="{00000000-0005-0000-0000-0000E5340000}"/>
    <cellStyle name="Normal 2 19 11 3" xfId="4115" xr:uid="{00000000-0005-0000-0000-0000E6340000}"/>
    <cellStyle name="Normal 2 19 11 3 2" xfId="35065" xr:uid="{00000000-0005-0000-0000-0000E7340000}"/>
    <cellStyle name="Normal 2 19 11 4" xfId="4116" xr:uid="{00000000-0005-0000-0000-0000E8340000}"/>
    <cellStyle name="Normal 2 19 11 4 2" xfId="35066" xr:uid="{00000000-0005-0000-0000-0000E9340000}"/>
    <cellStyle name="Normal 2 19 11 5" xfId="35067" xr:uid="{00000000-0005-0000-0000-0000EA340000}"/>
    <cellStyle name="Normal 2 19 11_01-04-2012" xfId="4117" xr:uid="{00000000-0005-0000-0000-0000EB340000}"/>
    <cellStyle name="Normal 2 19 12" xfId="4118" xr:uid="{00000000-0005-0000-0000-0000EC340000}"/>
    <cellStyle name="Normal 2 19 12 2" xfId="4119" xr:uid="{00000000-0005-0000-0000-0000ED340000}"/>
    <cellStyle name="Normal 2 19 12 2 2" xfId="35068" xr:uid="{00000000-0005-0000-0000-0000EE340000}"/>
    <cellStyle name="Normal 2 19 12 3" xfId="4120" xr:uid="{00000000-0005-0000-0000-0000EF340000}"/>
    <cellStyle name="Normal 2 19 12 3 2" xfId="35069" xr:uid="{00000000-0005-0000-0000-0000F0340000}"/>
    <cellStyle name="Normal 2 19 12 4" xfId="4121" xr:uid="{00000000-0005-0000-0000-0000F1340000}"/>
    <cellStyle name="Normal 2 19 12 4 2" xfId="35070" xr:uid="{00000000-0005-0000-0000-0000F2340000}"/>
    <cellStyle name="Normal 2 19 12 5" xfId="35071" xr:uid="{00000000-0005-0000-0000-0000F3340000}"/>
    <cellStyle name="Normal 2 19 12_01-04-2012" xfId="4122" xr:uid="{00000000-0005-0000-0000-0000F4340000}"/>
    <cellStyle name="Normal 2 19 13" xfId="4123" xr:uid="{00000000-0005-0000-0000-0000F5340000}"/>
    <cellStyle name="Normal 2 19 13 2" xfId="4124" xr:uid="{00000000-0005-0000-0000-0000F6340000}"/>
    <cellStyle name="Normal 2 19 13 2 2" xfId="35072" xr:uid="{00000000-0005-0000-0000-0000F7340000}"/>
    <cellStyle name="Normal 2 19 13 3" xfId="4125" xr:uid="{00000000-0005-0000-0000-0000F8340000}"/>
    <cellStyle name="Normal 2 19 13 3 2" xfId="35073" xr:uid="{00000000-0005-0000-0000-0000F9340000}"/>
    <cellStyle name="Normal 2 19 13 4" xfId="4126" xr:uid="{00000000-0005-0000-0000-0000FA340000}"/>
    <cellStyle name="Normal 2 19 13 4 2" xfId="35074" xr:uid="{00000000-0005-0000-0000-0000FB340000}"/>
    <cellStyle name="Normal 2 19 13 5" xfId="35075" xr:uid="{00000000-0005-0000-0000-0000FC340000}"/>
    <cellStyle name="Normal 2 19 13_01-04-2012" xfId="4127" xr:uid="{00000000-0005-0000-0000-0000FD340000}"/>
    <cellStyle name="Normal 2 19 14" xfId="4128" xr:uid="{00000000-0005-0000-0000-0000FE340000}"/>
    <cellStyle name="Normal 2 19 14 2" xfId="35076" xr:uid="{00000000-0005-0000-0000-0000FF340000}"/>
    <cellStyle name="Normal 2 19 15" xfId="4129" xr:uid="{00000000-0005-0000-0000-000000350000}"/>
    <cellStyle name="Normal 2 19 15 2" xfId="35077" xr:uid="{00000000-0005-0000-0000-000001350000}"/>
    <cellStyle name="Normal 2 19 16" xfId="4130" xr:uid="{00000000-0005-0000-0000-000002350000}"/>
    <cellStyle name="Normal 2 19 16 2" xfId="35078" xr:uid="{00000000-0005-0000-0000-000003350000}"/>
    <cellStyle name="Normal 2 19 17" xfId="35079" xr:uid="{00000000-0005-0000-0000-000004350000}"/>
    <cellStyle name="Normal 2 19 2" xfId="4131" xr:uid="{00000000-0005-0000-0000-000005350000}"/>
    <cellStyle name="Normal 2 19 2 2" xfId="4132" xr:uid="{00000000-0005-0000-0000-000006350000}"/>
    <cellStyle name="Normal 2 19 2 2 2" xfId="35080" xr:uid="{00000000-0005-0000-0000-000007350000}"/>
    <cellStyle name="Normal 2 19 2 3" xfId="4133" xr:uid="{00000000-0005-0000-0000-000008350000}"/>
    <cellStyle name="Normal 2 19 2 3 2" xfId="35081" xr:uid="{00000000-0005-0000-0000-000009350000}"/>
    <cellStyle name="Normal 2 19 2 4" xfId="4134" xr:uid="{00000000-0005-0000-0000-00000A350000}"/>
    <cellStyle name="Normal 2 19 2 4 2" xfId="35082" xr:uid="{00000000-0005-0000-0000-00000B350000}"/>
    <cellStyle name="Normal 2 19 2 5" xfId="35083" xr:uid="{00000000-0005-0000-0000-00000C350000}"/>
    <cellStyle name="Normal 2 19 2_01-04-2012" xfId="4135" xr:uid="{00000000-0005-0000-0000-00000D350000}"/>
    <cellStyle name="Normal 2 19 3" xfId="4136" xr:uid="{00000000-0005-0000-0000-00000E350000}"/>
    <cellStyle name="Normal 2 19 3 2" xfId="4137" xr:uid="{00000000-0005-0000-0000-00000F350000}"/>
    <cellStyle name="Normal 2 19 3 2 2" xfId="35084" xr:uid="{00000000-0005-0000-0000-000010350000}"/>
    <cellStyle name="Normal 2 19 3 3" xfId="4138" xr:uid="{00000000-0005-0000-0000-000011350000}"/>
    <cellStyle name="Normal 2 19 3 3 2" xfId="35085" xr:uid="{00000000-0005-0000-0000-000012350000}"/>
    <cellStyle name="Normal 2 19 3 4" xfId="4139" xr:uid="{00000000-0005-0000-0000-000013350000}"/>
    <cellStyle name="Normal 2 19 3 4 2" xfId="35086" xr:uid="{00000000-0005-0000-0000-000014350000}"/>
    <cellStyle name="Normal 2 19 3 5" xfId="35087" xr:uid="{00000000-0005-0000-0000-000015350000}"/>
    <cellStyle name="Normal 2 19 3_01-04-2012" xfId="4140" xr:uid="{00000000-0005-0000-0000-000016350000}"/>
    <cellStyle name="Normal 2 19 4" xfId="4141" xr:uid="{00000000-0005-0000-0000-000017350000}"/>
    <cellStyle name="Normal 2 19 4 2" xfId="4142" xr:uid="{00000000-0005-0000-0000-000018350000}"/>
    <cellStyle name="Normal 2 19 4 2 2" xfId="35088" xr:uid="{00000000-0005-0000-0000-000019350000}"/>
    <cellStyle name="Normal 2 19 4 3" xfId="4143" xr:uid="{00000000-0005-0000-0000-00001A350000}"/>
    <cellStyle name="Normal 2 19 4 3 2" xfId="35089" xr:uid="{00000000-0005-0000-0000-00001B350000}"/>
    <cellStyle name="Normal 2 19 4 4" xfId="4144" xr:uid="{00000000-0005-0000-0000-00001C350000}"/>
    <cellStyle name="Normal 2 19 4 4 2" xfId="35090" xr:uid="{00000000-0005-0000-0000-00001D350000}"/>
    <cellStyle name="Normal 2 19 4 5" xfId="35091" xr:uid="{00000000-0005-0000-0000-00001E350000}"/>
    <cellStyle name="Normal 2 19 4_01-04-2012" xfId="4145" xr:uid="{00000000-0005-0000-0000-00001F350000}"/>
    <cellStyle name="Normal 2 19 5" xfId="4146" xr:uid="{00000000-0005-0000-0000-000020350000}"/>
    <cellStyle name="Normal 2 19 5 2" xfId="4147" xr:uid="{00000000-0005-0000-0000-000021350000}"/>
    <cellStyle name="Normal 2 19 5 2 2" xfId="35092" xr:uid="{00000000-0005-0000-0000-000022350000}"/>
    <cellStyle name="Normal 2 19 5 3" xfId="4148" xr:uid="{00000000-0005-0000-0000-000023350000}"/>
    <cellStyle name="Normal 2 19 5 3 2" xfId="35093" xr:uid="{00000000-0005-0000-0000-000024350000}"/>
    <cellStyle name="Normal 2 19 5 4" xfId="4149" xr:uid="{00000000-0005-0000-0000-000025350000}"/>
    <cellStyle name="Normal 2 19 5 4 2" xfId="35094" xr:uid="{00000000-0005-0000-0000-000026350000}"/>
    <cellStyle name="Normal 2 19 5 5" xfId="35095" xr:uid="{00000000-0005-0000-0000-000027350000}"/>
    <cellStyle name="Normal 2 19 5_01-04-2012" xfId="4150" xr:uid="{00000000-0005-0000-0000-000028350000}"/>
    <cellStyle name="Normal 2 19 6" xfId="4151" xr:uid="{00000000-0005-0000-0000-000029350000}"/>
    <cellStyle name="Normal 2 19 6 2" xfId="4152" xr:uid="{00000000-0005-0000-0000-00002A350000}"/>
    <cellStyle name="Normal 2 19 6 2 2" xfId="35096" xr:uid="{00000000-0005-0000-0000-00002B350000}"/>
    <cellStyle name="Normal 2 19 6 3" xfId="4153" xr:uid="{00000000-0005-0000-0000-00002C350000}"/>
    <cellStyle name="Normal 2 19 6 3 2" xfId="35097" xr:uid="{00000000-0005-0000-0000-00002D350000}"/>
    <cellStyle name="Normal 2 19 6 4" xfId="4154" xr:uid="{00000000-0005-0000-0000-00002E350000}"/>
    <cellStyle name="Normal 2 19 6 4 2" xfId="35098" xr:uid="{00000000-0005-0000-0000-00002F350000}"/>
    <cellStyle name="Normal 2 19 6 5" xfId="35099" xr:uid="{00000000-0005-0000-0000-000030350000}"/>
    <cellStyle name="Normal 2 19 6_01-04-2012" xfId="4155" xr:uid="{00000000-0005-0000-0000-000031350000}"/>
    <cellStyle name="Normal 2 19 7" xfId="4156" xr:uid="{00000000-0005-0000-0000-000032350000}"/>
    <cellStyle name="Normal 2 19 7 2" xfId="4157" xr:uid="{00000000-0005-0000-0000-000033350000}"/>
    <cellStyle name="Normal 2 19 7 2 2" xfId="35100" xr:uid="{00000000-0005-0000-0000-000034350000}"/>
    <cellStyle name="Normal 2 19 7 3" xfId="4158" xr:uid="{00000000-0005-0000-0000-000035350000}"/>
    <cellStyle name="Normal 2 19 7 3 2" xfId="35101" xr:uid="{00000000-0005-0000-0000-000036350000}"/>
    <cellStyle name="Normal 2 19 7 4" xfId="4159" xr:uid="{00000000-0005-0000-0000-000037350000}"/>
    <cellStyle name="Normal 2 19 7 4 2" xfId="35102" xr:uid="{00000000-0005-0000-0000-000038350000}"/>
    <cellStyle name="Normal 2 19 7 5" xfId="35103" xr:uid="{00000000-0005-0000-0000-000039350000}"/>
    <cellStyle name="Normal 2 19 7_01-04-2012" xfId="4160" xr:uid="{00000000-0005-0000-0000-00003A350000}"/>
    <cellStyle name="Normal 2 19 8" xfId="4161" xr:uid="{00000000-0005-0000-0000-00003B350000}"/>
    <cellStyle name="Normal 2 19 8 2" xfId="4162" xr:uid="{00000000-0005-0000-0000-00003C350000}"/>
    <cellStyle name="Normal 2 19 8 2 2" xfId="35104" xr:uid="{00000000-0005-0000-0000-00003D350000}"/>
    <cellStyle name="Normal 2 19 8 3" xfId="4163" xr:uid="{00000000-0005-0000-0000-00003E350000}"/>
    <cellStyle name="Normal 2 19 8 3 2" xfId="35105" xr:uid="{00000000-0005-0000-0000-00003F350000}"/>
    <cellStyle name="Normal 2 19 8 4" xfId="4164" xr:uid="{00000000-0005-0000-0000-000040350000}"/>
    <cellStyle name="Normal 2 19 8 4 2" xfId="35106" xr:uid="{00000000-0005-0000-0000-000041350000}"/>
    <cellStyle name="Normal 2 19 8 5" xfId="35107" xr:uid="{00000000-0005-0000-0000-000042350000}"/>
    <cellStyle name="Normal 2 19 8_01-04-2012" xfId="4165" xr:uid="{00000000-0005-0000-0000-000043350000}"/>
    <cellStyle name="Normal 2 19 9" xfId="4166" xr:uid="{00000000-0005-0000-0000-000044350000}"/>
    <cellStyle name="Normal 2 19 9 2" xfId="4167" xr:uid="{00000000-0005-0000-0000-000045350000}"/>
    <cellStyle name="Normal 2 19 9 2 2" xfId="35108" xr:uid="{00000000-0005-0000-0000-000046350000}"/>
    <cellStyle name="Normal 2 19 9 3" xfId="4168" xr:uid="{00000000-0005-0000-0000-000047350000}"/>
    <cellStyle name="Normal 2 19 9 3 2" xfId="35109" xr:uid="{00000000-0005-0000-0000-000048350000}"/>
    <cellStyle name="Normal 2 19 9 4" xfId="4169" xr:uid="{00000000-0005-0000-0000-000049350000}"/>
    <cellStyle name="Normal 2 19 9 4 2" xfId="35110" xr:uid="{00000000-0005-0000-0000-00004A350000}"/>
    <cellStyle name="Normal 2 19 9 5" xfId="35111" xr:uid="{00000000-0005-0000-0000-00004B350000}"/>
    <cellStyle name="Normal 2 19 9_01-04-2012" xfId="4170" xr:uid="{00000000-0005-0000-0000-00004C350000}"/>
    <cellStyle name="Normal 2 19_01-04-2012" xfId="4171" xr:uid="{00000000-0005-0000-0000-00004D350000}"/>
    <cellStyle name="Normal 2 2" xfId="5" xr:uid="{00000000-0005-0000-0000-00004E350000}"/>
    <cellStyle name="Normal 2 2 10" xfId="4172" xr:uid="{00000000-0005-0000-0000-00004F350000}"/>
    <cellStyle name="Normal 2 2 10 10" xfId="4173" xr:uid="{00000000-0005-0000-0000-000050350000}"/>
    <cellStyle name="Normal 2 2 10 11" xfId="4174" xr:uid="{00000000-0005-0000-0000-000051350000}"/>
    <cellStyle name="Normal 2 2 10 12" xfId="4175" xr:uid="{00000000-0005-0000-0000-000052350000}"/>
    <cellStyle name="Normal 2 2 10 13" xfId="4176" xr:uid="{00000000-0005-0000-0000-000053350000}"/>
    <cellStyle name="Normal 2 2 10 14" xfId="4177" xr:uid="{00000000-0005-0000-0000-000054350000}"/>
    <cellStyle name="Normal 2 2 10 15" xfId="4178" xr:uid="{00000000-0005-0000-0000-000055350000}"/>
    <cellStyle name="Normal 2 2 10 16" xfId="4179" xr:uid="{00000000-0005-0000-0000-000056350000}"/>
    <cellStyle name="Normal 2 2 10 17" xfId="4180" xr:uid="{00000000-0005-0000-0000-000057350000}"/>
    <cellStyle name="Normal 2 2 10 18" xfId="4181" xr:uid="{00000000-0005-0000-0000-000058350000}"/>
    <cellStyle name="Normal 2 2 10 19" xfId="4182" xr:uid="{00000000-0005-0000-0000-000059350000}"/>
    <cellStyle name="Normal 2 2 10 2" xfId="4183" xr:uid="{00000000-0005-0000-0000-00005A350000}"/>
    <cellStyle name="Normal 2 2 10 2 2" xfId="4184" xr:uid="{00000000-0005-0000-0000-00005B350000}"/>
    <cellStyle name="Normal 2 2 10 2 2 2" xfId="4185" xr:uid="{00000000-0005-0000-0000-00005C350000}"/>
    <cellStyle name="Normal 2 2 10 2 2 2 2" xfId="35113" xr:uid="{00000000-0005-0000-0000-00005D350000}"/>
    <cellStyle name="Normal 2 2 10 2 2 3" xfId="4186" xr:uid="{00000000-0005-0000-0000-00005E350000}"/>
    <cellStyle name="Normal 2 2 10 2 2 3 2" xfId="35114" xr:uid="{00000000-0005-0000-0000-00005F350000}"/>
    <cellStyle name="Normal 2 2 10 2 2 4" xfId="4187" xr:uid="{00000000-0005-0000-0000-000060350000}"/>
    <cellStyle name="Normal 2 2 10 2 2 4 2" xfId="35115" xr:uid="{00000000-0005-0000-0000-000061350000}"/>
    <cellStyle name="Normal 2 2 10 2 2 5" xfId="17063" xr:uid="{00000000-0005-0000-0000-000062350000}"/>
    <cellStyle name="Normal 2 2 10 2 2 5 2" xfId="35116" xr:uid="{00000000-0005-0000-0000-000063350000}"/>
    <cellStyle name="Normal 2 2 10 2 2_01-04-2012" xfId="4188" xr:uid="{00000000-0005-0000-0000-000064350000}"/>
    <cellStyle name="Normal 2 2 10 2 3" xfId="4189" xr:uid="{00000000-0005-0000-0000-000065350000}"/>
    <cellStyle name="Normal 2 2 10 2 3 2" xfId="4190" xr:uid="{00000000-0005-0000-0000-000066350000}"/>
    <cellStyle name="Normal 2 2 10 2 3 2 2" xfId="35117" xr:uid="{00000000-0005-0000-0000-000067350000}"/>
    <cellStyle name="Normal 2 2 10 2 3 3" xfId="4191" xr:uid="{00000000-0005-0000-0000-000068350000}"/>
    <cellStyle name="Normal 2 2 10 2 3 3 2" xfId="35118" xr:uid="{00000000-0005-0000-0000-000069350000}"/>
    <cellStyle name="Normal 2 2 10 2 3 4" xfId="4192" xr:uid="{00000000-0005-0000-0000-00006A350000}"/>
    <cellStyle name="Normal 2 2 10 2 3 4 2" xfId="35119" xr:uid="{00000000-0005-0000-0000-00006B350000}"/>
    <cellStyle name="Normal 2 2 10 2 3 5" xfId="17064" xr:uid="{00000000-0005-0000-0000-00006C350000}"/>
    <cellStyle name="Normal 2 2 10 2 3 5 2" xfId="35120" xr:uid="{00000000-0005-0000-0000-00006D350000}"/>
    <cellStyle name="Normal 2 2 10 2 3_01-04-2012" xfId="4193" xr:uid="{00000000-0005-0000-0000-00006E350000}"/>
    <cellStyle name="Normal 2 2 10 2 4" xfId="4194" xr:uid="{00000000-0005-0000-0000-00006F350000}"/>
    <cellStyle name="Normal 2 2 10 2 4 2" xfId="4195" xr:uid="{00000000-0005-0000-0000-000070350000}"/>
    <cellStyle name="Normal 2 2 10 2 4 2 2" xfId="35121" xr:uid="{00000000-0005-0000-0000-000071350000}"/>
    <cellStyle name="Normal 2 2 10 2 4 3" xfId="4196" xr:uid="{00000000-0005-0000-0000-000072350000}"/>
    <cellStyle name="Normal 2 2 10 2 4 3 2" xfId="35122" xr:uid="{00000000-0005-0000-0000-000073350000}"/>
    <cellStyle name="Normal 2 2 10 2 4 4" xfId="4197" xr:uid="{00000000-0005-0000-0000-000074350000}"/>
    <cellStyle name="Normal 2 2 10 2 4 4 2" xfId="35123" xr:uid="{00000000-0005-0000-0000-000075350000}"/>
    <cellStyle name="Normal 2 2 10 2 4 5" xfId="17065" xr:uid="{00000000-0005-0000-0000-000076350000}"/>
    <cellStyle name="Normal 2 2 10 2 4 5 2" xfId="35124" xr:uid="{00000000-0005-0000-0000-000077350000}"/>
    <cellStyle name="Normal 2 2 10 2 4_01-04-2012" xfId="4198" xr:uid="{00000000-0005-0000-0000-000078350000}"/>
    <cellStyle name="Normal 2 2 10 2 5" xfId="4199" xr:uid="{00000000-0005-0000-0000-000079350000}"/>
    <cellStyle name="Normal 2 2 10 2 5 2" xfId="17066" xr:uid="{00000000-0005-0000-0000-00007A350000}"/>
    <cellStyle name="Normal 2 2 10 2 5 2 2" xfId="35125" xr:uid="{00000000-0005-0000-0000-00007B350000}"/>
    <cellStyle name="Normal 2 2 10 2 6" xfId="4200" xr:uid="{00000000-0005-0000-0000-00007C350000}"/>
    <cellStyle name="Normal 2 2 10 2 6 2" xfId="17067" xr:uid="{00000000-0005-0000-0000-00007D350000}"/>
    <cellStyle name="Normal 2 2 10 2 6 2 2" xfId="35126" xr:uid="{00000000-0005-0000-0000-00007E350000}"/>
    <cellStyle name="Normal 2 2 10 2 7" xfId="4201" xr:uid="{00000000-0005-0000-0000-00007F350000}"/>
    <cellStyle name="Normal 2 2 10 2 7 2" xfId="17068" xr:uid="{00000000-0005-0000-0000-000080350000}"/>
    <cellStyle name="Normal 2 2 10 2 7 2 2" xfId="35127" xr:uid="{00000000-0005-0000-0000-000081350000}"/>
    <cellStyle name="Normal 2 2 10 2 8" xfId="17069" xr:uid="{00000000-0005-0000-0000-000082350000}"/>
    <cellStyle name="Normal 2 2 10 2 8 2" xfId="35128" xr:uid="{00000000-0005-0000-0000-000083350000}"/>
    <cellStyle name="Normal 2 2 10 2_01-04-2012" xfId="4202" xr:uid="{00000000-0005-0000-0000-000084350000}"/>
    <cellStyle name="Normal 2 2 10 20" xfId="4203" xr:uid="{00000000-0005-0000-0000-000085350000}"/>
    <cellStyle name="Normal 2 2 10 21" xfId="4204" xr:uid="{00000000-0005-0000-0000-000086350000}"/>
    <cellStyle name="Normal 2 2 10 22" xfId="4205" xr:uid="{00000000-0005-0000-0000-000087350000}"/>
    <cellStyle name="Normal 2 2 10 23" xfId="4206" xr:uid="{00000000-0005-0000-0000-000088350000}"/>
    <cellStyle name="Normal 2 2 10 24" xfId="4207" xr:uid="{00000000-0005-0000-0000-000089350000}"/>
    <cellStyle name="Normal 2 2 10 25" xfId="4208" xr:uid="{00000000-0005-0000-0000-00008A350000}"/>
    <cellStyle name="Normal 2 2 10 26" xfId="4209" xr:uid="{00000000-0005-0000-0000-00008B350000}"/>
    <cellStyle name="Normal 2 2 10 26 2" xfId="35129" xr:uid="{00000000-0005-0000-0000-00008C350000}"/>
    <cellStyle name="Normal 2 2 10 27" xfId="4210" xr:uid="{00000000-0005-0000-0000-00008D350000}"/>
    <cellStyle name="Normal 2 2 10 27 2" xfId="35130" xr:uid="{00000000-0005-0000-0000-00008E350000}"/>
    <cellStyle name="Normal 2 2 10 28" xfId="4211" xr:uid="{00000000-0005-0000-0000-00008F350000}"/>
    <cellStyle name="Normal 2 2 10 28 2" xfId="35131" xr:uid="{00000000-0005-0000-0000-000090350000}"/>
    <cellStyle name="Normal 2 2 10 29" xfId="4212" xr:uid="{00000000-0005-0000-0000-000091350000}"/>
    <cellStyle name="Normal 2 2 10 29 2" xfId="35132" xr:uid="{00000000-0005-0000-0000-000092350000}"/>
    <cellStyle name="Normal 2 2 10 3" xfId="4213" xr:uid="{00000000-0005-0000-0000-000093350000}"/>
    <cellStyle name="Normal 2 2 10 3 10" xfId="17070" xr:uid="{00000000-0005-0000-0000-000094350000}"/>
    <cellStyle name="Normal 2 2 10 3 2" xfId="4214" xr:uid="{00000000-0005-0000-0000-000095350000}"/>
    <cellStyle name="Normal 2 2 10 3 2 2" xfId="4215" xr:uid="{00000000-0005-0000-0000-000096350000}"/>
    <cellStyle name="Normal 2 2 10 3 2 2 2" xfId="35133" xr:uid="{00000000-0005-0000-0000-000097350000}"/>
    <cellStyle name="Normal 2 2 10 3 2 3" xfId="4216" xr:uid="{00000000-0005-0000-0000-000098350000}"/>
    <cellStyle name="Normal 2 2 10 3 2 3 2" xfId="35134" xr:uid="{00000000-0005-0000-0000-000099350000}"/>
    <cellStyle name="Normal 2 2 10 3 2 4" xfId="4217" xr:uid="{00000000-0005-0000-0000-00009A350000}"/>
    <cellStyle name="Normal 2 2 10 3 2 4 2" xfId="35135" xr:uid="{00000000-0005-0000-0000-00009B350000}"/>
    <cellStyle name="Normal 2 2 10 3 2 5" xfId="35136" xr:uid="{00000000-0005-0000-0000-00009C350000}"/>
    <cellStyle name="Normal 2 2 10 3 2_01-04-2012" xfId="4218" xr:uid="{00000000-0005-0000-0000-00009D350000}"/>
    <cellStyle name="Normal 2 2 10 3 3" xfId="4219" xr:uid="{00000000-0005-0000-0000-00009E350000}"/>
    <cellStyle name="Normal 2 2 10 3 3 2" xfId="4220" xr:uid="{00000000-0005-0000-0000-00009F350000}"/>
    <cellStyle name="Normal 2 2 10 3 3 2 2" xfId="35137" xr:uid="{00000000-0005-0000-0000-0000A0350000}"/>
    <cellStyle name="Normal 2 2 10 3 3 3" xfId="4221" xr:uid="{00000000-0005-0000-0000-0000A1350000}"/>
    <cellStyle name="Normal 2 2 10 3 3 3 2" xfId="35138" xr:uid="{00000000-0005-0000-0000-0000A2350000}"/>
    <cellStyle name="Normal 2 2 10 3 3 4" xfId="4222" xr:uid="{00000000-0005-0000-0000-0000A3350000}"/>
    <cellStyle name="Normal 2 2 10 3 3 4 2" xfId="35139" xr:uid="{00000000-0005-0000-0000-0000A4350000}"/>
    <cellStyle name="Normal 2 2 10 3 3 5" xfId="35140" xr:uid="{00000000-0005-0000-0000-0000A5350000}"/>
    <cellStyle name="Normal 2 2 10 3 3_01-04-2012" xfId="4223" xr:uid="{00000000-0005-0000-0000-0000A6350000}"/>
    <cellStyle name="Normal 2 2 10 3 4" xfId="4224" xr:uid="{00000000-0005-0000-0000-0000A7350000}"/>
    <cellStyle name="Normal 2 2 10 3 4 2" xfId="4225" xr:uid="{00000000-0005-0000-0000-0000A8350000}"/>
    <cellStyle name="Normal 2 2 10 3 4 2 2" xfId="35141" xr:uid="{00000000-0005-0000-0000-0000A9350000}"/>
    <cellStyle name="Normal 2 2 10 3 4 3" xfId="4226" xr:uid="{00000000-0005-0000-0000-0000AA350000}"/>
    <cellStyle name="Normal 2 2 10 3 4 3 2" xfId="35142" xr:uid="{00000000-0005-0000-0000-0000AB350000}"/>
    <cellStyle name="Normal 2 2 10 3 4 4" xfId="4227" xr:uid="{00000000-0005-0000-0000-0000AC350000}"/>
    <cellStyle name="Normal 2 2 10 3 4 4 2" xfId="35143" xr:uid="{00000000-0005-0000-0000-0000AD350000}"/>
    <cellStyle name="Normal 2 2 10 3 4 5" xfId="35144" xr:uid="{00000000-0005-0000-0000-0000AE350000}"/>
    <cellStyle name="Normal 2 2 10 3 4_01-04-2012" xfId="4228" xr:uid="{00000000-0005-0000-0000-0000AF350000}"/>
    <cellStyle name="Normal 2 2 10 3 5" xfId="4229" xr:uid="{00000000-0005-0000-0000-0000B0350000}"/>
    <cellStyle name="Normal 2 2 10 3 5 2" xfId="35145" xr:uid="{00000000-0005-0000-0000-0000B1350000}"/>
    <cellStyle name="Normal 2 2 10 3 6" xfId="4230" xr:uid="{00000000-0005-0000-0000-0000B2350000}"/>
    <cellStyle name="Normal 2 2 10 3 6 2" xfId="35146" xr:uid="{00000000-0005-0000-0000-0000B3350000}"/>
    <cellStyle name="Normal 2 2 10 3 7" xfId="4231" xr:uid="{00000000-0005-0000-0000-0000B4350000}"/>
    <cellStyle name="Normal 2 2 10 3 7 2" xfId="35147" xr:uid="{00000000-0005-0000-0000-0000B5350000}"/>
    <cellStyle name="Normal 2 2 10 3 8" xfId="17071" xr:uid="{00000000-0005-0000-0000-0000B6350000}"/>
    <cellStyle name="Normal 2 2 10 3 8 2" xfId="35148" xr:uid="{00000000-0005-0000-0000-0000B7350000}"/>
    <cellStyle name="Normal 2 2 10 3 9" xfId="17072" xr:uid="{00000000-0005-0000-0000-0000B8350000}"/>
    <cellStyle name="Normal 2 2 10 3_01-04-2012" xfId="4232" xr:uid="{00000000-0005-0000-0000-0000B9350000}"/>
    <cellStyle name="Normal 2 2 10 30" xfId="17073" xr:uid="{00000000-0005-0000-0000-0000BA350000}"/>
    <cellStyle name="Normal 2 2 10 30 2" xfId="35149" xr:uid="{00000000-0005-0000-0000-0000BB350000}"/>
    <cellStyle name="Normal 2 2 10 4" xfId="4233" xr:uid="{00000000-0005-0000-0000-0000BC350000}"/>
    <cellStyle name="Normal 2 2 10 4 10" xfId="17074" xr:uid="{00000000-0005-0000-0000-0000BD350000}"/>
    <cellStyle name="Normal 2 2 10 4 2" xfId="4234" xr:uid="{00000000-0005-0000-0000-0000BE350000}"/>
    <cellStyle name="Normal 2 2 10 4 2 2" xfId="4235" xr:uid="{00000000-0005-0000-0000-0000BF350000}"/>
    <cellStyle name="Normal 2 2 10 4 2 2 2" xfId="35150" xr:uid="{00000000-0005-0000-0000-0000C0350000}"/>
    <cellStyle name="Normal 2 2 10 4 2 3" xfId="4236" xr:uid="{00000000-0005-0000-0000-0000C1350000}"/>
    <cellStyle name="Normal 2 2 10 4 2 3 2" xfId="35151" xr:uid="{00000000-0005-0000-0000-0000C2350000}"/>
    <cellStyle name="Normal 2 2 10 4 2 4" xfId="4237" xr:uid="{00000000-0005-0000-0000-0000C3350000}"/>
    <cellStyle name="Normal 2 2 10 4 2 4 2" xfId="35152" xr:uid="{00000000-0005-0000-0000-0000C4350000}"/>
    <cellStyle name="Normal 2 2 10 4 2 5" xfId="35153" xr:uid="{00000000-0005-0000-0000-0000C5350000}"/>
    <cellStyle name="Normal 2 2 10 4 2_01-04-2012" xfId="4238" xr:uid="{00000000-0005-0000-0000-0000C6350000}"/>
    <cellStyle name="Normal 2 2 10 4 3" xfId="4239" xr:uid="{00000000-0005-0000-0000-0000C7350000}"/>
    <cellStyle name="Normal 2 2 10 4 3 2" xfId="4240" xr:uid="{00000000-0005-0000-0000-0000C8350000}"/>
    <cellStyle name="Normal 2 2 10 4 3 2 2" xfId="35154" xr:uid="{00000000-0005-0000-0000-0000C9350000}"/>
    <cellStyle name="Normal 2 2 10 4 3 3" xfId="4241" xr:uid="{00000000-0005-0000-0000-0000CA350000}"/>
    <cellStyle name="Normal 2 2 10 4 3 3 2" xfId="35155" xr:uid="{00000000-0005-0000-0000-0000CB350000}"/>
    <cellStyle name="Normal 2 2 10 4 3 4" xfId="4242" xr:uid="{00000000-0005-0000-0000-0000CC350000}"/>
    <cellStyle name="Normal 2 2 10 4 3 4 2" xfId="35156" xr:uid="{00000000-0005-0000-0000-0000CD350000}"/>
    <cellStyle name="Normal 2 2 10 4 3 5" xfId="35157" xr:uid="{00000000-0005-0000-0000-0000CE350000}"/>
    <cellStyle name="Normal 2 2 10 4 3_01-04-2012" xfId="4243" xr:uid="{00000000-0005-0000-0000-0000CF350000}"/>
    <cellStyle name="Normal 2 2 10 4 4" xfId="4244" xr:uid="{00000000-0005-0000-0000-0000D0350000}"/>
    <cellStyle name="Normal 2 2 10 4 4 2" xfId="4245" xr:uid="{00000000-0005-0000-0000-0000D1350000}"/>
    <cellStyle name="Normal 2 2 10 4 4 2 2" xfId="35158" xr:uid="{00000000-0005-0000-0000-0000D2350000}"/>
    <cellStyle name="Normal 2 2 10 4 4 3" xfId="4246" xr:uid="{00000000-0005-0000-0000-0000D3350000}"/>
    <cellStyle name="Normal 2 2 10 4 4 3 2" xfId="35159" xr:uid="{00000000-0005-0000-0000-0000D4350000}"/>
    <cellStyle name="Normal 2 2 10 4 4 4" xfId="4247" xr:uid="{00000000-0005-0000-0000-0000D5350000}"/>
    <cellStyle name="Normal 2 2 10 4 4 4 2" xfId="35160" xr:uid="{00000000-0005-0000-0000-0000D6350000}"/>
    <cellStyle name="Normal 2 2 10 4 4 5" xfId="35161" xr:uid="{00000000-0005-0000-0000-0000D7350000}"/>
    <cellStyle name="Normal 2 2 10 4 4_01-04-2012" xfId="4248" xr:uid="{00000000-0005-0000-0000-0000D8350000}"/>
    <cellStyle name="Normal 2 2 10 4 5" xfId="4249" xr:uid="{00000000-0005-0000-0000-0000D9350000}"/>
    <cellStyle name="Normal 2 2 10 4 5 2" xfId="35162" xr:uid="{00000000-0005-0000-0000-0000DA350000}"/>
    <cellStyle name="Normal 2 2 10 4 6" xfId="4250" xr:uid="{00000000-0005-0000-0000-0000DB350000}"/>
    <cellStyle name="Normal 2 2 10 4 6 2" xfId="35163" xr:uid="{00000000-0005-0000-0000-0000DC350000}"/>
    <cellStyle name="Normal 2 2 10 4 7" xfId="4251" xr:uid="{00000000-0005-0000-0000-0000DD350000}"/>
    <cellStyle name="Normal 2 2 10 4 7 2" xfId="35164" xr:uid="{00000000-0005-0000-0000-0000DE350000}"/>
    <cellStyle name="Normal 2 2 10 4 8" xfId="17075" xr:uid="{00000000-0005-0000-0000-0000DF350000}"/>
    <cellStyle name="Normal 2 2 10 4 8 2" xfId="35165" xr:uid="{00000000-0005-0000-0000-0000E0350000}"/>
    <cellStyle name="Normal 2 2 10 4 9" xfId="17076" xr:uid="{00000000-0005-0000-0000-0000E1350000}"/>
    <cellStyle name="Normal 2 2 10 4_01-04-2012" xfId="4252" xr:uid="{00000000-0005-0000-0000-0000E2350000}"/>
    <cellStyle name="Normal 2 2 10 5" xfId="4253" xr:uid="{00000000-0005-0000-0000-0000E3350000}"/>
    <cellStyle name="Normal 2 2 10 5 2" xfId="4254" xr:uid="{00000000-0005-0000-0000-0000E4350000}"/>
    <cellStyle name="Normal 2 2 10 5 2 2" xfId="35166" xr:uid="{00000000-0005-0000-0000-0000E5350000}"/>
    <cellStyle name="Normal 2 2 10 5 3" xfId="4255" xr:uid="{00000000-0005-0000-0000-0000E6350000}"/>
    <cellStyle name="Normal 2 2 10 5 3 2" xfId="35167" xr:uid="{00000000-0005-0000-0000-0000E7350000}"/>
    <cellStyle name="Normal 2 2 10 5 4" xfId="4256" xr:uid="{00000000-0005-0000-0000-0000E8350000}"/>
    <cellStyle name="Normal 2 2 10 5 4 2" xfId="35168" xr:uid="{00000000-0005-0000-0000-0000E9350000}"/>
    <cellStyle name="Normal 2 2 10 5 5" xfId="17077" xr:uid="{00000000-0005-0000-0000-0000EA350000}"/>
    <cellStyle name="Normal 2 2 10 5 5 2" xfId="35169" xr:uid="{00000000-0005-0000-0000-0000EB350000}"/>
    <cellStyle name="Normal 2 2 10 5_01-04-2012" xfId="4257" xr:uid="{00000000-0005-0000-0000-0000EC350000}"/>
    <cellStyle name="Normal 2 2 10 6" xfId="4258" xr:uid="{00000000-0005-0000-0000-0000ED350000}"/>
    <cellStyle name="Normal 2 2 10 6 2" xfId="4259" xr:uid="{00000000-0005-0000-0000-0000EE350000}"/>
    <cellStyle name="Normal 2 2 10 6 2 2" xfId="35170" xr:uid="{00000000-0005-0000-0000-0000EF350000}"/>
    <cellStyle name="Normal 2 2 10 6 3" xfId="4260" xr:uid="{00000000-0005-0000-0000-0000F0350000}"/>
    <cellStyle name="Normal 2 2 10 6 3 2" xfId="35171" xr:uid="{00000000-0005-0000-0000-0000F1350000}"/>
    <cellStyle name="Normal 2 2 10 6 4" xfId="4261" xr:uid="{00000000-0005-0000-0000-0000F2350000}"/>
    <cellStyle name="Normal 2 2 10 6 4 2" xfId="35172" xr:uid="{00000000-0005-0000-0000-0000F3350000}"/>
    <cellStyle name="Normal 2 2 10 6 5" xfId="17078" xr:uid="{00000000-0005-0000-0000-0000F4350000}"/>
    <cellStyle name="Normal 2 2 10 6 5 2" xfId="35173" xr:uid="{00000000-0005-0000-0000-0000F5350000}"/>
    <cellStyle name="Normal 2 2 10 6_01-04-2012" xfId="4262" xr:uid="{00000000-0005-0000-0000-0000F6350000}"/>
    <cellStyle name="Normal 2 2 10 7" xfId="4263" xr:uid="{00000000-0005-0000-0000-0000F7350000}"/>
    <cellStyle name="Normal 2 2 10 7 2" xfId="4264" xr:uid="{00000000-0005-0000-0000-0000F8350000}"/>
    <cellStyle name="Normal 2 2 10 7 2 2" xfId="35174" xr:uid="{00000000-0005-0000-0000-0000F9350000}"/>
    <cellStyle name="Normal 2 2 10 7 3" xfId="4265" xr:uid="{00000000-0005-0000-0000-0000FA350000}"/>
    <cellStyle name="Normal 2 2 10 7 3 2" xfId="35175" xr:uid="{00000000-0005-0000-0000-0000FB350000}"/>
    <cellStyle name="Normal 2 2 10 7 4" xfId="4266" xr:uid="{00000000-0005-0000-0000-0000FC350000}"/>
    <cellStyle name="Normal 2 2 10 7 4 2" xfId="35176" xr:uid="{00000000-0005-0000-0000-0000FD350000}"/>
    <cellStyle name="Normal 2 2 10 7 5" xfId="17079" xr:uid="{00000000-0005-0000-0000-0000FE350000}"/>
    <cellStyle name="Normal 2 2 10 7 5 2" xfId="35177" xr:uid="{00000000-0005-0000-0000-0000FF350000}"/>
    <cellStyle name="Normal 2 2 10 7_01-04-2012" xfId="4267" xr:uid="{00000000-0005-0000-0000-000000360000}"/>
    <cellStyle name="Normal 2 2 10 8" xfId="4268" xr:uid="{00000000-0005-0000-0000-000001360000}"/>
    <cellStyle name="Normal 2 2 10 8 2" xfId="4269" xr:uid="{00000000-0005-0000-0000-000002360000}"/>
    <cellStyle name="Normal 2 2 10 8 2 2" xfId="35178" xr:uid="{00000000-0005-0000-0000-000003360000}"/>
    <cellStyle name="Normal 2 2 10 8 3" xfId="4270" xr:uid="{00000000-0005-0000-0000-000004360000}"/>
    <cellStyle name="Normal 2 2 10 8 3 2" xfId="35179" xr:uid="{00000000-0005-0000-0000-000005360000}"/>
    <cellStyle name="Normal 2 2 10 8 4" xfId="4271" xr:uid="{00000000-0005-0000-0000-000006360000}"/>
    <cellStyle name="Normal 2 2 10 8 4 2" xfId="35180" xr:uid="{00000000-0005-0000-0000-000007360000}"/>
    <cellStyle name="Normal 2 2 10 8 5" xfId="17080" xr:uid="{00000000-0005-0000-0000-000008360000}"/>
    <cellStyle name="Normal 2 2 10 8 5 2" xfId="35181" xr:uid="{00000000-0005-0000-0000-000009360000}"/>
    <cellStyle name="Normal 2 2 10 8_01-04-2012" xfId="4272" xr:uid="{00000000-0005-0000-0000-00000A360000}"/>
    <cellStyle name="Normal 2 2 10 9" xfId="4273" xr:uid="{00000000-0005-0000-0000-00000B360000}"/>
    <cellStyle name="Normal 2 2 10 9 2" xfId="4274" xr:uid="{00000000-0005-0000-0000-00000C360000}"/>
    <cellStyle name="Normal 2 2 10 9 2 2" xfId="35182" xr:uid="{00000000-0005-0000-0000-00000D360000}"/>
    <cellStyle name="Normal 2 2 10 9 3" xfId="4275" xr:uid="{00000000-0005-0000-0000-00000E360000}"/>
    <cellStyle name="Normal 2 2 10 9 3 2" xfId="35183" xr:uid="{00000000-0005-0000-0000-00000F360000}"/>
    <cellStyle name="Normal 2 2 10 9 4" xfId="4276" xr:uid="{00000000-0005-0000-0000-000010360000}"/>
    <cellStyle name="Normal 2 2 10 9 4 2" xfId="35184" xr:uid="{00000000-0005-0000-0000-000011360000}"/>
    <cellStyle name="Normal 2 2 10 9 5" xfId="35185" xr:uid="{00000000-0005-0000-0000-000012360000}"/>
    <cellStyle name="Normal 2 2 10 9_01-04-2012" xfId="4277" xr:uid="{00000000-0005-0000-0000-000013360000}"/>
    <cellStyle name="Normal 2 2 10_01-04-2012" xfId="4278" xr:uid="{00000000-0005-0000-0000-000014360000}"/>
    <cellStyle name="Normal 2 2 100" xfId="32919" xr:uid="{00000000-0005-0000-0000-000015360000}"/>
    <cellStyle name="Normal 2 2 101" xfId="35112" xr:uid="{00000000-0005-0000-0000-000016360000}"/>
    <cellStyle name="Normal 2 2 102" xfId="36093" xr:uid="{00000000-0005-0000-0000-000017360000}"/>
    <cellStyle name="Normal 2 2 103" xfId="40951" xr:uid="{00000000-0005-0000-0000-000018360000}"/>
    <cellStyle name="Normal 2 2 104" xfId="40955" xr:uid="{00000000-0005-0000-0000-000019360000}"/>
    <cellStyle name="Normal 2 2 11" xfId="4279" xr:uid="{00000000-0005-0000-0000-00001A360000}"/>
    <cellStyle name="Normal 2 2 11 10" xfId="4280" xr:uid="{00000000-0005-0000-0000-00001B360000}"/>
    <cellStyle name="Normal 2 2 11 11" xfId="4281" xr:uid="{00000000-0005-0000-0000-00001C360000}"/>
    <cellStyle name="Normal 2 2 11 12" xfId="4282" xr:uid="{00000000-0005-0000-0000-00001D360000}"/>
    <cellStyle name="Normal 2 2 11 13" xfId="4283" xr:uid="{00000000-0005-0000-0000-00001E360000}"/>
    <cellStyle name="Normal 2 2 11 14" xfId="4284" xr:uid="{00000000-0005-0000-0000-00001F360000}"/>
    <cellStyle name="Normal 2 2 11 14 2" xfId="35186" xr:uid="{00000000-0005-0000-0000-000020360000}"/>
    <cellStyle name="Normal 2 2 11 15" xfId="4285" xr:uid="{00000000-0005-0000-0000-000021360000}"/>
    <cellStyle name="Normal 2 2 11 15 2" xfId="35187" xr:uid="{00000000-0005-0000-0000-000022360000}"/>
    <cellStyle name="Normal 2 2 11 16" xfId="4286" xr:uid="{00000000-0005-0000-0000-000023360000}"/>
    <cellStyle name="Normal 2 2 11 16 2" xfId="35188" xr:uid="{00000000-0005-0000-0000-000024360000}"/>
    <cellStyle name="Normal 2 2 11 17" xfId="4287" xr:uid="{00000000-0005-0000-0000-000025360000}"/>
    <cellStyle name="Normal 2 2 11 17 2" xfId="35189" xr:uid="{00000000-0005-0000-0000-000026360000}"/>
    <cellStyle name="Normal 2 2 11 18" xfId="17081" xr:uid="{00000000-0005-0000-0000-000027360000}"/>
    <cellStyle name="Normal 2 2 11 18 2" xfId="35190" xr:uid="{00000000-0005-0000-0000-000028360000}"/>
    <cellStyle name="Normal 2 2 11 2" xfId="4288" xr:uid="{00000000-0005-0000-0000-000029360000}"/>
    <cellStyle name="Normal 2 2 11 2 2" xfId="4289" xr:uid="{00000000-0005-0000-0000-00002A360000}"/>
    <cellStyle name="Normal 2 2 11 2 2 2" xfId="4290" xr:uid="{00000000-0005-0000-0000-00002B360000}"/>
    <cellStyle name="Normal 2 2 11 2 2 2 2" xfId="35191" xr:uid="{00000000-0005-0000-0000-00002C360000}"/>
    <cellStyle name="Normal 2 2 11 2 2 3" xfId="4291" xr:uid="{00000000-0005-0000-0000-00002D360000}"/>
    <cellStyle name="Normal 2 2 11 2 2 3 2" xfId="35192" xr:uid="{00000000-0005-0000-0000-00002E360000}"/>
    <cellStyle name="Normal 2 2 11 2 2 4" xfId="4292" xr:uid="{00000000-0005-0000-0000-00002F360000}"/>
    <cellStyle name="Normal 2 2 11 2 2 4 2" xfId="35193" xr:uid="{00000000-0005-0000-0000-000030360000}"/>
    <cellStyle name="Normal 2 2 11 2 2 5" xfId="17082" xr:uid="{00000000-0005-0000-0000-000031360000}"/>
    <cellStyle name="Normal 2 2 11 2 2 5 2" xfId="35194" xr:uid="{00000000-0005-0000-0000-000032360000}"/>
    <cellStyle name="Normal 2 2 11 2 2_01-04-2012" xfId="4293" xr:uid="{00000000-0005-0000-0000-000033360000}"/>
    <cellStyle name="Normal 2 2 11 2 3" xfId="4294" xr:uid="{00000000-0005-0000-0000-000034360000}"/>
    <cellStyle name="Normal 2 2 11 2 3 2" xfId="4295" xr:uid="{00000000-0005-0000-0000-000035360000}"/>
    <cellStyle name="Normal 2 2 11 2 3 2 2" xfId="35195" xr:uid="{00000000-0005-0000-0000-000036360000}"/>
    <cellStyle name="Normal 2 2 11 2 3 3" xfId="4296" xr:uid="{00000000-0005-0000-0000-000037360000}"/>
    <cellStyle name="Normal 2 2 11 2 3 3 2" xfId="35196" xr:uid="{00000000-0005-0000-0000-000038360000}"/>
    <cellStyle name="Normal 2 2 11 2 3 4" xfId="4297" xr:uid="{00000000-0005-0000-0000-000039360000}"/>
    <cellStyle name="Normal 2 2 11 2 3 4 2" xfId="35197" xr:uid="{00000000-0005-0000-0000-00003A360000}"/>
    <cellStyle name="Normal 2 2 11 2 3 5" xfId="17083" xr:uid="{00000000-0005-0000-0000-00003B360000}"/>
    <cellStyle name="Normal 2 2 11 2 3 5 2" xfId="35198" xr:uid="{00000000-0005-0000-0000-00003C360000}"/>
    <cellStyle name="Normal 2 2 11 2 3_01-04-2012" xfId="4298" xr:uid="{00000000-0005-0000-0000-00003D360000}"/>
    <cellStyle name="Normal 2 2 11 2 4" xfId="4299" xr:uid="{00000000-0005-0000-0000-00003E360000}"/>
    <cellStyle name="Normal 2 2 11 2 4 2" xfId="4300" xr:uid="{00000000-0005-0000-0000-00003F360000}"/>
    <cellStyle name="Normal 2 2 11 2 4 2 2" xfId="35199" xr:uid="{00000000-0005-0000-0000-000040360000}"/>
    <cellStyle name="Normal 2 2 11 2 4 3" xfId="4301" xr:uid="{00000000-0005-0000-0000-000041360000}"/>
    <cellStyle name="Normal 2 2 11 2 4 3 2" xfId="35200" xr:uid="{00000000-0005-0000-0000-000042360000}"/>
    <cellStyle name="Normal 2 2 11 2 4 4" xfId="4302" xr:uid="{00000000-0005-0000-0000-000043360000}"/>
    <cellStyle name="Normal 2 2 11 2 4 4 2" xfId="35201" xr:uid="{00000000-0005-0000-0000-000044360000}"/>
    <cellStyle name="Normal 2 2 11 2 4 5" xfId="17084" xr:uid="{00000000-0005-0000-0000-000045360000}"/>
    <cellStyle name="Normal 2 2 11 2 4 5 2" xfId="35202" xr:uid="{00000000-0005-0000-0000-000046360000}"/>
    <cellStyle name="Normal 2 2 11 2 4_01-04-2012" xfId="4303" xr:uid="{00000000-0005-0000-0000-000047360000}"/>
    <cellStyle name="Normal 2 2 11 2 5" xfId="4304" xr:uid="{00000000-0005-0000-0000-000048360000}"/>
    <cellStyle name="Normal 2 2 11 2 5 2" xfId="17085" xr:uid="{00000000-0005-0000-0000-000049360000}"/>
    <cellStyle name="Normal 2 2 11 2 5 2 2" xfId="35203" xr:uid="{00000000-0005-0000-0000-00004A360000}"/>
    <cellStyle name="Normal 2 2 11 2 6" xfId="4305" xr:uid="{00000000-0005-0000-0000-00004B360000}"/>
    <cellStyle name="Normal 2 2 11 2 6 2" xfId="17086" xr:uid="{00000000-0005-0000-0000-00004C360000}"/>
    <cellStyle name="Normal 2 2 11 2 6 2 2" xfId="35204" xr:uid="{00000000-0005-0000-0000-00004D360000}"/>
    <cellStyle name="Normal 2 2 11 2 7" xfId="4306" xr:uid="{00000000-0005-0000-0000-00004E360000}"/>
    <cellStyle name="Normal 2 2 11 2 7 2" xfId="17087" xr:uid="{00000000-0005-0000-0000-00004F360000}"/>
    <cellStyle name="Normal 2 2 11 2 7 2 2" xfId="35205" xr:uid="{00000000-0005-0000-0000-000050360000}"/>
    <cellStyle name="Normal 2 2 11 2 8" xfId="17088" xr:uid="{00000000-0005-0000-0000-000051360000}"/>
    <cellStyle name="Normal 2 2 11 2 8 2" xfId="35206" xr:uid="{00000000-0005-0000-0000-000052360000}"/>
    <cellStyle name="Normal 2 2 11 2_01-04-2012" xfId="4307" xr:uid="{00000000-0005-0000-0000-000053360000}"/>
    <cellStyle name="Normal 2 2 11 3" xfId="4308" xr:uid="{00000000-0005-0000-0000-000054360000}"/>
    <cellStyle name="Normal 2 2 11 3 10" xfId="17089" xr:uid="{00000000-0005-0000-0000-000055360000}"/>
    <cellStyle name="Normal 2 2 11 3 2" xfId="4309" xr:uid="{00000000-0005-0000-0000-000056360000}"/>
    <cellStyle name="Normal 2 2 11 3 2 2" xfId="4310" xr:uid="{00000000-0005-0000-0000-000057360000}"/>
    <cellStyle name="Normal 2 2 11 3 2 2 2" xfId="35207" xr:uid="{00000000-0005-0000-0000-000058360000}"/>
    <cellStyle name="Normal 2 2 11 3 2 3" xfId="4311" xr:uid="{00000000-0005-0000-0000-000059360000}"/>
    <cellStyle name="Normal 2 2 11 3 2 3 2" xfId="35208" xr:uid="{00000000-0005-0000-0000-00005A360000}"/>
    <cellStyle name="Normal 2 2 11 3 2 4" xfId="4312" xr:uid="{00000000-0005-0000-0000-00005B360000}"/>
    <cellStyle name="Normal 2 2 11 3 2 4 2" xfId="35209" xr:uid="{00000000-0005-0000-0000-00005C360000}"/>
    <cellStyle name="Normal 2 2 11 3 2 5" xfId="35210" xr:uid="{00000000-0005-0000-0000-00005D360000}"/>
    <cellStyle name="Normal 2 2 11 3 2_01-04-2012" xfId="4313" xr:uid="{00000000-0005-0000-0000-00005E360000}"/>
    <cellStyle name="Normal 2 2 11 3 3" xfId="4314" xr:uid="{00000000-0005-0000-0000-00005F360000}"/>
    <cellStyle name="Normal 2 2 11 3 3 2" xfId="4315" xr:uid="{00000000-0005-0000-0000-000060360000}"/>
    <cellStyle name="Normal 2 2 11 3 3 2 2" xfId="35211" xr:uid="{00000000-0005-0000-0000-000061360000}"/>
    <cellStyle name="Normal 2 2 11 3 3 3" xfId="4316" xr:uid="{00000000-0005-0000-0000-000062360000}"/>
    <cellStyle name="Normal 2 2 11 3 3 3 2" xfId="35212" xr:uid="{00000000-0005-0000-0000-000063360000}"/>
    <cellStyle name="Normal 2 2 11 3 3 4" xfId="4317" xr:uid="{00000000-0005-0000-0000-000064360000}"/>
    <cellStyle name="Normal 2 2 11 3 3 4 2" xfId="35213" xr:uid="{00000000-0005-0000-0000-000065360000}"/>
    <cellStyle name="Normal 2 2 11 3 3 5" xfId="35214" xr:uid="{00000000-0005-0000-0000-000066360000}"/>
    <cellStyle name="Normal 2 2 11 3 3_01-04-2012" xfId="4318" xr:uid="{00000000-0005-0000-0000-000067360000}"/>
    <cellStyle name="Normal 2 2 11 3 4" xfId="4319" xr:uid="{00000000-0005-0000-0000-000068360000}"/>
    <cellStyle name="Normal 2 2 11 3 4 2" xfId="4320" xr:uid="{00000000-0005-0000-0000-000069360000}"/>
    <cellStyle name="Normal 2 2 11 3 4 2 2" xfId="35215" xr:uid="{00000000-0005-0000-0000-00006A360000}"/>
    <cellStyle name="Normal 2 2 11 3 4 3" xfId="4321" xr:uid="{00000000-0005-0000-0000-00006B360000}"/>
    <cellStyle name="Normal 2 2 11 3 4 3 2" xfId="35216" xr:uid="{00000000-0005-0000-0000-00006C360000}"/>
    <cellStyle name="Normal 2 2 11 3 4 4" xfId="4322" xr:uid="{00000000-0005-0000-0000-00006D360000}"/>
    <cellStyle name="Normal 2 2 11 3 4 4 2" xfId="35217" xr:uid="{00000000-0005-0000-0000-00006E360000}"/>
    <cellStyle name="Normal 2 2 11 3 4 5" xfId="35218" xr:uid="{00000000-0005-0000-0000-00006F360000}"/>
    <cellStyle name="Normal 2 2 11 3 4_01-04-2012" xfId="4323" xr:uid="{00000000-0005-0000-0000-000070360000}"/>
    <cellStyle name="Normal 2 2 11 3 5" xfId="4324" xr:uid="{00000000-0005-0000-0000-000071360000}"/>
    <cellStyle name="Normal 2 2 11 3 5 2" xfId="35219" xr:uid="{00000000-0005-0000-0000-000072360000}"/>
    <cellStyle name="Normal 2 2 11 3 6" xfId="4325" xr:uid="{00000000-0005-0000-0000-000073360000}"/>
    <cellStyle name="Normal 2 2 11 3 6 2" xfId="35220" xr:uid="{00000000-0005-0000-0000-000074360000}"/>
    <cellStyle name="Normal 2 2 11 3 7" xfId="4326" xr:uid="{00000000-0005-0000-0000-000075360000}"/>
    <cellStyle name="Normal 2 2 11 3 7 2" xfId="35221" xr:uid="{00000000-0005-0000-0000-000076360000}"/>
    <cellStyle name="Normal 2 2 11 3 8" xfId="17090" xr:uid="{00000000-0005-0000-0000-000077360000}"/>
    <cellStyle name="Normal 2 2 11 3 8 2" xfId="35222" xr:uid="{00000000-0005-0000-0000-000078360000}"/>
    <cellStyle name="Normal 2 2 11 3 9" xfId="17091" xr:uid="{00000000-0005-0000-0000-000079360000}"/>
    <cellStyle name="Normal 2 2 11 3_01-04-2012" xfId="4327" xr:uid="{00000000-0005-0000-0000-00007A360000}"/>
    <cellStyle name="Normal 2 2 11 4" xfId="4328" xr:uid="{00000000-0005-0000-0000-00007B360000}"/>
    <cellStyle name="Normal 2 2 11 4 10" xfId="17092" xr:uid="{00000000-0005-0000-0000-00007C360000}"/>
    <cellStyle name="Normal 2 2 11 4 2" xfId="4329" xr:uid="{00000000-0005-0000-0000-00007D360000}"/>
    <cellStyle name="Normal 2 2 11 4 2 2" xfId="4330" xr:uid="{00000000-0005-0000-0000-00007E360000}"/>
    <cellStyle name="Normal 2 2 11 4 2 2 2" xfId="35223" xr:uid="{00000000-0005-0000-0000-00007F360000}"/>
    <cellStyle name="Normal 2 2 11 4 2 3" xfId="4331" xr:uid="{00000000-0005-0000-0000-000080360000}"/>
    <cellStyle name="Normal 2 2 11 4 2 3 2" xfId="35224" xr:uid="{00000000-0005-0000-0000-000081360000}"/>
    <cellStyle name="Normal 2 2 11 4 2 4" xfId="4332" xr:uid="{00000000-0005-0000-0000-000082360000}"/>
    <cellStyle name="Normal 2 2 11 4 2 4 2" xfId="35225" xr:uid="{00000000-0005-0000-0000-000083360000}"/>
    <cellStyle name="Normal 2 2 11 4 2 5" xfId="35226" xr:uid="{00000000-0005-0000-0000-000084360000}"/>
    <cellStyle name="Normal 2 2 11 4 2_01-04-2012" xfId="4333" xr:uid="{00000000-0005-0000-0000-000085360000}"/>
    <cellStyle name="Normal 2 2 11 4 3" xfId="4334" xr:uid="{00000000-0005-0000-0000-000086360000}"/>
    <cellStyle name="Normal 2 2 11 4 3 2" xfId="4335" xr:uid="{00000000-0005-0000-0000-000087360000}"/>
    <cellStyle name="Normal 2 2 11 4 3 2 2" xfId="35227" xr:uid="{00000000-0005-0000-0000-000088360000}"/>
    <cellStyle name="Normal 2 2 11 4 3 3" xfId="4336" xr:uid="{00000000-0005-0000-0000-000089360000}"/>
    <cellStyle name="Normal 2 2 11 4 3 3 2" xfId="35228" xr:uid="{00000000-0005-0000-0000-00008A360000}"/>
    <cellStyle name="Normal 2 2 11 4 3 4" xfId="4337" xr:uid="{00000000-0005-0000-0000-00008B360000}"/>
    <cellStyle name="Normal 2 2 11 4 3 4 2" xfId="35229" xr:uid="{00000000-0005-0000-0000-00008C360000}"/>
    <cellStyle name="Normal 2 2 11 4 3 5" xfId="35230" xr:uid="{00000000-0005-0000-0000-00008D360000}"/>
    <cellStyle name="Normal 2 2 11 4 3_01-04-2012" xfId="4338" xr:uid="{00000000-0005-0000-0000-00008E360000}"/>
    <cellStyle name="Normal 2 2 11 4 4" xfId="4339" xr:uid="{00000000-0005-0000-0000-00008F360000}"/>
    <cellStyle name="Normal 2 2 11 4 4 2" xfId="4340" xr:uid="{00000000-0005-0000-0000-000090360000}"/>
    <cellStyle name="Normal 2 2 11 4 4 2 2" xfId="35231" xr:uid="{00000000-0005-0000-0000-000091360000}"/>
    <cellStyle name="Normal 2 2 11 4 4 3" xfId="4341" xr:uid="{00000000-0005-0000-0000-000092360000}"/>
    <cellStyle name="Normal 2 2 11 4 4 3 2" xfId="35232" xr:uid="{00000000-0005-0000-0000-000093360000}"/>
    <cellStyle name="Normal 2 2 11 4 4 4" xfId="4342" xr:uid="{00000000-0005-0000-0000-000094360000}"/>
    <cellStyle name="Normal 2 2 11 4 4 4 2" xfId="35233" xr:uid="{00000000-0005-0000-0000-000095360000}"/>
    <cellStyle name="Normal 2 2 11 4 4 5" xfId="35234" xr:uid="{00000000-0005-0000-0000-000096360000}"/>
    <cellStyle name="Normal 2 2 11 4 4_01-04-2012" xfId="4343" xr:uid="{00000000-0005-0000-0000-000097360000}"/>
    <cellStyle name="Normal 2 2 11 4 5" xfId="4344" xr:uid="{00000000-0005-0000-0000-000098360000}"/>
    <cellStyle name="Normal 2 2 11 4 5 2" xfId="35235" xr:uid="{00000000-0005-0000-0000-000099360000}"/>
    <cellStyle name="Normal 2 2 11 4 6" xfId="4345" xr:uid="{00000000-0005-0000-0000-00009A360000}"/>
    <cellStyle name="Normal 2 2 11 4 6 2" xfId="35236" xr:uid="{00000000-0005-0000-0000-00009B360000}"/>
    <cellStyle name="Normal 2 2 11 4 7" xfId="4346" xr:uid="{00000000-0005-0000-0000-00009C360000}"/>
    <cellStyle name="Normal 2 2 11 4 7 2" xfId="35237" xr:uid="{00000000-0005-0000-0000-00009D360000}"/>
    <cellStyle name="Normal 2 2 11 4 8" xfId="17093" xr:uid="{00000000-0005-0000-0000-00009E360000}"/>
    <cellStyle name="Normal 2 2 11 4 8 2" xfId="35238" xr:uid="{00000000-0005-0000-0000-00009F360000}"/>
    <cellStyle name="Normal 2 2 11 4 9" xfId="17094" xr:uid="{00000000-0005-0000-0000-0000A0360000}"/>
    <cellStyle name="Normal 2 2 11 4_01-04-2012" xfId="4347" xr:uid="{00000000-0005-0000-0000-0000A1360000}"/>
    <cellStyle name="Normal 2 2 11 5" xfId="4348" xr:uid="{00000000-0005-0000-0000-0000A2360000}"/>
    <cellStyle name="Normal 2 2 11 5 2" xfId="4349" xr:uid="{00000000-0005-0000-0000-0000A3360000}"/>
    <cellStyle name="Normal 2 2 11 5 2 2" xfId="35239" xr:uid="{00000000-0005-0000-0000-0000A4360000}"/>
    <cellStyle name="Normal 2 2 11 5 3" xfId="4350" xr:uid="{00000000-0005-0000-0000-0000A5360000}"/>
    <cellStyle name="Normal 2 2 11 5 3 2" xfId="35240" xr:uid="{00000000-0005-0000-0000-0000A6360000}"/>
    <cellStyle name="Normal 2 2 11 5 4" xfId="4351" xr:uid="{00000000-0005-0000-0000-0000A7360000}"/>
    <cellStyle name="Normal 2 2 11 5 4 2" xfId="35241" xr:uid="{00000000-0005-0000-0000-0000A8360000}"/>
    <cellStyle name="Normal 2 2 11 5 5" xfId="17095" xr:uid="{00000000-0005-0000-0000-0000A9360000}"/>
    <cellStyle name="Normal 2 2 11 5 5 2" xfId="35242" xr:uid="{00000000-0005-0000-0000-0000AA360000}"/>
    <cellStyle name="Normal 2 2 11 5_01-04-2012" xfId="4352" xr:uid="{00000000-0005-0000-0000-0000AB360000}"/>
    <cellStyle name="Normal 2 2 11 6" xfId="4353" xr:uid="{00000000-0005-0000-0000-0000AC360000}"/>
    <cellStyle name="Normal 2 2 11 6 2" xfId="4354" xr:uid="{00000000-0005-0000-0000-0000AD360000}"/>
    <cellStyle name="Normal 2 2 11 6 2 2" xfId="35243" xr:uid="{00000000-0005-0000-0000-0000AE360000}"/>
    <cellStyle name="Normal 2 2 11 6 3" xfId="4355" xr:uid="{00000000-0005-0000-0000-0000AF360000}"/>
    <cellStyle name="Normal 2 2 11 6 3 2" xfId="35244" xr:uid="{00000000-0005-0000-0000-0000B0360000}"/>
    <cellStyle name="Normal 2 2 11 6 4" xfId="4356" xr:uid="{00000000-0005-0000-0000-0000B1360000}"/>
    <cellStyle name="Normal 2 2 11 6 4 2" xfId="35245" xr:uid="{00000000-0005-0000-0000-0000B2360000}"/>
    <cellStyle name="Normal 2 2 11 6 5" xfId="17096" xr:uid="{00000000-0005-0000-0000-0000B3360000}"/>
    <cellStyle name="Normal 2 2 11 6 5 2" xfId="35246" xr:uid="{00000000-0005-0000-0000-0000B4360000}"/>
    <cellStyle name="Normal 2 2 11 6_01-04-2012" xfId="4357" xr:uid="{00000000-0005-0000-0000-0000B5360000}"/>
    <cellStyle name="Normal 2 2 11 7" xfId="4358" xr:uid="{00000000-0005-0000-0000-0000B6360000}"/>
    <cellStyle name="Normal 2 2 11 7 2" xfId="4359" xr:uid="{00000000-0005-0000-0000-0000B7360000}"/>
    <cellStyle name="Normal 2 2 11 7 2 2" xfId="35247" xr:uid="{00000000-0005-0000-0000-0000B8360000}"/>
    <cellStyle name="Normal 2 2 11 7 3" xfId="4360" xr:uid="{00000000-0005-0000-0000-0000B9360000}"/>
    <cellStyle name="Normal 2 2 11 7 3 2" xfId="35248" xr:uid="{00000000-0005-0000-0000-0000BA360000}"/>
    <cellStyle name="Normal 2 2 11 7 4" xfId="4361" xr:uid="{00000000-0005-0000-0000-0000BB360000}"/>
    <cellStyle name="Normal 2 2 11 7 4 2" xfId="35249" xr:uid="{00000000-0005-0000-0000-0000BC360000}"/>
    <cellStyle name="Normal 2 2 11 7 5" xfId="17097" xr:uid="{00000000-0005-0000-0000-0000BD360000}"/>
    <cellStyle name="Normal 2 2 11 7 5 2" xfId="35250" xr:uid="{00000000-0005-0000-0000-0000BE360000}"/>
    <cellStyle name="Normal 2 2 11 7_01-04-2012" xfId="4362" xr:uid="{00000000-0005-0000-0000-0000BF360000}"/>
    <cellStyle name="Normal 2 2 11 8" xfId="4363" xr:uid="{00000000-0005-0000-0000-0000C0360000}"/>
    <cellStyle name="Normal 2 2 11 8 2" xfId="4364" xr:uid="{00000000-0005-0000-0000-0000C1360000}"/>
    <cellStyle name="Normal 2 2 11 8 2 2" xfId="35251" xr:uid="{00000000-0005-0000-0000-0000C2360000}"/>
    <cellStyle name="Normal 2 2 11 8 3" xfId="4365" xr:uid="{00000000-0005-0000-0000-0000C3360000}"/>
    <cellStyle name="Normal 2 2 11 8 3 2" xfId="35252" xr:uid="{00000000-0005-0000-0000-0000C4360000}"/>
    <cellStyle name="Normal 2 2 11 8 4" xfId="4366" xr:uid="{00000000-0005-0000-0000-0000C5360000}"/>
    <cellStyle name="Normal 2 2 11 8 4 2" xfId="35253" xr:uid="{00000000-0005-0000-0000-0000C6360000}"/>
    <cellStyle name="Normal 2 2 11 8 5" xfId="17098" xr:uid="{00000000-0005-0000-0000-0000C7360000}"/>
    <cellStyle name="Normal 2 2 11 8 5 2" xfId="35254" xr:uid="{00000000-0005-0000-0000-0000C8360000}"/>
    <cellStyle name="Normal 2 2 11 8_01-04-2012" xfId="4367" xr:uid="{00000000-0005-0000-0000-0000C9360000}"/>
    <cellStyle name="Normal 2 2 11 9" xfId="4368" xr:uid="{00000000-0005-0000-0000-0000CA360000}"/>
    <cellStyle name="Normal 2 2 11 9 2" xfId="4369" xr:uid="{00000000-0005-0000-0000-0000CB360000}"/>
    <cellStyle name="Normal 2 2 11 9 2 2" xfId="35255" xr:uid="{00000000-0005-0000-0000-0000CC360000}"/>
    <cellStyle name="Normal 2 2 11 9 3" xfId="4370" xr:uid="{00000000-0005-0000-0000-0000CD360000}"/>
    <cellStyle name="Normal 2 2 11 9 3 2" xfId="35256" xr:uid="{00000000-0005-0000-0000-0000CE360000}"/>
    <cellStyle name="Normal 2 2 11 9 4" xfId="4371" xr:uid="{00000000-0005-0000-0000-0000CF360000}"/>
    <cellStyle name="Normal 2 2 11 9 4 2" xfId="35257" xr:uid="{00000000-0005-0000-0000-0000D0360000}"/>
    <cellStyle name="Normal 2 2 11 9 5" xfId="35258" xr:uid="{00000000-0005-0000-0000-0000D1360000}"/>
    <cellStyle name="Normal 2 2 11 9_01-04-2012" xfId="4372" xr:uid="{00000000-0005-0000-0000-0000D2360000}"/>
    <cellStyle name="Normal 2 2 11_01-04-2012" xfId="4373" xr:uid="{00000000-0005-0000-0000-0000D3360000}"/>
    <cellStyle name="Normal 2 2 12" xfId="4374" xr:uid="{00000000-0005-0000-0000-0000D4360000}"/>
    <cellStyle name="Normal 2 2 12 10" xfId="4375" xr:uid="{00000000-0005-0000-0000-0000D5360000}"/>
    <cellStyle name="Normal 2 2 12 11" xfId="4376" xr:uid="{00000000-0005-0000-0000-0000D6360000}"/>
    <cellStyle name="Normal 2 2 12 12" xfId="4377" xr:uid="{00000000-0005-0000-0000-0000D7360000}"/>
    <cellStyle name="Normal 2 2 12 13" xfId="4378" xr:uid="{00000000-0005-0000-0000-0000D8360000}"/>
    <cellStyle name="Normal 2 2 12 14" xfId="4379" xr:uid="{00000000-0005-0000-0000-0000D9360000}"/>
    <cellStyle name="Normal 2 2 12 14 2" xfId="35259" xr:uid="{00000000-0005-0000-0000-0000DA360000}"/>
    <cellStyle name="Normal 2 2 12 15" xfId="4380" xr:uid="{00000000-0005-0000-0000-0000DB360000}"/>
    <cellStyle name="Normal 2 2 12 15 2" xfId="35260" xr:uid="{00000000-0005-0000-0000-0000DC360000}"/>
    <cellStyle name="Normal 2 2 12 16" xfId="4381" xr:uid="{00000000-0005-0000-0000-0000DD360000}"/>
    <cellStyle name="Normal 2 2 12 16 2" xfId="35261" xr:uid="{00000000-0005-0000-0000-0000DE360000}"/>
    <cellStyle name="Normal 2 2 12 17" xfId="4382" xr:uid="{00000000-0005-0000-0000-0000DF360000}"/>
    <cellStyle name="Normal 2 2 12 17 2" xfId="35262" xr:uid="{00000000-0005-0000-0000-0000E0360000}"/>
    <cellStyle name="Normal 2 2 12 18" xfId="17099" xr:uid="{00000000-0005-0000-0000-0000E1360000}"/>
    <cellStyle name="Normal 2 2 12 18 2" xfId="35263" xr:uid="{00000000-0005-0000-0000-0000E2360000}"/>
    <cellStyle name="Normal 2 2 12 2" xfId="4383" xr:uid="{00000000-0005-0000-0000-0000E3360000}"/>
    <cellStyle name="Normal 2 2 12 2 2" xfId="4384" xr:uid="{00000000-0005-0000-0000-0000E4360000}"/>
    <cellStyle name="Normal 2 2 12 2 2 2" xfId="4385" xr:uid="{00000000-0005-0000-0000-0000E5360000}"/>
    <cellStyle name="Normal 2 2 12 2 2 2 2" xfId="35264" xr:uid="{00000000-0005-0000-0000-0000E6360000}"/>
    <cellStyle name="Normal 2 2 12 2 2 3" xfId="4386" xr:uid="{00000000-0005-0000-0000-0000E7360000}"/>
    <cellStyle name="Normal 2 2 12 2 2 3 2" xfId="35265" xr:uid="{00000000-0005-0000-0000-0000E8360000}"/>
    <cellStyle name="Normal 2 2 12 2 2 4" xfId="4387" xr:uid="{00000000-0005-0000-0000-0000E9360000}"/>
    <cellStyle name="Normal 2 2 12 2 2 4 2" xfId="35266" xr:uid="{00000000-0005-0000-0000-0000EA360000}"/>
    <cellStyle name="Normal 2 2 12 2 2 5" xfId="17100" xr:uid="{00000000-0005-0000-0000-0000EB360000}"/>
    <cellStyle name="Normal 2 2 12 2 2 5 2" xfId="35267" xr:uid="{00000000-0005-0000-0000-0000EC360000}"/>
    <cellStyle name="Normal 2 2 12 2 2_01-04-2012" xfId="4388" xr:uid="{00000000-0005-0000-0000-0000ED360000}"/>
    <cellStyle name="Normal 2 2 12 2 3" xfId="4389" xr:uid="{00000000-0005-0000-0000-0000EE360000}"/>
    <cellStyle name="Normal 2 2 12 2 3 2" xfId="4390" xr:uid="{00000000-0005-0000-0000-0000EF360000}"/>
    <cellStyle name="Normal 2 2 12 2 3 2 2" xfId="35268" xr:uid="{00000000-0005-0000-0000-0000F0360000}"/>
    <cellStyle name="Normal 2 2 12 2 3 3" xfId="4391" xr:uid="{00000000-0005-0000-0000-0000F1360000}"/>
    <cellStyle name="Normal 2 2 12 2 3 3 2" xfId="35269" xr:uid="{00000000-0005-0000-0000-0000F2360000}"/>
    <cellStyle name="Normal 2 2 12 2 3 4" xfId="4392" xr:uid="{00000000-0005-0000-0000-0000F3360000}"/>
    <cellStyle name="Normal 2 2 12 2 3 4 2" xfId="35270" xr:uid="{00000000-0005-0000-0000-0000F4360000}"/>
    <cellStyle name="Normal 2 2 12 2 3 5" xfId="17101" xr:uid="{00000000-0005-0000-0000-0000F5360000}"/>
    <cellStyle name="Normal 2 2 12 2 3 5 2" xfId="35271" xr:uid="{00000000-0005-0000-0000-0000F6360000}"/>
    <cellStyle name="Normal 2 2 12 2 3_01-04-2012" xfId="4393" xr:uid="{00000000-0005-0000-0000-0000F7360000}"/>
    <cellStyle name="Normal 2 2 12 2 4" xfId="4394" xr:uid="{00000000-0005-0000-0000-0000F8360000}"/>
    <cellStyle name="Normal 2 2 12 2 4 2" xfId="4395" xr:uid="{00000000-0005-0000-0000-0000F9360000}"/>
    <cellStyle name="Normal 2 2 12 2 4 2 2" xfId="35272" xr:uid="{00000000-0005-0000-0000-0000FA360000}"/>
    <cellStyle name="Normal 2 2 12 2 4 3" xfId="4396" xr:uid="{00000000-0005-0000-0000-0000FB360000}"/>
    <cellStyle name="Normal 2 2 12 2 4 3 2" xfId="35273" xr:uid="{00000000-0005-0000-0000-0000FC360000}"/>
    <cellStyle name="Normal 2 2 12 2 4 4" xfId="4397" xr:uid="{00000000-0005-0000-0000-0000FD360000}"/>
    <cellStyle name="Normal 2 2 12 2 4 4 2" xfId="35274" xr:uid="{00000000-0005-0000-0000-0000FE360000}"/>
    <cellStyle name="Normal 2 2 12 2 4 5" xfId="17102" xr:uid="{00000000-0005-0000-0000-0000FF360000}"/>
    <cellStyle name="Normal 2 2 12 2 4 5 2" xfId="35275" xr:uid="{00000000-0005-0000-0000-000000370000}"/>
    <cellStyle name="Normal 2 2 12 2 4_01-04-2012" xfId="4398" xr:uid="{00000000-0005-0000-0000-000001370000}"/>
    <cellStyle name="Normal 2 2 12 2 5" xfId="4399" xr:uid="{00000000-0005-0000-0000-000002370000}"/>
    <cellStyle name="Normal 2 2 12 2 5 2" xfId="17103" xr:uid="{00000000-0005-0000-0000-000003370000}"/>
    <cellStyle name="Normal 2 2 12 2 5 2 2" xfId="35276" xr:uid="{00000000-0005-0000-0000-000004370000}"/>
    <cellStyle name="Normal 2 2 12 2 6" xfId="4400" xr:uid="{00000000-0005-0000-0000-000005370000}"/>
    <cellStyle name="Normal 2 2 12 2 6 2" xfId="17104" xr:uid="{00000000-0005-0000-0000-000006370000}"/>
    <cellStyle name="Normal 2 2 12 2 6 2 2" xfId="35277" xr:uid="{00000000-0005-0000-0000-000007370000}"/>
    <cellStyle name="Normal 2 2 12 2 7" xfId="4401" xr:uid="{00000000-0005-0000-0000-000008370000}"/>
    <cellStyle name="Normal 2 2 12 2 7 2" xfId="17105" xr:uid="{00000000-0005-0000-0000-000009370000}"/>
    <cellStyle name="Normal 2 2 12 2 7 2 2" xfId="35278" xr:uid="{00000000-0005-0000-0000-00000A370000}"/>
    <cellStyle name="Normal 2 2 12 2 8" xfId="17106" xr:uid="{00000000-0005-0000-0000-00000B370000}"/>
    <cellStyle name="Normal 2 2 12 2 8 2" xfId="35279" xr:uid="{00000000-0005-0000-0000-00000C370000}"/>
    <cellStyle name="Normal 2 2 12 2_01-04-2012" xfId="4402" xr:uid="{00000000-0005-0000-0000-00000D370000}"/>
    <cellStyle name="Normal 2 2 12 3" xfId="4403" xr:uid="{00000000-0005-0000-0000-00000E370000}"/>
    <cellStyle name="Normal 2 2 12 3 10" xfId="17107" xr:uid="{00000000-0005-0000-0000-00000F370000}"/>
    <cellStyle name="Normal 2 2 12 3 2" xfId="4404" xr:uid="{00000000-0005-0000-0000-000010370000}"/>
    <cellStyle name="Normal 2 2 12 3 2 2" xfId="4405" xr:uid="{00000000-0005-0000-0000-000011370000}"/>
    <cellStyle name="Normal 2 2 12 3 2 2 2" xfId="35280" xr:uid="{00000000-0005-0000-0000-000012370000}"/>
    <cellStyle name="Normal 2 2 12 3 2 3" xfId="4406" xr:uid="{00000000-0005-0000-0000-000013370000}"/>
    <cellStyle name="Normal 2 2 12 3 2 3 2" xfId="35281" xr:uid="{00000000-0005-0000-0000-000014370000}"/>
    <cellStyle name="Normal 2 2 12 3 2 4" xfId="4407" xr:uid="{00000000-0005-0000-0000-000015370000}"/>
    <cellStyle name="Normal 2 2 12 3 2 4 2" xfId="35282" xr:uid="{00000000-0005-0000-0000-000016370000}"/>
    <cellStyle name="Normal 2 2 12 3 2 5" xfId="35283" xr:uid="{00000000-0005-0000-0000-000017370000}"/>
    <cellStyle name="Normal 2 2 12 3 2_01-04-2012" xfId="4408" xr:uid="{00000000-0005-0000-0000-000018370000}"/>
    <cellStyle name="Normal 2 2 12 3 3" xfId="4409" xr:uid="{00000000-0005-0000-0000-000019370000}"/>
    <cellStyle name="Normal 2 2 12 3 3 2" xfId="4410" xr:uid="{00000000-0005-0000-0000-00001A370000}"/>
    <cellStyle name="Normal 2 2 12 3 3 2 2" xfId="35284" xr:uid="{00000000-0005-0000-0000-00001B370000}"/>
    <cellStyle name="Normal 2 2 12 3 3 3" xfId="4411" xr:uid="{00000000-0005-0000-0000-00001C370000}"/>
    <cellStyle name="Normal 2 2 12 3 3 3 2" xfId="35285" xr:uid="{00000000-0005-0000-0000-00001D370000}"/>
    <cellStyle name="Normal 2 2 12 3 3 4" xfId="4412" xr:uid="{00000000-0005-0000-0000-00001E370000}"/>
    <cellStyle name="Normal 2 2 12 3 3 4 2" xfId="35286" xr:uid="{00000000-0005-0000-0000-00001F370000}"/>
    <cellStyle name="Normal 2 2 12 3 3 5" xfId="35287" xr:uid="{00000000-0005-0000-0000-000020370000}"/>
    <cellStyle name="Normal 2 2 12 3 3_01-04-2012" xfId="4413" xr:uid="{00000000-0005-0000-0000-000021370000}"/>
    <cellStyle name="Normal 2 2 12 3 4" xfId="4414" xr:uid="{00000000-0005-0000-0000-000022370000}"/>
    <cellStyle name="Normal 2 2 12 3 4 2" xfId="4415" xr:uid="{00000000-0005-0000-0000-000023370000}"/>
    <cellStyle name="Normal 2 2 12 3 4 2 2" xfId="35288" xr:uid="{00000000-0005-0000-0000-000024370000}"/>
    <cellStyle name="Normal 2 2 12 3 4 3" xfId="4416" xr:uid="{00000000-0005-0000-0000-000025370000}"/>
    <cellStyle name="Normal 2 2 12 3 4 3 2" xfId="35289" xr:uid="{00000000-0005-0000-0000-000026370000}"/>
    <cellStyle name="Normal 2 2 12 3 4 4" xfId="4417" xr:uid="{00000000-0005-0000-0000-000027370000}"/>
    <cellStyle name="Normal 2 2 12 3 4 4 2" xfId="35290" xr:uid="{00000000-0005-0000-0000-000028370000}"/>
    <cellStyle name="Normal 2 2 12 3 4 5" xfId="35291" xr:uid="{00000000-0005-0000-0000-000029370000}"/>
    <cellStyle name="Normal 2 2 12 3 4_01-04-2012" xfId="4418" xr:uid="{00000000-0005-0000-0000-00002A370000}"/>
    <cellStyle name="Normal 2 2 12 3 5" xfId="4419" xr:uid="{00000000-0005-0000-0000-00002B370000}"/>
    <cellStyle name="Normal 2 2 12 3 5 2" xfId="35292" xr:uid="{00000000-0005-0000-0000-00002C370000}"/>
    <cellStyle name="Normal 2 2 12 3 6" xfId="4420" xr:uid="{00000000-0005-0000-0000-00002D370000}"/>
    <cellStyle name="Normal 2 2 12 3 6 2" xfId="35293" xr:uid="{00000000-0005-0000-0000-00002E370000}"/>
    <cellStyle name="Normal 2 2 12 3 7" xfId="4421" xr:uid="{00000000-0005-0000-0000-00002F370000}"/>
    <cellStyle name="Normal 2 2 12 3 7 2" xfId="35294" xr:uid="{00000000-0005-0000-0000-000030370000}"/>
    <cellStyle name="Normal 2 2 12 3 8" xfId="17108" xr:uid="{00000000-0005-0000-0000-000031370000}"/>
    <cellStyle name="Normal 2 2 12 3 8 2" xfId="35295" xr:uid="{00000000-0005-0000-0000-000032370000}"/>
    <cellStyle name="Normal 2 2 12 3 9" xfId="17109" xr:uid="{00000000-0005-0000-0000-000033370000}"/>
    <cellStyle name="Normal 2 2 12 3_01-04-2012" xfId="4422" xr:uid="{00000000-0005-0000-0000-000034370000}"/>
    <cellStyle name="Normal 2 2 12 4" xfId="4423" xr:uid="{00000000-0005-0000-0000-000035370000}"/>
    <cellStyle name="Normal 2 2 12 4 10" xfId="17110" xr:uid="{00000000-0005-0000-0000-000036370000}"/>
    <cellStyle name="Normal 2 2 12 4 2" xfId="4424" xr:uid="{00000000-0005-0000-0000-000037370000}"/>
    <cellStyle name="Normal 2 2 12 4 2 2" xfId="4425" xr:uid="{00000000-0005-0000-0000-000038370000}"/>
    <cellStyle name="Normal 2 2 12 4 2 2 2" xfId="35296" xr:uid="{00000000-0005-0000-0000-000039370000}"/>
    <cellStyle name="Normal 2 2 12 4 2 3" xfId="4426" xr:uid="{00000000-0005-0000-0000-00003A370000}"/>
    <cellStyle name="Normal 2 2 12 4 2 3 2" xfId="35297" xr:uid="{00000000-0005-0000-0000-00003B370000}"/>
    <cellStyle name="Normal 2 2 12 4 2 4" xfId="4427" xr:uid="{00000000-0005-0000-0000-00003C370000}"/>
    <cellStyle name="Normal 2 2 12 4 2 4 2" xfId="35298" xr:uid="{00000000-0005-0000-0000-00003D370000}"/>
    <cellStyle name="Normal 2 2 12 4 2 5" xfId="35299" xr:uid="{00000000-0005-0000-0000-00003E370000}"/>
    <cellStyle name="Normal 2 2 12 4 2_01-04-2012" xfId="4428" xr:uid="{00000000-0005-0000-0000-00003F370000}"/>
    <cellStyle name="Normal 2 2 12 4 3" xfId="4429" xr:uid="{00000000-0005-0000-0000-000040370000}"/>
    <cellStyle name="Normal 2 2 12 4 3 2" xfId="4430" xr:uid="{00000000-0005-0000-0000-000041370000}"/>
    <cellStyle name="Normal 2 2 12 4 3 2 2" xfId="35300" xr:uid="{00000000-0005-0000-0000-000042370000}"/>
    <cellStyle name="Normal 2 2 12 4 3 3" xfId="4431" xr:uid="{00000000-0005-0000-0000-000043370000}"/>
    <cellStyle name="Normal 2 2 12 4 3 3 2" xfId="35301" xr:uid="{00000000-0005-0000-0000-000044370000}"/>
    <cellStyle name="Normal 2 2 12 4 3 4" xfId="4432" xr:uid="{00000000-0005-0000-0000-000045370000}"/>
    <cellStyle name="Normal 2 2 12 4 3 4 2" xfId="35302" xr:uid="{00000000-0005-0000-0000-000046370000}"/>
    <cellStyle name="Normal 2 2 12 4 3 5" xfId="35303" xr:uid="{00000000-0005-0000-0000-000047370000}"/>
    <cellStyle name="Normal 2 2 12 4 3_01-04-2012" xfId="4433" xr:uid="{00000000-0005-0000-0000-000048370000}"/>
    <cellStyle name="Normal 2 2 12 4 4" xfId="4434" xr:uid="{00000000-0005-0000-0000-000049370000}"/>
    <cellStyle name="Normal 2 2 12 4 4 2" xfId="4435" xr:uid="{00000000-0005-0000-0000-00004A370000}"/>
    <cellStyle name="Normal 2 2 12 4 4 2 2" xfId="35304" xr:uid="{00000000-0005-0000-0000-00004B370000}"/>
    <cellStyle name="Normal 2 2 12 4 4 3" xfId="4436" xr:uid="{00000000-0005-0000-0000-00004C370000}"/>
    <cellStyle name="Normal 2 2 12 4 4 3 2" xfId="35305" xr:uid="{00000000-0005-0000-0000-00004D370000}"/>
    <cellStyle name="Normal 2 2 12 4 4 4" xfId="4437" xr:uid="{00000000-0005-0000-0000-00004E370000}"/>
    <cellStyle name="Normal 2 2 12 4 4 4 2" xfId="35306" xr:uid="{00000000-0005-0000-0000-00004F370000}"/>
    <cellStyle name="Normal 2 2 12 4 4 5" xfId="35307" xr:uid="{00000000-0005-0000-0000-000050370000}"/>
    <cellStyle name="Normal 2 2 12 4 4_01-04-2012" xfId="4438" xr:uid="{00000000-0005-0000-0000-000051370000}"/>
    <cellStyle name="Normal 2 2 12 4 5" xfId="4439" xr:uid="{00000000-0005-0000-0000-000052370000}"/>
    <cellStyle name="Normal 2 2 12 4 5 2" xfId="35308" xr:uid="{00000000-0005-0000-0000-000053370000}"/>
    <cellStyle name="Normal 2 2 12 4 6" xfId="4440" xr:uid="{00000000-0005-0000-0000-000054370000}"/>
    <cellStyle name="Normal 2 2 12 4 6 2" xfId="35309" xr:uid="{00000000-0005-0000-0000-000055370000}"/>
    <cellStyle name="Normal 2 2 12 4 7" xfId="4441" xr:uid="{00000000-0005-0000-0000-000056370000}"/>
    <cellStyle name="Normal 2 2 12 4 7 2" xfId="35310" xr:uid="{00000000-0005-0000-0000-000057370000}"/>
    <cellStyle name="Normal 2 2 12 4 8" xfId="17111" xr:uid="{00000000-0005-0000-0000-000058370000}"/>
    <cellStyle name="Normal 2 2 12 4 8 2" xfId="35311" xr:uid="{00000000-0005-0000-0000-000059370000}"/>
    <cellStyle name="Normal 2 2 12 4 9" xfId="17112" xr:uid="{00000000-0005-0000-0000-00005A370000}"/>
    <cellStyle name="Normal 2 2 12 4_01-04-2012" xfId="4442" xr:uid="{00000000-0005-0000-0000-00005B370000}"/>
    <cellStyle name="Normal 2 2 12 5" xfId="4443" xr:uid="{00000000-0005-0000-0000-00005C370000}"/>
    <cellStyle name="Normal 2 2 12 5 2" xfId="4444" xr:uid="{00000000-0005-0000-0000-00005D370000}"/>
    <cellStyle name="Normal 2 2 12 5 2 2" xfId="35312" xr:uid="{00000000-0005-0000-0000-00005E370000}"/>
    <cellStyle name="Normal 2 2 12 5 3" xfId="4445" xr:uid="{00000000-0005-0000-0000-00005F370000}"/>
    <cellStyle name="Normal 2 2 12 5 3 2" xfId="35313" xr:uid="{00000000-0005-0000-0000-000060370000}"/>
    <cellStyle name="Normal 2 2 12 5 4" xfId="4446" xr:uid="{00000000-0005-0000-0000-000061370000}"/>
    <cellStyle name="Normal 2 2 12 5 4 2" xfId="35314" xr:uid="{00000000-0005-0000-0000-000062370000}"/>
    <cellStyle name="Normal 2 2 12 5 5" xfId="17113" xr:uid="{00000000-0005-0000-0000-000063370000}"/>
    <cellStyle name="Normal 2 2 12 5 5 2" xfId="35315" xr:uid="{00000000-0005-0000-0000-000064370000}"/>
    <cellStyle name="Normal 2 2 12 5_01-04-2012" xfId="4447" xr:uid="{00000000-0005-0000-0000-000065370000}"/>
    <cellStyle name="Normal 2 2 12 6" xfId="4448" xr:uid="{00000000-0005-0000-0000-000066370000}"/>
    <cellStyle name="Normal 2 2 12 6 2" xfId="4449" xr:uid="{00000000-0005-0000-0000-000067370000}"/>
    <cellStyle name="Normal 2 2 12 6 2 2" xfId="35316" xr:uid="{00000000-0005-0000-0000-000068370000}"/>
    <cellStyle name="Normal 2 2 12 6 3" xfId="4450" xr:uid="{00000000-0005-0000-0000-000069370000}"/>
    <cellStyle name="Normal 2 2 12 6 3 2" xfId="35317" xr:uid="{00000000-0005-0000-0000-00006A370000}"/>
    <cellStyle name="Normal 2 2 12 6 4" xfId="4451" xr:uid="{00000000-0005-0000-0000-00006B370000}"/>
    <cellStyle name="Normal 2 2 12 6 4 2" xfId="35318" xr:uid="{00000000-0005-0000-0000-00006C370000}"/>
    <cellStyle name="Normal 2 2 12 6 5" xfId="17114" xr:uid="{00000000-0005-0000-0000-00006D370000}"/>
    <cellStyle name="Normal 2 2 12 6 5 2" xfId="35319" xr:uid="{00000000-0005-0000-0000-00006E370000}"/>
    <cellStyle name="Normal 2 2 12 6_01-04-2012" xfId="4452" xr:uid="{00000000-0005-0000-0000-00006F370000}"/>
    <cellStyle name="Normal 2 2 12 7" xfId="4453" xr:uid="{00000000-0005-0000-0000-000070370000}"/>
    <cellStyle name="Normal 2 2 12 7 2" xfId="4454" xr:uid="{00000000-0005-0000-0000-000071370000}"/>
    <cellStyle name="Normal 2 2 12 7 2 2" xfId="35320" xr:uid="{00000000-0005-0000-0000-000072370000}"/>
    <cellStyle name="Normal 2 2 12 7 3" xfId="4455" xr:uid="{00000000-0005-0000-0000-000073370000}"/>
    <cellStyle name="Normal 2 2 12 7 3 2" xfId="35321" xr:uid="{00000000-0005-0000-0000-000074370000}"/>
    <cellStyle name="Normal 2 2 12 7 4" xfId="4456" xr:uid="{00000000-0005-0000-0000-000075370000}"/>
    <cellStyle name="Normal 2 2 12 7 4 2" xfId="35322" xr:uid="{00000000-0005-0000-0000-000076370000}"/>
    <cellStyle name="Normal 2 2 12 7 5" xfId="17115" xr:uid="{00000000-0005-0000-0000-000077370000}"/>
    <cellStyle name="Normal 2 2 12 7 5 2" xfId="35323" xr:uid="{00000000-0005-0000-0000-000078370000}"/>
    <cellStyle name="Normal 2 2 12 7_01-04-2012" xfId="4457" xr:uid="{00000000-0005-0000-0000-000079370000}"/>
    <cellStyle name="Normal 2 2 12 8" xfId="4458" xr:uid="{00000000-0005-0000-0000-00007A370000}"/>
    <cellStyle name="Normal 2 2 12 8 2" xfId="4459" xr:uid="{00000000-0005-0000-0000-00007B370000}"/>
    <cellStyle name="Normal 2 2 12 8 2 2" xfId="35324" xr:uid="{00000000-0005-0000-0000-00007C370000}"/>
    <cellStyle name="Normal 2 2 12 8 3" xfId="4460" xr:uid="{00000000-0005-0000-0000-00007D370000}"/>
    <cellStyle name="Normal 2 2 12 8 3 2" xfId="35325" xr:uid="{00000000-0005-0000-0000-00007E370000}"/>
    <cellStyle name="Normal 2 2 12 8 4" xfId="4461" xr:uid="{00000000-0005-0000-0000-00007F370000}"/>
    <cellStyle name="Normal 2 2 12 8 4 2" xfId="35326" xr:uid="{00000000-0005-0000-0000-000080370000}"/>
    <cellStyle name="Normal 2 2 12 8 5" xfId="17116" xr:uid="{00000000-0005-0000-0000-000081370000}"/>
    <cellStyle name="Normal 2 2 12 8 5 2" xfId="35327" xr:uid="{00000000-0005-0000-0000-000082370000}"/>
    <cellStyle name="Normal 2 2 12 8_01-04-2012" xfId="4462" xr:uid="{00000000-0005-0000-0000-000083370000}"/>
    <cellStyle name="Normal 2 2 12 9" xfId="4463" xr:uid="{00000000-0005-0000-0000-000084370000}"/>
    <cellStyle name="Normal 2 2 12 9 2" xfId="4464" xr:uid="{00000000-0005-0000-0000-000085370000}"/>
    <cellStyle name="Normal 2 2 12 9 2 2" xfId="35328" xr:uid="{00000000-0005-0000-0000-000086370000}"/>
    <cellStyle name="Normal 2 2 12 9 3" xfId="4465" xr:uid="{00000000-0005-0000-0000-000087370000}"/>
    <cellStyle name="Normal 2 2 12 9 3 2" xfId="35329" xr:uid="{00000000-0005-0000-0000-000088370000}"/>
    <cellStyle name="Normal 2 2 12 9 4" xfId="4466" xr:uid="{00000000-0005-0000-0000-000089370000}"/>
    <cellStyle name="Normal 2 2 12 9 4 2" xfId="35330" xr:uid="{00000000-0005-0000-0000-00008A370000}"/>
    <cellStyle name="Normal 2 2 12 9 5" xfId="35331" xr:uid="{00000000-0005-0000-0000-00008B370000}"/>
    <cellStyle name="Normal 2 2 12 9_01-04-2012" xfId="4467" xr:uid="{00000000-0005-0000-0000-00008C370000}"/>
    <cellStyle name="Normal 2 2 12_01-04-2012" xfId="4468" xr:uid="{00000000-0005-0000-0000-00008D370000}"/>
    <cellStyle name="Normal 2 2 13" xfId="4469" xr:uid="{00000000-0005-0000-0000-00008E370000}"/>
    <cellStyle name="Normal 2 2 13 10" xfId="4470" xr:uid="{00000000-0005-0000-0000-00008F370000}"/>
    <cellStyle name="Normal 2 2 13 10 2" xfId="35332" xr:uid="{00000000-0005-0000-0000-000090370000}"/>
    <cellStyle name="Normal 2 2 13 11" xfId="4471" xr:uid="{00000000-0005-0000-0000-000091370000}"/>
    <cellStyle name="Normal 2 2 13 11 2" xfId="35333" xr:uid="{00000000-0005-0000-0000-000092370000}"/>
    <cellStyle name="Normal 2 2 13 12" xfId="17117" xr:uid="{00000000-0005-0000-0000-000093370000}"/>
    <cellStyle name="Normal 2 2 13 12 2" xfId="35334" xr:uid="{00000000-0005-0000-0000-000094370000}"/>
    <cellStyle name="Normal 2 2 13 2" xfId="4472" xr:uid="{00000000-0005-0000-0000-000095370000}"/>
    <cellStyle name="Normal 2 2 13 2 2" xfId="4473" xr:uid="{00000000-0005-0000-0000-000096370000}"/>
    <cellStyle name="Normal 2 2 13 2 2 2" xfId="17118" xr:uid="{00000000-0005-0000-0000-000097370000}"/>
    <cellStyle name="Normal 2 2 13 2 2 2 2" xfId="35335" xr:uid="{00000000-0005-0000-0000-000098370000}"/>
    <cellStyle name="Normal 2 2 13 2 3" xfId="4474" xr:uid="{00000000-0005-0000-0000-000099370000}"/>
    <cellStyle name="Normal 2 2 13 2 3 2" xfId="17119" xr:uid="{00000000-0005-0000-0000-00009A370000}"/>
    <cellStyle name="Normal 2 2 13 2 3 2 2" xfId="35336" xr:uid="{00000000-0005-0000-0000-00009B370000}"/>
    <cellStyle name="Normal 2 2 13 2 4" xfId="4475" xr:uid="{00000000-0005-0000-0000-00009C370000}"/>
    <cellStyle name="Normal 2 2 13 2 4 2" xfId="17120" xr:uid="{00000000-0005-0000-0000-00009D370000}"/>
    <cellStyle name="Normal 2 2 13 2 4 2 2" xfId="35337" xr:uid="{00000000-0005-0000-0000-00009E370000}"/>
    <cellStyle name="Normal 2 2 13 2 5" xfId="17121" xr:uid="{00000000-0005-0000-0000-00009F370000}"/>
    <cellStyle name="Normal 2 2 13 2 5 2" xfId="35338" xr:uid="{00000000-0005-0000-0000-0000A0370000}"/>
    <cellStyle name="Normal 2 2 13 2 6" xfId="17122" xr:uid="{00000000-0005-0000-0000-0000A1370000}"/>
    <cellStyle name="Normal 2 2 13 2 7" xfId="17123" xr:uid="{00000000-0005-0000-0000-0000A2370000}"/>
    <cellStyle name="Normal 2 2 13 2 8" xfId="17124" xr:uid="{00000000-0005-0000-0000-0000A3370000}"/>
    <cellStyle name="Normal 2 2 13 2_01-04-2012" xfId="4476" xr:uid="{00000000-0005-0000-0000-0000A4370000}"/>
    <cellStyle name="Normal 2 2 13 3" xfId="4477" xr:uid="{00000000-0005-0000-0000-0000A5370000}"/>
    <cellStyle name="Normal 2 2 13 3 2" xfId="4478" xr:uid="{00000000-0005-0000-0000-0000A6370000}"/>
    <cellStyle name="Normal 2 2 13 3 2 2" xfId="35339" xr:uid="{00000000-0005-0000-0000-0000A7370000}"/>
    <cellStyle name="Normal 2 2 13 3 3" xfId="4479" xr:uid="{00000000-0005-0000-0000-0000A8370000}"/>
    <cellStyle name="Normal 2 2 13 3 3 2" xfId="35340" xr:uid="{00000000-0005-0000-0000-0000A9370000}"/>
    <cellStyle name="Normal 2 2 13 3 4" xfId="4480" xr:uid="{00000000-0005-0000-0000-0000AA370000}"/>
    <cellStyle name="Normal 2 2 13 3 4 2" xfId="35341" xr:uid="{00000000-0005-0000-0000-0000AB370000}"/>
    <cellStyle name="Normal 2 2 13 3 5" xfId="17125" xr:uid="{00000000-0005-0000-0000-0000AC370000}"/>
    <cellStyle name="Normal 2 2 13 3 5 2" xfId="35342" xr:uid="{00000000-0005-0000-0000-0000AD370000}"/>
    <cellStyle name="Normal 2 2 13 3_01-04-2012" xfId="4481" xr:uid="{00000000-0005-0000-0000-0000AE370000}"/>
    <cellStyle name="Normal 2 2 13 4" xfId="4482" xr:uid="{00000000-0005-0000-0000-0000AF370000}"/>
    <cellStyle name="Normal 2 2 13 4 2" xfId="4483" xr:uid="{00000000-0005-0000-0000-0000B0370000}"/>
    <cellStyle name="Normal 2 2 13 4 2 2" xfId="35343" xr:uid="{00000000-0005-0000-0000-0000B1370000}"/>
    <cellStyle name="Normal 2 2 13 4 3" xfId="4484" xr:uid="{00000000-0005-0000-0000-0000B2370000}"/>
    <cellStyle name="Normal 2 2 13 4 3 2" xfId="35344" xr:uid="{00000000-0005-0000-0000-0000B3370000}"/>
    <cellStyle name="Normal 2 2 13 4 4" xfId="4485" xr:uid="{00000000-0005-0000-0000-0000B4370000}"/>
    <cellStyle name="Normal 2 2 13 4 4 2" xfId="35345" xr:uid="{00000000-0005-0000-0000-0000B5370000}"/>
    <cellStyle name="Normal 2 2 13 4 5" xfId="17126" xr:uid="{00000000-0005-0000-0000-0000B6370000}"/>
    <cellStyle name="Normal 2 2 13 4 5 2" xfId="35346" xr:uid="{00000000-0005-0000-0000-0000B7370000}"/>
    <cellStyle name="Normal 2 2 13 4_01-04-2012" xfId="4486" xr:uid="{00000000-0005-0000-0000-0000B8370000}"/>
    <cellStyle name="Normal 2 2 13 5" xfId="4487" xr:uid="{00000000-0005-0000-0000-0000B9370000}"/>
    <cellStyle name="Normal 2 2 13 5 2" xfId="17127" xr:uid="{00000000-0005-0000-0000-0000BA370000}"/>
    <cellStyle name="Normal 2 2 13 6" xfId="4488" xr:uid="{00000000-0005-0000-0000-0000BB370000}"/>
    <cellStyle name="Normal 2 2 13 6 2" xfId="17128" xr:uid="{00000000-0005-0000-0000-0000BC370000}"/>
    <cellStyle name="Normal 2 2 13 7" xfId="4489" xr:uid="{00000000-0005-0000-0000-0000BD370000}"/>
    <cellStyle name="Normal 2 2 13 7 2" xfId="17129" xr:uid="{00000000-0005-0000-0000-0000BE370000}"/>
    <cellStyle name="Normal 2 2 13 8" xfId="4490" xr:uid="{00000000-0005-0000-0000-0000BF370000}"/>
    <cellStyle name="Normal 2 2 13 8 2" xfId="17130" xr:uid="{00000000-0005-0000-0000-0000C0370000}"/>
    <cellStyle name="Normal 2 2 13 9" xfId="4491" xr:uid="{00000000-0005-0000-0000-0000C1370000}"/>
    <cellStyle name="Normal 2 2 13 9 2" xfId="35347" xr:uid="{00000000-0005-0000-0000-0000C2370000}"/>
    <cellStyle name="Normal 2 2 13_01-04-2012" xfId="4492" xr:uid="{00000000-0005-0000-0000-0000C3370000}"/>
    <cellStyle name="Normal 2 2 14" xfId="4493" xr:uid="{00000000-0005-0000-0000-0000C4370000}"/>
    <cellStyle name="Normal 2 2 14 10" xfId="4494" xr:uid="{00000000-0005-0000-0000-0000C5370000}"/>
    <cellStyle name="Normal 2 2 14 10 2" xfId="35348" xr:uid="{00000000-0005-0000-0000-0000C6370000}"/>
    <cellStyle name="Normal 2 2 14 11" xfId="4495" xr:uid="{00000000-0005-0000-0000-0000C7370000}"/>
    <cellStyle name="Normal 2 2 14 11 2" xfId="35349" xr:uid="{00000000-0005-0000-0000-0000C8370000}"/>
    <cellStyle name="Normal 2 2 14 12" xfId="17131" xr:uid="{00000000-0005-0000-0000-0000C9370000}"/>
    <cellStyle name="Normal 2 2 14 12 2" xfId="35350" xr:uid="{00000000-0005-0000-0000-0000CA370000}"/>
    <cellStyle name="Normal 2 2 14 2" xfId="4496" xr:uid="{00000000-0005-0000-0000-0000CB370000}"/>
    <cellStyle name="Normal 2 2 14 2 2" xfId="4497" xr:uid="{00000000-0005-0000-0000-0000CC370000}"/>
    <cellStyle name="Normal 2 2 14 2 2 2" xfId="17132" xr:uid="{00000000-0005-0000-0000-0000CD370000}"/>
    <cellStyle name="Normal 2 2 14 2 2 2 2" xfId="35351" xr:uid="{00000000-0005-0000-0000-0000CE370000}"/>
    <cellStyle name="Normal 2 2 14 2 3" xfId="4498" xr:uid="{00000000-0005-0000-0000-0000CF370000}"/>
    <cellStyle name="Normal 2 2 14 2 3 2" xfId="17133" xr:uid="{00000000-0005-0000-0000-0000D0370000}"/>
    <cellStyle name="Normal 2 2 14 2 3 2 2" xfId="35352" xr:uid="{00000000-0005-0000-0000-0000D1370000}"/>
    <cellStyle name="Normal 2 2 14 2 4" xfId="4499" xr:uid="{00000000-0005-0000-0000-0000D2370000}"/>
    <cellStyle name="Normal 2 2 14 2 4 2" xfId="17134" xr:uid="{00000000-0005-0000-0000-0000D3370000}"/>
    <cellStyle name="Normal 2 2 14 2 4 2 2" xfId="35353" xr:uid="{00000000-0005-0000-0000-0000D4370000}"/>
    <cellStyle name="Normal 2 2 14 2 5" xfId="17135" xr:uid="{00000000-0005-0000-0000-0000D5370000}"/>
    <cellStyle name="Normal 2 2 14 2 5 2" xfId="35354" xr:uid="{00000000-0005-0000-0000-0000D6370000}"/>
    <cellStyle name="Normal 2 2 14 2 6" xfId="17136" xr:uid="{00000000-0005-0000-0000-0000D7370000}"/>
    <cellStyle name="Normal 2 2 14 2 7" xfId="17137" xr:uid="{00000000-0005-0000-0000-0000D8370000}"/>
    <cellStyle name="Normal 2 2 14 2 8" xfId="17138" xr:uid="{00000000-0005-0000-0000-0000D9370000}"/>
    <cellStyle name="Normal 2 2 14 2_01-04-2012" xfId="4500" xr:uid="{00000000-0005-0000-0000-0000DA370000}"/>
    <cellStyle name="Normal 2 2 14 3" xfId="4501" xr:uid="{00000000-0005-0000-0000-0000DB370000}"/>
    <cellStyle name="Normal 2 2 14 3 2" xfId="4502" xr:uid="{00000000-0005-0000-0000-0000DC370000}"/>
    <cellStyle name="Normal 2 2 14 3 2 2" xfId="35355" xr:uid="{00000000-0005-0000-0000-0000DD370000}"/>
    <cellStyle name="Normal 2 2 14 3 3" xfId="4503" xr:uid="{00000000-0005-0000-0000-0000DE370000}"/>
    <cellStyle name="Normal 2 2 14 3 3 2" xfId="35356" xr:uid="{00000000-0005-0000-0000-0000DF370000}"/>
    <cellStyle name="Normal 2 2 14 3 4" xfId="4504" xr:uid="{00000000-0005-0000-0000-0000E0370000}"/>
    <cellStyle name="Normal 2 2 14 3 4 2" xfId="35357" xr:uid="{00000000-0005-0000-0000-0000E1370000}"/>
    <cellStyle name="Normal 2 2 14 3 5" xfId="17139" xr:uid="{00000000-0005-0000-0000-0000E2370000}"/>
    <cellStyle name="Normal 2 2 14 3 5 2" xfId="35358" xr:uid="{00000000-0005-0000-0000-0000E3370000}"/>
    <cellStyle name="Normal 2 2 14 3_01-04-2012" xfId="4505" xr:uid="{00000000-0005-0000-0000-0000E4370000}"/>
    <cellStyle name="Normal 2 2 14 4" xfId="4506" xr:uid="{00000000-0005-0000-0000-0000E5370000}"/>
    <cellStyle name="Normal 2 2 14 4 2" xfId="4507" xr:uid="{00000000-0005-0000-0000-0000E6370000}"/>
    <cellStyle name="Normal 2 2 14 4 2 2" xfId="35359" xr:uid="{00000000-0005-0000-0000-0000E7370000}"/>
    <cellStyle name="Normal 2 2 14 4 3" xfId="4508" xr:uid="{00000000-0005-0000-0000-0000E8370000}"/>
    <cellStyle name="Normal 2 2 14 4 3 2" xfId="35360" xr:uid="{00000000-0005-0000-0000-0000E9370000}"/>
    <cellStyle name="Normal 2 2 14 4 4" xfId="4509" xr:uid="{00000000-0005-0000-0000-0000EA370000}"/>
    <cellStyle name="Normal 2 2 14 4 4 2" xfId="35361" xr:uid="{00000000-0005-0000-0000-0000EB370000}"/>
    <cellStyle name="Normal 2 2 14 4 5" xfId="17140" xr:uid="{00000000-0005-0000-0000-0000EC370000}"/>
    <cellStyle name="Normal 2 2 14 4 5 2" xfId="35362" xr:uid="{00000000-0005-0000-0000-0000ED370000}"/>
    <cellStyle name="Normal 2 2 14 4_01-04-2012" xfId="4510" xr:uid="{00000000-0005-0000-0000-0000EE370000}"/>
    <cellStyle name="Normal 2 2 14 5" xfId="4511" xr:uid="{00000000-0005-0000-0000-0000EF370000}"/>
    <cellStyle name="Normal 2 2 14 5 2" xfId="4512" xr:uid="{00000000-0005-0000-0000-0000F0370000}"/>
    <cellStyle name="Normal 2 2 14 5 2 2" xfId="35363" xr:uid="{00000000-0005-0000-0000-0000F1370000}"/>
    <cellStyle name="Normal 2 2 14 5 3" xfId="4513" xr:uid="{00000000-0005-0000-0000-0000F2370000}"/>
    <cellStyle name="Normal 2 2 14 5 3 2" xfId="35364" xr:uid="{00000000-0005-0000-0000-0000F3370000}"/>
    <cellStyle name="Normal 2 2 14 5 4" xfId="4514" xr:uid="{00000000-0005-0000-0000-0000F4370000}"/>
    <cellStyle name="Normal 2 2 14 5 4 2" xfId="35365" xr:uid="{00000000-0005-0000-0000-0000F5370000}"/>
    <cellStyle name="Normal 2 2 14 5 5" xfId="17141" xr:uid="{00000000-0005-0000-0000-0000F6370000}"/>
    <cellStyle name="Normal 2 2 14 5 5 2" xfId="35366" xr:uid="{00000000-0005-0000-0000-0000F7370000}"/>
    <cellStyle name="Normal 2 2 14 5_01-04-2012" xfId="4515" xr:uid="{00000000-0005-0000-0000-0000F8370000}"/>
    <cellStyle name="Normal 2 2 14 6" xfId="4516" xr:uid="{00000000-0005-0000-0000-0000F9370000}"/>
    <cellStyle name="Normal 2 2 14 6 2" xfId="4517" xr:uid="{00000000-0005-0000-0000-0000FA370000}"/>
    <cellStyle name="Normal 2 2 14 6 2 2" xfId="35367" xr:uid="{00000000-0005-0000-0000-0000FB370000}"/>
    <cellStyle name="Normal 2 2 14 6 3" xfId="4518" xr:uid="{00000000-0005-0000-0000-0000FC370000}"/>
    <cellStyle name="Normal 2 2 14 6 3 2" xfId="35368" xr:uid="{00000000-0005-0000-0000-0000FD370000}"/>
    <cellStyle name="Normal 2 2 14 6 4" xfId="4519" xr:uid="{00000000-0005-0000-0000-0000FE370000}"/>
    <cellStyle name="Normal 2 2 14 6 4 2" xfId="35369" xr:uid="{00000000-0005-0000-0000-0000FF370000}"/>
    <cellStyle name="Normal 2 2 14 6 5" xfId="17142" xr:uid="{00000000-0005-0000-0000-000000380000}"/>
    <cellStyle name="Normal 2 2 14 6 5 2" xfId="35370" xr:uid="{00000000-0005-0000-0000-000001380000}"/>
    <cellStyle name="Normal 2 2 14 6_01-04-2012" xfId="4520" xr:uid="{00000000-0005-0000-0000-000002380000}"/>
    <cellStyle name="Normal 2 2 14 7" xfId="4521" xr:uid="{00000000-0005-0000-0000-000003380000}"/>
    <cellStyle name="Normal 2 2 14 7 2" xfId="4522" xr:uid="{00000000-0005-0000-0000-000004380000}"/>
    <cellStyle name="Normal 2 2 14 7 2 2" xfId="35371" xr:uid="{00000000-0005-0000-0000-000005380000}"/>
    <cellStyle name="Normal 2 2 14 7 3" xfId="4523" xr:uid="{00000000-0005-0000-0000-000006380000}"/>
    <cellStyle name="Normal 2 2 14 7 3 2" xfId="35372" xr:uid="{00000000-0005-0000-0000-000007380000}"/>
    <cellStyle name="Normal 2 2 14 7 4" xfId="4524" xr:uid="{00000000-0005-0000-0000-000008380000}"/>
    <cellStyle name="Normal 2 2 14 7 4 2" xfId="35373" xr:uid="{00000000-0005-0000-0000-000009380000}"/>
    <cellStyle name="Normal 2 2 14 7 5" xfId="17143" xr:uid="{00000000-0005-0000-0000-00000A380000}"/>
    <cellStyle name="Normal 2 2 14 7 5 2" xfId="35374" xr:uid="{00000000-0005-0000-0000-00000B380000}"/>
    <cellStyle name="Normal 2 2 14 7_01-04-2012" xfId="4525" xr:uid="{00000000-0005-0000-0000-00000C380000}"/>
    <cellStyle name="Normal 2 2 14 8" xfId="4526" xr:uid="{00000000-0005-0000-0000-00000D380000}"/>
    <cellStyle name="Normal 2 2 14 8 2" xfId="4527" xr:uid="{00000000-0005-0000-0000-00000E380000}"/>
    <cellStyle name="Normal 2 2 14 8 2 2" xfId="35375" xr:uid="{00000000-0005-0000-0000-00000F380000}"/>
    <cellStyle name="Normal 2 2 14 8 3" xfId="4528" xr:uid="{00000000-0005-0000-0000-000010380000}"/>
    <cellStyle name="Normal 2 2 14 8 3 2" xfId="35376" xr:uid="{00000000-0005-0000-0000-000011380000}"/>
    <cellStyle name="Normal 2 2 14 8 4" xfId="4529" xr:uid="{00000000-0005-0000-0000-000012380000}"/>
    <cellStyle name="Normal 2 2 14 8 4 2" xfId="35377" xr:uid="{00000000-0005-0000-0000-000013380000}"/>
    <cellStyle name="Normal 2 2 14 8 5" xfId="17144" xr:uid="{00000000-0005-0000-0000-000014380000}"/>
    <cellStyle name="Normal 2 2 14 8 5 2" xfId="35378" xr:uid="{00000000-0005-0000-0000-000015380000}"/>
    <cellStyle name="Normal 2 2 14 8_01-04-2012" xfId="4530" xr:uid="{00000000-0005-0000-0000-000016380000}"/>
    <cellStyle name="Normal 2 2 14 9" xfId="4531" xr:uid="{00000000-0005-0000-0000-000017380000}"/>
    <cellStyle name="Normal 2 2 14 9 2" xfId="35379" xr:uid="{00000000-0005-0000-0000-000018380000}"/>
    <cellStyle name="Normal 2 2 14_01-04-2012" xfId="4532" xr:uid="{00000000-0005-0000-0000-000019380000}"/>
    <cellStyle name="Normal 2 2 15" xfId="4533" xr:uid="{00000000-0005-0000-0000-00001A380000}"/>
    <cellStyle name="Normal 2 2 15 2" xfId="4534" xr:uid="{00000000-0005-0000-0000-00001B380000}"/>
    <cellStyle name="Normal 2 2 15 2 2" xfId="4535" xr:uid="{00000000-0005-0000-0000-00001C380000}"/>
    <cellStyle name="Normal 2 2 15 2 2 2" xfId="17145" xr:uid="{00000000-0005-0000-0000-00001D380000}"/>
    <cellStyle name="Normal 2 2 15 2 2 2 2" xfId="35380" xr:uid="{00000000-0005-0000-0000-00001E380000}"/>
    <cellStyle name="Normal 2 2 15 2 3" xfId="4536" xr:uid="{00000000-0005-0000-0000-00001F380000}"/>
    <cellStyle name="Normal 2 2 15 2 3 2" xfId="17146" xr:uid="{00000000-0005-0000-0000-000020380000}"/>
    <cellStyle name="Normal 2 2 15 2 3 2 2" xfId="35381" xr:uid="{00000000-0005-0000-0000-000021380000}"/>
    <cellStyle name="Normal 2 2 15 2 4" xfId="4537" xr:uid="{00000000-0005-0000-0000-000022380000}"/>
    <cellStyle name="Normal 2 2 15 2 4 2" xfId="17147" xr:uid="{00000000-0005-0000-0000-000023380000}"/>
    <cellStyle name="Normal 2 2 15 2 4 2 2" xfId="35382" xr:uid="{00000000-0005-0000-0000-000024380000}"/>
    <cellStyle name="Normal 2 2 15 2 5" xfId="17148" xr:uid="{00000000-0005-0000-0000-000025380000}"/>
    <cellStyle name="Normal 2 2 15 2 5 2" xfId="35383" xr:uid="{00000000-0005-0000-0000-000026380000}"/>
    <cellStyle name="Normal 2 2 15 2 6" xfId="17149" xr:uid="{00000000-0005-0000-0000-000027380000}"/>
    <cellStyle name="Normal 2 2 15 2 7" xfId="17150" xr:uid="{00000000-0005-0000-0000-000028380000}"/>
    <cellStyle name="Normal 2 2 15 2 8" xfId="17151" xr:uid="{00000000-0005-0000-0000-000029380000}"/>
    <cellStyle name="Normal 2 2 15 2_01-04-2012" xfId="4538" xr:uid="{00000000-0005-0000-0000-00002A380000}"/>
    <cellStyle name="Normal 2 2 15 3" xfId="4539" xr:uid="{00000000-0005-0000-0000-00002B380000}"/>
    <cellStyle name="Normal 2 2 15 3 2" xfId="4540" xr:uid="{00000000-0005-0000-0000-00002C380000}"/>
    <cellStyle name="Normal 2 2 15 3 2 2" xfId="35384" xr:uid="{00000000-0005-0000-0000-00002D380000}"/>
    <cellStyle name="Normal 2 2 15 3 3" xfId="4541" xr:uid="{00000000-0005-0000-0000-00002E380000}"/>
    <cellStyle name="Normal 2 2 15 3 3 2" xfId="35385" xr:uid="{00000000-0005-0000-0000-00002F380000}"/>
    <cellStyle name="Normal 2 2 15 3 4" xfId="4542" xr:uid="{00000000-0005-0000-0000-000030380000}"/>
    <cellStyle name="Normal 2 2 15 3 4 2" xfId="35386" xr:uid="{00000000-0005-0000-0000-000031380000}"/>
    <cellStyle name="Normal 2 2 15 3 5" xfId="17152" xr:uid="{00000000-0005-0000-0000-000032380000}"/>
    <cellStyle name="Normal 2 2 15 3 5 2" xfId="35387" xr:uid="{00000000-0005-0000-0000-000033380000}"/>
    <cellStyle name="Normal 2 2 15 3_01-04-2012" xfId="4543" xr:uid="{00000000-0005-0000-0000-000034380000}"/>
    <cellStyle name="Normal 2 2 15 4" xfId="4544" xr:uid="{00000000-0005-0000-0000-000035380000}"/>
    <cellStyle name="Normal 2 2 15 4 2" xfId="4545" xr:uid="{00000000-0005-0000-0000-000036380000}"/>
    <cellStyle name="Normal 2 2 15 4 2 2" xfId="35388" xr:uid="{00000000-0005-0000-0000-000037380000}"/>
    <cellStyle name="Normal 2 2 15 4 3" xfId="4546" xr:uid="{00000000-0005-0000-0000-000038380000}"/>
    <cellStyle name="Normal 2 2 15 4 3 2" xfId="35389" xr:uid="{00000000-0005-0000-0000-000039380000}"/>
    <cellStyle name="Normal 2 2 15 4 4" xfId="4547" xr:uid="{00000000-0005-0000-0000-00003A380000}"/>
    <cellStyle name="Normal 2 2 15 4 4 2" xfId="35390" xr:uid="{00000000-0005-0000-0000-00003B380000}"/>
    <cellStyle name="Normal 2 2 15 4 5" xfId="17153" xr:uid="{00000000-0005-0000-0000-00003C380000}"/>
    <cellStyle name="Normal 2 2 15 4 5 2" xfId="35391" xr:uid="{00000000-0005-0000-0000-00003D380000}"/>
    <cellStyle name="Normal 2 2 15 4_01-04-2012" xfId="4548" xr:uid="{00000000-0005-0000-0000-00003E380000}"/>
    <cellStyle name="Normal 2 2 15 5" xfId="4549" xr:uid="{00000000-0005-0000-0000-00003F380000}"/>
    <cellStyle name="Normal 2 2 15 5 2" xfId="17154" xr:uid="{00000000-0005-0000-0000-000040380000}"/>
    <cellStyle name="Normal 2 2 15 5 2 2" xfId="35392" xr:uid="{00000000-0005-0000-0000-000041380000}"/>
    <cellStyle name="Normal 2 2 15 6" xfId="4550" xr:uid="{00000000-0005-0000-0000-000042380000}"/>
    <cellStyle name="Normal 2 2 15 6 2" xfId="17155" xr:uid="{00000000-0005-0000-0000-000043380000}"/>
    <cellStyle name="Normal 2 2 15 6 2 2" xfId="35393" xr:uid="{00000000-0005-0000-0000-000044380000}"/>
    <cellStyle name="Normal 2 2 15 7" xfId="4551" xr:uid="{00000000-0005-0000-0000-000045380000}"/>
    <cellStyle name="Normal 2 2 15 7 2" xfId="17156" xr:uid="{00000000-0005-0000-0000-000046380000}"/>
    <cellStyle name="Normal 2 2 15 7 2 2" xfId="35394" xr:uid="{00000000-0005-0000-0000-000047380000}"/>
    <cellStyle name="Normal 2 2 15 8" xfId="17157" xr:uid="{00000000-0005-0000-0000-000048380000}"/>
    <cellStyle name="Normal 2 2 15 8 2" xfId="35395" xr:uid="{00000000-0005-0000-0000-000049380000}"/>
    <cellStyle name="Normal 2 2 15 9" xfId="17158" xr:uid="{00000000-0005-0000-0000-00004A380000}"/>
    <cellStyle name="Normal 2 2 15_01-04-2012" xfId="4552" xr:uid="{00000000-0005-0000-0000-00004B380000}"/>
    <cellStyle name="Normal 2 2 16" xfId="4553" xr:uid="{00000000-0005-0000-0000-00004C380000}"/>
    <cellStyle name="Normal 2 2 16 2" xfId="4554" xr:uid="{00000000-0005-0000-0000-00004D380000}"/>
    <cellStyle name="Normal 2 2 16 2 2" xfId="17159" xr:uid="{00000000-0005-0000-0000-00004E380000}"/>
    <cellStyle name="Normal 2 2 16 2 2 2" xfId="35396" xr:uid="{00000000-0005-0000-0000-00004F380000}"/>
    <cellStyle name="Normal 2 2 16 2 3" xfId="17160" xr:uid="{00000000-0005-0000-0000-000050380000}"/>
    <cellStyle name="Normal 2 2 16 2 4" xfId="17161" xr:uid="{00000000-0005-0000-0000-000051380000}"/>
    <cellStyle name="Normal 2 2 16 2 5" xfId="17162" xr:uid="{00000000-0005-0000-0000-000052380000}"/>
    <cellStyle name="Normal 2 2 16 2 6" xfId="17163" xr:uid="{00000000-0005-0000-0000-000053380000}"/>
    <cellStyle name="Normal 2 2 16 2 7" xfId="17164" xr:uid="{00000000-0005-0000-0000-000054380000}"/>
    <cellStyle name="Normal 2 2 16 2 8" xfId="17165" xr:uid="{00000000-0005-0000-0000-000055380000}"/>
    <cellStyle name="Normal 2 2 16 3" xfId="4555" xr:uid="{00000000-0005-0000-0000-000056380000}"/>
    <cellStyle name="Normal 2 2 16 3 2" xfId="17166" xr:uid="{00000000-0005-0000-0000-000057380000}"/>
    <cellStyle name="Normal 2 2 16 3 2 2" xfId="35397" xr:uid="{00000000-0005-0000-0000-000058380000}"/>
    <cellStyle name="Normal 2 2 16 4" xfId="4556" xr:uid="{00000000-0005-0000-0000-000059380000}"/>
    <cellStyle name="Normal 2 2 16 4 2" xfId="17167" xr:uid="{00000000-0005-0000-0000-00005A380000}"/>
    <cellStyle name="Normal 2 2 16 4 2 2" xfId="35398" xr:uid="{00000000-0005-0000-0000-00005B380000}"/>
    <cellStyle name="Normal 2 2 16 5" xfId="17168" xr:uid="{00000000-0005-0000-0000-00005C380000}"/>
    <cellStyle name="Normal 2 2 16 5 2" xfId="35399" xr:uid="{00000000-0005-0000-0000-00005D380000}"/>
    <cellStyle name="Normal 2 2 16 6" xfId="17169" xr:uid="{00000000-0005-0000-0000-00005E380000}"/>
    <cellStyle name="Normal 2 2 16 7" xfId="17170" xr:uid="{00000000-0005-0000-0000-00005F380000}"/>
    <cellStyle name="Normal 2 2 16 8" xfId="17171" xr:uid="{00000000-0005-0000-0000-000060380000}"/>
    <cellStyle name="Normal 2 2 16 9" xfId="17172" xr:uid="{00000000-0005-0000-0000-000061380000}"/>
    <cellStyle name="Normal 2 2 16_01-04-2012" xfId="4557" xr:uid="{00000000-0005-0000-0000-000062380000}"/>
    <cellStyle name="Normal 2 2 17" xfId="4558" xr:uid="{00000000-0005-0000-0000-000063380000}"/>
    <cellStyle name="Normal 2 2 17 2" xfId="4559" xr:uid="{00000000-0005-0000-0000-000064380000}"/>
    <cellStyle name="Normal 2 2 17 2 2" xfId="17173" xr:uid="{00000000-0005-0000-0000-000065380000}"/>
    <cellStyle name="Normal 2 2 17 2 2 2" xfId="35400" xr:uid="{00000000-0005-0000-0000-000066380000}"/>
    <cellStyle name="Normal 2 2 17 2 3" xfId="17174" xr:uid="{00000000-0005-0000-0000-000067380000}"/>
    <cellStyle name="Normal 2 2 17 2 4" xfId="17175" xr:uid="{00000000-0005-0000-0000-000068380000}"/>
    <cellStyle name="Normal 2 2 17 2 5" xfId="17176" xr:uid="{00000000-0005-0000-0000-000069380000}"/>
    <cellStyle name="Normal 2 2 17 2 6" xfId="17177" xr:uid="{00000000-0005-0000-0000-00006A380000}"/>
    <cellStyle name="Normal 2 2 17 2 7" xfId="17178" xr:uid="{00000000-0005-0000-0000-00006B380000}"/>
    <cellStyle name="Normal 2 2 17 2 8" xfId="17179" xr:uid="{00000000-0005-0000-0000-00006C380000}"/>
    <cellStyle name="Normal 2 2 17 3" xfId="4560" xr:uid="{00000000-0005-0000-0000-00006D380000}"/>
    <cellStyle name="Normal 2 2 17 3 2" xfId="17180" xr:uid="{00000000-0005-0000-0000-00006E380000}"/>
    <cellStyle name="Normal 2 2 17 3 2 2" xfId="35401" xr:uid="{00000000-0005-0000-0000-00006F380000}"/>
    <cellStyle name="Normal 2 2 17 4" xfId="4561" xr:uid="{00000000-0005-0000-0000-000070380000}"/>
    <cellStyle name="Normal 2 2 17 4 2" xfId="17181" xr:uid="{00000000-0005-0000-0000-000071380000}"/>
    <cellStyle name="Normal 2 2 17 4 2 2" xfId="35402" xr:uid="{00000000-0005-0000-0000-000072380000}"/>
    <cellStyle name="Normal 2 2 17 5" xfId="17182" xr:uid="{00000000-0005-0000-0000-000073380000}"/>
    <cellStyle name="Normal 2 2 17 5 2" xfId="35403" xr:uid="{00000000-0005-0000-0000-000074380000}"/>
    <cellStyle name="Normal 2 2 17 6" xfId="17183" xr:uid="{00000000-0005-0000-0000-000075380000}"/>
    <cellStyle name="Normal 2 2 17 7" xfId="17184" xr:uid="{00000000-0005-0000-0000-000076380000}"/>
    <cellStyle name="Normal 2 2 17 8" xfId="17185" xr:uid="{00000000-0005-0000-0000-000077380000}"/>
    <cellStyle name="Normal 2 2 17 9" xfId="17186" xr:uid="{00000000-0005-0000-0000-000078380000}"/>
    <cellStyle name="Normal 2 2 17_01-04-2012" xfId="4562" xr:uid="{00000000-0005-0000-0000-000079380000}"/>
    <cellStyle name="Normal 2 2 18" xfId="4563" xr:uid="{00000000-0005-0000-0000-00007A380000}"/>
    <cellStyle name="Normal 2 2 18 2" xfId="4564" xr:uid="{00000000-0005-0000-0000-00007B380000}"/>
    <cellStyle name="Normal 2 2 18 2 2" xfId="17187" xr:uid="{00000000-0005-0000-0000-00007C380000}"/>
    <cellStyle name="Normal 2 2 18 2 2 2" xfId="35404" xr:uid="{00000000-0005-0000-0000-00007D380000}"/>
    <cellStyle name="Normal 2 2 18 3" xfId="4565" xr:uid="{00000000-0005-0000-0000-00007E380000}"/>
    <cellStyle name="Normal 2 2 18 3 2" xfId="17188" xr:uid="{00000000-0005-0000-0000-00007F380000}"/>
    <cellStyle name="Normal 2 2 18 3 2 2" xfId="35405" xr:uid="{00000000-0005-0000-0000-000080380000}"/>
    <cellStyle name="Normal 2 2 18 4" xfId="4566" xr:uid="{00000000-0005-0000-0000-000081380000}"/>
    <cellStyle name="Normal 2 2 18 4 2" xfId="17189" xr:uid="{00000000-0005-0000-0000-000082380000}"/>
    <cellStyle name="Normal 2 2 18 4 2 2" xfId="35406" xr:uid="{00000000-0005-0000-0000-000083380000}"/>
    <cellStyle name="Normal 2 2 18 5" xfId="17190" xr:uid="{00000000-0005-0000-0000-000084380000}"/>
    <cellStyle name="Normal 2 2 18 5 2" xfId="35407" xr:uid="{00000000-0005-0000-0000-000085380000}"/>
    <cellStyle name="Normal 2 2 18 6" xfId="17191" xr:uid="{00000000-0005-0000-0000-000086380000}"/>
    <cellStyle name="Normal 2 2 18 7" xfId="17192" xr:uid="{00000000-0005-0000-0000-000087380000}"/>
    <cellStyle name="Normal 2 2 18 8" xfId="17193" xr:uid="{00000000-0005-0000-0000-000088380000}"/>
    <cellStyle name="Normal 2 2 18_01-04-2012" xfId="4567" xr:uid="{00000000-0005-0000-0000-000089380000}"/>
    <cellStyle name="Normal 2 2 19" xfId="4568" xr:uid="{00000000-0005-0000-0000-00008A380000}"/>
    <cellStyle name="Normal 2 2 19 2" xfId="4569" xr:uid="{00000000-0005-0000-0000-00008B380000}"/>
    <cellStyle name="Normal 2 2 19 2 2" xfId="17194" xr:uid="{00000000-0005-0000-0000-00008C380000}"/>
    <cellStyle name="Normal 2 2 19 2 2 2" xfId="35408" xr:uid="{00000000-0005-0000-0000-00008D380000}"/>
    <cellStyle name="Normal 2 2 19 3" xfId="4570" xr:uid="{00000000-0005-0000-0000-00008E380000}"/>
    <cellStyle name="Normal 2 2 19 3 2" xfId="17195" xr:uid="{00000000-0005-0000-0000-00008F380000}"/>
    <cellStyle name="Normal 2 2 19 3 2 2" xfId="35409" xr:uid="{00000000-0005-0000-0000-000090380000}"/>
    <cellStyle name="Normal 2 2 19 4" xfId="4571" xr:uid="{00000000-0005-0000-0000-000091380000}"/>
    <cellStyle name="Normal 2 2 19 4 2" xfId="17196" xr:uid="{00000000-0005-0000-0000-000092380000}"/>
    <cellStyle name="Normal 2 2 19 4 2 2" xfId="35410" xr:uid="{00000000-0005-0000-0000-000093380000}"/>
    <cellStyle name="Normal 2 2 19 5" xfId="17197" xr:uid="{00000000-0005-0000-0000-000094380000}"/>
    <cellStyle name="Normal 2 2 19 5 2" xfId="35411" xr:uid="{00000000-0005-0000-0000-000095380000}"/>
    <cellStyle name="Normal 2 2 19 6" xfId="17198" xr:uid="{00000000-0005-0000-0000-000096380000}"/>
    <cellStyle name="Normal 2 2 19 7" xfId="17199" xr:uid="{00000000-0005-0000-0000-000097380000}"/>
    <cellStyle name="Normal 2 2 19 8" xfId="17200" xr:uid="{00000000-0005-0000-0000-000098380000}"/>
    <cellStyle name="Normal 2 2 19_01-04-2012" xfId="4572" xr:uid="{00000000-0005-0000-0000-000099380000}"/>
    <cellStyle name="Normal 2 2 2" xfId="22" xr:uid="{00000000-0005-0000-0000-00009A380000}"/>
    <cellStyle name="Normal 2 2 2 10" xfId="4574" xr:uid="{00000000-0005-0000-0000-00009B380000}"/>
    <cellStyle name="Normal 2 2 2 11" xfId="4575" xr:uid="{00000000-0005-0000-0000-00009C380000}"/>
    <cellStyle name="Normal 2 2 2 12" xfId="4576" xr:uid="{00000000-0005-0000-0000-00009D380000}"/>
    <cellStyle name="Normal 2 2 2 13" xfId="4577" xr:uid="{00000000-0005-0000-0000-00009E380000}"/>
    <cellStyle name="Normal 2 2 2 14" xfId="4578" xr:uid="{00000000-0005-0000-0000-00009F380000}"/>
    <cellStyle name="Normal 2 2 2 15" xfId="4579" xr:uid="{00000000-0005-0000-0000-0000A0380000}"/>
    <cellStyle name="Normal 2 2 2 16" xfId="4580" xr:uid="{00000000-0005-0000-0000-0000A1380000}"/>
    <cellStyle name="Normal 2 2 2 17" xfId="4581" xr:uid="{00000000-0005-0000-0000-0000A2380000}"/>
    <cellStyle name="Normal 2 2 2 18" xfId="4582" xr:uid="{00000000-0005-0000-0000-0000A3380000}"/>
    <cellStyle name="Normal 2 2 2 19" xfId="4583" xr:uid="{00000000-0005-0000-0000-0000A4380000}"/>
    <cellStyle name="Normal 2 2 2 2" xfId="4584" xr:uid="{00000000-0005-0000-0000-0000A5380000}"/>
    <cellStyle name="Normal 2 2 2 2 10" xfId="17201" xr:uid="{00000000-0005-0000-0000-0000A6380000}"/>
    <cellStyle name="Normal 2 2 2 2 2" xfId="4585" xr:uid="{00000000-0005-0000-0000-0000A7380000}"/>
    <cellStyle name="Normal 2 2 2 2 2 2" xfId="4586" xr:uid="{00000000-0005-0000-0000-0000A8380000}"/>
    <cellStyle name="Normal 2 2 2 2 2 2 2" xfId="35412" xr:uid="{00000000-0005-0000-0000-0000A9380000}"/>
    <cellStyle name="Normal 2 2 2 2 2 3" xfId="4587" xr:uid="{00000000-0005-0000-0000-0000AA380000}"/>
    <cellStyle name="Normal 2 2 2 2 2 3 2" xfId="35413" xr:uid="{00000000-0005-0000-0000-0000AB380000}"/>
    <cellStyle name="Normal 2 2 2 2 2 4" xfId="4588" xr:uid="{00000000-0005-0000-0000-0000AC380000}"/>
    <cellStyle name="Normal 2 2 2 2 2 4 2" xfId="35414" xr:uid="{00000000-0005-0000-0000-0000AD380000}"/>
    <cellStyle name="Normal 2 2 2 2 2 5" xfId="35415" xr:uid="{00000000-0005-0000-0000-0000AE380000}"/>
    <cellStyle name="Normal 2 2 2 2 2_01-04-2012" xfId="4589" xr:uid="{00000000-0005-0000-0000-0000AF380000}"/>
    <cellStyle name="Normal 2 2 2 2 3" xfId="4590" xr:uid="{00000000-0005-0000-0000-0000B0380000}"/>
    <cellStyle name="Normal 2 2 2 2 3 2" xfId="4591" xr:uid="{00000000-0005-0000-0000-0000B1380000}"/>
    <cellStyle name="Normal 2 2 2 2 3 2 2" xfId="35416" xr:uid="{00000000-0005-0000-0000-0000B2380000}"/>
    <cellStyle name="Normal 2 2 2 2 3 3" xfId="4592" xr:uid="{00000000-0005-0000-0000-0000B3380000}"/>
    <cellStyle name="Normal 2 2 2 2 3 3 2" xfId="35417" xr:uid="{00000000-0005-0000-0000-0000B4380000}"/>
    <cellStyle name="Normal 2 2 2 2 3 4" xfId="4593" xr:uid="{00000000-0005-0000-0000-0000B5380000}"/>
    <cellStyle name="Normal 2 2 2 2 3 4 2" xfId="35418" xr:uid="{00000000-0005-0000-0000-0000B6380000}"/>
    <cellStyle name="Normal 2 2 2 2 3 5" xfId="35419" xr:uid="{00000000-0005-0000-0000-0000B7380000}"/>
    <cellStyle name="Normal 2 2 2 2 3_01-04-2012" xfId="4594" xr:uid="{00000000-0005-0000-0000-0000B8380000}"/>
    <cellStyle name="Normal 2 2 2 2 4" xfId="4595" xr:uid="{00000000-0005-0000-0000-0000B9380000}"/>
    <cellStyle name="Normal 2 2 2 2 4 2" xfId="4596" xr:uid="{00000000-0005-0000-0000-0000BA380000}"/>
    <cellStyle name="Normal 2 2 2 2 4 2 2" xfId="35420" xr:uid="{00000000-0005-0000-0000-0000BB380000}"/>
    <cellStyle name="Normal 2 2 2 2 4 3" xfId="4597" xr:uid="{00000000-0005-0000-0000-0000BC380000}"/>
    <cellStyle name="Normal 2 2 2 2 4 3 2" xfId="35421" xr:uid="{00000000-0005-0000-0000-0000BD380000}"/>
    <cellStyle name="Normal 2 2 2 2 4 4" xfId="4598" xr:uid="{00000000-0005-0000-0000-0000BE380000}"/>
    <cellStyle name="Normal 2 2 2 2 4 4 2" xfId="35422" xr:uid="{00000000-0005-0000-0000-0000BF380000}"/>
    <cellStyle name="Normal 2 2 2 2 4 5" xfId="35423" xr:uid="{00000000-0005-0000-0000-0000C0380000}"/>
    <cellStyle name="Normal 2 2 2 2 4_01-04-2012" xfId="4599" xr:uid="{00000000-0005-0000-0000-0000C1380000}"/>
    <cellStyle name="Normal 2 2 2 2 5" xfId="4600" xr:uid="{00000000-0005-0000-0000-0000C2380000}"/>
    <cellStyle name="Normal 2 2 2 2 5 2" xfId="35424" xr:uid="{00000000-0005-0000-0000-0000C3380000}"/>
    <cellStyle name="Normal 2 2 2 2 6" xfId="4601" xr:uid="{00000000-0005-0000-0000-0000C4380000}"/>
    <cellStyle name="Normal 2 2 2 2 6 2" xfId="35425" xr:uid="{00000000-0005-0000-0000-0000C5380000}"/>
    <cellStyle name="Normal 2 2 2 2 7" xfId="4602" xr:uid="{00000000-0005-0000-0000-0000C6380000}"/>
    <cellStyle name="Normal 2 2 2 2 7 2" xfId="35426" xr:uid="{00000000-0005-0000-0000-0000C7380000}"/>
    <cellStyle name="Normal 2 2 2 2 8" xfId="17202" xr:uid="{00000000-0005-0000-0000-0000C8380000}"/>
    <cellStyle name="Normal 2 2 2 2 8 2" xfId="35427" xr:uid="{00000000-0005-0000-0000-0000C9380000}"/>
    <cellStyle name="Normal 2 2 2 2 9" xfId="17203" xr:uid="{00000000-0005-0000-0000-0000CA380000}"/>
    <cellStyle name="Normal 2 2 2 2_01-04-2012" xfId="4603" xr:uid="{00000000-0005-0000-0000-0000CB380000}"/>
    <cellStyle name="Normal 2 2 2 20" xfId="4604" xr:uid="{00000000-0005-0000-0000-0000CC380000}"/>
    <cellStyle name="Normal 2 2 2 21" xfId="4605" xr:uid="{00000000-0005-0000-0000-0000CD380000}"/>
    <cellStyle name="Normal 2 2 2 22" xfId="4606" xr:uid="{00000000-0005-0000-0000-0000CE380000}"/>
    <cellStyle name="Normal 2 2 2 23" xfId="4607" xr:uid="{00000000-0005-0000-0000-0000CF380000}"/>
    <cellStyle name="Normal 2 2 2 24" xfId="4608" xr:uid="{00000000-0005-0000-0000-0000D0380000}"/>
    <cellStyle name="Normal 2 2 2 25" xfId="4609" xr:uid="{00000000-0005-0000-0000-0000D1380000}"/>
    <cellStyle name="Normal 2 2 2 26" xfId="4610" xr:uid="{00000000-0005-0000-0000-0000D2380000}"/>
    <cellStyle name="Normal 2 2 2 26 2" xfId="35428" xr:uid="{00000000-0005-0000-0000-0000D3380000}"/>
    <cellStyle name="Normal 2 2 2 27" xfId="4611" xr:uid="{00000000-0005-0000-0000-0000D4380000}"/>
    <cellStyle name="Normal 2 2 2 27 2" xfId="35429" xr:uid="{00000000-0005-0000-0000-0000D5380000}"/>
    <cellStyle name="Normal 2 2 2 28" xfId="4612" xr:uid="{00000000-0005-0000-0000-0000D6380000}"/>
    <cellStyle name="Normal 2 2 2 28 2" xfId="35430" xr:uid="{00000000-0005-0000-0000-0000D7380000}"/>
    <cellStyle name="Normal 2 2 2 29" xfId="4613" xr:uid="{00000000-0005-0000-0000-0000D8380000}"/>
    <cellStyle name="Normal 2 2 2 29 2" xfId="35431" xr:uid="{00000000-0005-0000-0000-0000D9380000}"/>
    <cellStyle name="Normal 2 2 2 3" xfId="4614" xr:uid="{00000000-0005-0000-0000-0000DA380000}"/>
    <cellStyle name="Normal 2 2 2 3 2" xfId="4615" xr:uid="{00000000-0005-0000-0000-0000DB380000}"/>
    <cellStyle name="Normal 2 2 2 3 2 2" xfId="4616" xr:uid="{00000000-0005-0000-0000-0000DC380000}"/>
    <cellStyle name="Normal 2 2 2 3 2 2 2" xfId="35432" xr:uid="{00000000-0005-0000-0000-0000DD380000}"/>
    <cellStyle name="Normal 2 2 2 3 2 3" xfId="4617" xr:uid="{00000000-0005-0000-0000-0000DE380000}"/>
    <cellStyle name="Normal 2 2 2 3 2 3 2" xfId="35433" xr:uid="{00000000-0005-0000-0000-0000DF380000}"/>
    <cellStyle name="Normal 2 2 2 3 2 4" xfId="4618" xr:uid="{00000000-0005-0000-0000-0000E0380000}"/>
    <cellStyle name="Normal 2 2 2 3 2 4 2" xfId="35434" xr:uid="{00000000-0005-0000-0000-0000E1380000}"/>
    <cellStyle name="Normal 2 2 2 3 2 5" xfId="35435" xr:uid="{00000000-0005-0000-0000-0000E2380000}"/>
    <cellStyle name="Normal 2 2 2 3 2_01-04-2012" xfId="4619" xr:uid="{00000000-0005-0000-0000-0000E3380000}"/>
    <cellStyle name="Normal 2 2 2 3 3" xfId="4620" xr:uid="{00000000-0005-0000-0000-0000E4380000}"/>
    <cellStyle name="Normal 2 2 2 3 3 2" xfId="4621" xr:uid="{00000000-0005-0000-0000-0000E5380000}"/>
    <cellStyle name="Normal 2 2 2 3 3 2 2" xfId="35436" xr:uid="{00000000-0005-0000-0000-0000E6380000}"/>
    <cellStyle name="Normal 2 2 2 3 3 3" xfId="4622" xr:uid="{00000000-0005-0000-0000-0000E7380000}"/>
    <cellStyle name="Normal 2 2 2 3 3 3 2" xfId="35437" xr:uid="{00000000-0005-0000-0000-0000E8380000}"/>
    <cellStyle name="Normal 2 2 2 3 3 4" xfId="4623" xr:uid="{00000000-0005-0000-0000-0000E9380000}"/>
    <cellStyle name="Normal 2 2 2 3 3 4 2" xfId="35438" xr:uid="{00000000-0005-0000-0000-0000EA380000}"/>
    <cellStyle name="Normal 2 2 2 3 3 5" xfId="35439" xr:uid="{00000000-0005-0000-0000-0000EB380000}"/>
    <cellStyle name="Normal 2 2 2 3 3_01-04-2012" xfId="4624" xr:uid="{00000000-0005-0000-0000-0000EC380000}"/>
    <cellStyle name="Normal 2 2 2 3 4" xfId="4625" xr:uid="{00000000-0005-0000-0000-0000ED380000}"/>
    <cellStyle name="Normal 2 2 2 3 4 2" xfId="4626" xr:uid="{00000000-0005-0000-0000-0000EE380000}"/>
    <cellStyle name="Normal 2 2 2 3 4 2 2" xfId="35440" xr:uid="{00000000-0005-0000-0000-0000EF380000}"/>
    <cellStyle name="Normal 2 2 2 3 4 3" xfId="4627" xr:uid="{00000000-0005-0000-0000-0000F0380000}"/>
    <cellStyle name="Normal 2 2 2 3 4 3 2" xfId="35441" xr:uid="{00000000-0005-0000-0000-0000F1380000}"/>
    <cellStyle name="Normal 2 2 2 3 4 4" xfId="4628" xr:uid="{00000000-0005-0000-0000-0000F2380000}"/>
    <cellStyle name="Normal 2 2 2 3 4 4 2" xfId="35442" xr:uid="{00000000-0005-0000-0000-0000F3380000}"/>
    <cellStyle name="Normal 2 2 2 3 4 5" xfId="35443" xr:uid="{00000000-0005-0000-0000-0000F4380000}"/>
    <cellStyle name="Normal 2 2 2 3 4_01-04-2012" xfId="4629" xr:uid="{00000000-0005-0000-0000-0000F5380000}"/>
    <cellStyle name="Normal 2 2 2 3 5" xfId="4630" xr:uid="{00000000-0005-0000-0000-0000F6380000}"/>
    <cellStyle name="Normal 2 2 2 3 5 2" xfId="35444" xr:uid="{00000000-0005-0000-0000-0000F7380000}"/>
    <cellStyle name="Normal 2 2 2 3 6" xfId="4631" xr:uid="{00000000-0005-0000-0000-0000F8380000}"/>
    <cellStyle name="Normal 2 2 2 3 6 2" xfId="35445" xr:uid="{00000000-0005-0000-0000-0000F9380000}"/>
    <cellStyle name="Normal 2 2 2 3 7" xfId="4632" xr:uid="{00000000-0005-0000-0000-0000FA380000}"/>
    <cellStyle name="Normal 2 2 2 3 7 2" xfId="35446" xr:uid="{00000000-0005-0000-0000-0000FB380000}"/>
    <cellStyle name="Normal 2 2 2 3 8" xfId="35447" xr:uid="{00000000-0005-0000-0000-0000FC380000}"/>
    <cellStyle name="Normal 2 2 2 3_01-04-2012" xfId="4633" xr:uid="{00000000-0005-0000-0000-0000FD380000}"/>
    <cellStyle name="Normal 2 2 2 30" xfId="4573" xr:uid="{00000000-0005-0000-0000-0000FE380000}"/>
    <cellStyle name="Normal 2 2 2 30 2" xfId="35448" xr:uid="{00000000-0005-0000-0000-0000FF380000}"/>
    <cellStyle name="Normal 2 2 2 4" xfId="4634" xr:uid="{00000000-0005-0000-0000-000000390000}"/>
    <cellStyle name="Normal 2 2 2 4 2" xfId="4635" xr:uid="{00000000-0005-0000-0000-000001390000}"/>
    <cellStyle name="Normal 2 2 2 4 2 2" xfId="4636" xr:uid="{00000000-0005-0000-0000-000002390000}"/>
    <cellStyle name="Normal 2 2 2 4 2 2 2" xfId="35449" xr:uid="{00000000-0005-0000-0000-000003390000}"/>
    <cellStyle name="Normal 2 2 2 4 2 3" xfId="4637" xr:uid="{00000000-0005-0000-0000-000004390000}"/>
    <cellStyle name="Normal 2 2 2 4 2 3 2" xfId="35450" xr:uid="{00000000-0005-0000-0000-000005390000}"/>
    <cellStyle name="Normal 2 2 2 4 2 4" xfId="4638" xr:uid="{00000000-0005-0000-0000-000006390000}"/>
    <cellStyle name="Normal 2 2 2 4 2 4 2" xfId="35451" xr:uid="{00000000-0005-0000-0000-000007390000}"/>
    <cellStyle name="Normal 2 2 2 4 2 5" xfId="35452" xr:uid="{00000000-0005-0000-0000-000008390000}"/>
    <cellStyle name="Normal 2 2 2 4 2_01-04-2012" xfId="4639" xr:uid="{00000000-0005-0000-0000-000009390000}"/>
    <cellStyle name="Normal 2 2 2 4 3" xfId="4640" xr:uid="{00000000-0005-0000-0000-00000A390000}"/>
    <cellStyle name="Normal 2 2 2 4 3 2" xfId="4641" xr:uid="{00000000-0005-0000-0000-00000B390000}"/>
    <cellStyle name="Normal 2 2 2 4 3 2 2" xfId="35453" xr:uid="{00000000-0005-0000-0000-00000C390000}"/>
    <cellStyle name="Normal 2 2 2 4 3 3" xfId="4642" xr:uid="{00000000-0005-0000-0000-00000D390000}"/>
    <cellStyle name="Normal 2 2 2 4 3 3 2" xfId="35454" xr:uid="{00000000-0005-0000-0000-00000E390000}"/>
    <cellStyle name="Normal 2 2 2 4 3 4" xfId="4643" xr:uid="{00000000-0005-0000-0000-00000F390000}"/>
    <cellStyle name="Normal 2 2 2 4 3 4 2" xfId="35455" xr:uid="{00000000-0005-0000-0000-000010390000}"/>
    <cellStyle name="Normal 2 2 2 4 3 5" xfId="35456" xr:uid="{00000000-0005-0000-0000-000011390000}"/>
    <cellStyle name="Normal 2 2 2 4 3_01-04-2012" xfId="4644" xr:uid="{00000000-0005-0000-0000-000012390000}"/>
    <cellStyle name="Normal 2 2 2 4 4" xfId="4645" xr:uid="{00000000-0005-0000-0000-000013390000}"/>
    <cellStyle name="Normal 2 2 2 4 4 2" xfId="4646" xr:uid="{00000000-0005-0000-0000-000014390000}"/>
    <cellStyle name="Normal 2 2 2 4 4 2 2" xfId="35457" xr:uid="{00000000-0005-0000-0000-000015390000}"/>
    <cellStyle name="Normal 2 2 2 4 4 3" xfId="4647" xr:uid="{00000000-0005-0000-0000-000016390000}"/>
    <cellStyle name="Normal 2 2 2 4 4 3 2" xfId="35458" xr:uid="{00000000-0005-0000-0000-000017390000}"/>
    <cellStyle name="Normal 2 2 2 4 4 4" xfId="4648" xr:uid="{00000000-0005-0000-0000-000018390000}"/>
    <cellStyle name="Normal 2 2 2 4 4 4 2" xfId="35459" xr:uid="{00000000-0005-0000-0000-000019390000}"/>
    <cellStyle name="Normal 2 2 2 4 4 5" xfId="35460" xr:uid="{00000000-0005-0000-0000-00001A390000}"/>
    <cellStyle name="Normal 2 2 2 4 4_01-04-2012" xfId="4649" xr:uid="{00000000-0005-0000-0000-00001B390000}"/>
    <cellStyle name="Normal 2 2 2 4 5" xfId="4650" xr:uid="{00000000-0005-0000-0000-00001C390000}"/>
    <cellStyle name="Normal 2 2 2 4 5 2" xfId="35461" xr:uid="{00000000-0005-0000-0000-00001D390000}"/>
    <cellStyle name="Normal 2 2 2 4 6" xfId="4651" xr:uid="{00000000-0005-0000-0000-00001E390000}"/>
    <cellStyle name="Normal 2 2 2 4 6 2" xfId="35462" xr:uid="{00000000-0005-0000-0000-00001F390000}"/>
    <cellStyle name="Normal 2 2 2 4 7" xfId="4652" xr:uid="{00000000-0005-0000-0000-000020390000}"/>
    <cellStyle name="Normal 2 2 2 4 7 2" xfId="35463" xr:uid="{00000000-0005-0000-0000-000021390000}"/>
    <cellStyle name="Normal 2 2 2 4 8" xfId="35464" xr:uid="{00000000-0005-0000-0000-000022390000}"/>
    <cellStyle name="Normal 2 2 2 4_01-04-2012" xfId="4653" xr:uid="{00000000-0005-0000-0000-000023390000}"/>
    <cellStyle name="Normal 2 2 2 5" xfId="4654" xr:uid="{00000000-0005-0000-0000-000024390000}"/>
    <cellStyle name="Normal 2 2 2 5 2" xfId="4655" xr:uid="{00000000-0005-0000-0000-000025390000}"/>
    <cellStyle name="Normal 2 2 2 5 2 2" xfId="35465" xr:uid="{00000000-0005-0000-0000-000026390000}"/>
    <cellStyle name="Normal 2 2 2 5 3" xfId="4656" xr:uid="{00000000-0005-0000-0000-000027390000}"/>
    <cellStyle name="Normal 2 2 2 5 3 2" xfId="35466" xr:uid="{00000000-0005-0000-0000-000028390000}"/>
    <cellStyle name="Normal 2 2 2 5 4" xfId="4657" xr:uid="{00000000-0005-0000-0000-000029390000}"/>
    <cellStyle name="Normal 2 2 2 5 4 2" xfId="35467" xr:uid="{00000000-0005-0000-0000-00002A390000}"/>
    <cellStyle name="Normal 2 2 2 5 5" xfId="35468" xr:uid="{00000000-0005-0000-0000-00002B390000}"/>
    <cellStyle name="Normal 2 2 2 5_01-04-2012" xfId="4658" xr:uid="{00000000-0005-0000-0000-00002C390000}"/>
    <cellStyle name="Normal 2 2 2 6" xfId="4659" xr:uid="{00000000-0005-0000-0000-00002D390000}"/>
    <cellStyle name="Normal 2 2 2 6 2" xfId="4660" xr:uid="{00000000-0005-0000-0000-00002E390000}"/>
    <cellStyle name="Normal 2 2 2 6 2 2" xfId="35469" xr:uid="{00000000-0005-0000-0000-00002F390000}"/>
    <cellStyle name="Normal 2 2 2 6 3" xfId="4661" xr:uid="{00000000-0005-0000-0000-000030390000}"/>
    <cellStyle name="Normal 2 2 2 6 3 2" xfId="35470" xr:uid="{00000000-0005-0000-0000-000031390000}"/>
    <cellStyle name="Normal 2 2 2 6 4" xfId="4662" xr:uid="{00000000-0005-0000-0000-000032390000}"/>
    <cellStyle name="Normal 2 2 2 6 4 2" xfId="35471" xr:uid="{00000000-0005-0000-0000-000033390000}"/>
    <cellStyle name="Normal 2 2 2 6 5" xfId="35472" xr:uid="{00000000-0005-0000-0000-000034390000}"/>
    <cellStyle name="Normal 2 2 2 6_01-04-2012" xfId="4663" xr:uid="{00000000-0005-0000-0000-000035390000}"/>
    <cellStyle name="Normal 2 2 2 7" xfId="4664" xr:uid="{00000000-0005-0000-0000-000036390000}"/>
    <cellStyle name="Normal 2 2 2 7 2" xfId="4665" xr:uid="{00000000-0005-0000-0000-000037390000}"/>
    <cellStyle name="Normal 2 2 2 7 2 2" xfId="35473" xr:uid="{00000000-0005-0000-0000-000038390000}"/>
    <cellStyle name="Normal 2 2 2 7 3" xfId="4666" xr:uid="{00000000-0005-0000-0000-000039390000}"/>
    <cellStyle name="Normal 2 2 2 7 3 2" xfId="35474" xr:uid="{00000000-0005-0000-0000-00003A390000}"/>
    <cellStyle name="Normal 2 2 2 7 4" xfId="4667" xr:uid="{00000000-0005-0000-0000-00003B390000}"/>
    <cellStyle name="Normal 2 2 2 7 4 2" xfId="35475" xr:uid="{00000000-0005-0000-0000-00003C390000}"/>
    <cellStyle name="Normal 2 2 2 7 5" xfId="35476" xr:uid="{00000000-0005-0000-0000-00003D390000}"/>
    <cellStyle name="Normal 2 2 2 7_01-04-2012" xfId="4668" xr:uid="{00000000-0005-0000-0000-00003E390000}"/>
    <cellStyle name="Normal 2 2 2 8" xfId="4669" xr:uid="{00000000-0005-0000-0000-00003F390000}"/>
    <cellStyle name="Normal 2 2 2 8 2" xfId="4670" xr:uid="{00000000-0005-0000-0000-000040390000}"/>
    <cellStyle name="Normal 2 2 2 8 2 2" xfId="35477" xr:uid="{00000000-0005-0000-0000-000041390000}"/>
    <cellStyle name="Normal 2 2 2 8 3" xfId="4671" xr:uid="{00000000-0005-0000-0000-000042390000}"/>
    <cellStyle name="Normal 2 2 2 8 3 2" xfId="35478" xr:uid="{00000000-0005-0000-0000-000043390000}"/>
    <cellStyle name="Normal 2 2 2 8 4" xfId="4672" xr:uid="{00000000-0005-0000-0000-000044390000}"/>
    <cellStyle name="Normal 2 2 2 8 4 2" xfId="35479" xr:uid="{00000000-0005-0000-0000-000045390000}"/>
    <cellStyle name="Normal 2 2 2 8 5" xfId="35480" xr:uid="{00000000-0005-0000-0000-000046390000}"/>
    <cellStyle name="Normal 2 2 2 8_01-04-2012" xfId="4673" xr:uid="{00000000-0005-0000-0000-000047390000}"/>
    <cellStyle name="Normal 2 2 2 9" xfId="4674" xr:uid="{00000000-0005-0000-0000-000048390000}"/>
    <cellStyle name="Normal 2 2 2 9 2" xfId="4675" xr:uid="{00000000-0005-0000-0000-000049390000}"/>
    <cellStyle name="Normal 2 2 2 9 2 2" xfId="35481" xr:uid="{00000000-0005-0000-0000-00004A390000}"/>
    <cellStyle name="Normal 2 2 2 9 3" xfId="4676" xr:uid="{00000000-0005-0000-0000-00004B390000}"/>
    <cellStyle name="Normal 2 2 2 9 3 2" xfId="35482" xr:uid="{00000000-0005-0000-0000-00004C390000}"/>
    <cellStyle name="Normal 2 2 2 9 4" xfId="4677" xr:uid="{00000000-0005-0000-0000-00004D390000}"/>
    <cellStyle name="Normal 2 2 2 9 4 2" xfId="35483" xr:uid="{00000000-0005-0000-0000-00004E390000}"/>
    <cellStyle name="Normal 2 2 2 9 5" xfId="35484" xr:uid="{00000000-0005-0000-0000-00004F390000}"/>
    <cellStyle name="Normal 2 2 2 9_01-04-2012" xfId="4678" xr:uid="{00000000-0005-0000-0000-000050390000}"/>
    <cellStyle name="Normal 2 2 2_01-04-2012" xfId="4679" xr:uid="{00000000-0005-0000-0000-000051390000}"/>
    <cellStyle name="Normal 2 2 20" xfId="4680" xr:uid="{00000000-0005-0000-0000-000052390000}"/>
    <cellStyle name="Normal 2 2 20 2" xfId="17204" xr:uid="{00000000-0005-0000-0000-000053390000}"/>
    <cellStyle name="Normal 2 2 20 3" xfId="17205" xr:uid="{00000000-0005-0000-0000-000054390000}"/>
    <cellStyle name="Normal 2 2 20 4" xfId="17206" xr:uid="{00000000-0005-0000-0000-000055390000}"/>
    <cellStyle name="Normal 2 2 20 5" xfId="17207" xr:uid="{00000000-0005-0000-0000-000056390000}"/>
    <cellStyle name="Normal 2 2 20 6" xfId="17208" xr:uid="{00000000-0005-0000-0000-000057390000}"/>
    <cellStyle name="Normal 2 2 20 7" xfId="17209" xr:uid="{00000000-0005-0000-0000-000058390000}"/>
    <cellStyle name="Normal 2 2 20 8" xfId="17210" xr:uid="{00000000-0005-0000-0000-000059390000}"/>
    <cellStyle name="Normal 2 2 21" xfId="4681" xr:uid="{00000000-0005-0000-0000-00005A390000}"/>
    <cellStyle name="Normal 2 2 21 2" xfId="17211" xr:uid="{00000000-0005-0000-0000-00005B390000}"/>
    <cellStyle name="Normal 2 2 21 3" xfId="17212" xr:uid="{00000000-0005-0000-0000-00005C390000}"/>
    <cellStyle name="Normal 2 2 21 4" xfId="17213" xr:uid="{00000000-0005-0000-0000-00005D390000}"/>
    <cellStyle name="Normal 2 2 21 5" xfId="17214" xr:uid="{00000000-0005-0000-0000-00005E390000}"/>
    <cellStyle name="Normal 2 2 21 6" xfId="17215" xr:uid="{00000000-0005-0000-0000-00005F390000}"/>
    <cellStyle name="Normal 2 2 21 7" xfId="17216" xr:uid="{00000000-0005-0000-0000-000060390000}"/>
    <cellStyle name="Normal 2 2 21 8" xfId="17217" xr:uid="{00000000-0005-0000-0000-000061390000}"/>
    <cellStyle name="Normal 2 2 22" xfId="4682" xr:uid="{00000000-0005-0000-0000-000062390000}"/>
    <cellStyle name="Normal 2 2 22 2" xfId="17218" xr:uid="{00000000-0005-0000-0000-000063390000}"/>
    <cellStyle name="Normal 2 2 22 3" xfId="17219" xr:uid="{00000000-0005-0000-0000-000064390000}"/>
    <cellStyle name="Normal 2 2 22 4" xfId="17220" xr:uid="{00000000-0005-0000-0000-000065390000}"/>
    <cellStyle name="Normal 2 2 22 5" xfId="17221" xr:uid="{00000000-0005-0000-0000-000066390000}"/>
    <cellStyle name="Normal 2 2 22 6" xfId="17222" xr:uid="{00000000-0005-0000-0000-000067390000}"/>
    <cellStyle name="Normal 2 2 22 7" xfId="17223" xr:uid="{00000000-0005-0000-0000-000068390000}"/>
    <cellStyle name="Normal 2 2 22 8" xfId="17224" xr:uid="{00000000-0005-0000-0000-000069390000}"/>
    <cellStyle name="Normal 2 2 23" xfId="4683" xr:uid="{00000000-0005-0000-0000-00006A390000}"/>
    <cellStyle name="Normal 2 2 23 2" xfId="17225" xr:uid="{00000000-0005-0000-0000-00006B390000}"/>
    <cellStyle name="Normal 2 2 23 3" xfId="17226" xr:uid="{00000000-0005-0000-0000-00006C390000}"/>
    <cellStyle name="Normal 2 2 23 4" xfId="17227" xr:uid="{00000000-0005-0000-0000-00006D390000}"/>
    <cellStyle name="Normal 2 2 23 5" xfId="17228" xr:uid="{00000000-0005-0000-0000-00006E390000}"/>
    <cellStyle name="Normal 2 2 23 6" xfId="17229" xr:uid="{00000000-0005-0000-0000-00006F390000}"/>
    <cellStyle name="Normal 2 2 23 7" xfId="17230" xr:uid="{00000000-0005-0000-0000-000070390000}"/>
    <cellStyle name="Normal 2 2 23 8" xfId="17231" xr:uid="{00000000-0005-0000-0000-000071390000}"/>
    <cellStyle name="Normal 2 2 24" xfId="4684" xr:uid="{00000000-0005-0000-0000-000072390000}"/>
    <cellStyle name="Normal 2 2 24 2" xfId="17232" xr:uid="{00000000-0005-0000-0000-000073390000}"/>
    <cellStyle name="Normal 2 2 24 3" xfId="17233" xr:uid="{00000000-0005-0000-0000-000074390000}"/>
    <cellStyle name="Normal 2 2 24 4" xfId="17234" xr:uid="{00000000-0005-0000-0000-000075390000}"/>
    <cellStyle name="Normal 2 2 24 5" xfId="17235" xr:uid="{00000000-0005-0000-0000-000076390000}"/>
    <cellStyle name="Normal 2 2 24 6" xfId="17236" xr:uid="{00000000-0005-0000-0000-000077390000}"/>
    <cellStyle name="Normal 2 2 24 7" xfId="17237" xr:uid="{00000000-0005-0000-0000-000078390000}"/>
    <cellStyle name="Normal 2 2 24 8" xfId="17238" xr:uid="{00000000-0005-0000-0000-000079390000}"/>
    <cellStyle name="Normal 2 2 25" xfId="4685" xr:uid="{00000000-0005-0000-0000-00007A390000}"/>
    <cellStyle name="Normal 2 2 25 2" xfId="17239" xr:uid="{00000000-0005-0000-0000-00007B390000}"/>
    <cellStyle name="Normal 2 2 25 3" xfId="17240" xr:uid="{00000000-0005-0000-0000-00007C390000}"/>
    <cellStyle name="Normal 2 2 25 4" xfId="17241" xr:uid="{00000000-0005-0000-0000-00007D390000}"/>
    <cellStyle name="Normal 2 2 25 5" xfId="17242" xr:uid="{00000000-0005-0000-0000-00007E390000}"/>
    <cellStyle name="Normal 2 2 25 6" xfId="17243" xr:uid="{00000000-0005-0000-0000-00007F390000}"/>
    <cellStyle name="Normal 2 2 25 7" xfId="17244" xr:uid="{00000000-0005-0000-0000-000080390000}"/>
    <cellStyle name="Normal 2 2 25 8" xfId="17245" xr:uid="{00000000-0005-0000-0000-000081390000}"/>
    <cellStyle name="Normal 2 2 26" xfId="4686" xr:uid="{00000000-0005-0000-0000-000082390000}"/>
    <cellStyle name="Normal 2 2 26 2" xfId="17246" xr:uid="{00000000-0005-0000-0000-000083390000}"/>
    <cellStyle name="Normal 2 2 26 3" xfId="17247" xr:uid="{00000000-0005-0000-0000-000084390000}"/>
    <cellStyle name="Normal 2 2 26 4" xfId="17248" xr:uid="{00000000-0005-0000-0000-000085390000}"/>
    <cellStyle name="Normal 2 2 26 5" xfId="17249" xr:uid="{00000000-0005-0000-0000-000086390000}"/>
    <cellStyle name="Normal 2 2 26 6" xfId="17250" xr:uid="{00000000-0005-0000-0000-000087390000}"/>
    <cellStyle name="Normal 2 2 26 7" xfId="17251" xr:uid="{00000000-0005-0000-0000-000088390000}"/>
    <cellStyle name="Normal 2 2 26 8" xfId="17252" xr:uid="{00000000-0005-0000-0000-000089390000}"/>
    <cellStyle name="Normal 2 2 27" xfId="4687" xr:uid="{00000000-0005-0000-0000-00008A390000}"/>
    <cellStyle name="Normal 2 2 27 2" xfId="17253" xr:uid="{00000000-0005-0000-0000-00008B390000}"/>
    <cellStyle name="Normal 2 2 27 3" xfId="17254" xr:uid="{00000000-0005-0000-0000-00008C390000}"/>
    <cellStyle name="Normal 2 2 27 4" xfId="17255" xr:uid="{00000000-0005-0000-0000-00008D390000}"/>
    <cellStyle name="Normal 2 2 27 5" xfId="17256" xr:uid="{00000000-0005-0000-0000-00008E390000}"/>
    <cellStyle name="Normal 2 2 27 6" xfId="17257" xr:uid="{00000000-0005-0000-0000-00008F390000}"/>
    <cellStyle name="Normal 2 2 27 7" xfId="17258" xr:uid="{00000000-0005-0000-0000-000090390000}"/>
    <cellStyle name="Normal 2 2 27 8" xfId="17259" xr:uid="{00000000-0005-0000-0000-000091390000}"/>
    <cellStyle name="Normal 2 2 28" xfId="4688" xr:uid="{00000000-0005-0000-0000-000092390000}"/>
    <cellStyle name="Normal 2 2 28 2" xfId="17260" xr:uid="{00000000-0005-0000-0000-000093390000}"/>
    <cellStyle name="Normal 2 2 28 3" xfId="17261" xr:uid="{00000000-0005-0000-0000-000094390000}"/>
    <cellStyle name="Normal 2 2 28 4" xfId="17262" xr:uid="{00000000-0005-0000-0000-000095390000}"/>
    <cellStyle name="Normal 2 2 28 5" xfId="17263" xr:uid="{00000000-0005-0000-0000-000096390000}"/>
    <cellStyle name="Normal 2 2 28 6" xfId="17264" xr:uid="{00000000-0005-0000-0000-000097390000}"/>
    <cellStyle name="Normal 2 2 28 7" xfId="17265" xr:uid="{00000000-0005-0000-0000-000098390000}"/>
    <cellStyle name="Normal 2 2 28 8" xfId="17266" xr:uid="{00000000-0005-0000-0000-000099390000}"/>
    <cellStyle name="Normal 2 2 29" xfId="4689" xr:uid="{00000000-0005-0000-0000-00009A390000}"/>
    <cellStyle name="Normal 2 2 29 2" xfId="17267" xr:uid="{00000000-0005-0000-0000-00009B390000}"/>
    <cellStyle name="Normal 2 2 29 3" xfId="17268" xr:uid="{00000000-0005-0000-0000-00009C390000}"/>
    <cellStyle name="Normal 2 2 29 4" xfId="17269" xr:uid="{00000000-0005-0000-0000-00009D390000}"/>
    <cellStyle name="Normal 2 2 29 5" xfId="17270" xr:uid="{00000000-0005-0000-0000-00009E390000}"/>
    <cellStyle name="Normal 2 2 29 6" xfId="17271" xr:uid="{00000000-0005-0000-0000-00009F390000}"/>
    <cellStyle name="Normal 2 2 29 7" xfId="17272" xr:uid="{00000000-0005-0000-0000-0000A0390000}"/>
    <cellStyle name="Normal 2 2 29 8" xfId="17273" xr:uid="{00000000-0005-0000-0000-0000A1390000}"/>
    <cellStyle name="Normal 2 2 3" xfId="4690" xr:uid="{00000000-0005-0000-0000-0000A2390000}"/>
    <cellStyle name="Normal 2 2 3 10" xfId="4691" xr:uid="{00000000-0005-0000-0000-0000A3390000}"/>
    <cellStyle name="Normal 2 2 3 11" xfId="4692" xr:uid="{00000000-0005-0000-0000-0000A4390000}"/>
    <cellStyle name="Normal 2 2 3 12" xfId="4693" xr:uid="{00000000-0005-0000-0000-0000A5390000}"/>
    <cellStyle name="Normal 2 2 3 13" xfId="4694" xr:uid="{00000000-0005-0000-0000-0000A6390000}"/>
    <cellStyle name="Normal 2 2 3 14" xfId="4695" xr:uid="{00000000-0005-0000-0000-0000A7390000}"/>
    <cellStyle name="Normal 2 2 3 15" xfId="4696" xr:uid="{00000000-0005-0000-0000-0000A8390000}"/>
    <cellStyle name="Normal 2 2 3 16" xfId="4697" xr:uid="{00000000-0005-0000-0000-0000A9390000}"/>
    <cellStyle name="Normal 2 2 3 17" xfId="4698" xr:uid="{00000000-0005-0000-0000-0000AA390000}"/>
    <cellStyle name="Normal 2 2 3 18" xfId="4699" xr:uid="{00000000-0005-0000-0000-0000AB390000}"/>
    <cellStyle name="Normal 2 2 3 19" xfId="4700" xr:uid="{00000000-0005-0000-0000-0000AC390000}"/>
    <cellStyle name="Normal 2 2 3 2" xfId="4701" xr:uid="{00000000-0005-0000-0000-0000AD390000}"/>
    <cellStyle name="Normal 2 2 3 2 10" xfId="17274" xr:uid="{00000000-0005-0000-0000-0000AE390000}"/>
    <cellStyle name="Normal 2 2 3 2 2" xfId="4702" xr:uid="{00000000-0005-0000-0000-0000AF390000}"/>
    <cellStyle name="Normal 2 2 3 2 2 2" xfId="4703" xr:uid="{00000000-0005-0000-0000-0000B0390000}"/>
    <cellStyle name="Normal 2 2 3 2 2 2 2" xfId="35485" xr:uid="{00000000-0005-0000-0000-0000B1390000}"/>
    <cellStyle name="Normal 2 2 3 2 2 3" xfId="4704" xr:uid="{00000000-0005-0000-0000-0000B2390000}"/>
    <cellStyle name="Normal 2 2 3 2 2 3 2" xfId="35486" xr:uid="{00000000-0005-0000-0000-0000B3390000}"/>
    <cellStyle name="Normal 2 2 3 2 2 4" xfId="4705" xr:uid="{00000000-0005-0000-0000-0000B4390000}"/>
    <cellStyle name="Normal 2 2 3 2 2 4 2" xfId="35487" xr:uid="{00000000-0005-0000-0000-0000B5390000}"/>
    <cellStyle name="Normal 2 2 3 2 2 5" xfId="35488" xr:uid="{00000000-0005-0000-0000-0000B6390000}"/>
    <cellStyle name="Normal 2 2 3 2 2_01-04-2012" xfId="4706" xr:uid="{00000000-0005-0000-0000-0000B7390000}"/>
    <cellStyle name="Normal 2 2 3 2 3" xfId="4707" xr:uid="{00000000-0005-0000-0000-0000B8390000}"/>
    <cellStyle name="Normal 2 2 3 2 3 2" xfId="4708" xr:uid="{00000000-0005-0000-0000-0000B9390000}"/>
    <cellStyle name="Normal 2 2 3 2 3 2 2" xfId="35489" xr:uid="{00000000-0005-0000-0000-0000BA390000}"/>
    <cellStyle name="Normal 2 2 3 2 3 3" xfId="4709" xr:uid="{00000000-0005-0000-0000-0000BB390000}"/>
    <cellStyle name="Normal 2 2 3 2 3 3 2" xfId="35490" xr:uid="{00000000-0005-0000-0000-0000BC390000}"/>
    <cellStyle name="Normal 2 2 3 2 3 4" xfId="4710" xr:uid="{00000000-0005-0000-0000-0000BD390000}"/>
    <cellStyle name="Normal 2 2 3 2 3 4 2" xfId="35491" xr:uid="{00000000-0005-0000-0000-0000BE390000}"/>
    <cellStyle name="Normal 2 2 3 2 3 5" xfId="35492" xr:uid="{00000000-0005-0000-0000-0000BF390000}"/>
    <cellStyle name="Normal 2 2 3 2 3_01-04-2012" xfId="4711" xr:uid="{00000000-0005-0000-0000-0000C0390000}"/>
    <cellStyle name="Normal 2 2 3 2 4" xfId="4712" xr:uid="{00000000-0005-0000-0000-0000C1390000}"/>
    <cellStyle name="Normal 2 2 3 2 4 2" xfId="4713" xr:uid="{00000000-0005-0000-0000-0000C2390000}"/>
    <cellStyle name="Normal 2 2 3 2 4 2 2" xfId="35493" xr:uid="{00000000-0005-0000-0000-0000C3390000}"/>
    <cellStyle name="Normal 2 2 3 2 4 3" xfId="4714" xr:uid="{00000000-0005-0000-0000-0000C4390000}"/>
    <cellStyle name="Normal 2 2 3 2 4 3 2" xfId="35494" xr:uid="{00000000-0005-0000-0000-0000C5390000}"/>
    <cellStyle name="Normal 2 2 3 2 4 4" xfId="4715" xr:uid="{00000000-0005-0000-0000-0000C6390000}"/>
    <cellStyle name="Normal 2 2 3 2 4 4 2" xfId="35495" xr:uid="{00000000-0005-0000-0000-0000C7390000}"/>
    <cellStyle name="Normal 2 2 3 2 4 5" xfId="35496" xr:uid="{00000000-0005-0000-0000-0000C8390000}"/>
    <cellStyle name="Normal 2 2 3 2 4_01-04-2012" xfId="4716" xr:uid="{00000000-0005-0000-0000-0000C9390000}"/>
    <cellStyle name="Normal 2 2 3 2 5" xfId="4717" xr:uid="{00000000-0005-0000-0000-0000CA390000}"/>
    <cellStyle name="Normal 2 2 3 2 5 2" xfId="35497" xr:uid="{00000000-0005-0000-0000-0000CB390000}"/>
    <cellStyle name="Normal 2 2 3 2 6" xfId="4718" xr:uid="{00000000-0005-0000-0000-0000CC390000}"/>
    <cellStyle name="Normal 2 2 3 2 6 2" xfId="35498" xr:uid="{00000000-0005-0000-0000-0000CD390000}"/>
    <cellStyle name="Normal 2 2 3 2 7" xfId="4719" xr:uid="{00000000-0005-0000-0000-0000CE390000}"/>
    <cellStyle name="Normal 2 2 3 2 7 2" xfId="35499" xr:uid="{00000000-0005-0000-0000-0000CF390000}"/>
    <cellStyle name="Normal 2 2 3 2 8" xfId="17275" xr:uid="{00000000-0005-0000-0000-0000D0390000}"/>
    <cellStyle name="Normal 2 2 3 2 8 2" xfId="35500" xr:uid="{00000000-0005-0000-0000-0000D1390000}"/>
    <cellStyle name="Normal 2 2 3 2 9" xfId="17276" xr:uid="{00000000-0005-0000-0000-0000D2390000}"/>
    <cellStyle name="Normal 2 2 3 2_01-04-2012" xfId="4720" xr:uid="{00000000-0005-0000-0000-0000D3390000}"/>
    <cellStyle name="Normal 2 2 3 20" xfId="4721" xr:uid="{00000000-0005-0000-0000-0000D4390000}"/>
    <cellStyle name="Normal 2 2 3 21" xfId="4722" xr:uid="{00000000-0005-0000-0000-0000D5390000}"/>
    <cellStyle name="Normal 2 2 3 22" xfId="4723" xr:uid="{00000000-0005-0000-0000-0000D6390000}"/>
    <cellStyle name="Normal 2 2 3 23" xfId="4724" xr:uid="{00000000-0005-0000-0000-0000D7390000}"/>
    <cellStyle name="Normal 2 2 3 24" xfId="4725" xr:uid="{00000000-0005-0000-0000-0000D8390000}"/>
    <cellStyle name="Normal 2 2 3 25" xfId="4726" xr:uid="{00000000-0005-0000-0000-0000D9390000}"/>
    <cellStyle name="Normal 2 2 3 26" xfId="4727" xr:uid="{00000000-0005-0000-0000-0000DA390000}"/>
    <cellStyle name="Normal 2 2 3 26 2" xfId="35501" xr:uid="{00000000-0005-0000-0000-0000DB390000}"/>
    <cellStyle name="Normal 2 2 3 27" xfId="4728" xr:uid="{00000000-0005-0000-0000-0000DC390000}"/>
    <cellStyle name="Normal 2 2 3 27 2" xfId="35502" xr:uid="{00000000-0005-0000-0000-0000DD390000}"/>
    <cellStyle name="Normal 2 2 3 28" xfId="4729" xr:uid="{00000000-0005-0000-0000-0000DE390000}"/>
    <cellStyle name="Normal 2 2 3 28 2" xfId="35503" xr:uid="{00000000-0005-0000-0000-0000DF390000}"/>
    <cellStyle name="Normal 2 2 3 29" xfId="4730" xr:uid="{00000000-0005-0000-0000-0000E0390000}"/>
    <cellStyle name="Normal 2 2 3 29 2" xfId="35504" xr:uid="{00000000-0005-0000-0000-0000E1390000}"/>
    <cellStyle name="Normal 2 2 3 3" xfId="4731" xr:uid="{00000000-0005-0000-0000-0000E2390000}"/>
    <cellStyle name="Normal 2 2 3 3 10" xfId="17277" xr:uid="{00000000-0005-0000-0000-0000E3390000}"/>
    <cellStyle name="Normal 2 2 3 3 2" xfId="4732" xr:uid="{00000000-0005-0000-0000-0000E4390000}"/>
    <cellStyle name="Normal 2 2 3 3 2 2" xfId="4733" xr:uid="{00000000-0005-0000-0000-0000E5390000}"/>
    <cellStyle name="Normal 2 2 3 3 2 2 2" xfId="35505" xr:uid="{00000000-0005-0000-0000-0000E6390000}"/>
    <cellStyle name="Normal 2 2 3 3 2 3" xfId="4734" xr:uid="{00000000-0005-0000-0000-0000E7390000}"/>
    <cellStyle name="Normal 2 2 3 3 2 3 2" xfId="35506" xr:uid="{00000000-0005-0000-0000-0000E8390000}"/>
    <cellStyle name="Normal 2 2 3 3 2 4" xfId="4735" xr:uid="{00000000-0005-0000-0000-0000E9390000}"/>
    <cellStyle name="Normal 2 2 3 3 2 4 2" xfId="35507" xr:uid="{00000000-0005-0000-0000-0000EA390000}"/>
    <cellStyle name="Normal 2 2 3 3 2 5" xfId="35508" xr:uid="{00000000-0005-0000-0000-0000EB390000}"/>
    <cellStyle name="Normal 2 2 3 3 2_01-04-2012" xfId="4736" xr:uid="{00000000-0005-0000-0000-0000EC390000}"/>
    <cellStyle name="Normal 2 2 3 3 3" xfId="4737" xr:uid="{00000000-0005-0000-0000-0000ED390000}"/>
    <cellStyle name="Normal 2 2 3 3 3 2" xfId="4738" xr:uid="{00000000-0005-0000-0000-0000EE390000}"/>
    <cellStyle name="Normal 2 2 3 3 3 2 2" xfId="35509" xr:uid="{00000000-0005-0000-0000-0000EF390000}"/>
    <cellStyle name="Normal 2 2 3 3 3 3" xfId="4739" xr:uid="{00000000-0005-0000-0000-0000F0390000}"/>
    <cellStyle name="Normal 2 2 3 3 3 3 2" xfId="35510" xr:uid="{00000000-0005-0000-0000-0000F1390000}"/>
    <cellStyle name="Normal 2 2 3 3 3 4" xfId="4740" xr:uid="{00000000-0005-0000-0000-0000F2390000}"/>
    <cellStyle name="Normal 2 2 3 3 3 4 2" xfId="35511" xr:uid="{00000000-0005-0000-0000-0000F3390000}"/>
    <cellStyle name="Normal 2 2 3 3 3 5" xfId="35512" xr:uid="{00000000-0005-0000-0000-0000F4390000}"/>
    <cellStyle name="Normal 2 2 3 3 3_01-04-2012" xfId="4741" xr:uid="{00000000-0005-0000-0000-0000F5390000}"/>
    <cellStyle name="Normal 2 2 3 3 4" xfId="4742" xr:uid="{00000000-0005-0000-0000-0000F6390000}"/>
    <cellStyle name="Normal 2 2 3 3 4 2" xfId="4743" xr:uid="{00000000-0005-0000-0000-0000F7390000}"/>
    <cellStyle name="Normal 2 2 3 3 4 2 2" xfId="35513" xr:uid="{00000000-0005-0000-0000-0000F8390000}"/>
    <cellStyle name="Normal 2 2 3 3 4 3" xfId="4744" xr:uid="{00000000-0005-0000-0000-0000F9390000}"/>
    <cellStyle name="Normal 2 2 3 3 4 3 2" xfId="35514" xr:uid="{00000000-0005-0000-0000-0000FA390000}"/>
    <cellStyle name="Normal 2 2 3 3 4 4" xfId="4745" xr:uid="{00000000-0005-0000-0000-0000FB390000}"/>
    <cellStyle name="Normal 2 2 3 3 4 4 2" xfId="35515" xr:uid="{00000000-0005-0000-0000-0000FC390000}"/>
    <cellStyle name="Normal 2 2 3 3 4 5" xfId="35516" xr:uid="{00000000-0005-0000-0000-0000FD390000}"/>
    <cellStyle name="Normal 2 2 3 3 4_01-04-2012" xfId="4746" xr:uid="{00000000-0005-0000-0000-0000FE390000}"/>
    <cellStyle name="Normal 2 2 3 3 5" xfId="4747" xr:uid="{00000000-0005-0000-0000-0000FF390000}"/>
    <cellStyle name="Normal 2 2 3 3 5 2" xfId="35517" xr:uid="{00000000-0005-0000-0000-0000003A0000}"/>
    <cellStyle name="Normal 2 2 3 3 6" xfId="4748" xr:uid="{00000000-0005-0000-0000-0000013A0000}"/>
    <cellStyle name="Normal 2 2 3 3 6 2" xfId="35518" xr:uid="{00000000-0005-0000-0000-0000023A0000}"/>
    <cellStyle name="Normal 2 2 3 3 7" xfId="4749" xr:uid="{00000000-0005-0000-0000-0000033A0000}"/>
    <cellStyle name="Normal 2 2 3 3 7 2" xfId="35519" xr:uid="{00000000-0005-0000-0000-0000043A0000}"/>
    <cellStyle name="Normal 2 2 3 3 8" xfId="17278" xr:uid="{00000000-0005-0000-0000-0000053A0000}"/>
    <cellStyle name="Normal 2 2 3 3 8 2" xfId="35520" xr:uid="{00000000-0005-0000-0000-0000063A0000}"/>
    <cellStyle name="Normal 2 2 3 3 9" xfId="17279" xr:uid="{00000000-0005-0000-0000-0000073A0000}"/>
    <cellStyle name="Normal 2 2 3 3_01-04-2012" xfId="4750" xr:uid="{00000000-0005-0000-0000-0000083A0000}"/>
    <cellStyle name="Normal 2 2 3 30" xfId="17280" xr:uid="{00000000-0005-0000-0000-0000093A0000}"/>
    <cellStyle name="Normal 2 2 3 30 2" xfId="35521" xr:uid="{00000000-0005-0000-0000-00000A3A0000}"/>
    <cellStyle name="Normal 2 2 3 31" xfId="17281" xr:uid="{00000000-0005-0000-0000-00000B3A0000}"/>
    <cellStyle name="Normal 2 2 3 32" xfId="17282" xr:uid="{00000000-0005-0000-0000-00000C3A0000}"/>
    <cellStyle name="Normal 2 2 3 33" xfId="17283" xr:uid="{00000000-0005-0000-0000-00000D3A0000}"/>
    <cellStyle name="Normal 2 2 3 34" xfId="17284" xr:uid="{00000000-0005-0000-0000-00000E3A0000}"/>
    <cellStyle name="Normal 2 2 3 35" xfId="17285" xr:uid="{00000000-0005-0000-0000-00000F3A0000}"/>
    <cellStyle name="Normal 2 2 3 36" xfId="33638" xr:uid="{00000000-0005-0000-0000-0000103A0000}"/>
    <cellStyle name="Normal 2 2 3 4" xfId="4751" xr:uid="{00000000-0005-0000-0000-0000113A0000}"/>
    <cellStyle name="Normal 2 2 3 4 2" xfId="4752" xr:uid="{00000000-0005-0000-0000-0000123A0000}"/>
    <cellStyle name="Normal 2 2 3 4 2 2" xfId="4753" xr:uid="{00000000-0005-0000-0000-0000133A0000}"/>
    <cellStyle name="Normal 2 2 3 4 2 2 2" xfId="35522" xr:uid="{00000000-0005-0000-0000-0000143A0000}"/>
    <cellStyle name="Normal 2 2 3 4 2 3" xfId="4754" xr:uid="{00000000-0005-0000-0000-0000153A0000}"/>
    <cellStyle name="Normal 2 2 3 4 2 3 2" xfId="35523" xr:uid="{00000000-0005-0000-0000-0000163A0000}"/>
    <cellStyle name="Normal 2 2 3 4 2 4" xfId="4755" xr:uid="{00000000-0005-0000-0000-0000173A0000}"/>
    <cellStyle name="Normal 2 2 3 4 2 4 2" xfId="35524" xr:uid="{00000000-0005-0000-0000-0000183A0000}"/>
    <cellStyle name="Normal 2 2 3 4 2 5" xfId="35525" xr:uid="{00000000-0005-0000-0000-0000193A0000}"/>
    <cellStyle name="Normal 2 2 3 4 2_01-04-2012" xfId="4756" xr:uid="{00000000-0005-0000-0000-00001A3A0000}"/>
    <cellStyle name="Normal 2 2 3 4 3" xfId="4757" xr:uid="{00000000-0005-0000-0000-00001B3A0000}"/>
    <cellStyle name="Normal 2 2 3 4 3 2" xfId="4758" xr:uid="{00000000-0005-0000-0000-00001C3A0000}"/>
    <cellStyle name="Normal 2 2 3 4 3 2 2" xfId="35526" xr:uid="{00000000-0005-0000-0000-00001D3A0000}"/>
    <cellStyle name="Normal 2 2 3 4 3 3" xfId="4759" xr:uid="{00000000-0005-0000-0000-00001E3A0000}"/>
    <cellStyle name="Normal 2 2 3 4 3 3 2" xfId="35527" xr:uid="{00000000-0005-0000-0000-00001F3A0000}"/>
    <cellStyle name="Normal 2 2 3 4 3 4" xfId="4760" xr:uid="{00000000-0005-0000-0000-0000203A0000}"/>
    <cellStyle name="Normal 2 2 3 4 3 4 2" xfId="35528" xr:uid="{00000000-0005-0000-0000-0000213A0000}"/>
    <cellStyle name="Normal 2 2 3 4 3 5" xfId="35529" xr:uid="{00000000-0005-0000-0000-0000223A0000}"/>
    <cellStyle name="Normal 2 2 3 4 3_01-04-2012" xfId="4761" xr:uid="{00000000-0005-0000-0000-0000233A0000}"/>
    <cellStyle name="Normal 2 2 3 4 4" xfId="4762" xr:uid="{00000000-0005-0000-0000-0000243A0000}"/>
    <cellStyle name="Normal 2 2 3 4 4 2" xfId="4763" xr:uid="{00000000-0005-0000-0000-0000253A0000}"/>
    <cellStyle name="Normal 2 2 3 4 4 2 2" xfId="35530" xr:uid="{00000000-0005-0000-0000-0000263A0000}"/>
    <cellStyle name="Normal 2 2 3 4 4 3" xfId="4764" xr:uid="{00000000-0005-0000-0000-0000273A0000}"/>
    <cellStyle name="Normal 2 2 3 4 4 3 2" xfId="35531" xr:uid="{00000000-0005-0000-0000-0000283A0000}"/>
    <cellStyle name="Normal 2 2 3 4 4 4" xfId="4765" xr:uid="{00000000-0005-0000-0000-0000293A0000}"/>
    <cellStyle name="Normal 2 2 3 4 4 4 2" xfId="35532" xr:uid="{00000000-0005-0000-0000-00002A3A0000}"/>
    <cellStyle name="Normal 2 2 3 4 4 5" xfId="35533" xr:uid="{00000000-0005-0000-0000-00002B3A0000}"/>
    <cellStyle name="Normal 2 2 3 4 4_01-04-2012" xfId="4766" xr:uid="{00000000-0005-0000-0000-00002C3A0000}"/>
    <cellStyle name="Normal 2 2 3 4 5" xfId="4767" xr:uid="{00000000-0005-0000-0000-00002D3A0000}"/>
    <cellStyle name="Normal 2 2 3 4 5 2" xfId="35534" xr:uid="{00000000-0005-0000-0000-00002E3A0000}"/>
    <cellStyle name="Normal 2 2 3 4 6" xfId="4768" xr:uid="{00000000-0005-0000-0000-00002F3A0000}"/>
    <cellStyle name="Normal 2 2 3 4 6 2" xfId="35535" xr:uid="{00000000-0005-0000-0000-0000303A0000}"/>
    <cellStyle name="Normal 2 2 3 4 7" xfId="4769" xr:uid="{00000000-0005-0000-0000-0000313A0000}"/>
    <cellStyle name="Normal 2 2 3 4 7 2" xfId="35536" xr:uid="{00000000-0005-0000-0000-0000323A0000}"/>
    <cellStyle name="Normal 2 2 3 4 8" xfId="35537" xr:uid="{00000000-0005-0000-0000-0000333A0000}"/>
    <cellStyle name="Normal 2 2 3 4_01-04-2012" xfId="4770" xr:uid="{00000000-0005-0000-0000-0000343A0000}"/>
    <cellStyle name="Normal 2 2 3 5" xfId="4771" xr:uid="{00000000-0005-0000-0000-0000353A0000}"/>
    <cellStyle name="Normal 2 2 3 5 2" xfId="4772" xr:uid="{00000000-0005-0000-0000-0000363A0000}"/>
    <cellStyle name="Normal 2 2 3 5 2 2" xfId="35538" xr:uid="{00000000-0005-0000-0000-0000373A0000}"/>
    <cellStyle name="Normal 2 2 3 5 3" xfId="4773" xr:uid="{00000000-0005-0000-0000-0000383A0000}"/>
    <cellStyle name="Normal 2 2 3 5 3 2" xfId="35539" xr:uid="{00000000-0005-0000-0000-0000393A0000}"/>
    <cellStyle name="Normal 2 2 3 5 4" xfId="4774" xr:uid="{00000000-0005-0000-0000-00003A3A0000}"/>
    <cellStyle name="Normal 2 2 3 5 4 2" xfId="35540" xr:uid="{00000000-0005-0000-0000-00003B3A0000}"/>
    <cellStyle name="Normal 2 2 3 5 5" xfId="35541" xr:uid="{00000000-0005-0000-0000-00003C3A0000}"/>
    <cellStyle name="Normal 2 2 3 5_01-04-2012" xfId="4775" xr:uid="{00000000-0005-0000-0000-00003D3A0000}"/>
    <cellStyle name="Normal 2 2 3 6" xfId="4776" xr:uid="{00000000-0005-0000-0000-00003E3A0000}"/>
    <cellStyle name="Normal 2 2 3 6 2" xfId="4777" xr:uid="{00000000-0005-0000-0000-00003F3A0000}"/>
    <cellStyle name="Normal 2 2 3 6 2 2" xfId="35542" xr:uid="{00000000-0005-0000-0000-0000403A0000}"/>
    <cellStyle name="Normal 2 2 3 6 3" xfId="4778" xr:uid="{00000000-0005-0000-0000-0000413A0000}"/>
    <cellStyle name="Normal 2 2 3 6 3 2" xfId="35543" xr:uid="{00000000-0005-0000-0000-0000423A0000}"/>
    <cellStyle name="Normal 2 2 3 6 4" xfId="4779" xr:uid="{00000000-0005-0000-0000-0000433A0000}"/>
    <cellStyle name="Normal 2 2 3 6 4 2" xfId="35544" xr:uid="{00000000-0005-0000-0000-0000443A0000}"/>
    <cellStyle name="Normal 2 2 3 6 5" xfId="35545" xr:uid="{00000000-0005-0000-0000-0000453A0000}"/>
    <cellStyle name="Normal 2 2 3 6_01-04-2012" xfId="4780" xr:uid="{00000000-0005-0000-0000-0000463A0000}"/>
    <cellStyle name="Normal 2 2 3 7" xfId="4781" xr:uid="{00000000-0005-0000-0000-0000473A0000}"/>
    <cellStyle name="Normal 2 2 3 7 2" xfId="4782" xr:uid="{00000000-0005-0000-0000-0000483A0000}"/>
    <cellStyle name="Normal 2 2 3 7 2 2" xfId="35546" xr:uid="{00000000-0005-0000-0000-0000493A0000}"/>
    <cellStyle name="Normal 2 2 3 7 3" xfId="4783" xr:uid="{00000000-0005-0000-0000-00004A3A0000}"/>
    <cellStyle name="Normal 2 2 3 7 3 2" xfId="35547" xr:uid="{00000000-0005-0000-0000-00004B3A0000}"/>
    <cellStyle name="Normal 2 2 3 7 4" xfId="4784" xr:uid="{00000000-0005-0000-0000-00004C3A0000}"/>
    <cellStyle name="Normal 2 2 3 7 4 2" xfId="35548" xr:uid="{00000000-0005-0000-0000-00004D3A0000}"/>
    <cellStyle name="Normal 2 2 3 7 5" xfId="35549" xr:uid="{00000000-0005-0000-0000-00004E3A0000}"/>
    <cellStyle name="Normal 2 2 3 7_01-04-2012" xfId="4785" xr:uid="{00000000-0005-0000-0000-00004F3A0000}"/>
    <cellStyle name="Normal 2 2 3 8" xfId="4786" xr:uid="{00000000-0005-0000-0000-0000503A0000}"/>
    <cellStyle name="Normal 2 2 3 8 2" xfId="4787" xr:uid="{00000000-0005-0000-0000-0000513A0000}"/>
    <cellStyle name="Normal 2 2 3 8 2 2" xfId="35550" xr:uid="{00000000-0005-0000-0000-0000523A0000}"/>
    <cellStyle name="Normal 2 2 3 8 3" xfId="4788" xr:uid="{00000000-0005-0000-0000-0000533A0000}"/>
    <cellStyle name="Normal 2 2 3 8 3 2" xfId="35551" xr:uid="{00000000-0005-0000-0000-0000543A0000}"/>
    <cellStyle name="Normal 2 2 3 8 4" xfId="4789" xr:uid="{00000000-0005-0000-0000-0000553A0000}"/>
    <cellStyle name="Normal 2 2 3 8 4 2" xfId="35552" xr:uid="{00000000-0005-0000-0000-0000563A0000}"/>
    <cellStyle name="Normal 2 2 3 8 5" xfId="35553" xr:uid="{00000000-0005-0000-0000-0000573A0000}"/>
    <cellStyle name="Normal 2 2 3 8_01-04-2012" xfId="4790" xr:uid="{00000000-0005-0000-0000-0000583A0000}"/>
    <cellStyle name="Normal 2 2 3 9" xfId="4791" xr:uid="{00000000-0005-0000-0000-0000593A0000}"/>
    <cellStyle name="Normal 2 2 3 9 2" xfId="4792" xr:uid="{00000000-0005-0000-0000-00005A3A0000}"/>
    <cellStyle name="Normal 2 2 3 9 2 2" xfId="35554" xr:uid="{00000000-0005-0000-0000-00005B3A0000}"/>
    <cellStyle name="Normal 2 2 3 9 3" xfId="4793" xr:uid="{00000000-0005-0000-0000-00005C3A0000}"/>
    <cellStyle name="Normal 2 2 3 9 3 2" xfId="35555" xr:uid="{00000000-0005-0000-0000-00005D3A0000}"/>
    <cellStyle name="Normal 2 2 3 9 4" xfId="4794" xr:uid="{00000000-0005-0000-0000-00005E3A0000}"/>
    <cellStyle name="Normal 2 2 3 9 4 2" xfId="35556" xr:uid="{00000000-0005-0000-0000-00005F3A0000}"/>
    <cellStyle name="Normal 2 2 3 9 5" xfId="35557" xr:uid="{00000000-0005-0000-0000-0000603A0000}"/>
    <cellStyle name="Normal 2 2 3 9_01-04-2012" xfId="4795" xr:uid="{00000000-0005-0000-0000-0000613A0000}"/>
    <cellStyle name="Normal 2 2 3_01-04-2012" xfId="4796" xr:uid="{00000000-0005-0000-0000-0000623A0000}"/>
    <cellStyle name="Normal 2 2 30" xfId="4797" xr:uid="{00000000-0005-0000-0000-0000633A0000}"/>
    <cellStyle name="Normal 2 2 30 2" xfId="17286" xr:uid="{00000000-0005-0000-0000-0000643A0000}"/>
    <cellStyle name="Normal 2 2 30 3" xfId="17287" xr:uid="{00000000-0005-0000-0000-0000653A0000}"/>
    <cellStyle name="Normal 2 2 30 4" xfId="17288" xr:uid="{00000000-0005-0000-0000-0000663A0000}"/>
    <cellStyle name="Normal 2 2 30 5" xfId="17289" xr:uid="{00000000-0005-0000-0000-0000673A0000}"/>
    <cellStyle name="Normal 2 2 30 6" xfId="17290" xr:uid="{00000000-0005-0000-0000-0000683A0000}"/>
    <cellStyle name="Normal 2 2 30 7" xfId="17291" xr:uid="{00000000-0005-0000-0000-0000693A0000}"/>
    <cellStyle name="Normal 2 2 30 8" xfId="17292" xr:uid="{00000000-0005-0000-0000-00006A3A0000}"/>
    <cellStyle name="Normal 2 2 31" xfId="4798" xr:uid="{00000000-0005-0000-0000-00006B3A0000}"/>
    <cellStyle name="Normal 2 2 31 2" xfId="17293" xr:uid="{00000000-0005-0000-0000-00006C3A0000}"/>
    <cellStyle name="Normal 2 2 31 3" xfId="17294" xr:uid="{00000000-0005-0000-0000-00006D3A0000}"/>
    <cellStyle name="Normal 2 2 31 4" xfId="17295" xr:uid="{00000000-0005-0000-0000-00006E3A0000}"/>
    <cellStyle name="Normal 2 2 31 5" xfId="17296" xr:uid="{00000000-0005-0000-0000-00006F3A0000}"/>
    <cellStyle name="Normal 2 2 31 6" xfId="17297" xr:uid="{00000000-0005-0000-0000-0000703A0000}"/>
    <cellStyle name="Normal 2 2 31 7" xfId="17298" xr:uid="{00000000-0005-0000-0000-0000713A0000}"/>
    <cellStyle name="Normal 2 2 31 8" xfId="17299" xr:uid="{00000000-0005-0000-0000-0000723A0000}"/>
    <cellStyle name="Normal 2 2 32" xfId="4799" xr:uid="{00000000-0005-0000-0000-0000733A0000}"/>
    <cellStyle name="Normal 2 2 32 2" xfId="4800" xr:uid="{00000000-0005-0000-0000-0000743A0000}"/>
    <cellStyle name="Normal 2 2 32 2 2" xfId="17300" xr:uid="{00000000-0005-0000-0000-0000753A0000}"/>
    <cellStyle name="Normal 2 2 32 2 2 2" xfId="35558" xr:uid="{00000000-0005-0000-0000-0000763A0000}"/>
    <cellStyle name="Normal 2 2 32 3" xfId="4801" xr:uid="{00000000-0005-0000-0000-0000773A0000}"/>
    <cellStyle name="Normal 2 2 32 3 2" xfId="17301" xr:uid="{00000000-0005-0000-0000-0000783A0000}"/>
    <cellStyle name="Normal 2 2 32 3 2 2" xfId="35559" xr:uid="{00000000-0005-0000-0000-0000793A0000}"/>
    <cellStyle name="Normal 2 2 32 4" xfId="4802" xr:uid="{00000000-0005-0000-0000-00007A3A0000}"/>
    <cellStyle name="Normal 2 2 32 4 2" xfId="17302" xr:uid="{00000000-0005-0000-0000-00007B3A0000}"/>
    <cellStyle name="Normal 2 2 32 4 2 2" xfId="35560" xr:uid="{00000000-0005-0000-0000-00007C3A0000}"/>
    <cellStyle name="Normal 2 2 32 5" xfId="17303" xr:uid="{00000000-0005-0000-0000-00007D3A0000}"/>
    <cellStyle name="Normal 2 2 32 5 2" xfId="35561" xr:uid="{00000000-0005-0000-0000-00007E3A0000}"/>
    <cellStyle name="Normal 2 2 32 6" xfId="17304" xr:uid="{00000000-0005-0000-0000-00007F3A0000}"/>
    <cellStyle name="Normal 2 2 32 7" xfId="17305" xr:uid="{00000000-0005-0000-0000-0000803A0000}"/>
    <cellStyle name="Normal 2 2 32 8" xfId="17306" xr:uid="{00000000-0005-0000-0000-0000813A0000}"/>
    <cellStyle name="Normal 2 2 32_01-04-2012" xfId="4803" xr:uid="{00000000-0005-0000-0000-0000823A0000}"/>
    <cellStyle name="Normal 2 2 33" xfId="4804" xr:uid="{00000000-0005-0000-0000-0000833A0000}"/>
    <cellStyle name="Normal 2 2 33 2" xfId="17307" xr:uid="{00000000-0005-0000-0000-0000843A0000}"/>
    <cellStyle name="Normal 2 2 33 3" xfId="17308" xr:uid="{00000000-0005-0000-0000-0000853A0000}"/>
    <cellStyle name="Normal 2 2 33 4" xfId="17309" xr:uid="{00000000-0005-0000-0000-0000863A0000}"/>
    <cellStyle name="Normal 2 2 33 5" xfId="17310" xr:uid="{00000000-0005-0000-0000-0000873A0000}"/>
    <cellStyle name="Normal 2 2 33 6" xfId="17311" xr:uid="{00000000-0005-0000-0000-0000883A0000}"/>
    <cellStyle name="Normal 2 2 33 7" xfId="17312" xr:uid="{00000000-0005-0000-0000-0000893A0000}"/>
    <cellStyle name="Normal 2 2 33 8" xfId="17313" xr:uid="{00000000-0005-0000-0000-00008A3A0000}"/>
    <cellStyle name="Normal 2 2 34" xfId="4805" xr:uid="{00000000-0005-0000-0000-00008B3A0000}"/>
    <cellStyle name="Normal 2 2 34 2" xfId="17314" xr:uid="{00000000-0005-0000-0000-00008C3A0000}"/>
    <cellStyle name="Normal 2 2 34 3" xfId="17315" xr:uid="{00000000-0005-0000-0000-00008D3A0000}"/>
    <cellStyle name="Normal 2 2 34 4" xfId="17316" xr:uid="{00000000-0005-0000-0000-00008E3A0000}"/>
    <cellStyle name="Normal 2 2 34 5" xfId="17317" xr:uid="{00000000-0005-0000-0000-00008F3A0000}"/>
    <cellStyle name="Normal 2 2 34 6" xfId="17318" xr:uid="{00000000-0005-0000-0000-0000903A0000}"/>
    <cellStyle name="Normal 2 2 34 7" xfId="17319" xr:uid="{00000000-0005-0000-0000-0000913A0000}"/>
    <cellStyle name="Normal 2 2 34 8" xfId="17320" xr:uid="{00000000-0005-0000-0000-0000923A0000}"/>
    <cellStyle name="Normal 2 2 35" xfId="4806" xr:uid="{00000000-0005-0000-0000-0000933A0000}"/>
    <cellStyle name="Normal 2 2 35 2" xfId="17321" xr:uid="{00000000-0005-0000-0000-0000943A0000}"/>
    <cellStyle name="Normal 2 2 35 3" xfId="17322" xr:uid="{00000000-0005-0000-0000-0000953A0000}"/>
    <cellStyle name="Normal 2 2 35 4" xfId="17323" xr:uid="{00000000-0005-0000-0000-0000963A0000}"/>
    <cellStyle name="Normal 2 2 35 5" xfId="17324" xr:uid="{00000000-0005-0000-0000-0000973A0000}"/>
    <cellStyle name="Normal 2 2 35 6" xfId="17325" xr:uid="{00000000-0005-0000-0000-0000983A0000}"/>
    <cellStyle name="Normal 2 2 35 7" xfId="17326" xr:uid="{00000000-0005-0000-0000-0000993A0000}"/>
    <cellStyle name="Normal 2 2 35 8" xfId="17327" xr:uid="{00000000-0005-0000-0000-00009A3A0000}"/>
    <cellStyle name="Normal 2 2 36" xfId="4807" xr:uid="{00000000-0005-0000-0000-00009B3A0000}"/>
    <cellStyle name="Normal 2 2 36 2" xfId="17328" xr:uid="{00000000-0005-0000-0000-00009C3A0000}"/>
    <cellStyle name="Normal 2 2 36 3" xfId="17329" xr:uid="{00000000-0005-0000-0000-00009D3A0000}"/>
    <cellStyle name="Normal 2 2 36 4" xfId="17330" xr:uid="{00000000-0005-0000-0000-00009E3A0000}"/>
    <cellStyle name="Normal 2 2 36 5" xfId="17331" xr:uid="{00000000-0005-0000-0000-00009F3A0000}"/>
    <cellStyle name="Normal 2 2 36 6" xfId="17332" xr:uid="{00000000-0005-0000-0000-0000A03A0000}"/>
    <cellStyle name="Normal 2 2 36 7" xfId="17333" xr:uid="{00000000-0005-0000-0000-0000A13A0000}"/>
    <cellStyle name="Normal 2 2 36 8" xfId="17334" xr:uid="{00000000-0005-0000-0000-0000A23A0000}"/>
    <cellStyle name="Normal 2 2 37" xfId="4808" xr:uid="{00000000-0005-0000-0000-0000A33A0000}"/>
    <cellStyle name="Normal 2 2 37 2" xfId="17335" xr:uid="{00000000-0005-0000-0000-0000A43A0000}"/>
    <cellStyle name="Normal 2 2 37 3" xfId="17336" xr:uid="{00000000-0005-0000-0000-0000A53A0000}"/>
    <cellStyle name="Normal 2 2 37 4" xfId="17337" xr:uid="{00000000-0005-0000-0000-0000A63A0000}"/>
    <cellStyle name="Normal 2 2 37 5" xfId="17338" xr:uid="{00000000-0005-0000-0000-0000A73A0000}"/>
    <cellStyle name="Normal 2 2 37 6" xfId="17339" xr:uid="{00000000-0005-0000-0000-0000A83A0000}"/>
    <cellStyle name="Normal 2 2 37 7" xfId="17340" xr:uid="{00000000-0005-0000-0000-0000A93A0000}"/>
    <cellStyle name="Normal 2 2 37 8" xfId="17341" xr:uid="{00000000-0005-0000-0000-0000AA3A0000}"/>
    <cellStyle name="Normal 2 2 38" xfId="4809" xr:uid="{00000000-0005-0000-0000-0000AB3A0000}"/>
    <cellStyle name="Normal 2 2 38 2" xfId="17342" xr:uid="{00000000-0005-0000-0000-0000AC3A0000}"/>
    <cellStyle name="Normal 2 2 39" xfId="4810" xr:uid="{00000000-0005-0000-0000-0000AD3A0000}"/>
    <cellStyle name="Normal 2 2 39 2" xfId="17343" xr:uid="{00000000-0005-0000-0000-0000AE3A0000}"/>
    <cellStyle name="Normal 2 2 4" xfId="4811" xr:uid="{00000000-0005-0000-0000-0000AF3A0000}"/>
    <cellStyle name="Normal 2 2 4 10" xfId="4812" xr:uid="{00000000-0005-0000-0000-0000B03A0000}"/>
    <cellStyle name="Normal 2 2 4 11" xfId="4813" xr:uid="{00000000-0005-0000-0000-0000B13A0000}"/>
    <cellStyle name="Normal 2 2 4 12" xfId="4814" xr:uid="{00000000-0005-0000-0000-0000B23A0000}"/>
    <cellStyle name="Normal 2 2 4 13" xfId="4815" xr:uid="{00000000-0005-0000-0000-0000B33A0000}"/>
    <cellStyle name="Normal 2 2 4 14" xfId="4816" xr:uid="{00000000-0005-0000-0000-0000B43A0000}"/>
    <cellStyle name="Normal 2 2 4 15" xfId="4817" xr:uid="{00000000-0005-0000-0000-0000B53A0000}"/>
    <cellStyle name="Normal 2 2 4 16" xfId="4818" xr:uid="{00000000-0005-0000-0000-0000B63A0000}"/>
    <cellStyle name="Normal 2 2 4 17" xfId="4819" xr:uid="{00000000-0005-0000-0000-0000B73A0000}"/>
    <cellStyle name="Normal 2 2 4 18" xfId="4820" xr:uid="{00000000-0005-0000-0000-0000B83A0000}"/>
    <cellStyle name="Normal 2 2 4 19" xfId="4821" xr:uid="{00000000-0005-0000-0000-0000B93A0000}"/>
    <cellStyle name="Normal 2 2 4 2" xfId="4822" xr:uid="{00000000-0005-0000-0000-0000BA3A0000}"/>
    <cellStyle name="Normal 2 2 4 2 2" xfId="4823" xr:uid="{00000000-0005-0000-0000-0000BB3A0000}"/>
    <cellStyle name="Normal 2 2 4 2 2 2" xfId="4824" xr:uid="{00000000-0005-0000-0000-0000BC3A0000}"/>
    <cellStyle name="Normal 2 2 4 2 2 2 2" xfId="35562" xr:uid="{00000000-0005-0000-0000-0000BD3A0000}"/>
    <cellStyle name="Normal 2 2 4 2 2 3" xfId="4825" xr:uid="{00000000-0005-0000-0000-0000BE3A0000}"/>
    <cellStyle name="Normal 2 2 4 2 2 3 2" xfId="35563" xr:uid="{00000000-0005-0000-0000-0000BF3A0000}"/>
    <cellStyle name="Normal 2 2 4 2 2 4" xfId="4826" xr:uid="{00000000-0005-0000-0000-0000C03A0000}"/>
    <cellStyle name="Normal 2 2 4 2 2 4 2" xfId="35564" xr:uid="{00000000-0005-0000-0000-0000C13A0000}"/>
    <cellStyle name="Normal 2 2 4 2 2 5" xfId="17344" xr:uid="{00000000-0005-0000-0000-0000C23A0000}"/>
    <cellStyle name="Normal 2 2 4 2 2 5 2" xfId="35565" xr:uid="{00000000-0005-0000-0000-0000C33A0000}"/>
    <cellStyle name="Normal 2 2 4 2 2_01-04-2012" xfId="4827" xr:uid="{00000000-0005-0000-0000-0000C43A0000}"/>
    <cellStyle name="Normal 2 2 4 2 3" xfId="4828" xr:uid="{00000000-0005-0000-0000-0000C53A0000}"/>
    <cellStyle name="Normal 2 2 4 2 3 2" xfId="4829" xr:uid="{00000000-0005-0000-0000-0000C63A0000}"/>
    <cellStyle name="Normal 2 2 4 2 3 2 2" xfId="35566" xr:uid="{00000000-0005-0000-0000-0000C73A0000}"/>
    <cellStyle name="Normal 2 2 4 2 3 3" xfId="4830" xr:uid="{00000000-0005-0000-0000-0000C83A0000}"/>
    <cellStyle name="Normal 2 2 4 2 3 3 2" xfId="35567" xr:uid="{00000000-0005-0000-0000-0000C93A0000}"/>
    <cellStyle name="Normal 2 2 4 2 3 4" xfId="4831" xr:uid="{00000000-0005-0000-0000-0000CA3A0000}"/>
    <cellStyle name="Normal 2 2 4 2 3 4 2" xfId="35568" xr:uid="{00000000-0005-0000-0000-0000CB3A0000}"/>
    <cellStyle name="Normal 2 2 4 2 3 5" xfId="17345" xr:uid="{00000000-0005-0000-0000-0000CC3A0000}"/>
    <cellStyle name="Normal 2 2 4 2 3 5 2" xfId="35569" xr:uid="{00000000-0005-0000-0000-0000CD3A0000}"/>
    <cellStyle name="Normal 2 2 4 2 3_01-04-2012" xfId="4832" xr:uid="{00000000-0005-0000-0000-0000CE3A0000}"/>
    <cellStyle name="Normal 2 2 4 2 4" xfId="4833" xr:uid="{00000000-0005-0000-0000-0000CF3A0000}"/>
    <cellStyle name="Normal 2 2 4 2 4 2" xfId="4834" xr:uid="{00000000-0005-0000-0000-0000D03A0000}"/>
    <cellStyle name="Normal 2 2 4 2 4 2 2" xfId="35570" xr:uid="{00000000-0005-0000-0000-0000D13A0000}"/>
    <cellStyle name="Normal 2 2 4 2 4 3" xfId="4835" xr:uid="{00000000-0005-0000-0000-0000D23A0000}"/>
    <cellStyle name="Normal 2 2 4 2 4 3 2" xfId="35571" xr:uid="{00000000-0005-0000-0000-0000D33A0000}"/>
    <cellStyle name="Normal 2 2 4 2 4 4" xfId="4836" xr:uid="{00000000-0005-0000-0000-0000D43A0000}"/>
    <cellStyle name="Normal 2 2 4 2 4 4 2" xfId="35572" xr:uid="{00000000-0005-0000-0000-0000D53A0000}"/>
    <cellStyle name="Normal 2 2 4 2 4 5" xfId="17346" xr:uid="{00000000-0005-0000-0000-0000D63A0000}"/>
    <cellStyle name="Normal 2 2 4 2 4 5 2" xfId="35573" xr:uid="{00000000-0005-0000-0000-0000D73A0000}"/>
    <cellStyle name="Normal 2 2 4 2 4_01-04-2012" xfId="4837" xr:uid="{00000000-0005-0000-0000-0000D83A0000}"/>
    <cellStyle name="Normal 2 2 4 2 5" xfId="4838" xr:uid="{00000000-0005-0000-0000-0000D93A0000}"/>
    <cellStyle name="Normal 2 2 4 2 5 2" xfId="17347" xr:uid="{00000000-0005-0000-0000-0000DA3A0000}"/>
    <cellStyle name="Normal 2 2 4 2 5 2 2" xfId="35574" xr:uid="{00000000-0005-0000-0000-0000DB3A0000}"/>
    <cellStyle name="Normal 2 2 4 2 6" xfId="4839" xr:uid="{00000000-0005-0000-0000-0000DC3A0000}"/>
    <cellStyle name="Normal 2 2 4 2 6 2" xfId="17348" xr:uid="{00000000-0005-0000-0000-0000DD3A0000}"/>
    <cellStyle name="Normal 2 2 4 2 6 2 2" xfId="35575" xr:uid="{00000000-0005-0000-0000-0000DE3A0000}"/>
    <cellStyle name="Normal 2 2 4 2 7" xfId="4840" xr:uid="{00000000-0005-0000-0000-0000DF3A0000}"/>
    <cellStyle name="Normal 2 2 4 2 7 2" xfId="17349" xr:uid="{00000000-0005-0000-0000-0000E03A0000}"/>
    <cellStyle name="Normal 2 2 4 2 7 2 2" xfId="35576" xr:uid="{00000000-0005-0000-0000-0000E13A0000}"/>
    <cellStyle name="Normal 2 2 4 2 8" xfId="17350" xr:uid="{00000000-0005-0000-0000-0000E23A0000}"/>
    <cellStyle name="Normal 2 2 4 2 8 2" xfId="35577" xr:uid="{00000000-0005-0000-0000-0000E33A0000}"/>
    <cellStyle name="Normal 2 2 4 2_01-04-2012" xfId="4841" xr:uid="{00000000-0005-0000-0000-0000E43A0000}"/>
    <cellStyle name="Normal 2 2 4 20" xfId="4842" xr:uid="{00000000-0005-0000-0000-0000E53A0000}"/>
    <cellStyle name="Normal 2 2 4 21" xfId="4843" xr:uid="{00000000-0005-0000-0000-0000E63A0000}"/>
    <cellStyle name="Normal 2 2 4 22" xfId="4844" xr:uid="{00000000-0005-0000-0000-0000E73A0000}"/>
    <cellStyle name="Normal 2 2 4 23" xfId="4845" xr:uid="{00000000-0005-0000-0000-0000E83A0000}"/>
    <cellStyle name="Normal 2 2 4 24" xfId="4846" xr:uid="{00000000-0005-0000-0000-0000E93A0000}"/>
    <cellStyle name="Normal 2 2 4 25" xfId="4847" xr:uid="{00000000-0005-0000-0000-0000EA3A0000}"/>
    <cellStyle name="Normal 2 2 4 26" xfId="4848" xr:uid="{00000000-0005-0000-0000-0000EB3A0000}"/>
    <cellStyle name="Normal 2 2 4 26 2" xfId="35578" xr:uid="{00000000-0005-0000-0000-0000EC3A0000}"/>
    <cellStyle name="Normal 2 2 4 27" xfId="4849" xr:uid="{00000000-0005-0000-0000-0000ED3A0000}"/>
    <cellStyle name="Normal 2 2 4 27 2" xfId="35579" xr:uid="{00000000-0005-0000-0000-0000EE3A0000}"/>
    <cellStyle name="Normal 2 2 4 28" xfId="4850" xr:uid="{00000000-0005-0000-0000-0000EF3A0000}"/>
    <cellStyle name="Normal 2 2 4 28 2" xfId="35580" xr:uid="{00000000-0005-0000-0000-0000F03A0000}"/>
    <cellStyle name="Normal 2 2 4 29" xfId="4851" xr:uid="{00000000-0005-0000-0000-0000F13A0000}"/>
    <cellStyle name="Normal 2 2 4 29 2" xfId="35581" xr:uid="{00000000-0005-0000-0000-0000F23A0000}"/>
    <cellStyle name="Normal 2 2 4 3" xfId="4852" xr:uid="{00000000-0005-0000-0000-0000F33A0000}"/>
    <cellStyle name="Normal 2 2 4 3 10" xfId="17351" xr:uid="{00000000-0005-0000-0000-0000F43A0000}"/>
    <cellStyle name="Normal 2 2 4 3 2" xfId="4853" xr:uid="{00000000-0005-0000-0000-0000F53A0000}"/>
    <cellStyle name="Normal 2 2 4 3 2 2" xfId="4854" xr:uid="{00000000-0005-0000-0000-0000F63A0000}"/>
    <cellStyle name="Normal 2 2 4 3 2 2 2" xfId="35582" xr:uid="{00000000-0005-0000-0000-0000F73A0000}"/>
    <cellStyle name="Normal 2 2 4 3 2 3" xfId="4855" xr:uid="{00000000-0005-0000-0000-0000F83A0000}"/>
    <cellStyle name="Normal 2 2 4 3 2 3 2" xfId="35583" xr:uid="{00000000-0005-0000-0000-0000F93A0000}"/>
    <cellStyle name="Normal 2 2 4 3 2 4" xfId="4856" xr:uid="{00000000-0005-0000-0000-0000FA3A0000}"/>
    <cellStyle name="Normal 2 2 4 3 2 4 2" xfId="35584" xr:uid="{00000000-0005-0000-0000-0000FB3A0000}"/>
    <cellStyle name="Normal 2 2 4 3 2 5" xfId="35585" xr:uid="{00000000-0005-0000-0000-0000FC3A0000}"/>
    <cellStyle name="Normal 2 2 4 3 2_01-04-2012" xfId="4857" xr:uid="{00000000-0005-0000-0000-0000FD3A0000}"/>
    <cellStyle name="Normal 2 2 4 3 3" xfId="4858" xr:uid="{00000000-0005-0000-0000-0000FE3A0000}"/>
    <cellStyle name="Normal 2 2 4 3 3 2" xfId="4859" xr:uid="{00000000-0005-0000-0000-0000FF3A0000}"/>
    <cellStyle name="Normal 2 2 4 3 3 2 2" xfId="35586" xr:uid="{00000000-0005-0000-0000-0000003B0000}"/>
    <cellStyle name="Normal 2 2 4 3 3 3" xfId="4860" xr:uid="{00000000-0005-0000-0000-0000013B0000}"/>
    <cellStyle name="Normal 2 2 4 3 3 3 2" xfId="35587" xr:uid="{00000000-0005-0000-0000-0000023B0000}"/>
    <cellStyle name="Normal 2 2 4 3 3 4" xfId="4861" xr:uid="{00000000-0005-0000-0000-0000033B0000}"/>
    <cellStyle name="Normal 2 2 4 3 3 4 2" xfId="35588" xr:uid="{00000000-0005-0000-0000-0000043B0000}"/>
    <cellStyle name="Normal 2 2 4 3 3 5" xfId="35589" xr:uid="{00000000-0005-0000-0000-0000053B0000}"/>
    <cellStyle name="Normal 2 2 4 3 3_01-04-2012" xfId="4862" xr:uid="{00000000-0005-0000-0000-0000063B0000}"/>
    <cellStyle name="Normal 2 2 4 3 4" xfId="4863" xr:uid="{00000000-0005-0000-0000-0000073B0000}"/>
    <cellStyle name="Normal 2 2 4 3 4 2" xfId="4864" xr:uid="{00000000-0005-0000-0000-0000083B0000}"/>
    <cellStyle name="Normal 2 2 4 3 4 2 2" xfId="35590" xr:uid="{00000000-0005-0000-0000-0000093B0000}"/>
    <cellStyle name="Normal 2 2 4 3 4 3" xfId="4865" xr:uid="{00000000-0005-0000-0000-00000A3B0000}"/>
    <cellStyle name="Normal 2 2 4 3 4 3 2" xfId="35591" xr:uid="{00000000-0005-0000-0000-00000B3B0000}"/>
    <cellStyle name="Normal 2 2 4 3 4 4" xfId="4866" xr:uid="{00000000-0005-0000-0000-00000C3B0000}"/>
    <cellStyle name="Normal 2 2 4 3 4 4 2" xfId="35592" xr:uid="{00000000-0005-0000-0000-00000D3B0000}"/>
    <cellStyle name="Normal 2 2 4 3 4 5" xfId="35593" xr:uid="{00000000-0005-0000-0000-00000E3B0000}"/>
    <cellStyle name="Normal 2 2 4 3 4_01-04-2012" xfId="4867" xr:uid="{00000000-0005-0000-0000-00000F3B0000}"/>
    <cellStyle name="Normal 2 2 4 3 5" xfId="4868" xr:uid="{00000000-0005-0000-0000-0000103B0000}"/>
    <cellStyle name="Normal 2 2 4 3 5 2" xfId="35594" xr:uid="{00000000-0005-0000-0000-0000113B0000}"/>
    <cellStyle name="Normal 2 2 4 3 6" xfId="4869" xr:uid="{00000000-0005-0000-0000-0000123B0000}"/>
    <cellStyle name="Normal 2 2 4 3 6 2" xfId="35595" xr:uid="{00000000-0005-0000-0000-0000133B0000}"/>
    <cellStyle name="Normal 2 2 4 3 7" xfId="4870" xr:uid="{00000000-0005-0000-0000-0000143B0000}"/>
    <cellStyle name="Normal 2 2 4 3 7 2" xfId="35596" xr:uid="{00000000-0005-0000-0000-0000153B0000}"/>
    <cellStyle name="Normal 2 2 4 3 8" xfId="17352" xr:uid="{00000000-0005-0000-0000-0000163B0000}"/>
    <cellStyle name="Normal 2 2 4 3 8 2" xfId="35597" xr:uid="{00000000-0005-0000-0000-0000173B0000}"/>
    <cellStyle name="Normal 2 2 4 3 9" xfId="17353" xr:uid="{00000000-0005-0000-0000-0000183B0000}"/>
    <cellStyle name="Normal 2 2 4 3_01-04-2012" xfId="4871" xr:uid="{00000000-0005-0000-0000-0000193B0000}"/>
    <cellStyle name="Normal 2 2 4 30" xfId="17354" xr:uid="{00000000-0005-0000-0000-00001A3B0000}"/>
    <cellStyle name="Normal 2 2 4 30 2" xfId="35598" xr:uid="{00000000-0005-0000-0000-00001B3B0000}"/>
    <cellStyle name="Normal 2 2 4 4" xfId="4872" xr:uid="{00000000-0005-0000-0000-00001C3B0000}"/>
    <cellStyle name="Normal 2 2 4 4 10" xfId="17355" xr:uid="{00000000-0005-0000-0000-00001D3B0000}"/>
    <cellStyle name="Normal 2 2 4 4 2" xfId="4873" xr:uid="{00000000-0005-0000-0000-00001E3B0000}"/>
    <cellStyle name="Normal 2 2 4 4 2 2" xfId="4874" xr:uid="{00000000-0005-0000-0000-00001F3B0000}"/>
    <cellStyle name="Normal 2 2 4 4 2 2 2" xfId="35599" xr:uid="{00000000-0005-0000-0000-0000203B0000}"/>
    <cellStyle name="Normal 2 2 4 4 2 3" xfId="4875" xr:uid="{00000000-0005-0000-0000-0000213B0000}"/>
    <cellStyle name="Normal 2 2 4 4 2 3 2" xfId="35600" xr:uid="{00000000-0005-0000-0000-0000223B0000}"/>
    <cellStyle name="Normal 2 2 4 4 2 4" xfId="4876" xr:uid="{00000000-0005-0000-0000-0000233B0000}"/>
    <cellStyle name="Normal 2 2 4 4 2 4 2" xfId="35601" xr:uid="{00000000-0005-0000-0000-0000243B0000}"/>
    <cellStyle name="Normal 2 2 4 4 2 5" xfId="35602" xr:uid="{00000000-0005-0000-0000-0000253B0000}"/>
    <cellStyle name="Normal 2 2 4 4 2_01-04-2012" xfId="4877" xr:uid="{00000000-0005-0000-0000-0000263B0000}"/>
    <cellStyle name="Normal 2 2 4 4 3" xfId="4878" xr:uid="{00000000-0005-0000-0000-0000273B0000}"/>
    <cellStyle name="Normal 2 2 4 4 3 2" xfId="4879" xr:uid="{00000000-0005-0000-0000-0000283B0000}"/>
    <cellStyle name="Normal 2 2 4 4 3 2 2" xfId="35603" xr:uid="{00000000-0005-0000-0000-0000293B0000}"/>
    <cellStyle name="Normal 2 2 4 4 3 3" xfId="4880" xr:uid="{00000000-0005-0000-0000-00002A3B0000}"/>
    <cellStyle name="Normal 2 2 4 4 3 3 2" xfId="35604" xr:uid="{00000000-0005-0000-0000-00002B3B0000}"/>
    <cellStyle name="Normal 2 2 4 4 3 4" xfId="4881" xr:uid="{00000000-0005-0000-0000-00002C3B0000}"/>
    <cellStyle name="Normal 2 2 4 4 3 4 2" xfId="35605" xr:uid="{00000000-0005-0000-0000-00002D3B0000}"/>
    <cellStyle name="Normal 2 2 4 4 3 5" xfId="35606" xr:uid="{00000000-0005-0000-0000-00002E3B0000}"/>
    <cellStyle name="Normal 2 2 4 4 3_01-04-2012" xfId="4882" xr:uid="{00000000-0005-0000-0000-00002F3B0000}"/>
    <cellStyle name="Normal 2 2 4 4 4" xfId="4883" xr:uid="{00000000-0005-0000-0000-0000303B0000}"/>
    <cellStyle name="Normal 2 2 4 4 4 2" xfId="4884" xr:uid="{00000000-0005-0000-0000-0000313B0000}"/>
    <cellStyle name="Normal 2 2 4 4 4 2 2" xfId="35607" xr:uid="{00000000-0005-0000-0000-0000323B0000}"/>
    <cellStyle name="Normal 2 2 4 4 4 3" xfId="4885" xr:uid="{00000000-0005-0000-0000-0000333B0000}"/>
    <cellStyle name="Normal 2 2 4 4 4 3 2" xfId="35608" xr:uid="{00000000-0005-0000-0000-0000343B0000}"/>
    <cellStyle name="Normal 2 2 4 4 4 4" xfId="4886" xr:uid="{00000000-0005-0000-0000-0000353B0000}"/>
    <cellStyle name="Normal 2 2 4 4 4 4 2" xfId="35609" xr:uid="{00000000-0005-0000-0000-0000363B0000}"/>
    <cellStyle name="Normal 2 2 4 4 4 5" xfId="35610" xr:uid="{00000000-0005-0000-0000-0000373B0000}"/>
    <cellStyle name="Normal 2 2 4 4 4_01-04-2012" xfId="4887" xr:uid="{00000000-0005-0000-0000-0000383B0000}"/>
    <cellStyle name="Normal 2 2 4 4 5" xfId="4888" xr:uid="{00000000-0005-0000-0000-0000393B0000}"/>
    <cellStyle name="Normal 2 2 4 4 5 2" xfId="35611" xr:uid="{00000000-0005-0000-0000-00003A3B0000}"/>
    <cellStyle name="Normal 2 2 4 4 6" xfId="4889" xr:uid="{00000000-0005-0000-0000-00003B3B0000}"/>
    <cellStyle name="Normal 2 2 4 4 6 2" xfId="35612" xr:uid="{00000000-0005-0000-0000-00003C3B0000}"/>
    <cellStyle name="Normal 2 2 4 4 7" xfId="4890" xr:uid="{00000000-0005-0000-0000-00003D3B0000}"/>
    <cellStyle name="Normal 2 2 4 4 7 2" xfId="35613" xr:uid="{00000000-0005-0000-0000-00003E3B0000}"/>
    <cellStyle name="Normal 2 2 4 4 8" xfId="17356" xr:uid="{00000000-0005-0000-0000-00003F3B0000}"/>
    <cellStyle name="Normal 2 2 4 4 8 2" xfId="35614" xr:uid="{00000000-0005-0000-0000-0000403B0000}"/>
    <cellStyle name="Normal 2 2 4 4 9" xfId="17357" xr:uid="{00000000-0005-0000-0000-0000413B0000}"/>
    <cellStyle name="Normal 2 2 4 4_01-04-2012" xfId="4891" xr:uid="{00000000-0005-0000-0000-0000423B0000}"/>
    <cellStyle name="Normal 2 2 4 5" xfId="4892" xr:uid="{00000000-0005-0000-0000-0000433B0000}"/>
    <cellStyle name="Normal 2 2 4 5 2" xfId="4893" xr:uid="{00000000-0005-0000-0000-0000443B0000}"/>
    <cellStyle name="Normal 2 2 4 5 2 2" xfId="35615" xr:uid="{00000000-0005-0000-0000-0000453B0000}"/>
    <cellStyle name="Normal 2 2 4 5 3" xfId="4894" xr:uid="{00000000-0005-0000-0000-0000463B0000}"/>
    <cellStyle name="Normal 2 2 4 5 3 2" xfId="35616" xr:uid="{00000000-0005-0000-0000-0000473B0000}"/>
    <cellStyle name="Normal 2 2 4 5 4" xfId="4895" xr:uid="{00000000-0005-0000-0000-0000483B0000}"/>
    <cellStyle name="Normal 2 2 4 5 4 2" xfId="35617" xr:uid="{00000000-0005-0000-0000-0000493B0000}"/>
    <cellStyle name="Normal 2 2 4 5 5" xfId="17358" xr:uid="{00000000-0005-0000-0000-00004A3B0000}"/>
    <cellStyle name="Normal 2 2 4 5 5 2" xfId="35618" xr:uid="{00000000-0005-0000-0000-00004B3B0000}"/>
    <cellStyle name="Normal 2 2 4 5_01-04-2012" xfId="4896" xr:uid="{00000000-0005-0000-0000-00004C3B0000}"/>
    <cellStyle name="Normal 2 2 4 6" xfId="4897" xr:uid="{00000000-0005-0000-0000-00004D3B0000}"/>
    <cellStyle name="Normal 2 2 4 6 2" xfId="4898" xr:uid="{00000000-0005-0000-0000-00004E3B0000}"/>
    <cellStyle name="Normal 2 2 4 6 2 2" xfId="35619" xr:uid="{00000000-0005-0000-0000-00004F3B0000}"/>
    <cellStyle name="Normal 2 2 4 6 3" xfId="4899" xr:uid="{00000000-0005-0000-0000-0000503B0000}"/>
    <cellStyle name="Normal 2 2 4 6 3 2" xfId="35620" xr:uid="{00000000-0005-0000-0000-0000513B0000}"/>
    <cellStyle name="Normal 2 2 4 6 4" xfId="4900" xr:uid="{00000000-0005-0000-0000-0000523B0000}"/>
    <cellStyle name="Normal 2 2 4 6 4 2" xfId="35621" xr:uid="{00000000-0005-0000-0000-0000533B0000}"/>
    <cellStyle name="Normal 2 2 4 6 5" xfId="17359" xr:uid="{00000000-0005-0000-0000-0000543B0000}"/>
    <cellStyle name="Normal 2 2 4 6 5 2" xfId="35622" xr:uid="{00000000-0005-0000-0000-0000553B0000}"/>
    <cellStyle name="Normal 2 2 4 6_01-04-2012" xfId="4901" xr:uid="{00000000-0005-0000-0000-0000563B0000}"/>
    <cellStyle name="Normal 2 2 4 7" xfId="4902" xr:uid="{00000000-0005-0000-0000-0000573B0000}"/>
    <cellStyle name="Normal 2 2 4 7 2" xfId="4903" xr:uid="{00000000-0005-0000-0000-0000583B0000}"/>
    <cellStyle name="Normal 2 2 4 7 2 2" xfId="35623" xr:uid="{00000000-0005-0000-0000-0000593B0000}"/>
    <cellStyle name="Normal 2 2 4 7 3" xfId="4904" xr:uid="{00000000-0005-0000-0000-00005A3B0000}"/>
    <cellStyle name="Normal 2 2 4 7 3 2" xfId="35624" xr:uid="{00000000-0005-0000-0000-00005B3B0000}"/>
    <cellStyle name="Normal 2 2 4 7 4" xfId="4905" xr:uid="{00000000-0005-0000-0000-00005C3B0000}"/>
    <cellStyle name="Normal 2 2 4 7 4 2" xfId="35625" xr:uid="{00000000-0005-0000-0000-00005D3B0000}"/>
    <cellStyle name="Normal 2 2 4 7 5" xfId="17360" xr:uid="{00000000-0005-0000-0000-00005E3B0000}"/>
    <cellStyle name="Normal 2 2 4 7 5 2" xfId="35626" xr:uid="{00000000-0005-0000-0000-00005F3B0000}"/>
    <cellStyle name="Normal 2 2 4 7_01-04-2012" xfId="4906" xr:uid="{00000000-0005-0000-0000-0000603B0000}"/>
    <cellStyle name="Normal 2 2 4 8" xfId="4907" xr:uid="{00000000-0005-0000-0000-0000613B0000}"/>
    <cellStyle name="Normal 2 2 4 8 2" xfId="4908" xr:uid="{00000000-0005-0000-0000-0000623B0000}"/>
    <cellStyle name="Normal 2 2 4 8 2 2" xfId="35627" xr:uid="{00000000-0005-0000-0000-0000633B0000}"/>
    <cellStyle name="Normal 2 2 4 8 3" xfId="4909" xr:uid="{00000000-0005-0000-0000-0000643B0000}"/>
    <cellStyle name="Normal 2 2 4 8 3 2" xfId="35628" xr:uid="{00000000-0005-0000-0000-0000653B0000}"/>
    <cellStyle name="Normal 2 2 4 8 4" xfId="4910" xr:uid="{00000000-0005-0000-0000-0000663B0000}"/>
    <cellStyle name="Normal 2 2 4 8 4 2" xfId="35629" xr:uid="{00000000-0005-0000-0000-0000673B0000}"/>
    <cellStyle name="Normal 2 2 4 8 5" xfId="17361" xr:uid="{00000000-0005-0000-0000-0000683B0000}"/>
    <cellStyle name="Normal 2 2 4 8 5 2" xfId="35630" xr:uid="{00000000-0005-0000-0000-0000693B0000}"/>
    <cellStyle name="Normal 2 2 4 8_01-04-2012" xfId="4911" xr:uid="{00000000-0005-0000-0000-00006A3B0000}"/>
    <cellStyle name="Normal 2 2 4 9" xfId="4912" xr:uid="{00000000-0005-0000-0000-00006B3B0000}"/>
    <cellStyle name="Normal 2 2 4 9 2" xfId="4913" xr:uid="{00000000-0005-0000-0000-00006C3B0000}"/>
    <cellStyle name="Normal 2 2 4 9 2 2" xfId="35631" xr:uid="{00000000-0005-0000-0000-00006D3B0000}"/>
    <cellStyle name="Normal 2 2 4 9 3" xfId="4914" xr:uid="{00000000-0005-0000-0000-00006E3B0000}"/>
    <cellStyle name="Normal 2 2 4 9 3 2" xfId="35632" xr:uid="{00000000-0005-0000-0000-00006F3B0000}"/>
    <cellStyle name="Normal 2 2 4 9 4" xfId="4915" xr:uid="{00000000-0005-0000-0000-0000703B0000}"/>
    <cellStyle name="Normal 2 2 4 9 4 2" xfId="35633" xr:uid="{00000000-0005-0000-0000-0000713B0000}"/>
    <cellStyle name="Normal 2 2 4 9 5" xfId="35634" xr:uid="{00000000-0005-0000-0000-0000723B0000}"/>
    <cellStyle name="Normal 2 2 4 9_01-04-2012" xfId="4916" xr:uid="{00000000-0005-0000-0000-0000733B0000}"/>
    <cellStyle name="Normal 2 2 4_01-04-2012" xfId="4917" xr:uid="{00000000-0005-0000-0000-0000743B0000}"/>
    <cellStyle name="Normal 2 2 40" xfId="4918" xr:uid="{00000000-0005-0000-0000-0000753B0000}"/>
    <cellStyle name="Normal 2 2 40 2" xfId="17362" xr:uid="{00000000-0005-0000-0000-0000763B0000}"/>
    <cellStyle name="Normal 2 2 41" xfId="4919" xr:uid="{00000000-0005-0000-0000-0000773B0000}"/>
    <cellStyle name="Normal 2 2 41 2" xfId="17363" xr:uid="{00000000-0005-0000-0000-0000783B0000}"/>
    <cellStyle name="Normal 2 2 42" xfId="4920" xr:uid="{00000000-0005-0000-0000-0000793B0000}"/>
    <cellStyle name="Normal 2 2 42 2" xfId="17364" xr:uid="{00000000-0005-0000-0000-00007A3B0000}"/>
    <cellStyle name="Normal 2 2 43" xfId="4921" xr:uid="{00000000-0005-0000-0000-00007B3B0000}"/>
    <cellStyle name="Normal 2 2 43 2" xfId="17365" xr:uid="{00000000-0005-0000-0000-00007C3B0000}"/>
    <cellStyle name="Normal 2 2 44" xfId="4922" xr:uid="{00000000-0005-0000-0000-00007D3B0000}"/>
    <cellStyle name="Normal 2 2 44 2" xfId="17366" xr:uid="{00000000-0005-0000-0000-00007E3B0000}"/>
    <cellStyle name="Normal 2 2 45" xfId="4923" xr:uid="{00000000-0005-0000-0000-00007F3B0000}"/>
    <cellStyle name="Normal 2 2 45 2" xfId="17367" xr:uid="{00000000-0005-0000-0000-0000803B0000}"/>
    <cellStyle name="Normal 2 2 46" xfId="4924" xr:uid="{00000000-0005-0000-0000-0000813B0000}"/>
    <cellStyle name="Normal 2 2 46 2" xfId="17368" xr:uid="{00000000-0005-0000-0000-0000823B0000}"/>
    <cellStyle name="Normal 2 2 47" xfId="4925" xr:uid="{00000000-0005-0000-0000-0000833B0000}"/>
    <cellStyle name="Normal 2 2 47 2" xfId="4926" xr:uid="{00000000-0005-0000-0000-0000843B0000}"/>
    <cellStyle name="Normal 2 2 47 2 2" xfId="35635" xr:uid="{00000000-0005-0000-0000-0000853B0000}"/>
    <cellStyle name="Normal 2 2 47 3" xfId="4927" xr:uid="{00000000-0005-0000-0000-0000863B0000}"/>
    <cellStyle name="Normal 2 2 47 3 2" xfId="35636" xr:uid="{00000000-0005-0000-0000-0000873B0000}"/>
    <cellStyle name="Normal 2 2 47 4" xfId="4928" xr:uid="{00000000-0005-0000-0000-0000883B0000}"/>
    <cellStyle name="Normal 2 2 47 4 2" xfId="35637" xr:uid="{00000000-0005-0000-0000-0000893B0000}"/>
    <cellStyle name="Normal 2 2 47 5" xfId="17369" xr:uid="{00000000-0005-0000-0000-00008A3B0000}"/>
    <cellStyle name="Normal 2 2 47 5 2" xfId="35638" xr:uid="{00000000-0005-0000-0000-00008B3B0000}"/>
    <cellStyle name="Normal 2 2 47_01-04-2012" xfId="4929" xr:uid="{00000000-0005-0000-0000-00008C3B0000}"/>
    <cellStyle name="Normal 2 2 48" xfId="4930" xr:uid="{00000000-0005-0000-0000-00008D3B0000}"/>
    <cellStyle name="Normal 2 2 48 2" xfId="4931" xr:uid="{00000000-0005-0000-0000-00008E3B0000}"/>
    <cellStyle name="Normal 2 2 48 2 2" xfId="35639" xr:uid="{00000000-0005-0000-0000-00008F3B0000}"/>
    <cellStyle name="Normal 2 2 48 3" xfId="4932" xr:uid="{00000000-0005-0000-0000-0000903B0000}"/>
    <cellStyle name="Normal 2 2 48 3 2" xfId="35640" xr:uid="{00000000-0005-0000-0000-0000913B0000}"/>
    <cellStyle name="Normal 2 2 48 4" xfId="4933" xr:uid="{00000000-0005-0000-0000-0000923B0000}"/>
    <cellStyle name="Normal 2 2 48 4 2" xfId="35641" xr:uid="{00000000-0005-0000-0000-0000933B0000}"/>
    <cellStyle name="Normal 2 2 48 5" xfId="35642" xr:uid="{00000000-0005-0000-0000-0000943B0000}"/>
    <cellStyle name="Normal 2 2 48_01-04-2012" xfId="4934" xr:uid="{00000000-0005-0000-0000-0000953B0000}"/>
    <cellStyle name="Normal 2 2 49" xfId="4935" xr:uid="{00000000-0005-0000-0000-0000963B0000}"/>
    <cellStyle name="Normal 2 2 49 2" xfId="4936" xr:uid="{00000000-0005-0000-0000-0000973B0000}"/>
    <cellStyle name="Normal 2 2 49 2 2" xfId="35643" xr:uid="{00000000-0005-0000-0000-0000983B0000}"/>
    <cellStyle name="Normal 2 2 49 3" xfId="4937" xr:uid="{00000000-0005-0000-0000-0000993B0000}"/>
    <cellStyle name="Normal 2 2 49 3 2" xfId="35644" xr:uid="{00000000-0005-0000-0000-00009A3B0000}"/>
    <cellStyle name="Normal 2 2 49 4" xfId="4938" xr:uid="{00000000-0005-0000-0000-00009B3B0000}"/>
    <cellStyle name="Normal 2 2 49 4 2" xfId="35645" xr:uid="{00000000-0005-0000-0000-00009C3B0000}"/>
    <cellStyle name="Normal 2 2 49 5" xfId="35646" xr:uid="{00000000-0005-0000-0000-00009D3B0000}"/>
    <cellStyle name="Normal 2 2 49_01-04-2012" xfId="4939" xr:uid="{00000000-0005-0000-0000-00009E3B0000}"/>
    <cellStyle name="Normal 2 2 5" xfId="4940" xr:uid="{00000000-0005-0000-0000-00009F3B0000}"/>
    <cellStyle name="Normal 2 2 5 10" xfId="4941" xr:uid="{00000000-0005-0000-0000-0000A03B0000}"/>
    <cellStyle name="Normal 2 2 5 11" xfId="4942" xr:uid="{00000000-0005-0000-0000-0000A13B0000}"/>
    <cellStyle name="Normal 2 2 5 12" xfId="4943" xr:uid="{00000000-0005-0000-0000-0000A23B0000}"/>
    <cellStyle name="Normal 2 2 5 13" xfId="4944" xr:uid="{00000000-0005-0000-0000-0000A33B0000}"/>
    <cellStyle name="Normal 2 2 5 14" xfId="4945" xr:uid="{00000000-0005-0000-0000-0000A43B0000}"/>
    <cellStyle name="Normal 2 2 5 15" xfId="4946" xr:uid="{00000000-0005-0000-0000-0000A53B0000}"/>
    <cellStyle name="Normal 2 2 5 16" xfId="4947" xr:uid="{00000000-0005-0000-0000-0000A63B0000}"/>
    <cellStyle name="Normal 2 2 5 17" xfId="4948" xr:uid="{00000000-0005-0000-0000-0000A73B0000}"/>
    <cellStyle name="Normal 2 2 5 18" xfId="4949" xr:uid="{00000000-0005-0000-0000-0000A83B0000}"/>
    <cellStyle name="Normal 2 2 5 19" xfId="4950" xr:uid="{00000000-0005-0000-0000-0000A93B0000}"/>
    <cellStyle name="Normal 2 2 5 2" xfId="4951" xr:uid="{00000000-0005-0000-0000-0000AA3B0000}"/>
    <cellStyle name="Normal 2 2 5 2 2" xfId="4952" xr:uid="{00000000-0005-0000-0000-0000AB3B0000}"/>
    <cellStyle name="Normal 2 2 5 2 2 2" xfId="4953" xr:uid="{00000000-0005-0000-0000-0000AC3B0000}"/>
    <cellStyle name="Normal 2 2 5 2 2 2 2" xfId="35647" xr:uid="{00000000-0005-0000-0000-0000AD3B0000}"/>
    <cellStyle name="Normal 2 2 5 2 2 3" xfId="4954" xr:uid="{00000000-0005-0000-0000-0000AE3B0000}"/>
    <cellStyle name="Normal 2 2 5 2 2 3 2" xfId="35648" xr:uid="{00000000-0005-0000-0000-0000AF3B0000}"/>
    <cellStyle name="Normal 2 2 5 2 2 4" xfId="4955" xr:uid="{00000000-0005-0000-0000-0000B03B0000}"/>
    <cellStyle name="Normal 2 2 5 2 2 4 2" xfId="35649" xr:uid="{00000000-0005-0000-0000-0000B13B0000}"/>
    <cellStyle name="Normal 2 2 5 2 2 5" xfId="17370" xr:uid="{00000000-0005-0000-0000-0000B23B0000}"/>
    <cellStyle name="Normal 2 2 5 2 2 5 2" xfId="35650" xr:uid="{00000000-0005-0000-0000-0000B33B0000}"/>
    <cellStyle name="Normal 2 2 5 2 2_01-04-2012" xfId="4956" xr:uid="{00000000-0005-0000-0000-0000B43B0000}"/>
    <cellStyle name="Normal 2 2 5 2 3" xfId="4957" xr:uid="{00000000-0005-0000-0000-0000B53B0000}"/>
    <cellStyle name="Normal 2 2 5 2 3 2" xfId="4958" xr:uid="{00000000-0005-0000-0000-0000B63B0000}"/>
    <cellStyle name="Normal 2 2 5 2 3 2 2" xfId="35651" xr:uid="{00000000-0005-0000-0000-0000B73B0000}"/>
    <cellStyle name="Normal 2 2 5 2 3 3" xfId="4959" xr:uid="{00000000-0005-0000-0000-0000B83B0000}"/>
    <cellStyle name="Normal 2 2 5 2 3 3 2" xfId="35652" xr:uid="{00000000-0005-0000-0000-0000B93B0000}"/>
    <cellStyle name="Normal 2 2 5 2 3 4" xfId="4960" xr:uid="{00000000-0005-0000-0000-0000BA3B0000}"/>
    <cellStyle name="Normal 2 2 5 2 3 4 2" xfId="35653" xr:uid="{00000000-0005-0000-0000-0000BB3B0000}"/>
    <cellStyle name="Normal 2 2 5 2 3 5" xfId="17371" xr:uid="{00000000-0005-0000-0000-0000BC3B0000}"/>
    <cellStyle name="Normal 2 2 5 2 3 5 2" xfId="35654" xr:uid="{00000000-0005-0000-0000-0000BD3B0000}"/>
    <cellStyle name="Normal 2 2 5 2 3_01-04-2012" xfId="4961" xr:uid="{00000000-0005-0000-0000-0000BE3B0000}"/>
    <cellStyle name="Normal 2 2 5 2 4" xfId="4962" xr:uid="{00000000-0005-0000-0000-0000BF3B0000}"/>
    <cellStyle name="Normal 2 2 5 2 4 2" xfId="4963" xr:uid="{00000000-0005-0000-0000-0000C03B0000}"/>
    <cellStyle name="Normal 2 2 5 2 4 2 2" xfId="35655" xr:uid="{00000000-0005-0000-0000-0000C13B0000}"/>
    <cellStyle name="Normal 2 2 5 2 4 3" xfId="4964" xr:uid="{00000000-0005-0000-0000-0000C23B0000}"/>
    <cellStyle name="Normal 2 2 5 2 4 3 2" xfId="35656" xr:uid="{00000000-0005-0000-0000-0000C33B0000}"/>
    <cellStyle name="Normal 2 2 5 2 4 4" xfId="4965" xr:uid="{00000000-0005-0000-0000-0000C43B0000}"/>
    <cellStyle name="Normal 2 2 5 2 4 4 2" xfId="35657" xr:uid="{00000000-0005-0000-0000-0000C53B0000}"/>
    <cellStyle name="Normal 2 2 5 2 4 5" xfId="17372" xr:uid="{00000000-0005-0000-0000-0000C63B0000}"/>
    <cellStyle name="Normal 2 2 5 2 4 5 2" xfId="35658" xr:uid="{00000000-0005-0000-0000-0000C73B0000}"/>
    <cellStyle name="Normal 2 2 5 2 4_01-04-2012" xfId="4966" xr:uid="{00000000-0005-0000-0000-0000C83B0000}"/>
    <cellStyle name="Normal 2 2 5 2 5" xfId="4967" xr:uid="{00000000-0005-0000-0000-0000C93B0000}"/>
    <cellStyle name="Normal 2 2 5 2 5 2" xfId="17373" xr:uid="{00000000-0005-0000-0000-0000CA3B0000}"/>
    <cellStyle name="Normal 2 2 5 2 5 2 2" xfId="35659" xr:uid="{00000000-0005-0000-0000-0000CB3B0000}"/>
    <cellStyle name="Normal 2 2 5 2 6" xfId="4968" xr:uid="{00000000-0005-0000-0000-0000CC3B0000}"/>
    <cellStyle name="Normal 2 2 5 2 6 2" xfId="17374" xr:uid="{00000000-0005-0000-0000-0000CD3B0000}"/>
    <cellStyle name="Normal 2 2 5 2 6 2 2" xfId="35660" xr:uid="{00000000-0005-0000-0000-0000CE3B0000}"/>
    <cellStyle name="Normal 2 2 5 2 7" xfId="4969" xr:uid="{00000000-0005-0000-0000-0000CF3B0000}"/>
    <cellStyle name="Normal 2 2 5 2 7 2" xfId="17375" xr:uid="{00000000-0005-0000-0000-0000D03B0000}"/>
    <cellStyle name="Normal 2 2 5 2 7 2 2" xfId="35661" xr:uid="{00000000-0005-0000-0000-0000D13B0000}"/>
    <cellStyle name="Normal 2 2 5 2 8" xfId="17376" xr:uid="{00000000-0005-0000-0000-0000D23B0000}"/>
    <cellStyle name="Normal 2 2 5 2 8 2" xfId="35662" xr:uid="{00000000-0005-0000-0000-0000D33B0000}"/>
    <cellStyle name="Normal 2 2 5 2_01-04-2012" xfId="4970" xr:uid="{00000000-0005-0000-0000-0000D43B0000}"/>
    <cellStyle name="Normal 2 2 5 20" xfId="4971" xr:uid="{00000000-0005-0000-0000-0000D53B0000}"/>
    <cellStyle name="Normal 2 2 5 21" xfId="4972" xr:uid="{00000000-0005-0000-0000-0000D63B0000}"/>
    <cellStyle name="Normal 2 2 5 22" xfId="4973" xr:uid="{00000000-0005-0000-0000-0000D73B0000}"/>
    <cellStyle name="Normal 2 2 5 23" xfId="4974" xr:uid="{00000000-0005-0000-0000-0000D83B0000}"/>
    <cellStyle name="Normal 2 2 5 24" xfId="4975" xr:uid="{00000000-0005-0000-0000-0000D93B0000}"/>
    <cellStyle name="Normal 2 2 5 25" xfId="4976" xr:uid="{00000000-0005-0000-0000-0000DA3B0000}"/>
    <cellStyle name="Normal 2 2 5 26" xfId="4977" xr:uid="{00000000-0005-0000-0000-0000DB3B0000}"/>
    <cellStyle name="Normal 2 2 5 26 2" xfId="35663" xr:uid="{00000000-0005-0000-0000-0000DC3B0000}"/>
    <cellStyle name="Normal 2 2 5 27" xfId="4978" xr:uid="{00000000-0005-0000-0000-0000DD3B0000}"/>
    <cellStyle name="Normal 2 2 5 27 2" xfId="35664" xr:uid="{00000000-0005-0000-0000-0000DE3B0000}"/>
    <cellStyle name="Normal 2 2 5 28" xfId="4979" xr:uid="{00000000-0005-0000-0000-0000DF3B0000}"/>
    <cellStyle name="Normal 2 2 5 28 2" xfId="35665" xr:uid="{00000000-0005-0000-0000-0000E03B0000}"/>
    <cellStyle name="Normal 2 2 5 29" xfId="4980" xr:uid="{00000000-0005-0000-0000-0000E13B0000}"/>
    <cellStyle name="Normal 2 2 5 29 2" xfId="35666" xr:uid="{00000000-0005-0000-0000-0000E23B0000}"/>
    <cellStyle name="Normal 2 2 5 3" xfId="4981" xr:uid="{00000000-0005-0000-0000-0000E33B0000}"/>
    <cellStyle name="Normal 2 2 5 3 10" xfId="17377" xr:uid="{00000000-0005-0000-0000-0000E43B0000}"/>
    <cellStyle name="Normal 2 2 5 3 2" xfId="4982" xr:uid="{00000000-0005-0000-0000-0000E53B0000}"/>
    <cellStyle name="Normal 2 2 5 3 2 2" xfId="4983" xr:uid="{00000000-0005-0000-0000-0000E63B0000}"/>
    <cellStyle name="Normal 2 2 5 3 2 2 2" xfId="35667" xr:uid="{00000000-0005-0000-0000-0000E73B0000}"/>
    <cellStyle name="Normal 2 2 5 3 2 3" xfId="4984" xr:uid="{00000000-0005-0000-0000-0000E83B0000}"/>
    <cellStyle name="Normal 2 2 5 3 2 3 2" xfId="35668" xr:uid="{00000000-0005-0000-0000-0000E93B0000}"/>
    <cellStyle name="Normal 2 2 5 3 2 4" xfId="4985" xr:uid="{00000000-0005-0000-0000-0000EA3B0000}"/>
    <cellStyle name="Normal 2 2 5 3 2 4 2" xfId="35669" xr:uid="{00000000-0005-0000-0000-0000EB3B0000}"/>
    <cellStyle name="Normal 2 2 5 3 2 5" xfId="35670" xr:uid="{00000000-0005-0000-0000-0000EC3B0000}"/>
    <cellStyle name="Normal 2 2 5 3 2_01-04-2012" xfId="4986" xr:uid="{00000000-0005-0000-0000-0000ED3B0000}"/>
    <cellStyle name="Normal 2 2 5 3 3" xfId="4987" xr:uid="{00000000-0005-0000-0000-0000EE3B0000}"/>
    <cellStyle name="Normal 2 2 5 3 3 2" xfId="4988" xr:uid="{00000000-0005-0000-0000-0000EF3B0000}"/>
    <cellStyle name="Normal 2 2 5 3 3 2 2" xfId="35671" xr:uid="{00000000-0005-0000-0000-0000F03B0000}"/>
    <cellStyle name="Normal 2 2 5 3 3 3" xfId="4989" xr:uid="{00000000-0005-0000-0000-0000F13B0000}"/>
    <cellStyle name="Normal 2 2 5 3 3 3 2" xfId="35672" xr:uid="{00000000-0005-0000-0000-0000F23B0000}"/>
    <cellStyle name="Normal 2 2 5 3 3 4" xfId="4990" xr:uid="{00000000-0005-0000-0000-0000F33B0000}"/>
    <cellStyle name="Normal 2 2 5 3 3 4 2" xfId="35673" xr:uid="{00000000-0005-0000-0000-0000F43B0000}"/>
    <cellStyle name="Normal 2 2 5 3 3 5" xfId="35674" xr:uid="{00000000-0005-0000-0000-0000F53B0000}"/>
    <cellStyle name="Normal 2 2 5 3 3_01-04-2012" xfId="4991" xr:uid="{00000000-0005-0000-0000-0000F63B0000}"/>
    <cellStyle name="Normal 2 2 5 3 4" xfId="4992" xr:uid="{00000000-0005-0000-0000-0000F73B0000}"/>
    <cellStyle name="Normal 2 2 5 3 4 2" xfId="4993" xr:uid="{00000000-0005-0000-0000-0000F83B0000}"/>
    <cellStyle name="Normal 2 2 5 3 4 2 2" xfId="35675" xr:uid="{00000000-0005-0000-0000-0000F93B0000}"/>
    <cellStyle name="Normal 2 2 5 3 4 3" xfId="4994" xr:uid="{00000000-0005-0000-0000-0000FA3B0000}"/>
    <cellStyle name="Normal 2 2 5 3 4 3 2" xfId="35676" xr:uid="{00000000-0005-0000-0000-0000FB3B0000}"/>
    <cellStyle name="Normal 2 2 5 3 4 4" xfId="4995" xr:uid="{00000000-0005-0000-0000-0000FC3B0000}"/>
    <cellStyle name="Normal 2 2 5 3 4 4 2" xfId="35677" xr:uid="{00000000-0005-0000-0000-0000FD3B0000}"/>
    <cellStyle name="Normal 2 2 5 3 4 5" xfId="35678" xr:uid="{00000000-0005-0000-0000-0000FE3B0000}"/>
    <cellStyle name="Normal 2 2 5 3 4_01-04-2012" xfId="4996" xr:uid="{00000000-0005-0000-0000-0000FF3B0000}"/>
    <cellStyle name="Normal 2 2 5 3 5" xfId="4997" xr:uid="{00000000-0005-0000-0000-0000003C0000}"/>
    <cellStyle name="Normal 2 2 5 3 5 2" xfId="35679" xr:uid="{00000000-0005-0000-0000-0000013C0000}"/>
    <cellStyle name="Normal 2 2 5 3 6" xfId="4998" xr:uid="{00000000-0005-0000-0000-0000023C0000}"/>
    <cellStyle name="Normal 2 2 5 3 6 2" xfId="35680" xr:uid="{00000000-0005-0000-0000-0000033C0000}"/>
    <cellStyle name="Normal 2 2 5 3 7" xfId="4999" xr:uid="{00000000-0005-0000-0000-0000043C0000}"/>
    <cellStyle name="Normal 2 2 5 3 7 2" xfId="35681" xr:uid="{00000000-0005-0000-0000-0000053C0000}"/>
    <cellStyle name="Normal 2 2 5 3 8" xfId="17378" xr:uid="{00000000-0005-0000-0000-0000063C0000}"/>
    <cellStyle name="Normal 2 2 5 3 8 2" xfId="35682" xr:uid="{00000000-0005-0000-0000-0000073C0000}"/>
    <cellStyle name="Normal 2 2 5 3 9" xfId="17379" xr:uid="{00000000-0005-0000-0000-0000083C0000}"/>
    <cellStyle name="Normal 2 2 5 3_01-04-2012" xfId="5000" xr:uid="{00000000-0005-0000-0000-0000093C0000}"/>
    <cellStyle name="Normal 2 2 5 30" xfId="17380" xr:uid="{00000000-0005-0000-0000-00000A3C0000}"/>
    <cellStyle name="Normal 2 2 5 30 2" xfId="35683" xr:uid="{00000000-0005-0000-0000-00000B3C0000}"/>
    <cellStyle name="Normal 2 2 5 4" xfId="5001" xr:uid="{00000000-0005-0000-0000-00000C3C0000}"/>
    <cellStyle name="Normal 2 2 5 4 10" xfId="17381" xr:uid="{00000000-0005-0000-0000-00000D3C0000}"/>
    <cellStyle name="Normal 2 2 5 4 2" xfId="5002" xr:uid="{00000000-0005-0000-0000-00000E3C0000}"/>
    <cellStyle name="Normal 2 2 5 4 2 2" xfId="5003" xr:uid="{00000000-0005-0000-0000-00000F3C0000}"/>
    <cellStyle name="Normal 2 2 5 4 2 2 2" xfId="35684" xr:uid="{00000000-0005-0000-0000-0000103C0000}"/>
    <cellStyle name="Normal 2 2 5 4 2 3" xfId="5004" xr:uid="{00000000-0005-0000-0000-0000113C0000}"/>
    <cellStyle name="Normal 2 2 5 4 2 3 2" xfId="35685" xr:uid="{00000000-0005-0000-0000-0000123C0000}"/>
    <cellStyle name="Normal 2 2 5 4 2 4" xfId="5005" xr:uid="{00000000-0005-0000-0000-0000133C0000}"/>
    <cellStyle name="Normal 2 2 5 4 2 4 2" xfId="35686" xr:uid="{00000000-0005-0000-0000-0000143C0000}"/>
    <cellStyle name="Normal 2 2 5 4 2 5" xfId="35687" xr:uid="{00000000-0005-0000-0000-0000153C0000}"/>
    <cellStyle name="Normal 2 2 5 4 2_01-04-2012" xfId="5006" xr:uid="{00000000-0005-0000-0000-0000163C0000}"/>
    <cellStyle name="Normal 2 2 5 4 3" xfId="5007" xr:uid="{00000000-0005-0000-0000-0000173C0000}"/>
    <cellStyle name="Normal 2 2 5 4 3 2" xfId="5008" xr:uid="{00000000-0005-0000-0000-0000183C0000}"/>
    <cellStyle name="Normal 2 2 5 4 3 2 2" xfId="35688" xr:uid="{00000000-0005-0000-0000-0000193C0000}"/>
    <cellStyle name="Normal 2 2 5 4 3 3" xfId="5009" xr:uid="{00000000-0005-0000-0000-00001A3C0000}"/>
    <cellStyle name="Normal 2 2 5 4 3 3 2" xfId="35689" xr:uid="{00000000-0005-0000-0000-00001B3C0000}"/>
    <cellStyle name="Normal 2 2 5 4 3 4" xfId="5010" xr:uid="{00000000-0005-0000-0000-00001C3C0000}"/>
    <cellStyle name="Normal 2 2 5 4 3 4 2" xfId="35690" xr:uid="{00000000-0005-0000-0000-00001D3C0000}"/>
    <cellStyle name="Normal 2 2 5 4 3 5" xfId="35691" xr:uid="{00000000-0005-0000-0000-00001E3C0000}"/>
    <cellStyle name="Normal 2 2 5 4 3_01-04-2012" xfId="5011" xr:uid="{00000000-0005-0000-0000-00001F3C0000}"/>
    <cellStyle name="Normal 2 2 5 4 4" xfId="5012" xr:uid="{00000000-0005-0000-0000-0000203C0000}"/>
    <cellStyle name="Normal 2 2 5 4 4 2" xfId="5013" xr:uid="{00000000-0005-0000-0000-0000213C0000}"/>
    <cellStyle name="Normal 2 2 5 4 4 2 2" xfId="35692" xr:uid="{00000000-0005-0000-0000-0000223C0000}"/>
    <cellStyle name="Normal 2 2 5 4 4 3" xfId="5014" xr:uid="{00000000-0005-0000-0000-0000233C0000}"/>
    <cellStyle name="Normal 2 2 5 4 4 3 2" xfId="35693" xr:uid="{00000000-0005-0000-0000-0000243C0000}"/>
    <cellStyle name="Normal 2 2 5 4 4 4" xfId="5015" xr:uid="{00000000-0005-0000-0000-0000253C0000}"/>
    <cellStyle name="Normal 2 2 5 4 4 4 2" xfId="35694" xr:uid="{00000000-0005-0000-0000-0000263C0000}"/>
    <cellStyle name="Normal 2 2 5 4 4 5" xfId="35695" xr:uid="{00000000-0005-0000-0000-0000273C0000}"/>
    <cellStyle name="Normal 2 2 5 4 4_01-04-2012" xfId="5016" xr:uid="{00000000-0005-0000-0000-0000283C0000}"/>
    <cellStyle name="Normal 2 2 5 4 5" xfId="5017" xr:uid="{00000000-0005-0000-0000-0000293C0000}"/>
    <cellStyle name="Normal 2 2 5 4 5 2" xfId="35696" xr:uid="{00000000-0005-0000-0000-00002A3C0000}"/>
    <cellStyle name="Normal 2 2 5 4 6" xfId="5018" xr:uid="{00000000-0005-0000-0000-00002B3C0000}"/>
    <cellStyle name="Normal 2 2 5 4 6 2" xfId="35697" xr:uid="{00000000-0005-0000-0000-00002C3C0000}"/>
    <cellStyle name="Normal 2 2 5 4 7" xfId="5019" xr:uid="{00000000-0005-0000-0000-00002D3C0000}"/>
    <cellStyle name="Normal 2 2 5 4 7 2" xfId="35698" xr:uid="{00000000-0005-0000-0000-00002E3C0000}"/>
    <cellStyle name="Normal 2 2 5 4 8" xfId="17382" xr:uid="{00000000-0005-0000-0000-00002F3C0000}"/>
    <cellStyle name="Normal 2 2 5 4 8 2" xfId="35699" xr:uid="{00000000-0005-0000-0000-0000303C0000}"/>
    <cellStyle name="Normal 2 2 5 4 9" xfId="17383" xr:uid="{00000000-0005-0000-0000-0000313C0000}"/>
    <cellStyle name="Normal 2 2 5 4_01-04-2012" xfId="5020" xr:uid="{00000000-0005-0000-0000-0000323C0000}"/>
    <cellStyle name="Normal 2 2 5 5" xfId="5021" xr:uid="{00000000-0005-0000-0000-0000333C0000}"/>
    <cellStyle name="Normal 2 2 5 5 2" xfId="5022" xr:uid="{00000000-0005-0000-0000-0000343C0000}"/>
    <cellStyle name="Normal 2 2 5 5 2 2" xfId="35700" xr:uid="{00000000-0005-0000-0000-0000353C0000}"/>
    <cellStyle name="Normal 2 2 5 5 3" xfId="5023" xr:uid="{00000000-0005-0000-0000-0000363C0000}"/>
    <cellStyle name="Normal 2 2 5 5 3 2" xfId="35701" xr:uid="{00000000-0005-0000-0000-0000373C0000}"/>
    <cellStyle name="Normal 2 2 5 5 4" xfId="5024" xr:uid="{00000000-0005-0000-0000-0000383C0000}"/>
    <cellStyle name="Normal 2 2 5 5 4 2" xfId="35702" xr:uid="{00000000-0005-0000-0000-0000393C0000}"/>
    <cellStyle name="Normal 2 2 5 5 5" xfId="17384" xr:uid="{00000000-0005-0000-0000-00003A3C0000}"/>
    <cellStyle name="Normal 2 2 5 5 5 2" xfId="35703" xr:uid="{00000000-0005-0000-0000-00003B3C0000}"/>
    <cellStyle name="Normal 2 2 5 5_01-04-2012" xfId="5025" xr:uid="{00000000-0005-0000-0000-00003C3C0000}"/>
    <cellStyle name="Normal 2 2 5 6" xfId="5026" xr:uid="{00000000-0005-0000-0000-00003D3C0000}"/>
    <cellStyle name="Normal 2 2 5 6 2" xfId="5027" xr:uid="{00000000-0005-0000-0000-00003E3C0000}"/>
    <cellStyle name="Normal 2 2 5 6 2 2" xfId="35704" xr:uid="{00000000-0005-0000-0000-00003F3C0000}"/>
    <cellStyle name="Normal 2 2 5 6 3" xfId="5028" xr:uid="{00000000-0005-0000-0000-0000403C0000}"/>
    <cellStyle name="Normal 2 2 5 6 3 2" xfId="35705" xr:uid="{00000000-0005-0000-0000-0000413C0000}"/>
    <cellStyle name="Normal 2 2 5 6 4" xfId="5029" xr:uid="{00000000-0005-0000-0000-0000423C0000}"/>
    <cellStyle name="Normal 2 2 5 6 4 2" xfId="35706" xr:uid="{00000000-0005-0000-0000-0000433C0000}"/>
    <cellStyle name="Normal 2 2 5 6 5" xfId="17385" xr:uid="{00000000-0005-0000-0000-0000443C0000}"/>
    <cellStyle name="Normal 2 2 5 6 5 2" xfId="35707" xr:uid="{00000000-0005-0000-0000-0000453C0000}"/>
    <cellStyle name="Normal 2 2 5 6_01-04-2012" xfId="5030" xr:uid="{00000000-0005-0000-0000-0000463C0000}"/>
    <cellStyle name="Normal 2 2 5 7" xfId="5031" xr:uid="{00000000-0005-0000-0000-0000473C0000}"/>
    <cellStyle name="Normal 2 2 5 7 2" xfId="5032" xr:uid="{00000000-0005-0000-0000-0000483C0000}"/>
    <cellStyle name="Normal 2 2 5 7 2 2" xfId="35708" xr:uid="{00000000-0005-0000-0000-0000493C0000}"/>
    <cellStyle name="Normal 2 2 5 7 3" xfId="5033" xr:uid="{00000000-0005-0000-0000-00004A3C0000}"/>
    <cellStyle name="Normal 2 2 5 7 3 2" xfId="35709" xr:uid="{00000000-0005-0000-0000-00004B3C0000}"/>
    <cellStyle name="Normal 2 2 5 7 4" xfId="5034" xr:uid="{00000000-0005-0000-0000-00004C3C0000}"/>
    <cellStyle name="Normal 2 2 5 7 4 2" xfId="35710" xr:uid="{00000000-0005-0000-0000-00004D3C0000}"/>
    <cellStyle name="Normal 2 2 5 7 5" xfId="17386" xr:uid="{00000000-0005-0000-0000-00004E3C0000}"/>
    <cellStyle name="Normal 2 2 5 7 5 2" xfId="35711" xr:uid="{00000000-0005-0000-0000-00004F3C0000}"/>
    <cellStyle name="Normal 2 2 5 7_01-04-2012" xfId="5035" xr:uid="{00000000-0005-0000-0000-0000503C0000}"/>
    <cellStyle name="Normal 2 2 5 8" xfId="5036" xr:uid="{00000000-0005-0000-0000-0000513C0000}"/>
    <cellStyle name="Normal 2 2 5 8 2" xfId="5037" xr:uid="{00000000-0005-0000-0000-0000523C0000}"/>
    <cellStyle name="Normal 2 2 5 8 2 2" xfId="35712" xr:uid="{00000000-0005-0000-0000-0000533C0000}"/>
    <cellStyle name="Normal 2 2 5 8 3" xfId="5038" xr:uid="{00000000-0005-0000-0000-0000543C0000}"/>
    <cellStyle name="Normal 2 2 5 8 3 2" xfId="35713" xr:uid="{00000000-0005-0000-0000-0000553C0000}"/>
    <cellStyle name="Normal 2 2 5 8 4" xfId="5039" xr:uid="{00000000-0005-0000-0000-0000563C0000}"/>
    <cellStyle name="Normal 2 2 5 8 4 2" xfId="35714" xr:uid="{00000000-0005-0000-0000-0000573C0000}"/>
    <cellStyle name="Normal 2 2 5 8 5" xfId="17387" xr:uid="{00000000-0005-0000-0000-0000583C0000}"/>
    <cellStyle name="Normal 2 2 5 8 5 2" xfId="35715" xr:uid="{00000000-0005-0000-0000-0000593C0000}"/>
    <cellStyle name="Normal 2 2 5 8_01-04-2012" xfId="5040" xr:uid="{00000000-0005-0000-0000-00005A3C0000}"/>
    <cellStyle name="Normal 2 2 5 9" xfId="5041" xr:uid="{00000000-0005-0000-0000-00005B3C0000}"/>
    <cellStyle name="Normal 2 2 5 9 2" xfId="5042" xr:uid="{00000000-0005-0000-0000-00005C3C0000}"/>
    <cellStyle name="Normal 2 2 5 9 2 2" xfId="35716" xr:uid="{00000000-0005-0000-0000-00005D3C0000}"/>
    <cellStyle name="Normal 2 2 5 9 3" xfId="5043" xr:uid="{00000000-0005-0000-0000-00005E3C0000}"/>
    <cellStyle name="Normal 2 2 5 9 3 2" xfId="35717" xr:uid="{00000000-0005-0000-0000-00005F3C0000}"/>
    <cellStyle name="Normal 2 2 5 9 4" xfId="5044" xr:uid="{00000000-0005-0000-0000-0000603C0000}"/>
    <cellStyle name="Normal 2 2 5 9 4 2" xfId="35718" xr:uid="{00000000-0005-0000-0000-0000613C0000}"/>
    <cellStyle name="Normal 2 2 5 9 5" xfId="35719" xr:uid="{00000000-0005-0000-0000-0000623C0000}"/>
    <cellStyle name="Normal 2 2 5 9_01-04-2012" xfId="5045" xr:uid="{00000000-0005-0000-0000-0000633C0000}"/>
    <cellStyle name="Normal 2 2 5_01-04-2012" xfId="5046" xr:uid="{00000000-0005-0000-0000-0000643C0000}"/>
    <cellStyle name="Normal 2 2 50" xfId="5047" xr:uid="{00000000-0005-0000-0000-0000653C0000}"/>
    <cellStyle name="Normal 2 2 51" xfId="5048" xr:uid="{00000000-0005-0000-0000-0000663C0000}"/>
    <cellStyle name="Normal 2 2 52" xfId="5049" xr:uid="{00000000-0005-0000-0000-0000673C0000}"/>
    <cellStyle name="Normal 2 2 53" xfId="5050" xr:uid="{00000000-0005-0000-0000-0000683C0000}"/>
    <cellStyle name="Normal 2 2 54" xfId="5051" xr:uid="{00000000-0005-0000-0000-0000693C0000}"/>
    <cellStyle name="Normal 2 2 55" xfId="5052" xr:uid="{00000000-0005-0000-0000-00006A3C0000}"/>
    <cellStyle name="Normal 2 2 56" xfId="5053" xr:uid="{00000000-0005-0000-0000-00006B3C0000}"/>
    <cellStyle name="Normal 2 2 57" xfId="5054" xr:uid="{00000000-0005-0000-0000-00006C3C0000}"/>
    <cellStyle name="Normal 2 2 58" xfId="5055" xr:uid="{00000000-0005-0000-0000-00006D3C0000}"/>
    <cellStyle name="Normal 2 2 59" xfId="5056" xr:uid="{00000000-0005-0000-0000-00006E3C0000}"/>
    <cellStyle name="Normal 2 2 6" xfId="5057" xr:uid="{00000000-0005-0000-0000-00006F3C0000}"/>
    <cellStyle name="Normal 2 2 6 10" xfId="5058" xr:uid="{00000000-0005-0000-0000-0000703C0000}"/>
    <cellStyle name="Normal 2 2 6 11" xfId="5059" xr:uid="{00000000-0005-0000-0000-0000713C0000}"/>
    <cellStyle name="Normal 2 2 6 12" xfId="5060" xr:uid="{00000000-0005-0000-0000-0000723C0000}"/>
    <cellStyle name="Normal 2 2 6 13" xfId="5061" xr:uid="{00000000-0005-0000-0000-0000733C0000}"/>
    <cellStyle name="Normal 2 2 6 14" xfId="5062" xr:uid="{00000000-0005-0000-0000-0000743C0000}"/>
    <cellStyle name="Normal 2 2 6 15" xfId="5063" xr:uid="{00000000-0005-0000-0000-0000753C0000}"/>
    <cellStyle name="Normal 2 2 6 16" xfId="5064" xr:uid="{00000000-0005-0000-0000-0000763C0000}"/>
    <cellStyle name="Normal 2 2 6 17" xfId="5065" xr:uid="{00000000-0005-0000-0000-0000773C0000}"/>
    <cellStyle name="Normal 2 2 6 18" xfId="5066" xr:uid="{00000000-0005-0000-0000-0000783C0000}"/>
    <cellStyle name="Normal 2 2 6 19" xfId="5067" xr:uid="{00000000-0005-0000-0000-0000793C0000}"/>
    <cellStyle name="Normal 2 2 6 2" xfId="5068" xr:uid="{00000000-0005-0000-0000-00007A3C0000}"/>
    <cellStyle name="Normal 2 2 6 2 2" xfId="5069" xr:uid="{00000000-0005-0000-0000-00007B3C0000}"/>
    <cellStyle name="Normal 2 2 6 2 2 2" xfId="5070" xr:uid="{00000000-0005-0000-0000-00007C3C0000}"/>
    <cellStyle name="Normal 2 2 6 2 2 2 2" xfId="35720" xr:uid="{00000000-0005-0000-0000-00007D3C0000}"/>
    <cellStyle name="Normal 2 2 6 2 2 3" xfId="5071" xr:uid="{00000000-0005-0000-0000-00007E3C0000}"/>
    <cellStyle name="Normal 2 2 6 2 2 3 2" xfId="35721" xr:uid="{00000000-0005-0000-0000-00007F3C0000}"/>
    <cellStyle name="Normal 2 2 6 2 2 4" xfId="5072" xr:uid="{00000000-0005-0000-0000-0000803C0000}"/>
    <cellStyle name="Normal 2 2 6 2 2 4 2" xfId="35722" xr:uid="{00000000-0005-0000-0000-0000813C0000}"/>
    <cellStyle name="Normal 2 2 6 2 2 5" xfId="17388" xr:uid="{00000000-0005-0000-0000-0000823C0000}"/>
    <cellStyle name="Normal 2 2 6 2 2 5 2" xfId="35723" xr:uid="{00000000-0005-0000-0000-0000833C0000}"/>
    <cellStyle name="Normal 2 2 6 2 2_01-04-2012" xfId="5073" xr:uid="{00000000-0005-0000-0000-0000843C0000}"/>
    <cellStyle name="Normal 2 2 6 2 3" xfId="5074" xr:uid="{00000000-0005-0000-0000-0000853C0000}"/>
    <cellStyle name="Normal 2 2 6 2 3 2" xfId="5075" xr:uid="{00000000-0005-0000-0000-0000863C0000}"/>
    <cellStyle name="Normal 2 2 6 2 3 2 2" xfId="35724" xr:uid="{00000000-0005-0000-0000-0000873C0000}"/>
    <cellStyle name="Normal 2 2 6 2 3 3" xfId="5076" xr:uid="{00000000-0005-0000-0000-0000883C0000}"/>
    <cellStyle name="Normal 2 2 6 2 3 3 2" xfId="35725" xr:uid="{00000000-0005-0000-0000-0000893C0000}"/>
    <cellStyle name="Normal 2 2 6 2 3 4" xfId="5077" xr:uid="{00000000-0005-0000-0000-00008A3C0000}"/>
    <cellStyle name="Normal 2 2 6 2 3 4 2" xfId="35726" xr:uid="{00000000-0005-0000-0000-00008B3C0000}"/>
    <cellStyle name="Normal 2 2 6 2 3 5" xfId="17389" xr:uid="{00000000-0005-0000-0000-00008C3C0000}"/>
    <cellStyle name="Normal 2 2 6 2 3 5 2" xfId="35727" xr:uid="{00000000-0005-0000-0000-00008D3C0000}"/>
    <cellStyle name="Normal 2 2 6 2 3_01-04-2012" xfId="5078" xr:uid="{00000000-0005-0000-0000-00008E3C0000}"/>
    <cellStyle name="Normal 2 2 6 2 4" xfId="5079" xr:uid="{00000000-0005-0000-0000-00008F3C0000}"/>
    <cellStyle name="Normal 2 2 6 2 4 2" xfId="5080" xr:uid="{00000000-0005-0000-0000-0000903C0000}"/>
    <cellStyle name="Normal 2 2 6 2 4 2 2" xfId="35728" xr:uid="{00000000-0005-0000-0000-0000913C0000}"/>
    <cellStyle name="Normal 2 2 6 2 4 3" xfId="5081" xr:uid="{00000000-0005-0000-0000-0000923C0000}"/>
    <cellStyle name="Normal 2 2 6 2 4 3 2" xfId="35729" xr:uid="{00000000-0005-0000-0000-0000933C0000}"/>
    <cellStyle name="Normal 2 2 6 2 4 4" xfId="5082" xr:uid="{00000000-0005-0000-0000-0000943C0000}"/>
    <cellStyle name="Normal 2 2 6 2 4 4 2" xfId="35730" xr:uid="{00000000-0005-0000-0000-0000953C0000}"/>
    <cellStyle name="Normal 2 2 6 2 4 5" xfId="17390" xr:uid="{00000000-0005-0000-0000-0000963C0000}"/>
    <cellStyle name="Normal 2 2 6 2 4 5 2" xfId="35731" xr:uid="{00000000-0005-0000-0000-0000973C0000}"/>
    <cellStyle name="Normal 2 2 6 2 4_01-04-2012" xfId="5083" xr:uid="{00000000-0005-0000-0000-0000983C0000}"/>
    <cellStyle name="Normal 2 2 6 2 5" xfId="5084" xr:uid="{00000000-0005-0000-0000-0000993C0000}"/>
    <cellStyle name="Normal 2 2 6 2 5 2" xfId="17391" xr:uid="{00000000-0005-0000-0000-00009A3C0000}"/>
    <cellStyle name="Normal 2 2 6 2 5 2 2" xfId="35732" xr:uid="{00000000-0005-0000-0000-00009B3C0000}"/>
    <cellStyle name="Normal 2 2 6 2 6" xfId="5085" xr:uid="{00000000-0005-0000-0000-00009C3C0000}"/>
    <cellStyle name="Normal 2 2 6 2 6 2" xfId="17392" xr:uid="{00000000-0005-0000-0000-00009D3C0000}"/>
    <cellStyle name="Normal 2 2 6 2 6 2 2" xfId="35733" xr:uid="{00000000-0005-0000-0000-00009E3C0000}"/>
    <cellStyle name="Normal 2 2 6 2 7" xfId="5086" xr:uid="{00000000-0005-0000-0000-00009F3C0000}"/>
    <cellStyle name="Normal 2 2 6 2 7 2" xfId="17393" xr:uid="{00000000-0005-0000-0000-0000A03C0000}"/>
    <cellStyle name="Normal 2 2 6 2 7 2 2" xfId="35734" xr:uid="{00000000-0005-0000-0000-0000A13C0000}"/>
    <cellStyle name="Normal 2 2 6 2 8" xfId="17394" xr:uid="{00000000-0005-0000-0000-0000A23C0000}"/>
    <cellStyle name="Normal 2 2 6 2 8 2" xfId="35735" xr:uid="{00000000-0005-0000-0000-0000A33C0000}"/>
    <cellStyle name="Normal 2 2 6 2_01-04-2012" xfId="5087" xr:uid="{00000000-0005-0000-0000-0000A43C0000}"/>
    <cellStyle name="Normal 2 2 6 20" xfId="5088" xr:uid="{00000000-0005-0000-0000-0000A53C0000}"/>
    <cellStyle name="Normal 2 2 6 21" xfId="5089" xr:uid="{00000000-0005-0000-0000-0000A63C0000}"/>
    <cellStyle name="Normal 2 2 6 22" xfId="5090" xr:uid="{00000000-0005-0000-0000-0000A73C0000}"/>
    <cellStyle name="Normal 2 2 6 23" xfId="5091" xr:uid="{00000000-0005-0000-0000-0000A83C0000}"/>
    <cellStyle name="Normal 2 2 6 24" xfId="5092" xr:uid="{00000000-0005-0000-0000-0000A93C0000}"/>
    <cellStyle name="Normal 2 2 6 25" xfId="5093" xr:uid="{00000000-0005-0000-0000-0000AA3C0000}"/>
    <cellStyle name="Normal 2 2 6 26" xfId="5094" xr:uid="{00000000-0005-0000-0000-0000AB3C0000}"/>
    <cellStyle name="Normal 2 2 6 26 2" xfId="35736" xr:uid="{00000000-0005-0000-0000-0000AC3C0000}"/>
    <cellStyle name="Normal 2 2 6 27" xfId="5095" xr:uid="{00000000-0005-0000-0000-0000AD3C0000}"/>
    <cellStyle name="Normal 2 2 6 27 2" xfId="35737" xr:uid="{00000000-0005-0000-0000-0000AE3C0000}"/>
    <cellStyle name="Normal 2 2 6 28" xfId="5096" xr:uid="{00000000-0005-0000-0000-0000AF3C0000}"/>
    <cellStyle name="Normal 2 2 6 28 2" xfId="35738" xr:uid="{00000000-0005-0000-0000-0000B03C0000}"/>
    <cellStyle name="Normal 2 2 6 29" xfId="5097" xr:uid="{00000000-0005-0000-0000-0000B13C0000}"/>
    <cellStyle name="Normal 2 2 6 29 2" xfId="35739" xr:uid="{00000000-0005-0000-0000-0000B23C0000}"/>
    <cellStyle name="Normal 2 2 6 3" xfId="5098" xr:uid="{00000000-0005-0000-0000-0000B33C0000}"/>
    <cellStyle name="Normal 2 2 6 3 10" xfId="17395" xr:uid="{00000000-0005-0000-0000-0000B43C0000}"/>
    <cellStyle name="Normal 2 2 6 3 2" xfId="5099" xr:uid="{00000000-0005-0000-0000-0000B53C0000}"/>
    <cellStyle name="Normal 2 2 6 3 2 2" xfId="5100" xr:uid="{00000000-0005-0000-0000-0000B63C0000}"/>
    <cellStyle name="Normal 2 2 6 3 2 2 2" xfId="35740" xr:uid="{00000000-0005-0000-0000-0000B73C0000}"/>
    <cellStyle name="Normal 2 2 6 3 2 3" xfId="5101" xr:uid="{00000000-0005-0000-0000-0000B83C0000}"/>
    <cellStyle name="Normal 2 2 6 3 2 3 2" xfId="35741" xr:uid="{00000000-0005-0000-0000-0000B93C0000}"/>
    <cellStyle name="Normal 2 2 6 3 2 4" xfId="5102" xr:uid="{00000000-0005-0000-0000-0000BA3C0000}"/>
    <cellStyle name="Normal 2 2 6 3 2 4 2" xfId="35742" xr:uid="{00000000-0005-0000-0000-0000BB3C0000}"/>
    <cellStyle name="Normal 2 2 6 3 2 5" xfId="35743" xr:uid="{00000000-0005-0000-0000-0000BC3C0000}"/>
    <cellStyle name="Normal 2 2 6 3 2_01-04-2012" xfId="5103" xr:uid="{00000000-0005-0000-0000-0000BD3C0000}"/>
    <cellStyle name="Normal 2 2 6 3 3" xfId="5104" xr:uid="{00000000-0005-0000-0000-0000BE3C0000}"/>
    <cellStyle name="Normal 2 2 6 3 3 2" xfId="5105" xr:uid="{00000000-0005-0000-0000-0000BF3C0000}"/>
    <cellStyle name="Normal 2 2 6 3 3 2 2" xfId="35744" xr:uid="{00000000-0005-0000-0000-0000C03C0000}"/>
    <cellStyle name="Normal 2 2 6 3 3 3" xfId="5106" xr:uid="{00000000-0005-0000-0000-0000C13C0000}"/>
    <cellStyle name="Normal 2 2 6 3 3 3 2" xfId="35745" xr:uid="{00000000-0005-0000-0000-0000C23C0000}"/>
    <cellStyle name="Normal 2 2 6 3 3 4" xfId="5107" xr:uid="{00000000-0005-0000-0000-0000C33C0000}"/>
    <cellStyle name="Normal 2 2 6 3 3 4 2" xfId="35746" xr:uid="{00000000-0005-0000-0000-0000C43C0000}"/>
    <cellStyle name="Normal 2 2 6 3 3 5" xfId="35747" xr:uid="{00000000-0005-0000-0000-0000C53C0000}"/>
    <cellStyle name="Normal 2 2 6 3 3_01-04-2012" xfId="5108" xr:uid="{00000000-0005-0000-0000-0000C63C0000}"/>
    <cellStyle name="Normal 2 2 6 3 4" xfId="5109" xr:uid="{00000000-0005-0000-0000-0000C73C0000}"/>
    <cellStyle name="Normal 2 2 6 3 4 2" xfId="5110" xr:uid="{00000000-0005-0000-0000-0000C83C0000}"/>
    <cellStyle name="Normal 2 2 6 3 4 2 2" xfId="35748" xr:uid="{00000000-0005-0000-0000-0000C93C0000}"/>
    <cellStyle name="Normal 2 2 6 3 4 3" xfId="5111" xr:uid="{00000000-0005-0000-0000-0000CA3C0000}"/>
    <cellStyle name="Normal 2 2 6 3 4 3 2" xfId="35749" xr:uid="{00000000-0005-0000-0000-0000CB3C0000}"/>
    <cellStyle name="Normal 2 2 6 3 4 4" xfId="5112" xr:uid="{00000000-0005-0000-0000-0000CC3C0000}"/>
    <cellStyle name="Normal 2 2 6 3 4 4 2" xfId="35750" xr:uid="{00000000-0005-0000-0000-0000CD3C0000}"/>
    <cellStyle name="Normal 2 2 6 3 4 5" xfId="35751" xr:uid="{00000000-0005-0000-0000-0000CE3C0000}"/>
    <cellStyle name="Normal 2 2 6 3 4_01-04-2012" xfId="5113" xr:uid="{00000000-0005-0000-0000-0000CF3C0000}"/>
    <cellStyle name="Normal 2 2 6 3 5" xfId="5114" xr:uid="{00000000-0005-0000-0000-0000D03C0000}"/>
    <cellStyle name="Normal 2 2 6 3 5 2" xfId="35752" xr:uid="{00000000-0005-0000-0000-0000D13C0000}"/>
    <cellStyle name="Normal 2 2 6 3 6" xfId="5115" xr:uid="{00000000-0005-0000-0000-0000D23C0000}"/>
    <cellStyle name="Normal 2 2 6 3 6 2" xfId="35753" xr:uid="{00000000-0005-0000-0000-0000D33C0000}"/>
    <cellStyle name="Normal 2 2 6 3 7" xfId="5116" xr:uid="{00000000-0005-0000-0000-0000D43C0000}"/>
    <cellStyle name="Normal 2 2 6 3 7 2" xfId="35754" xr:uid="{00000000-0005-0000-0000-0000D53C0000}"/>
    <cellStyle name="Normal 2 2 6 3 8" xfId="17396" xr:uid="{00000000-0005-0000-0000-0000D63C0000}"/>
    <cellStyle name="Normal 2 2 6 3 8 2" xfId="35755" xr:uid="{00000000-0005-0000-0000-0000D73C0000}"/>
    <cellStyle name="Normal 2 2 6 3 9" xfId="17397" xr:uid="{00000000-0005-0000-0000-0000D83C0000}"/>
    <cellStyle name="Normal 2 2 6 3_01-04-2012" xfId="5117" xr:uid="{00000000-0005-0000-0000-0000D93C0000}"/>
    <cellStyle name="Normal 2 2 6 30" xfId="17398" xr:uid="{00000000-0005-0000-0000-0000DA3C0000}"/>
    <cellStyle name="Normal 2 2 6 30 2" xfId="35756" xr:uid="{00000000-0005-0000-0000-0000DB3C0000}"/>
    <cellStyle name="Normal 2 2 6 4" xfId="5118" xr:uid="{00000000-0005-0000-0000-0000DC3C0000}"/>
    <cellStyle name="Normal 2 2 6 4 10" xfId="17399" xr:uid="{00000000-0005-0000-0000-0000DD3C0000}"/>
    <cellStyle name="Normal 2 2 6 4 2" xfId="5119" xr:uid="{00000000-0005-0000-0000-0000DE3C0000}"/>
    <cellStyle name="Normal 2 2 6 4 2 2" xfId="5120" xr:uid="{00000000-0005-0000-0000-0000DF3C0000}"/>
    <cellStyle name="Normal 2 2 6 4 2 2 2" xfId="35757" xr:uid="{00000000-0005-0000-0000-0000E03C0000}"/>
    <cellStyle name="Normal 2 2 6 4 2 3" xfId="5121" xr:uid="{00000000-0005-0000-0000-0000E13C0000}"/>
    <cellStyle name="Normal 2 2 6 4 2 3 2" xfId="35758" xr:uid="{00000000-0005-0000-0000-0000E23C0000}"/>
    <cellStyle name="Normal 2 2 6 4 2 4" xfId="5122" xr:uid="{00000000-0005-0000-0000-0000E33C0000}"/>
    <cellStyle name="Normal 2 2 6 4 2 4 2" xfId="35759" xr:uid="{00000000-0005-0000-0000-0000E43C0000}"/>
    <cellStyle name="Normal 2 2 6 4 2 5" xfId="35760" xr:uid="{00000000-0005-0000-0000-0000E53C0000}"/>
    <cellStyle name="Normal 2 2 6 4 2_01-04-2012" xfId="5123" xr:uid="{00000000-0005-0000-0000-0000E63C0000}"/>
    <cellStyle name="Normal 2 2 6 4 3" xfId="5124" xr:uid="{00000000-0005-0000-0000-0000E73C0000}"/>
    <cellStyle name="Normal 2 2 6 4 3 2" xfId="5125" xr:uid="{00000000-0005-0000-0000-0000E83C0000}"/>
    <cellStyle name="Normal 2 2 6 4 3 2 2" xfId="35761" xr:uid="{00000000-0005-0000-0000-0000E93C0000}"/>
    <cellStyle name="Normal 2 2 6 4 3 3" xfId="5126" xr:uid="{00000000-0005-0000-0000-0000EA3C0000}"/>
    <cellStyle name="Normal 2 2 6 4 3 3 2" xfId="35762" xr:uid="{00000000-0005-0000-0000-0000EB3C0000}"/>
    <cellStyle name="Normal 2 2 6 4 3 4" xfId="5127" xr:uid="{00000000-0005-0000-0000-0000EC3C0000}"/>
    <cellStyle name="Normal 2 2 6 4 3 4 2" xfId="35763" xr:uid="{00000000-0005-0000-0000-0000ED3C0000}"/>
    <cellStyle name="Normal 2 2 6 4 3 5" xfId="35764" xr:uid="{00000000-0005-0000-0000-0000EE3C0000}"/>
    <cellStyle name="Normal 2 2 6 4 3_01-04-2012" xfId="5128" xr:uid="{00000000-0005-0000-0000-0000EF3C0000}"/>
    <cellStyle name="Normal 2 2 6 4 4" xfId="5129" xr:uid="{00000000-0005-0000-0000-0000F03C0000}"/>
    <cellStyle name="Normal 2 2 6 4 4 2" xfId="5130" xr:uid="{00000000-0005-0000-0000-0000F13C0000}"/>
    <cellStyle name="Normal 2 2 6 4 4 2 2" xfId="35765" xr:uid="{00000000-0005-0000-0000-0000F23C0000}"/>
    <cellStyle name="Normal 2 2 6 4 4 3" xfId="5131" xr:uid="{00000000-0005-0000-0000-0000F33C0000}"/>
    <cellStyle name="Normal 2 2 6 4 4 3 2" xfId="35766" xr:uid="{00000000-0005-0000-0000-0000F43C0000}"/>
    <cellStyle name="Normal 2 2 6 4 4 4" xfId="5132" xr:uid="{00000000-0005-0000-0000-0000F53C0000}"/>
    <cellStyle name="Normal 2 2 6 4 4 4 2" xfId="35767" xr:uid="{00000000-0005-0000-0000-0000F63C0000}"/>
    <cellStyle name="Normal 2 2 6 4 4 5" xfId="35768" xr:uid="{00000000-0005-0000-0000-0000F73C0000}"/>
    <cellStyle name="Normal 2 2 6 4 4_01-04-2012" xfId="5133" xr:uid="{00000000-0005-0000-0000-0000F83C0000}"/>
    <cellStyle name="Normal 2 2 6 4 5" xfId="5134" xr:uid="{00000000-0005-0000-0000-0000F93C0000}"/>
    <cellStyle name="Normal 2 2 6 4 5 2" xfId="35769" xr:uid="{00000000-0005-0000-0000-0000FA3C0000}"/>
    <cellStyle name="Normal 2 2 6 4 6" xfId="5135" xr:uid="{00000000-0005-0000-0000-0000FB3C0000}"/>
    <cellStyle name="Normal 2 2 6 4 6 2" xfId="35770" xr:uid="{00000000-0005-0000-0000-0000FC3C0000}"/>
    <cellStyle name="Normal 2 2 6 4 7" xfId="5136" xr:uid="{00000000-0005-0000-0000-0000FD3C0000}"/>
    <cellStyle name="Normal 2 2 6 4 7 2" xfId="35771" xr:uid="{00000000-0005-0000-0000-0000FE3C0000}"/>
    <cellStyle name="Normal 2 2 6 4 8" xfId="17400" xr:uid="{00000000-0005-0000-0000-0000FF3C0000}"/>
    <cellStyle name="Normal 2 2 6 4 8 2" xfId="35772" xr:uid="{00000000-0005-0000-0000-0000003D0000}"/>
    <cellStyle name="Normal 2 2 6 4 9" xfId="17401" xr:uid="{00000000-0005-0000-0000-0000013D0000}"/>
    <cellStyle name="Normal 2 2 6 4_01-04-2012" xfId="5137" xr:uid="{00000000-0005-0000-0000-0000023D0000}"/>
    <cellStyle name="Normal 2 2 6 5" xfId="5138" xr:uid="{00000000-0005-0000-0000-0000033D0000}"/>
    <cellStyle name="Normal 2 2 6 5 2" xfId="5139" xr:uid="{00000000-0005-0000-0000-0000043D0000}"/>
    <cellStyle name="Normal 2 2 6 5 2 2" xfId="35773" xr:uid="{00000000-0005-0000-0000-0000053D0000}"/>
    <cellStyle name="Normal 2 2 6 5 3" xfId="5140" xr:uid="{00000000-0005-0000-0000-0000063D0000}"/>
    <cellStyle name="Normal 2 2 6 5 3 2" xfId="35774" xr:uid="{00000000-0005-0000-0000-0000073D0000}"/>
    <cellStyle name="Normal 2 2 6 5 4" xfId="5141" xr:uid="{00000000-0005-0000-0000-0000083D0000}"/>
    <cellStyle name="Normal 2 2 6 5 4 2" xfId="35775" xr:uid="{00000000-0005-0000-0000-0000093D0000}"/>
    <cellStyle name="Normal 2 2 6 5 5" xfId="17402" xr:uid="{00000000-0005-0000-0000-00000A3D0000}"/>
    <cellStyle name="Normal 2 2 6 5 5 2" xfId="35776" xr:uid="{00000000-0005-0000-0000-00000B3D0000}"/>
    <cellStyle name="Normal 2 2 6 5_01-04-2012" xfId="5142" xr:uid="{00000000-0005-0000-0000-00000C3D0000}"/>
    <cellStyle name="Normal 2 2 6 6" xfId="5143" xr:uid="{00000000-0005-0000-0000-00000D3D0000}"/>
    <cellStyle name="Normal 2 2 6 6 2" xfId="5144" xr:uid="{00000000-0005-0000-0000-00000E3D0000}"/>
    <cellStyle name="Normal 2 2 6 6 2 2" xfId="35777" xr:uid="{00000000-0005-0000-0000-00000F3D0000}"/>
    <cellStyle name="Normal 2 2 6 6 3" xfId="5145" xr:uid="{00000000-0005-0000-0000-0000103D0000}"/>
    <cellStyle name="Normal 2 2 6 6 3 2" xfId="35778" xr:uid="{00000000-0005-0000-0000-0000113D0000}"/>
    <cellStyle name="Normal 2 2 6 6 4" xfId="5146" xr:uid="{00000000-0005-0000-0000-0000123D0000}"/>
    <cellStyle name="Normal 2 2 6 6 4 2" xfId="35779" xr:uid="{00000000-0005-0000-0000-0000133D0000}"/>
    <cellStyle name="Normal 2 2 6 6 5" xfId="17403" xr:uid="{00000000-0005-0000-0000-0000143D0000}"/>
    <cellStyle name="Normal 2 2 6 6 5 2" xfId="35780" xr:uid="{00000000-0005-0000-0000-0000153D0000}"/>
    <cellStyle name="Normal 2 2 6 6_01-04-2012" xfId="5147" xr:uid="{00000000-0005-0000-0000-0000163D0000}"/>
    <cellStyle name="Normal 2 2 6 7" xfId="5148" xr:uid="{00000000-0005-0000-0000-0000173D0000}"/>
    <cellStyle name="Normal 2 2 6 7 2" xfId="5149" xr:uid="{00000000-0005-0000-0000-0000183D0000}"/>
    <cellStyle name="Normal 2 2 6 7 2 2" xfId="35781" xr:uid="{00000000-0005-0000-0000-0000193D0000}"/>
    <cellStyle name="Normal 2 2 6 7 3" xfId="5150" xr:uid="{00000000-0005-0000-0000-00001A3D0000}"/>
    <cellStyle name="Normal 2 2 6 7 3 2" xfId="35782" xr:uid="{00000000-0005-0000-0000-00001B3D0000}"/>
    <cellStyle name="Normal 2 2 6 7 4" xfId="5151" xr:uid="{00000000-0005-0000-0000-00001C3D0000}"/>
    <cellStyle name="Normal 2 2 6 7 4 2" xfId="35783" xr:uid="{00000000-0005-0000-0000-00001D3D0000}"/>
    <cellStyle name="Normal 2 2 6 7 5" xfId="17404" xr:uid="{00000000-0005-0000-0000-00001E3D0000}"/>
    <cellStyle name="Normal 2 2 6 7 5 2" xfId="35784" xr:uid="{00000000-0005-0000-0000-00001F3D0000}"/>
    <cellStyle name="Normal 2 2 6 7_01-04-2012" xfId="5152" xr:uid="{00000000-0005-0000-0000-0000203D0000}"/>
    <cellStyle name="Normal 2 2 6 8" xfId="5153" xr:uid="{00000000-0005-0000-0000-0000213D0000}"/>
    <cellStyle name="Normal 2 2 6 8 2" xfId="5154" xr:uid="{00000000-0005-0000-0000-0000223D0000}"/>
    <cellStyle name="Normal 2 2 6 8 2 2" xfId="35785" xr:uid="{00000000-0005-0000-0000-0000233D0000}"/>
    <cellStyle name="Normal 2 2 6 8 3" xfId="5155" xr:uid="{00000000-0005-0000-0000-0000243D0000}"/>
    <cellStyle name="Normal 2 2 6 8 3 2" xfId="35786" xr:uid="{00000000-0005-0000-0000-0000253D0000}"/>
    <cellStyle name="Normal 2 2 6 8 4" xfId="5156" xr:uid="{00000000-0005-0000-0000-0000263D0000}"/>
    <cellStyle name="Normal 2 2 6 8 4 2" xfId="35787" xr:uid="{00000000-0005-0000-0000-0000273D0000}"/>
    <cellStyle name="Normal 2 2 6 8 5" xfId="17405" xr:uid="{00000000-0005-0000-0000-0000283D0000}"/>
    <cellStyle name="Normal 2 2 6 8 5 2" xfId="35788" xr:uid="{00000000-0005-0000-0000-0000293D0000}"/>
    <cellStyle name="Normal 2 2 6 8_01-04-2012" xfId="5157" xr:uid="{00000000-0005-0000-0000-00002A3D0000}"/>
    <cellStyle name="Normal 2 2 6 9" xfId="5158" xr:uid="{00000000-0005-0000-0000-00002B3D0000}"/>
    <cellStyle name="Normal 2 2 6 9 2" xfId="5159" xr:uid="{00000000-0005-0000-0000-00002C3D0000}"/>
    <cellStyle name="Normal 2 2 6 9 2 2" xfId="35789" xr:uid="{00000000-0005-0000-0000-00002D3D0000}"/>
    <cellStyle name="Normal 2 2 6 9 3" xfId="5160" xr:uid="{00000000-0005-0000-0000-00002E3D0000}"/>
    <cellStyle name="Normal 2 2 6 9 3 2" xfId="35790" xr:uid="{00000000-0005-0000-0000-00002F3D0000}"/>
    <cellStyle name="Normal 2 2 6 9 4" xfId="5161" xr:uid="{00000000-0005-0000-0000-0000303D0000}"/>
    <cellStyle name="Normal 2 2 6 9 4 2" xfId="35791" xr:uid="{00000000-0005-0000-0000-0000313D0000}"/>
    <cellStyle name="Normal 2 2 6 9 5" xfId="35792" xr:uid="{00000000-0005-0000-0000-0000323D0000}"/>
    <cellStyle name="Normal 2 2 6 9_01-04-2012" xfId="5162" xr:uid="{00000000-0005-0000-0000-0000333D0000}"/>
    <cellStyle name="Normal 2 2 6_01-04-2012" xfId="5163" xr:uid="{00000000-0005-0000-0000-0000343D0000}"/>
    <cellStyle name="Normal 2 2 60" xfId="5164" xr:uid="{00000000-0005-0000-0000-0000353D0000}"/>
    <cellStyle name="Normal 2 2 61" xfId="5165" xr:uid="{00000000-0005-0000-0000-0000363D0000}"/>
    <cellStyle name="Normal 2 2 62" xfId="5166" xr:uid="{00000000-0005-0000-0000-0000373D0000}"/>
    <cellStyle name="Normal 2 2 62 2" xfId="5167" xr:uid="{00000000-0005-0000-0000-0000383D0000}"/>
    <cellStyle name="Normal 2 2 62 2 2" xfId="35793" xr:uid="{00000000-0005-0000-0000-0000393D0000}"/>
    <cellStyle name="Normal 2 2 62 3" xfId="5168" xr:uid="{00000000-0005-0000-0000-00003A3D0000}"/>
    <cellStyle name="Normal 2 2 62 3 2" xfId="35794" xr:uid="{00000000-0005-0000-0000-00003B3D0000}"/>
    <cellStyle name="Normal 2 2 62 4" xfId="5169" xr:uid="{00000000-0005-0000-0000-00003C3D0000}"/>
    <cellStyle name="Normal 2 2 62 4 2" xfId="35795" xr:uid="{00000000-0005-0000-0000-00003D3D0000}"/>
    <cellStyle name="Normal 2 2 62 5" xfId="35796" xr:uid="{00000000-0005-0000-0000-00003E3D0000}"/>
    <cellStyle name="Normal 2 2 62_01-04-2012" xfId="5170" xr:uid="{00000000-0005-0000-0000-00003F3D0000}"/>
    <cellStyle name="Normal 2 2 63" xfId="5171" xr:uid="{00000000-0005-0000-0000-0000403D0000}"/>
    <cellStyle name="Normal 2 2 63 2" xfId="5172" xr:uid="{00000000-0005-0000-0000-0000413D0000}"/>
    <cellStyle name="Normal 2 2 63 2 2" xfId="35797" xr:uid="{00000000-0005-0000-0000-0000423D0000}"/>
    <cellStyle name="Normal 2 2 63 3" xfId="5173" xr:uid="{00000000-0005-0000-0000-0000433D0000}"/>
    <cellStyle name="Normal 2 2 63 3 2" xfId="35798" xr:uid="{00000000-0005-0000-0000-0000443D0000}"/>
    <cellStyle name="Normal 2 2 63 4" xfId="5174" xr:uid="{00000000-0005-0000-0000-0000453D0000}"/>
    <cellStyle name="Normal 2 2 63 4 2" xfId="35799" xr:uid="{00000000-0005-0000-0000-0000463D0000}"/>
    <cellStyle name="Normal 2 2 63 5" xfId="35800" xr:uid="{00000000-0005-0000-0000-0000473D0000}"/>
    <cellStyle name="Normal 2 2 63_01-04-2012" xfId="5175" xr:uid="{00000000-0005-0000-0000-0000483D0000}"/>
    <cellStyle name="Normal 2 2 64" xfId="5176" xr:uid="{00000000-0005-0000-0000-0000493D0000}"/>
    <cellStyle name="Normal 2 2 64 2" xfId="5177" xr:uid="{00000000-0005-0000-0000-00004A3D0000}"/>
    <cellStyle name="Normal 2 2 64 2 2" xfId="35801" xr:uid="{00000000-0005-0000-0000-00004B3D0000}"/>
    <cellStyle name="Normal 2 2 64 3" xfId="5178" xr:uid="{00000000-0005-0000-0000-00004C3D0000}"/>
    <cellStyle name="Normal 2 2 64 3 2" xfId="35802" xr:uid="{00000000-0005-0000-0000-00004D3D0000}"/>
    <cellStyle name="Normal 2 2 64 4" xfId="5179" xr:uid="{00000000-0005-0000-0000-00004E3D0000}"/>
    <cellStyle name="Normal 2 2 64 4 2" xfId="35803" xr:uid="{00000000-0005-0000-0000-00004F3D0000}"/>
    <cellStyle name="Normal 2 2 64 5" xfId="35804" xr:uid="{00000000-0005-0000-0000-0000503D0000}"/>
    <cellStyle name="Normal 2 2 64_01-04-2012" xfId="5180" xr:uid="{00000000-0005-0000-0000-0000513D0000}"/>
    <cellStyle name="Normal 2 2 65" xfId="5181" xr:uid="{00000000-0005-0000-0000-0000523D0000}"/>
    <cellStyle name="Normal 2 2 66" xfId="5182" xr:uid="{00000000-0005-0000-0000-0000533D0000}"/>
    <cellStyle name="Normal 2 2 67" xfId="5183" xr:uid="{00000000-0005-0000-0000-0000543D0000}"/>
    <cellStyle name="Normal 2 2 67 2" xfId="5184" xr:uid="{00000000-0005-0000-0000-0000553D0000}"/>
    <cellStyle name="Normal 2 2 67 2 2" xfId="35805" xr:uid="{00000000-0005-0000-0000-0000563D0000}"/>
    <cellStyle name="Normal 2 2 67 3" xfId="5185" xr:uid="{00000000-0005-0000-0000-0000573D0000}"/>
    <cellStyle name="Normal 2 2 67 3 2" xfId="35806" xr:uid="{00000000-0005-0000-0000-0000583D0000}"/>
    <cellStyle name="Normal 2 2 67 4" xfId="5186" xr:uid="{00000000-0005-0000-0000-0000593D0000}"/>
    <cellStyle name="Normal 2 2 67 4 2" xfId="35807" xr:uid="{00000000-0005-0000-0000-00005A3D0000}"/>
    <cellStyle name="Normal 2 2 67 5" xfId="35808" xr:uid="{00000000-0005-0000-0000-00005B3D0000}"/>
    <cellStyle name="Normal 2 2 67_01-04-2012" xfId="5187" xr:uid="{00000000-0005-0000-0000-00005C3D0000}"/>
    <cellStyle name="Normal 2 2 68" xfId="5188" xr:uid="{00000000-0005-0000-0000-00005D3D0000}"/>
    <cellStyle name="Normal 2 2 68 2" xfId="5189" xr:uid="{00000000-0005-0000-0000-00005E3D0000}"/>
    <cellStyle name="Normal 2 2 68 2 2" xfId="35809" xr:uid="{00000000-0005-0000-0000-00005F3D0000}"/>
    <cellStyle name="Normal 2 2 68 3" xfId="5190" xr:uid="{00000000-0005-0000-0000-0000603D0000}"/>
    <cellStyle name="Normal 2 2 68 3 2" xfId="35810" xr:uid="{00000000-0005-0000-0000-0000613D0000}"/>
    <cellStyle name="Normal 2 2 68 4" xfId="5191" xr:uid="{00000000-0005-0000-0000-0000623D0000}"/>
    <cellStyle name="Normal 2 2 68 4 2" xfId="35811" xr:uid="{00000000-0005-0000-0000-0000633D0000}"/>
    <cellStyle name="Normal 2 2 68 5" xfId="35812" xr:uid="{00000000-0005-0000-0000-0000643D0000}"/>
    <cellStyle name="Normal 2 2 68_01-04-2012" xfId="5192" xr:uid="{00000000-0005-0000-0000-0000653D0000}"/>
    <cellStyle name="Normal 2 2 69" xfId="5193" xr:uid="{00000000-0005-0000-0000-0000663D0000}"/>
    <cellStyle name="Normal 2 2 69 2" xfId="5194" xr:uid="{00000000-0005-0000-0000-0000673D0000}"/>
    <cellStyle name="Normal 2 2 69 2 2" xfId="35813" xr:uid="{00000000-0005-0000-0000-0000683D0000}"/>
    <cellStyle name="Normal 2 2 69 3" xfId="5195" xr:uid="{00000000-0005-0000-0000-0000693D0000}"/>
    <cellStyle name="Normal 2 2 69 3 2" xfId="35814" xr:uid="{00000000-0005-0000-0000-00006A3D0000}"/>
    <cellStyle name="Normal 2 2 69 4" xfId="5196" xr:uid="{00000000-0005-0000-0000-00006B3D0000}"/>
    <cellStyle name="Normal 2 2 69 4 2" xfId="35815" xr:uid="{00000000-0005-0000-0000-00006C3D0000}"/>
    <cellStyle name="Normal 2 2 69 5" xfId="35816" xr:uid="{00000000-0005-0000-0000-00006D3D0000}"/>
    <cellStyle name="Normal 2 2 69_01-04-2012" xfId="5197" xr:uid="{00000000-0005-0000-0000-00006E3D0000}"/>
    <cellStyle name="Normal 2 2 7" xfId="5198" xr:uid="{00000000-0005-0000-0000-00006F3D0000}"/>
    <cellStyle name="Normal 2 2 7 10" xfId="5199" xr:uid="{00000000-0005-0000-0000-0000703D0000}"/>
    <cellStyle name="Normal 2 2 7 11" xfId="5200" xr:uid="{00000000-0005-0000-0000-0000713D0000}"/>
    <cellStyle name="Normal 2 2 7 12" xfId="5201" xr:uid="{00000000-0005-0000-0000-0000723D0000}"/>
    <cellStyle name="Normal 2 2 7 13" xfId="5202" xr:uid="{00000000-0005-0000-0000-0000733D0000}"/>
    <cellStyle name="Normal 2 2 7 14" xfId="5203" xr:uid="{00000000-0005-0000-0000-0000743D0000}"/>
    <cellStyle name="Normal 2 2 7 15" xfId="5204" xr:uid="{00000000-0005-0000-0000-0000753D0000}"/>
    <cellStyle name="Normal 2 2 7 16" xfId="5205" xr:uid="{00000000-0005-0000-0000-0000763D0000}"/>
    <cellStyle name="Normal 2 2 7 17" xfId="5206" xr:uid="{00000000-0005-0000-0000-0000773D0000}"/>
    <cellStyle name="Normal 2 2 7 18" xfId="5207" xr:uid="{00000000-0005-0000-0000-0000783D0000}"/>
    <cellStyle name="Normal 2 2 7 19" xfId="5208" xr:uid="{00000000-0005-0000-0000-0000793D0000}"/>
    <cellStyle name="Normal 2 2 7 2" xfId="5209" xr:uid="{00000000-0005-0000-0000-00007A3D0000}"/>
    <cellStyle name="Normal 2 2 7 2 2" xfId="5210" xr:uid="{00000000-0005-0000-0000-00007B3D0000}"/>
    <cellStyle name="Normal 2 2 7 2 2 2" xfId="5211" xr:uid="{00000000-0005-0000-0000-00007C3D0000}"/>
    <cellStyle name="Normal 2 2 7 2 2 2 2" xfId="35817" xr:uid="{00000000-0005-0000-0000-00007D3D0000}"/>
    <cellStyle name="Normal 2 2 7 2 2 3" xfId="5212" xr:uid="{00000000-0005-0000-0000-00007E3D0000}"/>
    <cellStyle name="Normal 2 2 7 2 2 3 2" xfId="35818" xr:uid="{00000000-0005-0000-0000-00007F3D0000}"/>
    <cellStyle name="Normal 2 2 7 2 2 4" xfId="5213" xr:uid="{00000000-0005-0000-0000-0000803D0000}"/>
    <cellStyle name="Normal 2 2 7 2 2 4 2" xfId="35819" xr:uid="{00000000-0005-0000-0000-0000813D0000}"/>
    <cellStyle name="Normal 2 2 7 2 2 5" xfId="17406" xr:uid="{00000000-0005-0000-0000-0000823D0000}"/>
    <cellStyle name="Normal 2 2 7 2 2 5 2" xfId="35820" xr:uid="{00000000-0005-0000-0000-0000833D0000}"/>
    <cellStyle name="Normal 2 2 7 2 2_01-04-2012" xfId="5214" xr:uid="{00000000-0005-0000-0000-0000843D0000}"/>
    <cellStyle name="Normal 2 2 7 2 3" xfId="5215" xr:uid="{00000000-0005-0000-0000-0000853D0000}"/>
    <cellStyle name="Normal 2 2 7 2 3 2" xfId="5216" xr:uid="{00000000-0005-0000-0000-0000863D0000}"/>
    <cellStyle name="Normal 2 2 7 2 3 2 2" xfId="35821" xr:uid="{00000000-0005-0000-0000-0000873D0000}"/>
    <cellStyle name="Normal 2 2 7 2 3 3" xfId="5217" xr:uid="{00000000-0005-0000-0000-0000883D0000}"/>
    <cellStyle name="Normal 2 2 7 2 3 3 2" xfId="35822" xr:uid="{00000000-0005-0000-0000-0000893D0000}"/>
    <cellStyle name="Normal 2 2 7 2 3 4" xfId="5218" xr:uid="{00000000-0005-0000-0000-00008A3D0000}"/>
    <cellStyle name="Normal 2 2 7 2 3 4 2" xfId="35823" xr:uid="{00000000-0005-0000-0000-00008B3D0000}"/>
    <cellStyle name="Normal 2 2 7 2 3 5" xfId="17407" xr:uid="{00000000-0005-0000-0000-00008C3D0000}"/>
    <cellStyle name="Normal 2 2 7 2 3 5 2" xfId="35824" xr:uid="{00000000-0005-0000-0000-00008D3D0000}"/>
    <cellStyle name="Normal 2 2 7 2 3_01-04-2012" xfId="5219" xr:uid="{00000000-0005-0000-0000-00008E3D0000}"/>
    <cellStyle name="Normal 2 2 7 2 4" xfId="5220" xr:uid="{00000000-0005-0000-0000-00008F3D0000}"/>
    <cellStyle name="Normal 2 2 7 2 4 2" xfId="5221" xr:uid="{00000000-0005-0000-0000-0000903D0000}"/>
    <cellStyle name="Normal 2 2 7 2 4 2 2" xfId="35825" xr:uid="{00000000-0005-0000-0000-0000913D0000}"/>
    <cellStyle name="Normal 2 2 7 2 4 3" xfId="5222" xr:uid="{00000000-0005-0000-0000-0000923D0000}"/>
    <cellStyle name="Normal 2 2 7 2 4 3 2" xfId="35826" xr:uid="{00000000-0005-0000-0000-0000933D0000}"/>
    <cellStyle name="Normal 2 2 7 2 4 4" xfId="5223" xr:uid="{00000000-0005-0000-0000-0000943D0000}"/>
    <cellStyle name="Normal 2 2 7 2 4 4 2" xfId="35827" xr:uid="{00000000-0005-0000-0000-0000953D0000}"/>
    <cellStyle name="Normal 2 2 7 2 4 5" xfId="17408" xr:uid="{00000000-0005-0000-0000-0000963D0000}"/>
    <cellStyle name="Normal 2 2 7 2 4 5 2" xfId="35828" xr:uid="{00000000-0005-0000-0000-0000973D0000}"/>
    <cellStyle name="Normal 2 2 7 2 4_01-04-2012" xfId="5224" xr:uid="{00000000-0005-0000-0000-0000983D0000}"/>
    <cellStyle name="Normal 2 2 7 2 5" xfId="5225" xr:uid="{00000000-0005-0000-0000-0000993D0000}"/>
    <cellStyle name="Normal 2 2 7 2 5 2" xfId="17409" xr:uid="{00000000-0005-0000-0000-00009A3D0000}"/>
    <cellStyle name="Normal 2 2 7 2 5 2 2" xfId="35829" xr:uid="{00000000-0005-0000-0000-00009B3D0000}"/>
    <cellStyle name="Normal 2 2 7 2 6" xfId="5226" xr:uid="{00000000-0005-0000-0000-00009C3D0000}"/>
    <cellStyle name="Normal 2 2 7 2 6 2" xfId="17410" xr:uid="{00000000-0005-0000-0000-00009D3D0000}"/>
    <cellStyle name="Normal 2 2 7 2 6 2 2" xfId="35830" xr:uid="{00000000-0005-0000-0000-00009E3D0000}"/>
    <cellStyle name="Normal 2 2 7 2 7" xfId="5227" xr:uid="{00000000-0005-0000-0000-00009F3D0000}"/>
    <cellStyle name="Normal 2 2 7 2 7 2" xfId="17411" xr:uid="{00000000-0005-0000-0000-0000A03D0000}"/>
    <cellStyle name="Normal 2 2 7 2 7 2 2" xfId="35831" xr:uid="{00000000-0005-0000-0000-0000A13D0000}"/>
    <cellStyle name="Normal 2 2 7 2 8" xfId="17412" xr:uid="{00000000-0005-0000-0000-0000A23D0000}"/>
    <cellStyle name="Normal 2 2 7 2 8 2" xfId="35832" xr:uid="{00000000-0005-0000-0000-0000A33D0000}"/>
    <cellStyle name="Normal 2 2 7 2_01-04-2012" xfId="5228" xr:uid="{00000000-0005-0000-0000-0000A43D0000}"/>
    <cellStyle name="Normal 2 2 7 20" xfId="5229" xr:uid="{00000000-0005-0000-0000-0000A53D0000}"/>
    <cellStyle name="Normal 2 2 7 21" xfId="5230" xr:uid="{00000000-0005-0000-0000-0000A63D0000}"/>
    <cellStyle name="Normal 2 2 7 22" xfId="5231" xr:uid="{00000000-0005-0000-0000-0000A73D0000}"/>
    <cellStyle name="Normal 2 2 7 23" xfId="5232" xr:uid="{00000000-0005-0000-0000-0000A83D0000}"/>
    <cellStyle name="Normal 2 2 7 24" xfId="5233" xr:uid="{00000000-0005-0000-0000-0000A93D0000}"/>
    <cellStyle name="Normal 2 2 7 25" xfId="5234" xr:uid="{00000000-0005-0000-0000-0000AA3D0000}"/>
    <cellStyle name="Normal 2 2 7 26" xfId="5235" xr:uid="{00000000-0005-0000-0000-0000AB3D0000}"/>
    <cellStyle name="Normal 2 2 7 26 2" xfId="35833" xr:uid="{00000000-0005-0000-0000-0000AC3D0000}"/>
    <cellStyle name="Normal 2 2 7 27" xfId="5236" xr:uid="{00000000-0005-0000-0000-0000AD3D0000}"/>
    <cellStyle name="Normal 2 2 7 27 2" xfId="35834" xr:uid="{00000000-0005-0000-0000-0000AE3D0000}"/>
    <cellStyle name="Normal 2 2 7 28" xfId="5237" xr:uid="{00000000-0005-0000-0000-0000AF3D0000}"/>
    <cellStyle name="Normal 2 2 7 28 2" xfId="35835" xr:uid="{00000000-0005-0000-0000-0000B03D0000}"/>
    <cellStyle name="Normal 2 2 7 29" xfId="5238" xr:uid="{00000000-0005-0000-0000-0000B13D0000}"/>
    <cellStyle name="Normal 2 2 7 29 2" xfId="35836" xr:uid="{00000000-0005-0000-0000-0000B23D0000}"/>
    <cellStyle name="Normal 2 2 7 3" xfId="5239" xr:uid="{00000000-0005-0000-0000-0000B33D0000}"/>
    <cellStyle name="Normal 2 2 7 3 10" xfId="17413" xr:uid="{00000000-0005-0000-0000-0000B43D0000}"/>
    <cellStyle name="Normal 2 2 7 3 2" xfId="5240" xr:uid="{00000000-0005-0000-0000-0000B53D0000}"/>
    <cellStyle name="Normal 2 2 7 3 2 2" xfId="5241" xr:uid="{00000000-0005-0000-0000-0000B63D0000}"/>
    <cellStyle name="Normal 2 2 7 3 2 2 2" xfId="35837" xr:uid="{00000000-0005-0000-0000-0000B73D0000}"/>
    <cellStyle name="Normal 2 2 7 3 2 3" xfId="5242" xr:uid="{00000000-0005-0000-0000-0000B83D0000}"/>
    <cellStyle name="Normal 2 2 7 3 2 3 2" xfId="35838" xr:uid="{00000000-0005-0000-0000-0000B93D0000}"/>
    <cellStyle name="Normal 2 2 7 3 2 4" xfId="5243" xr:uid="{00000000-0005-0000-0000-0000BA3D0000}"/>
    <cellStyle name="Normal 2 2 7 3 2 4 2" xfId="35839" xr:uid="{00000000-0005-0000-0000-0000BB3D0000}"/>
    <cellStyle name="Normal 2 2 7 3 2 5" xfId="35840" xr:uid="{00000000-0005-0000-0000-0000BC3D0000}"/>
    <cellStyle name="Normal 2 2 7 3 2_01-04-2012" xfId="5244" xr:uid="{00000000-0005-0000-0000-0000BD3D0000}"/>
    <cellStyle name="Normal 2 2 7 3 3" xfId="5245" xr:uid="{00000000-0005-0000-0000-0000BE3D0000}"/>
    <cellStyle name="Normal 2 2 7 3 3 2" xfId="5246" xr:uid="{00000000-0005-0000-0000-0000BF3D0000}"/>
    <cellStyle name="Normal 2 2 7 3 3 2 2" xfId="35841" xr:uid="{00000000-0005-0000-0000-0000C03D0000}"/>
    <cellStyle name="Normal 2 2 7 3 3 3" xfId="5247" xr:uid="{00000000-0005-0000-0000-0000C13D0000}"/>
    <cellStyle name="Normal 2 2 7 3 3 3 2" xfId="35842" xr:uid="{00000000-0005-0000-0000-0000C23D0000}"/>
    <cellStyle name="Normal 2 2 7 3 3 4" xfId="5248" xr:uid="{00000000-0005-0000-0000-0000C33D0000}"/>
    <cellStyle name="Normal 2 2 7 3 3 4 2" xfId="35843" xr:uid="{00000000-0005-0000-0000-0000C43D0000}"/>
    <cellStyle name="Normal 2 2 7 3 3 5" xfId="35844" xr:uid="{00000000-0005-0000-0000-0000C53D0000}"/>
    <cellStyle name="Normal 2 2 7 3 3_01-04-2012" xfId="5249" xr:uid="{00000000-0005-0000-0000-0000C63D0000}"/>
    <cellStyle name="Normal 2 2 7 3 4" xfId="5250" xr:uid="{00000000-0005-0000-0000-0000C73D0000}"/>
    <cellStyle name="Normal 2 2 7 3 4 2" xfId="5251" xr:uid="{00000000-0005-0000-0000-0000C83D0000}"/>
    <cellStyle name="Normal 2 2 7 3 4 2 2" xfId="35845" xr:uid="{00000000-0005-0000-0000-0000C93D0000}"/>
    <cellStyle name="Normal 2 2 7 3 4 3" xfId="5252" xr:uid="{00000000-0005-0000-0000-0000CA3D0000}"/>
    <cellStyle name="Normal 2 2 7 3 4 3 2" xfId="35846" xr:uid="{00000000-0005-0000-0000-0000CB3D0000}"/>
    <cellStyle name="Normal 2 2 7 3 4 4" xfId="5253" xr:uid="{00000000-0005-0000-0000-0000CC3D0000}"/>
    <cellStyle name="Normal 2 2 7 3 4 4 2" xfId="35847" xr:uid="{00000000-0005-0000-0000-0000CD3D0000}"/>
    <cellStyle name="Normal 2 2 7 3 4 5" xfId="35848" xr:uid="{00000000-0005-0000-0000-0000CE3D0000}"/>
    <cellStyle name="Normal 2 2 7 3 4_01-04-2012" xfId="5254" xr:uid="{00000000-0005-0000-0000-0000CF3D0000}"/>
    <cellStyle name="Normal 2 2 7 3 5" xfId="5255" xr:uid="{00000000-0005-0000-0000-0000D03D0000}"/>
    <cellStyle name="Normal 2 2 7 3 5 2" xfId="35849" xr:uid="{00000000-0005-0000-0000-0000D13D0000}"/>
    <cellStyle name="Normal 2 2 7 3 6" xfId="5256" xr:uid="{00000000-0005-0000-0000-0000D23D0000}"/>
    <cellStyle name="Normal 2 2 7 3 6 2" xfId="35850" xr:uid="{00000000-0005-0000-0000-0000D33D0000}"/>
    <cellStyle name="Normal 2 2 7 3 7" xfId="5257" xr:uid="{00000000-0005-0000-0000-0000D43D0000}"/>
    <cellStyle name="Normal 2 2 7 3 7 2" xfId="35851" xr:uid="{00000000-0005-0000-0000-0000D53D0000}"/>
    <cellStyle name="Normal 2 2 7 3 8" xfId="17414" xr:uid="{00000000-0005-0000-0000-0000D63D0000}"/>
    <cellStyle name="Normal 2 2 7 3 8 2" xfId="35852" xr:uid="{00000000-0005-0000-0000-0000D73D0000}"/>
    <cellStyle name="Normal 2 2 7 3 9" xfId="17415" xr:uid="{00000000-0005-0000-0000-0000D83D0000}"/>
    <cellStyle name="Normal 2 2 7 3_01-04-2012" xfId="5258" xr:uid="{00000000-0005-0000-0000-0000D93D0000}"/>
    <cellStyle name="Normal 2 2 7 30" xfId="17416" xr:uid="{00000000-0005-0000-0000-0000DA3D0000}"/>
    <cellStyle name="Normal 2 2 7 30 2" xfId="35853" xr:uid="{00000000-0005-0000-0000-0000DB3D0000}"/>
    <cellStyle name="Normal 2 2 7 4" xfId="5259" xr:uid="{00000000-0005-0000-0000-0000DC3D0000}"/>
    <cellStyle name="Normal 2 2 7 4 10" xfId="17417" xr:uid="{00000000-0005-0000-0000-0000DD3D0000}"/>
    <cellStyle name="Normal 2 2 7 4 2" xfId="5260" xr:uid="{00000000-0005-0000-0000-0000DE3D0000}"/>
    <cellStyle name="Normal 2 2 7 4 2 2" xfId="5261" xr:uid="{00000000-0005-0000-0000-0000DF3D0000}"/>
    <cellStyle name="Normal 2 2 7 4 2 2 2" xfId="35854" xr:uid="{00000000-0005-0000-0000-0000E03D0000}"/>
    <cellStyle name="Normal 2 2 7 4 2 3" xfId="5262" xr:uid="{00000000-0005-0000-0000-0000E13D0000}"/>
    <cellStyle name="Normal 2 2 7 4 2 3 2" xfId="35855" xr:uid="{00000000-0005-0000-0000-0000E23D0000}"/>
    <cellStyle name="Normal 2 2 7 4 2 4" xfId="5263" xr:uid="{00000000-0005-0000-0000-0000E33D0000}"/>
    <cellStyle name="Normal 2 2 7 4 2 4 2" xfId="35856" xr:uid="{00000000-0005-0000-0000-0000E43D0000}"/>
    <cellStyle name="Normal 2 2 7 4 2 5" xfId="35857" xr:uid="{00000000-0005-0000-0000-0000E53D0000}"/>
    <cellStyle name="Normal 2 2 7 4 2_01-04-2012" xfId="5264" xr:uid="{00000000-0005-0000-0000-0000E63D0000}"/>
    <cellStyle name="Normal 2 2 7 4 3" xfId="5265" xr:uid="{00000000-0005-0000-0000-0000E73D0000}"/>
    <cellStyle name="Normal 2 2 7 4 3 2" xfId="5266" xr:uid="{00000000-0005-0000-0000-0000E83D0000}"/>
    <cellStyle name="Normal 2 2 7 4 3 2 2" xfId="35858" xr:uid="{00000000-0005-0000-0000-0000E93D0000}"/>
    <cellStyle name="Normal 2 2 7 4 3 3" xfId="5267" xr:uid="{00000000-0005-0000-0000-0000EA3D0000}"/>
    <cellStyle name="Normal 2 2 7 4 3 3 2" xfId="35859" xr:uid="{00000000-0005-0000-0000-0000EB3D0000}"/>
    <cellStyle name="Normal 2 2 7 4 3 4" xfId="5268" xr:uid="{00000000-0005-0000-0000-0000EC3D0000}"/>
    <cellStyle name="Normal 2 2 7 4 3 4 2" xfId="35860" xr:uid="{00000000-0005-0000-0000-0000ED3D0000}"/>
    <cellStyle name="Normal 2 2 7 4 3 5" xfId="35861" xr:uid="{00000000-0005-0000-0000-0000EE3D0000}"/>
    <cellStyle name="Normal 2 2 7 4 3_01-04-2012" xfId="5269" xr:uid="{00000000-0005-0000-0000-0000EF3D0000}"/>
    <cellStyle name="Normal 2 2 7 4 4" xfId="5270" xr:uid="{00000000-0005-0000-0000-0000F03D0000}"/>
    <cellStyle name="Normal 2 2 7 4 4 2" xfId="5271" xr:uid="{00000000-0005-0000-0000-0000F13D0000}"/>
    <cellStyle name="Normal 2 2 7 4 4 2 2" xfId="35862" xr:uid="{00000000-0005-0000-0000-0000F23D0000}"/>
    <cellStyle name="Normal 2 2 7 4 4 3" xfId="5272" xr:uid="{00000000-0005-0000-0000-0000F33D0000}"/>
    <cellStyle name="Normal 2 2 7 4 4 3 2" xfId="35863" xr:uid="{00000000-0005-0000-0000-0000F43D0000}"/>
    <cellStyle name="Normal 2 2 7 4 4 4" xfId="5273" xr:uid="{00000000-0005-0000-0000-0000F53D0000}"/>
    <cellStyle name="Normal 2 2 7 4 4 4 2" xfId="35864" xr:uid="{00000000-0005-0000-0000-0000F63D0000}"/>
    <cellStyle name="Normal 2 2 7 4 4 5" xfId="35865" xr:uid="{00000000-0005-0000-0000-0000F73D0000}"/>
    <cellStyle name="Normal 2 2 7 4 4_01-04-2012" xfId="5274" xr:uid="{00000000-0005-0000-0000-0000F83D0000}"/>
    <cellStyle name="Normal 2 2 7 4 5" xfId="5275" xr:uid="{00000000-0005-0000-0000-0000F93D0000}"/>
    <cellStyle name="Normal 2 2 7 4 5 2" xfId="35866" xr:uid="{00000000-0005-0000-0000-0000FA3D0000}"/>
    <cellStyle name="Normal 2 2 7 4 6" xfId="5276" xr:uid="{00000000-0005-0000-0000-0000FB3D0000}"/>
    <cellStyle name="Normal 2 2 7 4 6 2" xfId="35867" xr:uid="{00000000-0005-0000-0000-0000FC3D0000}"/>
    <cellStyle name="Normal 2 2 7 4 7" xfId="5277" xr:uid="{00000000-0005-0000-0000-0000FD3D0000}"/>
    <cellStyle name="Normal 2 2 7 4 7 2" xfId="35868" xr:uid="{00000000-0005-0000-0000-0000FE3D0000}"/>
    <cellStyle name="Normal 2 2 7 4 8" xfId="17418" xr:uid="{00000000-0005-0000-0000-0000FF3D0000}"/>
    <cellStyle name="Normal 2 2 7 4 8 2" xfId="35869" xr:uid="{00000000-0005-0000-0000-0000003E0000}"/>
    <cellStyle name="Normal 2 2 7 4 9" xfId="17419" xr:uid="{00000000-0005-0000-0000-0000013E0000}"/>
    <cellStyle name="Normal 2 2 7 4_01-04-2012" xfId="5278" xr:uid="{00000000-0005-0000-0000-0000023E0000}"/>
    <cellStyle name="Normal 2 2 7 5" xfId="5279" xr:uid="{00000000-0005-0000-0000-0000033E0000}"/>
    <cellStyle name="Normal 2 2 7 5 2" xfId="5280" xr:uid="{00000000-0005-0000-0000-0000043E0000}"/>
    <cellStyle name="Normal 2 2 7 5 2 2" xfId="35870" xr:uid="{00000000-0005-0000-0000-0000053E0000}"/>
    <cellStyle name="Normal 2 2 7 5 3" xfId="5281" xr:uid="{00000000-0005-0000-0000-0000063E0000}"/>
    <cellStyle name="Normal 2 2 7 5 3 2" xfId="35871" xr:uid="{00000000-0005-0000-0000-0000073E0000}"/>
    <cellStyle name="Normal 2 2 7 5 4" xfId="5282" xr:uid="{00000000-0005-0000-0000-0000083E0000}"/>
    <cellStyle name="Normal 2 2 7 5 4 2" xfId="35872" xr:uid="{00000000-0005-0000-0000-0000093E0000}"/>
    <cellStyle name="Normal 2 2 7 5 5" xfId="17420" xr:uid="{00000000-0005-0000-0000-00000A3E0000}"/>
    <cellStyle name="Normal 2 2 7 5 5 2" xfId="35873" xr:uid="{00000000-0005-0000-0000-00000B3E0000}"/>
    <cellStyle name="Normal 2 2 7 5_01-04-2012" xfId="5283" xr:uid="{00000000-0005-0000-0000-00000C3E0000}"/>
    <cellStyle name="Normal 2 2 7 6" xfId="5284" xr:uid="{00000000-0005-0000-0000-00000D3E0000}"/>
    <cellStyle name="Normal 2 2 7 6 2" xfId="5285" xr:uid="{00000000-0005-0000-0000-00000E3E0000}"/>
    <cellStyle name="Normal 2 2 7 6 2 2" xfId="35874" xr:uid="{00000000-0005-0000-0000-00000F3E0000}"/>
    <cellStyle name="Normal 2 2 7 6 3" xfId="5286" xr:uid="{00000000-0005-0000-0000-0000103E0000}"/>
    <cellStyle name="Normal 2 2 7 6 3 2" xfId="35875" xr:uid="{00000000-0005-0000-0000-0000113E0000}"/>
    <cellStyle name="Normal 2 2 7 6 4" xfId="5287" xr:uid="{00000000-0005-0000-0000-0000123E0000}"/>
    <cellStyle name="Normal 2 2 7 6 4 2" xfId="35876" xr:uid="{00000000-0005-0000-0000-0000133E0000}"/>
    <cellStyle name="Normal 2 2 7 6 5" xfId="17421" xr:uid="{00000000-0005-0000-0000-0000143E0000}"/>
    <cellStyle name="Normal 2 2 7 6 5 2" xfId="35877" xr:uid="{00000000-0005-0000-0000-0000153E0000}"/>
    <cellStyle name="Normal 2 2 7 6_01-04-2012" xfId="5288" xr:uid="{00000000-0005-0000-0000-0000163E0000}"/>
    <cellStyle name="Normal 2 2 7 7" xfId="5289" xr:uid="{00000000-0005-0000-0000-0000173E0000}"/>
    <cellStyle name="Normal 2 2 7 7 2" xfId="5290" xr:uid="{00000000-0005-0000-0000-0000183E0000}"/>
    <cellStyle name="Normal 2 2 7 7 2 2" xfId="35878" xr:uid="{00000000-0005-0000-0000-0000193E0000}"/>
    <cellStyle name="Normal 2 2 7 7 3" xfId="5291" xr:uid="{00000000-0005-0000-0000-00001A3E0000}"/>
    <cellStyle name="Normal 2 2 7 7 3 2" xfId="35879" xr:uid="{00000000-0005-0000-0000-00001B3E0000}"/>
    <cellStyle name="Normal 2 2 7 7 4" xfId="5292" xr:uid="{00000000-0005-0000-0000-00001C3E0000}"/>
    <cellStyle name="Normal 2 2 7 7 4 2" xfId="35880" xr:uid="{00000000-0005-0000-0000-00001D3E0000}"/>
    <cellStyle name="Normal 2 2 7 7 5" xfId="17422" xr:uid="{00000000-0005-0000-0000-00001E3E0000}"/>
    <cellStyle name="Normal 2 2 7 7 5 2" xfId="35881" xr:uid="{00000000-0005-0000-0000-00001F3E0000}"/>
    <cellStyle name="Normal 2 2 7 7_01-04-2012" xfId="5293" xr:uid="{00000000-0005-0000-0000-0000203E0000}"/>
    <cellStyle name="Normal 2 2 7 8" xfId="5294" xr:uid="{00000000-0005-0000-0000-0000213E0000}"/>
    <cellStyle name="Normal 2 2 7 8 2" xfId="5295" xr:uid="{00000000-0005-0000-0000-0000223E0000}"/>
    <cellStyle name="Normal 2 2 7 8 2 2" xfId="35882" xr:uid="{00000000-0005-0000-0000-0000233E0000}"/>
    <cellStyle name="Normal 2 2 7 8 3" xfId="5296" xr:uid="{00000000-0005-0000-0000-0000243E0000}"/>
    <cellStyle name="Normal 2 2 7 8 3 2" xfId="35883" xr:uid="{00000000-0005-0000-0000-0000253E0000}"/>
    <cellStyle name="Normal 2 2 7 8 4" xfId="5297" xr:uid="{00000000-0005-0000-0000-0000263E0000}"/>
    <cellStyle name="Normal 2 2 7 8 4 2" xfId="35884" xr:uid="{00000000-0005-0000-0000-0000273E0000}"/>
    <cellStyle name="Normal 2 2 7 8 5" xfId="17423" xr:uid="{00000000-0005-0000-0000-0000283E0000}"/>
    <cellStyle name="Normal 2 2 7 8 5 2" xfId="35885" xr:uid="{00000000-0005-0000-0000-0000293E0000}"/>
    <cellStyle name="Normal 2 2 7 8_01-04-2012" xfId="5298" xr:uid="{00000000-0005-0000-0000-00002A3E0000}"/>
    <cellStyle name="Normal 2 2 7 9" xfId="5299" xr:uid="{00000000-0005-0000-0000-00002B3E0000}"/>
    <cellStyle name="Normal 2 2 7 9 2" xfId="5300" xr:uid="{00000000-0005-0000-0000-00002C3E0000}"/>
    <cellStyle name="Normal 2 2 7 9 2 2" xfId="35886" xr:uid="{00000000-0005-0000-0000-00002D3E0000}"/>
    <cellStyle name="Normal 2 2 7 9 3" xfId="5301" xr:uid="{00000000-0005-0000-0000-00002E3E0000}"/>
    <cellStyle name="Normal 2 2 7 9 3 2" xfId="35887" xr:uid="{00000000-0005-0000-0000-00002F3E0000}"/>
    <cellStyle name="Normal 2 2 7 9 4" xfId="5302" xr:uid="{00000000-0005-0000-0000-0000303E0000}"/>
    <cellStyle name="Normal 2 2 7 9 4 2" xfId="35888" xr:uid="{00000000-0005-0000-0000-0000313E0000}"/>
    <cellStyle name="Normal 2 2 7 9 5" xfId="35889" xr:uid="{00000000-0005-0000-0000-0000323E0000}"/>
    <cellStyle name="Normal 2 2 7 9_01-04-2012" xfId="5303" xr:uid="{00000000-0005-0000-0000-0000333E0000}"/>
    <cellStyle name="Normal 2 2 7_01-04-2012" xfId="5304" xr:uid="{00000000-0005-0000-0000-0000343E0000}"/>
    <cellStyle name="Normal 2 2 70" xfId="5305" xr:uid="{00000000-0005-0000-0000-0000353E0000}"/>
    <cellStyle name="Normal 2 2 70 2" xfId="5306" xr:uid="{00000000-0005-0000-0000-0000363E0000}"/>
    <cellStyle name="Normal 2 2 70 2 2" xfId="35890" xr:uid="{00000000-0005-0000-0000-0000373E0000}"/>
    <cellStyle name="Normal 2 2 70 3" xfId="5307" xr:uid="{00000000-0005-0000-0000-0000383E0000}"/>
    <cellStyle name="Normal 2 2 70 3 2" xfId="35891" xr:uid="{00000000-0005-0000-0000-0000393E0000}"/>
    <cellStyle name="Normal 2 2 70 4" xfId="5308" xr:uid="{00000000-0005-0000-0000-00003A3E0000}"/>
    <cellStyle name="Normal 2 2 70 4 2" xfId="35892" xr:uid="{00000000-0005-0000-0000-00003B3E0000}"/>
    <cellStyle name="Normal 2 2 70 5" xfId="35893" xr:uid="{00000000-0005-0000-0000-00003C3E0000}"/>
    <cellStyle name="Normal 2 2 70_01-04-2012" xfId="5309" xr:uid="{00000000-0005-0000-0000-00003D3E0000}"/>
    <cellStyle name="Normal 2 2 71" xfId="5310" xr:uid="{00000000-0005-0000-0000-00003E3E0000}"/>
    <cellStyle name="Normal 2 2 71 2" xfId="5311" xr:uid="{00000000-0005-0000-0000-00003F3E0000}"/>
    <cellStyle name="Normal 2 2 71 2 2" xfId="35894" xr:uid="{00000000-0005-0000-0000-0000403E0000}"/>
    <cellStyle name="Normal 2 2 71 3" xfId="5312" xr:uid="{00000000-0005-0000-0000-0000413E0000}"/>
    <cellStyle name="Normal 2 2 71 3 2" xfId="35895" xr:uid="{00000000-0005-0000-0000-0000423E0000}"/>
    <cellStyle name="Normal 2 2 71 4" xfId="5313" xr:uid="{00000000-0005-0000-0000-0000433E0000}"/>
    <cellStyle name="Normal 2 2 71 4 2" xfId="35896" xr:uid="{00000000-0005-0000-0000-0000443E0000}"/>
    <cellStyle name="Normal 2 2 71 5" xfId="35897" xr:uid="{00000000-0005-0000-0000-0000453E0000}"/>
    <cellStyle name="Normal 2 2 71_01-04-2012" xfId="5314" xr:uid="{00000000-0005-0000-0000-0000463E0000}"/>
    <cellStyle name="Normal 2 2 72" xfId="5315" xr:uid="{00000000-0005-0000-0000-0000473E0000}"/>
    <cellStyle name="Normal 2 2 72 2" xfId="5316" xr:uid="{00000000-0005-0000-0000-0000483E0000}"/>
    <cellStyle name="Normal 2 2 72 2 2" xfId="35898" xr:uid="{00000000-0005-0000-0000-0000493E0000}"/>
    <cellStyle name="Normal 2 2 72 3" xfId="5317" xr:uid="{00000000-0005-0000-0000-00004A3E0000}"/>
    <cellStyle name="Normal 2 2 72 3 2" xfId="35899" xr:uid="{00000000-0005-0000-0000-00004B3E0000}"/>
    <cellStyle name="Normal 2 2 72 4" xfId="5318" xr:uid="{00000000-0005-0000-0000-00004C3E0000}"/>
    <cellStyle name="Normal 2 2 72 4 2" xfId="35900" xr:uid="{00000000-0005-0000-0000-00004D3E0000}"/>
    <cellStyle name="Normal 2 2 72 5" xfId="35901" xr:uid="{00000000-0005-0000-0000-00004E3E0000}"/>
    <cellStyle name="Normal 2 2 72_01-04-2012" xfId="5319" xr:uid="{00000000-0005-0000-0000-00004F3E0000}"/>
    <cellStyle name="Normal 2 2 73" xfId="5320" xr:uid="{00000000-0005-0000-0000-0000503E0000}"/>
    <cellStyle name="Normal 2 2 73 2" xfId="5321" xr:uid="{00000000-0005-0000-0000-0000513E0000}"/>
    <cellStyle name="Normal 2 2 73 2 2" xfId="35902" xr:uid="{00000000-0005-0000-0000-0000523E0000}"/>
    <cellStyle name="Normal 2 2 73 3" xfId="5322" xr:uid="{00000000-0005-0000-0000-0000533E0000}"/>
    <cellStyle name="Normal 2 2 73 3 2" xfId="35903" xr:uid="{00000000-0005-0000-0000-0000543E0000}"/>
    <cellStyle name="Normal 2 2 73 4" xfId="5323" xr:uid="{00000000-0005-0000-0000-0000553E0000}"/>
    <cellStyle name="Normal 2 2 73 4 2" xfId="35904" xr:uid="{00000000-0005-0000-0000-0000563E0000}"/>
    <cellStyle name="Normal 2 2 73 5" xfId="35905" xr:uid="{00000000-0005-0000-0000-0000573E0000}"/>
    <cellStyle name="Normal 2 2 73_01-04-2012" xfId="5324" xr:uid="{00000000-0005-0000-0000-0000583E0000}"/>
    <cellStyle name="Normal 2 2 74" xfId="5325" xr:uid="{00000000-0005-0000-0000-0000593E0000}"/>
    <cellStyle name="Normal 2 2 74 2" xfId="5326" xr:uid="{00000000-0005-0000-0000-00005A3E0000}"/>
    <cellStyle name="Normal 2 2 74 2 2" xfId="35906" xr:uid="{00000000-0005-0000-0000-00005B3E0000}"/>
    <cellStyle name="Normal 2 2 74 3" xfId="5327" xr:uid="{00000000-0005-0000-0000-00005C3E0000}"/>
    <cellStyle name="Normal 2 2 74 3 2" xfId="35907" xr:uid="{00000000-0005-0000-0000-00005D3E0000}"/>
    <cellStyle name="Normal 2 2 74 4" xfId="5328" xr:uid="{00000000-0005-0000-0000-00005E3E0000}"/>
    <cellStyle name="Normal 2 2 74 4 2" xfId="35908" xr:uid="{00000000-0005-0000-0000-00005F3E0000}"/>
    <cellStyle name="Normal 2 2 74 5" xfId="35909" xr:uid="{00000000-0005-0000-0000-0000603E0000}"/>
    <cellStyle name="Normal 2 2 74_01-04-2012" xfId="5329" xr:uid="{00000000-0005-0000-0000-0000613E0000}"/>
    <cellStyle name="Normal 2 2 75" xfId="5330" xr:uid="{00000000-0005-0000-0000-0000623E0000}"/>
    <cellStyle name="Normal 2 2 75 2" xfId="5331" xr:uid="{00000000-0005-0000-0000-0000633E0000}"/>
    <cellStyle name="Normal 2 2 75 2 2" xfId="35910" xr:uid="{00000000-0005-0000-0000-0000643E0000}"/>
    <cellStyle name="Normal 2 2 75 3" xfId="5332" xr:uid="{00000000-0005-0000-0000-0000653E0000}"/>
    <cellStyle name="Normal 2 2 75 3 2" xfId="35911" xr:uid="{00000000-0005-0000-0000-0000663E0000}"/>
    <cellStyle name="Normal 2 2 75 4" xfId="5333" xr:uid="{00000000-0005-0000-0000-0000673E0000}"/>
    <cellStyle name="Normal 2 2 75 4 2" xfId="35912" xr:uid="{00000000-0005-0000-0000-0000683E0000}"/>
    <cellStyle name="Normal 2 2 75 5" xfId="35913" xr:uid="{00000000-0005-0000-0000-0000693E0000}"/>
    <cellStyle name="Normal 2 2 75_01-04-2012" xfId="5334" xr:uid="{00000000-0005-0000-0000-00006A3E0000}"/>
    <cellStyle name="Normal 2 2 76" xfId="5335" xr:uid="{00000000-0005-0000-0000-00006B3E0000}"/>
    <cellStyle name="Normal 2 2 76 2" xfId="5336" xr:uid="{00000000-0005-0000-0000-00006C3E0000}"/>
    <cellStyle name="Normal 2 2 76 2 2" xfId="35914" xr:uid="{00000000-0005-0000-0000-00006D3E0000}"/>
    <cellStyle name="Normal 2 2 76 3" xfId="5337" xr:uid="{00000000-0005-0000-0000-00006E3E0000}"/>
    <cellStyle name="Normal 2 2 76 3 2" xfId="35915" xr:uid="{00000000-0005-0000-0000-00006F3E0000}"/>
    <cellStyle name="Normal 2 2 76 4" xfId="5338" xr:uid="{00000000-0005-0000-0000-0000703E0000}"/>
    <cellStyle name="Normal 2 2 76 4 2" xfId="35916" xr:uid="{00000000-0005-0000-0000-0000713E0000}"/>
    <cellStyle name="Normal 2 2 76 5" xfId="35917" xr:uid="{00000000-0005-0000-0000-0000723E0000}"/>
    <cellStyle name="Normal 2 2 76_01-04-2012" xfId="5339" xr:uid="{00000000-0005-0000-0000-0000733E0000}"/>
    <cellStyle name="Normal 2 2 77" xfId="5340" xr:uid="{00000000-0005-0000-0000-0000743E0000}"/>
    <cellStyle name="Normal 2 2 77 2" xfId="5341" xr:uid="{00000000-0005-0000-0000-0000753E0000}"/>
    <cellStyle name="Normal 2 2 77 2 2" xfId="35918" xr:uid="{00000000-0005-0000-0000-0000763E0000}"/>
    <cellStyle name="Normal 2 2 77 3" xfId="5342" xr:uid="{00000000-0005-0000-0000-0000773E0000}"/>
    <cellStyle name="Normal 2 2 77 3 2" xfId="35919" xr:uid="{00000000-0005-0000-0000-0000783E0000}"/>
    <cellStyle name="Normal 2 2 77 4" xfId="5343" xr:uid="{00000000-0005-0000-0000-0000793E0000}"/>
    <cellStyle name="Normal 2 2 77 4 2" xfId="35920" xr:uid="{00000000-0005-0000-0000-00007A3E0000}"/>
    <cellStyle name="Normal 2 2 77 5" xfId="35921" xr:uid="{00000000-0005-0000-0000-00007B3E0000}"/>
    <cellStyle name="Normal 2 2 77_01-04-2012" xfId="5344" xr:uid="{00000000-0005-0000-0000-00007C3E0000}"/>
    <cellStyle name="Normal 2 2 78" xfId="5345" xr:uid="{00000000-0005-0000-0000-00007D3E0000}"/>
    <cellStyle name="Normal 2 2 78 2" xfId="5346" xr:uid="{00000000-0005-0000-0000-00007E3E0000}"/>
    <cellStyle name="Normal 2 2 78 2 2" xfId="35922" xr:uid="{00000000-0005-0000-0000-00007F3E0000}"/>
    <cellStyle name="Normal 2 2 78 3" xfId="5347" xr:uid="{00000000-0005-0000-0000-0000803E0000}"/>
    <cellStyle name="Normal 2 2 78 3 2" xfId="35923" xr:uid="{00000000-0005-0000-0000-0000813E0000}"/>
    <cellStyle name="Normal 2 2 78 4" xfId="5348" xr:uid="{00000000-0005-0000-0000-0000823E0000}"/>
    <cellStyle name="Normal 2 2 78 4 2" xfId="35924" xr:uid="{00000000-0005-0000-0000-0000833E0000}"/>
    <cellStyle name="Normal 2 2 78 5" xfId="35925" xr:uid="{00000000-0005-0000-0000-0000843E0000}"/>
    <cellStyle name="Normal 2 2 78_01-04-2012" xfId="5349" xr:uid="{00000000-0005-0000-0000-0000853E0000}"/>
    <cellStyle name="Normal 2 2 79" xfId="5350" xr:uid="{00000000-0005-0000-0000-0000863E0000}"/>
    <cellStyle name="Normal 2 2 79 2" xfId="5351" xr:uid="{00000000-0005-0000-0000-0000873E0000}"/>
    <cellStyle name="Normal 2 2 79 2 2" xfId="35926" xr:uid="{00000000-0005-0000-0000-0000883E0000}"/>
    <cellStyle name="Normal 2 2 79 3" xfId="5352" xr:uid="{00000000-0005-0000-0000-0000893E0000}"/>
    <cellStyle name="Normal 2 2 79 3 2" xfId="35927" xr:uid="{00000000-0005-0000-0000-00008A3E0000}"/>
    <cellStyle name="Normal 2 2 79 4" xfId="5353" xr:uid="{00000000-0005-0000-0000-00008B3E0000}"/>
    <cellStyle name="Normal 2 2 79 4 2" xfId="35928" xr:uid="{00000000-0005-0000-0000-00008C3E0000}"/>
    <cellStyle name="Normal 2 2 79 5" xfId="35929" xr:uid="{00000000-0005-0000-0000-00008D3E0000}"/>
    <cellStyle name="Normal 2 2 79_01-04-2012" xfId="5354" xr:uid="{00000000-0005-0000-0000-00008E3E0000}"/>
    <cellStyle name="Normal 2 2 8" xfId="5355" xr:uid="{00000000-0005-0000-0000-00008F3E0000}"/>
    <cellStyle name="Normal 2 2 8 10" xfId="5356" xr:uid="{00000000-0005-0000-0000-0000903E0000}"/>
    <cellStyle name="Normal 2 2 8 11" xfId="5357" xr:uid="{00000000-0005-0000-0000-0000913E0000}"/>
    <cellStyle name="Normal 2 2 8 12" xfId="5358" xr:uid="{00000000-0005-0000-0000-0000923E0000}"/>
    <cellStyle name="Normal 2 2 8 13" xfId="5359" xr:uid="{00000000-0005-0000-0000-0000933E0000}"/>
    <cellStyle name="Normal 2 2 8 14" xfId="5360" xr:uid="{00000000-0005-0000-0000-0000943E0000}"/>
    <cellStyle name="Normal 2 2 8 15" xfId="5361" xr:uid="{00000000-0005-0000-0000-0000953E0000}"/>
    <cellStyle name="Normal 2 2 8 16" xfId="5362" xr:uid="{00000000-0005-0000-0000-0000963E0000}"/>
    <cellStyle name="Normal 2 2 8 17" xfId="5363" xr:uid="{00000000-0005-0000-0000-0000973E0000}"/>
    <cellStyle name="Normal 2 2 8 18" xfId="5364" xr:uid="{00000000-0005-0000-0000-0000983E0000}"/>
    <cellStyle name="Normal 2 2 8 19" xfId="5365" xr:uid="{00000000-0005-0000-0000-0000993E0000}"/>
    <cellStyle name="Normal 2 2 8 2" xfId="5366" xr:uid="{00000000-0005-0000-0000-00009A3E0000}"/>
    <cellStyle name="Normal 2 2 8 2 2" xfId="5367" xr:uid="{00000000-0005-0000-0000-00009B3E0000}"/>
    <cellStyle name="Normal 2 2 8 2 2 2" xfId="5368" xr:uid="{00000000-0005-0000-0000-00009C3E0000}"/>
    <cellStyle name="Normal 2 2 8 2 2 2 2" xfId="35930" xr:uid="{00000000-0005-0000-0000-00009D3E0000}"/>
    <cellStyle name="Normal 2 2 8 2 2 3" xfId="5369" xr:uid="{00000000-0005-0000-0000-00009E3E0000}"/>
    <cellStyle name="Normal 2 2 8 2 2 3 2" xfId="35931" xr:uid="{00000000-0005-0000-0000-00009F3E0000}"/>
    <cellStyle name="Normal 2 2 8 2 2 4" xfId="5370" xr:uid="{00000000-0005-0000-0000-0000A03E0000}"/>
    <cellStyle name="Normal 2 2 8 2 2 4 2" xfId="35932" xr:uid="{00000000-0005-0000-0000-0000A13E0000}"/>
    <cellStyle name="Normal 2 2 8 2 2 5" xfId="17424" xr:uid="{00000000-0005-0000-0000-0000A23E0000}"/>
    <cellStyle name="Normal 2 2 8 2 2 5 2" xfId="35933" xr:uid="{00000000-0005-0000-0000-0000A33E0000}"/>
    <cellStyle name="Normal 2 2 8 2 2_01-04-2012" xfId="5371" xr:uid="{00000000-0005-0000-0000-0000A43E0000}"/>
    <cellStyle name="Normal 2 2 8 2 3" xfId="5372" xr:uid="{00000000-0005-0000-0000-0000A53E0000}"/>
    <cellStyle name="Normal 2 2 8 2 3 2" xfId="5373" xr:uid="{00000000-0005-0000-0000-0000A63E0000}"/>
    <cellStyle name="Normal 2 2 8 2 3 2 2" xfId="35934" xr:uid="{00000000-0005-0000-0000-0000A73E0000}"/>
    <cellStyle name="Normal 2 2 8 2 3 3" xfId="5374" xr:uid="{00000000-0005-0000-0000-0000A83E0000}"/>
    <cellStyle name="Normal 2 2 8 2 3 3 2" xfId="35935" xr:uid="{00000000-0005-0000-0000-0000A93E0000}"/>
    <cellStyle name="Normal 2 2 8 2 3 4" xfId="5375" xr:uid="{00000000-0005-0000-0000-0000AA3E0000}"/>
    <cellStyle name="Normal 2 2 8 2 3 4 2" xfId="35936" xr:uid="{00000000-0005-0000-0000-0000AB3E0000}"/>
    <cellStyle name="Normal 2 2 8 2 3 5" xfId="17425" xr:uid="{00000000-0005-0000-0000-0000AC3E0000}"/>
    <cellStyle name="Normal 2 2 8 2 3 5 2" xfId="35937" xr:uid="{00000000-0005-0000-0000-0000AD3E0000}"/>
    <cellStyle name="Normal 2 2 8 2 3_01-04-2012" xfId="5376" xr:uid="{00000000-0005-0000-0000-0000AE3E0000}"/>
    <cellStyle name="Normal 2 2 8 2 4" xfId="5377" xr:uid="{00000000-0005-0000-0000-0000AF3E0000}"/>
    <cellStyle name="Normal 2 2 8 2 4 2" xfId="5378" xr:uid="{00000000-0005-0000-0000-0000B03E0000}"/>
    <cellStyle name="Normal 2 2 8 2 4 2 2" xfId="35938" xr:uid="{00000000-0005-0000-0000-0000B13E0000}"/>
    <cellStyle name="Normal 2 2 8 2 4 3" xfId="5379" xr:uid="{00000000-0005-0000-0000-0000B23E0000}"/>
    <cellStyle name="Normal 2 2 8 2 4 3 2" xfId="35939" xr:uid="{00000000-0005-0000-0000-0000B33E0000}"/>
    <cellStyle name="Normal 2 2 8 2 4 4" xfId="5380" xr:uid="{00000000-0005-0000-0000-0000B43E0000}"/>
    <cellStyle name="Normal 2 2 8 2 4 4 2" xfId="35940" xr:uid="{00000000-0005-0000-0000-0000B53E0000}"/>
    <cellStyle name="Normal 2 2 8 2 4 5" xfId="17426" xr:uid="{00000000-0005-0000-0000-0000B63E0000}"/>
    <cellStyle name="Normal 2 2 8 2 4 5 2" xfId="35941" xr:uid="{00000000-0005-0000-0000-0000B73E0000}"/>
    <cellStyle name="Normal 2 2 8 2 4_01-04-2012" xfId="5381" xr:uid="{00000000-0005-0000-0000-0000B83E0000}"/>
    <cellStyle name="Normal 2 2 8 2 5" xfId="5382" xr:uid="{00000000-0005-0000-0000-0000B93E0000}"/>
    <cellStyle name="Normal 2 2 8 2 5 2" xfId="17427" xr:uid="{00000000-0005-0000-0000-0000BA3E0000}"/>
    <cellStyle name="Normal 2 2 8 2 5 2 2" xfId="35942" xr:uid="{00000000-0005-0000-0000-0000BB3E0000}"/>
    <cellStyle name="Normal 2 2 8 2 6" xfId="5383" xr:uid="{00000000-0005-0000-0000-0000BC3E0000}"/>
    <cellStyle name="Normal 2 2 8 2 6 2" xfId="17428" xr:uid="{00000000-0005-0000-0000-0000BD3E0000}"/>
    <cellStyle name="Normal 2 2 8 2 6 2 2" xfId="35943" xr:uid="{00000000-0005-0000-0000-0000BE3E0000}"/>
    <cellStyle name="Normal 2 2 8 2 7" xfId="5384" xr:uid="{00000000-0005-0000-0000-0000BF3E0000}"/>
    <cellStyle name="Normal 2 2 8 2 7 2" xfId="17429" xr:uid="{00000000-0005-0000-0000-0000C03E0000}"/>
    <cellStyle name="Normal 2 2 8 2 7 2 2" xfId="35944" xr:uid="{00000000-0005-0000-0000-0000C13E0000}"/>
    <cellStyle name="Normal 2 2 8 2 8" xfId="17430" xr:uid="{00000000-0005-0000-0000-0000C23E0000}"/>
    <cellStyle name="Normal 2 2 8 2 8 2" xfId="35945" xr:uid="{00000000-0005-0000-0000-0000C33E0000}"/>
    <cellStyle name="Normal 2 2 8 2_01-04-2012" xfId="5385" xr:uid="{00000000-0005-0000-0000-0000C43E0000}"/>
    <cellStyle name="Normal 2 2 8 20" xfId="5386" xr:uid="{00000000-0005-0000-0000-0000C53E0000}"/>
    <cellStyle name="Normal 2 2 8 21" xfId="5387" xr:uid="{00000000-0005-0000-0000-0000C63E0000}"/>
    <cellStyle name="Normal 2 2 8 22" xfId="5388" xr:uid="{00000000-0005-0000-0000-0000C73E0000}"/>
    <cellStyle name="Normal 2 2 8 23" xfId="5389" xr:uid="{00000000-0005-0000-0000-0000C83E0000}"/>
    <cellStyle name="Normal 2 2 8 24" xfId="5390" xr:uid="{00000000-0005-0000-0000-0000C93E0000}"/>
    <cellStyle name="Normal 2 2 8 25" xfId="5391" xr:uid="{00000000-0005-0000-0000-0000CA3E0000}"/>
    <cellStyle name="Normal 2 2 8 26" xfId="5392" xr:uid="{00000000-0005-0000-0000-0000CB3E0000}"/>
    <cellStyle name="Normal 2 2 8 26 2" xfId="35946" xr:uid="{00000000-0005-0000-0000-0000CC3E0000}"/>
    <cellStyle name="Normal 2 2 8 27" xfId="5393" xr:uid="{00000000-0005-0000-0000-0000CD3E0000}"/>
    <cellStyle name="Normal 2 2 8 27 2" xfId="35947" xr:uid="{00000000-0005-0000-0000-0000CE3E0000}"/>
    <cellStyle name="Normal 2 2 8 28" xfId="5394" xr:uid="{00000000-0005-0000-0000-0000CF3E0000}"/>
    <cellStyle name="Normal 2 2 8 28 2" xfId="35948" xr:uid="{00000000-0005-0000-0000-0000D03E0000}"/>
    <cellStyle name="Normal 2 2 8 29" xfId="5395" xr:uid="{00000000-0005-0000-0000-0000D13E0000}"/>
    <cellStyle name="Normal 2 2 8 29 2" xfId="35949" xr:uid="{00000000-0005-0000-0000-0000D23E0000}"/>
    <cellStyle name="Normal 2 2 8 3" xfId="5396" xr:uid="{00000000-0005-0000-0000-0000D33E0000}"/>
    <cellStyle name="Normal 2 2 8 3 10" xfId="17431" xr:uid="{00000000-0005-0000-0000-0000D43E0000}"/>
    <cellStyle name="Normal 2 2 8 3 2" xfId="5397" xr:uid="{00000000-0005-0000-0000-0000D53E0000}"/>
    <cellStyle name="Normal 2 2 8 3 2 2" xfId="5398" xr:uid="{00000000-0005-0000-0000-0000D63E0000}"/>
    <cellStyle name="Normal 2 2 8 3 2 2 2" xfId="35950" xr:uid="{00000000-0005-0000-0000-0000D73E0000}"/>
    <cellStyle name="Normal 2 2 8 3 2 3" xfId="5399" xr:uid="{00000000-0005-0000-0000-0000D83E0000}"/>
    <cellStyle name="Normal 2 2 8 3 2 3 2" xfId="35951" xr:uid="{00000000-0005-0000-0000-0000D93E0000}"/>
    <cellStyle name="Normal 2 2 8 3 2 4" xfId="5400" xr:uid="{00000000-0005-0000-0000-0000DA3E0000}"/>
    <cellStyle name="Normal 2 2 8 3 2 4 2" xfId="35952" xr:uid="{00000000-0005-0000-0000-0000DB3E0000}"/>
    <cellStyle name="Normal 2 2 8 3 2 5" xfId="35953" xr:uid="{00000000-0005-0000-0000-0000DC3E0000}"/>
    <cellStyle name="Normal 2 2 8 3 2_01-04-2012" xfId="5401" xr:uid="{00000000-0005-0000-0000-0000DD3E0000}"/>
    <cellStyle name="Normal 2 2 8 3 3" xfId="5402" xr:uid="{00000000-0005-0000-0000-0000DE3E0000}"/>
    <cellStyle name="Normal 2 2 8 3 3 2" xfId="5403" xr:uid="{00000000-0005-0000-0000-0000DF3E0000}"/>
    <cellStyle name="Normal 2 2 8 3 3 2 2" xfId="35954" xr:uid="{00000000-0005-0000-0000-0000E03E0000}"/>
    <cellStyle name="Normal 2 2 8 3 3 3" xfId="5404" xr:uid="{00000000-0005-0000-0000-0000E13E0000}"/>
    <cellStyle name="Normal 2 2 8 3 3 3 2" xfId="35955" xr:uid="{00000000-0005-0000-0000-0000E23E0000}"/>
    <cellStyle name="Normal 2 2 8 3 3 4" xfId="5405" xr:uid="{00000000-0005-0000-0000-0000E33E0000}"/>
    <cellStyle name="Normal 2 2 8 3 3 4 2" xfId="35956" xr:uid="{00000000-0005-0000-0000-0000E43E0000}"/>
    <cellStyle name="Normal 2 2 8 3 3 5" xfId="35957" xr:uid="{00000000-0005-0000-0000-0000E53E0000}"/>
    <cellStyle name="Normal 2 2 8 3 3_01-04-2012" xfId="5406" xr:uid="{00000000-0005-0000-0000-0000E63E0000}"/>
    <cellStyle name="Normal 2 2 8 3 4" xfId="5407" xr:uid="{00000000-0005-0000-0000-0000E73E0000}"/>
    <cellStyle name="Normal 2 2 8 3 4 2" xfId="5408" xr:uid="{00000000-0005-0000-0000-0000E83E0000}"/>
    <cellStyle name="Normal 2 2 8 3 4 2 2" xfId="35958" xr:uid="{00000000-0005-0000-0000-0000E93E0000}"/>
    <cellStyle name="Normal 2 2 8 3 4 3" xfId="5409" xr:uid="{00000000-0005-0000-0000-0000EA3E0000}"/>
    <cellStyle name="Normal 2 2 8 3 4 3 2" xfId="35959" xr:uid="{00000000-0005-0000-0000-0000EB3E0000}"/>
    <cellStyle name="Normal 2 2 8 3 4 4" xfId="5410" xr:uid="{00000000-0005-0000-0000-0000EC3E0000}"/>
    <cellStyle name="Normal 2 2 8 3 4 4 2" xfId="35960" xr:uid="{00000000-0005-0000-0000-0000ED3E0000}"/>
    <cellStyle name="Normal 2 2 8 3 4 5" xfId="35961" xr:uid="{00000000-0005-0000-0000-0000EE3E0000}"/>
    <cellStyle name="Normal 2 2 8 3 4_01-04-2012" xfId="5411" xr:uid="{00000000-0005-0000-0000-0000EF3E0000}"/>
    <cellStyle name="Normal 2 2 8 3 5" xfId="5412" xr:uid="{00000000-0005-0000-0000-0000F03E0000}"/>
    <cellStyle name="Normal 2 2 8 3 5 2" xfId="35962" xr:uid="{00000000-0005-0000-0000-0000F13E0000}"/>
    <cellStyle name="Normal 2 2 8 3 6" xfId="5413" xr:uid="{00000000-0005-0000-0000-0000F23E0000}"/>
    <cellStyle name="Normal 2 2 8 3 6 2" xfId="35963" xr:uid="{00000000-0005-0000-0000-0000F33E0000}"/>
    <cellStyle name="Normal 2 2 8 3 7" xfId="5414" xr:uid="{00000000-0005-0000-0000-0000F43E0000}"/>
    <cellStyle name="Normal 2 2 8 3 7 2" xfId="35964" xr:uid="{00000000-0005-0000-0000-0000F53E0000}"/>
    <cellStyle name="Normal 2 2 8 3 8" xfId="17432" xr:uid="{00000000-0005-0000-0000-0000F63E0000}"/>
    <cellStyle name="Normal 2 2 8 3 8 2" xfId="35965" xr:uid="{00000000-0005-0000-0000-0000F73E0000}"/>
    <cellStyle name="Normal 2 2 8 3 9" xfId="17433" xr:uid="{00000000-0005-0000-0000-0000F83E0000}"/>
    <cellStyle name="Normal 2 2 8 3_01-04-2012" xfId="5415" xr:uid="{00000000-0005-0000-0000-0000F93E0000}"/>
    <cellStyle name="Normal 2 2 8 30" xfId="17434" xr:uid="{00000000-0005-0000-0000-0000FA3E0000}"/>
    <cellStyle name="Normal 2 2 8 30 2" xfId="35966" xr:uid="{00000000-0005-0000-0000-0000FB3E0000}"/>
    <cellStyle name="Normal 2 2 8 4" xfId="5416" xr:uid="{00000000-0005-0000-0000-0000FC3E0000}"/>
    <cellStyle name="Normal 2 2 8 4 10" xfId="17435" xr:uid="{00000000-0005-0000-0000-0000FD3E0000}"/>
    <cellStyle name="Normal 2 2 8 4 2" xfId="5417" xr:uid="{00000000-0005-0000-0000-0000FE3E0000}"/>
    <cellStyle name="Normal 2 2 8 4 2 2" xfId="5418" xr:uid="{00000000-0005-0000-0000-0000FF3E0000}"/>
    <cellStyle name="Normal 2 2 8 4 2 2 2" xfId="35967" xr:uid="{00000000-0005-0000-0000-0000003F0000}"/>
    <cellStyle name="Normal 2 2 8 4 2 3" xfId="5419" xr:uid="{00000000-0005-0000-0000-0000013F0000}"/>
    <cellStyle name="Normal 2 2 8 4 2 3 2" xfId="35968" xr:uid="{00000000-0005-0000-0000-0000023F0000}"/>
    <cellStyle name="Normal 2 2 8 4 2 4" xfId="5420" xr:uid="{00000000-0005-0000-0000-0000033F0000}"/>
    <cellStyle name="Normal 2 2 8 4 2 4 2" xfId="35969" xr:uid="{00000000-0005-0000-0000-0000043F0000}"/>
    <cellStyle name="Normal 2 2 8 4 2 5" xfId="35970" xr:uid="{00000000-0005-0000-0000-0000053F0000}"/>
    <cellStyle name="Normal 2 2 8 4 2_01-04-2012" xfId="5421" xr:uid="{00000000-0005-0000-0000-0000063F0000}"/>
    <cellStyle name="Normal 2 2 8 4 3" xfId="5422" xr:uid="{00000000-0005-0000-0000-0000073F0000}"/>
    <cellStyle name="Normal 2 2 8 4 3 2" xfId="5423" xr:uid="{00000000-0005-0000-0000-0000083F0000}"/>
    <cellStyle name="Normal 2 2 8 4 3 2 2" xfId="35971" xr:uid="{00000000-0005-0000-0000-0000093F0000}"/>
    <cellStyle name="Normal 2 2 8 4 3 3" xfId="5424" xr:uid="{00000000-0005-0000-0000-00000A3F0000}"/>
    <cellStyle name="Normal 2 2 8 4 3 3 2" xfId="35972" xr:uid="{00000000-0005-0000-0000-00000B3F0000}"/>
    <cellStyle name="Normal 2 2 8 4 3 4" xfId="5425" xr:uid="{00000000-0005-0000-0000-00000C3F0000}"/>
    <cellStyle name="Normal 2 2 8 4 3 4 2" xfId="35973" xr:uid="{00000000-0005-0000-0000-00000D3F0000}"/>
    <cellStyle name="Normal 2 2 8 4 3 5" xfId="35974" xr:uid="{00000000-0005-0000-0000-00000E3F0000}"/>
    <cellStyle name="Normal 2 2 8 4 3_01-04-2012" xfId="5426" xr:uid="{00000000-0005-0000-0000-00000F3F0000}"/>
    <cellStyle name="Normal 2 2 8 4 4" xfId="5427" xr:uid="{00000000-0005-0000-0000-0000103F0000}"/>
    <cellStyle name="Normal 2 2 8 4 4 2" xfId="5428" xr:uid="{00000000-0005-0000-0000-0000113F0000}"/>
    <cellStyle name="Normal 2 2 8 4 4 2 2" xfId="35975" xr:uid="{00000000-0005-0000-0000-0000123F0000}"/>
    <cellStyle name="Normal 2 2 8 4 4 3" xfId="5429" xr:uid="{00000000-0005-0000-0000-0000133F0000}"/>
    <cellStyle name="Normal 2 2 8 4 4 3 2" xfId="35976" xr:uid="{00000000-0005-0000-0000-0000143F0000}"/>
    <cellStyle name="Normal 2 2 8 4 4 4" xfId="5430" xr:uid="{00000000-0005-0000-0000-0000153F0000}"/>
    <cellStyle name="Normal 2 2 8 4 4 4 2" xfId="35977" xr:uid="{00000000-0005-0000-0000-0000163F0000}"/>
    <cellStyle name="Normal 2 2 8 4 4 5" xfId="35978" xr:uid="{00000000-0005-0000-0000-0000173F0000}"/>
    <cellStyle name="Normal 2 2 8 4 4_01-04-2012" xfId="5431" xr:uid="{00000000-0005-0000-0000-0000183F0000}"/>
    <cellStyle name="Normal 2 2 8 4 5" xfId="5432" xr:uid="{00000000-0005-0000-0000-0000193F0000}"/>
    <cellStyle name="Normal 2 2 8 4 5 2" xfId="35979" xr:uid="{00000000-0005-0000-0000-00001A3F0000}"/>
    <cellStyle name="Normal 2 2 8 4 6" xfId="5433" xr:uid="{00000000-0005-0000-0000-00001B3F0000}"/>
    <cellStyle name="Normal 2 2 8 4 6 2" xfId="35980" xr:uid="{00000000-0005-0000-0000-00001C3F0000}"/>
    <cellStyle name="Normal 2 2 8 4 7" xfId="5434" xr:uid="{00000000-0005-0000-0000-00001D3F0000}"/>
    <cellStyle name="Normal 2 2 8 4 7 2" xfId="35981" xr:uid="{00000000-0005-0000-0000-00001E3F0000}"/>
    <cellStyle name="Normal 2 2 8 4 8" xfId="17436" xr:uid="{00000000-0005-0000-0000-00001F3F0000}"/>
    <cellStyle name="Normal 2 2 8 4 8 2" xfId="35982" xr:uid="{00000000-0005-0000-0000-0000203F0000}"/>
    <cellStyle name="Normal 2 2 8 4 9" xfId="17437" xr:uid="{00000000-0005-0000-0000-0000213F0000}"/>
    <cellStyle name="Normal 2 2 8 4_01-04-2012" xfId="5435" xr:uid="{00000000-0005-0000-0000-0000223F0000}"/>
    <cellStyle name="Normal 2 2 8 5" xfId="5436" xr:uid="{00000000-0005-0000-0000-0000233F0000}"/>
    <cellStyle name="Normal 2 2 8 5 2" xfId="5437" xr:uid="{00000000-0005-0000-0000-0000243F0000}"/>
    <cellStyle name="Normal 2 2 8 5 2 2" xfId="35983" xr:uid="{00000000-0005-0000-0000-0000253F0000}"/>
    <cellStyle name="Normal 2 2 8 5 3" xfId="5438" xr:uid="{00000000-0005-0000-0000-0000263F0000}"/>
    <cellStyle name="Normal 2 2 8 5 3 2" xfId="35984" xr:uid="{00000000-0005-0000-0000-0000273F0000}"/>
    <cellStyle name="Normal 2 2 8 5 4" xfId="5439" xr:uid="{00000000-0005-0000-0000-0000283F0000}"/>
    <cellStyle name="Normal 2 2 8 5 4 2" xfId="35985" xr:uid="{00000000-0005-0000-0000-0000293F0000}"/>
    <cellStyle name="Normal 2 2 8 5 5" xfId="17438" xr:uid="{00000000-0005-0000-0000-00002A3F0000}"/>
    <cellStyle name="Normal 2 2 8 5 5 2" xfId="35986" xr:uid="{00000000-0005-0000-0000-00002B3F0000}"/>
    <cellStyle name="Normal 2 2 8 5_01-04-2012" xfId="5440" xr:uid="{00000000-0005-0000-0000-00002C3F0000}"/>
    <cellStyle name="Normal 2 2 8 6" xfId="5441" xr:uid="{00000000-0005-0000-0000-00002D3F0000}"/>
    <cellStyle name="Normal 2 2 8 6 2" xfId="5442" xr:uid="{00000000-0005-0000-0000-00002E3F0000}"/>
    <cellStyle name="Normal 2 2 8 6 2 2" xfId="35987" xr:uid="{00000000-0005-0000-0000-00002F3F0000}"/>
    <cellStyle name="Normal 2 2 8 6 3" xfId="5443" xr:uid="{00000000-0005-0000-0000-0000303F0000}"/>
    <cellStyle name="Normal 2 2 8 6 3 2" xfId="35988" xr:uid="{00000000-0005-0000-0000-0000313F0000}"/>
    <cellStyle name="Normal 2 2 8 6 4" xfId="5444" xr:uid="{00000000-0005-0000-0000-0000323F0000}"/>
    <cellStyle name="Normal 2 2 8 6 4 2" xfId="35989" xr:uid="{00000000-0005-0000-0000-0000333F0000}"/>
    <cellStyle name="Normal 2 2 8 6 5" xfId="17439" xr:uid="{00000000-0005-0000-0000-0000343F0000}"/>
    <cellStyle name="Normal 2 2 8 6 5 2" xfId="35990" xr:uid="{00000000-0005-0000-0000-0000353F0000}"/>
    <cellStyle name="Normal 2 2 8 6_01-04-2012" xfId="5445" xr:uid="{00000000-0005-0000-0000-0000363F0000}"/>
    <cellStyle name="Normal 2 2 8 7" xfId="5446" xr:uid="{00000000-0005-0000-0000-0000373F0000}"/>
    <cellStyle name="Normal 2 2 8 7 2" xfId="5447" xr:uid="{00000000-0005-0000-0000-0000383F0000}"/>
    <cellStyle name="Normal 2 2 8 7 2 2" xfId="35991" xr:uid="{00000000-0005-0000-0000-0000393F0000}"/>
    <cellStyle name="Normal 2 2 8 7 3" xfId="5448" xr:uid="{00000000-0005-0000-0000-00003A3F0000}"/>
    <cellStyle name="Normal 2 2 8 7 3 2" xfId="35992" xr:uid="{00000000-0005-0000-0000-00003B3F0000}"/>
    <cellStyle name="Normal 2 2 8 7 4" xfId="5449" xr:uid="{00000000-0005-0000-0000-00003C3F0000}"/>
    <cellStyle name="Normal 2 2 8 7 4 2" xfId="35993" xr:uid="{00000000-0005-0000-0000-00003D3F0000}"/>
    <cellStyle name="Normal 2 2 8 7 5" xfId="17440" xr:uid="{00000000-0005-0000-0000-00003E3F0000}"/>
    <cellStyle name="Normal 2 2 8 7 5 2" xfId="35994" xr:uid="{00000000-0005-0000-0000-00003F3F0000}"/>
    <cellStyle name="Normal 2 2 8 7_01-04-2012" xfId="5450" xr:uid="{00000000-0005-0000-0000-0000403F0000}"/>
    <cellStyle name="Normal 2 2 8 8" xfId="5451" xr:uid="{00000000-0005-0000-0000-0000413F0000}"/>
    <cellStyle name="Normal 2 2 8 8 2" xfId="5452" xr:uid="{00000000-0005-0000-0000-0000423F0000}"/>
    <cellStyle name="Normal 2 2 8 8 2 2" xfId="35995" xr:uid="{00000000-0005-0000-0000-0000433F0000}"/>
    <cellStyle name="Normal 2 2 8 8 3" xfId="5453" xr:uid="{00000000-0005-0000-0000-0000443F0000}"/>
    <cellStyle name="Normal 2 2 8 8 3 2" xfId="35996" xr:uid="{00000000-0005-0000-0000-0000453F0000}"/>
    <cellStyle name="Normal 2 2 8 8 4" xfId="5454" xr:uid="{00000000-0005-0000-0000-0000463F0000}"/>
    <cellStyle name="Normal 2 2 8 8 4 2" xfId="35997" xr:uid="{00000000-0005-0000-0000-0000473F0000}"/>
    <cellStyle name="Normal 2 2 8 8 5" xfId="17441" xr:uid="{00000000-0005-0000-0000-0000483F0000}"/>
    <cellStyle name="Normal 2 2 8 8 5 2" xfId="35998" xr:uid="{00000000-0005-0000-0000-0000493F0000}"/>
    <cellStyle name="Normal 2 2 8 8_01-04-2012" xfId="5455" xr:uid="{00000000-0005-0000-0000-00004A3F0000}"/>
    <cellStyle name="Normal 2 2 8 9" xfId="5456" xr:uid="{00000000-0005-0000-0000-00004B3F0000}"/>
    <cellStyle name="Normal 2 2 8 9 2" xfId="5457" xr:uid="{00000000-0005-0000-0000-00004C3F0000}"/>
    <cellStyle name="Normal 2 2 8 9 2 2" xfId="35999" xr:uid="{00000000-0005-0000-0000-00004D3F0000}"/>
    <cellStyle name="Normal 2 2 8 9 3" xfId="5458" xr:uid="{00000000-0005-0000-0000-00004E3F0000}"/>
    <cellStyle name="Normal 2 2 8 9 3 2" xfId="36000" xr:uid="{00000000-0005-0000-0000-00004F3F0000}"/>
    <cellStyle name="Normal 2 2 8 9 4" xfId="5459" xr:uid="{00000000-0005-0000-0000-0000503F0000}"/>
    <cellStyle name="Normal 2 2 8 9 4 2" xfId="36001" xr:uid="{00000000-0005-0000-0000-0000513F0000}"/>
    <cellStyle name="Normal 2 2 8 9 5" xfId="36002" xr:uid="{00000000-0005-0000-0000-0000523F0000}"/>
    <cellStyle name="Normal 2 2 8 9_01-04-2012" xfId="5460" xr:uid="{00000000-0005-0000-0000-0000533F0000}"/>
    <cellStyle name="Normal 2 2 8_01-04-2012" xfId="5461" xr:uid="{00000000-0005-0000-0000-0000543F0000}"/>
    <cellStyle name="Normal 2 2 80" xfId="5462" xr:uid="{00000000-0005-0000-0000-0000553F0000}"/>
    <cellStyle name="Normal 2 2 80 2" xfId="5463" xr:uid="{00000000-0005-0000-0000-0000563F0000}"/>
    <cellStyle name="Normal 2 2 80 2 2" xfId="36003" xr:uid="{00000000-0005-0000-0000-0000573F0000}"/>
    <cellStyle name="Normal 2 2 80 3" xfId="5464" xr:uid="{00000000-0005-0000-0000-0000583F0000}"/>
    <cellStyle name="Normal 2 2 80 3 2" xfId="36004" xr:uid="{00000000-0005-0000-0000-0000593F0000}"/>
    <cellStyle name="Normal 2 2 80 4" xfId="5465" xr:uid="{00000000-0005-0000-0000-00005A3F0000}"/>
    <cellStyle name="Normal 2 2 80 4 2" xfId="36005" xr:uid="{00000000-0005-0000-0000-00005B3F0000}"/>
    <cellStyle name="Normal 2 2 80 5" xfId="36006" xr:uid="{00000000-0005-0000-0000-00005C3F0000}"/>
    <cellStyle name="Normal 2 2 80_01-04-2012" xfId="5466" xr:uid="{00000000-0005-0000-0000-00005D3F0000}"/>
    <cellStyle name="Normal 2 2 81" xfId="5467" xr:uid="{00000000-0005-0000-0000-00005E3F0000}"/>
    <cellStyle name="Normal 2 2 81 2" xfId="5468" xr:uid="{00000000-0005-0000-0000-00005F3F0000}"/>
    <cellStyle name="Normal 2 2 81 2 2" xfId="36007" xr:uid="{00000000-0005-0000-0000-0000603F0000}"/>
    <cellStyle name="Normal 2 2 81 3" xfId="5469" xr:uid="{00000000-0005-0000-0000-0000613F0000}"/>
    <cellStyle name="Normal 2 2 81 3 2" xfId="36008" xr:uid="{00000000-0005-0000-0000-0000623F0000}"/>
    <cellStyle name="Normal 2 2 81 4" xfId="5470" xr:uid="{00000000-0005-0000-0000-0000633F0000}"/>
    <cellStyle name="Normal 2 2 81 4 2" xfId="36009" xr:uid="{00000000-0005-0000-0000-0000643F0000}"/>
    <cellStyle name="Normal 2 2 81 5" xfId="36010" xr:uid="{00000000-0005-0000-0000-0000653F0000}"/>
    <cellStyle name="Normal 2 2 81_01-04-2012" xfId="5471" xr:uid="{00000000-0005-0000-0000-0000663F0000}"/>
    <cellStyle name="Normal 2 2 82" xfId="5472" xr:uid="{00000000-0005-0000-0000-0000673F0000}"/>
    <cellStyle name="Normal 2 2 82 2" xfId="36011" xr:uid="{00000000-0005-0000-0000-0000683F0000}"/>
    <cellStyle name="Normal 2 2 83" xfId="5473" xr:uid="{00000000-0005-0000-0000-0000693F0000}"/>
    <cellStyle name="Normal 2 2 83 2" xfId="36012" xr:uid="{00000000-0005-0000-0000-00006A3F0000}"/>
    <cellStyle name="Normal 2 2 84" xfId="5474" xr:uid="{00000000-0005-0000-0000-00006B3F0000}"/>
    <cellStyle name="Normal 2 2 84 2" xfId="36013" xr:uid="{00000000-0005-0000-0000-00006C3F0000}"/>
    <cellStyle name="Normal 2 2 85" xfId="5475" xr:uid="{00000000-0005-0000-0000-00006D3F0000}"/>
    <cellStyle name="Normal 2 2 85 2" xfId="36014" xr:uid="{00000000-0005-0000-0000-00006E3F0000}"/>
    <cellStyle name="Normal 2 2 86" xfId="5476" xr:uid="{00000000-0005-0000-0000-00006F3F0000}"/>
    <cellStyle name="Normal 2 2 86 2" xfId="36015" xr:uid="{00000000-0005-0000-0000-0000703F0000}"/>
    <cellStyle name="Normal 2 2 87" xfId="5477" xr:uid="{00000000-0005-0000-0000-0000713F0000}"/>
    <cellStyle name="Normal 2 2 87 2" xfId="36016" xr:uid="{00000000-0005-0000-0000-0000723F0000}"/>
    <cellStyle name="Normal 2 2 88" xfId="5478" xr:uid="{00000000-0005-0000-0000-0000733F0000}"/>
    <cellStyle name="Normal 2 2 88 2" xfId="36017" xr:uid="{00000000-0005-0000-0000-0000743F0000}"/>
    <cellStyle name="Normal 2 2 89" xfId="5479" xr:uid="{00000000-0005-0000-0000-0000753F0000}"/>
    <cellStyle name="Normal 2 2 89 2" xfId="36018" xr:uid="{00000000-0005-0000-0000-0000763F0000}"/>
    <cellStyle name="Normal 2 2 9" xfId="5480" xr:uid="{00000000-0005-0000-0000-0000773F0000}"/>
    <cellStyle name="Normal 2 2 9 10" xfId="5481" xr:uid="{00000000-0005-0000-0000-0000783F0000}"/>
    <cellStyle name="Normal 2 2 9 11" xfId="5482" xr:uid="{00000000-0005-0000-0000-0000793F0000}"/>
    <cellStyle name="Normal 2 2 9 12" xfId="5483" xr:uid="{00000000-0005-0000-0000-00007A3F0000}"/>
    <cellStyle name="Normal 2 2 9 13" xfId="5484" xr:uid="{00000000-0005-0000-0000-00007B3F0000}"/>
    <cellStyle name="Normal 2 2 9 14" xfId="5485" xr:uid="{00000000-0005-0000-0000-00007C3F0000}"/>
    <cellStyle name="Normal 2 2 9 15" xfId="5486" xr:uid="{00000000-0005-0000-0000-00007D3F0000}"/>
    <cellStyle name="Normal 2 2 9 16" xfId="5487" xr:uid="{00000000-0005-0000-0000-00007E3F0000}"/>
    <cellStyle name="Normal 2 2 9 17" xfId="5488" xr:uid="{00000000-0005-0000-0000-00007F3F0000}"/>
    <cellStyle name="Normal 2 2 9 18" xfId="5489" xr:uid="{00000000-0005-0000-0000-0000803F0000}"/>
    <cellStyle name="Normal 2 2 9 19" xfId="5490" xr:uid="{00000000-0005-0000-0000-0000813F0000}"/>
    <cellStyle name="Normal 2 2 9 2" xfId="5491" xr:uid="{00000000-0005-0000-0000-0000823F0000}"/>
    <cellStyle name="Normal 2 2 9 2 2" xfId="5492" xr:uid="{00000000-0005-0000-0000-0000833F0000}"/>
    <cellStyle name="Normal 2 2 9 2 2 2" xfId="5493" xr:uid="{00000000-0005-0000-0000-0000843F0000}"/>
    <cellStyle name="Normal 2 2 9 2 2 2 2" xfId="36019" xr:uid="{00000000-0005-0000-0000-0000853F0000}"/>
    <cellStyle name="Normal 2 2 9 2 2 3" xfId="5494" xr:uid="{00000000-0005-0000-0000-0000863F0000}"/>
    <cellStyle name="Normal 2 2 9 2 2 3 2" xfId="36020" xr:uid="{00000000-0005-0000-0000-0000873F0000}"/>
    <cellStyle name="Normal 2 2 9 2 2 4" xfId="5495" xr:uid="{00000000-0005-0000-0000-0000883F0000}"/>
    <cellStyle name="Normal 2 2 9 2 2 4 2" xfId="36021" xr:uid="{00000000-0005-0000-0000-0000893F0000}"/>
    <cellStyle name="Normal 2 2 9 2 2 5" xfId="17442" xr:uid="{00000000-0005-0000-0000-00008A3F0000}"/>
    <cellStyle name="Normal 2 2 9 2 2 5 2" xfId="36022" xr:uid="{00000000-0005-0000-0000-00008B3F0000}"/>
    <cellStyle name="Normal 2 2 9 2 2_01-04-2012" xfId="5496" xr:uid="{00000000-0005-0000-0000-00008C3F0000}"/>
    <cellStyle name="Normal 2 2 9 2 3" xfId="5497" xr:uid="{00000000-0005-0000-0000-00008D3F0000}"/>
    <cellStyle name="Normal 2 2 9 2 3 2" xfId="5498" xr:uid="{00000000-0005-0000-0000-00008E3F0000}"/>
    <cellStyle name="Normal 2 2 9 2 3 2 2" xfId="36023" xr:uid="{00000000-0005-0000-0000-00008F3F0000}"/>
    <cellStyle name="Normal 2 2 9 2 3 3" xfId="5499" xr:uid="{00000000-0005-0000-0000-0000903F0000}"/>
    <cellStyle name="Normal 2 2 9 2 3 3 2" xfId="36024" xr:uid="{00000000-0005-0000-0000-0000913F0000}"/>
    <cellStyle name="Normal 2 2 9 2 3 4" xfId="5500" xr:uid="{00000000-0005-0000-0000-0000923F0000}"/>
    <cellStyle name="Normal 2 2 9 2 3 4 2" xfId="36025" xr:uid="{00000000-0005-0000-0000-0000933F0000}"/>
    <cellStyle name="Normal 2 2 9 2 3 5" xfId="17443" xr:uid="{00000000-0005-0000-0000-0000943F0000}"/>
    <cellStyle name="Normal 2 2 9 2 3 5 2" xfId="36026" xr:uid="{00000000-0005-0000-0000-0000953F0000}"/>
    <cellStyle name="Normal 2 2 9 2 3_01-04-2012" xfId="5501" xr:uid="{00000000-0005-0000-0000-0000963F0000}"/>
    <cellStyle name="Normal 2 2 9 2 4" xfId="5502" xr:uid="{00000000-0005-0000-0000-0000973F0000}"/>
    <cellStyle name="Normal 2 2 9 2 4 2" xfId="5503" xr:uid="{00000000-0005-0000-0000-0000983F0000}"/>
    <cellStyle name="Normal 2 2 9 2 4 2 2" xfId="36027" xr:uid="{00000000-0005-0000-0000-0000993F0000}"/>
    <cellStyle name="Normal 2 2 9 2 4 3" xfId="5504" xr:uid="{00000000-0005-0000-0000-00009A3F0000}"/>
    <cellStyle name="Normal 2 2 9 2 4 3 2" xfId="36028" xr:uid="{00000000-0005-0000-0000-00009B3F0000}"/>
    <cellStyle name="Normal 2 2 9 2 4 4" xfId="5505" xr:uid="{00000000-0005-0000-0000-00009C3F0000}"/>
    <cellStyle name="Normal 2 2 9 2 4 4 2" xfId="36029" xr:uid="{00000000-0005-0000-0000-00009D3F0000}"/>
    <cellStyle name="Normal 2 2 9 2 4 5" xfId="17444" xr:uid="{00000000-0005-0000-0000-00009E3F0000}"/>
    <cellStyle name="Normal 2 2 9 2 4 5 2" xfId="36030" xr:uid="{00000000-0005-0000-0000-00009F3F0000}"/>
    <cellStyle name="Normal 2 2 9 2 4_01-04-2012" xfId="5506" xr:uid="{00000000-0005-0000-0000-0000A03F0000}"/>
    <cellStyle name="Normal 2 2 9 2 5" xfId="5507" xr:uid="{00000000-0005-0000-0000-0000A13F0000}"/>
    <cellStyle name="Normal 2 2 9 2 5 2" xfId="17445" xr:uid="{00000000-0005-0000-0000-0000A23F0000}"/>
    <cellStyle name="Normal 2 2 9 2 5 2 2" xfId="36031" xr:uid="{00000000-0005-0000-0000-0000A33F0000}"/>
    <cellStyle name="Normal 2 2 9 2 6" xfId="5508" xr:uid="{00000000-0005-0000-0000-0000A43F0000}"/>
    <cellStyle name="Normal 2 2 9 2 6 2" xfId="17446" xr:uid="{00000000-0005-0000-0000-0000A53F0000}"/>
    <cellStyle name="Normal 2 2 9 2 6 2 2" xfId="36032" xr:uid="{00000000-0005-0000-0000-0000A63F0000}"/>
    <cellStyle name="Normal 2 2 9 2 7" xfId="5509" xr:uid="{00000000-0005-0000-0000-0000A73F0000}"/>
    <cellStyle name="Normal 2 2 9 2 7 2" xfId="17447" xr:uid="{00000000-0005-0000-0000-0000A83F0000}"/>
    <cellStyle name="Normal 2 2 9 2 7 2 2" xfId="36033" xr:uid="{00000000-0005-0000-0000-0000A93F0000}"/>
    <cellStyle name="Normal 2 2 9 2 8" xfId="17448" xr:uid="{00000000-0005-0000-0000-0000AA3F0000}"/>
    <cellStyle name="Normal 2 2 9 2 8 2" xfId="36034" xr:uid="{00000000-0005-0000-0000-0000AB3F0000}"/>
    <cellStyle name="Normal 2 2 9 2_01-04-2012" xfId="5510" xr:uid="{00000000-0005-0000-0000-0000AC3F0000}"/>
    <cellStyle name="Normal 2 2 9 20" xfId="5511" xr:uid="{00000000-0005-0000-0000-0000AD3F0000}"/>
    <cellStyle name="Normal 2 2 9 21" xfId="5512" xr:uid="{00000000-0005-0000-0000-0000AE3F0000}"/>
    <cellStyle name="Normal 2 2 9 22" xfId="5513" xr:uid="{00000000-0005-0000-0000-0000AF3F0000}"/>
    <cellStyle name="Normal 2 2 9 23" xfId="5514" xr:uid="{00000000-0005-0000-0000-0000B03F0000}"/>
    <cellStyle name="Normal 2 2 9 24" xfId="5515" xr:uid="{00000000-0005-0000-0000-0000B13F0000}"/>
    <cellStyle name="Normal 2 2 9 25" xfId="5516" xr:uid="{00000000-0005-0000-0000-0000B23F0000}"/>
    <cellStyle name="Normal 2 2 9 26" xfId="5517" xr:uid="{00000000-0005-0000-0000-0000B33F0000}"/>
    <cellStyle name="Normal 2 2 9 26 2" xfId="36035" xr:uid="{00000000-0005-0000-0000-0000B43F0000}"/>
    <cellStyle name="Normal 2 2 9 27" xfId="5518" xr:uid="{00000000-0005-0000-0000-0000B53F0000}"/>
    <cellStyle name="Normal 2 2 9 27 2" xfId="36036" xr:uid="{00000000-0005-0000-0000-0000B63F0000}"/>
    <cellStyle name="Normal 2 2 9 28" xfId="5519" xr:uid="{00000000-0005-0000-0000-0000B73F0000}"/>
    <cellStyle name="Normal 2 2 9 28 2" xfId="36037" xr:uid="{00000000-0005-0000-0000-0000B83F0000}"/>
    <cellStyle name="Normal 2 2 9 29" xfId="5520" xr:uid="{00000000-0005-0000-0000-0000B93F0000}"/>
    <cellStyle name="Normal 2 2 9 29 2" xfId="36038" xr:uid="{00000000-0005-0000-0000-0000BA3F0000}"/>
    <cellStyle name="Normal 2 2 9 3" xfId="5521" xr:uid="{00000000-0005-0000-0000-0000BB3F0000}"/>
    <cellStyle name="Normal 2 2 9 3 10" xfId="17449" xr:uid="{00000000-0005-0000-0000-0000BC3F0000}"/>
    <cellStyle name="Normal 2 2 9 3 2" xfId="5522" xr:uid="{00000000-0005-0000-0000-0000BD3F0000}"/>
    <cellStyle name="Normal 2 2 9 3 2 2" xfId="5523" xr:uid="{00000000-0005-0000-0000-0000BE3F0000}"/>
    <cellStyle name="Normal 2 2 9 3 2 2 2" xfId="36039" xr:uid="{00000000-0005-0000-0000-0000BF3F0000}"/>
    <cellStyle name="Normal 2 2 9 3 2 3" xfId="5524" xr:uid="{00000000-0005-0000-0000-0000C03F0000}"/>
    <cellStyle name="Normal 2 2 9 3 2 3 2" xfId="36040" xr:uid="{00000000-0005-0000-0000-0000C13F0000}"/>
    <cellStyle name="Normal 2 2 9 3 2 4" xfId="5525" xr:uid="{00000000-0005-0000-0000-0000C23F0000}"/>
    <cellStyle name="Normal 2 2 9 3 2 4 2" xfId="36041" xr:uid="{00000000-0005-0000-0000-0000C33F0000}"/>
    <cellStyle name="Normal 2 2 9 3 2 5" xfId="36042" xr:uid="{00000000-0005-0000-0000-0000C43F0000}"/>
    <cellStyle name="Normal 2 2 9 3 2_01-04-2012" xfId="5526" xr:uid="{00000000-0005-0000-0000-0000C53F0000}"/>
    <cellStyle name="Normal 2 2 9 3 3" xfId="5527" xr:uid="{00000000-0005-0000-0000-0000C63F0000}"/>
    <cellStyle name="Normal 2 2 9 3 3 2" xfId="5528" xr:uid="{00000000-0005-0000-0000-0000C73F0000}"/>
    <cellStyle name="Normal 2 2 9 3 3 2 2" xfId="36043" xr:uid="{00000000-0005-0000-0000-0000C83F0000}"/>
    <cellStyle name="Normal 2 2 9 3 3 3" xfId="5529" xr:uid="{00000000-0005-0000-0000-0000C93F0000}"/>
    <cellStyle name="Normal 2 2 9 3 3 3 2" xfId="36044" xr:uid="{00000000-0005-0000-0000-0000CA3F0000}"/>
    <cellStyle name="Normal 2 2 9 3 3 4" xfId="5530" xr:uid="{00000000-0005-0000-0000-0000CB3F0000}"/>
    <cellStyle name="Normal 2 2 9 3 3 4 2" xfId="36045" xr:uid="{00000000-0005-0000-0000-0000CC3F0000}"/>
    <cellStyle name="Normal 2 2 9 3 3 5" xfId="36046" xr:uid="{00000000-0005-0000-0000-0000CD3F0000}"/>
    <cellStyle name="Normal 2 2 9 3 3_01-04-2012" xfId="5531" xr:uid="{00000000-0005-0000-0000-0000CE3F0000}"/>
    <cellStyle name="Normal 2 2 9 3 4" xfId="5532" xr:uid="{00000000-0005-0000-0000-0000CF3F0000}"/>
    <cellStyle name="Normal 2 2 9 3 4 2" xfId="5533" xr:uid="{00000000-0005-0000-0000-0000D03F0000}"/>
    <cellStyle name="Normal 2 2 9 3 4 2 2" xfId="36047" xr:uid="{00000000-0005-0000-0000-0000D13F0000}"/>
    <cellStyle name="Normal 2 2 9 3 4 3" xfId="5534" xr:uid="{00000000-0005-0000-0000-0000D23F0000}"/>
    <cellStyle name="Normal 2 2 9 3 4 3 2" xfId="36048" xr:uid="{00000000-0005-0000-0000-0000D33F0000}"/>
    <cellStyle name="Normal 2 2 9 3 4 4" xfId="5535" xr:uid="{00000000-0005-0000-0000-0000D43F0000}"/>
    <cellStyle name="Normal 2 2 9 3 4 4 2" xfId="36049" xr:uid="{00000000-0005-0000-0000-0000D53F0000}"/>
    <cellStyle name="Normal 2 2 9 3 4 5" xfId="36050" xr:uid="{00000000-0005-0000-0000-0000D63F0000}"/>
    <cellStyle name="Normal 2 2 9 3 4_01-04-2012" xfId="5536" xr:uid="{00000000-0005-0000-0000-0000D73F0000}"/>
    <cellStyle name="Normal 2 2 9 3 5" xfId="5537" xr:uid="{00000000-0005-0000-0000-0000D83F0000}"/>
    <cellStyle name="Normal 2 2 9 3 5 2" xfId="36051" xr:uid="{00000000-0005-0000-0000-0000D93F0000}"/>
    <cellStyle name="Normal 2 2 9 3 6" xfId="5538" xr:uid="{00000000-0005-0000-0000-0000DA3F0000}"/>
    <cellStyle name="Normal 2 2 9 3 6 2" xfId="36052" xr:uid="{00000000-0005-0000-0000-0000DB3F0000}"/>
    <cellStyle name="Normal 2 2 9 3 7" xfId="5539" xr:uid="{00000000-0005-0000-0000-0000DC3F0000}"/>
    <cellStyle name="Normal 2 2 9 3 7 2" xfId="36053" xr:uid="{00000000-0005-0000-0000-0000DD3F0000}"/>
    <cellStyle name="Normal 2 2 9 3 8" xfId="17450" xr:uid="{00000000-0005-0000-0000-0000DE3F0000}"/>
    <cellStyle name="Normal 2 2 9 3 8 2" xfId="36054" xr:uid="{00000000-0005-0000-0000-0000DF3F0000}"/>
    <cellStyle name="Normal 2 2 9 3 9" xfId="17451" xr:uid="{00000000-0005-0000-0000-0000E03F0000}"/>
    <cellStyle name="Normal 2 2 9 3_01-04-2012" xfId="5540" xr:uid="{00000000-0005-0000-0000-0000E13F0000}"/>
    <cellStyle name="Normal 2 2 9 30" xfId="17452" xr:uid="{00000000-0005-0000-0000-0000E23F0000}"/>
    <cellStyle name="Normal 2 2 9 30 2" xfId="36055" xr:uid="{00000000-0005-0000-0000-0000E33F0000}"/>
    <cellStyle name="Normal 2 2 9 4" xfId="5541" xr:uid="{00000000-0005-0000-0000-0000E43F0000}"/>
    <cellStyle name="Normal 2 2 9 4 10" xfId="17453" xr:uid="{00000000-0005-0000-0000-0000E53F0000}"/>
    <cellStyle name="Normal 2 2 9 4 2" xfId="5542" xr:uid="{00000000-0005-0000-0000-0000E63F0000}"/>
    <cellStyle name="Normal 2 2 9 4 2 2" xfId="5543" xr:uid="{00000000-0005-0000-0000-0000E73F0000}"/>
    <cellStyle name="Normal 2 2 9 4 2 2 2" xfId="36056" xr:uid="{00000000-0005-0000-0000-0000E83F0000}"/>
    <cellStyle name="Normal 2 2 9 4 2 3" xfId="5544" xr:uid="{00000000-0005-0000-0000-0000E93F0000}"/>
    <cellStyle name="Normal 2 2 9 4 2 3 2" xfId="36057" xr:uid="{00000000-0005-0000-0000-0000EA3F0000}"/>
    <cellStyle name="Normal 2 2 9 4 2 4" xfId="5545" xr:uid="{00000000-0005-0000-0000-0000EB3F0000}"/>
    <cellStyle name="Normal 2 2 9 4 2 4 2" xfId="36058" xr:uid="{00000000-0005-0000-0000-0000EC3F0000}"/>
    <cellStyle name="Normal 2 2 9 4 2 5" xfId="36059" xr:uid="{00000000-0005-0000-0000-0000ED3F0000}"/>
    <cellStyle name="Normal 2 2 9 4 2_01-04-2012" xfId="5546" xr:uid="{00000000-0005-0000-0000-0000EE3F0000}"/>
    <cellStyle name="Normal 2 2 9 4 3" xfId="5547" xr:uid="{00000000-0005-0000-0000-0000EF3F0000}"/>
    <cellStyle name="Normal 2 2 9 4 3 2" xfId="5548" xr:uid="{00000000-0005-0000-0000-0000F03F0000}"/>
    <cellStyle name="Normal 2 2 9 4 3 2 2" xfId="36060" xr:uid="{00000000-0005-0000-0000-0000F13F0000}"/>
    <cellStyle name="Normal 2 2 9 4 3 3" xfId="5549" xr:uid="{00000000-0005-0000-0000-0000F23F0000}"/>
    <cellStyle name="Normal 2 2 9 4 3 3 2" xfId="36061" xr:uid="{00000000-0005-0000-0000-0000F33F0000}"/>
    <cellStyle name="Normal 2 2 9 4 3 4" xfId="5550" xr:uid="{00000000-0005-0000-0000-0000F43F0000}"/>
    <cellStyle name="Normal 2 2 9 4 3 4 2" xfId="36062" xr:uid="{00000000-0005-0000-0000-0000F53F0000}"/>
    <cellStyle name="Normal 2 2 9 4 3 5" xfId="36063" xr:uid="{00000000-0005-0000-0000-0000F63F0000}"/>
    <cellStyle name="Normal 2 2 9 4 3_01-04-2012" xfId="5551" xr:uid="{00000000-0005-0000-0000-0000F73F0000}"/>
    <cellStyle name="Normal 2 2 9 4 4" xfId="5552" xr:uid="{00000000-0005-0000-0000-0000F83F0000}"/>
    <cellStyle name="Normal 2 2 9 4 4 2" xfId="5553" xr:uid="{00000000-0005-0000-0000-0000F93F0000}"/>
    <cellStyle name="Normal 2 2 9 4 4 2 2" xfId="36064" xr:uid="{00000000-0005-0000-0000-0000FA3F0000}"/>
    <cellStyle name="Normal 2 2 9 4 4 3" xfId="5554" xr:uid="{00000000-0005-0000-0000-0000FB3F0000}"/>
    <cellStyle name="Normal 2 2 9 4 4 3 2" xfId="36065" xr:uid="{00000000-0005-0000-0000-0000FC3F0000}"/>
    <cellStyle name="Normal 2 2 9 4 4 4" xfId="5555" xr:uid="{00000000-0005-0000-0000-0000FD3F0000}"/>
    <cellStyle name="Normal 2 2 9 4 4 4 2" xfId="36066" xr:uid="{00000000-0005-0000-0000-0000FE3F0000}"/>
    <cellStyle name="Normal 2 2 9 4 4 5" xfId="36067" xr:uid="{00000000-0005-0000-0000-0000FF3F0000}"/>
    <cellStyle name="Normal 2 2 9 4 4_01-04-2012" xfId="5556" xr:uid="{00000000-0005-0000-0000-000000400000}"/>
    <cellStyle name="Normal 2 2 9 4 5" xfId="5557" xr:uid="{00000000-0005-0000-0000-000001400000}"/>
    <cellStyle name="Normal 2 2 9 4 5 2" xfId="36068" xr:uid="{00000000-0005-0000-0000-000002400000}"/>
    <cellStyle name="Normal 2 2 9 4 6" xfId="5558" xr:uid="{00000000-0005-0000-0000-000003400000}"/>
    <cellStyle name="Normal 2 2 9 4 6 2" xfId="36069" xr:uid="{00000000-0005-0000-0000-000004400000}"/>
    <cellStyle name="Normal 2 2 9 4 7" xfId="5559" xr:uid="{00000000-0005-0000-0000-000005400000}"/>
    <cellStyle name="Normal 2 2 9 4 7 2" xfId="36070" xr:uid="{00000000-0005-0000-0000-000006400000}"/>
    <cellStyle name="Normal 2 2 9 4 8" xfId="17454" xr:uid="{00000000-0005-0000-0000-000007400000}"/>
    <cellStyle name="Normal 2 2 9 4 8 2" xfId="36071" xr:uid="{00000000-0005-0000-0000-000008400000}"/>
    <cellStyle name="Normal 2 2 9 4 9" xfId="17455" xr:uid="{00000000-0005-0000-0000-000009400000}"/>
    <cellStyle name="Normal 2 2 9 4_01-04-2012" xfId="5560" xr:uid="{00000000-0005-0000-0000-00000A400000}"/>
    <cellStyle name="Normal 2 2 9 5" xfId="5561" xr:uid="{00000000-0005-0000-0000-00000B400000}"/>
    <cellStyle name="Normal 2 2 9 5 2" xfId="5562" xr:uid="{00000000-0005-0000-0000-00000C400000}"/>
    <cellStyle name="Normal 2 2 9 5 2 2" xfId="36072" xr:uid="{00000000-0005-0000-0000-00000D400000}"/>
    <cellStyle name="Normal 2 2 9 5 3" xfId="5563" xr:uid="{00000000-0005-0000-0000-00000E400000}"/>
    <cellStyle name="Normal 2 2 9 5 3 2" xfId="36073" xr:uid="{00000000-0005-0000-0000-00000F400000}"/>
    <cellStyle name="Normal 2 2 9 5 4" xfId="5564" xr:uid="{00000000-0005-0000-0000-000010400000}"/>
    <cellStyle name="Normal 2 2 9 5 4 2" xfId="36074" xr:uid="{00000000-0005-0000-0000-000011400000}"/>
    <cellStyle name="Normal 2 2 9 5 5" xfId="17456" xr:uid="{00000000-0005-0000-0000-000012400000}"/>
    <cellStyle name="Normal 2 2 9 5 5 2" xfId="36075" xr:uid="{00000000-0005-0000-0000-000013400000}"/>
    <cellStyle name="Normal 2 2 9 5_01-04-2012" xfId="5565" xr:uid="{00000000-0005-0000-0000-000014400000}"/>
    <cellStyle name="Normal 2 2 9 6" xfId="5566" xr:uid="{00000000-0005-0000-0000-000015400000}"/>
    <cellStyle name="Normal 2 2 9 6 2" xfId="5567" xr:uid="{00000000-0005-0000-0000-000016400000}"/>
    <cellStyle name="Normal 2 2 9 6 2 2" xfId="36076" xr:uid="{00000000-0005-0000-0000-000017400000}"/>
    <cellStyle name="Normal 2 2 9 6 3" xfId="5568" xr:uid="{00000000-0005-0000-0000-000018400000}"/>
    <cellStyle name="Normal 2 2 9 6 3 2" xfId="36077" xr:uid="{00000000-0005-0000-0000-000019400000}"/>
    <cellStyle name="Normal 2 2 9 6 4" xfId="5569" xr:uid="{00000000-0005-0000-0000-00001A400000}"/>
    <cellStyle name="Normal 2 2 9 6 4 2" xfId="36078" xr:uid="{00000000-0005-0000-0000-00001B400000}"/>
    <cellStyle name="Normal 2 2 9 6 5" xfId="17457" xr:uid="{00000000-0005-0000-0000-00001C400000}"/>
    <cellStyle name="Normal 2 2 9 6 5 2" xfId="36079" xr:uid="{00000000-0005-0000-0000-00001D400000}"/>
    <cellStyle name="Normal 2 2 9 6_01-04-2012" xfId="5570" xr:uid="{00000000-0005-0000-0000-00001E400000}"/>
    <cellStyle name="Normal 2 2 9 7" xfId="5571" xr:uid="{00000000-0005-0000-0000-00001F400000}"/>
    <cellStyle name="Normal 2 2 9 7 2" xfId="5572" xr:uid="{00000000-0005-0000-0000-000020400000}"/>
    <cellStyle name="Normal 2 2 9 7 2 2" xfId="36080" xr:uid="{00000000-0005-0000-0000-000021400000}"/>
    <cellStyle name="Normal 2 2 9 7 3" xfId="5573" xr:uid="{00000000-0005-0000-0000-000022400000}"/>
    <cellStyle name="Normal 2 2 9 7 3 2" xfId="36081" xr:uid="{00000000-0005-0000-0000-000023400000}"/>
    <cellStyle name="Normal 2 2 9 7 4" xfId="5574" xr:uid="{00000000-0005-0000-0000-000024400000}"/>
    <cellStyle name="Normal 2 2 9 7 4 2" xfId="36082" xr:uid="{00000000-0005-0000-0000-000025400000}"/>
    <cellStyle name="Normal 2 2 9 7 5" xfId="17458" xr:uid="{00000000-0005-0000-0000-000026400000}"/>
    <cellStyle name="Normal 2 2 9 7 5 2" xfId="36083" xr:uid="{00000000-0005-0000-0000-000027400000}"/>
    <cellStyle name="Normal 2 2 9 7_01-04-2012" xfId="5575" xr:uid="{00000000-0005-0000-0000-000028400000}"/>
    <cellStyle name="Normal 2 2 9 8" xfId="5576" xr:uid="{00000000-0005-0000-0000-000029400000}"/>
    <cellStyle name="Normal 2 2 9 8 2" xfId="5577" xr:uid="{00000000-0005-0000-0000-00002A400000}"/>
    <cellStyle name="Normal 2 2 9 8 2 2" xfId="36084" xr:uid="{00000000-0005-0000-0000-00002B400000}"/>
    <cellStyle name="Normal 2 2 9 8 3" xfId="5578" xr:uid="{00000000-0005-0000-0000-00002C400000}"/>
    <cellStyle name="Normal 2 2 9 8 3 2" xfId="36085" xr:uid="{00000000-0005-0000-0000-00002D400000}"/>
    <cellStyle name="Normal 2 2 9 8 4" xfId="5579" xr:uid="{00000000-0005-0000-0000-00002E400000}"/>
    <cellStyle name="Normal 2 2 9 8 4 2" xfId="36086" xr:uid="{00000000-0005-0000-0000-00002F400000}"/>
    <cellStyle name="Normal 2 2 9 8 5" xfId="17459" xr:uid="{00000000-0005-0000-0000-000030400000}"/>
    <cellStyle name="Normal 2 2 9 8 5 2" xfId="36087" xr:uid="{00000000-0005-0000-0000-000031400000}"/>
    <cellStyle name="Normal 2 2 9 8_01-04-2012" xfId="5580" xr:uid="{00000000-0005-0000-0000-000032400000}"/>
    <cellStyle name="Normal 2 2 9 9" xfId="5581" xr:uid="{00000000-0005-0000-0000-000033400000}"/>
    <cellStyle name="Normal 2 2 9 9 2" xfId="5582" xr:uid="{00000000-0005-0000-0000-000034400000}"/>
    <cellStyle name="Normal 2 2 9 9 2 2" xfId="36088" xr:uid="{00000000-0005-0000-0000-000035400000}"/>
    <cellStyle name="Normal 2 2 9 9 3" xfId="5583" xr:uid="{00000000-0005-0000-0000-000036400000}"/>
    <cellStyle name="Normal 2 2 9 9 3 2" xfId="36089" xr:uid="{00000000-0005-0000-0000-000037400000}"/>
    <cellStyle name="Normal 2 2 9 9 4" xfId="5584" xr:uid="{00000000-0005-0000-0000-000038400000}"/>
    <cellStyle name="Normal 2 2 9 9 4 2" xfId="36090" xr:uid="{00000000-0005-0000-0000-000039400000}"/>
    <cellStyle name="Normal 2 2 9 9 5" xfId="36091" xr:uid="{00000000-0005-0000-0000-00003A400000}"/>
    <cellStyle name="Normal 2 2 9 9_01-04-2012" xfId="5585" xr:uid="{00000000-0005-0000-0000-00003B400000}"/>
    <cellStyle name="Normal 2 2 9_01-04-2012" xfId="5586" xr:uid="{00000000-0005-0000-0000-00003C400000}"/>
    <cellStyle name="Normal 2 2 90" xfId="5587" xr:uid="{00000000-0005-0000-0000-00003D400000}"/>
    <cellStyle name="Normal 2 2 90 2" xfId="36092" xr:uid="{00000000-0005-0000-0000-00003E400000}"/>
    <cellStyle name="Normal 2 2 91" xfId="5588" xr:uid="{00000000-0005-0000-0000-00003F400000}"/>
    <cellStyle name="Normal 2 2 91 2" xfId="36094" xr:uid="{00000000-0005-0000-0000-000040400000}"/>
    <cellStyle name="Normal 2 2 92" xfId="5589" xr:uid="{00000000-0005-0000-0000-000041400000}"/>
    <cellStyle name="Normal 2 2 92 2" xfId="36095" xr:uid="{00000000-0005-0000-0000-000042400000}"/>
    <cellStyle name="Normal 2 2 93" xfId="5590" xr:uid="{00000000-0005-0000-0000-000043400000}"/>
    <cellStyle name="Normal 2 2 93 2" xfId="36096" xr:uid="{00000000-0005-0000-0000-000044400000}"/>
    <cellStyle name="Normal 2 2 94" xfId="5591" xr:uid="{00000000-0005-0000-0000-000045400000}"/>
    <cellStyle name="Normal 2 2 94 2" xfId="36097" xr:uid="{00000000-0005-0000-0000-000046400000}"/>
    <cellStyle name="Normal 2 2 95" xfId="5592" xr:uid="{00000000-0005-0000-0000-000047400000}"/>
    <cellStyle name="Normal 2 2 95 2" xfId="36098" xr:uid="{00000000-0005-0000-0000-000048400000}"/>
    <cellStyle name="Normal 2 2 96" xfId="11610" xr:uid="{00000000-0005-0000-0000-000049400000}"/>
    <cellStyle name="Normal 2 2 97" xfId="17460" xr:uid="{00000000-0005-0000-0000-00004A400000}"/>
    <cellStyle name="Normal 2 2 98" xfId="33224" xr:uid="{00000000-0005-0000-0000-00004B400000}"/>
    <cellStyle name="Normal 2 2 99" xfId="33228" xr:uid="{00000000-0005-0000-0000-00004C400000}"/>
    <cellStyle name="Normal 2 2_01-04-2012" xfId="5593" xr:uid="{00000000-0005-0000-0000-00004D400000}"/>
    <cellStyle name="Normal 2 20" xfId="5594" xr:uid="{00000000-0005-0000-0000-00004E400000}"/>
    <cellStyle name="Normal 2 20 10" xfId="5595" xr:uid="{00000000-0005-0000-0000-00004F400000}"/>
    <cellStyle name="Normal 2 20 10 2" xfId="5596" xr:uid="{00000000-0005-0000-0000-000050400000}"/>
    <cellStyle name="Normal 2 20 10 2 2" xfId="36099" xr:uid="{00000000-0005-0000-0000-000051400000}"/>
    <cellStyle name="Normal 2 20 10 3" xfId="5597" xr:uid="{00000000-0005-0000-0000-000052400000}"/>
    <cellStyle name="Normal 2 20 10 3 2" xfId="36100" xr:uid="{00000000-0005-0000-0000-000053400000}"/>
    <cellStyle name="Normal 2 20 10 4" xfId="5598" xr:uid="{00000000-0005-0000-0000-000054400000}"/>
    <cellStyle name="Normal 2 20 10 4 2" xfId="36101" xr:uid="{00000000-0005-0000-0000-000055400000}"/>
    <cellStyle name="Normal 2 20 10 5" xfId="36102" xr:uid="{00000000-0005-0000-0000-000056400000}"/>
    <cellStyle name="Normal 2 20 10_01-04-2012" xfId="5599" xr:uid="{00000000-0005-0000-0000-000057400000}"/>
    <cellStyle name="Normal 2 20 11" xfId="5600" xr:uid="{00000000-0005-0000-0000-000058400000}"/>
    <cellStyle name="Normal 2 20 11 2" xfId="5601" xr:uid="{00000000-0005-0000-0000-000059400000}"/>
    <cellStyle name="Normal 2 20 11 2 2" xfId="36103" xr:uid="{00000000-0005-0000-0000-00005A400000}"/>
    <cellStyle name="Normal 2 20 11 3" xfId="5602" xr:uid="{00000000-0005-0000-0000-00005B400000}"/>
    <cellStyle name="Normal 2 20 11 3 2" xfId="36104" xr:uid="{00000000-0005-0000-0000-00005C400000}"/>
    <cellStyle name="Normal 2 20 11 4" xfId="5603" xr:uid="{00000000-0005-0000-0000-00005D400000}"/>
    <cellStyle name="Normal 2 20 11 4 2" xfId="36105" xr:uid="{00000000-0005-0000-0000-00005E400000}"/>
    <cellStyle name="Normal 2 20 11 5" xfId="36106" xr:uid="{00000000-0005-0000-0000-00005F400000}"/>
    <cellStyle name="Normal 2 20 11_01-04-2012" xfId="5604" xr:uid="{00000000-0005-0000-0000-000060400000}"/>
    <cellStyle name="Normal 2 20 12" xfId="5605" xr:uid="{00000000-0005-0000-0000-000061400000}"/>
    <cellStyle name="Normal 2 20 12 2" xfId="5606" xr:uid="{00000000-0005-0000-0000-000062400000}"/>
    <cellStyle name="Normal 2 20 12 2 2" xfId="36107" xr:uid="{00000000-0005-0000-0000-000063400000}"/>
    <cellStyle name="Normal 2 20 12 3" xfId="5607" xr:uid="{00000000-0005-0000-0000-000064400000}"/>
    <cellStyle name="Normal 2 20 12 3 2" xfId="36108" xr:uid="{00000000-0005-0000-0000-000065400000}"/>
    <cellStyle name="Normal 2 20 12 4" xfId="5608" xr:uid="{00000000-0005-0000-0000-000066400000}"/>
    <cellStyle name="Normal 2 20 12 4 2" xfId="36109" xr:uid="{00000000-0005-0000-0000-000067400000}"/>
    <cellStyle name="Normal 2 20 12 5" xfId="36110" xr:uid="{00000000-0005-0000-0000-000068400000}"/>
    <cellStyle name="Normal 2 20 12_01-04-2012" xfId="5609" xr:uid="{00000000-0005-0000-0000-000069400000}"/>
    <cellStyle name="Normal 2 20 13" xfId="5610" xr:uid="{00000000-0005-0000-0000-00006A400000}"/>
    <cellStyle name="Normal 2 20 13 2" xfId="5611" xr:uid="{00000000-0005-0000-0000-00006B400000}"/>
    <cellStyle name="Normal 2 20 13 2 2" xfId="36111" xr:uid="{00000000-0005-0000-0000-00006C400000}"/>
    <cellStyle name="Normal 2 20 13 3" xfId="5612" xr:uid="{00000000-0005-0000-0000-00006D400000}"/>
    <cellStyle name="Normal 2 20 13 3 2" xfId="36112" xr:uid="{00000000-0005-0000-0000-00006E400000}"/>
    <cellStyle name="Normal 2 20 13 4" xfId="5613" xr:uid="{00000000-0005-0000-0000-00006F400000}"/>
    <cellStyle name="Normal 2 20 13 4 2" xfId="36113" xr:uid="{00000000-0005-0000-0000-000070400000}"/>
    <cellStyle name="Normal 2 20 13 5" xfId="36114" xr:uid="{00000000-0005-0000-0000-000071400000}"/>
    <cellStyle name="Normal 2 20 13_01-04-2012" xfId="5614" xr:uid="{00000000-0005-0000-0000-000072400000}"/>
    <cellStyle name="Normal 2 20 14" xfId="5615" xr:uid="{00000000-0005-0000-0000-000073400000}"/>
    <cellStyle name="Normal 2 20 14 2" xfId="36115" xr:uid="{00000000-0005-0000-0000-000074400000}"/>
    <cellStyle name="Normal 2 20 15" xfId="5616" xr:uid="{00000000-0005-0000-0000-000075400000}"/>
    <cellStyle name="Normal 2 20 15 2" xfId="36116" xr:uid="{00000000-0005-0000-0000-000076400000}"/>
    <cellStyle name="Normal 2 20 16" xfId="5617" xr:uid="{00000000-0005-0000-0000-000077400000}"/>
    <cellStyle name="Normal 2 20 16 2" xfId="36117" xr:uid="{00000000-0005-0000-0000-000078400000}"/>
    <cellStyle name="Normal 2 20 17" xfId="36118" xr:uid="{00000000-0005-0000-0000-000079400000}"/>
    <cellStyle name="Normal 2 20 2" xfId="5618" xr:uid="{00000000-0005-0000-0000-00007A400000}"/>
    <cellStyle name="Normal 2 20 2 2" xfId="5619" xr:uid="{00000000-0005-0000-0000-00007B400000}"/>
    <cellStyle name="Normal 2 20 2 2 2" xfId="36119" xr:uid="{00000000-0005-0000-0000-00007C400000}"/>
    <cellStyle name="Normal 2 20 2 3" xfId="5620" xr:uid="{00000000-0005-0000-0000-00007D400000}"/>
    <cellStyle name="Normal 2 20 2 3 2" xfId="36120" xr:uid="{00000000-0005-0000-0000-00007E400000}"/>
    <cellStyle name="Normal 2 20 2 4" xfId="5621" xr:uid="{00000000-0005-0000-0000-00007F400000}"/>
    <cellStyle name="Normal 2 20 2 4 2" xfId="36121" xr:uid="{00000000-0005-0000-0000-000080400000}"/>
    <cellStyle name="Normal 2 20 2 5" xfId="36122" xr:uid="{00000000-0005-0000-0000-000081400000}"/>
    <cellStyle name="Normal 2 20 2_01-04-2012" xfId="5622" xr:uid="{00000000-0005-0000-0000-000082400000}"/>
    <cellStyle name="Normal 2 20 3" xfId="5623" xr:uid="{00000000-0005-0000-0000-000083400000}"/>
    <cellStyle name="Normal 2 20 3 2" xfId="5624" xr:uid="{00000000-0005-0000-0000-000084400000}"/>
    <cellStyle name="Normal 2 20 3 2 2" xfId="36123" xr:uid="{00000000-0005-0000-0000-000085400000}"/>
    <cellStyle name="Normal 2 20 3 3" xfId="5625" xr:uid="{00000000-0005-0000-0000-000086400000}"/>
    <cellStyle name="Normal 2 20 3 3 2" xfId="36124" xr:uid="{00000000-0005-0000-0000-000087400000}"/>
    <cellStyle name="Normal 2 20 3 4" xfId="5626" xr:uid="{00000000-0005-0000-0000-000088400000}"/>
    <cellStyle name="Normal 2 20 3 4 2" xfId="36125" xr:uid="{00000000-0005-0000-0000-000089400000}"/>
    <cellStyle name="Normal 2 20 3 5" xfId="36126" xr:uid="{00000000-0005-0000-0000-00008A400000}"/>
    <cellStyle name="Normal 2 20 3_01-04-2012" xfId="5627" xr:uid="{00000000-0005-0000-0000-00008B400000}"/>
    <cellStyle name="Normal 2 20 4" xfId="5628" xr:uid="{00000000-0005-0000-0000-00008C400000}"/>
    <cellStyle name="Normal 2 20 4 2" xfId="5629" xr:uid="{00000000-0005-0000-0000-00008D400000}"/>
    <cellStyle name="Normal 2 20 4 2 2" xfId="36127" xr:uid="{00000000-0005-0000-0000-00008E400000}"/>
    <cellStyle name="Normal 2 20 4 3" xfId="5630" xr:uid="{00000000-0005-0000-0000-00008F400000}"/>
    <cellStyle name="Normal 2 20 4 3 2" xfId="36128" xr:uid="{00000000-0005-0000-0000-000090400000}"/>
    <cellStyle name="Normal 2 20 4 4" xfId="5631" xr:uid="{00000000-0005-0000-0000-000091400000}"/>
    <cellStyle name="Normal 2 20 4 4 2" xfId="36129" xr:uid="{00000000-0005-0000-0000-000092400000}"/>
    <cellStyle name="Normal 2 20 4 5" xfId="36130" xr:uid="{00000000-0005-0000-0000-000093400000}"/>
    <cellStyle name="Normal 2 20 4_01-04-2012" xfId="5632" xr:uid="{00000000-0005-0000-0000-000094400000}"/>
    <cellStyle name="Normal 2 20 5" xfId="5633" xr:uid="{00000000-0005-0000-0000-000095400000}"/>
    <cellStyle name="Normal 2 20 5 2" xfId="5634" xr:uid="{00000000-0005-0000-0000-000096400000}"/>
    <cellStyle name="Normal 2 20 5 2 2" xfId="36131" xr:uid="{00000000-0005-0000-0000-000097400000}"/>
    <cellStyle name="Normal 2 20 5 3" xfId="5635" xr:uid="{00000000-0005-0000-0000-000098400000}"/>
    <cellStyle name="Normal 2 20 5 3 2" xfId="36132" xr:uid="{00000000-0005-0000-0000-000099400000}"/>
    <cellStyle name="Normal 2 20 5 4" xfId="5636" xr:uid="{00000000-0005-0000-0000-00009A400000}"/>
    <cellStyle name="Normal 2 20 5 4 2" xfId="36133" xr:uid="{00000000-0005-0000-0000-00009B400000}"/>
    <cellStyle name="Normal 2 20 5 5" xfId="36134" xr:uid="{00000000-0005-0000-0000-00009C400000}"/>
    <cellStyle name="Normal 2 20 5_01-04-2012" xfId="5637" xr:uid="{00000000-0005-0000-0000-00009D400000}"/>
    <cellStyle name="Normal 2 20 6" xfId="5638" xr:uid="{00000000-0005-0000-0000-00009E400000}"/>
    <cellStyle name="Normal 2 20 6 2" xfId="5639" xr:uid="{00000000-0005-0000-0000-00009F400000}"/>
    <cellStyle name="Normal 2 20 6 2 2" xfId="36135" xr:uid="{00000000-0005-0000-0000-0000A0400000}"/>
    <cellStyle name="Normal 2 20 6 3" xfId="5640" xr:uid="{00000000-0005-0000-0000-0000A1400000}"/>
    <cellStyle name="Normal 2 20 6 3 2" xfId="36136" xr:uid="{00000000-0005-0000-0000-0000A2400000}"/>
    <cellStyle name="Normal 2 20 6 4" xfId="5641" xr:uid="{00000000-0005-0000-0000-0000A3400000}"/>
    <cellStyle name="Normal 2 20 6 4 2" xfId="36137" xr:uid="{00000000-0005-0000-0000-0000A4400000}"/>
    <cellStyle name="Normal 2 20 6 5" xfId="36138" xr:uid="{00000000-0005-0000-0000-0000A5400000}"/>
    <cellStyle name="Normal 2 20 6_01-04-2012" xfId="5642" xr:uid="{00000000-0005-0000-0000-0000A6400000}"/>
    <cellStyle name="Normal 2 20 7" xfId="5643" xr:uid="{00000000-0005-0000-0000-0000A7400000}"/>
    <cellStyle name="Normal 2 20 7 2" xfId="5644" xr:uid="{00000000-0005-0000-0000-0000A8400000}"/>
    <cellStyle name="Normal 2 20 7 2 2" xfId="36139" xr:uid="{00000000-0005-0000-0000-0000A9400000}"/>
    <cellStyle name="Normal 2 20 7 3" xfId="5645" xr:uid="{00000000-0005-0000-0000-0000AA400000}"/>
    <cellStyle name="Normal 2 20 7 3 2" xfId="36140" xr:uid="{00000000-0005-0000-0000-0000AB400000}"/>
    <cellStyle name="Normal 2 20 7 4" xfId="5646" xr:uid="{00000000-0005-0000-0000-0000AC400000}"/>
    <cellStyle name="Normal 2 20 7 4 2" xfId="36141" xr:uid="{00000000-0005-0000-0000-0000AD400000}"/>
    <cellStyle name="Normal 2 20 7 5" xfId="36142" xr:uid="{00000000-0005-0000-0000-0000AE400000}"/>
    <cellStyle name="Normal 2 20 7_01-04-2012" xfId="5647" xr:uid="{00000000-0005-0000-0000-0000AF400000}"/>
    <cellStyle name="Normal 2 20 8" xfId="5648" xr:uid="{00000000-0005-0000-0000-0000B0400000}"/>
    <cellStyle name="Normal 2 20 8 2" xfId="5649" xr:uid="{00000000-0005-0000-0000-0000B1400000}"/>
    <cellStyle name="Normal 2 20 8 2 2" xfId="36143" xr:uid="{00000000-0005-0000-0000-0000B2400000}"/>
    <cellStyle name="Normal 2 20 8 3" xfId="5650" xr:uid="{00000000-0005-0000-0000-0000B3400000}"/>
    <cellStyle name="Normal 2 20 8 3 2" xfId="36144" xr:uid="{00000000-0005-0000-0000-0000B4400000}"/>
    <cellStyle name="Normal 2 20 8 4" xfId="5651" xr:uid="{00000000-0005-0000-0000-0000B5400000}"/>
    <cellStyle name="Normal 2 20 8 4 2" xfId="36145" xr:uid="{00000000-0005-0000-0000-0000B6400000}"/>
    <cellStyle name="Normal 2 20 8 5" xfId="36146" xr:uid="{00000000-0005-0000-0000-0000B7400000}"/>
    <cellStyle name="Normal 2 20 8_01-04-2012" xfId="5652" xr:uid="{00000000-0005-0000-0000-0000B8400000}"/>
    <cellStyle name="Normal 2 20 9" xfId="5653" xr:uid="{00000000-0005-0000-0000-0000B9400000}"/>
    <cellStyle name="Normal 2 20 9 2" xfId="5654" xr:uid="{00000000-0005-0000-0000-0000BA400000}"/>
    <cellStyle name="Normal 2 20 9 2 2" xfId="36147" xr:uid="{00000000-0005-0000-0000-0000BB400000}"/>
    <cellStyle name="Normal 2 20 9 3" xfId="5655" xr:uid="{00000000-0005-0000-0000-0000BC400000}"/>
    <cellStyle name="Normal 2 20 9 3 2" xfId="36148" xr:uid="{00000000-0005-0000-0000-0000BD400000}"/>
    <cellStyle name="Normal 2 20 9 4" xfId="5656" xr:uid="{00000000-0005-0000-0000-0000BE400000}"/>
    <cellStyle name="Normal 2 20 9 4 2" xfId="36149" xr:uid="{00000000-0005-0000-0000-0000BF400000}"/>
    <cellStyle name="Normal 2 20 9 5" xfId="36150" xr:uid="{00000000-0005-0000-0000-0000C0400000}"/>
    <cellStyle name="Normal 2 20 9_01-04-2012" xfId="5657" xr:uid="{00000000-0005-0000-0000-0000C1400000}"/>
    <cellStyle name="Normal 2 20_01-04-2012" xfId="5658" xr:uid="{00000000-0005-0000-0000-0000C2400000}"/>
    <cellStyle name="Normal 2 21" xfId="5659" xr:uid="{00000000-0005-0000-0000-0000C3400000}"/>
    <cellStyle name="Normal 2 21 10" xfId="5660" xr:uid="{00000000-0005-0000-0000-0000C4400000}"/>
    <cellStyle name="Normal 2 21 10 2" xfId="5661" xr:uid="{00000000-0005-0000-0000-0000C5400000}"/>
    <cellStyle name="Normal 2 21 10 2 2" xfId="36151" xr:uid="{00000000-0005-0000-0000-0000C6400000}"/>
    <cellStyle name="Normal 2 21 10 3" xfId="5662" xr:uid="{00000000-0005-0000-0000-0000C7400000}"/>
    <cellStyle name="Normal 2 21 10 3 2" xfId="36152" xr:uid="{00000000-0005-0000-0000-0000C8400000}"/>
    <cellStyle name="Normal 2 21 10 4" xfId="5663" xr:uid="{00000000-0005-0000-0000-0000C9400000}"/>
    <cellStyle name="Normal 2 21 10 4 2" xfId="36153" xr:uid="{00000000-0005-0000-0000-0000CA400000}"/>
    <cellStyle name="Normal 2 21 10 5" xfId="36154" xr:uid="{00000000-0005-0000-0000-0000CB400000}"/>
    <cellStyle name="Normal 2 21 10_01-04-2012" xfId="5664" xr:uid="{00000000-0005-0000-0000-0000CC400000}"/>
    <cellStyle name="Normal 2 21 11" xfId="5665" xr:uid="{00000000-0005-0000-0000-0000CD400000}"/>
    <cellStyle name="Normal 2 21 11 2" xfId="5666" xr:uid="{00000000-0005-0000-0000-0000CE400000}"/>
    <cellStyle name="Normal 2 21 11 2 2" xfId="36155" xr:uid="{00000000-0005-0000-0000-0000CF400000}"/>
    <cellStyle name="Normal 2 21 11 3" xfId="5667" xr:uid="{00000000-0005-0000-0000-0000D0400000}"/>
    <cellStyle name="Normal 2 21 11 3 2" xfId="36156" xr:uid="{00000000-0005-0000-0000-0000D1400000}"/>
    <cellStyle name="Normal 2 21 11 4" xfId="5668" xr:uid="{00000000-0005-0000-0000-0000D2400000}"/>
    <cellStyle name="Normal 2 21 11 4 2" xfId="36157" xr:uid="{00000000-0005-0000-0000-0000D3400000}"/>
    <cellStyle name="Normal 2 21 11 5" xfId="36158" xr:uid="{00000000-0005-0000-0000-0000D4400000}"/>
    <cellStyle name="Normal 2 21 11_01-04-2012" xfId="5669" xr:uid="{00000000-0005-0000-0000-0000D5400000}"/>
    <cellStyle name="Normal 2 21 12" xfId="5670" xr:uid="{00000000-0005-0000-0000-0000D6400000}"/>
    <cellStyle name="Normal 2 21 12 2" xfId="5671" xr:uid="{00000000-0005-0000-0000-0000D7400000}"/>
    <cellStyle name="Normal 2 21 12 2 2" xfId="36159" xr:uid="{00000000-0005-0000-0000-0000D8400000}"/>
    <cellStyle name="Normal 2 21 12 3" xfId="5672" xr:uid="{00000000-0005-0000-0000-0000D9400000}"/>
    <cellStyle name="Normal 2 21 12 3 2" xfId="36160" xr:uid="{00000000-0005-0000-0000-0000DA400000}"/>
    <cellStyle name="Normal 2 21 12 4" xfId="5673" xr:uid="{00000000-0005-0000-0000-0000DB400000}"/>
    <cellStyle name="Normal 2 21 12 4 2" xfId="36161" xr:uid="{00000000-0005-0000-0000-0000DC400000}"/>
    <cellStyle name="Normal 2 21 12 5" xfId="36162" xr:uid="{00000000-0005-0000-0000-0000DD400000}"/>
    <cellStyle name="Normal 2 21 12_01-04-2012" xfId="5674" xr:uid="{00000000-0005-0000-0000-0000DE400000}"/>
    <cellStyle name="Normal 2 21 13" xfId="5675" xr:uid="{00000000-0005-0000-0000-0000DF400000}"/>
    <cellStyle name="Normal 2 21 13 2" xfId="5676" xr:uid="{00000000-0005-0000-0000-0000E0400000}"/>
    <cellStyle name="Normal 2 21 13 2 2" xfId="36163" xr:uid="{00000000-0005-0000-0000-0000E1400000}"/>
    <cellStyle name="Normal 2 21 13 3" xfId="5677" xr:uid="{00000000-0005-0000-0000-0000E2400000}"/>
    <cellStyle name="Normal 2 21 13 3 2" xfId="36164" xr:uid="{00000000-0005-0000-0000-0000E3400000}"/>
    <cellStyle name="Normal 2 21 13 4" xfId="5678" xr:uid="{00000000-0005-0000-0000-0000E4400000}"/>
    <cellStyle name="Normal 2 21 13 4 2" xfId="36165" xr:uid="{00000000-0005-0000-0000-0000E5400000}"/>
    <cellStyle name="Normal 2 21 13 5" xfId="36166" xr:uid="{00000000-0005-0000-0000-0000E6400000}"/>
    <cellStyle name="Normal 2 21 13_01-04-2012" xfId="5679" xr:uid="{00000000-0005-0000-0000-0000E7400000}"/>
    <cellStyle name="Normal 2 21 14" xfId="5680" xr:uid="{00000000-0005-0000-0000-0000E8400000}"/>
    <cellStyle name="Normal 2 21 14 2" xfId="36167" xr:uid="{00000000-0005-0000-0000-0000E9400000}"/>
    <cellStyle name="Normal 2 21 15" xfId="5681" xr:uid="{00000000-0005-0000-0000-0000EA400000}"/>
    <cellStyle name="Normal 2 21 15 2" xfId="36168" xr:uid="{00000000-0005-0000-0000-0000EB400000}"/>
    <cellStyle name="Normal 2 21 16" xfId="5682" xr:uid="{00000000-0005-0000-0000-0000EC400000}"/>
    <cellStyle name="Normal 2 21 16 2" xfId="36169" xr:uid="{00000000-0005-0000-0000-0000ED400000}"/>
    <cellStyle name="Normal 2 21 17" xfId="36170" xr:uid="{00000000-0005-0000-0000-0000EE400000}"/>
    <cellStyle name="Normal 2 21 2" xfId="5683" xr:uid="{00000000-0005-0000-0000-0000EF400000}"/>
    <cellStyle name="Normal 2 21 2 2" xfId="5684" xr:uid="{00000000-0005-0000-0000-0000F0400000}"/>
    <cellStyle name="Normal 2 21 2 2 2" xfId="36171" xr:uid="{00000000-0005-0000-0000-0000F1400000}"/>
    <cellStyle name="Normal 2 21 2 3" xfId="5685" xr:uid="{00000000-0005-0000-0000-0000F2400000}"/>
    <cellStyle name="Normal 2 21 2 3 2" xfId="36172" xr:uid="{00000000-0005-0000-0000-0000F3400000}"/>
    <cellStyle name="Normal 2 21 2 4" xfId="5686" xr:uid="{00000000-0005-0000-0000-0000F4400000}"/>
    <cellStyle name="Normal 2 21 2 4 2" xfId="36173" xr:uid="{00000000-0005-0000-0000-0000F5400000}"/>
    <cellStyle name="Normal 2 21 2 5" xfId="36174" xr:uid="{00000000-0005-0000-0000-0000F6400000}"/>
    <cellStyle name="Normal 2 21 2_01-04-2012" xfId="5687" xr:uid="{00000000-0005-0000-0000-0000F7400000}"/>
    <cellStyle name="Normal 2 21 3" xfId="5688" xr:uid="{00000000-0005-0000-0000-0000F8400000}"/>
    <cellStyle name="Normal 2 21 3 2" xfId="5689" xr:uid="{00000000-0005-0000-0000-0000F9400000}"/>
    <cellStyle name="Normal 2 21 3 2 2" xfId="36175" xr:uid="{00000000-0005-0000-0000-0000FA400000}"/>
    <cellStyle name="Normal 2 21 3 3" xfId="5690" xr:uid="{00000000-0005-0000-0000-0000FB400000}"/>
    <cellStyle name="Normal 2 21 3 3 2" xfId="36176" xr:uid="{00000000-0005-0000-0000-0000FC400000}"/>
    <cellStyle name="Normal 2 21 3 4" xfId="5691" xr:uid="{00000000-0005-0000-0000-0000FD400000}"/>
    <cellStyle name="Normal 2 21 3 4 2" xfId="36177" xr:uid="{00000000-0005-0000-0000-0000FE400000}"/>
    <cellStyle name="Normal 2 21 3 5" xfId="36178" xr:uid="{00000000-0005-0000-0000-0000FF400000}"/>
    <cellStyle name="Normal 2 21 3_01-04-2012" xfId="5692" xr:uid="{00000000-0005-0000-0000-000000410000}"/>
    <cellStyle name="Normal 2 21 4" xfId="5693" xr:uid="{00000000-0005-0000-0000-000001410000}"/>
    <cellStyle name="Normal 2 21 4 2" xfId="5694" xr:uid="{00000000-0005-0000-0000-000002410000}"/>
    <cellStyle name="Normal 2 21 4 2 2" xfId="36179" xr:uid="{00000000-0005-0000-0000-000003410000}"/>
    <cellStyle name="Normal 2 21 4 3" xfId="5695" xr:uid="{00000000-0005-0000-0000-000004410000}"/>
    <cellStyle name="Normal 2 21 4 3 2" xfId="36180" xr:uid="{00000000-0005-0000-0000-000005410000}"/>
    <cellStyle name="Normal 2 21 4 4" xfId="5696" xr:uid="{00000000-0005-0000-0000-000006410000}"/>
    <cellStyle name="Normal 2 21 4 4 2" xfId="36181" xr:uid="{00000000-0005-0000-0000-000007410000}"/>
    <cellStyle name="Normal 2 21 4 5" xfId="36182" xr:uid="{00000000-0005-0000-0000-000008410000}"/>
    <cellStyle name="Normal 2 21 4_01-04-2012" xfId="5697" xr:uid="{00000000-0005-0000-0000-000009410000}"/>
    <cellStyle name="Normal 2 21 5" xfId="5698" xr:uid="{00000000-0005-0000-0000-00000A410000}"/>
    <cellStyle name="Normal 2 21 5 2" xfId="5699" xr:uid="{00000000-0005-0000-0000-00000B410000}"/>
    <cellStyle name="Normal 2 21 5 2 2" xfId="36183" xr:uid="{00000000-0005-0000-0000-00000C410000}"/>
    <cellStyle name="Normal 2 21 5 3" xfId="5700" xr:uid="{00000000-0005-0000-0000-00000D410000}"/>
    <cellStyle name="Normal 2 21 5 3 2" xfId="36184" xr:uid="{00000000-0005-0000-0000-00000E410000}"/>
    <cellStyle name="Normal 2 21 5 4" xfId="5701" xr:uid="{00000000-0005-0000-0000-00000F410000}"/>
    <cellStyle name="Normal 2 21 5 4 2" xfId="36185" xr:uid="{00000000-0005-0000-0000-000010410000}"/>
    <cellStyle name="Normal 2 21 5 5" xfId="36186" xr:uid="{00000000-0005-0000-0000-000011410000}"/>
    <cellStyle name="Normal 2 21 5_01-04-2012" xfId="5702" xr:uid="{00000000-0005-0000-0000-000012410000}"/>
    <cellStyle name="Normal 2 21 6" xfId="5703" xr:uid="{00000000-0005-0000-0000-000013410000}"/>
    <cellStyle name="Normal 2 21 6 2" xfId="5704" xr:uid="{00000000-0005-0000-0000-000014410000}"/>
    <cellStyle name="Normal 2 21 6 2 2" xfId="36187" xr:uid="{00000000-0005-0000-0000-000015410000}"/>
    <cellStyle name="Normal 2 21 6 3" xfId="5705" xr:uid="{00000000-0005-0000-0000-000016410000}"/>
    <cellStyle name="Normal 2 21 6 3 2" xfId="36188" xr:uid="{00000000-0005-0000-0000-000017410000}"/>
    <cellStyle name="Normal 2 21 6 4" xfId="5706" xr:uid="{00000000-0005-0000-0000-000018410000}"/>
    <cellStyle name="Normal 2 21 6 4 2" xfId="36189" xr:uid="{00000000-0005-0000-0000-000019410000}"/>
    <cellStyle name="Normal 2 21 6 5" xfId="36190" xr:uid="{00000000-0005-0000-0000-00001A410000}"/>
    <cellStyle name="Normal 2 21 6_01-04-2012" xfId="5707" xr:uid="{00000000-0005-0000-0000-00001B410000}"/>
    <cellStyle name="Normal 2 21 7" xfId="5708" xr:uid="{00000000-0005-0000-0000-00001C410000}"/>
    <cellStyle name="Normal 2 21 7 2" xfId="5709" xr:uid="{00000000-0005-0000-0000-00001D410000}"/>
    <cellStyle name="Normal 2 21 7 2 2" xfId="36191" xr:uid="{00000000-0005-0000-0000-00001E410000}"/>
    <cellStyle name="Normal 2 21 7 3" xfId="5710" xr:uid="{00000000-0005-0000-0000-00001F410000}"/>
    <cellStyle name="Normal 2 21 7 3 2" xfId="36192" xr:uid="{00000000-0005-0000-0000-000020410000}"/>
    <cellStyle name="Normal 2 21 7 4" xfId="5711" xr:uid="{00000000-0005-0000-0000-000021410000}"/>
    <cellStyle name="Normal 2 21 7 4 2" xfId="36193" xr:uid="{00000000-0005-0000-0000-000022410000}"/>
    <cellStyle name="Normal 2 21 7 5" xfId="36194" xr:uid="{00000000-0005-0000-0000-000023410000}"/>
    <cellStyle name="Normal 2 21 7_01-04-2012" xfId="5712" xr:uid="{00000000-0005-0000-0000-000024410000}"/>
    <cellStyle name="Normal 2 21 8" xfId="5713" xr:uid="{00000000-0005-0000-0000-000025410000}"/>
    <cellStyle name="Normal 2 21 8 2" xfId="5714" xr:uid="{00000000-0005-0000-0000-000026410000}"/>
    <cellStyle name="Normal 2 21 8 2 2" xfId="36195" xr:uid="{00000000-0005-0000-0000-000027410000}"/>
    <cellStyle name="Normal 2 21 8 3" xfId="5715" xr:uid="{00000000-0005-0000-0000-000028410000}"/>
    <cellStyle name="Normal 2 21 8 3 2" xfId="36196" xr:uid="{00000000-0005-0000-0000-000029410000}"/>
    <cellStyle name="Normal 2 21 8 4" xfId="5716" xr:uid="{00000000-0005-0000-0000-00002A410000}"/>
    <cellStyle name="Normal 2 21 8 4 2" xfId="36197" xr:uid="{00000000-0005-0000-0000-00002B410000}"/>
    <cellStyle name="Normal 2 21 8 5" xfId="36198" xr:uid="{00000000-0005-0000-0000-00002C410000}"/>
    <cellStyle name="Normal 2 21 8_01-04-2012" xfId="5717" xr:uid="{00000000-0005-0000-0000-00002D410000}"/>
    <cellStyle name="Normal 2 21 9" xfId="5718" xr:uid="{00000000-0005-0000-0000-00002E410000}"/>
    <cellStyle name="Normal 2 21 9 2" xfId="5719" xr:uid="{00000000-0005-0000-0000-00002F410000}"/>
    <cellStyle name="Normal 2 21 9 2 2" xfId="36199" xr:uid="{00000000-0005-0000-0000-000030410000}"/>
    <cellStyle name="Normal 2 21 9 3" xfId="5720" xr:uid="{00000000-0005-0000-0000-000031410000}"/>
    <cellStyle name="Normal 2 21 9 3 2" xfId="36200" xr:uid="{00000000-0005-0000-0000-000032410000}"/>
    <cellStyle name="Normal 2 21 9 4" xfId="5721" xr:uid="{00000000-0005-0000-0000-000033410000}"/>
    <cellStyle name="Normal 2 21 9 4 2" xfId="36201" xr:uid="{00000000-0005-0000-0000-000034410000}"/>
    <cellStyle name="Normal 2 21 9 5" xfId="36202" xr:uid="{00000000-0005-0000-0000-000035410000}"/>
    <cellStyle name="Normal 2 21 9_01-04-2012" xfId="5722" xr:uid="{00000000-0005-0000-0000-000036410000}"/>
    <cellStyle name="Normal 2 21_01-04-2012" xfId="5723" xr:uid="{00000000-0005-0000-0000-000037410000}"/>
    <cellStyle name="Normal 2 22" xfId="5724" xr:uid="{00000000-0005-0000-0000-000038410000}"/>
    <cellStyle name="Normal 2 22 10" xfId="5725" xr:uid="{00000000-0005-0000-0000-000039410000}"/>
    <cellStyle name="Normal 2 22 10 2" xfId="5726" xr:uid="{00000000-0005-0000-0000-00003A410000}"/>
    <cellStyle name="Normal 2 22 10 2 2" xfId="36203" xr:uid="{00000000-0005-0000-0000-00003B410000}"/>
    <cellStyle name="Normal 2 22 10 3" xfId="5727" xr:uid="{00000000-0005-0000-0000-00003C410000}"/>
    <cellStyle name="Normal 2 22 10 3 2" xfId="36204" xr:uid="{00000000-0005-0000-0000-00003D410000}"/>
    <cellStyle name="Normal 2 22 10 4" xfId="5728" xr:uid="{00000000-0005-0000-0000-00003E410000}"/>
    <cellStyle name="Normal 2 22 10 4 2" xfId="36205" xr:uid="{00000000-0005-0000-0000-00003F410000}"/>
    <cellStyle name="Normal 2 22 10 5" xfId="36206" xr:uid="{00000000-0005-0000-0000-000040410000}"/>
    <cellStyle name="Normal 2 22 10_01-04-2012" xfId="5729" xr:uid="{00000000-0005-0000-0000-000041410000}"/>
    <cellStyle name="Normal 2 22 11" xfId="5730" xr:uid="{00000000-0005-0000-0000-000042410000}"/>
    <cellStyle name="Normal 2 22 11 2" xfId="5731" xr:uid="{00000000-0005-0000-0000-000043410000}"/>
    <cellStyle name="Normal 2 22 11 2 2" xfId="36207" xr:uid="{00000000-0005-0000-0000-000044410000}"/>
    <cellStyle name="Normal 2 22 11 3" xfId="5732" xr:uid="{00000000-0005-0000-0000-000045410000}"/>
    <cellStyle name="Normal 2 22 11 3 2" xfId="36208" xr:uid="{00000000-0005-0000-0000-000046410000}"/>
    <cellStyle name="Normal 2 22 11 4" xfId="5733" xr:uid="{00000000-0005-0000-0000-000047410000}"/>
    <cellStyle name="Normal 2 22 11 4 2" xfId="36209" xr:uid="{00000000-0005-0000-0000-000048410000}"/>
    <cellStyle name="Normal 2 22 11 5" xfId="36210" xr:uid="{00000000-0005-0000-0000-000049410000}"/>
    <cellStyle name="Normal 2 22 11_01-04-2012" xfId="5734" xr:uid="{00000000-0005-0000-0000-00004A410000}"/>
    <cellStyle name="Normal 2 22 12" xfId="5735" xr:uid="{00000000-0005-0000-0000-00004B410000}"/>
    <cellStyle name="Normal 2 22 12 2" xfId="5736" xr:uid="{00000000-0005-0000-0000-00004C410000}"/>
    <cellStyle name="Normal 2 22 12 2 2" xfId="36211" xr:uid="{00000000-0005-0000-0000-00004D410000}"/>
    <cellStyle name="Normal 2 22 12 3" xfId="5737" xr:uid="{00000000-0005-0000-0000-00004E410000}"/>
    <cellStyle name="Normal 2 22 12 3 2" xfId="36212" xr:uid="{00000000-0005-0000-0000-00004F410000}"/>
    <cellStyle name="Normal 2 22 12 4" xfId="5738" xr:uid="{00000000-0005-0000-0000-000050410000}"/>
    <cellStyle name="Normal 2 22 12 4 2" xfId="36213" xr:uid="{00000000-0005-0000-0000-000051410000}"/>
    <cellStyle name="Normal 2 22 12 5" xfId="36214" xr:uid="{00000000-0005-0000-0000-000052410000}"/>
    <cellStyle name="Normal 2 22 12_01-04-2012" xfId="5739" xr:uid="{00000000-0005-0000-0000-000053410000}"/>
    <cellStyle name="Normal 2 22 13" xfId="5740" xr:uid="{00000000-0005-0000-0000-000054410000}"/>
    <cellStyle name="Normal 2 22 13 2" xfId="5741" xr:uid="{00000000-0005-0000-0000-000055410000}"/>
    <cellStyle name="Normal 2 22 13 2 2" xfId="36215" xr:uid="{00000000-0005-0000-0000-000056410000}"/>
    <cellStyle name="Normal 2 22 13 3" xfId="5742" xr:uid="{00000000-0005-0000-0000-000057410000}"/>
    <cellStyle name="Normal 2 22 13 3 2" xfId="36216" xr:uid="{00000000-0005-0000-0000-000058410000}"/>
    <cellStyle name="Normal 2 22 13 4" xfId="5743" xr:uid="{00000000-0005-0000-0000-000059410000}"/>
    <cellStyle name="Normal 2 22 13 4 2" xfId="36217" xr:uid="{00000000-0005-0000-0000-00005A410000}"/>
    <cellStyle name="Normal 2 22 13 5" xfId="36218" xr:uid="{00000000-0005-0000-0000-00005B410000}"/>
    <cellStyle name="Normal 2 22 13_01-04-2012" xfId="5744" xr:uid="{00000000-0005-0000-0000-00005C410000}"/>
    <cellStyle name="Normal 2 22 14" xfId="5745" xr:uid="{00000000-0005-0000-0000-00005D410000}"/>
    <cellStyle name="Normal 2 22 14 2" xfId="36219" xr:uid="{00000000-0005-0000-0000-00005E410000}"/>
    <cellStyle name="Normal 2 22 15" xfId="5746" xr:uid="{00000000-0005-0000-0000-00005F410000}"/>
    <cellStyle name="Normal 2 22 15 2" xfId="36220" xr:uid="{00000000-0005-0000-0000-000060410000}"/>
    <cellStyle name="Normal 2 22 16" xfId="5747" xr:uid="{00000000-0005-0000-0000-000061410000}"/>
    <cellStyle name="Normal 2 22 16 2" xfId="36221" xr:uid="{00000000-0005-0000-0000-000062410000}"/>
    <cellStyle name="Normal 2 22 17" xfId="36222" xr:uid="{00000000-0005-0000-0000-000063410000}"/>
    <cellStyle name="Normal 2 22 2" xfId="5748" xr:uid="{00000000-0005-0000-0000-000064410000}"/>
    <cellStyle name="Normal 2 22 2 2" xfId="5749" xr:uid="{00000000-0005-0000-0000-000065410000}"/>
    <cellStyle name="Normal 2 22 2 2 2" xfId="36223" xr:uid="{00000000-0005-0000-0000-000066410000}"/>
    <cellStyle name="Normal 2 22 2 3" xfId="5750" xr:uid="{00000000-0005-0000-0000-000067410000}"/>
    <cellStyle name="Normal 2 22 2 3 2" xfId="36224" xr:uid="{00000000-0005-0000-0000-000068410000}"/>
    <cellStyle name="Normal 2 22 2 4" xfId="5751" xr:uid="{00000000-0005-0000-0000-000069410000}"/>
    <cellStyle name="Normal 2 22 2 4 2" xfId="36225" xr:uid="{00000000-0005-0000-0000-00006A410000}"/>
    <cellStyle name="Normal 2 22 2 5" xfId="36226" xr:uid="{00000000-0005-0000-0000-00006B410000}"/>
    <cellStyle name="Normal 2 22 2_01-04-2012" xfId="5752" xr:uid="{00000000-0005-0000-0000-00006C410000}"/>
    <cellStyle name="Normal 2 22 3" xfId="5753" xr:uid="{00000000-0005-0000-0000-00006D410000}"/>
    <cellStyle name="Normal 2 22 3 2" xfId="5754" xr:uid="{00000000-0005-0000-0000-00006E410000}"/>
    <cellStyle name="Normal 2 22 3 2 2" xfId="36227" xr:uid="{00000000-0005-0000-0000-00006F410000}"/>
    <cellStyle name="Normal 2 22 3 3" xfId="5755" xr:uid="{00000000-0005-0000-0000-000070410000}"/>
    <cellStyle name="Normal 2 22 3 3 2" xfId="36228" xr:uid="{00000000-0005-0000-0000-000071410000}"/>
    <cellStyle name="Normal 2 22 3 4" xfId="5756" xr:uid="{00000000-0005-0000-0000-000072410000}"/>
    <cellStyle name="Normal 2 22 3 4 2" xfId="36229" xr:uid="{00000000-0005-0000-0000-000073410000}"/>
    <cellStyle name="Normal 2 22 3 5" xfId="36230" xr:uid="{00000000-0005-0000-0000-000074410000}"/>
    <cellStyle name="Normal 2 22 3_01-04-2012" xfId="5757" xr:uid="{00000000-0005-0000-0000-000075410000}"/>
    <cellStyle name="Normal 2 22 4" xfId="5758" xr:uid="{00000000-0005-0000-0000-000076410000}"/>
    <cellStyle name="Normal 2 22 4 2" xfId="5759" xr:uid="{00000000-0005-0000-0000-000077410000}"/>
    <cellStyle name="Normal 2 22 4 2 2" xfId="36231" xr:uid="{00000000-0005-0000-0000-000078410000}"/>
    <cellStyle name="Normal 2 22 4 3" xfId="5760" xr:uid="{00000000-0005-0000-0000-000079410000}"/>
    <cellStyle name="Normal 2 22 4 3 2" xfId="36232" xr:uid="{00000000-0005-0000-0000-00007A410000}"/>
    <cellStyle name="Normal 2 22 4 4" xfId="5761" xr:uid="{00000000-0005-0000-0000-00007B410000}"/>
    <cellStyle name="Normal 2 22 4 4 2" xfId="36233" xr:uid="{00000000-0005-0000-0000-00007C410000}"/>
    <cellStyle name="Normal 2 22 4 5" xfId="36234" xr:uid="{00000000-0005-0000-0000-00007D410000}"/>
    <cellStyle name="Normal 2 22 4_01-04-2012" xfId="5762" xr:uid="{00000000-0005-0000-0000-00007E410000}"/>
    <cellStyle name="Normal 2 22 5" xfId="5763" xr:uid="{00000000-0005-0000-0000-00007F410000}"/>
    <cellStyle name="Normal 2 22 5 2" xfId="5764" xr:uid="{00000000-0005-0000-0000-000080410000}"/>
    <cellStyle name="Normal 2 22 5 2 2" xfId="36235" xr:uid="{00000000-0005-0000-0000-000081410000}"/>
    <cellStyle name="Normal 2 22 5 3" xfId="5765" xr:uid="{00000000-0005-0000-0000-000082410000}"/>
    <cellStyle name="Normal 2 22 5 3 2" xfId="36236" xr:uid="{00000000-0005-0000-0000-000083410000}"/>
    <cellStyle name="Normal 2 22 5 4" xfId="5766" xr:uid="{00000000-0005-0000-0000-000084410000}"/>
    <cellStyle name="Normal 2 22 5 4 2" xfId="36237" xr:uid="{00000000-0005-0000-0000-000085410000}"/>
    <cellStyle name="Normal 2 22 5 5" xfId="36238" xr:uid="{00000000-0005-0000-0000-000086410000}"/>
    <cellStyle name="Normal 2 22 5_01-04-2012" xfId="5767" xr:uid="{00000000-0005-0000-0000-000087410000}"/>
    <cellStyle name="Normal 2 22 6" xfId="5768" xr:uid="{00000000-0005-0000-0000-000088410000}"/>
    <cellStyle name="Normal 2 22 6 2" xfId="5769" xr:uid="{00000000-0005-0000-0000-000089410000}"/>
    <cellStyle name="Normal 2 22 6 2 2" xfId="36239" xr:uid="{00000000-0005-0000-0000-00008A410000}"/>
    <cellStyle name="Normal 2 22 6 3" xfId="5770" xr:uid="{00000000-0005-0000-0000-00008B410000}"/>
    <cellStyle name="Normal 2 22 6 3 2" xfId="36240" xr:uid="{00000000-0005-0000-0000-00008C410000}"/>
    <cellStyle name="Normal 2 22 6 4" xfId="5771" xr:uid="{00000000-0005-0000-0000-00008D410000}"/>
    <cellStyle name="Normal 2 22 6 4 2" xfId="36241" xr:uid="{00000000-0005-0000-0000-00008E410000}"/>
    <cellStyle name="Normal 2 22 6 5" xfId="36242" xr:uid="{00000000-0005-0000-0000-00008F410000}"/>
    <cellStyle name="Normal 2 22 6_01-04-2012" xfId="5772" xr:uid="{00000000-0005-0000-0000-000090410000}"/>
    <cellStyle name="Normal 2 22 7" xfId="5773" xr:uid="{00000000-0005-0000-0000-000091410000}"/>
    <cellStyle name="Normal 2 22 7 2" xfId="5774" xr:uid="{00000000-0005-0000-0000-000092410000}"/>
    <cellStyle name="Normal 2 22 7 2 2" xfId="36243" xr:uid="{00000000-0005-0000-0000-000093410000}"/>
    <cellStyle name="Normal 2 22 7 3" xfId="5775" xr:uid="{00000000-0005-0000-0000-000094410000}"/>
    <cellStyle name="Normal 2 22 7 3 2" xfId="36244" xr:uid="{00000000-0005-0000-0000-000095410000}"/>
    <cellStyle name="Normal 2 22 7 4" xfId="5776" xr:uid="{00000000-0005-0000-0000-000096410000}"/>
    <cellStyle name="Normal 2 22 7 4 2" xfId="36245" xr:uid="{00000000-0005-0000-0000-000097410000}"/>
    <cellStyle name="Normal 2 22 7 5" xfId="36246" xr:uid="{00000000-0005-0000-0000-000098410000}"/>
    <cellStyle name="Normal 2 22 7_01-04-2012" xfId="5777" xr:uid="{00000000-0005-0000-0000-000099410000}"/>
    <cellStyle name="Normal 2 22 8" xfId="5778" xr:uid="{00000000-0005-0000-0000-00009A410000}"/>
    <cellStyle name="Normal 2 22 8 2" xfId="5779" xr:uid="{00000000-0005-0000-0000-00009B410000}"/>
    <cellStyle name="Normal 2 22 8 2 2" xfId="36247" xr:uid="{00000000-0005-0000-0000-00009C410000}"/>
    <cellStyle name="Normal 2 22 8 3" xfId="5780" xr:uid="{00000000-0005-0000-0000-00009D410000}"/>
    <cellStyle name="Normal 2 22 8 3 2" xfId="36248" xr:uid="{00000000-0005-0000-0000-00009E410000}"/>
    <cellStyle name="Normal 2 22 8 4" xfId="5781" xr:uid="{00000000-0005-0000-0000-00009F410000}"/>
    <cellStyle name="Normal 2 22 8 4 2" xfId="36249" xr:uid="{00000000-0005-0000-0000-0000A0410000}"/>
    <cellStyle name="Normal 2 22 8 5" xfId="36250" xr:uid="{00000000-0005-0000-0000-0000A1410000}"/>
    <cellStyle name="Normal 2 22 8_01-04-2012" xfId="5782" xr:uid="{00000000-0005-0000-0000-0000A2410000}"/>
    <cellStyle name="Normal 2 22 9" xfId="5783" xr:uid="{00000000-0005-0000-0000-0000A3410000}"/>
    <cellStyle name="Normal 2 22 9 2" xfId="5784" xr:uid="{00000000-0005-0000-0000-0000A4410000}"/>
    <cellStyle name="Normal 2 22 9 2 2" xfId="36251" xr:uid="{00000000-0005-0000-0000-0000A5410000}"/>
    <cellStyle name="Normal 2 22 9 3" xfId="5785" xr:uid="{00000000-0005-0000-0000-0000A6410000}"/>
    <cellStyle name="Normal 2 22 9 3 2" xfId="36252" xr:uid="{00000000-0005-0000-0000-0000A7410000}"/>
    <cellStyle name="Normal 2 22 9 4" xfId="5786" xr:uid="{00000000-0005-0000-0000-0000A8410000}"/>
    <cellStyle name="Normal 2 22 9 4 2" xfId="36253" xr:uid="{00000000-0005-0000-0000-0000A9410000}"/>
    <cellStyle name="Normal 2 22 9 5" xfId="36254" xr:uid="{00000000-0005-0000-0000-0000AA410000}"/>
    <cellStyle name="Normal 2 22 9_01-04-2012" xfId="5787" xr:uid="{00000000-0005-0000-0000-0000AB410000}"/>
    <cellStyle name="Normal 2 22_01-04-2012" xfId="5788" xr:uid="{00000000-0005-0000-0000-0000AC410000}"/>
    <cellStyle name="Normal 2 23" xfId="5789" xr:uid="{00000000-0005-0000-0000-0000AD410000}"/>
    <cellStyle name="Normal 2 23 10" xfId="5790" xr:uid="{00000000-0005-0000-0000-0000AE410000}"/>
    <cellStyle name="Normal 2 23 10 2" xfId="5791" xr:uid="{00000000-0005-0000-0000-0000AF410000}"/>
    <cellStyle name="Normal 2 23 10 2 2" xfId="36255" xr:uid="{00000000-0005-0000-0000-0000B0410000}"/>
    <cellStyle name="Normal 2 23 10 3" xfId="5792" xr:uid="{00000000-0005-0000-0000-0000B1410000}"/>
    <cellStyle name="Normal 2 23 10 3 2" xfId="36256" xr:uid="{00000000-0005-0000-0000-0000B2410000}"/>
    <cellStyle name="Normal 2 23 10 4" xfId="5793" xr:uid="{00000000-0005-0000-0000-0000B3410000}"/>
    <cellStyle name="Normal 2 23 10 4 2" xfId="36257" xr:uid="{00000000-0005-0000-0000-0000B4410000}"/>
    <cellStyle name="Normal 2 23 10 5" xfId="36258" xr:uid="{00000000-0005-0000-0000-0000B5410000}"/>
    <cellStyle name="Normal 2 23 10_01-04-2012" xfId="5794" xr:uid="{00000000-0005-0000-0000-0000B6410000}"/>
    <cellStyle name="Normal 2 23 11" xfId="5795" xr:uid="{00000000-0005-0000-0000-0000B7410000}"/>
    <cellStyle name="Normal 2 23 11 2" xfId="5796" xr:uid="{00000000-0005-0000-0000-0000B8410000}"/>
    <cellStyle name="Normal 2 23 11 2 2" xfId="36259" xr:uid="{00000000-0005-0000-0000-0000B9410000}"/>
    <cellStyle name="Normal 2 23 11 3" xfId="5797" xr:uid="{00000000-0005-0000-0000-0000BA410000}"/>
    <cellStyle name="Normal 2 23 11 3 2" xfId="36260" xr:uid="{00000000-0005-0000-0000-0000BB410000}"/>
    <cellStyle name="Normal 2 23 11 4" xfId="5798" xr:uid="{00000000-0005-0000-0000-0000BC410000}"/>
    <cellStyle name="Normal 2 23 11 4 2" xfId="36261" xr:uid="{00000000-0005-0000-0000-0000BD410000}"/>
    <cellStyle name="Normal 2 23 11 5" xfId="36262" xr:uid="{00000000-0005-0000-0000-0000BE410000}"/>
    <cellStyle name="Normal 2 23 11_01-04-2012" xfId="5799" xr:uid="{00000000-0005-0000-0000-0000BF410000}"/>
    <cellStyle name="Normal 2 23 12" xfId="5800" xr:uid="{00000000-0005-0000-0000-0000C0410000}"/>
    <cellStyle name="Normal 2 23 12 2" xfId="5801" xr:uid="{00000000-0005-0000-0000-0000C1410000}"/>
    <cellStyle name="Normal 2 23 12 2 2" xfId="36263" xr:uid="{00000000-0005-0000-0000-0000C2410000}"/>
    <cellStyle name="Normal 2 23 12 3" xfId="5802" xr:uid="{00000000-0005-0000-0000-0000C3410000}"/>
    <cellStyle name="Normal 2 23 12 3 2" xfId="36264" xr:uid="{00000000-0005-0000-0000-0000C4410000}"/>
    <cellStyle name="Normal 2 23 12 4" xfId="5803" xr:uid="{00000000-0005-0000-0000-0000C5410000}"/>
    <cellStyle name="Normal 2 23 12 4 2" xfId="36265" xr:uid="{00000000-0005-0000-0000-0000C6410000}"/>
    <cellStyle name="Normal 2 23 12 5" xfId="36266" xr:uid="{00000000-0005-0000-0000-0000C7410000}"/>
    <cellStyle name="Normal 2 23 12_01-04-2012" xfId="5804" xr:uid="{00000000-0005-0000-0000-0000C8410000}"/>
    <cellStyle name="Normal 2 23 13" xfId="5805" xr:uid="{00000000-0005-0000-0000-0000C9410000}"/>
    <cellStyle name="Normal 2 23 13 2" xfId="5806" xr:uid="{00000000-0005-0000-0000-0000CA410000}"/>
    <cellStyle name="Normal 2 23 13 2 2" xfId="36267" xr:uid="{00000000-0005-0000-0000-0000CB410000}"/>
    <cellStyle name="Normal 2 23 13 3" xfId="5807" xr:uid="{00000000-0005-0000-0000-0000CC410000}"/>
    <cellStyle name="Normal 2 23 13 3 2" xfId="36268" xr:uid="{00000000-0005-0000-0000-0000CD410000}"/>
    <cellStyle name="Normal 2 23 13 4" xfId="5808" xr:uid="{00000000-0005-0000-0000-0000CE410000}"/>
    <cellStyle name="Normal 2 23 13 4 2" xfId="36269" xr:uid="{00000000-0005-0000-0000-0000CF410000}"/>
    <cellStyle name="Normal 2 23 13 5" xfId="36270" xr:uid="{00000000-0005-0000-0000-0000D0410000}"/>
    <cellStyle name="Normal 2 23 13_01-04-2012" xfId="5809" xr:uid="{00000000-0005-0000-0000-0000D1410000}"/>
    <cellStyle name="Normal 2 23 14" xfId="5810" xr:uid="{00000000-0005-0000-0000-0000D2410000}"/>
    <cellStyle name="Normal 2 23 14 2" xfId="36271" xr:uid="{00000000-0005-0000-0000-0000D3410000}"/>
    <cellStyle name="Normal 2 23 15" xfId="5811" xr:uid="{00000000-0005-0000-0000-0000D4410000}"/>
    <cellStyle name="Normal 2 23 15 2" xfId="36272" xr:uid="{00000000-0005-0000-0000-0000D5410000}"/>
    <cellStyle name="Normal 2 23 16" xfId="5812" xr:uid="{00000000-0005-0000-0000-0000D6410000}"/>
    <cellStyle name="Normal 2 23 16 2" xfId="36273" xr:uid="{00000000-0005-0000-0000-0000D7410000}"/>
    <cellStyle name="Normal 2 23 17" xfId="36274" xr:uid="{00000000-0005-0000-0000-0000D8410000}"/>
    <cellStyle name="Normal 2 23 2" xfId="5813" xr:uid="{00000000-0005-0000-0000-0000D9410000}"/>
    <cellStyle name="Normal 2 23 2 2" xfId="5814" xr:uid="{00000000-0005-0000-0000-0000DA410000}"/>
    <cellStyle name="Normal 2 23 2 2 2" xfId="36275" xr:uid="{00000000-0005-0000-0000-0000DB410000}"/>
    <cellStyle name="Normal 2 23 2 3" xfId="5815" xr:uid="{00000000-0005-0000-0000-0000DC410000}"/>
    <cellStyle name="Normal 2 23 2 3 2" xfId="36276" xr:uid="{00000000-0005-0000-0000-0000DD410000}"/>
    <cellStyle name="Normal 2 23 2 4" xfId="5816" xr:uid="{00000000-0005-0000-0000-0000DE410000}"/>
    <cellStyle name="Normal 2 23 2 4 2" xfId="36277" xr:uid="{00000000-0005-0000-0000-0000DF410000}"/>
    <cellStyle name="Normal 2 23 2 5" xfId="36278" xr:uid="{00000000-0005-0000-0000-0000E0410000}"/>
    <cellStyle name="Normal 2 23 2_01-04-2012" xfId="5817" xr:uid="{00000000-0005-0000-0000-0000E1410000}"/>
    <cellStyle name="Normal 2 23 3" xfId="5818" xr:uid="{00000000-0005-0000-0000-0000E2410000}"/>
    <cellStyle name="Normal 2 23 3 2" xfId="5819" xr:uid="{00000000-0005-0000-0000-0000E3410000}"/>
    <cellStyle name="Normal 2 23 3 2 2" xfId="36279" xr:uid="{00000000-0005-0000-0000-0000E4410000}"/>
    <cellStyle name="Normal 2 23 3 3" xfId="5820" xr:uid="{00000000-0005-0000-0000-0000E5410000}"/>
    <cellStyle name="Normal 2 23 3 3 2" xfId="36280" xr:uid="{00000000-0005-0000-0000-0000E6410000}"/>
    <cellStyle name="Normal 2 23 3 4" xfId="5821" xr:uid="{00000000-0005-0000-0000-0000E7410000}"/>
    <cellStyle name="Normal 2 23 3 4 2" xfId="36281" xr:uid="{00000000-0005-0000-0000-0000E8410000}"/>
    <cellStyle name="Normal 2 23 3 5" xfId="36282" xr:uid="{00000000-0005-0000-0000-0000E9410000}"/>
    <cellStyle name="Normal 2 23 3_01-04-2012" xfId="5822" xr:uid="{00000000-0005-0000-0000-0000EA410000}"/>
    <cellStyle name="Normal 2 23 4" xfId="5823" xr:uid="{00000000-0005-0000-0000-0000EB410000}"/>
    <cellStyle name="Normal 2 23 4 2" xfId="5824" xr:uid="{00000000-0005-0000-0000-0000EC410000}"/>
    <cellStyle name="Normal 2 23 4 2 2" xfId="36283" xr:uid="{00000000-0005-0000-0000-0000ED410000}"/>
    <cellStyle name="Normal 2 23 4 3" xfId="5825" xr:uid="{00000000-0005-0000-0000-0000EE410000}"/>
    <cellStyle name="Normal 2 23 4 3 2" xfId="36284" xr:uid="{00000000-0005-0000-0000-0000EF410000}"/>
    <cellStyle name="Normal 2 23 4 4" xfId="5826" xr:uid="{00000000-0005-0000-0000-0000F0410000}"/>
    <cellStyle name="Normal 2 23 4 4 2" xfId="36285" xr:uid="{00000000-0005-0000-0000-0000F1410000}"/>
    <cellStyle name="Normal 2 23 4 5" xfId="36286" xr:uid="{00000000-0005-0000-0000-0000F2410000}"/>
    <cellStyle name="Normal 2 23 4_01-04-2012" xfId="5827" xr:uid="{00000000-0005-0000-0000-0000F3410000}"/>
    <cellStyle name="Normal 2 23 5" xfId="5828" xr:uid="{00000000-0005-0000-0000-0000F4410000}"/>
    <cellStyle name="Normal 2 23 5 2" xfId="5829" xr:uid="{00000000-0005-0000-0000-0000F5410000}"/>
    <cellStyle name="Normal 2 23 5 2 2" xfId="36287" xr:uid="{00000000-0005-0000-0000-0000F6410000}"/>
    <cellStyle name="Normal 2 23 5 3" xfId="5830" xr:uid="{00000000-0005-0000-0000-0000F7410000}"/>
    <cellStyle name="Normal 2 23 5 3 2" xfId="36288" xr:uid="{00000000-0005-0000-0000-0000F8410000}"/>
    <cellStyle name="Normal 2 23 5 4" xfId="5831" xr:uid="{00000000-0005-0000-0000-0000F9410000}"/>
    <cellStyle name="Normal 2 23 5 4 2" xfId="36289" xr:uid="{00000000-0005-0000-0000-0000FA410000}"/>
    <cellStyle name="Normal 2 23 5 5" xfId="36290" xr:uid="{00000000-0005-0000-0000-0000FB410000}"/>
    <cellStyle name="Normal 2 23 5_01-04-2012" xfId="5832" xr:uid="{00000000-0005-0000-0000-0000FC410000}"/>
    <cellStyle name="Normal 2 23 6" xfId="5833" xr:uid="{00000000-0005-0000-0000-0000FD410000}"/>
    <cellStyle name="Normal 2 23 6 2" xfId="5834" xr:uid="{00000000-0005-0000-0000-0000FE410000}"/>
    <cellStyle name="Normal 2 23 6 2 2" xfId="36291" xr:uid="{00000000-0005-0000-0000-0000FF410000}"/>
    <cellStyle name="Normal 2 23 6 3" xfId="5835" xr:uid="{00000000-0005-0000-0000-000000420000}"/>
    <cellStyle name="Normal 2 23 6 3 2" xfId="36292" xr:uid="{00000000-0005-0000-0000-000001420000}"/>
    <cellStyle name="Normal 2 23 6 4" xfId="5836" xr:uid="{00000000-0005-0000-0000-000002420000}"/>
    <cellStyle name="Normal 2 23 6 4 2" xfId="36293" xr:uid="{00000000-0005-0000-0000-000003420000}"/>
    <cellStyle name="Normal 2 23 6 5" xfId="36294" xr:uid="{00000000-0005-0000-0000-000004420000}"/>
    <cellStyle name="Normal 2 23 6_01-04-2012" xfId="5837" xr:uid="{00000000-0005-0000-0000-000005420000}"/>
    <cellStyle name="Normal 2 23 7" xfId="5838" xr:uid="{00000000-0005-0000-0000-000006420000}"/>
    <cellStyle name="Normal 2 23 7 2" xfId="5839" xr:uid="{00000000-0005-0000-0000-000007420000}"/>
    <cellStyle name="Normal 2 23 7 2 2" xfId="36295" xr:uid="{00000000-0005-0000-0000-000008420000}"/>
    <cellStyle name="Normal 2 23 7 3" xfId="5840" xr:uid="{00000000-0005-0000-0000-000009420000}"/>
    <cellStyle name="Normal 2 23 7 3 2" xfId="36296" xr:uid="{00000000-0005-0000-0000-00000A420000}"/>
    <cellStyle name="Normal 2 23 7 4" xfId="5841" xr:uid="{00000000-0005-0000-0000-00000B420000}"/>
    <cellStyle name="Normal 2 23 7 4 2" xfId="36297" xr:uid="{00000000-0005-0000-0000-00000C420000}"/>
    <cellStyle name="Normal 2 23 7 5" xfId="36298" xr:uid="{00000000-0005-0000-0000-00000D420000}"/>
    <cellStyle name="Normal 2 23 7_01-04-2012" xfId="5842" xr:uid="{00000000-0005-0000-0000-00000E420000}"/>
    <cellStyle name="Normal 2 23 8" xfId="5843" xr:uid="{00000000-0005-0000-0000-00000F420000}"/>
    <cellStyle name="Normal 2 23 8 2" xfId="5844" xr:uid="{00000000-0005-0000-0000-000010420000}"/>
    <cellStyle name="Normal 2 23 8 2 2" xfId="36299" xr:uid="{00000000-0005-0000-0000-000011420000}"/>
    <cellStyle name="Normal 2 23 8 3" xfId="5845" xr:uid="{00000000-0005-0000-0000-000012420000}"/>
    <cellStyle name="Normal 2 23 8 3 2" xfId="36300" xr:uid="{00000000-0005-0000-0000-000013420000}"/>
    <cellStyle name="Normal 2 23 8 4" xfId="5846" xr:uid="{00000000-0005-0000-0000-000014420000}"/>
    <cellStyle name="Normal 2 23 8 4 2" xfId="36301" xr:uid="{00000000-0005-0000-0000-000015420000}"/>
    <cellStyle name="Normal 2 23 8 5" xfId="36302" xr:uid="{00000000-0005-0000-0000-000016420000}"/>
    <cellStyle name="Normal 2 23 8_01-04-2012" xfId="5847" xr:uid="{00000000-0005-0000-0000-000017420000}"/>
    <cellStyle name="Normal 2 23 9" xfId="5848" xr:uid="{00000000-0005-0000-0000-000018420000}"/>
    <cellStyle name="Normal 2 23 9 2" xfId="5849" xr:uid="{00000000-0005-0000-0000-000019420000}"/>
    <cellStyle name="Normal 2 23 9 2 2" xfId="36303" xr:uid="{00000000-0005-0000-0000-00001A420000}"/>
    <cellStyle name="Normal 2 23 9 3" xfId="5850" xr:uid="{00000000-0005-0000-0000-00001B420000}"/>
    <cellStyle name="Normal 2 23 9 3 2" xfId="36304" xr:uid="{00000000-0005-0000-0000-00001C420000}"/>
    <cellStyle name="Normal 2 23 9 4" xfId="5851" xr:uid="{00000000-0005-0000-0000-00001D420000}"/>
    <cellStyle name="Normal 2 23 9 4 2" xfId="36305" xr:uid="{00000000-0005-0000-0000-00001E420000}"/>
    <cellStyle name="Normal 2 23 9 5" xfId="36306" xr:uid="{00000000-0005-0000-0000-00001F420000}"/>
    <cellStyle name="Normal 2 23 9_01-04-2012" xfId="5852" xr:uid="{00000000-0005-0000-0000-000020420000}"/>
    <cellStyle name="Normal 2 23_01-04-2012" xfId="5853" xr:uid="{00000000-0005-0000-0000-000021420000}"/>
    <cellStyle name="Normal 2 24" xfId="5854" xr:uid="{00000000-0005-0000-0000-000022420000}"/>
    <cellStyle name="Normal 2 24 10" xfId="5855" xr:uid="{00000000-0005-0000-0000-000023420000}"/>
    <cellStyle name="Normal 2 24 10 2" xfId="5856" xr:uid="{00000000-0005-0000-0000-000024420000}"/>
    <cellStyle name="Normal 2 24 10 2 2" xfId="36307" xr:uid="{00000000-0005-0000-0000-000025420000}"/>
    <cellStyle name="Normal 2 24 10 3" xfId="5857" xr:uid="{00000000-0005-0000-0000-000026420000}"/>
    <cellStyle name="Normal 2 24 10 3 2" xfId="36308" xr:uid="{00000000-0005-0000-0000-000027420000}"/>
    <cellStyle name="Normal 2 24 10 4" xfId="5858" xr:uid="{00000000-0005-0000-0000-000028420000}"/>
    <cellStyle name="Normal 2 24 10 4 2" xfId="36309" xr:uid="{00000000-0005-0000-0000-000029420000}"/>
    <cellStyle name="Normal 2 24 10 5" xfId="36310" xr:uid="{00000000-0005-0000-0000-00002A420000}"/>
    <cellStyle name="Normal 2 24 10_01-04-2012" xfId="5859" xr:uid="{00000000-0005-0000-0000-00002B420000}"/>
    <cellStyle name="Normal 2 24 11" xfId="5860" xr:uid="{00000000-0005-0000-0000-00002C420000}"/>
    <cellStyle name="Normal 2 24 11 2" xfId="5861" xr:uid="{00000000-0005-0000-0000-00002D420000}"/>
    <cellStyle name="Normal 2 24 11 2 2" xfId="36311" xr:uid="{00000000-0005-0000-0000-00002E420000}"/>
    <cellStyle name="Normal 2 24 11 3" xfId="5862" xr:uid="{00000000-0005-0000-0000-00002F420000}"/>
    <cellStyle name="Normal 2 24 11 3 2" xfId="36312" xr:uid="{00000000-0005-0000-0000-000030420000}"/>
    <cellStyle name="Normal 2 24 11 4" xfId="5863" xr:uid="{00000000-0005-0000-0000-000031420000}"/>
    <cellStyle name="Normal 2 24 11 4 2" xfId="36313" xr:uid="{00000000-0005-0000-0000-000032420000}"/>
    <cellStyle name="Normal 2 24 11 5" xfId="36314" xr:uid="{00000000-0005-0000-0000-000033420000}"/>
    <cellStyle name="Normal 2 24 11_01-04-2012" xfId="5864" xr:uid="{00000000-0005-0000-0000-000034420000}"/>
    <cellStyle name="Normal 2 24 12" xfId="5865" xr:uid="{00000000-0005-0000-0000-000035420000}"/>
    <cellStyle name="Normal 2 24 12 2" xfId="5866" xr:uid="{00000000-0005-0000-0000-000036420000}"/>
    <cellStyle name="Normal 2 24 12 2 2" xfId="36315" xr:uid="{00000000-0005-0000-0000-000037420000}"/>
    <cellStyle name="Normal 2 24 12 3" xfId="5867" xr:uid="{00000000-0005-0000-0000-000038420000}"/>
    <cellStyle name="Normal 2 24 12 3 2" xfId="36316" xr:uid="{00000000-0005-0000-0000-000039420000}"/>
    <cellStyle name="Normal 2 24 12 4" xfId="5868" xr:uid="{00000000-0005-0000-0000-00003A420000}"/>
    <cellStyle name="Normal 2 24 12 4 2" xfId="36317" xr:uid="{00000000-0005-0000-0000-00003B420000}"/>
    <cellStyle name="Normal 2 24 12 5" xfId="36318" xr:uid="{00000000-0005-0000-0000-00003C420000}"/>
    <cellStyle name="Normal 2 24 12_01-04-2012" xfId="5869" xr:uid="{00000000-0005-0000-0000-00003D420000}"/>
    <cellStyle name="Normal 2 24 13" xfId="5870" xr:uid="{00000000-0005-0000-0000-00003E420000}"/>
    <cellStyle name="Normal 2 24 13 2" xfId="5871" xr:uid="{00000000-0005-0000-0000-00003F420000}"/>
    <cellStyle name="Normal 2 24 13 2 2" xfId="36319" xr:uid="{00000000-0005-0000-0000-000040420000}"/>
    <cellStyle name="Normal 2 24 13 3" xfId="5872" xr:uid="{00000000-0005-0000-0000-000041420000}"/>
    <cellStyle name="Normal 2 24 13 3 2" xfId="36320" xr:uid="{00000000-0005-0000-0000-000042420000}"/>
    <cellStyle name="Normal 2 24 13 4" xfId="5873" xr:uid="{00000000-0005-0000-0000-000043420000}"/>
    <cellStyle name="Normal 2 24 13 4 2" xfId="36321" xr:uid="{00000000-0005-0000-0000-000044420000}"/>
    <cellStyle name="Normal 2 24 13 5" xfId="36322" xr:uid="{00000000-0005-0000-0000-000045420000}"/>
    <cellStyle name="Normal 2 24 13_01-04-2012" xfId="5874" xr:uid="{00000000-0005-0000-0000-000046420000}"/>
    <cellStyle name="Normal 2 24 14" xfId="5875" xr:uid="{00000000-0005-0000-0000-000047420000}"/>
    <cellStyle name="Normal 2 24 14 2" xfId="36323" xr:uid="{00000000-0005-0000-0000-000048420000}"/>
    <cellStyle name="Normal 2 24 15" xfId="5876" xr:uid="{00000000-0005-0000-0000-000049420000}"/>
    <cellStyle name="Normal 2 24 15 2" xfId="36324" xr:uid="{00000000-0005-0000-0000-00004A420000}"/>
    <cellStyle name="Normal 2 24 16" xfId="5877" xr:uid="{00000000-0005-0000-0000-00004B420000}"/>
    <cellStyle name="Normal 2 24 16 2" xfId="36325" xr:uid="{00000000-0005-0000-0000-00004C420000}"/>
    <cellStyle name="Normal 2 24 17" xfId="36326" xr:uid="{00000000-0005-0000-0000-00004D420000}"/>
    <cellStyle name="Normal 2 24 2" xfId="5878" xr:uid="{00000000-0005-0000-0000-00004E420000}"/>
    <cellStyle name="Normal 2 24 2 2" xfId="5879" xr:uid="{00000000-0005-0000-0000-00004F420000}"/>
    <cellStyle name="Normal 2 24 2 2 2" xfId="36327" xr:uid="{00000000-0005-0000-0000-000050420000}"/>
    <cellStyle name="Normal 2 24 2 3" xfId="5880" xr:uid="{00000000-0005-0000-0000-000051420000}"/>
    <cellStyle name="Normal 2 24 2 3 2" xfId="36328" xr:uid="{00000000-0005-0000-0000-000052420000}"/>
    <cellStyle name="Normal 2 24 2 4" xfId="5881" xr:uid="{00000000-0005-0000-0000-000053420000}"/>
    <cellStyle name="Normal 2 24 2 4 2" xfId="36329" xr:uid="{00000000-0005-0000-0000-000054420000}"/>
    <cellStyle name="Normal 2 24 2 5" xfId="36330" xr:uid="{00000000-0005-0000-0000-000055420000}"/>
    <cellStyle name="Normal 2 24 2_01-04-2012" xfId="5882" xr:uid="{00000000-0005-0000-0000-000056420000}"/>
    <cellStyle name="Normal 2 24 3" xfId="5883" xr:uid="{00000000-0005-0000-0000-000057420000}"/>
    <cellStyle name="Normal 2 24 3 2" xfId="5884" xr:uid="{00000000-0005-0000-0000-000058420000}"/>
    <cellStyle name="Normal 2 24 3 2 2" xfId="36331" xr:uid="{00000000-0005-0000-0000-000059420000}"/>
    <cellStyle name="Normal 2 24 3 3" xfId="5885" xr:uid="{00000000-0005-0000-0000-00005A420000}"/>
    <cellStyle name="Normal 2 24 3 3 2" xfId="36332" xr:uid="{00000000-0005-0000-0000-00005B420000}"/>
    <cellStyle name="Normal 2 24 3 4" xfId="5886" xr:uid="{00000000-0005-0000-0000-00005C420000}"/>
    <cellStyle name="Normal 2 24 3 4 2" xfId="36333" xr:uid="{00000000-0005-0000-0000-00005D420000}"/>
    <cellStyle name="Normal 2 24 3 5" xfId="36334" xr:uid="{00000000-0005-0000-0000-00005E420000}"/>
    <cellStyle name="Normal 2 24 3_01-04-2012" xfId="5887" xr:uid="{00000000-0005-0000-0000-00005F420000}"/>
    <cellStyle name="Normal 2 24 4" xfId="5888" xr:uid="{00000000-0005-0000-0000-000060420000}"/>
    <cellStyle name="Normal 2 24 4 2" xfId="5889" xr:uid="{00000000-0005-0000-0000-000061420000}"/>
    <cellStyle name="Normal 2 24 4 2 2" xfId="36335" xr:uid="{00000000-0005-0000-0000-000062420000}"/>
    <cellStyle name="Normal 2 24 4 3" xfId="5890" xr:uid="{00000000-0005-0000-0000-000063420000}"/>
    <cellStyle name="Normal 2 24 4 3 2" xfId="36336" xr:uid="{00000000-0005-0000-0000-000064420000}"/>
    <cellStyle name="Normal 2 24 4 4" xfId="5891" xr:uid="{00000000-0005-0000-0000-000065420000}"/>
    <cellStyle name="Normal 2 24 4 4 2" xfId="36337" xr:uid="{00000000-0005-0000-0000-000066420000}"/>
    <cellStyle name="Normal 2 24 4 5" xfId="36338" xr:uid="{00000000-0005-0000-0000-000067420000}"/>
    <cellStyle name="Normal 2 24 4_01-04-2012" xfId="5892" xr:uid="{00000000-0005-0000-0000-000068420000}"/>
    <cellStyle name="Normal 2 24 5" xfId="5893" xr:uid="{00000000-0005-0000-0000-000069420000}"/>
    <cellStyle name="Normal 2 24 5 2" xfId="5894" xr:uid="{00000000-0005-0000-0000-00006A420000}"/>
    <cellStyle name="Normal 2 24 5 2 2" xfId="36339" xr:uid="{00000000-0005-0000-0000-00006B420000}"/>
    <cellStyle name="Normal 2 24 5 3" xfId="5895" xr:uid="{00000000-0005-0000-0000-00006C420000}"/>
    <cellStyle name="Normal 2 24 5 3 2" xfId="36340" xr:uid="{00000000-0005-0000-0000-00006D420000}"/>
    <cellStyle name="Normal 2 24 5 4" xfId="5896" xr:uid="{00000000-0005-0000-0000-00006E420000}"/>
    <cellStyle name="Normal 2 24 5 4 2" xfId="36341" xr:uid="{00000000-0005-0000-0000-00006F420000}"/>
    <cellStyle name="Normal 2 24 5 5" xfId="36342" xr:uid="{00000000-0005-0000-0000-000070420000}"/>
    <cellStyle name="Normal 2 24 5_01-04-2012" xfId="5897" xr:uid="{00000000-0005-0000-0000-000071420000}"/>
    <cellStyle name="Normal 2 24 6" xfId="5898" xr:uid="{00000000-0005-0000-0000-000072420000}"/>
    <cellStyle name="Normal 2 24 6 2" xfId="5899" xr:uid="{00000000-0005-0000-0000-000073420000}"/>
    <cellStyle name="Normal 2 24 6 2 2" xfId="36343" xr:uid="{00000000-0005-0000-0000-000074420000}"/>
    <cellStyle name="Normal 2 24 6 3" xfId="5900" xr:uid="{00000000-0005-0000-0000-000075420000}"/>
    <cellStyle name="Normal 2 24 6 3 2" xfId="36344" xr:uid="{00000000-0005-0000-0000-000076420000}"/>
    <cellStyle name="Normal 2 24 6 4" xfId="5901" xr:uid="{00000000-0005-0000-0000-000077420000}"/>
    <cellStyle name="Normal 2 24 6 4 2" xfId="36345" xr:uid="{00000000-0005-0000-0000-000078420000}"/>
    <cellStyle name="Normal 2 24 6 5" xfId="36346" xr:uid="{00000000-0005-0000-0000-000079420000}"/>
    <cellStyle name="Normal 2 24 6_01-04-2012" xfId="5902" xr:uid="{00000000-0005-0000-0000-00007A420000}"/>
    <cellStyle name="Normal 2 24 7" xfId="5903" xr:uid="{00000000-0005-0000-0000-00007B420000}"/>
    <cellStyle name="Normal 2 24 7 2" xfId="5904" xr:uid="{00000000-0005-0000-0000-00007C420000}"/>
    <cellStyle name="Normal 2 24 7 2 2" xfId="36347" xr:uid="{00000000-0005-0000-0000-00007D420000}"/>
    <cellStyle name="Normal 2 24 7 3" xfId="5905" xr:uid="{00000000-0005-0000-0000-00007E420000}"/>
    <cellStyle name="Normal 2 24 7 3 2" xfId="36348" xr:uid="{00000000-0005-0000-0000-00007F420000}"/>
    <cellStyle name="Normal 2 24 7 4" xfId="5906" xr:uid="{00000000-0005-0000-0000-000080420000}"/>
    <cellStyle name="Normal 2 24 7 4 2" xfId="36349" xr:uid="{00000000-0005-0000-0000-000081420000}"/>
    <cellStyle name="Normal 2 24 7 5" xfId="36350" xr:uid="{00000000-0005-0000-0000-000082420000}"/>
    <cellStyle name="Normal 2 24 7_01-04-2012" xfId="5907" xr:uid="{00000000-0005-0000-0000-000083420000}"/>
    <cellStyle name="Normal 2 24 8" xfId="5908" xr:uid="{00000000-0005-0000-0000-000084420000}"/>
    <cellStyle name="Normal 2 24 8 2" xfId="5909" xr:uid="{00000000-0005-0000-0000-000085420000}"/>
    <cellStyle name="Normal 2 24 8 2 2" xfId="36351" xr:uid="{00000000-0005-0000-0000-000086420000}"/>
    <cellStyle name="Normal 2 24 8 3" xfId="5910" xr:uid="{00000000-0005-0000-0000-000087420000}"/>
    <cellStyle name="Normal 2 24 8 3 2" xfId="36352" xr:uid="{00000000-0005-0000-0000-000088420000}"/>
    <cellStyle name="Normal 2 24 8 4" xfId="5911" xr:uid="{00000000-0005-0000-0000-000089420000}"/>
    <cellStyle name="Normal 2 24 8 4 2" xfId="36353" xr:uid="{00000000-0005-0000-0000-00008A420000}"/>
    <cellStyle name="Normal 2 24 8 5" xfId="36354" xr:uid="{00000000-0005-0000-0000-00008B420000}"/>
    <cellStyle name="Normal 2 24 8_01-04-2012" xfId="5912" xr:uid="{00000000-0005-0000-0000-00008C420000}"/>
    <cellStyle name="Normal 2 24 9" xfId="5913" xr:uid="{00000000-0005-0000-0000-00008D420000}"/>
    <cellStyle name="Normal 2 24 9 2" xfId="5914" xr:uid="{00000000-0005-0000-0000-00008E420000}"/>
    <cellStyle name="Normal 2 24 9 2 2" xfId="36355" xr:uid="{00000000-0005-0000-0000-00008F420000}"/>
    <cellStyle name="Normal 2 24 9 3" xfId="5915" xr:uid="{00000000-0005-0000-0000-000090420000}"/>
    <cellStyle name="Normal 2 24 9 3 2" xfId="36356" xr:uid="{00000000-0005-0000-0000-000091420000}"/>
    <cellStyle name="Normal 2 24 9 4" xfId="5916" xr:uid="{00000000-0005-0000-0000-000092420000}"/>
    <cellStyle name="Normal 2 24 9 4 2" xfId="36357" xr:uid="{00000000-0005-0000-0000-000093420000}"/>
    <cellStyle name="Normal 2 24 9 5" xfId="36358" xr:uid="{00000000-0005-0000-0000-000094420000}"/>
    <cellStyle name="Normal 2 24 9_01-04-2012" xfId="5917" xr:uid="{00000000-0005-0000-0000-000095420000}"/>
    <cellStyle name="Normal 2 24_01-04-2012" xfId="5918" xr:uid="{00000000-0005-0000-0000-000096420000}"/>
    <cellStyle name="Normal 2 25" xfId="5919" xr:uid="{00000000-0005-0000-0000-000097420000}"/>
    <cellStyle name="Normal 2 25 10" xfId="5920" xr:uid="{00000000-0005-0000-0000-000098420000}"/>
    <cellStyle name="Normal 2 25 10 2" xfId="5921" xr:uid="{00000000-0005-0000-0000-000099420000}"/>
    <cellStyle name="Normal 2 25 10 2 2" xfId="36359" xr:uid="{00000000-0005-0000-0000-00009A420000}"/>
    <cellStyle name="Normal 2 25 10 3" xfId="5922" xr:uid="{00000000-0005-0000-0000-00009B420000}"/>
    <cellStyle name="Normal 2 25 10 3 2" xfId="36360" xr:uid="{00000000-0005-0000-0000-00009C420000}"/>
    <cellStyle name="Normal 2 25 10 4" xfId="5923" xr:uid="{00000000-0005-0000-0000-00009D420000}"/>
    <cellStyle name="Normal 2 25 10 4 2" xfId="36361" xr:uid="{00000000-0005-0000-0000-00009E420000}"/>
    <cellStyle name="Normal 2 25 10 5" xfId="36362" xr:uid="{00000000-0005-0000-0000-00009F420000}"/>
    <cellStyle name="Normal 2 25 10_01-04-2012" xfId="5924" xr:uid="{00000000-0005-0000-0000-0000A0420000}"/>
    <cellStyle name="Normal 2 25 11" xfId="5925" xr:uid="{00000000-0005-0000-0000-0000A1420000}"/>
    <cellStyle name="Normal 2 25 11 2" xfId="5926" xr:uid="{00000000-0005-0000-0000-0000A2420000}"/>
    <cellStyle name="Normal 2 25 11 2 2" xfId="36363" xr:uid="{00000000-0005-0000-0000-0000A3420000}"/>
    <cellStyle name="Normal 2 25 11 3" xfId="5927" xr:uid="{00000000-0005-0000-0000-0000A4420000}"/>
    <cellStyle name="Normal 2 25 11 3 2" xfId="36364" xr:uid="{00000000-0005-0000-0000-0000A5420000}"/>
    <cellStyle name="Normal 2 25 11 4" xfId="5928" xr:uid="{00000000-0005-0000-0000-0000A6420000}"/>
    <cellStyle name="Normal 2 25 11 4 2" xfId="36365" xr:uid="{00000000-0005-0000-0000-0000A7420000}"/>
    <cellStyle name="Normal 2 25 11 5" xfId="36366" xr:uid="{00000000-0005-0000-0000-0000A8420000}"/>
    <cellStyle name="Normal 2 25 11_01-04-2012" xfId="5929" xr:uid="{00000000-0005-0000-0000-0000A9420000}"/>
    <cellStyle name="Normal 2 25 12" xfId="5930" xr:uid="{00000000-0005-0000-0000-0000AA420000}"/>
    <cellStyle name="Normal 2 25 12 2" xfId="5931" xr:uid="{00000000-0005-0000-0000-0000AB420000}"/>
    <cellStyle name="Normal 2 25 12 2 2" xfId="36367" xr:uid="{00000000-0005-0000-0000-0000AC420000}"/>
    <cellStyle name="Normal 2 25 12 3" xfId="5932" xr:uid="{00000000-0005-0000-0000-0000AD420000}"/>
    <cellStyle name="Normal 2 25 12 3 2" xfId="36368" xr:uid="{00000000-0005-0000-0000-0000AE420000}"/>
    <cellStyle name="Normal 2 25 12 4" xfId="5933" xr:uid="{00000000-0005-0000-0000-0000AF420000}"/>
    <cellStyle name="Normal 2 25 12 4 2" xfId="36369" xr:uid="{00000000-0005-0000-0000-0000B0420000}"/>
    <cellStyle name="Normal 2 25 12 5" xfId="36370" xr:uid="{00000000-0005-0000-0000-0000B1420000}"/>
    <cellStyle name="Normal 2 25 12_01-04-2012" xfId="5934" xr:uid="{00000000-0005-0000-0000-0000B2420000}"/>
    <cellStyle name="Normal 2 25 13" xfId="5935" xr:uid="{00000000-0005-0000-0000-0000B3420000}"/>
    <cellStyle name="Normal 2 25 13 2" xfId="5936" xr:uid="{00000000-0005-0000-0000-0000B4420000}"/>
    <cellStyle name="Normal 2 25 13 2 2" xfId="36371" xr:uid="{00000000-0005-0000-0000-0000B5420000}"/>
    <cellStyle name="Normal 2 25 13 3" xfId="5937" xr:uid="{00000000-0005-0000-0000-0000B6420000}"/>
    <cellStyle name="Normal 2 25 13 3 2" xfId="36372" xr:uid="{00000000-0005-0000-0000-0000B7420000}"/>
    <cellStyle name="Normal 2 25 13 4" xfId="5938" xr:uid="{00000000-0005-0000-0000-0000B8420000}"/>
    <cellStyle name="Normal 2 25 13 4 2" xfId="36373" xr:uid="{00000000-0005-0000-0000-0000B9420000}"/>
    <cellStyle name="Normal 2 25 13 5" xfId="36374" xr:uid="{00000000-0005-0000-0000-0000BA420000}"/>
    <cellStyle name="Normal 2 25 13_01-04-2012" xfId="5939" xr:uid="{00000000-0005-0000-0000-0000BB420000}"/>
    <cellStyle name="Normal 2 25 14" xfId="5940" xr:uid="{00000000-0005-0000-0000-0000BC420000}"/>
    <cellStyle name="Normal 2 25 14 2" xfId="36375" xr:uid="{00000000-0005-0000-0000-0000BD420000}"/>
    <cellStyle name="Normal 2 25 15" xfId="5941" xr:uid="{00000000-0005-0000-0000-0000BE420000}"/>
    <cellStyle name="Normal 2 25 15 2" xfId="36376" xr:uid="{00000000-0005-0000-0000-0000BF420000}"/>
    <cellStyle name="Normal 2 25 16" xfId="5942" xr:uid="{00000000-0005-0000-0000-0000C0420000}"/>
    <cellStyle name="Normal 2 25 16 2" xfId="36377" xr:uid="{00000000-0005-0000-0000-0000C1420000}"/>
    <cellStyle name="Normal 2 25 17" xfId="36378" xr:uid="{00000000-0005-0000-0000-0000C2420000}"/>
    <cellStyle name="Normal 2 25 2" xfId="5943" xr:uid="{00000000-0005-0000-0000-0000C3420000}"/>
    <cellStyle name="Normal 2 25 2 2" xfId="5944" xr:uid="{00000000-0005-0000-0000-0000C4420000}"/>
    <cellStyle name="Normal 2 25 2 2 2" xfId="36379" xr:uid="{00000000-0005-0000-0000-0000C5420000}"/>
    <cellStyle name="Normal 2 25 2 3" xfId="5945" xr:uid="{00000000-0005-0000-0000-0000C6420000}"/>
    <cellStyle name="Normal 2 25 2 3 2" xfId="36380" xr:uid="{00000000-0005-0000-0000-0000C7420000}"/>
    <cellStyle name="Normal 2 25 2 4" xfId="5946" xr:uid="{00000000-0005-0000-0000-0000C8420000}"/>
    <cellStyle name="Normal 2 25 2 4 2" xfId="36381" xr:uid="{00000000-0005-0000-0000-0000C9420000}"/>
    <cellStyle name="Normal 2 25 2 5" xfId="36382" xr:uid="{00000000-0005-0000-0000-0000CA420000}"/>
    <cellStyle name="Normal 2 25 2_01-04-2012" xfId="5947" xr:uid="{00000000-0005-0000-0000-0000CB420000}"/>
    <cellStyle name="Normal 2 25 3" xfId="5948" xr:uid="{00000000-0005-0000-0000-0000CC420000}"/>
    <cellStyle name="Normal 2 25 3 2" xfId="5949" xr:uid="{00000000-0005-0000-0000-0000CD420000}"/>
    <cellStyle name="Normal 2 25 3 2 2" xfId="36383" xr:uid="{00000000-0005-0000-0000-0000CE420000}"/>
    <cellStyle name="Normal 2 25 3 3" xfId="5950" xr:uid="{00000000-0005-0000-0000-0000CF420000}"/>
    <cellStyle name="Normal 2 25 3 3 2" xfId="36384" xr:uid="{00000000-0005-0000-0000-0000D0420000}"/>
    <cellStyle name="Normal 2 25 3 4" xfId="5951" xr:uid="{00000000-0005-0000-0000-0000D1420000}"/>
    <cellStyle name="Normal 2 25 3 4 2" xfId="36385" xr:uid="{00000000-0005-0000-0000-0000D2420000}"/>
    <cellStyle name="Normal 2 25 3 5" xfId="36386" xr:uid="{00000000-0005-0000-0000-0000D3420000}"/>
    <cellStyle name="Normal 2 25 3_01-04-2012" xfId="5952" xr:uid="{00000000-0005-0000-0000-0000D4420000}"/>
    <cellStyle name="Normal 2 25 4" xfId="5953" xr:uid="{00000000-0005-0000-0000-0000D5420000}"/>
    <cellStyle name="Normal 2 25 4 2" xfId="5954" xr:uid="{00000000-0005-0000-0000-0000D6420000}"/>
    <cellStyle name="Normal 2 25 4 2 2" xfId="36387" xr:uid="{00000000-0005-0000-0000-0000D7420000}"/>
    <cellStyle name="Normal 2 25 4 3" xfId="5955" xr:uid="{00000000-0005-0000-0000-0000D8420000}"/>
    <cellStyle name="Normal 2 25 4 3 2" xfId="36388" xr:uid="{00000000-0005-0000-0000-0000D9420000}"/>
    <cellStyle name="Normal 2 25 4 4" xfId="5956" xr:uid="{00000000-0005-0000-0000-0000DA420000}"/>
    <cellStyle name="Normal 2 25 4 4 2" xfId="36389" xr:uid="{00000000-0005-0000-0000-0000DB420000}"/>
    <cellStyle name="Normal 2 25 4 5" xfId="36390" xr:uid="{00000000-0005-0000-0000-0000DC420000}"/>
    <cellStyle name="Normal 2 25 4_01-04-2012" xfId="5957" xr:uid="{00000000-0005-0000-0000-0000DD420000}"/>
    <cellStyle name="Normal 2 25 5" xfId="5958" xr:uid="{00000000-0005-0000-0000-0000DE420000}"/>
    <cellStyle name="Normal 2 25 5 2" xfId="5959" xr:uid="{00000000-0005-0000-0000-0000DF420000}"/>
    <cellStyle name="Normal 2 25 5 2 2" xfId="36391" xr:uid="{00000000-0005-0000-0000-0000E0420000}"/>
    <cellStyle name="Normal 2 25 5 3" xfId="5960" xr:uid="{00000000-0005-0000-0000-0000E1420000}"/>
    <cellStyle name="Normal 2 25 5 3 2" xfId="36392" xr:uid="{00000000-0005-0000-0000-0000E2420000}"/>
    <cellStyle name="Normal 2 25 5 4" xfId="5961" xr:uid="{00000000-0005-0000-0000-0000E3420000}"/>
    <cellStyle name="Normal 2 25 5 4 2" xfId="36393" xr:uid="{00000000-0005-0000-0000-0000E4420000}"/>
    <cellStyle name="Normal 2 25 5 5" xfId="36394" xr:uid="{00000000-0005-0000-0000-0000E5420000}"/>
    <cellStyle name="Normal 2 25 5_01-04-2012" xfId="5962" xr:uid="{00000000-0005-0000-0000-0000E6420000}"/>
    <cellStyle name="Normal 2 25 6" xfId="5963" xr:uid="{00000000-0005-0000-0000-0000E7420000}"/>
    <cellStyle name="Normal 2 25 6 2" xfId="5964" xr:uid="{00000000-0005-0000-0000-0000E8420000}"/>
    <cellStyle name="Normal 2 25 6 2 2" xfId="36395" xr:uid="{00000000-0005-0000-0000-0000E9420000}"/>
    <cellStyle name="Normal 2 25 6 3" xfId="5965" xr:uid="{00000000-0005-0000-0000-0000EA420000}"/>
    <cellStyle name="Normal 2 25 6 3 2" xfId="36396" xr:uid="{00000000-0005-0000-0000-0000EB420000}"/>
    <cellStyle name="Normal 2 25 6 4" xfId="5966" xr:uid="{00000000-0005-0000-0000-0000EC420000}"/>
    <cellStyle name="Normal 2 25 6 4 2" xfId="36397" xr:uid="{00000000-0005-0000-0000-0000ED420000}"/>
    <cellStyle name="Normal 2 25 6 5" xfId="36398" xr:uid="{00000000-0005-0000-0000-0000EE420000}"/>
    <cellStyle name="Normal 2 25 6_01-04-2012" xfId="5967" xr:uid="{00000000-0005-0000-0000-0000EF420000}"/>
    <cellStyle name="Normal 2 25 7" xfId="5968" xr:uid="{00000000-0005-0000-0000-0000F0420000}"/>
    <cellStyle name="Normal 2 25 7 2" xfId="5969" xr:uid="{00000000-0005-0000-0000-0000F1420000}"/>
    <cellStyle name="Normal 2 25 7 2 2" xfId="36399" xr:uid="{00000000-0005-0000-0000-0000F2420000}"/>
    <cellStyle name="Normal 2 25 7 3" xfId="5970" xr:uid="{00000000-0005-0000-0000-0000F3420000}"/>
    <cellStyle name="Normal 2 25 7 3 2" xfId="36400" xr:uid="{00000000-0005-0000-0000-0000F4420000}"/>
    <cellStyle name="Normal 2 25 7 4" xfId="5971" xr:uid="{00000000-0005-0000-0000-0000F5420000}"/>
    <cellStyle name="Normal 2 25 7 4 2" xfId="36401" xr:uid="{00000000-0005-0000-0000-0000F6420000}"/>
    <cellStyle name="Normal 2 25 7 5" xfId="36402" xr:uid="{00000000-0005-0000-0000-0000F7420000}"/>
    <cellStyle name="Normal 2 25 7_01-04-2012" xfId="5972" xr:uid="{00000000-0005-0000-0000-0000F8420000}"/>
    <cellStyle name="Normal 2 25 8" xfId="5973" xr:uid="{00000000-0005-0000-0000-0000F9420000}"/>
    <cellStyle name="Normal 2 25 8 2" xfId="5974" xr:uid="{00000000-0005-0000-0000-0000FA420000}"/>
    <cellStyle name="Normal 2 25 8 2 2" xfId="36403" xr:uid="{00000000-0005-0000-0000-0000FB420000}"/>
    <cellStyle name="Normal 2 25 8 3" xfId="5975" xr:uid="{00000000-0005-0000-0000-0000FC420000}"/>
    <cellStyle name="Normal 2 25 8 3 2" xfId="36404" xr:uid="{00000000-0005-0000-0000-0000FD420000}"/>
    <cellStyle name="Normal 2 25 8 4" xfId="5976" xr:uid="{00000000-0005-0000-0000-0000FE420000}"/>
    <cellStyle name="Normal 2 25 8 4 2" xfId="36405" xr:uid="{00000000-0005-0000-0000-0000FF420000}"/>
    <cellStyle name="Normal 2 25 8 5" xfId="36406" xr:uid="{00000000-0005-0000-0000-000000430000}"/>
    <cellStyle name="Normal 2 25 8_01-04-2012" xfId="5977" xr:uid="{00000000-0005-0000-0000-000001430000}"/>
    <cellStyle name="Normal 2 25 9" xfId="5978" xr:uid="{00000000-0005-0000-0000-000002430000}"/>
    <cellStyle name="Normal 2 25 9 2" xfId="5979" xr:uid="{00000000-0005-0000-0000-000003430000}"/>
    <cellStyle name="Normal 2 25 9 2 2" xfId="36407" xr:uid="{00000000-0005-0000-0000-000004430000}"/>
    <cellStyle name="Normal 2 25 9 3" xfId="5980" xr:uid="{00000000-0005-0000-0000-000005430000}"/>
    <cellStyle name="Normal 2 25 9 3 2" xfId="36408" xr:uid="{00000000-0005-0000-0000-000006430000}"/>
    <cellStyle name="Normal 2 25 9 4" xfId="5981" xr:uid="{00000000-0005-0000-0000-000007430000}"/>
    <cellStyle name="Normal 2 25 9 4 2" xfId="36409" xr:uid="{00000000-0005-0000-0000-000008430000}"/>
    <cellStyle name="Normal 2 25 9 5" xfId="36410" xr:uid="{00000000-0005-0000-0000-000009430000}"/>
    <cellStyle name="Normal 2 25 9_01-04-2012" xfId="5982" xr:uid="{00000000-0005-0000-0000-00000A430000}"/>
    <cellStyle name="Normal 2 25_01-04-2012" xfId="5983" xr:uid="{00000000-0005-0000-0000-00000B430000}"/>
    <cellStyle name="Normal 2 26" xfId="5984" xr:uid="{00000000-0005-0000-0000-00000C430000}"/>
    <cellStyle name="Normal 2 26 2" xfId="5985" xr:uid="{00000000-0005-0000-0000-00000D430000}"/>
    <cellStyle name="Normal 2 26 2 2" xfId="36411" xr:uid="{00000000-0005-0000-0000-00000E430000}"/>
    <cellStyle name="Normal 2 26 3" xfId="5986" xr:uid="{00000000-0005-0000-0000-00000F430000}"/>
    <cellStyle name="Normal 2 26 3 2" xfId="36412" xr:uid="{00000000-0005-0000-0000-000010430000}"/>
    <cellStyle name="Normal 2 26 4" xfId="5987" xr:uid="{00000000-0005-0000-0000-000011430000}"/>
    <cellStyle name="Normal 2 26 4 2" xfId="36413" xr:uid="{00000000-0005-0000-0000-000012430000}"/>
    <cellStyle name="Normal 2 26 5" xfId="36414" xr:uid="{00000000-0005-0000-0000-000013430000}"/>
    <cellStyle name="Normal 2 26_01-04-2012" xfId="5988" xr:uid="{00000000-0005-0000-0000-000014430000}"/>
    <cellStyle name="Normal 2 27" xfId="5989" xr:uid="{00000000-0005-0000-0000-000015430000}"/>
    <cellStyle name="Normal 2 27 2" xfId="5990" xr:uid="{00000000-0005-0000-0000-000016430000}"/>
    <cellStyle name="Normal 2 27 2 2" xfId="36415" xr:uid="{00000000-0005-0000-0000-000017430000}"/>
    <cellStyle name="Normal 2 27 3" xfId="5991" xr:uid="{00000000-0005-0000-0000-000018430000}"/>
    <cellStyle name="Normal 2 27 3 2" xfId="36416" xr:uid="{00000000-0005-0000-0000-000019430000}"/>
    <cellStyle name="Normal 2 27 4" xfId="5992" xr:uid="{00000000-0005-0000-0000-00001A430000}"/>
    <cellStyle name="Normal 2 27 4 2" xfId="36417" xr:uid="{00000000-0005-0000-0000-00001B430000}"/>
    <cellStyle name="Normal 2 27 5" xfId="36418" xr:uid="{00000000-0005-0000-0000-00001C430000}"/>
    <cellStyle name="Normal 2 27_01-04-2012" xfId="5993" xr:uid="{00000000-0005-0000-0000-00001D430000}"/>
    <cellStyle name="Normal 2 28" xfId="5994" xr:uid="{00000000-0005-0000-0000-00001E430000}"/>
    <cellStyle name="Normal 2 28 2" xfId="5995" xr:uid="{00000000-0005-0000-0000-00001F430000}"/>
    <cellStyle name="Normal 2 28 2 2" xfId="36419" xr:uid="{00000000-0005-0000-0000-000020430000}"/>
    <cellStyle name="Normal 2 28 3" xfId="5996" xr:uid="{00000000-0005-0000-0000-000021430000}"/>
    <cellStyle name="Normal 2 28 3 2" xfId="36420" xr:uid="{00000000-0005-0000-0000-000022430000}"/>
    <cellStyle name="Normal 2 28 4" xfId="5997" xr:uid="{00000000-0005-0000-0000-000023430000}"/>
    <cellStyle name="Normal 2 28 4 2" xfId="36421" xr:uid="{00000000-0005-0000-0000-000024430000}"/>
    <cellStyle name="Normal 2 28 5" xfId="36422" xr:uid="{00000000-0005-0000-0000-000025430000}"/>
    <cellStyle name="Normal 2 28_01-04-2012" xfId="5998" xr:uid="{00000000-0005-0000-0000-000026430000}"/>
    <cellStyle name="Normal 2 29" xfId="5999" xr:uid="{00000000-0005-0000-0000-000027430000}"/>
    <cellStyle name="Normal 2 29 2" xfId="6000" xr:uid="{00000000-0005-0000-0000-000028430000}"/>
    <cellStyle name="Normal 2 29 2 2" xfId="36423" xr:uid="{00000000-0005-0000-0000-000029430000}"/>
    <cellStyle name="Normal 2 29 3" xfId="6001" xr:uid="{00000000-0005-0000-0000-00002A430000}"/>
    <cellStyle name="Normal 2 29 3 2" xfId="36424" xr:uid="{00000000-0005-0000-0000-00002B430000}"/>
    <cellStyle name="Normal 2 29 4" xfId="6002" xr:uid="{00000000-0005-0000-0000-00002C430000}"/>
    <cellStyle name="Normal 2 29 4 2" xfId="36425" xr:uid="{00000000-0005-0000-0000-00002D430000}"/>
    <cellStyle name="Normal 2 29 5" xfId="36426" xr:uid="{00000000-0005-0000-0000-00002E430000}"/>
    <cellStyle name="Normal 2 29_01-04-2012" xfId="6003" xr:uid="{00000000-0005-0000-0000-00002F430000}"/>
    <cellStyle name="Normal 2 3" xfId="17" xr:uid="{00000000-0005-0000-0000-000030430000}"/>
    <cellStyle name="Normal 2 3 10" xfId="6004" xr:uid="{00000000-0005-0000-0000-000031430000}"/>
    <cellStyle name="Normal 2 3 10 2" xfId="17461" xr:uid="{00000000-0005-0000-0000-000032430000}"/>
    <cellStyle name="Normal 2 3 10 2 2" xfId="17462" xr:uid="{00000000-0005-0000-0000-000033430000}"/>
    <cellStyle name="Normal 2 3 10 2 3" xfId="17463" xr:uid="{00000000-0005-0000-0000-000034430000}"/>
    <cellStyle name="Normal 2 3 10 2 4" xfId="17464" xr:uid="{00000000-0005-0000-0000-000035430000}"/>
    <cellStyle name="Normal 2 3 10 2 5" xfId="17465" xr:uid="{00000000-0005-0000-0000-000036430000}"/>
    <cellStyle name="Normal 2 3 10 2 6" xfId="17466" xr:uid="{00000000-0005-0000-0000-000037430000}"/>
    <cellStyle name="Normal 2 3 10 2 7" xfId="17467" xr:uid="{00000000-0005-0000-0000-000038430000}"/>
    <cellStyle name="Normal 2 3 10 3" xfId="17468" xr:uid="{00000000-0005-0000-0000-000039430000}"/>
    <cellStyle name="Normal 2 3 10 4" xfId="17469" xr:uid="{00000000-0005-0000-0000-00003A430000}"/>
    <cellStyle name="Normal 2 3 10 5" xfId="17470" xr:uid="{00000000-0005-0000-0000-00003B430000}"/>
    <cellStyle name="Normal 2 3 10 6" xfId="17471" xr:uid="{00000000-0005-0000-0000-00003C430000}"/>
    <cellStyle name="Normal 2 3 10 7" xfId="17472" xr:uid="{00000000-0005-0000-0000-00003D430000}"/>
    <cellStyle name="Normal 2 3 10 8" xfId="17473" xr:uid="{00000000-0005-0000-0000-00003E430000}"/>
    <cellStyle name="Normal 2 3 10 9" xfId="17474" xr:uid="{00000000-0005-0000-0000-00003F430000}"/>
    <cellStyle name="Normal 2 3 11" xfId="6005" xr:uid="{00000000-0005-0000-0000-000040430000}"/>
    <cellStyle name="Normal 2 3 11 2" xfId="17475" xr:uid="{00000000-0005-0000-0000-000041430000}"/>
    <cellStyle name="Normal 2 3 11 2 2" xfId="17476" xr:uid="{00000000-0005-0000-0000-000042430000}"/>
    <cellStyle name="Normal 2 3 11 2 3" xfId="17477" xr:uid="{00000000-0005-0000-0000-000043430000}"/>
    <cellStyle name="Normal 2 3 11 2 4" xfId="17478" xr:uid="{00000000-0005-0000-0000-000044430000}"/>
    <cellStyle name="Normal 2 3 11 2 5" xfId="17479" xr:uid="{00000000-0005-0000-0000-000045430000}"/>
    <cellStyle name="Normal 2 3 11 2 6" xfId="17480" xr:uid="{00000000-0005-0000-0000-000046430000}"/>
    <cellStyle name="Normal 2 3 11 2 7" xfId="17481" xr:uid="{00000000-0005-0000-0000-000047430000}"/>
    <cellStyle name="Normal 2 3 11 3" xfId="17482" xr:uid="{00000000-0005-0000-0000-000048430000}"/>
    <cellStyle name="Normal 2 3 11 4" xfId="17483" xr:uid="{00000000-0005-0000-0000-000049430000}"/>
    <cellStyle name="Normal 2 3 11 5" xfId="17484" xr:uid="{00000000-0005-0000-0000-00004A430000}"/>
    <cellStyle name="Normal 2 3 11 6" xfId="17485" xr:uid="{00000000-0005-0000-0000-00004B430000}"/>
    <cellStyle name="Normal 2 3 11 7" xfId="17486" xr:uid="{00000000-0005-0000-0000-00004C430000}"/>
    <cellStyle name="Normal 2 3 11 8" xfId="17487" xr:uid="{00000000-0005-0000-0000-00004D430000}"/>
    <cellStyle name="Normal 2 3 11 9" xfId="17488" xr:uid="{00000000-0005-0000-0000-00004E430000}"/>
    <cellStyle name="Normal 2 3 12" xfId="6006" xr:uid="{00000000-0005-0000-0000-00004F430000}"/>
    <cellStyle name="Normal 2 3 12 2" xfId="17489" xr:uid="{00000000-0005-0000-0000-000050430000}"/>
    <cellStyle name="Normal 2 3 12 2 2" xfId="17490" xr:uid="{00000000-0005-0000-0000-000051430000}"/>
    <cellStyle name="Normal 2 3 12 2 3" xfId="17491" xr:uid="{00000000-0005-0000-0000-000052430000}"/>
    <cellStyle name="Normal 2 3 12 2 4" xfId="17492" xr:uid="{00000000-0005-0000-0000-000053430000}"/>
    <cellStyle name="Normal 2 3 12 2 5" xfId="17493" xr:uid="{00000000-0005-0000-0000-000054430000}"/>
    <cellStyle name="Normal 2 3 12 2 6" xfId="17494" xr:uid="{00000000-0005-0000-0000-000055430000}"/>
    <cellStyle name="Normal 2 3 12 2 7" xfId="17495" xr:uid="{00000000-0005-0000-0000-000056430000}"/>
    <cellStyle name="Normal 2 3 12 3" xfId="17496" xr:uid="{00000000-0005-0000-0000-000057430000}"/>
    <cellStyle name="Normal 2 3 12 4" xfId="17497" xr:uid="{00000000-0005-0000-0000-000058430000}"/>
    <cellStyle name="Normal 2 3 12 5" xfId="17498" xr:uid="{00000000-0005-0000-0000-000059430000}"/>
    <cellStyle name="Normal 2 3 12 6" xfId="17499" xr:uid="{00000000-0005-0000-0000-00005A430000}"/>
    <cellStyle name="Normal 2 3 12 7" xfId="17500" xr:uid="{00000000-0005-0000-0000-00005B430000}"/>
    <cellStyle name="Normal 2 3 12 8" xfId="17501" xr:uid="{00000000-0005-0000-0000-00005C430000}"/>
    <cellStyle name="Normal 2 3 12 9" xfId="17502" xr:uid="{00000000-0005-0000-0000-00005D430000}"/>
    <cellStyle name="Normal 2 3 13" xfId="6007" xr:uid="{00000000-0005-0000-0000-00005E430000}"/>
    <cellStyle name="Normal 2 3 13 2" xfId="17503" xr:uid="{00000000-0005-0000-0000-00005F430000}"/>
    <cellStyle name="Normal 2 3 13 2 2" xfId="17504" xr:uid="{00000000-0005-0000-0000-000060430000}"/>
    <cellStyle name="Normal 2 3 13 2 3" xfId="17505" xr:uid="{00000000-0005-0000-0000-000061430000}"/>
    <cellStyle name="Normal 2 3 13 2 4" xfId="17506" xr:uid="{00000000-0005-0000-0000-000062430000}"/>
    <cellStyle name="Normal 2 3 13 2 5" xfId="17507" xr:uid="{00000000-0005-0000-0000-000063430000}"/>
    <cellStyle name="Normal 2 3 13 2 6" xfId="17508" xr:uid="{00000000-0005-0000-0000-000064430000}"/>
    <cellStyle name="Normal 2 3 13 2 7" xfId="17509" xr:uid="{00000000-0005-0000-0000-000065430000}"/>
    <cellStyle name="Normal 2 3 13 3" xfId="17510" xr:uid="{00000000-0005-0000-0000-000066430000}"/>
    <cellStyle name="Normal 2 3 13 4" xfId="17511" xr:uid="{00000000-0005-0000-0000-000067430000}"/>
    <cellStyle name="Normal 2 3 13 5" xfId="17512" xr:uid="{00000000-0005-0000-0000-000068430000}"/>
    <cellStyle name="Normal 2 3 13 6" xfId="17513" xr:uid="{00000000-0005-0000-0000-000069430000}"/>
    <cellStyle name="Normal 2 3 13 7" xfId="17514" xr:uid="{00000000-0005-0000-0000-00006A430000}"/>
    <cellStyle name="Normal 2 3 13 8" xfId="17515" xr:uid="{00000000-0005-0000-0000-00006B430000}"/>
    <cellStyle name="Normal 2 3 13 9" xfId="17516" xr:uid="{00000000-0005-0000-0000-00006C430000}"/>
    <cellStyle name="Normal 2 3 14" xfId="6008" xr:uid="{00000000-0005-0000-0000-00006D430000}"/>
    <cellStyle name="Normal 2 3 14 2" xfId="17517" xr:uid="{00000000-0005-0000-0000-00006E430000}"/>
    <cellStyle name="Normal 2 3 14 2 2" xfId="17518" xr:uid="{00000000-0005-0000-0000-00006F430000}"/>
    <cellStyle name="Normal 2 3 14 2 3" xfId="17519" xr:uid="{00000000-0005-0000-0000-000070430000}"/>
    <cellStyle name="Normal 2 3 14 2 4" xfId="17520" xr:uid="{00000000-0005-0000-0000-000071430000}"/>
    <cellStyle name="Normal 2 3 14 2 5" xfId="17521" xr:uid="{00000000-0005-0000-0000-000072430000}"/>
    <cellStyle name="Normal 2 3 14 2 6" xfId="17522" xr:uid="{00000000-0005-0000-0000-000073430000}"/>
    <cellStyle name="Normal 2 3 14 2 7" xfId="17523" xr:uid="{00000000-0005-0000-0000-000074430000}"/>
    <cellStyle name="Normal 2 3 14 3" xfId="17524" xr:uid="{00000000-0005-0000-0000-000075430000}"/>
    <cellStyle name="Normal 2 3 14 4" xfId="17525" xr:uid="{00000000-0005-0000-0000-000076430000}"/>
    <cellStyle name="Normal 2 3 14 5" xfId="17526" xr:uid="{00000000-0005-0000-0000-000077430000}"/>
    <cellStyle name="Normal 2 3 14 6" xfId="17527" xr:uid="{00000000-0005-0000-0000-000078430000}"/>
    <cellStyle name="Normal 2 3 14 7" xfId="17528" xr:uid="{00000000-0005-0000-0000-000079430000}"/>
    <cellStyle name="Normal 2 3 14 8" xfId="17529" xr:uid="{00000000-0005-0000-0000-00007A430000}"/>
    <cellStyle name="Normal 2 3 14 9" xfId="17530" xr:uid="{00000000-0005-0000-0000-00007B430000}"/>
    <cellStyle name="Normal 2 3 15" xfId="6009" xr:uid="{00000000-0005-0000-0000-00007C430000}"/>
    <cellStyle name="Normal 2 3 15 2" xfId="17531" xr:uid="{00000000-0005-0000-0000-00007D430000}"/>
    <cellStyle name="Normal 2 3 15 2 2" xfId="17532" xr:uid="{00000000-0005-0000-0000-00007E430000}"/>
    <cellStyle name="Normal 2 3 15 2 3" xfId="17533" xr:uid="{00000000-0005-0000-0000-00007F430000}"/>
    <cellStyle name="Normal 2 3 15 2 4" xfId="17534" xr:uid="{00000000-0005-0000-0000-000080430000}"/>
    <cellStyle name="Normal 2 3 15 2 5" xfId="17535" xr:uid="{00000000-0005-0000-0000-000081430000}"/>
    <cellStyle name="Normal 2 3 15 2 6" xfId="17536" xr:uid="{00000000-0005-0000-0000-000082430000}"/>
    <cellStyle name="Normal 2 3 15 2 7" xfId="17537" xr:uid="{00000000-0005-0000-0000-000083430000}"/>
    <cellStyle name="Normal 2 3 15 3" xfId="17538" xr:uid="{00000000-0005-0000-0000-000084430000}"/>
    <cellStyle name="Normal 2 3 15 4" xfId="17539" xr:uid="{00000000-0005-0000-0000-000085430000}"/>
    <cellStyle name="Normal 2 3 15 5" xfId="17540" xr:uid="{00000000-0005-0000-0000-000086430000}"/>
    <cellStyle name="Normal 2 3 15 6" xfId="17541" xr:uid="{00000000-0005-0000-0000-000087430000}"/>
    <cellStyle name="Normal 2 3 15 7" xfId="17542" xr:uid="{00000000-0005-0000-0000-000088430000}"/>
    <cellStyle name="Normal 2 3 15 8" xfId="17543" xr:uid="{00000000-0005-0000-0000-000089430000}"/>
    <cellStyle name="Normal 2 3 15 9" xfId="17544" xr:uid="{00000000-0005-0000-0000-00008A430000}"/>
    <cellStyle name="Normal 2 3 16" xfId="6010" xr:uid="{00000000-0005-0000-0000-00008B430000}"/>
    <cellStyle name="Normal 2 3 16 2" xfId="17545" xr:uid="{00000000-0005-0000-0000-00008C430000}"/>
    <cellStyle name="Normal 2 3 16 3" xfId="17546" xr:uid="{00000000-0005-0000-0000-00008D430000}"/>
    <cellStyle name="Normal 2 3 16 4" xfId="17547" xr:uid="{00000000-0005-0000-0000-00008E430000}"/>
    <cellStyle name="Normal 2 3 16 5" xfId="17548" xr:uid="{00000000-0005-0000-0000-00008F430000}"/>
    <cellStyle name="Normal 2 3 16 6" xfId="17549" xr:uid="{00000000-0005-0000-0000-000090430000}"/>
    <cellStyle name="Normal 2 3 16 7" xfId="17550" xr:uid="{00000000-0005-0000-0000-000091430000}"/>
    <cellStyle name="Normal 2 3 16 8" xfId="17551" xr:uid="{00000000-0005-0000-0000-000092430000}"/>
    <cellStyle name="Normal 2 3 17" xfId="6011" xr:uid="{00000000-0005-0000-0000-000093430000}"/>
    <cellStyle name="Normal 2 3 17 2" xfId="17552" xr:uid="{00000000-0005-0000-0000-000094430000}"/>
    <cellStyle name="Normal 2 3 17 3" xfId="17553" xr:uid="{00000000-0005-0000-0000-000095430000}"/>
    <cellStyle name="Normal 2 3 17 4" xfId="17554" xr:uid="{00000000-0005-0000-0000-000096430000}"/>
    <cellStyle name="Normal 2 3 17 5" xfId="17555" xr:uid="{00000000-0005-0000-0000-000097430000}"/>
    <cellStyle name="Normal 2 3 17 6" xfId="17556" xr:uid="{00000000-0005-0000-0000-000098430000}"/>
    <cellStyle name="Normal 2 3 17 7" xfId="17557" xr:uid="{00000000-0005-0000-0000-000099430000}"/>
    <cellStyle name="Normal 2 3 17 8" xfId="17558" xr:uid="{00000000-0005-0000-0000-00009A430000}"/>
    <cellStyle name="Normal 2 3 18" xfId="6012" xr:uid="{00000000-0005-0000-0000-00009B430000}"/>
    <cellStyle name="Normal 2 3 18 2" xfId="17559" xr:uid="{00000000-0005-0000-0000-00009C430000}"/>
    <cellStyle name="Normal 2 3 18 3" xfId="17560" xr:uid="{00000000-0005-0000-0000-00009D430000}"/>
    <cellStyle name="Normal 2 3 18 4" xfId="17561" xr:uid="{00000000-0005-0000-0000-00009E430000}"/>
    <cellStyle name="Normal 2 3 18 5" xfId="17562" xr:uid="{00000000-0005-0000-0000-00009F430000}"/>
    <cellStyle name="Normal 2 3 18 6" xfId="17563" xr:uid="{00000000-0005-0000-0000-0000A0430000}"/>
    <cellStyle name="Normal 2 3 18 7" xfId="17564" xr:uid="{00000000-0005-0000-0000-0000A1430000}"/>
    <cellStyle name="Normal 2 3 18 8" xfId="17565" xr:uid="{00000000-0005-0000-0000-0000A2430000}"/>
    <cellStyle name="Normal 2 3 19" xfId="6013" xr:uid="{00000000-0005-0000-0000-0000A3430000}"/>
    <cellStyle name="Normal 2 3 19 2" xfId="17566" xr:uid="{00000000-0005-0000-0000-0000A4430000}"/>
    <cellStyle name="Normal 2 3 19 3" xfId="17567" xr:uid="{00000000-0005-0000-0000-0000A5430000}"/>
    <cellStyle name="Normal 2 3 19 4" xfId="17568" xr:uid="{00000000-0005-0000-0000-0000A6430000}"/>
    <cellStyle name="Normal 2 3 19 5" xfId="17569" xr:uid="{00000000-0005-0000-0000-0000A7430000}"/>
    <cellStyle name="Normal 2 3 19 6" xfId="17570" xr:uid="{00000000-0005-0000-0000-0000A8430000}"/>
    <cellStyle name="Normal 2 3 19 7" xfId="17571" xr:uid="{00000000-0005-0000-0000-0000A9430000}"/>
    <cellStyle name="Normal 2 3 19 8" xfId="17572" xr:uid="{00000000-0005-0000-0000-0000AA430000}"/>
    <cellStyle name="Normal 2 3 2" xfId="6014" xr:uid="{00000000-0005-0000-0000-0000AB430000}"/>
    <cellStyle name="Normal 2 3 2 2" xfId="17573" xr:uid="{00000000-0005-0000-0000-0000AC430000}"/>
    <cellStyle name="Normal 2 3 2 2 2" xfId="17574" xr:uid="{00000000-0005-0000-0000-0000AD430000}"/>
    <cellStyle name="Normal 2 3 2 2 2 2" xfId="17575" xr:uid="{00000000-0005-0000-0000-0000AE430000}"/>
    <cellStyle name="Normal 2 3 2 2 3" xfId="17576" xr:uid="{00000000-0005-0000-0000-0000AF430000}"/>
    <cellStyle name="Normal 2 3 2 2 4" xfId="17577" xr:uid="{00000000-0005-0000-0000-0000B0430000}"/>
    <cellStyle name="Normal 2 3 2 2 5" xfId="17578" xr:uid="{00000000-0005-0000-0000-0000B1430000}"/>
    <cellStyle name="Normal 2 3 2 2 6" xfId="17579" xr:uid="{00000000-0005-0000-0000-0000B2430000}"/>
    <cellStyle name="Normal 2 3 2 2 7" xfId="17580" xr:uid="{00000000-0005-0000-0000-0000B3430000}"/>
    <cellStyle name="Normal 2 3 2 3" xfId="17581" xr:uid="{00000000-0005-0000-0000-0000B4430000}"/>
    <cellStyle name="Normal 2 3 2 3 2" xfId="17582" xr:uid="{00000000-0005-0000-0000-0000B5430000}"/>
    <cellStyle name="Normal 2 3 2 4" xfId="17583" xr:uid="{00000000-0005-0000-0000-0000B6430000}"/>
    <cellStyle name="Normal 2 3 2 5" xfId="17584" xr:uid="{00000000-0005-0000-0000-0000B7430000}"/>
    <cellStyle name="Normal 2 3 2 6" xfId="17585" xr:uid="{00000000-0005-0000-0000-0000B8430000}"/>
    <cellStyle name="Normal 2 3 2 7" xfId="17586" xr:uid="{00000000-0005-0000-0000-0000B9430000}"/>
    <cellStyle name="Normal 2 3 2 8" xfId="17587" xr:uid="{00000000-0005-0000-0000-0000BA430000}"/>
    <cellStyle name="Normal 2 3 2 9" xfId="17588" xr:uid="{00000000-0005-0000-0000-0000BB430000}"/>
    <cellStyle name="Normal 2 3 20" xfId="6015" xr:uid="{00000000-0005-0000-0000-0000BC430000}"/>
    <cellStyle name="Normal 2 3 20 2" xfId="17589" xr:uid="{00000000-0005-0000-0000-0000BD430000}"/>
    <cellStyle name="Normal 2 3 20 3" xfId="17590" xr:uid="{00000000-0005-0000-0000-0000BE430000}"/>
    <cellStyle name="Normal 2 3 20 4" xfId="17591" xr:uid="{00000000-0005-0000-0000-0000BF430000}"/>
    <cellStyle name="Normal 2 3 20 5" xfId="17592" xr:uid="{00000000-0005-0000-0000-0000C0430000}"/>
    <cellStyle name="Normal 2 3 20 6" xfId="17593" xr:uid="{00000000-0005-0000-0000-0000C1430000}"/>
    <cellStyle name="Normal 2 3 20 7" xfId="17594" xr:uid="{00000000-0005-0000-0000-0000C2430000}"/>
    <cellStyle name="Normal 2 3 20 8" xfId="17595" xr:uid="{00000000-0005-0000-0000-0000C3430000}"/>
    <cellStyle name="Normal 2 3 21" xfId="6016" xr:uid="{00000000-0005-0000-0000-0000C4430000}"/>
    <cellStyle name="Normal 2 3 21 2" xfId="17596" xr:uid="{00000000-0005-0000-0000-0000C5430000}"/>
    <cellStyle name="Normal 2 3 21 3" xfId="17597" xr:uid="{00000000-0005-0000-0000-0000C6430000}"/>
    <cellStyle name="Normal 2 3 21 4" xfId="17598" xr:uid="{00000000-0005-0000-0000-0000C7430000}"/>
    <cellStyle name="Normal 2 3 21 5" xfId="17599" xr:uid="{00000000-0005-0000-0000-0000C8430000}"/>
    <cellStyle name="Normal 2 3 21 6" xfId="17600" xr:uid="{00000000-0005-0000-0000-0000C9430000}"/>
    <cellStyle name="Normal 2 3 21 7" xfId="17601" xr:uid="{00000000-0005-0000-0000-0000CA430000}"/>
    <cellStyle name="Normal 2 3 21 8" xfId="17602" xr:uid="{00000000-0005-0000-0000-0000CB430000}"/>
    <cellStyle name="Normal 2 3 22" xfId="6017" xr:uid="{00000000-0005-0000-0000-0000CC430000}"/>
    <cellStyle name="Normal 2 3 22 2" xfId="17603" xr:uid="{00000000-0005-0000-0000-0000CD430000}"/>
    <cellStyle name="Normal 2 3 22 3" xfId="17604" xr:uid="{00000000-0005-0000-0000-0000CE430000}"/>
    <cellStyle name="Normal 2 3 22 4" xfId="17605" xr:uid="{00000000-0005-0000-0000-0000CF430000}"/>
    <cellStyle name="Normal 2 3 22 5" xfId="17606" xr:uid="{00000000-0005-0000-0000-0000D0430000}"/>
    <cellStyle name="Normal 2 3 22 6" xfId="17607" xr:uid="{00000000-0005-0000-0000-0000D1430000}"/>
    <cellStyle name="Normal 2 3 22 7" xfId="17608" xr:uid="{00000000-0005-0000-0000-0000D2430000}"/>
    <cellStyle name="Normal 2 3 22 8" xfId="17609" xr:uid="{00000000-0005-0000-0000-0000D3430000}"/>
    <cellStyle name="Normal 2 3 23" xfId="6018" xr:uid="{00000000-0005-0000-0000-0000D4430000}"/>
    <cellStyle name="Normal 2 3 23 2" xfId="17610" xr:uid="{00000000-0005-0000-0000-0000D5430000}"/>
    <cellStyle name="Normal 2 3 23 3" xfId="17611" xr:uid="{00000000-0005-0000-0000-0000D6430000}"/>
    <cellStyle name="Normal 2 3 23 4" xfId="17612" xr:uid="{00000000-0005-0000-0000-0000D7430000}"/>
    <cellStyle name="Normal 2 3 23 5" xfId="17613" xr:uid="{00000000-0005-0000-0000-0000D8430000}"/>
    <cellStyle name="Normal 2 3 23 6" xfId="17614" xr:uid="{00000000-0005-0000-0000-0000D9430000}"/>
    <cellStyle name="Normal 2 3 23 7" xfId="17615" xr:uid="{00000000-0005-0000-0000-0000DA430000}"/>
    <cellStyle name="Normal 2 3 23 8" xfId="17616" xr:uid="{00000000-0005-0000-0000-0000DB430000}"/>
    <cellStyle name="Normal 2 3 24" xfId="6019" xr:uid="{00000000-0005-0000-0000-0000DC430000}"/>
    <cellStyle name="Normal 2 3 24 2" xfId="17617" xr:uid="{00000000-0005-0000-0000-0000DD430000}"/>
    <cellStyle name="Normal 2 3 24 3" xfId="17618" xr:uid="{00000000-0005-0000-0000-0000DE430000}"/>
    <cellStyle name="Normal 2 3 24 4" xfId="17619" xr:uid="{00000000-0005-0000-0000-0000DF430000}"/>
    <cellStyle name="Normal 2 3 24 5" xfId="17620" xr:uid="{00000000-0005-0000-0000-0000E0430000}"/>
    <cellStyle name="Normal 2 3 24 6" xfId="17621" xr:uid="{00000000-0005-0000-0000-0000E1430000}"/>
    <cellStyle name="Normal 2 3 24 7" xfId="17622" xr:uid="{00000000-0005-0000-0000-0000E2430000}"/>
    <cellStyle name="Normal 2 3 24 8" xfId="17623" xr:uid="{00000000-0005-0000-0000-0000E3430000}"/>
    <cellStyle name="Normal 2 3 25" xfId="6020" xr:uid="{00000000-0005-0000-0000-0000E4430000}"/>
    <cellStyle name="Normal 2 3 25 2" xfId="17624" xr:uid="{00000000-0005-0000-0000-0000E5430000}"/>
    <cellStyle name="Normal 2 3 25 3" xfId="17625" xr:uid="{00000000-0005-0000-0000-0000E6430000}"/>
    <cellStyle name="Normal 2 3 25 4" xfId="17626" xr:uid="{00000000-0005-0000-0000-0000E7430000}"/>
    <cellStyle name="Normal 2 3 25 5" xfId="17627" xr:uid="{00000000-0005-0000-0000-0000E8430000}"/>
    <cellStyle name="Normal 2 3 25 6" xfId="17628" xr:uid="{00000000-0005-0000-0000-0000E9430000}"/>
    <cellStyle name="Normal 2 3 25 7" xfId="17629" xr:uid="{00000000-0005-0000-0000-0000EA430000}"/>
    <cellStyle name="Normal 2 3 25 8" xfId="17630" xr:uid="{00000000-0005-0000-0000-0000EB430000}"/>
    <cellStyle name="Normal 2 3 26" xfId="6021" xr:uid="{00000000-0005-0000-0000-0000EC430000}"/>
    <cellStyle name="Normal 2 3 26 2" xfId="17631" xr:uid="{00000000-0005-0000-0000-0000ED430000}"/>
    <cellStyle name="Normal 2 3 26 3" xfId="17632" xr:uid="{00000000-0005-0000-0000-0000EE430000}"/>
    <cellStyle name="Normal 2 3 26 4" xfId="17633" xr:uid="{00000000-0005-0000-0000-0000EF430000}"/>
    <cellStyle name="Normal 2 3 26 5" xfId="17634" xr:uid="{00000000-0005-0000-0000-0000F0430000}"/>
    <cellStyle name="Normal 2 3 26 6" xfId="17635" xr:uid="{00000000-0005-0000-0000-0000F1430000}"/>
    <cellStyle name="Normal 2 3 26 7" xfId="17636" xr:uid="{00000000-0005-0000-0000-0000F2430000}"/>
    <cellStyle name="Normal 2 3 26 8" xfId="17637" xr:uid="{00000000-0005-0000-0000-0000F3430000}"/>
    <cellStyle name="Normal 2 3 27" xfId="6022" xr:uid="{00000000-0005-0000-0000-0000F4430000}"/>
    <cellStyle name="Normal 2 3 27 2" xfId="17638" xr:uid="{00000000-0005-0000-0000-0000F5430000}"/>
    <cellStyle name="Normal 2 3 27 3" xfId="17639" xr:uid="{00000000-0005-0000-0000-0000F6430000}"/>
    <cellStyle name="Normal 2 3 27 4" xfId="17640" xr:uid="{00000000-0005-0000-0000-0000F7430000}"/>
    <cellStyle name="Normal 2 3 27 5" xfId="17641" xr:uid="{00000000-0005-0000-0000-0000F8430000}"/>
    <cellStyle name="Normal 2 3 27 6" xfId="17642" xr:uid="{00000000-0005-0000-0000-0000F9430000}"/>
    <cellStyle name="Normal 2 3 27 7" xfId="17643" xr:uid="{00000000-0005-0000-0000-0000FA430000}"/>
    <cellStyle name="Normal 2 3 27 8" xfId="17644" xr:uid="{00000000-0005-0000-0000-0000FB430000}"/>
    <cellStyle name="Normal 2 3 28" xfId="6023" xr:uid="{00000000-0005-0000-0000-0000FC430000}"/>
    <cellStyle name="Normal 2 3 28 2" xfId="17645" xr:uid="{00000000-0005-0000-0000-0000FD430000}"/>
    <cellStyle name="Normal 2 3 28 3" xfId="17646" xr:uid="{00000000-0005-0000-0000-0000FE430000}"/>
    <cellStyle name="Normal 2 3 28 4" xfId="17647" xr:uid="{00000000-0005-0000-0000-0000FF430000}"/>
    <cellStyle name="Normal 2 3 28 5" xfId="17648" xr:uid="{00000000-0005-0000-0000-000000440000}"/>
    <cellStyle name="Normal 2 3 28 6" xfId="17649" xr:uid="{00000000-0005-0000-0000-000001440000}"/>
    <cellStyle name="Normal 2 3 28 7" xfId="17650" xr:uid="{00000000-0005-0000-0000-000002440000}"/>
    <cellStyle name="Normal 2 3 28 8" xfId="17651" xr:uid="{00000000-0005-0000-0000-000003440000}"/>
    <cellStyle name="Normal 2 3 29" xfId="6024" xr:uid="{00000000-0005-0000-0000-000004440000}"/>
    <cellStyle name="Normal 2 3 29 2" xfId="17652" xr:uid="{00000000-0005-0000-0000-000005440000}"/>
    <cellStyle name="Normal 2 3 29 3" xfId="17653" xr:uid="{00000000-0005-0000-0000-000006440000}"/>
    <cellStyle name="Normal 2 3 29 4" xfId="17654" xr:uid="{00000000-0005-0000-0000-000007440000}"/>
    <cellStyle name="Normal 2 3 29 5" xfId="17655" xr:uid="{00000000-0005-0000-0000-000008440000}"/>
    <cellStyle name="Normal 2 3 29 6" xfId="17656" xr:uid="{00000000-0005-0000-0000-000009440000}"/>
    <cellStyle name="Normal 2 3 29 7" xfId="17657" xr:uid="{00000000-0005-0000-0000-00000A440000}"/>
    <cellStyle name="Normal 2 3 29 8" xfId="17658" xr:uid="{00000000-0005-0000-0000-00000B440000}"/>
    <cellStyle name="Normal 2 3 3" xfId="6025" xr:uid="{00000000-0005-0000-0000-00000C440000}"/>
    <cellStyle name="Normal 2 3 3 2" xfId="17659" xr:uid="{00000000-0005-0000-0000-00000D440000}"/>
    <cellStyle name="Normal 2 3 3 2 2" xfId="17660" xr:uid="{00000000-0005-0000-0000-00000E440000}"/>
    <cellStyle name="Normal 2 3 3 2 3" xfId="17661" xr:uid="{00000000-0005-0000-0000-00000F440000}"/>
    <cellStyle name="Normal 2 3 3 2 4" xfId="17662" xr:uid="{00000000-0005-0000-0000-000010440000}"/>
    <cellStyle name="Normal 2 3 3 2 5" xfId="17663" xr:uid="{00000000-0005-0000-0000-000011440000}"/>
    <cellStyle name="Normal 2 3 3 2 6" xfId="17664" xr:uid="{00000000-0005-0000-0000-000012440000}"/>
    <cellStyle name="Normal 2 3 3 2 7" xfId="17665" xr:uid="{00000000-0005-0000-0000-000013440000}"/>
    <cellStyle name="Normal 2 3 3 3" xfId="17666" xr:uid="{00000000-0005-0000-0000-000014440000}"/>
    <cellStyle name="Normal 2 3 3 3 2" xfId="17667" xr:uid="{00000000-0005-0000-0000-000015440000}"/>
    <cellStyle name="Normal 2 3 3 4" xfId="17668" xr:uid="{00000000-0005-0000-0000-000016440000}"/>
    <cellStyle name="Normal 2 3 3 5" xfId="17669" xr:uid="{00000000-0005-0000-0000-000017440000}"/>
    <cellStyle name="Normal 2 3 3 6" xfId="17670" xr:uid="{00000000-0005-0000-0000-000018440000}"/>
    <cellStyle name="Normal 2 3 3 7" xfId="17671" xr:uid="{00000000-0005-0000-0000-000019440000}"/>
    <cellStyle name="Normal 2 3 3 8" xfId="17672" xr:uid="{00000000-0005-0000-0000-00001A440000}"/>
    <cellStyle name="Normal 2 3 3 9" xfId="17673" xr:uid="{00000000-0005-0000-0000-00001B440000}"/>
    <cellStyle name="Normal 2 3 30" xfId="6026" xr:uid="{00000000-0005-0000-0000-00001C440000}"/>
    <cellStyle name="Normal 2 3 30 2" xfId="17674" xr:uid="{00000000-0005-0000-0000-00001D440000}"/>
    <cellStyle name="Normal 2 3 30 3" xfId="17675" xr:uid="{00000000-0005-0000-0000-00001E440000}"/>
    <cellStyle name="Normal 2 3 30 4" xfId="17676" xr:uid="{00000000-0005-0000-0000-00001F440000}"/>
    <cellStyle name="Normal 2 3 30 5" xfId="17677" xr:uid="{00000000-0005-0000-0000-000020440000}"/>
    <cellStyle name="Normal 2 3 30 6" xfId="17678" xr:uid="{00000000-0005-0000-0000-000021440000}"/>
    <cellStyle name="Normal 2 3 30 7" xfId="17679" xr:uid="{00000000-0005-0000-0000-000022440000}"/>
    <cellStyle name="Normal 2 3 30 8" xfId="17680" xr:uid="{00000000-0005-0000-0000-000023440000}"/>
    <cellStyle name="Normal 2 3 31" xfId="6027" xr:uid="{00000000-0005-0000-0000-000024440000}"/>
    <cellStyle name="Normal 2 3 31 2" xfId="17681" xr:uid="{00000000-0005-0000-0000-000025440000}"/>
    <cellStyle name="Normal 2 3 31 3" xfId="17682" xr:uid="{00000000-0005-0000-0000-000026440000}"/>
    <cellStyle name="Normal 2 3 31 4" xfId="17683" xr:uid="{00000000-0005-0000-0000-000027440000}"/>
    <cellStyle name="Normal 2 3 31 5" xfId="17684" xr:uid="{00000000-0005-0000-0000-000028440000}"/>
    <cellStyle name="Normal 2 3 31 6" xfId="17685" xr:uid="{00000000-0005-0000-0000-000029440000}"/>
    <cellStyle name="Normal 2 3 31 7" xfId="17686" xr:uid="{00000000-0005-0000-0000-00002A440000}"/>
    <cellStyle name="Normal 2 3 31 8" xfId="17687" xr:uid="{00000000-0005-0000-0000-00002B440000}"/>
    <cellStyle name="Normal 2 3 32" xfId="6028" xr:uid="{00000000-0005-0000-0000-00002C440000}"/>
    <cellStyle name="Normal 2 3 32 2" xfId="17688" xr:uid="{00000000-0005-0000-0000-00002D440000}"/>
    <cellStyle name="Normal 2 3 32 3" xfId="17689" xr:uid="{00000000-0005-0000-0000-00002E440000}"/>
    <cellStyle name="Normal 2 3 32 4" xfId="17690" xr:uid="{00000000-0005-0000-0000-00002F440000}"/>
    <cellStyle name="Normal 2 3 32 5" xfId="17691" xr:uid="{00000000-0005-0000-0000-000030440000}"/>
    <cellStyle name="Normal 2 3 32 6" xfId="17692" xr:uid="{00000000-0005-0000-0000-000031440000}"/>
    <cellStyle name="Normal 2 3 32 7" xfId="17693" xr:uid="{00000000-0005-0000-0000-000032440000}"/>
    <cellStyle name="Normal 2 3 32 8" xfId="17694" xr:uid="{00000000-0005-0000-0000-000033440000}"/>
    <cellStyle name="Normal 2 3 33" xfId="6029" xr:uid="{00000000-0005-0000-0000-000034440000}"/>
    <cellStyle name="Normal 2 3 33 2" xfId="17695" xr:uid="{00000000-0005-0000-0000-000035440000}"/>
    <cellStyle name="Normal 2 3 33 3" xfId="17696" xr:uid="{00000000-0005-0000-0000-000036440000}"/>
    <cellStyle name="Normal 2 3 33 4" xfId="17697" xr:uid="{00000000-0005-0000-0000-000037440000}"/>
    <cellStyle name="Normal 2 3 33 5" xfId="17698" xr:uid="{00000000-0005-0000-0000-000038440000}"/>
    <cellStyle name="Normal 2 3 33 6" xfId="17699" xr:uid="{00000000-0005-0000-0000-000039440000}"/>
    <cellStyle name="Normal 2 3 33 7" xfId="17700" xr:uid="{00000000-0005-0000-0000-00003A440000}"/>
    <cellStyle name="Normal 2 3 33 8" xfId="17701" xr:uid="{00000000-0005-0000-0000-00003B440000}"/>
    <cellStyle name="Normal 2 3 34" xfId="6030" xr:uid="{00000000-0005-0000-0000-00003C440000}"/>
    <cellStyle name="Normal 2 3 34 2" xfId="17702" xr:uid="{00000000-0005-0000-0000-00003D440000}"/>
    <cellStyle name="Normal 2 3 34 3" xfId="17703" xr:uid="{00000000-0005-0000-0000-00003E440000}"/>
    <cellStyle name="Normal 2 3 34 4" xfId="17704" xr:uid="{00000000-0005-0000-0000-00003F440000}"/>
    <cellStyle name="Normal 2 3 34 5" xfId="17705" xr:uid="{00000000-0005-0000-0000-000040440000}"/>
    <cellStyle name="Normal 2 3 34 6" xfId="17706" xr:uid="{00000000-0005-0000-0000-000041440000}"/>
    <cellStyle name="Normal 2 3 34 7" xfId="17707" xr:uid="{00000000-0005-0000-0000-000042440000}"/>
    <cellStyle name="Normal 2 3 34 8" xfId="17708" xr:uid="{00000000-0005-0000-0000-000043440000}"/>
    <cellStyle name="Normal 2 3 35" xfId="6031" xr:uid="{00000000-0005-0000-0000-000044440000}"/>
    <cellStyle name="Normal 2 3 35 2" xfId="17709" xr:uid="{00000000-0005-0000-0000-000045440000}"/>
    <cellStyle name="Normal 2 3 35 3" xfId="17710" xr:uid="{00000000-0005-0000-0000-000046440000}"/>
    <cellStyle name="Normal 2 3 35 4" xfId="17711" xr:uid="{00000000-0005-0000-0000-000047440000}"/>
    <cellStyle name="Normal 2 3 35 5" xfId="17712" xr:uid="{00000000-0005-0000-0000-000048440000}"/>
    <cellStyle name="Normal 2 3 35 6" xfId="17713" xr:uid="{00000000-0005-0000-0000-000049440000}"/>
    <cellStyle name="Normal 2 3 35 7" xfId="17714" xr:uid="{00000000-0005-0000-0000-00004A440000}"/>
    <cellStyle name="Normal 2 3 35 8" xfId="17715" xr:uid="{00000000-0005-0000-0000-00004B440000}"/>
    <cellStyle name="Normal 2 3 36" xfId="6032" xr:uid="{00000000-0005-0000-0000-00004C440000}"/>
    <cellStyle name="Normal 2 3 36 2" xfId="17716" xr:uid="{00000000-0005-0000-0000-00004D440000}"/>
    <cellStyle name="Normal 2 3 36 3" xfId="17717" xr:uid="{00000000-0005-0000-0000-00004E440000}"/>
    <cellStyle name="Normal 2 3 37" xfId="6033" xr:uid="{00000000-0005-0000-0000-00004F440000}"/>
    <cellStyle name="Normal 2 3 37 2" xfId="17718" xr:uid="{00000000-0005-0000-0000-000050440000}"/>
    <cellStyle name="Normal 2 3 38" xfId="6034" xr:uid="{00000000-0005-0000-0000-000051440000}"/>
    <cellStyle name="Normal 2 3 38 2" xfId="17719" xr:uid="{00000000-0005-0000-0000-000052440000}"/>
    <cellStyle name="Normal 2 3 39" xfId="6035" xr:uid="{00000000-0005-0000-0000-000053440000}"/>
    <cellStyle name="Normal 2 3 39 2" xfId="17720" xr:uid="{00000000-0005-0000-0000-000054440000}"/>
    <cellStyle name="Normal 2 3 4" xfId="6036" xr:uid="{00000000-0005-0000-0000-000055440000}"/>
    <cellStyle name="Normal 2 3 4 2" xfId="17721" xr:uid="{00000000-0005-0000-0000-000056440000}"/>
    <cellStyle name="Normal 2 3 4 2 2" xfId="17722" xr:uid="{00000000-0005-0000-0000-000057440000}"/>
    <cellStyle name="Normal 2 3 4 2 3" xfId="17723" xr:uid="{00000000-0005-0000-0000-000058440000}"/>
    <cellStyle name="Normal 2 3 4 2 4" xfId="17724" xr:uid="{00000000-0005-0000-0000-000059440000}"/>
    <cellStyle name="Normal 2 3 4 2 5" xfId="17725" xr:uid="{00000000-0005-0000-0000-00005A440000}"/>
    <cellStyle name="Normal 2 3 4 2 6" xfId="17726" xr:uid="{00000000-0005-0000-0000-00005B440000}"/>
    <cellStyle name="Normal 2 3 4 2 7" xfId="17727" xr:uid="{00000000-0005-0000-0000-00005C440000}"/>
    <cellStyle name="Normal 2 3 4 3" xfId="17728" xr:uid="{00000000-0005-0000-0000-00005D440000}"/>
    <cellStyle name="Normal 2 3 4 4" xfId="17729" xr:uid="{00000000-0005-0000-0000-00005E440000}"/>
    <cellStyle name="Normal 2 3 4 5" xfId="17730" xr:uid="{00000000-0005-0000-0000-00005F440000}"/>
    <cellStyle name="Normal 2 3 4 6" xfId="17731" xr:uid="{00000000-0005-0000-0000-000060440000}"/>
    <cellStyle name="Normal 2 3 4 7" xfId="17732" xr:uid="{00000000-0005-0000-0000-000061440000}"/>
    <cellStyle name="Normal 2 3 4 8" xfId="17733" xr:uid="{00000000-0005-0000-0000-000062440000}"/>
    <cellStyle name="Normal 2 3 4 9" xfId="17734" xr:uid="{00000000-0005-0000-0000-000063440000}"/>
    <cellStyle name="Normal 2 3 40" xfId="6037" xr:uid="{00000000-0005-0000-0000-000064440000}"/>
    <cellStyle name="Normal 2 3 40 2" xfId="17735" xr:uid="{00000000-0005-0000-0000-000065440000}"/>
    <cellStyle name="Normal 2 3 41" xfId="6038" xr:uid="{00000000-0005-0000-0000-000066440000}"/>
    <cellStyle name="Normal 2 3 41 2" xfId="17736" xr:uid="{00000000-0005-0000-0000-000067440000}"/>
    <cellStyle name="Normal 2 3 42" xfId="6039" xr:uid="{00000000-0005-0000-0000-000068440000}"/>
    <cellStyle name="Normal 2 3 42 2" xfId="17737" xr:uid="{00000000-0005-0000-0000-000069440000}"/>
    <cellStyle name="Normal 2 3 43" xfId="6040" xr:uid="{00000000-0005-0000-0000-00006A440000}"/>
    <cellStyle name="Normal 2 3 43 2" xfId="17738" xr:uid="{00000000-0005-0000-0000-00006B440000}"/>
    <cellStyle name="Normal 2 3 44" xfId="6041" xr:uid="{00000000-0005-0000-0000-00006C440000}"/>
    <cellStyle name="Normal 2 3 44 2" xfId="17739" xr:uid="{00000000-0005-0000-0000-00006D440000}"/>
    <cellStyle name="Normal 2 3 45" xfId="6042" xr:uid="{00000000-0005-0000-0000-00006E440000}"/>
    <cellStyle name="Normal 2 3 46" xfId="6043" xr:uid="{00000000-0005-0000-0000-00006F440000}"/>
    <cellStyle name="Normal 2 3 47" xfId="6044" xr:uid="{00000000-0005-0000-0000-000070440000}"/>
    <cellStyle name="Normal 2 3 48" xfId="6045" xr:uid="{00000000-0005-0000-0000-000071440000}"/>
    <cellStyle name="Normal 2 3 49" xfId="6046" xr:uid="{00000000-0005-0000-0000-000072440000}"/>
    <cellStyle name="Normal 2 3 5" xfId="6047" xr:uid="{00000000-0005-0000-0000-000073440000}"/>
    <cellStyle name="Normal 2 3 5 2" xfId="17740" xr:uid="{00000000-0005-0000-0000-000074440000}"/>
    <cellStyle name="Normal 2 3 5 2 2" xfId="17741" xr:uid="{00000000-0005-0000-0000-000075440000}"/>
    <cellStyle name="Normal 2 3 5 2 3" xfId="17742" xr:uid="{00000000-0005-0000-0000-000076440000}"/>
    <cellStyle name="Normal 2 3 5 2 4" xfId="17743" xr:uid="{00000000-0005-0000-0000-000077440000}"/>
    <cellStyle name="Normal 2 3 5 2 5" xfId="17744" xr:uid="{00000000-0005-0000-0000-000078440000}"/>
    <cellStyle name="Normal 2 3 5 2 6" xfId="17745" xr:uid="{00000000-0005-0000-0000-000079440000}"/>
    <cellStyle name="Normal 2 3 5 2 7" xfId="17746" xr:uid="{00000000-0005-0000-0000-00007A440000}"/>
    <cellStyle name="Normal 2 3 5 3" xfId="17747" xr:uid="{00000000-0005-0000-0000-00007B440000}"/>
    <cellStyle name="Normal 2 3 5 4" xfId="17748" xr:uid="{00000000-0005-0000-0000-00007C440000}"/>
    <cellStyle name="Normal 2 3 5 5" xfId="17749" xr:uid="{00000000-0005-0000-0000-00007D440000}"/>
    <cellStyle name="Normal 2 3 5 6" xfId="17750" xr:uid="{00000000-0005-0000-0000-00007E440000}"/>
    <cellStyle name="Normal 2 3 5 7" xfId="17751" xr:uid="{00000000-0005-0000-0000-00007F440000}"/>
    <cellStyle name="Normal 2 3 5 8" xfId="17752" xr:uid="{00000000-0005-0000-0000-000080440000}"/>
    <cellStyle name="Normal 2 3 5 9" xfId="17753" xr:uid="{00000000-0005-0000-0000-000081440000}"/>
    <cellStyle name="Normal 2 3 50" xfId="6048" xr:uid="{00000000-0005-0000-0000-000082440000}"/>
    <cellStyle name="Normal 2 3 51" xfId="6049" xr:uid="{00000000-0005-0000-0000-000083440000}"/>
    <cellStyle name="Normal 2 3 52" xfId="6050" xr:uid="{00000000-0005-0000-0000-000084440000}"/>
    <cellStyle name="Normal 2 3 53" xfId="6051" xr:uid="{00000000-0005-0000-0000-000085440000}"/>
    <cellStyle name="Normal 2 3 54" xfId="6052" xr:uid="{00000000-0005-0000-0000-000086440000}"/>
    <cellStyle name="Normal 2 3 54 2" xfId="36427" xr:uid="{00000000-0005-0000-0000-000087440000}"/>
    <cellStyle name="Normal 2 3 55" xfId="6053" xr:uid="{00000000-0005-0000-0000-000088440000}"/>
    <cellStyle name="Normal 2 3 55 2" xfId="36428" xr:uid="{00000000-0005-0000-0000-000089440000}"/>
    <cellStyle name="Normal 2 3 56" xfId="6054" xr:uid="{00000000-0005-0000-0000-00008A440000}"/>
    <cellStyle name="Normal 2 3 56 2" xfId="36429" xr:uid="{00000000-0005-0000-0000-00008B440000}"/>
    <cellStyle name="Normal 2 3 57" xfId="17754" xr:uid="{00000000-0005-0000-0000-00008C440000}"/>
    <cellStyle name="Normal 2 3 6" xfId="6055" xr:uid="{00000000-0005-0000-0000-00008D440000}"/>
    <cellStyle name="Normal 2 3 6 2" xfId="17755" xr:uid="{00000000-0005-0000-0000-00008E440000}"/>
    <cellStyle name="Normal 2 3 6 2 2" xfId="17756" xr:uid="{00000000-0005-0000-0000-00008F440000}"/>
    <cellStyle name="Normal 2 3 6 2 3" xfId="17757" xr:uid="{00000000-0005-0000-0000-000090440000}"/>
    <cellStyle name="Normal 2 3 6 2 4" xfId="17758" xr:uid="{00000000-0005-0000-0000-000091440000}"/>
    <cellStyle name="Normal 2 3 6 2 5" xfId="17759" xr:uid="{00000000-0005-0000-0000-000092440000}"/>
    <cellStyle name="Normal 2 3 6 2 6" xfId="17760" xr:uid="{00000000-0005-0000-0000-000093440000}"/>
    <cellStyle name="Normal 2 3 6 2 7" xfId="17761" xr:uid="{00000000-0005-0000-0000-000094440000}"/>
    <cellStyle name="Normal 2 3 6 3" xfId="17762" xr:uid="{00000000-0005-0000-0000-000095440000}"/>
    <cellStyle name="Normal 2 3 6 4" xfId="17763" xr:uid="{00000000-0005-0000-0000-000096440000}"/>
    <cellStyle name="Normal 2 3 6 5" xfId="17764" xr:uid="{00000000-0005-0000-0000-000097440000}"/>
    <cellStyle name="Normal 2 3 6 6" xfId="17765" xr:uid="{00000000-0005-0000-0000-000098440000}"/>
    <cellStyle name="Normal 2 3 6 7" xfId="17766" xr:uid="{00000000-0005-0000-0000-000099440000}"/>
    <cellStyle name="Normal 2 3 6 8" xfId="17767" xr:uid="{00000000-0005-0000-0000-00009A440000}"/>
    <cellStyle name="Normal 2 3 6 9" xfId="17768" xr:uid="{00000000-0005-0000-0000-00009B440000}"/>
    <cellStyle name="Normal 2 3 7" xfId="6056" xr:uid="{00000000-0005-0000-0000-00009C440000}"/>
    <cellStyle name="Normal 2 3 7 2" xfId="17769" xr:uid="{00000000-0005-0000-0000-00009D440000}"/>
    <cellStyle name="Normal 2 3 7 2 2" xfId="17770" xr:uid="{00000000-0005-0000-0000-00009E440000}"/>
    <cellStyle name="Normal 2 3 7 2 3" xfId="17771" xr:uid="{00000000-0005-0000-0000-00009F440000}"/>
    <cellStyle name="Normal 2 3 7 2 4" xfId="17772" xr:uid="{00000000-0005-0000-0000-0000A0440000}"/>
    <cellStyle name="Normal 2 3 7 2 5" xfId="17773" xr:uid="{00000000-0005-0000-0000-0000A1440000}"/>
    <cellStyle name="Normal 2 3 7 2 6" xfId="17774" xr:uid="{00000000-0005-0000-0000-0000A2440000}"/>
    <cellStyle name="Normal 2 3 7 2 7" xfId="17775" xr:uid="{00000000-0005-0000-0000-0000A3440000}"/>
    <cellStyle name="Normal 2 3 7 3" xfId="17776" xr:uid="{00000000-0005-0000-0000-0000A4440000}"/>
    <cellStyle name="Normal 2 3 7 4" xfId="17777" xr:uid="{00000000-0005-0000-0000-0000A5440000}"/>
    <cellStyle name="Normal 2 3 7 5" xfId="17778" xr:uid="{00000000-0005-0000-0000-0000A6440000}"/>
    <cellStyle name="Normal 2 3 7 6" xfId="17779" xr:uid="{00000000-0005-0000-0000-0000A7440000}"/>
    <cellStyle name="Normal 2 3 7 7" xfId="17780" xr:uid="{00000000-0005-0000-0000-0000A8440000}"/>
    <cellStyle name="Normal 2 3 7 8" xfId="17781" xr:uid="{00000000-0005-0000-0000-0000A9440000}"/>
    <cellStyle name="Normal 2 3 7 9" xfId="17782" xr:uid="{00000000-0005-0000-0000-0000AA440000}"/>
    <cellStyle name="Normal 2 3 8" xfId="6057" xr:uid="{00000000-0005-0000-0000-0000AB440000}"/>
    <cellStyle name="Normal 2 3 8 2" xfId="17783" xr:uid="{00000000-0005-0000-0000-0000AC440000}"/>
    <cellStyle name="Normal 2 3 8 2 2" xfId="17784" xr:uid="{00000000-0005-0000-0000-0000AD440000}"/>
    <cellStyle name="Normal 2 3 8 2 3" xfId="17785" xr:uid="{00000000-0005-0000-0000-0000AE440000}"/>
    <cellStyle name="Normal 2 3 8 2 4" xfId="17786" xr:uid="{00000000-0005-0000-0000-0000AF440000}"/>
    <cellStyle name="Normal 2 3 8 2 5" xfId="17787" xr:uid="{00000000-0005-0000-0000-0000B0440000}"/>
    <cellStyle name="Normal 2 3 8 2 6" xfId="17788" xr:uid="{00000000-0005-0000-0000-0000B1440000}"/>
    <cellStyle name="Normal 2 3 8 2 7" xfId="17789" xr:uid="{00000000-0005-0000-0000-0000B2440000}"/>
    <cellStyle name="Normal 2 3 8 3" xfId="17790" xr:uid="{00000000-0005-0000-0000-0000B3440000}"/>
    <cellStyle name="Normal 2 3 8 4" xfId="17791" xr:uid="{00000000-0005-0000-0000-0000B4440000}"/>
    <cellStyle name="Normal 2 3 8 5" xfId="17792" xr:uid="{00000000-0005-0000-0000-0000B5440000}"/>
    <cellStyle name="Normal 2 3 8 6" xfId="17793" xr:uid="{00000000-0005-0000-0000-0000B6440000}"/>
    <cellStyle name="Normal 2 3 8 7" xfId="17794" xr:uid="{00000000-0005-0000-0000-0000B7440000}"/>
    <cellStyle name="Normal 2 3 8 8" xfId="17795" xr:uid="{00000000-0005-0000-0000-0000B8440000}"/>
    <cellStyle name="Normal 2 3 8 9" xfId="17796" xr:uid="{00000000-0005-0000-0000-0000B9440000}"/>
    <cellStyle name="Normal 2 3 9" xfId="6058" xr:uid="{00000000-0005-0000-0000-0000BA440000}"/>
    <cellStyle name="Normal 2 3 9 2" xfId="17797" xr:uid="{00000000-0005-0000-0000-0000BB440000}"/>
    <cellStyle name="Normal 2 3 9 2 2" xfId="17798" xr:uid="{00000000-0005-0000-0000-0000BC440000}"/>
    <cellStyle name="Normal 2 3 9 2 3" xfId="17799" xr:uid="{00000000-0005-0000-0000-0000BD440000}"/>
    <cellStyle name="Normal 2 3 9 2 4" xfId="17800" xr:uid="{00000000-0005-0000-0000-0000BE440000}"/>
    <cellStyle name="Normal 2 3 9 2 5" xfId="17801" xr:uid="{00000000-0005-0000-0000-0000BF440000}"/>
    <cellStyle name="Normal 2 3 9 2 6" xfId="17802" xr:uid="{00000000-0005-0000-0000-0000C0440000}"/>
    <cellStyle name="Normal 2 3 9 2 7" xfId="17803" xr:uid="{00000000-0005-0000-0000-0000C1440000}"/>
    <cellStyle name="Normal 2 3 9 3" xfId="17804" xr:uid="{00000000-0005-0000-0000-0000C2440000}"/>
    <cellStyle name="Normal 2 3 9 4" xfId="17805" xr:uid="{00000000-0005-0000-0000-0000C3440000}"/>
    <cellStyle name="Normal 2 3 9 5" xfId="17806" xr:uid="{00000000-0005-0000-0000-0000C4440000}"/>
    <cellStyle name="Normal 2 3 9 6" xfId="17807" xr:uid="{00000000-0005-0000-0000-0000C5440000}"/>
    <cellStyle name="Normal 2 3 9 7" xfId="17808" xr:uid="{00000000-0005-0000-0000-0000C6440000}"/>
    <cellStyle name="Normal 2 3 9 8" xfId="17809" xr:uid="{00000000-0005-0000-0000-0000C7440000}"/>
    <cellStyle name="Normal 2 3 9 9" xfId="17810" xr:uid="{00000000-0005-0000-0000-0000C8440000}"/>
    <cellStyle name="Normal 2 3_01-04-2012" xfId="6059" xr:uid="{00000000-0005-0000-0000-0000C9440000}"/>
    <cellStyle name="Normal 2 30" xfId="6060" xr:uid="{00000000-0005-0000-0000-0000CA440000}"/>
    <cellStyle name="Normal 2 30 2" xfId="6061" xr:uid="{00000000-0005-0000-0000-0000CB440000}"/>
    <cellStyle name="Normal 2 30 2 2" xfId="36430" xr:uid="{00000000-0005-0000-0000-0000CC440000}"/>
    <cellStyle name="Normal 2 30 3" xfId="6062" xr:uid="{00000000-0005-0000-0000-0000CD440000}"/>
    <cellStyle name="Normal 2 30 3 2" xfId="36431" xr:uid="{00000000-0005-0000-0000-0000CE440000}"/>
    <cellStyle name="Normal 2 30 4" xfId="6063" xr:uid="{00000000-0005-0000-0000-0000CF440000}"/>
    <cellStyle name="Normal 2 30 4 2" xfId="36432" xr:uid="{00000000-0005-0000-0000-0000D0440000}"/>
    <cellStyle name="Normal 2 30 5" xfId="36433" xr:uid="{00000000-0005-0000-0000-0000D1440000}"/>
    <cellStyle name="Normal 2 30_01-04-2012" xfId="6064" xr:uid="{00000000-0005-0000-0000-0000D2440000}"/>
    <cellStyle name="Normal 2 31" xfId="6065" xr:uid="{00000000-0005-0000-0000-0000D3440000}"/>
    <cellStyle name="Normal 2 31 2" xfId="6066" xr:uid="{00000000-0005-0000-0000-0000D4440000}"/>
    <cellStyle name="Normal 2 31 2 2" xfId="36434" xr:uid="{00000000-0005-0000-0000-0000D5440000}"/>
    <cellStyle name="Normal 2 31 3" xfId="6067" xr:uid="{00000000-0005-0000-0000-0000D6440000}"/>
    <cellStyle name="Normal 2 31 3 2" xfId="36435" xr:uid="{00000000-0005-0000-0000-0000D7440000}"/>
    <cellStyle name="Normal 2 31 4" xfId="6068" xr:uid="{00000000-0005-0000-0000-0000D8440000}"/>
    <cellStyle name="Normal 2 31 4 2" xfId="36436" xr:uid="{00000000-0005-0000-0000-0000D9440000}"/>
    <cellStyle name="Normal 2 31 5" xfId="36437" xr:uid="{00000000-0005-0000-0000-0000DA440000}"/>
    <cellStyle name="Normal 2 31_01-04-2012" xfId="6069" xr:uid="{00000000-0005-0000-0000-0000DB440000}"/>
    <cellStyle name="Normal 2 32" xfId="6070" xr:uid="{00000000-0005-0000-0000-0000DC440000}"/>
    <cellStyle name="Normal 2 32 2" xfId="6071" xr:uid="{00000000-0005-0000-0000-0000DD440000}"/>
    <cellStyle name="Normal 2 32 2 2" xfId="36438" xr:uid="{00000000-0005-0000-0000-0000DE440000}"/>
    <cellStyle name="Normal 2 32 3" xfId="6072" xr:uid="{00000000-0005-0000-0000-0000DF440000}"/>
    <cellStyle name="Normal 2 32 3 2" xfId="36439" xr:uid="{00000000-0005-0000-0000-0000E0440000}"/>
    <cellStyle name="Normal 2 32 4" xfId="6073" xr:uid="{00000000-0005-0000-0000-0000E1440000}"/>
    <cellStyle name="Normal 2 32 4 2" xfId="36440" xr:uid="{00000000-0005-0000-0000-0000E2440000}"/>
    <cellStyle name="Normal 2 32 5" xfId="36441" xr:uid="{00000000-0005-0000-0000-0000E3440000}"/>
    <cellStyle name="Normal 2 32_01-04-2012" xfId="6074" xr:uid="{00000000-0005-0000-0000-0000E4440000}"/>
    <cellStyle name="Normal 2 33" xfId="6075" xr:uid="{00000000-0005-0000-0000-0000E5440000}"/>
    <cellStyle name="Normal 2 33 2" xfId="6076" xr:uid="{00000000-0005-0000-0000-0000E6440000}"/>
    <cellStyle name="Normal 2 33 2 2" xfId="36442" xr:uid="{00000000-0005-0000-0000-0000E7440000}"/>
    <cellStyle name="Normal 2 33 3" xfId="6077" xr:uid="{00000000-0005-0000-0000-0000E8440000}"/>
    <cellStyle name="Normal 2 33 3 2" xfId="36443" xr:uid="{00000000-0005-0000-0000-0000E9440000}"/>
    <cellStyle name="Normal 2 33 4" xfId="6078" xr:uid="{00000000-0005-0000-0000-0000EA440000}"/>
    <cellStyle name="Normal 2 33 4 2" xfId="36444" xr:uid="{00000000-0005-0000-0000-0000EB440000}"/>
    <cellStyle name="Normal 2 33 5" xfId="36445" xr:uid="{00000000-0005-0000-0000-0000EC440000}"/>
    <cellStyle name="Normal 2 33_01-04-2012" xfId="6079" xr:uid="{00000000-0005-0000-0000-0000ED440000}"/>
    <cellStyle name="Normal 2 34" xfId="6080" xr:uid="{00000000-0005-0000-0000-0000EE440000}"/>
    <cellStyle name="Normal 2 34 2" xfId="6081" xr:uid="{00000000-0005-0000-0000-0000EF440000}"/>
    <cellStyle name="Normal 2 34 2 2" xfId="36446" xr:uid="{00000000-0005-0000-0000-0000F0440000}"/>
    <cellStyle name="Normal 2 34 3" xfId="6082" xr:uid="{00000000-0005-0000-0000-0000F1440000}"/>
    <cellStyle name="Normal 2 34 3 2" xfId="36447" xr:uid="{00000000-0005-0000-0000-0000F2440000}"/>
    <cellStyle name="Normal 2 34 4" xfId="6083" xr:uid="{00000000-0005-0000-0000-0000F3440000}"/>
    <cellStyle name="Normal 2 34 4 2" xfId="36448" xr:uid="{00000000-0005-0000-0000-0000F4440000}"/>
    <cellStyle name="Normal 2 34 5" xfId="36449" xr:uid="{00000000-0005-0000-0000-0000F5440000}"/>
    <cellStyle name="Normal 2 34_01-04-2012" xfId="6084" xr:uid="{00000000-0005-0000-0000-0000F6440000}"/>
    <cellStyle name="Normal 2 35" xfId="6085" xr:uid="{00000000-0005-0000-0000-0000F7440000}"/>
    <cellStyle name="Normal 2 35 2" xfId="6086" xr:uid="{00000000-0005-0000-0000-0000F8440000}"/>
    <cellStyle name="Normal 2 35 2 2" xfId="36450" xr:uid="{00000000-0005-0000-0000-0000F9440000}"/>
    <cellStyle name="Normal 2 35 3" xfId="6087" xr:uid="{00000000-0005-0000-0000-0000FA440000}"/>
    <cellStyle name="Normal 2 35 3 2" xfId="36451" xr:uid="{00000000-0005-0000-0000-0000FB440000}"/>
    <cellStyle name="Normal 2 35 4" xfId="6088" xr:uid="{00000000-0005-0000-0000-0000FC440000}"/>
    <cellStyle name="Normal 2 35 4 2" xfId="36452" xr:uid="{00000000-0005-0000-0000-0000FD440000}"/>
    <cellStyle name="Normal 2 35 5" xfId="36453" xr:uid="{00000000-0005-0000-0000-0000FE440000}"/>
    <cellStyle name="Normal 2 35_01-04-2012" xfId="6089" xr:uid="{00000000-0005-0000-0000-0000FF440000}"/>
    <cellStyle name="Normal 2 36" xfId="6090" xr:uid="{00000000-0005-0000-0000-000000450000}"/>
    <cellStyle name="Normal 2 36 2" xfId="6091" xr:uid="{00000000-0005-0000-0000-000001450000}"/>
    <cellStyle name="Normal 2 36 2 2" xfId="36454" xr:uid="{00000000-0005-0000-0000-000002450000}"/>
    <cellStyle name="Normal 2 36 3" xfId="6092" xr:uid="{00000000-0005-0000-0000-000003450000}"/>
    <cellStyle name="Normal 2 36 3 2" xfId="36455" xr:uid="{00000000-0005-0000-0000-000004450000}"/>
    <cellStyle name="Normal 2 36 4" xfId="6093" xr:uid="{00000000-0005-0000-0000-000005450000}"/>
    <cellStyle name="Normal 2 36 4 2" xfId="36456" xr:uid="{00000000-0005-0000-0000-000006450000}"/>
    <cellStyle name="Normal 2 36 5" xfId="36457" xr:uid="{00000000-0005-0000-0000-000007450000}"/>
    <cellStyle name="Normal 2 36_01-04-2012" xfId="6094" xr:uid="{00000000-0005-0000-0000-000008450000}"/>
    <cellStyle name="Normal 2 37" xfId="6095" xr:uid="{00000000-0005-0000-0000-000009450000}"/>
    <cellStyle name="Normal 2 37 2" xfId="6096" xr:uid="{00000000-0005-0000-0000-00000A450000}"/>
    <cellStyle name="Normal 2 37 2 2" xfId="36458" xr:uid="{00000000-0005-0000-0000-00000B450000}"/>
    <cellStyle name="Normal 2 37 3" xfId="6097" xr:uid="{00000000-0005-0000-0000-00000C450000}"/>
    <cellStyle name="Normal 2 37 3 2" xfId="36459" xr:uid="{00000000-0005-0000-0000-00000D450000}"/>
    <cellStyle name="Normal 2 37 4" xfId="6098" xr:uid="{00000000-0005-0000-0000-00000E450000}"/>
    <cellStyle name="Normal 2 37 4 2" xfId="36460" xr:uid="{00000000-0005-0000-0000-00000F450000}"/>
    <cellStyle name="Normal 2 37 5" xfId="36461" xr:uid="{00000000-0005-0000-0000-000010450000}"/>
    <cellStyle name="Normal 2 37_01-04-2012" xfId="6099" xr:uid="{00000000-0005-0000-0000-000011450000}"/>
    <cellStyle name="Normal 2 38" xfId="6100" xr:uid="{00000000-0005-0000-0000-000012450000}"/>
    <cellStyle name="Normal 2 38 2" xfId="6101" xr:uid="{00000000-0005-0000-0000-000013450000}"/>
    <cellStyle name="Normal 2 38 2 2" xfId="36462" xr:uid="{00000000-0005-0000-0000-000014450000}"/>
    <cellStyle name="Normal 2 38 3" xfId="6102" xr:uid="{00000000-0005-0000-0000-000015450000}"/>
    <cellStyle name="Normal 2 38 3 2" xfId="36463" xr:uid="{00000000-0005-0000-0000-000016450000}"/>
    <cellStyle name="Normal 2 38 4" xfId="6103" xr:uid="{00000000-0005-0000-0000-000017450000}"/>
    <cellStyle name="Normal 2 38 4 2" xfId="36464" xr:uid="{00000000-0005-0000-0000-000018450000}"/>
    <cellStyle name="Normal 2 38 5" xfId="36465" xr:uid="{00000000-0005-0000-0000-000019450000}"/>
    <cellStyle name="Normal 2 38_01-04-2012" xfId="6104" xr:uid="{00000000-0005-0000-0000-00001A450000}"/>
    <cellStyle name="Normal 2 39" xfId="6105" xr:uid="{00000000-0005-0000-0000-00001B450000}"/>
    <cellStyle name="Normal 2 39 2" xfId="6106" xr:uid="{00000000-0005-0000-0000-00001C450000}"/>
    <cellStyle name="Normal 2 39 2 2" xfId="36466" xr:uid="{00000000-0005-0000-0000-00001D450000}"/>
    <cellStyle name="Normal 2 39 3" xfId="6107" xr:uid="{00000000-0005-0000-0000-00001E450000}"/>
    <cellStyle name="Normal 2 39 3 2" xfId="36467" xr:uid="{00000000-0005-0000-0000-00001F450000}"/>
    <cellStyle name="Normal 2 39 4" xfId="6108" xr:uid="{00000000-0005-0000-0000-000020450000}"/>
    <cellStyle name="Normal 2 39 4 2" xfId="36468" xr:uid="{00000000-0005-0000-0000-000021450000}"/>
    <cellStyle name="Normal 2 39 5" xfId="36469" xr:uid="{00000000-0005-0000-0000-000022450000}"/>
    <cellStyle name="Normal 2 39_01-04-2012" xfId="6109" xr:uid="{00000000-0005-0000-0000-000023450000}"/>
    <cellStyle name="Normal 2 4" xfId="6110" xr:uid="{00000000-0005-0000-0000-000024450000}"/>
    <cellStyle name="Normal 2 4 10" xfId="17811" xr:uid="{00000000-0005-0000-0000-000025450000}"/>
    <cellStyle name="Normal 2 4 10 2" xfId="17812" xr:uid="{00000000-0005-0000-0000-000026450000}"/>
    <cellStyle name="Normal 2 4 10 2 2" xfId="17813" xr:uid="{00000000-0005-0000-0000-000027450000}"/>
    <cellStyle name="Normal 2 4 10 2 3" xfId="17814" xr:uid="{00000000-0005-0000-0000-000028450000}"/>
    <cellStyle name="Normal 2 4 10 2 4" xfId="17815" xr:uid="{00000000-0005-0000-0000-000029450000}"/>
    <cellStyle name="Normal 2 4 10 2 5" xfId="17816" xr:uid="{00000000-0005-0000-0000-00002A450000}"/>
    <cellStyle name="Normal 2 4 10 2 6" xfId="17817" xr:uid="{00000000-0005-0000-0000-00002B450000}"/>
    <cellStyle name="Normal 2 4 10 2 7" xfId="17818" xr:uid="{00000000-0005-0000-0000-00002C450000}"/>
    <cellStyle name="Normal 2 4 10 3" xfId="17819" xr:uid="{00000000-0005-0000-0000-00002D450000}"/>
    <cellStyle name="Normal 2 4 10 4" xfId="17820" xr:uid="{00000000-0005-0000-0000-00002E450000}"/>
    <cellStyle name="Normal 2 4 10 5" xfId="17821" xr:uid="{00000000-0005-0000-0000-00002F450000}"/>
    <cellStyle name="Normal 2 4 10 6" xfId="17822" xr:uid="{00000000-0005-0000-0000-000030450000}"/>
    <cellStyle name="Normal 2 4 10 7" xfId="17823" xr:uid="{00000000-0005-0000-0000-000031450000}"/>
    <cellStyle name="Normal 2 4 10 8" xfId="17824" xr:uid="{00000000-0005-0000-0000-000032450000}"/>
    <cellStyle name="Normal 2 4 11" xfId="17825" xr:uid="{00000000-0005-0000-0000-000033450000}"/>
    <cellStyle name="Normal 2 4 11 2" xfId="17826" xr:uid="{00000000-0005-0000-0000-000034450000}"/>
    <cellStyle name="Normal 2 4 11 2 2" xfId="17827" xr:uid="{00000000-0005-0000-0000-000035450000}"/>
    <cellStyle name="Normal 2 4 11 2 3" xfId="17828" xr:uid="{00000000-0005-0000-0000-000036450000}"/>
    <cellStyle name="Normal 2 4 11 2 4" xfId="17829" xr:uid="{00000000-0005-0000-0000-000037450000}"/>
    <cellStyle name="Normal 2 4 11 2 5" xfId="17830" xr:uid="{00000000-0005-0000-0000-000038450000}"/>
    <cellStyle name="Normal 2 4 11 2 6" xfId="17831" xr:uid="{00000000-0005-0000-0000-000039450000}"/>
    <cellStyle name="Normal 2 4 11 2 7" xfId="17832" xr:uid="{00000000-0005-0000-0000-00003A450000}"/>
    <cellStyle name="Normal 2 4 11 3" xfId="17833" xr:uid="{00000000-0005-0000-0000-00003B450000}"/>
    <cellStyle name="Normal 2 4 11 4" xfId="17834" xr:uid="{00000000-0005-0000-0000-00003C450000}"/>
    <cellStyle name="Normal 2 4 11 5" xfId="17835" xr:uid="{00000000-0005-0000-0000-00003D450000}"/>
    <cellStyle name="Normal 2 4 11 6" xfId="17836" xr:uid="{00000000-0005-0000-0000-00003E450000}"/>
    <cellStyle name="Normal 2 4 11 7" xfId="17837" xr:uid="{00000000-0005-0000-0000-00003F450000}"/>
    <cellStyle name="Normal 2 4 11 8" xfId="17838" xr:uid="{00000000-0005-0000-0000-000040450000}"/>
    <cellStyle name="Normal 2 4 12" xfId="17839" xr:uid="{00000000-0005-0000-0000-000041450000}"/>
    <cellStyle name="Normal 2 4 12 2" xfId="17840" xr:uid="{00000000-0005-0000-0000-000042450000}"/>
    <cellStyle name="Normal 2 4 12 2 2" xfId="17841" xr:uid="{00000000-0005-0000-0000-000043450000}"/>
    <cellStyle name="Normal 2 4 12 2 3" xfId="17842" xr:uid="{00000000-0005-0000-0000-000044450000}"/>
    <cellStyle name="Normal 2 4 12 2 4" xfId="17843" xr:uid="{00000000-0005-0000-0000-000045450000}"/>
    <cellStyle name="Normal 2 4 12 2 5" xfId="17844" xr:uid="{00000000-0005-0000-0000-000046450000}"/>
    <cellStyle name="Normal 2 4 12 2 6" xfId="17845" xr:uid="{00000000-0005-0000-0000-000047450000}"/>
    <cellStyle name="Normal 2 4 12 2 7" xfId="17846" xr:uid="{00000000-0005-0000-0000-000048450000}"/>
    <cellStyle name="Normal 2 4 12 3" xfId="17847" xr:uid="{00000000-0005-0000-0000-000049450000}"/>
    <cellStyle name="Normal 2 4 12 4" xfId="17848" xr:uid="{00000000-0005-0000-0000-00004A450000}"/>
    <cellStyle name="Normal 2 4 12 5" xfId="17849" xr:uid="{00000000-0005-0000-0000-00004B450000}"/>
    <cellStyle name="Normal 2 4 12 6" xfId="17850" xr:uid="{00000000-0005-0000-0000-00004C450000}"/>
    <cellStyle name="Normal 2 4 12 7" xfId="17851" xr:uid="{00000000-0005-0000-0000-00004D450000}"/>
    <cellStyle name="Normal 2 4 12 8" xfId="17852" xr:uid="{00000000-0005-0000-0000-00004E450000}"/>
    <cellStyle name="Normal 2 4 13" xfId="17853" xr:uid="{00000000-0005-0000-0000-00004F450000}"/>
    <cellStyle name="Normal 2 4 13 2" xfId="17854" xr:uid="{00000000-0005-0000-0000-000050450000}"/>
    <cellStyle name="Normal 2 4 13 2 2" xfId="17855" xr:uid="{00000000-0005-0000-0000-000051450000}"/>
    <cellStyle name="Normal 2 4 13 2 3" xfId="17856" xr:uid="{00000000-0005-0000-0000-000052450000}"/>
    <cellStyle name="Normal 2 4 13 2 4" xfId="17857" xr:uid="{00000000-0005-0000-0000-000053450000}"/>
    <cellStyle name="Normal 2 4 13 2 5" xfId="17858" xr:uid="{00000000-0005-0000-0000-000054450000}"/>
    <cellStyle name="Normal 2 4 13 2 6" xfId="17859" xr:uid="{00000000-0005-0000-0000-000055450000}"/>
    <cellStyle name="Normal 2 4 13 2 7" xfId="17860" xr:uid="{00000000-0005-0000-0000-000056450000}"/>
    <cellStyle name="Normal 2 4 13 3" xfId="17861" xr:uid="{00000000-0005-0000-0000-000057450000}"/>
    <cellStyle name="Normal 2 4 13 4" xfId="17862" xr:uid="{00000000-0005-0000-0000-000058450000}"/>
    <cellStyle name="Normal 2 4 13 5" xfId="17863" xr:uid="{00000000-0005-0000-0000-000059450000}"/>
    <cellStyle name="Normal 2 4 13 6" xfId="17864" xr:uid="{00000000-0005-0000-0000-00005A450000}"/>
    <cellStyle name="Normal 2 4 13 7" xfId="17865" xr:uid="{00000000-0005-0000-0000-00005B450000}"/>
    <cellStyle name="Normal 2 4 13 8" xfId="17866" xr:uid="{00000000-0005-0000-0000-00005C450000}"/>
    <cellStyle name="Normal 2 4 14" xfId="17867" xr:uid="{00000000-0005-0000-0000-00005D450000}"/>
    <cellStyle name="Normal 2 4 14 2" xfId="17868" xr:uid="{00000000-0005-0000-0000-00005E450000}"/>
    <cellStyle name="Normal 2 4 14 2 2" xfId="17869" xr:uid="{00000000-0005-0000-0000-00005F450000}"/>
    <cellStyle name="Normal 2 4 14 2 3" xfId="17870" xr:uid="{00000000-0005-0000-0000-000060450000}"/>
    <cellStyle name="Normal 2 4 14 2 4" xfId="17871" xr:uid="{00000000-0005-0000-0000-000061450000}"/>
    <cellStyle name="Normal 2 4 14 2 5" xfId="17872" xr:uid="{00000000-0005-0000-0000-000062450000}"/>
    <cellStyle name="Normal 2 4 14 2 6" xfId="17873" xr:uid="{00000000-0005-0000-0000-000063450000}"/>
    <cellStyle name="Normal 2 4 14 2 7" xfId="17874" xr:uid="{00000000-0005-0000-0000-000064450000}"/>
    <cellStyle name="Normal 2 4 14 3" xfId="17875" xr:uid="{00000000-0005-0000-0000-000065450000}"/>
    <cellStyle name="Normal 2 4 14 4" xfId="17876" xr:uid="{00000000-0005-0000-0000-000066450000}"/>
    <cellStyle name="Normal 2 4 14 5" xfId="17877" xr:uid="{00000000-0005-0000-0000-000067450000}"/>
    <cellStyle name="Normal 2 4 14 6" xfId="17878" xr:uid="{00000000-0005-0000-0000-000068450000}"/>
    <cellStyle name="Normal 2 4 14 7" xfId="17879" xr:uid="{00000000-0005-0000-0000-000069450000}"/>
    <cellStyle name="Normal 2 4 14 8" xfId="17880" xr:uid="{00000000-0005-0000-0000-00006A450000}"/>
    <cellStyle name="Normal 2 4 15" xfId="17881" xr:uid="{00000000-0005-0000-0000-00006B450000}"/>
    <cellStyle name="Normal 2 4 15 2" xfId="17882" xr:uid="{00000000-0005-0000-0000-00006C450000}"/>
    <cellStyle name="Normal 2 4 15 2 2" xfId="17883" xr:uid="{00000000-0005-0000-0000-00006D450000}"/>
    <cellStyle name="Normal 2 4 15 2 3" xfId="17884" xr:uid="{00000000-0005-0000-0000-00006E450000}"/>
    <cellStyle name="Normal 2 4 15 2 4" xfId="17885" xr:uid="{00000000-0005-0000-0000-00006F450000}"/>
    <cellStyle name="Normal 2 4 15 2 5" xfId="17886" xr:uid="{00000000-0005-0000-0000-000070450000}"/>
    <cellStyle name="Normal 2 4 15 2 6" xfId="17887" xr:uid="{00000000-0005-0000-0000-000071450000}"/>
    <cellStyle name="Normal 2 4 15 2 7" xfId="17888" xr:uid="{00000000-0005-0000-0000-000072450000}"/>
    <cellStyle name="Normal 2 4 15 3" xfId="17889" xr:uid="{00000000-0005-0000-0000-000073450000}"/>
    <cellStyle name="Normal 2 4 15 4" xfId="17890" xr:uid="{00000000-0005-0000-0000-000074450000}"/>
    <cellStyle name="Normal 2 4 15 5" xfId="17891" xr:uid="{00000000-0005-0000-0000-000075450000}"/>
    <cellStyle name="Normal 2 4 15 6" xfId="17892" xr:uid="{00000000-0005-0000-0000-000076450000}"/>
    <cellStyle name="Normal 2 4 15 7" xfId="17893" xr:uid="{00000000-0005-0000-0000-000077450000}"/>
    <cellStyle name="Normal 2 4 15 8" xfId="17894" xr:uid="{00000000-0005-0000-0000-000078450000}"/>
    <cellStyle name="Normal 2 4 16" xfId="17895" xr:uid="{00000000-0005-0000-0000-000079450000}"/>
    <cellStyle name="Normal 2 4 16 2" xfId="17896" xr:uid="{00000000-0005-0000-0000-00007A450000}"/>
    <cellStyle name="Normal 2 4 16 3" xfId="17897" xr:uid="{00000000-0005-0000-0000-00007B450000}"/>
    <cellStyle name="Normal 2 4 16 4" xfId="17898" xr:uid="{00000000-0005-0000-0000-00007C450000}"/>
    <cellStyle name="Normal 2 4 16 5" xfId="17899" xr:uid="{00000000-0005-0000-0000-00007D450000}"/>
    <cellStyle name="Normal 2 4 16 6" xfId="17900" xr:uid="{00000000-0005-0000-0000-00007E450000}"/>
    <cellStyle name="Normal 2 4 16 7" xfId="17901" xr:uid="{00000000-0005-0000-0000-00007F450000}"/>
    <cellStyle name="Normal 2 4 17" xfId="17902" xr:uid="{00000000-0005-0000-0000-000080450000}"/>
    <cellStyle name="Normal 2 4 17 2" xfId="17903" xr:uid="{00000000-0005-0000-0000-000081450000}"/>
    <cellStyle name="Normal 2 4 17 3" xfId="17904" xr:uid="{00000000-0005-0000-0000-000082450000}"/>
    <cellStyle name="Normal 2 4 17 4" xfId="17905" xr:uid="{00000000-0005-0000-0000-000083450000}"/>
    <cellStyle name="Normal 2 4 17 5" xfId="17906" xr:uid="{00000000-0005-0000-0000-000084450000}"/>
    <cellStyle name="Normal 2 4 17 6" xfId="17907" xr:uid="{00000000-0005-0000-0000-000085450000}"/>
    <cellStyle name="Normal 2 4 17 7" xfId="17908" xr:uid="{00000000-0005-0000-0000-000086450000}"/>
    <cellStyle name="Normal 2 4 18" xfId="17909" xr:uid="{00000000-0005-0000-0000-000087450000}"/>
    <cellStyle name="Normal 2 4 18 2" xfId="17910" xr:uid="{00000000-0005-0000-0000-000088450000}"/>
    <cellStyle name="Normal 2 4 18 3" xfId="17911" xr:uid="{00000000-0005-0000-0000-000089450000}"/>
    <cellStyle name="Normal 2 4 18 4" xfId="17912" xr:uid="{00000000-0005-0000-0000-00008A450000}"/>
    <cellStyle name="Normal 2 4 18 5" xfId="17913" xr:uid="{00000000-0005-0000-0000-00008B450000}"/>
    <cellStyle name="Normal 2 4 18 6" xfId="17914" xr:uid="{00000000-0005-0000-0000-00008C450000}"/>
    <cellStyle name="Normal 2 4 18 7" xfId="17915" xr:uid="{00000000-0005-0000-0000-00008D450000}"/>
    <cellStyle name="Normal 2 4 19" xfId="17916" xr:uid="{00000000-0005-0000-0000-00008E450000}"/>
    <cellStyle name="Normal 2 4 19 2" xfId="17917" xr:uid="{00000000-0005-0000-0000-00008F450000}"/>
    <cellStyle name="Normal 2 4 19 3" xfId="17918" xr:uid="{00000000-0005-0000-0000-000090450000}"/>
    <cellStyle name="Normal 2 4 19 4" xfId="17919" xr:uid="{00000000-0005-0000-0000-000091450000}"/>
    <cellStyle name="Normal 2 4 19 5" xfId="17920" xr:uid="{00000000-0005-0000-0000-000092450000}"/>
    <cellStyle name="Normal 2 4 19 6" xfId="17921" xr:uid="{00000000-0005-0000-0000-000093450000}"/>
    <cellStyle name="Normal 2 4 19 7" xfId="17922" xr:uid="{00000000-0005-0000-0000-000094450000}"/>
    <cellStyle name="Normal 2 4 2" xfId="17923" xr:uid="{00000000-0005-0000-0000-000095450000}"/>
    <cellStyle name="Normal 2 4 2 2" xfId="17924" xr:uid="{00000000-0005-0000-0000-000096450000}"/>
    <cellStyle name="Normal 2 4 2 2 2" xfId="17925" xr:uid="{00000000-0005-0000-0000-000097450000}"/>
    <cellStyle name="Normal 2 4 2 2 3" xfId="17926" xr:uid="{00000000-0005-0000-0000-000098450000}"/>
    <cellStyle name="Normal 2 4 2 2 4" xfId="17927" xr:uid="{00000000-0005-0000-0000-000099450000}"/>
    <cellStyle name="Normal 2 4 2 2 5" xfId="17928" xr:uid="{00000000-0005-0000-0000-00009A450000}"/>
    <cellStyle name="Normal 2 4 2 2 6" xfId="17929" xr:uid="{00000000-0005-0000-0000-00009B450000}"/>
    <cellStyle name="Normal 2 4 2 2 7" xfId="17930" xr:uid="{00000000-0005-0000-0000-00009C450000}"/>
    <cellStyle name="Normal 2 4 2 3" xfId="17931" xr:uid="{00000000-0005-0000-0000-00009D450000}"/>
    <cellStyle name="Normal 2 4 2 4" xfId="17932" xr:uid="{00000000-0005-0000-0000-00009E450000}"/>
    <cellStyle name="Normal 2 4 2 5" xfId="17933" xr:uid="{00000000-0005-0000-0000-00009F450000}"/>
    <cellStyle name="Normal 2 4 2 6" xfId="17934" xr:uid="{00000000-0005-0000-0000-0000A0450000}"/>
    <cellStyle name="Normal 2 4 2 7" xfId="17935" xr:uid="{00000000-0005-0000-0000-0000A1450000}"/>
    <cellStyle name="Normal 2 4 2 8" xfId="17936" xr:uid="{00000000-0005-0000-0000-0000A2450000}"/>
    <cellStyle name="Normal 2 4 2 9" xfId="17937" xr:uid="{00000000-0005-0000-0000-0000A3450000}"/>
    <cellStyle name="Normal 2 4 20" xfId="17938" xr:uid="{00000000-0005-0000-0000-0000A4450000}"/>
    <cellStyle name="Normal 2 4 20 2" xfId="17939" xr:uid="{00000000-0005-0000-0000-0000A5450000}"/>
    <cellStyle name="Normal 2 4 20 3" xfId="17940" xr:uid="{00000000-0005-0000-0000-0000A6450000}"/>
    <cellStyle name="Normal 2 4 20 4" xfId="17941" xr:uid="{00000000-0005-0000-0000-0000A7450000}"/>
    <cellStyle name="Normal 2 4 20 5" xfId="17942" xr:uid="{00000000-0005-0000-0000-0000A8450000}"/>
    <cellStyle name="Normal 2 4 20 6" xfId="17943" xr:uid="{00000000-0005-0000-0000-0000A9450000}"/>
    <cellStyle name="Normal 2 4 20 7" xfId="17944" xr:uid="{00000000-0005-0000-0000-0000AA450000}"/>
    <cellStyle name="Normal 2 4 21" xfId="17945" xr:uid="{00000000-0005-0000-0000-0000AB450000}"/>
    <cellStyle name="Normal 2 4 21 2" xfId="17946" xr:uid="{00000000-0005-0000-0000-0000AC450000}"/>
    <cellStyle name="Normal 2 4 21 3" xfId="17947" xr:uid="{00000000-0005-0000-0000-0000AD450000}"/>
    <cellStyle name="Normal 2 4 21 4" xfId="17948" xr:uid="{00000000-0005-0000-0000-0000AE450000}"/>
    <cellStyle name="Normal 2 4 21 5" xfId="17949" xr:uid="{00000000-0005-0000-0000-0000AF450000}"/>
    <cellStyle name="Normal 2 4 21 6" xfId="17950" xr:uid="{00000000-0005-0000-0000-0000B0450000}"/>
    <cellStyle name="Normal 2 4 21 7" xfId="17951" xr:uid="{00000000-0005-0000-0000-0000B1450000}"/>
    <cellStyle name="Normal 2 4 22" xfId="17952" xr:uid="{00000000-0005-0000-0000-0000B2450000}"/>
    <cellStyle name="Normal 2 4 22 2" xfId="17953" xr:uid="{00000000-0005-0000-0000-0000B3450000}"/>
    <cellStyle name="Normal 2 4 22 3" xfId="17954" xr:uid="{00000000-0005-0000-0000-0000B4450000}"/>
    <cellStyle name="Normal 2 4 22 4" xfId="17955" xr:uid="{00000000-0005-0000-0000-0000B5450000}"/>
    <cellStyle name="Normal 2 4 22 5" xfId="17956" xr:uid="{00000000-0005-0000-0000-0000B6450000}"/>
    <cellStyle name="Normal 2 4 22 6" xfId="17957" xr:uid="{00000000-0005-0000-0000-0000B7450000}"/>
    <cellStyle name="Normal 2 4 22 7" xfId="17958" xr:uid="{00000000-0005-0000-0000-0000B8450000}"/>
    <cellStyle name="Normal 2 4 23" xfId="17959" xr:uid="{00000000-0005-0000-0000-0000B9450000}"/>
    <cellStyle name="Normal 2 4 23 2" xfId="17960" xr:uid="{00000000-0005-0000-0000-0000BA450000}"/>
    <cellStyle name="Normal 2 4 23 3" xfId="17961" xr:uid="{00000000-0005-0000-0000-0000BB450000}"/>
    <cellStyle name="Normal 2 4 23 4" xfId="17962" xr:uid="{00000000-0005-0000-0000-0000BC450000}"/>
    <cellStyle name="Normal 2 4 23 5" xfId="17963" xr:uid="{00000000-0005-0000-0000-0000BD450000}"/>
    <cellStyle name="Normal 2 4 23 6" xfId="17964" xr:uid="{00000000-0005-0000-0000-0000BE450000}"/>
    <cellStyle name="Normal 2 4 23 7" xfId="17965" xr:uid="{00000000-0005-0000-0000-0000BF450000}"/>
    <cellStyle name="Normal 2 4 24" xfId="17966" xr:uid="{00000000-0005-0000-0000-0000C0450000}"/>
    <cellStyle name="Normal 2 4 24 2" xfId="17967" xr:uid="{00000000-0005-0000-0000-0000C1450000}"/>
    <cellStyle name="Normal 2 4 24 3" xfId="17968" xr:uid="{00000000-0005-0000-0000-0000C2450000}"/>
    <cellStyle name="Normal 2 4 24 4" xfId="17969" xr:uid="{00000000-0005-0000-0000-0000C3450000}"/>
    <cellStyle name="Normal 2 4 24 5" xfId="17970" xr:uid="{00000000-0005-0000-0000-0000C4450000}"/>
    <cellStyle name="Normal 2 4 24 6" xfId="17971" xr:uid="{00000000-0005-0000-0000-0000C5450000}"/>
    <cellStyle name="Normal 2 4 24 7" xfId="17972" xr:uid="{00000000-0005-0000-0000-0000C6450000}"/>
    <cellStyle name="Normal 2 4 25" xfId="17973" xr:uid="{00000000-0005-0000-0000-0000C7450000}"/>
    <cellStyle name="Normal 2 4 25 2" xfId="17974" xr:uid="{00000000-0005-0000-0000-0000C8450000}"/>
    <cellStyle name="Normal 2 4 25 3" xfId="17975" xr:uid="{00000000-0005-0000-0000-0000C9450000}"/>
    <cellStyle name="Normal 2 4 25 4" xfId="17976" xr:uid="{00000000-0005-0000-0000-0000CA450000}"/>
    <cellStyle name="Normal 2 4 25 5" xfId="17977" xr:uid="{00000000-0005-0000-0000-0000CB450000}"/>
    <cellStyle name="Normal 2 4 25 6" xfId="17978" xr:uid="{00000000-0005-0000-0000-0000CC450000}"/>
    <cellStyle name="Normal 2 4 25 7" xfId="17979" xr:uid="{00000000-0005-0000-0000-0000CD450000}"/>
    <cellStyle name="Normal 2 4 26" xfId="17980" xr:uid="{00000000-0005-0000-0000-0000CE450000}"/>
    <cellStyle name="Normal 2 4 26 2" xfId="17981" xr:uid="{00000000-0005-0000-0000-0000CF450000}"/>
    <cellStyle name="Normal 2 4 26 3" xfId="17982" xr:uid="{00000000-0005-0000-0000-0000D0450000}"/>
    <cellStyle name="Normal 2 4 26 4" xfId="17983" xr:uid="{00000000-0005-0000-0000-0000D1450000}"/>
    <cellStyle name="Normal 2 4 26 5" xfId="17984" xr:uid="{00000000-0005-0000-0000-0000D2450000}"/>
    <cellStyle name="Normal 2 4 26 6" xfId="17985" xr:uid="{00000000-0005-0000-0000-0000D3450000}"/>
    <cellStyle name="Normal 2 4 26 7" xfId="17986" xr:uid="{00000000-0005-0000-0000-0000D4450000}"/>
    <cellStyle name="Normal 2 4 27" xfId="17987" xr:uid="{00000000-0005-0000-0000-0000D5450000}"/>
    <cellStyle name="Normal 2 4 27 2" xfId="17988" xr:uid="{00000000-0005-0000-0000-0000D6450000}"/>
    <cellStyle name="Normal 2 4 27 3" xfId="17989" xr:uid="{00000000-0005-0000-0000-0000D7450000}"/>
    <cellStyle name="Normal 2 4 27 4" xfId="17990" xr:uid="{00000000-0005-0000-0000-0000D8450000}"/>
    <cellStyle name="Normal 2 4 27 5" xfId="17991" xr:uid="{00000000-0005-0000-0000-0000D9450000}"/>
    <cellStyle name="Normal 2 4 27 6" xfId="17992" xr:uid="{00000000-0005-0000-0000-0000DA450000}"/>
    <cellStyle name="Normal 2 4 27 7" xfId="17993" xr:uid="{00000000-0005-0000-0000-0000DB450000}"/>
    <cellStyle name="Normal 2 4 28" xfId="17994" xr:uid="{00000000-0005-0000-0000-0000DC450000}"/>
    <cellStyle name="Normal 2 4 28 2" xfId="17995" xr:uid="{00000000-0005-0000-0000-0000DD450000}"/>
    <cellStyle name="Normal 2 4 28 3" xfId="17996" xr:uid="{00000000-0005-0000-0000-0000DE450000}"/>
    <cellStyle name="Normal 2 4 28 4" xfId="17997" xr:uid="{00000000-0005-0000-0000-0000DF450000}"/>
    <cellStyle name="Normal 2 4 28 5" xfId="17998" xr:uid="{00000000-0005-0000-0000-0000E0450000}"/>
    <cellStyle name="Normal 2 4 28 6" xfId="17999" xr:uid="{00000000-0005-0000-0000-0000E1450000}"/>
    <cellStyle name="Normal 2 4 28 7" xfId="18000" xr:uid="{00000000-0005-0000-0000-0000E2450000}"/>
    <cellStyle name="Normal 2 4 29" xfId="18001" xr:uid="{00000000-0005-0000-0000-0000E3450000}"/>
    <cellStyle name="Normal 2 4 29 2" xfId="18002" xr:uid="{00000000-0005-0000-0000-0000E4450000}"/>
    <cellStyle name="Normal 2 4 29 3" xfId="18003" xr:uid="{00000000-0005-0000-0000-0000E5450000}"/>
    <cellStyle name="Normal 2 4 29 4" xfId="18004" xr:uid="{00000000-0005-0000-0000-0000E6450000}"/>
    <cellStyle name="Normal 2 4 29 5" xfId="18005" xr:uid="{00000000-0005-0000-0000-0000E7450000}"/>
    <cellStyle name="Normal 2 4 29 6" xfId="18006" xr:uid="{00000000-0005-0000-0000-0000E8450000}"/>
    <cellStyle name="Normal 2 4 29 7" xfId="18007" xr:uid="{00000000-0005-0000-0000-0000E9450000}"/>
    <cellStyle name="Normal 2 4 3" xfId="18008" xr:uid="{00000000-0005-0000-0000-0000EA450000}"/>
    <cellStyle name="Normal 2 4 3 2" xfId="18009" xr:uid="{00000000-0005-0000-0000-0000EB450000}"/>
    <cellStyle name="Normal 2 4 3 2 2" xfId="18010" xr:uid="{00000000-0005-0000-0000-0000EC450000}"/>
    <cellStyle name="Normal 2 4 3 2 3" xfId="18011" xr:uid="{00000000-0005-0000-0000-0000ED450000}"/>
    <cellStyle name="Normal 2 4 3 2 4" xfId="18012" xr:uid="{00000000-0005-0000-0000-0000EE450000}"/>
    <cellStyle name="Normal 2 4 3 2 5" xfId="18013" xr:uid="{00000000-0005-0000-0000-0000EF450000}"/>
    <cellStyle name="Normal 2 4 3 2 6" xfId="18014" xr:uid="{00000000-0005-0000-0000-0000F0450000}"/>
    <cellStyle name="Normal 2 4 3 2 7" xfId="18015" xr:uid="{00000000-0005-0000-0000-0000F1450000}"/>
    <cellStyle name="Normal 2 4 3 3" xfId="18016" xr:uid="{00000000-0005-0000-0000-0000F2450000}"/>
    <cellStyle name="Normal 2 4 3 4" xfId="18017" xr:uid="{00000000-0005-0000-0000-0000F3450000}"/>
    <cellStyle name="Normal 2 4 3 5" xfId="18018" xr:uid="{00000000-0005-0000-0000-0000F4450000}"/>
    <cellStyle name="Normal 2 4 3 6" xfId="18019" xr:uid="{00000000-0005-0000-0000-0000F5450000}"/>
    <cellStyle name="Normal 2 4 3 7" xfId="18020" xr:uid="{00000000-0005-0000-0000-0000F6450000}"/>
    <cellStyle name="Normal 2 4 3 8" xfId="18021" xr:uid="{00000000-0005-0000-0000-0000F7450000}"/>
    <cellStyle name="Normal 2 4 3 9" xfId="36470" xr:uid="{00000000-0005-0000-0000-0000F8450000}"/>
    <cellStyle name="Normal 2 4 30" xfId="18022" xr:uid="{00000000-0005-0000-0000-0000F9450000}"/>
    <cellStyle name="Normal 2 4 30 2" xfId="18023" xr:uid="{00000000-0005-0000-0000-0000FA450000}"/>
    <cellStyle name="Normal 2 4 30 3" xfId="18024" xr:uid="{00000000-0005-0000-0000-0000FB450000}"/>
    <cellStyle name="Normal 2 4 30 4" xfId="18025" xr:uid="{00000000-0005-0000-0000-0000FC450000}"/>
    <cellStyle name="Normal 2 4 30 5" xfId="18026" xr:uid="{00000000-0005-0000-0000-0000FD450000}"/>
    <cellStyle name="Normal 2 4 30 6" xfId="18027" xr:uid="{00000000-0005-0000-0000-0000FE450000}"/>
    <cellStyle name="Normal 2 4 30 7" xfId="18028" xr:uid="{00000000-0005-0000-0000-0000FF450000}"/>
    <cellStyle name="Normal 2 4 31" xfId="18029" xr:uid="{00000000-0005-0000-0000-000000460000}"/>
    <cellStyle name="Normal 2 4 31 2" xfId="18030" xr:uid="{00000000-0005-0000-0000-000001460000}"/>
    <cellStyle name="Normal 2 4 31 3" xfId="18031" xr:uid="{00000000-0005-0000-0000-000002460000}"/>
    <cellStyle name="Normal 2 4 31 4" xfId="18032" xr:uid="{00000000-0005-0000-0000-000003460000}"/>
    <cellStyle name="Normal 2 4 31 5" xfId="18033" xr:uid="{00000000-0005-0000-0000-000004460000}"/>
    <cellStyle name="Normal 2 4 31 6" xfId="18034" xr:uid="{00000000-0005-0000-0000-000005460000}"/>
    <cellStyle name="Normal 2 4 31 7" xfId="18035" xr:uid="{00000000-0005-0000-0000-000006460000}"/>
    <cellStyle name="Normal 2 4 32" xfId="18036" xr:uid="{00000000-0005-0000-0000-000007460000}"/>
    <cellStyle name="Normal 2 4 32 2" xfId="18037" xr:uid="{00000000-0005-0000-0000-000008460000}"/>
    <cellStyle name="Normal 2 4 32 3" xfId="18038" xr:uid="{00000000-0005-0000-0000-000009460000}"/>
    <cellStyle name="Normal 2 4 32 4" xfId="18039" xr:uid="{00000000-0005-0000-0000-00000A460000}"/>
    <cellStyle name="Normal 2 4 32 5" xfId="18040" xr:uid="{00000000-0005-0000-0000-00000B460000}"/>
    <cellStyle name="Normal 2 4 32 6" xfId="18041" xr:uid="{00000000-0005-0000-0000-00000C460000}"/>
    <cellStyle name="Normal 2 4 32 7" xfId="18042" xr:uid="{00000000-0005-0000-0000-00000D460000}"/>
    <cellStyle name="Normal 2 4 33" xfId="18043" xr:uid="{00000000-0005-0000-0000-00000E460000}"/>
    <cellStyle name="Normal 2 4 33 2" xfId="18044" xr:uid="{00000000-0005-0000-0000-00000F460000}"/>
    <cellStyle name="Normal 2 4 33 3" xfId="18045" xr:uid="{00000000-0005-0000-0000-000010460000}"/>
    <cellStyle name="Normal 2 4 33 4" xfId="18046" xr:uid="{00000000-0005-0000-0000-000011460000}"/>
    <cellStyle name="Normal 2 4 33 5" xfId="18047" xr:uid="{00000000-0005-0000-0000-000012460000}"/>
    <cellStyle name="Normal 2 4 33 6" xfId="18048" xr:uid="{00000000-0005-0000-0000-000013460000}"/>
    <cellStyle name="Normal 2 4 33 7" xfId="18049" xr:uid="{00000000-0005-0000-0000-000014460000}"/>
    <cellStyle name="Normal 2 4 34" xfId="18050" xr:uid="{00000000-0005-0000-0000-000015460000}"/>
    <cellStyle name="Normal 2 4 34 2" xfId="18051" xr:uid="{00000000-0005-0000-0000-000016460000}"/>
    <cellStyle name="Normal 2 4 34 3" xfId="18052" xr:uid="{00000000-0005-0000-0000-000017460000}"/>
    <cellStyle name="Normal 2 4 34 4" xfId="18053" xr:uid="{00000000-0005-0000-0000-000018460000}"/>
    <cellStyle name="Normal 2 4 34 5" xfId="18054" xr:uid="{00000000-0005-0000-0000-000019460000}"/>
    <cellStyle name="Normal 2 4 34 6" xfId="18055" xr:uid="{00000000-0005-0000-0000-00001A460000}"/>
    <cellStyle name="Normal 2 4 34 7" xfId="18056" xr:uid="{00000000-0005-0000-0000-00001B460000}"/>
    <cellStyle name="Normal 2 4 35" xfId="18057" xr:uid="{00000000-0005-0000-0000-00001C460000}"/>
    <cellStyle name="Normal 2 4 35 2" xfId="18058" xr:uid="{00000000-0005-0000-0000-00001D460000}"/>
    <cellStyle name="Normal 2 4 35 3" xfId="18059" xr:uid="{00000000-0005-0000-0000-00001E460000}"/>
    <cellStyle name="Normal 2 4 35 4" xfId="18060" xr:uid="{00000000-0005-0000-0000-00001F460000}"/>
    <cellStyle name="Normal 2 4 35 5" xfId="18061" xr:uid="{00000000-0005-0000-0000-000020460000}"/>
    <cellStyle name="Normal 2 4 35 6" xfId="18062" xr:uid="{00000000-0005-0000-0000-000021460000}"/>
    <cellStyle name="Normal 2 4 35 7" xfId="18063" xr:uid="{00000000-0005-0000-0000-000022460000}"/>
    <cellStyle name="Normal 2 4 36" xfId="18064" xr:uid="{00000000-0005-0000-0000-000023460000}"/>
    <cellStyle name="Normal 2 4 37" xfId="18065" xr:uid="{00000000-0005-0000-0000-000024460000}"/>
    <cellStyle name="Normal 2 4 38" xfId="18066" xr:uid="{00000000-0005-0000-0000-000025460000}"/>
    <cellStyle name="Normal 2 4 39" xfId="18067" xr:uid="{00000000-0005-0000-0000-000026460000}"/>
    <cellStyle name="Normal 2 4 4" xfId="18068" xr:uid="{00000000-0005-0000-0000-000027460000}"/>
    <cellStyle name="Normal 2 4 4 2" xfId="18069" xr:uid="{00000000-0005-0000-0000-000028460000}"/>
    <cellStyle name="Normal 2 4 4 2 2" xfId="18070" xr:uid="{00000000-0005-0000-0000-000029460000}"/>
    <cellStyle name="Normal 2 4 4 2 3" xfId="18071" xr:uid="{00000000-0005-0000-0000-00002A460000}"/>
    <cellStyle name="Normal 2 4 4 2 4" xfId="18072" xr:uid="{00000000-0005-0000-0000-00002B460000}"/>
    <cellStyle name="Normal 2 4 4 2 5" xfId="18073" xr:uid="{00000000-0005-0000-0000-00002C460000}"/>
    <cellStyle name="Normal 2 4 4 2 6" xfId="18074" xr:uid="{00000000-0005-0000-0000-00002D460000}"/>
    <cellStyle name="Normal 2 4 4 2 7" xfId="18075" xr:uid="{00000000-0005-0000-0000-00002E460000}"/>
    <cellStyle name="Normal 2 4 4 3" xfId="18076" xr:uid="{00000000-0005-0000-0000-00002F460000}"/>
    <cellStyle name="Normal 2 4 4 4" xfId="18077" xr:uid="{00000000-0005-0000-0000-000030460000}"/>
    <cellStyle name="Normal 2 4 4 5" xfId="18078" xr:uid="{00000000-0005-0000-0000-000031460000}"/>
    <cellStyle name="Normal 2 4 4 6" xfId="18079" xr:uid="{00000000-0005-0000-0000-000032460000}"/>
    <cellStyle name="Normal 2 4 4 7" xfId="18080" xr:uid="{00000000-0005-0000-0000-000033460000}"/>
    <cellStyle name="Normal 2 4 4 8" xfId="18081" xr:uid="{00000000-0005-0000-0000-000034460000}"/>
    <cellStyle name="Normal 2 4 40" xfId="18082" xr:uid="{00000000-0005-0000-0000-000035460000}"/>
    <cellStyle name="Normal 2 4 41" xfId="18083" xr:uid="{00000000-0005-0000-0000-000036460000}"/>
    <cellStyle name="Normal 2 4 42" xfId="18084" xr:uid="{00000000-0005-0000-0000-000037460000}"/>
    <cellStyle name="Normal 2 4 43" xfId="18085" xr:uid="{00000000-0005-0000-0000-000038460000}"/>
    <cellStyle name="Normal 2 4 5" xfId="18086" xr:uid="{00000000-0005-0000-0000-000039460000}"/>
    <cellStyle name="Normal 2 4 5 2" xfId="18087" xr:uid="{00000000-0005-0000-0000-00003A460000}"/>
    <cellStyle name="Normal 2 4 5 2 2" xfId="18088" xr:uid="{00000000-0005-0000-0000-00003B460000}"/>
    <cellStyle name="Normal 2 4 5 2 3" xfId="18089" xr:uid="{00000000-0005-0000-0000-00003C460000}"/>
    <cellStyle name="Normal 2 4 5 2 4" xfId="18090" xr:uid="{00000000-0005-0000-0000-00003D460000}"/>
    <cellStyle name="Normal 2 4 5 2 5" xfId="18091" xr:uid="{00000000-0005-0000-0000-00003E460000}"/>
    <cellStyle name="Normal 2 4 5 2 6" xfId="18092" xr:uid="{00000000-0005-0000-0000-00003F460000}"/>
    <cellStyle name="Normal 2 4 5 2 7" xfId="18093" xr:uid="{00000000-0005-0000-0000-000040460000}"/>
    <cellStyle name="Normal 2 4 5 3" xfId="18094" xr:uid="{00000000-0005-0000-0000-000041460000}"/>
    <cellStyle name="Normal 2 4 5 4" xfId="18095" xr:uid="{00000000-0005-0000-0000-000042460000}"/>
    <cellStyle name="Normal 2 4 5 5" xfId="18096" xr:uid="{00000000-0005-0000-0000-000043460000}"/>
    <cellStyle name="Normal 2 4 5 6" xfId="18097" xr:uid="{00000000-0005-0000-0000-000044460000}"/>
    <cellStyle name="Normal 2 4 5 7" xfId="18098" xr:uid="{00000000-0005-0000-0000-000045460000}"/>
    <cellStyle name="Normal 2 4 5 8" xfId="18099" xr:uid="{00000000-0005-0000-0000-000046460000}"/>
    <cellStyle name="Normal 2 4 6" xfId="18100" xr:uid="{00000000-0005-0000-0000-000047460000}"/>
    <cellStyle name="Normal 2 4 6 2" xfId="18101" xr:uid="{00000000-0005-0000-0000-000048460000}"/>
    <cellStyle name="Normal 2 4 6 2 2" xfId="18102" xr:uid="{00000000-0005-0000-0000-000049460000}"/>
    <cellStyle name="Normal 2 4 6 2 3" xfId="18103" xr:uid="{00000000-0005-0000-0000-00004A460000}"/>
    <cellStyle name="Normal 2 4 6 2 4" xfId="18104" xr:uid="{00000000-0005-0000-0000-00004B460000}"/>
    <cellStyle name="Normal 2 4 6 2 5" xfId="18105" xr:uid="{00000000-0005-0000-0000-00004C460000}"/>
    <cellStyle name="Normal 2 4 6 2 6" xfId="18106" xr:uid="{00000000-0005-0000-0000-00004D460000}"/>
    <cellStyle name="Normal 2 4 6 2 7" xfId="18107" xr:uid="{00000000-0005-0000-0000-00004E460000}"/>
    <cellStyle name="Normal 2 4 6 3" xfId="18108" xr:uid="{00000000-0005-0000-0000-00004F460000}"/>
    <cellStyle name="Normal 2 4 6 4" xfId="18109" xr:uid="{00000000-0005-0000-0000-000050460000}"/>
    <cellStyle name="Normal 2 4 6 5" xfId="18110" xr:uid="{00000000-0005-0000-0000-000051460000}"/>
    <cellStyle name="Normal 2 4 6 6" xfId="18111" xr:uid="{00000000-0005-0000-0000-000052460000}"/>
    <cellStyle name="Normal 2 4 6 7" xfId="18112" xr:uid="{00000000-0005-0000-0000-000053460000}"/>
    <cellStyle name="Normal 2 4 6 8" xfId="18113" xr:uid="{00000000-0005-0000-0000-000054460000}"/>
    <cellStyle name="Normal 2 4 7" xfId="18114" xr:uid="{00000000-0005-0000-0000-000055460000}"/>
    <cellStyle name="Normal 2 4 7 2" xfId="18115" xr:uid="{00000000-0005-0000-0000-000056460000}"/>
    <cellStyle name="Normal 2 4 7 2 2" xfId="18116" xr:uid="{00000000-0005-0000-0000-000057460000}"/>
    <cellStyle name="Normal 2 4 7 2 3" xfId="18117" xr:uid="{00000000-0005-0000-0000-000058460000}"/>
    <cellStyle name="Normal 2 4 7 2 4" xfId="18118" xr:uid="{00000000-0005-0000-0000-000059460000}"/>
    <cellStyle name="Normal 2 4 7 2 5" xfId="18119" xr:uid="{00000000-0005-0000-0000-00005A460000}"/>
    <cellStyle name="Normal 2 4 7 2 6" xfId="18120" xr:uid="{00000000-0005-0000-0000-00005B460000}"/>
    <cellStyle name="Normal 2 4 7 2 7" xfId="18121" xr:uid="{00000000-0005-0000-0000-00005C460000}"/>
    <cellStyle name="Normal 2 4 7 3" xfId="18122" xr:uid="{00000000-0005-0000-0000-00005D460000}"/>
    <cellStyle name="Normal 2 4 7 4" xfId="18123" xr:uid="{00000000-0005-0000-0000-00005E460000}"/>
    <cellStyle name="Normal 2 4 7 5" xfId="18124" xr:uid="{00000000-0005-0000-0000-00005F460000}"/>
    <cellStyle name="Normal 2 4 7 6" xfId="18125" xr:uid="{00000000-0005-0000-0000-000060460000}"/>
    <cellStyle name="Normal 2 4 7 7" xfId="18126" xr:uid="{00000000-0005-0000-0000-000061460000}"/>
    <cellStyle name="Normal 2 4 7 8" xfId="18127" xr:uid="{00000000-0005-0000-0000-000062460000}"/>
    <cellStyle name="Normal 2 4 8" xfId="18128" xr:uid="{00000000-0005-0000-0000-000063460000}"/>
    <cellStyle name="Normal 2 4 8 2" xfId="18129" xr:uid="{00000000-0005-0000-0000-000064460000}"/>
    <cellStyle name="Normal 2 4 8 2 2" xfId="18130" xr:uid="{00000000-0005-0000-0000-000065460000}"/>
    <cellStyle name="Normal 2 4 8 2 3" xfId="18131" xr:uid="{00000000-0005-0000-0000-000066460000}"/>
    <cellStyle name="Normal 2 4 8 2 4" xfId="18132" xr:uid="{00000000-0005-0000-0000-000067460000}"/>
    <cellStyle name="Normal 2 4 8 2 5" xfId="18133" xr:uid="{00000000-0005-0000-0000-000068460000}"/>
    <cellStyle name="Normal 2 4 8 2 6" xfId="18134" xr:uid="{00000000-0005-0000-0000-000069460000}"/>
    <cellStyle name="Normal 2 4 8 2 7" xfId="18135" xr:uid="{00000000-0005-0000-0000-00006A460000}"/>
    <cellStyle name="Normal 2 4 8 3" xfId="18136" xr:uid="{00000000-0005-0000-0000-00006B460000}"/>
    <cellStyle name="Normal 2 4 8 4" xfId="18137" xr:uid="{00000000-0005-0000-0000-00006C460000}"/>
    <cellStyle name="Normal 2 4 8 5" xfId="18138" xr:uid="{00000000-0005-0000-0000-00006D460000}"/>
    <cellStyle name="Normal 2 4 8 6" xfId="18139" xr:uid="{00000000-0005-0000-0000-00006E460000}"/>
    <cellStyle name="Normal 2 4 8 7" xfId="18140" xr:uid="{00000000-0005-0000-0000-00006F460000}"/>
    <cellStyle name="Normal 2 4 8 8" xfId="18141" xr:uid="{00000000-0005-0000-0000-000070460000}"/>
    <cellStyle name="Normal 2 4 9" xfId="18142" xr:uid="{00000000-0005-0000-0000-000071460000}"/>
    <cellStyle name="Normal 2 4 9 2" xfId="18143" xr:uid="{00000000-0005-0000-0000-000072460000}"/>
    <cellStyle name="Normal 2 4 9 2 2" xfId="18144" xr:uid="{00000000-0005-0000-0000-000073460000}"/>
    <cellStyle name="Normal 2 4 9 2 3" xfId="18145" xr:uid="{00000000-0005-0000-0000-000074460000}"/>
    <cellStyle name="Normal 2 4 9 2 4" xfId="18146" xr:uid="{00000000-0005-0000-0000-000075460000}"/>
    <cellStyle name="Normal 2 4 9 2 5" xfId="18147" xr:uid="{00000000-0005-0000-0000-000076460000}"/>
    <cellStyle name="Normal 2 4 9 2 6" xfId="18148" xr:uid="{00000000-0005-0000-0000-000077460000}"/>
    <cellStyle name="Normal 2 4 9 2 7" xfId="18149" xr:uid="{00000000-0005-0000-0000-000078460000}"/>
    <cellStyle name="Normal 2 4 9 3" xfId="18150" xr:uid="{00000000-0005-0000-0000-000079460000}"/>
    <cellStyle name="Normal 2 4 9 4" xfId="18151" xr:uid="{00000000-0005-0000-0000-00007A460000}"/>
    <cellStyle name="Normal 2 4 9 5" xfId="18152" xr:uid="{00000000-0005-0000-0000-00007B460000}"/>
    <cellStyle name="Normal 2 4 9 6" xfId="18153" xr:uid="{00000000-0005-0000-0000-00007C460000}"/>
    <cellStyle name="Normal 2 4 9 7" xfId="18154" xr:uid="{00000000-0005-0000-0000-00007D460000}"/>
    <cellStyle name="Normal 2 4 9 8" xfId="18155" xr:uid="{00000000-0005-0000-0000-00007E460000}"/>
    <cellStyle name="Normal 2 40" xfId="6111" xr:uid="{00000000-0005-0000-0000-00007F460000}"/>
    <cellStyle name="Normal 2 40 2" xfId="6112" xr:uid="{00000000-0005-0000-0000-000080460000}"/>
    <cellStyle name="Normal 2 40 2 2" xfId="36471" xr:uid="{00000000-0005-0000-0000-000081460000}"/>
    <cellStyle name="Normal 2 40 3" xfId="6113" xr:uid="{00000000-0005-0000-0000-000082460000}"/>
    <cellStyle name="Normal 2 40 3 2" xfId="36472" xr:uid="{00000000-0005-0000-0000-000083460000}"/>
    <cellStyle name="Normal 2 40 4" xfId="6114" xr:uid="{00000000-0005-0000-0000-000084460000}"/>
    <cellStyle name="Normal 2 40 4 2" xfId="36473" xr:uid="{00000000-0005-0000-0000-000085460000}"/>
    <cellStyle name="Normal 2 40 5" xfId="36474" xr:uid="{00000000-0005-0000-0000-000086460000}"/>
    <cellStyle name="Normal 2 40_01-04-2012" xfId="6115" xr:uid="{00000000-0005-0000-0000-000087460000}"/>
    <cellStyle name="Normal 2 41" xfId="6116" xr:uid="{00000000-0005-0000-0000-000088460000}"/>
    <cellStyle name="Normal 2 41 2" xfId="6117" xr:uid="{00000000-0005-0000-0000-000089460000}"/>
    <cellStyle name="Normal 2 41 2 2" xfId="36475" xr:uid="{00000000-0005-0000-0000-00008A460000}"/>
    <cellStyle name="Normal 2 41 3" xfId="6118" xr:uid="{00000000-0005-0000-0000-00008B460000}"/>
    <cellStyle name="Normal 2 41 3 2" xfId="36476" xr:uid="{00000000-0005-0000-0000-00008C460000}"/>
    <cellStyle name="Normal 2 41 4" xfId="6119" xr:uid="{00000000-0005-0000-0000-00008D460000}"/>
    <cellStyle name="Normal 2 41 4 2" xfId="36477" xr:uid="{00000000-0005-0000-0000-00008E460000}"/>
    <cellStyle name="Normal 2 41 5" xfId="36478" xr:uid="{00000000-0005-0000-0000-00008F460000}"/>
    <cellStyle name="Normal 2 41_01-04-2012" xfId="6120" xr:uid="{00000000-0005-0000-0000-000090460000}"/>
    <cellStyle name="Normal 2 42" xfId="6121" xr:uid="{00000000-0005-0000-0000-000091460000}"/>
    <cellStyle name="Normal 2 42 2" xfId="6122" xr:uid="{00000000-0005-0000-0000-000092460000}"/>
    <cellStyle name="Normal 2 42 2 2" xfId="36479" xr:uid="{00000000-0005-0000-0000-000093460000}"/>
    <cellStyle name="Normal 2 42 3" xfId="6123" xr:uid="{00000000-0005-0000-0000-000094460000}"/>
    <cellStyle name="Normal 2 42 3 2" xfId="36480" xr:uid="{00000000-0005-0000-0000-000095460000}"/>
    <cellStyle name="Normal 2 42 4" xfId="6124" xr:uid="{00000000-0005-0000-0000-000096460000}"/>
    <cellStyle name="Normal 2 42 4 2" xfId="36481" xr:uid="{00000000-0005-0000-0000-000097460000}"/>
    <cellStyle name="Normal 2 42 5" xfId="36482" xr:uid="{00000000-0005-0000-0000-000098460000}"/>
    <cellStyle name="Normal 2 42_01-04-2012" xfId="6125" xr:uid="{00000000-0005-0000-0000-000099460000}"/>
    <cellStyle name="Normal 2 43" xfId="6126" xr:uid="{00000000-0005-0000-0000-00009A460000}"/>
    <cellStyle name="Normal 2 43 2" xfId="6127" xr:uid="{00000000-0005-0000-0000-00009B460000}"/>
    <cellStyle name="Normal 2 43 2 2" xfId="36483" xr:uid="{00000000-0005-0000-0000-00009C460000}"/>
    <cellStyle name="Normal 2 43 3" xfId="6128" xr:uid="{00000000-0005-0000-0000-00009D460000}"/>
    <cellStyle name="Normal 2 43 3 2" xfId="36484" xr:uid="{00000000-0005-0000-0000-00009E460000}"/>
    <cellStyle name="Normal 2 43 4" xfId="6129" xr:uid="{00000000-0005-0000-0000-00009F460000}"/>
    <cellStyle name="Normal 2 43 4 2" xfId="36485" xr:uid="{00000000-0005-0000-0000-0000A0460000}"/>
    <cellStyle name="Normal 2 43 5" xfId="36486" xr:uid="{00000000-0005-0000-0000-0000A1460000}"/>
    <cellStyle name="Normal 2 43_01-04-2012" xfId="6130" xr:uid="{00000000-0005-0000-0000-0000A2460000}"/>
    <cellStyle name="Normal 2 44" xfId="6131" xr:uid="{00000000-0005-0000-0000-0000A3460000}"/>
    <cellStyle name="Normal 2 44 2" xfId="6132" xr:uid="{00000000-0005-0000-0000-0000A4460000}"/>
    <cellStyle name="Normal 2 44 2 2" xfId="36487" xr:uid="{00000000-0005-0000-0000-0000A5460000}"/>
    <cellStyle name="Normal 2 44 3" xfId="6133" xr:uid="{00000000-0005-0000-0000-0000A6460000}"/>
    <cellStyle name="Normal 2 44 3 2" xfId="36488" xr:uid="{00000000-0005-0000-0000-0000A7460000}"/>
    <cellStyle name="Normal 2 44 4" xfId="6134" xr:uid="{00000000-0005-0000-0000-0000A8460000}"/>
    <cellStyle name="Normal 2 44 4 2" xfId="36489" xr:uid="{00000000-0005-0000-0000-0000A9460000}"/>
    <cellStyle name="Normal 2 44 5" xfId="36490" xr:uid="{00000000-0005-0000-0000-0000AA460000}"/>
    <cellStyle name="Normal 2 44_01-04-2012" xfId="6135" xr:uid="{00000000-0005-0000-0000-0000AB460000}"/>
    <cellStyle name="Normal 2 45" xfId="6136" xr:uid="{00000000-0005-0000-0000-0000AC460000}"/>
    <cellStyle name="Normal 2 45 2" xfId="6137" xr:uid="{00000000-0005-0000-0000-0000AD460000}"/>
    <cellStyle name="Normal 2 45 2 2" xfId="36491" xr:uid="{00000000-0005-0000-0000-0000AE460000}"/>
    <cellStyle name="Normal 2 45 3" xfId="6138" xr:uid="{00000000-0005-0000-0000-0000AF460000}"/>
    <cellStyle name="Normal 2 45 3 2" xfId="36492" xr:uid="{00000000-0005-0000-0000-0000B0460000}"/>
    <cellStyle name="Normal 2 45 4" xfId="6139" xr:uid="{00000000-0005-0000-0000-0000B1460000}"/>
    <cellStyle name="Normal 2 45 4 2" xfId="36493" xr:uid="{00000000-0005-0000-0000-0000B2460000}"/>
    <cellStyle name="Normal 2 45 5" xfId="36494" xr:uid="{00000000-0005-0000-0000-0000B3460000}"/>
    <cellStyle name="Normal 2 45_01-04-2012" xfId="6140" xr:uid="{00000000-0005-0000-0000-0000B4460000}"/>
    <cellStyle name="Normal 2 46" xfId="6141" xr:uid="{00000000-0005-0000-0000-0000B5460000}"/>
    <cellStyle name="Normal 2 46 2" xfId="6142" xr:uid="{00000000-0005-0000-0000-0000B6460000}"/>
    <cellStyle name="Normal 2 46 2 2" xfId="36495" xr:uid="{00000000-0005-0000-0000-0000B7460000}"/>
    <cellStyle name="Normal 2 46 3" xfId="6143" xr:uid="{00000000-0005-0000-0000-0000B8460000}"/>
    <cellStyle name="Normal 2 46 3 2" xfId="36496" xr:uid="{00000000-0005-0000-0000-0000B9460000}"/>
    <cellStyle name="Normal 2 46 4" xfId="6144" xr:uid="{00000000-0005-0000-0000-0000BA460000}"/>
    <cellStyle name="Normal 2 46 4 2" xfId="36497" xr:uid="{00000000-0005-0000-0000-0000BB460000}"/>
    <cellStyle name="Normal 2 46 5" xfId="36498" xr:uid="{00000000-0005-0000-0000-0000BC460000}"/>
    <cellStyle name="Normal 2 46_01-04-2012" xfId="6145" xr:uid="{00000000-0005-0000-0000-0000BD460000}"/>
    <cellStyle name="Normal 2 47" xfId="6146" xr:uid="{00000000-0005-0000-0000-0000BE460000}"/>
    <cellStyle name="Normal 2 47 2" xfId="6147" xr:uid="{00000000-0005-0000-0000-0000BF460000}"/>
    <cellStyle name="Normal 2 47 2 2" xfId="36499" xr:uid="{00000000-0005-0000-0000-0000C0460000}"/>
    <cellStyle name="Normal 2 47 3" xfId="6148" xr:uid="{00000000-0005-0000-0000-0000C1460000}"/>
    <cellStyle name="Normal 2 47 3 2" xfId="36500" xr:uid="{00000000-0005-0000-0000-0000C2460000}"/>
    <cellStyle name="Normal 2 47 4" xfId="6149" xr:uid="{00000000-0005-0000-0000-0000C3460000}"/>
    <cellStyle name="Normal 2 47 4 2" xfId="36501" xr:uid="{00000000-0005-0000-0000-0000C4460000}"/>
    <cellStyle name="Normal 2 47 5" xfId="36502" xr:uid="{00000000-0005-0000-0000-0000C5460000}"/>
    <cellStyle name="Normal 2 47_01-04-2012" xfId="6150" xr:uid="{00000000-0005-0000-0000-0000C6460000}"/>
    <cellStyle name="Normal 2 48" xfId="6151" xr:uid="{00000000-0005-0000-0000-0000C7460000}"/>
    <cellStyle name="Normal 2 48 2" xfId="6152" xr:uid="{00000000-0005-0000-0000-0000C8460000}"/>
    <cellStyle name="Normal 2 48 2 2" xfId="36503" xr:uid="{00000000-0005-0000-0000-0000C9460000}"/>
    <cellStyle name="Normal 2 48 3" xfId="6153" xr:uid="{00000000-0005-0000-0000-0000CA460000}"/>
    <cellStyle name="Normal 2 48 3 2" xfId="36504" xr:uid="{00000000-0005-0000-0000-0000CB460000}"/>
    <cellStyle name="Normal 2 48 4" xfId="6154" xr:uid="{00000000-0005-0000-0000-0000CC460000}"/>
    <cellStyle name="Normal 2 48 4 2" xfId="36505" xr:uid="{00000000-0005-0000-0000-0000CD460000}"/>
    <cellStyle name="Normal 2 48 5" xfId="36506" xr:uid="{00000000-0005-0000-0000-0000CE460000}"/>
    <cellStyle name="Normal 2 48_01-04-2012" xfId="6155" xr:uid="{00000000-0005-0000-0000-0000CF460000}"/>
    <cellStyle name="Normal 2 49" xfId="6156" xr:uid="{00000000-0005-0000-0000-0000D0460000}"/>
    <cellStyle name="Normal 2 49 2" xfId="6157" xr:uid="{00000000-0005-0000-0000-0000D1460000}"/>
    <cellStyle name="Normal 2 49 2 2" xfId="36507" xr:uid="{00000000-0005-0000-0000-0000D2460000}"/>
    <cellStyle name="Normal 2 49 3" xfId="6158" xr:uid="{00000000-0005-0000-0000-0000D3460000}"/>
    <cellStyle name="Normal 2 49 3 2" xfId="36508" xr:uid="{00000000-0005-0000-0000-0000D4460000}"/>
    <cellStyle name="Normal 2 49 4" xfId="6159" xr:uid="{00000000-0005-0000-0000-0000D5460000}"/>
    <cellStyle name="Normal 2 49 4 2" xfId="36509" xr:uid="{00000000-0005-0000-0000-0000D6460000}"/>
    <cellStyle name="Normal 2 49 5" xfId="36510" xr:uid="{00000000-0005-0000-0000-0000D7460000}"/>
    <cellStyle name="Normal 2 49_01-04-2012" xfId="6160" xr:uid="{00000000-0005-0000-0000-0000D8460000}"/>
    <cellStyle name="Normal 2 5" xfId="6161" xr:uid="{00000000-0005-0000-0000-0000D9460000}"/>
    <cellStyle name="Normal 2 5 10" xfId="18156" xr:uid="{00000000-0005-0000-0000-0000DA460000}"/>
    <cellStyle name="Normal 2 5 10 2" xfId="18157" xr:uid="{00000000-0005-0000-0000-0000DB460000}"/>
    <cellStyle name="Normal 2 5 10 2 2" xfId="18158" xr:uid="{00000000-0005-0000-0000-0000DC460000}"/>
    <cellStyle name="Normal 2 5 10 2 3" xfId="18159" xr:uid="{00000000-0005-0000-0000-0000DD460000}"/>
    <cellStyle name="Normal 2 5 10 2 4" xfId="18160" xr:uid="{00000000-0005-0000-0000-0000DE460000}"/>
    <cellStyle name="Normal 2 5 10 2 5" xfId="18161" xr:uid="{00000000-0005-0000-0000-0000DF460000}"/>
    <cellStyle name="Normal 2 5 10 2 6" xfId="18162" xr:uid="{00000000-0005-0000-0000-0000E0460000}"/>
    <cellStyle name="Normal 2 5 10 2 7" xfId="18163" xr:uid="{00000000-0005-0000-0000-0000E1460000}"/>
    <cellStyle name="Normal 2 5 10 3" xfId="18164" xr:uid="{00000000-0005-0000-0000-0000E2460000}"/>
    <cellStyle name="Normal 2 5 10 4" xfId="18165" xr:uid="{00000000-0005-0000-0000-0000E3460000}"/>
    <cellStyle name="Normal 2 5 10 5" xfId="18166" xr:uid="{00000000-0005-0000-0000-0000E4460000}"/>
    <cellStyle name="Normal 2 5 10 6" xfId="18167" xr:uid="{00000000-0005-0000-0000-0000E5460000}"/>
    <cellStyle name="Normal 2 5 10 7" xfId="18168" xr:uid="{00000000-0005-0000-0000-0000E6460000}"/>
    <cellStyle name="Normal 2 5 10 8" xfId="18169" xr:uid="{00000000-0005-0000-0000-0000E7460000}"/>
    <cellStyle name="Normal 2 5 11" xfId="18170" xr:uid="{00000000-0005-0000-0000-0000E8460000}"/>
    <cellStyle name="Normal 2 5 11 2" xfId="18171" xr:uid="{00000000-0005-0000-0000-0000E9460000}"/>
    <cellStyle name="Normal 2 5 11 2 2" xfId="18172" xr:uid="{00000000-0005-0000-0000-0000EA460000}"/>
    <cellStyle name="Normal 2 5 11 2 3" xfId="18173" xr:uid="{00000000-0005-0000-0000-0000EB460000}"/>
    <cellStyle name="Normal 2 5 11 2 4" xfId="18174" xr:uid="{00000000-0005-0000-0000-0000EC460000}"/>
    <cellStyle name="Normal 2 5 11 2 5" xfId="18175" xr:uid="{00000000-0005-0000-0000-0000ED460000}"/>
    <cellStyle name="Normal 2 5 11 2 6" xfId="18176" xr:uid="{00000000-0005-0000-0000-0000EE460000}"/>
    <cellStyle name="Normal 2 5 11 2 7" xfId="18177" xr:uid="{00000000-0005-0000-0000-0000EF460000}"/>
    <cellStyle name="Normal 2 5 11 3" xfId="18178" xr:uid="{00000000-0005-0000-0000-0000F0460000}"/>
    <cellStyle name="Normal 2 5 11 4" xfId="18179" xr:uid="{00000000-0005-0000-0000-0000F1460000}"/>
    <cellStyle name="Normal 2 5 11 5" xfId="18180" xr:uid="{00000000-0005-0000-0000-0000F2460000}"/>
    <cellStyle name="Normal 2 5 11 6" xfId="18181" xr:uid="{00000000-0005-0000-0000-0000F3460000}"/>
    <cellStyle name="Normal 2 5 11 7" xfId="18182" xr:uid="{00000000-0005-0000-0000-0000F4460000}"/>
    <cellStyle name="Normal 2 5 11 8" xfId="18183" xr:uid="{00000000-0005-0000-0000-0000F5460000}"/>
    <cellStyle name="Normal 2 5 12" xfId="18184" xr:uid="{00000000-0005-0000-0000-0000F6460000}"/>
    <cellStyle name="Normal 2 5 12 2" xfId="18185" xr:uid="{00000000-0005-0000-0000-0000F7460000}"/>
    <cellStyle name="Normal 2 5 12 2 2" xfId="18186" xr:uid="{00000000-0005-0000-0000-0000F8460000}"/>
    <cellStyle name="Normal 2 5 12 2 3" xfId="18187" xr:uid="{00000000-0005-0000-0000-0000F9460000}"/>
    <cellStyle name="Normal 2 5 12 2 4" xfId="18188" xr:uid="{00000000-0005-0000-0000-0000FA460000}"/>
    <cellStyle name="Normal 2 5 12 2 5" xfId="18189" xr:uid="{00000000-0005-0000-0000-0000FB460000}"/>
    <cellStyle name="Normal 2 5 12 2 6" xfId="18190" xr:uid="{00000000-0005-0000-0000-0000FC460000}"/>
    <cellStyle name="Normal 2 5 12 2 7" xfId="18191" xr:uid="{00000000-0005-0000-0000-0000FD460000}"/>
    <cellStyle name="Normal 2 5 12 3" xfId="18192" xr:uid="{00000000-0005-0000-0000-0000FE460000}"/>
    <cellStyle name="Normal 2 5 12 4" xfId="18193" xr:uid="{00000000-0005-0000-0000-0000FF460000}"/>
    <cellStyle name="Normal 2 5 12 5" xfId="18194" xr:uid="{00000000-0005-0000-0000-000000470000}"/>
    <cellStyle name="Normal 2 5 12 6" xfId="18195" xr:uid="{00000000-0005-0000-0000-000001470000}"/>
    <cellStyle name="Normal 2 5 12 7" xfId="18196" xr:uid="{00000000-0005-0000-0000-000002470000}"/>
    <cellStyle name="Normal 2 5 12 8" xfId="18197" xr:uid="{00000000-0005-0000-0000-000003470000}"/>
    <cellStyle name="Normal 2 5 13" xfId="18198" xr:uid="{00000000-0005-0000-0000-000004470000}"/>
    <cellStyle name="Normal 2 5 13 2" xfId="18199" xr:uid="{00000000-0005-0000-0000-000005470000}"/>
    <cellStyle name="Normal 2 5 13 2 2" xfId="18200" xr:uid="{00000000-0005-0000-0000-000006470000}"/>
    <cellStyle name="Normal 2 5 13 2 3" xfId="18201" xr:uid="{00000000-0005-0000-0000-000007470000}"/>
    <cellStyle name="Normal 2 5 13 2 4" xfId="18202" xr:uid="{00000000-0005-0000-0000-000008470000}"/>
    <cellStyle name="Normal 2 5 13 2 5" xfId="18203" xr:uid="{00000000-0005-0000-0000-000009470000}"/>
    <cellStyle name="Normal 2 5 13 2 6" xfId="18204" xr:uid="{00000000-0005-0000-0000-00000A470000}"/>
    <cellStyle name="Normal 2 5 13 2 7" xfId="18205" xr:uid="{00000000-0005-0000-0000-00000B470000}"/>
    <cellStyle name="Normal 2 5 13 3" xfId="18206" xr:uid="{00000000-0005-0000-0000-00000C470000}"/>
    <cellStyle name="Normal 2 5 13 4" xfId="18207" xr:uid="{00000000-0005-0000-0000-00000D470000}"/>
    <cellStyle name="Normal 2 5 13 5" xfId="18208" xr:uid="{00000000-0005-0000-0000-00000E470000}"/>
    <cellStyle name="Normal 2 5 13 6" xfId="18209" xr:uid="{00000000-0005-0000-0000-00000F470000}"/>
    <cellStyle name="Normal 2 5 13 7" xfId="18210" xr:uid="{00000000-0005-0000-0000-000010470000}"/>
    <cellStyle name="Normal 2 5 13 8" xfId="18211" xr:uid="{00000000-0005-0000-0000-000011470000}"/>
    <cellStyle name="Normal 2 5 14" xfId="18212" xr:uid="{00000000-0005-0000-0000-000012470000}"/>
    <cellStyle name="Normal 2 5 14 2" xfId="18213" xr:uid="{00000000-0005-0000-0000-000013470000}"/>
    <cellStyle name="Normal 2 5 14 2 2" xfId="18214" xr:uid="{00000000-0005-0000-0000-000014470000}"/>
    <cellStyle name="Normal 2 5 14 2 3" xfId="18215" xr:uid="{00000000-0005-0000-0000-000015470000}"/>
    <cellStyle name="Normal 2 5 14 2 4" xfId="18216" xr:uid="{00000000-0005-0000-0000-000016470000}"/>
    <cellStyle name="Normal 2 5 14 2 5" xfId="18217" xr:uid="{00000000-0005-0000-0000-000017470000}"/>
    <cellStyle name="Normal 2 5 14 2 6" xfId="18218" xr:uid="{00000000-0005-0000-0000-000018470000}"/>
    <cellStyle name="Normal 2 5 14 2 7" xfId="18219" xr:uid="{00000000-0005-0000-0000-000019470000}"/>
    <cellStyle name="Normal 2 5 14 3" xfId="18220" xr:uid="{00000000-0005-0000-0000-00001A470000}"/>
    <cellStyle name="Normal 2 5 14 4" xfId="18221" xr:uid="{00000000-0005-0000-0000-00001B470000}"/>
    <cellStyle name="Normal 2 5 14 5" xfId="18222" xr:uid="{00000000-0005-0000-0000-00001C470000}"/>
    <cellStyle name="Normal 2 5 14 6" xfId="18223" xr:uid="{00000000-0005-0000-0000-00001D470000}"/>
    <cellStyle name="Normal 2 5 14 7" xfId="18224" xr:uid="{00000000-0005-0000-0000-00001E470000}"/>
    <cellStyle name="Normal 2 5 14 8" xfId="18225" xr:uid="{00000000-0005-0000-0000-00001F470000}"/>
    <cellStyle name="Normal 2 5 15" xfId="18226" xr:uid="{00000000-0005-0000-0000-000020470000}"/>
    <cellStyle name="Normal 2 5 15 2" xfId="18227" xr:uid="{00000000-0005-0000-0000-000021470000}"/>
    <cellStyle name="Normal 2 5 15 2 2" xfId="18228" xr:uid="{00000000-0005-0000-0000-000022470000}"/>
    <cellStyle name="Normal 2 5 15 2 3" xfId="18229" xr:uid="{00000000-0005-0000-0000-000023470000}"/>
    <cellStyle name="Normal 2 5 15 2 4" xfId="18230" xr:uid="{00000000-0005-0000-0000-000024470000}"/>
    <cellStyle name="Normal 2 5 15 2 5" xfId="18231" xr:uid="{00000000-0005-0000-0000-000025470000}"/>
    <cellStyle name="Normal 2 5 15 2 6" xfId="18232" xr:uid="{00000000-0005-0000-0000-000026470000}"/>
    <cellStyle name="Normal 2 5 15 2 7" xfId="18233" xr:uid="{00000000-0005-0000-0000-000027470000}"/>
    <cellStyle name="Normal 2 5 15 3" xfId="18234" xr:uid="{00000000-0005-0000-0000-000028470000}"/>
    <cellStyle name="Normal 2 5 15 4" xfId="18235" xr:uid="{00000000-0005-0000-0000-000029470000}"/>
    <cellStyle name="Normal 2 5 15 5" xfId="18236" xr:uid="{00000000-0005-0000-0000-00002A470000}"/>
    <cellStyle name="Normal 2 5 15 6" xfId="18237" xr:uid="{00000000-0005-0000-0000-00002B470000}"/>
    <cellStyle name="Normal 2 5 15 7" xfId="18238" xr:uid="{00000000-0005-0000-0000-00002C470000}"/>
    <cellStyle name="Normal 2 5 15 8" xfId="18239" xr:uid="{00000000-0005-0000-0000-00002D470000}"/>
    <cellStyle name="Normal 2 5 16" xfId="18240" xr:uid="{00000000-0005-0000-0000-00002E470000}"/>
    <cellStyle name="Normal 2 5 16 2" xfId="18241" xr:uid="{00000000-0005-0000-0000-00002F470000}"/>
    <cellStyle name="Normal 2 5 16 3" xfId="18242" xr:uid="{00000000-0005-0000-0000-000030470000}"/>
    <cellStyle name="Normal 2 5 16 4" xfId="18243" xr:uid="{00000000-0005-0000-0000-000031470000}"/>
    <cellStyle name="Normal 2 5 16 5" xfId="18244" xr:uid="{00000000-0005-0000-0000-000032470000}"/>
    <cellStyle name="Normal 2 5 16 6" xfId="18245" xr:uid="{00000000-0005-0000-0000-000033470000}"/>
    <cellStyle name="Normal 2 5 16 7" xfId="18246" xr:uid="{00000000-0005-0000-0000-000034470000}"/>
    <cellStyle name="Normal 2 5 17" xfId="18247" xr:uid="{00000000-0005-0000-0000-000035470000}"/>
    <cellStyle name="Normal 2 5 17 2" xfId="18248" xr:uid="{00000000-0005-0000-0000-000036470000}"/>
    <cellStyle name="Normal 2 5 17 3" xfId="18249" xr:uid="{00000000-0005-0000-0000-000037470000}"/>
    <cellStyle name="Normal 2 5 17 4" xfId="18250" xr:uid="{00000000-0005-0000-0000-000038470000}"/>
    <cellStyle name="Normal 2 5 17 5" xfId="18251" xr:uid="{00000000-0005-0000-0000-000039470000}"/>
    <cellStyle name="Normal 2 5 17 6" xfId="18252" xr:uid="{00000000-0005-0000-0000-00003A470000}"/>
    <cellStyle name="Normal 2 5 17 7" xfId="18253" xr:uid="{00000000-0005-0000-0000-00003B470000}"/>
    <cellStyle name="Normal 2 5 18" xfId="18254" xr:uid="{00000000-0005-0000-0000-00003C470000}"/>
    <cellStyle name="Normal 2 5 18 2" xfId="18255" xr:uid="{00000000-0005-0000-0000-00003D470000}"/>
    <cellStyle name="Normal 2 5 18 3" xfId="18256" xr:uid="{00000000-0005-0000-0000-00003E470000}"/>
    <cellStyle name="Normal 2 5 18 4" xfId="18257" xr:uid="{00000000-0005-0000-0000-00003F470000}"/>
    <cellStyle name="Normal 2 5 18 5" xfId="18258" xr:uid="{00000000-0005-0000-0000-000040470000}"/>
    <cellStyle name="Normal 2 5 18 6" xfId="18259" xr:uid="{00000000-0005-0000-0000-000041470000}"/>
    <cellStyle name="Normal 2 5 18 7" xfId="18260" xr:uid="{00000000-0005-0000-0000-000042470000}"/>
    <cellStyle name="Normal 2 5 19" xfId="18261" xr:uid="{00000000-0005-0000-0000-000043470000}"/>
    <cellStyle name="Normal 2 5 19 2" xfId="18262" xr:uid="{00000000-0005-0000-0000-000044470000}"/>
    <cellStyle name="Normal 2 5 19 3" xfId="18263" xr:uid="{00000000-0005-0000-0000-000045470000}"/>
    <cellStyle name="Normal 2 5 19 4" xfId="18264" xr:uid="{00000000-0005-0000-0000-000046470000}"/>
    <cellStyle name="Normal 2 5 19 5" xfId="18265" xr:uid="{00000000-0005-0000-0000-000047470000}"/>
    <cellStyle name="Normal 2 5 19 6" xfId="18266" xr:uid="{00000000-0005-0000-0000-000048470000}"/>
    <cellStyle name="Normal 2 5 19 7" xfId="18267" xr:uid="{00000000-0005-0000-0000-000049470000}"/>
    <cellStyle name="Normal 2 5 2" xfId="18268" xr:uid="{00000000-0005-0000-0000-00004A470000}"/>
    <cellStyle name="Normal 2 5 2 2" xfId="18269" xr:uid="{00000000-0005-0000-0000-00004B470000}"/>
    <cellStyle name="Normal 2 5 2 2 2" xfId="18270" xr:uid="{00000000-0005-0000-0000-00004C470000}"/>
    <cellStyle name="Normal 2 5 2 2 3" xfId="18271" xr:uid="{00000000-0005-0000-0000-00004D470000}"/>
    <cellStyle name="Normal 2 5 2 2 4" xfId="18272" xr:uid="{00000000-0005-0000-0000-00004E470000}"/>
    <cellStyle name="Normal 2 5 2 2 5" xfId="18273" xr:uid="{00000000-0005-0000-0000-00004F470000}"/>
    <cellStyle name="Normal 2 5 2 2 6" xfId="18274" xr:uid="{00000000-0005-0000-0000-000050470000}"/>
    <cellStyle name="Normal 2 5 2 2 7" xfId="18275" xr:uid="{00000000-0005-0000-0000-000051470000}"/>
    <cellStyle name="Normal 2 5 2 3" xfId="18276" xr:uid="{00000000-0005-0000-0000-000052470000}"/>
    <cellStyle name="Normal 2 5 2 4" xfId="18277" xr:uid="{00000000-0005-0000-0000-000053470000}"/>
    <cellStyle name="Normal 2 5 2 5" xfId="18278" xr:uid="{00000000-0005-0000-0000-000054470000}"/>
    <cellStyle name="Normal 2 5 2 6" xfId="18279" xr:uid="{00000000-0005-0000-0000-000055470000}"/>
    <cellStyle name="Normal 2 5 2 7" xfId="18280" xr:uid="{00000000-0005-0000-0000-000056470000}"/>
    <cellStyle name="Normal 2 5 2 8" xfId="18281" xr:uid="{00000000-0005-0000-0000-000057470000}"/>
    <cellStyle name="Normal 2 5 20" xfId="18282" xr:uid="{00000000-0005-0000-0000-000058470000}"/>
    <cellStyle name="Normal 2 5 20 2" xfId="18283" xr:uid="{00000000-0005-0000-0000-000059470000}"/>
    <cellStyle name="Normal 2 5 20 3" xfId="18284" xr:uid="{00000000-0005-0000-0000-00005A470000}"/>
    <cellStyle name="Normal 2 5 20 4" xfId="18285" xr:uid="{00000000-0005-0000-0000-00005B470000}"/>
    <cellStyle name="Normal 2 5 20 5" xfId="18286" xr:uid="{00000000-0005-0000-0000-00005C470000}"/>
    <cellStyle name="Normal 2 5 20 6" xfId="18287" xr:uid="{00000000-0005-0000-0000-00005D470000}"/>
    <cellStyle name="Normal 2 5 20 7" xfId="18288" xr:uid="{00000000-0005-0000-0000-00005E470000}"/>
    <cellStyle name="Normal 2 5 21" xfId="18289" xr:uid="{00000000-0005-0000-0000-00005F470000}"/>
    <cellStyle name="Normal 2 5 21 2" xfId="18290" xr:uid="{00000000-0005-0000-0000-000060470000}"/>
    <cellStyle name="Normal 2 5 21 3" xfId="18291" xr:uid="{00000000-0005-0000-0000-000061470000}"/>
    <cellStyle name="Normal 2 5 21 4" xfId="18292" xr:uid="{00000000-0005-0000-0000-000062470000}"/>
    <cellStyle name="Normal 2 5 21 5" xfId="18293" xr:uid="{00000000-0005-0000-0000-000063470000}"/>
    <cellStyle name="Normal 2 5 21 6" xfId="18294" xr:uid="{00000000-0005-0000-0000-000064470000}"/>
    <cellStyle name="Normal 2 5 21 7" xfId="18295" xr:uid="{00000000-0005-0000-0000-000065470000}"/>
    <cellStyle name="Normal 2 5 22" xfId="18296" xr:uid="{00000000-0005-0000-0000-000066470000}"/>
    <cellStyle name="Normal 2 5 22 2" xfId="18297" xr:uid="{00000000-0005-0000-0000-000067470000}"/>
    <cellStyle name="Normal 2 5 22 3" xfId="18298" xr:uid="{00000000-0005-0000-0000-000068470000}"/>
    <cellStyle name="Normal 2 5 22 4" xfId="18299" xr:uid="{00000000-0005-0000-0000-000069470000}"/>
    <cellStyle name="Normal 2 5 22 5" xfId="18300" xr:uid="{00000000-0005-0000-0000-00006A470000}"/>
    <cellStyle name="Normal 2 5 22 6" xfId="18301" xr:uid="{00000000-0005-0000-0000-00006B470000}"/>
    <cellStyle name="Normal 2 5 22 7" xfId="18302" xr:uid="{00000000-0005-0000-0000-00006C470000}"/>
    <cellStyle name="Normal 2 5 23" xfId="18303" xr:uid="{00000000-0005-0000-0000-00006D470000}"/>
    <cellStyle name="Normal 2 5 23 2" xfId="18304" xr:uid="{00000000-0005-0000-0000-00006E470000}"/>
    <cellStyle name="Normal 2 5 23 3" xfId="18305" xr:uid="{00000000-0005-0000-0000-00006F470000}"/>
    <cellStyle name="Normal 2 5 23 4" xfId="18306" xr:uid="{00000000-0005-0000-0000-000070470000}"/>
    <cellStyle name="Normal 2 5 23 5" xfId="18307" xr:uid="{00000000-0005-0000-0000-000071470000}"/>
    <cellStyle name="Normal 2 5 23 6" xfId="18308" xr:uid="{00000000-0005-0000-0000-000072470000}"/>
    <cellStyle name="Normal 2 5 23 7" xfId="18309" xr:uid="{00000000-0005-0000-0000-000073470000}"/>
    <cellStyle name="Normal 2 5 24" xfId="18310" xr:uid="{00000000-0005-0000-0000-000074470000}"/>
    <cellStyle name="Normal 2 5 24 2" xfId="18311" xr:uid="{00000000-0005-0000-0000-000075470000}"/>
    <cellStyle name="Normal 2 5 24 3" xfId="18312" xr:uid="{00000000-0005-0000-0000-000076470000}"/>
    <cellStyle name="Normal 2 5 24 4" xfId="18313" xr:uid="{00000000-0005-0000-0000-000077470000}"/>
    <cellStyle name="Normal 2 5 24 5" xfId="18314" xr:uid="{00000000-0005-0000-0000-000078470000}"/>
    <cellStyle name="Normal 2 5 24 6" xfId="18315" xr:uid="{00000000-0005-0000-0000-000079470000}"/>
    <cellStyle name="Normal 2 5 24 7" xfId="18316" xr:uid="{00000000-0005-0000-0000-00007A470000}"/>
    <cellStyle name="Normal 2 5 25" xfId="18317" xr:uid="{00000000-0005-0000-0000-00007B470000}"/>
    <cellStyle name="Normal 2 5 25 2" xfId="18318" xr:uid="{00000000-0005-0000-0000-00007C470000}"/>
    <cellStyle name="Normal 2 5 25 3" xfId="18319" xr:uid="{00000000-0005-0000-0000-00007D470000}"/>
    <cellStyle name="Normal 2 5 25 4" xfId="18320" xr:uid="{00000000-0005-0000-0000-00007E470000}"/>
    <cellStyle name="Normal 2 5 25 5" xfId="18321" xr:uid="{00000000-0005-0000-0000-00007F470000}"/>
    <cellStyle name="Normal 2 5 25 6" xfId="18322" xr:uid="{00000000-0005-0000-0000-000080470000}"/>
    <cellStyle name="Normal 2 5 25 7" xfId="18323" xr:uid="{00000000-0005-0000-0000-000081470000}"/>
    <cellStyle name="Normal 2 5 26" xfId="18324" xr:uid="{00000000-0005-0000-0000-000082470000}"/>
    <cellStyle name="Normal 2 5 26 2" xfId="18325" xr:uid="{00000000-0005-0000-0000-000083470000}"/>
    <cellStyle name="Normal 2 5 26 3" xfId="18326" xr:uid="{00000000-0005-0000-0000-000084470000}"/>
    <cellStyle name="Normal 2 5 26 4" xfId="18327" xr:uid="{00000000-0005-0000-0000-000085470000}"/>
    <cellStyle name="Normal 2 5 26 5" xfId="18328" xr:uid="{00000000-0005-0000-0000-000086470000}"/>
    <cellStyle name="Normal 2 5 26 6" xfId="18329" xr:uid="{00000000-0005-0000-0000-000087470000}"/>
    <cellStyle name="Normal 2 5 26 7" xfId="18330" xr:uid="{00000000-0005-0000-0000-000088470000}"/>
    <cellStyle name="Normal 2 5 27" xfId="18331" xr:uid="{00000000-0005-0000-0000-000089470000}"/>
    <cellStyle name="Normal 2 5 27 2" xfId="18332" xr:uid="{00000000-0005-0000-0000-00008A470000}"/>
    <cellStyle name="Normal 2 5 27 3" xfId="18333" xr:uid="{00000000-0005-0000-0000-00008B470000}"/>
    <cellStyle name="Normal 2 5 27 4" xfId="18334" xr:uid="{00000000-0005-0000-0000-00008C470000}"/>
    <cellStyle name="Normal 2 5 27 5" xfId="18335" xr:uid="{00000000-0005-0000-0000-00008D470000}"/>
    <cellStyle name="Normal 2 5 27 6" xfId="18336" xr:uid="{00000000-0005-0000-0000-00008E470000}"/>
    <cellStyle name="Normal 2 5 27 7" xfId="18337" xr:uid="{00000000-0005-0000-0000-00008F470000}"/>
    <cellStyle name="Normal 2 5 28" xfId="18338" xr:uid="{00000000-0005-0000-0000-000090470000}"/>
    <cellStyle name="Normal 2 5 28 2" xfId="18339" xr:uid="{00000000-0005-0000-0000-000091470000}"/>
    <cellStyle name="Normal 2 5 28 3" xfId="18340" xr:uid="{00000000-0005-0000-0000-000092470000}"/>
    <cellStyle name="Normal 2 5 28 4" xfId="18341" xr:uid="{00000000-0005-0000-0000-000093470000}"/>
    <cellStyle name="Normal 2 5 28 5" xfId="18342" xr:uid="{00000000-0005-0000-0000-000094470000}"/>
    <cellStyle name="Normal 2 5 28 6" xfId="18343" xr:uid="{00000000-0005-0000-0000-000095470000}"/>
    <cellStyle name="Normal 2 5 28 7" xfId="18344" xr:uid="{00000000-0005-0000-0000-000096470000}"/>
    <cellStyle name="Normal 2 5 29" xfId="18345" xr:uid="{00000000-0005-0000-0000-000097470000}"/>
    <cellStyle name="Normal 2 5 29 2" xfId="18346" xr:uid="{00000000-0005-0000-0000-000098470000}"/>
    <cellStyle name="Normal 2 5 29 3" xfId="18347" xr:uid="{00000000-0005-0000-0000-000099470000}"/>
    <cellStyle name="Normal 2 5 29 4" xfId="18348" xr:uid="{00000000-0005-0000-0000-00009A470000}"/>
    <cellStyle name="Normal 2 5 29 5" xfId="18349" xr:uid="{00000000-0005-0000-0000-00009B470000}"/>
    <cellStyle name="Normal 2 5 29 6" xfId="18350" xr:uid="{00000000-0005-0000-0000-00009C470000}"/>
    <cellStyle name="Normal 2 5 29 7" xfId="18351" xr:uid="{00000000-0005-0000-0000-00009D470000}"/>
    <cellStyle name="Normal 2 5 3" xfId="18352" xr:uid="{00000000-0005-0000-0000-00009E470000}"/>
    <cellStyle name="Normal 2 5 3 2" xfId="18353" xr:uid="{00000000-0005-0000-0000-00009F470000}"/>
    <cellStyle name="Normal 2 5 3 2 2" xfId="18354" xr:uid="{00000000-0005-0000-0000-0000A0470000}"/>
    <cellStyle name="Normal 2 5 3 2 3" xfId="18355" xr:uid="{00000000-0005-0000-0000-0000A1470000}"/>
    <cellStyle name="Normal 2 5 3 2 4" xfId="18356" xr:uid="{00000000-0005-0000-0000-0000A2470000}"/>
    <cellStyle name="Normal 2 5 3 2 5" xfId="18357" xr:uid="{00000000-0005-0000-0000-0000A3470000}"/>
    <cellStyle name="Normal 2 5 3 2 6" xfId="18358" xr:uid="{00000000-0005-0000-0000-0000A4470000}"/>
    <cellStyle name="Normal 2 5 3 2 7" xfId="18359" xr:uid="{00000000-0005-0000-0000-0000A5470000}"/>
    <cellStyle name="Normal 2 5 3 3" xfId="18360" xr:uid="{00000000-0005-0000-0000-0000A6470000}"/>
    <cellStyle name="Normal 2 5 3 4" xfId="18361" xr:uid="{00000000-0005-0000-0000-0000A7470000}"/>
    <cellStyle name="Normal 2 5 3 5" xfId="18362" xr:uid="{00000000-0005-0000-0000-0000A8470000}"/>
    <cellStyle name="Normal 2 5 3 6" xfId="18363" xr:uid="{00000000-0005-0000-0000-0000A9470000}"/>
    <cellStyle name="Normal 2 5 3 7" xfId="18364" xr:uid="{00000000-0005-0000-0000-0000AA470000}"/>
    <cellStyle name="Normal 2 5 3 8" xfId="18365" xr:uid="{00000000-0005-0000-0000-0000AB470000}"/>
    <cellStyle name="Normal 2 5 30" xfId="18366" xr:uid="{00000000-0005-0000-0000-0000AC470000}"/>
    <cellStyle name="Normal 2 5 30 2" xfId="18367" xr:uid="{00000000-0005-0000-0000-0000AD470000}"/>
    <cellStyle name="Normal 2 5 30 3" xfId="18368" xr:uid="{00000000-0005-0000-0000-0000AE470000}"/>
    <cellStyle name="Normal 2 5 30 4" xfId="18369" xr:uid="{00000000-0005-0000-0000-0000AF470000}"/>
    <cellStyle name="Normal 2 5 30 5" xfId="18370" xr:uid="{00000000-0005-0000-0000-0000B0470000}"/>
    <cellStyle name="Normal 2 5 30 6" xfId="18371" xr:uid="{00000000-0005-0000-0000-0000B1470000}"/>
    <cellStyle name="Normal 2 5 30 7" xfId="18372" xr:uid="{00000000-0005-0000-0000-0000B2470000}"/>
    <cellStyle name="Normal 2 5 31" xfId="18373" xr:uid="{00000000-0005-0000-0000-0000B3470000}"/>
    <cellStyle name="Normal 2 5 31 2" xfId="18374" xr:uid="{00000000-0005-0000-0000-0000B4470000}"/>
    <cellStyle name="Normal 2 5 31 3" xfId="18375" xr:uid="{00000000-0005-0000-0000-0000B5470000}"/>
    <cellStyle name="Normal 2 5 31 4" xfId="18376" xr:uid="{00000000-0005-0000-0000-0000B6470000}"/>
    <cellStyle name="Normal 2 5 31 5" xfId="18377" xr:uid="{00000000-0005-0000-0000-0000B7470000}"/>
    <cellStyle name="Normal 2 5 31 6" xfId="18378" xr:uid="{00000000-0005-0000-0000-0000B8470000}"/>
    <cellStyle name="Normal 2 5 31 7" xfId="18379" xr:uid="{00000000-0005-0000-0000-0000B9470000}"/>
    <cellStyle name="Normal 2 5 32" xfId="18380" xr:uid="{00000000-0005-0000-0000-0000BA470000}"/>
    <cellStyle name="Normal 2 5 32 2" xfId="18381" xr:uid="{00000000-0005-0000-0000-0000BB470000}"/>
    <cellStyle name="Normal 2 5 32 3" xfId="18382" xr:uid="{00000000-0005-0000-0000-0000BC470000}"/>
    <cellStyle name="Normal 2 5 32 4" xfId="18383" xr:uid="{00000000-0005-0000-0000-0000BD470000}"/>
    <cellStyle name="Normal 2 5 32 5" xfId="18384" xr:uid="{00000000-0005-0000-0000-0000BE470000}"/>
    <cellStyle name="Normal 2 5 32 6" xfId="18385" xr:uid="{00000000-0005-0000-0000-0000BF470000}"/>
    <cellStyle name="Normal 2 5 32 7" xfId="18386" xr:uid="{00000000-0005-0000-0000-0000C0470000}"/>
    <cellStyle name="Normal 2 5 33" xfId="18387" xr:uid="{00000000-0005-0000-0000-0000C1470000}"/>
    <cellStyle name="Normal 2 5 33 2" xfId="18388" xr:uid="{00000000-0005-0000-0000-0000C2470000}"/>
    <cellStyle name="Normal 2 5 33 3" xfId="18389" xr:uid="{00000000-0005-0000-0000-0000C3470000}"/>
    <cellStyle name="Normal 2 5 33 4" xfId="18390" xr:uid="{00000000-0005-0000-0000-0000C4470000}"/>
    <cellStyle name="Normal 2 5 33 5" xfId="18391" xr:uid="{00000000-0005-0000-0000-0000C5470000}"/>
    <cellStyle name="Normal 2 5 33 6" xfId="18392" xr:uid="{00000000-0005-0000-0000-0000C6470000}"/>
    <cellStyle name="Normal 2 5 33 7" xfId="18393" xr:uid="{00000000-0005-0000-0000-0000C7470000}"/>
    <cellStyle name="Normal 2 5 34" xfId="18394" xr:uid="{00000000-0005-0000-0000-0000C8470000}"/>
    <cellStyle name="Normal 2 5 34 2" xfId="18395" xr:uid="{00000000-0005-0000-0000-0000C9470000}"/>
    <cellStyle name="Normal 2 5 34 3" xfId="18396" xr:uid="{00000000-0005-0000-0000-0000CA470000}"/>
    <cellStyle name="Normal 2 5 34 4" xfId="18397" xr:uid="{00000000-0005-0000-0000-0000CB470000}"/>
    <cellStyle name="Normal 2 5 34 5" xfId="18398" xr:uid="{00000000-0005-0000-0000-0000CC470000}"/>
    <cellStyle name="Normal 2 5 34 6" xfId="18399" xr:uid="{00000000-0005-0000-0000-0000CD470000}"/>
    <cellStyle name="Normal 2 5 34 7" xfId="18400" xr:uid="{00000000-0005-0000-0000-0000CE470000}"/>
    <cellStyle name="Normal 2 5 35" xfId="18401" xr:uid="{00000000-0005-0000-0000-0000CF470000}"/>
    <cellStyle name="Normal 2 5 35 2" xfId="18402" xr:uid="{00000000-0005-0000-0000-0000D0470000}"/>
    <cellStyle name="Normal 2 5 35 3" xfId="18403" xr:uid="{00000000-0005-0000-0000-0000D1470000}"/>
    <cellStyle name="Normal 2 5 35 4" xfId="18404" xr:uid="{00000000-0005-0000-0000-0000D2470000}"/>
    <cellStyle name="Normal 2 5 35 5" xfId="18405" xr:uid="{00000000-0005-0000-0000-0000D3470000}"/>
    <cellStyle name="Normal 2 5 35 6" xfId="18406" xr:uid="{00000000-0005-0000-0000-0000D4470000}"/>
    <cellStyle name="Normal 2 5 35 7" xfId="18407" xr:uid="{00000000-0005-0000-0000-0000D5470000}"/>
    <cellStyle name="Normal 2 5 36" xfId="18408" xr:uid="{00000000-0005-0000-0000-0000D6470000}"/>
    <cellStyle name="Normal 2 5 37" xfId="18409" xr:uid="{00000000-0005-0000-0000-0000D7470000}"/>
    <cellStyle name="Normal 2 5 38" xfId="18410" xr:uid="{00000000-0005-0000-0000-0000D8470000}"/>
    <cellStyle name="Normal 2 5 39" xfId="18411" xr:uid="{00000000-0005-0000-0000-0000D9470000}"/>
    <cellStyle name="Normal 2 5 4" xfId="18412" xr:uid="{00000000-0005-0000-0000-0000DA470000}"/>
    <cellStyle name="Normal 2 5 4 2" xfId="18413" xr:uid="{00000000-0005-0000-0000-0000DB470000}"/>
    <cellStyle name="Normal 2 5 4 2 2" xfId="18414" xr:uid="{00000000-0005-0000-0000-0000DC470000}"/>
    <cellStyle name="Normal 2 5 4 2 3" xfId="18415" xr:uid="{00000000-0005-0000-0000-0000DD470000}"/>
    <cellStyle name="Normal 2 5 4 2 4" xfId="18416" xr:uid="{00000000-0005-0000-0000-0000DE470000}"/>
    <cellStyle name="Normal 2 5 4 2 5" xfId="18417" xr:uid="{00000000-0005-0000-0000-0000DF470000}"/>
    <cellStyle name="Normal 2 5 4 2 6" xfId="18418" xr:uid="{00000000-0005-0000-0000-0000E0470000}"/>
    <cellStyle name="Normal 2 5 4 2 7" xfId="18419" xr:uid="{00000000-0005-0000-0000-0000E1470000}"/>
    <cellStyle name="Normal 2 5 4 3" xfId="18420" xr:uid="{00000000-0005-0000-0000-0000E2470000}"/>
    <cellStyle name="Normal 2 5 4 4" xfId="18421" xr:uid="{00000000-0005-0000-0000-0000E3470000}"/>
    <cellStyle name="Normal 2 5 4 5" xfId="18422" xr:uid="{00000000-0005-0000-0000-0000E4470000}"/>
    <cellStyle name="Normal 2 5 4 6" xfId="18423" xr:uid="{00000000-0005-0000-0000-0000E5470000}"/>
    <cellStyle name="Normal 2 5 4 7" xfId="18424" xr:uid="{00000000-0005-0000-0000-0000E6470000}"/>
    <cellStyle name="Normal 2 5 4 8" xfId="18425" xr:uid="{00000000-0005-0000-0000-0000E7470000}"/>
    <cellStyle name="Normal 2 5 40" xfId="18426" xr:uid="{00000000-0005-0000-0000-0000E8470000}"/>
    <cellStyle name="Normal 2 5 41" xfId="18427" xr:uid="{00000000-0005-0000-0000-0000E9470000}"/>
    <cellStyle name="Normal 2 5 42" xfId="18428" xr:uid="{00000000-0005-0000-0000-0000EA470000}"/>
    <cellStyle name="Normal 2 5 43" xfId="18429" xr:uid="{00000000-0005-0000-0000-0000EB470000}"/>
    <cellStyle name="Normal 2 5 44" xfId="18430" xr:uid="{00000000-0005-0000-0000-0000EC470000}"/>
    <cellStyle name="Normal 2 5 5" xfId="18431" xr:uid="{00000000-0005-0000-0000-0000ED470000}"/>
    <cellStyle name="Normal 2 5 5 2" xfId="18432" xr:uid="{00000000-0005-0000-0000-0000EE470000}"/>
    <cellStyle name="Normal 2 5 5 2 2" xfId="18433" xr:uid="{00000000-0005-0000-0000-0000EF470000}"/>
    <cellStyle name="Normal 2 5 5 2 3" xfId="18434" xr:uid="{00000000-0005-0000-0000-0000F0470000}"/>
    <cellStyle name="Normal 2 5 5 2 4" xfId="18435" xr:uid="{00000000-0005-0000-0000-0000F1470000}"/>
    <cellStyle name="Normal 2 5 5 2 5" xfId="18436" xr:uid="{00000000-0005-0000-0000-0000F2470000}"/>
    <cellStyle name="Normal 2 5 5 2 6" xfId="18437" xr:uid="{00000000-0005-0000-0000-0000F3470000}"/>
    <cellStyle name="Normal 2 5 5 2 7" xfId="18438" xr:uid="{00000000-0005-0000-0000-0000F4470000}"/>
    <cellStyle name="Normal 2 5 5 3" xfId="18439" xr:uid="{00000000-0005-0000-0000-0000F5470000}"/>
    <cellStyle name="Normal 2 5 5 4" xfId="18440" xr:uid="{00000000-0005-0000-0000-0000F6470000}"/>
    <cellStyle name="Normal 2 5 5 5" xfId="18441" xr:uid="{00000000-0005-0000-0000-0000F7470000}"/>
    <cellStyle name="Normal 2 5 5 6" xfId="18442" xr:uid="{00000000-0005-0000-0000-0000F8470000}"/>
    <cellStyle name="Normal 2 5 5 7" xfId="18443" xr:uid="{00000000-0005-0000-0000-0000F9470000}"/>
    <cellStyle name="Normal 2 5 5 8" xfId="18444" xr:uid="{00000000-0005-0000-0000-0000FA470000}"/>
    <cellStyle name="Normal 2 5 6" xfId="18445" xr:uid="{00000000-0005-0000-0000-0000FB470000}"/>
    <cellStyle name="Normal 2 5 6 2" xfId="18446" xr:uid="{00000000-0005-0000-0000-0000FC470000}"/>
    <cellStyle name="Normal 2 5 6 2 2" xfId="18447" xr:uid="{00000000-0005-0000-0000-0000FD470000}"/>
    <cellStyle name="Normal 2 5 6 2 3" xfId="18448" xr:uid="{00000000-0005-0000-0000-0000FE470000}"/>
    <cellStyle name="Normal 2 5 6 2 4" xfId="18449" xr:uid="{00000000-0005-0000-0000-0000FF470000}"/>
    <cellStyle name="Normal 2 5 6 2 5" xfId="18450" xr:uid="{00000000-0005-0000-0000-000000480000}"/>
    <cellStyle name="Normal 2 5 6 2 6" xfId="18451" xr:uid="{00000000-0005-0000-0000-000001480000}"/>
    <cellStyle name="Normal 2 5 6 2 7" xfId="18452" xr:uid="{00000000-0005-0000-0000-000002480000}"/>
    <cellStyle name="Normal 2 5 6 3" xfId="18453" xr:uid="{00000000-0005-0000-0000-000003480000}"/>
    <cellStyle name="Normal 2 5 6 4" xfId="18454" xr:uid="{00000000-0005-0000-0000-000004480000}"/>
    <cellStyle name="Normal 2 5 6 5" xfId="18455" xr:uid="{00000000-0005-0000-0000-000005480000}"/>
    <cellStyle name="Normal 2 5 6 6" xfId="18456" xr:uid="{00000000-0005-0000-0000-000006480000}"/>
    <cellStyle name="Normal 2 5 6 7" xfId="18457" xr:uid="{00000000-0005-0000-0000-000007480000}"/>
    <cellStyle name="Normal 2 5 6 8" xfId="18458" xr:uid="{00000000-0005-0000-0000-000008480000}"/>
    <cellStyle name="Normal 2 5 7" xfId="18459" xr:uid="{00000000-0005-0000-0000-000009480000}"/>
    <cellStyle name="Normal 2 5 7 2" xfId="18460" xr:uid="{00000000-0005-0000-0000-00000A480000}"/>
    <cellStyle name="Normal 2 5 7 2 2" xfId="18461" xr:uid="{00000000-0005-0000-0000-00000B480000}"/>
    <cellStyle name="Normal 2 5 7 2 3" xfId="18462" xr:uid="{00000000-0005-0000-0000-00000C480000}"/>
    <cellStyle name="Normal 2 5 7 2 4" xfId="18463" xr:uid="{00000000-0005-0000-0000-00000D480000}"/>
    <cellStyle name="Normal 2 5 7 2 5" xfId="18464" xr:uid="{00000000-0005-0000-0000-00000E480000}"/>
    <cellStyle name="Normal 2 5 7 2 6" xfId="18465" xr:uid="{00000000-0005-0000-0000-00000F480000}"/>
    <cellStyle name="Normal 2 5 7 2 7" xfId="18466" xr:uid="{00000000-0005-0000-0000-000010480000}"/>
    <cellStyle name="Normal 2 5 7 3" xfId="18467" xr:uid="{00000000-0005-0000-0000-000011480000}"/>
    <cellStyle name="Normal 2 5 7 4" xfId="18468" xr:uid="{00000000-0005-0000-0000-000012480000}"/>
    <cellStyle name="Normal 2 5 7 5" xfId="18469" xr:uid="{00000000-0005-0000-0000-000013480000}"/>
    <cellStyle name="Normal 2 5 7 6" xfId="18470" xr:uid="{00000000-0005-0000-0000-000014480000}"/>
    <cellStyle name="Normal 2 5 7 7" xfId="18471" xr:uid="{00000000-0005-0000-0000-000015480000}"/>
    <cellStyle name="Normal 2 5 7 8" xfId="18472" xr:uid="{00000000-0005-0000-0000-000016480000}"/>
    <cellStyle name="Normal 2 5 8" xfId="18473" xr:uid="{00000000-0005-0000-0000-000017480000}"/>
    <cellStyle name="Normal 2 5 8 2" xfId="18474" xr:uid="{00000000-0005-0000-0000-000018480000}"/>
    <cellStyle name="Normal 2 5 8 2 2" xfId="18475" xr:uid="{00000000-0005-0000-0000-000019480000}"/>
    <cellStyle name="Normal 2 5 8 2 3" xfId="18476" xr:uid="{00000000-0005-0000-0000-00001A480000}"/>
    <cellStyle name="Normal 2 5 8 2 4" xfId="18477" xr:uid="{00000000-0005-0000-0000-00001B480000}"/>
    <cellStyle name="Normal 2 5 8 2 5" xfId="18478" xr:uid="{00000000-0005-0000-0000-00001C480000}"/>
    <cellStyle name="Normal 2 5 8 2 6" xfId="18479" xr:uid="{00000000-0005-0000-0000-00001D480000}"/>
    <cellStyle name="Normal 2 5 8 2 7" xfId="18480" xr:uid="{00000000-0005-0000-0000-00001E480000}"/>
    <cellStyle name="Normal 2 5 8 3" xfId="18481" xr:uid="{00000000-0005-0000-0000-00001F480000}"/>
    <cellStyle name="Normal 2 5 8 4" xfId="18482" xr:uid="{00000000-0005-0000-0000-000020480000}"/>
    <cellStyle name="Normal 2 5 8 5" xfId="18483" xr:uid="{00000000-0005-0000-0000-000021480000}"/>
    <cellStyle name="Normal 2 5 8 6" xfId="18484" xr:uid="{00000000-0005-0000-0000-000022480000}"/>
    <cellStyle name="Normal 2 5 8 7" xfId="18485" xr:uid="{00000000-0005-0000-0000-000023480000}"/>
    <cellStyle name="Normal 2 5 8 8" xfId="18486" xr:uid="{00000000-0005-0000-0000-000024480000}"/>
    <cellStyle name="Normal 2 5 9" xfId="18487" xr:uid="{00000000-0005-0000-0000-000025480000}"/>
    <cellStyle name="Normal 2 5 9 2" xfId="18488" xr:uid="{00000000-0005-0000-0000-000026480000}"/>
    <cellStyle name="Normal 2 5 9 2 2" xfId="18489" xr:uid="{00000000-0005-0000-0000-000027480000}"/>
    <cellStyle name="Normal 2 5 9 2 3" xfId="18490" xr:uid="{00000000-0005-0000-0000-000028480000}"/>
    <cellStyle name="Normal 2 5 9 2 4" xfId="18491" xr:uid="{00000000-0005-0000-0000-000029480000}"/>
    <cellStyle name="Normal 2 5 9 2 5" xfId="18492" xr:uid="{00000000-0005-0000-0000-00002A480000}"/>
    <cellStyle name="Normal 2 5 9 2 6" xfId="18493" xr:uid="{00000000-0005-0000-0000-00002B480000}"/>
    <cellStyle name="Normal 2 5 9 2 7" xfId="18494" xr:uid="{00000000-0005-0000-0000-00002C480000}"/>
    <cellStyle name="Normal 2 5 9 3" xfId="18495" xr:uid="{00000000-0005-0000-0000-00002D480000}"/>
    <cellStyle name="Normal 2 5 9 4" xfId="18496" xr:uid="{00000000-0005-0000-0000-00002E480000}"/>
    <cellStyle name="Normal 2 5 9 5" xfId="18497" xr:uid="{00000000-0005-0000-0000-00002F480000}"/>
    <cellStyle name="Normal 2 5 9 6" xfId="18498" xr:uid="{00000000-0005-0000-0000-000030480000}"/>
    <cellStyle name="Normal 2 5 9 7" xfId="18499" xr:uid="{00000000-0005-0000-0000-000031480000}"/>
    <cellStyle name="Normal 2 5 9 8" xfId="18500" xr:uid="{00000000-0005-0000-0000-000032480000}"/>
    <cellStyle name="Normal 2 50" xfId="6162" xr:uid="{00000000-0005-0000-0000-000033480000}"/>
    <cellStyle name="Normal 2 50 2" xfId="6163" xr:uid="{00000000-0005-0000-0000-000034480000}"/>
    <cellStyle name="Normal 2 50 2 2" xfId="36511" xr:uid="{00000000-0005-0000-0000-000035480000}"/>
    <cellStyle name="Normal 2 50 3" xfId="6164" xr:uid="{00000000-0005-0000-0000-000036480000}"/>
    <cellStyle name="Normal 2 50 3 2" xfId="36512" xr:uid="{00000000-0005-0000-0000-000037480000}"/>
    <cellStyle name="Normal 2 50 4" xfId="6165" xr:uid="{00000000-0005-0000-0000-000038480000}"/>
    <cellStyle name="Normal 2 50 4 2" xfId="36513" xr:uid="{00000000-0005-0000-0000-000039480000}"/>
    <cellStyle name="Normal 2 50 5" xfId="36514" xr:uid="{00000000-0005-0000-0000-00003A480000}"/>
    <cellStyle name="Normal 2 50_01-04-2012" xfId="6166" xr:uid="{00000000-0005-0000-0000-00003B480000}"/>
    <cellStyle name="Normal 2 51" xfId="6167" xr:uid="{00000000-0005-0000-0000-00003C480000}"/>
    <cellStyle name="Normal 2 51 2" xfId="6168" xr:uid="{00000000-0005-0000-0000-00003D480000}"/>
    <cellStyle name="Normal 2 51 2 2" xfId="36515" xr:uid="{00000000-0005-0000-0000-00003E480000}"/>
    <cellStyle name="Normal 2 51 3" xfId="6169" xr:uid="{00000000-0005-0000-0000-00003F480000}"/>
    <cellStyle name="Normal 2 51 3 2" xfId="36516" xr:uid="{00000000-0005-0000-0000-000040480000}"/>
    <cellStyle name="Normal 2 51 4" xfId="6170" xr:uid="{00000000-0005-0000-0000-000041480000}"/>
    <cellStyle name="Normal 2 51 4 2" xfId="36517" xr:uid="{00000000-0005-0000-0000-000042480000}"/>
    <cellStyle name="Normal 2 51 5" xfId="36518" xr:uid="{00000000-0005-0000-0000-000043480000}"/>
    <cellStyle name="Normal 2 51_01-04-2012" xfId="6171" xr:uid="{00000000-0005-0000-0000-000044480000}"/>
    <cellStyle name="Normal 2 52" xfId="6172" xr:uid="{00000000-0005-0000-0000-000045480000}"/>
    <cellStyle name="Normal 2 52 2" xfId="6173" xr:uid="{00000000-0005-0000-0000-000046480000}"/>
    <cellStyle name="Normal 2 52 2 2" xfId="36519" xr:uid="{00000000-0005-0000-0000-000047480000}"/>
    <cellStyle name="Normal 2 52 3" xfId="6174" xr:uid="{00000000-0005-0000-0000-000048480000}"/>
    <cellStyle name="Normal 2 52 3 2" xfId="36520" xr:uid="{00000000-0005-0000-0000-000049480000}"/>
    <cellStyle name="Normal 2 52 4" xfId="6175" xr:uid="{00000000-0005-0000-0000-00004A480000}"/>
    <cellStyle name="Normal 2 52 4 2" xfId="36521" xr:uid="{00000000-0005-0000-0000-00004B480000}"/>
    <cellStyle name="Normal 2 52 5" xfId="36522" xr:uid="{00000000-0005-0000-0000-00004C480000}"/>
    <cellStyle name="Normal 2 52_01-04-2012" xfId="6176" xr:uid="{00000000-0005-0000-0000-00004D480000}"/>
    <cellStyle name="Normal 2 53" xfId="6177" xr:uid="{00000000-0005-0000-0000-00004E480000}"/>
    <cellStyle name="Normal 2 53 2" xfId="6178" xr:uid="{00000000-0005-0000-0000-00004F480000}"/>
    <cellStyle name="Normal 2 53 2 2" xfId="36523" xr:uid="{00000000-0005-0000-0000-000050480000}"/>
    <cellStyle name="Normal 2 53 3" xfId="6179" xr:uid="{00000000-0005-0000-0000-000051480000}"/>
    <cellStyle name="Normal 2 53 3 2" xfId="36524" xr:uid="{00000000-0005-0000-0000-000052480000}"/>
    <cellStyle name="Normal 2 53 4" xfId="6180" xr:uid="{00000000-0005-0000-0000-000053480000}"/>
    <cellStyle name="Normal 2 53 4 2" xfId="36525" xr:uid="{00000000-0005-0000-0000-000054480000}"/>
    <cellStyle name="Normal 2 53 5" xfId="36526" xr:uid="{00000000-0005-0000-0000-000055480000}"/>
    <cellStyle name="Normal 2 53_01-04-2012" xfId="6181" xr:uid="{00000000-0005-0000-0000-000056480000}"/>
    <cellStyle name="Normal 2 54" xfId="6182" xr:uid="{00000000-0005-0000-0000-000057480000}"/>
    <cellStyle name="Normal 2 54 2" xfId="6183" xr:uid="{00000000-0005-0000-0000-000058480000}"/>
    <cellStyle name="Normal 2 54 2 2" xfId="36527" xr:uid="{00000000-0005-0000-0000-000059480000}"/>
    <cellStyle name="Normal 2 54 3" xfId="6184" xr:uid="{00000000-0005-0000-0000-00005A480000}"/>
    <cellStyle name="Normal 2 54 3 2" xfId="36528" xr:uid="{00000000-0005-0000-0000-00005B480000}"/>
    <cellStyle name="Normal 2 54 4" xfId="6185" xr:uid="{00000000-0005-0000-0000-00005C480000}"/>
    <cellStyle name="Normal 2 54 4 2" xfId="36529" xr:uid="{00000000-0005-0000-0000-00005D480000}"/>
    <cellStyle name="Normal 2 54 5" xfId="36530" xr:uid="{00000000-0005-0000-0000-00005E480000}"/>
    <cellStyle name="Normal 2 54_01-04-2012" xfId="6186" xr:uid="{00000000-0005-0000-0000-00005F480000}"/>
    <cellStyle name="Normal 2 55" xfId="6187" xr:uid="{00000000-0005-0000-0000-000060480000}"/>
    <cellStyle name="Normal 2 55 2" xfId="6188" xr:uid="{00000000-0005-0000-0000-000061480000}"/>
    <cellStyle name="Normal 2 55 2 2" xfId="36531" xr:uid="{00000000-0005-0000-0000-000062480000}"/>
    <cellStyle name="Normal 2 55 3" xfId="6189" xr:uid="{00000000-0005-0000-0000-000063480000}"/>
    <cellStyle name="Normal 2 55 3 2" xfId="36532" xr:uid="{00000000-0005-0000-0000-000064480000}"/>
    <cellStyle name="Normal 2 55 4" xfId="6190" xr:uid="{00000000-0005-0000-0000-000065480000}"/>
    <cellStyle name="Normal 2 55 4 2" xfId="36533" xr:uid="{00000000-0005-0000-0000-000066480000}"/>
    <cellStyle name="Normal 2 55 5" xfId="36534" xr:uid="{00000000-0005-0000-0000-000067480000}"/>
    <cellStyle name="Normal 2 55_01-04-2012" xfId="6191" xr:uid="{00000000-0005-0000-0000-000068480000}"/>
    <cellStyle name="Normal 2 56" xfId="6192" xr:uid="{00000000-0005-0000-0000-000069480000}"/>
    <cellStyle name="Normal 2 56 2" xfId="6193" xr:uid="{00000000-0005-0000-0000-00006A480000}"/>
    <cellStyle name="Normal 2 56 2 2" xfId="36535" xr:uid="{00000000-0005-0000-0000-00006B480000}"/>
    <cellStyle name="Normal 2 56 3" xfId="6194" xr:uid="{00000000-0005-0000-0000-00006C480000}"/>
    <cellStyle name="Normal 2 56 3 2" xfId="36536" xr:uid="{00000000-0005-0000-0000-00006D480000}"/>
    <cellStyle name="Normal 2 56 4" xfId="6195" xr:uid="{00000000-0005-0000-0000-00006E480000}"/>
    <cellStyle name="Normal 2 56 4 2" xfId="36537" xr:uid="{00000000-0005-0000-0000-00006F480000}"/>
    <cellStyle name="Normal 2 56 5" xfId="36538" xr:uid="{00000000-0005-0000-0000-000070480000}"/>
    <cellStyle name="Normal 2 56_01-04-2012" xfId="6196" xr:uid="{00000000-0005-0000-0000-000071480000}"/>
    <cellStyle name="Normal 2 57" xfId="6197" xr:uid="{00000000-0005-0000-0000-000072480000}"/>
    <cellStyle name="Normal 2 58" xfId="6198" xr:uid="{00000000-0005-0000-0000-000073480000}"/>
    <cellStyle name="Normal 2 59" xfId="11611" xr:uid="{00000000-0005-0000-0000-000074480000}"/>
    <cellStyle name="Normal 2 6" xfId="6199" xr:uid="{00000000-0005-0000-0000-000075480000}"/>
    <cellStyle name="Normal 2 6 10" xfId="18501" xr:uid="{00000000-0005-0000-0000-000076480000}"/>
    <cellStyle name="Normal 2 6 10 2" xfId="18502" xr:uid="{00000000-0005-0000-0000-000077480000}"/>
    <cellStyle name="Normal 2 6 10 2 2" xfId="18503" xr:uid="{00000000-0005-0000-0000-000078480000}"/>
    <cellStyle name="Normal 2 6 10 2 3" xfId="18504" xr:uid="{00000000-0005-0000-0000-000079480000}"/>
    <cellStyle name="Normal 2 6 10 2 4" xfId="18505" xr:uid="{00000000-0005-0000-0000-00007A480000}"/>
    <cellStyle name="Normal 2 6 10 2 5" xfId="18506" xr:uid="{00000000-0005-0000-0000-00007B480000}"/>
    <cellStyle name="Normal 2 6 10 2 6" xfId="18507" xr:uid="{00000000-0005-0000-0000-00007C480000}"/>
    <cellStyle name="Normal 2 6 10 2 7" xfId="18508" xr:uid="{00000000-0005-0000-0000-00007D480000}"/>
    <cellStyle name="Normal 2 6 10 3" xfId="18509" xr:uid="{00000000-0005-0000-0000-00007E480000}"/>
    <cellStyle name="Normal 2 6 10 4" xfId="18510" xr:uid="{00000000-0005-0000-0000-00007F480000}"/>
    <cellStyle name="Normal 2 6 10 5" xfId="18511" xr:uid="{00000000-0005-0000-0000-000080480000}"/>
    <cellStyle name="Normal 2 6 10 6" xfId="18512" xr:uid="{00000000-0005-0000-0000-000081480000}"/>
    <cellStyle name="Normal 2 6 10 7" xfId="18513" xr:uid="{00000000-0005-0000-0000-000082480000}"/>
    <cellStyle name="Normal 2 6 10 8" xfId="18514" xr:uid="{00000000-0005-0000-0000-000083480000}"/>
    <cellStyle name="Normal 2 6 11" xfId="18515" xr:uid="{00000000-0005-0000-0000-000084480000}"/>
    <cellStyle name="Normal 2 6 11 2" xfId="18516" xr:uid="{00000000-0005-0000-0000-000085480000}"/>
    <cellStyle name="Normal 2 6 11 2 2" xfId="18517" xr:uid="{00000000-0005-0000-0000-000086480000}"/>
    <cellStyle name="Normal 2 6 11 2 3" xfId="18518" xr:uid="{00000000-0005-0000-0000-000087480000}"/>
    <cellStyle name="Normal 2 6 11 2 4" xfId="18519" xr:uid="{00000000-0005-0000-0000-000088480000}"/>
    <cellStyle name="Normal 2 6 11 2 5" xfId="18520" xr:uid="{00000000-0005-0000-0000-000089480000}"/>
    <cellStyle name="Normal 2 6 11 2 6" xfId="18521" xr:uid="{00000000-0005-0000-0000-00008A480000}"/>
    <cellStyle name="Normal 2 6 11 2 7" xfId="18522" xr:uid="{00000000-0005-0000-0000-00008B480000}"/>
    <cellStyle name="Normal 2 6 11 3" xfId="18523" xr:uid="{00000000-0005-0000-0000-00008C480000}"/>
    <cellStyle name="Normal 2 6 11 4" xfId="18524" xr:uid="{00000000-0005-0000-0000-00008D480000}"/>
    <cellStyle name="Normal 2 6 11 5" xfId="18525" xr:uid="{00000000-0005-0000-0000-00008E480000}"/>
    <cellStyle name="Normal 2 6 11 6" xfId="18526" xr:uid="{00000000-0005-0000-0000-00008F480000}"/>
    <cellStyle name="Normal 2 6 11 7" xfId="18527" xr:uid="{00000000-0005-0000-0000-000090480000}"/>
    <cellStyle name="Normal 2 6 11 8" xfId="18528" xr:uid="{00000000-0005-0000-0000-000091480000}"/>
    <cellStyle name="Normal 2 6 12" xfId="18529" xr:uid="{00000000-0005-0000-0000-000092480000}"/>
    <cellStyle name="Normal 2 6 12 2" xfId="18530" xr:uid="{00000000-0005-0000-0000-000093480000}"/>
    <cellStyle name="Normal 2 6 12 2 2" xfId="18531" xr:uid="{00000000-0005-0000-0000-000094480000}"/>
    <cellStyle name="Normal 2 6 12 2 3" xfId="18532" xr:uid="{00000000-0005-0000-0000-000095480000}"/>
    <cellStyle name="Normal 2 6 12 2 4" xfId="18533" xr:uid="{00000000-0005-0000-0000-000096480000}"/>
    <cellStyle name="Normal 2 6 12 2 5" xfId="18534" xr:uid="{00000000-0005-0000-0000-000097480000}"/>
    <cellStyle name="Normal 2 6 12 2 6" xfId="18535" xr:uid="{00000000-0005-0000-0000-000098480000}"/>
    <cellStyle name="Normal 2 6 12 2 7" xfId="18536" xr:uid="{00000000-0005-0000-0000-000099480000}"/>
    <cellStyle name="Normal 2 6 12 3" xfId="18537" xr:uid="{00000000-0005-0000-0000-00009A480000}"/>
    <cellStyle name="Normal 2 6 12 4" xfId="18538" xr:uid="{00000000-0005-0000-0000-00009B480000}"/>
    <cellStyle name="Normal 2 6 12 5" xfId="18539" xr:uid="{00000000-0005-0000-0000-00009C480000}"/>
    <cellStyle name="Normal 2 6 12 6" xfId="18540" xr:uid="{00000000-0005-0000-0000-00009D480000}"/>
    <cellStyle name="Normal 2 6 12 7" xfId="18541" xr:uid="{00000000-0005-0000-0000-00009E480000}"/>
    <cellStyle name="Normal 2 6 12 8" xfId="18542" xr:uid="{00000000-0005-0000-0000-00009F480000}"/>
    <cellStyle name="Normal 2 6 13" xfId="18543" xr:uid="{00000000-0005-0000-0000-0000A0480000}"/>
    <cellStyle name="Normal 2 6 13 2" xfId="18544" xr:uid="{00000000-0005-0000-0000-0000A1480000}"/>
    <cellStyle name="Normal 2 6 13 2 2" xfId="18545" xr:uid="{00000000-0005-0000-0000-0000A2480000}"/>
    <cellStyle name="Normal 2 6 13 2 3" xfId="18546" xr:uid="{00000000-0005-0000-0000-0000A3480000}"/>
    <cellStyle name="Normal 2 6 13 2 4" xfId="18547" xr:uid="{00000000-0005-0000-0000-0000A4480000}"/>
    <cellStyle name="Normal 2 6 13 2 5" xfId="18548" xr:uid="{00000000-0005-0000-0000-0000A5480000}"/>
    <cellStyle name="Normal 2 6 13 2 6" xfId="18549" xr:uid="{00000000-0005-0000-0000-0000A6480000}"/>
    <cellStyle name="Normal 2 6 13 2 7" xfId="18550" xr:uid="{00000000-0005-0000-0000-0000A7480000}"/>
    <cellStyle name="Normal 2 6 13 3" xfId="18551" xr:uid="{00000000-0005-0000-0000-0000A8480000}"/>
    <cellStyle name="Normal 2 6 13 4" xfId="18552" xr:uid="{00000000-0005-0000-0000-0000A9480000}"/>
    <cellStyle name="Normal 2 6 13 5" xfId="18553" xr:uid="{00000000-0005-0000-0000-0000AA480000}"/>
    <cellStyle name="Normal 2 6 13 6" xfId="18554" xr:uid="{00000000-0005-0000-0000-0000AB480000}"/>
    <cellStyle name="Normal 2 6 13 7" xfId="18555" xr:uid="{00000000-0005-0000-0000-0000AC480000}"/>
    <cellStyle name="Normal 2 6 13 8" xfId="18556" xr:uid="{00000000-0005-0000-0000-0000AD480000}"/>
    <cellStyle name="Normal 2 6 14" xfId="18557" xr:uid="{00000000-0005-0000-0000-0000AE480000}"/>
    <cellStyle name="Normal 2 6 14 2" xfId="18558" xr:uid="{00000000-0005-0000-0000-0000AF480000}"/>
    <cellStyle name="Normal 2 6 14 2 2" xfId="18559" xr:uid="{00000000-0005-0000-0000-0000B0480000}"/>
    <cellStyle name="Normal 2 6 14 2 3" xfId="18560" xr:uid="{00000000-0005-0000-0000-0000B1480000}"/>
    <cellStyle name="Normal 2 6 14 2 4" xfId="18561" xr:uid="{00000000-0005-0000-0000-0000B2480000}"/>
    <cellStyle name="Normal 2 6 14 2 5" xfId="18562" xr:uid="{00000000-0005-0000-0000-0000B3480000}"/>
    <cellStyle name="Normal 2 6 14 2 6" xfId="18563" xr:uid="{00000000-0005-0000-0000-0000B4480000}"/>
    <cellStyle name="Normal 2 6 14 2 7" xfId="18564" xr:uid="{00000000-0005-0000-0000-0000B5480000}"/>
    <cellStyle name="Normal 2 6 14 3" xfId="18565" xr:uid="{00000000-0005-0000-0000-0000B6480000}"/>
    <cellStyle name="Normal 2 6 14 4" xfId="18566" xr:uid="{00000000-0005-0000-0000-0000B7480000}"/>
    <cellStyle name="Normal 2 6 14 5" xfId="18567" xr:uid="{00000000-0005-0000-0000-0000B8480000}"/>
    <cellStyle name="Normal 2 6 14 6" xfId="18568" xr:uid="{00000000-0005-0000-0000-0000B9480000}"/>
    <cellStyle name="Normal 2 6 14 7" xfId="18569" xr:uid="{00000000-0005-0000-0000-0000BA480000}"/>
    <cellStyle name="Normal 2 6 14 8" xfId="18570" xr:uid="{00000000-0005-0000-0000-0000BB480000}"/>
    <cellStyle name="Normal 2 6 15" xfId="18571" xr:uid="{00000000-0005-0000-0000-0000BC480000}"/>
    <cellStyle name="Normal 2 6 15 2" xfId="18572" xr:uid="{00000000-0005-0000-0000-0000BD480000}"/>
    <cellStyle name="Normal 2 6 15 2 2" xfId="18573" xr:uid="{00000000-0005-0000-0000-0000BE480000}"/>
    <cellStyle name="Normal 2 6 15 2 3" xfId="18574" xr:uid="{00000000-0005-0000-0000-0000BF480000}"/>
    <cellStyle name="Normal 2 6 15 2 4" xfId="18575" xr:uid="{00000000-0005-0000-0000-0000C0480000}"/>
    <cellStyle name="Normal 2 6 15 2 5" xfId="18576" xr:uid="{00000000-0005-0000-0000-0000C1480000}"/>
    <cellStyle name="Normal 2 6 15 2 6" xfId="18577" xr:uid="{00000000-0005-0000-0000-0000C2480000}"/>
    <cellStyle name="Normal 2 6 15 2 7" xfId="18578" xr:uid="{00000000-0005-0000-0000-0000C3480000}"/>
    <cellStyle name="Normal 2 6 15 3" xfId="18579" xr:uid="{00000000-0005-0000-0000-0000C4480000}"/>
    <cellStyle name="Normal 2 6 15 4" xfId="18580" xr:uid="{00000000-0005-0000-0000-0000C5480000}"/>
    <cellStyle name="Normal 2 6 15 5" xfId="18581" xr:uid="{00000000-0005-0000-0000-0000C6480000}"/>
    <cellStyle name="Normal 2 6 15 6" xfId="18582" xr:uid="{00000000-0005-0000-0000-0000C7480000}"/>
    <cellStyle name="Normal 2 6 15 7" xfId="18583" xr:uid="{00000000-0005-0000-0000-0000C8480000}"/>
    <cellStyle name="Normal 2 6 15 8" xfId="18584" xr:uid="{00000000-0005-0000-0000-0000C9480000}"/>
    <cellStyle name="Normal 2 6 16" xfId="18585" xr:uid="{00000000-0005-0000-0000-0000CA480000}"/>
    <cellStyle name="Normal 2 6 16 2" xfId="18586" xr:uid="{00000000-0005-0000-0000-0000CB480000}"/>
    <cellStyle name="Normal 2 6 16 3" xfId="18587" xr:uid="{00000000-0005-0000-0000-0000CC480000}"/>
    <cellStyle name="Normal 2 6 16 4" xfId="18588" xr:uid="{00000000-0005-0000-0000-0000CD480000}"/>
    <cellStyle name="Normal 2 6 16 5" xfId="18589" xr:uid="{00000000-0005-0000-0000-0000CE480000}"/>
    <cellStyle name="Normal 2 6 16 6" xfId="18590" xr:uid="{00000000-0005-0000-0000-0000CF480000}"/>
    <cellStyle name="Normal 2 6 16 7" xfId="18591" xr:uid="{00000000-0005-0000-0000-0000D0480000}"/>
    <cellStyle name="Normal 2 6 17" xfId="18592" xr:uid="{00000000-0005-0000-0000-0000D1480000}"/>
    <cellStyle name="Normal 2 6 17 2" xfId="18593" xr:uid="{00000000-0005-0000-0000-0000D2480000}"/>
    <cellStyle name="Normal 2 6 17 3" xfId="18594" xr:uid="{00000000-0005-0000-0000-0000D3480000}"/>
    <cellStyle name="Normal 2 6 17 4" xfId="18595" xr:uid="{00000000-0005-0000-0000-0000D4480000}"/>
    <cellStyle name="Normal 2 6 17 5" xfId="18596" xr:uid="{00000000-0005-0000-0000-0000D5480000}"/>
    <cellStyle name="Normal 2 6 17 6" xfId="18597" xr:uid="{00000000-0005-0000-0000-0000D6480000}"/>
    <cellStyle name="Normal 2 6 17 7" xfId="18598" xr:uid="{00000000-0005-0000-0000-0000D7480000}"/>
    <cellStyle name="Normal 2 6 18" xfId="18599" xr:uid="{00000000-0005-0000-0000-0000D8480000}"/>
    <cellStyle name="Normal 2 6 18 2" xfId="18600" xr:uid="{00000000-0005-0000-0000-0000D9480000}"/>
    <cellStyle name="Normal 2 6 18 3" xfId="18601" xr:uid="{00000000-0005-0000-0000-0000DA480000}"/>
    <cellStyle name="Normal 2 6 18 4" xfId="18602" xr:uid="{00000000-0005-0000-0000-0000DB480000}"/>
    <cellStyle name="Normal 2 6 18 5" xfId="18603" xr:uid="{00000000-0005-0000-0000-0000DC480000}"/>
    <cellStyle name="Normal 2 6 18 6" xfId="18604" xr:uid="{00000000-0005-0000-0000-0000DD480000}"/>
    <cellStyle name="Normal 2 6 18 7" xfId="18605" xr:uid="{00000000-0005-0000-0000-0000DE480000}"/>
    <cellStyle name="Normal 2 6 19" xfId="18606" xr:uid="{00000000-0005-0000-0000-0000DF480000}"/>
    <cellStyle name="Normal 2 6 19 2" xfId="18607" xr:uid="{00000000-0005-0000-0000-0000E0480000}"/>
    <cellStyle name="Normal 2 6 19 3" xfId="18608" xr:uid="{00000000-0005-0000-0000-0000E1480000}"/>
    <cellStyle name="Normal 2 6 19 4" xfId="18609" xr:uid="{00000000-0005-0000-0000-0000E2480000}"/>
    <cellStyle name="Normal 2 6 19 5" xfId="18610" xr:uid="{00000000-0005-0000-0000-0000E3480000}"/>
    <cellStyle name="Normal 2 6 19 6" xfId="18611" xr:uid="{00000000-0005-0000-0000-0000E4480000}"/>
    <cellStyle name="Normal 2 6 19 7" xfId="18612" xr:uid="{00000000-0005-0000-0000-0000E5480000}"/>
    <cellStyle name="Normal 2 6 2" xfId="18613" xr:uid="{00000000-0005-0000-0000-0000E6480000}"/>
    <cellStyle name="Normal 2 6 2 2" xfId="18614" xr:uid="{00000000-0005-0000-0000-0000E7480000}"/>
    <cellStyle name="Normal 2 6 2 2 2" xfId="18615" xr:uid="{00000000-0005-0000-0000-0000E8480000}"/>
    <cellStyle name="Normal 2 6 2 2 3" xfId="18616" xr:uid="{00000000-0005-0000-0000-0000E9480000}"/>
    <cellStyle name="Normal 2 6 2 2 4" xfId="18617" xr:uid="{00000000-0005-0000-0000-0000EA480000}"/>
    <cellStyle name="Normal 2 6 2 2 5" xfId="18618" xr:uid="{00000000-0005-0000-0000-0000EB480000}"/>
    <cellStyle name="Normal 2 6 2 2 6" xfId="18619" xr:uid="{00000000-0005-0000-0000-0000EC480000}"/>
    <cellStyle name="Normal 2 6 2 2 7" xfId="18620" xr:uid="{00000000-0005-0000-0000-0000ED480000}"/>
    <cellStyle name="Normal 2 6 2 3" xfId="18621" xr:uid="{00000000-0005-0000-0000-0000EE480000}"/>
    <cellStyle name="Normal 2 6 2 4" xfId="18622" xr:uid="{00000000-0005-0000-0000-0000EF480000}"/>
    <cellStyle name="Normal 2 6 2 5" xfId="18623" xr:uid="{00000000-0005-0000-0000-0000F0480000}"/>
    <cellStyle name="Normal 2 6 2 6" xfId="18624" xr:uid="{00000000-0005-0000-0000-0000F1480000}"/>
    <cellStyle name="Normal 2 6 2 7" xfId="18625" xr:uid="{00000000-0005-0000-0000-0000F2480000}"/>
    <cellStyle name="Normal 2 6 2 8" xfId="18626" xr:uid="{00000000-0005-0000-0000-0000F3480000}"/>
    <cellStyle name="Normal 2 6 20" xfId="18627" xr:uid="{00000000-0005-0000-0000-0000F4480000}"/>
    <cellStyle name="Normal 2 6 20 2" xfId="18628" xr:uid="{00000000-0005-0000-0000-0000F5480000}"/>
    <cellStyle name="Normal 2 6 20 3" xfId="18629" xr:uid="{00000000-0005-0000-0000-0000F6480000}"/>
    <cellStyle name="Normal 2 6 20 4" xfId="18630" xr:uid="{00000000-0005-0000-0000-0000F7480000}"/>
    <cellStyle name="Normal 2 6 20 5" xfId="18631" xr:uid="{00000000-0005-0000-0000-0000F8480000}"/>
    <cellStyle name="Normal 2 6 20 6" xfId="18632" xr:uid="{00000000-0005-0000-0000-0000F9480000}"/>
    <cellStyle name="Normal 2 6 20 7" xfId="18633" xr:uid="{00000000-0005-0000-0000-0000FA480000}"/>
    <cellStyle name="Normal 2 6 21" xfId="18634" xr:uid="{00000000-0005-0000-0000-0000FB480000}"/>
    <cellStyle name="Normal 2 6 21 2" xfId="18635" xr:uid="{00000000-0005-0000-0000-0000FC480000}"/>
    <cellStyle name="Normal 2 6 21 3" xfId="18636" xr:uid="{00000000-0005-0000-0000-0000FD480000}"/>
    <cellStyle name="Normal 2 6 21 4" xfId="18637" xr:uid="{00000000-0005-0000-0000-0000FE480000}"/>
    <cellStyle name="Normal 2 6 21 5" xfId="18638" xr:uid="{00000000-0005-0000-0000-0000FF480000}"/>
    <cellStyle name="Normal 2 6 21 6" xfId="18639" xr:uid="{00000000-0005-0000-0000-000000490000}"/>
    <cellStyle name="Normal 2 6 21 7" xfId="18640" xr:uid="{00000000-0005-0000-0000-000001490000}"/>
    <cellStyle name="Normal 2 6 22" xfId="18641" xr:uid="{00000000-0005-0000-0000-000002490000}"/>
    <cellStyle name="Normal 2 6 22 2" xfId="18642" xr:uid="{00000000-0005-0000-0000-000003490000}"/>
    <cellStyle name="Normal 2 6 22 3" xfId="18643" xr:uid="{00000000-0005-0000-0000-000004490000}"/>
    <cellStyle name="Normal 2 6 22 4" xfId="18644" xr:uid="{00000000-0005-0000-0000-000005490000}"/>
    <cellStyle name="Normal 2 6 22 5" xfId="18645" xr:uid="{00000000-0005-0000-0000-000006490000}"/>
    <cellStyle name="Normal 2 6 22 6" xfId="18646" xr:uid="{00000000-0005-0000-0000-000007490000}"/>
    <cellStyle name="Normal 2 6 22 7" xfId="18647" xr:uid="{00000000-0005-0000-0000-000008490000}"/>
    <cellStyle name="Normal 2 6 23" xfId="18648" xr:uid="{00000000-0005-0000-0000-000009490000}"/>
    <cellStyle name="Normal 2 6 23 2" xfId="18649" xr:uid="{00000000-0005-0000-0000-00000A490000}"/>
    <cellStyle name="Normal 2 6 23 3" xfId="18650" xr:uid="{00000000-0005-0000-0000-00000B490000}"/>
    <cellStyle name="Normal 2 6 23 4" xfId="18651" xr:uid="{00000000-0005-0000-0000-00000C490000}"/>
    <cellStyle name="Normal 2 6 23 5" xfId="18652" xr:uid="{00000000-0005-0000-0000-00000D490000}"/>
    <cellStyle name="Normal 2 6 23 6" xfId="18653" xr:uid="{00000000-0005-0000-0000-00000E490000}"/>
    <cellStyle name="Normal 2 6 23 7" xfId="18654" xr:uid="{00000000-0005-0000-0000-00000F490000}"/>
    <cellStyle name="Normal 2 6 24" xfId="18655" xr:uid="{00000000-0005-0000-0000-000010490000}"/>
    <cellStyle name="Normal 2 6 24 2" xfId="18656" xr:uid="{00000000-0005-0000-0000-000011490000}"/>
    <cellStyle name="Normal 2 6 24 3" xfId="18657" xr:uid="{00000000-0005-0000-0000-000012490000}"/>
    <cellStyle name="Normal 2 6 24 4" xfId="18658" xr:uid="{00000000-0005-0000-0000-000013490000}"/>
    <cellStyle name="Normal 2 6 24 5" xfId="18659" xr:uid="{00000000-0005-0000-0000-000014490000}"/>
    <cellStyle name="Normal 2 6 24 6" xfId="18660" xr:uid="{00000000-0005-0000-0000-000015490000}"/>
    <cellStyle name="Normal 2 6 24 7" xfId="18661" xr:uid="{00000000-0005-0000-0000-000016490000}"/>
    <cellStyle name="Normal 2 6 25" xfId="18662" xr:uid="{00000000-0005-0000-0000-000017490000}"/>
    <cellStyle name="Normal 2 6 25 2" xfId="18663" xr:uid="{00000000-0005-0000-0000-000018490000}"/>
    <cellStyle name="Normal 2 6 25 3" xfId="18664" xr:uid="{00000000-0005-0000-0000-000019490000}"/>
    <cellStyle name="Normal 2 6 25 4" xfId="18665" xr:uid="{00000000-0005-0000-0000-00001A490000}"/>
    <cellStyle name="Normal 2 6 25 5" xfId="18666" xr:uid="{00000000-0005-0000-0000-00001B490000}"/>
    <cellStyle name="Normal 2 6 25 6" xfId="18667" xr:uid="{00000000-0005-0000-0000-00001C490000}"/>
    <cellStyle name="Normal 2 6 25 7" xfId="18668" xr:uid="{00000000-0005-0000-0000-00001D490000}"/>
    <cellStyle name="Normal 2 6 26" xfId="18669" xr:uid="{00000000-0005-0000-0000-00001E490000}"/>
    <cellStyle name="Normal 2 6 26 2" xfId="18670" xr:uid="{00000000-0005-0000-0000-00001F490000}"/>
    <cellStyle name="Normal 2 6 26 3" xfId="18671" xr:uid="{00000000-0005-0000-0000-000020490000}"/>
    <cellStyle name="Normal 2 6 26 4" xfId="18672" xr:uid="{00000000-0005-0000-0000-000021490000}"/>
    <cellStyle name="Normal 2 6 26 5" xfId="18673" xr:uid="{00000000-0005-0000-0000-000022490000}"/>
    <cellStyle name="Normal 2 6 26 6" xfId="18674" xr:uid="{00000000-0005-0000-0000-000023490000}"/>
    <cellStyle name="Normal 2 6 26 7" xfId="18675" xr:uid="{00000000-0005-0000-0000-000024490000}"/>
    <cellStyle name="Normal 2 6 27" xfId="18676" xr:uid="{00000000-0005-0000-0000-000025490000}"/>
    <cellStyle name="Normal 2 6 27 2" xfId="18677" xr:uid="{00000000-0005-0000-0000-000026490000}"/>
    <cellStyle name="Normal 2 6 27 3" xfId="18678" xr:uid="{00000000-0005-0000-0000-000027490000}"/>
    <cellStyle name="Normal 2 6 27 4" xfId="18679" xr:uid="{00000000-0005-0000-0000-000028490000}"/>
    <cellStyle name="Normal 2 6 27 5" xfId="18680" xr:uid="{00000000-0005-0000-0000-000029490000}"/>
    <cellStyle name="Normal 2 6 27 6" xfId="18681" xr:uid="{00000000-0005-0000-0000-00002A490000}"/>
    <cellStyle name="Normal 2 6 27 7" xfId="18682" xr:uid="{00000000-0005-0000-0000-00002B490000}"/>
    <cellStyle name="Normal 2 6 28" xfId="18683" xr:uid="{00000000-0005-0000-0000-00002C490000}"/>
    <cellStyle name="Normal 2 6 28 2" xfId="18684" xr:uid="{00000000-0005-0000-0000-00002D490000}"/>
    <cellStyle name="Normal 2 6 28 3" xfId="18685" xr:uid="{00000000-0005-0000-0000-00002E490000}"/>
    <cellStyle name="Normal 2 6 28 4" xfId="18686" xr:uid="{00000000-0005-0000-0000-00002F490000}"/>
    <cellStyle name="Normal 2 6 28 5" xfId="18687" xr:uid="{00000000-0005-0000-0000-000030490000}"/>
    <cellStyle name="Normal 2 6 28 6" xfId="18688" xr:uid="{00000000-0005-0000-0000-000031490000}"/>
    <cellStyle name="Normal 2 6 28 7" xfId="18689" xr:uid="{00000000-0005-0000-0000-000032490000}"/>
    <cellStyle name="Normal 2 6 29" xfId="18690" xr:uid="{00000000-0005-0000-0000-000033490000}"/>
    <cellStyle name="Normal 2 6 29 2" xfId="18691" xr:uid="{00000000-0005-0000-0000-000034490000}"/>
    <cellStyle name="Normal 2 6 29 3" xfId="18692" xr:uid="{00000000-0005-0000-0000-000035490000}"/>
    <cellStyle name="Normal 2 6 29 4" xfId="18693" xr:uid="{00000000-0005-0000-0000-000036490000}"/>
    <cellStyle name="Normal 2 6 29 5" xfId="18694" xr:uid="{00000000-0005-0000-0000-000037490000}"/>
    <cellStyle name="Normal 2 6 29 6" xfId="18695" xr:uid="{00000000-0005-0000-0000-000038490000}"/>
    <cellStyle name="Normal 2 6 29 7" xfId="18696" xr:uid="{00000000-0005-0000-0000-000039490000}"/>
    <cellStyle name="Normal 2 6 3" xfId="18697" xr:uid="{00000000-0005-0000-0000-00003A490000}"/>
    <cellStyle name="Normal 2 6 3 2" xfId="18698" xr:uid="{00000000-0005-0000-0000-00003B490000}"/>
    <cellStyle name="Normal 2 6 3 2 2" xfId="18699" xr:uid="{00000000-0005-0000-0000-00003C490000}"/>
    <cellStyle name="Normal 2 6 3 2 3" xfId="18700" xr:uid="{00000000-0005-0000-0000-00003D490000}"/>
    <cellStyle name="Normal 2 6 3 2 4" xfId="18701" xr:uid="{00000000-0005-0000-0000-00003E490000}"/>
    <cellStyle name="Normal 2 6 3 2 5" xfId="18702" xr:uid="{00000000-0005-0000-0000-00003F490000}"/>
    <cellStyle name="Normal 2 6 3 2 6" xfId="18703" xr:uid="{00000000-0005-0000-0000-000040490000}"/>
    <cellStyle name="Normal 2 6 3 2 7" xfId="18704" xr:uid="{00000000-0005-0000-0000-000041490000}"/>
    <cellStyle name="Normal 2 6 3 3" xfId="18705" xr:uid="{00000000-0005-0000-0000-000042490000}"/>
    <cellStyle name="Normal 2 6 3 4" xfId="18706" xr:uid="{00000000-0005-0000-0000-000043490000}"/>
    <cellStyle name="Normal 2 6 3 5" xfId="18707" xr:uid="{00000000-0005-0000-0000-000044490000}"/>
    <cellStyle name="Normal 2 6 3 6" xfId="18708" xr:uid="{00000000-0005-0000-0000-000045490000}"/>
    <cellStyle name="Normal 2 6 3 7" xfId="18709" xr:uid="{00000000-0005-0000-0000-000046490000}"/>
    <cellStyle name="Normal 2 6 3 8" xfId="18710" xr:uid="{00000000-0005-0000-0000-000047490000}"/>
    <cellStyle name="Normal 2 6 30" xfId="18711" xr:uid="{00000000-0005-0000-0000-000048490000}"/>
    <cellStyle name="Normal 2 6 30 2" xfId="18712" xr:uid="{00000000-0005-0000-0000-000049490000}"/>
    <cellStyle name="Normal 2 6 30 3" xfId="18713" xr:uid="{00000000-0005-0000-0000-00004A490000}"/>
    <cellStyle name="Normal 2 6 30 4" xfId="18714" xr:uid="{00000000-0005-0000-0000-00004B490000}"/>
    <cellStyle name="Normal 2 6 30 5" xfId="18715" xr:uid="{00000000-0005-0000-0000-00004C490000}"/>
    <cellStyle name="Normal 2 6 30 6" xfId="18716" xr:uid="{00000000-0005-0000-0000-00004D490000}"/>
    <cellStyle name="Normal 2 6 30 7" xfId="18717" xr:uid="{00000000-0005-0000-0000-00004E490000}"/>
    <cellStyle name="Normal 2 6 31" xfId="18718" xr:uid="{00000000-0005-0000-0000-00004F490000}"/>
    <cellStyle name="Normal 2 6 31 2" xfId="18719" xr:uid="{00000000-0005-0000-0000-000050490000}"/>
    <cellStyle name="Normal 2 6 31 3" xfId="18720" xr:uid="{00000000-0005-0000-0000-000051490000}"/>
    <cellStyle name="Normal 2 6 31 4" xfId="18721" xr:uid="{00000000-0005-0000-0000-000052490000}"/>
    <cellStyle name="Normal 2 6 31 5" xfId="18722" xr:uid="{00000000-0005-0000-0000-000053490000}"/>
    <cellStyle name="Normal 2 6 31 6" xfId="18723" xr:uid="{00000000-0005-0000-0000-000054490000}"/>
    <cellStyle name="Normal 2 6 31 7" xfId="18724" xr:uid="{00000000-0005-0000-0000-000055490000}"/>
    <cellStyle name="Normal 2 6 32" xfId="18725" xr:uid="{00000000-0005-0000-0000-000056490000}"/>
    <cellStyle name="Normal 2 6 32 2" xfId="18726" xr:uid="{00000000-0005-0000-0000-000057490000}"/>
    <cellStyle name="Normal 2 6 32 3" xfId="18727" xr:uid="{00000000-0005-0000-0000-000058490000}"/>
    <cellStyle name="Normal 2 6 32 4" xfId="18728" xr:uid="{00000000-0005-0000-0000-000059490000}"/>
    <cellStyle name="Normal 2 6 32 5" xfId="18729" xr:uid="{00000000-0005-0000-0000-00005A490000}"/>
    <cellStyle name="Normal 2 6 32 6" xfId="18730" xr:uid="{00000000-0005-0000-0000-00005B490000}"/>
    <cellStyle name="Normal 2 6 32 7" xfId="18731" xr:uid="{00000000-0005-0000-0000-00005C490000}"/>
    <cellStyle name="Normal 2 6 33" xfId="18732" xr:uid="{00000000-0005-0000-0000-00005D490000}"/>
    <cellStyle name="Normal 2 6 33 2" xfId="18733" xr:uid="{00000000-0005-0000-0000-00005E490000}"/>
    <cellStyle name="Normal 2 6 33 3" xfId="18734" xr:uid="{00000000-0005-0000-0000-00005F490000}"/>
    <cellStyle name="Normal 2 6 33 4" xfId="18735" xr:uid="{00000000-0005-0000-0000-000060490000}"/>
    <cellStyle name="Normal 2 6 33 5" xfId="18736" xr:uid="{00000000-0005-0000-0000-000061490000}"/>
    <cellStyle name="Normal 2 6 33 6" xfId="18737" xr:uid="{00000000-0005-0000-0000-000062490000}"/>
    <cellStyle name="Normal 2 6 33 7" xfId="18738" xr:uid="{00000000-0005-0000-0000-000063490000}"/>
    <cellStyle name="Normal 2 6 34" xfId="18739" xr:uid="{00000000-0005-0000-0000-000064490000}"/>
    <cellStyle name="Normal 2 6 34 2" xfId="18740" xr:uid="{00000000-0005-0000-0000-000065490000}"/>
    <cellStyle name="Normal 2 6 34 3" xfId="18741" xr:uid="{00000000-0005-0000-0000-000066490000}"/>
    <cellStyle name="Normal 2 6 34 4" xfId="18742" xr:uid="{00000000-0005-0000-0000-000067490000}"/>
    <cellStyle name="Normal 2 6 34 5" xfId="18743" xr:uid="{00000000-0005-0000-0000-000068490000}"/>
    <cellStyle name="Normal 2 6 34 6" xfId="18744" xr:uid="{00000000-0005-0000-0000-000069490000}"/>
    <cellStyle name="Normal 2 6 34 7" xfId="18745" xr:uid="{00000000-0005-0000-0000-00006A490000}"/>
    <cellStyle name="Normal 2 6 35" xfId="18746" xr:uid="{00000000-0005-0000-0000-00006B490000}"/>
    <cellStyle name="Normal 2 6 35 2" xfId="18747" xr:uid="{00000000-0005-0000-0000-00006C490000}"/>
    <cellStyle name="Normal 2 6 35 3" xfId="18748" xr:uid="{00000000-0005-0000-0000-00006D490000}"/>
    <cellStyle name="Normal 2 6 35 4" xfId="18749" xr:uid="{00000000-0005-0000-0000-00006E490000}"/>
    <cellStyle name="Normal 2 6 35 5" xfId="18750" xr:uid="{00000000-0005-0000-0000-00006F490000}"/>
    <cellStyle name="Normal 2 6 35 6" xfId="18751" xr:uid="{00000000-0005-0000-0000-000070490000}"/>
    <cellStyle name="Normal 2 6 35 7" xfId="18752" xr:uid="{00000000-0005-0000-0000-000071490000}"/>
    <cellStyle name="Normal 2 6 36" xfId="18753" xr:uid="{00000000-0005-0000-0000-000072490000}"/>
    <cellStyle name="Normal 2 6 36 2" xfId="18754" xr:uid="{00000000-0005-0000-0000-000073490000}"/>
    <cellStyle name="Normal 2 6 37" xfId="18755" xr:uid="{00000000-0005-0000-0000-000074490000}"/>
    <cellStyle name="Normal 2 6 38" xfId="18756" xr:uid="{00000000-0005-0000-0000-000075490000}"/>
    <cellStyle name="Normal 2 6 39" xfId="18757" xr:uid="{00000000-0005-0000-0000-000076490000}"/>
    <cellStyle name="Normal 2 6 4" xfId="18758" xr:uid="{00000000-0005-0000-0000-000077490000}"/>
    <cellStyle name="Normal 2 6 4 2" xfId="18759" xr:uid="{00000000-0005-0000-0000-000078490000}"/>
    <cellStyle name="Normal 2 6 4 2 2" xfId="18760" xr:uid="{00000000-0005-0000-0000-000079490000}"/>
    <cellStyle name="Normal 2 6 4 2 3" xfId="18761" xr:uid="{00000000-0005-0000-0000-00007A490000}"/>
    <cellStyle name="Normal 2 6 4 2 4" xfId="18762" xr:uid="{00000000-0005-0000-0000-00007B490000}"/>
    <cellStyle name="Normal 2 6 4 2 5" xfId="18763" xr:uid="{00000000-0005-0000-0000-00007C490000}"/>
    <cellStyle name="Normal 2 6 4 2 6" xfId="18764" xr:uid="{00000000-0005-0000-0000-00007D490000}"/>
    <cellStyle name="Normal 2 6 4 2 7" xfId="18765" xr:uid="{00000000-0005-0000-0000-00007E490000}"/>
    <cellStyle name="Normal 2 6 4 3" xfId="18766" xr:uid="{00000000-0005-0000-0000-00007F490000}"/>
    <cellStyle name="Normal 2 6 4 4" xfId="18767" xr:uid="{00000000-0005-0000-0000-000080490000}"/>
    <cellStyle name="Normal 2 6 4 5" xfId="18768" xr:uid="{00000000-0005-0000-0000-000081490000}"/>
    <cellStyle name="Normal 2 6 4 6" xfId="18769" xr:uid="{00000000-0005-0000-0000-000082490000}"/>
    <cellStyle name="Normal 2 6 4 7" xfId="18770" xr:uid="{00000000-0005-0000-0000-000083490000}"/>
    <cellStyle name="Normal 2 6 4 8" xfId="18771" xr:uid="{00000000-0005-0000-0000-000084490000}"/>
    <cellStyle name="Normal 2 6 40" xfId="18772" xr:uid="{00000000-0005-0000-0000-000085490000}"/>
    <cellStyle name="Normal 2 6 41" xfId="18773" xr:uid="{00000000-0005-0000-0000-000086490000}"/>
    <cellStyle name="Normal 2 6 42" xfId="18774" xr:uid="{00000000-0005-0000-0000-000087490000}"/>
    <cellStyle name="Normal 2 6 43" xfId="18775" xr:uid="{00000000-0005-0000-0000-000088490000}"/>
    <cellStyle name="Normal 2 6 44" xfId="18776" xr:uid="{00000000-0005-0000-0000-000089490000}"/>
    <cellStyle name="Normal 2 6 5" xfId="18777" xr:uid="{00000000-0005-0000-0000-00008A490000}"/>
    <cellStyle name="Normal 2 6 5 2" xfId="18778" xr:uid="{00000000-0005-0000-0000-00008B490000}"/>
    <cellStyle name="Normal 2 6 5 2 2" xfId="18779" xr:uid="{00000000-0005-0000-0000-00008C490000}"/>
    <cellStyle name="Normal 2 6 5 2 3" xfId="18780" xr:uid="{00000000-0005-0000-0000-00008D490000}"/>
    <cellStyle name="Normal 2 6 5 2 4" xfId="18781" xr:uid="{00000000-0005-0000-0000-00008E490000}"/>
    <cellStyle name="Normal 2 6 5 2 5" xfId="18782" xr:uid="{00000000-0005-0000-0000-00008F490000}"/>
    <cellStyle name="Normal 2 6 5 2 6" xfId="18783" xr:uid="{00000000-0005-0000-0000-000090490000}"/>
    <cellStyle name="Normal 2 6 5 2 7" xfId="18784" xr:uid="{00000000-0005-0000-0000-000091490000}"/>
    <cellStyle name="Normal 2 6 5 3" xfId="18785" xr:uid="{00000000-0005-0000-0000-000092490000}"/>
    <cellStyle name="Normal 2 6 5 4" xfId="18786" xr:uid="{00000000-0005-0000-0000-000093490000}"/>
    <cellStyle name="Normal 2 6 5 5" xfId="18787" xr:uid="{00000000-0005-0000-0000-000094490000}"/>
    <cellStyle name="Normal 2 6 5 6" xfId="18788" xr:uid="{00000000-0005-0000-0000-000095490000}"/>
    <cellStyle name="Normal 2 6 5 7" xfId="18789" xr:uid="{00000000-0005-0000-0000-000096490000}"/>
    <cellStyle name="Normal 2 6 5 8" xfId="18790" xr:uid="{00000000-0005-0000-0000-000097490000}"/>
    <cellStyle name="Normal 2 6 6" xfId="18791" xr:uid="{00000000-0005-0000-0000-000098490000}"/>
    <cellStyle name="Normal 2 6 6 2" xfId="18792" xr:uid="{00000000-0005-0000-0000-000099490000}"/>
    <cellStyle name="Normal 2 6 6 2 2" xfId="18793" xr:uid="{00000000-0005-0000-0000-00009A490000}"/>
    <cellStyle name="Normal 2 6 6 2 3" xfId="18794" xr:uid="{00000000-0005-0000-0000-00009B490000}"/>
    <cellStyle name="Normal 2 6 6 2 4" xfId="18795" xr:uid="{00000000-0005-0000-0000-00009C490000}"/>
    <cellStyle name="Normal 2 6 6 2 5" xfId="18796" xr:uid="{00000000-0005-0000-0000-00009D490000}"/>
    <cellStyle name="Normal 2 6 6 2 6" xfId="18797" xr:uid="{00000000-0005-0000-0000-00009E490000}"/>
    <cellStyle name="Normal 2 6 6 2 7" xfId="18798" xr:uid="{00000000-0005-0000-0000-00009F490000}"/>
    <cellStyle name="Normal 2 6 6 3" xfId="18799" xr:uid="{00000000-0005-0000-0000-0000A0490000}"/>
    <cellStyle name="Normal 2 6 6 4" xfId="18800" xr:uid="{00000000-0005-0000-0000-0000A1490000}"/>
    <cellStyle name="Normal 2 6 6 5" xfId="18801" xr:uid="{00000000-0005-0000-0000-0000A2490000}"/>
    <cellStyle name="Normal 2 6 6 6" xfId="18802" xr:uid="{00000000-0005-0000-0000-0000A3490000}"/>
    <cellStyle name="Normal 2 6 6 7" xfId="18803" xr:uid="{00000000-0005-0000-0000-0000A4490000}"/>
    <cellStyle name="Normal 2 6 6 8" xfId="18804" xr:uid="{00000000-0005-0000-0000-0000A5490000}"/>
    <cellStyle name="Normal 2 6 7" xfId="18805" xr:uid="{00000000-0005-0000-0000-0000A6490000}"/>
    <cellStyle name="Normal 2 6 7 2" xfId="18806" xr:uid="{00000000-0005-0000-0000-0000A7490000}"/>
    <cellStyle name="Normal 2 6 7 2 2" xfId="18807" xr:uid="{00000000-0005-0000-0000-0000A8490000}"/>
    <cellStyle name="Normal 2 6 7 2 3" xfId="18808" xr:uid="{00000000-0005-0000-0000-0000A9490000}"/>
    <cellStyle name="Normal 2 6 7 2 4" xfId="18809" xr:uid="{00000000-0005-0000-0000-0000AA490000}"/>
    <cellStyle name="Normal 2 6 7 2 5" xfId="18810" xr:uid="{00000000-0005-0000-0000-0000AB490000}"/>
    <cellStyle name="Normal 2 6 7 2 6" xfId="18811" xr:uid="{00000000-0005-0000-0000-0000AC490000}"/>
    <cellStyle name="Normal 2 6 7 2 7" xfId="18812" xr:uid="{00000000-0005-0000-0000-0000AD490000}"/>
    <cellStyle name="Normal 2 6 7 3" xfId="18813" xr:uid="{00000000-0005-0000-0000-0000AE490000}"/>
    <cellStyle name="Normal 2 6 7 4" xfId="18814" xr:uid="{00000000-0005-0000-0000-0000AF490000}"/>
    <cellStyle name="Normal 2 6 7 5" xfId="18815" xr:uid="{00000000-0005-0000-0000-0000B0490000}"/>
    <cellStyle name="Normal 2 6 7 6" xfId="18816" xr:uid="{00000000-0005-0000-0000-0000B1490000}"/>
    <cellStyle name="Normal 2 6 7 7" xfId="18817" xr:uid="{00000000-0005-0000-0000-0000B2490000}"/>
    <cellStyle name="Normal 2 6 7 8" xfId="18818" xr:uid="{00000000-0005-0000-0000-0000B3490000}"/>
    <cellStyle name="Normal 2 6 8" xfId="18819" xr:uid="{00000000-0005-0000-0000-0000B4490000}"/>
    <cellStyle name="Normal 2 6 8 2" xfId="18820" xr:uid="{00000000-0005-0000-0000-0000B5490000}"/>
    <cellStyle name="Normal 2 6 8 2 2" xfId="18821" xr:uid="{00000000-0005-0000-0000-0000B6490000}"/>
    <cellStyle name="Normal 2 6 8 2 3" xfId="18822" xr:uid="{00000000-0005-0000-0000-0000B7490000}"/>
    <cellStyle name="Normal 2 6 8 2 4" xfId="18823" xr:uid="{00000000-0005-0000-0000-0000B8490000}"/>
    <cellStyle name="Normal 2 6 8 2 5" xfId="18824" xr:uid="{00000000-0005-0000-0000-0000B9490000}"/>
    <cellStyle name="Normal 2 6 8 2 6" xfId="18825" xr:uid="{00000000-0005-0000-0000-0000BA490000}"/>
    <cellStyle name="Normal 2 6 8 2 7" xfId="18826" xr:uid="{00000000-0005-0000-0000-0000BB490000}"/>
    <cellStyle name="Normal 2 6 8 3" xfId="18827" xr:uid="{00000000-0005-0000-0000-0000BC490000}"/>
    <cellStyle name="Normal 2 6 8 4" xfId="18828" xr:uid="{00000000-0005-0000-0000-0000BD490000}"/>
    <cellStyle name="Normal 2 6 8 5" xfId="18829" xr:uid="{00000000-0005-0000-0000-0000BE490000}"/>
    <cellStyle name="Normal 2 6 8 6" xfId="18830" xr:uid="{00000000-0005-0000-0000-0000BF490000}"/>
    <cellStyle name="Normal 2 6 8 7" xfId="18831" xr:uid="{00000000-0005-0000-0000-0000C0490000}"/>
    <cellStyle name="Normal 2 6 8 8" xfId="18832" xr:uid="{00000000-0005-0000-0000-0000C1490000}"/>
    <cellStyle name="Normal 2 6 9" xfId="18833" xr:uid="{00000000-0005-0000-0000-0000C2490000}"/>
    <cellStyle name="Normal 2 6 9 2" xfId="18834" xr:uid="{00000000-0005-0000-0000-0000C3490000}"/>
    <cellStyle name="Normal 2 6 9 2 2" xfId="18835" xr:uid="{00000000-0005-0000-0000-0000C4490000}"/>
    <cellStyle name="Normal 2 6 9 2 3" xfId="18836" xr:uid="{00000000-0005-0000-0000-0000C5490000}"/>
    <cellStyle name="Normal 2 6 9 2 4" xfId="18837" xr:uid="{00000000-0005-0000-0000-0000C6490000}"/>
    <cellStyle name="Normal 2 6 9 2 5" xfId="18838" xr:uid="{00000000-0005-0000-0000-0000C7490000}"/>
    <cellStyle name="Normal 2 6 9 2 6" xfId="18839" xr:uid="{00000000-0005-0000-0000-0000C8490000}"/>
    <cellStyle name="Normal 2 6 9 2 7" xfId="18840" xr:uid="{00000000-0005-0000-0000-0000C9490000}"/>
    <cellStyle name="Normal 2 6 9 3" xfId="18841" xr:uid="{00000000-0005-0000-0000-0000CA490000}"/>
    <cellStyle name="Normal 2 6 9 4" xfId="18842" xr:uid="{00000000-0005-0000-0000-0000CB490000}"/>
    <cellStyle name="Normal 2 6 9 5" xfId="18843" xr:uid="{00000000-0005-0000-0000-0000CC490000}"/>
    <cellStyle name="Normal 2 6 9 6" xfId="18844" xr:uid="{00000000-0005-0000-0000-0000CD490000}"/>
    <cellStyle name="Normal 2 6 9 7" xfId="18845" xr:uid="{00000000-0005-0000-0000-0000CE490000}"/>
    <cellStyle name="Normal 2 6 9 8" xfId="18846" xr:uid="{00000000-0005-0000-0000-0000CF490000}"/>
    <cellStyle name="Normal 2 60" xfId="36539" xr:uid="{00000000-0005-0000-0000-0000D0490000}"/>
    <cellStyle name="Normal 2 7" xfId="6200" xr:uid="{00000000-0005-0000-0000-0000D1490000}"/>
    <cellStyle name="Normal 2 7 10" xfId="18847" xr:uid="{00000000-0005-0000-0000-0000D2490000}"/>
    <cellStyle name="Normal 2 7 10 2" xfId="18848" xr:uid="{00000000-0005-0000-0000-0000D3490000}"/>
    <cellStyle name="Normal 2 7 10 2 2" xfId="18849" xr:uid="{00000000-0005-0000-0000-0000D4490000}"/>
    <cellStyle name="Normal 2 7 10 2 3" xfId="18850" xr:uid="{00000000-0005-0000-0000-0000D5490000}"/>
    <cellStyle name="Normal 2 7 10 2 4" xfId="18851" xr:uid="{00000000-0005-0000-0000-0000D6490000}"/>
    <cellStyle name="Normal 2 7 10 2 5" xfId="18852" xr:uid="{00000000-0005-0000-0000-0000D7490000}"/>
    <cellStyle name="Normal 2 7 10 2 6" xfId="18853" xr:uid="{00000000-0005-0000-0000-0000D8490000}"/>
    <cellStyle name="Normal 2 7 10 2 7" xfId="18854" xr:uid="{00000000-0005-0000-0000-0000D9490000}"/>
    <cellStyle name="Normal 2 7 10 3" xfId="18855" xr:uid="{00000000-0005-0000-0000-0000DA490000}"/>
    <cellStyle name="Normal 2 7 10 4" xfId="18856" xr:uid="{00000000-0005-0000-0000-0000DB490000}"/>
    <cellStyle name="Normal 2 7 10 5" xfId="18857" xr:uid="{00000000-0005-0000-0000-0000DC490000}"/>
    <cellStyle name="Normal 2 7 10 6" xfId="18858" xr:uid="{00000000-0005-0000-0000-0000DD490000}"/>
    <cellStyle name="Normal 2 7 10 7" xfId="18859" xr:uid="{00000000-0005-0000-0000-0000DE490000}"/>
    <cellStyle name="Normal 2 7 10 8" xfId="18860" xr:uid="{00000000-0005-0000-0000-0000DF490000}"/>
    <cellStyle name="Normal 2 7 11" xfId="18861" xr:uid="{00000000-0005-0000-0000-0000E0490000}"/>
    <cellStyle name="Normal 2 7 11 2" xfId="18862" xr:uid="{00000000-0005-0000-0000-0000E1490000}"/>
    <cellStyle name="Normal 2 7 11 2 2" xfId="18863" xr:uid="{00000000-0005-0000-0000-0000E2490000}"/>
    <cellStyle name="Normal 2 7 11 2 3" xfId="18864" xr:uid="{00000000-0005-0000-0000-0000E3490000}"/>
    <cellStyle name="Normal 2 7 11 2 4" xfId="18865" xr:uid="{00000000-0005-0000-0000-0000E4490000}"/>
    <cellStyle name="Normal 2 7 11 2 5" xfId="18866" xr:uid="{00000000-0005-0000-0000-0000E5490000}"/>
    <cellStyle name="Normal 2 7 11 2 6" xfId="18867" xr:uid="{00000000-0005-0000-0000-0000E6490000}"/>
    <cellStyle name="Normal 2 7 11 2 7" xfId="18868" xr:uid="{00000000-0005-0000-0000-0000E7490000}"/>
    <cellStyle name="Normal 2 7 11 3" xfId="18869" xr:uid="{00000000-0005-0000-0000-0000E8490000}"/>
    <cellStyle name="Normal 2 7 11 4" xfId="18870" xr:uid="{00000000-0005-0000-0000-0000E9490000}"/>
    <cellStyle name="Normal 2 7 11 5" xfId="18871" xr:uid="{00000000-0005-0000-0000-0000EA490000}"/>
    <cellStyle name="Normal 2 7 11 6" xfId="18872" xr:uid="{00000000-0005-0000-0000-0000EB490000}"/>
    <cellStyle name="Normal 2 7 11 7" xfId="18873" xr:uid="{00000000-0005-0000-0000-0000EC490000}"/>
    <cellStyle name="Normal 2 7 11 8" xfId="18874" xr:uid="{00000000-0005-0000-0000-0000ED490000}"/>
    <cellStyle name="Normal 2 7 12" xfId="18875" xr:uid="{00000000-0005-0000-0000-0000EE490000}"/>
    <cellStyle name="Normal 2 7 12 2" xfId="18876" xr:uid="{00000000-0005-0000-0000-0000EF490000}"/>
    <cellStyle name="Normal 2 7 12 2 2" xfId="18877" xr:uid="{00000000-0005-0000-0000-0000F0490000}"/>
    <cellStyle name="Normal 2 7 12 2 3" xfId="18878" xr:uid="{00000000-0005-0000-0000-0000F1490000}"/>
    <cellStyle name="Normal 2 7 12 2 4" xfId="18879" xr:uid="{00000000-0005-0000-0000-0000F2490000}"/>
    <cellStyle name="Normal 2 7 12 2 5" xfId="18880" xr:uid="{00000000-0005-0000-0000-0000F3490000}"/>
    <cellStyle name="Normal 2 7 12 2 6" xfId="18881" xr:uid="{00000000-0005-0000-0000-0000F4490000}"/>
    <cellStyle name="Normal 2 7 12 2 7" xfId="18882" xr:uid="{00000000-0005-0000-0000-0000F5490000}"/>
    <cellStyle name="Normal 2 7 12 3" xfId="18883" xr:uid="{00000000-0005-0000-0000-0000F6490000}"/>
    <cellStyle name="Normal 2 7 12 4" xfId="18884" xr:uid="{00000000-0005-0000-0000-0000F7490000}"/>
    <cellStyle name="Normal 2 7 12 5" xfId="18885" xr:uid="{00000000-0005-0000-0000-0000F8490000}"/>
    <cellStyle name="Normal 2 7 12 6" xfId="18886" xr:uid="{00000000-0005-0000-0000-0000F9490000}"/>
    <cellStyle name="Normal 2 7 12 7" xfId="18887" xr:uid="{00000000-0005-0000-0000-0000FA490000}"/>
    <cellStyle name="Normal 2 7 12 8" xfId="18888" xr:uid="{00000000-0005-0000-0000-0000FB490000}"/>
    <cellStyle name="Normal 2 7 13" xfId="18889" xr:uid="{00000000-0005-0000-0000-0000FC490000}"/>
    <cellStyle name="Normal 2 7 13 2" xfId="18890" xr:uid="{00000000-0005-0000-0000-0000FD490000}"/>
    <cellStyle name="Normal 2 7 13 2 2" xfId="18891" xr:uid="{00000000-0005-0000-0000-0000FE490000}"/>
    <cellStyle name="Normal 2 7 13 2 3" xfId="18892" xr:uid="{00000000-0005-0000-0000-0000FF490000}"/>
    <cellStyle name="Normal 2 7 13 2 4" xfId="18893" xr:uid="{00000000-0005-0000-0000-0000004A0000}"/>
    <cellStyle name="Normal 2 7 13 2 5" xfId="18894" xr:uid="{00000000-0005-0000-0000-0000014A0000}"/>
    <cellStyle name="Normal 2 7 13 2 6" xfId="18895" xr:uid="{00000000-0005-0000-0000-0000024A0000}"/>
    <cellStyle name="Normal 2 7 13 2 7" xfId="18896" xr:uid="{00000000-0005-0000-0000-0000034A0000}"/>
    <cellStyle name="Normal 2 7 13 3" xfId="18897" xr:uid="{00000000-0005-0000-0000-0000044A0000}"/>
    <cellStyle name="Normal 2 7 13 4" xfId="18898" xr:uid="{00000000-0005-0000-0000-0000054A0000}"/>
    <cellStyle name="Normal 2 7 13 5" xfId="18899" xr:uid="{00000000-0005-0000-0000-0000064A0000}"/>
    <cellStyle name="Normal 2 7 13 6" xfId="18900" xr:uid="{00000000-0005-0000-0000-0000074A0000}"/>
    <cellStyle name="Normal 2 7 13 7" xfId="18901" xr:uid="{00000000-0005-0000-0000-0000084A0000}"/>
    <cellStyle name="Normal 2 7 13 8" xfId="18902" xr:uid="{00000000-0005-0000-0000-0000094A0000}"/>
    <cellStyle name="Normal 2 7 14" xfId="18903" xr:uid="{00000000-0005-0000-0000-00000A4A0000}"/>
    <cellStyle name="Normal 2 7 14 2" xfId="18904" xr:uid="{00000000-0005-0000-0000-00000B4A0000}"/>
    <cellStyle name="Normal 2 7 14 2 2" xfId="18905" xr:uid="{00000000-0005-0000-0000-00000C4A0000}"/>
    <cellStyle name="Normal 2 7 14 2 3" xfId="18906" xr:uid="{00000000-0005-0000-0000-00000D4A0000}"/>
    <cellStyle name="Normal 2 7 14 2 4" xfId="18907" xr:uid="{00000000-0005-0000-0000-00000E4A0000}"/>
    <cellStyle name="Normal 2 7 14 2 5" xfId="18908" xr:uid="{00000000-0005-0000-0000-00000F4A0000}"/>
    <cellStyle name="Normal 2 7 14 2 6" xfId="18909" xr:uid="{00000000-0005-0000-0000-0000104A0000}"/>
    <cellStyle name="Normal 2 7 14 2 7" xfId="18910" xr:uid="{00000000-0005-0000-0000-0000114A0000}"/>
    <cellStyle name="Normal 2 7 14 3" xfId="18911" xr:uid="{00000000-0005-0000-0000-0000124A0000}"/>
    <cellStyle name="Normal 2 7 14 4" xfId="18912" xr:uid="{00000000-0005-0000-0000-0000134A0000}"/>
    <cellStyle name="Normal 2 7 14 5" xfId="18913" xr:uid="{00000000-0005-0000-0000-0000144A0000}"/>
    <cellStyle name="Normal 2 7 14 6" xfId="18914" xr:uid="{00000000-0005-0000-0000-0000154A0000}"/>
    <cellStyle name="Normal 2 7 14 7" xfId="18915" xr:uid="{00000000-0005-0000-0000-0000164A0000}"/>
    <cellStyle name="Normal 2 7 14 8" xfId="18916" xr:uid="{00000000-0005-0000-0000-0000174A0000}"/>
    <cellStyle name="Normal 2 7 15" xfId="18917" xr:uid="{00000000-0005-0000-0000-0000184A0000}"/>
    <cellStyle name="Normal 2 7 15 2" xfId="18918" xr:uid="{00000000-0005-0000-0000-0000194A0000}"/>
    <cellStyle name="Normal 2 7 15 2 2" xfId="18919" xr:uid="{00000000-0005-0000-0000-00001A4A0000}"/>
    <cellStyle name="Normal 2 7 15 2 3" xfId="18920" xr:uid="{00000000-0005-0000-0000-00001B4A0000}"/>
    <cellStyle name="Normal 2 7 15 2 4" xfId="18921" xr:uid="{00000000-0005-0000-0000-00001C4A0000}"/>
    <cellStyle name="Normal 2 7 15 2 5" xfId="18922" xr:uid="{00000000-0005-0000-0000-00001D4A0000}"/>
    <cellStyle name="Normal 2 7 15 2 6" xfId="18923" xr:uid="{00000000-0005-0000-0000-00001E4A0000}"/>
    <cellStyle name="Normal 2 7 15 2 7" xfId="18924" xr:uid="{00000000-0005-0000-0000-00001F4A0000}"/>
    <cellStyle name="Normal 2 7 15 3" xfId="18925" xr:uid="{00000000-0005-0000-0000-0000204A0000}"/>
    <cellStyle name="Normal 2 7 15 4" xfId="18926" xr:uid="{00000000-0005-0000-0000-0000214A0000}"/>
    <cellStyle name="Normal 2 7 15 5" xfId="18927" xr:uid="{00000000-0005-0000-0000-0000224A0000}"/>
    <cellStyle name="Normal 2 7 15 6" xfId="18928" xr:uid="{00000000-0005-0000-0000-0000234A0000}"/>
    <cellStyle name="Normal 2 7 15 7" xfId="18929" xr:uid="{00000000-0005-0000-0000-0000244A0000}"/>
    <cellStyle name="Normal 2 7 15 8" xfId="18930" xr:uid="{00000000-0005-0000-0000-0000254A0000}"/>
    <cellStyle name="Normal 2 7 16" xfId="18931" xr:uid="{00000000-0005-0000-0000-0000264A0000}"/>
    <cellStyle name="Normal 2 7 16 2" xfId="18932" xr:uid="{00000000-0005-0000-0000-0000274A0000}"/>
    <cellStyle name="Normal 2 7 16 3" xfId="18933" xr:uid="{00000000-0005-0000-0000-0000284A0000}"/>
    <cellStyle name="Normal 2 7 16 4" xfId="18934" xr:uid="{00000000-0005-0000-0000-0000294A0000}"/>
    <cellStyle name="Normal 2 7 16 5" xfId="18935" xr:uid="{00000000-0005-0000-0000-00002A4A0000}"/>
    <cellStyle name="Normal 2 7 16 6" xfId="18936" xr:uid="{00000000-0005-0000-0000-00002B4A0000}"/>
    <cellStyle name="Normal 2 7 16 7" xfId="18937" xr:uid="{00000000-0005-0000-0000-00002C4A0000}"/>
    <cellStyle name="Normal 2 7 17" xfId="18938" xr:uid="{00000000-0005-0000-0000-00002D4A0000}"/>
    <cellStyle name="Normal 2 7 17 2" xfId="18939" xr:uid="{00000000-0005-0000-0000-00002E4A0000}"/>
    <cellStyle name="Normal 2 7 17 3" xfId="18940" xr:uid="{00000000-0005-0000-0000-00002F4A0000}"/>
    <cellStyle name="Normal 2 7 17 4" xfId="18941" xr:uid="{00000000-0005-0000-0000-0000304A0000}"/>
    <cellStyle name="Normal 2 7 17 5" xfId="18942" xr:uid="{00000000-0005-0000-0000-0000314A0000}"/>
    <cellStyle name="Normal 2 7 17 6" xfId="18943" xr:uid="{00000000-0005-0000-0000-0000324A0000}"/>
    <cellStyle name="Normal 2 7 17 7" xfId="18944" xr:uid="{00000000-0005-0000-0000-0000334A0000}"/>
    <cellStyle name="Normal 2 7 18" xfId="18945" xr:uid="{00000000-0005-0000-0000-0000344A0000}"/>
    <cellStyle name="Normal 2 7 18 2" xfId="18946" xr:uid="{00000000-0005-0000-0000-0000354A0000}"/>
    <cellStyle name="Normal 2 7 18 3" xfId="18947" xr:uid="{00000000-0005-0000-0000-0000364A0000}"/>
    <cellStyle name="Normal 2 7 18 4" xfId="18948" xr:uid="{00000000-0005-0000-0000-0000374A0000}"/>
    <cellStyle name="Normal 2 7 18 5" xfId="18949" xr:uid="{00000000-0005-0000-0000-0000384A0000}"/>
    <cellStyle name="Normal 2 7 18 6" xfId="18950" xr:uid="{00000000-0005-0000-0000-0000394A0000}"/>
    <cellStyle name="Normal 2 7 18 7" xfId="18951" xr:uid="{00000000-0005-0000-0000-00003A4A0000}"/>
    <cellStyle name="Normal 2 7 19" xfId="18952" xr:uid="{00000000-0005-0000-0000-00003B4A0000}"/>
    <cellStyle name="Normal 2 7 19 2" xfId="18953" xr:uid="{00000000-0005-0000-0000-00003C4A0000}"/>
    <cellStyle name="Normal 2 7 19 3" xfId="18954" xr:uid="{00000000-0005-0000-0000-00003D4A0000}"/>
    <cellStyle name="Normal 2 7 19 4" xfId="18955" xr:uid="{00000000-0005-0000-0000-00003E4A0000}"/>
    <cellStyle name="Normal 2 7 19 5" xfId="18956" xr:uid="{00000000-0005-0000-0000-00003F4A0000}"/>
    <cellStyle name="Normal 2 7 19 6" xfId="18957" xr:uid="{00000000-0005-0000-0000-0000404A0000}"/>
    <cellStyle name="Normal 2 7 19 7" xfId="18958" xr:uid="{00000000-0005-0000-0000-0000414A0000}"/>
    <cellStyle name="Normal 2 7 2" xfId="18959" xr:uid="{00000000-0005-0000-0000-0000424A0000}"/>
    <cellStyle name="Normal 2 7 2 2" xfId="18960" xr:uid="{00000000-0005-0000-0000-0000434A0000}"/>
    <cellStyle name="Normal 2 7 2 2 2" xfId="18961" xr:uid="{00000000-0005-0000-0000-0000444A0000}"/>
    <cellStyle name="Normal 2 7 2 2 3" xfId="18962" xr:uid="{00000000-0005-0000-0000-0000454A0000}"/>
    <cellStyle name="Normal 2 7 2 2 4" xfId="18963" xr:uid="{00000000-0005-0000-0000-0000464A0000}"/>
    <cellStyle name="Normal 2 7 2 2 5" xfId="18964" xr:uid="{00000000-0005-0000-0000-0000474A0000}"/>
    <cellStyle name="Normal 2 7 2 2 6" xfId="18965" xr:uid="{00000000-0005-0000-0000-0000484A0000}"/>
    <cellStyle name="Normal 2 7 2 2 7" xfId="18966" xr:uid="{00000000-0005-0000-0000-0000494A0000}"/>
    <cellStyle name="Normal 2 7 2 3" xfId="18967" xr:uid="{00000000-0005-0000-0000-00004A4A0000}"/>
    <cellStyle name="Normal 2 7 2 4" xfId="18968" xr:uid="{00000000-0005-0000-0000-00004B4A0000}"/>
    <cellStyle name="Normal 2 7 2 5" xfId="18969" xr:uid="{00000000-0005-0000-0000-00004C4A0000}"/>
    <cellStyle name="Normal 2 7 2 6" xfId="18970" xr:uid="{00000000-0005-0000-0000-00004D4A0000}"/>
    <cellStyle name="Normal 2 7 2 7" xfId="18971" xr:uid="{00000000-0005-0000-0000-00004E4A0000}"/>
    <cellStyle name="Normal 2 7 2 8" xfId="18972" xr:uid="{00000000-0005-0000-0000-00004F4A0000}"/>
    <cellStyle name="Normal 2 7 20" xfId="18973" xr:uid="{00000000-0005-0000-0000-0000504A0000}"/>
    <cellStyle name="Normal 2 7 20 2" xfId="18974" xr:uid="{00000000-0005-0000-0000-0000514A0000}"/>
    <cellStyle name="Normal 2 7 20 3" xfId="18975" xr:uid="{00000000-0005-0000-0000-0000524A0000}"/>
    <cellStyle name="Normal 2 7 20 4" xfId="18976" xr:uid="{00000000-0005-0000-0000-0000534A0000}"/>
    <cellStyle name="Normal 2 7 20 5" xfId="18977" xr:uid="{00000000-0005-0000-0000-0000544A0000}"/>
    <cellStyle name="Normal 2 7 20 6" xfId="18978" xr:uid="{00000000-0005-0000-0000-0000554A0000}"/>
    <cellStyle name="Normal 2 7 20 7" xfId="18979" xr:uid="{00000000-0005-0000-0000-0000564A0000}"/>
    <cellStyle name="Normal 2 7 21" xfId="18980" xr:uid="{00000000-0005-0000-0000-0000574A0000}"/>
    <cellStyle name="Normal 2 7 21 2" xfId="18981" xr:uid="{00000000-0005-0000-0000-0000584A0000}"/>
    <cellStyle name="Normal 2 7 21 3" xfId="18982" xr:uid="{00000000-0005-0000-0000-0000594A0000}"/>
    <cellStyle name="Normal 2 7 21 4" xfId="18983" xr:uid="{00000000-0005-0000-0000-00005A4A0000}"/>
    <cellStyle name="Normal 2 7 21 5" xfId="18984" xr:uid="{00000000-0005-0000-0000-00005B4A0000}"/>
    <cellStyle name="Normal 2 7 21 6" xfId="18985" xr:uid="{00000000-0005-0000-0000-00005C4A0000}"/>
    <cellStyle name="Normal 2 7 21 7" xfId="18986" xr:uid="{00000000-0005-0000-0000-00005D4A0000}"/>
    <cellStyle name="Normal 2 7 22" xfId="18987" xr:uid="{00000000-0005-0000-0000-00005E4A0000}"/>
    <cellStyle name="Normal 2 7 22 2" xfId="18988" xr:uid="{00000000-0005-0000-0000-00005F4A0000}"/>
    <cellStyle name="Normal 2 7 22 3" xfId="18989" xr:uid="{00000000-0005-0000-0000-0000604A0000}"/>
    <cellStyle name="Normal 2 7 22 4" xfId="18990" xr:uid="{00000000-0005-0000-0000-0000614A0000}"/>
    <cellStyle name="Normal 2 7 22 5" xfId="18991" xr:uid="{00000000-0005-0000-0000-0000624A0000}"/>
    <cellStyle name="Normal 2 7 22 6" xfId="18992" xr:uid="{00000000-0005-0000-0000-0000634A0000}"/>
    <cellStyle name="Normal 2 7 22 7" xfId="18993" xr:uid="{00000000-0005-0000-0000-0000644A0000}"/>
    <cellStyle name="Normal 2 7 23" xfId="18994" xr:uid="{00000000-0005-0000-0000-0000654A0000}"/>
    <cellStyle name="Normal 2 7 23 2" xfId="18995" xr:uid="{00000000-0005-0000-0000-0000664A0000}"/>
    <cellStyle name="Normal 2 7 23 3" xfId="18996" xr:uid="{00000000-0005-0000-0000-0000674A0000}"/>
    <cellStyle name="Normal 2 7 23 4" xfId="18997" xr:uid="{00000000-0005-0000-0000-0000684A0000}"/>
    <cellStyle name="Normal 2 7 23 5" xfId="18998" xr:uid="{00000000-0005-0000-0000-0000694A0000}"/>
    <cellStyle name="Normal 2 7 23 6" xfId="18999" xr:uid="{00000000-0005-0000-0000-00006A4A0000}"/>
    <cellStyle name="Normal 2 7 23 7" xfId="19000" xr:uid="{00000000-0005-0000-0000-00006B4A0000}"/>
    <cellStyle name="Normal 2 7 24" xfId="19001" xr:uid="{00000000-0005-0000-0000-00006C4A0000}"/>
    <cellStyle name="Normal 2 7 24 2" xfId="19002" xr:uid="{00000000-0005-0000-0000-00006D4A0000}"/>
    <cellStyle name="Normal 2 7 24 3" xfId="19003" xr:uid="{00000000-0005-0000-0000-00006E4A0000}"/>
    <cellStyle name="Normal 2 7 24 4" xfId="19004" xr:uid="{00000000-0005-0000-0000-00006F4A0000}"/>
    <cellStyle name="Normal 2 7 24 5" xfId="19005" xr:uid="{00000000-0005-0000-0000-0000704A0000}"/>
    <cellStyle name="Normal 2 7 24 6" xfId="19006" xr:uid="{00000000-0005-0000-0000-0000714A0000}"/>
    <cellStyle name="Normal 2 7 24 7" xfId="19007" xr:uid="{00000000-0005-0000-0000-0000724A0000}"/>
    <cellStyle name="Normal 2 7 25" xfId="19008" xr:uid="{00000000-0005-0000-0000-0000734A0000}"/>
    <cellStyle name="Normal 2 7 25 2" xfId="19009" xr:uid="{00000000-0005-0000-0000-0000744A0000}"/>
    <cellStyle name="Normal 2 7 25 3" xfId="19010" xr:uid="{00000000-0005-0000-0000-0000754A0000}"/>
    <cellStyle name="Normal 2 7 25 4" xfId="19011" xr:uid="{00000000-0005-0000-0000-0000764A0000}"/>
    <cellStyle name="Normal 2 7 25 5" xfId="19012" xr:uid="{00000000-0005-0000-0000-0000774A0000}"/>
    <cellStyle name="Normal 2 7 25 6" xfId="19013" xr:uid="{00000000-0005-0000-0000-0000784A0000}"/>
    <cellStyle name="Normal 2 7 25 7" xfId="19014" xr:uid="{00000000-0005-0000-0000-0000794A0000}"/>
    <cellStyle name="Normal 2 7 26" xfId="19015" xr:uid="{00000000-0005-0000-0000-00007A4A0000}"/>
    <cellStyle name="Normal 2 7 26 2" xfId="19016" xr:uid="{00000000-0005-0000-0000-00007B4A0000}"/>
    <cellStyle name="Normal 2 7 26 3" xfId="19017" xr:uid="{00000000-0005-0000-0000-00007C4A0000}"/>
    <cellStyle name="Normal 2 7 26 4" xfId="19018" xr:uid="{00000000-0005-0000-0000-00007D4A0000}"/>
    <cellStyle name="Normal 2 7 26 5" xfId="19019" xr:uid="{00000000-0005-0000-0000-00007E4A0000}"/>
    <cellStyle name="Normal 2 7 26 6" xfId="19020" xr:uid="{00000000-0005-0000-0000-00007F4A0000}"/>
    <cellStyle name="Normal 2 7 26 7" xfId="19021" xr:uid="{00000000-0005-0000-0000-0000804A0000}"/>
    <cellStyle name="Normal 2 7 27" xfId="19022" xr:uid="{00000000-0005-0000-0000-0000814A0000}"/>
    <cellStyle name="Normal 2 7 27 2" xfId="19023" xr:uid="{00000000-0005-0000-0000-0000824A0000}"/>
    <cellStyle name="Normal 2 7 27 3" xfId="19024" xr:uid="{00000000-0005-0000-0000-0000834A0000}"/>
    <cellStyle name="Normal 2 7 27 4" xfId="19025" xr:uid="{00000000-0005-0000-0000-0000844A0000}"/>
    <cellStyle name="Normal 2 7 27 5" xfId="19026" xr:uid="{00000000-0005-0000-0000-0000854A0000}"/>
    <cellStyle name="Normal 2 7 27 6" xfId="19027" xr:uid="{00000000-0005-0000-0000-0000864A0000}"/>
    <cellStyle name="Normal 2 7 27 7" xfId="19028" xr:uid="{00000000-0005-0000-0000-0000874A0000}"/>
    <cellStyle name="Normal 2 7 28" xfId="19029" xr:uid="{00000000-0005-0000-0000-0000884A0000}"/>
    <cellStyle name="Normal 2 7 28 2" xfId="19030" xr:uid="{00000000-0005-0000-0000-0000894A0000}"/>
    <cellStyle name="Normal 2 7 28 3" xfId="19031" xr:uid="{00000000-0005-0000-0000-00008A4A0000}"/>
    <cellStyle name="Normal 2 7 28 4" xfId="19032" xr:uid="{00000000-0005-0000-0000-00008B4A0000}"/>
    <cellStyle name="Normal 2 7 28 5" xfId="19033" xr:uid="{00000000-0005-0000-0000-00008C4A0000}"/>
    <cellStyle name="Normal 2 7 28 6" xfId="19034" xr:uid="{00000000-0005-0000-0000-00008D4A0000}"/>
    <cellStyle name="Normal 2 7 28 7" xfId="19035" xr:uid="{00000000-0005-0000-0000-00008E4A0000}"/>
    <cellStyle name="Normal 2 7 29" xfId="19036" xr:uid="{00000000-0005-0000-0000-00008F4A0000}"/>
    <cellStyle name="Normal 2 7 29 2" xfId="19037" xr:uid="{00000000-0005-0000-0000-0000904A0000}"/>
    <cellStyle name="Normal 2 7 29 3" xfId="19038" xr:uid="{00000000-0005-0000-0000-0000914A0000}"/>
    <cellStyle name="Normal 2 7 29 4" xfId="19039" xr:uid="{00000000-0005-0000-0000-0000924A0000}"/>
    <cellStyle name="Normal 2 7 29 5" xfId="19040" xr:uid="{00000000-0005-0000-0000-0000934A0000}"/>
    <cellStyle name="Normal 2 7 29 6" xfId="19041" xr:uid="{00000000-0005-0000-0000-0000944A0000}"/>
    <cellStyle name="Normal 2 7 29 7" xfId="19042" xr:uid="{00000000-0005-0000-0000-0000954A0000}"/>
    <cellStyle name="Normal 2 7 3" xfId="19043" xr:uid="{00000000-0005-0000-0000-0000964A0000}"/>
    <cellStyle name="Normal 2 7 3 2" xfId="19044" xr:uid="{00000000-0005-0000-0000-0000974A0000}"/>
    <cellStyle name="Normal 2 7 3 2 2" xfId="19045" xr:uid="{00000000-0005-0000-0000-0000984A0000}"/>
    <cellStyle name="Normal 2 7 3 2 3" xfId="19046" xr:uid="{00000000-0005-0000-0000-0000994A0000}"/>
    <cellStyle name="Normal 2 7 3 2 4" xfId="19047" xr:uid="{00000000-0005-0000-0000-00009A4A0000}"/>
    <cellStyle name="Normal 2 7 3 2 5" xfId="19048" xr:uid="{00000000-0005-0000-0000-00009B4A0000}"/>
    <cellStyle name="Normal 2 7 3 2 6" xfId="19049" xr:uid="{00000000-0005-0000-0000-00009C4A0000}"/>
    <cellStyle name="Normal 2 7 3 2 7" xfId="19050" xr:uid="{00000000-0005-0000-0000-00009D4A0000}"/>
    <cellStyle name="Normal 2 7 3 3" xfId="19051" xr:uid="{00000000-0005-0000-0000-00009E4A0000}"/>
    <cellStyle name="Normal 2 7 3 4" xfId="19052" xr:uid="{00000000-0005-0000-0000-00009F4A0000}"/>
    <cellStyle name="Normal 2 7 3 5" xfId="19053" xr:uid="{00000000-0005-0000-0000-0000A04A0000}"/>
    <cellStyle name="Normal 2 7 3 6" xfId="19054" xr:uid="{00000000-0005-0000-0000-0000A14A0000}"/>
    <cellStyle name="Normal 2 7 3 7" xfId="19055" xr:uid="{00000000-0005-0000-0000-0000A24A0000}"/>
    <cellStyle name="Normal 2 7 3 8" xfId="19056" xr:uid="{00000000-0005-0000-0000-0000A34A0000}"/>
    <cellStyle name="Normal 2 7 30" xfId="19057" xr:uid="{00000000-0005-0000-0000-0000A44A0000}"/>
    <cellStyle name="Normal 2 7 30 2" xfId="19058" xr:uid="{00000000-0005-0000-0000-0000A54A0000}"/>
    <cellStyle name="Normal 2 7 30 3" xfId="19059" xr:uid="{00000000-0005-0000-0000-0000A64A0000}"/>
    <cellStyle name="Normal 2 7 30 4" xfId="19060" xr:uid="{00000000-0005-0000-0000-0000A74A0000}"/>
    <cellStyle name="Normal 2 7 30 5" xfId="19061" xr:uid="{00000000-0005-0000-0000-0000A84A0000}"/>
    <cellStyle name="Normal 2 7 30 6" xfId="19062" xr:uid="{00000000-0005-0000-0000-0000A94A0000}"/>
    <cellStyle name="Normal 2 7 30 7" xfId="19063" xr:uid="{00000000-0005-0000-0000-0000AA4A0000}"/>
    <cellStyle name="Normal 2 7 31" xfId="19064" xr:uid="{00000000-0005-0000-0000-0000AB4A0000}"/>
    <cellStyle name="Normal 2 7 31 2" xfId="19065" xr:uid="{00000000-0005-0000-0000-0000AC4A0000}"/>
    <cellStyle name="Normal 2 7 31 3" xfId="19066" xr:uid="{00000000-0005-0000-0000-0000AD4A0000}"/>
    <cellStyle name="Normal 2 7 31 4" xfId="19067" xr:uid="{00000000-0005-0000-0000-0000AE4A0000}"/>
    <cellStyle name="Normal 2 7 31 5" xfId="19068" xr:uid="{00000000-0005-0000-0000-0000AF4A0000}"/>
    <cellStyle name="Normal 2 7 31 6" xfId="19069" xr:uid="{00000000-0005-0000-0000-0000B04A0000}"/>
    <cellStyle name="Normal 2 7 31 7" xfId="19070" xr:uid="{00000000-0005-0000-0000-0000B14A0000}"/>
    <cellStyle name="Normal 2 7 32" xfId="19071" xr:uid="{00000000-0005-0000-0000-0000B24A0000}"/>
    <cellStyle name="Normal 2 7 32 2" xfId="19072" xr:uid="{00000000-0005-0000-0000-0000B34A0000}"/>
    <cellStyle name="Normal 2 7 32 3" xfId="19073" xr:uid="{00000000-0005-0000-0000-0000B44A0000}"/>
    <cellStyle name="Normal 2 7 32 4" xfId="19074" xr:uid="{00000000-0005-0000-0000-0000B54A0000}"/>
    <cellStyle name="Normal 2 7 32 5" xfId="19075" xr:uid="{00000000-0005-0000-0000-0000B64A0000}"/>
    <cellStyle name="Normal 2 7 32 6" xfId="19076" xr:uid="{00000000-0005-0000-0000-0000B74A0000}"/>
    <cellStyle name="Normal 2 7 32 7" xfId="19077" xr:uid="{00000000-0005-0000-0000-0000B84A0000}"/>
    <cellStyle name="Normal 2 7 33" xfId="19078" xr:uid="{00000000-0005-0000-0000-0000B94A0000}"/>
    <cellStyle name="Normal 2 7 33 2" xfId="19079" xr:uid="{00000000-0005-0000-0000-0000BA4A0000}"/>
    <cellStyle name="Normal 2 7 33 3" xfId="19080" xr:uid="{00000000-0005-0000-0000-0000BB4A0000}"/>
    <cellStyle name="Normal 2 7 33 4" xfId="19081" xr:uid="{00000000-0005-0000-0000-0000BC4A0000}"/>
    <cellStyle name="Normal 2 7 33 5" xfId="19082" xr:uid="{00000000-0005-0000-0000-0000BD4A0000}"/>
    <cellStyle name="Normal 2 7 33 6" xfId="19083" xr:uid="{00000000-0005-0000-0000-0000BE4A0000}"/>
    <cellStyle name="Normal 2 7 33 7" xfId="19084" xr:uid="{00000000-0005-0000-0000-0000BF4A0000}"/>
    <cellStyle name="Normal 2 7 34" xfId="19085" xr:uid="{00000000-0005-0000-0000-0000C04A0000}"/>
    <cellStyle name="Normal 2 7 34 2" xfId="19086" xr:uid="{00000000-0005-0000-0000-0000C14A0000}"/>
    <cellStyle name="Normal 2 7 34 3" xfId="19087" xr:uid="{00000000-0005-0000-0000-0000C24A0000}"/>
    <cellStyle name="Normal 2 7 34 4" xfId="19088" xr:uid="{00000000-0005-0000-0000-0000C34A0000}"/>
    <cellStyle name="Normal 2 7 34 5" xfId="19089" xr:uid="{00000000-0005-0000-0000-0000C44A0000}"/>
    <cellStyle name="Normal 2 7 34 6" xfId="19090" xr:uid="{00000000-0005-0000-0000-0000C54A0000}"/>
    <cellStyle name="Normal 2 7 34 7" xfId="19091" xr:uid="{00000000-0005-0000-0000-0000C64A0000}"/>
    <cellStyle name="Normal 2 7 35" xfId="19092" xr:uid="{00000000-0005-0000-0000-0000C74A0000}"/>
    <cellStyle name="Normal 2 7 35 2" xfId="19093" xr:uid="{00000000-0005-0000-0000-0000C84A0000}"/>
    <cellStyle name="Normal 2 7 35 3" xfId="19094" xr:uid="{00000000-0005-0000-0000-0000C94A0000}"/>
    <cellStyle name="Normal 2 7 35 4" xfId="19095" xr:uid="{00000000-0005-0000-0000-0000CA4A0000}"/>
    <cellStyle name="Normal 2 7 35 5" xfId="19096" xr:uid="{00000000-0005-0000-0000-0000CB4A0000}"/>
    <cellStyle name="Normal 2 7 35 6" xfId="19097" xr:uid="{00000000-0005-0000-0000-0000CC4A0000}"/>
    <cellStyle name="Normal 2 7 35 7" xfId="19098" xr:uid="{00000000-0005-0000-0000-0000CD4A0000}"/>
    <cellStyle name="Normal 2 7 36" xfId="19099" xr:uid="{00000000-0005-0000-0000-0000CE4A0000}"/>
    <cellStyle name="Normal 2 7 37" xfId="19100" xr:uid="{00000000-0005-0000-0000-0000CF4A0000}"/>
    <cellStyle name="Normal 2 7 38" xfId="19101" xr:uid="{00000000-0005-0000-0000-0000D04A0000}"/>
    <cellStyle name="Normal 2 7 39" xfId="19102" xr:uid="{00000000-0005-0000-0000-0000D14A0000}"/>
    <cellStyle name="Normal 2 7 4" xfId="19103" xr:uid="{00000000-0005-0000-0000-0000D24A0000}"/>
    <cellStyle name="Normal 2 7 4 2" xfId="19104" xr:uid="{00000000-0005-0000-0000-0000D34A0000}"/>
    <cellStyle name="Normal 2 7 4 2 2" xfId="19105" xr:uid="{00000000-0005-0000-0000-0000D44A0000}"/>
    <cellStyle name="Normal 2 7 4 2 3" xfId="19106" xr:uid="{00000000-0005-0000-0000-0000D54A0000}"/>
    <cellStyle name="Normal 2 7 4 2 4" xfId="19107" xr:uid="{00000000-0005-0000-0000-0000D64A0000}"/>
    <cellStyle name="Normal 2 7 4 2 5" xfId="19108" xr:uid="{00000000-0005-0000-0000-0000D74A0000}"/>
    <cellStyle name="Normal 2 7 4 2 6" xfId="19109" xr:uid="{00000000-0005-0000-0000-0000D84A0000}"/>
    <cellStyle name="Normal 2 7 4 2 7" xfId="19110" xr:uid="{00000000-0005-0000-0000-0000D94A0000}"/>
    <cellStyle name="Normal 2 7 4 3" xfId="19111" xr:uid="{00000000-0005-0000-0000-0000DA4A0000}"/>
    <cellStyle name="Normal 2 7 4 4" xfId="19112" xr:uid="{00000000-0005-0000-0000-0000DB4A0000}"/>
    <cellStyle name="Normal 2 7 4 5" xfId="19113" xr:uid="{00000000-0005-0000-0000-0000DC4A0000}"/>
    <cellStyle name="Normal 2 7 4 6" xfId="19114" xr:uid="{00000000-0005-0000-0000-0000DD4A0000}"/>
    <cellStyle name="Normal 2 7 4 7" xfId="19115" xr:uid="{00000000-0005-0000-0000-0000DE4A0000}"/>
    <cellStyle name="Normal 2 7 4 8" xfId="19116" xr:uid="{00000000-0005-0000-0000-0000DF4A0000}"/>
    <cellStyle name="Normal 2 7 40" xfId="19117" xr:uid="{00000000-0005-0000-0000-0000E04A0000}"/>
    <cellStyle name="Normal 2 7 41" xfId="19118" xr:uid="{00000000-0005-0000-0000-0000E14A0000}"/>
    <cellStyle name="Normal 2 7 42" xfId="19119" xr:uid="{00000000-0005-0000-0000-0000E24A0000}"/>
    <cellStyle name="Normal 2 7 43" xfId="19120" xr:uid="{00000000-0005-0000-0000-0000E34A0000}"/>
    <cellStyle name="Normal 2 7 5" xfId="19121" xr:uid="{00000000-0005-0000-0000-0000E44A0000}"/>
    <cellStyle name="Normal 2 7 5 2" xfId="19122" xr:uid="{00000000-0005-0000-0000-0000E54A0000}"/>
    <cellStyle name="Normal 2 7 5 2 2" xfId="19123" xr:uid="{00000000-0005-0000-0000-0000E64A0000}"/>
    <cellStyle name="Normal 2 7 5 2 3" xfId="19124" xr:uid="{00000000-0005-0000-0000-0000E74A0000}"/>
    <cellStyle name="Normal 2 7 5 2 4" xfId="19125" xr:uid="{00000000-0005-0000-0000-0000E84A0000}"/>
    <cellStyle name="Normal 2 7 5 2 5" xfId="19126" xr:uid="{00000000-0005-0000-0000-0000E94A0000}"/>
    <cellStyle name="Normal 2 7 5 2 6" xfId="19127" xr:uid="{00000000-0005-0000-0000-0000EA4A0000}"/>
    <cellStyle name="Normal 2 7 5 2 7" xfId="19128" xr:uid="{00000000-0005-0000-0000-0000EB4A0000}"/>
    <cellStyle name="Normal 2 7 5 3" xfId="19129" xr:uid="{00000000-0005-0000-0000-0000EC4A0000}"/>
    <cellStyle name="Normal 2 7 5 4" xfId="19130" xr:uid="{00000000-0005-0000-0000-0000ED4A0000}"/>
    <cellStyle name="Normal 2 7 5 5" xfId="19131" xr:uid="{00000000-0005-0000-0000-0000EE4A0000}"/>
    <cellStyle name="Normal 2 7 5 6" xfId="19132" xr:uid="{00000000-0005-0000-0000-0000EF4A0000}"/>
    <cellStyle name="Normal 2 7 5 7" xfId="19133" xr:uid="{00000000-0005-0000-0000-0000F04A0000}"/>
    <cellStyle name="Normal 2 7 5 8" xfId="19134" xr:uid="{00000000-0005-0000-0000-0000F14A0000}"/>
    <cellStyle name="Normal 2 7 6" xfId="19135" xr:uid="{00000000-0005-0000-0000-0000F24A0000}"/>
    <cellStyle name="Normal 2 7 6 2" xfId="19136" xr:uid="{00000000-0005-0000-0000-0000F34A0000}"/>
    <cellStyle name="Normal 2 7 6 2 2" xfId="19137" xr:uid="{00000000-0005-0000-0000-0000F44A0000}"/>
    <cellStyle name="Normal 2 7 6 2 3" xfId="19138" xr:uid="{00000000-0005-0000-0000-0000F54A0000}"/>
    <cellStyle name="Normal 2 7 6 2 4" xfId="19139" xr:uid="{00000000-0005-0000-0000-0000F64A0000}"/>
    <cellStyle name="Normal 2 7 6 2 5" xfId="19140" xr:uid="{00000000-0005-0000-0000-0000F74A0000}"/>
    <cellStyle name="Normal 2 7 6 2 6" xfId="19141" xr:uid="{00000000-0005-0000-0000-0000F84A0000}"/>
    <cellStyle name="Normal 2 7 6 2 7" xfId="19142" xr:uid="{00000000-0005-0000-0000-0000F94A0000}"/>
    <cellStyle name="Normal 2 7 6 3" xfId="19143" xr:uid="{00000000-0005-0000-0000-0000FA4A0000}"/>
    <cellStyle name="Normal 2 7 6 4" xfId="19144" xr:uid="{00000000-0005-0000-0000-0000FB4A0000}"/>
    <cellStyle name="Normal 2 7 6 5" xfId="19145" xr:uid="{00000000-0005-0000-0000-0000FC4A0000}"/>
    <cellStyle name="Normal 2 7 6 6" xfId="19146" xr:uid="{00000000-0005-0000-0000-0000FD4A0000}"/>
    <cellStyle name="Normal 2 7 6 7" xfId="19147" xr:uid="{00000000-0005-0000-0000-0000FE4A0000}"/>
    <cellStyle name="Normal 2 7 6 8" xfId="19148" xr:uid="{00000000-0005-0000-0000-0000FF4A0000}"/>
    <cellStyle name="Normal 2 7 7" xfId="19149" xr:uid="{00000000-0005-0000-0000-0000004B0000}"/>
    <cellStyle name="Normal 2 7 7 2" xfId="19150" xr:uid="{00000000-0005-0000-0000-0000014B0000}"/>
    <cellStyle name="Normal 2 7 7 2 2" xfId="19151" xr:uid="{00000000-0005-0000-0000-0000024B0000}"/>
    <cellStyle name="Normal 2 7 7 2 3" xfId="19152" xr:uid="{00000000-0005-0000-0000-0000034B0000}"/>
    <cellStyle name="Normal 2 7 7 2 4" xfId="19153" xr:uid="{00000000-0005-0000-0000-0000044B0000}"/>
    <cellStyle name="Normal 2 7 7 2 5" xfId="19154" xr:uid="{00000000-0005-0000-0000-0000054B0000}"/>
    <cellStyle name="Normal 2 7 7 2 6" xfId="19155" xr:uid="{00000000-0005-0000-0000-0000064B0000}"/>
    <cellStyle name="Normal 2 7 7 2 7" xfId="19156" xr:uid="{00000000-0005-0000-0000-0000074B0000}"/>
    <cellStyle name="Normal 2 7 7 3" xfId="19157" xr:uid="{00000000-0005-0000-0000-0000084B0000}"/>
    <cellStyle name="Normal 2 7 7 4" xfId="19158" xr:uid="{00000000-0005-0000-0000-0000094B0000}"/>
    <cellStyle name="Normal 2 7 7 5" xfId="19159" xr:uid="{00000000-0005-0000-0000-00000A4B0000}"/>
    <cellStyle name="Normal 2 7 7 6" xfId="19160" xr:uid="{00000000-0005-0000-0000-00000B4B0000}"/>
    <cellStyle name="Normal 2 7 7 7" xfId="19161" xr:uid="{00000000-0005-0000-0000-00000C4B0000}"/>
    <cellStyle name="Normal 2 7 7 8" xfId="19162" xr:uid="{00000000-0005-0000-0000-00000D4B0000}"/>
    <cellStyle name="Normal 2 7 8" xfId="19163" xr:uid="{00000000-0005-0000-0000-00000E4B0000}"/>
    <cellStyle name="Normal 2 7 8 2" xfId="19164" xr:uid="{00000000-0005-0000-0000-00000F4B0000}"/>
    <cellStyle name="Normal 2 7 8 2 2" xfId="19165" xr:uid="{00000000-0005-0000-0000-0000104B0000}"/>
    <cellStyle name="Normal 2 7 8 2 3" xfId="19166" xr:uid="{00000000-0005-0000-0000-0000114B0000}"/>
    <cellStyle name="Normal 2 7 8 2 4" xfId="19167" xr:uid="{00000000-0005-0000-0000-0000124B0000}"/>
    <cellStyle name="Normal 2 7 8 2 5" xfId="19168" xr:uid="{00000000-0005-0000-0000-0000134B0000}"/>
    <cellStyle name="Normal 2 7 8 2 6" xfId="19169" xr:uid="{00000000-0005-0000-0000-0000144B0000}"/>
    <cellStyle name="Normal 2 7 8 2 7" xfId="19170" xr:uid="{00000000-0005-0000-0000-0000154B0000}"/>
    <cellStyle name="Normal 2 7 8 3" xfId="19171" xr:uid="{00000000-0005-0000-0000-0000164B0000}"/>
    <cellStyle name="Normal 2 7 8 4" xfId="19172" xr:uid="{00000000-0005-0000-0000-0000174B0000}"/>
    <cellStyle name="Normal 2 7 8 5" xfId="19173" xr:uid="{00000000-0005-0000-0000-0000184B0000}"/>
    <cellStyle name="Normal 2 7 8 6" xfId="19174" xr:uid="{00000000-0005-0000-0000-0000194B0000}"/>
    <cellStyle name="Normal 2 7 8 7" xfId="19175" xr:uid="{00000000-0005-0000-0000-00001A4B0000}"/>
    <cellStyle name="Normal 2 7 8 8" xfId="19176" xr:uid="{00000000-0005-0000-0000-00001B4B0000}"/>
    <cellStyle name="Normal 2 7 9" xfId="19177" xr:uid="{00000000-0005-0000-0000-00001C4B0000}"/>
    <cellStyle name="Normal 2 7 9 2" xfId="19178" xr:uid="{00000000-0005-0000-0000-00001D4B0000}"/>
    <cellStyle name="Normal 2 7 9 2 2" xfId="19179" xr:uid="{00000000-0005-0000-0000-00001E4B0000}"/>
    <cellStyle name="Normal 2 7 9 2 3" xfId="19180" xr:uid="{00000000-0005-0000-0000-00001F4B0000}"/>
    <cellStyle name="Normal 2 7 9 2 4" xfId="19181" xr:uid="{00000000-0005-0000-0000-0000204B0000}"/>
    <cellStyle name="Normal 2 7 9 2 5" xfId="19182" xr:uid="{00000000-0005-0000-0000-0000214B0000}"/>
    <cellStyle name="Normal 2 7 9 2 6" xfId="19183" xr:uid="{00000000-0005-0000-0000-0000224B0000}"/>
    <cellStyle name="Normal 2 7 9 2 7" xfId="19184" xr:uid="{00000000-0005-0000-0000-0000234B0000}"/>
    <cellStyle name="Normal 2 7 9 3" xfId="19185" xr:uid="{00000000-0005-0000-0000-0000244B0000}"/>
    <cellStyle name="Normal 2 7 9 4" xfId="19186" xr:uid="{00000000-0005-0000-0000-0000254B0000}"/>
    <cellStyle name="Normal 2 7 9 5" xfId="19187" xr:uid="{00000000-0005-0000-0000-0000264B0000}"/>
    <cellStyle name="Normal 2 7 9 6" xfId="19188" xr:uid="{00000000-0005-0000-0000-0000274B0000}"/>
    <cellStyle name="Normal 2 7 9 7" xfId="19189" xr:uid="{00000000-0005-0000-0000-0000284B0000}"/>
    <cellStyle name="Normal 2 7 9 8" xfId="19190" xr:uid="{00000000-0005-0000-0000-0000294B0000}"/>
    <cellStyle name="Normal 2 8" xfId="6201" xr:uid="{00000000-0005-0000-0000-00002A4B0000}"/>
    <cellStyle name="Normal 2 8 10" xfId="19191" xr:uid="{00000000-0005-0000-0000-00002B4B0000}"/>
    <cellStyle name="Normal 2 8 10 2" xfId="19192" xr:uid="{00000000-0005-0000-0000-00002C4B0000}"/>
    <cellStyle name="Normal 2 8 10 2 2" xfId="19193" xr:uid="{00000000-0005-0000-0000-00002D4B0000}"/>
    <cellStyle name="Normal 2 8 10 2 3" xfId="19194" xr:uid="{00000000-0005-0000-0000-00002E4B0000}"/>
    <cellStyle name="Normal 2 8 10 2 4" xfId="19195" xr:uid="{00000000-0005-0000-0000-00002F4B0000}"/>
    <cellStyle name="Normal 2 8 10 2 5" xfId="19196" xr:uid="{00000000-0005-0000-0000-0000304B0000}"/>
    <cellStyle name="Normal 2 8 10 2 6" xfId="19197" xr:uid="{00000000-0005-0000-0000-0000314B0000}"/>
    <cellStyle name="Normal 2 8 10 2 7" xfId="19198" xr:uid="{00000000-0005-0000-0000-0000324B0000}"/>
    <cellStyle name="Normal 2 8 10 3" xfId="19199" xr:uid="{00000000-0005-0000-0000-0000334B0000}"/>
    <cellStyle name="Normal 2 8 10 4" xfId="19200" xr:uid="{00000000-0005-0000-0000-0000344B0000}"/>
    <cellStyle name="Normal 2 8 10 5" xfId="19201" xr:uid="{00000000-0005-0000-0000-0000354B0000}"/>
    <cellStyle name="Normal 2 8 10 6" xfId="19202" xr:uid="{00000000-0005-0000-0000-0000364B0000}"/>
    <cellStyle name="Normal 2 8 10 7" xfId="19203" xr:uid="{00000000-0005-0000-0000-0000374B0000}"/>
    <cellStyle name="Normal 2 8 10 8" xfId="19204" xr:uid="{00000000-0005-0000-0000-0000384B0000}"/>
    <cellStyle name="Normal 2 8 11" xfId="19205" xr:uid="{00000000-0005-0000-0000-0000394B0000}"/>
    <cellStyle name="Normal 2 8 11 2" xfId="19206" xr:uid="{00000000-0005-0000-0000-00003A4B0000}"/>
    <cellStyle name="Normal 2 8 11 2 2" xfId="19207" xr:uid="{00000000-0005-0000-0000-00003B4B0000}"/>
    <cellStyle name="Normal 2 8 11 2 3" xfId="19208" xr:uid="{00000000-0005-0000-0000-00003C4B0000}"/>
    <cellStyle name="Normal 2 8 11 2 4" xfId="19209" xr:uid="{00000000-0005-0000-0000-00003D4B0000}"/>
    <cellStyle name="Normal 2 8 11 2 5" xfId="19210" xr:uid="{00000000-0005-0000-0000-00003E4B0000}"/>
    <cellStyle name="Normal 2 8 11 2 6" xfId="19211" xr:uid="{00000000-0005-0000-0000-00003F4B0000}"/>
    <cellStyle name="Normal 2 8 11 2 7" xfId="19212" xr:uid="{00000000-0005-0000-0000-0000404B0000}"/>
    <cellStyle name="Normal 2 8 11 3" xfId="19213" xr:uid="{00000000-0005-0000-0000-0000414B0000}"/>
    <cellStyle name="Normal 2 8 11 4" xfId="19214" xr:uid="{00000000-0005-0000-0000-0000424B0000}"/>
    <cellStyle name="Normal 2 8 11 5" xfId="19215" xr:uid="{00000000-0005-0000-0000-0000434B0000}"/>
    <cellStyle name="Normal 2 8 11 6" xfId="19216" xr:uid="{00000000-0005-0000-0000-0000444B0000}"/>
    <cellStyle name="Normal 2 8 11 7" xfId="19217" xr:uid="{00000000-0005-0000-0000-0000454B0000}"/>
    <cellStyle name="Normal 2 8 11 8" xfId="19218" xr:uid="{00000000-0005-0000-0000-0000464B0000}"/>
    <cellStyle name="Normal 2 8 12" xfId="19219" xr:uid="{00000000-0005-0000-0000-0000474B0000}"/>
    <cellStyle name="Normal 2 8 12 2" xfId="19220" xr:uid="{00000000-0005-0000-0000-0000484B0000}"/>
    <cellStyle name="Normal 2 8 12 2 2" xfId="19221" xr:uid="{00000000-0005-0000-0000-0000494B0000}"/>
    <cellStyle name="Normal 2 8 12 2 3" xfId="19222" xr:uid="{00000000-0005-0000-0000-00004A4B0000}"/>
    <cellStyle name="Normal 2 8 12 2 4" xfId="19223" xr:uid="{00000000-0005-0000-0000-00004B4B0000}"/>
    <cellStyle name="Normal 2 8 12 2 5" xfId="19224" xr:uid="{00000000-0005-0000-0000-00004C4B0000}"/>
    <cellStyle name="Normal 2 8 12 2 6" xfId="19225" xr:uid="{00000000-0005-0000-0000-00004D4B0000}"/>
    <cellStyle name="Normal 2 8 12 2 7" xfId="19226" xr:uid="{00000000-0005-0000-0000-00004E4B0000}"/>
    <cellStyle name="Normal 2 8 12 3" xfId="19227" xr:uid="{00000000-0005-0000-0000-00004F4B0000}"/>
    <cellStyle name="Normal 2 8 12 4" xfId="19228" xr:uid="{00000000-0005-0000-0000-0000504B0000}"/>
    <cellStyle name="Normal 2 8 12 5" xfId="19229" xr:uid="{00000000-0005-0000-0000-0000514B0000}"/>
    <cellStyle name="Normal 2 8 12 6" xfId="19230" xr:uid="{00000000-0005-0000-0000-0000524B0000}"/>
    <cellStyle name="Normal 2 8 12 7" xfId="19231" xr:uid="{00000000-0005-0000-0000-0000534B0000}"/>
    <cellStyle name="Normal 2 8 12 8" xfId="19232" xr:uid="{00000000-0005-0000-0000-0000544B0000}"/>
    <cellStyle name="Normal 2 8 13" xfId="19233" xr:uid="{00000000-0005-0000-0000-0000554B0000}"/>
    <cellStyle name="Normal 2 8 13 2" xfId="19234" xr:uid="{00000000-0005-0000-0000-0000564B0000}"/>
    <cellStyle name="Normal 2 8 13 2 2" xfId="19235" xr:uid="{00000000-0005-0000-0000-0000574B0000}"/>
    <cellStyle name="Normal 2 8 13 2 3" xfId="19236" xr:uid="{00000000-0005-0000-0000-0000584B0000}"/>
    <cellStyle name="Normal 2 8 13 2 4" xfId="19237" xr:uid="{00000000-0005-0000-0000-0000594B0000}"/>
    <cellStyle name="Normal 2 8 13 2 5" xfId="19238" xr:uid="{00000000-0005-0000-0000-00005A4B0000}"/>
    <cellStyle name="Normal 2 8 13 2 6" xfId="19239" xr:uid="{00000000-0005-0000-0000-00005B4B0000}"/>
    <cellStyle name="Normal 2 8 13 2 7" xfId="19240" xr:uid="{00000000-0005-0000-0000-00005C4B0000}"/>
    <cellStyle name="Normal 2 8 13 3" xfId="19241" xr:uid="{00000000-0005-0000-0000-00005D4B0000}"/>
    <cellStyle name="Normal 2 8 13 4" xfId="19242" xr:uid="{00000000-0005-0000-0000-00005E4B0000}"/>
    <cellStyle name="Normal 2 8 13 5" xfId="19243" xr:uid="{00000000-0005-0000-0000-00005F4B0000}"/>
    <cellStyle name="Normal 2 8 13 6" xfId="19244" xr:uid="{00000000-0005-0000-0000-0000604B0000}"/>
    <cellStyle name="Normal 2 8 13 7" xfId="19245" xr:uid="{00000000-0005-0000-0000-0000614B0000}"/>
    <cellStyle name="Normal 2 8 13 8" xfId="19246" xr:uid="{00000000-0005-0000-0000-0000624B0000}"/>
    <cellStyle name="Normal 2 8 14" xfId="19247" xr:uid="{00000000-0005-0000-0000-0000634B0000}"/>
    <cellStyle name="Normal 2 8 14 2" xfId="19248" xr:uid="{00000000-0005-0000-0000-0000644B0000}"/>
    <cellStyle name="Normal 2 8 14 2 2" xfId="19249" xr:uid="{00000000-0005-0000-0000-0000654B0000}"/>
    <cellStyle name="Normal 2 8 14 2 3" xfId="19250" xr:uid="{00000000-0005-0000-0000-0000664B0000}"/>
    <cellStyle name="Normal 2 8 14 2 4" xfId="19251" xr:uid="{00000000-0005-0000-0000-0000674B0000}"/>
    <cellStyle name="Normal 2 8 14 2 5" xfId="19252" xr:uid="{00000000-0005-0000-0000-0000684B0000}"/>
    <cellStyle name="Normal 2 8 14 2 6" xfId="19253" xr:uid="{00000000-0005-0000-0000-0000694B0000}"/>
    <cellStyle name="Normal 2 8 14 2 7" xfId="19254" xr:uid="{00000000-0005-0000-0000-00006A4B0000}"/>
    <cellStyle name="Normal 2 8 14 3" xfId="19255" xr:uid="{00000000-0005-0000-0000-00006B4B0000}"/>
    <cellStyle name="Normal 2 8 14 4" xfId="19256" xr:uid="{00000000-0005-0000-0000-00006C4B0000}"/>
    <cellStyle name="Normal 2 8 14 5" xfId="19257" xr:uid="{00000000-0005-0000-0000-00006D4B0000}"/>
    <cellStyle name="Normal 2 8 14 6" xfId="19258" xr:uid="{00000000-0005-0000-0000-00006E4B0000}"/>
    <cellStyle name="Normal 2 8 14 7" xfId="19259" xr:uid="{00000000-0005-0000-0000-00006F4B0000}"/>
    <cellStyle name="Normal 2 8 14 8" xfId="19260" xr:uid="{00000000-0005-0000-0000-0000704B0000}"/>
    <cellStyle name="Normal 2 8 15" xfId="19261" xr:uid="{00000000-0005-0000-0000-0000714B0000}"/>
    <cellStyle name="Normal 2 8 15 2" xfId="19262" xr:uid="{00000000-0005-0000-0000-0000724B0000}"/>
    <cellStyle name="Normal 2 8 15 2 2" xfId="19263" xr:uid="{00000000-0005-0000-0000-0000734B0000}"/>
    <cellStyle name="Normal 2 8 15 2 3" xfId="19264" xr:uid="{00000000-0005-0000-0000-0000744B0000}"/>
    <cellStyle name="Normal 2 8 15 2 4" xfId="19265" xr:uid="{00000000-0005-0000-0000-0000754B0000}"/>
    <cellStyle name="Normal 2 8 15 2 5" xfId="19266" xr:uid="{00000000-0005-0000-0000-0000764B0000}"/>
    <cellStyle name="Normal 2 8 15 2 6" xfId="19267" xr:uid="{00000000-0005-0000-0000-0000774B0000}"/>
    <cellStyle name="Normal 2 8 15 2 7" xfId="19268" xr:uid="{00000000-0005-0000-0000-0000784B0000}"/>
    <cellStyle name="Normal 2 8 15 3" xfId="19269" xr:uid="{00000000-0005-0000-0000-0000794B0000}"/>
    <cellStyle name="Normal 2 8 15 4" xfId="19270" xr:uid="{00000000-0005-0000-0000-00007A4B0000}"/>
    <cellStyle name="Normal 2 8 15 5" xfId="19271" xr:uid="{00000000-0005-0000-0000-00007B4B0000}"/>
    <cellStyle name="Normal 2 8 15 6" xfId="19272" xr:uid="{00000000-0005-0000-0000-00007C4B0000}"/>
    <cellStyle name="Normal 2 8 15 7" xfId="19273" xr:uid="{00000000-0005-0000-0000-00007D4B0000}"/>
    <cellStyle name="Normal 2 8 15 8" xfId="19274" xr:uid="{00000000-0005-0000-0000-00007E4B0000}"/>
    <cellStyle name="Normal 2 8 16" xfId="19275" xr:uid="{00000000-0005-0000-0000-00007F4B0000}"/>
    <cellStyle name="Normal 2 8 16 2" xfId="19276" xr:uid="{00000000-0005-0000-0000-0000804B0000}"/>
    <cellStyle name="Normal 2 8 16 3" xfId="19277" xr:uid="{00000000-0005-0000-0000-0000814B0000}"/>
    <cellStyle name="Normal 2 8 16 4" xfId="19278" xr:uid="{00000000-0005-0000-0000-0000824B0000}"/>
    <cellStyle name="Normal 2 8 16 5" xfId="19279" xr:uid="{00000000-0005-0000-0000-0000834B0000}"/>
    <cellStyle name="Normal 2 8 16 6" xfId="19280" xr:uid="{00000000-0005-0000-0000-0000844B0000}"/>
    <cellStyle name="Normal 2 8 16 7" xfId="19281" xr:uid="{00000000-0005-0000-0000-0000854B0000}"/>
    <cellStyle name="Normal 2 8 17" xfId="19282" xr:uid="{00000000-0005-0000-0000-0000864B0000}"/>
    <cellStyle name="Normal 2 8 17 2" xfId="19283" xr:uid="{00000000-0005-0000-0000-0000874B0000}"/>
    <cellStyle name="Normal 2 8 17 3" xfId="19284" xr:uid="{00000000-0005-0000-0000-0000884B0000}"/>
    <cellStyle name="Normal 2 8 17 4" xfId="19285" xr:uid="{00000000-0005-0000-0000-0000894B0000}"/>
    <cellStyle name="Normal 2 8 17 5" xfId="19286" xr:uid="{00000000-0005-0000-0000-00008A4B0000}"/>
    <cellStyle name="Normal 2 8 17 6" xfId="19287" xr:uid="{00000000-0005-0000-0000-00008B4B0000}"/>
    <cellStyle name="Normal 2 8 17 7" xfId="19288" xr:uid="{00000000-0005-0000-0000-00008C4B0000}"/>
    <cellStyle name="Normal 2 8 18" xfId="19289" xr:uid="{00000000-0005-0000-0000-00008D4B0000}"/>
    <cellStyle name="Normal 2 8 18 2" xfId="19290" xr:uid="{00000000-0005-0000-0000-00008E4B0000}"/>
    <cellStyle name="Normal 2 8 18 3" xfId="19291" xr:uid="{00000000-0005-0000-0000-00008F4B0000}"/>
    <cellStyle name="Normal 2 8 18 4" xfId="19292" xr:uid="{00000000-0005-0000-0000-0000904B0000}"/>
    <cellStyle name="Normal 2 8 18 5" xfId="19293" xr:uid="{00000000-0005-0000-0000-0000914B0000}"/>
    <cellStyle name="Normal 2 8 18 6" xfId="19294" xr:uid="{00000000-0005-0000-0000-0000924B0000}"/>
    <cellStyle name="Normal 2 8 18 7" xfId="19295" xr:uid="{00000000-0005-0000-0000-0000934B0000}"/>
    <cellStyle name="Normal 2 8 19" xfId="19296" xr:uid="{00000000-0005-0000-0000-0000944B0000}"/>
    <cellStyle name="Normal 2 8 19 2" xfId="19297" xr:uid="{00000000-0005-0000-0000-0000954B0000}"/>
    <cellStyle name="Normal 2 8 19 3" xfId="19298" xr:uid="{00000000-0005-0000-0000-0000964B0000}"/>
    <cellStyle name="Normal 2 8 19 4" xfId="19299" xr:uid="{00000000-0005-0000-0000-0000974B0000}"/>
    <cellStyle name="Normal 2 8 19 5" xfId="19300" xr:uid="{00000000-0005-0000-0000-0000984B0000}"/>
    <cellStyle name="Normal 2 8 19 6" xfId="19301" xr:uid="{00000000-0005-0000-0000-0000994B0000}"/>
    <cellStyle name="Normal 2 8 19 7" xfId="19302" xr:uid="{00000000-0005-0000-0000-00009A4B0000}"/>
    <cellStyle name="Normal 2 8 2" xfId="19303" xr:uid="{00000000-0005-0000-0000-00009B4B0000}"/>
    <cellStyle name="Normal 2 8 2 2" xfId="19304" xr:uid="{00000000-0005-0000-0000-00009C4B0000}"/>
    <cellStyle name="Normal 2 8 2 2 2" xfId="19305" xr:uid="{00000000-0005-0000-0000-00009D4B0000}"/>
    <cellStyle name="Normal 2 8 2 2 3" xfId="19306" xr:uid="{00000000-0005-0000-0000-00009E4B0000}"/>
    <cellStyle name="Normal 2 8 2 2 4" xfId="19307" xr:uid="{00000000-0005-0000-0000-00009F4B0000}"/>
    <cellStyle name="Normal 2 8 2 2 5" xfId="19308" xr:uid="{00000000-0005-0000-0000-0000A04B0000}"/>
    <cellStyle name="Normal 2 8 2 2 6" xfId="19309" xr:uid="{00000000-0005-0000-0000-0000A14B0000}"/>
    <cellStyle name="Normal 2 8 2 2 7" xfId="19310" xr:uid="{00000000-0005-0000-0000-0000A24B0000}"/>
    <cellStyle name="Normal 2 8 2 3" xfId="19311" xr:uid="{00000000-0005-0000-0000-0000A34B0000}"/>
    <cellStyle name="Normal 2 8 2 4" xfId="19312" xr:uid="{00000000-0005-0000-0000-0000A44B0000}"/>
    <cellStyle name="Normal 2 8 2 5" xfId="19313" xr:uid="{00000000-0005-0000-0000-0000A54B0000}"/>
    <cellStyle name="Normal 2 8 2 6" xfId="19314" xr:uid="{00000000-0005-0000-0000-0000A64B0000}"/>
    <cellStyle name="Normal 2 8 2 7" xfId="19315" xr:uid="{00000000-0005-0000-0000-0000A74B0000}"/>
    <cellStyle name="Normal 2 8 2 8" xfId="19316" xr:uid="{00000000-0005-0000-0000-0000A84B0000}"/>
    <cellStyle name="Normal 2 8 20" xfId="19317" xr:uid="{00000000-0005-0000-0000-0000A94B0000}"/>
    <cellStyle name="Normal 2 8 20 2" xfId="19318" xr:uid="{00000000-0005-0000-0000-0000AA4B0000}"/>
    <cellStyle name="Normal 2 8 20 3" xfId="19319" xr:uid="{00000000-0005-0000-0000-0000AB4B0000}"/>
    <cellStyle name="Normal 2 8 20 4" xfId="19320" xr:uid="{00000000-0005-0000-0000-0000AC4B0000}"/>
    <cellStyle name="Normal 2 8 20 5" xfId="19321" xr:uid="{00000000-0005-0000-0000-0000AD4B0000}"/>
    <cellStyle name="Normal 2 8 20 6" xfId="19322" xr:uid="{00000000-0005-0000-0000-0000AE4B0000}"/>
    <cellStyle name="Normal 2 8 20 7" xfId="19323" xr:uid="{00000000-0005-0000-0000-0000AF4B0000}"/>
    <cellStyle name="Normal 2 8 21" xfId="19324" xr:uid="{00000000-0005-0000-0000-0000B04B0000}"/>
    <cellStyle name="Normal 2 8 21 2" xfId="19325" xr:uid="{00000000-0005-0000-0000-0000B14B0000}"/>
    <cellStyle name="Normal 2 8 21 3" xfId="19326" xr:uid="{00000000-0005-0000-0000-0000B24B0000}"/>
    <cellStyle name="Normal 2 8 21 4" xfId="19327" xr:uid="{00000000-0005-0000-0000-0000B34B0000}"/>
    <cellStyle name="Normal 2 8 21 5" xfId="19328" xr:uid="{00000000-0005-0000-0000-0000B44B0000}"/>
    <cellStyle name="Normal 2 8 21 6" xfId="19329" xr:uid="{00000000-0005-0000-0000-0000B54B0000}"/>
    <cellStyle name="Normal 2 8 21 7" xfId="19330" xr:uid="{00000000-0005-0000-0000-0000B64B0000}"/>
    <cellStyle name="Normal 2 8 22" xfId="19331" xr:uid="{00000000-0005-0000-0000-0000B74B0000}"/>
    <cellStyle name="Normal 2 8 22 2" xfId="19332" xr:uid="{00000000-0005-0000-0000-0000B84B0000}"/>
    <cellStyle name="Normal 2 8 22 3" xfId="19333" xr:uid="{00000000-0005-0000-0000-0000B94B0000}"/>
    <cellStyle name="Normal 2 8 22 4" xfId="19334" xr:uid="{00000000-0005-0000-0000-0000BA4B0000}"/>
    <cellStyle name="Normal 2 8 22 5" xfId="19335" xr:uid="{00000000-0005-0000-0000-0000BB4B0000}"/>
    <cellStyle name="Normal 2 8 22 6" xfId="19336" xr:uid="{00000000-0005-0000-0000-0000BC4B0000}"/>
    <cellStyle name="Normal 2 8 22 7" xfId="19337" xr:uid="{00000000-0005-0000-0000-0000BD4B0000}"/>
    <cellStyle name="Normal 2 8 23" xfId="19338" xr:uid="{00000000-0005-0000-0000-0000BE4B0000}"/>
    <cellStyle name="Normal 2 8 23 2" xfId="19339" xr:uid="{00000000-0005-0000-0000-0000BF4B0000}"/>
    <cellStyle name="Normal 2 8 23 3" xfId="19340" xr:uid="{00000000-0005-0000-0000-0000C04B0000}"/>
    <cellStyle name="Normal 2 8 23 4" xfId="19341" xr:uid="{00000000-0005-0000-0000-0000C14B0000}"/>
    <cellStyle name="Normal 2 8 23 5" xfId="19342" xr:uid="{00000000-0005-0000-0000-0000C24B0000}"/>
    <cellStyle name="Normal 2 8 23 6" xfId="19343" xr:uid="{00000000-0005-0000-0000-0000C34B0000}"/>
    <cellStyle name="Normal 2 8 23 7" xfId="19344" xr:uid="{00000000-0005-0000-0000-0000C44B0000}"/>
    <cellStyle name="Normal 2 8 24" xfId="19345" xr:uid="{00000000-0005-0000-0000-0000C54B0000}"/>
    <cellStyle name="Normal 2 8 24 2" xfId="19346" xr:uid="{00000000-0005-0000-0000-0000C64B0000}"/>
    <cellStyle name="Normal 2 8 24 3" xfId="19347" xr:uid="{00000000-0005-0000-0000-0000C74B0000}"/>
    <cellStyle name="Normal 2 8 24 4" xfId="19348" xr:uid="{00000000-0005-0000-0000-0000C84B0000}"/>
    <cellStyle name="Normal 2 8 24 5" xfId="19349" xr:uid="{00000000-0005-0000-0000-0000C94B0000}"/>
    <cellStyle name="Normal 2 8 24 6" xfId="19350" xr:uid="{00000000-0005-0000-0000-0000CA4B0000}"/>
    <cellStyle name="Normal 2 8 24 7" xfId="19351" xr:uid="{00000000-0005-0000-0000-0000CB4B0000}"/>
    <cellStyle name="Normal 2 8 25" xfId="19352" xr:uid="{00000000-0005-0000-0000-0000CC4B0000}"/>
    <cellStyle name="Normal 2 8 25 2" xfId="19353" xr:uid="{00000000-0005-0000-0000-0000CD4B0000}"/>
    <cellStyle name="Normal 2 8 25 3" xfId="19354" xr:uid="{00000000-0005-0000-0000-0000CE4B0000}"/>
    <cellStyle name="Normal 2 8 25 4" xfId="19355" xr:uid="{00000000-0005-0000-0000-0000CF4B0000}"/>
    <cellStyle name="Normal 2 8 25 5" xfId="19356" xr:uid="{00000000-0005-0000-0000-0000D04B0000}"/>
    <cellStyle name="Normal 2 8 25 6" xfId="19357" xr:uid="{00000000-0005-0000-0000-0000D14B0000}"/>
    <cellStyle name="Normal 2 8 25 7" xfId="19358" xr:uid="{00000000-0005-0000-0000-0000D24B0000}"/>
    <cellStyle name="Normal 2 8 26" xfId="19359" xr:uid="{00000000-0005-0000-0000-0000D34B0000}"/>
    <cellStyle name="Normal 2 8 26 2" xfId="19360" xr:uid="{00000000-0005-0000-0000-0000D44B0000}"/>
    <cellStyle name="Normal 2 8 26 3" xfId="19361" xr:uid="{00000000-0005-0000-0000-0000D54B0000}"/>
    <cellStyle name="Normal 2 8 26 4" xfId="19362" xr:uid="{00000000-0005-0000-0000-0000D64B0000}"/>
    <cellStyle name="Normal 2 8 26 5" xfId="19363" xr:uid="{00000000-0005-0000-0000-0000D74B0000}"/>
    <cellStyle name="Normal 2 8 26 6" xfId="19364" xr:uid="{00000000-0005-0000-0000-0000D84B0000}"/>
    <cellStyle name="Normal 2 8 26 7" xfId="19365" xr:uid="{00000000-0005-0000-0000-0000D94B0000}"/>
    <cellStyle name="Normal 2 8 27" xfId="19366" xr:uid="{00000000-0005-0000-0000-0000DA4B0000}"/>
    <cellStyle name="Normal 2 8 27 2" xfId="19367" xr:uid="{00000000-0005-0000-0000-0000DB4B0000}"/>
    <cellStyle name="Normal 2 8 27 3" xfId="19368" xr:uid="{00000000-0005-0000-0000-0000DC4B0000}"/>
    <cellStyle name="Normal 2 8 27 4" xfId="19369" xr:uid="{00000000-0005-0000-0000-0000DD4B0000}"/>
    <cellStyle name="Normal 2 8 27 5" xfId="19370" xr:uid="{00000000-0005-0000-0000-0000DE4B0000}"/>
    <cellStyle name="Normal 2 8 27 6" xfId="19371" xr:uid="{00000000-0005-0000-0000-0000DF4B0000}"/>
    <cellStyle name="Normal 2 8 27 7" xfId="19372" xr:uid="{00000000-0005-0000-0000-0000E04B0000}"/>
    <cellStyle name="Normal 2 8 28" xfId="19373" xr:uid="{00000000-0005-0000-0000-0000E14B0000}"/>
    <cellStyle name="Normal 2 8 28 2" xfId="19374" xr:uid="{00000000-0005-0000-0000-0000E24B0000}"/>
    <cellStyle name="Normal 2 8 28 3" xfId="19375" xr:uid="{00000000-0005-0000-0000-0000E34B0000}"/>
    <cellStyle name="Normal 2 8 28 4" xfId="19376" xr:uid="{00000000-0005-0000-0000-0000E44B0000}"/>
    <cellStyle name="Normal 2 8 28 5" xfId="19377" xr:uid="{00000000-0005-0000-0000-0000E54B0000}"/>
    <cellStyle name="Normal 2 8 28 6" xfId="19378" xr:uid="{00000000-0005-0000-0000-0000E64B0000}"/>
    <cellStyle name="Normal 2 8 28 7" xfId="19379" xr:uid="{00000000-0005-0000-0000-0000E74B0000}"/>
    <cellStyle name="Normal 2 8 29" xfId="19380" xr:uid="{00000000-0005-0000-0000-0000E84B0000}"/>
    <cellStyle name="Normal 2 8 29 2" xfId="19381" xr:uid="{00000000-0005-0000-0000-0000E94B0000}"/>
    <cellStyle name="Normal 2 8 29 3" xfId="19382" xr:uid="{00000000-0005-0000-0000-0000EA4B0000}"/>
    <cellStyle name="Normal 2 8 29 4" xfId="19383" xr:uid="{00000000-0005-0000-0000-0000EB4B0000}"/>
    <cellStyle name="Normal 2 8 29 5" xfId="19384" xr:uid="{00000000-0005-0000-0000-0000EC4B0000}"/>
    <cellStyle name="Normal 2 8 29 6" xfId="19385" xr:uid="{00000000-0005-0000-0000-0000ED4B0000}"/>
    <cellStyle name="Normal 2 8 29 7" xfId="19386" xr:uid="{00000000-0005-0000-0000-0000EE4B0000}"/>
    <cellStyle name="Normal 2 8 3" xfId="19387" xr:uid="{00000000-0005-0000-0000-0000EF4B0000}"/>
    <cellStyle name="Normal 2 8 3 2" xfId="19388" xr:uid="{00000000-0005-0000-0000-0000F04B0000}"/>
    <cellStyle name="Normal 2 8 3 2 2" xfId="19389" xr:uid="{00000000-0005-0000-0000-0000F14B0000}"/>
    <cellStyle name="Normal 2 8 3 2 3" xfId="19390" xr:uid="{00000000-0005-0000-0000-0000F24B0000}"/>
    <cellStyle name="Normal 2 8 3 2 4" xfId="19391" xr:uid="{00000000-0005-0000-0000-0000F34B0000}"/>
    <cellStyle name="Normal 2 8 3 2 5" xfId="19392" xr:uid="{00000000-0005-0000-0000-0000F44B0000}"/>
    <cellStyle name="Normal 2 8 3 2 6" xfId="19393" xr:uid="{00000000-0005-0000-0000-0000F54B0000}"/>
    <cellStyle name="Normal 2 8 3 2 7" xfId="19394" xr:uid="{00000000-0005-0000-0000-0000F64B0000}"/>
    <cellStyle name="Normal 2 8 3 3" xfId="19395" xr:uid="{00000000-0005-0000-0000-0000F74B0000}"/>
    <cellStyle name="Normal 2 8 3 4" xfId="19396" xr:uid="{00000000-0005-0000-0000-0000F84B0000}"/>
    <cellStyle name="Normal 2 8 3 5" xfId="19397" xr:uid="{00000000-0005-0000-0000-0000F94B0000}"/>
    <cellStyle name="Normal 2 8 3 6" xfId="19398" xr:uid="{00000000-0005-0000-0000-0000FA4B0000}"/>
    <cellStyle name="Normal 2 8 3 7" xfId="19399" xr:uid="{00000000-0005-0000-0000-0000FB4B0000}"/>
    <cellStyle name="Normal 2 8 3 8" xfId="19400" xr:uid="{00000000-0005-0000-0000-0000FC4B0000}"/>
    <cellStyle name="Normal 2 8 30" xfId="19401" xr:uid="{00000000-0005-0000-0000-0000FD4B0000}"/>
    <cellStyle name="Normal 2 8 30 2" xfId="19402" xr:uid="{00000000-0005-0000-0000-0000FE4B0000}"/>
    <cellStyle name="Normal 2 8 30 3" xfId="19403" xr:uid="{00000000-0005-0000-0000-0000FF4B0000}"/>
    <cellStyle name="Normal 2 8 30 4" xfId="19404" xr:uid="{00000000-0005-0000-0000-0000004C0000}"/>
    <cellStyle name="Normal 2 8 30 5" xfId="19405" xr:uid="{00000000-0005-0000-0000-0000014C0000}"/>
    <cellStyle name="Normal 2 8 30 6" xfId="19406" xr:uid="{00000000-0005-0000-0000-0000024C0000}"/>
    <cellStyle name="Normal 2 8 30 7" xfId="19407" xr:uid="{00000000-0005-0000-0000-0000034C0000}"/>
    <cellStyle name="Normal 2 8 31" xfId="19408" xr:uid="{00000000-0005-0000-0000-0000044C0000}"/>
    <cellStyle name="Normal 2 8 31 2" xfId="19409" xr:uid="{00000000-0005-0000-0000-0000054C0000}"/>
    <cellStyle name="Normal 2 8 31 3" xfId="19410" xr:uid="{00000000-0005-0000-0000-0000064C0000}"/>
    <cellStyle name="Normal 2 8 31 4" xfId="19411" xr:uid="{00000000-0005-0000-0000-0000074C0000}"/>
    <cellStyle name="Normal 2 8 31 5" xfId="19412" xr:uid="{00000000-0005-0000-0000-0000084C0000}"/>
    <cellStyle name="Normal 2 8 31 6" xfId="19413" xr:uid="{00000000-0005-0000-0000-0000094C0000}"/>
    <cellStyle name="Normal 2 8 31 7" xfId="19414" xr:uid="{00000000-0005-0000-0000-00000A4C0000}"/>
    <cellStyle name="Normal 2 8 32" xfId="19415" xr:uid="{00000000-0005-0000-0000-00000B4C0000}"/>
    <cellStyle name="Normal 2 8 32 2" xfId="19416" xr:uid="{00000000-0005-0000-0000-00000C4C0000}"/>
    <cellStyle name="Normal 2 8 32 3" xfId="19417" xr:uid="{00000000-0005-0000-0000-00000D4C0000}"/>
    <cellStyle name="Normal 2 8 32 4" xfId="19418" xr:uid="{00000000-0005-0000-0000-00000E4C0000}"/>
    <cellStyle name="Normal 2 8 32 5" xfId="19419" xr:uid="{00000000-0005-0000-0000-00000F4C0000}"/>
    <cellStyle name="Normal 2 8 32 6" xfId="19420" xr:uid="{00000000-0005-0000-0000-0000104C0000}"/>
    <cellStyle name="Normal 2 8 32 7" xfId="19421" xr:uid="{00000000-0005-0000-0000-0000114C0000}"/>
    <cellStyle name="Normal 2 8 33" xfId="19422" xr:uid="{00000000-0005-0000-0000-0000124C0000}"/>
    <cellStyle name="Normal 2 8 33 2" xfId="19423" xr:uid="{00000000-0005-0000-0000-0000134C0000}"/>
    <cellStyle name="Normal 2 8 33 3" xfId="19424" xr:uid="{00000000-0005-0000-0000-0000144C0000}"/>
    <cellStyle name="Normal 2 8 33 4" xfId="19425" xr:uid="{00000000-0005-0000-0000-0000154C0000}"/>
    <cellStyle name="Normal 2 8 33 5" xfId="19426" xr:uid="{00000000-0005-0000-0000-0000164C0000}"/>
    <cellStyle name="Normal 2 8 33 6" xfId="19427" xr:uid="{00000000-0005-0000-0000-0000174C0000}"/>
    <cellStyle name="Normal 2 8 33 7" xfId="19428" xr:uid="{00000000-0005-0000-0000-0000184C0000}"/>
    <cellStyle name="Normal 2 8 34" xfId="19429" xr:uid="{00000000-0005-0000-0000-0000194C0000}"/>
    <cellStyle name="Normal 2 8 34 2" xfId="19430" xr:uid="{00000000-0005-0000-0000-00001A4C0000}"/>
    <cellStyle name="Normal 2 8 34 3" xfId="19431" xr:uid="{00000000-0005-0000-0000-00001B4C0000}"/>
    <cellStyle name="Normal 2 8 34 4" xfId="19432" xr:uid="{00000000-0005-0000-0000-00001C4C0000}"/>
    <cellStyle name="Normal 2 8 34 5" xfId="19433" xr:uid="{00000000-0005-0000-0000-00001D4C0000}"/>
    <cellStyle name="Normal 2 8 34 6" xfId="19434" xr:uid="{00000000-0005-0000-0000-00001E4C0000}"/>
    <cellStyle name="Normal 2 8 34 7" xfId="19435" xr:uid="{00000000-0005-0000-0000-00001F4C0000}"/>
    <cellStyle name="Normal 2 8 35" xfId="19436" xr:uid="{00000000-0005-0000-0000-0000204C0000}"/>
    <cellStyle name="Normal 2 8 35 2" xfId="19437" xr:uid="{00000000-0005-0000-0000-0000214C0000}"/>
    <cellStyle name="Normal 2 8 35 3" xfId="19438" xr:uid="{00000000-0005-0000-0000-0000224C0000}"/>
    <cellStyle name="Normal 2 8 35 4" xfId="19439" xr:uid="{00000000-0005-0000-0000-0000234C0000}"/>
    <cellStyle name="Normal 2 8 35 5" xfId="19440" xr:uid="{00000000-0005-0000-0000-0000244C0000}"/>
    <cellStyle name="Normal 2 8 35 6" xfId="19441" xr:uid="{00000000-0005-0000-0000-0000254C0000}"/>
    <cellStyle name="Normal 2 8 35 7" xfId="19442" xr:uid="{00000000-0005-0000-0000-0000264C0000}"/>
    <cellStyle name="Normal 2 8 36" xfId="19443" xr:uid="{00000000-0005-0000-0000-0000274C0000}"/>
    <cellStyle name="Normal 2 8 37" xfId="19444" xr:uid="{00000000-0005-0000-0000-0000284C0000}"/>
    <cellStyle name="Normal 2 8 38" xfId="19445" xr:uid="{00000000-0005-0000-0000-0000294C0000}"/>
    <cellStyle name="Normal 2 8 39" xfId="19446" xr:uid="{00000000-0005-0000-0000-00002A4C0000}"/>
    <cellStyle name="Normal 2 8 4" xfId="19447" xr:uid="{00000000-0005-0000-0000-00002B4C0000}"/>
    <cellStyle name="Normal 2 8 4 2" xfId="19448" xr:uid="{00000000-0005-0000-0000-00002C4C0000}"/>
    <cellStyle name="Normal 2 8 4 2 2" xfId="19449" xr:uid="{00000000-0005-0000-0000-00002D4C0000}"/>
    <cellStyle name="Normal 2 8 4 2 3" xfId="19450" xr:uid="{00000000-0005-0000-0000-00002E4C0000}"/>
    <cellStyle name="Normal 2 8 4 2 4" xfId="19451" xr:uid="{00000000-0005-0000-0000-00002F4C0000}"/>
    <cellStyle name="Normal 2 8 4 2 5" xfId="19452" xr:uid="{00000000-0005-0000-0000-0000304C0000}"/>
    <cellStyle name="Normal 2 8 4 2 6" xfId="19453" xr:uid="{00000000-0005-0000-0000-0000314C0000}"/>
    <cellStyle name="Normal 2 8 4 2 7" xfId="19454" xr:uid="{00000000-0005-0000-0000-0000324C0000}"/>
    <cellStyle name="Normal 2 8 4 3" xfId="19455" xr:uid="{00000000-0005-0000-0000-0000334C0000}"/>
    <cellStyle name="Normal 2 8 4 4" xfId="19456" xr:uid="{00000000-0005-0000-0000-0000344C0000}"/>
    <cellStyle name="Normal 2 8 4 5" xfId="19457" xr:uid="{00000000-0005-0000-0000-0000354C0000}"/>
    <cellStyle name="Normal 2 8 4 6" xfId="19458" xr:uid="{00000000-0005-0000-0000-0000364C0000}"/>
    <cellStyle name="Normal 2 8 4 7" xfId="19459" xr:uid="{00000000-0005-0000-0000-0000374C0000}"/>
    <cellStyle name="Normal 2 8 4 8" xfId="19460" xr:uid="{00000000-0005-0000-0000-0000384C0000}"/>
    <cellStyle name="Normal 2 8 40" xfId="19461" xr:uid="{00000000-0005-0000-0000-0000394C0000}"/>
    <cellStyle name="Normal 2 8 41" xfId="19462" xr:uid="{00000000-0005-0000-0000-00003A4C0000}"/>
    <cellStyle name="Normal 2 8 42" xfId="19463" xr:uid="{00000000-0005-0000-0000-00003B4C0000}"/>
    <cellStyle name="Normal 2 8 43" xfId="19464" xr:uid="{00000000-0005-0000-0000-00003C4C0000}"/>
    <cellStyle name="Normal 2 8 5" xfId="19465" xr:uid="{00000000-0005-0000-0000-00003D4C0000}"/>
    <cellStyle name="Normal 2 8 5 2" xfId="19466" xr:uid="{00000000-0005-0000-0000-00003E4C0000}"/>
    <cellStyle name="Normal 2 8 5 2 2" xfId="19467" xr:uid="{00000000-0005-0000-0000-00003F4C0000}"/>
    <cellStyle name="Normal 2 8 5 2 3" xfId="19468" xr:uid="{00000000-0005-0000-0000-0000404C0000}"/>
    <cellStyle name="Normal 2 8 5 2 4" xfId="19469" xr:uid="{00000000-0005-0000-0000-0000414C0000}"/>
    <cellStyle name="Normal 2 8 5 2 5" xfId="19470" xr:uid="{00000000-0005-0000-0000-0000424C0000}"/>
    <cellStyle name="Normal 2 8 5 2 6" xfId="19471" xr:uid="{00000000-0005-0000-0000-0000434C0000}"/>
    <cellStyle name="Normal 2 8 5 2 7" xfId="19472" xr:uid="{00000000-0005-0000-0000-0000444C0000}"/>
    <cellStyle name="Normal 2 8 5 3" xfId="19473" xr:uid="{00000000-0005-0000-0000-0000454C0000}"/>
    <cellStyle name="Normal 2 8 5 4" xfId="19474" xr:uid="{00000000-0005-0000-0000-0000464C0000}"/>
    <cellStyle name="Normal 2 8 5 5" xfId="19475" xr:uid="{00000000-0005-0000-0000-0000474C0000}"/>
    <cellStyle name="Normal 2 8 5 6" xfId="19476" xr:uid="{00000000-0005-0000-0000-0000484C0000}"/>
    <cellStyle name="Normal 2 8 5 7" xfId="19477" xr:uid="{00000000-0005-0000-0000-0000494C0000}"/>
    <cellStyle name="Normal 2 8 5 8" xfId="19478" xr:uid="{00000000-0005-0000-0000-00004A4C0000}"/>
    <cellStyle name="Normal 2 8 6" xfId="19479" xr:uid="{00000000-0005-0000-0000-00004B4C0000}"/>
    <cellStyle name="Normal 2 8 6 2" xfId="19480" xr:uid="{00000000-0005-0000-0000-00004C4C0000}"/>
    <cellStyle name="Normal 2 8 6 2 2" xfId="19481" xr:uid="{00000000-0005-0000-0000-00004D4C0000}"/>
    <cellStyle name="Normal 2 8 6 2 3" xfId="19482" xr:uid="{00000000-0005-0000-0000-00004E4C0000}"/>
    <cellStyle name="Normal 2 8 6 2 4" xfId="19483" xr:uid="{00000000-0005-0000-0000-00004F4C0000}"/>
    <cellStyle name="Normal 2 8 6 2 5" xfId="19484" xr:uid="{00000000-0005-0000-0000-0000504C0000}"/>
    <cellStyle name="Normal 2 8 6 2 6" xfId="19485" xr:uid="{00000000-0005-0000-0000-0000514C0000}"/>
    <cellStyle name="Normal 2 8 6 2 7" xfId="19486" xr:uid="{00000000-0005-0000-0000-0000524C0000}"/>
    <cellStyle name="Normal 2 8 6 3" xfId="19487" xr:uid="{00000000-0005-0000-0000-0000534C0000}"/>
    <cellStyle name="Normal 2 8 6 4" xfId="19488" xr:uid="{00000000-0005-0000-0000-0000544C0000}"/>
    <cellStyle name="Normal 2 8 6 5" xfId="19489" xr:uid="{00000000-0005-0000-0000-0000554C0000}"/>
    <cellStyle name="Normal 2 8 6 6" xfId="19490" xr:uid="{00000000-0005-0000-0000-0000564C0000}"/>
    <cellStyle name="Normal 2 8 6 7" xfId="19491" xr:uid="{00000000-0005-0000-0000-0000574C0000}"/>
    <cellStyle name="Normal 2 8 6 8" xfId="19492" xr:uid="{00000000-0005-0000-0000-0000584C0000}"/>
    <cellStyle name="Normal 2 8 7" xfId="19493" xr:uid="{00000000-0005-0000-0000-0000594C0000}"/>
    <cellStyle name="Normal 2 8 7 2" xfId="19494" xr:uid="{00000000-0005-0000-0000-00005A4C0000}"/>
    <cellStyle name="Normal 2 8 7 2 2" xfId="19495" xr:uid="{00000000-0005-0000-0000-00005B4C0000}"/>
    <cellStyle name="Normal 2 8 7 2 3" xfId="19496" xr:uid="{00000000-0005-0000-0000-00005C4C0000}"/>
    <cellStyle name="Normal 2 8 7 2 4" xfId="19497" xr:uid="{00000000-0005-0000-0000-00005D4C0000}"/>
    <cellStyle name="Normal 2 8 7 2 5" xfId="19498" xr:uid="{00000000-0005-0000-0000-00005E4C0000}"/>
    <cellStyle name="Normal 2 8 7 2 6" xfId="19499" xr:uid="{00000000-0005-0000-0000-00005F4C0000}"/>
    <cellStyle name="Normal 2 8 7 2 7" xfId="19500" xr:uid="{00000000-0005-0000-0000-0000604C0000}"/>
    <cellStyle name="Normal 2 8 7 3" xfId="19501" xr:uid="{00000000-0005-0000-0000-0000614C0000}"/>
    <cellStyle name="Normal 2 8 7 4" xfId="19502" xr:uid="{00000000-0005-0000-0000-0000624C0000}"/>
    <cellStyle name="Normal 2 8 7 5" xfId="19503" xr:uid="{00000000-0005-0000-0000-0000634C0000}"/>
    <cellStyle name="Normal 2 8 7 6" xfId="19504" xr:uid="{00000000-0005-0000-0000-0000644C0000}"/>
    <cellStyle name="Normal 2 8 7 7" xfId="19505" xr:uid="{00000000-0005-0000-0000-0000654C0000}"/>
    <cellStyle name="Normal 2 8 7 8" xfId="19506" xr:uid="{00000000-0005-0000-0000-0000664C0000}"/>
    <cellStyle name="Normal 2 8 8" xfId="19507" xr:uid="{00000000-0005-0000-0000-0000674C0000}"/>
    <cellStyle name="Normal 2 8 8 2" xfId="19508" xr:uid="{00000000-0005-0000-0000-0000684C0000}"/>
    <cellStyle name="Normal 2 8 8 2 2" xfId="19509" xr:uid="{00000000-0005-0000-0000-0000694C0000}"/>
    <cellStyle name="Normal 2 8 8 2 3" xfId="19510" xr:uid="{00000000-0005-0000-0000-00006A4C0000}"/>
    <cellStyle name="Normal 2 8 8 2 4" xfId="19511" xr:uid="{00000000-0005-0000-0000-00006B4C0000}"/>
    <cellStyle name="Normal 2 8 8 2 5" xfId="19512" xr:uid="{00000000-0005-0000-0000-00006C4C0000}"/>
    <cellStyle name="Normal 2 8 8 2 6" xfId="19513" xr:uid="{00000000-0005-0000-0000-00006D4C0000}"/>
    <cellStyle name="Normal 2 8 8 2 7" xfId="19514" xr:uid="{00000000-0005-0000-0000-00006E4C0000}"/>
    <cellStyle name="Normal 2 8 8 3" xfId="19515" xr:uid="{00000000-0005-0000-0000-00006F4C0000}"/>
    <cellStyle name="Normal 2 8 8 4" xfId="19516" xr:uid="{00000000-0005-0000-0000-0000704C0000}"/>
    <cellStyle name="Normal 2 8 8 5" xfId="19517" xr:uid="{00000000-0005-0000-0000-0000714C0000}"/>
    <cellStyle name="Normal 2 8 8 6" xfId="19518" xr:uid="{00000000-0005-0000-0000-0000724C0000}"/>
    <cellStyle name="Normal 2 8 8 7" xfId="19519" xr:uid="{00000000-0005-0000-0000-0000734C0000}"/>
    <cellStyle name="Normal 2 8 8 8" xfId="19520" xr:uid="{00000000-0005-0000-0000-0000744C0000}"/>
    <cellStyle name="Normal 2 8 9" xfId="19521" xr:uid="{00000000-0005-0000-0000-0000754C0000}"/>
    <cellStyle name="Normal 2 8 9 2" xfId="19522" xr:uid="{00000000-0005-0000-0000-0000764C0000}"/>
    <cellStyle name="Normal 2 8 9 2 2" xfId="19523" xr:uid="{00000000-0005-0000-0000-0000774C0000}"/>
    <cellStyle name="Normal 2 8 9 2 3" xfId="19524" xr:uid="{00000000-0005-0000-0000-0000784C0000}"/>
    <cellStyle name="Normal 2 8 9 2 4" xfId="19525" xr:uid="{00000000-0005-0000-0000-0000794C0000}"/>
    <cellStyle name="Normal 2 8 9 2 5" xfId="19526" xr:uid="{00000000-0005-0000-0000-00007A4C0000}"/>
    <cellStyle name="Normal 2 8 9 2 6" xfId="19527" xr:uid="{00000000-0005-0000-0000-00007B4C0000}"/>
    <cellStyle name="Normal 2 8 9 2 7" xfId="19528" xr:uid="{00000000-0005-0000-0000-00007C4C0000}"/>
    <cellStyle name="Normal 2 8 9 3" xfId="19529" xr:uid="{00000000-0005-0000-0000-00007D4C0000}"/>
    <cellStyle name="Normal 2 8 9 4" xfId="19530" xr:uid="{00000000-0005-0000-0000-00007E4C0000}"/>
    <cellStyle name="Normal 2 8 9 5" xfId="19531" xr:uid="{00000000-0005-0000-0000-00007F4C0000}"/>
    <cellStyle name="Normal 2 8 9 6" xfId="19532" xr:uid="{00000000-0005-0000-0000-0000804C0000}"/>
    <cellStyle name="Normal 2 8 9 7" xfId="19533" xr:uid="{00000000-0005-0000-0000-0000814C0000}"/>
    <cellStyle name="Normal 2 8 9 8" xfId="19534" xr:uid="{00000000-0005-0000-0000-0000824C0000}"/>
    <cellStyle name="Normal 2 9" xfId="6202" xr:uid="{00000000-0005-0000-0000-0000834C0000}"/>
    <cellStyle name="Normal 2 9 10" xfId="19535" xr:uid="{00000000-0005-0000-0000-0000844C0000}"/>
    <cellStyle name="Normal 2 9 10 2" xfId="19536" xr:uid="{00000000-0005-0000-0000-0000854C0000}"/>
    <cellStyle name="Normal 2 9 10 2 2" xfId="19537" xr:uid="{00000000-0005-0000-0000-0000864C0000}"/>
    <cellStyle name="Normal 2 9 10 2 3" xfId="19538" xr:uid="{00000000-0005-0000-0000-0000874C0000}"/>
    <cellStyle name="Normal 2 9 10 2 4" xfId="19539" xr:uid="{00000000-0005-0000-0000-0000884C0000}"/>
    <cellStyle name="Normal 2 9 10 2 5" xfId="19540" xr:uid="{00000000-0005-0000-0000-0000894C0000}"/>
    <cellStyle name="Normal 2 9 10 2 6" xfId="19541" xr:uid="{00000000-0005-0000-0000-00008A4C0000}"/>
    <cellStyle name="Normal 2 9 10 2 7" xfId="19542" xr:uid="{00000000-0005-0000-0000-00008B4C0000}"/>
    <cellStyle name="Normal 2 9 10 3" xfId="19543" xr:uid="{00000000-0005-0000-0000-00008C4C0000}"/>
    <cellStyle name="Normal 2 9 10 4" xfId="19544" xr:uid="{00000000-0005-0000-0000-00008D4C0000}"/>
    <cellStyle name="Normal 2 9 10 5" xfId="19545" xr:uid="{00000000-0005-0000-0000-00008E4C0000}"/>
    <cellStyle name="Normal 2 9 10 6" xfId="19546" xr:uid="{00000000-0005-0000-0000-00008F4C0000}"/>
    <cellStyle name="Normal 2 9 10 7" xfId="19547" xr:uid="{00000000-0005-0000-0000-0000904C0000}"/>
    <cellStyle name="Normal 2 9 10 8" xfId="19548" xr:uid="{00000000-0005-0000-0000-0000914C0000}"/>
    <cellStyle name="Normal 2 9 11" xfId="19549" xr:uid="{00000000-0005-0000-0000-0000924C0000}"/>
    <cellStyle name="Normal 2 9 11 2" xfId="19550" xr:uid="{00000000-0005-0000-0000-0000934C0000}"/>
    <cellStyle name="Normal 2 9 11 2 2" xfId="19551" xr:uid="{00000000-0005-0000-0000-0000944C0000}"/>
    <cellStyle name="Normal 2 9 11 2 3" xfId="19552" xr:uid="{00000000-0005-0000-0000-0000954C0000}"/>
    <cellStyle name="Normal 2 9 11 2 4" xfId="19553" xr:uid="{00000000-0005-0000-0000-0000964C0000}"/>
    <cellStyle name="Normal 2 9 11 2 5" xfId="19554" xr:uid="{00000000-0005-0000-0000-0000974C0000}"/>
    <cellStyle name="Normal 2 9 11 2 6" xfId="19555" xr:uid="{00000000-0005-0000-0000-0000984C0000}"/>
    <cellStyle name="Normal 2 9 11 2 7" xfId="19556" xr:uid="{00000000-0005-0000-0000-0000994C0000}"/>
    <cellStyle name="Normal 2 9 11 3" xfId="19557" xr:uid="{00000000-0005-0000-0000-00009A4C0000}"/>
    <cellStyle name="Normal 2 9 11 4" xfId="19558" xr:uid="{00000000-0005-0000-0000-00009B4C0000}"/>
    <cellStyle name="Normal 2 9 11 5" xfId="19559" xr:uid="{00000000-0005-0000-0000-00009C4C0000}"/>
    <cellStyle name="Normal 2 9 11 6" xfId="19560" xr:uid="{00000000-0005-0000-0000-00009D4C0000}"/>
    <cellStyle name="Normal 2 9 11 7" xfId="19561" xr:uid="{00000000-0005-0000-0000-00009E4C0000}"/>
    <cellStyle name="Normal 2 9 11 8" xfId="19562" xr:uid="{00000000-0005-0000-0000-00009F4C0000}"/>
    <cellStyle name="Normal 2 9 12" xfId="19563" xr:uid="{00000000-0005-0000-0000-0000A04C0000}"/>
    <cellStyle name="Normal 2 9 12 2" xfId="19564" xr:uid="{00000000-0005-0000-0000-0000A14C0000}"/>
    <cellStyle name="Normal 2 9 12 2 2" xfId="19565" xr:uid="{00000000-0005-0000-0000-0000A24C0000}"/>
    <cellStyle name="Normal 2 9 12 2 3" xfId="19566" xr:uid="{00000000-0005-0000-0000-0000A34C0000}"/>
    <cellStyle name="Normal 2 9 12 2 4" xfId="19567" xr:uid="{00000000-0005-0000-0000-0000A44C0000}"/>
    <cellStyle name="Normal 2 9 12 2 5" xfId="19568" xr:uid="{00000000-0005-0000-0000-0000A54C0000}"/>
    <cellStyle name="Normal 2 9 12 2 6" xfId="19569" xr:uid="{00000000-0005-0000-0000-0000A64C0000}"/>
    <cellStyle name="Normal 2 9 12 2 7" xfId="19570" xr:uid="{00000000-0005-0000-0000-0000A74C0000}"/>
    <cellStyle name="Normal 2 9 12 3" xfId="19571" xr:uid="{00000000-0005-0000-0000-0000A84C0000}"/>
    <cellStyle name="Normal 2 9 12 4" xfId="19572" xr:uid="{00000000-0005-0000-0000-0000A94C0000}"/>
    <cellStyle name="Normal 2 9 12 5" xfId="19573" xr:uid="{00000000-0005-0000-0000-0000AA4C0000}"/>
    <cellStyle name="Normal 2 9 12 6" xfId="19574" xr:uid="{00000000-0005-0000-0000-0000AB4C0000}"/>
    <cellStyle name="Normal 2 9 12 7" xfId="19575" xr:uid="{00000000-0005-0000-0000-0000AC4C0000}"/>
    <cellStyle name="Normal 2 9 12 8" xfId="19576" xr:uid="{00000000-0005-0000-0000-0000AD4C0000}"/>
    <cellStyle name="Normal 2 9 13" xfId="19577" xr:uid="{00000000-0005-0000-0000-0000AE4C0000}"/>
    <cellStyle name="Normal 2 9 13 2" xfId="19578" xr:uid="{00000000-0005-0000-0000-0000AF4C0000}"/>
    <cellStyle name="Normal 2 9 13 2 2" xfId="19579" xr:uid="{00000000-0005-0000-0000-0000B04C0000}"/>
    <cellStyle name="Normal 2 9 13 2 3" xfId="19580" xr:uid="{00000000-0005-0000-0000-0000B14C0000}"/>
    <cellStyle name="Normal 2 9 13 2 4" xfId="19581" xr:uid="{00000000-0005-0000-0000-0000B24C0000}"/>
    <cellStyle name="Normal 2 9 13 2 5" xfId="19582" xr:uid="{00000000-0005-0000-0000-0000B34C0000}"/>
    <cellStyle name="Normal 2 9 13 2 6" xfId="19583" xr:uid="{00000000-0005-0000-0000-0000B44C0000}"/>
    <cellStyle name="Normal 2 9 13 2 7" xfId="19584" xr:uid="{00000000-0005-0000-0000-0000B54C0000}"/>
    <cellStyle name="Normal 2 9 13 3" xfId="19585" xr:uid="{00000000-0005-0000-0000-0000B64C0000}"/>
    <cellStyle name="Normal 2 9 13 4" xfId="19586" xr:uid="{00000000-0005-0000-0000-0000B74C0000}"/>
    <cellStyle name="Normal 2 9 13 5" xfId="19587" xr:uid="{00000000-0005-0000-0000-0000B84C0000}"/>
    <cellStyle name="Normal 2 9 13 6" xfId="19588" xr:uid="{00000000-0005-0000-0000-0000B94C0000}"/>
    <cellStyle name="Normal 2 9 13 7" xfId="19589" xr:uid="{00000000-0005-0000-0000-0000BA4C0000}"/>
    <cellStyle name="Normal 2 9 13 8" xfId="19590" xr:uid="{00000000-0005-0000-0000-0000BB4C0000}"/>
    <cellStyle name="Normal 2 9 14" xfId="19591" xr:uid="{00000000-0005-0000-0000-0000BC4C0000}"/>
    <cellStyle name="Normal 2 9 14 2" xfId="19592" xr:uid="{00000000-0005-0000-0000-0000BD4C0000}"/>
    <cellStyle name="Normal 2 9 14 2 2" xfId="19593" xr:uid="{00000000-0005-0000-0000-0000BE4C0000}"/>
    <cellStyle name="Normal 2 9 14 2 3" xfId="19594" xr:uid="{00000000-0005-0000-0000-0000BF4C0000}"/>
    <cellStyle name="Normal 2 9 14 2 4" xfId="19595" xr:uid="{00000000-0005-0000-0000-0000C04C0000}"/>
    <cellStyle name="Normal 2 9 14 2 5" xfId="19596" xr:uid="{00000000-0005-0000-0000-0000C14C0000}"/>
    <cellStyle name="Normal 2 9 14 2 6" xfId="19597" xr:uid="{00000000-0005-0000-0000-0000C24C0000}"/>
    <cellStyle name="Normal 2 9 14 2 7" xfId="19598" xr:uid="{00000000-0005-0000-0000-0000C34C0000}"/>
    <cellStyle name="Normal 2 9 14 3" xfId="19599" xr:uid="{00000000-0005-0000-0000-0000C44C0000}"/>
    <cellStyle name="Normal 2 9 14 4" xfId="19600" xr:uid="{00000000-0005-0000-0000-0000C54C0000}"/>
    <cellStyle name="Normal 2 9 14 5" xfId="19601" xr:uid="{00000000-0005-0000-0000-0000C64C0000}"/>
    <cellStyle name="Normal 2 9 14 6" xfId="19602" xr:uid="{00000000-0005-0000-0000-0000C74C0000}"/>
    <cellStyle name="Normal 2 9 14 7" xfId="19603" xr:uid="{00000000-0005-0000-0000-0000C84C0000}"/>
    <cellStyle name="Normal 2 9 14 8" xfId="19604" xr:uid="{00000000-0005-0000-0000-0000C94C0000}"/>
    <cellStyle name="Normal 2 9 15" xfId="19605" xr:uid="{00000000-0005-0000-0000-0000CA4C0000}"/>
    <cellStyle name="Normal 2 9 15 2" xfId="19606" xr:uid="{00000000-0005-0000-0000-0000CB4C0000}"/>
    <cellStyle name="Normal 2 9 15 2 2" xfId="19607" xr:uid="{00000000-0005-0000-0000-0000CC4C0000}"/>
    <cellStyle name="Normal 2 9 15 2 3" xfId="19608" xr:uid="{00000000-0005-0000-0000-0000CD4C0000}"/>
    <cellStyle name="Normal 2 9 15 2 4" xfId="19609" xr:uid="{00000000-0005-0000-0000-0000CE4C0000}"/>
    <cellStyle name="Normal 2 9 15 2 5" xfId="19610" xr:uid="{00000000-0005-0000-0000-0000CF4C0000}"/>
    <cellStyle name="Normal 2 9 15 2 6" xfId="19611" xr:uid="{00000000-0005-0000-0000-0000D04C0000}"/>
    <cellStyle name="Normal 2 9 15 2 7" xfId="19612" xr:uid="{00000000-0005-0000-0000-0000D14C0000}"/>
    <cellStyle name="Normal 2 9 15 3" xfId="19613" xr:uid="{00000000-0005-0000-0000-0000D24C0000}"/>
    <cellStyle name="Normal 2 9 15 4" xfId="19614" xr:uid="{00000000-0005-0000-0000-0000D34C0000}"/>
    <cellStyle name="Normal 2 9 15 5" xfId="19615" xr:uid="{00000000-0005-0000-0000-0000D44C0000}"/>
    <cellStyle name="Normal 2 9 15 6" xfId="19616" xr:uid="{00000000-0005-0000-0000-0000D54C0000}"/>
    <cellStyle name="Normal 2 9 15 7" xfId="19617" xr:uid="{00000000-0005-0000-0000-0000D64C0000}"/>
    <cellStyle name="Normal 2 9 15 8" xfId="19618" xr:uid="{00000000-0005-0000-0000-0000D74C0000}"/>
    <cellStyle name="Normal 2 9 16" xfId="19619" xr:uid="{00000000-0005-0000-0000-0000D84C0000}"/>
    <cellStyle name="Normal 2 9 16 2" xfId="19620" xr:uid="{00000000-0005-0000-0000-0000D94C0000}"/>
    <cellStyle name="Normal 2 9 16 3" xfId="19621" xr:uid="{00000000-0005-0000-0000-0000DA4C0000}"/>
    <cellStyle name="Normal 2 9 16 4" xfId="19622" xr:uid="{00000000-0005-0000-0000-0000DB4C0000}"/>
    <cellStyle name="Normal 2 9 16 5" xfId="19623" xr:uid="{00000000-0005-0000-0000-0000DC4C0000}"/>
    <cellStyle name="Normal 2 9 16 6" xfId="19624" xr:uid="{00000000-0005-0000-0000-0000DD4C0000}"/>
    <cellStyle name="Normal 2 9 16 7" xfId="19625" xr:uid="{00000000-0005-0000-0000-0000DE4C0000}"/>
    <cellStyle name="Normal 2 9 17" xfId="19626" xr:uid="{00000000-0005-0000-0000-0000DF4C0000}"/>
    <cellStyle name="Normal 2 9 17 2" xfId="19627" xr:uid="{00000000-0005-0000-0000-0000E04C0000}"/>
    <cellStyle name="Normal 2 9 17 3" xfId="19628" xr:uid="{00000000-0005-0000-0000-0000E14C0000}"/>
    <cellStyle name="Normal 2 9 17 4" xfId="19629" xr:uid="{00000000-0005-0000-0000-0000E24C0000}"/>
    <cellStyle name="Normal 2 9 17 5" xfId="19630" xr:uid="{00000000-0005-0000-0000-0000E34C0000}"/>
    <cellStyle name="Normal 2 9 17 6" xfId="19631" xr:uid="{00000000-0005-0000-0000-0000E44C0000}"/>
    <cellStyle name="Normal 2 9 17 7" xfId="19632" xr:uid="{00000000-0005-0000-0000-0000E54C0000}"/>
    <cellStyle name="Normal 2 9 18" xfId="19633" xr:uid="{00000000-0005-0000-0000-0000E64C0000}"/>
    <cellStyle name="Normal 2 9 18 2" xfId="19634" xr:uid="{00000000-0005-0000-0000-0000E74C0000}"/>
    <cellStyle name="Normal 2 9 18 3" xfId="19635" xr:uid="{00000000-0005-0000-0000-0000E84C0000}"/>
    <cellStyle name="Normal 2 9 18 4" xfId="19636" xr:uid="{00000000-0005-0000-0000-0000E94C0000}"/>
    <cellStyle name="Normal 2 9 18 5" xfId="19637" xr:uid="{00000000-0005-0000-0000-0000EA4C0000}"/>
    <cellStyle name="Normal 2 9 18 6" xfId="19638" xr:uid="{00000000-0005-0000-0000-0000EB4C0000}"/>
    <cellStyle name="Normal 2 9 18 7" xfId="19639" xr:uid="{00000000-0005-0000-0000-0000EC4C0000}"/>
    <cellStyle name="Normal 2 9 19" xfId="19640" xr:uid="{00000000-0005-0000-0000-0000ED4C0000}"/>
    <cellStyle name="Normal 2 9 19 2" xfId="19641" xr:uid="{00000000-0005-0000-0000-0000EE4C0000}"/>
    <cellStyle name="Normal 2 9 19 3" xfId="19642" xr:uid="{00000000-0005-0000-0000-0000EF4C0000}"/>
    <cellStyle name="Normal 2 9 19 4" xfId="19643" xr:uid="{00000000-0005-0000-0000-0000F04C0000}"/>
    <cellStyle name="Normal 2 9 19 5" xfId="19644" xr:uid="{00000000-0005-0000-0000-0000F14C0000}"/>
    <cellStyle name="Normal 2 9 19 6" xfId="19645" xr:uid="{00000000-0005-0000-0000-0000F24C0000}"/>
    <cellStyle name="Normal 2 9 19 7" xfId="19646" xr:uid="{00000000-0005-0000-0000-0000F34C0000}"/>
    <cellStyle name="Normal 2 9 2" xfId="19647" xr:uid="{00000000-0005-0000-0000-0000F44C0000}"/>
    <cellStyle name="Normal 2 9 2 2" xfId="19648" xr:uid="{00000000-0005-0000-0000-0000F54C0000}"/>
    <cellStyle name="Normal 2 9 2 2 2" xfId="19649" xr:uid="{00000000-0005-0000-0000-0000F64C0000}"/>
    <cellStyle name="Normal 2 9 2 2 3" xfId="19650" xr:uid="{00000000-0005-0000-0000-0000F74C0000}"/>
    <cellStyle name="Normal 2 9 2 2 4" xfId="19651" xr:uid="{00000000-0005-0000-0000-0000F84C0000}"/>
    <cellStyle name="Normal 2 9 2 2 5" xfId="19652" xr:uid="{00000000-0005-0000-0000-0000F94C0000}"/>
    <cellStyle name="Normal 2 9 2 2 6" xfId="19653" xr:uid="{00000000-0005-0000-0000-0000FA4C0000}"/>
    <cellStyle name="Normal 2 9 2 2 7" xfId="19654" xr:uid="{00000000-0005-0000-0000-0000FB4C0000}"/>
    <cellStyle name="Normal 2 9 2 3" xfId="19655" xr:uid="{00000000-0005-0000-0000-0000FC4C0000}"/>
    <cellStyle name="Normal 2 9 2 4" xfId="19656" xr:uid="{00000000-0005-0000-0000-0000FD4C0000}"/>
    <cellStyle name="Normal 2 9 2 5" xfId="19657" xr:uid="{00000000-0005-0000-0000-0000FE4C0000}"/>
    <cellStyle name="Normal 2 9 2 6" xfId="19658" xr:uid="{00000000-0005-0000-0000-0000FF4C0000}"/>
    <cellStyle name="Normal 2 9 2 7" xfId="19659" xr:uid="{00000000-0005-0000-0000-0000004D0000}"/>
    <cellStyle name="Normal 2 9 2 8" xfId="19660" xr:uid="{00000000-0005-0000-0000-0000014D0000}"/>
    <cellStyle name="Normal 2 9 20" xfId="19661" xr:uid="{00000000-0005-0000-0000-0000024D0000}"/>
    <cellStyle name="Normal 2 9 20 2" xfId="19662" xr:uid="{00000000-0005-0000-0000-0000034D0000}"/>
    <cellStyle name="Normal 2 9 20 3" xfId="19663" xr:uid="{00000000-0005-0000-0000-0000044D0000}"/>
    <cellStyle name="Normal 2 9 20 4" xfId="19664" xr:uid="{00000000-0005-0000-0000-0000054D0000}"/>
    <cellStyle name="Normal 2 9 20 5" xfId="19665" xr:uid="{00000000-0005-0000-0000-0000064D0000}"/>
    <cellStyle name="Normal 2 9 20 6" xfId="19666" xr:uid="{00000000-0005-0000-0000-0000074D0000}"/>
    <cellStyle name="Normal 2 9 20 7" xfId="19667" xr:uid="{00000000-0005-0000-0000-0000084D0000}"/>
    <cellStyle name="Normal 2 9 21" xfId="19668" xr:uid="{00000000-0005-0000-0000-0000094D0000}"/>
    <cellStyle name="Normal 2 9 21 2" xfId="19669" xr:uid="{00000000-0005-0000-0000-00000A4D0000}"/>
    <cellStyle name="Normal 2 9 21 3" xfId="19670" xr:uid="{00000000-0005-0000-0000-00000B4D0000}"/>
    <cellStyle name="Normal 2 9 21 4" xfId="19671" xr:uid="{00000000-0005-0000-0000-00000C4D0000}"/>
    <cellStyle name="Normal 2 9 21 5" xfId="19672" xr:uid="{00000000-0005-0000-0000-00000D4D0000}"/>
    <cellStyle name="Normal 2 9 21 6" xfId="19673" xr:uid="{00000000-0005-0000-0000-00000E4D0000}"/>
    <cellStyle name="Normal 2 9 21 7" xfId="19674" xr:uid="{00000000-0005-0000-0000-00000F4D0000}"/>
    <cellStyle name="Normal 2 9 22" xfId="19675" xr:uid="{00000000-0005-0000-0000-0000104D0000}"/>
    <cellStyle name="Normal 2 9 22 2" xfId="19676" xr:uid="{00000000-0005-0000-0000-0000114D0000}"/>
    <cellStyle name="Normal 2 9 22 3" xfId="19677" xr:uid="{00000000-0005-0000-0000-0000124D0000}"/>
    <cellStyle name="Normal 2 9 22 4" xfId="19678" xr:uid="{00000000-0005-0000-0000-0000134D0000}"/>
    <cellStyle name="Normal 2 9 22 5" xfId="19679" xr:uid="{00000000-0005-0000-0000-0000144D0000}"/>
    <cellStyle name="Normal 2 9 22 6" xfId="19680" xr:uid="{00000000-0005-0000-0000-0000154D0000}"/>
    <cellStyle name="Normal 2 9 22 7" xfId="19681" xr:uid="{00000000-0005-0000-0000-0000164D0000}"/>
    <cellStyle name="Normal 2 9 23" xfId="19682" xr:uid="{00000000-0005-0000-0000-0000174D0000}"/>
    <cellStyle name="Normal 2 9 23 2" xfId="19683" xr:uid="{00000000-0005-0000-0000-0000184D0000}"/>
    <cellStyle name="Normal 2 9 23 3" xfId="19684" xr:uid="{00000000-0005-0000-0000-0000194D0000}"/>
    <cellStyle name="Normal 2 9 23 4" xfId="19685" xr:uid="{00000000-0005-0000-0000-00001A4D0000}"/>
    <cellStyle name="Normal 2 9 23 5" xfId="19686" xr:uid="{00000000-0005-0000-0000-00001B4D0000}"/>
    <cellStyle name="Normal 2 9 23 6" xfId="19687" xr:uid="{00000000-0005-0000-0000-00001C4D0000}"/>
    <cellStyle name="Normal 2 9 23 7" xfId="19688" xr:uid="{00000000-0005-0000-0000-00001D4D0000}"/>
    <cellStyle name="Normal 2 9 24" xfId="19689" xr:uid="{00000000-0005-0000-0000-00001E4D0000}"/>
    <cellStyle name="Normal 2 9 24 2" xfId="19690" xr:uid="{00000000-0005-0000-0000-00001F4D0000}"/>
    <cellStyle name="Normal 2 9 24 3" xfId="19691" xr:uid="{00000000-0005-0000-0000-0000204D0000}"/>
    <cellStyle name="Normal 2 9 24 4" xfId="19692" xr:uid="{00000000-0005-0000-0000-0000214D0000}"/>
    <cellStyle name="Normal 2 9 24 5" xfId="19693" xr:uid="{00000000-0005-0000-0000-0000224D0000}"/>
    <cellStyle name="Normal 2 9 24 6" xfId="19694" xr:uid="{00000000-0005-0000-0000-0000234D0000}"/>
    <cellStyle name="Normal 2 9 24 7" xfId="19695" xr:uid="{00000000-0005-0000-0000-0000244D0000}"/>
    <cellStyle name="Normal 2 9 25" xfId="19696" xr:uid="{00000000-0005-0000-0000-0000254D0000}"/>
    <cellStyle name="Normal 2 9 25 2" xfId="19697" xr:uid="{00000000-0005-0000-0000-0000264D0000}"/>
    <cellStyle name="Normal 2 9 25 3" xfId="19698" xr:uid="{00000000-0005-0000-0000-0000274D0000}"/>
    <cellStyle name="Normal 2 9 25 4" xfId="19699" xr:uid="{00000000-0005-0000-0000-0000284D0000}"/>
    <cellStyle name="Normal 2 9 25 5" xfId="19700" xr:uid="{00000000-0005-0000-0000-0000294D0000}"/>
    <cellStyle name="Normal 2 9 25 6" xfId="19701" xr:uid="{00000000-0005-0000-0000-00002A4D0000}"/>
    <cellStyle name="Normal 2 9 25 7" xfId="19702" xr:uid="{00000000-0005-0000-0000-00002B4D0000}"/>
    <cellStyle name="Normal 2 9 26" xfId="19703" xr:uid="{00000000-0005-0000-0000-00002C4D0000}"/>
    <cellStyle name="Normal 2 9 26 2" xfId="19704" xr:uid="{00000000-0005-0000-0000-00002D4D0000}"/>
    <cellStyle name="Normal 2 9 26 3" xfId="19705" xr:uid="{00000000-0005-0000-0000-00002E4D0000}"/>
    <cellStyle name="Normal 2 9 26 4" xfId="19706" xr:uid="{00000000-0005-0000-0000-00002F4D0000}"/>
    <cellStyle name="Normal 2 9 26 5" xfId="19707" xr:uid="{00000000-0005-0000-0000-0000304D0000}"/>
    <cellStyle name="Normal 2 9 26 6" xfId="19708" xr:uid="{00000000-0005-0000-0000-0000314D0000}"/>
    <cellStyle name="Normal 2 9 26 7" xfId="19709" xr:uid="{00000000-0005-0000-0000-0000324D0000}"/>
    <cellStyle name="Normal 2 9 27" xfId="19710" xr:uid="{00000000-0005-0000-0000-0000334D0000}"/>
    <cellStyle name="Normal 2 9 27 2" xfId="19711" xr:uid="{00000000-0005-0000-0000-0000344D0000}"/>
    <cellStyle name="Normal 2 9 27 3" xfId="19712" xr:uid="{00000000-0005-0000-0000-0000354D0000}"/>
    <cellStyle name="Normal 2 9 27 4" xfId="19713" xr:uid="{00000000-0005-0000-0000-0000364D0000}"/>
    <cellStyle name="Normal 2 9 27 5" xfId="19714" xr:uid="{00000000-0005-0000-0000-0000374D0000}"/>
    <cellStyle name="Normal 2 9 27 6" xfId="19715" xr:uid="{00000000-0005-0000-0000-0000384D0000}"/>
    <cellStyle name="Normal 2 9 27 7" xfId="19716" xr:uid="{00000000-0005-0000-0000-0000394D0000}"/>
    <cellStyle name="Normal 2 9 28" xfId="19717" xr:uid="{00000000-0005-0000-0000-00003A4D0000}"/>
    <cellStyle name="Normal 2 9 28 2" xfId="19718" xr:uid="{00000000-0005-0000-0000-00003B4D0000}"/>
    <cellStyle name="Normal 2 9 28 3" xfId="19719" xr:uid="{00000000-0005-0000-0000-00003C4D0000}"/>
    <cellStyle name="Normal 2 9 28 4" xfId="19720" xr:uid="{00000000-0005-0000-0000-00003D4D0000}"/>
    <cellStyle name="Normal 2 9 28 5" xfId="19721" xr:uid="{00000000-0005-0000-0000-00003E4D0000}"/>
    <cellStyle name="Normal 2 9 28 6" xfId="19722" xr:uid="{00000000-0005-0000-0000-00003F4D0000}"/>
    <cellStyle name="Normal 2 9 28 7" xfId="19723" xr:uid="{00000000-0005-0000-0000-0000404D0000}"/>
    <cellStyle name="Normal 2 9 29" xfId="19724" xr:uid="{00000000-0005-0000-0000-0000414D0000}"/>
    <cellStyle name="Normal 2 9 29 2" xfId="19725" xr:uid="{00000000-0005-0000-0000-0000424D0000}"/>
    <cellStyle name="Normal 2 9 29 3" xfId="19726" xr:uid="{00000000-0005-0000-0000-0000434D0000}"/>
    <cellStyle name="Normal 2 9 29 4" xfId="19727" xr:uid="{00000000-0005-0000-0000-0000444D0000}"/>
    <cellStyle name="Normal 2 9 29 5" xfId="19728" xr:uid="{00000000-0005-0000-0000-0000454D0000}"/>
    <cellStyle name="Normal 2 9 29 6" xfId="19729" xr:uid="{00000000-0005-0000-0000-0000464D0000}"/>
    <cellStyle name="Normal 2 9 29 7" xfId="19730" xr:uid="{00000000-0005-0000-0000-0000474D0000}"/>
    <cellStyle name="Normal 2 9 3" xfId="19731" xr:uid="{00000000-0005-0000-0000-0000484D0000}"/>
    <cellStyle name="Normal 2 9 3 2" xfId="19732" xr:uid="{00000000-0005-0000-0000-0000494D0000}"/>
    <cellStyle name="Normal 2 9 3 2 2" xfId="19733" xr:uid="{00000000-0005-0000-0000-00004A4D0000}"/>
    <cellStyle name="Normal 2 9 3 2 3" xfId="19734" xr:uid="{00000000-0005-0000-0000-00004B4D0000}"/>
    <cellStyle name="Normal 2 9 3 2 4" xfId="19735" xr:uid="{00000000-0005-0000-0000-00004C4D0000}"/>
    <cellStyle name="Normal 2 9 3 2 5" xfId="19736" xr:uid="{00000000-0005-0000-0000-00004D4D0000}"/>
    <cellStyle name="Normal 2 9 3 2 6" xfId="19737" xr:uid="{00000000-0005-0000-0000-00004E4D0000}"/>
    <cellStyle name="Normal 2 9 3 2 7" xfId="19738" xr:uid="{00000000-0005-0000-0000-00004F4D0000}"/>
    <cellStyle name="Normal 2 9 3 3" xfId="19739" xr:uid="{00000000-0005-0000-0000-0000504D0000}"/>
    <cellStyle name="Normal 2 9 3 4" xfId="19740" xr:uid="{00000000-0005-0000-0000-0000514D0000}"/>
    <cellStyle name="Normal 2 9 3 5" xfId="19741" xr:uid="{00000000-0005-0000-0000-0000524D0000}"/>
    <cellStyle name="Normal 2 9 3 6" xfId="19742" xr:uid="{00000000-0005-0000-0000-0000534D0000}"/>
    <cellStyle name="Normal 2 9 3 7" xfId="19743" xr:uid="{00000000-0005-0000-0000-0000544D0000}"/>
    <cellStyle name="Normal 2 9 3 8" xfId="19744" xr:uid="{00000000-0005-0000-0000-0000554D0000}"/>
    <cellStyle name="Normal 2 9 30" xfId="19745" xr:uid="{00000000-0005-0000-0000-0000564D0000}"/>
    <cellStyle name="Normal 2 9 30 2" xfId="19746" xr:uid="{00000000-0005-0000-0000-0000574D0000}"/>
    <cellStyle name="Normal 2 9 30 3" xfId="19747" xr:uid="{00000000-0005-0000-0000-0000584D0000}"/>
    <cellStyle name="Normal 2 9 30 4" xfId="19748" xr:uid="{00000000-0005-0000-0000-0000594D0000}"/>
    <cellStyle name="Normal 2 9 30 5" xfId="19749" xr:uid="{00000000-0005-0000-0000-00005A4D0000}"/>
    <cellStyle name="Normal 2 9 30 6" xfId="19750" xr:uid="{00000000-0005-0000-0000-00005B4D0000}"/>
    <cellStyle name="Normal 2 9 30 7" xfId="19751" xr:uid="{00000000-0005-0000-0000-00005C4D0000}"/>
    <cellStyle name="Normal 2 9 31" xfId="19752" xr:uid="{00000000-0005-0000-0000-00005D4D0000}"/>
    <cellStyle name="Normal 2 9 31 2" xfId="19753" xr:uid="{00000000-0005-0000-0000-00005E4D0000}"/>
    <cellStyle name="Normal 2 9 31 3" xfId="19754" xr:uid="{00000000-0005-0000-0000-00005F4D0000}"/>
    <cellStyle name="Normal 2 9 31 4" xfId="19755" xr:uid="{00000000-0005-0000-0000-0000604D0000}"/>
    <cellStyle name="Normal 2 9 31 5" xfId="19756" xr:uid="{00000000-0005-0000-0000-0000614D0000}"/>
    <cellStyle name="Normal 2 9 31 6" xfId="19757" xr:uid="{00000000-0005-0000-0000-0000624D0000}"/>
    <cellStyle name="Normal 2 9 31 7" xfId="19758" xr:uid="{00000000-0005-0000-0000-0000634D0000}"/>
    <cellStyle name="Normal 2 9 32" xfId="19759" xr:uid="{00000000-0005-0000-0000-0000644D0000}"/>
    <cellStyle name="Normal 2 9 32 2" xfId="19760" xr:uid="{00000000-0005-0000-0000-0000654D0000}"/>
    <cellStyle name="Normal 2 9 32 3" xfId="19761" xr:uid="{00000000-0005-0000-0000-0000664D0000}"/>
    <cellStyle name="Normal 2 9 32 4" xfId="19762" xr:uid="{00000000-0005-0000-0000-0000674D0000}"/>
    <cellStyle name="Normal 2 9 32 5" xfId="19763" xr:uid="{00000000-0005-0000-0000-0000684D0000}"/>
    <cellStyle name="Normal 2 9 32 6" xfId="19764" xr:uid="{00000000-0005-0000-0000-0000694D0000}"/>
    <cellStyle name="Normal 2 9 32 7" xfId="19765" xr:uid="{00000000-0005-0000-0000-00006A4D0000}"/>
    <cellStyle name="Normal 2 9 33" xfId="19766" xr:uid="{00000000-0005-0000-0000-00006B4D0000}"/>
    <cellStyle name="Normal 2 9 33 2" xfId="19767" xr:uid="{00000000-0005-0000-0000-00006C4D0000}"/>
    <cellStyle name="Normal 2 9 33 3" xfId="19768" xr:uid="{00000000-0005-0000-0000-00006D4D0000}"/>
    <cellStyle name="Normal 2 9 33 4" xfId="19769" xr:uid="{00000000-0005-0000-0000-00006E4D0000}"/>
    <cellStyle name="Normal 2 9 33 5" xfId="19770" xr:uid="{00000000-0005-0000-0000-00006F4D0000}"/>
    <cellStyle name="Normal 2 9 33 6" xfId="19771" xr:uid="{00000000-0005-0000-0000-0000704D0000}"/>
    <cellStyle name="Normal 2 9 33 7" xfId="19772" xr:uid="{00000000-0005-0000-0000-0000714D0000}"/>
    <cellStyle name="Normal 2 9 34" xfId="19773" xr:uid="{00000000-0005-0000-0000-0000724D0000}"/>
    <cellStyle name="Normal 2 9 34 2" xfId="19774" xr:uid="{00000000-0005-0000-0000-0000734D0000}"/>
    <cellStyle name="Normal 2 9 34 3" xfId="19775" xr:uid="{00000000-0005-0000-0000-0000744D0000}"/>
    <cellStyle name="Normal 2 9 34 4" xfId="19776" xr:uid="{00000000-0005-0000-0000-0000754D0000}"/>
    <cellStyle name="Normal 2 9 34 5" xfId="19777" xr:uid="{00000000-0005-0000-0000-0000764D0000}"/>
    <cellStyle name="Normal 2 9 34 6" xfId="19778" xr:uid="{00000000-0005-0000-0000-0000774D0000}"/>
    <cellStyle name="Normal 2 9 34 7" xfId="19779" xr:uid="{00000000-0005-0000-0000-0000784D0000}"/>
    <cellStyle name="Normal 2 9 35" xfId="19780" xr:uid="{00000000-0005-0000-0000-0000794D0000}"/>
    <cellStyle name="Normal 2 9 35 2" xfId="19781" xr:uid="{00000000-0005-0000-0000-00007A4D0000}"/>
    <cellStyle name="Normal 2 9 35 3" xfId="19782" xr:uid="{00000000-0005-0000-0000-00007B4D0000}"/>
    <cellStyle name="Normal 2 9 35 4" xfId="19783" xr:uid="{00000000-0005-0000-0000-00007C4D0000}"/>
    <cellStyle name="Normal 2 9 35 5" xfId="19784" xr:uid="{00000000-0005-0000-0000-00007D4D0000}"/>
    <cellStyle name="Normal 2 9 35 6" xfId="19785" xr:uid="{00000000-0005-0000-0000-00007E4D0000}"/>
    <cellStyle name="Normal 2 9 35 7" xfId="19786" xr:uid="{00000000-0005-0000-0000-00007F4D0000}"/>
    <cellStyle name="Normal 2 9 36" xfId="19787" xr:uid="{00000000-0005-0000-0000-0000804D0000}"/>
    <cellStyle name="Normal 2 9 37" xfId="19788" xr:uid="{00000000-0005-0000-0000-0000814D0000}"/>
    <cellStyle name="Normal 2 9 38" xfId="19789" xr:uid="{00000000-0005-0000-0000-0000824D0000}"/>
    <cellStyle name="Normal 2 9 39" xfId="19790" xr:uid="{00000000-0005-0000-0000-0000834D0000}"/>
    <cellStyle name="Normal 2 9 4" xfId="19791" xr:uid="{00000000-0005-0000-0000-0000844D0000}"/>
    <cellStyle name="Normal 2 9 4 2" xfId="19792" xr:uid="{00000000-0005-0000-0000-0000854D0000}"/>
    <cellStyle name="Normal 2 9 4 2 2" xfId="19793" xr:uid="{00000000-0005-0000-0000-0000864D0000}"/>
    <cellStyle name="Normal 2 9 4 2 3" xfId="19794" xr:uid="{00000000-0005-0000-0000-0000874D0000}"/>
    <cellStyle name="Normal 2 9 4 2 4" xfId="19795" xr:uid="{00000000-0005-0000-0000-0000884D0000}"/>
    <cellStyle name="Normal 2 9 4 2 5" xfId="19796" xr:uid="{00000000-0005-0000-0000-0000894D0000}"/>
    <cellStyle name="Normal 2 9 4 2 6" xfId="19797" xr:uid="{00000000-0005-0000-0000-00008A4D0000}"/>
    <cellStyle name="Normal 2 9 4 2 7" xfId="19798" xr:uid="{00000000-0005-0000-0000-00008B4D0000}"/>
    <cellStyle name="Normal 2 9 4 3" xfId="19799" xr:uid="{00000000-0005-0000-0000-00008C4D0000}"/>
    <cellStyle name="Normal 2 9 4 4" xfId="19800" xr:uid="{00000000-0005-0000-0000-00008D4D0000}"/>
    <cellStyle name="Normal 2 9 4 5" xfId="19801" xr:uid="{00000000-0005-0000-0000-00008E4D0000}"/>
    <cellStyle name="Normal 2 9 4 6" xfId="19802" xr:uid="{00000000-0005-0000-0000-00008F4D0000}"/>
    <cellStyle name="Normal 2 9 4 7" xfId="19803" xr:uid="{00000000-0005-0000-0000-0000904D0000}"/>
    <cellStyle name="Normal 2 9 4 8" xfId="19804" xr:uid="{00000000-0005-0000-0000-0000914D0000}"/>
    <cellStyle name="Normal 2 9 40" xfId="19805" xr:uid="{00000000-0005-0000-0000-0000924D0000}"/>
    <cellStyle name="Normal 2 9 41" xfId="19806" xr:uid="{00000000-0005-0000-0000-0000934D0000}"/>
    <cellStyle name="Normal 2 9 42" xfId="19807" xr:uid="{00000000-0005-0000-0000-0000944D0000}"/>
    <cellStyle name="Normal 2 9 5" xfId="19808" xr:uid="{00000000-0005-0000-0000-0000954D0000}"/>
    <cellStyle name="Normal 2 9 5 2" xfId="19809" xr:uid="{00000000-0005-0000-0000-0000964D0000}"/>
    <cellStyle name="Normal 2 9 5 2 2" xfId="19810" xr:uid="{00000000-0005-0000-0000-0000974D0000}"/>
    <cellStyle name="Normal 2 9 5 2 3" xfId="19811" xr:uid="{00000000-0005-0000-0000-0000984D0000}"/>
    <cellStyle name="Normal 2 9 5 2 4" xfId="19812" xr:uid="{00000000-0005-0000-0000-0000994D0000}"/>
    <cellStyle name="Normal 2 9 5 2 5" xfId="19813" xr:uid="{00000000-0005-0000-0000-00009A4D0000}"/>
    <cellStyle name="Normal 2 9 5 2 6" xfId="19814" xr:uid="{00000000-0005-0000-0000-00009B4D0000}"/>
    <cellStyle name="Normal 2 9 5 2 7" xfId="19815" xr:uid="{00000000-0005-0000-0000-00009C4D0000}"/>
    <cellStyle name="Normal 2 9 5 3" xfId="19816" xr:uid="{00000000-0005-0000-0000-00009D4D0000}"/>
    <cellStyle name="Normal 2 9 5 4" xfId="19817" xr:uid="{00000000-0005-0000-0000-00009E4D0000}"/>
    <cellStyle name="Normal 2 9 5 5" xfId="19818" xr:uid="{00000000-0005-0000-0000-00009F4D0000}"/>
    <cellStyle name="Normal 2 9 5 6" xfId="19819" xr:uid="{00000000-0005-0000-0000-0000A04D0000}"/>
    <cellStyle name="Normal 2 9 5 7" xfId="19820" xr:uid="{00000000-0005-0000-0000-0000A14D0000}"/>
    <cellStyle name="Normal 2 9 5 8" xfId="19821" xr:uid="{00000000-0005-0000-0000-0000A24D0000}"/>
    <cellStyle name="Normal 2 9 6" xfId="19822" xr:uid="{00000000-0005-0000-0000-0000A34D0000}"/>
    <cellStyle name="Normal 2 9 6 2" xfId="19823" xr:uid="{00000000-0005-0000-0000-0000A44D0000}"/>
    <cellStyle name="Normal 2 9 6 2 2" xfId="19824" xr:uid="{00000000-0005-0000-0000-0000A54D0000}"/>
    <cellStyle name="Normal 2 9 6 2 3" xfId="19825" xr:uid="{00000000-0005-0000-0000-0000A64D0000}"/>
    <cellStyle name="Normal 2 9 6 2 4" xfId="19826" xr:uid="{00000000-0005-0000-0000-0000A74D0000}"/>
    <cellStyle name="Normal 2 9 6 2 5" xfId="19827" xr:uid="{00000000-0005-0000-0000-0000A84D0000}"/>
    <cellStyle name="Normal 2 9 6 2 6" xfId="19828" xr:uid="{00000000-0005-0000-0000-0000A94D0000}"/>
    <cellStyle name="Normal 2 9 6 2 7" xfId="19829" xr:uid="{00000000-0005-0000-0000-0000AA4D0000}"/>
    <cellStyle name="Normal 2 9 6 3" xfId="19830" xr:uid="{00000000-0005-0000-0000-0000AB4D0000}"/>
    <cellStyle name="Normal 2 9 6 4" xfId="19831" xr:uid="{00000000-0005-0000-0000-0000AC4D0000}"/>
    <cellStyle name="Normal 2 9 6 5" xfId="19832" xr:uid="{00000000-0005-0000-0000-0000AD4D0000}"/>
    <cellStyle name="Normal 2 9 6 6" xfId="19833" xr:uid="{00000000-0005-0000-0000-0000AE4D0000}"/>
    <cellStyle name="Normal 2 9 6 7" xfId="19834" xr:uid="{00000000-0005-0000-0000-0000AF4D0000}"/>
    <cellStyle name="Normal 2 9 6 8" xfId="19835" xr:uid="{00000000-0005-0000-0000-0000B04D0000}"/>
    <cellStyle name="Normal 2 9 7" xfId="19836" xr:uid="{00000000-0005-0000-0000-0000B14D0000}"/>
    <cellStyle name="Normal 2 9 7 2" xfId="19837" xr:uid="{00000000-0005-0000-0000-0000B24D0000}"/>
    <cellStyle name="Normal 2 9 7 2 2" xfId="19838" xr:uid="{00000000-0005-0000-0000-0000B34D0000}"/>
    <cellStyle name="Normal 2 9 7 2 3" xfId="19839" xr:uid="{00000000-0005-0000-0000-0000B44D0000}"/>
    <cellStyle name="Normal 2 9 7 2 4" xfId="19840" xr:uid="{00000000-0005-0000-0000-0000B54D0000}"/>
    <cellStyle name="Normal 2 9 7 2 5" xfId="19841" xr:uid="{00000000-0005-0000-0000-0000B64D0000}"/>
    <cellStyle name="Normal 2 9 7 2 6" xfId="19842" xr:uid="{00000000-0005-0000-0000-0000B74D0000}"/>
    <cellStyle name="Normal 2 9 7 2 7" xfId="19843" xr:uid="{00000000-0005-0000-0000-0000B84D0000}"/>
    <cellStyle name="Normal 2 9 7 3" xfId="19844" xr:uid="{00000000-0005-0000-0000-0000B94D0000}"/>
    <cellStyle name="Normal 2 9 7 4" xfId="19845" xr:uid="{00000000-0005-0000-0000-0000BA4D0000}"/>
    <cellStyle name="Normal 2 9 7 5" xfId="19846" xr:uid="{00000000-0005-0000-0000-0000BB4D0000}"/>
    <cellStyle name="Normal 2 9 7 6" xfId="19847" xr:uid="{00000000-0005-0000-0000-0000BC4D0000}"/>
    <cellStyle name="Normal 2 9 7 7" xfId="19848" xr:uid="{00000000-0005-0000-0000-0000BD4D0000}"/>
    <cellStyle name="Normal 2 9 7 8" xfId="19849" xr:uid="{00000000-0005-0000-0000-0000BE4D0000}"/>
    <cellStyle name="Normal 2 9 8" xfId="19850" xr:uid="{00000000-0005-0000-0000-0000BF4D0000}"/>
    <cellStyle name="Normal 2 9 8 2" xfId="19851" xr:uid="{00000000-0005-0000-0000-0000C04D0000}"/>
    <cellStyle name="Normal 2 9 8 2 2" xfId="19852" xr:uid="{00000000-0005-0000-0000-0000C14D0000}"/>
    <cellStyle name="Normal 2 9 8 2 3" xfId="19853" xr:uid="{00000000-0005-0000-0000-0000C24D0000}"/>
    <cellStyle name="Normal 2 9 8 2 4" xfId="19854" xr:uid="{00000000-0005-0000-0000-0000C34D0000}"/>
    <cellStyle name="Normal 2 9 8 2 5" xfId="19855" xr:uid="{00000000-0005-0000-0000-0000C44D0000}"/>
    <cellStyle name="Normal 2 9 8 2 6" xfId="19856" xr:uid="{00000000-0005-0000-0000-0000C54D0000}"/>
    <cellStyle name="Normal 2 9 8 2 7" xfId="19857" xr:uid="{00000000-0005-0000-0000-0000C64D0000}"/>
    <cellStyle name="Normal 2 9 8 3" xfId="19858" xr:uid="{00000000-0005-0000-0000-0000C74D0000}"/>
    <cellStyle name="Normal 2 9 8 4" xfId="19859" xr:uid="{00000000-0005-0000-0000-0000C84D0000}"/>
    <cellStyle name="Normal 2 9 8 5" xfId="19860" xr:uid="{00000000-0005-0000-0000-0000C94D0000}"/>
    <cellStyle name="Normal 2 9 8 6" xfId="19861" xr:uid="{00000000-0005-0000-0000-0000CA4D0000}"/>
    <cellStyle name="Normal 2 9 8 7" xfId="19862" xr:uid="{00000000-0005-0000-0000-0000CB4D0000}"/>
    <cellStyle name="Normal 2 9 8 8" xfId="19863" xr:uid="{00000000-0005-0000-0000-0000CC4D0000}"/>
    <cellStyle name="Normal 2 9 9" xfId="19864" xr:uid="{00000000-0005-0000-0000-0000CD4D0000}"/>
    <cellStyle name="Normal 2 9 9 2" xfId="19865" xr:uid="{00000000-0005-0000-0000-0000CE4D0000}"/>
    <cellStyle name="Normal 2 9 9 2 2" xfId="19866" xr:uid="{00000000-0005-0000-0000-0000CF4D0000}"/>
    <cellStyle name="Normal 2 9 9 2 3" xfId="19867" xr:uid="{00000000-0005-0000-0000-0000D04D0000}"/>
    <cellStyle name="Normal 2 9 9 2 4" xfId="19868" xr:uid="{00000000-0005-0000-0000-0000D14D0000}"/>
    <cellStyle name="Normal 2 9 9 2 5" xfId="19869" xr:uid="{00000000-0005-0000-0000-0000D24D0000}"/>
    <cellStyle name="Normal 2 9 9 2 6" xfId="19870" xr:uid="{00000000-0005-0000-0000-0000D34D0000}"/>
    <cellStyle name="Normal 2 9 9 2 7" xfId="19871" xr:uid="{00000000-0005-0000-0000-0000D44D0000}"/>
    <cellStyle name="Normal 2 9 9 3" xfId="19872" xr:uid="{00000000-0005-0000-0000-0000D54D0000}"/>
    <cellStyle name="Normal 2 9 9 4" xfId="19873" xr:uid="{00000000-0005-0000-0000-0000D64D0000}"/>
    <cellStyle name="Normal 2 9 9 5" xfId="19874" xr:uid="{00000000-0005-0000-0000-0000D74D0000}"/>
    <cellStyle name="Normal 2 9 9 6" xfId="19875" xr:uid="{00000000-0005-0000-0000-0000D84D0000}"/>
    <cellStyle name="Normal 2 9 9 7" xfId="19876" xr:uid="{00000000-0005-0000-0000-0000D94D0000}"/>
    <cellStyle name="Normal 2 9 9 8" xfId="19877" xr:uid="{00000000-0005-0000-0000-0000DA4D0000}"/>
    <cellStyle name="Normal 2_Abr. (1)" xfId="19878" xr:uid="{00000000-0005-0000-0000-0000DB4D0000}"/>
    <cellStyle name="Normal 20" xfId="6203" xr:uid="{00000000-0005-0000-0000-0000DC4D0000}"/>
    <cellStyle name="Normal 20 2" xfId="19879" xr:uid="{00000000-0005-0000-0000-0000DD4D0000}"/>
    <cellStyle name="Normal 20 2 2" xfId="33639" xr:uid="{00000000-0005-0000-0000-0000DE4D0000}"/>
    <cellStyle name="Normal 20 2 2 2" xfId="36541" xr:uid="{00000000-0005-0000-0000-0000DF4D0000}"/>
    <cellStyle name="Normal 20 2 3" xfId="36540" xr:uid="{00000000-0005-0000-0000-0000E04D0000}"/>
    <cellStyle name="Normal 20 3" xfId="19880" xr:uid="{00000000-0005-0000-0000-0000E14D0000}"/>
    <cellStyle name="Normal 20 3 2" xfId="36542" xr:uid="{00000000-0005-0000-0000-0000E24D0000}"/>
    <cellStyle name="Normal 20 4" xfId="19881" xr:uid="{00000000-0005-0000-0000-0000E34D0000}"/>
    <cellStyle name="Normal 200" xfId="19882" xr:uid="{00000000-0005-0000-0000-0000E44D0000}"/>
    <cellStyle name="Normal 200 2" xfId="19883" xr:uid="{00000000-0005-0000-0000-0000E54D0000}"/>
    <cellStyle name="Normal 200 3" xfId="19884" xr:uid="{00000000-0005-0000-0000-0000E64D0000}"/>
    <cellStyle name="Normal 200 4" xfId="19885" xr:uid="{00000000-0005-0000-0000-0000E74D0000}"/>
    <cellStyle name="Normal 200 5" xfId="19886" xr:uid="{00000000-0005-0000-0000-0000E84D0000}"/>
    <cellStyle name="Normal 200 6" xfId="19887" xr:uid="{00000000-0005-0000-0000-0000E94D0000}"/>
    <cellStyle name="Normal 200 7" xfId="19888" xr:uid="{00000000-0005-0000-0000-0000EA4D0000}"/>
    <cellStyle name="Normal 200 8" xfId="19889" xr:uid="{00000000-0005-0000-0000-0000EB4D0000}"/>
    <cellStyle name="Normal 200 9" xfId="19890" xr:uid="{00000000-0005-0000-0000-0000EC4D0000}"/>
    <cellStyle name="Normal 201" xfId="19891" xr:uid="{00000000-0005-0000-0000-0000ED4D0000}"/>
    <cellStyle name="Normal 201 2" xfId="19892" xr:uid="{00000000-0005-0000-0000-0000EE4D0000}"/>
    <cellStyle name="Normal 202" xfId="19893" xr:uid="{00000000-0005-0000-0000-0000EF4D0000}"/>
    <cellStyle name="Normal 202 2" xfId="19894" xr:uid="{00000000-0005-0000-0000-0000F04D0000}"/>
    <cellStyle name="Normal 203" xfId="19895" xr:uid="{00000000-0005-0000-0000-0000F14D0000}"/>
    <cellStyle name="Normal 203 2" xfId="19896" xr:uid="{00000000-0005-0000-0000-0000F24D0000}"/>
    <cellStyle name="Normal 204" xfId="19897" xr:uid="{00000000-0005-0000-0000-0000F34D0000}"/>
    <cellStyle name="Normal 204 2" xfId="19898" xr:uid="{00000000-0005-0000-0000-0000F44D0000}"/>
    <cellStyle name="Normal 205" xfId="19899" xr:uid="{00000000-0005-0000-0000-0000F54D0000}"/>
    <cellStyle name="Normal 205 2" xfId="19900" xr:uid="{00000000-0005-0000-0000-0000F64D0000}"/>
    <cellStyle name="Normal 206" xfId="19901" xr:uid="{00000000-0005-0000-0000-0000F74D0000}"/>
    <cellStyle name="Normal 206 2" xfId="19902" xr:uid="{00000000-0005-0000-0000-0000F84D0000}"/>
    <cellStyle name="Normal 207" xfId="19903" xr:uid="{00000000-0005-0000-0000-0000F94D0000}"/>
    <cellStyle name="Normal 207 2" xfId="19904" xr:uid="{00000000-0005-0000-0000-0000FA4D0000}"/>
    <cellStyle name="Normal 208" xfId="19905" xr:uid="{00000000-0005-0000-0000-0000FB4D0000}"/>
    <cellStyle name="Normal 209" xfId="19906" xr:uid="{00000000-0005-0000-0000-0000FC4D0000}"/>
    <cellStyle name="Normal 21" xfId="6204" xr:uid="{00000000-0005-0000-0000-0000FD4D0000}"/>
    <cellStyle name="Normal 21 2" xfId="19907" xr:uid="{00000000-0005-0000-0000-0000FE4D0000}"/>
    <cellStyle name="Normal 21 2 2" xfId="19908" xr:uid="{00000000-0005-0000-0000-0000FF4D0000}"/>
    <cellStyle name="Normal 21 2 2 2" xfId="36543" xr:uid="{00000000-0005-0000-0000-0000004E0000}"/>
    <cellStyle name="Normal 21 3" xfId="19909" xr:uid="{00000000-0005-0000-0000-0000014E0000}"/>
    <cellStyle name="Normal 21 3 2" xfId="36545" xr:uid="{00000000-0005-0000-0000-0000024E0000}"/>
    <cellStyle name="Normal 21 3 3" xfId="36544" xr:uid="{00000000-0005-0000-0000-0000034E0000}"/>
    <cellStyle name="Normal 21 4" xfId="19910" xr:uid="{00000000-0005-0000-0000-0000044E0000}"/>
    <cellStyle name="Normal 210" xfId="19911" xr:uid="{00000000-0005-0000-0000-0000054E0000}"/>
    <cellStyle name="Normal 210 2" xfId="19912" xr:uid="{00000000-0005-0000-0000-0000064E0000}"/>
    <cellStyle name="Normal 211" xfId="19913" xr:uid="{00000000-0005-0000-0000-0000074E0000}"/>
    <cellStyle name="Normal 211 2" xfId="19914" xr:uid="{00000000-0005-0000-0000-0000084E0000}"/>
    <cellStyle name="Normal 212" xfId="19915" xr:uid="{00000000-0005-0000-0000-0000094E0000}"/>
    <cellStyle name="Normal 212 2" xfId="19916" xr:uid="{00000000-0005-0000-0000-00000A4E0000}"/>
    <cellStyle name="Normal 213" xfId="19917" xr:uid="{00000000-0005-0000-0000-00000B4E0000}"/>
    <cellStyle name="Normal 213 2" xfId="19918" xr:uid="{00000000-0005-0000-0000-00000C4E0000}"/>
    <cellStyle name="Normal 214" xfId="19919" xr:uid="{00000000-0005-0000-0000-00000D4E0000}"/>
    <cellStyle name="Normal 214 2" xfId="19920" xr:uid="{00000000-0005-0000-0000-00000E4E0000}"/>
    <cellStyle name="Normal 215" xfId="19921" xr:uid="{00000000-0005-0000-0000-00000F4E0000}"/>
    <cellStyle name="Normal 215 2" xfId="19922" xr:uid="{00000000-0005-0000-0000-0000104E0000}"/>
    <cellStyle name="Normal 216" xfId="19923" xr:uid="{00000000-0005-0000-0000-0000114E0000}"/>
    <cellStyle name="Normal 216 2" xfId="19924" xr:uid="{00000000-0005-0000-0000-0000124E0000}"/>
    <cellStyle name="Normal 217" xfId="19925" xr:uid="{00000000-0005-0000-0000-0000134E0000}"/>
    <cellStyle name="Normal 217 2" xfId="19926" xr:uid="{00000000-0005-0000-0000-0000144E0000}"/>
    <cellStyle name="Normal 218" xfId="19927" xr:uid="{00000000-0005-0000-0000-0000154E0000}"/>
    <cellStyle name="Normal 218 2" xfId="19928" xr:uid="{00000000-0005-0000-0000-0000164E0000}"/>
    <cellStyle name="Normal 219" xfId="19929" xr:uid="{00000000-0005-0000-0000-0000174E0000}"/>
    <cellStyle name="Normal 219 2" xfId="19930" xr:uid="{00000000-0005-0000-0000-0000184E0000}"/>
    <cellStyle name="Normal 22" xfId="6205" xr:uid="{00000000-0005-0000-0000-0000194E0000}"/>
    <cellStyle name="Normal 22 2" xfId="19931" xr:uid="{00000000-0005-0000-0000-00001A4E0000}"/>
    <cellStyle name="Normal 22 2 2" xfId="19932" xr:uid="{00000000-0005-0000-0000-00001B4E0000}"/>
    <cellStyle name="Normal 22 2 2 2" xfId="36546" xr:uid="{00000000-0005-0000-0000-00001C4E0000}"/>
    <cellStyle name="Normal 22 3" xfId="19933" xr:uid="{00000000-0005-0000-0000-00001D4E0000}"/>
    <cellStyle name="Normal 22 3 2" xfId="36548" xr:uid="{00000000-0005-0000-0000-00001E4E0000}"/>
    <cellStyle name="Normal 22 3 3" xfId="36547" xr:uid="{00000000-0005-0000-0000-00001F4E0000}"/>
    <cellStyle name="Normal 22 4" xfId="19934" xr:uid="{00000000-0005-0000-0000-0000204E0000}"/>
    <cellStyle name="Normal 220" xfId="19935" xr:uid="{00000000-0005-0000-0000-0000214E0000}"/>
    <cellStyle name="Normal 220 2" xfId="19936" xr:uid="{00000000-0005-0000-0000-0000224E0000}"/>
    <cellStyle name="Normal 221" xfId="19937" xr:uid="{00000000-0005-0000-0000-0000234E0000}"/>
    <cellStyle name="Normal 221 2" xfId="19938" xr:uid="{00000000-0005-0000-0000-0000244E0000}"/>
    <cellStyle name="Normal 222" xfId="19939" xr:uid="{00000000-0005-0000-0000-0000254E0000}"/>
    <cellStyle name="Normal 222 2" xfId="19940" xr:uid="{00000000-0005-0000-0000-0000264E0000}"/>
    <cellStyle name="Normal 223" xfId="19941" xr:uid="{00000000-0005-0000-0000-0000274E0000}"/>
    <cellStyle name="Normal 223 2" xfId="19942" xr:uid="{00000000-0005-0000-0000-0000284E0000}"/>
    <cellStyle name="Normal 224" xfId="19943" xr:uid="{00000000-0005-0000-0000-0000294E0000}"/>
    <cellStyle name="Normal 225" xfId="19944" xr:uid="{00000000-0005-0000-0000-00002A4E0000}"/>
    <cellStyle name="Normal 226" xfId="19945" xr:uid="{00000000-0005-0000-0000-00002B4E0000}"/>
    <cellStyle name="Normal 226 2" xfId="19946" xr:uid="{00000000-0005-0000-0000-00002C4E0000}"/>
    <cellStyle name="Normal 227" xfId="19947" xr:uid="{00000000-0005-0000-0000-00002D4E0000}"/>
    <cellStyle name="Normal 227 2" xfId="19948" xr:uid="{00000000-0005-0000-0000-00002E4E0000}"/>
    <cellStyle name="Normal 227 3" xfId="19949" xr:uid="{00000000-0005-0000-0000-00002F4E0000}"/>
    <cellStyle name="Normal 227 4" xfId="19950" xr:uid="{00000000-0005-0000-0000-0000304E0000}"/>
    <cellStyle name="Normal 227 5" xfId="19951" xr:uid="{00000000-0005-0000-0000-0000314E0000}"/>
    <cellStyle name="Normal 227 6" xfId="19952" xr:uid="{00000000-0005-0000-0000-0000324E0000}"/>
    <cellStyle name="Normal 227 7" xfId="19953" xr:uid="{00000000-0005-0000-0000-0000334E0000}"/>
    <cellStyle name="Normal 227 8" xfId="19954" xr:uid="{00000000-0005-0000-0000-0000344E0000}"/>
    <cellStyle name="Normal 227 9" xfId="19955" xr:uid="{00000000-0005-0000-0000-0000354E0000}"/>
    <cellStyle name="Normal 228" xfId="19956" xr:uid="{00000000-0005-0000-0000-0000364E0000}"/>
    <cellStyle name="Normal 229" xfId="19957" xr:uid="{00000000-0005-0000-0000-0000374E0000}"/>
    <cellStyle name="Normal 23" xfId="6206" xr:uid="{00000000-0005-0000-0000-0000384E0000}"/>
    <cellStyle name="Normal 23 2" xfId="19958" xr:uid="{00000000-0005-0000-0000-0000394E0000}"/>
    <cellStyle name="Normal 23 2 2" xfId="19959" xr:uid="{00000000-0005-0000-0000-00003A4E0000}"/>
    <cellStyle name="Normal 23 2 2 2" xfId="33640" xr:uid="{00000000-0005-0000-0000-00003B4E0000}"/>
    <cellStyle name="Normal 23 2 2 3" xfId="36549" xr:uid="{00000000-0005-0000-0000-00003C4E0000}"/>
    <cellStyle name="Normal 23 2 3" xfId="19960" xr:uid="{00000000-0005-0000-0000-00003D4E0000}"/>
    <cellStyle name="Normal 23 3" xfId="19961" xr:uid="{00000000-0005-0000-0000-00003E4E0000}"/>
    <cellStyle name="Normal 23 3 2" xfId="33641" xr:uid="{00000000-0005-0000-0000-00003F4E0000}"/>
    <cellStyle name="Normal 23 3 2 2" xfId="36551" xr:uid="{00000000-0005-0000-0000-0000404E0000}"/>
    <cellStyle name="Normal 23 3 3" xfId="36550" xr:uid="{00000000-0005-0000-0000-0000414E0000}"/>
    <cellStyle name="Normal 23 4" xfId="19962" xr:uid="{00000000-0005-0000-0000-0000424E0000}"/>
    <cellStyle name="Normal 23 4 2" xfId="36552" xr:uid="{00000000-0005-0000-0000-0000434E0000}"/>
    <cellStyle name="Normal 23 5" xfId="19963" xr:uid="{00000000-0005-0000-0000-0000444E0000}"/>
    <cellStyle name="Normal 230" xfId="19964" xr:uid="{00000000-0005-0000-0000-0000454E0000}"/>
    <cellStyle name="Normal 231" xfId="19965" xr:uid="{00000000-0005-0000-0000-0000464E0000}"/>
    <cellStyle name="Normal 232" xfId="19966" xr:uid="{00000000-0005-0000-0000-0000474E0000}"/>
    <cellStyle name="Normal 233" xfId="19967" xr:uid="{00000000-0005-0000-0000-0000484E0000}"/>
    <cellStyle name="Normal 234" xfId="19968" xr:uid="{00000000-0005-0000-0000-0000494E0000}"/>
    <cellStyle name="Normal 234 2" xfId="19969" xr:uid="{00000000-0005-0000-0000-00004A4E0000}"/>
    <cellStyle name="Normal 234 3" xfId="19970" xr:uid="{00000000-0005-0000-0000-00004B4E0000}"/>
    <cellStyle name="Normal 234 4" xfId="19971" xr:uid="{00000000-0005-0000-0000-00004C4E0000}"/>
    <cellStyle name="Normal 234 5" xfId="19972" xr:uid="{00000000-0005-0000-0000-00004D4E0000}"/>
    <cellStyle name="Normal 234 6" xfId="19973" xr:uid="{00000000-0005-0000-0000-00004E4E0000}"/>
    <cellStyle name="Normal 234 7" xfId="19974" xr:uid="{00000000-0005-0000-0000-00004F4E0000}"/>
    <cellStyle name="Normal 234 8" xfId="19975" xr:uid="{00000000-0005-0000-0000-0000504E0000}"/>
    <cellStyle name="Normal 234 9" xfId="19976" xr:uid="{00000000-0005-0000-0000-0000514E0000}"/>
    <cellStyle name="Normal 235" xfId="19977" xr:uid="{00000000-0005-0000-0000-0000524E0000}"/>
    <cellStyle name="Normal 236" xfId="19978" xr:uid="{00000000-0005-0000-0000-0000534E0000}"/>
    <cellStyle name="Normal 237" xfId="19979" xr:uid="{00000000-0005-0000-0000-0000544E0000}"/>
    <cellStyle name="Normal 238" xfId="19980" xr:uid="{00000000-0005-0000-0000-0000554E0000}"/>
    <cellStyle name="Normal 239" xfId="19981" xr:uid="{00000000-0005-0000-0000-0000564E0000}"/>
    <cellStyle name="Normal 24" xfId="6207" xr:uid="{00000000-0005-0000-0000-0000574E0000}"/>
    <cellStyle name="Normal 24 2" xfId="19982" xr:uid="{00000000-0005-0000-0000-0000584E0000}"/>
    <cellStyle name="Normal 24 2 2" xfId="19983" xr:uid="{00000000-0005-0000-0000-0000594E0000}"/>
    <cellStyle name="Normal 24 3" xfId="19984" xr:uid="{00000000-0005-0000-0000-00005A4E0000}"/>
    <cellStyle name="Normal 24 3 2" xfId="33642" xr:uid="{00000000-0005-0000-0000-00005B4E0000}"/>
    <cellStyle name="Normal 24 3 3" xfId="36553" xr:uid="{00000000-0005-0000-0000-00005C4E0000}"/>
    <cellStyle name="Normal 24 4" xfId="19985" xr:uid="{00000000-0005-0000-0000-00005D4E0000}"/>
    <cellStyle name="Normal 24 5" xfId="19986" xr:uid="{00000000-0005-0000-0000-00005E4E0000}"/>
    <cellStyle name="Normal 240" xfId="19987" xr:uid="{00000000-0005-0000-0000-00005F4E0000}"/>
    <cellStyle name="Normal 241" xfId="19988" xr:uid="{00000000-0005-0000-0000-0000604E0000}"/>
    <cellStyle name="Normal 242" xfId="19989" xr:uid="{00000000-0005-0000-0000-0000614E0000}"/>
    <cellStyle name="Normal 242 2" xfId="19990" xr:uid="{00000000-0005-0000-0000-0000624E0000}"/>
    <cellStyle name="Normal 242 3" xfId="19991" xr:uid="{00000000-0005-0000-0000-0000634E0000}"/>
    <cellStyle name="Normal 242 4" xfId="19992" xr:uid="{00000000-0005-0000-0000-0000644E0000}"/>
    <cellStyle name="Normal 242 5" xfId="19993" xr:uid="{00000000-0005-0000-0000-0000654E0000}"/>
    <cellStyle name="Normal 242 6" xfId="19994" xr:uid="{00000000-0005-0000-0000-0000664E0000}"/>
    <cellStyle name="Normal 242 7" xfId="19995" xr:uid="{00000000-0005-0000-0000-0000674E0000}"/>
    <cellStyle name="Normal 242 8" xfId="19996" xr:uid="{00000000-0005-0000-0000-0000684E0000}"/>
    <cellStyle name="Normal 242 9" xfId="19997" xr:uid="{00000000-0005-0000-0000-0000694E0000}"/>
    <cellStyle name="Normal 243" xfId="19998" xr:uid="{00000000-0005-0000-0000-00006A4E0000}"/>
    <cellStyle name="Normal 243 2" xfId="19999" xr:uid="{00000000-0005-0000-0000-00006B4E0000}"/>
    <cellStyle name="Normal 243 3" xfId="20000" xr:uid="{00000000-0005-0000-0000-00006C4E0000}"/>
    <cellStyle name="Normal 243 4" xfId="20001" xr:uid="{00000000-0005-0000-0000-00006D4E0000}"/>
    <cellStyle name="Normal 243 5" xfId="20002" xr:uid="{00000000-0005-0000-0000-00006E4E0000}"/>
    <cellStyle name="Normal 243 6" xfId="20003" xr:uid="{00000000-0005-0000-0000-00006F4E0000}"/>
    <cellStyle name="Normal 243 7" xfId="20004" xr:uid="{00000000-0005-0000-0000-0000704E0000}"/>
    <cellStyle name="Normal 243 8" xfId="20005" xr:uid="{00000000-0005-0000-0000-0000714E0000}"/>
    <cellStyle name="Normal 243 9" xfId="20006" xr:uid="{00000000-0005-0000-0000-0000724E0000}"/>
    <cellStyle name="Normal 244" xfId="20007" xr:uid="{00000000-0005-0000-0000-0000734E0000}"/>
    <cellStyle name="Normal 245" xfId="20008" xr:uid="{00000000-0005-0000-0000-0000744E0000}"/>
    <cellStyle name="Normal 246" xfId="20009" xr:uid="{00000000-0005-0000-0000-0000754E0000}"/>
    <cellStyle name="Normal 246 2" xfId="20010" xr:uid="{00000000-0005-0000-0000-0000764E0000}"/>
    <cellStyle name="Normal 246 3" xfId="20011" xr:uid="{00000000-0005-0000-0000-0000774E0000}"/>
    <cellStyle name="Normal 246 4" xfId="20012" xr:uid="{00000000-0005-0000-0000-0000784E0000}"/>
    <cellStyle name="Normal 246 5" xfId="20013" xr:uid="{00000000-0005-0000-0000-0000794E0000}"/>
    <cellStyle name="Normal 246 6" xfId="20014" xr:uid="{00000000-0005-0000-0000-00007A4E0000}"/>
    <cellStyle name="Normal 246 7" xfId="20015" xr:uid="{00000000-0005-0000-0000-00007B4E0000}"/>
    <cellStyle name="Normal 246 8" xfId="20016" xr:uid="{00000000-0005-0000-0000-00007C4E0000}"/>
    <cellStyle name="Normal 246 9" xfId="20017" xr:uid="{00000000-0005-0000-0000-00007D4E0000}"/>
    <cellStyle name="Normal 247" xfId="20018" xr:uid="{00000000-0005-0000-0000-00007E4E0000}"/>
    <cellStyle name="Normal 247 2" xfId="20019" xr:uid="{00000000-0005-0000-0000-00007F4E0000}"/>
    <cellStyle name="Normal 247 3" xfId="20020" xr:uid="{00000000-0005-0000-0000-0000804E0000}"/>
    <cellStyle name="Normal 247 4" xfId="20021" xr:uid="{00000000-0005-0000-0000-0000814E0000}"/>
    <cellStyle name="Normal 247 5" xfId="20022" xr:uid="{00000000-0005-0000-0000-0000824E0000}"/>
    <cellStyle name="Normal 247 6" xfId="20023" xr:uid="{00000000-0005-0000-0000-0000834E0000}"/>
    <cellStyle name="Normal 247 7" xfId="20024" xr:uid="{00000000-0005-0000-0000-0000844E0000}"/>
    <cellStyle name="Normal 247 8" xfId="20025" xr:uid="{00000000-0005-0000-0000-0000854E0000}"/>
    <cellStyle name="Normal 247 9" xfId="20026" xr:uid="{00000000-0005-0000-0000-0000864E0000}"/>
    <cellStyle name="Normal 248" xfId="20027" xr:uid="{00000000-0005-0000-0000-0000874E0000}"/>
    <cellStyle name="Normal 249" xfId="20028" xr:uid="{00000000-0005-0000-0000-0000884E0000}"/>
    <cellStyle name="Normal 25" xfId="6208" xr:uid="{00000000-0005-0000-0000-0000894E0000}"/>
    <cellStyle name="Normal 25 2" xfId="20029" xr:uid="{00000000-0005-0000-0000-00008A4E0000}"/>
    <cellStyle name="Normal 25 2 2" xfId="33643" xr:uid="{00000000-0005-0000-0000-00008B4E0000}"/>
    <cellStyle name="Normal 25 3" xfId="20030" xr:uid="{00000000-0005-0000-0000-00008C4E0000}"/>
    <cellStyle name="Normal 25 3 2" xfId="36554" xr:uid="{00000000-0005-0000-0000-00008D4E0000}"/>
    <cellStyle name="Normal 25 4" xfId="20031" xr:uid="{00000000-0005-0000-0000-00008E4E0000}"/>
    <cellStyle name="Normal 25 5" xfId="20032" xr:uid="{00000000-0005-0000-0000-00008F4E0000}"/>
    <cellStyle name="Normal 250" xfId="20033" xr:uid="{00000000-0005-0000-0000-0000904E0000}"/>
    <cellStyle name="Normal 251" xfId="20034" xr:uid="{00000000-0005-0000-0000-0000914E0000}"/>
    <cellStyle name="Normal 251 10" xfId="20035" xr:uid="{00000000-0005-0000-0000-0000924E0000}"/>
    <cellStyle name="Normal 251 2" xfId="20036" xr:uid="{00000000-0005-0000-0000-0000934E0000}"/>
    <cellStyle name="Normal 251 2 2" xfId="20037" xr:uid="{00000000-0005-0000-0000-0000944E0000}"/>
    <cellStyle name="Normal 251 3" xfId="20038" xr:uid="{00000000-0005-0000-0000-0000954E0000}"/>
    <cellStyle name="Normal 251 4" xfId="20039" xr:uid="{00000000-0005-0000-0000-0000964E0000}"/>
    <cellStyle name="Normal 251 5" xfId="20040" xr:uid="{00000000-0005-0000-0000-0000974E0000}"/>
    <cellStyle name="Normal 251 6" xfId="20041" xr:uid="{00000000-0005-0000-0000-0000984E0000}"/>
    <cellStyle name="Normal 251 7" xfId="20042" xr:uid="{00000000-0005-0000-0000-0000994E0000}"/>
    <cellStyle name="Normal 251 8" xfId="20043" xr:uid="{00000000-0005-0000-0000-00009A4E0000}"/>
    <cellStyle name="Normal 251 9" xfId="20044" xr:uid="{00000000-0005-0000-0000-00009B4E0000}"/>
    <cellStyle name="Normal 252" xfId="20045" xr:uid="{00000000-0005-0000-0000-00009C4E0000}"/>
    <cellStyle name="Normal 252 2" xfId="20046" xr:uid="{00000000-0005-0000-0000-00009D4E0000}"/>
    <cellStyle name="Normal 253" xfId="20047" xr:uid="{00000000-0005-0000-0000-00009E4E0000}"/>
    <cellStyle name="Normal 253 2" xfId="20048" xr:uid="{00000000-0005-0000-0000-00009F4E0000}"/>
    <cellStyle name="Normal 254" xfId="20049" xr:uid="{00000000-0005-0000-0000-0000A04E0000}"/>
    <cellStyle name="Normal 254 2" xfId="20050" xr:uid="{00000000-0005-0000-0000-0000A14E0000}"/>
    <cellStyle name="Normal 255" xfId="20051" xr:uid="{00000000-0005-0000-0000-0000A24E0000}"/>
    <cellStyle name="Normal 255 2" xfId="20052" xr:uid="{00000000-0005-0000-0000-0000A34E0000}"/>
    <cellStyle name="Normal 256" xfId="20053" xr:uid="{00000000-0005-0000-0000-0000A44E0000}"/>
    <cellStyle name="Normal 256 2" xfId="20054" xr:uid="{00000000-0005-0000-0000-0000A54E0000}"/>
    <cellStyle name="Normal 256 3" xfId="20055" xr:uid="{00000000-0005-0000-0000-0000A64E0000}"/>
    <cellStyle name="Normal 256 4" xfId="20056" xr:uid="{00000000-0005-0000-0000-0000A74E0000}"/>
    <cellStyle name="Normal 256 5" xfId="20057" xr:uid="{00000000-0005-0000-0000-0000A84E0000}"/>
    <cellStyle name="Normal 256 6" xfId="20058" xr:uid="{00000000-0005-0000-0000-0000A94E0000}"/>
    <cellStyle name="Normal 256 7" xfId="20059" xr:uid="{00000000-0005-0000-0000-0000AA4E0000}"/>
    <cellStyle name="Normal 256 8" xfId="20060" xr:uid="{00000000-0005-0000-0000-0000AB4E0000}"/>
    <cellStyle name="Normal 256 9" xfId="20061" xr:uid="{00000000-0005-0000-0000-0000AC4E0000}"/>
    <cellStyle name="Normal 257" xfId="20062" xr:uid="{00000000-0005-0000-0000-0000AD4E0000}"/>
    <cellStyle name="Normal 257 2" xfId="20063" xr:uid="{00000000-0005-0000-0000-0000AE4E0000}"/>
    <cellStyle name="Normal 257 3" xfId="20064" xr:uid="{00000000-0005-0000-0000-0000AF4E0000}"/>
    <cellStyle name="Normal 257 4" xfId="20065" xr:uid="{00000000-0005-0000-0000-0000B04E0000}"/>
    <cellStyle name="Normal 257 5" xfId="20066" xr:uid="{00000000-0005-0000-0000-0000B14E0000}"/>
    <cellStyle name="Normal 257 6" xfId="20067" xr:uid="{00000000-0005-0000-0000-0000B24E0000}"/>
    <cellStyle name="Normal 257 7" xfId="20068" xr:uid="{00000000-0005-0000-0000-0000B34E0000}"/>
    <cellStyle name="Normal 257 8" xfId="20069" xr:uid="{00000000-0005-0000-0000-0000B44E0000}"/>
    <cellStyle name="Normal 257 9" xfId="20070" xr:uid="{00000000-0005-0000-0000-0000B54E0000}"/>
    <cellStyle name="Normal 258" xfId="20071" xr:uid="{00000000-0005-0000-0000-0000B64E0000}"/>
    <cellStyle name="Normal 258 2" xfId="20072" xr:uid="{00000000-0005-0000-0000-0000B74E0000}"/>
    <cellStyle name="Normal 258 3" xfId="20073" xr:uid="{00000000-0005-0000-0000-0000B84E0000}"/>
    <cellStyle name="Normal 258 4" xfId="20074" xr:uid="{00000000-0005-0000-0000-0000B94E0000}"/>
    <cellStyle name="Normal 258 5" xfId="20075" xr:uid="{00000000-0005-0000-0000-0000BA4E0000}"/>
    <cellStyle name="Normal 258 6" xfId="20076" xr:uid="{00000000-0005-0000-0000-0000BB4E0000}"/>
    <cellStyle name="Normal 258 7" xfId="20077" xr:uid="{00000000-0005-0000-0000-0000BC4E0000}"/>
    <cellStyle name="Normal 258 8" xfId="20078" xr:uid="{00000000-0005-0000-0000-0000BD4E0000}"/>
    <cellStyle name="Normal 258 9" xfId="20079" xr:uid="{00000000-0005-0000-0000-0000BE4E0000}"/>
    <cellStyle name="Normal 259" xfId="20080" xr:uid="{00000000-0005-0000-0000-0000BF4E0000}"/>
    <cellStyle name="Normal 259 2" xfId="20081" xr:uid="{00000000-0005-0000-0000-0000C04E0000}"/>
    <cellStyle name="Normal 259 3" xfId="20082" xr:uid="{00000000-0005-0000-0000-0000C14E0000}"/>
    <cellStyle name="Normal 259 4" xfId="20083" xr:uid="{00000000-0005-0000-0000-0000C24E0000}"/>
    <cellStyle name="Normal 259 5" xfId="20084" xr:uid="{00000000-0005-0000-0000-0000C34E0000}"/>
    <cellStyle name="Normal 259 6" xfId="20085" xr:uid="{00000000-0005-0000-0000-0000C44E0000}"/>
    <cellStyle name="Normal 259 7" xfId="20086" xr:uid="{00000000-0005-0000-0000-0000C54E0000}"/>
    <cellStyle name="Normal 259 8" xfId="20087" xr:uid="{00000000-0005-0000-0000-0000C64E0000}"/>
    <cellStyle name="Normal 259 9" xfId="20088" xr:uid="{00000000-0005-0000-0000-0000C74E0000}"/>
    <cellStyle name="Normal 26" xfId="6209" xr:uid="{00000000-0005-0000-0000-0000C84E0000}"/>
    <cellStyle name="Normal 26 2" xfId="20089" xr:uid="{00000000-0005-0000-0000-0000C94E0000}"/>
    <cellStyle name="Normal 26 2 2" xfId="33644" xr:uid="{00000000-0005-0000-0000-0000CA4E0000}"/>
    <cellStyle name="Normal 26 2 3" xfId="36555" xr:uid="{00000000-0005-0000-0000-0000CB4E0000}"/>
    <cellStyle name="Normal 26 3" xfId="20090" xr:uid="{00000000-0005-0000-0000-0000CC4E0000}"/>
    <cellStyle name="Normal 26 4" xfId="20091" xr:uid="{00000000-0005-0000-0000-0000CD4E0000}"/>
    <cellStyle name="Normal 260" xfId="20092" xr:uid="{00000000-0005-0000-0000-0000CE4E0000}"/>
    <cellStyle name="Normal 260 2" xfId="20093" xr:uid="{00000000-0005-0000-0000-0000CF4E0000}"/>
    <cellStyle name="Normal 260 3" xfId="20094" xr:uid="{00000000-0005-0000-0000-0000D04E0000}"/>
    <cellStyle name="Normal 260 4" xfId="20095" xr:uid="{00000000-0005-0000-0000-0000D14E0000}"/>
    <cellStyle name="Normal 260 5" xfId="20096" xr:uid="{00000000-0005-0000-0000-0000D24E0000}"/>
    <cellStyle name="Normal 260 6" xfId="20097" xr:uid="{00000000-0005-0000-0000-0000D34E0000}"/>
    <cellStyle name="Normal 260 7" xfId="20098" xr:uid="{00000000-0005-0000-0000-0000D44E0000}"/>
    <cellStyle name="Normal 260 8" xfId="20099" xr:uid="{00000000-0005-0000-0000-0000D54E0000}"/>
    <cellStyle name="Normal 260 9" xfId="20100" xr:uid="{00000000-0005-0000-0000-0000D64E0000}"/>
    <cellStyle name="Normal 261" xfId="20101" xr:uid="{00000000-0005-0000-0000-0000D74E0000}"/>
    <cellStyle name="Normal 261 2" xfId="20102" xr:uid="{00000000-0005-0000-0000-0000D84E0000}"/>
    <cellStyle name="Normal 261 3" xfId="20103" xr:uid="{00000000-0005-0000-0000-0000D94E0000}"/>
    <cellStyle name="Normal 261 4" xfId="20104" xr:uid="{00000000-0005-0000-0000-0000DA4E0000}"/>
    <cellStyle name="Normal 261 5" xfId="20105" xr:uid="{00000000-0005-0000-0000-0000DB4E0000}"/>
    <cellStyle name="Normal 261 6" xfId="20106" xr:uid="{00000000-0005-0000-0000-0000DC4E0000}"/>
    <cellStyle name="Normal 261 7" xfId="20107" xr:uid="{00000000-0005-0000-0000-0000DD4E0000}"/>
    <cellStyle name="Normal 261 8" xfId="20108" xr:uid="{00000000-0005-0000-0000-0000DE4E0000}"/>
    <cellStyle name="Normal 261 9" xfId="20109" xr:uid="{00000000-0005-0000-0000-0000DF4E0000}"/>
    <cellStyle name="Normal 262" xfId="20110" xr:uid="{00000000-0005-0000-0000-0000E04E0000}"/>
    <cellStyle name="Normal 262 2" xfId="20111" xr:uid="{00000000-0005-0000-0000-0000E14E0000}"/>
    <cellStyle name="Normal 262 3" xfId="20112" xr:uid="{00000000-0005-0000-0000-0000E24E0000}"/>
    <cellStyle name="Normal 262 4" xfId="20113" xr:uid="{00000000-0005-0000-0000-0000E34E0000}"/>
    <cellStyle name="Normal 262 5" xfId="20114" xr:uid="{00000000-0005-0000-0000-0000E44E0000}"/>
    <cellStyle name="Normal 262 6" xfId="20115" xr:uid="{00000000-0005-0000-0000-0000E54E0000}"/>
    <cellStyle name="Normal 262 7" xfId="20116" xr:uid="{00000000-0005-0000-0000-0000E64E0000}"/>
    <cellStyle name="Normal 262 8" xfId="20117" xr:uid="{00000000-0005-0000-0000-0000E74E0000}"/>
    <cellStyle name="Normal 262 9" xfId="20118" xr:uid="{00000000-0005-0000-0000-0000E84E0000}"/>
    <cellStyle name="Normal 263" xfId="20119" xr:uid="{00000000-0005-0000-0000-0000E94E0000}"/>
    <cellStyle name="Normal 263 10" xfId="20120" xr:uid="{00000000-0005-0000-0000-0000EA4E0000}"/>
    <cellStyle name="Normal 263 2" xfId="20121" xr:uid="{00000000-0005-0000-0000-0000EB4E0000}"/>
    <cellStyle name="Normal 263 3" xfId="20122" xr:uid="{00000000-0005-0000-0000-0000EC4E0000}"/>
    <cellStyle name="Normal 263 4" xfId="20123" xr:uid="{00000000-0005-0000-0000-0000ED4E0000}"/>
    <cellStyle name="Normal 263 5" xfId="20124" xr:uid="{00000000-0005-0000-0000-0000EE4E0000}"/>
    <cellStyle name="Normal 263 6" xfId="20125" xr:uid="{00000000-0005-0000-0000-0000EF4E0000}"/>
    <cellStyle name="Normal 263 7" xfId="20126" xr:uid="{00000000-0005-0000-0000-0000F04E0000}"/>
    <cellStyle name="Normal 263 8" xfId="20127" xr:uid="{00000000-0005-0000-0000-0000F14E0000}"/>
    <cellStyle name="Normal 263 9" xfId="20128" xr:uid="{00000000-0005-0000-0000-0000F24E0000}"/>
    <cellStyle name="Normal 264" xfId="20129" xr:uid="{00000000-0005-0000-0000-0000F34E0000}"/>
    <cellStyle name="Normal 265" xfId="20130" xr:uid="{00000000-0005-0000-0000-0000F44E0000}"/>
    <cellStyle name="Normal 266" xfId="20131" xr:uid="{00000000-0005-0000-0000-0000F54E0000}"/>
    <cellStyle name="Normal 267" xfId="20132" xr:uid="{00000000-0005-0000-0000-0000F64E0000}"/>
    <cellStyle name="Normal 268" xfId="20133" xr:uid="{00000000-0005-0000-0000-0000F74E0000}"/>
    <cellStyle name="Normal 268 2" xfId="20134" xr:uid="{00000000-0005-0000-0000-0000F84E0000}"/>
    <cellStyle name="Normal 268 3" xfId="20135" xr:uid="{00000000-0005-0000-0000-0000F94E0000}"/>
    <cellStyle name="Normal 268 4" xfId="20136" xr:uid="{00000000-0005-0000-0000-0000FA4E0000}"/>
    <cellStyle name="Normal 268 5" xfId="20137" xr:uid="{00000000-0005-0000-0000-0000FB4E0000}"/>
    <cellStyle name="Normal 268 6" xfId="20138" xr:uid="{00000000-0005-0000-0000-0000FC4E0000}"/>
    <cellStyle name="Normal 268 7" xfId="20139" xr:uid="{00000000-0005-0000-0000-0000FD4E0000}"/>
    <cellStyle name="Normal 268 8" xfId="20140" xr:uid="{00000000-0005-0000-0000-0000FE4E0000}"/>
    <cellStyle name="Normal 268 9" xfId="20141" xr:uid="{00000000-0005-0000-0000-0000FF4E0000}"/>
    <cellStyle name="Normal 269" xfId="20142" xr:uid="{00000000-0005-0000-0000-0000004F0000}"/>
    <cellStyle name="Normal 269 2" xfId="20143" xr:uid="{00000000-0005-0000-0000-0000014F0000}"/>
    <cellStyle name="Normal 269 3" xfId="20144" xr:uid="{00000000-0005-0000-0000-0000024F0000}"/>
    <cellStyle name="Normal 269 4" xfId="20145" xr:uid="{00000000-0005-0000-0000-0000034F0000}"/>
    <cellStyle name="Normal 269 5" xfId="20146" xr:uid="{00000000-0005-0000-0000-0000044F0000}"/>
    <cellStyle name="Normal 269 6" xfId="20147" xr:uid="{00000000-0005-0000-0000-0000054F0000}"/>
    <cellStyle name="Normal 269 7" xfId="20148" xr:uid="{00000000-0005-0000-0000-0000064F0000}"/>
    <cellStyle name="Normal 269 8" xfId="20149" xr:uid="{00000000-0005-0000-0000-0000074F0000}"/>
    <cellStyle name="Normal 27" xfId="6210" xr:uid="{00000000-0005-0000-0000-0000084F0000}"/>
    <cellStyle name="Normal 27 2" xfId="20150" xr:uid="{00000000-0005-0000-0000-0000094F0000}"/>
    <cellStyle name="Normal 27 2 2" xfId="33645" xr:uid="{00000000-0005-0000-0000-00000A4F0000}"/>
    <cellStyle name="Normal 27 2 2 2" xfId="36556" xr:uid="{00000000-0005-0000-0000-00000B4F0000}"/>
    <cellStyle name="Normal 27 3" xfId="20151" xr:uid="{00000000-0005-0000-0000-00000C4F0000}"/>
    <cellStyle name="Normal 27 3 2" xfId="36558" xr:uid="{00000000-0005-0000-0000-00000D4F0000}"/>
    <cellStyle name="Normal 27 3 3" xfId="36557" xr:uid="{00000000-0005-0000-0000-00000E4F0000}"/>
    <cellStyle name="Normal 27 4" xfId="20152" xr:uid="{00000000-0005-0000-0000-00000F4F0000}"/>
    <cellStyle name="Normal 270" xfId="20153" xr:uid="{00000000-0005-0000-0000-0000104F0000}"/>
    <cellStyle name="Normal 270 2" xfId="20154" xr:uid="{00000000-0005-0000-0000-0000114F0000}"/>
    <cellStyle name="Normal 270 3" xfId="20155" xr:uid="{00000000-0005-0000-0000-0000124F0000}"/>
    <cellStyle name="Normal 270 4" xfId="20156" xr:uid="{00000000-0005-0000-0000-0000134F0000}"/>
    <cellStyle name="Normal 270 5" xfId="20157" xr:uid="{00000000-0005-0000-0000-0000144F0000}"/>
    <cellStyle name="Normal 270 6" xfId="20158" xr:uid="{00000000-0005-0000-0000-0000154F0000}"/>
    <cellStyle name="Normal 270 7" xfId="20159" xr:uid="{00000000-0005-0000-0000-0000164F0000}"/>
    <cellStyle name="Normal 271" xfId="20160" xr:uid="{00000000-0005-0000-0000-0000174F0000}"/>
    <cellStyle name="Normal 271 2" xfId="20161" xr:uid="{00000000-0005-0000-0000-0000184F0000}"/>
    <cellStyle name="Normal 272" xfId="20162" xr:uid="{00000000-0005-0000-0000-0000194F0000}"/>
    <cellStyle name="Normal 272 2" xfId="20163" xr:uid="{00000000-0005-0000-0000-00001A4F0000}"/>
    <cellStyle name="Normal 273" xfId="20164" xr:uid="{00000000-0005-0000-0000-00001B4F0000}"/>
    <cellStyle name="Normal 273 2" xfId="20165" xr:uid="{00000000-0005-0000-0000-00001C4F0000}"/>
    <cellStyle name="Normal 274" xfId="20166" xr:uid="{00000000-0005-0000-0000-00001D4F0000}"/>
    <cellStyle name="Normal 274 2" xfId="20167" xr:uid="{00000000-0005-0000-0000-00001E4F0000}"/>
    <cellStyle name="Normal 275" xfId="20168" xr:uid="{00000000-0005-0000-0000-00001F4F0000}"/>
    <cellStyle name="Normal 276" xfId="20169" xr:uid="{00000000-0005-0000-0000-0000204F0000}"/>
    <cellStyle name="Normal 277" xfId="20170" xr:uid="{00000000-0005-0000-0000-0000214F0000}"/>
    <cellStyle name="Normal 278" xfId="20171" xr:uid="{00000000-0005-0000-0000-0000224F0000}"/>
    <cellStyle name="Normal 279" xfId="20172" xr:uid="{00000000-0005-0000-0000-0000234F0000}"/>
    <cellStyle name="Normal 28" xfId="6211" xr:uid="{00000000-0005-0000-0000-0000244F0000}"/>
    <cellStyle name="Normal 28 2" xfId="20173" xr:uid="{00000000-0005-0000-0000-0000254F0000}"/>
    <cellStyle name="Normal 28 2 2" xfId="33646" xr:uid="{00000000-0005-0000-0000-0000264F0000}"/>
    <cellStyle name="Normal 28 2 2 2" xfId="36559" xr:uid="{00000000-0005-0000-0000-0000274F0000}"/>
    <cellStyle name="Normal 28 3" xfId="20174" xr:uid="{00000000-0005-0000-0000-0000284F0000}"/>
    <cellStyle name="Normal 28 3 2" xfId="36561" xr:uid="{00000000-0005-0000-0000-0000294F0000}"/>
    <cellStyle name="Normal 28 3 3" xfId="36560" xr:uid="{00000000-0005-0000-0000-00002A4F0000}"/>
    <cellStyle name="Normal 28 4" xfId="20175" xr:uid="{00000000-0005-0000-0000-00002B4F0000}"/>
    <cellStyle name="Normal 280" xfId="20176" xr:uid="{00000000-0005-0000-0000-00002C4F0000}"/>
    <cellStyle name="Normal 281" xfId="20177" xr:uid="{00000000-0005-0000-0000-00002D4F0000}"/>
    <cellStyle name="Normal 282" xfId="20178" xr:uid="{00000000-0005-0000-0000-00002E4F0000}"/>
    <cellStyle name="Normal 283" xfId="20179" xr:uid="{00000000-0005-0000-0000-00002F4F0000}"/>
    <cellStyle name="Normal 284" xfId="20180" xr:uid="{00000000-0005-0000-0000-0000304F0000}"/>
    <cellStyle name="Normal 285" xfId="20181" xr:uid="{00000000-0005-0000-0000-0000314F0000}"/>
    <cellStyle name="Normal 286" xfId="20182" xr:uid="{00000000-0005-0000-0000-0000324F0000}"/>
    <cellStyle name="Normal 287" xfId="20183" xr:uid="{00000000-0005-0000-0000-0000334F0000}"/>
    <cellStyle name="Normal 288" xfId="20184" xr:uid="{00000000-0005-0000-0000-0000344F0000}"/>
    <cellStyle name="Normal 289" xfId="20185" xr:uid="{00000000-0005-0000-0000-0000354F0000}"/>
    <cellStyle name="Normal 29" xfId="6212" xr:uid="{00000000-0005-0000-0000-0000364F0000}"/>
    <cellStyle name="Normal 29 2" xfId="20186" xr:uid="{00000000-0005-0000-0000-0000374F0000}"/>
    <cellStyle name="Normal 29 2 2" xfId="36563" xr:uid="{00000000-0005-0000-0000-0000384F0000}"/>
    <cellStyle name="Normal 29 2 3" xfId="36562" xr:uid="{00000000-0005-0000-0000-0000394F0000}"/>
    <cellStyle name="Normal 29 3" xfId="20187" xr:uid="{00000000-0005-0000-0000-00003A4F0000}"/>
    <cellStyle name="Normal 290" xfId="20188" xr:uid="{00000000-0005-0000-0000-00003B4F0000}"/>
    <cellStyle name="Normal 291" xfId="20189" xr:uid="{00000000-0005-0000-0000-00003C4F0000}"/>
    <cellStyle name="Normal 292" xfId="20190" xr:uid="{00000000-0005-0000-0000-00003D4F0000}"/>
    <cellStyle name="Normal 293" xfId="20191" xr:uid="{00000000-0005-0000-0000-00003E4F0000}"/>
    <cellStyle name="Normal 294" xfId="20192" xr:uid="{00000000-0005-0000-0000-00003F4F0000}"/>
    <cellStyle name="Normal 295" xfId="20193" xr:uid="{00000000-0005-0000-0000-0000404F0000}"/>
    <cellStyle name="Normal 296" xfId="20194" xr:uid="{00000000-0005-0000-0000-0000414F0000}"/>
    <cellStyle name="Normal 297" xfId="20195" xr:uid="{00000000-0005-0000-0000-0000424F0000}"/>
    <cellStyle name="Normal 298" xfId="20196" xr:uid="{00000000-0005-0000-0000-0000434F0000}"/>
    <cellStyle name="Normal 299" xfId="20197" xr:uid="{00000000-0005-0000-0000-0000444F0000}"/>
    <cellStyle name="Normal 3" xfId="18" xr:uid="{00000000-0005-0000-0000-0000454F0000}"/>
    <cellStyle name="Normal 3 10" xfId="6214" xr:uid="{00000000-0005-0000-0000-0000464F0000}"/>
    <cellStyle name="Normal 3 10 10" xfId="6215" xr:uid="{00000000-0005-0000-0000-0000474F0000}"/>
    <cellStyle name="Normal 3 10 10 2" xfId="36565" xr:uid="{00000000-0005-0000-0000-0000484F0000}"/>
    <cellStyle name="Normal 3 10 11" xfId="6216" xr:uid="{00000000-0005-0000-0000-0000494F0000}"/>
    <cellStyle name="Normal 3 10 11 2" xfId="36566" xr:uid="{00000000-0005-0000-0000-00004A4F0000}"/>
    <cellStyle name="Normal 3 10 12" xfId="6217" xr:uid="{00000000-0005-0000-0000-00004B4F0000}"/>
    <cellStyle name="Normal 3 10 12 2" xfId="36567" xr:uid="{00000000-0005-0000-0000-00004C4F0000}"/>
    <cellStyle name="Normal 3 10 13" xfId="6218" xr:uid="{00000000-0005-0000-0000-00004D4F0000}"/>
    <cellStyle name="Normal 3 10 13 2" xfId="36568" xr:uid="{00000000-0005-0000-0000-00004E4F0000}"/>
    <cellStyle name="Normal 3 10 14" xfId="20198" xr:uid="{00000000-0005-0000-0000-00004F4F0000}"/>
    <cellStyle name="Normal 3 10 14 2" xfId="36569" xr:uid="{00000000-0005-0000-0000-0000504F0000}"/>
    <cellStyle name="Normal 3 10 2" xfId="6219" xr:uid="{00000000-0005-0000-0000-0000514F0000}"/>
    <cellStyle name="Normal 3 10 2 2" xfId="6220" xr:uid="{00000000-0005-0000-0000-0000524F0000}"/>
    <cellStyle name="Normal 3 10 2 2 2" xfId="6221" xr:uid="{00000000-0005-0000-0000-0000534F0000}"/>
    <cellStyle name="Normal 3 10 2 2 2 2" xfId="36570" xr:uid="{00000000-0005-0000-0000-0000544F0000}"/>
    <cellStyle name="Normal 3 10 2 2 3" xfId="6222" xr:uid="{00000000-0005-0000-0000-0000554F0000}"/>
    <cellStyle name="Normal 3 10 2 2 3 2" xfId="36571" xr:uid="{00000000-0005-0000-0000-0000564F0000}"/>
    <cellStyle name="Normal 3 10 2 2 4" xfId="6223" xr:uid="{00000000-0005-0000-0000-0000574F0000}"/>
    <cellStyle name="Normal 3 10 2 2 4 2" xfId="36572" xr:uid="{00000000-0005-0000-0000-0000584F0000}"/>
    <cellStyle name="Normal 3 10 2 2 5" xfId="36573" xr:uid="{00000000-0005-0000-0000-0000594F0000}"/>
    <cellStyle name="Normal 3 10 2 2_01-04-2012" xfId="6224" xr:uid="{00000000-0005-0000-0000-00005A4F0000}"/>
    <cellStyle name="Normal 3 10 2 3" xfId="6225" xr:uid="{00000000-0005-0000-0000-00005B4F0000}"/>
    <cellStyle name="Normal 3 10 2 3 2" xfId="6226" xr:uid="{00000000-0005-0000-0000-00005C4F0000}"/>
    <cellStyle name="Normal 3 10 2 3 2 2" xfId="36574" xr:uid="{00000000-0005-0000-0000-00005D4F0000}"/>
    <cellStyle name="Normal 3 10 2 3 3" xfId="6227" xr:uid="{00000000-0005-0000-0000-00005E4F0000}"/>
    <cellStyle name="Normal 3 10 2 3 3 2" xfId="36575" xr:uid="{00000000-0005-0000-0000-00005F4F0000}"/>
    <cellStyle name="Normal 3 10 2 3 4" xfId="6228" xr:uid="{00000000-0005-0000-0000-0000604F0000}"/>
    <cellStyle name="Normal 3 10 2 3 4 2" xfId="36576" xr:uid="{00000000-0005-0000-0000-0000614F0000}"/>
    <cellStyle name="Normal 3 10 2 3 5" xfId="36577" xr:uid="{00000000-0005-0000-0000-0000624F0000}"/>
    <cellStyle name="Normal 3 10 2 3_01-04-2012" xfId="6229" xr:uid="{00000000-0005-0000-0000-0000634F0000}"/>
    <cellStyle name="Normal 3 10 2 4" xfId="6230" xr:uid="{00000000-0005-0000-0000-0000644F0000}"/>
    <cellStyle name="Normal 3 10 2 4 2" xfId="6231" xr:uid="{00000000-0005-0000-0000-0000654F0000}"/>
    <cellStyle name="Normal 3 10 2 4 2 2" xfId="36578" xr:uid="{00000000-0005-0000-0000-0000664F0000}"/>
    <cellStyle name="Normal 3 10 2 4 3" xfId="6232" xr:uid="{00000000-0005-0000-0000-0000674F0000}"/>
    <cellStyle name="Normal 3 10 2 4 3 2" xfId="36579" xr:uid="{00000000-0005-0000-0000-0000684F0000}"/>
    <cellStyle name="Normal 3 10 2 4 4" xfId="6233" xr:uid="{00000000-0005-0000-0000-0000694F0000}"/>
    <cellStyle name="Normal 3 10 2 4 4 2" xfId="36580" xr:uid="{00000000-0005-0000-0000-00006A4F0000}"/>
    <cellStyle name="Normal 3 10 2 4 5" xfId="36581" xr:uid="{00000000-0005-0000-0000-00006B4F0000}"/>
    <cellStyle name="Normal 3 10 2 4_01-04-2012" xfId="6234" xr:uid="{00000000-0005-0000-0000-00006C4F0000}"/>
    <cellStyle name="Normal 3 10 2 5" xfId="6235" xr:uid="{00000000-0005-0000-0000-00006D4F0000}"/>
    <cellStyle name="Normal 3 10 2 5 2" xfId="36582" xr:uid="{00000000-0005-0000-0000-00006E4F0000}"/>
    <cellStyle name="Normal 3 10 2 6" xfId="6236" xr:uid="{00000000-0005-0000-0000-00006F4F0000}"/>
    <cellStyle name="Normal 3 10 2 6 2" xfId="36583" xr:uid="{00000000-0005-0000-0000-0000704F0000}"/>
    <cellStyle name="Normal 3 10 2 7" xfId="6237" xr:uid="{00000000-0005-0000-0000-0000714F0000}"/>
    <cellStyle name="Normal 3 10 2 7 2" xfId="36584" xr:uid="{00000000-0005-0000-0000-0000724F0000}"/>
    <cellStyle name="Normal 3 10 2 8" xfId="36585" xr:uid="{00000000-0005-0000-0000-0000734F0000}"/>
    <cellStyle name="Normal 3 10 2_01-04-2012" xfId="6238" xr:uid="{00000000-0005-0000-0000-0000744F0000}"/>
    <cellStyle name="Normal 3 10 3" xfId="6239" xr:uid="{00000000-0005-0000-0000-0000754F0000}"/>
    <cellStyle name="Normal 3 10 3 2" xfId="6240" xr:uid="{00000000-0005-0000-0000-0000764F0000}"/>
    <cellStyle name="Normal 3 10 3 2 2" xfId="6241" xr:uid="{00000000-0005-0000-0000-0000774F0000}"/>
    <cellStyle name="Normal 3 10 3 2 2 2" xfId="36586" xr:uid="{00000000-0005-0000-0000-0000784F0000}"/>
    <cellStyle name="Normal 3 10 3 2 3" xfId="6242" xr:uid="{00000000-0005-0000-0000-0000794F0000}"/>
    <cellStyle name="Normal 3 10 3 2 3 2" xfId="36587" xr:uid="{00000000-0005-0000-0000-00007A4F0000}"/>
    <cellStyle name="Normal 3 10 3 2 4" xfId="6243" xr:uid="{00000000-0005-0000-0000-00007B4F0000}"/>
    <cellStyle name="Normal 3 10 3 2 4 2" xfId="36588" xr:uid="{00000000-0005-0000-0000-00007C4F0000}"/>
    <cellStyle name="Normal 3 10 3 2 5" xfId="36589" xr:uid="{00000000-0005-0000-0000-00007D4F0000}"/>
    <cellStyle name="Normal 3 10 3 2_01-04-2012" xfId="6244" xr:uid="{00000000-0005-0000-0000-00007E4F0000}"/>
    <cellStyle name="Normal 3 10 3 3" xfId="6245" xr:uid="{00000000-0005-0000-0000-00007F4F0000}"/>
    <cellStyle name="Normal 3 10 3 3 2" xfId="6246" xr:uid="{00000000-0005-0000-0000-0000804F0000}"/>
    <cellStyle name="Normal 3 10 3 3 2 2" xfId="36591" xr:uid="{00000000-0005-0000-0000-0000814F0000}"/>
    <cellStyle name="Normal 3 10 3 3 3" xfId="6247" xr:uid="{00000000-0005-0000-0000-0000824F0000}"/>
    <cellStyle name="Normal 3 10 3 3 3 2" xfId="36592" xr:uid="{00000000-0005-0000-0000-0000834F0000}"/>
    <cellStyle name="Normal 3 10 3 3 4" xfId="6248" xr:uid="{00000000-0005-0000-0000-0000844F0000}"/>
    <cellStyle name="Normal 3 10 3 3 4 2" xfId="36593" xr:uid="{00000000-0005-0000-0000-0000854F0000}"/>
    <cellStyle name="Normal 3 10 3 3 5" xfId="36594" xr:uid="{00000000-0005-0000-0000-0000864F0000}"/>
    <cellStyle name="Normal 3 10 3 3_01-04-2012" xfId="6249" xr:uid="{00000000-0005-0000-0000-0000874F0000}"/>
    <cellStyle name="Normal 3 10 3 4" xfId="6250" xr:uid="{00000000-0005-0000-0000-0000884F0000}"/>
    <cellStyle name="Normal 3 10 3 4 2" xfId="6251" xr:uid="{00000000-0005-0000-0000-0000894F0000}"/>
    <cellStyle name="Normal 3 10 3 4 2 2" xfId="36595" xr:uid="{00000000-0005-0000-0000-00008A4F0000}"/>
    <cellStyle name="Normal 3 10 3 4 3" xfId="6252" xr:uid="{00000000-0005-0000-0000-00008B4F0000}"/>
    <cellStyle name="Normal 3 10 3 4 3 2" xfId="36596" xr:uid="{00000000-0005-0000-0000-00008C4F0000}"/>
    <cellStyle name="Normal 3 10 3 4 4" xfId="6253" xr:uid="{00000000-0005-0000-0000-00008D4F0000}"/>
    <cellStyle name="Normal 3 10 3 4 4 2" xfId="36597" xr:uid="{00000000-0005-0000-0000-00008E4F0000}"/>
    <cellStyle name="Normal 3 10 3 4 5" xfId="36598" xr:uid="{00000000-0005-0000-0000-00008F4F0000}"/>
    <cellStyle name="Normal 3 10 3 4_01-04-2012" xfId="6254" xr:uid="{00000000-0005-0000-0000-0000904F0000}"/>
    <cellStyle name="Normal 3 10 3 5" xfId="6255" xr:uid="{00000000-0005-0000-0000-0000914F0000}"/>
    <cellStyle name="Normal 3 10 3 5 2" xfId="36599" xr:uid="{00000000-0005-0000-0000-0000924F0000}"/>
    <cellStyle name="Normal 3 10 3 6" xfId="6256" xr:uid="{00000000-0005-0000-0000-0000934F0000}"/>
    <cellStyle name="Normal 3 10 3 6 2" xfId="36600" xr:uid="{00000000-0005-0000-0000-0000944F0000}"/>
    <cellStyle name="Normal 3 10 3 7" xfId="6257" xr:uid="{00000000-0005-0000-0000-0000954F0000}"/>
    <cellStyle name="Normal 3 10 3 7 2" xfId="36601" xr:uid="{00000000-0005-0000-0000-0000964F0000}"/>
    <cellStyle name="Normal 3 10 3 8" xfId="36602" xr:uid="{00000000-0005-0000-0000-0000974F0000}"/>
    <cellStyle name="Normal 3 10 3_01-04-2012" xfId="6258" xr:uid="{00000000-0005-0000-0000-0000984F0000}"/>
    <cellStyle name="Normal 3 10 4" xfId="6259" xr:uid="{00000000-0005-0000-0000-0000994F0000}"/>
    <cellStyle name="Normal 3 10 4 2" xfId="6260" xr:uid="{00000000-0005-0000-0000-00009A4F0000}"/>
    <cellStyle name="Normal 3 10 4 2 2" xfId="6261" xr:uid="{00000000-0005-0000-0000-00009B4F0000}"/>
    <cellStyle name="Normal 3 10 4 2 2 2" xfId="36603" xr:uid="{00000000-0005-0000-0000-00009C4F0000}"/>
    <cellStyle name="Normal 3 10 4 2 3" xfId="6262" xr:uid="{00000000-0005-0000-0000-00009D4F0000}"/>
    <cellStyle name="Normal 3 10 4 2 3 2" xfId="36604" xr:uid="{00000000-0005-0000-0000-00009E4F0000}"/>
    <cellStyle name="Normal 3 10 4 2 4" xfId="6263" xr:uid="{00000000-0005-0000-0000-00009F4F0000}"/>
    <cellStyle name="Normal 3 10 4 2 4 2" xfId="36605" xr:uid="{00000000-0005-0000-0000-0000A04F0000}"/>
    <cellStyle name="Normal 3 10 4 2 5" xfId="36606" xr:uid="{00000000-0005-0000-0000-0000A14F0000}"/>
    <cellStyle name="Normal 3 10 4 2_01-04-2012" xfId="6264" xr:uid="{00000000-0005-0000-0000-0000A24F0000}"/>
    <cellStyle name="Normal 3 10 4 3" xfId="6265" xr:uid="{00000000-0005-0000-0000-0000A34F0000}"/>
    <cellStyle name="Normal 3 10 4 3 2" xfId="6266" xr:uid="{00000000-0005-0000-0000-0000A44F0000}"/>
    <cellStyle name="Normal 3 10 4 3 2 2" xfId="36607" xr:uid="{00000000-0005-0000-0000-0000A54F0000}"/>
    <cellStyle name="Normal 3 10 4 3 3" xfId="6267" xr:uid="{00000000-0005-0000-0000-0000A64F0000}"/>
    <cellStyle name="Normal 3 10 4 3 3 2" xfId="36608" xr:uid="{00000000-0005-0000-0000-0000A74F0000}"/>
    <cellStyle name="Normal 3 10 4 3 4" xfId="6268" xr:uid="{00000000-0005-0000-0000-0000A84F0000}"/>
    <cellStyle name="Normal 3 10 4 3 4 2" xfId="36609" xr:uid="{00000000-0005-0000-0000-0000A94F0000}"/>
    <cellStyle name="Normal 3 10 4 3 5" xfId="36610" xr:uid="{00000000-0005-0000-0000-0000AA4F0000}"/>
    <cellStyle name="Normal 3 10 4 3_01-04-2012" xfId="6269" xr:uid="{00000000-0005-0000-0000-0000AB4F0000}"/>
    <cellStyle name="Normal 3 10 4 4" xfId="6270" xr:uid="{00000000-0005-0000-0000-0000AC4F0000}"/>
    <cellStyle name="Normal 3 10 4 4 2" xfId="6271" xr:uid="{00000000-0005-0000-0000-0000AD4F0000}"/>
    <cellStyle name="Normal 3 10 4 4 2 2" xfId="36611" xr:uid="{00000000-0005-0000-0000-0000AE4F0000}"/>
    <cellStyle name="Normal 3 10 4 4 3" xfId="6272" xr:uid="{00000000-0005-0000-0000-0000AF4F0000}"/>
    <cellStyle name="Normal 3 10 4 4 3 2" xfId="36612" xr:uid="{00000000-0005-0000-0000-0000B04F0000}"/>
    <cellStyle name="Normal 3 10 4 4 4" xfId="6273" xr:uid="{00000000-0005-0000-0000-0000B14F0000}"/>
    <cellStyle name="Normal 3 10 4 4 4 2" xfId="36613" xr:uid="{00000000-0005-0000-0000-0000B24F0000}"/>
    <cellStyle name="Normal 3 10 4 4 5" xfId="36614" xr:uid="{00000000-0005-0000-0000-0000B34F0000}"/>
    <cellStyle name="Normal 3 10 4 4_01-04-2012" xfId="6274" xr:uid="{00000000-0005-0000-0000-0000B44F0000}"/>
    <cellStyle name="Normal 3 10 4 5" xfId="6275" xr:uid="{00000000-0005-0000-0000-0000B54F0000}"/>
    <cellStyle name="Normal 3 10 4 5 2" xfId="36615" xr:uid="{00000000-0005-0000-0000-0000B64F0000}"/>
    <cellStyle name="Normal 3 10 4 6" xfId="6276" xr:uid="{00000000-0005-0000-0000-0000B74F0000}"/>
    <cellStyle name="Normal 3 10 4 6 2" xfId="36616" xr:uid="{00000000-0005-0000-0000-0000B84F0000}"/>
    <cellStyle name="Normal 3 10 4 7" xfId="6277" xr:uid="{00000000-0005-0000-0000-0000B94F0000}"/>
    <cellStyle name="Normal 3 10 4 7 2" xfId="36617" xr:uid="{00000000-0005-0000-0000-0000BA4F0000}"/>
    <cellStyle name="Normal 3 10 4 8" xfId="36618" xr:uid="{00000000-0005-0000-0000-0000BB4F0000}"/>
    <cellStyle name="Normal 3 10 4_01-04-2012" xfId="6278" xr:uid="{00000000-0005-0000-0000-0000BC4F0000}"/>
    <cellStyle name="Normal 3 10 5" xfId="6279" xr:uid="{00000000-0005-0000-0000-0000BD4F0000}"/>
    <cellStyle name="Normal 3 10 5 2" xfId="6280" xr:uid="{00000000-0005-0000-0000-0000BE4F0000}"/>
    <cellStyle name="Normal 3 10 5 2 2" xfId="36619" xr:uid="{00000000-0005-0000-0000-0000BF4F0000}"/>
    <cellStyle name="Normal 3 10 5 3" xfId="6281" xr:uid="{00000000-0005-0000-0000-0000C04F0000}"/>
    <cellStyle name="Normal 3 10 5 3 2" xfId="36620" xr:uid="{00000000-0005-0000-0000-0000C14F0000}"/>
    <cellStyle name="Normal 3 10 5 4" xfId="6282" xr:uid="{00000000-0005-0000-0000-0000C24F0000}"/>
    <cellStyle name="Normal 3 10 5 4 2" xfId="36621" xr:uid="{00000000-0005-0000-0000-0000C34F0000}"/>
    <cellStyle name="Normal 3 10 5 5" xfId="36622" xr:uid="{00000000-0005-0000-0000-0000C44F0000}"/>
    <cellStyle name="Normal 3 10 5_01-04-2012" xfId="6283" xr:uid="{00000000-0005-0000-0000-0000C54F0000}"/>
    <cellStyle name="Normal 3 10 6" xfId="6284" xr:uid="{00000000-0005-0000-0000-0000C64F0000}"/>
    <cellStyle name="Normal 3 10 6 2" xfId="6285" xr:uid="{00000000-0005-0000-0000-0000C74F0000}"/>
    <cellStyle name="Normal 3 10 6 2 2" xfId="36623" xr:uid="{00000000-0005-0000-0000-0000C84F0000}"/>
    <cellStyle name="Normal 3 10 6 3" xfId="6286" xr:uid="{00000000-0005-0000-0000-0000C94F0000}"/>
    <cellStyle name="Normal 3 10 6 3 2" xfId="36624" xr:uid="{00000000-0005-0000-0000-0000CA4F0000}"/>
    <cellStyle name="Normal 3 10 6 4" xfId="6287" xr:uid="{00000000-0005-0000-0000-0000CB4F0000}"/>
    <cellStyle name="Normal 3 10 6 4 2" xfId="36625" xr:uid="{00000000-0005-0000-0000-0000CC4F0000}"/>
    <cellStyle name="Normal 3 10 6 5" xfId="36626" xr:uid="{00000000-0005-0000-0000-0000CD4F0000}"/>
    <cellStyle name="Normal 3 10 6_01-04-2012" xfId="6288" xr:uid="{00000000-0005-0000-0000-0000CE4F0000}"/>
    <cellStyle name="Normal 3 10 7" xfId="6289" xr:uid="{00000000-0005-0000-0000-0000CF4F0000}"/>
    <cellStyle name="Normal 3 10 7 2" xfId="6290" xr:uid="{00000000-0005-0000-0000-0000D04F0000}"/>
    <cellStyle name="Normal 3 10 7 2 2" xfId="36627" xr:uid="{00000000-0005-0000-0000-0000D14F0000}"/>
    <cellStyle name="Normal 3 10 7 3" xfId="6291" xr:uid="{00000000-0005-0000-0000-0000D24F0000}"/>
    <cellStyle name="Normal 3 10 7 3 2" xfId="36628" xr:uid="{00000000-0005-0000-0000-0000D34F0000}"/>
    <cellStyle name="Normal 3 10 7 4" xfId="6292" xr:uid="{00000000-0005-0000-0000-0000D44F0000}"/>
    <cellStyle name="Normal 3 10 7 4 2" xfId="36629" xr:uid="{00000000-0005-0000-0000-0000D54F0000}"/>
    <cellStyle name="Normal 3 10 7 5" xfId="36630" xr:uid="{00000000-0005-0000-0000-0000D64F0000}"/>
    <cellStyle name="Normal 3 10 7_01-04-2012" xfId="6293" xr:uid="{00000000-0005-0000-0000-0000D74F0000}"/>
    <cellStyle name="Normal 3 10 8" xfId="6294" xr:uid="{00000000-0005-0000-0000-0000D84F0000}"/>
    <cellStyle name="Normal 3 10 8 2" xfId="6295" xr:uid="{00000000-0005-0000-0000-0000D94F0000}"/>
    <cellStyle name="Normal 3 10 8 2 2" xfId="36631" xr:uid="{00000000-0005-0000-0000-0000DA4F0000}"/>
    <cellStyle name="Normal 3 10 8 3" xfId="6296" xr:uid="{00000000-0005-0000-0000-0000DB4F0000}"/>
    <cellStyle name="Normal 3 10 8 3 2" xfId="36632" xr:uid="{00000000-0005-0000-0000-0000DC4F0000}"/>
    <cellStyle name="Normal 3 10 8 4" xfId="6297" xr:uid="{00000000-0005-0000-0000-0000DD4F0000}"/>
    <cellStyle name="Normal 3 10 8 4 2" xfId="36633" xr:uid="{00000000-0005-0000-0000-0000DE4F0000}"/>
    <cellStyle name="Normal 3 10 8 5" xfId="36634" xr:uid="{00000000-0005-0000-0000-0000DF4F0000}"/>
    <cellStyle name="Normal 3 10 8_01-04-2012" xfId="6298" xr:uid="{00000000-0005-0000-0000-0000E04F0000}"/>
    <cellStyle name="Normal 3 10 9" xfId="6299" xr:uid="{00000000-0005-0000-0000-0000E14F0000}"/>
    <cellStyle name="Normal 3 10 9 2" xfId="6300" xr:uid="{00000000-0005-0000-0000-0000E24F0000}"/>
    <cellStyle name="Normal 3 10 9 2 2" xfId="36635" xr:uid="{00000000-0005-0000-0000-0000E34F0000}"/>
    <cellStyle name="Normal 3 10 9 3" xfId="6301" xr:uid="{00000000-0005-0000-0000-0000E44F0000}"/>
    <cellStyle name="Normal 3 10 9 3 2" xfId="36636" xr:uid="{00000000-0005-0000-0000-0000E54F0000}"/>
    <cellStyle name="Normal 3 10 9 4" xfId="6302" xr:uid="{00000000-0005-0000-0000-0000E64F0000}"/>
    <cellStyle name="Normal 3 10 9 4 2" xfId="36637" xr:uid="{00000000-0005-0000-0000-0000E74F0000}"/>
    <cellStyle name="Normal 3 10 9 5" xfId="36638" xr:uid="{00000000-0005-0000-0000-0000E84F0000}"/>
    <cellStyle name="Normal 3 10 9_01-04-2012" xfId="6303" xr:uid="{00000000-0005-0000-0000-0000E94F0000}"/>
    <cellStyle name="Normal 3 10_01-04-2012" xfId="6304" xr:uid="{00000000-0005-0000-0000-0000EA4F0000}"/>
    <cellStyle name="Normal 3 100" xfId="40952" xr:uid="{00000000-0005-0000-0000-0000EB4F0000}"/>
    <cellStyle name="Normal 3 101" xfId="40956" xr:uid="{00000000-0005-0000-0000-0000EC4F0000}"/>
    <cellStyle name="Normal 3 11" xfId="6305" xr:uid="{00000000-0005-0000-0000-0000ED4F0000}"/>
    <cellStyle name="Normal 3 11 10" xfId="6306" xr:uid="{00000000-0005-0000-0000-0000EE4F0000}"/>
    <cellStyle name="Normal 3 11 10 2" xfId="36639" xr:uid="{00000000-0005-0000-0000-0000EF4F0000}"/>
    <cellStyle name="Normal 3 11 11" xfId="6307" xr:uid="{00000000-0005-0000-0000-0000F04F0000}"/>
    <cellStyle name="Normal 3 11 11 2" xfId="36640" xr:uid="{00000000-0005-0000-0000-0000F14F0000}"/>
    <cellStyle name="Normal 3 11 12" xfId="6308" xr:uid="{00000000-0005-0000-0000-0000F24F0000}"/>
    <cellStyle name="Normal 3 11 12 2" xfId="36641" xr:uid="{00000000-0005-0000-0000-0000F34F0000}"/>
    <cellStyle name="Normal 3 11 13" xfId="6309" xr:uid="{00000000-0005-0000-0000-0000F44F0000}"/>
    <cellStyle name="Normal 3 11 13 2" xfId="36642" xr:uid="{00000000-0005-0000-0000-0000F54F0000}"/>
    <cellStyle name="Normal 3 11 14" xfId="20199" xr:uid="{00000000-0005-0000-0000-0000F64F0000}"/>
    <cellStyle name="Normal 3 11 14 2" xfId="36643" xr:uid="{00000000-0005-0000-0000-0000F74F0000}"/>
    <cellStyle name="Normal 3 11 2" xfId="6310" xr:uid="{00000000-0005-0000-0000-0000F84F0000}"/>
    <cellStyle name="Normal 3 11 2 2" xfId="6311" xr:uid="{00000000-0005-0000-0000-0000F94F0000}"/>
    <cellStyle name="Normal 3 11 2 2 2" xfId="6312" xr:uid="{00000000-0005-0000-0000-0000FA4F0000}"/>
    <cellStyle name="Normal 3 11 2 2 2 2" xfId="36644" xr:uid="{00000000-0005-0000-0000-0000FB4F0000}"/>
    <cellStyle name="Normal 3 11 2 2 3" xfId="6313" xr:uid="{00000000-0005-0000-0000-0000FC4F0000}"/>
    <cellStyle name="Normal 3 11 2 2 3 2" xfId="36645" xr:uid="{00000000-0005-0000-0000-0000FD4F0000}"/>
    <cellStyle name="Normal 3 11 2 2 4" xfId="6314" xr:uid="{00000000-0005-0000-0000-0000FE4F0000}"/>
    <cellStyle name="Normal 3 11 2 2 4 2" xfId="36646" xr:uid="{00000000-0005-0000-0000-0000FF4F0000}"/>
    <cellStyle name="Normal 3 11 2 2 5" xfId="36647" xr:uid="{00000000-0005-0000-0000-000000500000}"/>
    <cellStyle name="Normal 3 11 2 2_01-04-2012" xfId="6315" xr:uid="{00000000-0005-0000-0000-000001500000}"/>
    <cellStyle name="Normal 3 11 2 3" xfId="6316" xr:uid="{00000000-0005-0000-0000-000002500000}"/>
    <cellStyle name="Normal 3 11 2 3 2" xfId="6317" xr:uid="{00000000-0005-0000-0000-000003500000}"/>
    <cellStyle name="Normal 3 11 2 3 2 2" xfId="36648" xr:uid="{00000000-0005-0000-0000-000004500000}"/>
    <cellStyle name="Normal 3 11 2 3 3" xfId="6318" xr:uid="{00000000-0005-0000-0000-000005500000}"/>
    <cellStyle name="Normal 3 11 2 3 3 2" xfId="36649" xr:uid="{00000000-0005-0000-0000-000006500000}"/>
    <cellStyle name="Normal 3 11 2 3 4" xfId="6319" xr:uid="{00000000-0005-0000-0000-000007500000}"/>
    <cellStyle name="Normal 3 11 2 3 4 2" xfId="36650" xr:uid="{00000000-0005-0000-0000-000008500000}"/>
    <cellStyle name="Normal 3 11 2 3 5" xfId="36651" xr:uid="{00000000-0005-0000-0000-000009500000}"/>
    <cellStyle name="Normal 3 11 2 3_01-04-2012" xfId="6320" xr:uid="{00000000-0005-0000-0000-00000A500000}"/>
    <cellStyle name="Normal 3 11 2 4" xfId="6321" xr:uid="{00000000-0005-0000-0000-00000B500000}"/>
    <cellStyle name="Normal 3 11 2 4 2" xfId="6322" xr:uid="{00000000-0005-0000-0000-00000C500000}"/>
    <cellStyle name="Normal 3 11 2 4 2 2" xfId="36652" xr:uid="{00000000-0005-0000-0000-00000D500000}"/>
    <cellStyle name="Normal 3 11 2 4 3" xfId="6323" xr:uid="{00000000-0005-0000-0000-00000E500000}"/>
    <cellStyle name="Normal 3 11 2 4 3 2" xfId="36653" xr:uid="{00000000-0005-0000-0000-00000F500000}"/>
    <cellStyle name="Normal 3 11 2 4 4" xfId="6324" xr:uid="{00000000-0005-0000-0000-000010500000}"/>
    <cellStyle name="Normal 3 11 2 4 4 2" xfId="36654" xr:uid="{00000000-0005-0000-0000-000011500000}"/>
    <cellStyle name="Normal 3 11 2 4 5" xfId="36655" xr:uid="{00000000-0005-0000-0000-000012500000}"/>
    <cellStyle name="Normal 3 11 2 4_01-04-2012" xfId="6325" xr:uid="{00000000-0005-0000-0000-000013500000}"/>
    <cellStyle name="Normal 3 11 2 5" xfId="6326" xr:uid="{00000000-0005-0000-0000-000014500000}"/>
    <cellStyle name="Normal 3 11 2 5 2" xfId="36656" xr:uid="{00000000-0005-0000-0000-000015500000}"/>
    <cellStyle name="Normal 3 11 2 6" xfId="6327" xr:uid="{00000000-0005-0000-0000-000016500000}"/>
    <cellStyle name="Normal 3 11 2 6 2" xfId="36657" xr:uid="{00000000-0005-0000-0000-000017500000}"/>
    <cellStyle name="Normal 3 11 2 7" xfId="6328" xr:uid="{00000000-0005-0000-0000-000018500000}"/>
    <cellStyle name="Normal 3 11 2 7 2" xfId="36659" xr:uid="{00000000-0005-0000-0000-000019500000}"/>
    <cellStyle name="Normal 3 11 2 8" xfId="36660" xr:uid="{00000000-0005-0000-0000-00001A500000}"/>
    <cellStyle name="Normal 3 11 2_01-04-2012" xfId="6329" xr:uid="{00000000-0005-0000-0000-00001B500000}"/>
    <cellStyle name="Normal 3 11 3" xfId="6330" xr:uid="{00000000-0005-0000-0000-00001C500000}"/>
    <cellStyle name="Normal 3 11 3 2" xfId="6331" xr:uid="{00000000-0005-0000-0000-00001D500000}"/>
    <cellStyle name="Normal 3 11 3 2 2" xfId="6332" xr:uid="{00000000-0005-0000-0000-00001E500000}"/>
    <cellStyle name="Normal 3 11 3 2 2 2" xfId="36661" xr:uid="{00000000-0005-0000-0000-00001F500000}"/>
    <cellStyle name="Normal 3 11 3 2 3" xfId="6333" xr:uid="{00000000-0005-0000-0000-000020500000}"/>
    <cellStyle name="Normal 3 11 3 2 3 2" xfId="36662" xr:uid="{00000000-0005-0000-0000-000021500000}"/>
    <cellStyle name="Normal 3 11 3 2 4" xfId="6334" xr:uid="{00000000-0005-0000-0000-000022500000}"/>
    <cellStyle name="Normal 3 11 3 2 4 2" xfId="36663" xr:uid="{00000000-0005-0000-0000-000023500000}"/>
    <cellStyle name="Normal 3 11 3 2 5" xfId="36664" xr:uid="{00000000-0005-0000-0000-000024500000}"/>
    <cellStyle name="Normal 3 11 3 2_01-04-2012" xfId="6335" xr:uid="{00000000-0005-0000-0000-000025500000}"/>
    <cellStyle name="Normal 3 11 3 3" xfId="6336" xr:uid="{00000000-0005-0000-0000-000026500000}"/>
    <cellStyle name="Normal 3 11 3 3 2" xfId="6337" xr:uid="{00000000-0005-0000-0000-000027500000}"/>
    <cellStyle name="Normal 3 11 3 3 2 2" xfId="36665" xr:uid="{00000000-0005-0000-0000-000028500000}"/>
    <cellStyle name="Normal 3 11 3 3 3" xfId="6338" xr:uid="{00000000-0005-0000-0000-000029500000}"/>
    <cellStyle name="Normal 3 11 3 3 3 2" xfId="36666" xr:uid="{00000000-0005-0000-0000-00002A500000}"/>
    <cellStyle name="Normal 3 11 3 3 4" xfId="6339" xr:uid="{00000000-0005-0000-0000-00002B500000}"/>
    <cellStyle name="Normal 3 11 3 3 4 2" xfId="36667" xr:uid="{00000000-0005-0000-0000-00002C500000}"/>
    <cellStyle name="Normal 3 11 3 3 5" xfId="36668" xr:uid="{00000000-0005-0000-0000-00002D500000}"/>
    <cellStyle name="Normal 3 11 3 3_01-04-2012" xfId="6340" xr:uid="{00000000-0005-0000-0000-00002E500000}"/>
    <cellStyle name="Normal 3 11 3 4" xfId="6341" xr:uid="{00000000-0005-0000-0000-00002F500000}"/>
    <cellStyle name="Normal 3 11 3 4 2" xfId="6342" xr:uid="{00000000-0005-0000-0000-000030500000}"/>
    <cellStyle name="Normal 3 11 3 4 2 2" xfId="36669" xr:uid="{00000000-0005-0000-0000-000031500000}"/>
    <cellStyle name="Normal 3 11 3 4 3" xfId="6343" xr:uid="{00000000-0005-0000-0000-000032500000}"/>
    <cellStyle name="Normal 3 11 3 4 3 2" xfId="36670" xr:uid="{00000000-0005-0000-0000-000033500000}"/>
    <cellStyle name="Normal 3 11 3 4 4" xfId="6344" xr:uid="{00000000-0005-0000-0000-000034500000}"/>
    <cellStyle name="Normal 3 11 3 4 4 2" xfId="36671" xr:uid="{00000000-0005-0000-0000-000035500000}"/>
    <cellStyle name="Normal 3 11 3 4 5" xfId="36672" xr:uid="{00000000-0005-0000-0000-000036500000}"/>
    <cellStyle name="Normal 3 11 3 4_01-04-2012" xfId="6345" xr:uid="{00000000-0005-0000-0000-000037500000}"/>
    <cellStyle name="Normal 3 11 3 5" xfId="6346" xr:uid="{00000000-0005-0000-0000-000038500000}"/>
    <cellStyle name="Normal 3 11 3 5 2" xfId="36673" xr:uid="{00000000-0005-0000-0000-000039500000}"/>
    <cellStyle name="Normal 3 11 3 6" xfId="6347" xr:uid="{00000000-0005-0000-0000-00003A500000}"/>
    <cellStyle name="Normal 3 11 3 6 2" xfId="36674" xr:uid="{00000000-0005-0000-0000-00003B500000}"/>
    <cellStyle name="Normal 3 11 3 7" xfId="6348" xr:uid="{00000000-0005-0000-0000-00003C500000}"/>
    <cellStyle name="Normal 3 11 3 7 2" xfId="36675" xr:uid="{00000000-0005-0000-0000-00003D500000}"/>
    <cellStyle name="Normal 3 11 3 8" xfId="36676" xr:uid="{00000000-0005-0000-0000-00003E500000}"/>
    <cellStyle name="Normal 3 11 3_01-04-2012" xfId="6349" xr:uid="{00000000-0005-0000-0000-00003F500000}"/>
    <cellStyle name="Normal 3 11 4" xfId="6350" xr:uid="{00000000-0005-0000-0000-000040500000}"/>
    <cellStyle name="Normal 3 11 4 2" xfId="6351" xr:uid="{00000000-0005-0000-0000-000041500000}"/>
    <cellStyle name="Normal 3 11 4 2 2" xfId="6352" xr:uid="{00000000-0005-0000-0000-000042500000}"/>
    <cellStyle name="Normal 3 11 4 2 2 2" xfId="36677" xr:uid="{00000000-0005-0000-0000-000043500000}"/>
    <cellStyle name="Normal 3 11 4 2 3" xfId="6353" xr:uid="{00000000-0005-0000-0000-000044500000}"/>
    <cellStyle name="Normal 3 11 4 2 3 2" xfId="36678" xr:uid="{00000000-0005-0000-0000-000045500000}"/>
    <cellStyle name="Normal 3 11 4 2 4" xfId="6354" xr:uid="{00000000-0005-0000-0000-000046500000}"/>
    <cellStyle name="Normal 3 11 4 2 4 2" xfId="36679" xr:uid="{00000000-0005-0000-0000-000047500000}"/>
    <cellStyle name="Normal 3 11 4 2 5" xfId="36680" xr:uid="{00000000-0005-0000-0000-000048500000}"/>
    <cellStyle name="Normal 3 11 4 2_01-04-2012" xfId="6355" xr:uid="{00000000-0005-0000-0000-000049500000}"/>
    <cellStyle name="Normal 3 11 4 3" xfId="6356" xr:uid="{00000000-0005-0000-0000-00004A500000}"/>
    <cellStyle name="Normal 3 11 4 3 2" xfId="6357" xr:uid="{00000000-0005-0000-0000-00004B500000}"/>
    <cellStyle name="Normal 3 11 4 3 2 2" xfId="36681" xr:uid="{00000000-0005-0000-0000-00004C500000}"/>
    <cellStyle name="Normal 3 11 4 3 3" xfId="6358" xr:uid="{00000000-0005-0000-0000-00004D500000}"/>
    <cellStyle name="Normal 3 11 4 3 3 2" xfId="36682" xr:uid="{00000000-0005-0000-0000-00004E500000}"/>
    <cellStyle name="Normal 3 11 4 3 4" xfId="6359" xr:uid="{00000000-0005-0000-0000-00004F500000}"/>
    <cellStyle name="Normal 3 11 4 3 4 2" xfId="36683" xr:uid="{00000000-0005-0000-0000-000050500000}"/>
    <cellStyle name="Normal 3 11 4 3 5" xfId="36684" xr:uid="{00000000-0005-0000-0000-000051500000}"/>
    <cellStyle name="Normal 3 11 4 3_01-04-2012" xfId="6360" xr:uid="{00000000-0005-0000-0000-000052500000}"/>
    <cellStyle name="Normal 3 11 4 4" xfId="6361" xr:uid="{00000000-0005-0000-0000-000053500000}"/>
    <cellStyle name="Normal 3 11 4 4 2" xfId="6362" xr:uid="{00000000-0005-0000-0000-000054500000}"/>
    <cellStyle name="Normal 3 11 4 4 2 2" xfId="36685" xr:uid="{00000000-0005-0000-0000-000055500000}"/>
    <cellStyle name="Normal 3 11 4 4 3" xfId="6363" xr:uid="{00000000-0005-0000-0000-000056500000}"/>
    <cellStyle name="Normal 3 11 4 4 3 2" xfId="36686" xr:uid="{00000000-0005-0000-0000-000057500000}"/>
    <cellStyle name="Normal 3 11 4 4 4" xfId="6364" xr:uid="{00000000-0005-0000-0000-000058500000}"/>
    <cellStyle name="Normal 3 11 4 4 4 2" xfId="36687" xr:uid="{00000000-0005-0000-0000-000059500000}"/>
    <cellStyle name="Normal 3 11 4 4 5" xfId="36688" xr:uid="{00000000-0005-0000-0000-00005A500000}"/>
    <cellStyle name="Normal 3 11 4 4_01-04-2012" xfId="6365" xr:uid="{00000000-0005-0000-0000-00005B500000}"/>
    <cellStyle name="Normal 3 11 4 5" xfId="6366" xr:uid="{00000000-0005-0000-0000-00005C500000}"/>
    <cellStyle name="Normal 3 11 4 5 2" xfId="36689" xr:uid="{00000000-0005-0000-0000-00005D500000}"/>
    <cellStyle name="Normal 3 11 4 6" xfId="6367" xr:uid="{00000000-0005-0000-0000-00005E500000}"/>
    <cellStyle name="Normal 3 11 4 6 2" xfId="36690" xr:uid="{00000000-0005-0000-0000-00005F500000}"/>
    <cellStyle name="Normal 3 11 4 7" xfId="6368" xr:uid="{00000000-0005-0000-0000-000060500000}"/>
    <cellStyle name="Normal 3 11 4 7 2" xfId="36691" xr:uid="{00000000-0005-0000-0000-000061500000}"/>
    <cellStyle name="Normal 3 11 4 8" xfId="36692" xr:uid="{00000000-0005-0000-0000-000062500000}"/>
    <cellStyle name="Normal 3 11 4_01-04-2012" xfId="6369" xr:uid="{00000000-0005-0000-0000-000063500000}"/>
    <cellStyle name="Normal 3 11 5" xfId="6370" xr:uid="{00000000-0005-0000-0000-000064500000}"/>
    <cellStyle name="Normal 3 11 5 2" xfId="6371" xr:uid="{00000000-0005-0000-0000-000065500000}"/>
    <cellStyle name="Normal 3 11 5 2 2" xfId="36693" xr:uid="{00000000-0005-0000-0000-000066500000}"/>
    <cellStyle name="Normal 3 11 5 3" xfId="6372" xr:uid="{00000000-0005-0000-0000-000067500000}"/>
    <cellStyle name="Normal 3 11 5 3 2" xfId="36694" xr:uid="{00000000-0005-0000-0000-000068500000}"/>
    <cellStyle name="Normal 3 11 5 4" xfId="6373" xr:uid="{00000000-0005-0000-0000-000069500000}"/>
    <cellStyle name="Normal 3 11 5 4 2" xfId="36695" xr:uid="{00000000-0005-0000-0000-00006A500000}"/>
    <cellStyle name="Normal 3 11 5 5" xfId="36696" xr:uid="{00000000-0005-0000-0000-00006B500000}"/>
    <cellStyle name="Normal 3 11 5_01-04-2012" xfId="6374" xr:uid="{00000000-0005-0000-0000-00006C500000}"/>
    <cellStyle name="Normal 3 11 6" xfId="6375" xr:uid="{00000000-0005-0000-0000-00006D500000}"/>
    <cellStyle name="Normal 3 11 6 2" xfId="6376" xr:uid="{00000000-0005-0000-0000-00006E500000}"/>
    <cellStyle name="Normal 3 11 6 2 2" xfId="36697" xr:uid="{00000000-0005-0000-0000-00006F500000}"/>
    <cellStyle name="Normal 3 11 6 3" xfId="6377" xr:uid="{00000000-0005-0000-0000-000070500000}"/>
    <cellStyle name="Normal 3 11 6 3 2" xfId="36698" xr:uid="{00000000-0005-0000-0000-000071500000}"/>
    <cellStyle name="Normal 3 11 6 4" xfId="6378" xr:uid="{00000000-0005-0000-0000-000072500000}"/>
    <cellStyle name="Normal 3 11 6 4 2" xfId="36699" xr:uid="{00000000-0005-0000-0000-000073500000}"/>
    <cellStyle name="Normal 3 11 6 5" xfId="36700" xr:uid="{00000000-0005-0000-0000-000074500000}"/>
    <cellStyle name="Normal 3 11 6_01-04-2012" xfId="6379" xr:uid="{00000000-0005-0000-0000-000075500000}"/>
    <cellStyle name="Normal 3 11 7" xfId="6380" xr:uid="{00000000-0005-0000-0000-000076500000}"/>
    <cellStyle name="Normal 3 11 7 2" xfId="6381" xr:uid="{00000000-0005-0000-0000-000077500000}"/>
    <cellStyle name="Normal 3 11 7 2 2" xfId="36701" xr:uid="{00000000-0005-0000-0000-000078500000}"/>
    <cellStyle name="Normal 3 11 7 3" xfId="6382" xr:uid="{00000000-0005-0000-0000-000079500000}"/>
    <cellStyle name="Normal 3 11 7 3 2" xfId="36702" xr:uid="{00000000-0005-0000-0000-00007A500000}"/>
    <cellStyle name="Normal 3 11 7 4" xfId="6383" xr:uid="{00000000-0005-0000-0000-00007B500000}"/>
    <cellStyle name="Normal 3 11 7 4 2" xfId="36703" xr:uid="{00000000-0005-0000-0000-00007C500000}"/>
    <cellStyle name="Normal 3 11 7 5" xfId="36704" xr:uid="{00000000-0005-0000-0000-00007D500000}"/>
    <cellStyle name="Normal 3 11 7_01-04-2012" xfId="6384" xr:uid="{00000000-0005-0000-0000-00007E500000}"/>
    <cellStyle name="Normal 3 11 8" xfId="6385" xr:uid="{00000000-0005-0000-0000-00007F500000}"/>
    <cellStyle name="Normal 3 11 8 2" xfId="6386" xr:uid="{00000000-0005-0000-0000-000080500000}"/>
    <cellStyle name="Normal 3 11 8 2 2" xfId="36705" xr:uid="{00000000-0005-0000-0000-000081500000}"/>
    <cellStyle name="Normal 3 11 8 3" xfId="6387" xr:uid="{00000000-0005-0000-0000-000082500000}"/>
    <cellStyle name="Normal 3 11 8 3 2" xfId="36706" xr:uid="{00000000-0005-0000-0000-000083500000}"/>
    <cellStyle name="Normal 3 11 8 4" xfId="6388" xr:uid="{00000000-0005-0000-0000-000084500000}"/>
    <cellStyle name="Normal 3 11 8 4 2" xfId="36707" xr:uid="{00000000-0005-0000-0000-000085500000}"/>
    <cellStyle name="Normal 3 11 8 5" xfId="36708" xr:uid="{00000000-0005-0000-0000-000086500000}"/>
    <cellStyle name="Normal 3 11 8_01-04-2012" xfId="6389" xr:uid="{00000000-0005-0000-0000-000087500000}"/>
    <cellStyle name="Normal 3 11 9" xfId="6390" xr:uid="{00000000-0005-0000-0000-000088500000}"/>
    <cellStyle name="Normal 3 11 9 2" xfId="6391" xr:uid="{00000000-0005-0000-0000-000089500000}"/>
    <cellStyle name="Normal 3 11 9 2 2" xfId="36709" xr:uid="{00000000-0005-0000-0000-00008A500000}"/>
    <cellStyle name="Normal 3 11 9 3" xfId="6392" xr:uid="{00000000-0005-0000-0000-00008B500000}"/>
    <cellStyle name="Normal 3 11 9 3 2" xfId="36710" xr:uid="{00000000-0005-0000-0000-00008C500000}"/>
    <cellStyle name="Normal 3 11 9 4" xfId="6393" xr:uid="{00000000-0005-0000-0000-00008D500000}"/>
    <cellStyle name="Normal 3 11 9 4 2" xfId="36711" xr:uid="{00000000-0005-0000-0000-00008E500000}"/>
    <cellStyle name="Normal 3 11 9 5" xfId="36712" xr:uid="{00000000-0005-0000-0000-00008F500000}"/>
    <cellStyle name="Normal 3 11 9_01-04-2012" xfId="6394" xr:uid="{00000000-0005-0000-0000-000090500000}"/>
    <cellStyle name="Normal 3 11_01-04-2012" xfId="6395" xr:uid="{00000000-0005-0000-0000-000091500000}"/>
    <cellStyle name="Normal 3 12" xfId="6396" xr:uid="{00000000-0005-0000-0000-000092500000}"/>
    <cellStyle name="Normal 3 12 10" xfId="6397" xr:uid="{00000000-0005-0000-0000-000093500000}"/>
    <cellStyle name="Normal 3 12 10 2" xfId="36713" xr:uid="{00000000-0005-0000-0000-000094500000}"/>
    <cellStyle name="Normal 3 12 11" xfId="6398" xr:uid="{00000000-0005-0000-0000-000095500000}"/>
    <cellStyle name="Normal 3 12 11 2" xfId="36714" xr:uid="{00000000-0005-0000-0000-000096500000}"/>
    <cellStyle name="Normal 3 12 12" xfId="6399" xr:uid="{00000000-0005-0000-0000-000097500000}"/>
    <cellStyle name="Normal 3 12 12 2" xfId="36715" xr:uid="{00000000-0005-0000-0000-000098500000}"/>
    <cellStyle name="Normal 3 12 13" xfId="6400" xr:uid="{00000000-0005-0000-0000-000099500000}"/>
    <cellStyle name="Normal 3 12 13 2" xfId="36716" xr:uid="{00000000-0005-0000-0000-00009A500000}"/>
    <cellStyle name="Normal 3 12 14" xfId="20200" xr:uid="{00000000-0005-0000-0000-00009B500000}"/>
    <cellStyle name="Normal 3 12 14 2" xfId="36717" xr:uid="{00000000-0005-0000-0000-00009C500000}"/>
    <cellStyle name="Normal 3 12 2" xfId="6401" xr:uid="{00000000-0005-0000-0000-00009D500000}"/>
    <cellStyle name="Normal 3 12 2 2" xfId="6402" xr:uid="{00000000-0005-0000-0000-00009E500000}"/>
    <cellStyle name="Normal 3 12 2 2 2" xfId="6403" xr:uid="{00000000-0005-0000-0000-00009F500000}"/>
    <cellStyle name="Normal 3 12 2 2 2 2" xfId="36718" xr:uid="{00000000-0005-0000-0000-0000A0500000}"/>
    <cellStyle name="Normal 3 12 2 2 3" xfId="6404" xr:uid="{00000000-0005-0000-0000-0000A1500000}"/>
    <cellStyle name="Normal 3 12 2 2 3 2" xfId="36719" xr:uid="{00000000-0005-0000-0000-0000A2500000}"/>
    <cellStyle name="Normal 3 12 2 2 4" xfId="6405" xr:uid="{00000000-0005-0000-0000-0000A3500000}"/>
    <cellStyle name="Normal 3 12 2 2 4 2" xfId="36720" xr:uid="{00000000-0005-0000-0000-0000A4500000}"/>
    <cellStyle name="Normal 3 12 2 2 5" xfId="36721" xr:uid="{00000000-0005-0000-0000-0000A5500000}"/>
    <cellStyle name="Normal 3 12 2 2_01-04-2012" xfId="6406" xr:uid="{00000000-0005-0000-0000-0000A6500000}"/>
    <cellStyle name="Normal 3 12 2 3" xfId="6407" xr:uid="{00000000-0005-0000-0000-0000A7500000}"/>
    <cellStyle name="Normal 3 12 2 3 2" xfId="6408" xr:uid="{00000000-0005-0000-0000-0000A8500000}"/>
    <cellStyle name="Normal 3 12 2 3 2 2" xfId="36722" xr:uid="{00000000-0005-0000-0000-0000A9500000}"/>
    <cellStyle name="Normal 3 12 2 3 3" xfId="6409" xr:uid="{00000000-0005-0000-0000-0000AA500000}"/>
    <cellStyle name="Normal 3 12 2 3 3 2" xfId="36723" xr:uid="{00000000-0005-0000-0000-0000AB500000}"/>
    <cellStyle name="Normal 3 12 2 3 4" xfId="6410" xr:uid="{00000000-0005-0000-0000-0000AC500000}"/>
    <cellStyle name="Normal 3 12 2 3 4 2" xfId="36724" xr:uid="{00000000-0005-0000-0000-0000AD500000}"/>
    <cellStyle name="Normal 3 12 2 3 5" xfId="36725" xr:uid="{00000000-0005-0000-0000-0000AE500000}"/>
    <cellStyle name="Normal 3 12 2 3_01-04-2012" xfId="6411" xr:uid="{00000000-0005-0000-0000-0000AF500000}"/>
    <cellStyle name="Normal 3 12 2 4" xfId="6412" xr:uid="{00000000-0005-0000-0000-0000B0500000}"/>
    <cellStyle name="Normal 3 12 2 4 2" xfId="6413" xr:uid="{00000000-0005-0000-0000-0000B1500000}"/>
    <cellStyle name="Normal 3 12 2 4 2 2" xfId="36726" xr:uid="{00000000-0005-0000-0000-0000B2500000}"/>
    <cellStyle name="Normal 3 12 2 4 3" xfId="6414" xr:uid="{00000000-0005-0000-0000-0000B3500000}"/>
    <cellStyle name="Normal 3 12 2 4 3 2" xfId="36727" xr:uid="{00000000-0005-0000-0000-0000B4500000}"/>
    <cellStyle name="Normal 3 12 2 4 4" xfId="6415" xr:uid="{00000000-0005-0000-0000-0000B5500000}"/>
    <cellStyle name="Normal 3 12 2 4 4 2" xfId="36728" xr:uid="{00000000-0005-0000-0000-0000B6500000}"/>
    <cellStyle name="Normal 3 12 2 4 5" xfId="36729" xr:uid="{00000000-0005-0000-0000-0000B7500000}"/>
    <cellStyle name="Normal 3 12 2 4_01-04-2012" xfId="6416" xr:uid="{00000000-0005-0000-0000-0000B8500000}"/>
    <cellStyle name="Normal 3 12 2 5" xfId="6417" xr:uid="{00000000-0005-0000-0000-0000B9500000}"/>
    <cellStyle name="Normal 3 12 2 5 2" xfId="36730" xr:uid="{00000000-0005-0000-0000-0000BA500000}"/>
    <cellStyle name="Normal 3 12 2 6" xfId="6418" xr:uid="{00000000-0005-0000-0000-0000BB500000}"/>
    <cellStyle name="Normal 3 12 2 6 2" xfId="36731" xr:uid="{00000000-0005-0000-0000-0000BC500000}"/>
    <cellStyle name="Normal 3 12 2 7" xfId="6419" xr:uid="{00000000-0005-0000-0000-0000BD500000}"/>
    <cellStyle name="Normal 3 12 2 7 2" xfId="36732" xr:uid="{00000000-0005-0000-0000-0000BE500000}"/>
    <cellStyle name="Normal 3 12 2 8" xfId="36733" xr:uid="{00000000-0005-0000-0000-0000BF500000}"/>
    <cellStyle name="Normal 3 12 2_01-04-2012" xfId="6420" xr:uid="{00000000-0005-0000-0000-0000C0500000}"/>
    <cellStyle name="Normal 3 12 3" xfId="6421" xr:uid="{00000000-0005-0000-0000-0000C1500000}"/>
    <cellStyle name="Normal 3 12 3 2" xfId="6422" xr:uid="{00000000-0005-0000-0000-0000C2500000}"/>
    <cellStyle name="Normal 3 12 3 2 2" xfId="6423" xr:uid="{00000000-0005-0000-0000-0000C3500000}"/>
    <cellStyle name="Normal 3 12 3 2 2 2" xfId="36734" xr:uid="{00000000-0005-0000-0000-0000C4500000}"/>
    <cellStyle name="Normal 3 12 3 2 3" xfId="6424" xr:uid="{00000000-0005-0000-0000-0000C5500000}"/>
    <cellStyle name="Normal 3 12 3 2 3 2" xfId="36735" xr:uid="{00000000-0005-0000-0000-0000C6500000}"/>
    <cellStyle name="Normal 3 12 3 2 4" xfId="6425" xr:uid="{00000000-0005-0000-0000-0000C7500000}"/>
    <cellStyle name="Normal 3 12 3 2 4 2" xfId="36736" xr:uid="{00000000-0005-0000-0000-0000C8500000}"/>
    <cellStyle name="Normal 3 12 3 2 5" xfId="36737" xr:uid="{00000000-0005-0000-0000-0000C9500000}"/>
    <cellStyle name="Normal 3 12 3 2_01-04-2012" xfId="6426" xr:uid="{00000000-0005-0000-0000-0000CA500000}"/>
    <cellStyle name="Normal 3 12 3 3" xfId="6427" xr:uid="{00000000-0005-0000-0000-0000CB500000}"/>
    <cellStyle name="Normal 3 12 3 3 2" xfId="6428" xr:uid="{00000000-0005-0000-0000-0000CC500000}"/>
    <cellStyle name="Normal 3 12 3 3 2 2" xfId="36738" xr:uid="{00000000-0005-0000-0000-0000CD500000}"/>
    <cellStyle name="Normal 3 12 3 3 3" xfId="6429" xr:uid="{00000000-0005-0000-0000-0000CE500000}"/>
    <cellStyle name="Normal 3 12 3 3 3 2" xfId="36739" xr:uid="{00000000-0005-0000-0000-0000CF500000}"/>
    <cellStyle name="Normal 3 12 3 3 4" xfId="6430" xr:uid="{00000000-0005-0000-0000-0000D0500000}"/>
    <cellStyle name="Normal 3 12 3 3 4 2" xfId="36740" xr:uid="{00000000-0005-0000-0000-0000D1500000}"/>
    <cellStyle name="Normal 3 12 3 3 5" xfId="36741" xr:uid="{00000000-0005-0000-0000-0000D2500000}"/>
    <cellStyle name="Normal 3 12 3 3_01-04-2012" xfId="6431" xr:uid="{00000000-0005-0000-0000-0000D3500000}"/>
    <cellStyle name="Normal 3 12 3 4" xfId="6432" xr:uid="{00000000-0005-0000-0000-0000D4500000}"/>
    <cellStyle name="Normal 3 12 3 4 2" xfId="6433" xr:uid="{00000000-0005-0000-0000-0000D5500000}"/>
    <cellStyle name="Normal 3 12 3 4 2 2" xfId="36742" xr:uid="{00000000-0005-0000-0000-0000D6500000}"/>
    <cellStyle name="Normal 3 12 3 4 3" xfId="6434" xr:uid="{00000000-0005-0000-0000-0000D7500000}"/>
    <cellStyle name="Normal 3 12 3 4 3 2" xfId="36743" xr:uid="{00000000-0005-0000-0000-0000D8500000}"/>
    <cellStyle name="Normal 3 12 3 4 4" xfId="6435" xr:uid="{00000000-0005-0000-0000-0000D9500000}"/>
    <cellStyle name="Normal 3 12 3 4 4 2" xfId="36744" xr:uid="{00000000-0005-0000-0000-0000DA500000}"/>
    <cellStyle name="Normal 3 12 3 4 5" xfId="36745" xr:uid="{00000000-0005-0000-0000-0000DB500000}"/>
    <cellStyle name="Normal 3 12 3 4_01-04-2012" xfId="6436" xr:uid="{00000000-0005-0000-0000-0000DC500000}"/>
    <cellStyle name="Normal 3 12 3 5" xfId="6437" xr:uid="{00000000-0005-0000-0000-0000DD500000}"/>
    <cellStyle name="Normal 3 12 3 5 2" xfId="36746" xr:uid="{00000000-0005-0000-0000-0000DE500000}"/>
    <cellStyle name="Normal 3 12 3 6" xfId="6438" xr:uid="{00000000-0005-0000-0000-0000DF500000}"/>
    <cellStyle name="Normal 3 12 3 6 2" xfId="36747" xr:uid="{00000000-0005-0000-0000-0000E0500000}"/>
    <cellStyle name="Normal 3 12 3 7" xfId="6439" xr:uid="{00000000-0005-0000-0000-0000E1500000}"/>
    <cellStyle name="Normal 3 12 3 7 2" xfId="36748" xr:uid="{00000000-0005-0000-0000-0000E2500000}"/>
    <cellStyle name="Normal 3 12 3 8" xfId="36749" xr:uid="{00000000-0005-0000-0000-0000E3500000}"/>
    <cellStyle name="Normal 3 12 3_01-04-2012" xfId="6440" xr:uid="{00000000-0005-0000-0000-0000E4500000}"/>
    <cellStyle name="Normal 3 12 4" xfId="6441" xr:uid="{00000000-0005-0000-0000-0000E5500000}"/>
    <cellStyle name="Normal 3 12 4 2" xfId="6442" xr:uid="{00000000-0005-0000-0000-0000E6500000}"/>
    <cellStyle name="Normal 3 12 4 2 2" xfId="6443" xr:uid="{00000000-0005-0000-0000-0000E7500000}"/>
    <cellStyle name="Normal 3 12 4 2 2 2" xfId="36750" xr:uid="{00000000-0005-0000-0000-0000E8500000}"/>
    <cellStyle name="Normal 3 12 4 2 3" xfId="6444" xr:uid="{00000000-0005-0000-0000-0000E9500000}"/>
    <cellStyle name="Normal 3 12 4 2 3 2" xfId="36751" xr:uid="{00000000-0005-0000-0000-0000EA500000}"/>
    <cellStyle name="Normal 3 12 4 2 4" xfId="6445" xr:uid="{00000000-0005-0000-0000-0000EB500000}"/>
    <cellStyle name="Normal 3 12 4 2 4 2" xfId="36752" xr:uid="{00000000-0005-0000-0000-0000EC500000}"/>
    <cellStyle name="Normal 3 12 4 2 5" xfId="36753" xr:uid="{00000000-0005-0000-0000-0000ED500000}"/>
    <cellStyle name="Normal 3 12 4 2_01-04-2012" xfId="6446" xr:uid="{00000000-0005-0000-0000-0000EE500000}"/>
    <cellStyle name="Normal 3 12 4 3" xfId="6447" xr:uid="{00000000-0005-0000-0000-0000EF500000}"/>
    <cellStyle name="Normal 3 12 4 3 2" xfId="6448" xr:uid="{00000000-0005-0000-0000-0000F0500000}"/>
    <cellStyle name="Normal 3 12 4 3 2 2" xfId="36754" xr:uid="{00000000-0005-0000-0000-0000F1500000}"/>
    <cellStyle name="Normal 3 12 4 3 3" xfId="6449" xr:uid="{00000000-0005-0000-0000-0000F2500000}"/>
    <cellStyle name="Normal 3 12 4 3 3 2" xfId="36755" xr:uid="{00000000-0005-0000-0000-0000F3500000}"/>
    <cellStyle name="Normal 3 12 4 3 4" xfId="6450" xr:uid="{00000000-0005-0000-0000-0000F4500000}"/>
    <cellStyle name="Normal 3 12 4 3 4 2" xfId="36756" xr:uid="{00000000-0005-0000-0000-0000F5500000}"/>
    <cellStyle name="Normal 3 12 4 3 5" xfId="36757" xr:uid="{00000000-0005-0000-0000-0000F6500000}"/>
    <cellStyle name="Normal 3 12 4 3_01-04-2012" xfId="6451" xr:uid="{00000000-0005-0000-0000-0000F7500000}"/>
    <cellStyle name="Normal 3 12 4 4" xfId="6452" xr:uid="{00000000-0005-0000-0000-0000F8500000}"/>
    <cellStyle name="Normal 3 12 4 4 2" xfId="6453" xr:uid="{00000000-0005-0000-0000-0000F9500000}"/>
    <cellStyle name="Normal 3 12 4 4 2 2" xfId="36758" xr:uid="{00000000-0005-0000-0000-0000FA500000}"/>
    <cellStyle name="Normal 3 12 4 4 3" xfId="6454" xr:uid="{00000000-0005-0000-0000-0000FB500000}"/>
    <cellStyle name="Normal 3 12 4 4 3 2" xfId="36759" xr:uid="{00000000-0005-0000-0000-0000FC500000}"/>
    <cellStyle name="Normal 3 12 4 4 4" xfId="6455" xr:uid="{00000000-0005-0000-0000-0000FD500000}"/>
    <cellStyle name="Normal 3 12 4 4 4 2" xfId="36760" xr:uid="{00000000-0005-0000-0000-0000FE500000}"/>
    <cellStyle name="Normal 3 12 4 4 5" xfId="36761" xr:uid="{00000000-0005-0000-0000-0000FF500000}"/>
    <cellStyle name="Normal 3 12 4 4_01-04-2012" xfId="6456" xr:uid="{00000000-0005-0000-0000-000000510000}"/>
    <cellStyle name="Normal 3 12 4 5" xfId="6457" xr:uid="{00000000-0005-0000-0000-000001510000}"/>
    <cellStyle name="Normal 3 12 4 5 2" xfId="36762" xr:uid="{00000000-0005-0000-0000-000002510000}"/>
    <cellStyle name="Normal 3 12 4 6" xfId="6458" xr:uid="{00000000-0005-0000-0000-000003510000}"/>
    <cellStyle name="Normal 3 12 4 6 2" xfId="36763" xr:uid="{00000000-0005-0000-0000-000004510000}"/>
    <cellStyle name="Normal 3 12 4 7" xfId="6459" xr:uid="{00000000-0005-0000-0000-000005510000}"/>
    <cellStyle name="Normal 3 12 4 7 2" xfId="36764" xr:uid="{00000000-0005-0000-0000-000006510000}"/>
    <cellStyle name="Normal 3 12 4 8" xfId="36765" xr:uid="{00000000-0005-0000-0000-000007510000}"/>
    <cellStyle name="Normal 3 12 4_01-04-2012" xfId="6460" xr:uid="{00000000-0005-0000-0000-000008510000}"/>
    <cellStyle name="Normal 3 12 5" xfId="6461" xr:uid="{00000000-0005-0000-0000-000009510000}"/>
    <cellStyle name="Normal 3 12 5 2" xfId="6462" xr:uid="{00000000-0005-0000-0000-00000A510000}"/>
    <cellStyle name="Normal 3 12 5 2 2" xfId="36766" xr:uid="{00000000-0005-0000-0000-00000B510000}"/>
    <cellStyle name="Normal 3 12 5 3" xfId="6463" xr:uid="{00000000-0005-0000-0000-00000C510000}"/>
    <cellStyle name="Normal 3 12 5 3 2" xfId="36767" xr:uid="{00000000-0005-0000-0000-00000D510000}"/>
    <cellStyle name="Normal 3 12 5 4" xfId="6464" xr:uid="{00000000-0005-0000-0000-00000E510000}"/>
    <cellStyle name="Normal 3 12 5 4 2" xfId="36768" xr:uid="{00000000-0005-0000-0000-00000F510000}"/>
    <cellStyle name="Normal 3 12 5 5" xfId="36769" xr:uid="{00000000-0005-0000-0000-000010510000}"/>
    <cellStyle name="Normal 3 12 5_01-04-2012" xfId="6465" xr:uid="{00000000-0005-0000-0000-000011510000}"/>
    <cellStyle name="Normal 3 12 6" xfId="6466" xr:uid="{00000000-0005-0000-0000-000012510000}"/>
    <cellStyle name="Normal 3 12 6 2" xfId="6467" xr:uid="{00000000-0005-0000-0000-000013510000}"/>
    <cellStyle name="Normal 3 12 6 2 2" xfId="36770" xr:uid="{00000000-0005-0000-0000-000014510000}"/>
    <cellStyle name="Normal 3 12 6 3" xfId="6468" xr:uid="{00000000-0005-0000-0000-000015510000}"/>
    <cellStyle name="Normal 3 12 6 3 2" xfId="36771" xr:uid="{00000000-0005-0000-0000-000016510000}"/>
    <cellStyle name="Normal 3 12 6 4" xfId="6469" xr:uid="{00000000-0005-0000-0000-000017510000}"/>
    <cellStyle name="Normal 3 12 6 4 2" xfId="36772" xr:uid="{00000000-0005-0000-0000-000018510000}"/>
    <cellStyle name="Normal 3 12 6 5" xfId="36773" xr:uid="{00000000-0005-0000-0000-000019510000}"/>
    <cellStyle name="Normal 3 12 6_01-04-2012" xfId="6470" xr:uid="{00000000-0005-0000-0000-00001A510000}"/>
    <cellStyle name="Normal 3 12 7" xfId="6471" xr:uid="{00000000-0005-0000-0000-00001B510000}"/>
    <cellStyle name="Normal 3 12 7 2" xfId="6472" xr:uid="{00000000-0005-0000-0000-00001C510000}"/>
    <cellStyle name="Normal 3 12 7 2 2" xfId="36774" xr:uid="{00000000-0005-0000-0000-00001D510000}"/>
    <cellStyle name="Normal 3 12 7 3" xfId="6473" xr:uid="{00000000-0005-0000-0000-00001E510000}"/>
    <cellStyle name="Normal 3 12 7 3 2" xfId="36775" xr:uid="{00000000-0005-0000-0000-00001F510000}"/>
    <cellStyle name="Normal 3 12 7 4" xfId="6474" xr:uid="{00000000-0005-0000-0000-000020510000}"/>
    <cellStyle name="Normal 3 12 7 4 2" xfId="36776" xr:uid="{00000000-0005-0000-0000-000021510000}"/>
    <cellStyle name="Normal 3 12 7 5" xfId="36777" xr:uid="{00000000-0005-0000-0000-000022510000}"/>
    <cellStyle name="Normal 3 12 7_01-04-2012" xfId="6475" xr:uid="{00000000-0005-0000-0000-000023510000}"/>
    <cellStyle name="Normal 3 12 8" xfId="6476" xr:uid="{00000000-0005-0000-0000-000024510000}"/>
    <cellStyle name="Normal 3 12 8 2" xfId="6477" xr:uid="{00000000-0005-0000-0000-000025510000}"/>
    <cellStyle name="Normal 3 12 8 2 2" xfId="36778" xr:uid="{00000000-0005-0000-0000-000026510000}"/>
    <cellStyle name="Normal 3 12 8 3" xfId="6478" xr:uid="{00000000-0005-0000-0000-000027510000}"/>
    <cellStyle name="Normal 3 12 8 3 2" xfId="36779" xr:uid="{00000000-0005-0000-0000-000028510000}"/>
    <cellStyle name="Normal 3 12 8 4" xfId="6479" xr:uid="{00000000-0005-0000-0000-000029510000}"/>
    <cellStyle name="Normal 3 12 8 4 2" xfId="36780" xr:uid="{00000000-0005-0000-0000-00002A510000}"/>
    <cellStyle name="Normal 3 12 8 5" xfId="36781" xr:uid="{00000000-0005-0000-0000-00002B510000}"/>
    <cellStyle name="Normal 3 12 8_01-04-2012" xfId="6480" xr:uid="{00000000-0005-0000-0000-00002C510000}"/>
    <cellStyle name="Normal 3 12 9" xfId="6481" xr:uid="{00000000-0005-0000-0000-00002D510000}"/>
    <cellStyle name="Normal 3 12 9 2" xfId="6482" xr:uid="{00000000-0005-0000-0000-00002E510000}"/>
    <cellStyle name="Normal 3 12 9 2 2" xfId="36782" xr:uid="{00000000-0005-0000-0000-00002F510000}"/>
    <cellStyle name="Normal 3 12 9 3" xfId="6483" xr:uid="{00000000-0005-0000-0000-000030510000}"/>
    <cellStyle name="Normal 3 12 9 3 2" xfId="36783" xr:uid="{00000000-0005-0000-0000-000031510000}"/>
    <cellStyle name="Normal 3 12 9 4" xfId="6484" xr:uid="{00000000-0005-0000-0000-000032510000}"/>
    <cellStyle name="Normal 3 12 9 4 2" xfId="36784" xr:uid="{00000000-0005-0000-0000-000033510000}"/>
    <cellStyle name="Normal 3 12 9 5" xfId="36785" xr:uid="{00000000-0005-0000-0000-000034510000}"/>
    <cellStyle name="Normal 3 12 9_01-04-2012" xfId="6485" xr:uid="{00000000-0005-0000-0000-000035510000}"/>
    <cellStyle name="Normal 3 12_01-04-2012" xfId="6486" xr:uid="{00000000-0005-0000-0000-000036510000}"/>
    <cellStyle name="Normal 3 13" xfId="6487" xr:uid="{00000000-0005-0000-0000-000037510000}"/>
    <cellStyle name="Normal 3 13 10" xfId="20201" xr:uid="{00000000-0005-0000-0000-000038510000}"/>
    <cellStyle name="Normal 3 13 2" xfId="6488" xr:uid="{00000000-0005-0000-0000-000039510000}"/>
    <cellStyle name="Normal 3 13 2 2" xfId="6489" xr:uid="{00000000-0005-0000-0000-00003A510000}"/>
    <cellStyle name="Normal 3 13 2 2 2" xfId="36786" xr:uid="{00000000-0005-0000-0000-00003B510000}"/>
    <cellStyle name="Normal 3 13 2 3" xfId="6490" xr:uid="{00000000-0005-0000-0000-00003C510000}"/>
    <cellStyle name="Normal 3 13 2 3 2" xfId="36787" xr:uid="{00000000-0005-0000-0000-00003D510000}"/>
    <cellStyle name="Normal 3 13 2 4" xfId="6491" xr:uid="{00000000-0005-0000-0000-00003E510000}"/>
    <cellStyle name="Normal 3 13 2 4 2" xfId="36788" xr:uid="{00000000-0005-0000-0000-00003F510000}"/>
    <cellStyle name="Normal 3 13 2 5" xfId="36789" xr:uid="{00000000-0005-0000-0000-000040510000}"/>
    <cellStyle name="Normal 3 13 2_01-04-2012" xfId="6492" xr:uid="{00000000-0005-0000-0000-000041510000}"/>
    <cellStyle name="Normal 3 13 3" xfId="6493" xr:uid="{00000000-0005-0000-0000-000042510000}"/>
    <cellStyle name="Normal 3 13 3 2" xfId="6494" xr:uid="{00000000-0005-0000-0000-000043510000}"/>
    <cellStyle name="Normal 3 13 3 2 2" xfId="36790" xr:uid="{00000000-0005-0000-0000-000044510000}"/>
    <cellStyle name="Normal 3 13 3 3" xfId="6495" xr:uid="{00000000-0005-0000-0000-000045510000}"/>
    <cellStyle name="Normal 3 13 3 3 2" xfId="36791" xr:uid="{00000000-0005-0000-0000-000046510000}"/>
    <cellStyle name="Normal 3 13 3 4" xfId="6496" xr:uid="{00000000-0005-0000-0000-000047510000}"/>
    <cellStyle name="Normal 3 13 3 4 2" xfId="36792" xr:uid="{00000000-0005-0000-0000-000048510000}"/>
    <cellStyle name="Normal 3 13 3 5" xfId="36793" xr:uid="{00000000-0005-0000-0000-000049510000}"/>
    <cellStyle name="Normal 3 13 3_01-04-2012" xfId="6497" xr:uid="{00000000-0005-0000-0000-00004A510000}"/>
    <cellStyle name="Normal 3 13 4" xfId="6498" xr:uid="{00000000-0005-0000-0000-00004B510000}"/>
    <cellStyle name="Normal 3 13 4 2" xfId="6499" xr:uid="{00000000-0005-0000-0000-00004C510000}"/>
    <cellStyle name="Normal 3 13 4 2 2" xfId="36794" xr:uid="{00000000-0005-0000-0000-00004D510000}"/>
    <cellStyle name="Normal 3 13 4 3" xfId="6500" xr:uid="{00000000-0005-0000-0000-00004E510000}"/>
    <cellStyle name="Normal 3 13 4 3 2" xfId="36795" xr:uid="{00000000-0005-0000-0000-00004F510000}"/>
    <cellStyle name="Normal 3 13 4 4" xfId="6501" xr:uid="{00000000-0005-0000-0000-000050510000}"/>
    <cellStyle name="Normal 3 13 4 4 2" xfId="36796" xr:uid="{00000000-0005-0000-0000-000051510000}"/>
    <cellStyle name="Normal 3 13 4 5" xfId="36797" xr:uid="{00000000-0005-0000-0000-000052510000}"/>
    <cellStyle name="Normal 3 13 4_01-04-2012" xfId="6502" xr:uid="{00000000-0005-0000-0000-000053510000}"/>
    <cellStyle name="Normal 3 13 5" xfId="6503" xr:uid="{00000000-0005-0000-0000-000054510000}"/>
    <cellStyle name="Normal 3 13 5 2" xfId="36798" xr:uid="{00000000-0005-0000-0000-000055510000}"/>
    <cellStyle name="Normal 3 13 6" xfId="6504" xr:uid="{00000000-0005-0000-0000-000056510000}"/>
    <cellStyle name="Normal 3 13 6 2" xfId="36799" xr:uid="{00000000-0005-0000-0000-000057510000}"/>
    <cellStyle name="Normal 3 13 7" xfId="6505" xr:uid="{00000000-0005-0000-0000-000058510000}"/>
    <cellStyle name="Normal 3 13 7 2" xfId="36800" xr:uid="{00000000-0005-0000-0000-000059510000}"/>
    <cellStyle name="Normal 3 13 8" xfId="20202" xr:uid="{00000000-0005-0000-0000-00005A510000}"/>
    <cellStyle name="Normal 3 13 8 2" xfId="36801" xr:uid="{00000000-0005-0000-0000-00005B510000}"/>
    <cellStyle name="Normal 3 13 9" xfId="20203" xr:uid="{00000000-0005-0000-0000-00005C510000}"/>
    <cellStyle name="Normal 3 13_01-04-2012" xfId="6506" xr:uid="{00000000-0005-0000-0000-00005D510000}"/>
    <cellStyle name="Normal 3 14" xfId="6507" xr:uid="{00000000-0005-0000-0000-00005E510000}"/>
    <cellStyle name="Normal 3 14 2" xfId="6508" xr:uid="{00000000-0005-0000-0000-00005F510000}"/>
    <cellStyle name="Normal 3 14 2 2" xfId="6509" xr:uid="{00000000-0005-0000-0000-000060510000}"/>
    <cellStyle name="Normal 3 14 2 2 2" xfId="36802" xr:uid="{00000000-0005-0000-0000-000061510000}"/>
    <cellStyle name="Normal 3 14 2 3" xfId="6510" xr:uid="{00000000-0005-0000-0000-000062510000}"/>
    <cellStyle name="Normal 3 14 2 3 2" xfId="36803" xr:uid="{00000000-0005-0000-0000-000063510000}"/>
    <cellStyle name="Normal 3 14 2 4" xfId="6511" xr:uid="{00000000-0005-0000-0000-000064510000}"/>
    <cellStyle name="Normal 3 14 2 4 2" xfId="36804" xr:uid="{00000000-0005-0000-0000-000065510000}"/>
    <cellStyle name="Normal 3 14 2 5" xfId="36805" xr:uid="{00000000-0005-0000-0000-000066510000}"/>
    <cellStyle name="Normal 3 14 2_01-04-2012" xfId="6512" xr:uid="{00000000-0005-0000-0000-000067510000}"/>
    <cellStyle name="Normal 3 14 3" xfId="6513" xr:uid="{00000000-0005-0000-0000-000068510000}"/>
    <cellStyle name="Normal 3 14 3 2" xfId="6514" xr:uid="{00000000-0005-0000-0000-000069510000}"/>
    <cellStyle name="Normal 3 14 3 2 2" xfId="36806" xr:uid="{00000000-0005-0000-0000-00006A510000}"/>
    <cellStyle name="Normal 3 14 3 3" xfId="6515" xr:uid="{00000000-0005-0000-0000-00006B510000}"/>
    <cellStyle name="Normal 3 14 3 3 2" xfId="36807" xr:uid="{00000000-0005-0000-0000-00006C510000}"/>
    <cellStyle name="Normal 3 14 3 4" xfId="6516" xr:uid="{00000000-0005-0000-0000-00006D510000}"/>
    <cellStyle name="Normal 3 14 3 4 2" xfId="36808" xr:uid="{00000000-0005-0000-0000-00006E510000}"/>
    <cellStyle name="Normal 3 14 3 5" xfId="36809" xr:uid="{00000000-0005-0000-0000-00006F510000}"/>
    <cellStyle name="Normal 3 14 3_01-04-2012" xfId="6517" xr:uid="{00000000-0005-0000-0000-000070510000}"/>
    <cellStyle name="Normal 3 14 4" xfId="6518" xr:uid="{00000000-0005-0000-0000-000071510000}"/>
    <cellStyle name="Normal 3 14 4 2" xfId="6519" xr:uid="{00000000-0005-0000-0000-000072510000}"/>
    <cellStyle name="Normal 3 14 4 2 2" xfId="36810" xr:uid="{00000000-0005-0000-0000-000073510000}"/>
    <cellStyle name="Normal 3 14 4 3" xfId="6520" xr:uid="{00000000-0005-0000-0000-000074510000}"/>
    <cellStyle name="Normal 3 14 4 3 2" xfId="36811" xr:uid="{00000000-0005-0000-0000-000075510000}"/>
    <cellStyle name="Normal 3 14 4 4" xfId="6521" xr:uid="{00000000-0005-0000-0000-000076510000}"/>
    <cellStyle name="Normal 3 14 4 4 2" xfId="36812" xr:uid="{00000000-0005-0000-0000-000077510000}"/>
    <cellStyle name="Normal 3 14 4 5" xfId="36813" xr:uid="{00000000-0005-0000-0000-000078510000}"/>
    <cellStyle name="Normal 3 14 4_01-04-2012" xfId="6522" xr:uid="{00000000-0005-0000-0000-000079510000}"/>
    <cellStyle name="Normal 3 14 5" xfId="6523" xr:uid="{00000000-0005-0000-0000-00007A510000}"/>
    <cellStyle name="Normal 3 14 5 2" xfId="36814" xr:uid="{00000000-0005-0000-0000-00007B510000}"/>
    <cellStyle name="Normal 3 14 6" xfId="6524" xr:uid="{00000000-0005-0000-0000-00007C510000}"/>
    <cellStyle name="Normal 3 14 6 2" xfId="36815" xr:uid="{00000000-0005-0000-0000-00007D510000}"/>
    <cellStyle name="Normal 3 14 7" xfId="6525" xr:uid="{00000000-0005-0000-0000-00007E510000}"/>
    <cellStyle name="Normal 3 14 7 2" xfId="36816" xr:uid="{00000000-0005-0000-0000-00007F510000}"/>
    <cellStyle name="Normal 3 14 8" xfId="36817" xr:uid="{00000000-0005-0000-0000-000080510000}"/>
    <cellStyle name="Normal 3 14_01-04-2012" xfId="6526" xr:uid="{00000000-0005-0000-0000-000081510000}"/>
    <cellStyle name="Normal 3 15" xfId="6527" xr:uid="{00000000-0005-0000-0000-000082510000}"/>
    <cellStyle name="Normal 3 15 2" xfId="6528" xr:uid="{00000000-0005-0000-0000-000083510000}"/>
    <cellStyle name="Normal 3 15 2 2" xfId="6529" xr:uid="{00000000-0005-0000-0000-000084510000}"/>
    <cellStyle name="Normal 3 15 2 2 2" xfId="36818" xr:uid="{00000000-0005-0000-0000-000085510000}"/>
    <cellStyle name="Normal 3 15 2 3" xfId="6530" xr:uid="{00000000-0005-0000-0000-000086510000}"/>
    <cellStyle name="Normal 3 15 2 3 2" xfId="36819" xr:uid="{00000000-0005-0000-0000-000087510000}"/>
    <cellStyle name="Normal 3 15 2 4" xfId="6531" xr:uid="{00000000-0005-0000-0000-000088510000}"/>
    <cellStyle name="Normal 3 15 2 4 2" xfId="36820" xr:uid="{00000000-0005-0000-0000-000089510000}"/>
    <cellStyle name="Normal 3 15 2 5" xfId="36821" xr:uid="{00000000-0005-0000-0000-00008A510000}"/>
    <cellStyle name="Normal 3 15 2_01-04-2012" xfId="6532" xr:uid="{00000000-0005-0000-0000-00008B510000}"/>
    <cellStyle name="Normal 3 15 3" xfId="6533" xr:uid="{00000000-0005-0000-0000-00008C510000}"/>
    <cellStyle name="Normal 3 15 3 2" xfId="6534" xr:uid="{00000000-0005-0000-0000-00008D510000}"/>
    <cellStyle name="Normal 3 15 3 2 2" xfId="36822" xr:uid="{00000000-0005-0000-0000-00008E510000}"/>
    <cellStyle name="Normal 3 15 3 3" xfId="6535" xr:uid="{00000000-0005-0000-0000-00008F510000}"/>
    <cellStyle name="Normal 3 15 3 3 2" xfId="36823" xr:uid="{00000000-0005-0000-0000-000090510000}"/>
    <cellStyle name="Normal 3 15 3 4" xfId="6536" xr:uid="{00000000-0005-0000-0000-000091510000}"/>
    <cellStyle name="Normal 3 15 3 4 2" xfId="36824" xr:uid="{00000000-0005-0000-0000-000092510000}"/>
    <cellStyle name="Normal 3 15 3 5" xfId="36825" xr:uid="{00000000-0005-0000-0000-000093510000}"/>
    <cellStyle name="Normal 3 15 3_01-04-2012" xfId="6537" xr:uid="{00000000-0005-0000-0000-000094510000}"/>
    <cellStyle name="Normal 3 15 4" xfId="6538" xr:uid="{00000000-0005-0000-0000-000095510000}"/>
    <cellStyle name="Normal 3 15 4 2" xfId="6539" xr:uid="{00000000-0005-0000-0000-000096510000}"/>
    <cellStyle name="Normal 3 15 4 2 2" xfId="36826" xr:uid="{00000000-0005-0000-0000-000097510000}"/>
    <cellStyle name="Normal 3 15 4 3" xfId="6540" xr:uid="{00000000-0005-0000-0000-000098510000}"/>
    <cellStyle name="Normal 3 15 4 3 2" xfId="36827" xr:uid="{00000000-0005-0000-0000-000099510000}"/>
    <cellStyle name="Normal 3 15 4 4" xfId="6541" xr:uid="{00000000-0005-0000-0000-00009A510000}"/>
    <cellStyle name="Normal 3 15 4 4 2" xfId="36828" xr:uid="{00000000-0005-0000-0000-00009B510000}"/>
    <cellStyle name="Normal 3 15 4 5" xfId="36829" xr:uid="{00000000-0005-0000-0000-00009C510000}"/>
    <cellStyle name="Normal 3 15 4_01-04-2012" xfId="6542" xr:uid="{00000000-0005-0000-0000-00009D510000}"/>
    <cellStyle name="Normal 3 15 5" xfId="6543" xr:uid="{00000000-0005-0000-0000-00009E510000}"/>
    <cellStyle name="Normal 3 15 5 2" xfId="36830" xr:uid="{00000000-0005-0000-0000-00009F510000}"/>
    <cellStyle name="Normal 3 15 6" xfId="6544" xr:uid="{00000000-0005-0000-0000-0000A0510000}"/>
    <cellStyle name="Normal 3 15 6 2" xfId="36831" xr:uid="{00000000-0005-0000-0000-0000A1510000}"/>
    <cellStyle name="Normal 3 15 7" xfId="6545" xr:uid="{00000000-0005-0000-0000-0000A2510000}"/>
    <cellStyle name="Normal 3 15 7 2" xfId="36832" xr:uid="{00000000-0005-0000-0000-0000A3510000}"/>
    <cellStyle name="Normal 3 15 8" xfId="36833" xr:uid="{00000000-0005-0000-0000-0000A4510000}"/>
    <cellStyle name="Normal 3 15_01-04-2012" xfId="6546" xr:uid="{00000000-0005-0000-0000-0000A5510000}"/>
    <cellStyle name="Normal 3 16" xfId="6547" xr:uid="{00000000-0005-0000-0000-0000A6510000}"/>
    <cellStyle name="Normal 3 16 2" xfId="6548" xr:uid="{00000000-0005-0000-0000-0000A7510000}"/>
    <cellStyle name="Normal 3 16 2 2" xfId="36834" xr:uid="{00000000-0005-0000-0000-0000A8510000}"/>
    <cellStyle name="Normal 3 16 3" xfId="6549" xr:uid="{00000000-0005-0000-0000-0000A9510000}"/>
    <cellStyle name="Normal 3 16 3 2" xfId="36835" xr:uid="{00000000-0005-0000-0000-0000AA510000}"/>
    <cellStyle name="Normal 3 16 4" xfId="6550" xr:uid="{00000000-0005-0000-0000-0000AB510000}"/>
    <cellStyle name="Normal 3 16 4 2" xfId="36836" xr:uid="{00000000-0005-0000-0000-0000AC510000}"/>
    <cellStyle name="Normal 3 16 5" xfId="36837" xr:uid="{00000000-0005-0000-0000-0000AD510000}"/>
    <cellStyle name="Normal 3 16_01-04-2012" xfId="6551" xr:uid="{00000000-0005-0000-0000-0000AE510000}"/>
    <cellStyle name="Normal 3 17" xfId="6552" xr:uid="{00000000-0005-0000-0000-0000AF510000}"/>
    <cellStyle name="Normal 3 17 2" xfId="6553" xr:uid="{00000000-0005-0000-0000-0000B0510000}"/>
    <cellStyle name="Normal 3 17 2 2" xfId="36838" xr:uid="{00000000-0005-0000-0000-0000B1510000}"/>
    <cellStyle name="Normal 3 17 3" xfId="6554" xr:uid="{00000000-0005-0000-0000-0000B2510000}"/>
    <cellStyle name="Normal 3 17 3 2" xfId="36839" xr:uid="{00000000-0005-0000-0000-0000B3510000}"/>
    <cellStyle name="Normal 3 17 4" xfId="6555" xr:uid="{00000000-0005-0000-0000-0000B4510000}"/>
    <cellStyle name="Normal 3 17 4 2" xfId="36840" xr:uid="{00000000-0005-0000-0000-0000B5510000}"/>
    <cellStyle name="Normal 3 17 5" xfId="36841" xr:uid="{00000000-0005-0000-0000-0000B6510000}"/>
    <cellStyle name="Normal 3 17_01-04-2012" xfId="6556" xr:uid="{00000000-0005-0000-0000-0000B7510000}"/>
    <cellStyle name="Normal 3 18" xfId="6557" xr:uid="{00000000-0005-0000-0000-0000B8510000}"/>
    <cellStyle name="Normal 3 18 2" xfId="6558" xr:uid="{00000000-0005-0000-0000-0000B9510000}"/>
    <cellStyle name="Normal 3 18 2 2" xfId="36842" xr:uid="{00000000-0005-0000-0000-0000BA510000}"/>
    <cellStyle name="Normal 3 18 3" xfId="6559" xr:uid="{00000000-0005-0000-0000-0000BB510000}"/>
    <cellStyle name="Normal 3 18 3 2" xfId="36843" xr:uid="{00000000-0005-0000-0000-0000BC510000}"/>
    <cellStyle name="Normal 3 18 4" xfId="6560" xr:uid="{00000000-0005-0000-0000-0000BD510000}"/>
    <cellStyle name="Normal 3 18 4 2" xfId="36844" xr:uid="{00000000-0005-0000-0000-0000BE510000}"/>
    <cellStyle name="Normal 3 18 5" xfId="36845" xr:uid="{00000000-0005-0000-0000-0000BF510000}"/>
    <cellStyle name="Normal 3 18_01-04-2012" xfId="6561" xr:uid="{00000000-0005-0000-0000-0000C0510000}"/>
    <cellStyle name="Normal 3 19" xfId="6562" xr:uid="{00000000-0005-0000-0000-0000C1510000}"/>
    <cellStyle name="Normal 3 19 2" xfId="6563" xr:uid="{00000000-0005-0000-0000-0000C2510000}"/>
    <cellStyle name="Normal 3 19 2 2" xfId="36846" xr:uid="{00000000-0005-0000-0000-0000C3510000}"/>
    <cellStyle name="Normal 3 19 3" xfId="6564" xr:uid="{00000000-0005-0000-0000-0000C4510000}"/>
    <cellStyle name="Normal 3 19 3 2" xfId="36847" xr:uid="{00000000-0005-0000-0000-0000C5510000}"/>
    <cellStyle name="Normal 3 19 4" xfId="6565" xr:uid="{00000000-0005-0000-0000-0000C6510000}"/>
    <cellStyle name="Normal 3 19 4 2" xfId="36848" xr:uid="{00000000-0005-0000-0000-0000C7510000}"/>
    <cellStyle name="Normal 3 19 5" xfId="36849" xr:uid="{00000000-0005-0000-0000-0000C8510000}"/>
    <cellStyle name="Normal 3 19_01-04-2012" xfId="6566" xr:uid="{00000000-0005-0000-0000-0000C9510000}"/>
    <cellStyle name="Normal 3 2" xfId="25" xr:uid="{00000000-0005-0000-0000-0000CA510000}"/>
    <cellStyle name="Normal 3 2 10" xfId="6568" xr:uid="{00000000-0005-0000-0000-0000CB510000}"/>
    <cellStyle name="Normal 3 2 11" xfId="6569" xr:uid="{00000000-0005-0000-0000-0000CC510000}"/>
    <cellStyle name="Normal 3 2 12" xfId="6570" xr:uid="{00000000-0005-0000-0000-0000CD510000}"/>
    <cellStyle name="Normal 3 2 13" xfId="6571" xr:uid="{00000000-0005-0000-0000-0000CE510000}"/>
    <cellStyle name="Normal 3 2 14" xfId="6572" xr:uid="{00000000-0005-0000-0000-0000CF510000}"/>
    <cellStyle name="Normal 3 2 15" xfId="6573" xr:uid="{00000000-0005-0000-0000-0000D0510000}"/>
    <cellStyle name="Normal 3 2 16" xfId="6574" xr:uid="{00000000-0005-0000-0000-0000D1510000}"/>
    <cellStyle name="Normal 3 2 17" xfId="6575" xr:uid="{00000000-0005-0000-0000-0000D2510000}"/>
    <cellStyle name="Normal 3 2 18" xfId="6576" xr:uid="{00000000-0005-0000-0000-0000D3510000}"/>
    <cellStyle name="Normal 3 2 19" xfId="6577" xr:uid="{00000000-0005-0000-0000-0000D4510000}"/>
    <cellStyle name="Normal 3 2 2" xfId="6578" xr:uid="{00000000-0005-0000-0000-0000D5510000}"/>
    <cellStyle name="Normal 3 2 2 10" xfId="20204" xr:uid="{00000000-0005-0000-0000-0000D6510000}"/>
    <cellStyle name="Normal 3 2 2 2" xfId="6579" xr:uid="{00000000-0005-0000-0000-0000D7510000}"/>
    <cellStyle name="Normal 3 2 2 2 2" xfId="6580" xr:uid="{00000000-0005-0000-0000-0000D8510000}"/>
    <cellStyle name="Normal 3 2 2 2 2 2" xfId="36850" xr:uid="{00000000-0005-0000-0000-0000D9510000}"/>
    <cellStyle name="Normal 3 2 2 2 3" xfId="6581" xr:uid="{00000000-0005-0000-0000-0000DA510000}"/>
    <cellStyle name="Normal 3 2 2 2 3 2" xfId="36851" xr:uid="{00000000-0005-0000-0000-0000DB510000}"/>
    <cellStyle name="Normal 3 2 2 2 4" xfId="6582" xr:uid="{00000000-0005-0000-0000-0000DC510000}"/>
    <cellStyle name="Normal 3 2 2 2 4 2" xfId="36852" xr:uid="{00000000-0005-0000-0000-0000DD510000}"/>
    <cellStyle name="Normal 3 2 2 2 5" xfId="36853" xr:uid="{00000000-0005-0000-0000-0000DE510000}"/>
    <cellStyle name="Normal 3 2 2 2_01-04-2012" xfId="6583" xr:uid="{00000000-0005-0000-0000-0000DF510000}"/>
    <cellStyle name="Normal 3 2 2 3" xfId="6584" xr:uid="{00000000-0005-0000-0000-0000E0510000}"/>
    <cellStyle name="Normal 3 2 2 3 2" xfId="6585" xr:uid="{00000000-0005-0000-0000-0000E1510000}"/>
    <cellStyle name="Normal 3 2 2 3 2 2" xfId="36854" xr:uid="{00000000-0005-0000-0000-0000E2510000}"/>
    <cellStyle name="Normal 3 2 2 3 3" xfId="6586" xr:uid="{00000000-0005-0000-0000-0000E3510000}"/>
    <cellStyle name="Normal 3 2 2 3 3 2" xfId="36855" xr:uid="{00000000-0005-0000-0000-0000E4510000}"/>
    <cellStyle name="Normal 3 2 2 3 4" xfId="6587" xr:uid="{00000000-0005-0000-0000-0000E5510000}"/>
    <cellStyle name="Normal 3 2 2 3 4 2" xfId="36856" xr:uid="{00000000-0005-0000-0000-0000E6510000}"/>
    <cellStyle name="Normal 3 2 2 3 5" xfId="36857" xr:uid="{00000000-0005-0000-0000-0000E7510000}"/>
    <cellStyle name="Normal 3 2 2 3_01-04-2012" xfId="6588" xr:uid="{00000000-0005-0000-0000-0000E8510000}"/>
    <cellStyle name="Normal 3 2 2 4" xfId="6589" xr:uid="{00000000-0005-0000-0000-0000E9510000}"/>
    <cellStyle name="Normal 3 2 2 4 2" xfId="6590" xr:uid="{00000000-0005-0000-0000-0000EA510000}"/>
    <cellStyle name="Normal 3 2 2 4 2 2" xfId="36858" xr:uid="{00000000-0005-0000-0000-0000EB510000}"/>
    <cellStyle name="Normal 3 2 2 4 3" xfId="6591" xr:uid="{00000000-0005-0000-0000-0000EC510000}"/>
    <cellStyle name="Normal 3 2 2 4 3 2" xfId="36859" xr:uid="{00000000-0005-0000-0000-0000ED510000}"/>
    <cellStyle name="Normal 3 2 2 4 4" xfId="6592" xr:uid="{00000000-0005-0000-0000-0000EE510000}"/>
    <cellStyle name="Normal 3 2 2 4 4 2" xfId="36860" xr:uid="{00000000-0005-0000-0000-0000EF510000}"/>
    <cellStyle name="Normal 3 2 2 4 5" xfId="36861" xr:uid="{00000000-0005-0000-0000-0000F0510000}"/>
    <cellStyle name="Normal 3 2 2 4_01-04-2012" xfId="6593" xr:uid="{00000000-0005-0000-0000-0000F1510000}"/>
    <cellStyle name="Normal 3 2 2 5" xfId="6594" xr:uid="{00000000-0005-0000-0000-0000F2510000}"/>
    <cellStyle name="Normal 3 2 2 5 2" xfId="36862" xr:uid="{00000000-0005-0000-0000-0000F3510000}"/>
    <cellStyle name="Normal 3 2 2 6" xfId="6595" xr:uid="{00000000-0005-0000-0000-0000F4510000}"/>
    <cellStyle name="Normal 3 2 2 6 2" xfId="36863" xr:uid="{00000000-0005-0000-0000-0000F5510000}"/>
    <cellStyle name="Normal 3 2 2 7" xfId="6596" xr:uid="{00000000-0005-0000-0000-0000F6510000}"/>
    <cellStyle name="Normal 3 2 2 7 2" xfId="36864" xr:uid="{00000000-0005-0000-0000-0000F7510000}"/>
    <cellStyle name="Normal 3 2 2 8" xfId="20205" xr:uid="{00000000-0005-0000-0000-0000F8510000}"/>
    <cellStyle name="Normal 3 2 2 8 2" xfId="36865" xr:uid="{00000000-0005-0000-0000-0000F9510000}"/>
    <cellStyle name="Normal 3 2 2 9" xfId="20206" xr:uid="{00000000-0005-0000-0000-0000FA510000}"/>
    <cellStyle name="Normal 3 2 2_01-04-2012" xfId="6597" xr:uid="{00000000-0005-0000-0000-0000FB510000}"/>
    <cellStyle name="Normal 3 2 20" xfId="6598" xr:uid="{00000000-0005-0000-0000-0000FC510000}"/>
    <cellStyle name="Normal 3 2 21" xfId="6599" xr:uid="{00000000-0005-0000-0000-0000FD510000}"/>
    <cellStyle name="Normal 3 2 21 2" xfId="6600" xr:uid="{00000000-0005-0000-0000-0000FE510000}"/>
    <cellStyle name="Normal 3 2 21 2 2" xfId="36866" xr:uid="{00000000-0005-0000-0000-0000FF510000}"/>
    <cellStyle name="Normal 3 2 21 3" xfId="6601" xr:uid="{00000000-0005-0000-0000-000000520000}"/>
    <cellStyle name="Normal 3 2 21 3 2" xfId="36867" xr:uid="{00000000-0005-0000-0000-000001520000}"/>
    <cellStyle name="Normal 3 2 21 4" xfId="6602" xr:uid="{00000000-0005-0000-0000-000002520000}"/>
    <cellStyle name="Normal 3 2 21 4 2" xfId="36868" xr:uid="{00000000-0005-0000-0000-000003520000}"/>
    <cellStyle name="Normal 3 2 21 5" xfId="36869" xr:uid="{00000000-0005-0000-0000-000004520000}"/>
    <cellStyle name="Normal 3 2 21_01-04-2012" xfId="6603" xr:uid="{00000000-0005-0000-0000-000005520000}"/>
    <cellStyle name="Normal 3 2 22" xfId="6604" xr:uid="{00000000-0005-0000-0000-000006520000}"/>
    <cellStyle name="Normal 3 2 23" xfId="6605" xr:uid="{00000000-0005-0000-0000-000007520000}"/>
    <cellStyle name="Normal 3 2 24" xfId="6606" xr:uid="{00000000-0005-0000-0000-000008520000}"/>
    <cellStyle name="Normal 3 2 25" xfId="6607" xr:uid="{00000000-0005-0000-0000-000009520000}"/>
    <cellStyle name="Normal 3 2 26" xfId="6608" xr:uid="{00000000-0005-0000-0000-00000A520000}"/>
    <cellStyle name="Normal 3 2 27" xfId="6609" xr:uid="{00000000-0005-0000-0000-00000B520000}"/>
    <cellStyle name="Normal 3 2 28" xfId="6610" xr:uid="{00000000-0005-0000-0000-00000C520000}"/>
    <cellStyle name="Normal 3 2 29" xfId="6611" xr:uid="{00000000-0005-0000-0000-00000D520000}"/>
    <cellStyle name="Normal 3 2 3" xfId="6612" xr:uid="{00000000-0005-0000-0000-00000E520000}"/>
    <cellStyle name="Normal 3 2 3 10" xfId="20207" xr:uid="{00000000-0005-0000-0000-00000F520000}"/>
    <cellStyle name="Normal 3 2 3 2" xfId="6613" xr:uid="{00000000-0005-0000-0000-000010520000}"/>
    <cellStyle name="Normal 3 2 3 2 2" xfId="6614" xr:uid="{00000000-0005-0000-0000-000011520000}"/>
    <cellStyle name="Normal 3 2 3 2 2 2" xfId="36870" xr:uid="{00000000-0005-0000-0000-000012520000}"/>
    <cellStyle name="Normal 3 2 3 2 3" xfId="6615" xr:uid="{00000000-0005-0000-0000-000013520000}"/>
    <cellStyle name="Normal 3 2 3 2 3 2" xfId="36871" xr:uid="{00000000-0005-0000-0000-000014520000}"/>
    <cellStyle name="Normal 3 2 3 2 4" xfId="6616" xr:uid="{00000000-0005-0000-0000-000015520000}"/>
    <cellStyle name="Normal 3 2 3 2 4 2" xfId="36872" xr:uid="{00000000-0005-0000-0000-000016520000}"/>
    <cellStyle name="Normal 3 2 3 2 5" xfId="36873" xr:uid="{00000000-0005-0000-0000-000017520000}"/>
    <cellStyle name="Normal 3 2 3 2_01-04-2012" xfId="6617" xr:uid="{00000000-0005-0000-0000-000018520000}"/>
    <cellStyle name="Normal 3 2 3 3" xfId="6618" xr:uid="{00000000-0005-0000-0000-000019520000}"/>
    <cellStyle name="Normal 3 2 3 3 2" xfId="6619" xr:uid="{00000000-0005-0000-0000-00001A520000}"/>
    <cellStyle name="Normal 3 2 3 3 2 2" xfId="36874" xr:uid="{00000000-0005-0000-0000-00001B520000}"/>
    <cellStyle name="Normal 3 2 3 3 3" xfId="6620" xr:uid="{00000000-0005-0000-0000-00001C520000}"/>
    <cellStyle name="Normal 3 2 3 3 3 2" xfId="36875" xr:uid="{00000000-0005-0000-0000-00001D520000}"/>
    <cellStyle name="Normal 3 2 3 3 4" xfId="6621" xr:uid="{00000000-0005-0000-0000-00001E520000}"/>
    <cellStyle name="Normal 3 2 3 3 4 2" xfId="36876" xr:uid="{00000000-0005-0000-0000-00001F520000}"/>
    <cellStyle name="Normal 3 2 3 3 5" xfId="36877" xr:uid="{00000000-0005-0000-0000-000020520000}"/>
    <cellStyle name="Normal 3 2 3 3_01-04-2012" xfId="6622" xr:uid="{00000000-0005-0000-0000-000021520000}"/>
    <cellStyle name="Normal 3 2 3 4" xfId="6623" xr:uid="{00000000-0005-0000-0000-000022520000}"/>
    <cellStyle name="Normal 3 2 3 4 2" xfId="6624" xr:uid="{00000000-0005-0000-0000-000023520000}"/>
    <cellStyle name="Normal 3 2 3 4 2 2" xfId="36878" xr:uid="{00000000-0005-0000-0000-000024520000}"/>
    <cellStyle name="Normal 3 2 3 4 3" xfId="6625" xr:uid="{00000000-0005-0000-0000-000025520000}"/>
    <cellStyle name="Normal 3 2 3 4 3 2" xfId="36879" xr:uid="{00000000-0005-0000-0000-000026520000}"/>
    <cellStyle name="Normal 3 2 3 4 4" xfId="6626" xr:uid="{00000000-0005-0000-0000-000027520000}"/>
    <cellStyle name="Normal 3 2 3 4 4 2" xfId="36880" xr:uid="{00000000-0005-0000-0000-000028520000}"/>
    <cellStyle name="Normal 3 2 3 4 5" xfId="36881" xr:uid="{00000000-0005-0000-0000-000029520000}"/>
    <cellStyle name="Normal 3 2 3 4_01-04-2012" xfId="6627" xr:uid="{00000000-0005-0000-0000-00002A520000}"/>
    <cellStyle name="Normal 3 2 3 5" xfId="6628" xr:uid="{00000000-0005-0000-0000-00002B520000}"/>
    <cellStyle name="Normal 3 2 3 5 2" xfId="36882" xr:uid="{00000000-0005-0000-0000-00002C520000}"/>
    <cellStyle name="Normal 3 2 3 6" xfId="6629" xr:uid="{00000000-0005-0000-0000-00002D520000}"/>
    <cellStyle name="Normal 3 2 3 6 2" xfId="36883" xr:uid="{00000000-0005-0000-0000-00002E520000}"/>
    <cellStyle name="Normal 3 2 3 7" xfId="6630" xr:uid="{00000000-0005-0000-0000-00002F520000}"/>
    <cellStyle name="Normal 3 2 3 7 2" xfId="36884" xr:uid="{00000000-0005-0000-0000-000030520000}"/>
    <cellStyle name="Normal 3 2 3 8" xfId="20208" xr:uid="{00000000-0005-0000-0000-000031520000}"/>
    <cellStyle name="Normal 3 2 3 8 2" xfId="36885" xr:uid="{00000000-0005-0000-0000-000032520000}"/>
    <cellStyle name="Normal 3 2 3 9" xfId="20209" xr:uid="{00000000-0005-0000-0000-000033520000}"/>
    <cellStyle name="Normal 3 2 3_01-04-2012" xfId="6631" xr:uid="{00000000-0005-0000-0000-000034520000}"/>
    <cellStyle name="Normal 3 2 30" xfId="6632" xr:uid="{00000000-0005-0000-0000-000035520000}"/>
    <cellStyle name="Normal 3 2 31" xfId="6633" xr:uid="{00000000-0005-0000-0000-000036520000}"/>
    <cellStyle name="Normal 3 2 32" xfId="6634" xr:uid="{00000000-0005-0000-0000-000037520000}"/>
    <cellStyle name="Normal 3 2 33" xfId="6635" xr:uid="{00000000-0005-0000-0000-000038520000}"/>
    <cellStyle name="Normal 3 2 34" xfId="6636" xr:uid="{00000000-0005-0000-0000-000039520000}"/>
    <cellStyle name="Normal 3 2 35" xfId="6637" xr:uid="{00000000-0005-0000-0000-00003A520000}"/>
    <cellStyle name="Normal 3 2 36" xfId="6638" xr:uid="{00000000-0005-0000-0000-00003B520000}"/>
    <cellStyle name="Normal 3 2 37" xfId="6639" xr:uid="{00000000-0005-0000-0000-00003C520000}"/>
    <cellStyle name="Normal 3 2 38" xfId="6640" xr:uid="{00000000-0005-0000-0000-00003D520000}"/>
    <cellStyle name="Normal 3 2 39" xfId="6641" xr:uid="{00000000-0005-0000-0000-00003E520000}"/>
    <cellStyle name="Normal 3 2 4" xfId="6642" xr:uid="{00000000-0005-0000-0000-00003F520000}"/>
    <cellStyle name="Normal 3 2 4 2" xfId="6643" xr:uid="{00000000-0005-0000-0000-000040520000}"/>
    <cellStyle name="Normal 3 2 4 2 2" xfId="6644" xr:uid="{00000000-0005-0000-0000-000041520000}"/>
    <cellStyle name="Normal 3 2 4 2 2 2" xfId="36886" xr:uid="{00000000-0005-0000-0000-000042520000}"/>
    <cellStyle name="Normal 3 2 4 2 3" xfId="6645" xr:uid="{00000000-0005-0000-0000-000043520000}"/>
    <cellStyle name="Normal 3 2 4 2 3 2" xfId="36887" xr:uid="{00000000-0005-0000-0000-000044520000}"/>
    <cellStyle name="Normal 3 2 4 2 4" xfId="6646" xr:uid="{00000000-0005-0000-0000-000045520000}"/>
    <cellStyle name="Normal 3 2 4 2 4 2" xfId="36888" xr:uid="{00000000-0005-0000-0000-000046520000}"/>
    <cellStyle name="Normal 3 2 4 2 5" xfId="36889" xr:uid="{00000000-0005-0000-0000-000047520000}"/>
    <cellStyle name="Normal 3 2 4 2_01-04-2012" xfId="6647" xr:uid="{00000000-0005-0000-0000-000048520000}"/>
    <cellStyle name="Normal 3 2 4 3" xfId="6648" xr:uid="{00000000-0005-0000-0000-000049520000}"/>
    <cellStyle name="Normal 3 2 4 3 2" xfId="6649" xr:uid="{00000000-0005-0000-0000-00004A520000}"/>
    <cellStyle name="Normal 3 2 4 3 2 2" xfId="36890" xr:uid="{00000000-0005-0000-0000-00004B520000}"/>
    <cellStyle name="Normal 3 2 4 3 3" xfId="6650" xr:uid="{00000000-0005-0000-0000-00004C520000}"/>
    <cellStyle name="Normal 3 2 4 3 3 2" xfId="36891" xr:uid="{00000000-0005-0000-0000-00004D520000}"/>
    <cellStyle name="Normal 3 2 4 3 4" xfId="6651" xr:uid="{00000000-0005-0000-0000-00004E520000}"/>
    <cellStyle name="Normal 3 2 4 3 4 2" xfId="36892" xr:uid="{00000000-0005-0000-0000-00004F520000}"/>
    <cellStyle name="Normal 3 2 4 3 5" xfId="36893" xr:uid="{00000000-0005-0000-0000-000050520000}"/>
    <cellStyle name="Normal 3 2 4 3_01-04-2012" xfId="6652" xr:uid="{00000000-0005-0000-0000-000051520000}"/>
    <cellStyle name="Normal 3 2 4 4" xfId="6653" xr:uid="{00000000-0005-0000-0000-000052520000}"/>
    <cellStyle name="Normal 3 2 4 4 2" xfId="6654" xr:uid="{00000000-0005-0000-0000-000053520000}"/>
    <cellStyle name="Normal 3 2 4 4 2 2" xfId="36894" xr:uid="{00000000-0005-0000-0000-000054520000}"/>
    <cellStyle name="Normal 3 2 4 4 3" xfId="6655" xr:uid="{00000000-0005-0000-0000-000055520000}"/>
    <cellStyle name="Normal 3 2 4 4 3 2" xfId="36895" xr:uid="{00000000-0005-0000-0000-000056520000}"/>
    <cellStyle name="Normal 3 2 4 4 4" xfId="6656" xr:uid="{00000000-0005-0000-0000-000057520000}"/>
    <cellStyle name="Normal 3 2 4 4 4 2" xfId="36896" xr:uid="{00000000-0005-0000-0000-000058520000}"/>
    <cellStyle name="Normal 3 2 4 4 5" xfId="36897" xr:uid="{00000000-0005-0000-0000-000059520000}"/>
    <cellStyle name="Normal 3 2 4 4_01-04-2012" xfId="6657" xr:uid="{00000000-0005-0000-0000-00005A520000}"/>
    <cellStyle name="Normal 3 2 4 5" xfId="6658" xr:uid="{00000000-0005-0000-0000-00005B520000}"/>
    <cellStyle name="Normal 3 2 4 5 2" xfId="36898" xr:uid="{00000000-0005-0000-0000-00005C520000}"/>
    <cellStyle name="Normal 3 2 4 6" xfId="6659" xr:uid="{00000000-0005-0000-0000-00005D520000}"/>
    <cellStyle name="Normal 3 2 4 6 2" xfId="36899" xr:uid="{00000000-0005-0000-0000-00005E520000}"/>
    <cellStyle name="Normal 3 2 4 7" xfId="6660" xr:uid="{00000000-0005-0000-0000-00005F520000}"/>
    <cellStyle name="Normal 3 2 4 7 2" xfId="36900" xr:uid="{00000000-0005-0000-0000-000060520000}"/>
    <cellStyle name="Normal 3 2 4 8" xfId="36901" xr:uid="{00000000-0005-0000-0000-000061520000}"/>
    <cellStyle name="Normal 3 2 4_01-04-2012" xfId="6661" xr:uid="{00000000-0005-0000-0000-000062520000}"/>
    <cellStyle name="Normal 3 2 40" xfId="6662" xr:uid="{00000000-0005-0000-0000-000063520000}"/>
    <cellStyle name="Normal 3 2 41" xfId="6663" xr:uid="{00000000-0005-0000-0000-000064520000}"/>
    <cellStyle name="Normal 3 2 42" xfId="6664" xr:uid="{00000000-0005-0000-0000-000065520000}"/>
    <cellStyle name="Normal 3 2 43" xfId="6665" xr:uid="{00000000-0005-0000-0000-000066520000}"/>
    <cellStyle name="Normal 3 2 44" xfId="6666" xr:uid="{00000000-0005-0000-0000-000067520000}"/>
    <cellStyle name="Normal 3 2 45" xfId="6667" xr:uid="{00000000-0005-0000-0000-000068520000}"/>
    <cellStyle name="Normal 3 2 46" xfId="6668" xr:uid="{00000000-0005-0000-0000-000069520000}"/>
    <cellStyle name="Normal 3 2 47" xfId="6669" xr:uid="{00000000-0005-0000-0000-00006A520000}"/>
    <cellStyle name="Normal 3 2 48" xfId="6670" xr:uid="{00000000-0005-0000-0000-00006B520000}"/>
    <cellStyle name="Normal 3 2 49" xfId="6671" xr:uid="{00000000-0005-0000-0000-00006C520000}"/>
    <cellStyle name="Normal 3 2 5" xfId="6672" xr:uid="{00000000-0005-0000-0000-00006D520000}"/>
    <cellStyle name="Normal 3 2 5 2" xfId="6673" xr:uid="{00000000-0005-0000-0000-00006E520000}"/>
    <cellStyle name="Normal 3 2 5 2 2" xfId="36902" xr:uid="{00000000-0005-0000-0000-00006F520000}"/>
    <cellStyle name="Normal 3 2 5 3" xfId="6674" xr:uid="{00000000-0005-0000-0000-000070520000}"/>
    <cellStyle name="Normal 3 2 5 3 2" xfId="36903" xr:uid="{00000000-0005-0000-0000-000071520000}"/>
    <cellStyle name="Normal 3 2 5 4" xfId="6675" xr:uid="{00000000-0005-0000-0000-000072520000}"/>
    <cellStyle name="Normal 3 2 5 4 2" xfId="36904" xr:uid="{00000000-0005-0000-0000-000073520000}"/>
    <cellStyle name="Normal 3 2 5 5" xfId="36905" xr:uid="{00000000-0005-0000-0000-000074520000}"/>
    <cellStyle name="Normal 3 2 5_01-04-2012" xfId="6676" xr:uid="{00000000-0005-0000-0000-000075520000}"/>
    <cellStyle name="Normal 3 2 50" xfId="6677" xr:uid="{00000000-0005-0000-0000-000076520000}"/>
    <cellStyle name="Normal 3 2 51" xfId="6678" xr:uid="{00000000-0005-0000-0000-000077520000}"/>
    <cellStyle name="Normal 3 2 52" xfId="6679" xr:uid="{00000000-0005-0000-0000-000078520000}"/>
    <cellStyle name="Normal 3 2 53" xfId="6680" xr:uid="{00000000-0005-0000-0000-000079520000}"/>
    <cellStyle name="Normal 3 2 54" xfId="6681" xr:uid="{00000000-0005-0000-0000-00007A520000}"/>
    <cellStyle name="Normal 3 2 55" xfId="6682" xr:uid="{00000000-0005-0000-0000-00007B520000}"/>
    <cellStyle name="Normal 3 2 56" xfId="6683" xr:uid="{00000000-0005-0000-0000-00007C520000}"/>
    <cellStyle name="Normal 3 2 57" xfId="6684" xr:uid="{00000000-0005-0000-0000-00007D520000}"/>
    <cellStyle name="Normal 3 2 58" xfId="6685" xr:uid="{00000000-0005-0000-0000-00007E520000}"/>
    <cellStyle name="Normal 3 2 58 2" xfId="36906" xr:uid="{00000000-0005-0000-0000-00007F520000}"/>
    <cellStyle name="Normal 3 2 59" xfId="6686" xr:uid="{00000000-0005-0000-0000-000080520000}"/>
    <cellStyle name="Normal 3 2 59 2" xfId="36907" xr:uid="{00000000-0005-0000-0000-000081520000}"/>
    <cellStyle name="Normal 3 2 6" xfId="6687" xr:uid="{00000000-0005-0000-0000-000082520000}"/>
    <cellStyle name="Normal 3 2 6 2" xfId="6688" xr:uid="{00000000-0005-0000-0000-000083520000}"/>
    <cellStyle name="Normal 3 2 6 2 2" xfId="20210" xr:uid="{00000000-0005-0000-0000-000084520000}"/>
    <cellStyle name="Normal 3 2 6 2 2 2" xfId="36908" xr:uid="{00000000-0005-0000-0000-000085520000}"/>
    <cellStyle name="Normal 3 2 6 3" xfId="6689" xr:uid="{00000000-0005-0000-0000-000086520000}"/>
    <cellStyle name="Normal 3 2 6 3 2" xfId="36909" xr:uid="{00000000-0005-0000-0000-000087520000}"/>
    <cellStyle name="Normal 3 2 6 4" xfId="6690" xr:uid="{00000000-0005-0000-0000-000088520000}"/>
    <cellStyle name="Normal 3 2 6 4 2" xfId="36910" xr:uid="{00000000-0005-0000-0000-000089520000}"/>
    <cellStyle name="Normal 3 2 6 5" xfId="36911" xr:uid="{00000000-0005-0000-0000-00008A520000}"/>
    <cellStyle name="Normal 3 2 6_01-04-2012" xfId="6691" xr:uid="{00000000-0005-0000-0000-00008B520000}"/>
    <cellStyle name="Normal 3 2 60" xfId="6692" xr:uid="{00000000-0005-0000-0000-00008C520000}"/>
    <cellStyle name="Normal 3 2 60 2" xfId="36912" xr:uid="{00000000-0005-0000-0000-00008D520000}"/>
    <cellStyle name="Normal 3 2 61" xfId="6693" xr:uid="{00000000-0005-0000-0000-00008E520000}"/>
    <cellStyle name="Normal 3 2 61 2" xfId="36913" xr:uid="{00000000-0005-0000-0000-00008F520000}"/>
    <cellStyle name="Normal 3 2 62" xfId="6694" xr:uid="{00000000-0005-0000-0000-000090520000}"/>
    <cellStyle name="Normal 3 2 62 2" xfId="36914" xr:uid="{00000000-0005-0000-0000-000091520000}"/>
    <cellStyle name="Normal 3 2 63" xfId="6695" xr:uid="{00000000-0005-0000-0000-000092520000}"/>
    <cellStyle name="Normal 3 2 64" xfId="6567" xr:uid="{00000000-0005-0000-0000-000093520000}"/>
    <cellStyle name="Normal 3 2 7" xfId="6696" xr:uid="{00000000-0005-0000-0000-000094520000}"/>
    <cellStyle name="Normal 3 2 7 2" xfId="6697" xr:uid="{00000000-0005-0000-0000-000095520000}"/>
    <cellStyle name="Normal 3 2 7 2 2" xfId="36915" xr:uid="{00000000-0005-0000-0000-000096520000}"/>
    <cellStyle name="Normal 3 2 7 3" xfId="6698" xr:uid="{00000000-0005-0000-0000-000097520000}"/>
    <cellStyle name="Normal 3 2 7 3 2" xfId="36916" xr:uid="{00000000-0005-0000-0000-000098520000}"/>
    <cellStyle name="Normal 3 2 7 4" xfId="6699" xr:uid="{00000000-0005-0000-0000-000099520000}"/>
    <cellStyle name="Normal 3 2 7 4 2" xfId="36917" xr:uid="{00000000-0005-0000-0000-00009A520000}"/>
    <cellStyle name="Normal 3 2 7 5" xfId="36918" xr:uid="{00000000-0005-0000-0000-00009B520000}"/>
    <cellStyle name="Normal 3 2 7_01-04-2012" xfId="6700" xr:uid="{00000000-0005-0000-0000-00009C520000}"/>
    <cellStyle name="Normal 3 2 8" xfId="6701" xr:uid="{00000000-0005-0000-0000-00009D520000}"/>
    <cellStyle name="Normal 3 2 8 2" xfId="6702" xr:uid="{00000000-0005-0000-0000-00009E520000}"/>
    <cellStyle name="Normal 3 2 8 2 2" xfId="36919" xr:uid="{00000000-0005-0000-0000-00009F520000}"/>
    <cellStyle name="Normal 3 2 8 3" xfId="6703" xr:uid="{00000000-0005-0000-0000-0000A0520000}"/>
    <cellStyle name="Normal 3 2 8 3 2" xfId="36920" xr:uid="{00000000-0005-0000-0000-0000A1520000}"/>
    <cellStyle name="Normal 3 2 8 4" xfId="6704" xr:uid="{00000000-0005-0000-0000-0000A2520000}"/>
    <cellStyle name="Normal 3 2 8 4 2" xfId="36921" xr:uid="{00000000-0005-0000-0000-0000A3520000}"/>
    <cellStyle name="Normal 3 2 8 5" xfId="36922" xr:uid="{00000000-0005-0000-0000-0000A4520000}"/>
    <cellStyle name="Normal 3 2 8_01-04-2012" xfId="6705" xr:uid="{00000000-0005-0000-0000-0000A5520000}"/>
    <cellStyle name="Normal 3 2 9" xfId="6706" xr:uid="{00000000-0005-0000-0000-0000A6520000}"/>
    <cellStyle name="Normal 3 2_01-04-2012" xfId="6707" xr:uid="{00000000-0005-0000-0000-0000A7520000}"/>
    <cellStyle name="Normal 3 20" xfId="6708" xr:uid="{00000000-0005-0000-0000-0000A8520000}"/>
    <cellStyle name="Normal 3 21" xfId="6709" xr:uid="{00000000-0005-0000-0000-0000A9520000}"/>
    <cellStyle name="Normal 3 22" xfId="6710" xr:uid="{00000000-0005-0000-0000-0000AA520000}"/>
    <cellStyle name="Normal 3 23" xfId="6711" xr:uid="{00000000-0005-0000-0000-0000AB520000}"/>
    <cellStyle name="Normal 3 24" xfId="6712" xr:uid="{00000000-0005-0000-0000-0000AC520000}"/>
    <cellStyle name="Normal 3 25" xfId="6713" xr:uid="{00000000-0005-0000-0000-0000AD520000}"/>
    <cellStyle name="Normal 3 26" xfId="6714" xr:uid="{00000000-0005-0000-0000-0000AE520000}"/>
    <cellStyle name="Normal 3 27" xfId="6715" xr:uid="{00000000-0005-0000-0000-0000AF520000}"/>
    <cellStyle name="Normal 3 28" xfId="6716" xr:uid="{00000000-0005-0000-0000-0000B0520000}"/>
    <cellStyle name="Normal 3 29" xfId="6717" xr:uid="{00000000-0005-0000-0000-0000B1520000}"/>
    <cellStyle name="Normal 3 3" xfId="6718" xr:uid="{00000000-0005-0000-0000-0000B2520000}"/>
    <cellStyle name="Normal 3 3 10" xfId="6719" xr:uid="{00000000-0005-0000-0000-0000B3520000}"/>
    <cellStyle name="Normal 3 3 11" xfId="6720" xr:uid="{00000000-0005-0000-0000-0000B4520000}"/>
    <cellStyle name="Normal 3 3 12" xfId="6721" xr:uid="{00000000-0005-0000-0000-0000B5520000}"/>
    <cellStyle name="Normal 3 3 13" xfId="6722" xr:uid="{00000000-0005-0000-0000-0000B6520000}"/>
    <cellStyle name="Normal 3 3 14" xfId="6723" xr:uid="{00000000-0005-0000-0000-0000B7520000}"/>
    <cellStyle name="Normal 3 3 15" xfId="6724" xr:uid="{00000000-0005-0000-0000-0000B8520000}"/>
    <cellStyle name="Normal 3 3 16" xfId="6725" xr:uid="{00000000-0005-0000-0000-0000B9520000}"/>
    <cellStyle name="Normal 3 3 17" xfId="6726" xr:uid="{00000000-0005-0000-0000-0000BA520000}"/>
    <cellStyle name="Normal 3 3 18" xfId="6727" xr:uid="{00000000-0005-0000-0000-0000BB520000}"/>
    <cellStyle name="Normal 3 3 19" xfId="6728" xr:uid="{00000000-0005-0000-0000-0000BC520000}"/>
    <cellStyle name="Normal 3 3 2" xfId="6729" xr:uid="{00000000-0005-0000-0000-0000BD520000}"/>
    <cellStyle name="Normal 3 3 2 10" xfId="20211" xr:uid="{00000000-0005-0000-0000-0000BE520000}"/>
    <cellStyle name="Normal 3 3 2 2" xfId="6730" xr:uid="{00000000-0005-0000-0000-0000BF520000}"/>
    <cellStyle name="Normal 3 3 2 2 2" xfId="6731" xr:uid="{00000000-0005-0000-0000-0000C0520000}"/>
    <cellStyle name="Normal 3 3 2 2 2 2" xfId="36923" xr:uid="{00000000-0005-0000-0000-0000C1520000}"/>
    <cellStyle name="Normal 3 3 2 2 3" xfId="6732" xr:uid="{00000000-0005-0000-0000-0000C2520000}"/>
    <cellStyle name="Normal 3 3 2 2 3 2" xfId="36924" xr:uid="{00000000-0005-0000-0000-0000C3520000}"/>
    <cellStyle name="Normal 3 3 2 2 4" xfId="6733" xr:uid="{00000000-0005-0000-0000-0000C4520000}"/>
    <cellStyle name="Normal 3 3 2 2 4 2" xfId="36925" xr:uid="{00000000-0005-0000-0000-0000C5520000}"/>
    <cellStyle name="Normal 3 3 2 2 5" xfId="36926" xr:uid="{00000000-0005-0000-0000-0000C6520000}"/>
    <cellStyle name="Normal 3 3 2 2_01-04-2012" xfId="6734" xr:uid="{00000000-0005-0000-0000-0000C7520000}"/>
    <cellStyle name="Normal 3 3 2 3" xfId="6735" xr:uid="{00000000-0005-0000-0000-0000C8520000}"/>
    <cellStyle name="Normal 3 3 2 3 2" xfId="6736" xr:uid="{00000000-0005-0000-0000-0000C9520000}"/>
    <cellStyle name="Normal 3 3 2 3 2 2" xfId="36927" xr:uid="{00000000-0005-0000-0000-0000CA520000}"/>
    <cellStyle name="Normal 3 3 2 3 3" xfId="6737" xr:uid="{00000000-0005-0000-0000-0000CB520000}"/>
    <cellStyle name="Normal 3 3 2 3 3 2" xfId="36928" xr:uid="{00000000-0005-0000-0000-0000CC520000}"/>
    <cellStyle name="Normal 3 3 2 3 4" xfId="6738" xr:uid="{00000000-0005-0000-0000-0000CD520000}"/>
    <cellStyle name="Normal 3 3 2 3 4 2" xfId="36929" xr:uid="{00000000-0005-0000-0000-0000CE520000}"/>
    <cellStyle name="Normal 3 3 2 3 5" xfId="36930" xr:uid="{00000000-0005-0000-0000-0000CF520000}"/>
    <cellStyle name="Normal 3 3 2 3_01-04-2012" xfId="6739" xr:uid="{00000000-0005-0000-0000-0000D0520000}"/>
    <cellStyle name="Normal 3 3 2 4" xfId="6740" xr:uid="{00000000-0005-0000-0000-0000D1520000}"/>
    <cellStyle name="Normal 3 3 2 4 2" xfId="6741" xr:uid="{00000000-0005-0000-0000-0000D2520000}"/>
    <cellStyle name="Normal 3 3 2 4 2 2" xfId="36931" xr:uid="{00000000-0005-0000-0000-0000D3520000}"/>
    <cellStyle name="Normal 3 3 2 4 3" xfId="6742" xr:uid="{00000000-0005-0000-0000-0000D4520000}"/>
    <cellStyle name="Normal 3 3 2 4 3 2" xfId="36932" xr:uid="{00000000-0005-0000-0000-0000D5520000}"/>
    <cellStyle name="Normal 3 3 2 4 4" xfId="6743" xr:uid="{00000000-0005-0000-0000-0000D6520000}"/>
    <cellStyle name="Normal 3 3 2 4 4 2" xfId="36933" xr:uid="{00000000-0005-0000-0000-0000D7520000}"/>
    <cellStyle name="Normal 3 3 2 4 5" xfId="36934" xr:uid="{00000000-0005-0000-0000-0000D8520000}"/>
    <cellStyle name="Normal 3 3 2 4_01-04-2012" xfId="6744" xr:uid="{00000000-0005-0000-0000-0000D9520000}"/>
    <cellStyle name="Normal 3 3 2 5" xfId="6745" xr:uid="{00000000-0005-0000-0000-0000DA520000}"/>
    <cellStyle name="Normal 3 3 2 5 2" xfId="36935" xr:uid="{00000000-0005-0000-0000-0000DB520000}"/>
    <cellStyle name="Normal 3 3 2 6" xfId="6746" xr:uid="{00000000-0005-0000-0000-0000DC520000}"/>
    <cellStyle name="Normal 3 3 2 6 2" xfId="36936" xr:uid="{00000000-0005-0000-0000-0000DD520000}"/>
    <cellStyle name="Normal 3 3 2 7" xfId="6747" xr:uid="{00000000-0005-0000-0000-0000DE520000}"/>
    <cellStyle name="Normal 3 3 2 7 2" xfId="36937" xr:uid="{00000000-0005-0000-0000-0000DF520000}"/>
    <cellStyle name="Normal 3 3 2 8" xfId="20212" xr:uid="{00000000-0005-0000-0000-0000E0520000}"/>
    <cellStyle name="Normal 3 3 2 8 2" xfId="36938" xr:uid="{00000000-0005-0000-0000-0000E1520000}"/>
    <cellStyle name="Normal 3 3 2 9" xfId="20213" xr:uid="{00000000-0005-0000-0000-0000E2520000}"/>
    <cellStyle name="Normal 3 3 2_01-04-2012" xfId="6748" xr:uid="{00000000-0005-0000-0000-0000E3520000}"/>
    <cellStyle name="Normal 3 3 20" xfId="6749" xr:uid="{00000000-0005-0000-0000-0000E4520000}"/>
    <cellStyle name="Normal 3 3 21" xfId="6750" xr:uid="{00000000-0005-0000-0000-0000E5520000}"/>
    <cellStyle name="Normal 3 3 21 2" xfId="6751" xr:uid="{00000000-0005-0000-0000-0000E6520000}"/>
    <cellStyle name="Normal 3 3 21 2 2" xfId="36939" xr:uid="{00000000-0005-0000-0000-0000E7520000}"/>
    <cellStyle name="Normal 3 3 21 3" xfId="6752" xr:uid="{00000000-0005-0000-0000-0000E8520000}"/>
    <cellStyle name="Normal 3 3 21 3 2" xfId="36940" xr:uid="{00000000-0005-0000-0000-0000E9520000}"/>
    <cellStyle name="Normal 3 3 21 4" xfId="6753" xr:uid="{00000000-0005-0000-0000-0000EA520000}"/>
    <cellStyle name="Normal 3 3 21 4 2" xfId="36941" xr:uid="{00000000-0005-0000-0000-0000EB520000}"/>
    <cellStyle name="Normal 3 3 21 5" xfId="36942" xr:uid="{00000000-0005-0000-0000-0000EC520000}"/>
    <cellStyle name="Normal 3 3 21_01-04-2012" xfId="6754" xr:uid="{00000000-0005-0000-0000-0000ED520000}"/>
    <cellStyle name="Normal 3 3 22" xfId="6755" xr:uid="{00000000-0005-0000-0000-0000EE520000}"/>
    <cellStyle name="Normal 3 3 23" xfId="6756" xr:uid="{00000000-0005-0000-0000-0000EF520000}"/>
    <cellStyle name="Normal 3 3 24" xfId="6757" xr:uid="{00000000-0005-0000-0000-0000F0520000}"/>
    <cellStyle name="Normal 3 3 25" xfId="6758" xr:uid="{00000000-0005-0000-0000-0000F1520000}"/>
    <cellStyle name="Normal 3 3 26" xfId="6759" xr:uid="{00000000-0005-0000-0000-0000F2520000}"/>
    <cellStyle name="Normal 3 3 27" xfId="6760" xr:uid="{00000000-0005-0000-0000-0000F3520000}"/>
    <cellStyle name="Normal 3 3 28" xfId="6761" xr:uid="{00000000-0005-0000-0000-0000F4520000}"/>
    <cellStyle name="Normal 3 3 29" xfId="6762" xr:uid="{00000000-0005-0000-0000-0000F5520000}"/>
    <cellStyle name="Normal 3 3 3" xfId="6763" xr:uid="{00000000-0005-0000-0000-0000F6520000}"/>
    <cellStyle name="Normal 3 3 3 10" xfId="20214" xr:uid="{00000000-0005-0000-0000-0000F7520000}"/>
    <cellStyle name="Normal 3 3 3 2" xfId="6764" xr:uid="{00000000-0005-0000-0000-0000F8520000}"/>
    <cellStyle name="Normal 3 3 3 2 2" xfId="6765" xr:uid="{00000000-0005-0000-0000-0000F9520000}"/>
    <cellStyle name="Normal 3 3 3 2 2 2" xfId="36943" xr:uid="{00000000-0005-0000-0000-0000FA520000}"/>
    <cellStyle name="Normal 3 3 3 2 3" xfId="6766" xr:uid="{00000000-0005-0000-0000-0000FB520000}"/>
    <cellStyle name="Normal 3 3 3 2 3 2" xfId="36944" xr:uid="{00000000-0005-0000-0000-0000FC520000}"/>
    <cellStyle name="Normal 3 3 3 2 4" xfId="6767" xr:uid="{00000000-0005-0000-0000-0000FD520000}"/>
    <cellStyle name="Normal 3 3 3 2 4 2" xfId="36945" xr:uid="{00000000-0005-0000-0000-0000FE520000}"/>
    <cellStyle name="Normal 3 3 3 2 5" xfId="36946" xr:uid="{00000000-0005-0000-0000-0000FF520000}"/>
    <cellStyle name="Normal 3 3 3 2_01-04-2012" xfId="6768" xr:uid="{00000000-0005-0000-0000-000000530000}"/>
    <cellStyle name="Normal 3 3 3 3" xfId="6769" xr:uid="{00000000-0005-0000-0000-000001530000}"/>
    <cellStyle name="Normal 3 3 3 3 2" xfId="6770" xr:uid="{00000000-0005-0000-0000-000002530000}"/>
    <cellStyle name="Normal 3 3 3 3 2 2" xfId="36947" xr:uid="{00000000-0005-0000-0000-000003530000}"/>
    <cellStyle name="Normal 3 3 3 3 3" xfId="6771" xr:uid="{00000000-0005-0000-0000-000004530000}"/>
    <cellStyle name="Normal 3 3 3 3 3 2" xfId="36948" xr:uid="{00000000-0005-0000-0000-000005530000}"/>
    <cellStyle name="Normal 3 3 3 3 4" xfId="6772" xr:uid="{00000000-0005-0000-0000-000006530000}"/>
    <cellStyle name="Normal 3 3 3 3 4 2" xfId="36949" xr:uid="{00000000-0005-0000-0000-000007530000}"/>
    <cellStyle name="Normal 3 3 3 3 5" xfId="36950" xr:uid="{00000000-0005-0000-0000-000008530000}"/>
    <cellStyle name="Normal 3 3 3 3_01-04-2012" xfId="6773" xr:uid="{00000000-0005-0000-0000-000009530000}"/>
    <cellStyle name="Normal 3 3 3 4" xfId="6774" xr:uid="{00000000-0005-0000-0000-00000A530000}"/>
    <cellStyle name="Normal 3 3 3 4 2" xfId="6775" xr:uid="{00000000-0005-0000-0000-00000B530000}"/>
    <cellStyle name="Normal 3 3 3 4 2 2" xfId="36951" xr:uid="{00000000-0005-0000-0000-00000C530000}"/>
    <cellStyle name="Normal 3 3 3 4 3" xfId="6776" xr:uid="{00000000-0005-0000-0000-00000D530000}"/>
    <cellStyle name="Normal 3 3 3 4 3 2" xfId="36952" xr:uid="{00000000-0005-0000-0000-00000E530000}"/>
    <cellStyle name="Normal 3 3 3 4 4" xfId="6777" xr:uid="{00000000-0005-0000-0000-00000F530000}"/>
    <cellStyle name="Normal 3 3 3 4 4 2" xfId="36953" xr:uid="{00000000-0005-0000-0000-000010530000}"/>
    <cellStyle name="Normal 3 3 3 4 5" xfId="36954" xr:uid="{00000000-0005-0000-0000-000011530000}"/>
    <cellStyle name="Normal 3 3 3 4_01-04-2012" xfId="6778" xr:uid="{00000000-0005-0000-0000-000012530000}"/>
    <cellStyle name="Normal 3 3 3 5" xfId="6779" xr:uid="{00000000-0005-0000-0000-000013530000}"/>
    <cellStyle name="Normal 3 3 3 5 2" xfId="36955" xr:uid="{00000000-0005-0000-0000-000014530000}"/>
    <cellStyle name="Normal 3 3 3 6" xfId="6780" xr:uid="{00000000-0005-0000-0000-000015530000}"/>
    <cellStyle name="Normal 3 3 3 6 2" xfId="36956" xr:uid="{00000000-0005-0000-0000-000016530000}"/>
    <cellStyle name="Normal 3 3 3 7" xfId="6781" xr:uid="{00000000-0005-0000-0000-000017530000}"/>
    <cellStyle name="Normal 3 3 3 7 2" xfId="36957" xr:uid="{00000000-0005-0000-0000-000018530000}"/>
    <cellStyle name="Normal 3 3 3 8" xfId="20215" xr:uid="{00000000-0005-0000-0000-000019530000}"/>
    <cellStyle name="Normal 3 3 3 8 2" xfId="36958" xr:uid="{00000000-0005-0000-0000-00001A530000}"/>
    <cellStyle name="Normal 3 3 3 9" xfId="20216" xr:uid="{00000000-0005-0000-0000-00001B530000}"/>
    <cellStyle name="Normal 3 3 3_01-04-2012" xfId="6782" xr:uid="{00000000-0005-0000-0000-00001C530000}"/>
    <cellStyle name="Normal 3 3 30" xfId="6783" xr:uid="{00000000-0005-0000-0000-00001D530000}"/>
    <cellStyle name="Normal 3 3 31" xfId="6784" xr:uid="{00000000-0005-0000-0000-00001E530000}"/>
    <cellStyle name="Normal 3 3 32" xfId="6785" xr:uid="{00000000-0005-0000-0000-00001F530000}"/>
    <cellStyle name="Normal 3 3 33" xfId="6786" xr:uid="{00000000-0005-0000-0000-000020530000}"/>
    <cellStyle name="Normal 3 3 34" xfId="6787" xr:uid="{00000000-0005-0000-0000-000021530000}"/>
    <cellStyle name="Normal 3 3 35" xfId="6788" xr:uid="{00000000-0005-0000-0000-000022530000}"/>
    <cellStyle name="Normal 3 3 36" xfId="6789" xr:uid="{00000000-0005-0000-0000-000023530000}"/>
    <cellStyle name="Normal 3 3 37" xfId="6790" xr:uid="{00000000-0005-0000-0000-000024530000}"/>
    <cellStyle name="Normal 3 3 38" xfId="6791" xr:uid="{00000000-0005-0000-0000-000025530000}"/>
    <cellStyle name="Normal 3 3 39" xfId="6792" xr:uid="{00000000-0005-0000-0000-000026530000}"/>
    <cellStyle name="Normal 3 3 4" xfId="6793" xr:uid="{00000000-0005-0000-0000-000027530000}"/>
    <cellStyle name="Normal 3 3 4 10" xfId="20217" xr:uid="{00000000-0005-0000-0000-000028530000}"/>
    <cellStyle name="Normal 3 3 4 2" xfId="6794" xr:uid="{00000000-0005-0000-0000-000029530000}"/>
    <cellStyle name="Normal 3 3 4 2 2" xfId="6795" xr:uid="{00000000-0005-0000-0000-00002A530000}"/>
    <cellStyle name="Normal 3 3 4 2 2 2" xfId="36959" xr:uid="{00000000-0005-0000-0000-00002B530000}"/>
    <cellStyle name="Normal 3 3 4 2 3" xfId="6796" xr:uid="{00000000-0005-0000-0000-00002C530000}"/>
    <cellStyle name="Normal 3 3 4 2 3 2" xfId="36960" xr:uid="{00000000-0005-0000-0000-00002D530000}"/>
    <cellStyle name="Normal 3 3 4 2 4" xfId="6797" xr:uid="{00000000-0005-0000-0000-00002E530000}"/>
    <cellStyle name="Normal 3 3 4 2 4 2" xfId="36961" xr:uid="{00000000-0005-0000-0000-00002F530000}"/>
    <cellStyle name="Normal 3 3 4 2 5" xfId="36962" xr:uid="{00000000-0005-0000-0000-000030530000}"/>
    <cellStyle name="Normal 3 3 4 2_01-04-2012" xfId="6798" xr:uid="{00000000-0005-0000-0000-000031530000}"/>
    <cellStyle name="Normal 3 3 4 3" xfId="6799" xr:uid="{00000000-0005-0000-0000-000032530000}"/>
    <cellStyle name="Normal 3 3 4 3 2" xfId="6800" xr:uid="{00000000-0005-0000-0000-000033530000}"/>
    <cellStyle name="Normal 3 3 4 3 2 2" xfId="36963" xr:uid="{00000000-0005-0000-0000-000034530000}"/>
    <cellStyle name="Normal 3 3 4 3 3" xfId="6801" xr:uid="{00000000-0005-0000-0000-000035530000}"/>
    <cellStyle name="Normal 3 3 4 3 3 2" xfId="36964" xr:uid="{00000000-0005-0000-0000-000036530000}"/>
    <cellStyle name="Normal 3 3 4 3 4" xfId="6802" xr:uid="{00000000-0005-0000-0000-000037530000}"/>
    <cellStyle name="Normal 3 3 4 3 4 2" xfId="36965" xr:uid="{00000000-0005-0000-0000-000038530000}"/>
    <cellStyle name="Normal 3 3 4 3 5" xfId="36966" xr:uid="{00000000-0005-0000-0000-000039530000}"/>
    <cellStyle name="Normal 3 3 4 3_01-04-2012" xfId="6803" xr:uid="{00000000-0005-0000-0000-00003A530000}"/>
    <cellStyle name="Normal 3 3 4 4" xfId="6804" xr:uid="{00000000-0005-0000-0000-00003B530000}"/>
    <cellStyle name="Normal 3 3 4 4 2" xfId="6805" xr:uid="{00000000-0005-0000-0000-00003C530000}"/>
    <cellStyle name="Normal 3 3 4 4 2 2" xfId="36967" xr:uid="{00000000-0005-0000-0000-00003D530000}"/>
    <cellStyle name="Normal 3 3 4 4 3" xfId="6806" xr:uid="{00000000-0005-0000-0000-00003E530000}"/>
    <cellStyle name="Normal 3 3 4 4 3 2" xfId="36968" xr:uid="{00000000-0005-0000-0000-00003F530000}"/>
    <cellStyle name="Normal 3 3 4 4 4" xfId="6807" xr:uid="{00000000-0005-0000-0000-000040530000}"/>
    <cellStyle name="Normal 3 3 4 4 4 2" xfId="36969" xr:uid="{00000000-0005-0000-0000-000041530000}"/>
    <cellStyle name="Normal 3 3 4 4 5" xfId="36970" xr:uid="{00000000-0005-0000-0000-000042530000}"/>
    <cellStyle name="Normal 3 3 4 4_01-04-2012" xfId="6808" xr:uid="{00000000-0005-0000-0000-000043530000}"/>
    <cellStyle name="Normal 3 3 4 5" xfId="6809" xr:uid="{00000000-0005-0000-0000-000044530000}"/>
    <cellStyle name="Normal 3 3 4 5 2" xfId="36971" xr:uid="{00000000-0005-0000-0000-000045530000}"/>
    <cellStyle name="Normal 3 3 4 6" xfId="6810" xr:uid="{00000000-0005-0000-0000-000046530000}"/>
    <cellStyle name="Normal 3 3 4 6 2" xfId="36972" xr:uid="{00000000-0005-0000-0000-000047530000}"/>
    <cellStyle name="Normal 3 3 4 7" xfId="6811" xr:uid="{00000000-0005-0000-0000-000048530000}"/>
    <cellStyle name="Normal 3 3 4 7 2" xfId="36973" xr:uid="{00000000-0005-0000-0000-000049530000}"/>
    <cellStyle name="Normal 3 3 4 8" xfId="20218" xr:uid="{00000000-0005-0000-0000-00004A530000}"/>
    <cellStyle name="Normal 3 3 4 8 2" xfId="36974" xr:uid="{00000000-0005-0000-0000-00004B530000}"/>
    <cellStyle name="Normal 3 3 4 9" xfId="20219" xr:uid="{00000000-0005-0000-0000-00004C530000}"/>
    <cellStyle name="Normal 3 3 4_01-04-2012" xfId="6812" xr:uid="{00000000-0005-0000-0000-00004D530000}"/>
    <cellStyle name="Normal 3 3 40" xfId="6813" xr:uid="{00000000-0005-0000-0000-00004E530000}"/>
    <cellStyle name="Normal 3 3 41" xfId="6814" xr:uid="{00000000-0005-0000-0000-00004F530000}"/>
    <cellStyle name="Normal 3 3 42" xfId="6815" xr:uid="{00000000-0005-0000-0000-000050530000}"/>
    <cellStyle name="Normal 3 3 43" xfId="6816" xr:uid="{00000000-0005-0000-0000-000051530000}"/>
    <cellStyle name="Normal 3 3 44" xfId="6817" xr:uid="{00000000-0005-0000-0000-000052530000}"/>
    <cellStyle name="Normal 3 3 45" xfId="6818" xr:uid="{00000000-0005-0000-0000-000053530000}"/>
    <cellStyle name="Normal 3 3 46" xfId="6819" xr:uid="{00000000-0005-0000-0000-000054530000}"/>
    <cellStyle name="Normal 3 3 47" xfId="6820" xr:uid="{00000000-0005-0000-0000-000055530000}"/>
    <cellStyle name="Normal 3 3 48" xfId="6821" xr:uid="{00000000-0005-0000-0000-000056530000}"/>
    <cellStyle name="Normal 3 3 49" xfId="6822" xr:uid="{00000000-0005-0000-0000-000057530000}"/>
    <cellStyle name="Normal 3 3 5" xfId="6823" xr:uid="{00000000-0005-0000-0000-000058530000}"/>
    <cellStyle name="Normal 3 3 5 2" xfId="6824" xr:uid="{00000000-0005-0000-0000-000059530000}"/>
    <cellStyle name="Normal 3 3 5 2 2" xfId="36975" xr:uid="{00000000-0005-0000-0000-00005A530000}"/>
    <cellStyle name="Normal 3 3 5 3" xfId="6825" xr:uid="{00000000-0005-0000-0000-00005B530000}"/>
    <cellStyle name="Normal 3 3 5 3 2" xfId="36976" xr:uid="{00000000-0005-0000-0000-00005C530000}"/>
    <cellStyle name="Normal 3 3 5 4" xfId="6826" xr:uid="{00000000-0005-0000-0000-00005D530000}"/>
    <cellStyle name="Normal 3 3 5 4 2" xfId="36977" xr:uid="{00000000-0005-0000-0000-00005E530000}"/>
    <cellStyle name="Normal 3 3 5 5" xfId="36978" xr:uid="{00000000-0005-0000-0000-00005F530000}"/>
    <cellStyle name="Normal 3 3 5_01-04-2012" xfId="6827" xr:uid="{00000000-0005-0000-0000-000060530000}"/>
    <cellStyle name="Normal 3 3 50" xfId="6828" xr:uid="{00000000-0005-0000-0000-000061530000}"/>
    <cellStyle name="Normal 3 3 51" xfId="6829" xr:uid="{00000000-0005-0000-0000-000062530000}"/>
    <cellStyle name="Normal 3 3 52" xfId="6830" xr:uid="{00000000-0005-0000-0000-000063530000}"/>
    <cellStyle name="Normal 3 3 53" xfId="6831" xr:uid="{00000000-0005-0000-0000-000064530000}"/>
    <cellStyle name="Normal 3 3 54" xfId="6832" xr:uid="{00000000-0005-0000-0000-000065530000}"/>
    <cellStyle name="Normal 3 3 55" xfId="6833" xr:uid="{00000000-0005-0000-0000-000066530000}"/>
    <cellStyle name="Normal 3 3 56" xfId="6834" xr:uid="{00000000-0005-0000-0000-000067530000}"/>
    <cellStyle name="Normal 3 3 57" xfId="6835" xr:uid="{00000000-0005-0000-0000-000068530000}"/>
    <cellStyle name="Normal 3 3 58" xfId="6836" xr:uid="{00000000-0005-0000-0000-000069530000}"/>
    <cellStyle name="Normal 3 3 58 2" xfId="36979" xr:uid="{00000000-0005-0000-0000-00006A530000}"/>
    <cellStyle name="Normal 3 3 59" xfId="6837" xr:uid="{00000000-0005-0000-0000-00006B530000}"/>
    <cellStyle name="Normal 3 3 59 2" xfId="36980" xr:uid="{00000000-0005-0000-0000-00006C530000}"/>
    <cellStyle name="Normal 3 3 6" xfId="6838" xr:uid="{00000000-0005-0000-0000-00006D530000}"/>
    <cellStyle name="Normal 3 3 6 2" xfId="6839" xr:uid="{00000000-0005-0000-0000-00006E530000}"/>
    <cellStyle name="Normal 3 3 6 2 2" xfId="36981" xr:uid="{00000000-0005-0000-0000-00006F530000}"/>
    <cellStyle name="Normal 3 3 6 3" xfId="6840" xr:uid="{00000000-0005-0000-0000-000070530000}"/>
    <cellStyle name="Normal 3 3 6 3 2" xfId="36982" xr:uid="{00000000-0005-0000-0000-000071530000}"/>
    <cellStyle name="Normal 3 3 6 4" xfId="6841" xr:uid="{00000000-0005-0000-0000-000072530000}"/>
    <cellStyle name="Normal 3 3 6 4 2" xfId="36983" xr:uid="{00000000-0005-0000-0000-000073530000}"/>
    <cellStyle name="Normal 3 3 6 5" xfId="36984" xr:uid="{00000000-0005-0000-0000-000074530000}"/>
    <cellStyle name="Normal 3 3 6_01-04-2012" xfId="6842" xr:uid="{00000000-0005-0000-0000-000075530000}"/>
    <cellStyle name="Normal 3 3 60" xfId="6843" xr:uid="{00000000-0005-0000-0000-000076530000}"/>
    <cellStyle name="Normal 3 3 60 2" xfId="36985" xr:uid="{00000000-0005-0000-0000-000077530000}"/>
    <cellStyle name="Normal 3 3 61" xfId="6844" xr:uid="{00000000-0005-0000-0000-000078530000}"/>
    <cellStyle name="Normal 3 3 61 2" xfId="36986" xr:uid="{00000000-0005-0000-0000-000079530000}"/>
    <cellStyle name="Normal 3 3 62" xfId="20220" xr:uid="{00000000-0005-0000-0000-00007A530000}"/>
    <cellStyle name="Normal 3 3 62 2" xfId="36987" xr:uid="{00000000-0005-0000-0000-00007B530000}"/>
    <cellStyle name="Normal 3 3 63" xfId="20221" xr:uid="{00000000-0005-0000-0000-00007C530000}"/>
    <cellStyle name="Normal 3 3 64" xfId="20222" xr:uid="{00000000-0005-0000-0000-00007D530000}"/>
    <cellStyle name="Normal 3 3 7" xfId="6845" xr:uid="{00000000-0005-0000-0000-00007E530000}"/>
    <cellStyle name="Normal 3 3 7 2" xfId="6846" xr:uid="{00000000-0005-0000-0000-00007F530000}"/>
    <cellStyle name="Normal 3 3 7 2 2" xfId="36988" xr:uid="{00000000-0005-0000-0000-000080530000}"/>
    <cellStyle name="Normal 3 3 7 3" xfId="6847" xr:uid="{00000000-0005-0000-0000-000081530000}"/>
    <cellStyle name="Normal 3 3 7 3 2" xfId="36989" xr:uid="{00000000-0005-0000-0000-000082530000}"/>
    <cellStyle name="Normal 3 3 7 4" xfId="6848" xr:uid="{00000000-0005-0000-0000-000083530000}"/>
    <cellStyle name="Normal 3 3 7 4 2" xfId="36990" xr:uid="{00000000-0005-0000-0000-000084530000}"/>
    <cellStyle name="Normal 3 3 7 5" xfId="36991" xr:uid="{00000000-0005-0000-0000-000085530000}"/>
    <cellStyle name="Normal 3 3 7_01-04-2012" xfId="6849" xr:uid="{00000000-0005-0000-0000-000086530000}"/>
    <cellStyle name="Normal 3 3 8" xfId="6850" xr:uid="{00000000-0005-0000-0000-000087530000}"/>
    <cellStyle name="Normal 3 3 8 2" xfId="6851" xr:uid="{00000000-0005-0000-0000-000088530000}"/>
    <cellStyle name="Normal 3 3 8 2 2" xfId="36992" xr:uid="{00000000-0005-0000-0000-000089530000}"/>
    <cellStyle name="Normal 3 3 8 3" xfId="6852" xr:uid="{00000000-0005-0000-0000-00008A530000}"/>
    <cellStyle name="Normal 3 3 8 3 2" xfId="36993" xr:uid="{00000000-0005-0000-0000-00008B530000}"/>
    <cellStyle name="Normal 3 3 8 4" xfId="6853" xr:uid="{00000000-0005-0000-0000-00008C530000}"/>
    <cellStyle name="Normal 3 3 8 4 2" xfId="36994" xr:uid="{00000000-0005-0000-0000-00008D530000}"/>
    <cellStyle name="Normal 3 3 8 5" xfId="36995" xr:uid="{00000000-0005-0000-0000-00008E530000}"/>
    <cellStyle name="Normal 3 3 8_01-04-2012" xfId="6854" xr:uid="{00000000-0005-0000-0000-00008F530000}"/>
    <cellStyle name="Normal 3 3 9" xfId="6855" xr:uid="{00000000-0005-0000-0000-000090530000}"/>
    <cellStyle name="Normal 3 3_01-04-2012" xfId="6856" xr:uid="{00000000-0005-0000-0000-000091530000}"/>
    <cellStyle name="Normal 3 30" xfId="6857" xr:uid="{00000000-0005-0000-0000-000092530000}"/>
    <cellStyle name="Normal 3 31" xfId="6858" xr:uid="{00000000-0005-0000-0000-000093530000}"/>
    <cellStyle name="Normal 3 32" xfId="6859" xr:uid="{00000000-0005-0000-0000-000094530000}"/>
    <cellStyle name="Normal 3 32 2" xfId="6860" xr:uid="{00000000-0005-0000-0000-000095530000}"/>
    <cellStyle name="Normal 3 32 2 2" xfId="36996" xr:uid="{00000000-0005-0000-0000-000096530000}"/>
    <cellStyle name="Normal 3 32 3" xfId="6861" xr:uid="{00000000-0005-0000-0000-000097530000}"/>
    <cellStyle name="Normal 3 32 3 2" xfId="36997" xr:uid="{00000000-0005-0000-0000-000098530000}"/>
    <cellStyle name="Normal 3 32 4" xfId="6862" xr:uid="{00000000-0005-0000-0000-000099530000}"/>
    <cellStyle name="Normal 3 32 4 2" xfId="36998" xr:uid="{00000000-0005-0000-0000-00009A530000}"/>
    <cellStyle name="Normal 3 32 5" xfId="36999" xr:uid="{00000000-0005-0000-0000-00009B530000}"/>
    <cellStyle name="Normal 3 32_01-04-2012" xfId="6863" xr:uid="{00000000-0005-0000-0000-00009C530000}"/>
    <cellStyle name="Normal 3 33" xfId="6864" xr:uid="{00000000-0005-0000-0000-00009D530000}"/>
    <cellStyle name="Normal 3 34" xfId="6865" xr:uid="{00000000-0005-0000-0000-00009E530000}"/>
    <cellStyle name="Normal 3 35" xfId="6866" xr:uid="{00000000-0005-0000-0000-00009F530000}"/>
    <cellStyle name="Normal 3 36" xfId="6867" xr:uid="{00000000-0005-0000-0000-0000A0530000}"/>
    <cellStyle name="Normal 3 37" xfId="6868" xr:uid="{00000000-0005-0000-0000-0000A1530000}"/>
    <cellStyle name="Normal 3 38" xfId="6869" xr:uid="{00000000-0005-0000-0000-0000A2530000}"/>
    <cellStyle name="Normal 3 39" xfId="6870" xr:uid="{00000000-0005-0000-0000-0000A3530000}"/>
    <cellStyle name="Normal 3 4" xfId="6871" xr:uid="{00000000-0005-0000-0000-0000A4530000}"/>
    <cellStyle name="Normal 3 4 10" xfId="6872" xr:uid="{00000000-0005-0000-0000-0000A5530000}"/>
    <cellStyle name="Normal 3 4 10 2" xfId="37000" xr:uid="{00000000-0005-0000-0000-0000A6530000}"/>
    <cellStyle name="Normal 3 4 11" xfId="6873" xr:uid="{00000000-0005-0000-0000-0000A7530000}"/>
    <cellStyle name="Normal 3 4 11 2" xfId="37001" xr:uid="{00000000-0005-0000-0000-0000A8530000}"/>
    <cellStyle name="Normal 3 4 12" xfId="6874" xr:uid="{00000000-0005-0000-0000-0000A9530000}"/>
    <cellStyle name="Normal 3 4 12 2" xfId="37002" xr:uid="{00000000-0005-0000-0000-0000AA530000}"/>
    <cellStyle name="Normal 3 4 13" xfId="6875" xr:uid="{00000000-0005-0000-0000-0000AB530000}"/>
    <cellStyle name="Normal 3 4 13 2" xfId="37003" xr:uid="{00000000-0005-0000-0000-0000AC530000}"/>
    <cellStyle name="Normal 3 4 14" xfId="20223" xr:uid="{00000000-0005-0000-0000-0000AD530000}"/>
    <cellStyle name="Normal 3 4 14 2" xfId="37004" xr:uid="{00000000-0005-0000-0000-0000AE530000}"/>
    <cellStyle name="Normal 3 4 2" xfId="6876" xr:uid="{00000000-0005-0000-0000-0000AF530000}"/>
    <cellStyle name="Normal 3 4 2 10" xfId="20224" xr:uid="{00000000-0005-0000-0000-0000B0530000}"/>
    <cellStyle name="Normal 3 4 2 2" xfId="6877" xr:uid="{00000000-0005-0000-0000-0000B1530000}"/>
    <cellStyle name="Normal 3 4 2 2 2" xfId="6878" xr:uid="{00000000-0005-0000-0000-0000B2530000}"/>
    <cellStyle name="Normal 3 4 2 2 2 2" xfId="37005" xr:uid="{00000000-0005-0000-0000-0000B3530000}"/>
    <cellStyle name="Normal 3 4 2 2 3" xfId="6879" xr:uid="{00000000-0005-0000-0000-0000B4530000}"/>
    <cellStyle name="Normal 3 4 2 2 3 2" xfId="37006" xr:uid="{00000000-0005-0000-0000-0000B5530000}"/>
    <cellStyle name="Normal 3 4 2 2 4" xfId="6880" xr:uid="{00000000-0005-0000-0000-0000B6530000}"/>
    <cellStyle name="Normal 3 4 2 2 4 2" xfId="37007" xr:uid="{00000000-0005-0000-0000-0000B7530000}"/>
    <cellStyle name="Normal 3 4 2 2 5" xfId="37008" xr:uid="{00000000-0005-0000-0000-0000B8530000}"/>
    <cellStyle name="Normal 3 4 2 2_01-04-2012" xfId="6881" xr:uid="{00000000-0005-0000-0000-0000B9530000}"/>
    <cellStyle name="Normal 3 4 2 3" xfId="6882" xr:uid="{00000000-0005-0000-0000-0000BA530000}"/>
    <cellStyle name="Normal 3 4 2 3 2" xfId="6883" xr:uid="{00000000-0005-0000-0000-0000BB530000}"/>
    <cellStyle name="Normal 3 4 2 3 2 2" xfId="37009" xr:uid="{00000000-0005-0000-0000-0000BC530000}"/>
    <cellStyle name="Normal 3 4 2 3 3" xfId="6884" xr:uid="{00000000-0005-0000-0000-0000BD530000}"/>
    <cellStyle name="Normal 3 4 2 3 3 2" xfId="37010" xr:uid="{00000000-0005-0000-0000-0000BE530000}"/>
    <cellStyle name="Normal 3 4 2 3 4" xfId="6885" xr:uid="{00000000-0005-0000-0000-0000BF530000}"/>
    <cellStyle name="Normal 3 4 2 3 4 2" xfId="37011" xr:uid="{00000000-0005-0000-0000-0000C0530000}"/>
    <cellStyle name="Normal 3 4 2 3 5" xfId="37012" xr:uid="{00000000-0005-0000-0000-0000C1530000}"/>
    <cellStyle name="Normal 3 4 2 3_01-04-2012" xfId="6886" xr:uid="{00000000-0005-0000-0000-0000C2530000}"/>
    <cellStyle name="Normal 3 4 2 4" xfId="6887" xr:uid="{00000000-0005-0000-0000-0000C3530000}"/>
    <cellStyle name="Normal 3 4 2 4 2" xfId="6888" xr:uid="{00000000-0005-0000-0000-0000C4530000}"/>
    <cellStyle name="Normal 3 4 2 4 2 2" xfId="37013" xr:uid="{00000000-0005-0000-0000-0000C5530000}"/>
    <cellStyle name="Normal 3 4 2 4 3" xfId="6889" xr:uid="{00000000-0005-0000-0000-0000C6530000}"/>
    <cellStyle name="Normal 3 4 2 4 3 2" xfId="37014" xr:uid="{00000000-0005-0000-0000-0000C7530000}"/>
    <cellStyle name="Normal 3 4 2 4 4" xfId="6890" xr:uid="{00000000-0005-0000-0000-0000C8530000}"/>
    <cellStyle name="Normal 3 4 2 4 4 2" xfId="37015" xr:uid="{00000000-0005-0000-0000-0000C9530000}"/>
    <cellStyle name="Normal 3 4 2 4 5" xfId="37016" xr:uid="{00000000-0005-0000-0000-0000CA530000}"/>
    <cellStyle name="Normal 3 4 2 4_01-04-2012" xfId="6891" xr:uid="{00000000-0005-0000-0000-0000CB530000}"/>
    <cellStyle name="Normal 3 4 2 5" xfId="6892" xr:uid="{00000000-0005-0000-0000-0000CC530000}"/>
    <cellStyle name="Normal 3 4 2 5 2" xfId="37017" xr:uid="{00000000-0005-0000-0000-0000CD530000}"/>
    <cellStyle name="Normal 3 4 2 6" xfId="6893" xr:uid="{00000000-0005-0000-0000-0000CE530000}"/>
    <cellStyle name="Normal 3 4 2 6 2" xfId="37018" xr:uid="{00000000-0005-0000-0000-0000CF530000}"/>
    <cellStyle name="Normal 3 4 2 7" xfId="6894" xr:uid="{00000000-0005-0000-0000-0000D0530000}"/>
    <cellStyle name="Normal 3 4 2 7 2" xfId="37019" xr:uid="{00000000-0005-0000-0000-0000D1530000}"/>
    <cellStyle name="Normal 3 4 2 8" xfId="20225" xr:uid="{00000000-0005-0000-0000-0000D2530000}"/>
    <cellStyle name="Normal 3 4 2 8 2" xfId="37020" xr:uid="{00000000-0005-0000-0000-0000D3530000}"/>
    <cellStyle name="Normal 3 4 2 9" xfId="20226" xr:uid="{00000000-0005-0000-0000-0000D4530000}"/>
    <cellStyle name="Normal 3 4 2_01-04-2012" xfId="6895" xr:uid="{00000000-0005-0000-0000-0000D5530000}"/>
    <cellStyle name="Normal 3 4 3" xfId="6896" xr:uid="{00000000-0005-0000-0000-0000D6530000}"/>
    <cellStyle name="Normal 3 4 3 2" xfId="6897" xr:uid="{00000000-0005-0000-0000-0000D7530000}"/>
    <cellStyle name="Normal 3 4 3 2 2" xfId="6898" xr:uid="{00000000-0005-0000-0000-0000D8530000}"/>
    <cellStyle name="Normal 3 4 3 2 2 2" xfId="37021" xr:uid="{00000000-0005-0000-0000-0000D9530000}"/>
    <cellStyle name="Normal 3 4 3 2 3" xfId="6899" xr:uid="{00000000-0005-0000-0000-0000DA530000}"/>
    <cellStyle name="Normal 3 4 3 2 3 2" xfId="37022" xr:uid="{00000000-0005-0000-0000-0000DB530000}"/>
    <cellStyle name="Normal 3 4 3 2 4" xfId="6900" xr:uid="{00000000-0005-0000-0000-0000DC530000}"/>
    <cellStyle name="Normal 3 4 3 2 4 2" xfId="37023" xr:uid="{00000000-0005-0000-0000-0000DD530000}"/>
    <cellStyle name="Normal 3 4 3 2 5" xfId="37024" xr:uid="{00000000-0005-0000-0000-0000DE530000}"/>
    <cellStyle name="Normal 3 4 3 2_01-04-2012" xfId="6901" xr:uid="{00000000-0005-0000-0000-0000DF530000}"/>
    <cellStyle name="Normal 3 4 3 3" xfId="6902" xr:uid="{00000000-0005-0000-0000-0000E0530000}"/>
    <cellStyle name="Normal 3 4 3 3 2" xfId="6903" xr:uid="{00000000-0005-0000-0000-0000E1530000}"/>
    <cellStyle name="Normal 3 4 3 3 2 2" xfId="37025" xr:uid="{00000000-0005-0000-0000-0000E2530000}"/>
    <cellStyle name="Normal 3 4 3 3 3" xfId="6904" xr:uid="{00000000-0005-0000-0000-0000E3530000}"/>
    <cellStyle name="Normal 3 4 3 3 3 2" xfId="37026" xr:uid="{00000000-0005-0000-0000-0000E4530000}"/>
    <cellStyle name="Normal 3 4 3 3 4" xfId="6905" xr:uid="{00000000-0005-0000-0000-0000E5530000}"/>
    <cellStyle name="Normal 3 4 3 3 4 2" xfId="37027" xr:uid="{00000000-0005-0000-0000-0000E6530000}"/>
    <cellStyle name="Normal 3 4 3 3 5" xfId="37028" xr:uid="{00000000-0005-0000-0000-0000E7530000}"/>
    <cellStyle name="Normal 3 4 3 3_01-04-2012" xfId="6906" xr:uid="{00000000-0005-0000-0000-0000E8530000}"/>
    <cellStyle name="Normal 3 4 3 4" xfId="6907" xr:uid="{00000000-0005-0000-0000-0000E9530000}"/>
    <cellStyle name="Normal 3 4 3 4 2" xfId="6908" xr:uid="{00000000-0005-0000-0000-0000EA530000}"/>
    <cellStyle name="Normal 3 4 3 4 2 2" xfId="37029" xr:uid="{00000000-0005-0000-0000-0000EB530000}"/>
    <cellStyle name="Normal 3 4 3 4 3" xfId="6909" xr:uid="{00000000-0005-0000-0000-0000EC530000}"/>
    <cellStyle name="Normal 3 4 3 4 3 2" xfId="37030" xr:uid="{00000000-0005-0000-0000-0000ED530000}"/>
    <cellStyle name="Normal 3 4 3 4 4" xfId="6910" xr:uid="{00000000-0005-0000-0000-0000EE530000}"/>
    <cellStyle name="Normal 3 4 3 4 4 2" xfId="37031" xr:uid="{00000000-0005-0000-0000-0000EF530000}"/>
    <cellStyle name="Normal 3 4 3 4 5" xfId="37032" xr:uid="{00000000-0005-0000-0000-0000F0530000}"/>
    <cellStyle name="Normal 3 4 3 4_01-04-2012" xfId="6911" xr:uid="{00000000-0005-0000-0000-0000F1530000}"/>
    <cellStyle name="Normal 3 4 3 5" xfId="6912" xr:uid="{00000000-0005-0000-0000-0000F2530000}"/>
    <cellStyle name="Normal 3 4 3 5 2" xfId="37033" xr:uid="{00000000-0005-0000-0000-0000F3530000}"/>
    <cellStyle name="Normal 3 4 3 6" xfId="6913" xr:uid="{00000000-0005-0000-0000-0000F4530000}"/>
    <cellStyle name="Normal 3 4 3 6 2" xfId="37034" xr:uid="{00000000-0005-0000-0000-0000F5530000}"/>
    <cellStyle name="Normal 3 4 3 7" xfId="6914" xr:uid="{00000000-0005-0000-0000-0000F6530000}"/>
    <cellStyle name="Normal 3 4 3 7 2" xfId="37035" xr:uid="{00000000-0005-0000-0000-0000F7530000}"/>
    <cellStyle name="Normal 3 4 3 8" xfId="37036" xr:uid="{00000000-0005-0000-0000-0000F8530000}"/>
    <cellStyle name="Normal 3 4 3_01-04-2012" xfId="6915" xr:uid="{00000000-0005-0000-0000-0000F9530000}"/>
    <cellStyle name="Normal 3 4 4" xfId="6916" xr:uid="{00000000-0005-0000-0000-0000FA530000}"/>
    <cellStyle name="Normal 3 4 4 2" xfId="6917" xr:uid="{00000000-0005-0000-0000-0000FB530000}"/>
    <cellStyle name="Normal 3 4 4 2 2" xfId="6918" xr:uid="{00000000-0005-0000-0000-0000FC530000}"/>
    <cellStyle name="Normal 3 4 4 2 2 2" xfId="37037" xr:uid="{00000000-0005-0000-0000-0000FD530000}"/>
    <cellStyle name="Normal 3 4 4 2 3" xfId="6919" xr:uid="{00000000-0005-0000-0000-0000FE530000}"/>
    <cellStyle name="Normal 3 4 4 2 3 2" xfId="37038" xr:uid="{00000000-0005-0000-0000-0000FF530000}"/>
    <cellStyle name="Normal 3 4 4 2 4" xfId="6920" xr:uid="{00000000-0005-0000-0000-000000540000}"/>
    <cellStyle name="Normal 3 4 4 2 4 2" xfId="37039" xr:uid="{00000000-0005-0000-0000-000001540000}"/>
    <cellStyle name="Normal 3 4 4 2 5" xfId="37040" xr:uid="{00000000-0005-0000-0000-000002540000}"/>
    <cellStyle name="Normal 3 4 4 2_01-04-2012" xfId="6921" xr:uid="{00000000-0005-0000-0000-000003540000}"/>
    <cellStyle name="Normal 3 4 4 3" xfId="6922" xr:uid="{00000000-0005-0000-0000-000004540000}"/>
    <cellStyle name="Normal 3 4 4 3 2" xfId="6923" xr:uid="{00000000-0005-0000-0000-000005540000}"/>
    <cellStyle name="Normal 3 4 4 3 2 2" xfId="37041" xr:uid="{00000000-0005-0000-0000-000006540000}"/>
    <cellStyle name="Normal 3 4 4 3 3" xfId="6924" xr:uid="{00000000-0005-0000-0000-000007540000}"/>
    <cellStyle name="Normal 3 4 4 3 3 2" xfId="37042" xr:uid="{00000000-0005-0000-0000-000008540000}"/>
    <cellStyle name="Normal 3 4 4 3 4" xfId="6925" xr:uid="{00000000-0005-0000-0000-000009540000}"/>
    <cellStyle name="Normal 3 4 4 3 4 2" xfId="37043" xr:uid="{00000000-0005-0000-0000-00000A540000}"/>
    <cellStyle name="Normal 3 4 4 3 5" xfId="37044" xr:uid="{00000000-0005-0000-0000-00000B540000}"/>
    <cellStyle name="Normal 3 4 4 3_01-04-2012" xfId="6926" xr:uid="{00000000-0005-0000-0000-00000C540000}"/>
    <cellStyle name="Normal 3 4 4 4" xfId="6927" xr:uid="{00000000-0005-0000-0000-00000D540000}"/>
    <cellStyle name="Normal 3 4 4 4 2" xfId="6928" xr:uid="{00000000-0005-0000-0000-00000E540000}"/>
    <cellStyle name="Normal 3 4 4 4 2 2" xfId="37045" xr:uid="{00000000-0005-0000-0000-00000F540000}"/>
    <cellStyle name="Normal 3 4 4 4 3" xfId="6929" xr:uid="{00000000-0005-0000-0000-000010540000}"/>
    <cellStyle name="Normal 3 4 4 4 3 2" xfId="37046" xr:uid="{00000000-0005-0000-0000-000011540000}"/>
    <cellStyle name="Normal 3 4 4 4 4" xfId="6930" xr:uid="{00000000-0005-0000-0000-000012540000}"/>
    <cellStyle name="Normal 3 4 4 4 4 2" xfId="37047" xr:uid="{00000000-0005-0000-0000-000013540000}"/>
    <cellStyle name="Normal 3 4 4 4 5" xfId="37048" xr:uid="{00000000-0005-0000-0000-000014540000}"/>
    <cellStyle name="Normal 3 4 4 4_01-04-2012" xfId="6931" xr:uid="{00000000-0005-0000-0000-000015540000}"/>
    <cellStyle name="Normal 3 4 4 5" xfId="6932" xr:uid="{00000000-0005-0000-0000-000016540000}"/>
    <cellStyle name="Normal 3 4 4 5 2" xfId="37049" xr:uid="{00000000-0005-0000-0000-000017540000}"/>
    <cellStyle name="Normal 3 4 4 6" xfId="6933" xr:uid="{00000000-0005-0000-0000-000018540000}"/>
    <cellStyle name="Normal 3 4 4 6 2" xfId="37050" xr:uid="{00000000-0005-0000-0000-000019540000}"/>
    <cellStyle name="Normal 3 4 4 7" xfId="6934" xr:uid="{00000000-0005-0000-0000-00001A540000}"/>
    <cellStyle name="Normal 3 4 4 7 2" xfId="37051" xr:uid="{00000000-0005-0000-0000-00001B540000}"/>
    <cellStyle name="Normal 3 4 4 8" xfId="37052" xr:uid="{00000000-0005-0000-0000-00001C540000}"/>
    <cellStyle name="Normal 3 4 4_01-04-2012" xfId="6935" xr:uid="{00000000-0005-0000-0000-00001D540000}"/>
    <cellStyle name="Normal 3 4 5" xfId="6936" xr:uid="{00000000-0005-0000-0000-00001E540000}"/>
    <cellStyle name="Normal 3 4 5 2" xfId="6937" xr:uid="{00000000-0005-0000-0000-00001F540000}"/>
    <cellStyle name="Normal 3 4 5 2 2" xfId="37053" xr:uid="{00000000-0005-0000-0000-000020540000}"/>
    <cellStyle name="Normal 3 4 5 3" xfId="6938" xr:uid="{00000000-0005-0000-0000-000021540000}"/>
    <cellStyle name="Normal 3 4 5 3 2" xfId="37054" xr:uid="{00000000-0005-0000-0000-000022540000}"/>
    <cellStyle name="Normal 3 4 5 4" xfId="6939" xr:uid="{00000000-0005-0000-0000-000023540000}"/>
    <cellStyle name="Normal 3 4 5 4 2" xfId="37055" xr:uid="{00000000-0005-0000-0000-000024540000}"/>
    <cellStyle name="Normal 3 4 5 5" xfId="37056" xr:uid="{00000000-0005-0000-0000-000025540000}"/>
    <cellStyle name="Normal 3 4 5_01-04-2012" xfId="6940" xr:uid="{00000000-0005-0000-0000-000026540000}"/>
    <cellStyle name="Normal 3 4 6" xfId="6941" xr:uid="{00000000-0005-0000-0000-000027540000}"/>
    <cellStyle name="Normal 3 4 6 2" xfId="6942" xr:uid="{00000000-0005-0000-0000-000028540000}"/>
    <cellStyle name="Normal 3 4 6 2 2" xfId="37057" xr:uid="{00000000-0005-0000-0000-000029540000}"/>
    <cellStyle name="Normal 3 4 6 3" xfId="6943" xr:uid="{00000000-0005-0000-0000-00002A540000}"/>
    <cellStyle name="Normal 3 4 6 3 2" xfId="37058" xr:uid="{00000000-0005-0000-0000-00002B540000}"/>
    <cellStyle name="Normal 3 4 6 4" xfId="6944" xr:uid="{00000000-0005-0000-0000-00002C540000}"/>
    <cellStyle name="Normal 3 4 6 4 2" xfId="37059" xr:uid="{00000000-0005-0000-0000-00002D540000}"/>
    <cellStyle name="Normal 3 4 6 5" xfId="37060" xr:uid="{00000000-0005-0000-0000-00002E540000}"/>
    <cellStyle name="Normal 3 4 6_01-04-2012" xfId="6945" xr:uid="{00000000-0005-0000-0000-00002F540000}"/>
    <cellStyle name="Normal 3 4 7" xfId="6946" xr:uid="{00000000-0005-0000-0000-000030540000}"/>
    <cellStyle name="Normal 3 4 7 2" xfId="6947" xr:uid="{00000000-0005-0000-0000-000031540000}"/>
    <cellStyle name="Normal 3 4 7 2 2" xfId="37061" xr:uid="{00000000-0005-0000-0000-000032540000}"/>
    <cellStyle name="Normal 3 4 7 3" xfId="6948" xr:uid="{00000000-0005-0000-0000-000033540000}"/>
    <cellStyle name="Normal 3 4 7 3 2" xfId="37062" xr:uid="{00000000-0005-0000-0000-000034540000}"/>
    <cellStyle name="Normal 3 4 7 4" xfId="6949" xr:uid="{00000000-0005-0000-0000-000035540000}"/>
    <cellStyle name="Normal 3 4 7 4 2" xfId="37063" xr:uid="{00000000-0005-0000-0000-000036540000}"/>
    <cellStyle name="Normal 3 4 7 5" xfId="37064" xr:uid="{00000000-0005-0000-0000-000037540000}"/>
    <cellStyle name="Normal 3 4 7_01-04-2012" xfId="6950" xr:uid="{00000000-0005-0000-0000-000038540000}"/>
    <cellStyle name="Normal 3 4 8" xfId="6951" xr:uid="{00000000-0005-0000-0000-000039540000}"/>
    <cellStyle name="Normal 3 4 8 2" xfId="6952" xr:uid="{00000000-0005-0000-0000-00003A540000}"/>
    <cellStyle name="Normal 3 4 8 2 2" xfId="37065" xr:uid="{00000000-0005-0000-0000-00003B540000}"/>
    <cellStyle name="Normal 3 4 8 3" xfId="6953" xr:uid="{00000000-0005-0000-0000-00003C540000}"/>
    <cellStyle name="Normal 3 4 8 3 2" xfId="37066" xr:uid="{00000000-0005-0000-0000-00003D540000}"/>
    <cellStyle name="Normal 3 4 8 4" xfId="6954" xr:uid="{00000000-0005-0000-0000-00003E540000}"/>
    <cellStyle name="Normal 3 4 8 4 2" xfId="37067" xr:uid="{00000000-0005-0000-0000-00003F540000}"/>
    <cellStyle name="Normal 3 4 8 5" xfId="37068" xr:uid="{00000000-0005-0000-0000-000040540000}"/>
    <cellStyle name="Normal 3 4 8_01-04-2012" xfId="6955" xr:uid="{00000000-0005-0000-0000-000041540000}"/>
    <cellStyle name="Normal 3 4 9" xfId="6956" xr:uid="{00000000-0005-0000-0000-000042540000}"/>
    <cellStyle name="Normal 3 4 9 2" xfId="6957" xr:uid="{00000000-0005-0000-0000-000043540000}"/>
    <cellStyle name="Normal 3 4 9 2 2" xfId="37069" xr:uid="{00000000-0005-0000-0000-000044540000}"/>
    <cellStyle name="Normal 3 4 9 3" xfId="6958" xr:uid="{00000000-0005-0000-0000-000045540000}"/>
    <cellStyle name="Normal 3 4 9 3 2" xfId="37070" xr:uid="{00000000-0005-0000-0000-000046540000}"/>
    <cellStyle name="Normal 3 4 9 4" xfId="6959" xr:uid="{00000000-0005-0000-0000-000047540000}"/>
    <cellStyle name="Normal 3 4 9 4 2" xfId="37071" xr:uid="{00000000-0005-0000-0000-000048540000}"/>
    <cellStyle name="Normal 3 4 9 5" xfId="37072" xr:uid="{00000000-0005-0000-0000-000049540000}"/>
    <cellStyle name="Normal 3 4 9_01-04-2012" xfId="6960" xr:uid="{00000000-0005-0000-0000-00004A540000}"/>
    <cellStyle name="Normal 3 4_01-04-2012" xfId="6961" xr:uid="{00000000-0005-0000-0000-00004B540000}"/>
    <cellStyle name="Normal 3 40" xfId="6962" xr:uid="{00000000-0005-0000-0000-00004C540000}"/>
    <cellStyle name="Normal 3 41" xfId="6963" xr:uid="{00000000-0005-0000-0000-00004D540000}"/>
    <cellStyle name="Normal 3 42" xfId="6964" xr:uid="{00000000-0005-0000-0000-00004E540000}"/>
    <cellStyle name="Normal 3 43" xfId="6965" xr:uid="{00000000-0005-0000-0000-00004F540000}"/>
    <cellStyle name="Normal 3 44" xfId="6966" xr:uid="{00000000-0005-0000-0000-000050540000}"/>
    <cellStyle name="Normal 3 45" xfId="6967" xr:uid="{00000000-0005-0000-0000-000051540000}"/>
    <cellStyle name="Normal 3 46" xfId="6968" xr:uid="{00000000-0005-0000-0000-000052540000}"/>
    <cellStyle name="Normal 3 47" xfId="6969" xr:uid="{00000000-0005-0000-0000-000053540000}"/>
    <cellStyle name="Normal 3 48" xfId="6970" xr:uid="{00000000-0005-0000-0000-000054540000}"/>
    <cellStyle name="Normal 3 49" xfId="6971" xr:uid="{00000000-0005-0000-0000-000055540000}"/>
    <cellStyle name="Normal 3 5" xfId="6972" xr:uid="{00000000-0005-0000-0000-000056540000}"/>
    <cellStyle name="Normal 3 5 10" xfId="6973" xr:uid="{00000000-0005-0000-0000-000057540000}"/>
    <cellStyle name="Normal 3 5 10 2" xfId="37073" xr:uid="{00000000-0005-0000-0000-000058540000}"/>
    <cellStyle name="Normal 3 5 11" xfId="6974" xr:uid="{00000000-0005-0000-0000-000059540000}"/>
    <cellStyle name="Normal 3 5 11 2" xfId="37074" xr:uid="{00000000-0005-0000-0000-00005A540000}"/>
    <cellStyle name="Normal 3 5 12" xfId="6975" xr:uid="{00000000-0005-0000-0000-00005B540000}"/>
    <cellStyle name="Normal 3 5 12 2" xfId="37075" xr:uid="{00000000-0005-0000-0000-00005C540000}"/>
    <cellStyle name="Normal 3 5 13" xfId="6976" xr:uid="{00000000-0005-0000-0000-00005D540000}"/>
    <cellStyle name="Normal 3 5 13 2" xfId="37076" xr:uid="{00000000-0005-0000-0000-00005E540000}"/>
    <cellStyle name="Normal 3 5 14" xfId="20227" xr:uid="{00000000-0005-0000-0000-00005F540000}"/>
    <cellStyle name="Normal 3 5 14 2" xfId="37077" xr:uid="{00000000-0005-0000-0000-000060540000}"/>
    <cellStyle name="Normal 3 5 2" xfId="6977" xr:uid="{00000000-0005-0000-0000-000061540000}"/>
    <cellStyle name="Normal 3 5 2 2" xfId="6978" xr:uid="{00000000-0005-0000-0000-000062540000}"/>
    <cellStyle name="Normal 3 5 2 2 2" xfId="6979" xr:uid="{00000000-0005-0000-0000-000063540000}"/>
    <cellStyle name="Normal 3 5 2 2 2 2" xfId="37078" xr:uid="{00000000-0005-0000-0000-000064540000}"/>
    <cellStyle name="Normal 3 5 2 2 3" xfId="6980" xr:uid="{00000000-0005-0000-0000-000065540000}"/>
    <cellStyle name="Normal 3 5 2 2 3 2" xfId="37079" xr:uid="{00000000-0005-0000-0000-000066540000}"/>
    <cellStyle name="Normal 3 5 2 2 4" xfId="6981" xr:uid="{00000000-0005-0000-0000-000067540000}"/>
    <cellStyle name="Normal 3 5 2 2 4 2" xfId="37080" xr:uid="{00000000-0005-0000-0000-000068540000}"/>
    <cellStyle name="Normal 3 5 2 2 5" xfId="37081" xr:uid="{00000000-0005-0000-0000-000069540000}"/>
    <cellStyle name="Normal 3 5 2 2_01-04-2012" xfId="6982" xr:uid="{00000000-0005-0000-0000-00006A540000}"/>
    <cellStyle name="Normal 3 5 2 3" xfId="6983" xr:uid="{00000000-0005-0000-0000-00006B540000}"/>
    <cellStyle name="Normal 3 5 2 3 2" xfId="6984" xr:uid="{00000000-0005-0000-0000-00006C540000}"/>
    <cellStyle name="Normal 3 5 2 3 2 2" xfId="37082" xr:uid="{00000000-0005-0000-0000-00006D540000}"/>
    <cellStyle name="Normal 3 5 2 3 3" xfId="6985" xr:uid="{00000000-0005-0000-0000-00006E540000}"/>
    <cellStyle name="Normal 3 5 2 3 3 2" xfId="37083" xr:uid="{00000000-0005-0000-0000-00006F540000}"/>
    <cellStyle name="Normal 3 5 2 3 4" xfId="6986" xr:uid="{00000000-0005-0000-0000-000070540000}"/>
    <cellStyle name="Normal 3 5 2 3 4 2" xfId="37084" xr:uid="{00000000-0005-0000-0000-000071540000}"/>
    <cellStyle name="Normal 3 5 2 3 5" xfId="37085" xr:uid="{00000000-0005-0000-0000-000072540000}"/>
    <cellStyle name="Normal 3 5 2 3_01-04-2012" xfId="6987" xr:uid="{00000000-0005-0000-0000-000073540000}"/>
    <cellStyle name="Normal 3 5 2 4" xfId="6988" xr:uid="{00000000-0005-0000-0000-000074540000}"/>
    <cellStyle name="Normal 3 5 2 4 2" xfId="6989" xr:uid="{00000000-0005-0000-0000-000075540000}"/>
    <cellStyle name="Normal 3 5 2 4 2 2" xfId="37086" xr:uid="{00000000-0005-0000-0000-000076540000}"/>
    <cellStyle name="Normal 3 5 2 4 3" xfId="6990" xr:uid="{00000000-0005-0000-0000-000077540000}"/>
    <cellStyle name="Normal 3 5 2 4 3 2" xfId="37087" xr:uid="{00000000-0005-0000-0000-000078540000}"/>
    <cellStyle name="Normal 3 5 2 4 4" xfId="6991" xr:uid="{00000000-0005-0000-0000-000079540000}"/>
    <cellStyle name="Normal 3 5 2 4 4 2" xfId="37088" xr:uid="{00000000-0005-0000-0000-00007A540000}"/>
    <cellStyle name="Normal 3 5 2 4 5" xfId="37089" xr:uid="{00000000-0005-0000-0000-00007B540000}"/>
    <cellStyle name="Normal 3 5 2 4_01-04-2012" xfId="6992" xr:uid="{00000000-0005-0000-0000-00007C540000}"/>
    <cellStyle name="Normal 3 5 2 5" xfId="6993" xr:uid="{00000000-0005-0000-0000-00007D540000}"/>
    <cellStyle name="Normal 3 5 2 5 2" xfId="37090" xr:uid="{00000000-0005-0000-0000-00007E540000}"/>
    <cellStyle name="Normal 3 5 2 6" xfId="6994" xr:uid="{00000000-0005-0000-0000-00007F540000}"/>
    <cellStyle name="Normal 3 5 2 6 2" xfId="37091" xr:uid="{00000000-0005-0000-0000-000080540000}"/>
    <cellStyle name="Normal 3 5 2 7" xfId="6995" xr:uid="{00000000-0005-0000-0000-000081540000}"/>
    <cellStyle name="Normal 3 5 2 7 2" xfId="37092" xr:uid="{00000000-0005-0000-0000-000082540000}"/>
    <cellStyle name="Normal 3 5 2 8" xfId="33647" xr:uid="{00000000-0005-0000-0000-000083540000}"/>
    <cellStyle name="Normal 3 5 2 8 2" xfId="37093" xr:uid="{00000000-0005-0000-0000-000084540000}"/>
    <cellStyle name="Normal 3 5 2_01-04-2012" xfId="6996" xr:uid="{00000000-0005-0000-0000-000085540000}"/>
    <cellStyle name="Normal 3 5 3" xfId="6997" xr:uid="{00000000-0005-0000-0000-000086540000}"/>
    <cellStyle name="Normal 3 5 3 2" xfId="6998" xr:uid="{00000000-0005-0000-0000-000087540000}"/>
    <cellStyle name="Normal 3 5 3 2 2" xfId="6999" xr:uid="{00000000-0005-0000-0000-000088540000}"/>
    <cellStyle name="Normal 3 5 3 2 2 2" xfId="37094" xr:uid="{00000000-0005-0000-0000-000089540000}"/>
    <cellStyle name="Normal 3 5 3 2 3" xfId="7000" xr:uid="{00000000-0005-0000-0000-00008A540000}"/>
    <cellStyle name="Normal 3 5 3 2 3 2" xfId="37095" xr:uid="{00000000-0005-0000-0000-00008B540000}"/>
    <cellStyle name="Normal 3 5 3 2 4" xfId="7001" xr:uid="{00000000-0005-0000-0000-00008C540000}"/>
    <cellStyle name="Normal 3 5 3 2 4 2" xfId="37096" xr:uid="{00000000-0005-0000-0000-00008D540000}"/>
    <cellStyle name="Normal 3 5 3 2 5" xfId="37097" xr:uid="{00000000-0005-0000-0000-00008E540000}"/>
    <cellStyle name="Normal 3 5 3 2_01-04-2012" xfId="7002" xr:uid="{00000000-0005-0000-0000-00008F540000}"/>
    <cellStyle name="Normal 3 5 3 3" xfId="7003" xr:uid="{00000000-0005-0000-0000-000090540000}"/>
    <cellStyle name="Normal 3 5 3 3 2" xfId="7004" xr:uid="{00000000-0005-0000-0000-000091540000}"/>
    <cellStyle name="Normal 3 5 3 3 2 2" xfId="37098" xr:uid="{00000000-0005-0000-0000-000092540000}"/>
    <cellStyle name="Normal 3 5 3 3 3" xfId="7005" xr:uid="{00000000-0005-0000-0000-000093540000}"/>
    <cellStyle name="Normal 3 5 3 3 3 2" xfId="37099" xr:uid="{00000000-0005-0000-0000-000094540000}"/>
    <cellStyle name="Normal 3 5 3 3 4" xfId="7006" xr:uid="{00000000-0005-0000-0000-000095540000}"/>
    <cellStyle name="Normal 3 5 3 3 4 2" xfId="37100" xr:uid="{00000000-0005-0000-0000-000096540000}"/>
    <cellStyle name="Normal 3 5 3 3 5" xfId="37101" xr:uid="{00000000-0005-0000-0000-000097540000}"/>
    <cellStyle name="Normal 3 5 3 3_01-04-2012" xfId="7007" xr:uid="{00000000-0005-0000-0000-000098540000}"/>
    <cellStyle name="Normal 3 5 3 4" xfId="7008" xr:uid="{00000000-0005-0000-0000-000099540000}"/>
    <cellStyle name="Normal 3 5 3 4 2" xfId="7009" xr:uid="{00000000-0005-0000-0000-00009A540000}"/>
    <cellStyle name="Normal 3 5 3 4 2 2" xfId="37102" xr:uid="{00000000-0005-0000-0000-00009B540000}"/>
    <cellStyle name="Normal 3 5 3 4 3" xfId="7010" xr:uid="{00000000-0005-0000-0000-00009C540000}"/>
    <cellStyle name="Normal 3 5 3 4 3 2" xfId="37103" xr:uid="{00000000-0005-0000-0000-00009D540000}"/>
    <cellStyle name="Normal 3 5 3 4 4" xfId="7011" xr:uid="{00000000-0005-0000-0000-00009E540000}"/>
    <cellStyle name="Normal 3 5 3 4 4 2" xfId="37104" xr:uid="{00000000-0005-0000-0000-00009F540000}"/>
    <cellStyle name="Normal 3 5 3 4 5" xfId="37105" xr:uid="{00000000-0005-0000-0000-0000A0540000}"/>
    <cellStyle name="Normal 3 5 3 4_01-04-2012" xfId="7012" xr:uid="{00000000-0005-0000-0000-0000A1540000}"/>
    <cellStyle name="Normal 3 5 3 5" xfId="7013" xr:uid="{00000000-0005-0000-0000-0000A2540000}"/>
    <cellStyle name="Normal 3 5 3 5 2" xfId="37106" xr:uid="{00000000-0005-0000-0000-0000A3540000}"/>
    <cellStyle name="Normal 3 5 3 6" xfId="7014" xr:uid="{00000000-0005-0000-0000-0000A4540000}"/>
    <cellStyle name="Normal 3 5 3 6 2" xfId="37107" xr:uid="{00000000-0005-0000-0000-0000A5540000}"/>
    <cellStyle name="Normal 3 5 3 7" xfId="7015" xr:uid="{00000000-0005-0000-0000-0000A6540000}"/>
    <cellStyle name="Normal 3 5 3 7 2" xfId="37108" xr:uid="{00000000-0005-0000-0000-0000A7540000}"/>
    <cellStyle name="Normal 3 5 3 8" xfId="37109" xr:uid="{00000000-0005-0000-0000-0000A8540000}"/>
    <cellStyle name="Normal 3 5 3_01-04-2012" xfId="7016" xr:uid="{00000000-0005-0000-0000-0000A9540000}"/>
    <cellStyle name="Normal 3 5 4" xfId="7017" xr:uid="{00000000-0005-0000-0000-0000AA540000}"/>
    <cellStyle name="Normal 3 5 4 2" xfId="7018" xr:uid="{00000000-0005-0000-0000-0000AB540000}"/>
    <cellStyle name="Normal 3 5 4 2 2" xfId="7019" xr:uid="{00000000-0005-0000-0000-0000AC540000}"/>
    <cellStyle name="Normal 3 5 4 2 2 2" xfId="37110" xr:uid="{00000000-0005-0000-0000-0000AD540000}"/>
    <cellStyle name="Normal 3 5 4 2 3" xfId="7020" xr:uid="{00000000-0005-0000-0000-0000AE540000}"/>
    <cellStyle name="Normal 3 5 4 2 3 2" xfId="37111" xr:uid="{00000000-0005-0000-0000-0000AF540000}"/>
    <cellStyle name="Normal 3 5 4 2 4" xfId="7021" xr:uid="{00000000-0005-0000-0000-0000B0540000}"/>
    <cellStyle name="Normal 3 5 4 2 4 2" xfId="37112" xr:uid="{00000000-0005-0000-0000-0000B1540000}"/>
    <cellStyle name="Normal 3 5 4 2 5" xfId="37113" xr:uid="{00000000-0005-0000-0000-0000B2540000}"/>
    <cellStyle name="Normal 3 5 4 2_01-04-2012" xfId="7022" xr:uid="{00000000-0005-0000-0000-0000B3540000}"/>
    <cellStyle name="Normal 3 5 4 3" xfId="7023" xr:uid="{00000000-0005-0000-0000-0000B4540000}"/>
    <cellStyle name="Normal 3 5 4 3 2" xfId="7024" xr:uid="{00000000-0005-0000-0000-0000B5540000}"/>
    <cellStyle name="Normal 3 5 4 3 2 2" xfId="37114" xr:uid="{00000000-0005-0000-0000-0000B6540000}"/>
    <cellStyle name="Normal 3 5 4 3 3" xfId="7025" xr:uid="{00000000-0005-0000-0000-0000B7540000}"/>
    <cellStyle name="Normal 3 5 4 3 3 2" xfId="37115" xr:uid="{00000000-0005-0000-0000-0000B8540000}"/>
    <cellStyle name="Normal 3 5 4 3 4" xfId="7026" xr:uid="{00000000-0005-0000-0000-0000B9540000}"/>
    <cellStyle name="Normal 3 5 4 3 4 2" xfId="37116" xr:uid="{00000000-0005-0000-0000-0000BA540000}"/>
    <cellStyle name="Normal 3 5 4 3 5" xfId="37117" xr:uid="{00000000-0005-0000-0000-0000BB540000}"/>
    <cellStyle name="Normal 3 5 4 3_01-04-2012" xfId="7027" xr:uid="{00000000-0005-0000-0000-0000BC540000}"/>
    <cellStyle name="Normal 3 5 4 4" xfId="7028" xr:uid="{00000000-0005-0000-0000-0000BD540000}"/>
    <cellStyle name="Normal 3 5 4 4 2" xfId="7029" xr:uid="{00000000-0005-0000-0000-0000BE540000}"/>
    <cellStyle name="Normal 3 5 4 4 2 2" xfId="37118" xr:uid="{00000000-0005-0000-0000-0000BF540000}"/>
    <cellStyle name="Normal 3 5 4 4 3" xfId="7030" xr:uid="{00000000-0005-0000-0000-0000C0540000}"/>
    <cellStyle name="Normal 3 5 4 4 3 2" xfId="37119" xr:uid="{00000000-0005-0000-0000-0000C1540000}"/>
    <cellStyle name="Normal 3 5 4 4 4" xfId="7031" xr:uid="{00000000-0005-0000-0000-0000C2540000}"/>
    <cellStyle name="Normal 3 5 4 4 4 2" xfId="37120" xr:uid="{00000000-0005-0000-0000-0000C3540000}"/>
    <cellStyle name="Normal 3 5 4 4 5" xfId="37121" xr:uid="{00000000-0005-0000-0000-0000C4540000}"/>
    <cellStyle name="Normal 3 5 4 4_01-04-2012" xfId="7032" xr:uid="{00000000-0005-0000-0000-0000C5540000}"/>
    <cellStyle name="Normal 3 5 4 5" xfId="7033" xr:uid="{00000000-0005-0000-0000-0000C6540000}"/>
    <cellStyle name="Normal 3 5 4 5 2" xfId="37122" xr:uid="{00000000-0005-0000-0000-0000C7540000}"/>
    <cellStyle name="Normal 3 5 4 6" xfId="7034" xr:uid="{00000000-0005-0000-0000-0000C8540000}"/>
    <cellStyle name="Normal 3 5 4 6 2" xfId="37123" xr:uid="{00000000-0005-0000-0000-0000C9540000}"/>
    <cellStyle name="Normal 3 5 4 7" xfId="7035" xr:uid="{00000000-0005-0000-0000-0000CA540000}"/>
    <cellStyle name="Normal 3 5 4 7 2" xfId="37124" xr:uid="{00000000-0005-0000-0000-0000CB540000}"/>
    <cellStyle name="Normal 3 5 4 8" xfId="37125" xr:uid="{00000000-0005-0000-0000-0000CC540000}"/>
    <cellStyle name="Normal 3 5 4_01-04-2012" xfId="7036" xr:uid="{00000000-0005-0000-0000-0000CD540000}"/>
    <cellStyle name="Normal 3 5 5" xfId="7037" xr:uid="{00000000-0005-0000-0000-0000CE540000}"/>
    <cellStyle name="Normal 3 5 5 2" xfId="7038" xr:uid="{00000000-0005-0000-0000-0000CF540000}"/>
    <cellStyle name="Normal 3 5 5 2 2" xfId="37126" xr:uid="{00000000-0005-0000-0000-0000D0540000}"/>
    <cellStyle name="Normal 3 5 5 3" xfId="7039" xr:uid="{00000000-0005-0000-0000-0000D1540000}"/>
    <cellStyle name="Normal 3 5 5 3 2" xfId="37127" xr:uid="{00000000-0005-0000-0000-0000D2540000}"/>
    <cellStyle name="Normal 3 5 5 4" xfId="7040" xr:uid="{00000000-0005-0000-0000-0000D3540000}"/>
    <cellStyle name="Normal 3 5 5 4 2" xfId="37128" xr:uid="{00000000-0005-0000-0000-0000D4540000}"/>
    <cellStyle name="Normal 3 5 5 5" xfId="37129" xr:uid="{00000000-0005-0000-0000-0000D5540000}"/>
    <cellStyle name="Normal 3 5 5_01-04-2012" xfId="7041" xr:uid="{00000000-0005-0000-0000-0000D6540000}"/>
    <cellStyle name="Normal 3 5 6" xfId="7042" xr:uid="{00000000-0005-0000-0000-0000D7540000}"/>
    <cellStyle name="Normal 3 5 6 2" xfId="7043" xr:uid="{00000000-0005-0000-0000-0000D8540000}"/>
    <cellStyle name="Normal 3 5 6 2 2" xfId="37130" xr:uid="{00000000-0005-0000-0000-0000D9540000}"/>
    <cellStyle name="Normal 3 5 6 3" xfId="7044" xr:uid="{00000000-0005-0000-0000-0000DA540000}"/>
    <cellStyle name="Normal 3 5 6 3 2" xfId="37131" xr:uid="{00000000-0005-0000-0000-0000DB540000}"/>
    <cellStyle name="Normal 3 5 6 4" xfId="7045" xr:uid="{00000000-0005-0000-0000-0000DC540000}"/>
    <cellStyle name="Normal 3 5 6 4 2" xfId="37132" xr:uid="{00000000-0005-0000-0000-0000DD540000}"/>
    <cellStyle name="Normal 3 5 6 5" xfId="37133" xr:uid="{00000000-0005-0000-0000-0000DE540000}"/>
    <cellStyle name="Normal 3 5 6_01-04-2012" xfId="7046" xr:uid="{00000000-0005-0000-0000-0000DF540000}"/>
    <cellStyle name="Normal 3 5 7" xfId="7047" xr:uid="{00000000-0005-0000-0000-0000E0540000}"/>
    <cellStyle name="Normal 3 5 7 2" xfId="7048" xr:uid="{00000000-0005-0000-0000-0000E1540000}"/>
    <cellStyle name="Normal 3 5 7 2 2" xfId="37134" xr:uid="{00000000-0005-0000-0000-0000E2540000}"/>
    <cellStyle name="Normal 3 5 7 3" xfId="7049" xr:uid="{00000000-0005-0000-0000-0000E3540000}"/>
    <cellStyle name="Normal 3 5 7 3 2" xfId="37135" xr:uid="{00000000-0005-0000-0000-0000E4540000}"/>
    <cellStyle name="Normal 3 5 7 4" xfId="7050" xr:uid="{00000000-0005-0000-0000-0000E5540000}"/>
    <cellStyle name="Normal 3 5 7 4 2" xfId="37136" xr:uid="{00000000-0005-0000-0000-0000E6540000}"/>
    <cellStyle name="Normal 3 5 7 5" xfId="37137" xr:uid="{00000000-0005-0000-0000-0000E7540000}"/>
    <cellStyle name="Normal 3 5 7_01-04-2012" xfId="7051" xr:uid="{00000000-0005-0000-0000-0000E8540000}"/>
    <cellStyle name="Normal 3 5 8" xfId="7052" xr:uid="{00000000-0005-0000-0000-0000E9540000}"/>
    <cellStyle name="Normal 3 5 8 2" xfId="7053" xr:uid="{00000000-0005-0000-0000-0000EA540000}"/>
    <cellStyle name="Normal 3 5 8 2 2" xfId="37138" xr:uid="{00000000-0005-0000-0000-0000EB540000}"/>
    <cellStyle name="Normal 3 5 8 3" xfId="7054" xr:uid="{00000000-0005-0000-0000-0000EC540000}"/>
    <cellStyle name="Normal 3 5 8 3 2" xfId="37139" xr:uid="{00000000-0005-0000-0000-0000ED540000}"/>
    <cellStyle name="Normal 3 5 8 4" xfId="7055" xr:uid="{00000000-0005-0000-0000-0000EE540000}"/>
    <cellStyle name="Normal 3 5 8 4 2" xfId="37140" xr:uid="{00000000-0005-0000-0000-0000EF540000}"/>
    <cellStyle name="Normal 3 5 8 5" xfId="37141" xr:uid="{00000000-0005-0000-0000-0000F0540000}"/>
    <cellStyle name="Normal 3 5 8_01-04-2012" xfId="7056" xr:uid="{00000000-0005-0000-0000-0000F1540000}"/>
    <cellStyle name="Normal 3 5 9" xfId="7057" xr:uid="{00000000-0005-0000-0000-0000F2540000}"/>
    <cellStyle name="Normal 3 5 9 2" xfId="7058" xr:uid="{00000000-0005-0000-0000-0000F3540000}"/>
    <cellStyle name="Normal 3 5 9 2 2" xfId="37142" xr:uid="{00000000-0005-0000-0000-0000F4540000}"/>
    <cellStyle name="Normal 3 5 9 3" xfId="7059" xr:uid="{00000000-0005-0000-0000-0000F5540000}"/>
    <cellStyle name="Normal 3 5 9 3 2" xfId="37143" xr:uid="{00000000-0005-0000-0000-0000F6540000}"/>
    <cellStyle name="Normal 3 5 9 4" xfId="7060" xr:uid="{00000000-0005-0000-0000-0000F7540000}"/>
    <cellStyle name="Normal 3 5 9 4 2" xfId="37144" xr:uid="{00000000-0005-0000-0000-0000F8540000}"/>
    <cellStyle name="Normal 3 5 9 5" xfId="37145" xr:uid="{00000000-0005-0000-0000-0000F9540000}"/>
    <cellStyle name="Normal 3 5 9_01-04-2012" xfId="7061" xr:uid="{00000000-0005-0000-0000-0000FA540000}"/>
    <cellStyle name="Normal 3 5_01-04-2012" xfId="7062" xr:uid="{00000000-0005-0000-0000-0000FB540000}"/>
    <cellStyle name="Normal 3 50" xfId="7063" xr:uid="{00000000-0005-0000-0000-0000FC540000}"/>
    <cellStyle name="Normal 3 51" xfId="7064" xr:uid="{00000000-0005-0000-0000-0000FD540000}"/>
    <cellStyle name="Normal 3 52" xfId="7065" xr:uid="{00000000-0005-0000-0000-0000FE540000}"/>
    <cellStyle name="Normal 3 53" xfId="7066" xr:uid="{00000000-0005-0000-0000-0000FF540000}"/>
    <cellStyle name="Normal 3 54" xfId="7067" xr:uid="{00000000-0005-0000-0000-000000550000}"/>
    <cellStyle name="Normal 3 55" xfId="7068" xr:uid="{00000000-0005-0000-0000-000001550000}"/>
    <cellStyle name="Normal 3 56" xfId="7069" xr:uid="{00000000-0005-0000-0000-000002550000}"/>
    <cellStyle name="Normal 3 57" xfId="7070" xr:uid="{00000000-0005-0000-0000-000003550000}"/>
    <cellStyle name="Normal 3 58" xfId="7071" xr:uid="{00000000-0005-0000-0000-000004550000}"/>
    <cellStyle name="Normal 3 59" xfId="7072" xr:uid="{00000000-0005-0000-0000-000005550000}"/>
    <cellStyle name="Normal 3 6" xfId="7073" xr:uid="{00000000-0005-0000-0000-000006550000}"/>
    <cellStyle name="Normal 3 6 10" xfId="7074" xr:uid="{00000000-0005-0000-0000-000007550000}"/>
    <cellStyle name="Normal 3 6 10 2" xfId="37146" xr:uid="{00000000-0005-0000-0000-000008550000}"/>
    <cellStyle name="Normal 3 6 11" xfId="7075" xr:uid="{00000000-0005-0000-0000-000009550000}"/>
    <cellStyle name="Normal 3 6 11 2" xfId="37147" xr:uid="{00000000-0005-0000-0000-00000A550000}"/>
    <cellStyle name="Normal 3 6 12" xfId="7076" xr:uid="{00000000-0005-0000-0000-00000B550000}"/>
    <cellStyle name="Normal 3 6 12 2" xfId="37148" xr:uid="{00000000-0005-0000-0000-00000C550000}"/>
    <cellStyle name="Normal 3 6 13" xfId="7077" xr:uid="{00000000-0005-0000-0000-00000D550000}"/>
    <cellStyle name="Normal 3 6 13 2" xfId="37149" xr:uid="{00000000-0005-0000-0000-00000E550000}"/>
    <cellStyle name="Normal 3 6 14" xfId="20228" xr:uid="{00000000-0005-0000-0000-00000F550000}"/>
    <cellStyle name="Normal 3 6 14 2" xfId="37150" xr:uid="{00000000-0005-0000-0000-000010550000}"/>
    <cellStyle name="Normal 3 6 2" xfId="7078" xr:uid="{00000000-0005-0000-0000-000011550000}"/>
    <cellStyle name="Normal 3 6 2 2" xfId="7079" xr:uid="{00000000-0005-0000-0000-000012550000}"/>
    <cellStyle name="Normal 3 6 2 2 2" xfId="7080" xr:uid="{00000000-0005-0000-0000-000013550000}"/>
    <cellStyle name="Normal 3 6 2 2 2 2" xfId="37151" xr:uid="{00000000-0005-0000-0000-000014550000}"/>
    <cellStyle name="Normal 3 6 2 2 3" xfId="7081" xr:uid="{00000000-0005-0000-0000-000015550000}"/>
    <cellStyle name="Normal 3 6 2 2 3 2" xfId="37152" xr:uid="{00000000-0005-0000-0000-000016550000}"/>
    <cellStyle name="Normal 3 6 2 2 4" xfId="7082" xr:uid="{00000000-0005-0000-0000-000017550000}"/>
    <cellStyle name="Normal 3 6 2 2 4 2" xfId="37153" xr:uid="{00000000-0005-0000-0000-000018550000}"/>
    <cellStyle name="Normal 3 6 2 2 5" xfId="37154" xr:uid="{00000000-0005-0000-0000-000019550000}"/>
    <cellStyle name="Normal 3 6 2 2_01-04-2012" xfId="7083" xr:uid="{00000000-0005-0000-0000-00001A550000}"/>
    <cellStyle name="Normal 3 6 2 3" xfId="7084" xr:uid="{00000000-0005-0000-0000-00001B550000}"/>
    <cellStyle name="Normal 3 6 2 3 2" xfId="7085" xr:uid="{00000000-0005-0000-0000-00001C550000}"/>
    <cellStyle name="Normal 3 6 2 3 2 2" xfId="37155" xr:uid="{00000000-0005-0000-0000-00001D550000}"/>
    <cellStyle name="Normal 3 6 2 3 3" xfId="7086" xr:uid="{00000000-0005-0000-0000-00001E550000}"/>
    <cellStyle name="Normal 3 6 2 3 3 2" xfId="37156" xr:uid="{00000000-0005-0000-0000-00001F550000}"/>
    <cellStyle name="Normal 3 6 2 3 4" xfId="7087" xr:uid="{00000000-0005-0000-0000-000020550000}"/>
    <cellStyle name="Normal 3 6 2 3 4 2" xfId="37157" xr:uid="{00000000-0005-0000-0000-000021550000}"/>
    <cellStyle name="Normal 3 6 2 3 5" xfId="37158" xr:uid="{00000000-0005-0000-0000-000022550000}"/>
    <cellStyle name="Normal 3 6 2 3_01-04-2012" xfId="7088" xr:uid="{00000000-0005-0000-0000-000023550000}"/>
    <cellStyle name="Normal 3 6 2 4" xfId="7089" xr:uid="{00000000-0005-0000-0000-000024550000}"/>
    <cellStyle name="Normal 3 6 2 4 2" xfId="7090" xr:uid="{00000000-0005-0000-0000-000025550000}"/>
    <cellStyle name="Normal 3 6 2 4 2 2" xfId="37159" xr:uid="{00000000-0005-0000-0000-000026550000}"/>
    <cellStyle name="Normal 3 6 2 4 3" xfId="7091" xr:uid="{00000000-0005-0000-0000-000027550000}"/>
    <cellStyle name="Normal 3 6 2 4 3 2" xfId="37160" xr:uid="{00000000-0005-0000-0000-000028550000}"/>
    <cellStyle name="Normal 3 6 2 4 4" xfId="7092" xr:uid="{00000000-0005-0000-0000-000029550000}"/>
    <cellStyle name="Normal 3 6 2 4 4 2" xfId="37161" xr:uid="{00000000-0005-0000-0000-00002A550000}"/>
    <cellStyle name="Normal 3 6 2 4 5" xfId="37162" xr:uid="{00000000-0005-0000-0000-00002B550000}"/>
    <cellStyle name="Normal 3 6 2 4_01-04-2012" xfId="7093" xr:uid="{00000000-0005-0000-0000-00002C550000}"/>
    <cellStyle name="Normal 3 6 2 5" xfId="7094" xr:uid="{00000000-0005-0000-0000-00002D550000}"/>
    <cellStyle name="Normal 3 6 2 5 2" xfId="37163" xr:uid="{00000000-0005-0000-0000-00002E550000}"/>
    <cellStyle name="Normal 3 6 2 6" xfId="7095" xr:uid="{00000000-0005-0000-0000-00002F550000}"/>
    <cellStyle name="Normal 3 6 2 6 2" xfId="37164" xr:uid="{00000000-0005-0000-0000-000030550000}"/>
    <cellStyle name="Normal 3 6 2 7" xfId="7096" xr:uid="{00000000-0005-0000-0000-000031550000}"/>
    <cellStyle name="Normal 3 6 2 7 2" xfId="37165" xr:uid="{00000000-0005-0000-0000-000032550000}"/>
    <cellStyle name="Normal 3 6 2 8" xfId="37166" xr:uid="{00000000-0005-0000-0000-000033550000}"/>
    <cellStyle name="Normal 3 6 2_01-04-2012" xfId="7097" xr:uid="{00000000-0005-0000-0000-000034550000}"/>
    <cellStyle name="Normal 3 6 3" xfId="7098" xr:uid="{00000000-0005-0000-0000-000035550000}"/>
    <cellStyle name="Normal 3 6 3 2" xfId="7099" xr:uid="{00000000-0005-0000-0000-000036550000}"/>
    <cellStyle name="Normal 3 6 3 2 2" xfId="7100" xr:uid="{00000000-0005-0000-0000-000037550000}"/>
    <cellStyle name="Normal 3 6 3 2 2 2" xfId="37167" xr:uid="{00000000-0005-0000-0000-000038550000}"/>
    <cellStyle name="Normal 3 6 3 2 3" xfId="7101" xr:uid="{00000000-0005-0000-0000-000039550000}"/>
    <cellStyle name="Normal 3 6 3 2 3 2" xfId="37168" xr:uid="{00000000-0005-0000-0000-00003A550000}"/>
    <cellStyle name="Normal 3 6 3 2 4" xfId="7102" xr:uid="{00000000-0005-0000-0000-00003B550000}"/>
    <cellStyle name="Normal 3 6 3 2 4 2" xfId="37169" xr:uid="{00000000-0005-0000-0000-00003C550000}"/>
    <cellStyle name="Normal 3 6 3 2 5" xfId="37170" xr:uid="{00000000-0005-0000-0000-00003D550000}"/>
    <cellStyle name="Normal 3 6 3 2_01-04-2012" xfId="7103" xr:uid="{00000000-0005-0000-0000-00003E550000}"/>
    <cellStyle name="Normal 3 6 3 3" xfId="7104" xr:uid="{00000000-0005-0000-0000-00003F550000}"/>
    <cellStyle name="Normal 3 6 3 3 2" xfId="7105" xr:uid="{00000000-0005-0000-0000-000040550000}"/>
    <cellStyle name="Normal 3 6 3 3 2 2" xfId="37171" xr:uid="{00000000-0005-0000-0000-000041550000}"/>
    <cellStyle name="Normal 3 6 3 3 3" xfId="7106" xr:uid="{00000000-0005-0000-0000-000042550000}"/>
    <cellStyle name="Normal 3 6 3 3 3 2" xfId="37172" xr:uid="{00000000-0005-0000-0000-000043550000}"/>
    <cellStyle name="Normal 3 6 3 3 4" xfId="7107" xr:uid="{00000000-0005-0000-0000-000044550000}"/>
    <cellStyle name="Normal 3 6 3 3 4 2" xfId="37173" xr:uid="{00000000-0005-0000-0000-000045550000}"/>
    <cellStyle name="Normal 3 6 3 3 5" xfId="37174" xr:uid="{00000000-0005-0000-0000-000046550000}"/>
    <cellStyle name="Normal 3 6 3 3_01-04-2012" xfId="7108" xr:uid="{00000000-0005-0000-0000-000047550000}"/>
    <cellStyle name="Normal 3 6 3 4" xfId="7109" xr:uid="{00000000-0005-0000-0000-000048550000}"/>
    <cellStyle name="Normal 3 6 3 4 2" xfId="7110" xr:uid="{00000000-0005-0000-0000-000049550000}"/>
    <cellStyle name="Normal 3 6 3 4 2 2" xfId="37175" xr:uid="{00000000-0005-0000-0000-00004A550000}"/>
    <cellStyle name="Normal 3 6 3 4 3" xfId="7111" xr:uid="{00000000-0005-0000-0000-00004B550000}"/>
    <cellStyle name="Normal 3 6 3 4 3 2" xfId="37176" xr:uid="{00000000-0005-0000-0000-00004C550000}"/>
    <cellStyle name="Normal 3 6 3 4 4" xfId="7112" xr:uid="{00000000-0005-0000-0000-00004D550000}"/>
    <cellStyle name="Normal 3 6 3 4 4 2" xfId="37177" xr:uid="{00000000-0005-0000-0000-00004E550000}"/>
    <cellStyle name="Normal 3 6 3 4 5" xfId="37178" xr:uid="{00000000-0005-0000-0000-00004F550000}"/>
    <cellStyle name="Normal 3 6 3 4_01-04-2012" xfId="7113" xr:uid="{00000000-0005-0000-0000-000050550000}"/>
    <cellStyle name="Normal 3 6 3 5" xfId="7114" xr:uid="{00000000-0005-0000-0000-000051550000}"/>
    <cellStyle name="Normal 3 6 3 5 2" xfId="37179" xr:uid="{00000000-0005-0000-0000-000052550000}"/>
    <cellStyle name="Normal 3 6 3 6" xfId="7115" xr:uid="{00000000-0005-0000-0000-000053550000}"/>
    <cellStyle name="Normal 3 6 3 6 2" xfId="37180" xr:uid="{00000000-0005-0000-0000-000054550000}"/>
    <cellStyle name="Normal 3 6 3 7" xfId="7116" xr:uid="{00000000-0005-0000-0000-000055550000}"/>
    <cellStyle name="Normal 3 6 3 7 2" xfId="37181" xr:uid="{00000000-0005-0000-0000-000056550000}"/>
    <cellStyle name="Normal 3 6 3 8" xfId="37182" xr:uid="{00000000-0005-0000-0000-000057550000}"/>
    <cellStyle name="Normal 3 6 3_01-04-2012" xfId="7117" xr:uid="{00000000-0005-0000-0000-000058550000}"/>
    <cellStyle name="Normal 3 6 4" xfId="7118" xr:uid="{00000000-0005-0000-0000-000059550000}"/>
    <cellStyle name="Normal 3 6 4 2" xfId="7119" xr:uid="{00000000-0005-0000-0000-00005A550000}"/>
    <cellStyle name="Normal 3 6 4 2 2" xfId="7120" xr:uid="{00000000-0005-0000-0000-00005B550000}"/>
    <cellStyle name="Normal 3 6 4 2 2 2" xfId="37183" xr:uid="{00000000-0005-0000-0000-00005C550000}"/>
    <cellStyle name="Normal 3 6 4 2 3" xfId="7121" xr:uid="{00000000-0005-0000-0000-00005D550000}"/>
    <cellStyle name="Normal 3 6 4 2 3 2" xfId="37184" xr:uid="{00000000-0005-0000-0000-00005E550000}"/>
    <cellStyle name="Normal 3 6 4 2 4" xfId="7122" xr:uid="{00000000-0005-0000-0000-00005F550000}"/>
    <cellStyle name="Normal 3 6 4 2 4 2" xfId="37185" xr:uid="{00000000-0005-0000-0000-000060550000}"/>
    <cellStyle name="Normal 3 6 4 2 5" xfId="37186" xr:uid="{00000000-0005-0000-0000-000061550000}"/>
    <cellStyle name="Normal 3 6 4 2_01-04-2012" xfId="7123" xr:uid="{00000000-0005-0000-0000-000062550000}"/>
    <cellStyle name="Normal 3 6 4 3" xfId="7124" xr:uid="{00000000-0005-0000-0000-000063550000}"/>
    <cellStyle name="Normal 3 6 4 3 2" xfId="7125" xr:uid="{00000000-0005-0000-0000-000064550000}"/>
    <cellStyle name="Normal 3 6 4 3 2 2" xfId="37187" xr:uid="{00000000-0005-0000-0000-000065550000}"/>
    <cellStyle name="Normal 3 6 4 3 3" xfId="7126" xr:uid="{00000000-0005-0000-0000-000066550000}"/>
    <cellStyle name="Normal 3 6 4 3 3 2" xfId="37188" xr:uid="{00000000-0005-0000-0000-000067550000}"/>
    <cellStyle name="Normal 3 6 4 3 4" xfId="7127" xr:uid="{00000000-0005-0000-0000-000068550000}"/>
    <cellStyle name="Normal 3 6 4 3 4 2" xfId="37189" xr:uid="{00000000-0005-0000-0000-000069550000}"/>
    <cellStyle name="Normal 3 6 4 3 5" xfId="37190" xr:uid="{00000000-0005-0000-0000-00006A550000}"/>
    <cellStyle name="Normal 3 6 4 3_01-04-2012" xfId="7128" xr:uid="{00000000-0005-0000-0000-00006B550000}"/>
    <cellStyle name="Normal 3 6 4 4" xfId="7129" xr:uid="{00000000-0005-0000-0000-00006C550000}"/>
    <cellStyle name="Normal 3 6 4 4 2" xfId="7130" xr:uid="{00000000-0005-0000-0000-00006D550000}"/>
    <cellStyle name="Normal 3 6 4 4 2 2" xfId="37191" xr:uid="{00000000-0005-0000-0000-00006E550000}"/>
    <cellStyle name="Normal 3 6 4 4 3" xfId="7131" xr:uid="{00000000-0005-0000-0000-00006F550000}"/>
    <cellStyle name="Normal 3 6 4 4 3 2" xfId="37192" xr:uid="{00000000-0005-0000-0000-000070550000}"/>
    <cellStyle name="Normal 3 6 4 4 4" xfId="7132" xr:uid="{00000000-0005-0000-0000-000071550000}"/>
    <cellStyle name="Normal 3 6 4 4 4 2" xfId="37193" xr:uid="{00000000-0005-0000-0000-000072550000}"/>
    <cellStyle name="Normal 3 6 4 4 5" xfId="37194" xr:uid="{00000000-0005-0000-0000-000073550000}"/>
    <cellStyle name="Normal 3 6 4 4_01-04-2012" xfId="7133" xr:uid="{00000000-0005-0000-0000-000074550000}"/>
    <cellStyle name="Normal 3 6 4 5" xfId="7134" xr:uid="{00000000-0005-0000-0000-000075550000}"/>
    <cellStyle name="Normal 3 6 4 5 2" xfId="37195" xr:uid="{00000000-0005-0000-0000-000076550000}"/>
    <cellStyle name="Normal 3 6 4 6" xfId="7135" xr:uid="{00000000-0005-0000-0000-000077550000}"/>
    <cellStyle name="Normal 3 6 4 6 2" xfId="37196" xr:uid="{00000000-0005-0000-0000-000078550000}"/>
    <cellStyle name="Normal 3 6 4 7" xfId="7136" xr:uid="{00000000-0005-0000-0000-000079550000}"/>
    <cellStyle name="Normal 3 6 4 7 2" xfId="37197" xr:uid="{00000000-0005-0000-0000-00007A550000}"/>
    <cellStyle name="Normal 3 6 4 8" xfId="37198" xr:uid="{00000000-0005-0000-0000-00007B550000}"/>
    <cellStyle name="Normal 3 6 4_01-04-2012" xfId="7137" xr:uid="{00000000-0005-0000-0000-00007C550000}"/>
    <cellStyle name="Normal 3 6 5" xfId="7138" xr:uid="{00000000-0005-0000-0000-00007D550000}"/>
    <cellStyle name="Normal 3 6 5 2" xfId="7139" xr:uid="{00000000-0005-0000-0000-00007E550000}"/>
    <cellStyle name="Normal 3 6 5 2 2" xfId="37199" xr:uid="{00000000-0005-0000-0000-00007F550000}"/>
    <cellStyle name="Normal 3 6 5 3" xfId="7140" xr:uid="{00000000-0005-0000-0000-000080550000}"/>
    <cellStyle name="Normal 3 6 5 3 2" xfId="37200" xr:uid="{00000000-0005-0000-0000-000081550000}"/>
    <cellStyle name="Normal 3 6 5 4" xfId="7141" xr:uid="{00000000-0005-0000-0000-000082550000}"/>
    <cellStyle name="Normal 3 6 5 4 2" xfId="37201" xr:uid="{00000000-0005-0000-0000-000083550000}"/>
    <cellStyle name="Normal 3 6 5 5" xfId="37202" xr:uid="{00000000-0005-0000-0000-000084550000}"/>
    <cellStyle name="Normal 3 6 5_01-04-2012" xfId="7142" xr:uid="{00000000-0005-0000-0000-000085550000}"/>
    <cellStyle name="Normal 3 6 6" xfId="7143" xr:uid="{00000000-0005-0000-0000-000086550000}"/>
    <cellStyle name="Normal 3 6 6 2" xfId="7144" xr:uid="{00000000-0005-0000-0000-000087550000}"/>
    <cellStyle name="Normal 3 6 6 2 2" xfId="20229" xr:uid="{00000000-0005-0000-0000-000088550000}"/>
    <cellStyle name="Normal 3 6 6 2 2 2" xfId="37203" xr:uid="{00000000-0005-0000-0000-000089550000}"/>
    <cellStyle name="Normal 3 6 6 3" xfId="7145" xr:uid="{00000000-0005-0000-0000-00008A550000}"/>
    <cellStyle name="Normal 3 6 6 3 2" xfId="37204" xr:uid="{00000000-0005-0000-0000-00008B550000}"/>
    <cellStyle name="Normal 3 6 6 4" xfId="7146" xr:uid="{00000000-0005-0000-0000-00008C550000}"/>
    <cellStyle name="Normal 3 6 6 4 2" xfId="20230" xr:uid="{00000000-0005-0000-0000-00008D550000}"/>
    <cellStyle name="Normal 3 6 6 4 2 2" xfId="37205" xr:uid="{00000000-0005-0000-0000-00008E550000}"/>
    <cellStyle name="Normal 3 6 6 5" xfId="37206" xr:uid="{00000000-0005-0000-0000-00008F550000}"/>
    <cellStyle name="Normal 3 6 6_01-04-2012" xfId="7147" xr:uid="{00000000-0005-0000-0000-000090550000}"/>
    <cellStyle name="Normal 3 6 7" xfId="7148" xr:uid="{00000000-0005-0000-0000-000091550000}"/>
    <cellStyle name="Normal 3 6 7 2" xfId="7149" xr:uid="{00000000-0005-0000-0000-000092550000}"/>
    <cellStyle name="Normal 3 6 7 2 2" xfId="20231" xr:uid="{00000000-0005-0000-0000-000093550000}"/>
    <cellStyle name="Normal 3 6 7 2 2 2" xfId="37207" xr:uid="{00000000-0005-0000-0000-000094550000}"/>
    <cellStyle name="Normal 3 6 7 3" xfId="7150" xr:uid="{00000000-0005-0000-0000-000095550000}"/>
    <cellStyle name="Normal 3 6 7 3 2" xfId="37208" xr:uid="{00000000-0005-0000-0000-000096550000}"/>
    <cellStyle name="Normal 3 6 7 4" xfId="7151" xr:uid="{00000000-0005-0000-0000-000097550000}"/>
    <cellStyle name="Normal 3 6 7 4 2" xfId="37209" xr:uid="{00000000-0005-0000-0000-000098550000}"/>
    <cellStyle name="Normal 3 6 7 5" xfId="37210" xr:uid="{00000000-0005-0000-0000-000099550000}"/>
    <cellStyle name="Normal 3 6 7_01-04-2012" xfId="7152" xr:uid="{00000000-0005-0000-0000-00009A550000}"/>
    <cellStyle name="Normal 3 6 8" xfId="7153" xr:uid="{00000000-0005-0000-0000-00009B550000}"/>
    <cellStyle name="Normal 3 6 8 2" xfId="7154" xr:uid="{00000000-0005-0000-0000-00009C550000}"/>
    <cellStyle name="Normal 3 6 8 2 2" xfId="37211" xr:uid="{00000000-0005-0000-0000-00009D550000}"/>
    <cellStyle name="Normal 3 6 8 3" xfId="7155" xr:uid="{00000000-0005-0000-0000-00009E550000}"/>
    <cellStyle name="Normal 3 6 8 3 2" xfId="37212" xr:uid="{00000000-0005-0000-0000-00009F550000}"/>
    <cellStyle name="Normal 3 6 8 4" xfId="7156" xr:uid="{00000000-0005-0000-0000-0000A0550000}"/>
    <cellStyle name="Normal 3 6 8 4 2" xfId="37213" xr:uid="{00000000-0005-0000-0000-0000A1550000}"/>
    <cellStyle name="Normal 3 6 8 5" xfId="37214" xr:uid="{00000000-0005-0000-0000-0000A2550000}"/>
    <cellStyle name="Normal 3 6 8_01-04-2012" xfId="7157" xr:uid="{00000000-0005-0000-0000-0000A3550000}"/>
    <cellStyle name="Normal 3 6 9" xfId="7158" xr:uid="{00000000-0005-0000-0000-0000A4550000}"/>
    <cellStyle name="Normal 3 6 9 2" xfId="7159" xr:uid="{00000000-0005-0000-0000-0000A5550000}"/>
    <cellStyle name="Normal 3 6 9 2 2" xfId="37215" xr:uid="{00000000-0005-0000-0000-0000A6550000}"/>
    <cellStyle name="Normal 3 6 9 3" xfId="7160" xr:uid="{00000000-0005-0000-0000-0000A7550000}"/>
    <cellStyle name="Normal 3 6 9 3 2" xfId="37216" xr:uid="{00000000-0005-0000-0000-0000A8550000}"/>
    <cellStyle name="Normal 3 6 9 4" xfId="7161" xr:uid="{00000000-0005-0000-0000-0000A9550000}"/>
    <cellStyle name="Normal 3 6 9 4 2" xfId="37217" xr:uid="{00000000-0005-0000-0000-0000AA550000}"/>
    <cellStyle name="Normal 3 6 9 5" xfId="37218" xr:uid="{00000000-0005-0000-0000-0000AB550000}"/>
    <cellStyle name="Normal 3 6 9_01-04-2012" xfId="7162" xr:uid="{00000000-0005-0000-0000-0000AC550000}"/>
    <cellStyle name="Normal 3 6_01-04-2012" xfId="7163" xr:uid="{00000000-0005-0000-0000-0000AD550000}"/>
    <cellStyle name="Normal 3 60" xfId="7164" xr:uid="{00000000-0005-0000-0000-0000AE550000}"/>
    <cellStyle name="Normal 3 61" xfId="7165" xr:uid="{00000000-0005-0000-0000-0000AF550000}"/>
    <cellStyle name="Normal 3 62" xfId="7166" xr:uid="{00000000-0005-0000-0000-0000B0550000}"/>
    <cellStyle name="Normal 3 63" xfId="7167" xr:uid="{00000000-0005-0000-0000-0000B1550000}"/>
    <cellStyle name="Normal 3 64" xfId="7168" xr:uid="{00000000-0005-0000-0000-0000B2550000}"/>
    <cellStyle name="Normal 3 65" xfId="7169" xr:uid="{00000000-0005-0000-0000-0000B3550000}"/>
    <cellStyle name="Normal 3 66" xfId="7170" xr:uid="{00000000-0005-0000-0000-0000B4550000}"/>
    <cellStyle name="Normal 3 67" xfId="7171" xr:uid="{00000000-0005-0000-0000-0000B5550000}"/>
    <cellStyle name="Normal 3 68" xfId="7172" xr:uid="{00000000-0005-0000-0000-0000B6550000}"/>
    <cellStyle name="Normal 3 69" xfId="7173" xr:uid="{00000000-0005-0000-0000-0000B7550000}"/>
    <cellStyle name="Normal 3 7" xfId="7174" xr:uid="{00000000-0005-0000-0000-0000B8550000}"/>
    <cellStyle name="Normal 3 7 10" xfId="7175" xr:uid="{00000000-0005-0000-0000-0000B9550000}"/>
    <cellStyle name="Normal 3 7 10 2" xfId="37219" xr:uid="{00000000-0005-0000-0000-0000BA550000}"/>
    <cellStyle name="Normal 3 7 11" xfId="7176" xr:uid="{00000000-0005-0000-0000-0000BB550000}"/>
    <cellStyle name="Normal 3 7 11 2" xfId="37220" xr:uid="{00000000-0005-0000-0000-0000BC550000}"/>
    <cellStyle name="Normal 3 7 12" xfId="7177" xr:uid="{00000000-0005-0000-0000-0000BD550000}"/>
    <cellStyle name="Normal 3 7 12 2" xfId="37221" xr:uid="{00000000-0005-0000-0000-0000BE550000}"/>
    <cellStyle name="Normal 3 7 13" xfId="7178" xr:uid="{00000000-0005-0000-0000-0000BF550000}"/>
    <cellStyle name="Normal 3 7 13 2" xfId="37222" xr:uid="{00000000-0005-0000-0000-0000C0550000}"/>
    <cellStyle name="Normal 3 7 14" xfId="20232" xr:uid="{00000000-0005-0000-0000-0000C1550000}"/>
    <cellStyle name="Normal 3 7 14 2" xfId="37223" xr:uid="{00000000-0005-0000-0000-0000C2550000}"/>
    <cellStyle name="Normal 3 7 2" xfId="7179" xr:uid="{00000000-0005-0000-0000-0000C3550000}"/>
    <cellStyle name="Normal 3 7 2 2" xfId="7180" xr:uid="{00000000-0005-0000-0000-0000C4550000}"/>
    <cellStyle name="Normal 3 7 2 2 2" xfId="7181" xr:uid="{00000000-0005-0000-0000-0000C5550000}"/>
    <cellStyle name="Normal 3 7 2 2 2 2" xfId="37224" xr:uid="{00000000-0005-0000-0000-0000C6550000}"/>
    <cellStyle name="Normal 3 7 2 2 3" xfId="7182" xr:uid="{00000000-0005-0000-0000-0000C7550000}"/>
    <cellStyle name="Normal 3 7 2 2 3 2" xfId="37225" xr:uid="{00000000-0005-0000-0000-0000C8550000}"/>
    <cellStyle name="Normal 3 7 2 2 4" xfId="7183" xr:uid="{00000000-0005-0000-0000-0000C9550000}"/>
    <cellStyle name="Normal 3 7 2 2 4 2" xfId="37226" xr:uid="{00000000-0005-0000-0000-0000CA550000}"/>
    <cellStyle name="Normal 3 7 2 2 5" xfId="37227" xr:uid="{00000000-0005-0000-0000-0000CB550000}"/>
    <cellStyle name="Normal 3 7 2 2_01-04-2012" xfId="7184" xr:uid="{00000000-0005-0000-0000-0000CC550000}"/>
    <cellStyle name="Normal 3 7 2 3" xfId="7185" xr:uid="{00000000-0005-0000-0000-0000CD550000}"/>
    <cellStyle name="Normal 3 7 2 3 2" xfId="7186" xr:uid="{00000000-0005-0000-0000-0000CE550000}"/>
    <cellStyle name="Normal 3 7 2 3 2 2" xfId="37228" xr:uid="{00000000-0005-0000-0000-0000CF550000}"/>
    <cellStyle name="Normal 3 7 2 3 3" xfId="7187" xr:uid="{00000000-0005-0000-0000-0000D0550000}"/>
    <cellStyle name="Normal 3 7 2 3 3 2" xfId="37229" xr:uid="{00000000-0005-0000-0000-0000D1550000}"/>
    <cellStyle name="Normal 3 7 2 3 4" xfId="7188" xr:uid="{00000000-0005-0000-0000-0000D2550000}"/>
    <cellStyle name="Normal 3 7 2 3 4 2" xfId="37230" xr:uid="{00000000-0005-0000-0000-0000D3550000}"/>
    <cellStyle name="Normal 3 7 2 3 5" xfId="37231" xr:uid="{00000000-0005-0000-0000-0000D4550000}"/>
    <cellStyle name="Normal 3 7 2 3_01-04-2012" xfId="7189" xr:uid="{00000000-0005-0000-0000-0000D5550000}"/>
    <cellStyle name="Normal 3 7 2 4" xfId="7190" xr:uid="{00000000-0005-0000-0000-0000D6550000}"/>
    <cellStyle name="Normal 3 7 2 4 2" xfId="7191" xr:uid="{00000000-0005-0000-0000-0000D7550000}"/>
    <cellStyle name="Normal 3 7 2 4 2 2" xfId="37232" xr:uid="{00000000-0005-0000-0000-0000D8550000}"/>
    <cellStyle name="Normal 3 7 2 4 3" xfId="7192" xr:uid="{00000000-0005-0000-0000-0000D9550000}"/>
    <cellStyle name="Normal 3 7 2 4 3 2" xfId="37233" xr:uid="{00000000-0005-0000-0000-0000DA550000}"/>
    <cellStyle name="Normal 3 7 2 4 4" xfId="7193" xr:uid="{00000000-0005-0000-0000-0000DB550000}"/>
    <cellStyle name="Normal 3 7 2 4 4 2" xfId="37234" xr:uid="{00000000-0005-0000-0000-0000DC550000}"/>
    <cellStyle name="Normal 3 7 2 4 5" xfId="37235" xr:uid="{00000000-0005-0000-0000-0000DD550000}"/>
    <cellStyle name="Normal 3 7 2 4_01-04-2012" xfId="7194" xr:uid="{00000000-0005-0000-0000-0000DE550000}"/>
    <cellStyle name="Normal 3 7 2 5" xfId="7195" xr:uid="{00000000-0005-0000-0000-0000DF550000}"/>
    <cellStyle name="Normal 3 7 2 5 2" xfId="37236" xr:uid="{00000000-0005-0000-0000-0000E0550000}"/>
    <cellStyle name="Normal 3 7 2 6" xfId="7196" xr:uid="{00000000-0005-0000-0000-0000E1550000}"/>
    <cellStyle name="Normal 3 7 2 6 2" xfId="37237" xr:uid="{00000000-0005-0000-0000-0000E2550000}"/>
    <cellStyle name="Normal 3 7 2 7" xfId="7197" xr:uid="{00000000-0005-0000-0000-0000E3550000}"/>
    <cellStyle name="Normal 3 7 2 7 2" xfId="37238" xr:uid="{00000000-0005-0000-0000-0000E4550000}"/>
    <cellStyle name="Normal 3 7 2 8" xfId="37239" xr:uid="{00000000-0005-0000-0000-0000E5550000}"/>
    <cellStyle name="Normal 3 7 2_01-04-2012" xfId="7198" xr:uid="{00000000-0005-0000-0000-0000E6550000}"/>
    <cellStyle name="Normal 3 7 3" xfId="7199" xr:uid="{00000000-0005-0000-0000-0000E7550000}"/>
    <cellStyle name="Normal 3 7 3 2" xfId="7200" xr:uid="{00000000-0005-0000-0000-0000E8550000}"/>
    <cellStyle name="Normal 3 7 3 2 2" xfId="7201" xr:uid="{00000000-0005-0000-0000-0000E9550000}"/>
    <cellStyle name="Normal 3 7 3 2 2 2" xfId="37240" xr:uid="{00000000-0005-0000-0000-0000EA550000}"/>
    <cellStyle name="Normal 3 7 3 2 3" xfId="7202" xr:uid="{00000000-0005-0000-0000-0000EB550000}"/>
    <cellStyle name="Normal 3 7 3 2 3 2" xfId="37241" xr:uid="{00000000-0005-0000-0000-0000EC550000}"/>
    <cellStyle name="Normal 3 7 3 2 4" xfId="7203" xr:uid="{00000000-0005-0000-0000-0000ED550000}"/>
    <cellStyle name="Normal 3 7 3 2 4 2" xfId="37242" xr:uid="{00000000-0005-0000-0000-0000EE550000}"/>
    <cellStyle name="Normal 3 7 3 2 5" xfId="37243" xr:uid="{00000000-0005-0000-0000-0000EF550000}"/>
    <cellStyle name="Normal 3 7 3 2_01-04-2012" xfId="7204" xr:uid="{00000000-0005-0000-0000-0000F0550000}"/>
    <cellStyle name="Normal 3 7 3 3" xfId="7205" xr:uid="{00000000-0005-0000-0000-0000F1550000}"/>
    <cellStyle name="Normal 3 7 3 3 2" xfId="7206" xr:uid="{00000000-0005-0000-0000-0000F2550000}"/>
    <cellStyle name="Normal 3 7 3 3 2 2" xfId="37244" xr:uid="{00000000-0005-0000-0000-0000F3550000}"/>
    <cellStyle name="Normal 3 7 3 3 3" xfId="7207" xr:uid="{00000000-0005-0000-0000-0000F4550000}"/>
    <cellStyle name="Normal 3 7 3 3 3 2" xfId="37245" xr:uid="{00000000-0005-0000-0000-0000F5550000}"/>
    <cellStyle name="Normal 3 7 3 3 4" xfId="7208" xr:uid="{00000000-0005-0000-0000-0000F6550000}"/>
    <cellStyle name="Normal 3 7 3 3 4 2" xfId="37246" xr:uid="{00000000-0005-0000-0000-0000F7550000}"/>
    <cellStyle name="Normal 3 7 3 3 5" xfId="37247" xr:uid="{00000000-0005-0000-0000-0000F8550000}"/>
    <cellStyle name="Normal 3 7 3 3_01-04-2012" xfId="7209" xr:uid="{00000000-0005-0000-0000-0000F9550000}"/>
    <cellStyle name="Normal 3 7 3 4" xfId="7210" xr:uid="{00000000-0005-0000-0000-0000FA550000}"/>
    <cellStyle name="Normal 3 7 3 4 2" xfId="7211" xr:uid="{00000000-0005-0000-0000-0000FB550000}"/>
    <cellStyle name="Normal 3 7 3 4 2 2" xfId="37248" xr:uid="{00000000-0005-0000-0000-0000FC550000}"/>
    <cellStyle name="Normal 3 7 3 4 3" xfId="7212" xr:uid="{00000000-0005-0000-0000-0000FD550000}"/>
    <cellStyle name="Normal 3 7 3 4 3 2" xfId="37249" xr:uid="{00000000-0005-0000-0000-0000FE550000}"/>
    <cellStyle name="Normal 3 7 3 4 4" xfId="7213" xr:uid="{00000000-0005-0000-0000-0000FF550000}"/>
    <cellStyle name="Normal 3 7 3 4 4 2" xfId="37250" xr:uid="{00000000-0005-0000-0000-000000560000}"/>
    <cellStyle name="Normal 3 7 3 4 5" xfId="37251" xr:uid="{00000000-0005-0000-0000-000001560000}"/>
    <cellStyle name="Normal 3 7 3 4_01-04-2012" xfId="7214" xr:uid="{00000000-0005-0000-0000-000002560000}"/>
    <cellStyle name="Normal 3 7 3 5" xfId="7215" xr:uid="{00000000-0005-0000-0000-000003560000}"/>
    <cellStyle name="Normal 3 7 3 5 2" xfId="37252" xr:uid="{00000000-0005-0000-0000-000004560000}"/>
    <cellStyle name="Normal 3 7 3 6" xfId="7216" xr:uid="{00000000-0005-0000-0000-000005560000}"/>
    <cellStyle name="Normal 3 7 3 6 2" xfId="37253" xr:uid="{00000000-0005-0000-0000-000006560000}"/>
    <cellStyle name="Normal 3 7 3 7" xfId="7217" xr:uid="{00000000-0005-0000-0000-000007560000}"/>
    <cellStyle name="Normal 3 7 3 7 2" xfId="37254" xr:uid="{00000000-0005-0000-0000-000008560000}"/>
    <cellStyle name="Normal 3 7 3 8" xfId="37255" xr:uid="{00000000-0005-0000-0000-000009560000}"/>
    <cellStyle name="Normal 3 7 3_01-04-2012" xfId="7218" xr:uid="{00000000-0005-0000-0000-00000A560000}"/>
    <cellStyle name="Normal 3 7 4" xfId="7219" xr:uid="{00000000-0005-0000-0000-00000B560000}"/>
    <cellStyle name="Normal 3 7 4 2" xfId="7220" xr:uid="{00000000-0005-0000-0000-00000C560000}"/>
    <cellStyle name="Normal 3 7 4 2 2" xfId="7221" xr:uid="{00000000-0005-0000-0000-00000D560000}"/>
    <cellStyle name="Normal 3 7 4 2 2 2" xfId="37256" xr:uid="{00000000-0005-0000-0000-00000E560000}"/>
    <cellStyle name="Normal 3 7 4 2 3" xfId="7222" xr:uid="{00000000-0005-0000-0000-00000F560000}"/>
    <cellStyle name="Normal 3 7 4 2 3 2" xfId="37257" xr:uid="{00000000-0005-0000-0000-000010560000}"/>
    <cellStyle name="Normal 3 7 4 2 4" xfId="7223" xr:uid="{00000000-0005-0000-0000-000011560000}"/>
    <cellStyle name="Normal 3 7 4 2 4 2" xfId="37258" xr:uid="{00000000-0005-0000-0000-000012560000}"/>
    <cellStyle name="Normal 3 7 4 2 5" xfId="37259" xr:uid="{00000000-0005-0000-0000-000013560000}"/>
    <cellStyle name="Normal 3 7 4 2_01-04-2012" xfId="7224" xr:uid="{00000000-0005-0000-0000-000014560000}"/>
    <cellStyle name="Normal 3 7 4 3" xfId="7225" xr:uid="{00000000-0005-0000-0000-000015560000}"/>
    <cellStyle name="Normal 3 7 4 3 2" xfId="7226" xr:uid="{00000000-0005-0000-0000-000016560000}"/>
    <cellStyle name="Normal 3 7 4 3 2 2" xfId="37260" xr:uid="{00000000-0005-0000-0000-000017560000}"/>
    <cellStyle name="Normal 3 7 4 3 3" xfId="7227" xr:uid="{00000000-0005-0000-0000-000018560000}"/>
    <cellStyle name="Normal 3 7 4 3 3 2" xfId="37261" xr:uid="{00000000-0005-0000-0000-000019560000}"/>
    <cellStyle name="Normal 3 7 4 3 4" xfId="7228" xr:uid="{00000000-0005-0000-0000-00001A560000}"/>
    <cellStyle name="Normal 3 7 4 3 4 2" xfId="37262" xr:uid="{00000000-0005-0000-0000-00001B560000}"/>
    <cellStyle name="Normal 3 7 4 3 5" xfId="37263" xr:uid="{00000000-0005-0000-0000-00001C560000}"/>
    <cellStyle name="Normal 3 7 4 3_01-04-2012" xfId="7229" xr:uid="{00000000-0005-0000-0000-00001D560000}"/>
    <cellStyle name="Normal 3 7 4 4" xfId="7230" xr:uid="{00000000-0005-0000-0000-00001E560000}"/>
    <cellStyle name="Normal 3 7 4 4 2" xfId="7231" xr:uid="{00000000-0005-0000-0000-00001F560000}"/>
    <cellStyle name="Normal 3 7 4 4 2 2" xfId="37264" xr:uid="{00000000-0005-0000-0000-000020560000}"/>
    <cellStyle name="Normal 3 7 4 4 3" xfId="7232" xr:uid="{00000000-0005-0000-0000-000021560000}"/>
    <cellStyle name="Normal 3 7 4 4 3 2" xfId="37265" xr:uid="{00000000-0005-0000-0000-000022560000}"/>
    <cellStyle name="Normal 3 7 4 4 4" xfId="7233" xr:uid="{00000000-0005-0000-0000-000023560000}"/>
    <cellStyle name="Normal 3 7 4 4 4 2" xfId="37266" xr:uid="{00000000-0005-0000-0000-000024560000}"/>
    <cellStyle name="Normal 3 7 4 4 5" xfId="37267" xr:uid="{00000000-0005-0000-0000-000025560000}"/>
    <cellStyle name="Normal 3 7 4 4_01-04-2012" xfId="7234" xr:uid="{00000000-0005-0000-0000-000026560000}"/>
    <cellStyle name="Normal 3 7 4 5" xfId="7235" xr:uid="{00000000-0005-0000-0000-000027560000}"/>
    <cellStyle name="Normal 3 7 4 5 2" xfId="37268" xr:uid="{00000000-0005-0000-0000-000028560000}"/>
    <cellStyle name="Normal 3 7 4 6" xfId="7236" xr:uid="{00000000-0005-0000-0000-000029560000}"/>
    <cellStyle name="Normal 3 7 4 6 2" xfId="37269" xr:uid="{00000000-0005-0000-0000-00002A560000}"/>
    <cellStyle name="Normal 3 7 4 7" xfId="7237" xr:uid="{00000000-0005-0000-0000-00002B560000}"/>
    <cellStyle name="Normal 3 7 4 7 2" xfId="37270" xr:uid="{00000000-0005-0000-0000-00002C560000}"/>
    <cellStyle name="Normal 3 7 4 8" xfId="37271" xr:uid="{00000000-0005-0000-0000-00002D560000}"/>
    <cellStyle name="Normal 3 7 4_01-04-2012" xfId="7238" xr:uid="{00000000-0005-0000-0000-00002E560000}"/>
    <cellStyle name="Normal 3 7 5" xfId="7239" xr:uid="{00000000-0005-0000-0000-00002F560000}"/>
    <cellStyle name="Normal 3 7 5 2" xfId="7240" xr:uid="{00000000-0005-0000-0000-000030560000}"/>
    <cellStyle name="Normal 3 7 5 2 2" xfId="37272" xr:uid="{00000000-0005-0000-0000-000031560000}"/>
    <cellStyle name="Normal 3 7 5 3" xfId="7241" xr:uid="{00000000-0005-0000-0000-000032560000}"/>
    <cellStyle name="Normal 3 7 5 3 2" xfId="37273" xr:uid="{00000000-0005-0000-0000-000033560000}"/>
    <cellStyle name="Normal 3 7 5 4" xfId="7242" xr:uid="{00000000-0005-0000-0000-000034560000}"/>
    <cellStyle name="Normal 3 7 5 4 2" xfId="37274" xr:uid="{00000000-0005-0000-0000-000035560000}"/>
    <cellStyle name="Normal 3 7 5 5" xfId="37275" xr:uid="{00000000-0005-0000-0000-000036560000}"/>
    <cellStyle name="Normal 3 7 5_01-04-2012" xfId="7243" xr:uid="{00000000-0005-0000-0000-000037560000}"/>
    <cellStyle name="Normal 3 7 6" xfId="7244" xr:uid="{00000000-0005-0000-0000-000038560000}"/>
    <cellStyle name="Normal 3 7 6 2" xfId="7245" xr:uid="{00000000-0005-0000-0000-000039560000}"/>
    <cellStyle name="Normal 3 7 6 2 2" xfId="37276" xr:uid="{00000000-0005-0000-0000-00003A560000}"/>
    <cellStyle name="Normal 3 7 6 3" xfId="7246" xr:uid="{00000000-0005-0000-0000-00003B560000}"/>
    <cellStyle name="Normal 3 7 6 3 2" xfId="37277" xr:uid="{00000000-0005-0000-0000-00003C560000}"/>
    <cellStyle name="Normal 3 7 6 4" xfId="7247" xr:uid="{00000000-0005-0000-0000-00003D560000}"/>
    <cellStyle name="Normal 3 7 6 4 2" xfId="37278" xr:uid="{00000000-0005-0000-0000-00003E560000}"/>
    <cellStyle name="Normal 3 7 6 5" xfId="37279" xr:uid="{00000000-0005-0000-0000-00003F560000}"/>
    <cellStyle name="Normal 3 7 6_01-04-2012" xfId="7248" xr:uid="{00000000-0005-0000-0000-000040560000}"/>
    <cellStyle name="Normal 3 7 7" xfId="7249" xr:uid="{00000000-0005-0000-0000-000041560000}"/>
    <cellStyle name="Normal 3 7 7 2" xfId="7250" xr:uid="{00000000-0005-0000-0000-000042560000}"/>
    <cellStyle name="Normal 3 7 7 2 2" xfId="37280" xr:uid="{00000000-0005-0000-0000-000043560000}"/>
    <cellStyle name="Normal 3 7 7 3" xfId="7251" xr:uid="{00000000-0005-0000-0000-000044560000}"/>
    <cellStyle name="Normal 3 7 7 3 2" xfId="37281" xr:uid="{00000000-0005-0000-0000-000045560000}"/>
    <cellStyle name="Normal 3 7 7 4" xfId="7252" xr:uid="{00000000-0005-0000-0000-000046560000}"/>
    <cellStyle name="Normal 3 7 7 4 2" xfId="37282" xr:uid="{00000000-0005-0000-0000-000047560000}"/>
    <cellStyle name="Normal 3 7 7 5" xfId="37283" xr:uid="{00000000-0005-0000-0000-000048560000}"/>
    <cellStyle name="Normal 3 7 7_01-04-2012" xfId="7253" xr:uid="{00000000-0005-0000-0000-000049560000}"/>
    <cellStyle name="Normal 3 7 8" xfId="7254" xr:uid="{00000000-0005-0000-0000-00004A560000}"/>
    <cellStyle name="Normal 3 7 8 2" xfId="7255" xr:uid="{00000000-0005-0000-0000-00004B560000}"/>
    <cellStyle name="Normal 3 7 8 2 2" xfId="37284" xr:uid="{00000000-0005-0000-0000-00004C560000}"/>
    <cellStyle name="Normal 3 7 8 3" xfId="7256" xr:uid="{00000000-0005-0000-0000-00004D560000}"/>
    <cellStyle name="Normal 3 7 8 3 2" xfId="37285" xr:uid="{00000000-0005-0000-0000-00004E560000}"/>
    <cellStyle name="Normal 3 7 8 4" xfId="7257" xr:uid="{00000000-0005-0000-0000-00004F560000}"/>
    <cellStyle name="Normal 3 7 8 4 2" xfId="37286" xr:uid="{00000000-0005-0000-0000-000050560000}"/>
    <cellStyle name="Normal 3 7 8 5" xfId="37287" xr:uid="{00000000-0005-0000-0000-000051560000}"/>
    <cellStyle name="Normal 3 7 8_01-04-2012" xfId="7258" xr:uid="{00000000-0005-0000-0000-000052560000}"/>
    <cellStyle name="Normal 3 7 9" xfId="7259" xr:uid="{00000000-0005-0000-0000-000053560000}"/>
    <cellStyle name="Normal 3 7 9 2" xfId="7260" xr:uid="{00000000-0005-0000-0000-000054560000}"/>
    <cellStyle name="Normal 3 7 9 2 2" xfId="37288" xr:uid="{00000000-0005-0000-0000-000055560000}"/>
    <cellStyle name="Normal 3 7 9 3" xfId="7261" xr:uid="{00000000-0005-0000-0000-000056560000}"/>
    <cellStyle name="Normal 3 7 9 3 2" xfId="37289" xr:uid="{00000000-0005-0000-0000-000057560000}"/>
    <cellStyle name="Normal 3 7 9 4" xfId="7262" xr:uid="{00000000-0005-0000-0000-000058560000}"/>
    <cellStyle name="Normal 3 7 9 4 2" xfId="37290" xr:uid="{00000000-0005-0000-0000-000059560000}"/>
    <cellStyle name="Normal 3 7 9 5" xfId="37291" xr:uid="{00000000-0005-0000-0000-00005A560000}"/>
    <cellStyle name="Normal 3 7 9_01-04-2012" xfId="7263" xr:uid="{00000000-0005-0000-0000-00005B560000}"/>
    <cellStyle name="Normal 3 7_01-04-2012" xfId="7264" xr:uid="{00000000-0005-0000-0000-00005C560000}"/>
    <cellStyle name="Normal 3 70" xfId="7265" xr:uid="{00000000-0005-0000-0000-00005D560000}"/>
    <cellStyle name="Normal 3 71" xfId="7266" xr:uid="{00000000-0005-0000-0000-00005E560000}"/>
    <cellStyle name="Normal 3 72" xfId="7267" xr:uid="{00000000-0005-0000-0000-00005F560000}"/>
    <cellStyle name="Normal 3 73" xfId="7268" xr:uid="{00000000-0005-0000-0000-000060560000}"/>
    <cellStyle name="Normal 3 74" xfId="7269" xr:uid="{00000000-0005-0000-0000-000061560000}"/>
    <cellStyle name="Normal 3 75" xfId="7270" xr:uid="{00000000-0005-0000-0000-000062560000}"/>
    <cellStyle name="Normal 3 76" xfId="7271" xr:uid="{00000000-0005-0000-0000-000063560000}"/>
    <cellStyle name="Normal 3 77" xfId="7272" xr:uid="{00000000-0005-0000-0000-000064560000}"/>
    <cellStyle name="Normal 3 78" xfId="7273" xr:uid="{00000000-0005-0000-0000-000065560000}"/>
    <cellStyle name="Normal 3 78 2" xfId="37292" xr:uid="{00000000-0005-0000-0000-000066560000}"/>
    <cellStyle name="Normal 3 79" xfId="7274" xr:uid="{00000000-0005-0000-0000-000067560000}"/>
    <cellStyle name="Normal 3 79 2" xfId="37293" xr:uid="{00000000-0005-0000-0000-000068560000}"/>
    <cellStyle name="Normal 3 8" xfId="7275" xr:uid="{00000000-0005-0000-0000-000069560000}"/>
    <cellStyle name="Normal 3 8 10" xfId="7276" xr:uid="{00000000-0005-0000-0000-00006A560000}"/>
    <cellStyle name="Normal 3 8 10 2" xfId="37294" xr:uid="{00000000-0005-0000-0000-00006B560000}"/>
    <cellStyle name="Normal 3 8 11" xfId="7277" xr:uid="{00000000-0005-0000-0000-00006C560000}"/>
    <cellStyle name="Normal 3 8 11 2" xfId="37295" xr:uid="{00000000-0005-0000-0000-00006D560000}"/>
    <cellStyle name="Normal 3 8 12" xfId="7278" xr:uid="{00000000-0005-0000-0000-00006E560000}"/>
    <cellStyle name="Normal 3 8 12 2" xfId="37296" xr:uid="{00000000-0005-0000-0000-00006F560000}"/>
    <cellStyle name="Normal 3 8 13" xfId="7279" xr:uid="{00000000-0005-0000-0000-000070560000}"/>
    <cellStyle name="Normal 3 8 13 2" xfId="37297" xr:uid="{00000000-0005-0000-0000-000071560000}"/>
    <cellStyle name="Normal 3 8 14" xfId="20233" xr:uid="{00000000-0005-0000-0000-000072560000}"/>
    <cellStyle name="Normal 3 8 14 2" xfId="37298" xr:uid="{00000000-0005-0000-0000-000073560000}"/>
    <cellStyle name="Normal 3 8 2" xfId="7280" xr:uid="{00000000-0005-0000-0000-000074560000}"/>
    <cellStyle name="Normal 3 8 2 2" xfId="7281" xr:uid="{00000000-0005-0000-0000-000075560000}"/>
    <cellStyle name="Normal 3 8 2 2 2" xfId="7282" xr:uid="{00000000-0005-0000-0000-000076560000}"/>
    <cellStyle name="Normal 3 8 2 2 2 2" xfId="37299" xr:uid="{00000000-0005-0000-0000-000077560000}"/>
    <cellStyle name="Normal 3 8 2 2 3" xfId="7283" xr:uid="{00000000-0005-0000-0000-000078560000}"/>
    <cellStyle name="Normal 3 8 2 2 3 2" xfId="37300" xr:uid="{00000000-0005-0000-0000-000079560000}"/>
    <cellStyle name="Normal 3 8 2 2 4" xfId="7284" xr:uid="{00000000-0005-0000-0000-00007A560000}"/>
    <cellStyle name="Normal 3 8 2 2 4 2" xfId="37301" xr:uid="{00000000-0005-0000-0000-00007B560000}"/>
    <cellStyle name="Normal 3 8 2 2 5" xfId="37302" xr:uid="{00000000-0005-0000-0000-00007C560000}"/>
    <cellStyle name="Normal 3 8 2 2_01-04-2012" xfId="7285" xr:uid="{00000000-0005-0000-0000-00007D560000}"/>
    <cellStyle name="Normal 3 8 2 3" xfId="7286" xr:uid="{00000000-0005-0000-0000-00007E560000}"/>
    <cellStyle name="Normal 3 8 2 3 2" xfId="7287" xr:uid="{00000000-0005-0000-0000-00007F560000}"/>
    <cellStyle name="Normal 3 8 2 3 2 2" xfId="37303" xr:uid="{00000000-0005-0000-0000-000080560000}"/>
    <cellStyle name="Normal 3 8 2 3 3" xfId="7288" xr:uid="{00000000-0005-0000-0000-000081560000}"/>
    <cellStyle name="Normal 3 8 2 3 3 2" xfId="37304" xr:uid="{00000000-0005-0000-0000-000082560000}"/>
    <cellStyle name="Normal 3 8 2 3 4" xfId="7289" xr:uid="{00000000-0005-0000-0000-000083560000}"/>
    <cellStyle name="Normal 3 8 2 3 4 2" xfId="37305" xr:uid="{00000000-0005-0000-0000-000084560000}"/>
    <cellStyle name="Normal 3 8 2 3 5" xfId="37306" xr:uid="{00000000-0005-0000-0000-000085560000}"/>
    <cellStyle name="Normal 3 8 2 3_01-04-2012" xfId="7290" xr:uid="{00000000-0005-0000-0000-000086560000}"/>
    <cellStyle name="Normal 3 8 2 4" xfId="7291" xr:uid="{00000000-0005-0000-0000-000087560000}"/>
    <cellStyle name="Normal 3 8 2 4 2" xfId="7292" xr:uid="{00000000-0005-0000-0000-000088560000}"/>
    <cellStyle name="Normal 3 8 2 4 2 2" xfId="37307" xr:uid="{00000000-0005-0000-0000-000089560000}"/>
    <cellStyle name="Normal 3 8 2 4 3" xfId="7293" xr:uid="{00000000-0005-0000-0000-00008A560000}"/>
    <cellStyle name="Normal 3 8 2 4 3 2" xfId="37308" xr:uid="{00000000-0005-0000-0000-00008B560000}"/>
    <cellStyle name="Normal 3 8 2 4 4" xfId="7294" xr:uid="{00000000-0005-0000-0000-00008C560000}"/>
    <cellStyle name="Normal 3 8 2 4 4 2" xfId="37309" xr:uid="{00000000-0005-0000-0000-00008D560000}"/>
    <cellStyle name="Normal 3 8 2 4 5" xfId="37310" xr:uid="{00000000-0005-0000-0000-00008E560000}"/>
    <cellStyle name="Normal 3 8 2 4_01-04-2012" xfId="7295" xr:uid="{00000000-0005-0000-0000-00008F560000}"/>
    <cellStyle name="Normal 3 8 2 5" xfId="7296" xr:uid="{00000000-0005-0000-0000-000090560000}"/>
    <cellStyle name="Normal 3 8 2 5 2" xfId="37311" xr:uid="{00000000-0005-0000-0000-000091560000}"/>
    <cellStyle name="Normal 3 8 2 6" xfId="7297" xr:uid="{00000000-0005-0000-0000-000092560000}"/>
    <cellStyle name="Normal 3 8 2 6 2" xfId="37312" xr:uid="{00000000-0005-0000-0000-000093560000}"/>
    <cellStyle name="Normal 3 8 2 7" xfId="7298" xr:uid="{00000000-0005-0000-0000-000094560000}"/>
    <cellStyle name="Normal 3 8 2 7 2" xfId="37313" xr:uid="{00000000-0005-0000-0000-000095560000}"/>
    <cellStyle name="Normal 3 8 2 8" xfId="37314" xr:uid="{00000000-0005-0000-0000-000096560000}"/>
    <cellStyle name="Normal 3 8 2_01-04-2012" xfId="7299" xr:uid="{00000000-0005-0000-0000-000097560000}"/>
    <cellStyle name="Normal 3 8 3" xfId="7300" xr:uid="{00000000-0005-0000-0000-000098560000}"/>
    <cellStyle name="Normal 3 8 3 2" xfId="7301" xr:uid="{00000000-0005-0000-0000-000099560000}"/>
    <cellStyle name="Normal 3 8 3 2 2" xfId="7302" xr:uid="{00000000-0005-0000-0000-00009A560000}"/>
    <cellStyle name="Normal 3 8 3 2 2 2" xfId="37315" xr:uid="{00000000-0005-0000-0000-00009B560000}"/>
    <cellStyle name="Normal 3 8 3 2 3" xfId="7303" xr:uid="{00000000-0005-0000-0000-00009C560000}"/>
    <cellStyle name="Normal 3 8 3 2 3 2" xfId="37316" xr:uid="{00000000-0005-0000-0000-00009D560000}"/>
    <cellStyle name="Normal 3 8 3 2 4" xfId="7304" xr:uid="{00000000-0005-0000-0000-00009E560000}"/>
    <cellStyle name="Normal 3 8 3 2 4 2" xfId="37317" xr:uid="{00000000-0005-0000-0000-00009F560000}"/>
    <cellStyle name="Normal 3 8 3 2 5" xfId="37318" xr:uid="{00000000-0005-0000-0000-0000A0560000}"/>
    <cellStyle name="Normal 3 8 3 2_01-04-2012" xfId="7305" xr:uid="{00000000-0005-0000-0000-0000A1560000}"/>
    <cellStyle name="Normal 3 8 3 3" xfId="7306" xr:uid="{00000000-0005-0000-0000-0000A2560000}"/>
    <cellStyle name="Normal 3 8 3 3 2" xfId="7307" xr:uid="{00000000-0005-0000-0000-0000A3560000}"/>
    <cellStyle name="Normal 3 8 3 3 2 2" xfId="37319" xr:uid="{00000000-0005-0000-0000-0000A4560000}"/>
    <cellStyle name="Normal 3 8 3 3 3" xfId="7308" xr:uid="{00000000-0005-0000-0000-0000A5560000}"/>
    <cellStyle name="Normal 3 8 3 3 3 2" xfId="37320" xr:uid="{00000000-0005-0000-0000-0000A6560000}"/>
    <cellStyle name="Normal 3 8 3 3 4" xfId="7309" xr:uid="{00000000-0005-0000-0000-0000A7560000}"/>
    <cellStyle name="Normal 3 8 3 3 4 2" xfId="37321" xr:uid="{00000000-0005-0000-0000-0000A8560000}"/>
    <cellStyle name="Normal 3 8 3 3 5" xfId="37322" xr:uid="{00000000-0005-0000-0000-0000A9560000}"/>
    <cellStyle name="Normal 3 8 3 3_01-04-2012" xfId="7310" xr:uid="{00000000-0005-0000-0000-0000AA560000}"/>
    <cellStyle name="Normal 3 8 3 4" xfId="7311" xr:uid="{00000000-0005-0000-0000-0000AB560000}"/>
    <cellStyle name="Normal 3 8 3 4 2" xfId="7312" xr:uid="{00000000-0005-0000-0000-0000AC560000}"/>
    <cellStyle name="Normal 3 8 3 4 2 2" xfId="37323" xr:uid="{00000000-0005-0000-0000-0000AD560000}"/>
    <cellStyle name="Normal 3 8 3 4 3" xfId="7313" xr:uid="{00000000-0005-0000-0000-0000AE560000}"/>
    <cellStyle name="Normal 3 8 3 4 3 2" xfId="37324" xr:uid="{00000000-0005-0000-0000-0000AF560000}"/>
    <cellStyle name="Normal 3 8 3 4 4" xfId="7314" xr:uid="{00000000-0005-0000-0000-0000B0560000}"/>
    <cellStyle name="Normal 3 8 3 4 4 2" xfId="37325" xr:uid="{00000000-0005-0000-0000-0000B1560000}"/>
    <cellStyle name="Normal 3 8 3 4 5" xfId="37326" xr:uid="{00000000-0005-0000-0000-0000B2560000}"/>
    <cellStyle name="Normal 3 8 3 4_01-04-2012" xfId="7315" xr:uid="{00000000-0005-0000-0000-0000B3560000}"/>
    <cellStyle name="Normal 3 8 3 5" xfId="7316" xr:uid="{00000000-0005-0000-0000-0000B4560000}"/>
    <cellStyle name="Normal 3 8 3 5 2" xfId="37327" xr:uid="{00000000-0005-0000-0000-0000B5560000}"/>
    <cellStyle name="Normal 3 8 3 6" xfId="7317" xr:uid="{00000000-0005-0000-0000-0000B6560000}"/>
    <cellStyle name="Normal 3 8 3 6 2" xfId="37328" xr:uid="{00000000-0005-0000-0000-0000B7560000}"/>
    <cellStyle name="Normal 3 8 3 7" xfId="7318" xr:uid="{00000000-0005-0000-0000-0000B8560000}"/>
    <cellStyle name="Normal 3 8 3 7 2" xfId="37329" xr:uid="{00000000-0005-0000-0000-0000B9560000}"/>
    <cellStyle name="Normal 3 8 3 8" xfId="37330" xr:uid="{00000000-0005-0000-0000-0000BA560000}"/>
    <cellStyle name="Normal 3 8 3_01-04-2012" xfId="7319" xr:uid="{00000000-0005-0000-0000-0000BB560000}"/>
    <cellStyle name="Normal 3 8 4" xfId="7320" xr:uid="{00000000-0005-0000-0000-0000BC560000}"/>
    <cellStyle name="Normal 3 8 4 2" xfId="7321" xr:uid="{00000000-0005-0000-0000-0000BD560000}"/>
    <cellStyle name="Normal 3 8 4 2 2" xfId="7322" xr:uid="{00000000-0005-0000-0000-0000BE560000}"/>
    <cellStyle name="Normal 3 8 4 2 2 2" xfId="37331" xr:uid="{00000000-0005-0000-0000-0000BF560000}"/>
    <cellStyle name="Normal 3 8 4 2 3" xfId="7323" xr:uid="{00000000-0005-0000-0000-0000C0560000}"/>
    <cellStyle name="Normal 3 8 4 2 3 2" xfId="37332" xr:uid="{00000000-0005-0000-0000-0000C1560000}"/>
    <cellStyle name="Normal 3 8 4 2 4" xfId="7324" xr:uid="{00000000-0005-0000-0000-0000C2560000}"/>
    <cellStyle name="Normal 3 8 4 2 4 2" xfId="37333" xr:uid="{00000000-0005-0000-0000-0000C3560000}"/>
    <cellStyle name="Normal 3 8 4 2 5" xfId="37334" xr:uid="{00000000-0005-0000-0000-0000C4560000}"/>
    <cellStyle name="Normal 3 8 4 2_01-04-2012" xfId="7325" xr:uid="{00000000-0005-0000-0000-0000C5560000}"/>
    <cellStyle name="Normal 3 8 4 3" xfId="7326" xr:uid="{00000000-0005-0000-0000-0000C6560000}"/>
    <cellStyle name="Normal 3 8 4 3 2" xfId="7327" xr:uid="{00000000-0005-0000-0000-0000C7560000}"/>
    <cellStyle name="Normal 3 8 4 3 2 2" xfId="37335" xr:uid="{00000000-0005-0000-0000-0000C8560000}"/>
    <cellStyle name="Normal 3 8 4 3 3" xfId="7328" xr:uid="{00000000-0005-0000-0000-0000C9560000}"/>
    <cellStyle name="Normal 3 8 4 3 3 2" xfId="37336" xr:uid="{00000000-0005-0000-0000-0000CA560000}"/>
    <cellStyle name="Normal 3 8 4 3 4" xfId="7329" xr:uid="{00000000-0005-0000-0000-0000CB560000}"/>
    <cellStyle name="Normal 3 8 4 3 4 2" xfId="37337" xr:uid="{00000000-0005-0000-0000-0000CC560000}"/>
    <cellStyle name="Normal 3 8 4 3 5" xfId="37338" xr:uid="{00000000-0005-0000-0000-0000CD560000}"/>
    <cellStyle name="Normal 3 8 4 3_01-04-2012" xfId="7330" xr:uid="{00000000-0005-0000-0000-0000CE560000}"/>
    <cellStyle name="Normal 3 8 4 4" xfId="7331" xr:uid="{00000000-0005-0000-0000-0000CF560000}"/>
    <cellStyle name="Normal 3 8 4 4 2" xfId="7332" xr:uid="{00000000-0005-0000-0000-0000D0560000}"/>
    <cellStyle name="Normal 3 8 4 4 2 2" xfId="37339" xr:uid="{00000000-0005-0000-0000-0000D1560000}"/>
    <cellStyle name="Normal 3 8 4 4 3" xfId="7333" xr:uid="{00000000-0005-0000-0000-0000D2560000}"/>
    <cellStyle name="Normal 3 8 4 4 3 2" xfId="37340" xr:uid="{00000000-0005-0000-0000-0000D3560000}"/>
    <cellStyle name="Normal 3 8 4 4 4" xfId="7334" xr:uid="{00000000-0005-0000-0000-0000D4560000}"/>
    <cellStyle name="Normal 3 8 4 4 4 2" xfId="37341" xr:uid="{00000000-0005-0000-0000-0000D5560000}"/>
    <cellStyle name="Normal 3 8 4 4 5" xfId="37342" xr:uid="{00000000-0005-0000-0000-0000D6560000}"/>
    <cellStyle name="Normal 3 8 4 4_01-04-2012" xfId="7335" xr:uid="{00000000-0005-0000-0000-0000D7560000}"/>
    <cellStyle name="Normal 3 8 4 5" xfId="7336" xr:uid="{00000000-0005-0000-0000-0000D8560000}"/>
    <cellStyle name="Normal 3 8 4 5 2" xfId="37343" xr:uid="{00000000-0005-0000-0000-0000D9560000}"/>
    <cellStyle name="Normal 3 8 4 6" xfId="7337" xr:uid="{00000000-0005-0000-0000-0000DA560000}"/>
    <cellStyle name="Normal 3 8 4 6 2" xfId="37344" xr:uid="{00000000-0005-0000-0000-0000DB560000}"/>
    <cellStyle name="Normal 3 8 4 7" xfId="7338" xr:uid="{00000000-0005-0000-0000-0000DC560000}"/>
    <cellStyle name="Normal 3 8 4 7 2" xfId="37345" xr:uid="{00000000-0005-0000-0000-0000DD560000}"/>
    <cellStyle name="Normal 3 8 4 8" xfId="37346" xr:uid="{00000000-0005-0000-0000-0000DE560000}"/>
    <cellStyle name="Normal 3 8 4_01-04-2012" xfId="7339" xr:uid="{00000000-0005-0000-0000-0000DF560000}"/>
    <cellStyle name="Normal 3 8 5" xfId="7340" xr:uid="{00000000-0005-0000-0000-0000E0560000}"/>
    <cellStyle name="Normal 3 8 5 2" xfId="7341" xr:uid="{00000000-0005-0000-0000-0000E1560000}"/>
    <cellStyle name="Normal 3 8 5 2 2" xfId="37347" xr:uid="{00000000-0005-0000-0000-0000E2560000}"/>
    <cellStyle name="Normal 3 8 5 3" xfId="7342" xr:uid="{00000000-0005-0000-0000-0000E3560000}"/>
    <cellStyle name="Normal 3 8 5 3 2" xfId="37348" xr:uid="{00000000-0005-0000-0000-0000E4560000}"/>
    <cellStyle name="Normal 3 8 5 4" xfId="7343" xr:uid="{00000000-0005-0000-0000-0000E5560000}"/>
    <cellStyle name="Normal 3 8 5 4 2" xfId="37349" xr:uid="{00000000-0005-0000-0000-0000E6560000}"/>
    <cellStyle name="Normal 3 8 5 5" xfId="37350" xr:uid="{00000000-0005-0000-0000-0000E7560000}"/>
    <cellStyle name="Normal 3 8 5_01-04-2012" xfId="7344" xr:uid="{00000000-0005-0000-0000-0000E8560000}"/>
    <cellStyle name="Normal 3 8 6" xfId="7345" xr:uid="{00000000-0005-0000-0000-0000E9560000}"/>
    <cellStyle name="Normal 3 8 6 2" xfId="7346" xr:uid="{00000000-0005-0000-0000-0000EA560000}"/>
    <cellStyle name="Normal 3 8 6 2 2" xfId="37351" xr:uid="{00000000-0005-0000-0000-0000EB560000}"/>
    <cellStyle name="Normal 3 8 6 3" xfId="7347" xr:uid="{00000000-0005-0000-0000-0000EC560000}"/>
    <cellStyle name="Normal 3 8 6 3 2" xfId="37352" xr:uid="{00000000-0005-0000-0000-0000ED560000}"/>
    <cellStyle name="Normal 3 8 6 4" xfId="7348" xr:uid="{00000000-0005-0000-0000-0000EE560000}"/>
    <cellStyle name="Normal 3 8 6 4 2" xfId="37353" xr:uid="{00000000-0005-0000-0000-0000EF560000}"/>
    <cellStyle name="Normal 3 8 6 5" xfId="37354" xr:uid="{00000000-0005-0000-0000-0000F0560000}"/>
    <cellStyle name="Normal 3 8 6_01-04-2012" xfId="7349" xr:uid="{00000000-0005-0000-0000-0000F1560000}"/>
    <cellStyle name="Normal 3 8 7" xfId="7350" xr:uid="{00000000-0005-0000-0000-0000F2560000}"/>
    <cellStyle name="Normal 3 8 7 2" xfId="7351" xr:uid="{00000000-0005-0000-0000-0000F3560000}"/>
    <cellStyle name="Normal 3 8 7 2 2" xfId="37355" xr:uid="{00000000-0005-0000-0000-0000F4560000}"/>
    <cellStyle name="Normal 3 8 7 3" xfId="7352" xr:uid="{00000000-0005-0000-0000-0000F5560000}"/>
    <cellStyle name="Normal 3 8 7 3 2" xfId="37356" xr:uid="{00000000-0005-0000-0000-0000F6560000}"/>
    <cellStyle name="Normal 3 8 7 4" xfId="7353" xr:uid="{00000000-0005-0000-0000-0000F7560000}"/>
    <cellStyle name="Normal 3 8 7 4 2" xfId="37357" xr:uid="{00000000-0005-0000-0000-0000F8560000}"/>
    <cellStyle name="Normal 3 8 7 5" xfId="37358" xr:uid="{00000000-0005-0000-0000-0000F9560000}"/>
    <cellStyle name="Normal 3 8 7_01-04-2012" xfId="7354" xr:uid="{00000000-0005-0000-0000-0000FA560000}"/>
    <cellStyle name="Normal 3 8 8" xfId="7355" xr:uid="{00000000-0005-0000-0000-0000FB560000}"/>
    <cellStyle name="Normal 3 8 8 2" xfId="7356" xr:uid="{00000000-0005-0000-0000-0000FC560000}"/>
    <cellStyle name="Normal 3 8 8 2 2" xfId="37359" xr:uid="{00000000-0005-0000-0000-0000FD560000}"/>
    <cellStyle name="Normal 3 8 8 3" xfId="7357" xr:uid="{00000000-0005-0000-0000-0000FE560000}"/>
    <cellStyle name="Normal 3 8 8 3 2" xfId="37360" xr:uid="{00000000-0005-0000-0000-0000FF560000}"/>
    <cellStyle name="Normal 3 8 8 4" xfId="7358" xr:uid="{00000000-0005-0000-0000-000000570000}"/>
    <cellStyle name="Normal 3 8 8 4 2" xfId="37361" xr:uid="{00000000-0005-0000-0000-000001570000}"/>
    <cellStyle name="Normal 3 8 8 5" xfId="37362" xr:uid="{00000000-0005-0000-0000-000002570000}"/>
    <cellStyle name="Normal 3 8 8_01-04-2012" xfId="7359" xr:uid="{00000000-0005-0000-0000-000003570000}"/>
    <cellStyle name="Normal 3 8 9" xfId="7360" xr:uid="{00000000-0005-0000-0000-000004570000}"/>
    <cellStyle name="Normal 3 8 9 2" xfId="7361" xr:uid="{00000000-0005-0000-0000-000005570000}"/>
    <cellStyle name="Normal 3 8 9 2 2" xfId="37363" xr:uid="{00000000-0005-0000-0000-000006570000}"/>
    <cellStyle name="Normal 3 8 9 3" xfId="7362" xr:uid="{00000000-0005-0000-0000-000007570000}"/>
    <cellStyle name="Normal 3 8 9 3 2" xfId="37364" xr:uid="{00000000-0005-0000-0000-000008570000}"/>
    <cellStyle name="Normal 3 8 9 4" xfId="7363" xr:uid="{00000000-0005-0000-0000-000009570000}"/>
    <cellStyle name="Normal 3 8 9 4 2" xfId="37365" xr:uid="{00000000-0005-0000-0000-00000A570000}"/>
    <cellStyle name="Normal 3 8 9 5" xfId="37366" xr:uid="{00000000-0005-0000-0000-00000B570000}"/>
    <cellStyle name="Normal 3 8 9_01-04-2012" xfId="7364" xr:uid="{00000000-0005-0000-0000-00000C570000}"/>
    <cellStyle name="Normal 3 8_01-04-2012" xfId="7365" xr:uid="{00000000-0005-0000-0000-00000D570000}"/>
    <cellStyle name="Normal 3 80" xfId="7366" xr:uid="{00000000-0005-0000-0000-00000E570000}"/>
    <cellStyle name="Normal 3 80 2" xfId="37367" xr:uid="{00000000-0005-0000-0000-00000F570000}"/>
    <cellStyle name="Normal 3 81" xfId="7367" xr:uid="{00000000-0005-0000-0000-000010570000}"/>
    <cellStyle name="Normal 3 81 2" xfId="37368" xr:uid="{00000000-0005-0000-0000-000011570000}"/>
    <cellStyle name="Normal 3 82" xfId="7368" xr:uid="{00000000-0005-0000-0000-000012570000}"/>
    <cellStyle name="Normal 3 82 2" xfId="37369" xr:uid="{00000000-0005-0000-0000-000013570000}"/>
    <cellStyle name="Normal 3 83" xfId="7369" xr:uid="{00000000-0005-0000-0000-000014570000}"/>
    <cellStyle name="Normal 3 84" xfId="7370" xr:uid="{00000000-0005-0000-0000-000015570000}"/>
    <cellStyle name="Normal 3 85" xfId="7371" xr:uid="{00000000-0005-0000-0000-000016570000}"/>
    <cellStyle name="Normal 3 86" xfId="7372" xr:uid="{00000000-0005-0000-0000-000017570000}"/>
    <cellStyle name="Normal 3 87" xfId="7373" xr:uid="{00000000-0005-0000-0000-000018570000}"/>
    <cellStyle name="Normal 3 88" xfId="7374" xr:uid="{00000000-0005-0000-0000-000019570000}"/>
    <cellStyle name="Normal 3 89" xfId="7375" xr:uid="{00000000-0005-0000-0000-00001A570000}"/>
    <cellStyle name="Normal 3 9" xfId="7376" xr:uid="{00000000-0005-0000-0000-00001B570000}"/>
    <cellStyle name="Normal 3 9 10" xfId="7377" xr:uid="{00000000-0005-0000-0000-00001C570000}"/>
    <cellStyle name="Normal 3 9 10 2" xfId="37370" xr:uid="{00000000-0005-0000-0000-00001D570000}"/>
    <cellStyle name="Normal 3 9 11" xfId="7378" xr:uid="{00000000-0005-0000-0000-00001E570000}"/>
    <cellStyle name="Normal 3 9 11 2" xfId="37371" xr:uid="{00000000-0005-0000-0000-00001F570000}"/>
    <cellStyle name="Normal 3 9 12" xfId="7379" xr:uid="{00000000-0005-0000-0000-000020570000}"/>
    <cellStyle name="Normal 3 9 12 2" xfId="37372" xr:uid="{00000000-0005-0000-0000-000021570000}"/>
    <cellStyle name="Normal 3 9 13" xfId="7380" xr:uid="{00000000-0005-0000-0000-000022570000}"/>
    <cellStyle name="Normal 3 9 13 2" xfId="37373" xr:uid="{00000000-0005-0000-0000-000023570000}"/>
    <cellStyle name="Normal 3 9 14" xfId="20234" xr:uid="{00000000-0005-0000-0000-000024570000}"/>
    <cellStyle name="Normal 3 9 14 2" xfId="37374" xr:uid="{00000000-0005-0000-0000-000025570000}"/>
    <cellStyle name="Normal 3 9 2" xfId="7381" xr:uid="{00000000-0005-0000-0000-000026570000}"/>
    <cellStyle name="Normal 3 9 2 2" xfId="7382" xr:uid="{00000000-0005-0000-0000-000027570000}"/>
    <cellStyle name="Normal 3 9 2 2 2" xfId="7383" xr:uid="{00000000-0005-0000-0000-000028570000}"/>
    <cellStyle name="Normal 3 9 2 2 2 2" xfId="37375" xr:uid="{00000000-0005-0000-0000-000029570000}"/>
    <cellStyle name="Normal 3 9 2 2 3" xfId="7384" xr:uid="{00000000-0005-0000-0000-00002A570000}"/>
    <cellStyle name="Normal 3 9 2 2 3 2" xfId="37376" xr:uid="{00000000-0005-0000-0000-00002B570000}"/>
    <cellStyle name="Normal 3 9 2 2 4" xfId="7385" xr:uid="{00000000-0005-0000-0000-00002C570000}"/>
    <cellStyle name="Normal 3 9 2 2 4 2" xfId="37377" xr:uid="{00000000-0005-0000-0000-00002D570000}"/>
    <cellStyle name="Normal 3 9 2 2 5" xfId="37378" xr:uid="{00000000-0005-0000-0000-00002E570000}"/>
    <cellStyle name="Normal 3 9 2 2_01-04-2012" xfId="7386" xr:uid="{00000000-0005-0000-0000-00002F570000}"/>
    <cellStyle name="Normal 3 9 2 3" xfId="7387" xr:uid="{00000000-0005-0000-0000-000030570000}"/>
    <cellStyle name="Normal 3 9 2 3 2" xfId="7388" xr:uid="{00000000-0005-0000-0000-000031570000}"/>
    <cellStyle name="Normal 3 9 2 3 2 2" xfId="37379" xr:uid="{00000000-0005-0000-0000-000032570000}"/>
    <cellStyle name="Normal 3 9 2 3 3" xfId="7389" xr:uid="{00000000-0005-0000-0000-000033570000}"/>
    <cellStyle name="Normal 3 9 2 3 3 2" xfId="37380" xr:uid="{00000000-0005-0000-0000-000034570000}"/>
    <cellStyle name="Normal 3 9 2 3 4" xfId="7390" xr:uid="{00000000-0005-0000-0000-000035570000}"/>
    <cellStyle name="Normal 3 9 2 3 4 2" xfId="37381" xr:uid="{00000000-0005-0000-0000-000036570000}"/>
    <cellStyle name="Normal 3 9 2 3 5" xfId="37382" xr:uid="{00000000-0005-0000-0000-000037570000}"/>
    <cellStyle name="Normal 3 9 2 3_01-04-2012" xfId="7391" xr:uid="{00000000-0005-0000-0000-000038570000}"/>
    <cellStyle name="Normal 3 9 2 4" xfId="7392" xr:uid="{00000000-0005-0000-0000-000039570000}"/>
    <cellStyle name="Normal 3 9 2 4 2" xfId="7393" xr:uid="{00000000-0005-0000-0000-00003A570000}"/>
    <cellStyle name="Normal 3 9 2 4 2 2" xfId="37383" xr:uid="{00000000-0005-0000-0000-00003B570000}"/>
    <cellStyle name="Normal 3 9 2 4 3" xfId="7394" xr:uid="{00000000-0005-0000-0000-00003C570000}"/>
    <cellStyle name="Normal 3 9 2 4 3 2" xfId="37384" xr:uid="{00000000-0005-0000-0000-00003D570000}"/>
    <cellStyle name="Normal 3 9 2 4 4" xfId="7395" xr:uid="{00000000-0005-0000-0000-00003E570000}"/>
    <cellStyle name="Normal 3 9 2 4 4 2" xfId="37385" xr:uid="{00000000-0005-0000-0000-00003F570000}"/>
    <cellStyle name="Normal 3 9 2 4 5" xfId="37386" xr:uid="{00000000-0005-0000-0000-000040570000}"/>
    <cellStyle name="Normal 3 9 2 4_01-04-2012" xfId="7396" xr:uid="{00000000-0005-0000-0000-000041570000}"/>
    <cellStyle name="Normal 3 9 2 5" xfId="7397" xr:uid="{00000000-0005-0000-0000-000042570000}"/>
    <cellStyle name="Normal 3 9 2 5 2" xfId="37387" xr:uid="{00000000-0005-0000-0000-000043570000}"/>
    <cellStyle name="Normal 3 9 2 6" xfId="7398" xr:uid="{00000000-0005-0000-0000-000044570000}"/>
    <cellStyle name="Normal 3 9 2 6 2" xfId="37388" xr:uid="{00000000-0005-0000-0000-000045570000}"/>
    <cellStyle name="Normal 3 9 2 7" xfId="7399" xr:uid="{00000000-0005-0000-0000-000046570000}"/>
    <cellStyle name="Normal 3 9 2 7 2" xfId="37389" xr:uid="{00000000-0005-0000-0000-000047570000}"/>
    <cellStyle name="Normal 3 9 2 8" xfId="37390" xr:uid="{00000000-0005-0000-0000-000048570000}"/>
    <cellStyle name="Normal 3 9 2_01-04-2012" xfId="7400" xr:uid="{00000000-0005-0000-0000-000049570000}"/>
    <cellStyle name="Normal 3 9 3" xfId="7401" xr:uid="{00000000-0005-0000-0000-00004A570000}"/>
    <cellStyle name="Normal 3 9 3 2" xfId="7402" xr:uid="{00000000-0005-0000-0000-00004B570000}"/>
    <cellStyle name="Normal 3 9 3 2 2" xfId="7403" xr:uid="{00000000-0005-0000-0000-00004C570000}"/>
    <cellStyle name="Normal 3 9 3 2 2 2" xfId="37391" xr:uid="{00000000-0005-0000-0000-00004D570000}"/>
    <cellStyle name="Normal 3 9 3 2 3" xfId="7404" xr:uid="{00000000-0005-0000-0000-00004E570000}"/>
    <cellStyle name="Normal 3 9 3 2 3 2" xfId="37392" xr:uid="{00000000-0005-0000-0000-00004F570000}"/>
    <cellStyle name="Normal 3 9 3 2 4" xfId="7405" xr:uid="{00000000-0005-0000-0000-000050570000}"/>
    <cellStyle name="Normal 3 9 3 2 4 2" xfId="37393" xr:uid="{00000000-0005-0000-0000-000051570000}"/>
    <cellStyle name="Normal 3 9 3 2 5" xfId="37394" xr:uid="{00000000-0005-0000-0000-000052570000}"/>
    <cellStyle name="Normal 3 9 3 2_01-04-2012" xfId="7406" xr:uid="{00000000-0005-0000-0000-000053570000}"/>
    <cellStyle name="Normal 3 9 3 3" xfId="7407" xr:uid="{00000000-0005-0000-0000-000054570000}"/>
    <cellStyle name="Normal 3 9 3 3 2" xfId="7408" xr:uid="{00000000-0005-0000-0000-000055570000}"/>
    <cellStyle name="Normal 3 9 3 3 2 2" xfId="37395" xr:uid="{00000000-0005-0000-0000-000056570000}"/>
    <cellStyle name="Normal 3 9 3 3 3" xfId="7409" xr:uid="{00000000-0005-0000-0000-000057570000}"/>
    <cellStyle name="Normal 3 9 3 3 3 2" xfId="37396" xr:uid="{00000000-0005-0000-0000-000058570000}"/>
    <cellStyle name="Normal 3 9 3 3 4" xfId="7410" xr:uid="{00000000-0005-0000-0000-000059570000}"/>
    <cellStyle name="Normal 3 9 3 3 4 2" xfId="37397" xr:uid="{00000000-0005-0000-0000-00005A570000}"/>
    <cellStyle name="Normal 3 9 3 3 5" xfId="37398" xr:uid="{00000000-0005-0000-0000-00005B570000}"/>
    <cellStyle name="Normal 3 9 3 3_01-04-2012" xfId="7411" xr:uid="{00000000-0005-0000-0000-00005C570000}"/>
    <cellStyle name="Normal 3 9 3 4" xfId="7412" xr:uid="{00000000-0005-0000-0000-00005D570000}"/>
    <cellStyle name="Normal 3 9 3 4 2" xfId="7413" xr:uid="{00000000-0005-0000-0000-00005E570000}"/>
    <cellStyle name="Normal 3 9 3 4 2 2" xfId="37399" xr:uid="{00000000-0005-0000-0000-00005F570000}"/>
    <cellStyle name="Normal 3 9 3 4 3" xfId="7414" xr:uid="{00000000-0005-0000-0000-000060570000}"/>
    <cellStyle name="Normal 3 9 3 4 3 2" xfId="37400" xr:uid="{00000000-0005-0000-0000-000061570000}"/>
    <cellStyle name="Normal 3 9 3 4 4" xfId="7415" xr:uid="{00000000-0005-0000-0000-000062570000}"/>
    <cellStyle name="Normal 3 9 3 4 4 2" xfId="37401" xr:uid="{00000000-0005-0000-0000-000063570000}"/>
    <cellStyle name="Normal 3 9 3 4 5" xfId="37402" xr:uid="{00000000-0005-0000-0000-000064570000}"/>
    <cellStyle name="Normal 3 9 3 4_01-04-2012" xfId="7416" xr:uid="{00000000-0005-0000-0000-000065570000}"/>
    <cellStyle name="Normal 3 9 3 5" xfId="7417" xr:uid="{00000000-0005-0000-0000-000066570000}"/>
    <cellStyle name="Normal 3 9 3 5 2" xfId="37403" xr:uid="{00000000-0005-0000-0000-000067570000}"/>
    <cellStyle name="Normal 3 9 3 6" xfId="7418" xr:uid="{00000000-0005-0000-0000-000068570000}"/>
    <cellStyle name="Normal 3 9 3 6 2" xfId="37404" xr:uid="{00000000-0005-0000-0000-000069570000}"/>
    <cellStyle name="Normal 3 9 3 7" xfId="7419" xr:uid="{00000000-0005-0000-0000-00006A570000}"/>
    <cellStyle name="Normal 3 9 3 7 2" xfId="37405" xr:uid="{00000000-0005-0000-0000-00006B570000}"/>
    <cellStyle name="Normal 3 9 3 8" xfId="37406" xr:uid="{00000000-0005-0000-0000-00006C570000}"/>
    <cellStyle name="Normal 3 9 3_01-04-2012" xfId="7420" xr:uid="{00000000-0005-0000-0000-00006D570000}"/>
    <cellStyle name="Normal 3 9 4" xfId="7421" xr:uid="{00000000-0005-0000-0000-00006E570000}"/>
    <cellStyle name="Normal 3 9 4 2" xfId="7422" xr:uid="{00000000-0005-0000-0000-00006F570000}"/>
    <cellStyle name="Normal 3 9 4 2 2" xfId="7423" xr:uid="{00000000-0005-0000-0000-000070570000}"/>
    <cellStyle name="Normal 3 9 4 2 2 2" xfId="37407" xr:uid="{00000000-0005-0000-0000-000071570000}"/>
    <cellStyle name="Normal 3 9 4 2 3" xfId="7424" xr:uid="{00000000-0005-0000-0000-000072570000}"/>
    <cellStyle name="Normal 3 9 4 2 3 2" xfId="37408" xr:uid="{00000000-0005-0000-0000-000073570000}"/>
    <cellStyle name="Normal 3 9 4 2 4" xfId="7425" xr:uid="{00000000-0005-0000-0000-000074570000}"/>
    <cellStyle name="Normal 3 9 4 2 4 2" xfId="37409" xr:uid="{00000000-0005-0000-0000-000075570000}"/>
    <cellStyle name="Normal 3 9 4 2 5" xfId="37410" xr:uid="{00000000-0005-0000-0000-000076570000}"/>
    <cellStyle name="Normal 3 9 4 2_01-04-2012" xfId="7426" xr:uid="{00000000-0005-0000-0000-000077570000}"/>
    <cellStyle name="Normal 3 9 4 3" xfId="7427" xr:uid="{00000000-0005-0000-0000-000078570000}"/>
    <cellStyle name="Normal 3 9 4 3 2" xfId="7428" xr:uid="{00000000-0005-0000-0000-000079570000}"/>
    <cellStyle name="Normal 3 9 4 3 2 2" xfId="37411" xr:uid="{00000000-0005-0000-0000-00007A570000}"/>
    <cellStyle name="Normal 3 9 4 3 3" xfId="7429" xr:uid="{00000000-0005-0000-0000-00007B570000}"/>
    <cellStyle name="Normal 3 9 4 3 3 2" xfId="37412" xr:uid="{00000000-0005-0000-0000-00007C570000}"/>
    <cellStyle name="Normal 3 9 4 3 4" xfId="7430" xr:uid="{00000000-0005-0000-0000-00007D570000}"/>
    <cellStyle name="Normal 3 9 4 3 4 2" xfId="37413" xr:uid="{00000000-0005-0000-0000-00007E570000}"/>
    <cellStyle name="Normal 3 9 4 3 5" xfId="37414" xr:uid="{00000000-0005-0000-0000-00007F570000}"/>
    <cellStyle name="Normal 3 9 4 3_01-04-2012" xfId="7431" xr:uid="{00000000-0005-0000-0000-000080570000}"/>
    <cellStyle name="Normal 3 9 4 4" xfId="7432" xr:uid="{00000000-0005-0000-0000-000081570000}"/>
    <cellStyle name="Normal 3 9 4 4 2" xfId="7433" xr:uid="{00000000-0005-0000-0000-000082570000}"/>
    <cellStyle name="Normal 3 9 4 4 2 2" xfId="37415" xr:uid="{00000000-0005-0000-0000-000083570000}"/>
    <cellStyle name="Normal 3 9 4 4 3" xfId="7434" xr:uid="{00000000-0005-0000-0000-000084570000}"/>
    <cellStyle name="Normal 3 9 4 4 3 2" xfId="37416" xr:uid="{00000000-0005-0000-0000-000085570000}"/>
    <cellStyle name="Normal 3 9 4 4 4" xfId="7435" xr:uid="{00000000-0005-0000-0000-000086570000}"/>
    <cellStyle name="Normal 3 9 4 4 4 2" xfId="37417" xr:uid="{00000000-0005-0000-0000-000087570000}"/>
    <cellStyle name="Normal 3 9 4 4 5" xfId="37418" xr:uid="{00000000-0005-0000-0000-000088570000}"/>
    <cellStyle name="Normal 3 9 4 4_01-04-2012" xfId="7436" xr:uid="{00000000-0005-0000-0000-000089570000}"/>
    <cellStyle name="Normal 3 9 4 5" xfId="7437" xr:uid="{00000000-0005-0000-0000-00008A570000}"/>
    <cellStyle name="Normal 3 9 4 5 2" xfId="37419" xr:uid="{00000000-0005-0000-0000-00008B570000}"/>
    <cellStyle name="Normal 3 9 4 6" xfId="7438" xr:uid="{00000000-0005-0000-0000-00008C570000}"/>
    <cellStyle name="Normal 3 9 4 6 2" xfId="37420" xr:uid="{00000000-0005-0000-0000-00008D570000}"/>
    <cellStyle name="Normal 3 9 4 7" xfId="7439" xr:uid="{00000000-0005-0000-0000-00008E570000}"/>
    <cellStyle name="Normal 3 9 4 7 2" xfId="37421" xr:uid="{00000000-0005-0000-0000-00008F570000}"/>
    <cellStyle name="Normal 3 9 4 8" xfId="37422" xr:uid="{00000000-0005-0000-0000-000090570000}"/>
    <cellStyle name="Normal 3 9 4_01-04-2012" xfId="7440" xr:uid="{00000000-0005-0000-0000-000091570000}"/>
    <cellStyle name="Normal 3 9 5" xfId="7441" xr:uid="{00000000-0005-0000-0000-000092570000}"/>
    <cellStyle name="Normal 3 9 5 2" xfId="7442" xr:uid="{00000000-0005-0000-0000-000093570000}"/>
    <cellStyle name="Normal 3 9 5 2 2" xfId="37423" xr:uid="{00000000-0005-0000-0000-000094570000}"/>
    <cellStyle name="Normal 3 9 5 3" xfId="7443" xr:uid="{00000000-0005-0000-0000-000095570000}"/>
    <cellStyle name="Normal 3 9 5 3 2" xfId="37424" xr:uid="{00000000-0005-0000-0000-000096570000}"/>
    <cellStyle name="Normal 3 9 5 4" xfId="7444" xr:uid="{00000000-0005-0000-0000-000097570000}"/>
    <cellStyle name="Normal 3 9 5 4 2" xfId="37425" xr:uid="{00000000-0005-0000-0000-000098570000}"/>
    <cellStyle name="Normal 3 9 5 5" xfId="37426" xr:uid="{00000000-0005-0000-0000-000099570000}"/>
    <cellStyle name="Normal 3 9 5_01-04-2012" xfId="7445" xr:uid="{00000000-0005-0000-0000-00009A570000}"/>
    <cellStyle name="Normal 3 9 6" xfId="7446" xr:uid="{00000000-0005-0000-0000-00009B570000}"/>
    <cellStyle name="Normal 3 9 6 2" xfId="7447" xr:uid="{00000000-0005-0000-0000-00009C570000}"/>
    <cellStyle name="Normal 3 9 6 2 2" xfId="37427" xr:uid="{00000000-0005-0000-0000-00009D570000}"/>
    <cellStyle name="Normal 3 9 6 3" xfId="7448" xr:uid="{00000000-0005-0000-0000-00009E570000}"/>
    <cellStyle name="Normal 3 9 6 3 2" xfId="37428" xr:uid="{00000000-0005-0000-0000-00009F570000}"/>
    <cellStyle name="Normal 3 9 6 4" xfId="7449" xr:uid="{00000000-0005-0000-0000-0000A0570000}"/>
    <cellStyle name="Normal 3 9 6 4 2" xfId="37429" xr:uid="{00000000-0005-0000-0000-0000A1570000}"/>
    <cellStyle name="Normal 3 9 6 5" xfId="37430" xr:uid="{00000000-0005-0000-0000-0000A2570000}"/>
    <cellStyle name="Normal 3 9 6_01-04-2012" xfId="7450" xr:uid="{00000000-0005-0000-0000-0000A3570000}"/>
    <cellStyle name="Normal 3 9 7" xfId="7451" xr:uid="{00000000-0005-0000-0000-0000A4570000}"/>
    <cellStyle name="Normal 3 9 7 2" xfId="7452" xr:uid="{00000000-0005-0000-0000-0000A5570000}"/>
    <cellStyle name="Normal 3 9 7 2 2" xfId="37431" xr:uid="{00000000-0005-0000-0000-0000A6570000}"/>
    <cellStyle name="Normal 3 9 7 3" xfId="7453" xr:uid="{00000000-0005-0000-0000-0000A7570000}"/>
    <cellStyle name="Normal 3 9 7 3 2" xfId="37432" xr:uid="{00000000-0005-0000-0000-0000A8570000}"/>
    <cellStyle name="Normal 3 9 7 4" xfId="7454" xr:uid="{00000000-0005-0000-0000-0000A9570000}"/>
    <cellStyle name="Normal 3 9 7 4 2" xfId="37433" xr:uid="{00000000-0005-0000-0000-0000AA570000}"/>
    <cellStyle name="Normal 3 9 7 5" xfId="37434" xr:uid="{00000000-0005-0000-0000-0000AB570000}"/>
    <cellStyle name="Normal 3 9 7_01-04-2012" xfId="7455" xr:uid="{00000000-0005-0000-0000-0000AC570000}"/>
    <cellStyle name="Normal 3 9 8" xfId="7456" xr:uid="{00000000-0005-0000-0000-0000AD570000}"/>
    <cellStyle name="Normal 3 9 8 2" xfId="7457" xr:uid="{00000000-0005-0000-0000-0000AE570000}"/>
    <cellStyle name="Normal 3 9 8 2 2" xfId="37435" xr:uid="{00000000-0005-0000-0000-0000AF570000}"/>
    <cellStyle name="Normal 3 9 8 3" xfId="7458" xr:uid="{00000000-0005-0000-0000-0000B0570000}"/>
    <cellStyle name="Normal 3 9 8 3 2" xfId="37436" xr:uid="{00000000-0005-0000-0000-0000B1570000}"/>
    <cellStyle name="Normal 3 9 8 4" xfId="7459" xr:uid="{00000000-0005-0000-0000-0000B2570000}"/>
    <cellStyle name="Normal 3 9 8 4 2" xfId="37437" xr:uid="{00000000-0005-0000-0000-0000B3570000}"/>
    <cellStyle name="Normal 3 9 8 5" xfId="37438" xr:uid="{00000000-0005-0000-0000-0000B4570000}"/>
    <cellStyle name="Normal 3 9 8_01-04-2012" xfId="7460" xr:uid="{00000000-0005-0000-0000-0000B5570000}"/>
    <cellStyle name="Normal 3 9 9" xfId="7461" xr:uid="{00000000-0005-0000-0000-0000B6570000}"/>
    <cellStyle name="Normal 3 9 9 2" xfId="7462" xr:uid="{00000000-0005-0000-0000-0000B7570000}"/>
    <cellStyle name="Normal 3 9 9 2 2" xfId="37439" xr:uid="{00000000-0005-0000-0000-0000B8570000}"/>
    <cellStyle name="Normal 3 9 9 3" xfId="7463" xr:uid="{00000000-0005-0000-0000-0000B9570000}"/>
    <cellStyle name="Normal 3 9 9 3 2" xfId="37440" xr:uid="{00000000-0005-0000-0000-0000BA570000}"/>
    <cellStyle name="Normal 3 9 9 4" xfId="7464" xr:uid="{00000000-0005-0000-0000-0000BB570000}"/>
    <cellStyle name="Normal 3 9 9 4 2" xfId="37441" xr:uid="{00000000-0005-0000-0000-0000BC570000}"/>
    <cellStyle name="Normal 3 9 9 5" xfId="37442" xr:uid="{00000000-0005-0000-0000-0000BD570000}"/>
    <cellStyle name="Normal 3 9 9_01-04-2012" xfId="7465" xr:uid="{00000000-0005-0000-0000-0000BE570000}"/>
    <cellStyle name="Normal 3 9_01-04-2012" xfId="7466" xr:uid="{00000000-0005-0000-0000-0000BF570000}"/>
    <cellStyle name="Normal 3 90" xfId="7467" xr:uid="{00000000-0005-0000-0000-0000C0570000}"/>
    <cellStyle name="Normal 3 91" xfId="7468" xr:uid="{00000000-0005-0000-0000-0000C1570000}"/>
    <cellStyle name="Normal 3 92" xfId="7469" xr:uid="{00000000-0005-0000-0000-0000C2570000}"/>
    <cellStyle name="Normal 3 93" xfId="6213" xr:uid="{00000000-0005-0000-0000-0000C3570000}"/>
    <cellStyle name="Normal 3 93 2" xfId="37443" xr:uid="{00000000-0005-0000-0000-0000C4570000}"/>
    <cellStyle name="Normal 3 94" xfId="20235" xr:uid="{00000000-0005-0000-0000-0000C5570000}"/>
    <cellStyle name="Normal 3 94 2" xfId="37444" xr:uid="{00000000-0005-0000-0000-0000C6570000}"/>
    <cellStyle name="Normal 3 95" xfId="33227" xr:uid="{00000000-0005-0000-0000-0000C7570000}"/>
    <cellStyle name="Normal 3 96" xfId="33225" xr:uid="{00000000-0005-0000-0000-0000C8570000}"/>
    <cellStyle name="Normal 3 97" xfId="33226" xr:uid="{00000000-0005-0000-0000-0000C9570000}"/>
    <cellStyle name="Normal 3 98" xfId="36564" xr:uid="{00000000-0005-0000-0000-0000CA570000}"/>
    <cellStyle name="Normal 3 99" xfId="34260" xr:uid="{00000000-0005-0000-0000-0000CB570000}"/>
    <cellStyle name="Normal 3_01-04-2012" xfId="7470" xr:uid="{00000000-0005-0000-0000-0000CC570000}"/>
    <cellStyle name="Normal 30" xfId="7471" xr:uid="{00000000-0005-0000-0000-0000CD570000}"/>
    <cellStyle name="Normal 30 10" xfId="7472" xr:uid="{00000000-0005-0000-0000-0000CE570000}"/>
    <cellStyle name="Normal 30 10 2" xfId="7473" xr:uid="{00000000-0005-0000-0000-0000CF570000}"/>
    <cellStyle name="Normal 30 10 2 2" xfId="37445" xr:uid="{00000000-0005-0000-0000-0000D0570000}"/>
    <cellStyle name="Normal 30 10 3" xfId="7474" xr:uid="{00000000-0005-0000-0000-0000D1570000}"/>
    <cellStyle name="Normal 30 10 3 2" xfId="37446" xr:uid="{00000000-0005-0000-0000-0000D2570000}"/>
    <cellStyle name="Normal 30 10 4" xfId="7475" xr:uid="{00000000-0005-0000-0000-0000D3570000}"/>
    <cellStyle name="Normal 30 10 4 2" xfId="37447" xr:uid="{00000000-0005-0000-0000-0000D4570000}"/>
    <cellStyle name="Normal 30 10 5" xfId="37448" xr:uid="{00000000-0005-0000-0000-0000D5570000}"/>
    <cellStyle name="Normal 30 10_01-04-2012" xfId="7476" xr:uid="{00000000-0005-0000-0000-0000D6570000}"/>
    <cellStyle name="Normal 30 11" xfId="7477" xr:uid="{00000000-0005-0000-0000-0000D7570000}"/>
    <cellStyle name="Normal 30 11 2" xfId="7478" xr:uid="{00000000-0005-0000-0000-0000D8570000}"/>
    <cellStyle name="Normal 30 11 2 2" xfId="37449" xr:uid="{00000000-0005-0000-0000-0000D9570000}"/>
    <cellStyle name="Normal 30 11 3" xfId="7479" xr:uid="{00000000-0005-0000-0000-0000DA570000}"/>
    <cellStyle name="Normal 30 11 3 2" xfId="37450" xr:uid="{00000000-0005-0000-0000-0000DB570000}"/>
    <cellStyle name="Normal 30 11 4" xfId="7480" xr:uid="{00000000-0005-0000-0000-0000DC570000}"/>
    <cellStyle name="Normal 30 11 4 2" xfId="37451" xr:uid="{00000000-0005-0000-0000-0000DD570000}"/>
    <cellStyle name="Normal 30 11 5" xfId="37452" xr:uid="{00000000-0005-0000-0000-0000DE570000}"/>
    <cellStyle name="Normal 30 11_01-04-2012" xfId="7481" xr:uid="{00000000-0005-0000-0000-0000DF570000}"/>
    <cellStyle name="Normal 30 12" xfId="7482" xr:uid="{00000000-0005-0000-0000-0000E0570000}"/>
    <cellStyle name="Normal 30 12 2" xfId="7483" xr:uid="{00000000-0005-0000-0000-0000E1570000}"/>
    <cellStyle name="Normal 30 12 2 2" xfId="37453" xr:uid="{00000000-0005-0000-0000-0000E2570000}"/>
    <cellStyle name="Normal 30 12 3" xfId="7484" xr:uid="{00000000-0005-0000-0000-0000E3570000}"/>
    <cellStyle name="Normal 30 12 3 2" xfId="37454" xr:uid="{00000000-0005-0000-0000-0000E4570000}"/>
    <cellStyle name="Normal 30 12 4" xfId="7485" xr:uid="{00000000-0005-0000-0000-0000E5570000}"/>
    <cellStyle name="Normal 30 12 4 2" xfId="37455" xr:uid="{00000000-0005-0000-0000-0000E6570000}"/>
    <cellStyle name="Normal 30 12 5" xfId="37456" xr:uid="{00000000-0005-0000-0000-0000E7570000}"/>
    <cellStyle name="Normal 30 12_01-04-2012" xfId="7486" xr:uid="{00000000-0005-0000-0000-0000E8570000}"/>
    <cellStyle name="Normal 30 13" xfId="7487" xr:uid="{00000000-0005-0000-0000-0000E9570000}"/>
    <cellStyle name="Normal 30 13 2" xfId="7488" xr:uid="{00000000-0005-0000-0000-0000EA570000}"/>
    <cellStyle name="Normal 30 13 2 2" xfId="37457" xr:uid="{00000000-0005-0000-0000-0000EB570000}"/>
    <cellStyle name="Normal 30 13 3" xfId="7489" xr:uid="{00000000-0005-0000-0000-0000EC570000}"/>
    <cellStyle name="Normal 30 13 3 2" xfId="37458" xr:uid="{00000000-0005-0000-0000-0000ED570000}"/>
    <cellStyle name="Normal 30 13 4" xfId="7490" xr:uid="{00000000-0005-0000-0000-0000EE570000}"/>
    <cellStyle name="Normal 30 13 4 2" xfId="37459" xr:uid="{00000000-0005-0000-0000-0000EF570000}"/>
    <cellStyle name="Normal 30 13 5" xfId="37460" xr:uid="{00000000-0005-0000-0000-0000F0570000}"/>
    <cellStyle name="Normal 30 13_01-04-2012" xfId="7491" xr:uid="{00000000-0005-0000-0000-0000F1570000}"/>
    <cellStyle name="Normal 30 14" xfId="7492" xr:uid="{00000000-0005-0000-0000-0000F2570000}"/>
    <cellStyle name="Normal 30 14 2" xfId="7493" xr:uid="{00000000-0005-0000-0000-0000F3570000}"/>
    <cellStyle name="Normal 30 14 2 2" xfId="37461" xr:uid="{00000000-0005-0000-0000-0000F4570000}"/>
    <cellStyle name="Normal 30 14 3" xfId="7494" xr:uid="{00000000-0005-0000-0000-0000F5570000}"/>
    <cellStyle name="Normal 30 14 3 2" xfId="37462" xr:uid="{00000000-0005-0000-0000-0000F6570000}"/>
    <cellStyle name="Normal 30 14 4" xfId="7495" xr:uid="{00000000-0005-0000-0000-0000F7570000}"/>
    <cellStyle name="Normal 30 14 4 2" xfId="37463" xr:uid="{00000000-0005-0000-0000-0000F8570000}"/>
    <cellStyle name="Normal 30 14 5" xfId="37464" xr:uid="{00000000-0005-0000-0000-0000F9570000}"/>
    <cellStyle name="Normal 30 14_01-04-2012" xfId="7496" xr:uid="{00000000-0005-0000-0000-0000FA570000}"/>
    <cellStyle name="Normal 30 15" xfId="7497" xr:uid="{00000000-0005-0000-0000-0000FB570000}"/>
    <cellStyle name="Normal 30 15 2" xfId="7498" xr:uid="{00000000-0005-0000-0000-0000FC570000}"/>
    <cellStyle name="Normal 30 15 2 2" xfId="37465" xr:uid="{00000000-0005-0000-0000-0000FD570000}"/>
    <cellStyle name="Normal 30 15 3" xfId="7499" xr:uid="{00000000-0005-0000-0000-0000FE570000}"/>
    <cellStyle name="Normal 30 15 3 2" xfId="37466" xr:uid="{00000000-0005-0000-0000-0000FF570000}"/>
    <cellStyle name="Normal 30 15 4" xfId="7500" xr:uid="{00000000-0005-0000-0000-000000580000}"/>
    <cellStyle name="Normal 30 15 4 2" xfId="37467" xr:uid="{00000000-0005-0000-0000-000001580000}"/>
    <cellStyle name="Normal 30 15 5" xfId="37468" xr:uid="{00000000-0005-0000-0000-000002580000}"/>
    <cellStyle name="Normal 30 15_01-04-2012" xfId="7501" xr:uid="{00000000-0005-0000-0000-000003580000}"/>
    <cellStyle name="Normal 30 16" xfId="7502" xr:uid="{00000000-0005-0000-0000-000004580000}"/>
    <cellStyle name="Normal 30 16 2" xfId="7503" xr:uid="{00000000-0005-0000-0000-000005580000}"/>
    <cellStyle name="Normal 30 16 2 2" xfId="37469" xr:uid="{00000000-0005-0000-0000-000006580000}"/>
    <cellStyle name="Normal 30 16 3" xfId="7504" xr:uid="{00000000-0005-0000-0000-000007580000}"/>
    <cellStyle name="Normal 30 16 3 2" xfId="37470" xr:uid="{00000000-0005-0000-0000-000008580000}"/>
    <cellStyle name="Normal 30 16 4" xfId="7505" xr:uid="{00000000-0005-0000-0000-000009580000}"/>
    <cellStyle name="Normal 30 16 4 2" xfId="37471" xr:uid="{00000000-0005-0000-0000-00000A580000}"/>
    <cellStyle name="Normal 30 16 5" xfId="37472" xr:uid="{00000000-0005-0000-0000-00000B580000}"/>
    <cellStyle name="Normal 30 16_01-04-2012" xfId="7506" xr:uid="{00000000-0005-0000-0000-00000C580000}"/>
    <cellStyle name="Normal 30 17" xfId="7507" xr:uid="{00000000-0005-0000-0000-00000D580000}"/>
    <cellStyle name="Normal 30 17 2" xfId="7508" xr:uid="{00000000-0005-0000-0000-00000E580000}"/>
    <cellStyle name="Normal 30 17 2 2" xfId="37473" xr:uid="{00000000-0005-0000-0000-00000F580000}"/>
    <cellStyle name="Normal 30 17 3" xfId="7509" xr:uid="{00000000-0005-0000-0000-000010580000}"/>
    <cellStyle name="Normal 30 17 3 2" xfId="37474" xr:uid="{00000000-0005-0000-0000-000011580000}"/>
    <cellStyle name="Normal 30 17 4" xfId="7510" xr:uid="{00000000-0005-0000-0000-000012580000}"/>
    <cellStyle name="Normal 30 17 4 2" xfId="37475" xr:uid="{00000000-0005-0000-0000-000013580000}"/>
    <cellStyle name="Normal 30 17 5" xfId="37476" xr:uid="{00000000-0005-0000-0000-000014580000}"/>
    <cellStyle name="Normal 30 17_01-04-2012" xfId="7511" xr:uid="{00000000-0005-0000-0000-000015580000}"/>
    <cellStyle name="Normal 30 18" xfId="7512" xr:uid="{00000000-0005-0000-0000-000016580000}"/>
    <cellStyle name="Normal 30 18 2" xfId="7513" xr:uid="{00000000-0005-0000-0000-000017580000}"/>
    <cellStyle name="Normal 30 18 2 2" xfId="37477" xr:uid="{00000000-0005-0000-0000-000018580000}"/>
    <cellStyle name="Normal 30 18 3" xfId="7514" xr:uid="{00000000-0005-0000-0000-000019580000}"/>
    <cellStyle name="Normal 30 18 3 2" xfId="37478" xr:uid="{00000000-0005-0000-0000-00001A580000}"/>
    <cellStyle name="Normal 30 18 4" xfId="7515" xr:uid="{00000000-0005-0000-0000-00001B580000}"/>
    <cellStyle name="Normal 30 18 4 2" xfId="37479" xr:uid="{00000000-0005-0000-0000-00001C580000}"/>
    <cellStyle name="Normal 30 18 5" xfId="37480" xr:uid="{00000000-0005-0000-0000-00001D580000}"/>
    <cellStyle name="Normal 30 18_01-04-2012" xfId="7516" xr:uid="{00000000-0005-0000-0000-00001E580000}"/>
    <cellStyle name="Normal 30 19" xfId="7517" xr:uid="{00000000-0005-0000-0000-00001F580000}"/>
    <cellStyle name="Normal 30 19 2" xfId="7518" xr:uid="{00000000-0005-0000-0000-000020580000}"/>
    <cellStyle name="Normal 30 19 2 2" xfId="37481" xr:uid="{00000000-0005-0000-0000-000021580000}"/>
    <cellStyle name="Normal 30 19 3" xfId="7519" xr:uid="{00000000-0005-0000-0000-000022580000}"/>
    <cellStyle name="Normal 30 19 3 2" xfId="37482" xr:uid="{00000000-0005-0000-0000-000023580000}"/>
    <cellStyle name="Normal 30 19 4" xfId="7520" xr:uid="{00000000-0005-0000-0000-000024580000}"/>
    <cellStyle name="Normal 30 19 4 2" xfId="37483" xr:uid="{00000000-0005-0000-0000-000025580000}"/>
    <cellStyle name="Normal 30 19 5" xfId="37484" xr:uid="{00000000-0005-0000-0000-000026580000}"/>
    <cellStyle name="Normal 30 19_01-04-2012" xfId="7521" xr:uid="{00000000-0005-0000-0000-000027580000}"/>
    <cellStyle name="Normal 30 2" xfId="7522" xr:uid="{00000000-0005-0000-0000-000028580000}"/>
    <cellStyle name="Normal 30 2 2" xfId="7523" xr:uid="{00000000-0005-0000-0000-000029580000}"/>
    <cellStyle name="Normal 30 2 2 2" xfId="33649" xr:uid="{00000000-0005-0000-0000-00002A580000}"/>
    <cellStyle name="Normal 30 2 2 2 2" xfId="37485" xr:uid="{00000000-0005-0000-0000-00002B580000}"/>
    <cellStyle name="Normal 30 2 3" xfId="7524" xr:uid="{00000000-0005-0000-0000-00002C580000}"/>
    <cellStyle name="Normal 30 2 3 2" xfId="37486" xr:uid="{00000000-0005-0000-0000-00002D580000}"/>
    <cellStyle name="Normal 30 2 4" xfId="7525" xr:uid="{00000000-0005-0000-0000-00002E580000}"/>
    <cellStyle name="Normal 30 2 4 2" xfId="37487" xr:uid="{00000000-0005-0000-0000-00002F580000}"/>
    <cellStyle name="Normal 30 2 5" xfId="20236" xr:uid="{00000000-0005-0000-0000-000030580000}"/>
    <cellStyle name="Normal 30 2 5 2" xfId="37488" xr:uid="{00000000-0005-0000-0000-000031580000}"/>
    <cellStyle name="Normal 30 2_01-04-2012" xfId="7526" xr:uid="{00000000-0005-0000-0000-000032580000}"/>
    <cellStyle name="Normal 30 20" xfId="7527" xr:uid="{00000000-0005-0000-0000-000033580000}"/>
    <cellStyle name="Normal 30 20 2" xfId="7528" xr:uid="{00000000-0005-0000-0000-000034580000}"/>
    <cellStyle name="Normal 30 20 2 2" xfId="37489" xr:uid="{00000000-0005-0000-0000-000035580000}"/>
    <cellStyle name="Normal 30 20 3" xfId="7529" xr:uid="{00000000-0005-0000-0000-000036580000}"/>
    <cellStyle name="Normal 30 20 3 2" xfId="37490" xr:uid="{00000000-0005-0000-0000-000037580000}"/>
    <cellStyle name="Normal 30 20 4" xfId="7530" xr:uid="{00000000-0005-0000-0000-000038580000}"/>
    <cellStyle name="Normal 30 20 4 2" xfId="37491" xr:uid="{00000000-0005-0000-0000-000039580000}"/>
    <cellStyle name="Normal 30 20 5" xfId="37492" xr:uid="{00000000-0005-0000-0000-00003A580000}"/>
    <cellStyle name="Normal 30 20_01-04-2012" xfId="7531" xr:uid="{00000000-0005-0000-0000-00003B580000}"/>
    <cellStyle name="Normal 30 21" xfId="7532" xr:uid="{00000000-0005-0000-0000-00003C580000}"/>
    <cellStyle name="Normal 30 21 2" xfId="7533" xr:uid="{00000000-0005-0000-0000-00003D580000}"/>
    <cellStyle name="Normal 30 21 2 2" xfId="37493" xr:uid="{00000000-0005-0000-0000-00003E580000}"/>
    <cellStyle name="Normal 30 21 3" xfId="7534" xr:uid="{00000000-0005-0000-0000-00003F580000}"/>
    <cellStyle name="Normal 30 21 3 2" xfId="37494" xr:uid="{00000000-0005-0000-0000-000040580000}"/>
    <cellStyle name="Normal 30 21 4" xfId="7535" xr:uid="{00000000-0005-0000-0000-000041580000}"/>
    <cellStyle name="Normal 30 21 4 2" xfId="37495" xr:uid="{00000000-0005-0000-0000-000042580000}"/>
    <cellStyle name="Normal 30 21 5" xfId="37496" xr:uid="{00000000-0005-0000-0000-000043580000}"/>
    <cellStyle name="Normal 30 21_01-04-2012" xfId="7536" xr:uid="{00000000-0005-0000-0000-000044580000}"/>
    <cellStyle name="Normal 30 22" xfId="7537" xr:uid="{00000000-0005-0000-0000-000045580000}"/>
    <cellStyle name="Normal 30 22 2" xfId="7538" xr:uid="{00000000-0005-0000-0000-000046580000}"/>
    <cellStyle name="Normal 30 22 2 2" xfId="37497" xr:uid="{00000000-0005-0000-0000-000047580000}"/>
    <cellStyle name="Normal 30 22 3" xfId="7539" xr:uid="{00000000-0005-0000-0000-000048580000}"/>
    <cellStyle name="Normal 30 22 3 2" xfId="37498" xr:uid="{00000000-0005-0000-0000-000049580000}"/>
    <cellStyle name="Normal 30 22 4" xfId="7540" xr:uid="{00000000-0005-0000-0000-00004A580000}"/>
    <cellStyle name="Normal 30 22 4 2" xfId="37499" xr:uid="{00000000-0005-0000-0000-00004B580000}"/>
    <cellStyle name="Normal 30 22 5" xfId="37500" xr:uid="{00000000-0005-0000-0000-00004C580000}"/>
    <cellStyle name="Normal 30 22_01-04-2012" xfId="7541" xr:uid="{00000000-0005-0000-0000-00004D580000}"/>
    <cellStyle name="Normal 30 23" xfId="7542" xr:uid="{00000000-0005-0000-0000-00004E580000}"/>
    <cellStyle name="Normal 30 23 2" xfId="7543" xr:uid="{00000000-0005-0000-0000-00004F580000}"/>
    <cellStyle name="Normal 30 23 2 2" xfId="37501" xr:uid="{00000000-0005-0000-0000-000050580000}"/>
    <cellStyle name="Normal 30 23 3" xfId="7544" xr:uid="{00000000-0005-0000-0000-000051580000}"/>
    <cellStyle name="Normal 30 23 3 2" xfId="37502" xr:uid="{00000000-0005-0000-0000-000052580000}"/>
    <cellStyle name="Normal 30 23 4" xfId="7545" xr:uid="{00000000-0005-0000-0000-000053580000}"/>
    <cellStyle name="Normal 30 23 4 2" xfId="37503" xr:uid="{00000000-0005-0000-0000-000054580000}"/>
    <cellStyle name="Normal 30 23 5" xfId="37504" xr:uid="{00000000-0005-0000-0000-000055580000}"/>
    <cellStyle name="Normal 30 23_01-04-2012" xfId="7546" xr:uid="{00000000-0005-0000-0000-000056580000}"/>
    <cellStyle name="Normal 30 24" xfId="7547" xr:uid="{00000000-0005-0000-0000-000057580000}"/>
    <cellStyle name="Normal 30 24 2" xfId="7548" xr:uid="{00000000-0005-0000-0000-000058580000}"/>
    <cellStyle name="Normal 30 24 2 2" xfId="37505" xr:uid="{00000000-0005-0000-0000-000059580000}"/>
    <cellStyle name="Normal 30 24 3" xfId="7549" xr:uid="{00000000-0005-0000-0000-00005A580000}"/>
    <cellStyle name="Normal 30 24 3 2" xfId="37506" xr:uid="{00000000-0005-0000-0000-00005B580000}"/>
    <cellStyle name="Normal 30 24 4" xfId="7550" xr:uid="{00000000-0005-0000-0000-00005C580000}"/>
    <cellStyle name="Normal 30 24 4 2" xfId="37507" xr:uid="{00000000-0005-0000-0000-00005D580000}"/>
    <cellStyle name="Normal 30 24 5" xfId="37508" xr:uid="{00000000-0005-0000-0000-00005E580000}"/>
    <cellStyle name="Normal 30 24_01-04-2012" xfId="7551" xr:uid="{00000000-0005-0000-0000-00005F580000}"/>
    <cellStyle name="Normal 30 25" xfId="7552" xr:uid="{00000000-0005-0000-0000-000060580000}"/>
    <cellStyle name="Normal 30 25 2" xfId="7553" xr:uid="{00000000-0005-0000-0000-000061580000}"/>
    <cellStyle name="Normal 30 25 2 2" xfId="37509" xr:uid="{00000000-0005-0000-0000-000062580000}"/>
    <cellStyle name="Normal 30 25 3" xfId="7554" xr:uid="{00000000-0005-0000-0000-000063580000}"/>
    <cellStyle name="Normal 30 25 3 2" xfId="37510" xr:uid="{00000000-0005-0000-0000-000064580000}"/>
    <cellStyle name="Normal 30 25 4" xfId="7555" xr:uid="{00000000-0005-0000-0000-000065580000}"/>
    <cellStyle name="Normal 30 25 4 2" xfId="37511" xr:uid="{00000000-0005-0000-0000-000066580000}"/>
    <cellStyle name="Normal 30 25 5" xfId="37512" xr:uid="{00000000-0005-0000-0000-000067580000}"/>
    <cellStyle name="Normal 30 25_01-04-2012" xfId="7556" xr:uid="{00000000-0005-0000-0000-000068580000}"/>
    <cellStyle name="Normal 30 26" xfId="7557" xr:uid="{00000000-0005-0000-0000-000069580000}"/>
    <cellStyle name="Normal 30 26 2" xfId="7558" xr:uid="{00000000-0005-0000-0000-00006A580000}"/>
    <cellStyle name="Normal 30 26 2 2" xfId="37513" xr:uid="{00000000-0005-0000-0000-00006B580000}"/>
    <cellStyle name="Normal 30 26 3" xfId="7559" xr:uid="{00000000-0005-0000-0000-00006C580000}"/>
    <cellStyle name="Normal 30 26 3 2" xfId="37514" xr:uid="{00000000-0005-0000-0000-00006D580000}"/>
    <cellStyle name="Normal 30 26 4" xfId="7560" xr:uid="{00000000-0005-0000-0000-00006E580000}"/>
    <cellStyle name="Normal 30 26 4 2" xfId="37515" xr:uid="{00000000-0005-0000-0000-00006F580000}"/>
    <cellStyle name="Normal 30 26 5" xfId="37516" xr:uid="{00000000-0005-0000-0000-000070580000}"/>
    <cellStyle name="Normal 30 26_01-04-2012" xfId="7561" xr:uid="{00000000-0005-0000-0000-000071580000}"/>
    <cellStyle name="Normal 30 27" xfId="7562" xr:uid="{00000000-0005-0000-0000-000072580000}"/>
    <cellStyle name="Normal 30 27 2" xfId="7563" xr:uid="{00000000-0005-0000-0000-000073580000}"/>
    <cellStyle name="Normal 30 27 2 2" xfId="37517" xr:uid="{00000000-0005-0000-0000-000074580000}"/>
    <cellStyle name="Normal 30 27 3" xfId="7564" xr:uid="{00000000-0005-0000-0000-000075580000}"/>
    <cellStyle name="Normal 30 27 3 2" xfId="37518" xr:uid="{00000000-0005-0000-0000-000076580000}"/>
    <cellStyle name="Normal 30 27 4" xfId="7565" xr:uid="{00000000-0005-0000-0000-000077580000}"/>
    <cellStyle name="Normal 30 27 4 2" xfId="37519" xr:uid="{00000000-0005-0000-0000-000078580000}"/>
    <cellStyle name="Normal 30 27 5" xfId="37520" xr:uid="{00000000-0005-0000-0000-000079580000}"/>
    <cellStyle name="Normal 30 27_01-04-2012" xfId="7566" xr:uid="{00000000-0005-0000-0000-00007A580000}"/>
    <cellStyle name="Normal 30 28" xfId="7567" xr:uid="{00000000-0005-0000-0000-00007B580000}"/>
    <cellStyle name="Normal 30 28 2" xfId="7568" xr:uid="{00000000-0005-0000-0000-00007C580000}"/>
    <cellStyle name="Normal 30 28 2 2" xfId="37521" xr:uid="{00000000-0005-0000-0000-00007D580000}"/>
    <cellStyle name="Normal 30 28 3" xfId="7569" xr:uid="{00000000-0005-0000-0000-00007E580000}"/>
    <cellStyle name="Normal 30 28 3 2" xfId="37522" xr:uid="{00000000-0005-0000-0000-00007F580000}"/>
    <cellStyle name="Normal 30 28 4" xfId="7570" xr:uid="{00000000-0005-0000-0000-000080580000}"/>
    <cellStyle name="Normal 30 28 4 2" xfId="37523" xr:uid="{00000000-0005-0000-0000-000081580000}"/>
    <cellStyle name="Normal 30 28 5" xfId="37524" xr:uid="{00000000-0005-0000-0000-000082580000}"/>
    <cellStyle name="Normal 30 28_01-04-2012" xfId="7571" xr:uid="{00000000-0005-0000-0000-000083580000}"/>
    <cellStyle name="Normal 30 29" xfId="7572" xr:uid="{00000000-0005-0000-0000-000084580000}"/>
    <cellStyle name="Normal 30 29 2" xfId="7573" xr:uid="{00000000-0005-0000-0000-000085580000}"/>
    <cellStyle name="Normal 30 29 2 2" xfId="37525" xr:uid="{00000000-0005-0000-0000-000086580000}"/>
    <cellStyle name="Normal 30 29 3" xfId="7574" xr:uid="{00000000-0005-0000-0000-000087580000}"/>
    <cellStyle name="Normal 30 29 3 2" xfId="37526" xr:uid="{00000000-0005-0000-0000-000088580000}"/>
    <cellStyle name="Normal 30 29 4" xfId="7575" xr:uid="{00000000-0005-0000-0000-000089580000}"/>
    <cellStyle name="Normal 30 29 4 2" xfId="37527" xr:uid="{00000000-0005-0000-0000-00008A580000}"/>
    <cellStyle name="Normal 30 29 5" xfId="37528" xr:uid="{00000000-0005-0000-0000-00008B580000}"/>
    <cellStyle name="Normal 30 29_01-04-2012" xfId="7576" xr:uid="{00000000-0005-0000-0000-00008C580000}"/>
    <cellStyle name="Normal 30 3" xfId="7577" xr:uid="{00000000-0005-0000-0000-00008D580000}"/>
    <cellStyle name="Normal 30 3 2" xfId="7578" xr:uid="{00000000-0005-0000-0000-00008E580000}"/>
    <cellStyle name="Normal 30 3 2 2" xfId="20237" xr:uid="{00000000-0005-0000-0000-00008F580000}"/>
    <cellStyle name="Normal 30 3 2 2 2" xfId="37529" xr:uid="{00000000-0005-0000-0000-000090580000}"/>
    <cellStyle name="Normal 30 3 3" xfId="7579" xr:uid="{00000000-0005-0000-0000-000091580000}"/>
    <cellStyle name="Normal 30 3 3 2" xfId="20238" xr:uid="{00000000-0005-0000-0000-000092580000}"/>
    <cellStyle name="Normal 30 3 3 2 2" xfId="37530" xr:uid="{00000000-0005-0000-0000-000093580000}"/>
    <cellStyle name="Normal 30 3 4" xfId="7580" xr:uid="{00000000-0005-0000-0000-000094580000}"/>
    <cellStyle name="Normal 30 3 4 2" xfId="20239" xr:uid="{00000000-0005-0000-0000-000095580000}"/>
    <cellStyle name="Normal 30 3 4 2 2" xfId="37531" xr:uid="{00000000-0005-0000-0000-000096580000}"/>
    <cellStyle name="Normal 30 3 5" xfId="20240" xr:uid="{00000000-0005-0000-0000-000097580000}"/>
    <cellStyle name="Normal 30 3 5 2" xfId="37532" xr:uid="{00000000-0005-0000-0000-000098580000}"/>
    <cellStyle name="Normal 30 3_01-04-2012" xfId="7581" xr:uid="{00000000-0005-0000-0000-000099580000}"/>
    <cellStyle name="Normal 30 30" xfId="7582" xr:uid="{00000000-0005-0000-0000-00009A580000}"/>
    <cellStyle name="Normal 30 30 2" xfId="7583" xr:uid="{00000000-0005-0000-0000-00009B580000}"/>
    <cellStyle name="Normal 30 30 2 2" xfId="37533" xr:uid="{00000000-0005-0000-0000-00009C580000}"/>
    <cellStyle name="Normal 30 30 3" xfId="7584" xr:uid="{00000000-0005-0000-0000-00009D580000}"/>
    <cellStyle name="Normal 30 30 3 2" xfId="37534" xr:uid="{00000000-0005-0000-0000-00009E580000}"/>
    <cellStyle name="Normal 30 30 4" xfId="7585" xr:uid="{00000000-0005-0000-0000-00009F580000}"/>
    <cellStyle name="Normal 30 30 4 2" xfId="37535" xr:uid="{00000000-0005-0000-0000-0000A0580000}"/>
    <cellStyle name="Normal 30 30 5" xfId="37536" xr:uid="{00000000-0005-0000-0000-0000A1580000}"/>
    <cellStyle name="Normal 30 30_01-04-2012" xfId="7586" xr:uid="{00000000-0005-0000-0000-0000A2580000}"/>
    <cellStyle name="Normal 30 31" xfId="7587" xr:uid="{00000000-0005-0000-0000-0000A3580000}"/>
    <cellStyle name="Normal 30 31 2" xfId="7588" xr:uid="{00000000-0005-0000-0000-0000A4580000}"/>
    <cellStyle name="Normal 30 31 2 2" xfId="37537" xr:uid="{00000000-0005-0000-0000-0000A5580000}"/>
    <cellStyle name="Normal 30 31 3" xfId="7589" xr:uid="{00000000-0005-0000-0000-0000A6580000}"/>
    <cellStyle name="Normal 30 31 3 2" xfId="37538" xr:uid="{00000000-0005-0000-0000-0000A7580000}"/>
    <cellStyle name="Normal 30 31 4" xfId="7590" xr:uid="{00000000-0005-0000-0000-0000A8580000}"/>
    <cellStyle name="Normal 30 31 4 2" xfId="37539" xr:uid="{00000000-0005-0000-0000-0000A9580000}"/>
    <cellStyle name="Normal 30 31 5" xfId="37540" xr:uid="{00000000-0005-0000-0000-0000AA580000}"/>
    <cellStyle name="Normal 30 31_01-04-2012" xfId="7591" xr:uid="{00000000-0005-0000-0000-0000AB580000}"/>
    <cellStyle name="Normal 30 32" xfId="7592" xr:uid="{00000000-0005-0000-0000-0000AC580000}"/>
    <cellStyle name="Normal 30 32 2" xfId="7593" xr:uid="{00000000-0005-0000-0000-0000AD580000}"/>
    <cellStyle name="Normal 30 32 2 2" xfId="37541" xr:uid="{00000000-0005-0000-0000-0000AE580000}"/>
    <cellStyle name="Normal 30 32 3" xfId="7594" xr:uid="{00000000-0005-0000-0000-0000AF580000}"/>
    <cellStyle name="Normal 30 32 3 2" xfId="37542" xr:uid="{00000000-0005-0000-0000-0000B0580000}"/>
    <cellStyle name="Normal 30 32 4" xfId="7595" xr:uid="{00000000-0005-0000-0000-0000B1580000}"/>
    <cellStyle name="Normal 30 32 4 2" xfId="37543" xr:uid="{00000000-0005-0000-0000-0000B2580000}"/>
    <cellStyle name="Normal 30 32 5" xfId="37544" xr:uid="{00000000-0005-0000-0000-0000B3580000}"/>
    <cellStyle name="Normal 30 32_01-04-2012" xfId="7596" xr:uid="{00000000-0005-0000-0000-0000B4580000}"/>
    <cellStyle name="Normal 30 33" xfId="7597" xr:uid="{00000000-0005-0000-0000-0000B5580000}"/>
    <cellStyle name="Normal 30 33 2" xfId="7598" xr:uid="{00000000-0005-0000-0000-0000B6580000}"/>
    <cellStyle name="Normal 30 33 2 2" xfId="37545" xr:uid="{00000000-0005-0000-0000-0000B7580000}"/>
    <cellStyle name="Normal 30 33 3" xfId="7599" xr:uid="{00000000-0005-0000-0000-0000B8580000}"/>
    <cellStyle name="Normal 30 33 3 2" xfId="37546" xr:uid="{00000000-0005-0000-0000-0000B9580000}"/>
    <cellStyle name="Normal 30 33 4" xfId="7600" xr:uid="{00000000-0005-0000-0000-0000BA580000}"/>
    <cellStyle name="Normal 30 33 4 2" xfId="37547" xr:uid="{00000000-0005-0000-0000-0000BB580000}"/>
    <cellStyle name="Normal 30 33 5" xfId="37548" xr:uid="{00000000-0005-0000-0000-0000BC580000}"/>
    <cellStyle name="Normal 30 33_01-04-2012" xfId="7601" xr:uid="{00000000-0005-0000-0000-0000BD580000}"/>
    <cellStyle name="Normal 30 34" xfId="7602" xr:uid="{00000000-0005-0000-0000-0000BE580000}"/>
    <cellStyle name="Normal 30 34 2" xfId="7603" xr:uid="{00000000-0005-0000-0000-0000BF580000}"/>
    <cellStyle name="Normal 30 34 2 2" xfId="37549" xr:uid="{00000000-0005-0000-0000-0000C0580000}"/>
    <cellStyle name="Normal 30 34 3" xfId="7604" xr:uid="{00000000-0005-0000-0000-0000C1580000}"/>
    <cellStyle name="Normal 30 34 3 2" xfId="37550" xr:uid="{00000000-0005-0000-0000-0000C2580000}"/>
    <cellStyle name="Normal 30 34 4" xfId="7605" xr:uid="{00000000-0005-0000-0000-0000C3580000}"/>
    <cellStyle name="Normal 30 34 4 2" xfId="37551" xr:uid="{00000000-0005-0000-0000-0000C4580000}"/>
    <cellStyle name="Normal 30 34 5" xfId="37552" xr:uid="{00000000-0005-0000-0000-0000C5580000}"/>
    <cellStyle name="Normal 30 34_01-04-2012" xfId="7606" xr:uid="{00000000-0005-0000-0000-0000C6580000}"/>
    <cellStyle name="Normal 30 35" xfId="7607" xr:uid="{00000000-0005-0000-0000-0000C7580000}"/>
    <cellStyle name="Normal 30 35 2" xfId="7608" xr:uid="{00000000-0005-0000-0000-0000C8580000}"/>
    <cellStyle name="Normal 30 35 2 2" xfId="37553" xr:uid="{00000000-0005-0000-0000-0000C9580000}"/>
    <cellStyle name="Normal 30 35 3" xfId="7609" xr:uid="{00000000-0005-0000-0000-0000CA580000}"/>
    <cellStyle name="Normal 30 35 3 2" xfId="37554" xr:uid="{00000000-0005-0000-0000-0000CB580000}"/>
    <cellStyle name="Normal 30 35 4" xfId="7610" xr:uid="{00000000-0005-0000-0000-0000CC580000}"/>
    <cellStyle name="Normal 30 35 4 2" xfId="37555" xr:uid="{00000000-0005-0000-0000-0000CD580000}"/>
    <cellStyle name="Normal 30 35 5" xfId="37556" xr:uid="{00000000-0005-0000-0000-0000CE580000}"/>
    <cellStyle name="Normal 30 35_01-04-2012" xfId="7611" xr:uid="{00000000-0005-0000-0000-0000CF580000}"/>
    <cellStyle name="Normal 30 36" xfId="7612" xr:uid="{00000000-0005-0000-0000-0000D0580000}"/>
    <cellStyle name="Normal 30 36 2" xfId="7613" xr:uid="{00000000-0005-0000-0000-0000D1580000}"/>
    <cellStyle name="Normal 30 36 2 2" xfId="37557" xr:uid="{00000000-0005-0000-0000-0000D2580000}"/>
    <cellStyle name="Normal 30 36 3" xfId="7614" xr:uid="{00000000-0005-0000-0000-0000D3580000}"/>
    <cellStyle name="Normal 30 36 3 2" xfId="37558" xr:uid="{00000000-0005-0000-0000-0000D4580000}"/>
    <cellStyle name="Normal 30 36 4" xfId="7615" xr:uid="{00000000-0005-0000-0000-0000D5580000}"/>
    <cellStyle name="Normal 30 36 4 2" xfId="37559" xr:uid="{00000000-0005-0000-0000-0000D6580000}"/>
    <cellStyle name="Normal 30 36 5" xfId="37560" xr:uid="{00000000-0005-0000-0000-0000D7580000}"/>
    <cellStyle name="Normal 30 36_01-04-2012" xfId="7616" xr:uid="{00000000-0005-0000-0000-0000D8580000}"/>
    <cellStyle name="Normal 30 37" xfId="7617" xr:uid="{00000000-0005-0000-0000-0000D9580000}"/>
    <cellStyle name="Normal 30 37 2" xfId="7618" xr:uid="{00000000-0005-0000-0000-0000DA580000}"/>
    <cellStyle name="Normal 30 37 2 2" xfId="37561" xr:uid="{00000000-0005-0000-0000-0000DB580000}"/>
    <cellStyle name="Normal 30 37 3" xfId="7619" xr:uid="{00000000-0005-0000-0000-0000DC580000}"/>
    <cellStyle name="Normal 30 37 3 2" xfId="37562" xr:uid="{00000000-0005-0000-0000-0000DD580000}"/>
    <cellStyle name="Normal 30 37 4" xfId="7620" xr:uid="{00000000-0005-0000-0000-0000DE580000}"/>
    <cellStyle name="Normal 30 37 4 2" xfId="37563" xr:uid="{00000000-0005-0000-0000-0000DF580000}"/>
    <cellStyle name="Normal 30 37 5" xfId="37564" xr:uid="{00000000-0005-0000-0000-0000E0580000}"/>
    <cellStyle name="Normal 30 37_01-04-2012" xfId="7621" xr:uid="{00000000-0005-0000-0000-0000E1580000}"/>
    <cellStyle name="Normal 30 38" xfId="7622" xr:uid="{00000000-0005-0000-0000-0000E2580000}"/>
    <cellStyle name="Normal 30 38 2" xfId="37565" xr:uid="{00000000-0005-0000-0000-0000E3580000}"/>
    <cellStyle name="Normal 30 39" xfId="7623" xr:uid="{00000000-0005-0000-0000-0000E4580000}"/>
    <cellStyle name="Normal 30 39 2" xfId="37566" xr:uid="{00000000-0005-0000-0000-0000E5580000}"/>
    <cellStyle name="Normal 30 4" xfId="7624" xr:uid="{00000000-0005-0000-0000-0000E6580000}"/>
    <cellStyle name="Normal 30 4 2" xfId="7625" xr:uid="{00000000-0005-0000-0000-0000E7580000}"/>
    <cellStyle name="Normal 30 4 2 2" xfId="37567" xr:uid="{00000000-0005-0000-0000-0000E8580000}"/>
    <cellStyle name="Normal 30 4 3" xfId="7626" xr:uid="{00000000-0005-0000-0000-0000E9580000}"/>
    <cellStyle name="Normal 30 4 3 2" xfId="37568" xr:uid="{00000000-0005-0000-0000-0000EA580000}"/>
    <cellStyle name="Normal 30 4 4" xfId="7627" xr:uid="{00000000-0005-0000-0000-0000EB580000}"/>
    <cellStyle name="Normal 30 4 4 2" xfId="37569" xr:uid="{00000000-0005-0000-0000-0000EC580000}"/>
    <cellStyle name="Normal 30 4 5" xfId="37570" xr:uid="{00000000-0005-0000-0000-0000ED580000}"/>
    <cellStyle name="Normal 30 4_01-04-2012" xfId="7628" xr:uid="{00000000-0005-0000-0000-0000EE580000}"/>
    <cellStyle name="Normal 30 40" xfId="7629" xr:uid="{00000000-0005-0000-0000-0000EF580000}"/>
    <cellStyle name="Normal 30 40 2" xfId="37571" xr:uid="{00000000-0005-0000-0000-0000F0580000}"/>
    <cellStyle name="Normal 30 41" xfId="20241" xr:uid="{00000000-0005-0000-0000-0000F1580000}"/>
    <cellStyle name="Normal 30 41 2" xfId="37572" xr:uid="{00000000-0005-0000-0000-0000F2580000}"/>
    <cellStyle name="Normal 30 42" xfId="20242" xr:uid="{00000000-0005-0000-0000-0000F3580000}"/>
    <cellStyle name="Normal 30 43" xfId="20243" xr:uid="{00000000-0005-0000-0000-0000F4580000}"/>
    <cellStyle name="Normal 30 44" xfId="20244" xr:uid="{00000000-0005-0000-0000-0000F5580000}"/>
    <cellStyle name="Normal 30 45" xfId="20245" xr:uid="{00000000-0005-0000-0000-0000F6580000}"/>
    <cellStyle name="Normal 30 46" xfId="20246" xr:uid="{00000000-0005-0000-0000-0000F7580000}"/>
    <cellStyle name="Normal 30 47" xfId="33648" xr:uid="{00000000-0005-0000-0000-0000F8580000}"/>
    <cellStyle name="Normal 30 5" xfId="7630" xr:uid="{00000000-0005-0000-0000-0000F9580000}"/>
    <cellStyle name="Normal 30 5 2" xfId="7631" xr:uid="{00000000-0005-0000-0000-0000FA580000}"/>
    <cellStyle name="Normal 30 5 2 2" xfId="37573" xr:uid="{00000000-0005-0000-0000-0000FB580000}"/>
    <cellStyle name="Normal 30 5 3" xfId="7632" xr:uid="{00000000-0005-0000-0000-0000FC580000}"/>
    <cellStyle name="Normal 30 5 3 2" xfId="37574" xr:uid="{00000000-0005-0000-0000-0000FD580000}"/>
    <cellStyle name="Normal 30 5 4" xfId="7633" xr:uid="{00000000-0005-0000-0000-0000FE580000}"/>
    <cellStyle name="Normal 30 5 4 2" xfId="37575" xr:uid="{00000000-0005-0000-0000-0000FF580000}"/>
    <cellStyle name="Normal 30 5 5" xfId="37576" xr:uid="{00000000-0005-0000-0000-000000590000}"/>
    <cellStyle name="Normal 30 5_01-04-2012" xfId="7634" xr:uid="{00000000-0005-0000-0000-000001590000}"/>
    <cellStyle name="Normal 30 6" xfId="7635" xr:uid="{00000000-0005-0000-0000-000002590000}"/>
    <cellStyle name="Normal 30 6 2" xfId="7636" xr:uid="{00000000-0005-0000-0000-000003590000}"/>
    <cellStyle name="Normal 30 6 2 2" xfId="37577" xr:uid="{00000000-0005-0000-0000-000004590000}"/>
    <cellStyle name="Normal 30 6 3" xfId="7637" xr:uid="{00000000-0005-0000-0000-000005590000}"/>
    <cellStyle name="Normal 30 6 3 2" xfId="37578" xr:uid="{00000000-0005-0000-0000-000006590000}"/>
    <cellStyle name="Normal 30 6 4" xfId="7638" xr:uid="{00000000-0005-0000-0000-000007590000}"/>
    <cellStyle name="Normal 30 6 4 2" xfId="37579" xr:uid="{00000000-0005-0000-0000-000008590000}"/>
    <cellStyle name="Normal 30 6 5" xfId="37580" xr:uid="{00000000-0005-0000-0000-000009590000}"/>
    <cellStyle name="Normal 30 6_01-04-2012" xfId="7639" xr:uid="{00000000-0005-0000-0000-00000A590000}"/>
    <cellStyle name="Normal 30 7" xfId="7640" xr:uid="{00000000-0005-0000-0000-00000B590000}"/>
    <cellStyle name="Normal 30 7 2" xfId="7641" xr:uid="{00000000-0005-0000-0000-00000C590000}"/>
    <cellStyle name="Normal 30 7 2 2" xfId="37581" xr:uid="{00000000-0005-0000-0000-00000D590000}"/>
    <cellStyle name="Normal 30 7 3" xfId="7642" xr:uid="{00000000-0005-0000-0000-00000E590000}"/>
    <cellStyle name="Normal 30 7 3 2" xfId="37582" xr:uid="{00000000-0005-0000-0000-00000F590000}"/>
    <cellStyle name="Normal 30 7 4" xfId="7643" xr:uid="{00000000-0005-0000-0000-000010590000}"/>
    <cellStyle name="Normal 30 7 4 2" xfId="37583" xr:uid="{00000000-0005-0000-0000-000011590000}"/>
    <cellStyle name="Normal 30 7 5" xfId="37584" xr:uid="{00000000-0005-0000-0000-000012590000}"/>
    <cellStyle name="Normal 30 7_01-04-2012" xfId="7644" xr:uid="{00000000-0005-0000-0000-000013590000}"/>
    <cellStyle name="Normal 30 8" xfId="7645" xr:uid="{00000000-0005-0000-0000-000014590000}"/>
    <cellStyle name="Normal 30 8 2" xfId="7646" xr:uid="{00000000-0005-0000-0000-000015590000}"/>
    <cellStyle name="Normal 30 8 2 2" xfId="37585" xr:uid="{00000000-0005-0000-0000-000016590000}"/>
    <cellStyle name="Normal 30 8 3" xfId="7647" xr:uid="{00000000-0005-0000-0000-000017590000}"/>
    <cellStyle name="Normal 30 8 3 2" xfId="37586" xr:uid="{00000000-0005-0000-0000-000018590000}"/>
    <cellStyle name="Normal 30 8 4" xfId="7648" xr:uid="{00000000-0005-0000-0000-000019590000}"/>
    <cellStyle name="Normal 30 8 4 2" xfId="37587" xr:uid="{00000000-0005-0000-0000-00001A590000}"/>
    <cellStyle name="Normal 30 8 5" xfId="37588" xr:uid="{00000000-0005-0000-0000-00001B590000}"/>
    <cellStyle name="Normal 30 8_01-04-2012" xfId="7649" xr:uid="{00000000-0005-0000-0000-00001C590000}"/>
    <cellStyle name="Normal 30 9" xfId="7650" xr:uid="{00000000-0005-0000-0000-00001D590000}"/>
    <cellStyle name="Normal 30 9 2" xfId="7651" xr:uid="{00000000-0005-0000-0000-00001E590000}"/>
    <cellStyle name="Normal 30 9 2 2" xfId="37589" xr:uid="{00000000-0005-0000-0000-00001F590000}"/>
    <cellStyle name="Normal 30 9 3" xfId="7652" xr:uid="{00000000-0005-0000-0000-000020590000}"/>
    <cellStyle name="Normal 30 9 3 2" xfId="37590" xr:uid="{00000000-0005-0000-0000-000021590000}"/>
    <cellStyle name="Normal 30 9 4" xfId="7653" xr:uid="{00000000-0005-0000-0000-000022590000}"/>
    <cellStyle name="Normal 30 9 4 2" xfId="37591" xr:uid="{00000000-0005-0000-0000-000023590000}"/>
    <cellStyle name="Normal 30 9 5" xfId="37592" xr:uid="{00000000-0005-0000-0000-000024590000}"/>
    <cellStyle name="Normal 30 9_01-04-2012" xfId="7654" xr:uid="{00000000-0005-0000-0000-000025590000}"/>
    <cellStyle name="Normal 30_01-04-2012" xfId="7655" xr:uid="{00000000-0005-0000-0000-000026590000}"/>
    <cellStyle name="Normal 300" xfId="20247" xr:uid="{00000000-0005-0000-0000-000027590000}"/>
    <cellStyle name="Normal 301" xfId="20248" xr:uid="{00000000-0005-0000-0000-000028590000}"/>
    <cellStyle name="Normal 302" xfId="20249" xr:uid="{00000000-0005-0000-0000-000029590000}"/>
    <cellStyle name="Normal 303" xfId="20250" xr:uid="{00000000-0005-0000-0000-00002A590000}"/>
    <cellStyle name="Normal 304" xfId="20251" xr:uid="{00000000-0005-0000-0000-00002B590000}"/>
    <cellStyle name="Normal 305" xfId="20252" xr:uid="{00000000-0005-0000-0000-00002C590000}"/>
    <cellStyle name="Normal 306" xfId="20253" xr:uid="{00000000-0005-0000-0000-00002D590000}"/>
    <cellStyle name="Normal 307" xfId="20254" xr:uid="{00000000-0005-0000-0000-00002E590000}"/>
    <cellStyle name="Normal 308" xfId="20255" xr:uid="{00000000-0005-0000-0000-00002F590000}"/>
    <cellStyle name="Normal 309" xfId="20256" xr:uid="{00000000-0005-0000-0000-000030590000}"/>
    <cellStyle name="Normal 31" xfId="7656" xr:uid="{00000000-0005-0000-0000-000031590000}"/>
    <cellStyle name="Normal 31 10" xfId="7657" xr:uid="{00000000-0005-0000-0000-000032590000}"/>
    <cellStyle name="Normal 31 10 2" xfId="7658" xr:uid="{00000000-0005-0000-0000-000033590000}"/>
    <cellStyle name="Normal 31 10 2 2" xfId="37593" xr:uid="{00000000-0005-0000-0000-000034590000}"/>
    <cellStyle name="Normal 31 10 3" xfId="7659" xr:uid="{00000000-0005-0000-0000-000035590000}"/>
    <cellStyle name="Normal 31 10 3 2" xfId="37594" xr:uid="{00000000-0005-0000-0000-000036590000}"/>
    <cellStyle name="Normal 31 10 4" xfId="7660" xr:uid="{00000000-0005-0000-0000-000037590000}"/>
    <cellStyle name="Normal 31 10 4 2" xfId="37595" xr:uid="{00000000-0005-0000-0000-000038590000}"/>
    <cellStyle name="Normal 31 10 5" xfId="37596" xr:uid="{00000000-0005-0000-0000-000039590000}"/>
    <cellStyle name="Normal 31 10_01-04-2012" xfId="7661" xr:uid="{00000000-0005-0000-0000-00003A590000}"/>
    <cellStyle name="Normal 31 11" xfId="7662" xr:uid="{00000000-0005-0000-0000-00003B590000}"/>
    <cellStyle name="Normal 31 11 2" xfId="7663" xr:uid="{00000000-0005-0000-0000-00003C590000}"/>
    <cellStyle name="Normal 31 11 2 2" xfId="37597" xr:uid="{00000000-0005-0000-0000-00003D590000}"/>
    <cellStyle name="Normal 31 11 3" xfId="7664" xr:uid="{00000000-0005-0000-0000-00003E590000}"/>
    <cellStyle name="Normal 31 11 3 2" xfId="37598" xr:uid="{00000000-0005-0000-0000-00003F590000}"/>
    <cellStyle name="Normal 31 11 4" xfId="7665" xr:uid="{00000000-0005-0000-0000-000040590000}"/>
    <cellStyle name="Normal 31 11 4 2" xfId="37599" xr:uid="{00000000-0005-0000-0000-000041590000}"/>
    <cellStyle name="Normal 31 11 5" xfId="37600" xr:uid="{00000000-0005-0000-0000-000042590000}"/>
    <cellStyle name="Normal 31 11_01-04-2012" xfId="7666" xr:uid="{00000000-0005-0000-0000-000043590000}"/>
    <cellStyle name="Normal 31 12" xfId="7667" xr:uid="{00000000-0005-0000-0000-000044590000}"/>
    <cellStyle name="Normal 31 12 2" xfId="7668" xr:uid="{00000000-0005-0000-0000-000045590000}"/>
    <cellStyle name="Normal 31 12 2 2" xfId="37601" xr:uid="{00000000-0005-0000-0000-000046590000}"/>
    <cellStyle name="Normal 31 12 3" xfId="7669" xr:uid="{00000000-0005-0000-0000-000047590000}"/>
    <cellStyle name="Normal 31 12 3 2" xfId="37602" xr:uid="{00000000-0005-0000-0000-000048590000}"/>
    <cellStyle name="Normal 31 12 4" xfId="7670" xr:uid="{00000000-0005-0000-0000-000049590000}"/>
    <cellStyle name="Normal 31 12 4 2" xfId="37603" xr:uid="{00000000-0005-0000-0000-00004A590000}"/>
    <cellStyle name="Normal 31 12 5" xfId="37604" xr:uid="{00000000-0005-0000-0000-00004B590000}"/>
    <cellStyle name="Normal 31 12_01-04-2012" xfId="7671" xr:uid="{00000000-0005-0000-0000-00004C590000}"/>
    <cellStyle name="Normal 31 13" xfId="7672" xr:uid="{00000000-0005-0000-0000-00004D590000}"/>
    <cellStyle name="Normal 31 13 2" xfId="7673" xr:uid="{00000000-0005-0000-0000-00004E590000}"/>
    <cellStyle name="Normal 31 13 2 2" xfId="37605" xr:uid="{00000000-0005-0000-0000-00004F590000}"/>
    <cellStyle name="Normal 31 13 3" xfId="7674" xr:uid="{00000000-0005-0000-0000-000050590000}"/>
    <cellStyle name="Normal 31 13 3 2" xfId="37606" xr:uid="{00000000-0005-0000-0000-000051590000}"/>
    <cellStyle name="Normal 31 13 4" xfId="7675" xr:uid="{00000000-0005-0000-0000-000052590000}"/>
    <cellStyle name="Normal 31 13 4 2" xfId="37607" xr:uid="{00000000-0005-0000-0000-000053590000}"/>
    <cellStyle name="Normal 31 13 5" xfId="37608" xr:uid="{00000000-0005-0000-0000-000054590000}"/>
    <cellStyle name="Normal 31 13_01-04-2012" xfId="7676" xr:uid="{00000000-0005-0000-0000-000055590000}"/>
    <cellStyle name="Normal 31 14" xfId="7677" xr:uid="{00000000-0005-0000-0000-000056590000}"/>
    <cellStyle name="Normal 31 14 2" xfId="7678" xr:uid="{00000000-0005-0000-0000-000057590000}"/>
    <cellStyle name="Normal 31 14 2 2" xfId="37609" xr:uid="{00000000-0005-0000-0000-000058590000}"/>
    <cellStyle name="Normal 31 14 3" xfId="7679" xr:uid="{00000000-0005-0000-0000-000059590000}"/>
    <cellStyle name="Normal 31 14 3 2" xfId="37610" xr:uid="{00000000-0005-0000-0000-00005A590000}"/>
    <cellStyle name="Normal 31 14 4" xfId="7680" xr:uid="{00000000-0005-0000-0000-00005B590000}"/>
    <cellStyle name="Normal 31 14 4 2" xfId="37611" xr:uid="{00000000-0005-0000-0000-00005C590000}"/>
    <cellStyle name="Normal 31 14 5" xfId="37612" xr:uid="{00000000-0005-0000-0000-00005D590000}"/>
    <cellStyle name="Normal 31 14_01-04-2012" xfId="7681" xr:uid="{00000000-0005-0000-0000-00005E590000}"/>
    <cellStyle name="Normal 31 15" xfId="7682" xr:uid="{00000000-0005-0000-0000-00005F590000}"/>
    <cellStyle name="Normal 31 15 2" xfId="7683" xr:uid="{00000000-0005-0000-0000-000060590000}"/>
    <cellStyle name="Normal 31 15 2 2" xfId="37613" xr:uid="{00000000-0005-0000-0000-000061590000}"/>
    <cellStyle name="Normal 31 15 3" xfId="7684" xr:uid="{00000000-0005-0000-0000-000062590000}"/>
    <cellStyle name="Normal 31 15 3 2" xfId="37614" xr:uid="{00000000-0005-0000-0000-000063590000}"/>
    <cellStyle name="Normal 31 15 4" xfId="7685" xr:uid="{00000000-0005-0000-0000-000064590000}"/>
    <cellStyle name="Normal 31 15 4 2" xfId="37615" xr:uid="{00000000-0005-0000-0000-000065590000}"/>
    <cellStyle name="Normal 31 15 5" xfId="37616" xr:uid="{00000000-0005-0000-0000-000066590000}"/>
    <cellStyle name="Normal 31 15_01-04-2012" xfId="7686" xr:uid="{00000000-0005-0000-0000-000067590000}"/>
    <cellStyle name="Normal 31 16" xfId="7687" xr:uid="{00000000-0005-0000-0000-000068590000}"/>
    <cellStyle name="Normal 31 16 2" xfId="7688" xr:uid="{00000000-0005-0000-0000-000069590000}"/>
    <cellStyle name="Normal 31 16 2 2" xfId="37617" xr:uid="{00000000-0005-0000-0000-00006A590000}"/>
    <cellStyle name="Normal 31 16 3" xfId="7689" xr:uid="{00000000-0005-0000-0000-00006B590000}"/>
    <cellStyle name="Normal 31 16 3 2" xfId="37618" xr:uid="{00000000-0005-0000-0000-00006C590000}"/>
    <cellStyle name="Normal 31 16 4" xfId="7690" xr:uid="{00000000-0005-0000-0000-00006D590000}"/>
    <cellStyle name="Normal 31 16 4 2" xfId="37619" xr:uid="{00000000-0005-0000-0000-00006E590000}"/>
    <cellStyle name="Normal 31 16 5" xfId="37620" xr:uid="{00000000-0005-0000-0000-00006F590000}"/>
    <cellStyle name="Normal 31 16_01-04-2012" xfId="7691" xr:uid="{00000000-0005-0000-0000-000070590000}"/>
    <cellStyle name="Normal 31 17" xfId="7692" xr:uid="{00000000-0005-0000-0000-000071590000}"/>
    <cellStyle name="Normal 31 17 2" xfId="7693" xr:uid="{00000000-0005-0000-0000-000072590000}"/>
    <cellStyle name="Normal 31 17 2 2" xfId="37621" xr:uid="{00000000-0005-0000-0000-000073590000}"/>
    <cellStyle name="Normal 31 17 3" xfId="7694" xr:uid="{00000000-0005-0000-0000-000074590000}"/>
    <cellStyle name="Normal 31 17 3 2" xfId="37622" xr:uid="{00000000-0005-0000-0000-000075590000}"/>
    <cellStyle name="Normal 31 17 4" xfId="7695" xr:uid="{00000000-0005-0000-0000-000076590000}"/>
    <cellStyle name="Normal 31 17 4 2" xfId="37623" xr:uid="{00000000-0005-0000-0000-000077590000}"/>
    <cellStyle name="Normal 31 17 5" xfId="37624" xr:uid="{00000000-0005-0000-0000-000078590000}"/>
    <cellStyle name="Normal 31 17_01-04-2012" xfId="7696" xr:uid="{00000000-0005-0000-0000-000079590000}"/>
    <cellStyle name="Normal 31 18" xfId="7697" xr:uid="{00000000-0005-0000-0000-00007A590000}"/>
    <cellStyle name="Normal 31 18 2" xfId="7698" xr:uid="{00000000-0005-0000-0000-00007B590000}"/>
    <cellStyle name="Normal 31 18 2 2" xfId="37625" xr:uid="{00000000-0005-0000-0000-00007C590000}"/>
    <cellStyle name="Normal 31 18 3" xfId="7699" xr:uid="{00000000-0005-0000-0000-00007D590000}"/>
    <cellStyle name="Normal 31 18 3 2" xfId="37626" xr:uid="{00000000-0005-0000-0000-00007E590000}"/>
    <cellStyle name="Normal 31 18 4" xfId="7700" xr:uid="{00000000-0005-0000-0000-00007F590000}"/>
    <cellStyle name="Normal 31 18 4 2" xfId="37627" xr:uid="{00000000-0005-0000-0000-000080590000}"/>
    <cellStyle name="Normal 31 18 5" xfId="37628" xr:uid="{00000000-0005-0000-0000-000081590000}"/>
    <cellStyle name="Normal 31 18_01-04-2012" xfId="7701" xr:uid="{00000000-0005-0000-0000-000082590000}"/>
    <cellStyle name="Normal 31 19" xfId="7702" xr:uid="{00000000-0005-0000-0000-000083590000}"/>
    <cellStyle name="Normal 31 19 2" xfId="7703" xr:uid="{00000000-0005-0000-0000-000084590000}"/>
    <cellStyle name="Normal 31 19 2 2" xfId="37629" xr:uid="{00000000-0005-0000-0000-000085590000}"/>
    <cellStyle name="Normal 31 19 3" xfId="7704" xr:uid="{00000000-0005-0000-0000-000086590000}"/>
    <cellStyle name="Normal 31 19 3 2" xfId="37630" xr:uid="{00000000-0005-0000-0000-000087590000}"/>
    <cellStyle name="Normal 31 19 4" xfId="7705" xr:uid="{00000000-0005-0000-0000-000088590000}"/>
    <cellStyle name="Normal 31 19 4 2" xfId="37631" xr:uid="{00000000-0005-0000-0000-000089590000}"/>
    <cellStyle name="Normal 31 19 5" xfId="37632" xr:uid="{00000000-0005-0000-0000-00008A590000}"/>
    <cellStyle name="Normal 31 19_01-04-2012" xfId="7706" xr:uid="{00000000-0005-0000-0000-00008B590000}"/>
    <cellStyle name="Normal 31 2" xfId="7707" xr:uid="{00000000-0005-0000-0000-00008C590000}"/>
    <cellStyle name="Normal 31 2 2" xfId="7708" xr:uid="{00000000-0005-0000-0000-00008D590000}"/>
    <cellStyle name="Normal 31 2 2 2" xfId="33651" xr:uid="{00000000-0005-0000-0000-00008E590000}"/>
    <cellStyle name="Normal 31 2 2 2 2" xfId="37633" xr:uid="{00000000-0005-0000-0000-00008F590000}"/>
    <cellStyle name="Normal 31 2 3" xfId="7709" xr:uid="{00000000-0005-0000-0000-000090590000}"/>
    <cellStyle name="Normal 31 2 3 2" xfId="37634" xr:uid="{00000000-0005-0000-0000-000091590000}"/>
    <cellStyle name="Normal 31 2 4" xfId="7710" xr:uid="{00000000-0005-0000-0000-000092590000}"/>
    <cellStyle name="Normal 31 2 4 2" xfId="37635" xr:uid="{00000000-0005-0000-0000-000093590000}"/>
    <cellStyle name="Normal 31 2 5" xfId="20257" xr:uid="{00000000-0005-0000-0000-000094590000}"/>
    <cellStyle name="Normal 31 2 5 2" xfId="37636" xr:uid="{00000000-0005-0000-0000-000095590000}"/>
    <cellStyle name="Normal 31 2_01-04-2012" xfId="7711" xr:uid="{00000000-0005-0000-0000-000096590000}"/>
    <cellStyle name="Normal 31 20" xfId="7712" xr:uid="{00000000-0005-0000-0000-000097590000}"/>
    <cellStyle name="Normal 31 20 2" xfId="7713" xr:uid="{00000000-0005-0000-0000-000098590000}"/>
    <cellStyle name="Normal 31 20 2 2" xfId="37637" xr:uid="{00000000-0005-0000-0000-000099590000}"/>
    <cellStyle name="Normal 31 20 3" xfId="7714" xr:uid="{00000000-0005-0000-0000-00009A590000}"/>
    <cellStyle name="Normal 31 20 3 2" xfId="37638" xr:uid="{00000000-0005-0000-0000-00009B590000}"/>
    <cellStyle name="Normal 31 20 4" xfId="7715" xr:uid="{00000000-0005-0000-0000-00009C590000}"/>
    <cellStyle name="Normal 31 20 4 2" xfId="37639" xr:uid="{00000000-0005-0000-0000-00009D590000}"/>
    <cellStyle name="Normal 31 20 5" xfId="37640" xr:uid="{00000000-0005-0000-0000-00009E590000}"/>
    <cellStyle name="Normal 31 20_01-04-2012" xfId="7716" xr:uid="{00000000-0005-0000-0000-00009F590000}"/>
    <cellStyle name="Normal 31 21" xfId="7717" xr:uid="{00000000-0005-0000-0000-0000A0590000}"/>
    <cellStyle name="Normal 31 21 2" xfId="7718" xr:uid="{00000000-0005-0000-0000-0000A1590000}"/>
    <cellStyle name="Normal 31 21 2 2" xfId="37641" xr:uid="{00000000-0005-0000-0000-0000A2590000}"/>
    <cellStyle name="Normal 31 21 3" xfId="7719" xr:uid="{00000000-0005-0000-0000-0000A3590000}"/>
    <cellStyle name="Normal 31 21 3 2" xfId="37642" xr:uid="{00000000-0005-0000-0000-0000A4590000}"/>
    <cellStyle name="Normal 31 21 4" xfId="7720" xr:uid="{00000000-0005-0000-0000-0000A5590000}"/>
    <cellStyle name="Normal 31 21 4 2" xfId="37643" xr:uid="{00000000-0005-0000-0000-0000A6590000}"/>
    <cellStyle name="Normal 31 21 5" xfId="37644" xr:uid="{00000000-0005-0000-0000-0000A7590000}"/>
    <cellStyle name="Normal 31 21_01-04-2012" xfId="7721" xr:uid="{00000000-0005-0000-0000-0000A8590000}"/>
    <cellStyle name="Normal 31 22" xfId="7722" xr:uid="{00000000-0005-0000-0000-0000A9590000}"/>
    <cellStyle name="Normal 31 22 2" xfId="7723" xr:uid="{00000000-0005-0000-0000-0000AA590000}"/>
    <cellStyle name="Normal 31 22 2 2" xfId="37645" xr:uid="{00000000-0005-0000-0000-0000AB590000}"/>
    <cellStyle name="Normal 31 22 3" xfId="7724" xr:uid="{00000000-0005-0000-0000-0000AC590000}"/>
    <cellStyle name="Normal 31 22 3 2" xfId="37646" xr:uid="{00000000-0005-0000-0000-0000AD590000}"/>
    <cellStyle name="Normal 31 22 4" xfId="7725" xr:uid="{00000000-0005-0000-0000-0000AE590000}"/>
    <cellStyle name="Normal 31 22 4 2" xfId="37647" xr:uid="{00000000-0005-0000-0000-0000AF590000}"/>
    <cellStyle name="Normal 31 22 5" xfId="37648" xr:uid="{00000000-0005-0000-0000-0000B0590000}"/>
    <cellStyle name="Normal 31 22_01-04-2012" xfId="7726" xr:uid="{00000000-0005-0000-0000-0000B1590000}"/>
    <cellStyle name="Normal 31 23" xfId="7727" xr:uid="{00000000-0005-0000-0000-0000B2590000}"/>
    <cellStyle name="Normal 31 23 2" xfId="7728" xr:uid="{00000000-0005-0000-0000-0000B3590000}"/>
    <cellStyle name="Normal 31 23 2 2" xfId="37649" xr:uid="{00000000-0005-0000-0000-0000B4590000}"/>
    <cellStyle name="Normal 31 23 3" xfId="7729" xr:uid="{00000000-0005-0000-0000-0000B5590000}"/>
    <cellStyle name="Normal 31 23 3 2" xfId="37650" xr:uid="{00000000-0005-0000-0000-0000B6590000}"/>
    <cellStyle name="Normal 31 23 4" xfId="7730" xr:uid="{00000000-0005-0000-0000-0000B7590000}"/>
    <cellStyle name="Normal 31 23 4 2" xfId="37651" xr:uid="{00000000-0005-0000-0000-0000B8590000}"/>
    <cellStyle name="Normal 31 23 5" xfId="37652" xr:uid="{00000000-0005-0000-0000-0000B9590000}"/>
    <cellStyle name="Normal 31 23_01-04-2012" xfId="7731" xr:uid="{00000000-0005-0000-0000-0000BA590000}"/>
    <cellStyle name="Normal 31 24" xfId="7732" xr:uid="{00000000-0005-0000-0000-0000BB590000}"/>
    <cellStyle name="Normal 31 24 2" xfId="7733" xr:uid="{00000000-0005-0000-0000-0000BC590000}"/>
    <cellStyle name="Normal 31 24 2 2" xfId="37653" xr:uid="{00000000-0005-0000-0000-0000BD590000}"/>
    <cellStyle name="Normal 31 24 3" xfId="7734" xr:uid="{00000000-0005-0000-0000-0000BE590000}"/>
    <cellStyle name="Normal 31 24 3 2" xfId="37654" xr:uid="{00000000-0005-0000-0000-0000BF590000}"/>
    <cellStyle name="Normal 31 24 4" xfId="7735" xr:uid="{00000000-0005-0000-0000-0000C0590000}"/>
    <cellStyle name="Normal 31 24 4 2" xfId="37655" xr:uid="{00000000-0005-0000-0000-0000C1590000}"/>
    <cellStyle name="Normal 31 24 5" xfId="37656" xr:uid="{00000000-0005-0000-0000-0000C2590000}"/>
    <cellStyle name="Normal 31 24_01-04-2012" xfId="7736" xr:uid="{00000000-0005-0000-0000-0000C3590000}"/>
    <cellStyle name="Normal 31 25" xfId="7737" xr:uid="{00000000-0005-0000-0000-0000C4590000}"/>
    <cellStyle name="Normal 31 25 2" xfId="7738" xr:uid="{00000000-0005-0000-0000-0000C5590000}"/>
    <cellStyle name="Normal 31 25 2 2" xfId="37657" xr:uid="{00000000-0005-0000-0000-0000C6590000}"/>
    <cellStyle name="Normal 31 25 3" xfId="7739" xr:uid="{00000000-0005-0000-0000-0000C7590000}"/>
    <cellStyle name="Normal 31 25 3 2" xfId="37658" xr:uid="{00000000-0005-0000-0000-0000C8590000}"/>
    <cellStyle name="Normal 31 25 4" xfId="7740" xr:uid="{00000000-0005-0000-0000-0000C9590000}"/>
    <cellStyle name="Normal 31 25 4 2" xfId="37659" xr:uid="{00000000-0005-0000-0000-0000CA590000}"/>
    <cellStyle name="Normal 31 25 5" xfId="37660" xr:uid="{00000000-0005-0000-0000-0000CB590000}"/>
    <cellStyle name="Normal 31 25_01-04-2012" xfId="7741" xr:uid="{00000000-0005-0000-0000-0000CC590000}"/>
    <cellStyle name="Normal 31 26" xfId="7742" xr:uid="{00000000-0005-0000-0000-0000CD590000}"/>
    <cellStyle name="Normal 31 26 2" xfId="7743" xr:uid="{00000000-0005-0000-0000-0000CE590000}"/>
    <cellStyle name="Normal 31 26 2 2" xfId="37661" xr:uid="{00000000-0005-0000-0000-0000CF590000}"/>
    <cellStyle name="Normal 31 26 3" xfId="7744" xr:uid="{00000000-0005-0000-0000-0000D0590000}"/>
    <cellStyle name="Normal 31 26 3 2" xfId="37662" xr:uid="{00000000-0005-0000-0000-0000D1590000}"/>
    <cellStyle name="Normal 31 26 4" xfId="7745" xr:uid="{00000000-0005-0000-0000-0000D2590000}"/>
    <cellStyle name="Normal 31 26 4 2" xfId="37663" xr:uid="{00000000-0005-0000-0000-0000D3590000}"/>
    <cellStyle name="Normal 31 26 5" xfId="37664" xr:uid="{00000000-0005-0000-0000-0000D4590000}"/>
    <cellStyle name="Normal 31 26_01-04-2012" xfId="7746" xr:uid="{00000000-0005-0000-0000-0000D5590000}"/>
    <cellStyle name="Normal 31 27" xfId="7747" xr:uid="{00000000-0005-0000-0000-0000D6590000}"/>
    <cellStyle name="Normal 31 27 2" xfId="7748" xr:uid="{00000000-0005-0000-0000-0000D7590000}"/>
    <cellStyle name="Normal 31 27 2 2" xfId="37665" xr:uid="{00000000-0005-0000-0000-0000D8590000}"/>
    <cellStyle name="Normal 31 27 3" xfId="7749" xr:uid="{00000000-0005-0000-0000-0000D9590000}"/>
    <cellStyle name="Normal 31 27 3 2" xfId="37666" xr:uid="{00000000-0005-0000-0000-0000DA590000}"/>
    <cellStyle name="Normal 31 27 4" xfId="7750" xr:uid="{00000000-0005-0000-0000-0000DB590000}"/>
    <cellStyle name="Normal 31 27 4 2" xfId="37667" xr:uid="{00000000-0005-0000-0000-0000DC590000}"/>
    <cellStyle name="Normal 31 27 5" xfId="37668" xr:uid="{00000000-0005-0000-0000-0000DD590000}"/>
    <cellStyle name="Normal 31 27_01-04-2012" xfId="7751" xr:uid="{00000000-0005-0000-0000-0000DE590000}"/>
    <cellStyle name="Normal 31 28" xfId="7752" xr:uid="{00000000-0005-0000-0000-0000DF590000}"/>
    <cellStyle name="Normal 31 28 2" xfId="7753" xr:uid="{00000000-0005-0000-0000-0000E0590000}"/>
    <cellStyle name="Normal 31 28 2 2" xfId="37669" xr:uid="{00000000-0005-0000-0000-0000E1590000}"/>
    <cellStyle name="Normal 31 28 3" xfId="7754" xr:uid="{00000000-0005-0000-0000-0000E2590000}"/>
    <cellStyle name="Normal 31 28 3 2" xfId="37670" xr:uid="{00000000-0005-0000-0000-0000E3590000}"/>
    <cellStyle name="Normal 31 28 4" xfId="7755" xr:uid="{00000000-0005-0000-0000-0000E4590000}"/>
    <cellStyle name="Normal 31 28 4 2" xfId="37671" xr:uid="{00000000-0005-0000-0000-0000E5590000}"/>
    <cellStyle name="Normal 31 28 5" xfId="37672" xr:uid="{00000000-0005-0000-0000-0000E6590000}"/>
    <cellStyle name="Normal 31 28_01-04-2012" xfId="7756" xr:uid="{00000000-0005-0000-0000-0000E7590000}"/>
    <cellStyle name="Normal 31 29" xfId="7757" xr:uid="{00000000-0005-0000-0000-0000E8590000}"/>
    <cellStyle name="Normal 31 29 2" xfId="7758" xr:uid="{00000000-0005-0000-0000-0000E9590000}"/>
    <cellStyle name="Normal 31 29 2 2" xfId="37673" xr:uid="{00000000-0005-0000-0000-0000EA590000}"/>
    <cellStyle name="Normal 31 29 3" xfId="7759" xr:uid="{00000000-0005-0000-0000-0000EB590000}"/>
    <cellStyle name="Normal 31 29 3 2" xfId="37674" xr:uid="{00000000-0005-0000-0000-0000EC590000}"/>
    <cellStyle name="Normal 31 29 4" xfId="7760" xr:uid="{00000000-0005-0000-0000-0000ED590000}"/>
    <cellStyle name="Normal 31 29 4 2" xfId="37675" xr:uid="{00000000-0005-0000-0000-0000EE590000}"/>
    <cellStyle name="Normal 31 29 5" xfId="37676" xr:uid="{00000000-0005-0000-0000-0000EF590000}"/>
    <cellStyle name="Normal 31 29_01-04-2012" xfId="7761" xr:uid="{00000000-0005-0000-0000-0000F0590000}"/>
    <cellStyle name="Normal 31 3" xfId="7762" xr:uid="{00000000-0005-0000-0000-0000F1590000}"/>
    <cellStyle name="Normal 31 3 2" xfId="7763" xr:uid="{00000000-0005-0000-0000-0000F2590000}"/>
    <cellStyle name="Normal 31 3 2 2" xfId="37677" xr:uid="{00000000-0005-0000-0000-0000F3590000}"/>
    <cellStyle name="Normal 31 3 3" xfId="7764" xr:uid="{00000000-0005-0000-0000-0000F4590000}"/>
    <cellStyle name="Normal 31 3 3 2" xfId="37678" xr:uid="{00000000-0005-0000-0000-0000F5590000}"/>
    <cellStyle name="Normal 31 3 4" xfId="7765" xr:uid="{00000000-0005-0000-0000-0000F6590000}"/>
    <cellStyle name="Normal 31 3 4 2" xfId="37679" xr:uid="{00000000-0005-0000-0000-0000F7590000}"/>
    <cellStyle name="Normal 31 3 5" xfId="20258" xr:uid="{00000000-0005-0000-0000-0000F8590000}"/>
    <cellStyle name="Normal 31 3 5 2" xfId="37680" xr:uid="{00000000-0005-0000-0000-0000F9590000}"/>
    <cellStyle name="Normal 31 3_01-04-2012" xfId="7766" xr:uid="{00000000-0005-0000-0000-0000FA590000}"/>
    <cellStyle name="Normal 31 30" xfId="7767" xr:uid="{00000000-0005-0000-0000-0000FB590000}"/>
    <cellStyle name="Normal 31 30 2" xfId="7768" xr:uid="{00000000-0005-0000-0000-0000FC590000}"/>
    <cellStyle name="Normal 31 30 2 2" xfId="37681" xr:uid="{00000000-0005-0000-0000-0000FD590000}"/>
    <cellStyle name="Normal 31 30 3" xfId="7769" xr:uid="{00000000-0005-0000-0000-0000FE590000}"/>
    <cellStyle name="Normal 31 30 3 2" xfId="37682" xr:uid="{00000000-0005-0000-0000-0000FF590000}"/>
    <cellStyle name="Normal 31 30 4" xfId="7770" xr:uid="{00000000-0005-0000-0000-0000005A0000}"/>
    <cellStyle name="Normal 31 30 4 2" xfId="37683" xr:uid="{00000000-0005-0000-0000-0000015A0000}"/>
    <cellStyle name="Normal 31 30 5" xfId="37684" xr:uid="{00000000-0005-0000-0000-0000025A0000}"/>
    <cellStyle name="Normal 31 30_01-04-2012" xfId="7771" xr:uid="{00000000-0005-0000-0000-0000035A0000}"/>
    <cellStyle name="Normal 31 31" xfId="7772" xr:uid="{00000000-0005-0000-0000-0000045A0000}"/>
    <cellStyle name="Normal 31 31 2" xfId="7773" xr:uid="{00000000-0005-0000-0000-0000055A0000}"/>
    <cellStyle name="Normal 31 31 2 2" xfId="37685" xr:uid="{00000000-0005-0000-0000-0000065A0000}"/>
    <cellStyle name="Normal 31 31 3" xfId="7774" xr:uid="{00000000-0005-0000-0000-0000075A0000}"/>
    <cellStyle name="Normal 31 31 3 2" xfId="37686" xr:uid="{00000000-0005-0000-0000-0000085A0000}"/>
    <cellStyle name="Normal 31 31 4" xfId="7775" xr:uid="{00000000-0005-0000-0000-0000095A0000}"/>
    <cellStyle name="Normal 31 31 4 2" xfId="37687" xr:uid="{00000000-0005-0000-0000-00000A5A0000}"/>
    <cellStyle name="Normal 31 31 5" xfId="37688" xr:uid="{00000000-0005-0000-0000-00000B5A0000}"/>
    <cellStyle name="Normal 31 31_01-04-2012" xfId="7776" xr:uid="{00000000-0005-0000-0000-00000C5A0000}"/>
    <cellStyle name="Normal 31 32" xfId="7777" xr:uid="{00000000-0005-0000-0000-00000D5A0000}"/>
    <cellStyle name="Normal 31 32 2" xfId="7778" xr:uid="{00000000-0005-0000-0000-00000E5A0000}"/>
    <cellStyle name="Normal 31 32 2 2" xfId="37689" xr:uid="{00000000-0005-0000-0000-00000F5A0000}"/>
    <cellStyle name="Normal 31 32 3" xfId="7779" xr:uid="{00000000-0005-0000-0000-0000105A0000}"/>
    <cellStyle name="Normal 31 32 3 2" xfId="37690" xr:uid="{00000000-0005-0000-0000-0000115A0000}"/>
    <cellStyle name="Normal 31 32 4" xfId="7780" xr:uid="{00000000-0005-0000-0000-0000125A0000}"/>
    <cellStyle name="Normal 31 32 4 2" xfId="37691" xr:uid="{00000000-0005-0000-0000-0000135A0000}"/>
    <cellStyle name="Normal 31 32 5" xfId="37692" xr:uid="{00000000-0005-0000-0000-0000145A0000}"/>
    <cellStyle name="Normal 31 32_01-04-2012" xfId="7781" xr:uid="{00000000-0005-0000-0000-0000155A0000}"/>
    <cellStyle name="Normal 31 33" xfId="7782" xr:uid="{00000000-0005-0000-0000-0000165A0000}"/>
    <cellStyle name="Normal 31 33 2" xfId="7783" xr:uid="{00000000-0005-0000-0000-0000175A0000}"/>
    <cellStyle name="Normal 31 33 2 2" xfId="37693" xr:uid="{00000000-0005-0000-0000-0000185A0000}"/>
    <cellStyle name="Normal 31 33 3" xfId="7784" xr:uid="{00000000-0005-0000-0000-0000195A0000}"/>
    <cellStyle name="Normal 31 33 3 2" xfId="37694" xr:uid="{00000000-0005-0000-0000-00001A5A0000}"/>
    <cellStyle name="Normal 31 33 4" xfId="7785" xr:uid="{00000000-0005-0000-0000-00001B5A0000}"/>
    <cellStyle name="Normal 31 33 4 2" xfId="37695" xr:uid="{00000000-0005-0000-0000-00001C5A0000}"/>
    <cellStyle name="Normal 31 33 5" xfId="37696" xr:uid="{00000000-0005-0000-0000-00001D5A0000}"/>
    <cellStyle name="Normal 31 33_01-04-2012" xfId="7786" xr:uid="{00000000-0005-0000-0000-00001E5A0000}"/>
    <cellStyle name="Normal 31 34" xfId="7787" xr:uid="{00000000-0005-0000-0000-00001F5A0000}"/>
    <cellStyle name="Normal 31 34 2" xfId="7788" xr:uid="{00000000-0005-0000-0000-0000205A0000}"/>
    <cellStyle name="Normal 31 34 2 2" xfId="37697" xr:uid="{00000000-0005-0000-0000-0000215A0000}"/>
    <cellStyle name="Normal 31 34 3" xfId="7789" xr:uid="{00000000-0005-0000-0000-0000225A0000}"/>
    <cellStyle name="Normal 31 34 3 2" xfId="37698" xr:uid="{00000000-0005-0000-0000-0000235A0000}"/>
    <cellStyle name="Normal 31 34 4" xfId="7790" xr:uid="{00000000-0005-0000-0000-0000245A0000}"/>
    <cellStyle name="Normal 31 34 4 2" xfId="37699" xr:uid="{00000000-0005-0000-0000-0000255A0000}"/>
    <cellStyle name="Normal 31 34 5" xfId="37700" xr:uid="{00000000-0005-0000-0000-0000265A0000}"/>
    <cellStyle name="Normal 31 34_01-04-2012" xfId="7791" xr:uid="{00000000-0005-0000-0000-0000275A0000}"/>
    <cellStyle name="Normal 31 35" xfId="7792" xr:uid="{00000000-0005-0000-0000-0000285A0000}"/>
    <cellStyle name="Normal 31 35 2" xfId="7793" xr:uid="{00000000-0005-0000-0000-0000295A0000}"/>
    <cellStyle name="Normal 31 35 2 2" xfId="37701" xr:uid="{00000000-0005-0000-0000-00002A5A0000}"/>
    <cellStyle name="Normal 31 35 3" xfId="7794" xr:uid="{00000000-0005-0000-0000-00002B5A0000}"/>
    <cellStyle name="Normal 31 35 3 2" xfId="37702" xr:uid="{00000000-0005-0000-0000-00002C5A0000}"/>
    <cellStyle name="Normal 31 35 4" xfId="7795" xr:uid="{00000000-0005-0000-0000-00002D5A0000}"/>
    <cellStyle name="Normal 31 35 4 2" xfId="37703" xr:uid="{00000000-0005-0000-0000-00002E5A0000}"/>
    <cellStyle name="Normal 31 35 5" xfId="37704" xr:uid="{00000000-0005-0000-0000-00002F5A0000}"/>
    <cellStyle name="Normal 31 35_01-04-2012" xfId="7796" xr:uid="{00000000-0005-0000-0000-0000305A0000}"/>
    <cellStyle name="Normal 31 36" xfId="7797" xr:uid="{00000000-0005-0000-0000-0000315A0000}"/>
    <cellStyle name="Normal 31 36 2" xfId="7798" xr:uid="{00000000-0005-0000-0000-0000325A0000}"/>
    <cellStyle name="Normal 31 36 2 2" xfId="37705" xr:uid="{00000000-0005-0000-0000-0000335A0000}"/>
    <cellStyle name="Normal 31 36 3" xfId="7799" xr:uid="{00000000-0005-0000-0000-0000345A0000}"/>
    <cellStyle name="Normal 31 36 3 2" xfId="37706" xr:uid="{00000000-0005-0000-0000-0000355A0000}"/>
    <cellStyle name="Normal 31 36 4" xfId="7800" xr:uid="{00000000-0005-0000-0000-0000365A0000}"/>
    <cellStyle name="Normal 31 36 4 2" xfId="37707" xr:uid="{00000000-0005-0000-0000-0000375A0000}"/>
    <cellStyle name="Normal 31 36 5" xfId="37708" xr:uid="{00000000-0005-0000-0000-0000385A0000}"/>
    <cellStyle name="Normal 31 36_01-04-2012" xfId="7801" xr:uid="{00000000-0005-0000-0000-0000395A0000}"/>
    <cellStyle name="Normal 31 37" xfId="7802" xr:uid="{00000000-0005-0000-0000-00003A5A0000}"/>
    <cellStyle name="Normal 31 37 2" xfId="7803" xr:uid="{00000000-0005-0000-0000-00003B5A0000}"/>
    <cellStyle name="Normal 31 37 2 2" xfId="37709" xr:uid="{00000000-0005-0000-0000-00003C5A0000}"/>
    <cellStyle name="Normal 31 37 3" xfId="7804" xr:uid="{00000000-0005-0000-0000-00003D5A0000}"/>
    <cellStyle name="Normal 31 37 3 2" xfId="37710" xr:uid="{00000000-0005-0000-0000-00003E5A0000}"/>
    <cellStyle name="Normal 31 37 4" xfId="7805" xr:uid="{00000000-0005-0000-0000-00003F5A0000}"/>
    <cellStyle name="Normal 31 37 4 2" xfId="37711" xr:uid="{00000000-0005-0000-0000-0000405A0000}"/>
    <cellStyle name="Normal 31 37 5" xfId="37712" xr:uid="{00000000-0005-0000-0000-0000415A0000}"/>
    <cellStyle name="Normal 31 37_01-04-2012" xfId="7806" xr:uid="{00000000-0005-0000-0000-0000425A0000}"/>
    <cellStyle name="Normal 31 38" xfId="7807" xr:uid="{00000000-0005-0000-0000-0000435A0000}"/>
    <cellStyle name="Normal 31 38 2" xfId="37713" xr:uid="{00000000-0005-0000-0000-0000445A0000}"/>
    <cellStyle name="Normal 31 39" xfId="7808" xr:uid="{00000000-0005-0000-0000-0000455A0000}"/>
    <cellStyle name="Normal 31 39 2" xfId="37714" xr:uid="{00000000-0005-0000-0000-0000465A0000}"/>
    <cellStyle name="Normal 31 4" xfId="7809" xr:uid="{00000000-0005-0000-0000-0000475A0000}"/>
    <cellStyle name="Normal 31 4 2" xfId="7810" xr:uid="{00000000-0005-0000-0000-0000485A0000}"/>
    <cellStyle name="Normal 31 4 2 2" xfId="37715" xr:uid="{00000000-0005-0000-0000-0000495A0000}"/>
    <cellStyle name="Normal 31 4 3" xfId="7811" xr:uid="{00000000-0005-0000-0000-00004A5A0000}"/>
    <cellStyle name="Normal 31 4 3 2" xfId="37716" xr:uid="{00000000-0005-0000-0000-00004B5A0000}"/>
    <cellStyle name="Normal 31 4 4" xfId="7812" xr:uid="{00000000-0005-0000-0000-00004C5A0000}"/>
    <cellStyle name="Normal 31 4 4 2" xfId="37717" xr:uid="{00000000-0005-0000-0000-00004D5A0000}"/>
    <cellStyle name="Normal 31 4 5" xfId="37718" xr:uid="{00000000-0005-0000-0000-00004E5A0000}"/>
    <cellStyle name="Normal 31 4_01-04-2012" xfId="7813" xr:uid="{00000000-0005-0000-0000-00004F5A0000}"/>
    <cellStyle name="Normal 31 40" xfId="7814" xr:uid="{00000000-0005-0000-0000-0000505A0000}"/>
    <cellStyle name="Normal 31 40 2" xfId="37719" xr:uid="{00000000-0005-0000-0000-0000515A0000}"/>
    <cellStyle name="Normal 31 41" xfId="20259" xr:uid="{00000000-0005-0000-0000-0000525A0000}"/>
    <cellStyle name="Normal 31 41 2" xfId="37720" xr:uid="{00000000-0005-0000-0000-0000535A0000}"/>
    <cellStyle name="Normal 31 42" xfId="20260" xr:uid="{00000000-0005-0000-0000-0000545A0000}"/>
    <cellStyle name="Normal 31 43" xfId="20261" xr:uid="{00000000-0005-0000-0000-0000555A0000}"/>
    <cellStyle name="Normal 31 44" xfId="20262" xr:uid="{00000000-0005-0000-0000-0000565A0000}"/>
    <cellStyle name="Normal 31 45" xfId="20263" xr:uid="{00000000-0005-0000-0000-0000575A0000}"/>
    <cellStyle name="Normal 31 46" xfId="20264" xr:uid="{00000000-0005-0000-0000-0000585A0000}"/>
    <cellStyle name="Normal 31 47" xfId="33650" xr:uid="{00000000-0005-0000-0000-0000595A0000}"/>
    <cellStyle name="Normal 31 5" xfId="7815" xr:uid="{00000000-0005-0000-0000-00005A5A0000}"/>
    <cellStyle name="Normal 31 5 2" xfId="7816" xr:uid="{00000000-0005-0000-0000-00005B5A0000}"/>
    <cellStyle name="Normal 31 5 2 2" xfId="37721" xr:uid="{00000000-0005-0000-0000-00005C5A0000}"/>
    <cellStyle name="Normal 31 5 3" xfId="7817" xr:uid="{00000000-0005-0000-0000-00005D5A0000}"/>
    <cellStyle name="Normal 31 5 3 2" xfId="37722" xr:uid="{00000000-0005-0000-0000-00005E5A0000}"/>
    <cellStyle name="Normal 31 5 4" xfId="7818" xr:uid="{00000000-0005-0000-0000-00005F5A0000}"/>
    <cellStyle name="Normal 31 5 4 2" xfId="37723" xr:uid="{00000000-0005-0000-0000-0000605A0000}"/>
    <cellStyle name="Normal 31 5 5" xfId="37724" xr:uid="{00000000-0005-0000-0000-0000615A0000}"/>
    <cellStyle name="Normal 31 5_01-04-2012" xfId="7819" xr:uid="{00000000-0005-0000-0000-0000625A0000}"/>
    <cellStyle name="Normal 31 6" xfId="7820" xr:uid="{00000000-0005-0000-0000-0000635A0000}"/>
    <cellStyle name="Normal 31 6 2" xfId="7821" xr:uid="{00000000-0005-0000-0000-0000645A0000}"/>
    <cellStyle name="Normal 31 6 2 2" xfId="37725" xr:uid="{00000000-0005-0000-0000-0000655A0000}"/>
    <cellStyle name="Normal 31 6 3" xfId="7822" xr:uid="{00000000-0005-0000-0000-0000665A0000}"/>
    <cellStyle name="Normal 31 6 3 2" xfId="37726" xr:uid="{00000000-0005-0000-0000-0000675A0000}"/>
    <cellStyle name="Normal 31 6 4" xfId="7823" xr:uid="{00000000-0005-0000-0000-0000685A0000}"/>
    <cellStyle name="Normal 31 6 4 2" xfId="37727" xr:uid="{00000000-0005-0000-0000-0000695A0000}"/>
    <cellStyle name="Normal 31 6 5" xfId="37728" xr:uid="{00000000-0005-0000-0000-00006A5A0000}"/>
    <cellStyle name="Normal 31 6_01-04-2012" xfId="7824" xr:uid="{00000000-0005-0000-0000-00006B5A0000}"/>
    <cellStyle name="Normal 31 7" xfId="7825" xr:uid="{00000000-0005-0000-0000-00006C5A0000}"/>
    <cellStyle name="Normal 31 7 2" xfId="7826" xr:uid="{00000000-0005-0000-0000-00006D5A0000}"/>
    <cellStyle name="Normal 31 7 2 2" xfId="37729" xr:uid="{00000000-0005-0000-0000-00006E5A0000}"/>
    <cellStyle name="Normal 31 7 3" xfId="7827" xr:uid="{00000000-0005-0000-0000-00006F5A0000}"/>
    <cellStyle name="Normal 31 7 3 2" xfId="37730" xr:uid="{00000000-0005-0000-0000-0000705A0000}"/>
    <cellStyle name="Normal 31 7 4" xfId="7828" xr:uid="{00000000-0005-0000-0000-0000715A0000}"/>
    <cellStyle name="Normal 31 7 4 2" xfId="37731" xr:uid="{00000000-0005-0000-0000-0000725A0000}"/>
    <cellStyle name="Normal 31 7 5" xfId="37732" xr:uid="{00000000-0005-0000-0000-0000735A0000}"/>
    <cellStyle name="Normal 31 7_01-04-2012" xfId="7829" xr:uid="{00000000-0005-0000-0000-0000745A0000}"/>
    <cellStyle name="Normal 31 8" xfId="7830" xr:uid="{00000000-0005-0000-0000-0000755A0000}"/>
    <cellStyle name="Normal 31 8 2" xfId="7831" xr:uid="{00000000-0005-0000-0000-0000765A0000}"/>
    <cellStyle name="Normal 31 8 2 2" xfId="37733" xr:uid="{00000000-0005-0000-0000-0000775A0000}"/>
    <cellStyle name="Normal 31 8 3" xfId="7832" xr:uid="{00000000-0005-0000-0000-0000785A0000}"/>
    <cellStyle name="Normal 31 8 3 2" xfId="37734" xr:uid="{00000000-0005-0000-0000-0000795A0000}"/>
    <cellStyle name="Normal 31 8 4" xfId="7833" xr:uid="{00000000-0005-0000-0000-00007A5A0000}"/>
    <cellStyle name="Normal 31 8 4 2" xfId="37735" xr:uid="{00000000-0005-0000-0000-00007B5A0000}"/>
    <cellStyle name="Normal 31 8 5" xfId="37736" xr:uid="{00000000-0005-0000-0000-00007C5A0000}"/>
    <cellStyle name="Normal 31 8_01-04-2012" xfId="7834" xr:uid="{00000000-0005-0000-0000-00007D5A0000}"/>
    <cellStyle name="Normal 31 9" xfId="7835" xr:uid="{00000000-0005-0000-0000-00007E5A0000}"/>
    <cellStyle name="Normal 31 9 2" xfId="7836" xr:uid="{00000000-0005-0000-0000-00007F5A0000}"/>
    <cellStyle name="Normal 31 9 2 2" xfId="37737" xr:uid="{00000000-0005-0000-0000-0000805A0000}"/>
    <cellStyle name="Normal 31 9 3" xfId="7837" xr:uid="{00000000-0005-0000-0000-0000815A0000}"/>
    <cellStyle name="Normal 31 9 3 2" xfId="37738" xr:uid="{00000000-0005-0000-0000-0000825A0000}"/>
    <cellStyle name="Normal 31 9 4" xfId="7838" xr:uid="{00000000-0005-0000-0000-0000835A0000}"/>
    <cellStyle name="Normal 31 9 4 2" xfId="37739" xr:uid="{00000000-0005-0000-0000-0000845A0000}"/>
    <cellStyle name="Normal 31 9 5" xfId="37740" xr:uid="{00000000-0005-0000-0000-0000855A0000}"/>
    <cellStyle name="Normal 31 9_01-04-2012" xfId="7839" xr:uid="{00000000-0005-0000-0000-0000865A0000}"/>
    <cellStyle name="Normal 31_01-04-2012" xfId="7840" xr:uid="{00000000-0005-0000-0000-0000875A0000}"/>
    <cellStyle name="Normal 310" xfId="20265" xr:uid="{00000000-0005-0000-0000-0000885A0000}"/>
    <cellStyle name="Normal 311" xfId="20266" xr:uid="{00000000-0005-0000-0000-0000895A0000}"/>
    <cellStyle name="Normal 312" xfId="20267" xr:uid="{00000000-0005-0000-0000-00008A5A0000}"/>
    <cellStyle name="Normal 313" xfId="20268" xr:uid="{00000000-0005-0000-0000-00008B5A0000}"/>
    <cellStyle name="Normal 314" xfId="20269" xr:uid="{00000000-0005-0000-0000-00008C5A0000}"/>
    <cellStyle name="Normal 315" xfId="20270" xr:uid="{00000000-0005-0000-0000-00008D5A0000}"/>
    <cellStyle name="Normal 316" xfId="20271" xr:uid="{00000000-0005-0000-0000-00008E5A0000}"/>
    <cellStyle name="Normal 317" xfId="20272" xr:uid="{00000000-0005-0000-0000-00008F5A0000}"/>
    <cellStyle name="Normal 318" xfId="20273" xr:uid="{00000000-0005-0000-0000-0000905A0000}"/>
    <cellStyle name="Normal 319" xfId="20274" xr:uid="{00000000-0005-0000-0000-0000915A0000}"/>
    <cellStyle name="Normal 32" xfId="7841" xr:uid="{00000000-0005-0000-0000-0000925A0000}"/>
    <cellStyle name="Normal 32 10" xfId="7842" xr:uid="{00000000-0005-0000-0000-0000935A0000}"/>
    <cellStyle name="Normal 32 10 2" xfId="7843" xr:uid="{00000000-0005-0000-0000-0000945A0000}"/>
    <cellStyle name="Normal 32 10 2 2" xfId="37741" xr:uid="{00000000-0005-0000-0000-0000955A0000}"/>
    <cellStyle name="Normal 32 10 3" xfId="7844" xr:uid="{00000000-0005-0000-0000-0000965A0000}"/>
    <cellStyle name="Normal 32 10 3 2" xfId="37742" xr:uid="{00000000-0005-0000-0000-0000975A0000}"/>
    <cellStyle name="Normal 32 10 4" xfId="7845" xr:uid="{00000000-0005-0000-0000-0000985A0000}"/>
    <cellStyle name="Normal 32 10 4 2" xfId="37743" xr:uid="{00000000-0005-0000-0000-0000995A0000}"/>
    <cellStyle name="Normal 32 10 5" xfId="37744" xr:uid="{00000000-0005-0000-0000-00009A5A0000}"/>
    <cellStyle name="Normal 32 10_01-04-2012" xfId="7846" xr:uid="{00000000-0005-0000-0000-00009B5A0000}"/>
    <cellStyle name="Normal 32 11" xfId="7847" xr:uid="{00000000-0005-0000-0000-00009C5A0000}"/>
    <cellStyle name="Normal 32 11 2" xfId="7848" xr:uid="{00000000-0005-0000-0000-00009D5A0000}"/>
    <cellStyle name="Normal 32 11 2 2" xfId="37745" xr:uid="{00000000-0005-0000-0000-00009E5A0000}"/>
    <cellStyle name="Normal 32 11 3" xfId="7849" xr:uid="{00000000-0005-0000-0000-00009F5A0000}"/>
    <cellStyle name="Normal 32 11 3 2" xfId="37746" xr:uid="{00000000-0005-0000-0000-0000A05A0000}"/>
    <cellStyle name="Normal 32 11 4" xfId="7850" xr:uid="{00000000-0005-0000-0000-0000A15A0000}"/>
    <cellStyle name="Normal 32 11 4 2" xfId="37747" xr:uid="{00000000-0005-0000-0000-0000A25A0000}"/>
    <cellStyle name="Normal 32 11 5" xfId="37748" xr:uid="{00000000-0005-0000-0000-0000A35A0000}"/>
    <cellStyle name="Normal 32 11_01-04-2012" xfId="7851" xr:uid="{00000000-0005-0000-0000-0000A45A0000}"/>
    <cellStyle name="Normal 32 12" xfId="7852" xr:uid="{00000000-0005-0000-0000-0000A55A0000}"/>
    <cellStyle name="Normal 32 12 2" xfId="7853" xr:uid="{00000000-0005-0000-0000-0000A65A0000}"/>
    <cellStyle name="Normal 32 12 2 2" xfId="37749" xr:uid="{00000000-0005-0000-0000-0000A75A0000}"/>
    <cellStyle name="Normal 32 12 3" xfId="7854" xr:uid="{00000000-0005-0000-0000-0000A85A0000}"/>
    <cellStyle name="Normal 32 12 3 2" xfId="37750" xr:uid="{00000000-0005-0000-0000-0000A95A0000}"/>
    <cellStyle name="Normal 32 12 4" xfId="7855" xr:uid="{00000000-0005-0000-0000-0000AA5A0000}"/>
    <cellStyle name="Normal 32 12 4 2" xfId="37751" xr:uid="{00000000-0005-0000-0000-0000AB5A0000}"/>
    <cellStyle name="Normal 32 12 5" xfId="37752" xr:uid="{00000000-0005-0000-0000-0000AC5A0000}"/>
    <cellStyle name="Normal 32 12_01-04-2012" xfId="7856" xr:uid="{00000000-0005-0000-0000-0000AD5A0000}"/>
    <cellStyle name="Normal 32 13" xfId="7857" xr:uid="{00000000-0005-0000-0000-0000AE5A0000}"/>
    <cellStyle name="Normal 32 13 2" xfId="7858" xr:uid="{00000000-0005-0000-0000-0000AF5A0000}"/>
    <cellStyle name="Normal 32 13 2 2" xfId="37753" xr:uid="{00000000-0005-0000-0000-0000B05A0000}"/>
    <cellStyle name="Normal 32 13 3" xfId="7859" xr:uid="{00000000-0005-0000-0000-0000B15A0000}"/>
    <cellStyle name="Normal 32 13 3 2" xfId="37754" xr:uid="{00000000-0005-0000-0000-0000B25A0000}"/>
    <cellStyle name="Normal 32 13 4" xfId="7860" xr:uid="{00000000-0005-0000-0000-0000B35A0000}"/>
    <cellStyle name="Normal 32 13 4 2" xfId="37755" xr:uid="{00000000-0005-0000-0000-0000B45A0000}"/>
    <cellStyle name="Normal 32 13 5" xfId="37756" xr:uid="{00000000-0005-0000-0000-0000B55A0000}"/>
    <cellStyle name="Normal 32 13_01-04-2012" xfId="7861" xr:uid="{00000000-0005-0000-0000-0000B65A0000}"/>
    <cellStyle name="Normal 32 14" xfId="7862" xr:uid="{00000000-0005-0000-0000-0000B75A0000}"/>
    <cellStyle name="Normal 32 14 2" xfId="7863" xr:uid="{00000000-0005-0000-0000-0000B85A0000}"/>
    <cellStyle name="Normal 32 14 2 2" xfId="37757" xr:uid="{00000000-0005-0000-0000-0000B95A0000}"/>
    <cellStyle name="Normal 32 14 3" xfId="7864" xr:uid="{00000000-0005-0000-0000-0000BA5A0000}"/>
    <cellStyle name="Normal 32 14 3 2" xfId="37758" xr:uid="{00000000-0005-0000-0000-0000BB5A0000}"/>
    <cellStyle name="Normal 32 14 4" xfId="7865" xr:uid="{00000000-0005-0000-0000-0000BC5A0000}"/>
    <cellStyle name="Normal 32 14 4 2" xfId="37759" xr:uid="{00000000-0005-0000-0000-0000BD5A0000}"/>
    <cellStyle name="Normal 32 14 5" xfId="37760" xr:uid="{00000000-0005-0000-0000-0000BE5A0000}"/>
    <cellStyle name="Normal 32 14_01-04-2012" xfId="7866" xr:uid="{00000000-0005-0000-0000-0000BF5A0000}"/>
    <cellStyle name="Normal 32 15" xfId="7867" xr:uid="{00000000-0005-0000-0000-0000C05A0000}"/>
    <cellStyle name="Normal 32 15 2" xfId="7868" xr:uid="{00000000-0005-0000-0000-0000C15A0000}"/>
    <cellStyle name="Normal 32 15 2 2" xfId="37761" xr:uid="{00000000-0005-0000-0000-0000C25A0000}"/>
    <cellStyle name="Normal 32 15 3" xfId="7869" xr:uid="{00000000-0005-0000-0000-0000C35A0000}"/>
    <cellStyle name="Normal 32 15 3 2" xfId="37762" xr:uid="{00000000-0005-0000-0000-0000C45A0000}"/>
    <cellStyle name="Normal 32 15 4" xfId="7870" xr:uid="{00000000-0005-0000-0000-0000C55A0000}"/>
    <cellStyle name="Normal 32 15 4 2" xfId="37763" xr:uid="{00000000-0005-0000-0000-0000C65A0000}"/>
    <cellStyle name="Normal 32 15 5" xfId="37764" xr:uid="{00000000-0005-0000-0000-0000C75A0000}"/>
    <cellStyle name="Normal 32 15_01-04-2012" xfId="7871" xr:uid="{00000000-0005-0000-0000-0000C85A0000}"/>
    <cellStyle name="Normal 32 16" xfId="7872" xr:uid="{00000000-0005-0000-0000-0000C95A0000}"/>
    <cellStyle name="Normal 32 16 2" xfId="7873" xr:uid="{00000000-0005-0000-0000-0000CA5A0000}"/>
    <cellStyle name="Normal 32 16 2 2" xfId="37765" xr:uid="{00000000-0005-0000-0000-0000CB5A0000}"/>
    <cellStyle name="Normal 32 16 3" xfId="7874" xr:uid="{00000000-0005-0000-0000-0000CC5A0000}"/>
    <cellStyle name="Normal 32 16 3 2" xfId="37766" xr:uid="{00000000-0005-0000-0000-0000CD5A0000}"/>
    <cellStyle name="Normal 32 16 4" xfId="7875" xr:uid="{00000000-0005-0000-0000-0000CE5A0000}"/>
    <cellStyle name="Normal 32 16 4 2" xfId="37767" xr:uid="{00000000-0005-0000-0000-0000CF5A0000}"/>
    <cellStyle name="Normal 32 16 5" xfId="37768" xr:uid="{00000000-0005-0000-0000-0000D05A0000}"/>
    <cellStyle name="Normal 32 16_01-04-2012" xfId="7876" xr:uid="{00000000-0005-0000-0000-0000D15A0000}"/>
    <cellStyle name="Normal 32 17" xfId="7877" xr:uid="{00000000-0005-0000-0000-0000D25A0000}"/>
    <cellStyle name="Normal 32 17 2" xfId="7878" xr:uid="{00000000-0005-0000-0000-0000D35A0000}"/>
    <cellStyle name="Normal 32 17 2 2" xfId="37769" xr:uid="{00000000-0005-0000-0000-0000D45A0000}"/>
    <cellStyle name="Normal 32 17 3" xfId="7879" xr:uid="{00000000-0005-0000-0000-0000D55A0000}"/>
    <cellStyle name="Normal 32 17 3 2" xfId="37770" xr:uid="{00000000-0005-0000-0000-0000D65A0000}"/>
    <cellStyle name="Normal 32 17 4" xfId="7880" xr:uid="{00000000-0005-0000-0000-0000D75A0000}"/>
    <cellStyle name="Normal 32 17 4 2" xfId="37771" xr:uid="{00000000-0005-0000-0000-0000D85A0000}"/>
    <cellStyle name="Normal 32 17 5" xfId="37772" xr:uid="{00000000-0005-0000-0000-0000D95A0000}"/>
    <cellStyle name="Normal 32 17_01-04-2012" xfId="7881" xr:uid="{00000000-0005-0000-0000-0000DA5A0000}"/>
    <cellStyle name="Normal 32 18" xfId="7882" xr:uid="{00000000-0005-0000-0000-0000DB5A0000}"/>
    <cellStyle name="Normal 32 18 2" xfId="7883" xr:uid="{00000000-0005-0000-0000-0000DC5A0000}"/>
    <cellStyle name="Normal 32 18 2 2" xfId="37773" xr:uid="{00000000-0005-0000-0000-0000DD5A0000}"/>
    <cellStyle name="Normal 32 18 3" xfId="7884" xr:uid="{00000000-0005-0000-0000-0000DE5A0000}"/>
    <cellStyle name="Normal 32 18 3 2" xfId="37774" xr:uid="{00000000-0005-0000-0000-0000DF5A0000}"/>
    <cellStyle name="Normal 32 18 4" xfId="7885" xr:uid="{00000000-0005-0000-0000-0000E05A0000}"/>
    <cellStyle name="Normal 32 18 4 2" xfId="37775" xr:uid="{00000000-0005-0000-0000-0000E15A0000}"/>
    <cellStyle name="Normal 32 18 5" xfId="37776" xr:uid="{00000000-0005-0000-0000-0000E25A0000}"/>
    <cellStyle name="Normal 32 18_01-04-2012" xfId="7886" xr:uid="{00000000-0005-0000-0000-0000E35A0000}"/>
    <cellStyle name="Normal 32 19" xfId="7887" xr:uid="{00000000-0005-0000-0000-0000E45A0000}"/>
    <cellStyle name="Normal 32 19 2" xfId="7888" xr:uid="{00000000-0005-0000-0000-0000E55A0000}"/>
    <cellStyle name="Normal 32 19 2 2" xfId="37777" xr:uid="{00000000-0005-0000-0000-0000E65A0000}"/>
    <cellStyle name="Normal 32 19 3" xfId="7889" xr:uid="{00000000-0005-0000-0000-0000E75A0000}"/>
    <cellStyle name="Normal 32 19 3 2" xfId="37778" xr:uid="{00000000-0005-0000-0000-0000E85A0000}"/>
    <cellStyle name="Normal 32 19 4" xfId="7890" xr:uid="{00000000-0005-0000-0000-0000E95A0000}"/>
    <cellStyle name="Normal 32 19 4 2" xfId="37779" xr:uid="{00000000-0005-0000-0000-0000EA5A0000}"/>
    <cellStyle name="Normal 32 19 5" xfId="37780" xr:uid="{00000000-0005-0000-0000-0000EB5A0000}"/>
    <cellStyle name="Normal 32 19_01-04-2012" xfId="7891" xr:uid="{00000000-0005-0000-0000-0000EC5A0000}"/>
    <cellStyle name="Normal 32 2" xfId="7892" xr:uid="{00000000-0005-0000-0000-0000ED5A0000}"/>
    <cellStyle name="Normal 32 2 2" xfId="7893" xr:uid="{00000000-0005-0000-0000-0000EE5A0000}"/>
    <cellStyle name="Normal 32 2 2 2" xfId="33653" xr:uid="{00000000-0005-0000-0000-0000EF5A0000}"/>
    <cellStyle name="Normal 32 2 2 2 2" xfId="37781" xr:uid="{00000000-0005-0000-0000-0000F05A0000}"/>
    <cellStyle name="Normal 32 2 3" xfId="7894" xr:uid="{00000000-0005-0000-0000-0000F15A0000}"/>
    <cellStyle name="Normal 32 2 3 2" xfId="37782" xr:uid="{00000000-0005-0000-0000-0000F25A0000}"/>
    <cellStyle name="Normal 32 2 4" xfId="7895" xr:uid="{00000000-0005-0000-0000-0000F35A0000}"/>
    <cellStyle name="Normal 32 2 4 2" xfId="37783" xr:uid="{00000000-0005-0000-0000-0000F45A0000}"/>
    <cellStyle name="Normal 32 2 5" xfId="20275" xr:uid="{00000000-0005-0000-0000-0000F55A0000}"/>
    <cellStyle name="Normal 32 2 5 2" xfId="37784" xr:uid="{00000000-0005-0000-0000-0000F65A0000}"/>
    <cellStyle name="Normal 32 2_01-04-2012" xfId="7896" xr:uid="{00000000-0005-0000-0000-0000F75A0000}"/>
    <cellStyle name="Normal 32 20" xfId="7897" xr:uid="{00000000-0005-0000-0000-0000F85A0000}"/>
    <cellStyle name="Normal 32 20 2" xfId="7898" xr:uid="{00000000-0005-0000-0000-0000F95A0000}"/>
    <cellStyle name="Normal 32 20 2 2" xfId="37785" xr:uid="{00000000-0005-0000-0000-0000FA5A0000}"/>
    <cellStyle name="Normal 32 20 3" xfId="7899" xr:uid="{00000000-0005-0000-0000-0000FB5A0000}"/>
    <cellStyle name="Normal 32 20 3 2" xfId="37786" xr:uid="{00000000-0005-0000-0000-0000FC5A0000}"/>
    <cellStyle name="Normal 32 20 4" xfId="7900" xr:uid="{00000000-0005-0000-0000-0000FD5A0000}"/>
    <cellStyle name="Normal 32 20 4 2" xfId="37787" xr:uid="{00000000-0005-0000-0000-0000FE5A0000}"/>
    <cellStyle name="Normal 32 20 5" xfId="37788" xr:uid="{00000000-0005-0000-0000-0000FF5A0000}"/>
    <cellStyle name="Normal 32 20_01-04-2012" xfId="7901" xr:uid="{00000000-0005-0000-0000-0000005B0000}"/>
    <cellStyle name="Normal 32 21" xfId="7902" xr:uid="{00000000-0005-0000-0000-0000015B0000}"/>
    <cellStyle name="Normal 32 21 2" xfId="7903" xr:uid="{00000000-0005-0000-0000-0000025B0000}"/>
    <cellStyle name="Normal 32 21 2 2" xfId="37789" xr:uid="{00000000-0005-0000-0000-0000035B0000}"/>
    <cellStyle name="Normal 32 21 3" xfId="7904" xr:uid="{00000000-0005-0000-0000-0000045B0000}"/>
    <cellStyle name="Normal 32 21 3 2" xfId="37790" xr:uid="{00000000-0005-0000-0000-0000055B0000}"/>
    <cellStyle name="Normal 32 21 4" xfId="7905" xr:uid="{00000000-0005-0000-0000-0000065B0000}"/>
    <cellStyle name="Normal 32 21 4 2" xfId="37791" xr:uid="{00000000-0005-0000-0000-0000075B0000}"/>
    <cellStyle name="Normal 32 21 5" xfId="37792" xr:uid="{00000000-0005-0000-0000-0000085B0000}"/>
    <cellStyle name="Normal 32 21_01-04-2012" xfId="7906" xr:uid="{00000000-0005-0000-0000-0000095B0000}"/>
    <cellStyle name="Normal 32 22" xfId="7907" xr:uid="{00000000-0005-0000-0000-00000A5B0000}"/>
    <cellStyle name="Normal 32 22 2" xfId="7908" xr:uid="{00000000-0005-0000-0000-00000B5B0000}"/>
    <cellStyle name="Normal 32 22 2 2" xfId="37793" xr:uid="{00000000-0005-0000-0000-00000C5B0000}"/>
    <cellStyle name="Normal 32 22 3" xfId="7909" xr:uid="{00000000-0005-0000-0000-00000D5B0000}"/>
    <cellStyle name="Normal 32 22 3 2" xfId="37794" xr:uid="{00000000-0005-0000-0000-00000E5B0000}"/>
    <cellStyle name="Normal 32 22 4" xfId="7910" xr:uid="{00000000-0005-0000-0000-00000F5B0000}"/>
    <cellStyle name="Normal 32 22 4 2" xfId="37795" xr:uid="{00000000-0005-0000-0000-0000105B0000}"/>
    <cellStyle name="Normal 32 22 5" xfId="37796" xr:uid="{00000000-0005-0000-0000-0000115B0000}"/>
    <cellStyle name="Normal 32 22_01-04-2012" xfId="7911" xr:uid="{00000000-0005-0000-0000-0000125B0000}"/>
    <cellStyle name="Normal 32 23" xfId="7912" xr:uid="{00000000-0005-0000-0000-0000135B0000}"/>
    <cellStyle name="Normal 32 23 2" xfId="7913" xr:uid="{00000000-0005-0000-0000-0000145B0000}"/>
    <cellStyle name="Normal 32 23 2 2" xfId="37797" xr:uid="{00000000-0005-0000-0000-0000155B0000}"/>
    <cellStyle name="Normal 32 23 3" xfId="7914" xr:uid="{00000000-0005-0000-0000-0000165B0000}"/>
    <cellStyle name="Normal 32 23 3 2" xfId="37798" xr:uid="{00000000-0005-0000-0000-0000175B0000}"/>
    <cellStyle name="Normal 32 23 4" xfId="7915" xr:uid="{00000000-0005-0000-0000-0000185B0000}"/>
    <cellStyle name="Normal 32 23 4 2" xfId="37799" xr:uid="{00000000-0005-0000-0000-0000195B0000}"/>
    <cellStyle name="Normal 32 23 5" xfId="37800" xr:uid="{00000000-0005-0000-0000-00001A5B0000}"/>
    <cellStyle name="Normal 32 23_01-04-2012" xfId="7916" xr:uid="{00000000-0005-0000-0000-00001B5B0000}"/>
    <cellStyle name="Normal 32 24" xfId="7917" xr:uid="{00000000-0005-0000-0000-00001C5B0000}"/>
    <cellStyle name="Normal 32 24 2" xfId="7918" xr:uid="{00000000-0005-0000-0000-00001D5B0000}"/>
    <cellStyle name="Normal 32 24 2 2" xfId="37801" xr:uid="{00000000-0005-0000-0000-00001E5B0000}"/>
    <cellStyle name="Normal 32 24 3" xfId="7919" xr:uid="{00000000-0005-0000-0000-00001F5B0000}"/>
    <cellStyle name="Normal 32 24 3 2" xfId="37802" xr:uid="{00000000-0005-0000-0000-0000205B0000}"/>
    <cellStyle name="Normal 32 24 4" xfId="7920" xr:uid="{00000000-0005-0000-0000-0000215B0000}"/>
    <cellStyle name="Normal 32 24 4 2" xfId="37803" xr:uid="{00000000-0005-0000-0000-0000225B0000}"/>
    <cellStyle name="Normal 32 24 5" xfId="37804" xr:uid="{00000000-0005-0000-0000-0000235B0000}"/>
    <cellStyle name="Normal 32 24_01-04-2012" xfId="7921" xr:uid="{00000000-0005-0000-0000-0000245B0000}"/>
    <cellStyle name="Normal 32 25" xfId="7922" xr:uid="{00000000-0005-0000-0000-0000255B0000}"/>
    <cellStyle name="Normal 32 25 2" xfId="7923" xr:uid="{00000000-0005-0000-0000-0000265B0000}"/>
    <cellStyle name="Normal 32 25 2 2" xfId="37805" xr:uid="{00000000-0005-0000-0000-0000275B0000}"/>
    <cellStyle name="Normal 32 25 3" xfId="7924" xr:uid="{00000000-0005-0000-0000-0000285B0000}"/>
    <cellStyle name="Normal 32 25 3 2" xfId="37806" xr:uid="{00000000-0005-0000-0000-0000295B0000}"/>
    <cellStyle name="Normal 32 25 4" xfId="7925" xr:uid="{00000000-0005-0000-0000-00002A5B0000}"/>
    <cellStyle name="Normal 32 25 4 2" xfId="37807" xr:uid="{00000000-0005-0000-0000-00002B5B0000}"/>
    <cellStyle name="Normal 32 25 5" xfId="37808" xr:uid="{00000000-0005-0000-0000-00002C5B0000}"/>
    <cellStyle name="Normal 32 25_01-04-2012" xfId="7926" xr:uid="{00000000-0005-0000-0000-00002D5B0000}"/>
    <cellStyle name="Normal 32 26" xfId="7927" xr:uid="{00000000-0005-0000-0000-00002E5B0000}"/>
    <cellStyle name="Normal 32 26 2" xfId="7928" xr:uid="{00000000-0005-0000-0000-00002F5B0000}"/>
    <cellStyle name="Normal 32 26 2 2" xfId="37809" xr:uid="{00000000-0005-0000-0000-0000305B0000}"/>
    <cellStyle name="Normal 32 26 3" xfId="7929" xr:uid="{00000000-0005-0000-0000-0000315B0000}"/>
    <cellStyle name="Normal 32 26 3 2" xfId="37810" xr:uid="{00000000-0005-0000-0000-0000325B0000}"/>
    <cellStyle name="Normal 32 26 4" xfId="7930" xr:uid="{00000000-0005-0000-0000-0000335B0000}"/>
    <cellStyle name="Normal 32 26 4 2" xfId="37811" xr:uid="{00000000-0005-0000-0000-0000345B0000}"/>
    <cellStyle name="Normal 32 26 5" xfId="37812" xr:uid="{00000000-0005-0000-0000-0000355B0000}"/>
    <cellStyle name="Normal 32 26_01-04-2012" xfId="7931" xr:uid="{00000000-0005-0000-0000-0000365B0000}"/>
    <cellStyle name="Normal 32 27" xfId="7932" xr:uid="{00000000-0005-0000-0000-0000375B0000}"/>
    <cellStyle name="Normal 32 27 2" xfId="7933" xr:uid="{00000000-0005-0000-0000-0000385B0000}"/>
    <cellStyle name="Normal 32 27 2 2" xfId="37813" xr:uid="{00000000-0005-0000-0000-0000395B0000}"/>
    <cellStyle name="Normal 32 27 3" xfId="7934" xr:uid="{00000000-0005-0000-0000-00003A5B0000}"/>
    <cellStyle name="Normal 32 27 3 2" xfId="37814" xr:uid="{00000000-0005-0000-0000-00003B5B0000}"/>
    <cellStyle name="Normal 32 27 4" xfId="7935" xr:uid="{00000000-0005-0000-0000-00003C5B0000}"/>
    <cellStyle name="Normal 32 27 4 2" xfId="37815" xr:uid="{00000000-0005-0000-0000-00003D5B0000}"/>
    <cellStyle name="Normal 32 27 5" xfId="37816" xr:uid="{00000000-0005-0000-0000-00003E5B0000}"/>
    <cellStyle name="Normal 32 27_01-04-2012" xfId="7936" xr:uid="{00000000-0005-0000-0000-00003F5B0000}"/>
    <cellStyle name="Normal 32 28" xfId="7937" xr:uid="{00000000-0005-0000-0000-0000405B0000}"/>
    <cellStyle name="Normal 32 28 2" xfId="7938" xr:uid="{00000000-0005-0000-0000-0000415B0000}"/>
    <cellStyle name="Normal 32 28 2 2" xfId="37817" xr:uid="{00000000-0005-0000-0000-0000425B0000}"/>
    <cellStyle name="Normal 32 28 3" xfId="7939" xr:uid="{00000000-0005-0000-0000-0000435B0000}"/>
    <cellStyle name="Normal 32 28 3 2" xfId="37818" xr:uid="{00000000-0005-0000-0000-0000445B0000}"/>
    <cellStyle name="Normal 32 28 4" xfId="7940" xr:uid="{00000000-0005-0000-0000-0000455B0000}"/>
    <cellStyle name="Normal 32 28 4 2" xfId="37819" xr:uid="{00000000-0005-0000-0000-0000465B0000}"/>
    <cellStyle name="Normal 32 28 5" xfId="37820" xr:uid="{00000000-0005-0000-0000-0000475B0000}"/>
    <cellStyle name="Normal 32 28_01-04-2012" xfId="7941" xr:uid="{00000000-0005-0000-0000-0000485B0000}"/>
    <cellStyle name="Normal 32 29" xfId="7942" xr:uid="{00000000-0005-0000-0000-0000495B0000}"/>
    <cellStyle name="Normal 32 29 2" xfId="7943" xr:uid="{00000000-0005-0000-0000-00004A5B0000}"/>
    <cellStyle name="Normal 32 29 2 2" xfId="37821" xr:uid="{00000000-0005-0000-0000-00004B5B0000}"/>
    <cellStyle name="Normal 32 29 3" xfId="7944" xr:uid="{00000000-0005-0000-0000-00004C5B0000}"/>
    <cellStyle name="Normal 32 29 3 2" xfId="37822" xr:uid="{00000000-0005-0000-0000-00004D5B0000}"/>
    <cellStyle name="Normal 32 29 4" xfId="7945" xr:uid="{00000000-0005-0000-0000-00004E5B0000}"/>
    <cellStyle name="Normal 32 29 4 2" xfId="37823" xr:uid="{00000000-0005-0000-0000-00004F5B0000}"/>
    <cellStyle name="Normal 32 29 5" xfId="37824" xr:uid="{00000000-0005-0000-0000-0000505B0000}"/>
    <cellStyle name="Normal 32 29_01-04-2012" xfId="7946" xr:uid="{00000000-0005-0000-0000-0000515B0000}"/>
    <cellStyle name="Normal 32 3" xfId="7947" xr:uid="{00000000-0005-0000-0000-0000525B0000}"/>
    <cellStyle name="Normal 32 3 2" xfId="7948" xr:uid="{00000000-0005-0000-0000-0000535B0000}"/>
    <cellStyle name="Normal 32 3 2 2" xfId="37825" xr:uid="{00000000-0005-0000-0000-0000545B0000}"/>
    <cellStyle name="Normal 32 3 3" xfId="7949" xr:uid="{00000000-0005-0000-0000-0000555B0000}"/>
    <cellStyle name="Normal 32 3 3 2" xfId="37826" xr:uid="{00000000-0005-0000-0000-0000565B0000}"/>
    <cellStyle name="Normal 32 3 4" xfId="7950" xr:uid="{00000000-0005-0000-0000-0000575B0000}"/>
    <cellStyle name="Normal 32 3 4 2" xfId="37827" xr:uid="{00000000-0005-0000-0000-0000585B0000}"/>
    <cellStyle name="Normal 32 3 5" xfId="20276" xr:uid="{00000000-0005-0000-0000-0000595B0000}"/>
    <cellStyle name="Normal 32 3 5 2" xfId="37828" xr:uid="{00000000-0005-0000-0000-00005A5B0000}"/>
    <cellStyle name="Normal 32 3_01-04-2012" xfId="7951" xr:uid="{00000000-0005-0000-0000-00005B5B0000}"/>
    <cellStyle name="Normal 32 30" xfId="7952" xr:uid="{00000000-0005-0000-0000-00005C5B0000}"/>
    <cellStyle name="Normal 32 30 2" xfId="7953" xr:uid="{00000000-0005-0000-0000-00005D5B0000}"/>
    <cellStyle name="Normal 32 30 2 2" xfId="37829" xr:uid="{00000000-0005-0000-0000-00005E5B0000}"/>
    <cellStyle name="Normal 32 30 3" xfId="7954" xr:uid="{00000000-0005-0000-0000-00005F5B0000}"/>
    <cellStyle name="Normal 32 30 3 2" xfId="37830" xr:uid="{00000000-0005-0000-0000-0000605B0000}"/>
    <cellStyle name="Normal 32 30 4" xfId="7955" xr:uid="{00000000-0005-0000-0000-0000615B0000}"/>
    <cellStyle name="Normal 32 30 4 2" xfId="37831" xr:uid="{00000000-0005-0000-0000-0000625B0000}"/>
    <cellStyle name="Normal 32 30 5" xfId="37832" xr:uid="{00000000-0005-0000-0000-0000635B0000}"/>
    <cellStyle name="Normal 32 30_01-04-2012" xfId="7956" xr:uid="{00000000-0005-0000-0000-0000645B0000}"/>
    <cellStyle name="Normal 32 31" xfId="7957" xr:uid="{00000000-0005-0000-0000-0000655B0000}"/>
    <cellStyle name="Normal 32 31 2" xfId="7958" xr:uid="{00000000-0005-0000-0000-0000665B0000}"/>
    <cellStyle name="Normal 32 31 2 2" xfId="37833" xr:uid="{00000000-0005-0000-0000-0000675B0000}"/>
    <cellStyle name="Normal 32 31 3" xfId="7959" xr:uid="{00000000-0005-0000-0000-0000685B0000}"/>
    <cellStyle name="Normal 32 31 3 2" xfId="37834" xr:uid="{00000000-0005-0000-0000-0000695B0000}"/>
    <cellStyle name="Normal 32 31 4" xfId="7960" xr:uid="{00000000-0005-0000-0000-00006A5B0000}"/>
    <cellStyle name="Normal 32 31 4 2" xfId="37835" xr:uid="{00000000-0005-0000-0000-00006B5B0000}"/>
    <cellStyle name="Normal 32 31 5" xfId="37836" xr:uid="{00000000-0005-0000-0000-00006C5B0000}"/>
    <cellStyle name="Normal 32 31_01-04-2012" xfId="7961" xr:uid="{00000000-0005-0000-0000-00006D5B0000}"/>
    <cellStyle name="Normal 32 32" xfId="7962" xr:uid="{00000000-0005-0000-0000-00006E5B0000}"/>
    <cellStyle name="Normal 32 32 2" xfId="7963" xr:uid="{00000000-0005-0000-0000-00006F5B0000}"/>
    <cellStyle name="Normal 32 32 2 2" xfId="37837" xr:uid="{00000000-0005-0000-0000-0000705B0000}"/>
    <cellStyle name="Normal 32 32 3" xfId="7964" xr:uid="{00000000-0005-0000-0000-0000715B0000}"/>
    <cellStyle name="Normal 32 32 3 2" xfId="37838" xr:uid="{00000000-0005-0000-0000-0000725B0000}"/>
    <cellStyle name="Normal 32 32 4" xfId="7965" xr:uid="{00000000-0005-0000-0000-0000735B0000}"/>
    <cellStyle name="Normal 32 32 4 2" xfId="37839" xr:uid="{00000000-0005-0000-0000-0000745B0000}"/>
    <cellStyle name="Normal 32 32 5" xfId="37840" xr:uid="{00000000-0005-0000-0000-0000755B0000}"/>
    <cellStyle name="Normal 32 32_01-04-2012" xfId="7966" xr:uid="{00000000-0005-0000-0000-0000765B0000}"/>
    <cellStyle name="Normal 32 33" xfId="7967" xr:uid="{00000000-0005-0000-0000-0000775B0000}"/>
    <cellStyle name="Normal 32 33 2" xfId="7968" xr:uid="{00000000-0005-0000-0000-0000785B0000}"/>
    <cellStyle name="Normal 32 33 2 2" xfId="37841" xr:uid="{00000000-0005-0000-0000-0000795B0000}"/>
    <cellStyle name="Normal 32 33 3" xfId="7969" xr:uid="{00000000-0005-0000-0000-00007A5B0000}"/>
    <cellStyle name="Normal 32 33 3 2" xfId="37842" xr:uid="{00000000-0005-0000-0000-00007B5B0000}"/>
    <cellStyle name="Normal 32 33 4" xfId="7970" xr:uid="{00000000-0005-0000-0000-00007C5B0000}"/>
    <cellStyle name="Normal 32 33 4 2" xfId="37843" xr:uid="{00000000-0005-0000-0000-00007D5B0000}"/>
    <cellStyle name="Normal 32 33 5" xfId="37844" xr:uid="{00000000-0005-0000-0000-00007E5B0000}"/>
    <cellStyle name="Normal 32 33_01-04-2012" xfId="7971" xr:uid="{00000000-0005-0000-0000-00007F5B0000}"/>
    <cellStyle name="Normal 32 34" xfId="7972" xr:uid="{00000000-0005-0000-0000-0000805B0000}"/>
    <cellStyle name="Normal 32 34 2" xfId="7973" xr:uid="{00000000-0005-0000-0000-0000815B0000}"/>
    <cellStyle name="Normal 32 34 2 2" xfId="37845" xr:uid="{00000000-0005-0000-0000-0000825B0000}"/>
    <cellStyle name="Normal 32 34 3" xfId="7974" xr:uid="{00000000-0005-0000-0000-0000835B0000}"/>
    <cellStyle name="Normal 32 34 3 2" xfId="37846" xr:uid="{00000000-0005-0000-0000-0000845B0000}"/>
    <cellStyle name="Normal 32 34 4" xfId="7975" xr:uid="{00000000-0005-0000-0000-0000855B0000}"/>
    <cellStyle name="Normal 32 34 4 2" xfId="37847" xr:uid="{00000000-0005-0000-0000-0000865B0000}"/>
    <cellStyle name="Normal 32 34 5" xfId="37848" xr:uid="{00000000-0005-0000-0000-0000875B0000}"/>
    <cellStyle name="Normal 32 34_01-04-2012" xfId="7976" xr:uid="{00000000-0005-0000-0000-0000885B0000}"/>
    <cellStyle name="Normal 32 35" xfId="7977" xr:uid="{00000000-0005-0000-0000-0000895B0000}"/>
    <cellStyle name="Normal 32 35 2" xfId="7978" xr:uid="{00000000-0005-0000-0000-00008A5B0000}"/>
    <cellStyle name="Normal 32 35 2 2" xfId="37849" xr:uid="{00000000-0005-0000-0000-00008B5B0000}"/>
    <cellStyle name="Normal 32 35 3" xfId="7979" xr:uid="{00000000-0005-0000-0000-00008C5B0000}"/>
    <cellStyle name="Normal 32 35 3 2" xfId="37850" xr:uid="{00000000-0005-0000-0000-00008D5B0000}"/>
    <cellStyle name="Normal 32 35 4" xfId="7980" xr:uid="{00000000-0005-0000-0000-00008E5B0000}"/>
    <cellStyle name="Normal 32 35 4 2" xfId="37851" xr:uid="{00000000-0005-0000-0000-00008F5B0000}"/>
    <cellStyle name="Normal 32 35 5" xfId="37852" xr:uid="{00000000-0005-0000-0000-0000905B0000}"/>
    <cellStyle name="Normal 32 35_01-04-2012" xfId="7981" xr:uid="{00000000-0005-0000-0000-0000915B0000}"/>
    <cellStyle name="Normal 32 36" xfId="7982" xr:uid="{00000000-0005-0000-0000-0000925B0000}"/>
    <cellStyle name="Normal 32 36 2" xfId="7983" xr:uid="{00000000-0005-0000-0000-0000935B0000}"/>
    <cellStyle name="Normal 32 36 2 2" xfId="37853" xr:uid="{00000000-0005-0000-0000-0000945B0000}"/>
    <cellStyle name="Normal 32 36 3" xfId="7984" xr:uid="{00000000-0005-0000-0000-0000955B0000}"/>
    <cellStyle name="Normal 32 36 3 2" xfId="37854" xr:uid="{00000000-0005-0000-0000-0000965B0000}"/>
    <cellStyle name="Normal 32 36 4" xfId="7985" xr:uid="{00000000-0005-0000-0000-0000975B0000}"/>
    <cellStyle name="Normal 32 36 4 2" xfId="37855" xr:uid="{00000000-0005-0000-0000-0000985B0000}"/>
    <cellStyle name="Normal 32 36 5" xfId="37856" xr:uid="{00000000-0005-0000-0000-0000995B0000}"/>
    <cellStyle name="Normal 32 36_01-04-2012" xfId="7986" xr:uid="{00000000-0005-0000-0000-00009A5B0000}"/>
    <cellStyle name="Normal 32 37" xfId="7987" xr:uid="{00000000-0005-0000-0000-00009B5B0000}"/>
    <cellStyle name="Normal 32 37 2" xfId="7988" xr:uid="{00000000-0005-0000-0000-00009C5B0000}"/>
    <cellStyle name="Normal 32 37 2 2" xfId="37857" xr:uid="{00000000-0005-0000-0000-00009D5B0000}"/>
    <cellStyle name="Normal 32 37 3" xfId="7989" xr:uid="{00000000-0005-0000-0000-00009E5B0000}"/>
    <cellStyle name="Normal 32 37 3 2" xfId="37858" xr:uid="{00000000-0005-0000-0000-00009F5B0000}"/>
    <cellStyle name="Normal 32 37 4" xfId="7990" xr:uid="{00000000-0005-0000-0000-0000A05B0000}"/>
    <cellStyle name="Normal 32 37 4 2" xfId="37859" xr:uid="{00000000-0005-0000-0000-0000A15B0000}"/>
    <cellStyle name="Normal 32 37 5" xfId="37860" xr:uid="{00000000-0005-0000-0000-0000A25B0000}"/>
    <cellStyle name="Normal 32 37_01-04-2012" xfId="7991" xr:uid="{00000000-0005-0000-0000-0000A35B0000}"/>
    <cellStyle name="Normal 32 38" xfId="7992" xr:uid="{00000000-0005-0000-0000-0000A45B0000}"/>
    <cellStyle name="Normal 32 38 2" xfId="37861" xr:uid="{00000000-0005-0000-0000-0000A55B0000}"/>
    <cellStyle name="Normal 32 39" xfId="7993" xr:uid="{00000000-0005-0000-0000-0000A65B0000}"/>
    <cellStyle name="Normal 32 39 2" xfId="37862" xr:uid="{00000000-0005-0000-0000-0000A75B0000}"/>
    <cellStyle name="Normal 32 4" xfId="7994" xr:uid="{00000000-0005-0000-0000-0000A85B0000}"/>
    <cellStyle name="Normal 32 4 2" xfId="7995" xr:uid="{00000000-0005-0000-0000-0000A95B0000}"/>
    <cellStyle name="Normal 32 4 2 2" xfId="37863" xr:uid="{00000000-0005-0000-0000-0000AA5B0000}"/>
    <cellStyle name="Normal 32 4 3" xfId="7996" xr:uid="{00000000-0005-0000-0000-0000AB5B0000}"/>
    <cellStyle name="Normal 32 4 3 2" xfId="37864" xr:uid="{00000000-0005-0000-0000-0000AC5B0000}"/>
    <cellStyle name="Normal 32 4 4" xfId="7997" xr:uid="{00000000-0005-0000-0000-0000AD5B0000}"/>
    <cellStyle name="Normal 32 4 4 2" xfId="37865" xr:uid="{00000000-0005-0000-0000-0000AE5B0000}"/>
    <cellStyle name="Normal 32 4 5" xfId="37866" xr:uid="{00000000-0005-0000-0000-0000AF5B0000}"/>
    <cellStyle name="Normal 32 4_01-04-2012" xfId="7998" xr:uid="{00000000-0005-0000-0000-0000B05B0000}"/>
    <cellStyle name="Normal 32 40" xfId="7999" xr:uid="{00000000-0005-0000-0000-0000B15B0000}"/>
    <cellStyle name="Normal 32 40 2" xfId="37867" xr:uid="{00000000-0005-0000-0000-0000B25B0000}"/>
    <cellStyle name="Normal 32 41" xfId="20277" xr:uid="{00000000-0005-0000-0000-0000B35B0000}"/>
    <cellStyle name="Normal 32 41 2" xfId="37868" xr:uid="{00000000-0005-0000-0000-0000B45B0000}"/>
    <cellStyle name="Normal 32 42" xfId="20278" xr:uid="{00000000-0005-0000-0000-0000B55B0000}"/>
    <cellStyle name="Normal 32 43" xfId="20279" xr:uid="{00000000-0005-0000-0000-0000B65B0000}"/>
    <cellStyle name="Normal 32 44" xfId="20280" xr:uid="{00000000-0005-0000-0000-0000B75B0000}"/>
    <cellStyle name="Normal 32 45" xfId="20281" xr:uid="{00000000-0005-0000-0000-0000B85B0000}"/>
    <cellStyle name="Normal 32 46" xfId="20282" xr:uid="{00000000-0005-0000-0000-0000B95B0000}"/>
    <cellStyle name="Normal 32 47" xfId="33652" xr:uid="{00000000-0005-0000-0000-0000BA5B0000}"/>
    <cellStyle name="Normal 32 5" xfId="8000" xr:uid="{00000000-0005-0000-0000-0000BB5B0000}"/>
    <cellStyle name="Normal 32 5 2" xfId="8001" xr:uid="{00000000-0005-0000-0000-0000BC5B0000}"/>
    <cellStyle name="Normal 32 5 2 2" xfId="37869" xr:uid="{00000000-0005-0000-0000-0000BD5B0000}"/>
    <cellStyle name="Normal 32 5 3" xfId="8002" xr:uid="{00000000-0005-0000-0000-0000BE5B0000}"/>
    <cellStyle name="Normal 32 5 3 2" xfId="37870" xr:uid="{00000000-0005-0000-0000-0000BF5B0000}"/>
    <cellStyle name="Normal 32 5 4" xfId="8003" xr:uid="{00000000-0005-0000-0000-0000C05B0000}"/>
    <cellStyle name="Normal 32 5 4 2" xfId="37871" xr:uid="{00000000-0005-0000-0000-0000C15B0000}"/>
    <cellStyle name="Normal 32 5 5" xfId="37872" xr:uid="{00000000-0005-0000-0000-0000C25B0000}"/>
    <cellStyle name="Normal 32 5_01-04-2012" xfId="8004" xr:uid="{00000000-0005-0000-0000-0000C35B0000}"/>
    <cellStyle name="Normal 32 6" xfId="8005" xr:uid="{00000000-0005-0000-0000-0000C45B0000}"/>
    <cellStyle name="Normal 32 6 2" xfId="8006" xr:uid="{00000000-0005-0000-0000-0000C55B0000}"/>
    <cellStyle name="Normal 32 6 2 2" xfId="37873" xr:uid="{00000000-0005-0000-0000-0000C65B0000}"/>
    <cellStyle name="Normal 32 6 3" xfId="8007" xr:uid="{00000000-0005-0000-0000-0000C75B0000}"/>
    <cellStyle name="Normal 32 6 3 2" xfId="37874" xr:uid="{00000000-0005-0000-0000-0000C85B0000}"/>
    <cellStyle name="Normal 32 6 4" xfId="8008" xr:uid="{00000000-0005-0000-0000-0000C95B0000}"/>
    <cellStyle name="Normal 32 6 4 2" xfId="37875" xr:uid="{00000000-0005-0000-0000-0000CA5B0000}"/>
    <cellStyle name="Normal 32 6 5" xfId="37876" xr:uid="{00000000-0005-0000-0000-0000CB5B0000}"/>
    <cellStyle name="Normal 32 6_01-04-2012" xfId="8009" xr:uid="{00000000-0005-0000-0000-0000CC5B0000}"/>
    <cellStyle name="Normal 32 7" xfId="8010" xr:uid="{00000000-0005-0000-0000-0000CD5B0000}"/>
    <cellStyle name="Normal 32 7 2" xfId="8011" xr:uid="{00000000-0005-0000-0000-0000CE5B0000}"/>
    <cellStyle name="Normal 32 7 2 2" xfId="37877" xr:uid="{00000000-0005-0000-0000-0000CF5B0000}"/>
    <cellStyle name="Normal 32 7 3" xfId="8012" xr:uid="{00000000-0005-0000-0000-0000D05B0000}"/>
    <cellStyle name="Normal 32 7 3 2" xfId="37878" xr:uid="{00000000-0005-0000-0000-0000D15B0000}"/>
    <cellStyle name="Normal 32 7 4" xfId="8013" xr:uid="{00000000-0005-0000-0000-0000D25B0000}"/>
    <cellStyle name="Normal 32 7 4 2" xfId="37879" xr:uid="{00000000-0005-0000-0000-0000D35B0000}"/>
    <cellStyle name="Normal 32 7 5" xfId="37880" xr:uid="{00000000-0005-0000-0000-0000D45B0000}"/>
    <cellStyle name="Normal 32 7_01-04-2012" xfId="8014" xr:uid="{00000000-0005-0000-0000-0000D55B0000}"/>
    <cellStyle name="Normal 32 8" xfId="8015" xr:uid="{00000000-0005-0000-0000-0000D65B0000}"/>
    <cellStyle name="Normal 32 8 2" xfId="8016" xr:uid="{00000000-0005-0000-0000-0000D75B0000}"/>
    <cellStyle name="Normal 32 8 2 2" xfId="37881" xr:uid="{00000000-0005-0000-0000-0000D85B0000}"/>
    <cellStyle name="Normal 32 8 3" xfId="8017" xr:uid="{00000000-0005-0000-0000-0000D95B0000}"/>
    <cellStyle name="Normal 32 8 3 2" xfId="37882" xr:uid="{00000000-0005-0000-0000-0000DA5B0000}"/>
    <cellStyle name="Normal 32 8 4" xfId="8018" xr:uid="{00000000-0005-0000-0000-0000DB5B0000}"/>
    <cellStyle name="Normal 32 8 4 2" xfId="37883" xr:uid="{00000000-0005-0000-0000-0000DC5B0000}"/>
    <cellStyle name="Normal 32 8 5" xfId="37884" xr:uid="{00000000-0005-0000-0000-0000DD5B0000}"/>
    <cellStyle name="Normal 32 8_01-04-2012" xfId="8019" xr:uid="{00000000-0005-0000-0000-0000DE5B0000}"/>
    <cellStyle name="Normal 32 9" xfId="8020" xr:uid="{00000000-0005-0000-0000-0000DF5B0000}"/>
    <cellStyle name="Normal 32 9 2" xfId="8021" xr:uid="{00000000-0005-0000-0000-0000E05B0000}"/>
    <cellStyle name="Normal 32 9 2 2" xfId="37885" xr:uid="{00000000-0005-0000-0000-0000E15B0000}"/>
    <cellStyle name="Normal 32 9 3" xfId="8022" xr:uid="{00000000-0005-0000-0000-0000E25B0000}"/>
    <cellStyle name="Normal 32 9 3 2" xfId="37886" xr:uid="{00000000-0005-0000-0000-0000E35B0000}"/>
    <cellStyle name="Normal 32 9 4" xfId="8023" xr:uid="{00000000-0005-0000-0000-0000E45B0000}"/>
    <cellStyle name="Normal 32 9 4 2" xfId="37887" xr:uid="{00000000-0005-0000-0000-0000E55B0000}"/>
    <cellStyle name="Normal 32 9 5" xfId="37888" xr:uid="{00000000-0005-0000-0000-0000E65B0000}"/>
    <cellStyle name="Normal 32 9_01-04-2012" xfId="8024" xr:uid="{00000000-0005-0000-0000-0000E75B0000}"/>
    <cellStyle name="Normal 32_01-04-2012" xfId="8025" xr:uid="{00000000-0005-0000-0000-0000E85B0000}"/>
    <cellStyle name="Normal 320" xfId="20283" xr:uid="{00000000-0005-0000-0000-0000E95B0000}"/>
    <cellStyle name="Normal 321" xfId="20284" xr:uid="{00000000-0005-0000-0000-0000EA5B0000}"/>
    <cellStyle name="Normal 322" xfId="20285" xr:uid="{00000000-0005-0000-0000-0000EB5B0000}"/>
    <cellStyle name="Normal 323" xfId="20286" xr:uid="{00000000-0005-0000-0000-0000EC5B0000}"/>
    <cellStyle name="Normal 324" xfId="20287" xr:uid="{00000000-0005-0000-0000-0000ED5B0000}"/>
    <cellStyle name="Normal 325" xfId="20288" xr:uid="{00000000-0005-0000-0000-0000EE5B0000}"/>
    <cellStyle name="Normal 326" xfId="20289" xr:uid="{00000000-0005-0000-0000-0000EF5B0000}"/>
    <cellStyle name="Normal 327" xfId="20290" xr:uid="{00000000-0005-0000-0000-0000F05B0000}"/>
    <cellStyle name="Normal 328" xfId="20291" xr:uid="{00000000-0005-0000-0000-0000F15B0000}"/>
    <cellStyle name="Normal 329" xfId="20292" xr:uid="{00000000-0005-0000-0000-0000F25B0000}"/>
    <cellStyle name="Normal 33" xfId="8026" xr:uid="{00000000-0005-0000-0000-0000F35B0000}"/>
    <cellStyle name="Normal 33 10" xfId="8027" xr:uid="{00000000-0005-0000-0000-0000F45B0000}"/>
    <cellStyle name="Normal 33 10 2" xfId="8028" xr:uid="{00000000-0005-0000-0000-0000F55B0000}"/>
    <cellStyle name="Normal 33 10 2 2" xfId="37889" xr:uid="{00000000-0005-0000-0000-0000F65B0000}"/>
    <cellStyle name="Normal 33 10 3" xfId="8029" xr:uid="{00000000-0005-0000-0000-0000F75B0000}"/>
    <cellStyle name="Normal 33 10 3 2" xfId="37890" xr:uid="{00000000-0005-0000-0000-0000F85B0000}"/>
    <cellStyle name="Normal 33 10 4" xfId="8030" xr:uid="{00000000-0005-0000-0000-0000F95B0000}"/>
    <cellStyle name="Normal 33 10 4 2" xfId="37891" xr:uid="{00000000-0005-0000-0000-0000FA5B0000}"/>
    <cellStyle name="Normal 33 10 5" xfId="37892" xr:uid="{00000000-0005-0000-0000-0000FB5B0000}"/>
    <cellStyle name="Normal 33 10_01-04-2012" xfId="8031" xr:uid="{00000000-0005-0000-0000-0000FC5B0000}"/>
    <cellStyle name="Normal 33 11" xfId="8032" xr:uid="{00000000-0005-0000-0000-0000FD5B0000}"/>
    <cellStyle name="Normal 33 11 2" xfId="8033" xr:uid="{00000000-0005-0000-0000-0000FE5B0000}"/>
    <cellStyle name="Normal 33 11 2 2" xfId="37893" xr:uid="{00000000-0005-0000-0000-0000FF5B0000}"/>
    <cellStyle name="Normal 33 11 3" xfId="8034" xr:uid="{00000000-0005-0000-0000-0000005C0000}"/>
    <cellStyle name="Normal 33 11 3 2" xfId="37894" xr:uid="{00000000-0005-0000-0000-0000015C0000}"/>
    <cellStyle name="Normal 33 11 4" xfId="8035" xr:uid="{00000000-0005-0000-0000-0000025C0000}"/>
    <cellStyle name="Normal 33 11 4 2" xfId="37895" xr:uid="{00000000-0005-0000-0000-0000035C0000}"/>
    <cellStyle name="Normal 33 11 5" xfId="37896" xr:uid="{00000000-0005-0000-0000-0000045C0000}"/>
    <cellStyle name="Normal 33 11_01-04-2012" xfId="8036" xr:uid="{00000000-0005-0000-0000-0000055C0000}"/>
    <cellStyle name="Normal 33 12" xfId="8037" xr:uid="{00000000-0005-0000-0000-0000065C0000}"/>
    <cellStyle name="Normal 33 12 2" xfId="8038" xr:uid="{00000000-0005-0000-0000-0000075C0000}"/>
    <cellStyle name="Normal 33 12 2 2" xfId="37897" xr:uid="{00000000-0005-0000-0000-0000085C0000}"/>
    <cellStyle name="Normal 33 12 3" xfId="8039" xr:uid="{00000000-0005-0000-0000-0000095C0000}"/>
    <cellStyle name="Normal 33 12 3 2" xfId="37898" xr:uid="{00000000-0005-0000-0000-00000A5C0000}"/>
    <cellStyle name="Normal 33 12 4" xfId="8040" xr:uid="{00000000-0005-0000-0000-00000B5C0000}"/>
    <cellStyle name="Normal 33 12 4 2" xfId="37899" xr:uid="{00000000-0005-0000-0000-00000C5C0000}"/>
    <cellStyle name="Normal 33 12 5" xfId="37900" xr:uid="{00000000-0005-0000-0000-00000D5C0000}"/>
    <cellStyle name="Normal 33 12_01-04-2012" xfId="8041" xr:uid="{00000000-0005-0000-0000-00000E5C0000}"/>
    <cellStyle name="Normal 33 13" xfId="8042" xr:uid="{00000000-0005-0000-0000-00000F5C0000}"/>
    <cellStyle name="Normal 33 13 2" xfId="8043" xr:uid="{00000000-0005-0000-0000-0000105C0000}"/>
    <cellStyle name="Normal 33 13 2 2" xfId="37901" xr:uid="{00000000-0005-0000-0000-0000115C0000}"/>
    <cellStyle name="Normal 33 13 3" xfId="8044" xr:uid="{00000000-0005-0000-0000-0000125C0000}"/>
    <cellStyle name="Normal 33 13 3 2" xfId="37902" xr:uid="{00000000-0005-0000-0000-0000135C0000}"/>
    <cellStyle name="Normal 33 13 4" xfId="8045" xr:uid="{00000000-0005-0000-0000-0000145C0000}"/>
    <cellStyle name="Normal 33 13 4 2" xfId="37903" xr:uid="{00000000-0005-0000-0000-0000155C0000}"/>
    <cellStyle name="Normal 33 13 5" xfId="37904" xr:uid="{00000000-0005-0000-0000-0000165C0000}"/>
    <cellStyle name="Normal 33 13_01-04-2012" xfId="8046" xr:uid="{00000000-0005-0000-0000-0000175C0000}"/>
    <cellStyle name="Normal 33 14" xfId="8047" xr:uid="{00000000-0005-0000-0000-0000185C0000}"/>
    <cellStyle name="Normal 33 14 2" xfId="8048" xr:uid="{00000000-0005-0000-0000-0000195C0000}"/>
    <cellStyle name="Normal 33 14 2 2" xfId="37905" xr:uid="{00000000-0005-0000-0000-00001A5C0000}"/>
    <cellStyle name="Normal 33 14 3" xfId="8049" xr:uid="{00000000-0005-0000-0000-00001B5C0000}"/>
    <cellStyle name="Normal 33 14 3 2" xfId="37906" xr:uid="{00000000-0005-0000-0000-00001C5C0000}"/>
    <cellStyle name="Normal 33 14 4" xfId="8050" xr:uid="{00000000-0005-0000-0000-00001D5C0000}"/>
    <cellStyle name="Normal 33 14 4 2" xfId="37907" xr:uid="{00000000-0005-0000-0000-00001E5C0000}"/>
    <cellStyle name="Normal 33 14 5" xfId="37908" xr:uid="{00000000-0005-0000-0000-00001F5C0000}"/>
    <cellStyle name="Normal 33 14_01-04-2012" xfId="8051" xr:uid="{00000000-0005-0000-0000-0000205C0000}"/>
    <cellStyle name="Normal 33 15" xfId="8052" xr:uid="{00000000-0005-0000-0000-0000215C0000}"/>
    <cellStyle name="Normal 33 15 2" xfId="8053" xr:uid="{00000000-0005-0000-0000-0000225C0000}"/>
    <cellStyle name="Normal 33 15 2 2" xfId="37909" xr:uid="{00000000-0005-0000-0000-0000235C0000}"/>
    <cellStyle name="Normal 33 15 3" xfId="8054" xr:uid="{00000000-0005-0000-0000-0000245C0000}"/>
    <cellStyle name="Normal 33 15 3 2" xfId="37910" xr:uid="{00000000-0005-0000-0000-0000255C0000}"/>
    <cellStyle name="Normal 33 15 4" xfId="8055" xr:uid="{00000000-0005-0000-0000-0000265C0000}"/>
    <cellStyle name="Normal 33 15 4 2" xfId="37911" xr:uid="{00000000-0005-0000-0000-0000275C0000}"/>
    <cellStyle name="Normal 33 15 5" xfId="37912" xr:uid="{00000000-0005-0000-0000-0000285C0000}"/>
    <cellStyle name="Normal 33 15_01-04-2012" xfId="8056" xr:uid="{00000000-0005-0000-0000-0000295C0000}"/>
    <cellStyle name="Normal 33 16" xfId="8057" xr:uid="{00000000-0005-0000-0000-00002A5C0000}"/>
    <cellStyle name="Normal 33 16 2" xfId="8058" xr:uid="{00000000-0005-0000-0000-00002B5C0000}"/>
    <cellStyle name="Normal 33 16 2 2" xfId="37913" xr:uid="{00000000-0005-0000-0000-00002C5C0000}"/>
    <cellStyle name="Normal 33 16 3" xfId="8059" xr:uid="{00000000-0005-0000-0000-00002D5C0000}"/>
    <cellStyle name="Normal 33 16 3 2" xfId="37914" xr:uid="{00000000-0005-0000-0000-00002E5C0000}"/>
    <cellStyle name="Normal 33 16 4" xfId="8060" xr:uid="{00000000-0005-0000-0000-00002F5C0000}"/>
    <cellStyle name="Normal 33 16 4 2" xfId="37915" xr:uid="{00000000-0005-0000-0000-0000305C0000}"/>
    <cellStyle name="Normal 33 16 5" xfId="37916" xr:uid="{00000000-0005-0000-0000-0000315C0000}"/>
    <cellStyle name="Normal 33 16_01-04-2012" xfId="8061" xr:uid="{00000000-0005-0000-0000-0000325C0000}"/>
    <cellStyle name="Normal 33 17" xfId="8062" xr:uid="{00000000-0005-0000-0000-0000335C0000}"/>
    <cellStyle name="Normal 33 17 2" xfId="8063" xr:uid="{00000000-0005-0000-0000-0000345C0000}"/>
    <cellStyle name="Normal 33 17 2 2" xfId="37917" xr:uid="{00000000-0005-0000-0000-0000355C0000}"/>
    <cellStyle name="Normal 33 17 3" xfId="8064" xr:uid="{00000000-0005-0000-0000-0000365C0000}"/>
    <cellStyle name="Normal 33 17 3 2" xfId="37918" xr:uid="{00000000-0005-0000-0000-0000375C0000}"/>
    <cellStyle name="Normal 33 17 4" xfId="8065" xr:uid="{00000000-0005-0000-0000-0000385C0000}"/>
    <cellStyle name="Normal 33 17 4 2" xfId="37919" xr:uid="{00000000-0005-0000-0000-0000395C0000}"/>
    <cellStyle name="Normal 33 17 5" xfId="37920" xr:uid="{00000000-0005-0000-0000-00003A5C0000}"/>
    <cellStyle name="Normal 33 17_01-04-2012" xfId="8066" xr:uid="{00000000-0005-0000-0000-00003B5C0000}"/>
    <cellStyle name="Normal 33 18" xfId="8067" xr:uid="{00000000-0005-0000-0000-00003C5C0000}"/>
    <cellStyle name="Normal 33 18 2" xfId="8068" xr:uid="{00000000-0005-0000-0000-00003D5C0000}"/>
    <cellStyle name="Normal 33 18 2 2" xfId="37921" xr:uid="{00000000-0005-0000-0000-00003E5C0000}"/>
    <cellStyle name="Normal 33 18 3" xfId="8069" xr:uid="{00000000-0005-0000-0000-00003F5C0000}"/>
    <cellStyle name="Normal 33 18 3 2" xfId="37922" xr:uid="{00000000-0005-0000-0000-0000405C0000}"/>
    <cellStyle name="Normal 33 18 4" xfId="8070" xr:uid="{00000000-0005-0000-0000-0000415C0000}"/>
    <cellStyle name="Normal 33 18 4 2" xfId="37923" xr:uid="{00000000-0005-0000-0000-0000425C0000}"/>
    <cellStyle name="Normal 33 18 5" xfId="37924" xr:uid="{00000000-0005-0000-0000-0000435C0000}"/>
    <cellStyle name="Normal 33 18_01-04-2012" xfId="8071" xr:uid="{00000000-0005-0000-0000-0000445C0000}"/>
    <cellStyle name="Normal 33 19" xfId="8072" xr:uid="{00000000-0005-0000-0000-0000455C0000}"/>
    <cellStyle name="Normal 33 19 2" xfId="8073" xr:uid="{00000000-0005-0000-0000-0000465C0000}"/>
    <cellStyle name="Normal 33 19 2 2" xfId="37925" xr:uid="{00000000-0005-0000-0000-0000475C0000}"/>
    <cellStyle name="Normal 33 19 3" xfId="8074" xr:uid="{00000000-0005-0000-0000-0000485C0000}"/>
    <cellStyle name="Normal 33 19 3 2" xfId="37926" xr:uid="{00000000-0005-0000-0000-0000495C0000}"/>
    <cellStyle name="Normal 33 19 4" xfId="8075" xr:uid="{00000000-0005-0000-0000-00004A5C0000}"/>
    <cellStyle name="Normal 33 19 4 2" xfId="37927" xr:uid="{00000000-0005-0000-0000-00004B5C0000}"/>
    <cellStyle name="Normal 33 19 5" xfId="37928" xr:uid="{00000000-0005-0000-0000-00004C5C0000}"/>
    <cellStyle name="Normal 33 19_01-04-2012" xfId="8076" xr:uid="{00000000-0005-0000-0000-00004D5C0000}"/>
    <cellStyle name="Normal 33 2" xfId="8077" xr:uid="{00000000-0005-0000-0000-00004E5C0000}"/>
    <cellStyle name="Normal 33 2 2" xfId="8078" xr:uid="{00000000-0005-0000-0000-00004F5C0000}"/>
    <cellStyle name="Normal 33 2 2 2" xfId="33655" xr:uid="{00000000-0005-0000-0000-0000505C0000}"/>
    <cellStyle name="Normal 33 2 2 2 2" xfId="37929" xr:uid="{00000000-0005-0000-0000-0000515C0000}"/>
    <cellStyle name="Normal 33 2 3" xfId="8079" xr:uid="{00000000-0005-0000-0000-0000525C0000}"/>
    <cellStyle name="Normal 33 2 3 2" xfId="37930" xr:uid="{00000000-0005-0000-0000-0000535C0000}"/>
    <cellStyle name="Normal 33 2 4" xfId="8080" xr:uid="{00000000-0005-0000-0000-0000545C0000}"/>
    <cellStyle name="Normal 33 2 4 2" xfId="37931" xr:uid="{00000000-0005-0000-0000-0000555C0000}"/>
    <cellStyle name="Normal 33 2 5" xfId="20293" xr:uid="{00000000-0005-0000-0000-0000565C0000}"/>
    <cellStyle name="Normal 33 2 5 2" xfId="37932" xr:uid="{00000000-0005-0000-0000-0000575C0000}"/>
    <cellStyle name="Normal 33 2_01-04-2012" xfId="8081" xr:uid="{00000000-0005-0000-0000-0000585C0000}"/>
    <cellStyle name="Normal 33 20" xfId="8082" xr:uid="{00000000-0005-0000-0000-0000595C0000}"/>
    <cellStyle name="Normal 33 20 2" xfId="8083" xr:uid="{00000000-0005-0000-0000-00005A5C0000}"/>
    <cellStyle name="Normal 33 20 2 2" xfId="37933" xr:uid="{00000000-0005-0000-0000-00005B5C0000}"/>
    <cellStyle name="Normal 33 20 3" xfId="8084" xr:uid="{00000000-0005-0000-0000-00005C5C0000}"/>
    <cellStyle name="Normal 33 20 3 2" xfId="37934" xr:uid="{00000000-0005-0000-0000-00005D5C0000}"/>
    <cellStyle name="Normal 33 20 4" xfId="8085" xr:uid="{00000000-0005-0000-0000-00005E5C0000}"/>
    <cellStyle name="Normal 33 20 4 2" xfId="37935" xr:uid="{00000000-0005-0000-0000-00005F5C0000}"/>
    <cellStyle name="Normal 33 20 5" xfId="37936" xr:uid="{00000000-0005-0000-0000-0000605C0000}"/>
    <cellStyle name="Normal 33 20_01-04-2012" xfId="8086" xr:uid="{00000000-0005-0000-0000-0000615C0000}"/>
    <cellStyle name="Normal 33 21" xfId="8087" xr:uid="{00000000-0005-0000-0000-0000625C0000}"/>
    <cellStyle name="Normal 33 21 2" xfId="8088" xr:uid="{00000000-0005-0000-0000-0000635C0000}"/>
    <cellStyle name="Normal 33 21 2 2" xfId="37937" xr:uid="{00000000-0005-0000-0000-0000645C0000}"/>
    <cellStyle name="Normal 33 21 3" xfId="8089" xr:uid="{00000000-0005-0000-0000-0000655C0000}"/>
    <cellStyle name="Normal 33 21 3 2" xfId="37938" xr:uid="{00000000-0005-0000-0000-0000665C0000}"/>
    <cellStyle name="Normal 33 21 4" xfId="8090" xr:uid="{00000000-0005-0000-0000-0000675C0000}"/>
    <cellStyle name="Normal 33 21 4 2" xfId="37939" xr:uid="{00000000-0005-0000-0000-0000685C0000}"/>
    <cellStyle name="Normal 33 21 5" xfId="37940" xr:uid="{00000000-0005-0000-0000-0000695C0000}"/>
    <cellStyle name="Normal 33 21_01-04-2012" xfId="8091" xr:uid="{00000000-0005-0000-0000-00006A5C0000}"/>
    <cellStyle name="Normal 33 22" xfId="8092" xr:uid="{00000000-0005-0000-0000-00006B5C0000}"/>
    <cellStyle name="Normal 33 22 2" xfId="8093" xr:uid="{00000000-0005-0000-0000-00006C5C0000}"/>
    <cellStyle name="Normal 33 22 2 2" xfId="37941" xr:uid="{00000000-0005-0000-0000-00006D5C0000}"/>
    <cellStyle name="Normal 33 22 3" xfId="8094" xr:uid="{00000000-0005-0000-0000-00006E5C0000}"/>
    <cellStyle name="Normal 33 22 3 2" xfId="37942" xr:uid="{00000000-0005-0000-0000-00006F5C0000}"/>
    <cellStyle name="Normal 33 22 4" xfId="8095" xr:uid="{00000000-0005-0000-0000-0000705C0000}"/>
    <cellStyle name="Normal 33 22 4 2" xfId="37943" xr:uid="{00000000-0005-0000-0000-0000715C0000}"/>
    <cellStyle name="Normal 33 22 5" xfId="37944" xr:uid="{00000000-0005-0000-0000-0000725C0000}"/>
    <cellStyle name="Normal 33 22_01-04-2012" xfId="8096" xr:uid="{00000000-0005-0000-0000-0000735C0000}"/>
    <cellStyle name="Normal 33 23" xfId="8097" xr:uid="{00000000-0005-0000-0000-0000745C0000}"/>
    <cellStyle name="Normal 33 23 2" xfId="8098" xr:uid="{00000000-0005-0000-0000-0000755C0000}"/>
    <cellStyle name="Normal 33 23 2 2" xfId="37945" xr:uid="{00000000-0005-0000-0000-0000765C0000}"/>
    <cellStyle name="Normal 33 23 3" xfId="8099" xr:uid="{00000000-0005-0000-0000-0000775C0000}"/>
    <cellStyle name="Normal 33 23 3 2" xfId="37946" xr:uid="{00000000-0005-0000-0000-0000785C0000}"/>
    <cellStyle name="Normal 33 23 4" xfId="8100" xr:uid="{00000000-0005-0000-0000-0000795C0000}"/>
    <cellStyle name="Normal 33 23 4 2" xfId="37947" xr:uid="{00000000-0005-0000-0000-00007A5C0000}"/>
    <cellStyle name="Normal 33 23 5" xfId="37948" xr:uid="{00000000-0005-0000-0000-00007B5C0000}"/>
    <cellStyle name="Normal 33 23_01-04-2012" xfId="8101" xr:uid="{00000000-0005-0000-0000-00007C5C0000}"/>
    <cellStyle name="Normal 33 24" xfId="8102" xr:uid="{00000000-0005-0000-0000-00007D5C0000}"/>
    <cellStyle name="Normal 33 24 2" xfId="8103" xr:uid="{00000000-0005-0000-0000-00007E5C0000}"/>
    <cellStyle name="Normal 33 24 2 2" xfId="37949" xr:uid="{00000000-0005-0000-0000-00007F5C0000}"/>
    <cellStyle name="Normal 33 24 3" xfId="8104" xr:uid="{00000000-0005-0000-0000-0000805C0000}"/>
    <cellStyle name="Normal 33 24 3 2" xfId="37950" xr:uid="{00000000-0005-0000-0000-0000815C0000}"/>
    <cellStyle name="Normal 33 24 4" xfId="8105" xr:uid="{00000000-0005-0000-0000-0000825C0000}"/>
    <cellStyle name="Normal 33 24 4 2" xfId="37951" xr:uid="{00000000-0005-0000-0000-0000835C0000}"/>
    <cellStyle name="Normal 33 24 5" xfId="37952" xr:uid="{00000000-0005-0000-0000-0000845C0000}"/>
    <cellStyle name="Normal 33 24_01-04-2012" xfId="8106" xr:uid="{00000000-0005-0000-0000-0000855C0000}"/>
    <cellStyle name="Normal 33 25" xfId="8107" xr:uid="{00000000-0005-0000-0000-0000865C0000}"/>
    <cellStyle name="Normal 33 25 2" xfId="8108" xr:uid="{00000000-0005-0000-0000-0000875C0000}"/>
    <cellStyle name="Normal 33 25 2 2" xfId="37953" xr:uid="{00000000-0005-0000-0000-0000885C0000}"/>
    <cellStyle name="Normal 33 25 3" xfId="8109" xr:uid="{00000000-0005-0000-0000-0000895C0000}"/>
    <cellStyle name="Normal 33 25 3 2" xfId="37954" xr:uid="{00000000-0005-0000-0000-00008A5C0000}"/>
    <cellStyle name="Normal 33 25 4" xfId="8110" xr:uid="{00000000-0005-0000-0000-00008B5C0000}"/>
    <cellStyle name="Normal 33 25 4 2" xfId="37955" xr:uid="{00000000-0005-0000-0000-00008C5C0000}"/>
    <cellStyle name="Normal 33 25 5" xfId="37956" xr:uid="{00000000-0005-0000-0000-00008D5C0000}"/>
    <cellStyle name="Normal 33 25_01-04-2012" xfId="8111" xr:uid="{00000000-0005-0000-0000-00008E5C0000}"/>
    <cellStyle name="Normal 33 26" xfId="8112" xr:uid="{00000000-0005-0000-0000-00008F5C0000}"/>
    <cellStyle name="Normal 33 26 2" xfId="8113" xr:uid="{00000000-0005-0000-0000-0000905C0000}"/>
    <cellStyle name="Normal 33 26 2 2" xfId="37957" xr:uid="{00000000-0005-0000-0000-0000915C0000}"/>
    <cellStyle name="Normal 33 26 3" xfId="8114" xr:uid="{00000000-0005-0000-0000-0000925C0000}"/>
    <cellStyle name="Normal 33 26 3 2" xfId="37958" xr:uid="{00000000-0005-0000-0000-0000935C0000}"/>
    <cellStyle name="Normal 33 26 4" xfId="8115" xr:uid="{00000000-0005-0000-0000-0000945C0000}"/>
    <cellStyle name="Normal 33 26 4 2" xfId="37959" xr:uid="{00000000-0005-0000-0000-0000955C0000}"/>
    <cellStyle name="Normal 33 26 5" xfId="37960" xr:uid="{00000000-0005-0000-0000-0000965C0000}"/>
    <cellStyle name="Normal 33 26_01-04-2012" xfId="8116" xr:uid="{00000000-0005-0000-0000-0000975C0000}"/>
    <cellStyle name="Normal 33 27" xfId="8117" xr:uid="{00000000-0005-0000-0000-0000985C0000}"/>
    <cellStyle name="Normal 33 27 2" xfId="8118" xr:uid="{00000000-0005-0000-0000-0000995C0000}"/>
    <cellStyle name="Normal 33 27 2 2" xfId="37961" xr:uid="{00000000-0005-0000-0000-00009A5C0000}"/>
    <cellStyle name="Normal 33 27 3" xfId="8119" xr:uid="{00000000-0005-0000-0000-00009B5C0000}"/>
    <cellStyle name="Normal 33 27 3 2" xfId="37962" xr:uid="{00000000-0005-0000-0000-00009C5C0000}"/>
    <cellStyle name="Normal 33 27 4" xfId="8120" xr:uid="{00000000-0005-0000-0000-00009D5C0000}"/>
    <cellStyle name="Normal 33 27 4 2" xfId="37963" xr:uid="{00000000-0005-0000-0000-00009E5C0000}"/>
    <cellStyle name="Normal 33 27 5" xfId="37964" xr:uid="{00000000-0005-0000-0000-00009F5C0000}"/>
    <cellStyle name="Normal 33 27_01-04-2012" xfId="8121" xr:uid="{00000000-0005-0000-0000-0000A05C0000}"/>
    <cellStyle name="Normal 33 28" xfId="8122" xr:uid="{00000000-0005-0000-0000-0000A15C0000}"/>
    <cellStyle name="Normal 33 28 2" xfId="8123" xr:uid="{00000000-0005-0000-0000-0000A25C0000}"/>
    <cellStyle name="Normal 33 28 2 2" xfId="37965" xr:uid="{00000000-0005-0000-0000-0000A35C0000}"/>
    <cellStyle name="Normal 33 28 3" xfId="8124" xr:uid="{00000000-0005-0000-0000-0000A45C0000}"/>
    <cellStyle name="Normal 33 28 3 2" xfId="37966" xr:uid="{00000000-0005-0000-0000-0000A55C0000}"/>
    <cellStyle name="Normal 33 28 4" xfId="8125" xr:uid="{00000000-0005-0000-0000-0000A65C0000}"/>
    <cellStyle name="Normal 33 28 4 2" xfId="37967" xr:uid="{00000000-0005-0000-0000-0000A75C0000}"/>
    <cellStyle name="Normal 33 28 5" xfId="37968" xr:uid="{00000000-0005-0000-0000-0000A85C0000}"/>
    <cellStyle name="Normal 33 28_01-04-2012" xfId="8126" xr:uid="{00000000-0005-0000-0000-0000A95C0000}"/>
    <cellStyle name="Normal 33 29" xfId="8127" xr:uid="{00000000-0005-0000-0000-0000AA5C0000}"/>
    <cellStyle name="Normal 33 29 2" xfId="8128" xr:uid="{00000000-0005-0000-0000-0000AB5C0000}"/>
    <cellStyle name="Normal 33 29 2 2" xfId="37969" xr:uid="{00000000-0005-0000-0000-0000AC5C0000}"/>
    <cellStyle name="Normal 33 29 3" xfId="8129" xr:uid="{00000000-0005-0000-0000-0000AD5C0000}"/>
    <cellStyle name="Normal 33 29 3 2" xfId="37970" xr:uid="{00000000-0005-0000-0000-0000AE5C0000}"/>
    <cellStyle name="Normal 33 29 4" xfId="8130" xr:uid="{00000000-0005-0000-0000-0000AF5C0000}"/>
    <cellStyle name="Normal 33 29 4 2" xfId="37971" xr:uid="{00000000-0005-0000-0000-0000B05C0000}"/>
    <cellStyle name="Normal 33 29 5" xfId="37972" xr:uid="{00000000-0005-0000-0000-0000B15C0000}"/>
    <cellStyle name="Normal 33 29_01-04-2012" xfId="8131" xr:uid="{00000000-0005-0000-0000-0000B25C0000}"/>
    <cellStyle name="Normal 33 3" xfId="8132" xr:uid="{00000000-0005-0000-0000-0000B35C0000}"/>
    <cellStyle name="Normal 33 3 2" xfId="8133" xr:uid="{00000000-0005-0000-0000-0000B45C0000}"/>
    <cellStyle name="Normal 33 3 2 2" xfId="37973" xr:uid="{00000000-0005-0000-0000-0000B55C0000}"/>
    <cellStyle name="Normal 33 3 3" xfId="8134" xr:uid="{00000000-0005-0000-0000-0000B65C0000}"/>
    <cellStyle name="Normal 33 3 3 2" xfId="37974" xr:uid="{00000000-0005-0000-0000-0000B75C0000}"/>
    <cellStyle name="Normal 33 3 4" xfId="8135" xr:uid="{00000000-0005-0000-0000-0000B85C0000}"/>
    <cellStyle name="Normal 33 3 4 2" xfId="37975" xr:uid="{00000000-0005-0000-0000-0000B95C0000}"/>
    <cellStyle name="Normal 33 3 5" xfId="20294" xr:uid="{00000000-0005-0000-0000-0000BA5C0000}"/>
    <cellStyle name="Normal 33 3 5 2" xfId="37976" xr:uid="{00000000-0005-0000-0000-0000BB5C0000}"/>
    <cellStyle name="Normal 33 3_01-04-2012" xfId="8136" xr:uid="{00000000-0005-0000-0000-0000BC5C0000}"/>
    <cellStyle name="Normal 33 30" xfId="8137" xr:uid="{00000000-0005-0000-0000-0000BD5C0000}"/>
    <cellStyle name="Normal 33 30 2" xfId="8138" xr:uid="{00000000-0005-0000-0000-0000BE5C0000}"/>
    <cellStyle name="Normal 33 30 2 2" xfId="37977" xr:uid="{00000000-0005-0000-0000-0000BF5C0000}"/>
    <cellStyle name="Normal 33 30 3" xfId="8139" xr:uid="{00000000-0005-0000-0000-0000C05C0000}"/>
    <cellStyle name="Normal 33 30 3 2" xfId="37978" xr:uid="{00000000-0005-0000-0000-0000C15C0000}"/>
    <cellStyle name="Normal 33 30 4" xfId="8140" xr:uid="{00000000-0005-0000-0000-0000C25C0000}"/>
    <cellStyle name="Normal 33 30 4 2" xfId="37979" xr:uid="{00000000-0005-0000-0000-0000C35C0000}"/>
    <cellStyle name="Normal 33 30 5" xfId="37980" xr:uid="{00000000-0005-0000-0000-0000C45C0000}"/>
    <cellStyle name="Normal 33 30_01-04-2012" xfId="8141" xr:uid="{00000000-0005-0000-0000-0000C55C0000}"/>
    <cellStyle name="Normal 33 31" xfId="8142" xr:uid="{00000000-0005-0000-0000-0000C65C0000}"/>
    <cellStyle name="Normal 33 31 2" xfId="8143" xr:uid="{00000000-0005-0000-0000-0000C75C0000}"/>
    <cellStyle name="Normal 33 31 2 2" xfId="37981" xr:uid="{00000000-0005-0000-0000-0000C85C0000}"/>
    <cellStyle name="Normal 33 31 3" xfId="8144" xr:uid="{00000000-0005-0000-0000-0000C95C0000}"/>
    <cellStyle name="Normal 33 31 3 2" xfId="37982" xr:uid="{00000000-0005-0000-0000-0000CA5C0000}"/>
    <cellStyle name="Normal 33 31 4" xfId="8145" xr:uid="{00000000-0005-0000-0000-0000CB5C0000}"/>
    <cellStyle name="Normal 33 31 4 2" xfId="37983" xr:uid="{00000000-0005-0000-0000-0000CC5C0000}"/>
    <cellStyle name="Normal 33 31 5" xfId="37984" xr:uid="{00000000-0005-0000-0000-0000CD5C0000}"/>
    <cellStyle name="Normal 33 31_01-04-2012" xfId="8146" xr:uid="{00000000-0005-0000-0000-0000CE5C0000}"/>
    <cellStyle name="Normal 33 32" xfId="8147" xr:uid="{00000000-0005-0000-0000-0000CF5C0000}"/>
    <cellStyle name="Normal 33 32 2" xfId="8148" xr:uid="{00000000-0005-0000-0000-0000D05C0000}"/>
    <cellStyle name="Normal 33 32 2 2" xfId="37985" xr:uid="{00000000-0005-0000-0000-0000D15C0000}"/>
    <cellStyle name="Normal 33 32 3" xfId="8149" xr:uid="{00000000-0005-0000-0000-0000D25C0000}"/>
    <cellStyle name="Normal 33 32 3 2" xfId="37986" xr:uid="{00000000-0005-0000-0000-0000D35C0000}"/>
    <cellStyle name="Normal 33 32 4" xfId="8150" xr:uid="{00000000-0005-0000-0000-0000D45C0000}"/>
    <cellStyle name="Normal 33 32 4 2" xfId="37987" xr:uid="{00000000-0005-0000-0000-0000D55C0000}"/>
    <cellStyle name="Normal 33 32 5" xfId="37988" xr:uid="{00000000-0005-0000-0000-0000D65C0000}"/>
    <cellStyle name="Normal 33 32_01-04-2012" xfId="8151" xr:uid="{00000000-0005-0000-0000-0000D75C0000}"/>
    <cellStyle name="Normal 33 33" xfId="8152" xr:uid="{00000000-0005-0000-0000-0000D85C0000}"/>
    <cellStyle name="Normal 33 33 2" xfId="8153" xr:uid="{00000000-0005-0000-0000-0000D95C0000}"/>
    <cellStyle name="Normal 33 33 2 2" xfId="37989" xr:uid="{00000000-0005-0000-0000-0000DA5C0000}"/>
    <cellStyle name="Normal 33 33 3" xfId="8154" xr:uid="{00000000-0005-0000-0000-0000DB5C0000}"/>
    <cellStyle name="Normal 33 33 3 2" xfId="37990" xr:uid="{00000000-0005-0000-0000-0000DC5C0000}"/>
    <cellStyle name="Normal 33 33 4" xfId="8155" xr:uid="{00000000-0005-0000-0000-0000DD5C0000}"/>
    <cellStyle name="Normal 33 33 4 2" xfId="37991" xr:uid="{00000000-0005-0000-0000-0000DE5C0000}"/>
    <cellStyle name="Normal 33 33 5" xfId="37992" xr:uid="{00000000-0005-0000-0000-0000DF5C0000}"/>
    <cellStyle name="Normal 33 33_01-04-2012" xfId="8156" xr:uid="{00000000-0005-0000-0000-0000E05C0000}"/>
    <cellStyle name="Normal 33 34" xfId="8157" xr:uid="{00000000-0005-0000-0000-0000E15C0000}"/>
    <cellStyle name="Normal 33 34 2" xfId="8158" xr:uid="{00000000-0005-0000-0000-0000E25C0000}"/>
    <cellStyle name="Normal 33 34 2 2" xfId="37993" xr:uid="{00000000-0005-0000-0000-0000E35C0000}"/>
    <cellStyle name="Normal 33 34 3" xfId="8159" xr:uid="{00000000-0005-0000-0000-0000E45C0000}"/>
    <cellStyle name="Normal 33 34 3 2" xfId="37994" xr:uid="{00000000-0005-0000-0000-0000E55C0000}"/>
    <cellStyle name="Normal 33 34 4" xfId="8160" xr:uid="{00000000-0005-0000-0000-0000E65C0000}"/>
    <cellStyle name="Normal 33 34 4 2" xfId="37995" xr:uid="{00000000-0005-0000-0000-0000E75C0000}"/>
    <cellStyle name="Normal 33 34 5" xfId="37996" xr:uid="{00000000-0005-0000-0000-0000E85C0000}"/>
    <cellStyle name="Normal 33 34_01-04-2012" xfId="8161" xr:uid="{00000000-0005-0000-0000-0000E95C0000}"/>
    <cellStyle name="Normal 33 35" xfId="8162" xr:uid="{00000000-0005-0000-0000-0000EA5C0000}"/>
    <cellStyle name="Normal 33 35 2" xfId="8163" xr:uid="{00000000-0005-0000-0000-0000EB5C0000}"/>
    <cellStyle name="Normal 33 35 2 2" xfId="37997" xr:uid="{00000000-0005-0000-0000-0000EC5C0000}"/>
    <cellStyle name="Normal 33 35 3" xfId="8164" xr:uid="{00000000-0005-0000-0000-0000ED5C0000}"/>
    <cellStyle name="Normal 33 35 3 2" xfId="37998" xr:uid="{00000000-0005-0000-0000-0000EE5C0000}"/>
    <cellStyle name="Normal 33 35 4" xfId="8165" xr:uid="{00000000-0005-0000-0000-0000EF5C0000}"/>
    <cellStyle name="Normal 33 35 4 2" xfId="37999" xr:uid="{00000000-0005-0000-0000-0000F05C0000}"/>
    <cellStyle name="Normal 33 35 5" xfId="38000" xr:uid="{00000000-0005-0000-0000-0000F15C0000}"/>
    <cellStyle name="Normal 33 35_01-04-2012" xfId="8166" xr:uid="{00000000-0005-0000-0000-0000F25C0000}"/>
    <cellStyle name="Normal 33 36" xfId="8167" xr:uid="{00000000-0005-0000-0000-0000F35C0000}"/>
    <cellStyle name="Normal 33 36 2" xfId="8168" xr:uid="{00000000-0005-0000-0000-0000F45C0000}"/>
    <cellStyle name="Normal 33 36 2 2" xfId="38001" xr:uid="{00000000-0005-0000-0000-0000F55C0000}"/>
    <cellStyle name="Normal 33 36 3" xfId="8169" xr:uid="{00000000-0005-0000-0000-0000F65C0000}"/>
    <cellStyle name="Normal 33 36 3 2" xfId="38002" xr:uid="{00000000-0005-0000-0000-0000F75C0000}"/>
    <cellStyle name="Normal 33 36 4" xfId="8170" xr:uid="{00000000-0005-0000-0000-0000F85C0000}"/>
    <cellStyle name="Normal 33 36 4 2" xfId="38003" xr:uid="{00000000-0005-0000-0000-0000F95C0000}"/>
    <cellStyle name="Normal 33 36 5" xfId="38004" xr:uid="{00000000-0005-0000-0000-0000FA5C0000}"/>
    <cellStyle name="Normal 33 36_01-04-2012" xfId="8171" xr:uid="{00000000-0005-0000-0000-0000FB5C0000}"/>
    <cellStyle name="Normal 33 37" xfId="8172" xr:uid="{00000000-0005-0000-0000-0000FC5C0000}"/>
    <cellStyle name="Normal 33 37 2" xfId="8173" xr:uid="{00000000-0005-0000-0000-0000FD5C0000}"/>
    <cellStyle name="Normal 33 37 2 2" xfId="38005" xr:uid="{00000000-0005-0000-0000-0000FE5C0000}"/>
    <cellStyle name="Normal 33 37 3" xfId="8174" xr:uid="{00000000-0005-0000-0000-0000FF5C0000}"/>
    <cellStyle name="Normal 33 37 3 2" xfId="38006" xr:uid="{00000000-0005-0000-0000-0000005D0000}"/>
    <cellStyle name="Normal 33 37 4" xfId="8175" xr:uid="{00000000-0005-0000-0000-0000015D0000}"/>
    <cellStyle name="Normal 33 37 4 2" xfId="38007" xr:uid="{00000000-0005-0000-0000-0000025D0000}"/>
    <cellStyle name="Normal 33 37 5" xfId="38008" xr:uid="{00000000-0005-0000-0000-0000035D0000}"/>
    <cellStyle name="Normal 33 37_01-04-2012" xfId="8176" xr:uid="{00000000-0005-0000-0000-0000045D0000}"/>
    <cellStyle name="Normal 33 38" xfId="8177" xr:uid="{00000000-0005-0000-0000-0000055D0000}"/>
    <cellStyle name="Normal 33 38 2" xfId="38009" xr:uid="{00000000-0005-0000-0000-0000065D0000}"/>
    <cellStyle name="Normal 33 39" xfId="8178" xr:uid="{00000000-0005-0000-0000-0000075D0000}"/>
    <cellStyle name="Normal 33 39 2" xfId="38010" xr:uid="{00000000-0005-0000-0000-0000085D0000}"/>
    <cellStyle name="Normal 33 4" xfId="8179" xr:uid="{00000000-0005-0000-0000-0000095D0000}"/>
    <cellStyle name="Normal 33 4 2" xfId="8180" xr:uid="{00000000-0005-0000-0000-00000A5D0000}"/>
    <cellStyle name="Normal 33 4 2 2" xfId="38011" xr:uid="{00000000-0005-0000-0000-00000B5D0000}"/>
    <cellStyle name="Normal 33 4 3" xfId="8181" xr:uid="{00000000-0005-0000-0000-00000C5D0000}"/>
    <cellStyle name="Normal 33 4 3 2" xfId="38012" xr:uid="{00000000-0005-0000-0000-00000D5D0000}"/>
    <cellStyle name="Normal 33 4 4" xfId="8182" xr:uid="{00000000-0005-0000-0000-00000E5D0000}"/>
    <cellStyle name="Normal 33 4 4 2" xfId="38013" xr:uid="{00000000-0005-0000-0000-00000F5D0000}"/>
    <cellStyle name="Normal 33 4 5" xfId="38014" xr:uid="{00000000-0005-0000-0000-0000105D0000}"/>
    <cellStyle name="Normal 33 4_01-04-2012" xfId="8183" xr:uid="{00000000-0005-0000-0000-0000115D0000}"/>
    <cellStyle name="Normal 33 40" xfId="8184" xr:uid="{00000000-0005-0000-0000-0000125D0000}"/>
    <cellStyle name="Normal 33 40 2" xfId="38015" xr:uid="{00000000-0005-0000-0000-0000135D0000}"/>
    <cellStyle name="Normal 33 41" xfId="20295" xr:uid="{00000000-0005-0000-0000-0000145D0000}"/>
    <cellStyle name="Normal 33 41 2" xfId="38016" xr:uid="{00000000-0005-0000-0000-0000155D0000}"/>
    <cellStyle name="Normal 33 42" xfId="20296" xr:uid="{00000000-0005-0000-0000-0000165D0000}"/>
    <cellStyle name="Normal 33 43" xfId="20297" xr:uid="{00000000-0005-0000-0000-0000175D0000}"/>
    <cellStyle name="Normal 33 44" xfId="20298" xr:uid="{00000000-0005-0000-0000-0000185D0000}"/>
    <cellStyle name="Normal 33 45" xfId="20299" xr:uid="{00000000-0005-0000-0000-0000195D0000}"/>
    <cellStyle name="Normal 33 46" xfId="20300" xr:uid="{00000000-0005-0000-0000-00001A5D0000}"/>
    <cellStyle name="Normal 33 47" xfId="33654" xr:uid="{00000000-0005-0000-0000-00001B5D0000}"/>
    <cellStyle name="Normal 33 5" xfId="8185" xr:uid="{00000000-0005-0000-0000-00001C5D0000}"/>
    <cellStyle name="Normal 33 5 2" xfId="8186" xr:uid="{00000000-0005-0000-0000-00001D5D0000}"/>
    <cellStyle name="Normal 33 5 2 2" xfId="38017" xr:uid="{00000000-0005-0000-0000-00001E5D0000}"/>
    <cellStyle name="Normal 33 5 3" xfId="8187" xr:uid="{00000000-0005-0000-0000-00001F5D0000}"/>
    <cellStyle name="Normal 33 5 3 2" xfId="38018" xr:uid="{00000000-0005-0000-0000-0000205D0000}"/>
    <cellStyle name="Normal 33 5 4" xfId="8188" xr:uid="{00000000-0005-0000-0000-0000215D0000}"/>
    <cellStyle name="Normal 33 5 4 2" xfId="38019" xr:uid="{00000000-0005-0000-0000-0000225D0000}"/>
    <cellStyle name="Normal 33 5 5" xfId="38020" xr:uid="{00000000-0005-0000-0000-0000235D0000}"/>
    <cellStyle name="Normal 33 5_01-04-2012" xfId="8189" xr:uid="{00000000-0005-0000-0000-0000245D0000}"/>
    <cellStyle name="Normal 33 6" xfId="8190" xr:uid="{00000000-0005-0000-0000-0000255D0000}"/>
    <cellStyle name="Normal 33 6 2" xfId="8191" xr:uid="{00000000-0005-0000-0000-0000265D0000}"/>
    <cellStyle name="Normal 33 6 2 2" xfId="38021" xr:uid="{00000000-0005-0000-0000-0000275D0000}"/>
    <cellStyle name="Normal 33 6 3" xfId="8192" xr:uid="{00000000-0005-0000-0000-0000285D0000}"/>
    <cellStyle name="Normal 33 6 3 2" xfId="38022" xr:uid="{00000000-0005-0000-0000-0000295D0000}"/>
    <cellStyle name="Normal 33 6 4" xfId="8193" xr:uid="{00000000-0005-0000-0000-00002A5D0000}"/>
    <cellStyle name="Normal 33 6 4 2" xfId="38023" xr:uid="{00000000-0005-0000-0000-00002B5D0000}"/>
    <cellStyle name="Normal 33 6 5" xfId="38024" xr:uid="{00000000-0005-0000-0000-00002C5D0000}"/>
    <cellStyle name="Normal 33 6_01-04-2012" xfId="8194" xr:uid="{00000000-0005-0000-0000-00002D5D0000}"/>
    <cellStyle name="Normal 33 7" xfId="8195" xr:uid="{00000000-0005-0000-0000-00002E5D0000}"/>
    <cellStyle name="Normal 33 7 2" xfId="8196" xr:uid="{00000000-0005-0000-0000-00002F5D0000}"/>
    <cellStyle name="Normal 33 7 2 2" xfId="38025" xr:uid="{00000000-0005-0000-0000-0000305D0000}"/>
    <cellStyle name="Normal 33 7 3" xfId="8197" xr:uid="{00000000-0005-0000-0000-0000315D0000}"/>
    <cellStyle name="Normal 33 7 3 2" xfId="38026" xr:uid="{00000000-0005-0000-0000-0000325D0000}"/>
    <cellStyle name="Normal 33 7 4" xfId="8198" xr:uid="{00000000-0005-0000-0000-0000335D0000}"/>
    <cellStyle name="Normal 33 7 4 2" xfId="38027" xr:uid="{00000000-0005-0000-0000-0000345D0000}"/>
    <cellStyle name="Normal 33 7 5" xfId="38028" xr:uid="{00000000-0005-0000-0000-0000355D0000}"/>
    <cellStyle name="Normal 33 7_01-04-2012" xfId="8199" xr:uid="{00000000-0005-0000-0000-0000365D0000}"/>
    <cellStyle name="Normal 33 8" xfId="8200" xr:uid="{00000000-0005-0000-0000-0000375D0000}"/>
    <cellStyle name="Normal 33 8 2" xfId="8201" xr:uid="{00000000-0005-0000-0000-0000385D0000}"/>
    <cellStyle name="Normal 33 8 2 2" xfId="38029" xr:uid="{00000000-0005-0000-0000-0000395D0000}"/>
    <cellStyle name="Normal 33 8 3" xfId="8202" xr:uid="{00000000-0005-0000-0000-00003A5D0000}"/>
    <cellStyle name="Normal 33 8 3 2" xfId="38030" xr:uid="{00000000-0005-0000-0000-00003B5D0000}"/>
    <cellStyle name="Normal 33 8 4" xfId="8203" xr:uid="{00000000-0005-0000-0000-00003C5D0000}"/>
    <cellStyle name="Normal 33 8 4 2" xfId="38031" xr:uid="{00000000-0005-0000-0000-00003D5D0000}"/>
    <cellStyle name="Normal 33 8 5" xfId="38032" xr:uid="{00000000-0005-0000-0000-00003E5D0000}"/>
    <cellStyle name="Normal 33 8_01-04-2012" xfId="8204" xr:uid="{00000000-0005-0000-0000-00003F5D0000}"/>
    <cellStyle name="Normal 33 9" xfId="8205" xr:uid="{00000000-0005-0000-0000-0000405D0000}"/>
    <cellStyle name="Normal 33 9 2" xfId="8206" xr:uid="{00000000-0005-0000-0000-0000415D0000}"/>
    <cellStyle name="Normal 33 9 2 2" xfId="38033" xr:uid="{00000000-0005-0000-0000-0000425D0000}"/>
    <cellStyle name="Normal 33 9 3" xfId="8207" xr:uid="{00000000-0005-0000-0000-0000435D0000}"/>
    <cellStyle name="Normal 33 9 3 2" xfId="38034" xr:uid="{00000000-0005-0000-0000-0000445D0000}"/>
    <cellStyle name="Normal 33 9 4" xfId="8208" xr:uid="{00000000-0005-0000-0000-0000455D0000}"/>
    <cellStyle name="Normal 33 9 4 2" xfId="38035" xr:uid="{00000000-0005-0000-0000-0000465D0000}"/>
    <cellStyle name="Normal 33 9 5" xfId="38036" xr:uid="{00000000-0005-0000-0000-0000475D0000}"/>
    <cellStyle name="Normal 33 9_01-04-2012" xfId="8209" xr:uid="{00000000-0005-0000-0000-0000485D0000}"/>
    <cellStyle name="Normal 33_01-04-2012" xfId="8210" xr:uid="{00000000-0005-0000-0000-0000495D0000}"/>
    <cellStyle name="Normal 330" xfId="20301" xr:uid="{00000000-0005-0000-0000-00004A5D0000}"/>
    <cellStyle name="Normal 331" xfId="20302" xr:uid="{00000000-0005-0000-0000-00004B5D0000}"/>
    <cellStyle name="Normal 332" xfId="20303" xr:uid="{00000000-0005-0000-0000-00004C5D0000}"/>
    <cellStyle name="Normal 333" xfId="20304" xr:uid="{00000000-0005-0000-0000-00004D5D0000}"/>
    <cellStyle name="Normal 334" xfId="20305" xr:uid="{00000000-0005-0000-0000-00004E5D0000}"/>
    <cellStyle name="Normal 335" xfId="20306" xr:uid="{00000000-0005-0000-0000-00004F5D0000}"/>
    <cellStyle name="Normal 336" xfId="20307" xr:uid="{00000000-0005-0000-0000-0000505D0000}"/>
    <cellStyle name="Normal 337" xfId="20308" xr:uid="{00000000-0005-0000-0000-0000515D0000}"/>
    <cellStyle name="Normal 338" xfId="20309" xr:uid="{00000000-0005-0000-0000-0000525D0000}"/>
    <cellStyle name="Normal 339" xfId="20310" xr:uid="{00000000-0005-0000-0000-0000535D0000}"/>
    <cellStyle name="Normal 34" xfId="8211" xr:uid="{00000000-0005-0000-0000-0000545D0000}"/>
    <cellStyle name="Normal 34 10" xfId="8212" xr:uid="{00000000-0005-0000-0000-0000555D0000}"/>
    <cellStyle name="Normal 34 10 2" xfId="8213" xr:uid="{00000000-0005-0000-0000-0000565D0000}"/>
    <cellStyle name="Normal 34 10 2 2" xfId="38037" xr:uid="{00000000-0005-0000-0000-0000575D0000}"/>
    <cellStyle name="Normal 34 10 3" xfId="8214" xr:uid="{00000000-0005-0000-0000-0000585D0000}"/>
    <cellStyle name="Normal 34 10 3 2" xfId="38038" xr:uid="{00000000-0005-0000-0000-0000595D0000}"/>
    <cellStyle name="Normal 34 10 4" xfId="8215" xr:uid="{00000000-0005-0000-0000-00005A5D0000}"/>
    <cellStyle name="Normal 34 10 4 2" xfId="38039" xr:uid="{00000000-0005-0000-0000-00005B5D0000}"/>
    <cellStyle name="Normal 34 10 5" xfId="38040" xr:uid="{00000000-0005-0000-0000-00005C5D0000}"/>
    <cellStyle name="Normal 34 10_01-04-2012" xfId="8216" xr:uid="{00000000-0005-0000-0000-00005D5D0000}"/>
    <cellStyle name="Normal 34 11" xfId="8217" xr:uid="{00000000-0005-0000-0000-00005E5D0000}"/>
    <cellStyle name="Normal 34 11 2" xfId="8218" xr:uid="{00000000-0005-0000-0000-00005F5D0000}"/>
    <cellStyle name="Normal 34 11 2 2" xfId="38041" xr:uid="{00000000-0005-0000-0000-0000605D0000}"/>
    <cellStyle name="Normal 34 11 3" xfId="8219" xr:uid="{00000000-0005-0000-0000-0000615D0000}"/>
    <cellStyle name="Normal 34 11 3 2" xfId="38042" xr:uid="{00000000-0005-0000-0000-0000625D0000}"/>
    <cellStyle name="Normal 34 11 4" xfId="8220" xr:uid="{00000000-0005-0000-0000-0000635D0000}"/>
    <cellStyle name="Normal 34 11 4 2" xfId="38043" xr:uid="{00000000-0005-0000-0000-0000645D0000}"/>
    <cellStyle name="Normal 34 11 5" xfId="38044" xr:uid="{00000000-0005-0000-0000-0000655D0000}"/>
    <cellStyle name="Normal 34 11_01-04-2012" xfId="8221" xr:uid="{00000000-0005-0000-0000-0000665D0000}"/>
    <cellStyle name="Normal 34 12" xfId="8222" xr:uid="{00000000-0005-0000-0000-0000675D0000}"/>
    <cellStyle name="Normal 34 12 2" xfId="8223" xr:uid="{00000000-0005-0000-0000-0000685D0000}"/>
    <cellStyle name="Normal 34 12 2 2" xfId="38045" xr:uid="{00000000-0005-0000-0000-0000695D0000}"/>
    <cellStyle name="Normal 34 12 3" xfId="8224" xr:uid="{00000000-0005-0000-0000-00006A5D0000}"/>
    <cellStyle name="Normal 34 12 3 2" xfId="38046" xr:uid="{00000000-0005-0000-0000-00006B5D0000}"/>
    <cellStyle name="Normal 34 12 4" xfId="8225" xr:uid="{00000000-0005-0000-0000-00006C5D0000}"/>
    <cellStyle name="Normal 34 12 4 2" xfId="38047" xr:uid="{00000000-0005-0000-0000-00006D5D0000}"/>
    <cellStyle name="Normal 34 12 5" xfId="38048" xr:uid="{00000000-0005-0000-0000-00006E5D0000}"/>
    <cellStyle name="Normal 34 12_01-04-2012" xfId="8226" xr:uid="{00000000-0005-0000-0000-00006F5D0000}"/>
    <cellStyle name="Normal 34 13" xfId="8227" xr:uid="{00000000-0005-0000-0000-0000705D0000}"/>
    <cellStyle name="Normal 34 13 2" xfId="8228" xr:uid="{00000000-0005-0000-0000-0000715D0000}"/>
    <cellStyle name="Normal 34 13 2 2" xfId="38049" xr:uid="{00000000-0005-0000-0000-0000725D0000}"/>
    <cellStyle name="Normal 34 13 3" xfId="8229" xr:uid="{00000000-0005-0000-0000-0000735D0000}"/>
    <cellStyle name="Normal 34 13 3 2" xfId="38050" xr:uid="{00000000-0005-0000-0000-0000745D0000}"/>
    <cellStyle name="Normal 34 13 4" xfId="8230" xr:uid="{00000000-0005-0000-0000-0000755D0000}"/>
    <cellStyle name="Normal 34 13 4 2" xfId="38051" xr:uid="{00000000-0005-0000-0000-0000765D0000}"/>
    <cellStyle name="Normal 34 13 5" xfId="38052" xr:uid="{00000000-0005-0000-0000-0000775D0000}"/>
    <cellStyle name="Normal 34 13_01-04-2012" xfId="8231" xr:uid="{00000000-0005-0000-0000-0000785D0000}"/>
    <cellStyle name="Normal 34 14" xfId="8232" xr:uid="{00000000-0005-0000-0000-0000795D0000}"/>
    <cellStyle name="Normal 34 14 2" xfId="8233" xr:uid="{00000000-0005-0000-0000-00007A5D0000}"/>
    <cellStyle name="Normal 34 14 2 2" xfId="38053" xr:uid="{00000000-0005-0000-0000-00007B5D0000}"/>
    <cellStyle name="Normal 34 14 3" xfId="8234" xr:uid="{00000000-0005-0000-0000-00007C5D0000}"/>
    <cellStyle name="Normal 34 14 3 2" xfId="38054" xr:uid="{00000000-0005-0000-0000-00007D5D0000}"/>
    <cellStyle name="Normal 34 14 4" xfId="8235" xr:uid="{00000000-0005-0000-0000-00007E5D0000}"/>
    <cellStyle name="Normal 34 14 4 2" xfId="38055" xr:uid="{00000000-0005-0000-0000-00007F5D0000}"/>
    <cellStyle name="Normal 34 14 5" xfId="38056" xr:uid="{00000000-0005-0000-0000-0000805D0000}"/>
    <cellStyle name="Normal 34 14_01-04-2012" xfId="8236" xr:uid="{00000000-0005-0000-0000-0000815D0000}"/>
    <cellStyle name="Normal 34 15" xfId="8237" xr:uid="{00000000-0005-0000-0000-0000825D0000}"/>
    <cellStyle name="Normal 34 15 2" xfId="8238" xr:uid="{00000000-0005-0000-0000-0000835D0000}"/>
    <cellStyle name="Normal 34 15 2 2" xfId="38057" xr:uid="{00000000-0005-0000-0000-0000845D0000}"/>
    <cellStyle name="Normal 34 15 3" xfId="8239" xr:uid="{00000000-0005-0000-0000-0000855D0000}"/>
    <cellStyle name="Normal 34 15 3 2" xfId="38058" xr:uid="{00000000-0005-0000-0000-0000865D0000}"/>
    <cellStyle name="Normal 34 15 4" xfId="8240" xr:uid="{00000000-0005-0000-0000-0000875D0000}"/>
    <cellStyle name="Normal 34 15 4 2" xfId="38059" xr:uid="{00000000-0005-0000-0000-0000885D0000}"/>
    <cellStyle name="Normal 34 15 5" xfId="38060" xr:uid="{00000000-0005-0000-0000-0000895D0000}"/>
    <cellStyle name="Normal 34 15_01-04-2012" xfId="8241" xr:uid="{00000000-0005-0000-0000-00008A5D0000}"/>
    <cellStyle name="Normal 34 16" xfId="8242" xr:uid="{00000000-0005-0000-0000-00008B5D0000}"/>
    <cellStyle name="Normal 34 16 2" xfId="8243" xr:uid="{00000000-0005-0000-0000-00008C5D0000}"/>
    <cellStyle name="Normal 34 16 2 2" xfId="38061" xr:uid="{00000000-0005-0000-0000-00008D5D0000}"/>
    <cellStyle name="Normal 34 16 3" xfId="8244" xr:uid="{00000000-0005-0000-0000-00008E5D0000}"/>
    <cellStyle name="Normal 34 16 3 2" xfId="38062" xr:uid="{00000000-0005-0000-0000-00008F5D0000}"/>
    <cellStyle name="Normal 34 16 4" xfId="8245" xr:uid="{00000000-0005-0000-0000-0000905D0000}"/>
    <cellStyle name="Normal 34 16 4 2" xfId="38063" xr:uid="{00000000-0005-0000-0000-0000915D0000}"/>
    <cellStyle name="Normal 34 16 5" xfId="38064" xr:uid="{00000000-0005-0000-0000-0000925D0000}"/>
    <cellStyle name="Normal 34 16_01-04-2012" xfId="8246" xr:uid="{00000000-0005-0000-0000-0000935D0000}"/>
    <cellStyle name="Normal 34 17" xfId="8247" xr:uid="{00000000-0005-0000-0000-0000945D0000}"/>
    <cellStyle name="Normal 34 17 2" xfId="8248" xr:uid="{00000000-0005-0000-0000-0000955D0000}"/>
    <cellStyle name="Normal 34 17 2 2" xfId="38065" xr:uid="{00000000-0005-0000-0000-0000965D0000}"/>
    <cellStyle name="Normal 34 17 3" xfId="8249" xr:uid="{00000000-0005-0000-0000-0000975D0000}"/>
    <cellStyle name="Normal 34 17 3 2" xfId="38066" xr:uid="{00000000-0005-0000-0000-0000985D0000}"/>
    <cellStyle name="Normal 34 17 4" xfId="8250" xr:uid="{00000000-0005-0000-0000-0000995D0000}"/>
    <cellStyle name="Normal 34 17 4 2" xfId="38067" xr:uid="{00000000-0005-0000-0000-00009A5D0000}"/>
    <cellStyle name="Normal 34 17 5" xfId="38068" xr:uid="{00000000-0005-0000-0000-00009B5D0000}"/>
    <cellStyle name="Normal 34 17_01-04-2012" xfId="8251" xr:uid="{00000000-0005-0000-0000-00009C5D0000}"/>
    <cellStyle name="Normal 34 18" xfId="8252" xr:uid="{00000000-0005-0000-0000-00009D5D0000}"/>
    <cellStyle name="Normal 34 18 2" xfId="8253" xr:uid="{00000000-0005-0000-0000-00009E5D0000}"/>
    <cellStyle name="Normal 34 18 2 2" xfId="38069" xr:uid="{00000000-0005-0000-0000-00009F5D0000}"/>
    <cellStyle name="Normal 34 18 3" xfId="8254" xr:uid="{00000000-0005-0000-0000-0000A05D0000}"/>
    <cellStyle name="Normal 34 18 3 2" xfId="38070" xr:uid="{00000000-0005-0000-0000-0000A15D0000}"/>
    <cellStyle name="Normal 34 18 4" xfId="8255" xr:uid="{00000000-0005-0000-0000-0000A25D0000}"/>
    <cellStyle name="Normal 34 18 4 2" xfId="38071" xr:uid="{00000000-0005-0000-0000-0000A35D0000}"/>
    <cellStyle name="Normal 34 18 5" xfId="38072" xr:uid="{00000000-0005-0000-0000-0000A45D0000}"/>
    <cellStyle name="Normal 34 18_01-04-2012" xfId="8256" xr:uid="{00000000-0005-0000-0000-0000A55D0000}"/>
    <cellStyle name="Normal 34 19" xfId="8257" xr:uid="{00000000-0005-0000-0000-0000A65D0000}"/>
    <cellStyle name="Normal 34 19 2" xfId="8258" xr:uid="{00000000-0005-0000-0000-0000A75D0000}"/>
    <cellStyle name="Normal 34 19 2 2" xfId="38073" xr:uid="{00000000-0005-0000-0000-0000A85D0000}"/>
    <cellStyle name="Normal 34 19 3" xfId="8259" xr:uid="{00000000-0005-0000-0000-0000A95D0000}"/>
    <cellStyle name="Normal 34 19 3 2" xfId="38074" xr:uid="{00000000-0005-0000-0000-0000AA5D0000}"/>
    <cellStyle name="Normal 34 19 4" xfId="8260" xr:uid="{00000000-0005-0000-0000-0000AB5D0000}"/>
    <cellStyle name="Normal 34 19 4 2" xfId="38075" xr:uid="{00000000-0005-0000-0000-0000AC5D0000}"/>
    <cellStyle name="Normal 34 19 5" xfId="38076" xr:uid="{00000000-0005-0000-0000-0000AD5D0000}"/>
    <cellStyle name="Normal 34 19_01-04-2012" xfId="8261" xr:uid="{00000000-0005-0000-0000-0000AE5D0000}"/>
    <cellStyle name="Normal 34 2" xfId="8262" xr:uid="{00000000-0005-0000-0000-0000AF5D0000}"/>
    <cellStyle name="Normal 34 2 2" xfId="8263" xr:uid="{00000000-0005-0000-0000-0000B05D0000}"/>
    <cellStyle name="Normal 34 2 2 2" xfId="38077" xr:uid="{00000000-0005-0000-0000-0000B15D0000}"/>
    <cellStyle name="Normal 34 2 3" xfId="8264" xr:uid="{00000000-0005-0000-0000-0000B25D0000}"/>
    <cellStyle name="Normal 34 2 3 2" xfId="38078" xr:uid="{00000000-0005-0000-0000-0000B35D0000}"/>
    <cellStyle name="Normal 34 2 4" xfId="8265" xr:uid="{00000000-0005-0000-0000-0000B45D0000}"/>
    <cellStyle name="Normal 34 2 4 2" xfId="38079" xr:uid="{00000000-0005-0000-0000-0000B55D0000}"/>
    <cellStyle name="Normal 34 2 5" xfId="20311" xr:uid="{00000000-0005-0000-0000-0000B65D0000}"/>
    <cellStyle name="Normal 34 2 5 2" xfId="38080" xr:uid="{00000000-0005-0000-0000-0000B75D0000}"/>
    <cellStyle name="Normal 34 2_01-04-2012" xfId="8266" xr:uid="{00000000-0005-0000-0000-0000B85D0000}"/>
    <cellStyle name="Normal 34 20" xfId="8267" xr:uid="{00000000-0005-0000-0000-0000B95D0000}"/>
    <cellStyle name="Normal 34 20 2" xfId="8268" xr:uid="{00000000-0005-0000-0000-0000BA5D0000}"/>
    <cellStyle name="Normal 34 20 2 2" xfId="38081" xr:uid="{00000000-0005-0000-0000-0000BB5D0000}"/>
    <cellStyle name="Normal 34 20 3" xfId="8269" xr:uid="{00000000-0005-0000-0000-0000BC5D0000}"/>
    <cellStyle name="Normal 34 20 3 2" xfId="38082" xr:uid="{00000000-0005-0000-0000-0000BD5D0000}"/>
    <cellStyle name="Normal 34 20 4" xfId="8270" xr:uid="{00000000-0005-0000-0000-0000BE5D0000}"/>
    <cellStyle name="Normal 34 20 4 2" xfId="38083" xr:uid="{00000000-0005-0000-0000-0000BF5D0000}"/>
    <cellStyle name="Normal 34 20 5" xfId="38084" xr:uid="{00000000-0005-0000-0000-0000C05D0000}"/>
    <cellStyle name="Normal 34 20_01-04-2012" xfId="8271" xr:uid="{00000000-0005-0000-0000-0000C15D0000}"/>
    <cellStyle name="Normal 34 21" xfId="8272" xr:uid="{00000000-0005-0000-0000-0000C25D0000}"/>
    <cellStyle name="Normal 34 21 2" xfId="8273" xr:uid="{00000000-0005-0000-0000-0000C35D0000}"/>
    <cellStyle name="Normal 34 21 2 2" xfId="38085" xr:uid="{00000000-0005-0000-0000-0000C45D0000}"/>
    <cellStyle name="Normal 34 21 3" xfId="8274" xr:uid="{00000000-0005-0000-0000-0000C55D0000}"/>
    <cellStyle name="Normal 34 21 3 2" xfId="38086" xr:uid="{00000000-0005-0000-0000-0000C65D0000}"/>
    <cellStyle name="Normal 34 21 4" xfId="8275" xr:uid="{00000000-0005-0000-0000-0000C75D0000}"/>
    <cellStyle name="Normal 34 21 4 2" xfId="38087" xr:uid="{00000000-0005-0000-0000-0000C85D0000}"/>
    <cellStyle name="Normal 34 21 5" xfId="38088" xr:uid="{00000000-0005-0000-0000-0000C95D0000}"/>
    <cellStyle name="Normal 34 21_01-04-2012" xfId="8276" xr:uid="{00000000-0005-0000-0000-0000CA5D0000}"/>
    <cellStyle name="Normal 34 22" xfId="8277" xr:uid="{00000000-0005-0000-0000-0000CB5D0000}"/>
    <cellStyle name="Normal 34 22 2" xfId="8278" xr:uid="{00000000-0005-0000-0000-0000CC5D0000}"/>
    <cellStyle name="Normal 34 22 2 2" xfId="38089" xr:uid="{00000000-0005-0000-0000-0000CD5D0000}"/>
    <cellStyle name="Normal 34 22 3" xfId="8279" xr:uid="{00000000-0005-0000-0000-0000CE5D0000}"/>
    <cellStyle name="Normal 34 22 3 2" xfId="38090" xr:uid="{00000000-0005-0000-0000-0000CF5D0000}"/>
    <cellStyle name="Normal 34 22 4" xfId="8280" xr:uid="{00000000-0005-0000-0000-0000D05D0000}"/>
    <cellStyle name="Normal 34 22 4 2" xfId="38091" xr:uid="{00000000-0005-0000-0000-0000D15D0000}"/>
    <cellStyle name="Normal 34 22 5" xfId="38092" xr:uid="{00000000-0005-0000-0000-0000D25D0000}"/>
    <cellStyle name="Normal 34 22_01-04-2012" xfId="8281" xr:uid="{00000000-0005-0000-0000-0000D35D0000}"/>
    <cellStyle name="Normal 34 23" xfId="8282" xr:uid="{00000000-0005-0000-0000-0000D45D0000}"/>
    <cellStyle name="Normal 34 23 2" xfId="8283" xr:uid="{00000000-0005-0000-0000-0000D55D0000}"/>
    <cellStyle name="Normal 34 23 2 2" xfId="38093" xr:uid="{00000000-0005-0000-0000-0000D65D0000}"/>
    <cellStyle name="Normal 34 23 3" xfId="8284" xr:uid="{00000000-0005-0000-0000-0000D75D0000}"/>
    <cellStyle name="Normal 34 23 3 2" xfId="38094" xr:uid="{00000000-0005-0000-0000-0000D85D0000}"/>
    <cellStyle name="Normal 34 23 4" xfId="8285" xr:uid="{00000000-0005-0000-0000-0000D95D0000}"/>
    <cellStyle name="Normal 34 23 4 2" xfId="38095" xr:uid="{00000000-0005-0000-0000-0000DA5D0000}"/>
    <cellStyle name="Normal 34 23 5" xfId="38096" xr:uid="{00000000-0005-0000-0000-0000DB5D0000}"/>
    <cellStyle name="Normal 34 23_01-04-2012" xfId="8286" xr:uid="{00000000-0005-0000-0000-0000DC5D0000}"/>
    <cellStyle name="Normal 34 24" xfId="8287" xr:uid="{00000000-0005-0000-0000-0000DD5D0000}"/>
    <cellStyle name="Normal 34 24 2" xfId="8288" xr:uid="{00000000-0005-0000-0000-0000DE5D0000}"/>
    <cellStyle name="Normal 34 24 2 2" xfId="38097" xr:uid="{00000000-0005-0000-0000-0000DF5D0000}"/>
    <cellStyle name="Normal 34 24 3" xfId="8289" xr:uid="{00000000-0005-0000-0000-0000E05D0000}"/>
    <cellStyle name="Normal 34 24 3 2" xfId="38098" xr:uid="{00000000-0005-0000-0000-0000E15D0000}"/>
    <cellStyle name="Normal 34 24 4" xfId="8290" xr:uid="{00000000-0005-0000-0000-0000E25D0000}"/>
    <cellStyle name="Normal 34 24 4 2" xfId="38099" xr:uid="{00000000-0005-0000-0000-0000E35D0000}"/>
    <cellStyle name="Normal 34 24 5" xfId="38100" xr:uid="{00000000-0005-0000-0000-0000E45D0000}"/>
    <cellStyle name="Normal 34 24_01-04-2012" xfId="8291" xr:uid="{00000000-0005-0000-0000-0000E55D0000}"/>
    <cellStyle name="Normal 34 25" xfId="8292" xr:uid="{00000000-0005-0000-0000-0000E65D0000}"/>
    <cellStyle name="Normal 34 25 2" xfId="8293" xr:uid="{00000000-0005-0000-0000-0000E75D0000}"/>
    <cellStyle name="Normal 34 25 2 2" xfId="38101" xr:uid="{00000000-0005-0000-0000-0000E85D0000}"/>
    <cellStyle name="Normal 34 25 3" xfId="8294" xr:uid="{00000000-0005-0000-0000-0000E95D0000}"/>
    <cellStyle name="Normal 34 25 3 2" xfId="38102" xr:uid="{00000000-0005-0000-0000-0000EA5D0000}"/>
    <cellStyle name="Normal 34 25 4" xfId="8295" xr:uid="{00000000-0005-0000-0000-0000EB5D0000}"/>
    <cellStyle name="Normal 34 25 4 2" xfId="38103" xr:uid="{00000000-0005-0000-0000-0000EC5D0000}"/>
    <cellStyle name="Normal 34 25 5" xfId="38104" xr:uid="{00000000-0005-0000-0000-0000ED5D0000}"/>
    <cellStyle name="Normal 34 25_01-04-2012" xfId="8296" xr:uid="{00000000-0005-0000-0000-0000EE5D0000}"/>
    <cellStyle name="Normal 34 26" xfId="8297" xr:uid="{00000000-0005-0000-0000-0000EF5D0000}"/>
    <cellStyle name="Normal 34 26 2" xfId="8298" xr:uid="{00000000-0005-0000-0000-0000F05D0000}"/>
    <cellStyle name="Normal 34 26 2 2" xfId="38105" xr:uid="{00000000-0005-0000-0000-0000F15D0000}"/>
    <cellStyle name="Normal 34 26 3" xfId="8299" xr:uid="{00000000-0005-0000-0000-0000F25D0000}"/>
    <cellStyle name="Normal 34 26 3 2" xfId="38106" xr:uid="{00000000-0005-0000-0000-0000F35D0000}"/>
    <cellStyle name="Normal 34 26 4" xfId="8300" xr:uid="{00000000-0005-0000-0000-0000F45D0000}"/>
    <cellStyle name="Normal 34 26 4 2" xfId="38107" xr:uid="{00000000-0005-0000-0000-0000F55D0000}"/>
    <cellStyle name="Normal 34 26 5" xfId="38108" xr:uid="{00000000-0005-0000-0000-0000F65D0000}"/>
    <cellStyle name="Normal 34 26_01-04-2012" xfId="8301" xr:uid="{00000000-0005-0000-0000-0000F75D0000}"/>
    <cellStyle name="Normal 34 27" xfId="8302" xr:uid="{00000000-0005-0000-0000-0000F85D0000}"/>
    <cellStyle name="Normal 34 27 2" xfId="8303" xr:uid="{00000000-0005-0000-0000-0000F95D0000}"/>
    <cellStyle name="Normal 34 27 2 2" xfId="38109" xr:uid="{00000000-0005-0000-0000-0000FA5D0000}"/>
    <cellStyle name="Normal 34 27 3" xfId="8304" xr:uid="{00000000-0005-0000-0000-0000FB5D0000}"/>
    <cellStyle name="Normal 34 27 3 2" xfId="38110" xr:uid="{00000000-0005-0000-0000-0000FC5D0000}"/>
    <cellStyle name="Normal 34 27 4" xfId="8305" xr:uid="{00000000-0005-0000-0000-0000FD5D0000}"/>
    <cellStyle name="Normal 34 27 4 2" xfId="38111" xr:uid="{00000000-0005-0000-0000-0000FE5D0000}"/>
    <cellStyle name="Normal 34 27 5" xfId="38112" xr:uid="{00000000-0005-0000-0000-0000FF5D0000}"/>
    <cellStyle name="Normal 34 27_01-04-2012" xfId="8306" xr:uid="{00000000-0005-0000-0000-0000005E0000}"/>
    <cellStyle name="Normal 34 28" xfId="8307" xr:uid="{00000000-0005-0000-0000-0000015E0000}"/>
    <cellStyle name="Normal 34 28 2" xfId="8308" xr:uid="{00000000-0005-0000-0000-0000025E0000}"/>
    <cellStyle name="Normal 34 28 2 2" xfId="38113" xr:uid="{00000000-0005-0000-0000-0000035E0000}"/>
    <cellStyle name="Normal 34 28 3" xfId="8309" xr:uid="{00000000-0005-0000-0000-0000045E0000}"/>
    <cellStyle name="Normal 34 28 3 2" xfId="38114" xr:uid="{00000000-0005-0000-0000-0000055E0000}"/>
    <cellStyle name="Normal 34 28 4" xfId="8310" xr:uid="{00000000-0005-0000-0000-0000065E0000}"/>
    <cellStyle name="Normal 34 28 4 2" xfId="38115" xr:uid="{00000000-0005-0000-0000-0000075E0000}"/>
    <cellStyle name="Normal 34 28 5" xfId="38116" xr:uid="{00000000-0005-0000-0000-0000085E0000}"/>
    <cellStyle name="Normal 34 28_01-04-2012" xfId="8311" xr:uid="{00000000-0005-0000-0000-0000095E0000}"/>
    <cellStyle name="Normal 34 29" xfId="8312" xr:uid="{00000000-0005-0000-0000-00000A5E0000}"/>
    <cellStyle name="Normal 34 29 2" xfId="8313" xr:uid="{00000000-0005-0000-0000-00000B5E0000}"/>
    <cellStyle name="Normal 34 29 2 2" xfId="38117" xr:uid="{00000000-0005-0000-0000-00000C5E0000}"/>
    <cellStyle name="Normal 34 29 3" xfId="8314" xr:uid="{00000000-0005-0000-0000-00000D5E0000}"/>
    <cellStyle name="Normal 34 29 3 2" xfId="38118" xr:uid="{00000000-0005-0000-0000-00000E5E0000}"/>
    <cellStyle name="Normal 34 29 4" xfId="8315" xr:uid="{00000000-0005-0000-0000-00000F5E0000}"/>
    <cellStyle name="Normal 34 29 4 2" xfId="38119" xr:uid="{00000000-0005-0000-0000-0000105E0000}"/>
    <cellStyle name="Normal 34 29 5" xfId="38120" xr:uid="{00000000-0005-0000-0000-0000115E0000}"/>
    <cellStyle name="Normal 34 29_01-04-2012" xfId="8316" xr:uid="{00000000-0005-0000-0000-0000125E0000}"/>
    <cellStyle name="Normal 34 3" xfId="8317" xr:uid="{00000000-0005-0000-0000-0000135E0000}"/>
    <cellStyle name="Normal 34 3 2" xfId="8318" xr:uid="{00000000-0005-0000-0000-0000145E0000}"/>
    <cellStyle name="Normal 34 3 2 2" xfId="38121" xr:uid="{00000000-0005-0000-0000-0000155E0000}"/>
    <cellStyle name="Normal 34 3 3" xfId="8319" xr:uid="{00000000-0005-0000-0000-0000165E0000}"/>
    <cellStyle name="Normal 34 3 3 2" xfId="38122" xr:uid="{00000000-0005-0000-0000-0000175E0000}"/>
    <cellStyle name="Normal 34 3 4" xfId="8320" xr:uid="{00000000-0005-0000-0000-0000185E0000}"/>
    <cellStyle name="Normal 34 3 4 2" xfId="38123" xr:uid="{00000000-0005-0000-0000-0000195E0000}"/>
    <cellStyle name="Normal 34 3 5" xfId="38124" xr:uid="{00000000-0005-0000-0000-00001A5E0000}"/>
    <cellStyle name="Normal 34 3_01-04-2012" xfId="8321" xr:uid="{00000000-0005-0000-0000-00001B5E0000}"/>
    <cellStyle name="Normal 34 30" xfId="8322" xr:uid="{00000000-0005-0000-0000-00001C5E0000}"/>
    <cellStyle name="Normal 34 30 2" xfId="8323" xr:uid="{00000000-0005-0000-0000-00001D5E0000}"/>
    <cellStyle name="Normal 34 30 2 2" xfId="38125" xr:uid="{00000000-0005-0000-0000-00001E5E0000}"/>
    <cellStyle name="Normal 34 30 3" xfId="8324" xr:uid="{00000000-0005-0000-0000-00001F5E0000}"/>
    <cellStyle name="Normal 34 30 3 2" xfId="38126" xr:uid="{00000000-0005-0000-0000-0000205E0000}"/>
    <cellStyle name="Normal 34 30 4" xfId="8325" xr:uid="{00000000-0005-0000-0000-0000215E0000}"/>
    <cellStyle name="Normal 34 30 4 2" xfId="38127" xr:uid="{00000000-0005-0000-0000-0000225E0000}"/>
    <cellStyle name="Normal 34 30 5" xfId="38128" xr:uid="{00000000-0005-0000-0000-0000235E0000}"/>
    <cellStyle name="Normal 34 30_01-04-2012" xfId="8326" xr:uid="{00000000-0005-0000-0000-0000245E0000}"/>
    <cellStyle name="Normal 34 31" xfId="8327" xr:uid="{00000000-0005-0000-0000-0000255E0000}"/>
    <cellStyle name="Normal 34 31 2" xfId="8328" xr:uid="{00000000-0005-0000-0000-0000265E0000}"/>
    <cellStyle name="Normal 34 31 2 2" xfId="38129" xr:uid="{00000000-0005-0000-0000-0000275E0000}"/>
    <cellStyle name="Normal 34 31 3" xfId="8329" xr:uid="{00000000-0005-0000-0000-0000285E0000}"/>
    <cellStyle name="Normal 34 31 3 2" xfId="38130" xr:uid="{00000000-0005-0000-0000-0000295E0000}"/>
    <cellStyle name="Normal 34 31 4" xfId="8330" xr:uid="{00000000-0005-0000-0000-00002A5E0000}"/>
    <cellStyle name="Normal 34 31 4 2" xfId="38131" xr:uid="{00000000-0005-0000-0000-00002B5E0000}"/>
    <cellStyle name="Normal 34 31 5" xfId="38132" xr:uid="{00000000-0005-0000-0000-00002C5E0000}"/>
    <cellStyle name="Normal 34 31_01-04-2012" xfId="8331" xr:uid="{00000000-0005-0000-0000-00002D5E0000}"/>
    <cellStyle name="Normal 34 32" xfId="8332" xr:uid="{00000000-0005-0000-0000-00002E5E0000}"/>
    <cellStyle name="Normal 34 32 2" xfId="8333" xr:uid="{00000000-0005-0000-0000-00002F5E0000}"/>
    <cellStyle name="Normal 34 32 2 2" xfId="38133" xr:uid="{00000000-0005-0000-0000-0000305E0000}"/>
    <cellStyle name="Normal 34 32 3" xfId="8334" xr:uid="{00000000-0005-0000-0000-0000315E0000}"/>
    <cellStyle name="Normal 34 32 3 2" xfId="38134" xr:uid="{00000000-0005-0000-0000-0000325E0000}"/>
    <cellStyle name="Normal 34 32 4" xfId="8335" xr:uid="{00000000-0005-0000-0000-0000335E0000}"/>
    <cellStyle name="Normal 34 32 4 2" xfId="38135" xr:uid="{00000000-0005-0000-0000-0000345E0000}"/>
    <cellStyle name="Normal 34 32 5" xfId="38136" xr:uid="{00000000-0005-0000-0000-0000355E0000}"/>
    <cellStyle name="Normal 34 32_01-04-2012" xfId="8336" xr:uid="{00000000-0005-0000-0000-0000365E0000}"/>
    <cellStyle name="Normal 34 33" xfId="8337" xr:uid="{00000000-0005-0000-0000-0000375E0000}"/>
    <cellStyle name="Normal 34 33 2" xfId="8338" xr:uid="{00000000-0005-0000-0000-0000385E0000}"/>
    <cellStyle name="Normal 34 33 2 2" xfId="38137" xr:uid="{00000000-0005-0000-0000-0000395E0000}"/>
    <cellStyle name="Normal 34 33 3" xfId="8339" xr:uid="{00000000-0005-0000-0000-00003A5E0000}"/>
    <cellStyle name="Normal 34 33 3 2" xfId="38138" xr:uid="{00000000-0005-0000-0000-00003B5E0000}"/>
    <cellStyle name="Normal 34 33 4" xfId="8340" xr:uid="{00000000-0005-0000-0000-00003C5E0000}"/>
    <cellStyle name="Normal 34 33 4 2" xfId="38139" xr:uid="{00000000-0005-0000-0000-00003D5E0000}"/>
    <cellStyle name="Normal 34 33 5" xfId="38140" xr:uid="{00000000-0005-0000-0000-00003E5E0000}"/>
    <cellStyle name="Normal 34 33_01-04-2012" xfId="8341" xr:uid="{00000000-0005-0000-0000-00003F5E0000}"/>
    <cellStyle name="Normal 34 34" xfId="8342" xr:uid="{00000000-0005-0000-0000-0000405E0000}"/>
    <cellStyle name="Normal 34 34 2" xfId="8343" xr:uid="{00000000-0005-0000-0000-0000415E0000}"/>
    <cellStyle name="Normal 34 34 2 2" xfId="38141" xr:uid="{00000000-0005-0000-0000-0000425E0000}"/>
    <cellStyle name="Normal 34 34 3" xfId="8344" xr:uid="{00000000-0005-0000-0000-0000435E0000}"/>
    <cellStyle name="Normal 34 34 3 2" xfId="38142" xr:uid="{00000000-0005-0000-0000-0000445E0000}"/>
    <cellStyle name="Normal 34 34 4" xfId="8345" xr:uid="{00000000-0005-0000-0000-0000455E0000}"/>
    <cellStyle name="Normal 34 34 4 2" xfId="38143" xr:uid="{00000000-0005-0000-0000-0000465E0000}"/>
    <cellStyle name="Normal 34 34 5" xfId="38144" xr:uid="{00000000-0005-0000-0000-0000475E0000}"/>
    <cellStyle name="Normal 34 34_01-04-2012" xfId="8346" xr:uid="{00000000-0005-0000-0000-0000485E0000}"/>
    <cellStyle name="Normal 34 35" xfId="8347" xr:uid="{00000000-0005-0000-0000-0000495E0000}"/>
    <cellStyle name="Normal 34 35 2" xfId="8348" xr:uid="{00000000-0005-0000-0000-00004A5E0000}"/>
    <cellStyle name="Normal 34 35 2 2" xfId="38145" xr:uid="{00000000-0005-0000-0000-00004B5E0000}"/>
    <cellStyle name="Normal 34 35 3" xfId="8349" xr:uid="{00000000-0005-0000-0000-00004C5E0000}"/>
    <cellStyle name="Normal 34 35 3 2" xfId="38146" xr:uid="{00000000-0005-0000-0000-00004D5E0000}"/>
    <cellStyle name="Normal 34 35 4" xfId="8350" xr:uid="{00000000-0005-0000-0000-00004E5E0000}"/>
    <cellStyle name="Normal 34 35 4 2" xfId="38147" xr:uid="{00000000-0005-0000-0000-00004F5E0000}"/>
    <cellStyle name="Normal 34 35 5" xfId="38148" xr:uid="{00000000-0005-0000-0000-0000505E0000}"/>
    <cellStyle name="Normal 34 35_01-04-2012" xfId="8351" xr:uid="{00000000-0005-0000-0000-0000515E0000}"/>
    <cellStyle name="Normal 34 36" xfId="8352" xr:uid="{00000000-0005-0000-0000-0000525E0000}"/>
    <cellStyle name="Normal 34 36 2" xfId="8353" xr:uid="{00000000-0005-0000-0000-0000535E0000}"/>
    <cellStyle name="Normal 34 36 2 2" xfId="38149" xr:uid="{00000000-0005-0000-0000-0000545E0000}"/>
    <cellStyle name="Normal 34 36 3" xfId="8354" xr:uid="{00000000-0005-0000-0000-0000555E0000}"/>
    <cellStyle name="Normal 34 36 3 2" xfId="38150" xr:uid="{00000000-0005-0000-0000-0000565E0000}"/>
    <cellStyle name="Normal 34 36 4" xfId="8355" xr:uid="{00000000-0005-0000-0000-0000575E0000}"/>
    <cellStyle name="Normal 34 36 4 2" xfId="38151" xr:uid="{00000000-0005-0000-0000-0000585E0000}"/>
    <cellStyle name="Normal 34 36 5" xfId="38152" xr:uid="{00000000-0005-0000-0000-0000595E0000}"/>
    <cellStyle name="Normal 34 36_01-04-2012" xfId="8356" xr:uid="{00000000-0005-0000-0000-00005A5E0000}"/>
    <cellStyle name="Normal 34 37" xfId="8357" xr:uid="{00000000-0005-0000-0000-00005B5E0000}"/>
    <cellStyle name="Normal 34 37 2" xfId="8358" xr:uid="{00000000-0005-0000-0000-00005C5E0000}"/>
    <cellStyle name="Normal 34 37 2 2" xfId="38153" xr:uid="{00000000-0005-0000-0000-00005D5E0000}"/>
    <cellStyle name="Normal 34 37 3" xfId="8359" xr:uid="{00000000-0005-0000-0000-00005E5E0000}"/>
    <cellStyle name="Normal 34 37 3 2" xfId="38154" xr:uid="{00000000-0005-0000-0000-00005F5E0000}"/>
    <cellStyle name="Normal 34 37 4" xfId="8360" xr:uid="{00000000-0005-0000-0000-0000605E0000}"/>
    <cellStyle name="Normal 34 37 4 2" xfId="38155" xr:uid="{00000000-0005-0000-0000-0000615E0000}"/>
    <cellStyle name="Normal 34 37 5" xfId="38156" xr:uid="{00000000-0005-0000-0000-0000625E0000}"/>
    <cellStyle name="Normal 34 37_01-04-2012" xfId="8361" xr:uid="{00000000-0005-0000-0000-0000635E0000}"/>
    <cellStyle name="Normal 34 38" xfId="8362" xr:uid="{00000000-0005-0000-0000-0000645E0000}"/>
    <cellStyle name="Normal 34 38 2" xfId="38157" xr:uid="{00000000-0005-0000-0000-0000655E0000}"/>
    <cellStyle name="Normal 34 39" xfId="8363" xr:uid="{00000000-0005-0000-0000-0000665E0000}"/>
    <cellStyle name="Normal 34 39 2" xfId="38158" xr:uid="{00000000-0005-0000-0000-0000675E0000}"/>
    <cellStyle name="Normal 34 4" xfId="8364" xr:uid="{00000000-0005-0000-0000-0000685E0000}"/>
    <cellStyle name="Normal 34 4 2" xfId="8365" xr:uid="{00000000-0005-0000-0000-0000695E0000}"/>
    <cellStyle name="Normal 34 4 2 2" xfId="38159" xr:uid="{00000000-0005-0000-0000-00006A5E0000}"/>
    <cellStyle name="Normal 34 4 3" xfId="8366" xr:uid="{00000000-0005-0000-0000-00006B5E0000}"/>
    <cellStyle name="Normal 34 4 3 2" xfId="38160" xr:uid="{00000000-0005-0000-0000-00006C5E0000}"/>
    <cellStyle name="Normal 34 4 4" xfId="8367" xr:uid="{00000000-0005-0000-0000-00006D5E0000}"/>
    <cellStyle name="Normal 34 4 4 2" xfId="38161" xr:uid="{00000000-0005-0000-0000-00006E5E0000}"/>
    <cellStyle name="Normal 34 4 5" xfId="38162" xr:uid="{00000000-0005-0000-0000-00006F5E0000}"/>
    <cellStyle name="Normal 34 4_01-04-2012" xfId="8368" xr:uid="{00000000-0005-0000-0000-0000705E0000}"/>
    <cellStyle name="Normal 34 40" xfId="8369" xr:uid="{00000000-0005-0000-0000-0000715E0000}"/>
    <cellStyle name="Normal 34 40 2" xfId="38163" xr:uid="{00000000-0005-0000-0000-0000725E0000}"/>
    <cellStyle name="Normal 34 41" xfId="20312" xr:uid="{00000000-0005-0000-0000-0000735E0000}"/>
    <cellStyle name="Normal 34 41 2" xfId="38164" xr:uid="{00000000-0005-0000-0000-0000745E0000}"/>
    <cellStyle name="Normal 34 42" xfId="20313" xr:uid="{00000000-0005-0000-0000-0000755E0000}"/>
    <cellStyle name="Normal 34 43" xfId="20314" xr:uid="{00000000-0005-0000-0000-0000765E0000}"/>
    <cellStyle name="Normal 34 44" xfId="20315" xr:uid="{00000000-0005-0000-0000-0000775E0000}"/>
    <cellStyle name="Normal 34 45" xfId="20316" xr:uid="{00000000-0005-0000-0000-0000785E0000}"/>
    <cellStyle name="Normal 34 46" xfId="20317" xr:uid="{00000000-0005-0000-0000-0000795E0000}"/>
    <cellStyle name="Normal 34 47" xfId="33656" xr:uid="{00000000-0005-0000-0000-00007A5E0000}"/>
    <cellStyle name="Normal 34 5" xfId="8370" xr:uid="{00000000-0005-0000-0000-00007B5E0000}"/>
    <cellStyle name="Normal 34 5 2" xfId="8371" xr:uid="{00000000-0005-0000-0000-00007C5E0000}"/>
    <cellStyle name="Normal 34 5 2 2" xfId="38165" xr:uid="{00000000-0005-0000-0000-00007D5E0000}"/>
    <cellStyle name="Normal 34 5 3" xfId="8372" xr:uid="{00000000-0005-0000-0000-00007E5E0000}"/>
    <cellStyle name="Normal 34 5 3 2" xfId="38166" xr:uid="{00000000-0005-0000-0000-00007F5E0000}"/>
    <cellStyle name="Normal 34 5 4" xfId="8373" xr:uid="{00000000-0005-0000-0000-0000805E0000}"/>
    <cellStyle name="Normal 34 5 4 2" xfId="38167" xr:uid="{00000000-0005-0000-0000-0000815E0000}"/>
    <cellStyle name="Normal 34 5 5" xfId="38168" xr:uid="{00000000-0005-0000-0000-0000825E0000}"/>
    <cellStyle name="Normal 34 5_01-04-2012" xfId="8374" xr:uid="{00000000-0005-0000-0000-0000835E0000}"/>
    <cellStyle name="Normal 34 6" xfId="8375" xr:uid="{00000000-0005-0000-0000-0000845E0000}"/>
    <cellStyle name="Normal 34 6 2" xfId="8376" xr:uid="{00000000-0005-0000-0000-0000855E0000}"/>
    <cellStyle name="Normal 34 6 2 2" xfId="38169" xr:uid="{00000000-0005-0000-0000-0000865E0000}"/>
    <cellStyle name="Normal 34 6 3" xfId="8377" xr:uid="{00000000-0005-0000-0000-0000875E0000}"/>
    <cellStyle name="Normal 34 6 3 2" xfId="38170" xr:uid="{00000000-0005-0000-0000-0000885E0000}"/>
    <cellStyle name="Normal 34 6 4" xfId="8378" xr:uid="{00000000-0005-0000-0000-0000895E0000}"/>
    <cellStyle name="Normal 34 6 4 2" xfId="38171" xr:uid="{00000000-0005-0000-0000-00008A5E0000}"/>
    <cellStyle name="Normal 34 6 5" xfId="38172" xr:uid="{00000000-0005-0000-0000-00008B5E0000}"/>
    <cellStyle name="Normal 34 6_01-04-2012" xfId="8379" xr:uid="{00000000-0005-0000-0000-00008C5E0000}"/>
    <cellStyle name="Normal 34 7" xfId="8380" xr:uid="{00000000-0005-0000-0000-00008D5E0000}"/>
    <cellStyle name="Normal 34 7 2" xfId="8381" xr:uid="{00000000-0005-0000-0000-00008E5E0000}"/>
    <cellStyle name="Normal 34 7 2 2" xfId="38173" xr:uid="{00000000-0005-0000-0000-00008F5E0000}"/>
    <cellStyle name="Normal 34 7 3" xfId="8382" xr:uid="{00000000-0005-0000-0000-0000905E0000}"/>
    <cellStyle name="Normal 34 7 3 2" xfId="38174" xr:uid="{00000000-0005-0000-0000-0000915E0000}"/>
    <cellStyle name="Normal 34 7 4" xfId="8383" xr:uid="{00000000-0005-0000-0000-0000925E0000}"/>
    <cellStyle name="Normal 34 7 4 2" xfId="38175" xr:uid="{00000000-0005-0000-0000-0000935E0000}"/>
    <cellStyle name="Normal 34 7 5" xfId="38176" xr:uid="{00000000-0005-0000-0000-0000945E0000}"/>
    <cellStyle name="Normal 34 7_01-04-2012" xfId="8384" xr:uid="{00000000-0005-0000-0000-0000955E0000}"/>
    <cellStyle name="Normal 34 8" xfId="8385" xr:uid="{00000000-0005-0000-0000-0000965E0000}"/>
    <cellStyle name="Normal 34 8 2" xfId="8386" xr:uid="{00000000-0005-0000-0000-0000975E0000}"/>
    <cellStyle name="Normal 34 8 2 2" xfId="38177" xr:uid="{00000000-0005-0000-0000-0000985E0000}"/>
    <cellStyle name="Normal 34 8 3" xfId="8387" xr:uid="{00000000-0005-0000-0000-0000995E0000}"/>
    <cellStyle name="Normal 34 8 3 2" xfId="38178" xr:uid="{00000000-0005-0000-0000-00009A5E0000}"/>
    <cellStyle name="Normal 34 8 4" xfId="8388" xr:uid="{00000000-0005-0000-0000-00009B5E0000}"/>
    <cellStyle name="Normal 34 8 4 2" xfId="38179" xr:uid="{00000000-0005-0000-0000-00009C5E0000}"/>
    <cellStyle name="Normal 34 8 5" xfId="38180" xr:uid="{00000000-0005-0000-0000-00009D5E0000}"/>
    <cellStyle name="Normal 34 8_01-04-2012" xfId="8389" xr:uid="{00000000-0005-0000-0000-00009E5E0000}"/>
    <cellStyle name="Normal 34 9" xfId="8390" xr:uid="{00000000-0005-0000-0000-00009F5E0000}"/>
    <cellStyle name="Normal 34 9 2" xfId="8391" xr:uid="{00000000-0005-0000-0000-0000A05E0000}"/>
    <cellStyle name="Normal 34 9 2 2" xfId="38181" xr:uid="{00000000-0005-0000-0000-0000A15E0000}"/>
    <cellStyle name="Normal 34 9 3" xfId="8392" xr:uid="{00000000-0005-0000-0000-0000A25E0000}"/>
    <cellStyle name="Normal 34 9 3 2" xfId="38182" xr:uid="{00000000-0005-0000-0000-0000A35E0000}"/>
    <cellStyle name="Normal 34 9 4" xfId="8393" xr:uid="{00000000-0005-0000-0000-0000A45E0000}"/>
    <cellStyle name="Normal 34 9 4 2" xfId="38183" xr:uid="{00000000-0005-0000-0000-0000A55E0000}"/>
    <cellStyle name="Normal 34 9 5" xfId="38184" xr:uid="{00000000-0005-0000-0000-0000A65E0000}"/>
    <cellStyle name="Normal 34 9_01-04-2012" xfId="8394" xr:uid="{00000000-0005-0000-0000-0000A75E0000}"/>
    <cellStyle name="Normal 34_01-04-2012" xfId="8395" xr:uid="{00000000-0005-0000-0000-0000A85E0000}"/>
    <cellStyle name="Normal 340" xfId="20318" xr:uid="{00000000-0005-0000-0000-0000A95E0000}"/>
    <cellStyle name="Normal 341" xfId="20319" xr:uid="{00000000-0005-0000-0000-0000AA5E0000}"/>
    <cellStyle name="Normal 342" xfId="20320" xr:uid="{00000000-0005-0000-0000-0000AB5E0000}"/>
    <cellStyle name="Normal 343" xfId="20321" xr:uid="{00000000-0005-0000-0000-0000AC5E0000}"/>
    <cellStyle name="Normal 344" xfId="20322" xr:uid="{00000000-0005-0000-0000-0000AD5E0000}"/>
    <cellStyle name="Normal 345" xfId="20323" xr:uid="{00000000-0005-0000-0000-0000AE5E0000}"/>
    <cellStyle name="Normal 346" xfId="20324" xr:uid="{00000000-0005-0000-0000-0000AF5E0000}"/>
    <cellStyle name="Normal 347" xfId="20325" xr:uid="{00000000-0005-0000-0000-0000B05E0000}"/>
    <cellStyle name="Normal 348" xfId="20326" xr:uid="{00000000-0005-0000-0000-0000B15E0000}"/>
    <cellStyle name="Normal 349" xfId="20327" xr:uid="{00000000-0005-0000-0000-0000B25E0000}"/>
    <cellStyle name="Normal 35" xfId="8396" xr:uid="{00000000-0005-0000-0000-0000B35E0000}"/>
    <cellStyle name="Normal 35 10" xfId="8397" xr:uid="{00000000-0005-0000-0000-0000B45E0000}"/>
    <cellStyle name="Normal 35 10 2" xfId="8398" xr:uid="{00000000-0005-0000-0000-0000B55E0000}"/>
    <cellStyle name="Normal 35 10 2 2" xfId="38185" xr:uid="{00000000-0005-0000-0000-0000B65E0000}"/>
    <cellStyle name="Normal 35 10 3" xfId="8399" xr:uid="{00000000-0005-0000-0000-0000B75E0000}"/>
    <cellStyle name="Normal 35 10 3 2" xfId="38186" xr:uid="{00000000-0005-0000-0000-0000B85E0000}"/>
    <cellStyle name="Normal 35 10 4" xfId="8400" xr:uid="{00000000-0005-0000-0000-0000B95E0000}"/>
    <cellStyle name="Normal 35 10 4 2" xfId="38187" xr:uid="{00000000-0005-0000-0000-0000BA5E0000}"/>
    <cellStyle name="Normal 35 10 5" xfId="38188" xr:uid="{00000000-0005-0000-0000-0000BB5E0000}"/>
    <cellStyle name="Normal 35 10_01-04-2012" xfId="8401" xr:uid="{00000000-0005-0000-0000-0000BC5E0000}"/>
    <cellStyle name="Normal 35 11" xfId="8402" xr:uid="{00000000-0005-0000-0000-0000BD5E0000}"/>
    <cellStyle name="Normal 35 11 2" xfId="8403" xr:uid="{00000000-0005-0000-0000-0000BE5E0000}"/>
    <cellStyle name="Normal 35 11 2 2" xfId="38189" xr:uid="{00000000-0005-0000-0000-0000BF5E0000}"/>
    <cellStyle name="Normal 35 11 3" xfId="8404" xr:uid="{00000000-0005-0000-0000-0000C05E0000}"/>
    <cellStyle name="Normal 35 11 3 2" xfId="38190" xr:uid="{00000000-0005-0000-0000-0000C15E0000}"/>
    <cellStyle name="Normal 35 11 4" xfId="8405" xr:uid="{00000000-0005-0000-0000-0000C25E0000}"/>
    <cellStyle name="Normal 35 11 4 2" xfId="38191" xr:uid="{00000000-0005-0000-0000-0000C35E0000}"/>
    <cellStyle name="Normal 35 11 5" xfId="38192" xr:uid="{00000000-0005-0000-0000-0000C45E0000}"/>
    <cellStyle name="Normal 35 11_01-04-2012" xfId="8406" xr:uid="{00000000-0005-0000-0000-0000C55E0000}"/>
    <cellStyle name="Normal 35 12" xfId="8407" xr:uid="{00000000-0005-0000-0000-0000C65E0000}"/>
    <cellStyle name="Normal 35 12 2" xfId="8408" xr:uid="{00000000-0005-0000-0000-0000C75E0000}"/>
    <cellStyle name="Normal 35 12 2 2" xfId="38193" xr:uid="{00000000-0005-0000-0000-0000C85E0000}"/>
    <cellStyle name="Normal 35 12 3" xfId="8409" xr:uid="{00000000-0005-0000-0000-0000C95E0000}"/>
    <cellStyle name="Normal 35 12 3 2" xfId="38194" xr:uid="{00000000-0005-0000-0000-0000CA5E0000}"/>
    <cellStyle name="Normal 35 12 4" xfId="8410" xr:uid="{00000000-0005-0000-0000-0000CB5E0000}"/>
    <cellStyle name="Normal 35 12 4 2" xfId="38195" xr:uid="{00000000-0005-0000-0000-0000CC5E0000}"/>
    <cellStyle name="Normal 35 12 5" xfId="38196" xr:uid="{00000000-0005-0000-0000-0000CD5E0000}"/>
    <cellStyle name="Normal 35 12_01-04-2012" xfId="8411" xr:uid="{00000000-0005-0000-0000-0000CE5E0000}"/>
    <cellStyle name="Normal 35 13" xfId="8412" xr:uid="{00000000-0005-0000-0000-0000CF5E0000}"/>
    <cellStyle name="Normal 35 13 2" xfId="8413" xr:uid="{00000000-0005-0000-0000-0000D05E0000}"/>
    <cellStyle name="Normal 35 13 2 2" xfId="38197" xr:uid="{00000000-0005-0000-0000-0000D15E0000}"/>
    <cellStyle name="Normal 35 13 3" xfId="8414" xr:uid="{00000000-0005-0000-0000-0000D25E0000}"/>
    <cellStyle name="Normal 35 13 3 2" xfId="38198" xr:uid="{00000000-0005-0000-0000-0000D35E0000}"/>
    <cellStyle name="Normal 35 13 4" xfId="8415" xr:uid="{00000000-0005-0000-0000-0000D45E0000}"/>
    <cellStyle name="Normal 35 13 4 2" xfId="38199" xr:uid="{00000000-0005-0000-0000-0000D55E0000}"/>
    <cellStyle name="Normal 35 13 5" xfId="38200" xr:uid="{00000000-0005-0000-0000-0000D65E0000}"/>
    <cellStyle name="Normal 35 13_01-04-2012" xfId="8416" xr:uid="{00000000-0005-0000-0000-0000D75E0000}"/>
    <cellStyle name="Normal 35 14" xfId="8417" xr:uid="{00000000-0005-0000-0000-0000D85E0000}"/>
    <cellStyle name="Normal 35 14 2" xfId="8418" xr:uid="{00000000-0005-0000-0000-0000D95E0000}"/>
    <cellStyle name="Normal 35 14 2 2" xfId="38201" xr:uid="{00000000-0005-0000-0000-0000DA5E0000}"/>
    <cellStyle name="Normal 35 14 3" xfId="8419" xr:uid="{00000000-0005-0000-0000-0000DB5E0000}"/>
    <cellStyle name="Normal 35 14 3 2" xfId="38202" xr:uid="{00000000-0005-0000-0000-0000DC5E0000}"/>
    <cellStyle name="Normal 35 14 4" xfId="8420" xr:uid="{00000000-0005-0000-0000-0000DD5E0000}"/>
    <cellStyle name="Normal 35 14 4 2" xfId="38203" xr:uid="{00000000-0005-0000-0000-0000DE5E0000}"/>
    <cellStyle name="Normal 35 14 5" xfId="38204" xr:uid="{00000000-0005-0000-0000-0000DF5E0000}"/>
    <cellStyle name="Normal 35 14_01-04-2012" xfId="8421" xr:uid="{00000000-0005-0000-0000-0000E05E0000}"/>
    <cellStyle name="Normal 35 15" xfId="8422" xr:uid="{00000000-0005-0000-0000-0000E15E0000}"/>
    <cellStyle name="Normal 35 15 2" xfId="8423" xr:uid="{00000000-0005-0000-0000-0000E25E0000}"/>
    <cellStyle name="Normal 35 15 2 2" xfId="38205" xr:uid="{00000000-0005-0000-0000-0000E35E0000}"/>
    <cellStyle name="Normal 35 15 3" xfId="8424" xr:uid="{00000000-0005-0000-0000-0000E45E0000}"/>
    <cellStyle name="Normal 35 15 3 2" xfId="38206" xr:uid="{00000000-0005-0000-0000-0000E55E0000}"/>
    <cellStyle name="Normal 35 15 4" xfId="8425" xr:uid="{00000000-0005-0000-0000-0000E65E0000}"/>
    <cellStyle name="Normal 35 15 4 2" xfId="38207" xr:uid="{00000000-0005-0000-0000-0000E75E0000}"/>
    <cellStyle name="Normal 35 15 5" xfId="38208" xr:uid="{00000000-0005-0000-0000-0000E85E0000}"/>
    <cellStyle name="Normal 35 15_01-04-2012" xfId="8426" xr:uid="{00000000-0005-0000-0000-0000E95E0000}"/>
    <cellStyle name="Normal 35 16" xfId="8427" xr:uid="{00000000-0005-0000-0000-0000EA5E0000}"/>
    <cellStyle name="Normal 35 16 2" xfId="8428" xr:uid="{00000000-0005-0000-0000-0000EB5E0000}"/>
    <cellStyle name="Normal 35 16 2 2" xfId="38209" xr:uid="{00000000-0005-0000-0000-0000EC5E0000}"/>
    <cellStyle name="Normal 35 16 3" xfId="8429" xr:uid="{00000000-0005-0000-0000-0000ED5E0000}"/>
    <cellStyle name="Normal 35 16 3 2" xfId="38210" xr:uid="{00000000-0005-0000-0000-0000EE5E0000}"/>
    <cellStyle name="Normal 35 16 4" xfId="8430" xr:uid="{00000000-0005-0000-0000-0000EF5E0000}"/>
    <cellStyle name="Normal 35 16 4 2" xfId="38211" xr:uid="{00000000-0005-0000-0000-0000F05E0000}"/>
    <cellStyle name="Normal 35 16 5" xfId="38212" xr:uid="{00000000-0005-0000-0000-0000F15E0000}"/>
    <cellStyle name="Normal 35 16_01-04-2012" xfId="8431" xr:uid="{00000000-0005-0000-0000-0000F25E0000}"/>
    <cellStyle name="Normal 35 17" xfId="8432" xr:uid="{00000000-0005-0000-0000-0000F35E0000}"/>
    <cellStyle name="Normal 35 17 2" xfId="8433" xr:uid="{00000000-0005-0000-0000-0000F45E0000}"/>
    <cellStyle name="Normal 35 17 2 2" xfId="38213" xr:uid="{00000000-0005-0000-0000-0000F55E0000}"/>
    <cellStyle name="Normal 35 17 3" xfId="8434" xr:uid="{00000000-0005-0000-0000-0000F65E0000}"/>
    <cellStyle name="Normal 35 17 3 2" xfId="38214" xr:uid="{00000000-0005-0000-0000-0000F75E0000}"/>
    <cellStyle name="Normal 35 17 4" xfId="8435" xr:uid="{00000000-0005-0000-0000-0000F85E0000}"/>
    <cellStyle name="Normal 35 17 4 2" xfId="38215" xr:uid="{00000000-0005-0000-0000-0000F95E0000}"/>
    <cellStyle name="Normal 35 17 5" xfId="38216" xr:uid="{00000000-0005-0000-0000-0000FA5E0000}"/>
    <cellStyle name="Normal 35 17_01-04-2012" xfId="8436" xr:uid="{00000000-0005-0000-0000-0000FB5E0000}"/>
    <cellStyle name="Normal 35 18" xfId="8437" xr:uid="{00000000-0005-0000-0000-0000FC5E0000}"/>
    <cellStyle name="Normal 35 18 2" xfId="8438" xr:uid="{00000000-0005-0000-0000-0000FD5E0000}"/>
    <cellStyle name="Normal 35 18 2 2" xfId="38217" xr:uid="{00000000-0005-0000-0000-0000FE5E0000}"/>
    <cellStyle name="Normal 35 18 3" xfId="8439" xr:uid="{00000000-0005-0000-0000-0000FF5E0000}"/>
    <cellStyle name="Normal 35 18 3 2" xfId="38218" xr:uid="{00000000-0005-0000-0000-0000005F0000}"/>
    <cellStyle name="Normal 35 18 4" xfId="8440" xr:uid="{00000000-0005-0000-0000-0000015F0000}"/>
    <cellStyle name="Normal 35 18 4 2" xfId="38219" xr:uid="{00000000-0005-0000-0000-0000025F0000}"/>
    <cellStyle name="Normal 35 18 5" xfId="38220" xr:uid="{00000000-0005-0000-0000-0000035F0000}"/>
    <cellStyle name="Normal 35 18_01-04-2012" xfId="8441" xr:uid="{00000000-0005-0000-0000-0000045F0000}"/>
    <cellStyle name="Normal 35 19" xfId="8442" xr:uid="{00000000-0005-0000-0000-0000055F0000}"/>
    <cellStyle name="Normal 35 19 2" xfId="8443" xr:uid="{00000000-0005-0000-0000-0000065F0000}"/>
    <cellStyle name="Normal 35 19 2 2" xfId="38221" xr:uid="{00000000-0005-0000-0000-0000075F0000}"/>
    <cellStyle name="Normal 35 19 3" xfId="8444" xr:uid="{00000000-0005-0000-0000-0000085F0000}"/>
    <cellStyle name="Normal 35 19 3 2" xfId="38222" xr:uid="{00000000-0005-0000-0000-0000095F0000}"/>
    <cellStyle name="Normal 35 19 4" xfId="8445" xr:uid="{00000000-0005-0000-0000-00000A5F0000}"/>
    <cellStyle name="Normal 35 19 4 2" xfId="38223" xr:uid="{00000000-0005-0000-0000-00000B5F0000}"/>
    <cellStyle name="Normal 35 19 5" xfId="38224" xr:uid="{00000000-0005-0000-0000-00000C5F0000}"/>
    <cellStyle name="Normal 35 19_01-04-2012" xfId="8446" xr:uid="{00000000-0005-0000-0000-00000D5F0000}"/>
    <cellStyle name="Normal 35 2" xfId="8447" xr:uid="{00000000-0005-0000-0000-00000E5F0000}"/>
    <cellStyle name="Normal 35 2 2" xfId="8448" xr:uid="{00000000-0005-0000-0000-00000F5F0000}"/>
    <cellStyle name="Normal 35 2 2 2" xfId="38225" xr:uid="{00000000-0005-0000-0000-0000105F0000}"/>
    <cellStyle name="Normal 35 2 3" xfId="8449" xr:uid="{00000000-0005-0000-0000-0000115F0000}"/>
    <cellStyle name="Normal 35 2 3 2" xfId="38226" xr:uid="{00000000-0005-0000-0000-0000125F0000}"/>
    <cellStyle name="Normal 35 2 4" xfId="8450" xr:uid="{00000000-0005-0000-0000-0000135F0000}"/>
    <cellStyle name="Normal 35 2 4 2" xfId="38227" xr:uid="{00000000-0005-0000-0000-0000145F0000}"/>
    <cellStyle name="Normal 35 2 5" xfId="20328" xr:uid="{00000000-0005-0000-0000-0000155F0000}"/>
    <cellStyle name="Normal 35 2 5 2" xfId="38228" xr:uid="{00000000-0005-0000-0000-0000165F0000}"/>
    <cellStyle name="Normal 35 2_01-04-2012" xfId="8451" xr:uid="{00000000-0005-0000-0000-0000175F0000}"/>
    <cellStyle name="Normal 35 20" xfId="8452" xr:uid="{00000000-0005-0000-0000-0000185F0000}"/>
    <cellStyle name="Normal 35 20 2" xfId="8453" xr:uid="{00000000-0005-0000-0000-0000195F0000}"/>
    <cellStyle name="Normal 35 20 2 2" xfId="38229" xr:uid="{00000000-0005-0000-0000-00001A5F0000}"/>
    <cellStyle name="Normal 35 20 3" xfId="8454" xr:uid="{00000000-0005-0000-0000-00001B5F0000}"/>
    <cellStyle name="Normal 35 20 3 2" xfId="38230" xr:uid="{00000000-0005-0000-0000-00001C5F0000}"/>
    <cellStyle name="Normal 35 20 4" xfId="8455" xr:uid="{00000000-0005-0000-0000-00001D5F0000}"/>
    <cellStyle name="Normal 35 20 4 2" xfId="38231" xr:uid="{00000000-0005-0000-0000-00001E5F0000}"/>
    <cellStyle name="Normal 35 20 5" xfId="38232" xr:uid="{00000000-0005-0000-0000-00001F5F0000}"/>
    <cellStyle name="Normal 35 20_01-04-2012" xfId="8456" xr:uid="{00000000-0005-0000-0000-0000205F0000}"/>
    <cellStyle name="Normal 35 21" xfId="8457" xr:uid="{00000000-0005-0000-0000-0000215F0000}"/>
    <cellStyle name="Normal 35 21 2" xfId="8458" xr:uid="{00000000-0005-0000-0000-0000225F0000}"/>
    <cellStyle name="Normal 35 21 2 2" xfId="38233" xr:uid="{00000000-0005-0000-0000-0000235F0000}"/>
    <cellStyle name="Normal 35 21 3" xfId="8459" xr:uid="{00000000-0005-0000-0000-0000245F0000}"/>
    <cellStyle name="Normal 35 21 3 2" xfId="38234" xr:uid="{00000000-0005-0000-0000-0000255F0000}"/>
    <cellStyle name="Normal 35 21 4" xfId="8460" xr:uid="{00000000-0005-0000-0000-0000265F0000}"/>
    <cellStyle name="Normal 35 21 4 2" xfId="38235" xr:uid="{00000000-0005-0000-0000-0000275F0000}"/>
    <cellStyle name="Normal 35 21 5" xfId="38236" xr:uid="{00000000-0005-0000-0000-0000285F0000}"/>
    <cellStyle name="Normal 35 21_01-04-2012" xfId="8461" xr:uid="{00000000-0005-0000-0000-0000295F0000}"/>
    <cellStyle name="Normal 35 22" xfId="8462" xr:uid="{00000000-0005-0000-0000-00002A5F0000}"/>
    <cellStyle name="Normal 35 22 2" xfId="8463" xr:uid="{00000000-0005-0000-0000-00002B5F0000}"/>
    <cellStyle name="Normal 35 22 2 2" xfId="38237" xr:uid="{00000000-0005-0000-0000-00002C5F0000}"/>
    <cellStyle name="Normal 35 22 3" xfId="8464" xr:uid="{00000000-0005-0000-0000-00002D5F0000}"/>
    <cellStyle name="Normal 35 22 3 2" xfId="38238" xr:uid="{00000000-0005-0000-0000-00002E5F0000}"/>
    <cellStyle name="Normal 35 22 4" xfId="8465" xr:uid="{00000000-0005-0000-0000-00002F5F0000}"/>
    <cellStyle name="Normal 35 22 4 2" xfId="38239" xr:uid="{00000000-0005-0000-0000-0000305F0000}"/>
    <cellStyle name="Normal 35 22 5" xfId="38240" xr:uid="{00000000-0005-0000-0000-0000315F0000}"/>
    <cellStyle name="Normal 35 22_01-04-2012" xfId="8466" xr:uid="{00000000-0005-0000-0000-0000325F0000}"/>
    <cellStyle name="Normal 35 23" xfId="8467" xr:uid="{00000000-0005-0000-0000-0000335F0000}"/>
    <cellStyle name="Normal 35 23 2" xfId="8468" xr:uid="{00000000-0005-0000-0000-0000345F0000}"/>
    <cellStyle name="Normal 35 23 2 2" xfId="38241" xr:uid="{00000000-0005-0000-0000-0000355F0000}"/>
    <cellStyle name="Normal 35 23 3" xfId="8469" xr:uid="{00000000-0005-0000-0000-0000365F0000}"/>
    <cellStyle name="Normal 35 23 3 2" xfId="38242" xr:uid="{00000000-0005-0000-0000-0000375F0000}"/>
    <cellStyle name="Normal 35 23 4" xfId="8470" xr:uid="{00000000-0005-0000-0000-0000385F0000}"/>
    <cellStyle name="Normal 35 23 4 2" xfId="38243" xr:uid="{00000000-0005-0000-0000-0000395F0000}"/>
    <cellStyle name="Normal 35 23 5" xfId="38244" xr:uid="{00000000-0005-0000-0000-00003A5F0000}"/>
    <cellStyle name="Normal 35 23_01-04-2012" xfId="8471" xr:uid="{00000000-0005-0000-0000-00003B5F0000}"/>
    <cellStyle name="Normal 35 24" xfId="8472" xr:uid="{00000000-0005-0000-0000-00003C5F0000}"/>
    <cellStyle name="Normal 35 24 2" xfId="8473" xr:uid="{00000000-0005-0000-0000-00003D5F0000}"/>
    <cellStyle name="Normal 35 24 2 2" xfId="38245" xr:uid="{00000000-0005-0000-0000-00003E5F0000}"/>
    <cellStyle name="Normal 35 24 3" xfId="8474" xr:uid="{00000000-0005-0000-0000-00003F5F0000}"/>
    <cellStyle name="Normal 35 24 3 2" xfId="38246" xr:uid="{00000000-0005-0000-0000-0000405F0000}"/>
    <cellStyle name="Normal 35 24 4" xfId="8475" xr:uid="{00000000-0005-0000-0000-0000415F0000}"/>
    <cellStyle name="Normal 35 24 4 2" xfId="38247" xr:uid="{00000000-0005-0000-0000-0000425F0000}"/>
    <cellStyle name="Normal 35 24 5" xfId="38248" xr:uid="{00000000-0005-0000-0000-0000435F0000}"/>
    <cellStyle name="Normal 35 24_01-04-2012" xfId="8476" xr:uid="{00000000-0005-0000-0000-0000445F0000}"/>
    <cellStyle name="Normal 35 25" xfId="8477" xr:uid="{00000000-0005-0000-0000-0000455F0000}"/>
    <cellStyle name="Normal 35 25 2" xfId="8478" xr:uid="{00000000-0005-0000-0000-0000465F0000}"/>
    <cellStyle name="Normal 35 25 2 2" xfId="38249" xr:uid="{00000000-0005-0000-0000-0000475F0000}"/>
    <cellStyle name="Normal 35 25 3" xfId="8479" xr:uid="{00000000-0005-0000-0000-0000485F0000}"/>
    <cellStyle name="Normal 35 25 3 2" xfId="38250" xr:uid="{00000000-0005-0000-0000-0000495F0000}"/>
    <cellStyle name="Normal 35 25 4" xfId="8480" xr:uid="{00000000-0005-0000-0000-00004A5F0000}"/>
    <cellStyle name="Normal 35 25 4 2" xfId="38251" xr:uid="{00000000-0005-0000-0000-00004B5F0000}"/>
    <cellStyle name="Normal 35 25 5" xfId="38252" xr:uid="{00000000-0005-0000-0000-00004C5F0000}"/>
    <cellStyle name="Normal 35 25_01-04-2012" xfId="8481" xr:uid="{00000000-0005-0000-0000-00004D5F0000}"/>
    <cellStyle name="Normal 35 26" xfId="8482" xr:uid="{00000000-0005-0000-0000-00004E5F0000}"/>
    <cellStyle name="Normal 35 26 2" xfId="8483" xr:uid="{00000000-0005-0000-0000-00004F5F0000}"/>
    <cellStyle name="Normal 35 26 2 2" xfId="38253" xr:uid="{00000000-0005-0000-0000-0000505F0000}"/>
    <cellStyle name="Normal 35 26 3" xfId="8484" xr:uid="{00000000-0005-0000-0000-0000515F0000}"/>
    <cellStyle name="Normal 35 26 3 2" xfId="38254" xr:uid="{00000000-0005-0000-0000-0000525F0000}"/>
    <cellStyle name="Normal 35 26 4" xfId="8485" xr:uid="{00000000-0005-0000-0000-0000535F0000}"/>
    <cellStyle name="Normal 35 26 4 2" xfId="38255" xr:uid="{00000000-0005-0000-0000-0000545F0000}"/>
    <cellStyle name="Normal 35 26 5" xfId="38256" xr:uid="{00000000-0005-0000-0000-0000555F0000}"/>
    <cellStyle name="Normal 35 26_01-04-2012" xfId="8486" xr:uid="{00000000-0005-0000-0000-0000565F0000}"/>
    <cellStyle name="Normal 35 27" xfId="8487" xr:uid="{00000000-0005-0000-0000-0000575F0000}"/>
    <cellStyle name="Normal 35 27 2" xfId="8488" xr:uid="{00000000-0005-0000-0000-0000585F0000}"/>
    <cellStyle name="Normal 35 27 2 2" xfId="38257" xr:uid="{00000000-0005-0000-0000-0000595F0000}"/>
    <cellStyle name="Normal 35 27 3" xfId="8489" xr:uid="{00000000-0005-0000-0000-00005A5F0000}"/>
    <cellStyle name="Normal 35 27 3 2" xfId="38258" xr:uid="{00000000-0005-0000-0000-00005B5F0000}"/>
    <cellStyle name="Normal 35 27 4" xfId="8490" xr:uid="{00000000-0005-0000-0000-00005C5F0000}"/>
    <cellStyle name="Normal 35 27 4 2" xfId="38259" xr:uid="{00000000-0005-0000-0000-00005D5F0000}"/>
    <cellStyle name="Normal 35 27 5" xfId="38260" xr:uid="{00000000-0005-0000-0000-00005E5F0000}"/>
    <cellStyle name="Normal 35 27_01-04-2012" xfId="8491" xr:uid="{00000000-0005-0000-0000-00005F5F0000}"/>
    <cellStyle name="Normal 35 28" xfId="8492" xr:uid="{00000000-0005-0000-0000-0000605F0000}"/>
    <cellStyle name="Normal 35 28 2" xfId="8493" xr:uid="{00000000-0005-0000-0000-0000615F0000}"/>
    <cellStyle name="Normal 35 28 2 2" xfId="38261" xr:uid="{00000000-0005-0000-0000-0000625F0000}"/>
    <cellStyle name="Normal 35 28 3" xfId="8494" xr:uid="{00000000-0005-0000-0000-0000635F0000}"/>
    <cellStyle name="Normal 35 28 3 2" xfId="38262" xr:uid="{00000000-0005-0000-0000-0000645F0000}"/>
    <cellStyle name="Normal 35 28 4" xfId="8495" xr:uid="{00000000-0005-0000-0000-0000655F0000}"/>
    <cellStyle name="Normal 35 28 4 2" xfId="38263" xr:uid="{00000000-0005-0000-0000-0000665F0000}"/>
    <cellStyle name="Normal 35 28 5" xfId="38264" xr:uid="{00000000-0005-0000-0000-0000675F0000}"/>
    <cellStyle name="Normal 35 28_01-04-2012" xfId="8496" xr:uid="{00000000-0005-0000-0000-0000685F0000}"/>
    <cellStyle name="Normal 35 29" xfId="8497" xr:uid="{00000000-0005-0000-0000-0000695F0000}"/>
    <cellStyle name="Normal 35 29 2" xfId="8498" xr:uid="{00000000-0005-0000-0000-00006A5F0000}"/>
    <cellStyle name="Normal 35 29 2 2" xfId="38265" xr:uid="{00000000-0005-0000-0000-00006B5F0000}"/>
    <cellStyle name="Normal 35 29 3" xfId="8499" xr:uid="{00000000-0005-0000-0000-00006C5F0000}"/>
    <cellStyle name="Normal 35 29 3 2" xfId="38266" xr:uid="{00000000-0005-0000-0000-00006D5F0000}"/>
    <cellStyle name="Normal 35 29 4" xfId="8500" xr:uid="{00000000-0005-0000-0000-00006E5F0000}"/>
    <cellStyle name="Normal 35 29 4 2" xfId="38267" xr:uid="{00000000-0005-0000-0000-00006F5F0000}"/>
    <cellStyle name="Normal 35 29 5" xfId="38268" xr:uid="{00000000-0005-0000-0000-0000705F0000}"/>
    <cellStyle name="Normal 35 29_01-04-2012" xfId="8501" xr:uid="{00000000-0005-0000-0000-0000715F0000}"/>
    <cellStyle name="Normal 35 3" xfId="8502" xr:uid="{00000000-0005-0000-0000-0000725F0000}"/>
    <cellStyle name="Normal 35 3 2" xfId="8503" xr:uid="{00000000-0005-0000-0000-0000735F0000}"/>
    <cellStyle name="Normal 35 3 2 2" xfId="38269" xr:uid="{00000000-0005-0000-0000-0000745F0000}"/>
    <cellStyle name="Normal 35 3 3" xfId="8504" xr:uid="{00000000-0005-0000-0000-0000755F0000}"/>
    <cellStyle name="Normal 35 3 3 2" xfId="38270" xr:uid="{00000000-0005-0000-0000-0000765F0000}"/>
    <cellStyle name="Normal 35 3 4" xfId="8505" xr:uid="{00000000-0005-0000-0000-0000775F0000}"/>
    <cellStyle name="Normal 35 3 4 2" xfId="38271" xr:uid="{00000000-0005-0000-0000-0000785F0000}"/>
    <cellStyle name="Normal 35 3 5" xfId="38272" xr:uid="{00000000-0005-0000-0000-0000795F0000}"/>
    <cellStyle name="Normal 35 3_01-04-2012" xfId="8506" xr:uid="{00000000-0005-0000-0000-00007A5F0000}"/>
    <cellStyle name="Normal 35 30" xfId="8507" xr:uid="{00000000-0005-0000-0000-00007B5F0000}"/>
    <cellStyle name="Normal 35 30 2" xfId="8508" xr:uid="{00000000-0005-0000-0000-00007C5F0000}"/>
    <cellStyle name="Normal 35 30 2 2" xfId="38273" xr:uid="{00000000-0005-0000-0000-00007D5F0000}"/>
    <cellStyle name="Normal 35 30 3" xfId="8509" xr:uid="{00000000-0005-0000-0000-00007E5F0000}"/>
    <cellStyle name="Normal 35 30 3 2" xfId="38274" xr:uid="{00000000-0005-0000-0000-00007F5F0000}"/>
    <cellStyle name="Normal 35 30 4" xfId="8510" xr:uid="{00000000-0005-0000-0000-0000805F0000}"/>
    <cellStyle name="Normal 35 30 4 2" xfId="38275" xr:uid="{00000000-0005-0000-0000-0000815F0000}"/>
    <cellStyle name="Normal 35 30 5" xfId="38276" xr:uid="{00000000-0005-0000-0000-0000825F0000}"/>
    <cellStyle name="Normal 35 30_01-04-2012" xfId="8511" xr:uid="{00000000-0005-0000-0000-0000835F0000}"/>
    <cellStyle name="Normal 35 31" xfId="8512" xr:uid="{00000000-0005-0000-0000-0000845F0000}"/>
    <cellStyle name="Normal 35 31 2" xfId="8513" xr:uid="{00000000-0005-0000-0000-0000855F0000}"/>
    <cellStyle name="Normal 35 31 2 2" xfId="38277" xr:uid="{00000000-0005-0000-0000-0000865F0000}"/>
    <cellStyle name="Normal 35 31 3" xfId="8514" xr:uid="{00000000-0005-0000-0000-0000875F0000}"/>
    <cellStyle name="Normal 35 31 3 2" xfId="38278" xr:uid="{00000000-0005-0000-0000-0000885F0000}"/>
    <cellStyle name="Normal 35 31 4" xfId="8515" xr:uid="{00000000-0005-0000-0000-0000895F0000}"/>
    <cellStyle name="Normal 35 31 4 2" xfId="38279" xr:uid="{00000000-0005-0000-0000-00008A5F0000}"/>
    <cellStyle name="Normal 35 31 5" xfId="38280" xr:uid="{00000000-0005-0000-0000-00008B5F0000}"/>
    <cellStyle name="Normal 35 31_01-04-2012" xfId="8516" xr:uid="{00000000-0005-0000-0000-00008C5F0000}"/>
    <cellStyle name="Normal 35 32" xfId="8517" xr:uid="{00000000-0005-0000-0000-00008D5F0000}"/>
    <cellStyle name="Normal 35 32 2" xfId="8518" xr:uid="{00000000-0005-0000-0000-00008E5F0000}"/>
    <cellStyle name="Normal 35 32 2 2" xfId="38281" xr:uid="{00000000-0005-0000-0000-00008F5F0000}"/>
    <cellStyle name="Normal 35 32 3" xfId="8519" xr:uid="{00000000-0005-0000-0000-0000905F0000}"/>
    <cellStyle name="Normal 35 32 3 2" xfId="38282" xr:uid="{00000000-0005-0000-0000-0000915F0000}"/>
    <cellStyle name="Normal 35 32 4" xfId="8520" xr:uid="{00000000-0005-0000-0000-0000925F0000}"/>
    <cellStyle name="Normal 35 32 4 2" xfId="38283" xr:uid="{00000000-0005-0000-0000-0000935F0000}"/>
    <cellStyle name="Normal 35 32 5" xfId="38284" xr:uid="{00000000-0005-0000-0000-0000945F0000}"/>
    <cellStyle name="Normal 35 32_01-04-2012" xfId="8521" xr:uid="{00000000-0005-0000-0000-0000955F0000}"/>
    <cellStyle name="Normal 35 33" xfId="8522" xr:uid="{00000000-0005-0000-0000-0000965F0000}"/>
    <cellStyle name="Normal 35 33 2" xfId="8523" xr:uid="{00000000-0005-0000-0000-0000975F0000}"/>
    <cellStyle name="Normal 35 33 2 2" xfId="38285" xr:uid="{00000000-0005-0000-0000-0000985F0000}"/>
    <cellStyle name="Normal 35 33 3" xfId="8524" xr:uid="{00000000-0005-0000-0000-0000995F0000}"/>
    <cellStyle name="Normal 35 33 3 2" xfId="38286" xr:uid="{00000000-0005-0000-0000-00009A5F0000}"/>
    <cellStyle name="Normal 35 33 4" xfId="8525" xr:uid="{00000000-0005-0000-0000-00009B5F0000}"/>
    <cellStyle name="Normal 35 33 4 2" xfId="38287" xr:uid="{00000000-0005-0000-0000-00009C5F0000}"/>
    <cellStyle name="Normal 35 33 5" xfId="38288" xr:uid="{00000000-0005-0000-0000-00009D5F0000}"/>
    <cellStyle name="Normal 35 33_01-04-2012" xfId="8526" xr:uid="{00000000-0005-0000-0000-00009E5F0000}"/>
    <cellStyle name="Normal 35 34" xfId="8527" xr:uid="{00000000-0005-0000-0000-00009F5F0000}"/>
    <cellStyle name="Normal 35 34 2" xfId="8528" xr:uid="{00000000-0005-0000-0000-0000A05F0000}"/>
    <cellStyle name="Normal 35 34 2 2" xfId="38289" xr:uid="{00000000-0005-0000-0000-0000A15F0000}"/>
    <cellStyle name="Normal 35 34 3" xfId="8529" xr:uid="{00000000-0005-0000-0000-0000A25F0000}"/>
    <cellStyle name="Normal 35 34 3 2" xfId="38290" xr:uid="{00000000-0005-0000-0000-0000A35F0000}"/>
    <cellStyle name="Normal 35 34 4" xfId="8530" xr:uid="{00000000-0005-0000-0000-0000A45F0000}"/>
    <cellStyle name="Normal 35 34 4 2" xfId="38291" xr:uid="{00000000-0005-0000-0000-0000A55F0000}"/>
    <cellStyle name="Normal 35 34 5" xfId="38292" xr:uid="{00000000-0005-0000-0000-0000A65F0000}"/>
    <cellStyle name="Normal 35 34_01-04-2012" xfId="8531" xr:uid="{00000000-0005-0000-0000-0000A75F0000}"/>
    <cellStyle name="Normal 35 35" xfId="8532" xr:uid="{00000000-0005-0000-0000-0000A85F0000}"/>
    <cellStyle name="Normal 35 35 2" xfId="8533" xr:uid="{00000000-0005-0000-0000-0000A95F0000}"/>
    <cellStyle name="Normal 35 35 2 2" xfId="38293" xr:uid="{00000000-0005-0000-0000-0000AA5F0000}"/>
    <cellStyle name="Normal 35 35 3" xfId="8534" xr:uid="{00000000-0005-0000-0000-0000AB5F0000}"/>
    <cellStyle name="Normal 35 35 3 2" xfId="38294" xr:uid="{00000000-0005-0000-0000-0000AC5F0000}"/>
    <cellStyle name="Normal 35 35 4" xfId="8535" xr:uid="{00000000-0005-0000-0000-0000AD5F0000}"/>
    <cellStyle name="Normal 35 35 4 2" xfId="38295" xr:uid="{00000000-0005-0000-0000-0000AE5F0000}"/>
    <cellStyle name="Normal 35 35 5" xfId="38296" xr:uid="{00000000-0005-0000-0000-0000AF5F0000}"/>
    <cellStyle name="Normal 35 35_01-04-2012" xfId="8536" xr:uid="{00000000-0005-0000-0000-0000B05F0000}"/>
    <cellStyle name="Normal 35 36" xfId="8537" xr:uid="{00000000-0005-0000-0000-0000B15F0000}"/>
    <cellStyle name="Normal 35 36 2" xfId="8538" xr:uid="{00000000-0005-0000-0000-0000B25F0000}"/>
    <cellStyle name="Normal 35 36 2 2" xfId="38297" xr:uid="{00000000-0005-0000-0000-0000B35F0000}"/>
    <cellStyle name="Normal 35 36 3" xfId="8539" xr:uid="{00000000-0005-0000-0000-0000B45F0000}"/>
    <cellStyle name="Normal 35 36 3 2" xfId="38298" xr:uid="{00000000-0005-0000-0000-0000B55F0000}"/>
    <cellStyle name="Normal 35 36 4" xfId="8540" xr:uid="{00000000-0005-0000-0000-0000B65F0000}"/>
    <cellStyle name="Normal 35 36 4 2" xfId="38299" xr:uid="{00000000-0005-0000-0000-0000B75F0000}"/>
    <cellStyle name="Normal 35 36 5" xfId="38300" xr:uid="{00000000-0005-0000-0000-0000B85F0000}"/>
    <cellStyle name="Normal 35 36_01-04-2012" xfId="8541" xr:uid="{00000000-0005-0000-0000-0000B95F0000}"/>
    <cellStyle name="Normal 35 37" xfId="8542" xr:uid="{00000000-0005-0000-0000-0000BA5F0000}"/>
    <cellStyle name="Normal 35 37 2" xfId="8543" xr:uid="{00000000-0005-0000-0000-0000BB5F0000}"/>
    <cellStyle name="Normal 35 37 2 2" xfId="38301" xr:uid="{00000000-0005-0000-0000-0000BC5F0000}"/>
    <cellStyle name="Normal 35 37 3" xfId="8544" xr:uid="{00000000-0005-0000-0000-0000BD5F0000}"/>
    <cellStyle name="Normal 35 37 3 2" xfId="38302" xr:uid="{00000000-0005-0000-0000-0000BE5F0000}"/>
    <cellStyle name="Normal 35 37 4" xfId="8545" xr:uid="{00000000-0005-0000-0000-0000BF5F0000}"/>
    <cellStyle name="Normal 35 37 4 2" xfId="38303" xr:uid="{00000000-0005-0000-0000-0000C05F0000}"/>
    <cellStyle name="Normal 35 37 5" xfId="38304" xr:uid="{00000000-0005-0000-0000-0000C15F0000}"/>
    <cellStyle name="Normal 35 37_01-04-2012" xfId="8546" xr:uid="{00000000-0005-0000-0000-0000C25F0000}"/>
    <cellStyle name="Normal 35 38" xfId="8547" xr:uid="{00000000-0005-0000-0000-0000C35F0000}"/>
    <cellStyle name="Normal 35 38 2" xfId="38305" xr:uid="{00000000-0005-0000-0000-0000C45F0000}"/>
    <cellStyle name="Normal 35 39" xfId="8548" xr:uid="{00000000-0005-0000-0000-0000C55F0000}"/>
    <cellStyle name="Normal 35 39 2" xfId="38306" xr:uid="{00000000-0005-0000-0000-0000C65F0000}"/>
    <cellStyle name="Normal 35 4" xfId="8549" xr:uid="{00000000-0005-0000-0000-0000C75F0000}"/>
    <cellStyle name="Normal 35 4 2" xfId="8550" xr:uid="{00000000-0005-0000-0000-0000C85F0000}"/>
    <cellStyle name="Normal 35 4 2 2" xfId="38307" xr:uid="{00000000-0005-0000-0000-0000C95F0000}"/>
    <cellStyle name="Normal 35 4 3" xfId="8551" xr:uid="{00000000-0005-0000-0000-0000CA5F0000}"/>
    <cellStyle name="Normal 35 4 3 2" xfId="38308" xr:uid="{00000000-0005-0000-0000-0000CB5F0000}"/>
    <cellStyle name="Normal 35 4 4" xfId="8552" xr:uid="{00000000-0005-0000-0000-0000CC5F0000}"/>
    <cellStyle name="Normal 35 4 4 2" xfId="38309" xr:uid="{00000000-0005-0000-0000-0000CD5F0000}"/>
    <cellStyle name="Normal 35 4 5" xfId="38310" xr:uid="{00000000-0005-0000-0000-0000CE5F0000}"/>
    <cellStyle name="Normal 35 4_01-04-2012" xfId="8553" xr:uid="{00000000-0005-0000-0000-0000CF5F0000}"/>
    <cellStyle name="Normal 35 40" xfId="8554" xr:uid="{00000000-0005-0000-0000-0000D05F0000}"/>
    <cellStyle name="Normal 35 40 2" xfId="38311" xr:uid="{00000000-0005-0000-0000-0000D15F0000}"/>
    <cellStyle name="Normal 35 41" xfId="20329" xr:uid="{00000000-0005-0000-0000-0000D25F0000}"/>
    <cellStyle name="Normal 35 41 2" xfId="38312" xr:uid="{00000000-0005-0000-0000-0000D35F0000}"/>
    <cellStyle name="Normal 35 42" xfId="20330" xr:uid="{00000000-0005-0000-0000-0000D45F0000}"/>
    <cellStyle name="Normal 35 43" xfId="20331" xr:uid="{00000000-0005-0000-0000-0000D55F0000}"/>
    <cellStyle name="Normal 35 44" xfId="20332" xr:uid="{00000000-0005-0000-0000-0000D65F0000}"/>
    <cellStyle name="Normal 35 45" xfId="20333" xr:uid="{00000000-0005-0000-0000-0000D75F0000}"/>
    <cellStyle name="Normal 35 46" xfId="20334" xr:uid="{00000000-0005-0000-0000-0000D85F0000}"/>
    <cellStyle name="Normal 35 47" xfId="33657" xr:uid="{00000000-0005-0000-0000-0000D95F0000}"/>
    <cellStyle name="Normal 35 5" xfId="8555" xr:uid="{00000000-0005-0000-0000-0000DA5F0000}"/>
    <cellStyle name="Normal 35 5 2" xfId="8556" xr:uid="{00000000-0005-0000-0000-0000DB5F0000}"/>
    <cellStyle name="Normal 35 5 2 2" xfId="38313" xr:uid="{00000000-0005-0000-0000-0000DC5F0000}"/>
    <cellStyle name="Normal 35 5 3" xfId="8557" xr:uid="{00000000-0005-0000-0000-0000DD5F0000}"/>
    <cellStyle name="Normal 35 5 3 2" xfId="38314" xr:uid="{00000000-0005-0000-0000-0000DE5F0000}"/>
    <cellStyle name="Normal 35 5 4" xfId="8558" xr:uid="{00000000-0005-0000-0000-0000DF5F0000}"/>
    <cellStyle name="Normal 35 5 4 2" xfId="38315" xr:uid="{00000000-0005-0000-0000-0000E05F0000}"/>
    <cellStyle name="Normal 35 5 5" xfId="38316" xr:uid="{00000000-0005-0000-0000-0000E15F0000}"/>
    <cellStyle name="Normal 35 5_01-04-2012" xfId="8559" xr:uid="{00000000-0005-0000-0000-0000E25F0000}"/>
    <cellStyle name="Normal 35 6" xfId="8560" xr:uid="{00000000-0005-0000-0000-0000E35F0000}"/>
    <cellStyle name="Normal 35 6 2" xfId="8561" xr:uid="{00000000-0005-0000-0000-0000E45F0000}"/>
    <cellStyle name="Normal 35 6 2 2" xfId="38317" xr:uid="{00000000-0005-0000-0000-0000E55F0000}"/>
    <cellStyle name="Normal 35 6 3" xfId="8562" xr:uid="{00000000-0005-0000-0000-0000E65F0000}"/>
    <cellStyle name="Normal 35 6 3 2" xfId="38318" xr:uid="{00000000-0005-0000-0000-0000E75F0000}"/>
    <cellStyle name="Normal 35 6 4" xfId="8563" xr:uid="{00000000-0005-0000-0000-0000E85F0000}"/>
    <cellStyle name="Normal 35 6 4 2" xfId="38319" xr:uid="{00000000-0005-0000-0000-0000E95F0000}"/>
    <cellStyle name="Normal 35 6 5" xfId="38320" xr:uid="{00000000-0005-0000-0000-0000EA5F0000}"/>
    <cellStyle name="Normal 35 6_01-04-2012" xfId="8564" xr:uid="{00000000-0005-0000-0000-0000EB5F0000}"/>
    <cellStyle name="Normal 35 7" xfId="8565" xr:uid="{00000000-0005-0000-0000-0000EC5F0000}"/>
    <cellStyle name="Normal 35 7 2" xfId="8566" xr:uid="{00000000-0005-0000-0000-0000ED5F0000}"/>
    <cellStyle name="Normal 35 7 2 2" xfId="38321" xr:uid="{00000000-0005-0000-0000-0000EE5F0000}"/>
    <cellStyle name="Normal 35 7 3" xfId="8567" xr:uid="{00000000-0005-0000-0000-0000EF5F0000}"/>
    <cellStyle name="Normal 35 7 3 2" xfId="38322" xr:uid="{00000000-0005-0000-0000-0000F05F0000}"/>
    <cellStyle name="Normal 35 7 4" xfId="8568" xr:uid="{00000000-0005-0000-0000-0000F15F0000}"/>
    <cellStyle name="Normal 35 7 4 2" xfId="38323" xr:uid="{00000000-0005-0000-0000-0000F25F0000}"/>
    <cellStyle name="Normal 35 7 5" xfId="38324" xr:uid="{00000000-0005-0000-0000-0000F35F0000}"/>
    <cellStyle name="Normal 35 7_01-04-2012" xfId="8569" xr:uid="{00000000-0005-0000-0000-0000F45F0000}"/>
    <cellStyle name="Normal 35 8" xfId="8570" xr:uid="{00000000-0005-0000-0000-0000F55F0000}"/>
    <cellStyle name="Normal 35 8 2" xfId="8571" xr:uid="{00000000-0005-0000-0000-0000F65F0000}"/>
    <cellStyle name="Normal 35 8 2 2" xfId="38325" xr:uid="{00000000-0005-0000-0000-0000F75F0000}"/>
    <cellStyle name="Normal 35 8 3" xfId="8572" xr:uid="{00000000-0005-0000-0000-0000F85F0000}"/>
    <cellStyle name="Normal 35 8 3 2" xfId="38326" xr:uid="{00000000-0005-0000-0000-0000F95F0000}"/>
    <cellStyle name="Normal 35 8 4" xfId="8573" xr:uid="{00000000-0005-0000-0000-0000FA5F0000}"/>
    <cellStyle name="Normal 35 8 4 2" xfId="38327" xr:uid="{00000000-0005-0000-0000-0000FB5F0000}"/>
    <cellStyle name="Normal 35 8 5" xfId="38328" xr:uid="{00000000-0005-0000-0000-0000FC5F0000}"/>
    <cellStyle name="Normal 35 8_01-04-2012" xfId="8574" xr:uid="{00000000-0005-0000-0000-0000FD5F0000}"/>
    <cellStyle name="Normal 35 9" xfId="8575" xr:uid="{00000000-0005-0000-0000-0000FE5F0000}"/>
    <cellStyle name="Normal 35 9 2" xfId="8576" xr:uid="{00000000-0005-0000-0000-0000FF5F0000}"/>
    <cellStyle name="Normal 35 9 2 2" xfId="38329" xr:uid="{00000000-0005-0000-0000-000000600000}"/>
    <cellStyle name="Normal 35 9 3" xfId="8577" xr:uid="{00000000-0005-0000-0000-000001600000}"/>
    <cellStyle name="Normal 35 9 3 2" xfId="38330" xr:uid="{00000000-0005-0000-0000-000002600000}"/>
    <cellStyle name="Normal 35 9 4" xfId="8578" xr:uid="{00000000-0005-0000-0000-000003600000}"/>
    <cellStyle name="Normal 35 9 4 2" xfId="38331" xr:uid="{00000000-0005-0000-0000-000004600000}"/>
    <cellStyle name="Normal 35 9 5" xfId="38332" xr:uid="{00000000-0005-0000-0000-000005600000}"/>
    <cellStyle name="Normal 35 9_01-04-2012" xfId="8579" xr:uid="{00000000-0005-0000-0000-000006600000}"/>
    <cellStyle name="Normal 35_01-04-2012" xfId="8580" xr:uid="{00000000-0005-0000-0000-000007600000}"/>
    <cellStyle name="Normal 350" xfId="20335" xr:uid="{00000000-0005-0000-0000-000008600000}"/>
    <cellStyle name="Normal 351" xfId="20336" xr:uid="{00000000-0005-0000-0000-000009600000}"/>
    <cellStyle name="Normal 352" xfId="20337" xr:uid="{00000000-0005-0000-0000-00000A600000}"/>
    <cellStyle name="Normal 353" xfId="20338" xr:uid="{00000000-0005-0000-0000-00000B600000}"/>
    <cellStyle name="Normal 354" xfId="20339" xr:uid="{00000000-0005-0000-0000-00000C600000}"/>
    <cellStyle name="Normal 355" xfId="20340" xr:uid="{00000000-0005-0000-0000-00000D600000}"/>
    <cellStyle name="Normal 356" xfId="20341" xr:uid="{00000000-0005-0000-0000-00000E600000}"/>
    <cellStyle name="Normal 357" xfId="20342" xr:uid="{00000000-0005-0000-0000-00000F600000}"/>
    <cellStyle name="Normal 358" xfId="20343" xr:uid="{00000000-0005-0000-0000-000010600000}"/>
    <cellStyle name="Normal 359" xfId="20344" xr:uid="{00000000-0005-0000-0000-000011600000}"/>
    <cellStyle name="Normal 36" xfId="8581" xr:uid="{00000000-0005-0000-0000-000012600000}"/>
    <cellStyle name="Normal 36 10" xfId="8582" xr:uid="{00000000-0005-0000-0000-000013600000}"/>
    <cellStyle name="Normal 36 10 2" xfId="8583" xr:uid="{00000000-0005-0000-0000-000014600000}"/>
    <cellStyle name="Normal 36 10 2 2" xfId="38333" xr:uid="{00000000-0005-0000-0000-000015600000}"/>
    <cellStyle name="Normal 36 10 3" xfId="8584" xr:uid="{00000000-0005-0000-0000-000016600000}"/>
    <cellStyle name="Normal 36 10 3 2" xfId="38334" xr:uid="{00000000-0005-0000-0000-000017600000}"/>
    <cellStyle name="Normal 36 10 4" xfId="8585" xr:uid="{00000000-0005-0000-0000-000018600000}"/>
    <cellStyle name="Normal 36 10 4 2" xfId="38335" xr:uid="{00000000-0005-0000-0000-000019600000}"/>
    <cellStyle name="Normal 36 10 5" xfId="38336" xr:uid="{00000000-0005-0000-0000-00001A600000}"/>
    <cellStyle name="Normal 36 10_01-04-2012" xfId="8586" xr:uid="{00000000-0005-0000-0000-00001B600000}"/>
    <cellStyle name="Normal 36 11" xfId="8587" xr:uid="{00000000-0005-0000-0000-00001C600000}"/>
    <cellStyle name="Normal 36 11 2" xfId="8588" xr:uid="{00000000-0005-0000-0000-00001D600000}"/>
    <cellStyle name="Normal 36 11 2 2" xfId="38337" xr:uid="{00000000-0005-0000-0000-00001E600000}"/>
    <cellStyle name="Normal 36 11 3" xfId="8589" xr:uid="{00000000-0005-0000-0000-00001F600000}"/>
    <cellStyle name="Normal 36 11 3 2" xfId="38338" xr:uid="{00000000-0005-0000-0000-000020600000}"/>
    <cellStyle name="Normal 36 11 4" xfId="8590" xr:uid="{00000000-0005-0000-0000-000021600000}"/>
    <cellStyle name="Normal 36 11 4 2" xfId="38339" xr:uid="{00000000-0005-0000-0000-000022600000}"/>
    <cellStyle name="Normal 36 11 5" xfId="38340" xr:uid="{00000000-0005-0000-0000-000023600000}"/>
    <cellStyle name="Normal 36 11_01-04-2012" xfId="8591" xr:uid="{00000000-0005-0000-0000-000024600000}"/>
    <cellStyle name="Normal 36 12" xfId="8592" xr:uid="{00000000-0005-0000-0000-000025600000}"/>
    <cellStyle name="Normal 36 12 2" xfId="8593" xr:uid="{00000000-0005-0000-0000-000026600000}"/>
    <cellStyle name="Normal 36 12 2 2" xfId="38341" xr:uid="{00000000-0005-0000-0000-000027600000}"/>
    <cellStyle name="Normal 36 12 3" xfId="8594" xr:uid="{00000000-0005-0000-0000-000028600000}"/>
    <cellStyle name="Normal 36 12 3 2" xfId="38342" xr:uid="{00000000-0005-0000-0000-000029600000}"/>
    <cellStyle name="Normal 36 12 4" xfId="8595" xr:uid="{00000000-0005-0000-0000-00002A600000}"/>
    <cellStyle name="Normal 36 12 4 2" xfId="38343" xr:uid="{00000000-0005-0000-0000-00002B600000}"/>
    <cellStyle name="Normal 36 12 5" xfId="38344" xr:uid="{00000000-0005-0000-0000-00002C600000}"/>
    <cellStyle name="Normal 36 12_01-04-2012" xfId="8596" xr:uid="{00000000-0005-0000-0000-00002D600000}"/>
    <cellStyle name="Normal 36 13" xfId="8597" xr:uid="{00000000-0005-0000-0000-00002E600000}"/>
    <cellStyle name="Normal 36 13 2" xfId="8598" xr:uid="{00000000-0005-0000-0000-00002F600000}"/>
    <cellStyle name="Normal 36 13 2 2" xfId="38345" xr:uid="{00000000-0005-0000-0000-000030600000}"/>
    <cellStyle name="Normal 36 13 3" xfId="8599" xr:uid="{00000000-0005-0000-0000-000031600000}"/>
    <cellStyle name="Normal 36 13 3 2" xfId="38346" xr:uid="{00000000-0005-0000-0000-000032600000}"/>
    <cellStyle name="Normal 36 13 4" xfId="8600" xr:uid="{00000000-0005-0000-0000-000033600000}"/>
    <cellStyle name="Normal 36 13 4 2" xfId="38347" xr:uid="{00000000-0005-0000-0000-000034600000}"/>
    <cellStyle name="Normal 36 13 5" xfId="38348" xr:uid="{00000000-0005-0000-0000-000035600000}"/>
    <cellStyle name="Normal 36 13_01-04-2012" xfId="8601" xr:uid="{00000000-0005-0000-0000-000036600000}"/>
    <cellStyle name="Normal 36 14" xfId="8602" xr:uid="{00000000-0005-0000-0000-000037600000}"/>
    <cellStyle name="Normal 36 14 2" xfId="8603" xr:uid="{00000000-0005-0000-0000-000038600000}"/>
    <cellStyle name="Normal 36 14 2 2" xfId="38349" xr:uid="{00000000-0005-0000-0000-000039600000}"/>
    <cellStyle name="Normal 36 14 3" xfId="8604" xr:uid="{00000000-0005-0000-0000-00003A600000}"/>
    <cellStyle name="Normal 36 14 3 2" xfId="38350" xr:uid="{00000000-0005-0000-0000-00003B600000}"/>
    <cellStyle name="Normal 36 14 4" xfId="8605" xr:uid="{00000000-0005-0000-0000-00003C600000}"/>
    <cellStyle name="Normal 36 14 4 2" xfId="38351" xr:uid="{00000000-0005-0000-0000-00003D600000}"/>
    <cellStyle name="Normal 36 14 5" xfId="38352" xr:uid="{00000000-0005-0000-0000-00003E600000}"/>
    <cellStyle name="Normal 36 14_01-04-2012" xfId="8606" xr:uid="{00000000-0005-0000-0000-00003F600000}"/>
    <cellStyle name="Normal 36 15" xfId="8607" xr:uid="{00000000-0005-0000-0000-000040600000}"/>
    <cellStyle name="Normal 36 15 2" xfId="8608" xr:uid="{00000000-0005-0000-0000-000041600000}"/>
    <cellStyle name="Normal 36 15 2 2" xfId="38353" xr:uid="{00000000-0005-0000-0000-000042600000}"/>
    <cellStyle name="Normal 36 15 3" xfId="8609" xr:uid="{00000000-0005-0000-0000-000043600000}"/>
    <cellStyle name="Normal 36 15 3 2" xfId="38354" xr:uid="{00000000-0005-0000-0000-000044600000}"/>
    <cellStyle name="Normal 36 15 4" xfId="8610" xr:uid="{00000000-0005-0000-0000-000045600000}"/>
    <cellStyle name="Normal 36 15 4 2" xfId="38355" xr:uid="{00000000-0005-0000-0000-000046600000}"/>
    <cellStyle name="Normal 36 15 5" xfId="38356" xr:uid="{00000000-0005-0000-0000-000047600000}"/>
    <cellStyle name="Normal 36 15_01-04-2012" xfId="8611" xr:uid="{00000000-0005-0000-0000-000048600000}"/>
    <cellStyle name="Normal 36 16" xfId="8612" xr:uid="{00000000-0005-0000-0000-000049600000}"/>
    <cellStyle name="Normal 36 16 2" xfId="8613" xr:uid="{00000000-0005-0000-0000-00004A600000}"/>
    <cellStyle name="Normal 36 16 2 2" xfId="38357" xr:uid="{00000000-0005-0000-0000-00004B600000}"/>
    <cellStyle name="Normal 36 16 3" xfId="8614" xr:uid="{00000000-0005-0000-0000-00004C600000}"/>
    <cellStyle name="Normal 36 16 3 2" xfId="38358" xr:uid="{00000000-0005-0000-0000-00004D600000}"/>
    <cellStyle name="Normal 36 16 4" xfId="8615" xr:uid="{00000000-0005-0000-0000-00004E600000}"/>
    <cellStyle name="Normal 36 16 4 2" xfId="38359" xr:uid="{00000000-0005-0000-0000-00004F600000}"/>
    <cellStyle name="Normal 36 16 5" xfId="38360" xr:uid="{00000000-0005-0000-0000-000050600000}"/>
    <cellStyle name="Normal 36 16_01-04-2012" xfId="8616" xr:uid="{00000000-0005-0000-0000-000051600000}"/>
    <cellStyle name="Normal 36 17" xfId="8617" xr:uid="{00000000-0005-0000-0000-000052600000}"/>
    <cellStyle name="Normal 36 17 2" xfId="8618" xr:uid="{00000000-0005-0000-0000-000053600000}"/>
    <cellStyle name="Normal 36 17 2 2" xfId="38361" xr:uid="{00000000-0005-0000-0000-000054600000}"/>
    <cellStyle name="Normal 36 17 3" xfId="8619" xr:uid="{00000000-0005-0000-0000-000055600000}"/>
    <cellStyle name="Normal 36 17 3 2" xfId="38362" xr:uid="{00000000-0005-0000-0000-000056600000}"/>
    <cellStyle name="Normal 36 17 4" xfId="8620" xr:uid="{00000000-0005-0000-0000-000057600000}"/>
    <cellStyle name="Normal 36 17 4 2" xfId="38363" xr:uid="{00000000-0005-0000-0000-000058600000}"/>
    <cellStyle name="Normal 36 17 5" xfId="38364" xr:uid="{00000000-0005-0000-0000-000059600000}"/>
    <cellStyle name="Normal 36 17_01-04-2012" xfId="8621" xr:uid="{00000000-0005-0000-0000-00005A600000}"/>
    <cellStyle name="Normal 36 18" xfId="8622" xr:uid="{00000000-0005-0000-0000-00005B600000}"/>
    <cellStyle name="Normal 36 18 2" xfId="8623" xr:uid="{00000000-0005-0000-0000-00005C600000}"/>
    <cellStyle name="Normal 36 18 2 2" xfId="38365" xr:uid="{00000000-0005-0000-0000-00005D600000}"/>
    <cellStyle name="Normal 36 18 3" xfId="8624" xr:uid="{00000000-0005-0000-0000-00005E600000}"/>
    <cellStyle name="Normal 36 18 3 2" xfId="38366" xr:uid="{00000000-0005-0000-0000-00005F600000}"/>
    <cellStyle name="Normal 36 18 4" xfId="8625" xr:uid="{00000000-0005-0000-0000-000060600000}"/>
    <cellStyle name="Normal 36 18 4 2" xfId="38367" xr:uid="{00000000-0005-0000-0000-000061600000}"/>
    <cellStyle name="Normal 36 18 5" xfId="38368" xr:uid="{00000000-0005-0000-0000-000062600000}"/>
    <cellStyle name="Normal 36 18_01-04-2012" xfId="8626" xr:uid="{00000000-0005-0000-0000-000063600000}"/>
    <cellStyle name="Normal 36 19" xfId="8627" xr:uid="{00000000-0005-0000-0000-000064600000}"/>
    <cellStyle name="Normal 36 19 2" xfId="8628" xr:uid="{00000000-0005-0000-0000-000065600000}"/>
    <cellStyle name="Normal 36 19 2 2" xfId="38369" xr:uid="{00000000-0005-0000-0000-000066600000}"/>
    <cellStyle name="Normal 36 19 3" xfId="8629" xr:uid="{00000000-0005-0000-0000-000067600000}"/>
    <cellStyle name="Normal 36 19 3 2" xfId="38370" xr:uid="{00000000-0005-0000-0000-000068600000}"/>
    <cellStyle name="Normal 36 19 4" xfId="8630" xr:uid="{00000000-0005-0000-0000-000069600000}"/>
    <cellStyle name="Normal 36 19 4 2" xfId="38371" xr:uid="{00000000-0005-0000-0000-00006A600000}"/>
    <cellStyle name="Normal 36 19 5" xfId="38372" xr:uid="{00000000-0005-0000-0000-00006B600000}"/>
    <cellStyle name="Normal 36 19_01-04-2012" xfId="8631" xr:uid="{00000000-0005-0000-0000-00006C600000}"/>
    <cellStyle name="Normal 36 2" xfId="8632" xr:uid="{00000000-0005-0000-0000-00006D600000}"/>
    <cellStyle name="Normal 36 2 2" xfId="8633" xr:uid="{00000000-0005-0000-0000-00006E600000}"/>
    <cellStyle name="Normal 36 2 2 2" xfId="33659" xr:uid="{00000000-0005-0000-0000-00006F600000}"/>
    <cellStyle name="Normal 36 2 2 2 2" xfId="38373" xr:uid="{00000000-0005-0000-0000-000070600000}"/>
    <cellStyle name="Normal 36 2 3" xfId="8634" xr:uid="{00000000-0005-0000-0000-000071600000}"/>
    <cellStyle name="Normal 36 2 3 2" xfId="38374" xr:uid="{00000000-0005-0000-0000-000072600000}"/>
    <cellStyle name="Normal 36 2 4" xfId="8635" xr:uid="{00000000-0005-0000-0000-000073600000}"/>
    <cellStyle name="Normal 36 2 4 2" xfId="38375" xr:uid="{00000000-0005-0000-0000-000074600000}"/>
    <cellStyle name="Normal 36 2 5" xfId="20345" xr:uid="{00000000-0005-0000-0000-000075600000}"/>
    <cellStyle name="Normal 36 2 5 2" xfId="38376" xr:uid="{00000000-0005-0000-0000-000076600000}"/>
    <cellStyle name="Normal 36 2_01-04-2012" xfId="8636" xr:uid="{00000000-0005-0000-0000-000077600000}"/>
    <cellStyle name="Normal 36 20" xfId="8637" xr:uid="{00000000-0005-0000-0000-000078600000}"/>
    <cellStyle name="Normal 36 20 2" xfId="8638" xr:uid="{00000000-0005-0000-0000-000079600000}"/>
    <cellStyle name="Normal 36 20 2 2" xfId="38377" xr:uid="{00000000-0005-0000-0000-00007A600000}"/>
    <cellStyle name="Normal 36 20 3" xfId="8639" xr:uid="{00000000-0005-0000-0000-00007B600000}"/>
    <cellStyle name="Normal 36 20 3 2" xfId="38378" xr:uid="{00000000-0005-0000-0000-00007C600000}"/>
    <cellStyle name="Normal 36 20 4" xfId="8640" xr:uid="{00000000-0005-0000-0000-00007D600000}"/>
    <cellStyle name="Normal 36 20 4 2" xfId="38379" xr:uid="{00000000-0005-0000-0000-00007E600000}"/>
    <cellStyle name="Normal 36 20 5" xfId="38380" xr:uid="{00000000-0005-0000-0000-00007F600000}"/>
    <cellStyle name="Normal 36 20_01-04-2012" xfId="8641" xr:uid="{00000000-0005-0000-0000-000080600000}"/>
    <cellStyle name="Normal 36 21" xfId="8642" xr:uid="{00000000-0005-0000-0000-000081600000}"/>
    <cellStyle name="Normal 36 21 2" xfId="8643" xr:uid="{00000000-0005-0000-0000-000082600000}"/>
    <cellStyle name="Normal 36 21 2 2" xfId="38381" xr:uid="{00000000-0005-0000-0000-000083600000}"/>
    <cellStyle name="Normal 36 21 3" xfId="8644" xr:uid="{00000000-0005-0000-0000-000084600000}"/>
    <cellStyle name="Normal 36 21 3 2" xfId="38382" xr:uid="{00000000-0005-0000-0000-000085600000}"/>
    <cellStyle name="Normal 36 21 4" xfId="8645" xr:uid="{00000000-0005-0000-0000-000086600000}"/>
    <cellStyle name="Normal 36 21 4 2" xfId="38383" xr:uid="{00000000-0005-0000-0000-000087600000}"/>
    <cellStyle name="Normal 36 21 5" xfId="38384" xr:uid="{00000000-0005-0000-0000-000088600000}"/>
    <cellStyle name="Normal 36 21_01-04-2012" xfId="8646" xr:uid="{00000000-0005-0000-0000-000089600000}"/>
    <cellStyle name="Normal 36 22" xfId="8647" xr:uid="{00000000-0005-0000-0000-00008A600000}"/>
    <cellStyle name="Normal 36 22 2" xfId="8648" xr:uid="{00000000-0005-0000-0000-00008B600000}"/>
    <cellStyle name="Normal 36 22 2 2" xfId="38385" xr:uid="{00000000-0005-0000-0000-00008C600000}"/>
    <cellStyle name="Normal 36 22 3" xfId="8649" xr:uid="{00000000-0005-0000-0000-00008D600000}"/>
    <cellStyle name="Normal 36 22 3 2" xfId="38386" xr:uid="{00000000-0005-0000-0000-00008E600000}"/>
    <cellStyle name="Normal 36 22 4" xfId="8650" xr:uid="{00000000-0005-0000-0000-00008F600000}"/>
    <cellStyle name="Normal 36 22 4 2" xfId="38387" xr:uid="{00000000-0005-0000-0000-000090600000}"/>
    <cellStyle name="Normal 36 22 5" xfId="38388" xr:uid="{00000000-0005-0000-0000-000091600000}"/>
    <cellStyle name="Normal 36 22_01-04-2012" xfId="8651" xr:uid="{00000000-0005-0000-0000-000092600000}"/>
    <cellStyle name="Normal 36 23" xfId="8652" xr:uid="{00000000-0005-0000-0000-000093600000}"/>
    <cellStyle name="Normal 36 23 2" xfId="8653" xr:uid="{00000000-0005-0000-0000-000094600000}"/>
    <cellStyle name="Normal 36 23 2 2" xfId="38389" xr:uid="{00000000-0005-0000-0000-000095600000}"/>
    <cellStyle name="Normal 36 23 3" xfId="8654" xr:uid="{00000000-0005-0000-0000-000096600000}"/>
    <cellStyle name="Normal 36 23 3 2" xfId="38390" xr:uid="{00000000-0005-0000-0000-000097600000}"/>
    <cellStyle name="Normal 36 23 4" xfId="8655" xr:uid="{00000000-0005-0000-0000-000098600000}"/>
    <cellStyle name="Normal 36 23 4 2" xfId="38391" xr:uid="{00000000-0005-0000-0000-000099600000}"/>
    <cellStyle name="Normal 36 23 5" xfId="38392" xr:uid="{00000000-0005-0000-0000-00009A600000}"/>
    <cellStyle name="Normal 36 23_01-04-2012" xfId="8656" xr:uid="{00000000-0005-0000-0000-00009B600000}"/>
    <cellStyle name="Normal 36 24" xfId="8657" xr:uid="{00000000-0005-0000-0000-00009C600000}"/>
    <cellStyle name="Normal 36 24 2" xfId="8658" xr:uid="{00000000-0005-0000-0000-00009D600000}"/>
    <cellStyle name="Normal 36 24 2 2" xfId="38393" xr:uid="{00000000-0005-0000-0000-00009E600000}"/>
    <cellStyle name="Normal 36 24 3" xfId="8659" xr:uid="{00000000-0005-0000-0000-00009F600000}"/>
    <cellStyle name="Normal 36 24 3 2" xfId="38394" xr:uid="{00000000-0005-0000-0000-0000A0600000}"/>
    <cellStyle name="Normal 36 24 4" xfId="8660" xr:uid="{00000000-0005-0000-0000-0000A1600000}"/>
    <cellStyle name="Normal 36 24 4 2" xfId="38395" xr:uid="{00000000-0005-0000-0000-0000A2600000}"/>
    <cellStyle name="Normal 36 24 5" xfId="38396" xr:uid="{00000000-0005-0000-0000-0000A3600000}"/>
    <cellStyle name="Normal 36 24_01-04-2012" xfId="8661" xr:uid="{00000000-0005-0000-0000-0000A4600000}"/>
    <cellStyle name="Normal 36 25" xfId="8662" xr:uid="{00000000-0005-0000-0000-0000A5600000}"/>
    <cellStyle name="Normal 36 25 2" xfId="8663" xr:uid="{00000000-0005-0000-0000-0000A6600000}"/>
    <cellStyle name="Normal 36 25 2 2" xfId="38397" xr:uid="{00000000-0005-0000-0000-0000A7600000}"/>
    <cellStyle name="Normal 36 25 3" xfId="8664" xr:uid="{00000000-0005-0000-0000-0000A8600000}"/>
    <cellStyle name="Normal 36 25 3 2" xfId="38398" xr:uid="{00000000-0005-0000-0000-0000A9600000}"/>
    <cellStyle name="Normal 36 25 4" xfId="8665" xr:uid="{00000000-0005-0000-0000-0000AA600000}"/>
    <cellStyle name="Normal 36 25 4 2" xfId="38399" xr:uid="{00000000-0005-0000-0000-0000AB600000}"/>
    <cellStyle name="Normal 36 25 5" xfId="38400" xr:uid="{00000000-0005-0000-0000-0000AC600000}"/>
    <cellStyle name="Normal 36 25_01-04-2012" xfId="8666" xr:uid="{00000000-0005-0000-0000-0000AD600000}"/>
    <cellStyle name="Normal 36 26" xfId="8667" xr:uid="{00000000-0005-0000-0000-0000AE600000}"/>
    <cellStyle name="Normal 36 26 2" xfId="8668" xr:uid="{00000000-0005-0000-0000-0000AF600000}"/>
    <cellStyle name="Normal 36 26 2 2" xfId="38401" xr:uid="{00000000-0005-0000-0000-0000B0600000}"/>
    <cellStyle name="Normal 36 26 3" xfId="8669" xr:uid="{00000000-0005-0000-0000-0000B1600000}"/>
    <cellStyle name="Normal 36 26 3 2" xfId="38402" xr:uid="{00000000-0005-0000-0000-0000B2600000}"/>
    <cellStyle name="Normal 36 26 4" xfId="8670" xr:uid="{00000000-0005-0000-0000-0000B3600000}"/>
    <cellStyle name="Normal 36 26 4 2" xfId="38403" xr:uid="{00000000-0005-0000-0000-0000B4600000}"/>
    <cellStyle name="Normal 36 26 5" xfId="38404" xr:uid="{00000000-0005-0000-0000-0000B5600000}"/>
    <cellStyle name="Normal 36 26_01-04-2012" xfId="8671" xr:uid="{00000000-0005-0000-0000-0000B6600000}"/>
    <cellStyle name="Normal 36 27" xfId="8672" xr:uid="{00000000-0005-0000-0000-0000B7600000}"/>
    <cellStyle name="Normal 36 27 2" xfId="8673" xr:uid="{00000000-0005-0000-0000-0000B8600000}"/>
    <cellStyle name="Normal 36 27 2 2" xfId="38405" xr:uid="{00000000-0005-0000-0000-0000B9600000}"/>
    <cellStyle name="Normal 36 27 3" xfId="8674" xr:uid="{00000000-0005-0000-0000-0000BA600000}"/>
    <cellStyle name="Normal 36 27 3 2" xfId="38406" xr:uid="{00000000-0005-0000-0000-0000BB600000}"/>
    <cellStyle name="Normal 36 27 4" xfId="8675" xr:uid="{00000000-0005-0000-0000-0000BC600000}"/>
    <cellStyle name="Normal 36 27 4 2" xfId="38407" xr:uid="{00000000-0005-0000-0000-0000BD600000}"/>
    <cellStyle name="Normal 36 27 5" xfId="38408" xr:uid="{00000000-0005-0000-0000-0000BE600000}"/>
    <cellStyle name="Normal 36 27_01-04-2012" xfId="8676" xr:uid="{00000000-0005-0000-0000-0000BF600000}"/>
    <cellStyle name="Normal 36 28" xfId="8677" xr:uid="{00000000-0005-0000-0000-0000C0600000}"/>
    <cellStyle name="Normal 36 28 2" xfId="8678" xr:uid="{00000000-0005-0000-0000-0000C1600000}"/>
    <cellStyle name="Normal 36 28 2 2" xfId="38409" xr:uid="{00000000-0005-0000-0000-0000C2600000}"/>
    <cellStyle name="Normal 36 28 3" xfId="8679" xr:uid="{00000000-0005-0000-0000-0000C3600000}"/>
    <cellStyle name="Normal 36 28 3 2" xfId="38410" xr:uid="{00000000-0005-0000-0000-0000C4600000}"/>
    <cellStyle name="Normal 36 28 4" xfId="8680" xr:uid="{00000000-0005-0000-0000-0000C5600000}"/>
    <cellStyle name="Normal 36 28 4 2" xfId="38411" xr:uid="{00000000-0005-0000-0000-0000C6600000}"/>
    <cellStyle name="Normal 36 28 5" xfId="38412" xr:uid="{00000000-0005-0000-0000-0000C7600000}"/>
    <cellStyle name="Normal 36 28_01-04-2012" xfId="8681" xr:uid="{00000000-0005-0000-0000-0000C8600000}"/>
    <cellStyle name="Normal 36 29" xfId="8682" xr:uid="{00000000-0005-0000-0000-0000C9600000}"/>
    <cellStyle name="Normal 36 29 2" xfId="8683" xr:uid="{00000000-0005-0000-0000-0000CA600000}"/>
    <cellStyle name="Normal 36 29 2 2" xfId="38413" xr:uid="{00000000-0005-0000-0000-0000CB600000}"/>
    <cellStyle name="Normal 36 29 3" xfId="8684" xr:uid="{00000000-0005-0000-0000-0000CC600000}"/>
    <cellStyle name="Normal 36 29 3 2" xfId="38414" xr:uid="{00000000-0005-0000-0000-0000CD600000}"/>
    <cellStyle name="Normal 36 29 4" xfId="8685" xr:uid="{00000000-0005-0000-0000-0000CE600000}"/>
    <cellStyle name="Normal 36 29 4 2" xfId="38415" xr:uid="{00000000-0005-0000-0000-0000CF600000}"/>
    <cellStyle name="Normal 36 29 5" xfId="38416" xr:uid="{00000000-0005-0000-0000-0000D0600000}"/>
    <cellStyle name="Normal 36 29_01-04-2012" xfId="8686" xr:uid="{00000000-0005-0000-0000-0000D1600000}"/>
    <cellStyle name="Normal 36 3" xfId="8687" xr:uid="{00000000-0005-0000-0000-0000D2600000}"/>
    <cellStyle name="Normal 36 3 2" xfId="8688" xr:uid="{00000000-0005-0000-0000-0000D3600000}"/>
    <cellStyle name="Normal 36 3 2 2" xfId="38417" xr:uid="{00000000-0005-0000-0000-0000D4600000}"/>
    <cellStyle name="Normal 36 3 3" xfId="8689" xr:uid="{00000000-0005-0000-0000-0000D5600000}"/>
    <cellStyle name="Normal 36 3 3 2" xfId="38418" xr:uid="{00000000-0005-0000-0000-0000D6600000}"/>
    <cellStyle name="Normal 36 3 4" xfId="8690" xr:uid="{00000000-0005-0000-0000-0000D7600000}"/>
    <cellStyle name="Normal 36 3 4 2" xfId="38419" xr:uid="{00000000-0005-0000-0000-0000D8600000}"/>
    <cellStyle name="Normal 36 3 5" xfId="20346" xr:uid="{00000000-0005-0000-0000-0000D9600000}"/>
    <cellStyle name="Normal 36 3 5 2" xfId="38420" xr:uid="{00000000-0005-0000-0000-0000DA600000}"/>
    <cellStyle name="Normal 36 3_01-04-2012" xfId="8691" xr:uid="{00000000-0005-0000-0000-0000DB600000}"/>
    <cellStyle name="Normal 36 30" xfId="8692" xr:uid="{00000000-0005-0000-0000-0000DC600000}"/>
    <cellStyle name="Normal 36 30 2" xfId="8693" xr:uid="{00000000-0005-0000-0000-0000DD600000}"/>
    <cellStyle name="Normal 36 30 2 2" xfId="38421" xr:uid="{00000000-0005-0000-0000-0000DE600000}"/>
    <cellStyle name="Normal 36 30 3" xfId="8694" xr:uid="{00000000-0005-0000-0000-0000DF600000}"/>
    <cellStyle name="Normal 36 30 3 2" xfId="38422" xr:uid="{00000000-0005-0000-0000-0000E0600000}"/>
    <cellStyle name="Normal 36 30 4" xfId="8695" xr:uid="{00000000-0005-0000-0000-0000E1600000}"/>
    <cellStyle name="Normal 36 30 4 2" xfId="38423" xr:uid="{00000000-0005-0000-0000-0000E2600000}"/>
    <cellStyle name="Normal 36 30 5" xfId="38424" xr:uid="{00000000-0005-0000-0000-0000E3600000}"/>
    <cellStyle name="Normal 36 30_01-04-2012" xfId="8696" xr:uid="{00000000-0005-0000-0000-0000E4600000}"/>
    <cellStyle name="Normal 36 31" xfId="8697" xr:uid="{00000000-0005-0000-0000-0000E5600000}"/>
    <cellStyle name="Normal 36 31 2" xfId="8698" xr:uid="{00000000-0005-0000-0000-0000E6600000}"/>
    <cellStyle name="Normal 36 31 2 2" xfId="38425" xr:uid="{00000000-0005-0000-0000-0000E7600000}"/>
    <cellStyle name="Normal 36 31 3" xfId="8699" xr:uid="{00000000-0005-0000-0000-0000E8600000}"/>
    <cellStyle name="Normal 36 31 3 2" xfId="38426" xr:uid="{00000000-0005-0000-0000-0000E9600000}"/>
    <cellStyle name="Normal 36 31 4" xfId="8700" xr:uid="{00000000-0005-0000-0000-0000EA600000}"/>
    <cellStyle name="Normal 36 31 4 2" xfId="38427" xr:uid="{00000000-0005-0000-0000-0000EB600000}"/>
    <cellStyle name="Normal 36 31 5" xfId="38428" xr:uid="{00000000-0005-0000-0000-0000EC600000}"/>
    <cellStyle name="Normal 36 31_01-04-2012" xfId="8701" xr:uid="{00000000-0005-0000-0000-0000ED600000}"/>
    <cellStyle name="Normal 36 32" xfId="8702" xr:uid="{00000000-0005-0000-0000-0000EE600000}"/>
    <cellStyle name="Normal 36 32 2" xfId="8703" xr:uid="{00000000-0005-0000-0000-0000EF600000}"/>
    <cellStyle name="Normal 36 32 2 2" xfId="38429" xr:uid="{00000000-0005-0000-0000-0000F0600000}"/>
    <cellStyle name="Normal 36 32 3" xfId="8704" xr:uid="{00000000-0005-0000-0000-0000F1600000}"/>
    <cellStyle name="Normal 36 32 3 2" xfId="38430" xr:uid="{00000000-0005-0000-0000-0000F2600000}"/>
    <cellStyle name="Normal 36 32 4" xfId="8705" xr:uid="{00000000-0005-0000-0000-0000F3600000}"/>
    <cellStyle name="Normal 36 32 4 2" xfId="38431" xr:uid="{00000000-0005-0000-0000-0000F4600000}"/>
    <cellStyle name="Normal 36 32 5" xfId="38432" xr:uid="{00000000-0005-0000-0000-0000F5600000}"/>
    <cellStyle name="Normal 36 32_01-04-2012" xfId="8706" xr:uid="{00000000-0005-0000-0000-0000F6600000}"/>
    <cellStyle name="Normal 36 33" xfId="8707" xr:uid="{00000000-0005-0000-0000-0000F7600000}"/>
    <cellStyle name="Normal 36 33 2" xfId="8708" xr:uid="{00000000-0005-0000-0000-0000F8600000}"/>
    <cellStyle name="Normal 36 33 2 2" xfId="38433" xr:uid="{00000000-0005-0000-0000-0000F9600000}"/>
    <cellStyle name="Normal 36 33 3" xfId="8709" xr:uid="{00000000-0005-0000-0000-0000FA600000}"/>
    <cellStyle name="Normal 36 33 3 2" xfId="38434" xr:uid="{00000000-0005-0000-0000-0000FB600000}"/>
    <cellStyle name="Normal 36 33 4" xfId="8710" xr:uid="{00000000-0005-0000-0000-0000FC600000}"/>
    <cellStyle name="Normal 36 33 4 2" xfId="38435" xr:uid="{00000000-0005-0000-0000-0000FD600000}"/>
    <cellStyle name="Normal 36 33 5" xfId="38436" xr:uid="{00000000-0005-0000-0000-0000FE600000}"/>
    <cellStyle name="Normal 36 33_01-04-2012" xfId="8711" xr:uid="{00000000-0005-0000-0000-0000FF600000}"/>
    <cellStyle name="Normal 36 34" xfId="8712" xr:uid="{00000000-0005-0000-0000-000000610000}"/>
    <cellStyle name="Normal 36 34 2" xfId="8713" xr:uid="{00000000-0005-0000-0000-000001610000}"/>
    <cellStyle name="Normal 36 34 2 2" xfId="38437" xr:uid="{00000000-0005-0000-0000-000002610000}"/>
    <cellStyle name="Normal 36 34 3" xfId="8714" xr:uid="{00000000-0005-0000-0000-000003610000}"/>
    <cellStyle name="Normal 36 34 3 2" xfId="38438" xr:uid="{00000000-0005-0000-0000-000004610000}"/>
    <cellStyle name="Normal 36 34 4" xfId="8715" xr:uid="{00000000-0005-0000-0000-000005610000}"/>
    <cellStyle name="Normal 36 34 4 2" xfId="38439" xr:uid="{00000000-0005-0000-0000-000006610000}"/>
    <cellStyle name="Normal 36 34 5" xfId="38440" xr:uid="{00000000-0005-0000-0000-000007610000}"/>
    <cellStyle name="Normal 36 34_01-04-2012" xfId="8716" xr:uid="{00000000-0005-0000-0000-000008610000}"/>
    <cellStyle name="Normal 36 35" xfId="8717" xr:uid="{00000000-0005-0000-0000-000009610000}"/>
    <cellStyle name="Normal 36 35 2" xfId="8718" xr:uid="{00000000-0005-0000-0000-00000A610000}"/>
    <cellStyle name="Normal 36 35 2 2" xfId="38441" xr:uid="{00000000-0005-0000-0000-00000B610000}"/>
    <cellStyle name="Normal 36 35 3" xfId="8719" xr:uid="{00000000-0005-0000-0000-00000C610000}"/>
    <cellStyle name="Normal 36 35 3 2" xfId="38442" xr:uid="{00000000-0005-0000-0000-00000D610000}"/>
    <cellStyle name="Normal 36 35 4" xfId="8720" xr:uid="{00000000-0005-0000-0000-00000E610000}"/>
    <cellStyle name="Normal 36 35 4 2" xfId="38443" xr:uid="{00000000-0005-0000-0000-00000F610000}"/>
    <cellStyle name="Normal 36 35 5" xfId="38444" xr:uid="{00000000-0005-0000-0000-000010610000}"/>
    <cellStyle name="Normal 36 35_01-04-2012" xfId="8721" xr:uid="{00000000-0005-0000-0000-000011610000}"/>
    <cellStyle name="Normal 36 36" xfId="8722" xr:uid="{00000000-0005-0000-0000-000012610000}"/>
    <cellStyle name="Normal 36 36 2" xfId="8723" xr:uid="{00000000-0005-0000-0000-000013610000}"/>
    <cellStyle name="Normal 36 36 2 2" xfId="38445" xr:uid="{00000000-0005-0000-0000-000014610000}"/>
    <cellStyle name="Normal 36 36 3" xfId="8724" xr:uid="{00000000-0005-0000-0000-000015610000}"/>
    <cellStyle name="Normal 36 36 3 2" xfId="38446" xr:uid="{00000000-0005-0000-0000-000016610000}"/>
    <cellStyle name="Normal 36 36 4" xfId="8725" xr:uid="{00000000-0005-0000-0000-000017610000}"/>
    <cellStyle name="Normal 36 36 4 2" xfId="38447" xr:uid="{00000000-0005-0000-0000-000018610000}"/>
    <cellStyle name="Normal 36 36 5" xfId="38448" xr:uid="{00000000-0005-0000-0000-000019610000}"/>
    <cellStyle name="Normal 36 36_01-04-2012" xfId="8726" xr:uid="{00000000-0005-0000-0000-00001A610000}"/>
    <cellStyle name="Normal 36 37" xfId="8727" xr:uid="{00000000-0005-0000-0000-00001B610000}"/>
    <cellStyle name="Normal 36 37 2" xfId="8728" xr:uid="{00000000-0005-0000-0000-00001C610000}"/>
    <cellStyle name="Normal 36 37 2 2" xfId="38449" xr:uid="{00000000-0005-0000-0000-00001D610000}"/>
    <cellStyle name="Normal 36 37 3" xfId="8729" xr:uid="{00000000-0005-0000-0000-00001E610000}"/>
    <cellStyle name="Normal 36 37 3 2" xfId="38450" xr:uid="{00000000-0005-0000-0000-00001F610000}"/>
    <cellStyle name="Normal 36 37 4" xfId="8730" xr:uid="{00000000-0005-0000-0000-000020610000}"/>
    <cellStyle name="Normal 36 37 4 2" xfId="38451" xr:uid="{00000000-0005-0000-0000-000021610000}"/>
    <cellStyle name="Normal 36 37 5" xfId="38452" xr:uid="{00000000-0005-0000-0000-000022610000}"/>
    <cellStyle name="Normal 36 37_01-04-2012" xfId="8731" xr:uid="{00000000-0005-0000-0000-000023610000}"/>
    <cellStyle name="Normal 36 38" xfId="8732" xr:uid="{00000000-0005-0000-0000-000024610000}"/>
    <cellStyle name="Normal 36 38 2" xfId="38453" xr:uid="{00000000-0005-0000-0000-000025610000}"/>
    <cellStyle name="Normal 36 39" xfId="8733" xr:uid="{00000000-0005-0000-0000-000026610000}"/>
    <cellStyle name="Normal 36 39 2" xfId="38454" xr:uid="{00000000-0005-0000-0000-000027610000}"/>
    <cellStyle name="Normal 36 4" xfId="8734" xr:uid="{00000000-0005-0000-0000-000028610000}"/>
    <cellStyle name="Normal 36 4 2" xfId="8735" xr:uid="{00000000-0005-0000-0000-000029610000}"/>
    <cellStyle name="Normal 36 4 2 2" xfId="38455" xr:uid="{00000000-0005-0000-0000-00002A610000}"/>
    <cellStyle name="Normal 36 4 3" xfId="8736" xr:uid="{00000000-0005-0000-0000-00002B610000}"/>
    <cellStyle name="Normal 36 4 3 2" xfId="38456" xr:uid="{00000000-0005-0000-0000-00002C610000}"/>
    <cellStyle name="Normal 36 4 4" xfId="8737" xr:uid="{00000000-0005-0000-0000-00002D610000}"/>
    <cellStyle name="Normal 36 4 4 2" xfId="38457" xr:uid="{00000000-0005-0000-0000-00002E610000}"/>
    <cellStyle name="Normal 36 4 5" xfId="38458" xr:uid="{00000000-0005-0000-0000-00002F610000}"/>
    <cellStyle name="Normal 36 4_01-04-2012" xfId="8738" xr:uid="{00000000-0005-0000-0000-000030610000}"/>
    <cellStyle name="Normal 36 40" xfId="8739" xr:uid="{00000000-0005-0000-0000-000031610000}"/>
    <cellStyle name="Normal 36 40 2" xfId="38459" xr:uid="{00000000-0005-0000-0000-000032610000}"/>
    <cellStyle name="Normal 36 41" xfId="20347" xr:uid="{00000000-0005-0000-0000-000033610000}"/>
    <cellStyle name="Normal 36 41 2" xfId="38460" xr:uid="{00000000-0005-0000-0000-000034610000}"/>
    <cellStyle name="Normal 36 42" xfId="20348" xr:uid="{00000000-0005-0000-0000-000035610000}"/>
    <cellStyle name="Normal 36 43" xfId="20349" xr:uid="{00000000-0005-0000-0000-000036610000}"/>
    <cellStyle name="Normal 36 44" xfId="20350" xr:uid="{00000000-0005-0000-0000-000037610000}"/>
    <cellStyle name="Normal 36 45" xfId="20351" xr:uid="{00000000-0005-0000-0000-000038610000}"/>
    <cellStyle name="Normal 36 46" xfId="20352" xr:uid="{00000000-0005-0000-0000-000039610000}"/>
    <cellStyle name="Normal 36 47" xfId="33658" xr:uid="{00000000-0005-0000-0000-00003A610000}"/>
    <cellStyle name="Normal 36 5" xfId="8740" xr:uid="{00000000-0005-0000-0000-00003B610000}"/>
    <cellStyle name="Normal 36 5 2" xfId="8741" xr:uid="{00000000-0005-0000-0000-00003C610000}"/>
    <cellStyle name="Normal 36 5 2 2" xfId="38461" xr:uid="{00000000-0005-0000-0000-00003D610000}"/>
    <cellStyle name="Normal 36 5 3" xfId="8742" xr:uid="{00000000-0005-0000-0000-00003E610000}"/>
    <cellStyle name="Normal 36 5 3 2" xfId="38462" xr:uid="{00000000-0005-0000-0000-00003F610000}"/>
    <cellStyle name="Normal 36 5 4" xfId="8743" xr:uid="{00000000-0005-0000-0000-000040610000}"/>
    <cellStyle name="Normal 36 5 4 2" xfId="38463" xr:uid="{00000000-0005-0000-0000-000041610000}"/>
    <cellStyle name="Normal 36 5 5" xfId="38464" xr:uid="{00000000-0005-0000-0000-000042610000}"/>
    <cellStyle name="Normal 36 5_01-04-2012" xfId="8744" xr:uid="{00000000-0005-0000-0000-000043610000}"/>
    <cellStyle name="Normal 36 6" xfId="8745" xr:uid="{00000000-0005-0000-0000-000044610000}"/>
    <cellStyle name="Normal 36 6 2" xfId="8746" xr:uid="{00000000-0005-0000-0000-000045610000}"/>
    <cellStyle name="Normal 36 6 2 2" xfId="38465" xr:uid="{00000000-0005-0000-0000-000046610000}"/>
    <cellStyle name="Normal 36 6 3" xfId="8747" xr:uid="{00000000-0005-0000-0000-000047610000}"/>
    <cellStyle name="Normal 36 6 3 2" xfId="38466" xr:uid="{00000000-0005-0000-0000-000048610000}"/>
    <cellStyle name="Normal 36 6 4" xfId="8748" xr:uid="{00000000-0005-0000-0000-000049610000}"/>
    <cellStyle name="Normal 36 6 4 2" xfId="38467" xr:uid="{00000000-0005-0000-0000-00004A610000}"/>
    <cellStyle name="Normal 36 6 5" xfId="38468" xr:uid="{00000000-0005-0000-0000-00004B610000}"/>
    <cellStyle name="Normal 36 6_01-04-2012" xfId="8749" xr:uid="{00000000-0005-0000-0000-00004C610000}"/>
    <cellStyle name="Normal 36 7" xfId="8750" xr:uid="{00000000-0005-0000-0000-00004D610000}"/>
    <cellStyle name="Normal 36 7 2" xfId="8751" xr:uid="{00000000-0005-0000-0000-00004E610000}"/>
    <cellStyle name="Normal 36 7 2 2" xfId="38469" xr:uid="{00000000-0005-0000-0000-00004F610000}"/>
    <cellStyle name="Normal 36 7 3" xfId="8752" xr:uid="{00000000-0005-0000-0000-000050610000}"/>
    <cellStyle name="Normal 36 7 3 2" xfId="38470" xr:uid="{00000000-0005-0000-0000-000051610000}"/>
    <cellStyle name="Normal 36 7 4" xfId="8753" xr:uid="{00000000-0005-0000-0000-000052610000}"/>
    <cellStyle name="Normal 36 7 4 2" xfId="38471" xr:uid="{00000000-0005-0000-0000-000053610000}"/>
    <cellStyle name="Normal 36 7 5" xfId="38472" xr:uid="{00000000-0005-0000-0000-000054610000}"/>
    <cellStyle name="Normal 36 7_01-04-2012" xfId="8754" xr:uid="{00000000-0005-0000-0000-000055610000}"/>
    <cellStyle name="Normal 36 8" xfId="8755" xr:uid="{00000000-0005-0000-0000-000056610000}"/>
    <cellStyle name="Normal 36 8 2" xfId="8756" xr:uid="{00000000-0005-0000-0000-000057610000}"/>
    <cellStyle name="Normal 36 8 2 2" xfId="38473" xr:uid="{00000000-0005-0000-0000-000058610000}"/>
    <cellStyle name="Normal 36 8 3" xfId="8757" xr:uid="{00000000-0005-0000-0000-000059610000}"/>
    <cellStyle name="Normal 36 8 3 2" xfId="38474" xr:uid="{00000000-0005-0000-0000-00005A610000}"/>
    <cellStyle name="Normal 36 8 4" xfId="8758" xr:uid="{00000000-0005-0000-0000-00005B610000}"/>
    <cellStyle name="Normal 36 8 4 2" xfId="38475" xr:uid="{00000000-0005-0000-0000-00005C610000}"/>
    <cellStyle name="Normal 36 8 5" xfId="38476" xr:uid="{00000000-0005-0000-0000-00005D610000}"/>
    <cellStyle name="Normal 36 8_01-04-2012" xfId="8759" xr:uid="{00000000-0005-0000-0000-00005E610000}"/>
    <cellStyle name="Normal 36 9" xfId="8760" xr:uid="{00000000-0005-0000-0000-00005F610000}"/>
    <cellStyle name="Normal 36 9 2" xfId="8761" xr:uid="{00000000-0005-0000-0000-000060610000}"/>
    <cellStyle name="Normal 36 9 2 2" xfId="38477" xr:uid="{00000000-0005-0000-0000-000061610000}"/>
    <cellStyle name="Normal 36 9 3" xfId="8762" xr:uid="{00000000-0005-0000-0000-000062610000}"/>
    <cellStyle name="Normal 36 9 3 2" xfId="38478" xr:uid="{00000000-0005-0000-0000-000063610000}"/>
    <cellStyle name="Normal 36 9 4" xfId="8763" xr:uid="{00000000-0005-0000-0000-000064610000}"/>
    <cellStyle name="Normal 36 9 4 2" xfId="38479" xr:uid="{00000000-0005-0000-0000-000065610000}"/>
    <cellStyle name="Normal 36 9 5" xfId="38480" xr:uid="{00000000-0005-0000-0000-000066610000}"/>
    <cellStyle name="Normal 36 9_01-04-2012" xfId="8764" xr:uid="{00000000-0005-0000-0000-000067610000}"/>
    <cellStyle name="Normal 36_01-04-2012" xfId="8765" xr:uid="{00000000-0005-0000-0000-000068610000}"/>
    <cellStyle name="Normal 360" xfId="20353" xr:uid="{00000000-0005-0000-0000-000069610000}"/>
    <cellStyle name="Normal 361" xfId="20354" xr:uid="{00000000-0005-0000-0000-00006A610000}"/>
    <cellStyle name="Normal 362" xfId="20355" xr:uid="{00000000-0005-0000-0000-00006B610000}"/>
    <cellStyle name="Normal 363" xfId="20356" xr:uid="{00000000-0005-0000-0000-00006C610000}"/>
    <cellStyle name="Normal 364" xfId="20357" xr:uid="{00000000-0005-0000-0000-00006D610000}"/>
    <cellStyle name="Normal 365" xfId="20358" xr:uid="{00000000-0005-0000-0000-00006E610000}"/>
    <cellStyle name="Normal 366" xfId="20359" xr:uid="{00000000-0005-0000-0000-00006F610000}"/>
    <cellStyle name="Normal 366 2" xfId="20360" xr:uid="{00000000-0005-0000-0000-000070610000}"/>
    <cellStyle name="Normal 367" xfId="20361" xr:uid="{00000000-0005-0000-0000-000071610000}"/>
    <cellStyle name="Normal 368" xfId="20362" xr:uid="{00000000-0005-0000-0000-000072610000}"/>
    <cellStyle name="Normal 369" xfId="20363" xr:uid="{00000000-0005-0000-0000-000073610000}"/>
    <cellStyle name="Normal 37" xfId="8766" xr:uid="{00000000-0005-0000-0000-000074610000}"/>
    <cellStyle name="Normal 37 10" xfId="8767" xr:uid="{00000000-0005-0000-0000-000075610000}"/>
    <cellStyle name="Normal 37 10 2" xfId="8768" xr:uid="{00000000-0005-0000-0000-000076610000}"/>
    <cellStyle name="Normal 37 10 2 2" xfId="38481" xr:uid="{00000000-0005-0000-0000-000077610000}"/>
    <cellStyle name="Normal 37 10 3" xfId="8769" xr:uid="{00000000-0005-0000-0000-000078610000}"/>
    <cellStyle name="Normal 37 10 3 2" xfId="38482" xr:uid="{00000000-0005-0000-0000-000079610000}"/>
    <cellStyle name="Normal 37 10 4" xfId="8770" xr:uid="{00000000-0005-0000-0000-00007A610000}"/>
    <cellStyle name="Normal 37 10 4 2" xfId="38483" xr:uid="{00000000-0005-0000-0000-00007B610000}"/>
    <cellStyle name="Normal 37 10 5" xfId="38484" xr:uid="{00000000-0005-0000-0000-00007C610000}"/>
    <cellStyle name="Normal 37 10_01-04-2012" xfId="8771" xr:uid="{00000000-0005-0000-0000-00007D610000}"/>
    <cellStyle name="Normal 37 11" xfId="8772" xr:uid="{00000000-0005-0000-0000-00007E610000}"/>
    <cellStyle name="Normal 37 11 2" xfId="8773" xr:uid="{00000000-0005-0000-0000-00007F610000}"/>
    <cellStyle name="Normal 37 11 2 2" xfId="38485" xr:uid="{00000000-0005-0000-0000-000080610000}"/>
    <cellStyle name="Normal 37 11 3" xfId="8774" xr:uid="{00000000-0005-0000-0000-000081610000}"/>
    <cellStyle name="Normal 37 11 3 2" xfId="38486" xr:uid="{00000000-0005-0000-0000-000082610000}"/>
    <cellStyle name="Normal 37 11 4" xfId="8775" xr:uid="{00000000-0005-0000-0000-000083610000}"/>
    <cellStyle name="Normal 37 11 4 2" xfId="38487" xr:uid="{00000000-0005-0000-0000-000084610000}"/>
    <cellStyle name="Normal 37 11 5" xfId="38488" xr:uid="{00000000-0005-0000-0000-000085610000}"/>
    <cellStyle name="Normal 37 11_01-04-2012" xfId="8776" xr:uid="{00000000-0005-0000-0000-000086610000}"/>
    <cellStyle name="Normal 37 12" xfId="8777" xr:uid="{00000000-0005-0000-0000-000087610000}"/>
    <cellStyle name="Normal 37 12 2" xfId="8778" xr:uid="{00000000-0005-0000-0000-000088610000}"/>
    <cellStyle name="Normal 37 12 2 2" xfId="38489" xr:uid="{00000000-0005-0000-0000-000089610000}"/>
    <cellStyle name="Normal 37 12 3" xfId="8779" xr:uid="{00000000-0005-0000-0000-00008A610000}"/>
    <cellStyle name="Normal 37 12 3 2" xfId="38490" xr:uid="{00000000-0005-0000-0000-00008B610000}"/>
    <cellStyle name="Normal 37 12 4" xfId="8780" xr:uid="{00000000-0005-0000-0000-00008C610000}"/>
    <cellStyle name="Normal 37 12 4 2" xfId="38491" xr:uid="{00000000-0005-0000-0000-00008D610000}"/>
    <cellStyle name="Normal 37 12 5" xfId="38492" xr:uid="{00000000-0005-0000-0000-00008E610000}"/>
    <cellStyle name="Normal 37 12_01-04-2012" xfId="8781" xr:uid="{00000000-0005-0000-0000-00008F610000}"/>
    <cellStyle name="Normal 37 13" xfId="8782" xr:uid="{00000000-0005-0000-0000-000090610000}"/>
    <cellStyle name="Normal 37 13 2" xfId="8783" xr:uid="{00000000-0005-0000-0000-000091610000}"/>
    <cellStyle name="Normal 37 13 2 2" xfId="38493" xr:uid="{00000000-0005-0000-0000-000092610000}"/>
    <cellStyle name="Normal 37 13 3" xfId="8784" xr:uid="{00000000-0005-0000-0000-000093610000}"/>
    <cellStyle name="Normal 37 13 3 2" xfId="38494" xr:uid="{00000000-0005-0000-0000-000094610000}"/>
    <cellStyle name="Normal 37 13 4" xfId="8785" xr:uid="{00000000-0005-0000-0000-000095610000}"/>
    <cellStyle name="Normal 37 13 4 2" xfId="38495" xr:uid="{00000000-0005-0000-0000-000096610000}"/>
    <cellStyle name="Normal 37 13 5" xfId="38496" xr:uid="{00000000-0005-0000-0000-000097610000}"/>
    <cellStyle name="Normal 37 13_01-04-2012" xfId="8786" xr:uid="{00000000-0005-0000-0000-000098610000}"/>
    <cellStyle name="Normal 37 14" xfId="8787" xr:uid="{00000000-0005-0000-0000-000099610000}"/>
    <cellStyle name="Normal 37 14 2" xfId="8788" xr:uid="{00000000-0005-0000-0000-00009A610000}"/>
    <cellStyle name="Normal 37 14 2 2" xfId="38497" xr:uid="{00000000-0005-0000-0000-00009B610000}"/>
    <cellStyle name="Normal 37 14 3" xfId="8789" xr:uid="{00000000-0005-0000-0000-00009C610000}"/>
    <cellStyle name="Normal 37 14 3 2" xfId="38498" xr:uid="{00000000-0005-0000-0000-00009D610000}"/>
    <cellStyle name="Normal 37 14 4" xfId="8790" xr:uid="{00000000-0005-0000-0000-00009E610000}"/>
    <cellStyle name="Normal 37 14 4 2" xfId="38499" xr:uid="{00000000-0005-0000-0000-00009F610000}"/>
    <cellStyle name="Normal 37 14 5" xfId="38500" xr:uid="{00000000-0005-0000-0000-0000A0610000}"/>
    <cellStyle name="Normal 37 14_01-04-2012" xfId="8791" xr:uid="{00000000-0005-0000-0000-0000A1610000}"/>
    <cellStyle name="Normal 37 15" xfId="8792" xr:uid="{00000000-0005-0000-0000-0000A2610000}"/>
    <cellStyle name="Normal 37 15 2" xfId="8793" xr:uid="{00000000-0005-0000-0000-0000A3610000}"/>
    <cellStyle name="Normal 37 15 2 2" xfId="38501" xr:uid="{00000000-0005-0000-0000-0000A4610000}"/>
    <cellStyle name="Normal 37 15 3" xfId="8794" xr:uid="{00000000-0005-0000-0000-0000A5610000}"/>
    <cellStyle name="Normal 37 15 3 2" xfId="38502" xr:uid="{00000000-0005-0000-0000-0000A6610000}"/>
    <cellStyle name="Normal 37 15 4" xfId="8795" xr:uid="{00000000-0005-0000-0000-0000A7610000}"/>
    <cellStyle name="Normal 37 15 4 2" xfId="38503" xr:uid="{00000000-0005-0000-0000-0000A8610000}"/>
    <cellStyle name="Normal 37 15 5" xfId="38504" xr:uid="{00000000-0005-0000-0000-0000A9610000}"/>
    <cellStyle name="Normal 37 15_01-04-2012" xfId="8796" xr:uid="{00000000-0005-0000-0000-0000AA610000}"/>
    <cellStyle name="Normal 37 16" xfId="8797" xr:uid="{00000000-0005-0000-0000-0000AB610000}"/>
    <cellStyle name="Normal 37 16 2" xfId="8798" xr:uid="{00000000-0005-0000-0000-0000AC610000}"/>
    <cellStyle name="Normal 37 16 2 2" xfId="38505" xr:uid="{00000000-0005-0000-0000-0000AD610000}"/>
    <cellStyle name="Normal 37 16 3" xfId="8799" xr:uid="{00000000-0005-0000-0000-0000AE610000}"/>
    <cellStyle name="Normal 37 16 3 2" xfId="38506" xr:uid="{00000000-0005-0000-0000-0000AF610000}"/>
    <cellStyle name="Normal 37 16 4" xfId="8800" xr:uid="{00000000-0005-0000-0000-0000B0610000}"/>
    <cellStyle name="Normal 37 16 4 2" xfId="38507" xr:uid="{00000000-0005-0000-0000-0000B1610000}"/>
    <cellStyle name="Normal 37 16 5" xfId="38508" xr:uid="{00000000-0005-0000-0000-0000B2610000}"/>
    <cellStyle name="Normal 37 16_01-04-2012" xfId="8801" xr:uid="{00000000-0005-0000-0000-0000B3610000}"/>
    <cellStyle name="Normal 37 17" xfId="8802" xr:uid="{00000000-0005-0000-0000-0000B4610000}"/>
    <cellStyle name="Normal 37 17 2" xfId="8803" xr:uid="{00000000-0005-0000-0000-0000B5610000}"/>
    <cellStyle name="Normal 37 17 2 2" xfId="38509" xr:uid="{00000000-0005-0000-0000-0000B6610000}"/>
    <cellStyle name="Normal 37 17 3" xfId="8804" xr:uid="{00000000-0005-0000-0000-0000B7610000}"/>
    <cellStyle name="Normal 37 17 3 2" xfId="38510" xr:uid="{00000000-0005-0000-0000-0000B8610000}"/>
    <cellStyle name="Normal 37 17 4" xfId="8805" xr:uid="{00000000-0005-0000-0000-0000B9610000}"/>
    <cellStyle name="Normal 37 17 4 2" xfId="38511" xr:uid="{00000000-0005-0000-0000-0000BA610000}"/>
    <cellStyle name="Normal 37 17 5" xfId="38512" xr:uid="{00000000-0005-0000-0000-0000BB610000}"/>
    <cellStyle name="Normal 37 17_01-04-2012" xfId="8806" xr:uid="{00000000-0005-0000-0000-0000BC610000}"/>
    <cellStyle name="Normal 37 18" xfId="8807" xr:uid="{00000000-0005-0000-0000-0000BD610000}"/>
    <cellStyle name="Normal 37 18 2" xfId="8808" xr:uid="{00000000-0005-0000-0000-0000BE610000}"/>
    <cellStyle name="Normal 37 18 2 2" xfId="38513" xr:uid="{00000000-0005-0000-0000-0000BF610000}"/>
    <cellStyle name="Normal 37 18 3" xfId="8809" xr:uid="{00000000-0005-0000-0000-0000C0610000}"/>
    <cellStyle name="Normal 37 18 3 2" xfId="38514" xr:uid="{00000000-0005-0000-0000-0000C1610000}"/>
    <cellStyle name="Normal 37 18 4" xfId="8810" xr:uid="{00000000-0005-0000-0000-0000C2610000}"/>
    <cellStyle name="Normal 37 18 4 2" xfId="38515" xr:uid="{00000000-0005-0000-0000-0000C3610000}"/>
    <cellStyle name="Normal 37 18 5" xfId="38516" xr:uid="{00000000-0005-0000-0000-0000C4610000}"/>
    <cellStyle name="Normal 37 18_01-04-2012" xfId="8811" xr:uid="{00000000-0005-0000-0000-0000C5610000}"/>
    <cellStyle name="Normal 37 19" xfId="8812" xr:uid="{00000000-0005-0000-0000-0000C6610000}"/>
    <cellStyle name="Normal 37 19 2" xfId="8813" xr:uid="{00000000-0005-0000-0000-0000C7610000}"/>
    <cellStyle name="Normal 37 19 2 2" xfId="38517" xr:uid="{00000000-0005-0000-0000-0000C8610000}"/>
    <cellStyle name="Normal 37 19 3" xfId="8814" xr:uid="{00000000-0005-0000-0000-0000C9610000}"/>
    <cellStyle name="Normal 37 19 3 2" xfId="38518" xr:uid="{00000000-0005-0000-0000-0000CA610000}"/>
    <cellStyle name="Normal 37 19 4" xfId="8815" xr:uid="{00000000-0005-0000-0000-0000CB610000}"/>
    <cellStyle name="Normal 37 19 4 2" xfId="38519" xr:uid="{00000000-0005-0000-0000-0000CC610000}"/>
    <cellStyle name="Normal 37 19 5" xfId="38520" xr:uid="{00000000-0005-0000-0000-0000CD610000}"/>
    <cellStyle name="Normal 37 19_01-04-2012" xfId="8816" xr:uid="{00000000-0005-0000-0000-0000CE610000}"/>
    <cellStyle name="Normal 37 2" xfId="8817" xr:uid="{00000000-0005-0000-0000-0000CF610000}"/>
    <cellStyle name="Normal 37 2 2" xfId="8818" xr:uid="{00000000-0005-0000-0000-0000D0610000}"/>
    <cellStyle name="Normal 37 2 2 2" xfId="33661" xr:uid="{00000000-0005-0000-0000-0000D1610000}"/>
    <cellStyle name="Normal 37 2 2 2 2" xfId="38521" xr:uid="{00000000-0005-0000-0000-0000D2610000}"/>
    <cellStyle name="Normal 37 2 3" xfId="8819" xr:uid="{00000000-0005-0000-0000-0000D3610000}"/>
    <cellStyle name="Normal 37 2 3 2" xfId="38522" xr:uid="{00000000-0005-0000-0000-0000D4610000}"/>
    <cellStyle name="Normal 37 2 4" xfId="8820" xr:uid="{00000000-0005-0000-0000-0000D5610000}"/>
    <cellStyle name="Normal 37 2 4 2" xfId="38523" xr:uid="{00000000-0005-0000-0000-0000D6610000}"/>
    <cellStyle name="Normal 37 2 5" xfId="20364" xr:uid="{00000000-0005-0000-0000-0000D7610000}"/>
    <cellStyle name="Normal 37 2 5 2" xfId="38524" xr:uid="{00000000-0005-0000-0000-0000D8610000}"/>
    <cellStyle name="Normal 37 2_01-04-2012" xfId="8821" xr:uid="{00000000-0005-0000-0000-0000D9610000}"/>
    <cellStyle name="Normal 37 20" xfId="8822" xr:uid="{00000000-0005-0000-0000-0000DA610000}"/>
    <cellStyle name="Normal 37 20 2" xfId="8823" xr:uid="{00000000-0005-0000-0000-0000DB610000}"/>
    <cellStyle name="Normal 37 20 2 2" xfId="38525" xr:uid="{00000000-0005-0000-0000-0000DC610000}"/>
    <cellStyle name="Normal 37 20 3" xfId="8824" xr:uid="{00000000-0005-0000-0000-0000DD610000}"/>
    <cellStyle name="Normal 37 20 3 2" xfId="38526" xr:uid="{00000000-0005-0000-0000-0000DE610000}"/>
    <cellStyle name="Normal 37 20 4" xfId="8825" xr:uid="{00000000-0005-0000-0000-0000DF610000}"/>
    <cellStyle name="Normal 37 20 4 2" xfId="38527" xr:uid="{00000000-0005-0000-0000-0000E0610000}"/>
    <cellStyle name="Normal 37 20 5" xfId="38528" xr:uid="{00000000-0005-0000-0000-0000E1610000}"/>
    <cellStyle name="Normal 37 20_01-04-2012" xfId="8826" xr:uid="{00000000-0005-0000-0000-0000E2610000}"/>
    <cellStyle name="Normal 37 21" xfId="8827" xr:uid="{00000000-0005-0000-0000-0000E3610000}"/>
    <cellStyle name="Normal 37 21 2" xfId="8828" xr:uid="{00000000-0005-0000-0000-0000E4610000}"/>
    <cellStyle name="Normal 37 21 2 2" xfId="38529" xr:uid="{00000000-0005-0000-0000-0000E5610000}"/>
    <cellStyle name="Normal 37 21 3" xfId="8829" xr:uid="{00000000-0005-0000-0000-0000E6610000}"/>
    <cellStyle name="Normal 37 21 3 2" xfId="38530" xr:uid="{00000000-0005-0000-0000-0000E7610000}"/>
    <cellStyle name="Normal 37 21 4" xfId="8830" xr:uid="{00000000-0005-0000-0000-0000E8610000}"/>
    <cellStyle name="Normal 37 21 4 2" xfId="38531" xr:uid="{00000000-0005-0000-0000-0000E9610000}"/>
    <cellStyle name="Normal 37 21 5" xfId="38532" xr:uid="{00000000-0005-0000-0000-0000EA610000}"/>
    <cellStyle name="Normal 37 21_01-04-2012" xfId="8831" xr:uid="{00000000-0005-0000-0000-0000EB610000}"/>
    <cellStyle name="Normal 37 22" xfId="8832" xr:uid="{00000000-0005-0000-0000-0000EC610000}"/>
    <cellStyle name="Normal 37 22 2" xfId="8833" xr:uid="{00000000-0005-0000-0000-0000ED610000}"/>
    <cellStyle name="Normal 37 22 2 2" xfId="38533" xr:uid="{00000000-0005-0000-0000-0000EE610000}"/>
    <cellStyle name="Normal 37 22 3" xfId="8834" xr:uid="{00000000-0005-0000-0000-0000EF610000}"/>
    <cellStyle name="Normal 37 22 3 2" xfId="38534" xr:uid="{00000000-0005-0000-0000-0000F0610000}"/>
    <cellStyle name="Normal 37 22 4" xfId="8835" xr:uid="{00000000-0005-0000-0000-0000F1610000}"/>
    <cellStyle name="Normal 37 22 4 2" xfId="38535" xr:uid="{00000000-0005-0000-0000-0000F2610000}"/>
    <cellStyle name="Normal 37 22 5" xfId="38536" xr:uid="{00000000-0005-0000-0000-0000F3610000}"/>
    <cellStyle name="Normal 37 22_01-04-2012" xfId="8836" xr:uid="{00000000-0005-0000-0000-0000F4610000}"/>
    <cellStyle name="Normal 37 23" xfId="8837" xr:uid="{00000000-0005-0000-0000-0000F5610000}"/>
    <cellStyle name="Normal 37 23 2" xfId="8838" xr:uid="{00000000-0005-0000-0000-0000F6610000}"/>
    <cellStyle name="Normal 37 23 2 2" xfId="38537" xr:uid="{00000000-0005-0000-0000-0000F7610000}"/>
    <cellStyle name="Normal 37 23 3" xfId="8839" xr:uid="{00000000-0005-0000-0000-0000F8610000}"/>
    <cellStyle name="Normal 37 23 3 2" xfId="38538" xr:uid="{00000000-0005-0000-0000-0000F9610000}"/>
    <cellStyle name="Normal 37 23 4" xfId="8840" xr:uid="{00000000-0005-0000-0000-0000FA610000}"/>
    <cellStyle name="Normal 37 23 4 2" xfId="38539" xr:uid="{00000000-0005-0000-0000-0000FB610000}"/>
    <cellStyle name="Normal 37 23 5" xfId="38540" xr:uid="{00000000-0005-0000-0000-0000FC610000}"/>
    <cellStyle name="Normal 37 23_01-04-2012" xfId="8841" xr:uid="{00000000-0005-0000-0000-0000FD610000}"/>
    <cellStyle name="Normal 37 24" xfId="8842" xr:uid="{00000000-0005-0000-0000-0000FE610000}"/>
    <cellStyle name="Normal 37 24 2" xfId="8843" xr:uid="{00000000-0005-0000-0000-0000FF610000}"/>
    <cellStyle name="Normal 37 24 2 2" xfId="38541" xr:uid="{00000000-0005-0000-0000-000000620000}"/>
    <cellStyle name="Normal 37 24 3" xfId="8844" xr:uid="{00000000-0005-0000-0000-000001620000}"/>
    <cellStyle name="Normal 37 24 3 2" xfId="38542" xr:uid="{00000000-0005-0000-0000-000002620000}"/>
    <cellStyle name="Normal 37 24 4" xfId="8845" xr:uid="{00000000-0005-0000-0000-000003620000}"/>
    <cellStyle name="Normal 37 24 4 2" xfId="38543" xr:uid="{00000000-0005-0000-0000-000004620000}"/>
    <cellStyle name="Normal 37 24 5" xfId="38544" xr:uid="{00000000-0005-0000-0000-000005620000}"/>
    <cellStyle name="Normal 37 24_01-04-2012" xfId="8846" xr:uid="{00000000-0005-0000-0000-000006620000}"/>
    <cellStyle name="Normal 37 25" xfId="8847" xr:uid="{00000000-0005-0000-0000-000007620000}"/>
    <cellStyle name="Normal 37 25 2" xfId="8848" xr:uid="{00000000-0005-0000-0000-000008620000}"/>
    <cellStyle name="Normal 37 25 2 2" xfId="38545" xr:uid="{00000000-0005-0000-0000-000009620000}"/>
    <cellStyle name="Normal 37 25 3" xfId="8849" xr:uid="{00000000-0005-0000-0000-00000A620000}"/>
    <cellStyle name="Normal 37 25 3 2" xfId="38546" xr:uid="{00000000-0005-0000-0000-00000B620000}"/>
    <cellStyle name="Normal 37 25 4" xfId="8850" xr:uid="{00000000-0005-0000-0000-00000C620000}"/>
    <cellStyle name="Normal 37 25 4 2" xfId="38547" xr:uid="{00000000-0005-0000-0000-00000D620000}"/>
    <cellStyle name="Normal 37 25 5" xfId="38548" xr:uid="{00000000-0005-0000-0000-00000E620000}"/>
    <cellStyle name="Normal 37 25_01-04-2012" xfId="8851" xr:uid="{00000000-0005-0000-0000-00000F620000}"/>
    <cellStyle name="Normal 37 26" xfId="8852" xr:uid="{00000000-0005-0000-0000-000010620000}"/>
    <cellStyle name="Normal 37 26 2" xfId="8853" xr:uid="{00000000-0005-0000-0000-000011620000}"/>
    <cellStyle name="Normal 37 26 2 2" xfId="38549" xr:uid="{00000000-0005-0000-0000-000012620000}"/>
    <cellStyle name="Normal 37 26 3" xfId="8854" xr:uid="{00000000-0005-0000-0000-000013620000}"/>
    <cellStyle name="Normal 37 26 3 2" xfId="38550" xr:uid="{00000000-0005-0000-0000-000014620000}"/>
    <cellStyle name="Normal 37 26 4" xfId="8855" xr:uid="{00000000-0005-0000-0000-000015620000}"/>
    <cellStyle name="Normal 37 26 4 2" xfId="38551" xr:uid="{00000000-0005-0000-0000-000016620000}"/>
    <cellStyle name="Normal 37 26 5" xfId="38552" xr:uid="{00000000-0005-0000-0000-000017620000}"/>
    <cellStyle name="Normal 37 26_01-04-2012" xfId="8856" xr:uid="{00000000-0005-0000-0000-000018620000}"/>
    <cellStyle name="Normal 37 27" xfId="8857" xr:uid="{00000000-0005-0000-0000-000019620000}"/>
    <cellStyle name="Normal 37 27 2" xfId="8858" xr:uid="{00000000-0005-0000-0000-00001A620000}"/>
    <cellStyle name="Normal 37 27 2 2" xfId="38553" xr:uid="{00000000-0005-0000-0000-00001B620000}"/>
    <cellStyle name="Normal 37 27 3" xfId="8859" xr:uid="{00000000-0005-0000-0000-00001C620000}"/>
    <cellStyle name="Normal 37 27 3 2" xfId="38554" xr:uid="{00000000-0005-0000-0000-00001D620000}"/>
    <cellStyle name="Normal 37 27 4" xfId="8860" xr:uid="{00000000-0005-0000-0000-00001E620000}"/>
    <cellStyle name="Normal 37 27 4 2" xfId="38555" xr:uid="{00000000-0005-0000-0000-00001F620000}"/>
    <cellStyle name="Normal 37 27 5" xfId="38556" xr:uid="{00000000-0005-0000-0000-000020620000}"/>
    <cellStyle name="Normal 37 27_01-04-2012" xfId="8861" xr:uid="{00000000-0005-0000-0000-000021620000}"/>
    <cellStyle name="Normal 37 28" xfId="8862" xr:uid="{00000000-0005-0000-0000-000022620000}"/>
    <cellStyle name="Normal 37 28 2" xfId="8863" xr:uid="{00000000-0005-0000-0000-000023620000}"/>
    <cellStyle name="Normal 37 28 2 2" xfId="38557" xr:uid="{00000000-0005-0000-0000-000024620000}"/>
    <cellStyle name="Normal 37 28 3" xfId="8864" xr:uid="{00000000-0005-0000-0000-000025620000}"/>
    <cellStyle name="Normal 37 28 3 2" xfId="38558" xr:uid="{00000000-0005-0000-0000-000026620000}"/>
    <cellStyle name="Normal 37 28 4" xfId="8865" xr:uid="{00000000-0005-0000-0000-000027620000}"/>
    <cellStyle name="Normal 37 28 4 2" xfId="38559" xr:uid="{00000000-0005-0000-0000-000028620000}"/>
    <cellStyle name="Normal 37 28 5" xfId="38560" xr:uid="{00000000-0005-0000-0000-000029620000}"/>
    <cellStyle name="Normal 37 28_01-04-2012" xfId="8866" xr:uid="{00000000-0005-0000-0000-00002A620000}"/>
    <cellStyle name="Normal 37 29" xfId="8867" xr:uid="{00000000-0005-0000-0000-00002B620000}"/>
    <cellStyle name="Normal 37 29 2" xfId="8868" xr:uid="{00000000-0005-0000-0000-00002C620000}"/>
    <cellStyle name="Normal 37 29 2 2" xfId="38561" xr:uid="{00000000-0005-0000-0000-00002D620000}"/>
    <cellStyle name="Normal 37 29 3" xfId="8869" xr:uid="{00000000-0005-0000-0000-00002E620000}"/>
    <cellStyle name="Normal 37 29 3 2" xfId="38562" xr:uid="{00000000-0005-0000-0000-00002F620000}"/>
    <cellStyle name="Normal 37 29 4" xfId="8870" xr:uid="{00000000-0005-0000-0000-000030620000}"/>
    <cellStyle name="Normal 37 29 4 2" xfId="38563" xr:uid="{00000000-0005-0000-0000-000031620000}"/>
    <cellStyle name="Normal 37 29 5" xfId="38564" xr:uid="{00000000-0005-0000-0000-000032620000}"/>
    <cellStyle name="Normal 37 29_01-04-2012" xfId="8871" xr:uid="{00000000-0005-0000-0000-000033620000}"/>
    <cellStyle name="Normal 37 3" xfId="8872" xr:uid="{00000000-0005-0000-0000-000034620000}"/>
    <cellStyle name="Normal 37 3 2" xfId="8873" xr:uid="{00000000-0005-0000-0000-000035620000}"/>
    <cellStyle name="Normal 37 3 2 2" xfId="38565" xr:uid="{00000000-0005-0000-0000-000036620000}"/>
    <cellStyle name="Normal 37 3 3" xfId="8874" xr:uid="{00000000-0005-0000-0000-000037620000}"/>
    <cellStyle name="Normal 37 3 3 2" xfId="38566" xr:uid="{00000000-0005-0000-0000-000038620000}"/>
    <cellStyle name="Normal 37 3 4" xfId="8875" xr:uid="{00000000-0005-0000-0000-000039620000}"/>
    <cellStyle name="Normal 37 3 4 2" xfId="38567" xr:uid="{00000000-0005-0000-0000-00003A620000}"/>
    <cellStyle name="Normal 37 3 5" xfId="20365" xr:uid="{00000000-0005-0000-0000-00003B620000}"/>
    <cellStyle name="Normal 37 3 5 2" xfId="38568" xr:uid="{00000000-0005-0000-0000-00003C620000}"/>
    <cellStyle name="Normal 37 3_01-04-2012" xfId="8876" xr:uid="{00000000-0005-0000-0000-00003D620000}"/>
    <cellStyle name="Normal 37 30" xfId="8877" xr:uid="{00000000-0005-0000-0000-00003E620000}"/>
    <cellStyle name="Normal 37 30 2" xfId="8878" xr:uid="{00000000-0005-0000-0000-00003F620000}"/>
    <cellStyle name="Normal 37 30 2 2" xfId="38569" xr:uid="{00000000-0005-0000-0000-000040620000}"/>
    <cellStyle name="Normal 37 30 3" xfId="8879" xr:uid="{00000000-0005-0000-0000-000041620000}"/>
    <cellStyle name="Normal 37 30 3 2" xfId="38570" xr:uid="{00000000-0005-0000-0000-000042620000}"/>
    <cellStyle name="Normal 37 30 4" xfId="8880" xr:uid="{00000000-0005-0000-0000-000043620000}"/>
    <cellStyle name="Normal 37 30 4 2" xfId="38571" xr:uid="{00000000-0005-0000-0000-000044620000}"/>
    <cellStyle name="Normal 37 30 5" xfId="38572" xr:uid="{00000000-0005-0000-0000-000045620000}"/>
    <cellStyle name="Normal 37 30_01-04-2012" xfId="8881" xr:uid="{00000000-0005-0000-0000-000046620000}"/>
    <cellStyle name="Normal 37 31" xfId="8882" xr:uid="{00000000-0005-0000-0000-000047620000}"/>
    <cellStyle name="Normal 37 31 2" xfId="8883" xr:uid="{00000000-0005-0000-0000-000048620000}"/>
    <cellStyle name="Normal 37 31 2 2" xfId="38573" xr:uid="{00000000-0005-0000-0000-000049620000}"/>
    <cellStyle name="Normal 37 31 3" xfId="8884" xr:uid="{00000000-0005-0000-0000-00004A620000}"/>
    <cellStyle name="Normal 37 31 3 2" xfId="38574" xr:uid="{00000000-0005-0000-0000-00004B620000}"/>
    <cellStyle name="Normal 37 31 4" xfId="8885" xr:uid="{00000000-0005-0000-0000-00004C620000}"/>
    <cellStyle name="Normal 37 31 4 2" xfId="38575" xr:uid="{00000000-0005-0000-0000-00004D620000}"/>
    <cellStyle name="Normal 37 31 5" xfId="38576" xr:uid="{00000000-0005-0000-0000-00004E620000}"/>
    <cellStyle name="Normal 37 31_01-04-2012" xfId="8886" xr:uid="{00000000-0005-0000-0000-00004F620000}"/>
    <cellStyle name="Normal 37 32" xfId="8887" xr:uid="{00000000-0005-0000-0000-000050620000}"/>
    <cellStyle name="Normal 37 32 2" xfId="8888" xr:uid="{00000000-0005-0000-0000-000051620000}"/>
    <cellStyle name="Normal 37 32 2 2" xfId="38577" xr:uid="{00000000-0005-0000-0000-000052620000}"/>
    <cellStyle name="Normal 37 32 3" xfId="8889" xr:uid="{00000000-0005-0000-0000-000053620000}"/>
    <cellStyle name="Normal 37 32 3 2" xfId="38578" xr:uid="{00000000-0005-0000-0000-000054620000}"/>
    <cellStyle name="Normal 37 32 4" xfId="8890" xr:uid="{00000000-0005-0000-0000-000055620000}"/>
    <cellStyle name="Normal 37 32 4 2" xfId="38579" xr:uid="{00000000-0005-0000-0000-000056620000}"/>
    <cellStyle name="Normal 37 32 5" xfId="38580" xr:uid="{00000000-0005-0000-0000-000057620000}"/>
    <cellStyle name="Normal 37 32_01-04-2012" xfId="8891" xr:uid="{00000000-0005-0000-0000-000058620000}"/>
    <cellStyle name="Normal 37 33" xfId="8892" xr:uid="{00000000-0005-0000-0000-000059620000}"/>
    <cellStyle name="Normal 37 33 2" xfId="8893" xr:uid="{00000000-0005-0000-0000-00005A620000}"/>
    <cellStyle name="Normal 37 33 2 2" xfId="38581" xr:uid="{00000000-0005-0000-0000-00005B620000}"/>
    <cellStyle name="Normal 37 33 3" xfId="8894" xr:uid="{00000000-0005-0000-0000-00005C620000}"/>
    <cellStyle name="Normal 37 33 3 2" xfId="38582" xr:uid="{00000000-0005-0000-0000-00005D620000}"/>
    <cellStyle name="Normal 37 33 4" xfId="8895" xr:uid="{00000000-0005-0000-0000-00005E620000}"/>
    <cellStyle name="Normal 37 33 4 2" xfId="38583" xr:uid="{00000000-0005-0000-0000-00005F620000}"/>
    <cellStyle name="Normal 37 33 5" xfId="38584" xr:uid="{00000000-0005-0000-0000-000060620000}"/>
    <cellStyle name="Normal 37 33_01-04-2012" xfId="8896" xr:uid="{00000000-0005-0000-0000-000061620000}"/>
    <cellStyle name="Normal 37 34" xfId="8897" xr:uid="{00000000-0005-0000-0000-000062620000}"/>
    <cellStyle name="Normal 37 34 2" xfId="8898" xr:uid="{00000000-0005-0000-0000-000063620000}"/>
    <cellStyle name="Normal 37 34 2 2" xfId="38585" xr:uid="{00000000-0005-0000-0000-000064620000}"/>
    <cellStyle name="Normal 37 34 3" xfId="8899" xr:uid="{00000000-0005-0000-0000-000065620000}"/>
    <cellStyle name="Normal 37 34 3 2" xfId="38586" xr:uid="{00000000-0005-0000-0000-000066620000}"/>
    <cellStyle name="Normal 37 34 4" xfId="8900" xr:uid="{00000000-0005-0000-0000-000067620000}"/>
    <cellStyle name="Normal 37 34 4 2" xfId="38587" xr:uid="{00000000-0005-0000-0000-000068620000}"/>
    <cellStyle name="Normal 37 34 5" xfId="38588" xr:uid="{00000000-0005-0000-0000-000069620000}"/>
    <cellStyle name="Normal 37 34_01-04-2012" xfId="8901" xr:uid="{00000000-0005-0000-0000-00006A620000}"/>
    <cellStyle name="Normal 37 35" xfId="8902" xr:uid="{00000000-0005-0000-0000-00006B620000}"/>
    <cellStyle name="Normal 37 35 2" xfId="8903" xr:uid="{00000000-0005-0000-0000-00006C620000}"/>
    <cellStyle name="Normal 37 35 2 2" xfId="38589" xr:uid="{00000000-0005-0000-0000-00006D620000}"/>
    <cellStyle name="Normal 37 35 3" xfId="8904" xr:uid="{00000000-0005-0000-0000-00006E620000}"/>
    <cellStyle name="Normal 37 35 3 2" xfId="38590" xr:uid="{00000000-0005-0000-0000-00006F620000}"/>
    <cellStyle name="Normal 37 35 4" xfId="8905" xr:uid="{00000000-0005-0000-0000-000070620000}"/>
    <cellStyle name="Normal 37 35 4 2" xfId="38591" xr:uid="{00000000-0005-0000-0000-000071620000}"/>
    <cellStyle name="Normal 37 35 5" xfId="38592" xr:uid="{00000000-0005-0000-0000-000072620000}"/>
    <cellStyle name="Normal 37 35_01-04-2012" xfId="8906" xr:uid="{00000000-0005-0000-0000-000073620000}"/>
    <cellStyle name="Normal 37 36" xfId="8907" xr:uid="{00000000-0005-0000-0000-000074620000}"/>
    <cellStyle name="Normal 37 36 2" xfId="8908" xr:uid="{00000000-0005-0000-0000-000075620000}"/>
    <cellStyle name="Normal 37 36 2 2" xfId="38593" xr:uid="{00000000-0005-0000-0000-000076620000}"/>
    <cellStyle name="Normal 37 36 3" xfId="8909" xr:uid="{00000000-0005-0000-0000-000077620000}"/>
    <cellStyle name="Normal 37 36 3 2" xfId="38594" xr:uid="{00000000-0005-0000-0000-000078620000}"/>
    <cellStyle name="Normal 37 36 4" xfId="8910" xr:uid="{00000000-0005-0000-0000-000079620000}"/>
    <cellStyle name="Normal 37 36 4 2" xfId="38595" xr:uid="{00000000-0005-0000-0000-00007A620000}"/>
    <cellStyle name="Normal 37 36 5" xfId="38596" xr:uid="{00000000-0005-0000-0000-00007B620000}"/>
    <cellStyle name="Normal 37 36_01-04-2012" xfId="8911" xr:uid="{00000000-0005-0000-0000-00007C620000}"/>
    <cellStyle name="Normal 37 37" xfId="8912" xr:uid="{00000000-0005-0000-0000-00007D620000}"/>
    <cellStyle name="Normal 37 37 2" xfId="8913" xr:uid="{00000000-0005-0000-0000-00007E620000}"/>
    <cellStyle name="Normal 37 37 2 2" xfId="38597" xr:uid="{00000000-0005-0000-0000-00007F620000}"/>
    <cellStyle name="Normal 37 37 3" xfId="8914" xr:uid="{00000000-0005-0000-0000-000080620000}"/>
    <cellStyle name="Normal 37 37 3 2" xfId="38598" xr:uid="{00000000-0005-0000-0000-000081620000}"/>
    <cellStyle name="Normal 37 37 4" xfId="8915" xr:uid="{00000000-0005-0000-0000-000082620000}"/>
    <cellStyle name="Normal 37 37 4 2" xfId="38599" xr:uid="{00000000-0005-0000-0000-000083620000}"/>
    <cellStyle name="Normal 37 37 5" xfId="38600" xr:uid="{00000000-0005-0000-0000-000084620000}"/>
    <cellStyle name="Normal 37 37_01-04-2012" xfId="8916" xr:uid="{00000000-0005-0000-0000-000085620000}"/>
    <cellStyle name="Normal 37 38" xfId="8917" xr:uid="{00000000-0005-0000-0000-000086620000}"/>
    <cellStyle name="Normal 37 38 2" xfId="38601" xr:uid="{00000000-0005-0000-0000-000087620000}"/>
    <cellStyle name="Normal 37 39" xfId="8918" xr:uid="{00000000-0005-0000-0000-000088620000}"/>
    <cellStyle name="Normal 37 39 2" xfId="38602" xr:uid="{00000000-0005-0000-0000-000089620000}"/>
    <cellStyle name="Normal 37 4" xfId="8919" xr:uid="{00000000-0005-0000-0000-00008A620000}"/>
    <cellStyle name="Normal 37 4 2" xfId="8920" xr:uid="{00000000-0005-0000-0000-00008B620000}"/>
    <cellStyle name="Normal 37 4 2 2" xfId="38603" xr:uid="{00000000-0005-0000-0000-00008C620000}"/>
    <cellStyle name="Normal 37 4 3" xfId="8921" xr:uid="{00000000-0005-0000-0000-00008D620000}"/>
    <cellStyle name="Normal 37 4 3 2" xfId="38604" xr:uid="{00000000-0005-0000-0000-00008E620000}"/>
    <cellStyle name="Normal 37 4 4" xfId="8922" xr:uid="{00000000-0005-0000-0000-00008F620000}"/>
    <cellStyle name="Normal 37 4 4 2" xfId="38605" xr:uid="{00000000-0005-0000-0000-000090620000}"/>
    <cellStyle name="Normal 37 4 5" xfId="38606" xr:uid="{00000000-0005-0000-0000-000091620000}"/>
    <cellStyle name="Normal 37 4_01-04-2012" xfId="8923" xr:uid="{00000000-0005-0000-0000-000092620000}"/>
    <cellStyle name="Normal 37 40" xfId="8924" xr:uid="{00000000-0005-0000-0000-000093620000}"/>
    <cellStyle name="Normal 37 40 2" xfId="38607" xr:uid="{00000000-0005-0000-0000-000094620000}"/>
    <cellStyle name="Normal 37 41" xfId="20366" xr:uid="{00000000-0005-0000-0000-000095620000}"/>
    <cellStyle name="Normal 37 41 2" xfId="38608" xr:uid="{00000000-0005-0000-0000-000096620000}"/>
    <cellStyle name="Normal 37 42" xfId="20367" xr:uid="{00000000-0005-0000-0000-000097620000}"/>
    <cellStyle name="Normal 37 43" xfId="20368" xr:uid="{00000000-0005-0000-0000-000098620000}"/>
    <cellStyle name="Normal 37 44" xfId="20369" xr:uid="{00000000-0005-0000-0000-000099620000}"/>
    <cellStyle name="Normal 37 45" xfId="20370" xr:uid="{00000000-0005-0000-0000-00009A620000}"/>
    <cellStyle name="Normal 37 46" xfId="20371" xr:uid="{00000000-0005-0000-0000-00009B620000}"/>
    <cellStyle name="Normal 37 47" xfId="33660" xr:uid="{00000000-0005-0000-0000-00009C620000}"/>
    <cellStyle name="Normal 37 5" xfId="8925" xr:uid="{00000000-0005-0000-0000-00009D620000}"/>
    <cellStyle name="Normal 37 5 2" xfId="8926" xr:uid="{00000000-0005-0000-0000-00009E620000}"/>
    <cellStyle name="Normal 37 5 2 2" xfId="38609" xr:uid="{00000000-0005-0000-0000-00009F620000}"/>
    <cellStyle name="Normal 37 5 3" xfId="8927" xr:uid="{00000000-0005-0000-0000-0000A0620000}"/>
    <cellStyle name="Normal 37 5 3 2" xfId="38610" xr:uid="{00000000-0005-0000-0000-0000A1620000}"/>
    <cellStyle name="Normal 37 5 4" xfId="8928" xr:uid="{00000000-0005-0000-0000-0000A2620000}"/>
    <cellStyle name="Normal 37 5 4 2" xfId="38611" xr:uid="{00000000-0005-0000-0000-0000A3620000}"/>
    <cellStyle name="Normal 37 5 5" xfId="38612" xr:uid="{00000000-0005-0000-0000-0000A4620000}"/>
    <cellStyle name="Normal 37 5_01-04-2012" xfId="8929" xr:uid="{00000000-0005-0000-0000-0000A5620000}"/>
    <cellStyle name="Normal 37 6" xfId="8930" xr:uid="{00000000-0005-0000-0000-0000A6620000}"/>
    <cellStyle name="Normal 37 6 2" xfId="8931" xr:uid="{00000000-0005-0000-0000-0000A7620000}"/>
    <cellStyle name="Normal 37 6 2 2" xfId="38613" xr:uid="{00000000-0005-0000-0000-0000A8620000}"/>
    <cellStyle name="Normal 37 6 3" xfId="8932" xr:uid="{00000000-0005-0000-0000-0000A9620000}"/>
    <cellStyle name="Normal 37 6 3 2" xfId="38614" xr:uid="{00000000-0005-0000-0000-0000AA620000}"/>
    <cellStyle name="Normal 37 6 4" xfId="8933" xr:uid="{00000000-0005-0000-0000-0000AB620000}"/>
    <cellStyle name="Normal 37 6 4 2" xfId="38615" xr:uid="{00000000-0005-0000-0000-0000AC620000}"/>
    <cellStyle name="Normal 37 6 5" xfId="38616" xr:uid="{00000000-0005-0000-0000-0000AD620000}"/>
    <cellStyle name="Normal 37 6_01-04-2012" xfId="8934" xr:uid="{00000000-0005-0000-0000-0000AE620000}"/>
    <cellStyle name="Normal 37 7" xfId="8935" xr:uid="{00000000-0005-0000-0000-0000AF620000}"/>
    <cellStyle name="Normal 37 7 2" xfId="8936" xr:uid="{00000000-0005-0000-0000-0000B0620000}"/>
    <cellStyle name="Normal 37 7 2 2" xfId="38617" xr:uid="{00000000-0005-0000-0000-0000B1620000}"/>
    <cellStyle name="Normal 37 7 3" xfId="8937" xr:uid="{00000000-0005-0000-0000-0000B2620000}"/>
    <cellStyle name="Normal 37 7 3 2" xfId="38618" xr:uid="{00000000-0005-0000-0000-0000B3620000}"/>
    <cellStyle name="Normal 37 7 4" xfId="8938" xr:uid="{00000000-0005-0000-0000-0000B4620000}"/>
    <cellStyle name="Normal 37 7 4 2" xfId="38619" xr:uid="{00000000-0005-0000-0000-0000B5620000}"/>
    <cellStyle name="Normal 37 7 5" xfId="38620" xr:uid="{00000000-0005-0000-0000-0000B6620000}"/>
    <cellStyle name="Normal 37 7_01-04-2012" xfId="8939" xr:uid="{00000000-0005-0000-0000-0000B7620000}"/>
    <cellStyle name="Normal 37 8" xfId="8940" xr:uid="{00000000-0005-0000-0000-0000B8620000}"/>
    <cellStyle name="Normal 37 8 2" xfId="8941" xr:uid="{00000000-0005-0000-0000-0000B9620000}"/>
    <cellStyle name="Normal 37 8 2 2" xfId="38621" xr:uid="{00000000-0005-0000-0000-0000BA620000}"/>
    <cellStyle name="Normal 37 8 3" xfId="8942" xr:uid="{00000000-0005-0000-0000-0000BB620000}"/>
    <cellStyle name="Normal 37 8 3 2" xfId="38622" xr:uid="{00000000-0005-0000-0000-0000BC620000}"/>
    <cellStyle name="Normal 37 8 4" xfId="8943" xr:uid="{00000000-0005-0000-0000-0000BD620000}"/>
    <cellStyle name="Normal 37 8 4 2" xfId="38623" xr:uid="{00000000-0005-0000-0000-0000BE620000}"/>
    <cellStyle name="Normal 37 8 5" xfId="38624" xr:uid="{00000000-0005-0000-0000-0000BF620000}"/>
    <cellStyle name="Normal 37 8_01-04-2012" xfId="8944" xr:uid="{00000000-0005-0000-0000-0000C0620000}"/>
    <cellStyle name="Normal 37 9" xfId="8945" xr:uid="{00000000-0005-0000-0000-0000C1620000}"/>
    <cellStyle name="Normal 37 9 2" xfId="8946" xr:uid="{00000000-0005-0000-0000-0000C2620000}"/>
    <cellStyle name="Normal 37 9 2 2" xfId="38625" xr:uid="{00000000-0005-0000-0000-0000C3620000}"/>
    <cellStyle name="Normal 37 9 3" xfId="8947" xr:uid="{00000000-0005-0000-0000-0000C4620000}"/>
    <cellStyle name="Normal 37 9 3 2" xfId="38626" xr:uid="{00000000-0005-0000-0000-0000C5620000}"/>
    <cellStyle name="Normal 37 9 4" xfId="8948" xr:uid="{00000000-0005-0000-0000-0000C6620000}"/>
    <cellStyle name="Normal 37 9 4 2" xfId="38627" xr:uid="{00000000-0005-0000-0000-0000C7620000}"/>
    <cellStyle name="Normal 37 9 5" xfId="38628" xr:uid="{00000000-0005-0000-0000-0000C8620000}"/>
    <cellStyle name="Normal 37 9_01-04-2012" xfId="8949" xr:uid="{00000000-0005-0000-0000-0000C9620000}"/>
    <cellStyle name="Normal 37_01-04-2012" xfId="8950" xr:uid="{00000000-0005-0000-0000-0000CA620000}"/>
    <cellStyle name="Normal 370" xfId="20372" xr:uid="{00000000-0005-0000-0000-0000CB620000}"/>
    <cellStyle name="Normal 371" xfId="20373" xr:uid="{00000000-0005-0000-0000-0000CC620000}"/>
    <cellStyle name="Normal 372" xfId="20374" xr:uid="{00000000-0005-0000-0000-0000CD620000}"/>
    <cellStyle name="Normal 373" xfId="20375" xr:uid="{00000000-0005-0000-0000-0000CE620000}"/>
    <cellStyle name="Normal 374" xfId="20376" xr:uid="{00000000-0005-0000-0000-0000CF620000}"/>
    <cellStyle name="Normal 375" xfId="20377" xr:uid="{00000000-0005-0000-0000-0000D0620000}"/>
    <cellStyle name="Normal 376" xfId="20378" xr:uid="{00000000-0005-0000-0000-0000D1620000}"/>
    <cellStyle name="Normal 377" xfId="20379" xr:uid="{00000000-0005-0000-0000-0000D2620000}"/>
    <cellStyle name="Normal 378" xfId="20380" xr:uid="{00000000-0005-0000-0000-0000D3620000}"/>
    <cellStyle name="Normal 379" xfId="20381" xr:uid="{00000000-0005-0000-0000-0000D4620000}"/>
    <cellStyle name="Normal 38" xfId="8951" xr:uid="{00000000-0005-0000-0000-0000D5620000}"/>
    <cellStyle name="Normal 38 10" xfId="8952" xr:uid="{00000000-0005-0000-0000-0000D6620000}"/>
    <cellStyle name="Normal 38 10 2" xfId="8953" xr:uid="{00000000-0005-0000-0000-0000D7620000}"/>
    <cellStyle name="Normal 38 10 2 2" xfId="38629" xr:uid="{00000000-0005-0000-0000-0000D8620000}"/>
    <cellStyle name="Normal 38 10 3" xfId="8954" xr:uid="{00000000-0005-0000-0000-0000D9620000}"/>
    <cellStyle name="Normal 38 10 3 2" xfId="38630" xr:uid="{00000000-0005-0000-0000-0000DA620000}"/>
    <cellStyle name="Normal 38 10 4" xfId="8955" xr:uid="{00000000-0005-0000-0000-0000DB620000}"/>
    <cellStyle name="Normal 38 10 4 2" xfId="38631" xr:uid="{00000000-0005-0000-0000-0000DC620000}"/>
    <cellStyle name="Normal 38 10 5" xfId="38632" xr:uid="{00000000-0005-0000-0000-0000DD620000}"/>
    <cellStyle name="Normal 38 10_01-04-2012" xfId="8956" xr:uid="{00000000-0005-0000-0000-0000DE620000}"/>
    <cellStyle name="Normal 38 11" xfId="8957" xr:uid="{00000000-0005-0000-0000-0000DF620000}"/>
    <cellStyle name="Normal 38 11 2" xfId="8958" xr:uid="{00000000-0005-0000-0000-0000E0620000}"/>
    <cellStyle name="Normal 38 11 2 2" xfId="38633" xr:uid="{00000000-0005-0000-0000-0000E1620000}"/>
    <cellStyle name="Normal 38 11 3" xfId="8959" xr:uid="{00000000-0005-0000-0000-0000E2620000}"/>
    <cellStyle name="Normal 38 11 3 2" xfId="38634" xr:uid="{00000000-0005-0000-0000-0000E3620000}"/>
    <cellStyle name="Normal 38 11 4" xfId="8960" xr:uid="{00000000-0005-0000-0000-0000E4620000}"/>
    <cellStyle name="Normal 38 11 4 2" xfId="38635" xr:uid="{00000000-0005-0000-0000-0000E5620000}"/>
    <cellStyle name="Normal 38 11 5" xfId="38636" xr:uid="{00000000-0005-0000-0000-0000E6620000}"/>
    <cellStyle name="Normal 38 11_01-04-2012" xfId="8961" xr:uid="{00000000-0005-0000-0000-0000E7620000}"/>
    <cellStyle name="Normal 38 12" xfId="8962" xr:uid="{00000000-0005-0000-0000-0000E8620000}"/>
    <cellStyle name="Normal 38 12 2" xfId="8963" xr:uid="{00000000-0005-0000-0000-0000E9620000}"/>
    <cellStyle name="Normal 38 12 2 2" xfId="38637" xr:uid="{00000000-0005-0000-0000-0000EA620000}"/>
    <cellStyle name="Normal 38 12 3" xfId="8964" xr:uid="{00000000-0005-0000-0000-0000EB620000}"/>
    <cellStyle name="Normal 38 12 3 2" xfId="38638" xr:uid="{00000000-0005-0000-0000-0000EC620000}"/>
    <cellStyle name="Normal 38 12 4" xfId="8965" xr:uid="{00000000-0005-0000-0000-0000ED620000}"/>
    <cellStyle name="Normal 38 12 4 2" xfId="38639" xr:uid="{00000000-0005-0000-0000-0000EE620000}"/>
    <cellStyle name="Normal 38 12 5" xfId="38640" xr:uid="{00000000-0005-0000-0000-0000EF620000}"/>
    <cellStyle name="Normal 38 12_01-04-2012" xfId="8966" xr:uid="{00000000-0005-0000-0000-0000F0620000}"/>
    <cellStyle name="Normal 38 13" xfId="8967" xr:uid="{00000000-0005-0000-0000-0000F1620000}"/>
    <cellStyle name="Normal 38 13 2" xfId="8968" xr:uid="{00000000-0005-0000-0000-0000F2620000}"/>
    <cellStyle name="Normal 38 13 2 2" xfId="38641" xr:uid="{00000000-0005-0000-0000-0000F3620000}"/>
    <cellStyle name="Normal 38 13 3" xfId="8969" xr:uid="{00000000-0005-0000-0000-0000F4620000}"/>
    <cellStyle name="Normal 38 13 3 2" xfId="38642" xr:uid="{00000000-0005-0000-0000-0000F5620000}"/>
    <cellStyle name="Normal 38 13 4" xfId="8970" xr:uid="{00000000-0005-0000-0000-0000F6620000}"/>
    <cellStyle name="Normal 38 13 4 2" xfId="38643" xr:uid="{00000000-0005-0000-0000-0000F7620000}"/>
    <cellStyle name="Normal 38 13 5" xfId="38644" xr:uid="{00000000-0005-0000-0000-0000F8620000}"/>
    <cellStyle name="Normal 38 13_01-04-2012" xfId="8971" xr:uid="{00000000-0005-0000-0000-0000F9620000}"/>
    <cellStyle name="Normal 38 14" xfId="8972" xr:uid="{00000000-0005-0000-0000-0000FA620000}"/>
    <cellStyle name="Normal 38 14 2" xfId="8973" xr:uid="{00000000-0005-0000-0000-0000FB620000}"/>
    <cellStyle name="Normal 38 14 2 2" xfId="38645" xr:uid="{00000000-0005-0000-0000-0000FC620000}"/>
    <cellStyle name="Normal 38 14 3" xfId="8974" xr:uid="{00000000-0005-0000-0000-0000FD620000}"/>
    <cellStyle name="Normal 38 14 3 2" xfId="38646" xr:uid="{00000000-0005-0000-0000-0000FE620000}"/>
    <cellStyle name="Normal 38 14 4" xfId="8975" xr:uid="{00000000-0005-0000-0000-0000FF620000}"/>
    <cellStyle name="Normal 38 14 4 2" xfId="38647" xr:uid="{00000000-0005-0000-0000-000000630000}"/>
    <cellStyle name="Normal 38 14 5" xfId="38648" xr:uid="{00000000-0005-0000-0000-000001630000}"/>
    <cellStyle name="Normal 38 14_01-04-2012" xfId="8976" xr:uid="{00000000-0005-0000-0000-000002630000}"/>
    <cellStyle name="Normal 38 15" xfId="8977" xr:uid="{00000000-0005-0000-0000-000003630000}"/>
    <cellStyle name="Normal 38 15 2" xfId="8978" xr:uid="{00000000-0005-0000-0000-000004630000}"/>
    <cellStyle name="Normal 38 15 2 2" xfId="38649" xr:uid="{00000000-0005-0000-0000-000005630000}"/>
    <cellStyle name="Normal 38 15 3" xfId="8979" xr:uid="{00000000-0005-0000-0000-000006630000}"/>
    <cellStyle name="Normal 38 15 3 2" xfId="38650" xr:uid="{00000000-0005-0000-0000-000007630000}"/>
    <cellStyle name="Normal 38 15 4" xfId="8980" xr:uid="{00000000-0005-0000-0000-000008630000}"/>
    <cellStyle name="Normal 38 15 4 2" xfId="38651" xr:uid="{00000000-0005-0000-0000-000009630000}"/>
    <cellStyle name="Normal 38 15 5" xfId="38652" xr:uid="{00000000-0005-0000-0000-00000A630000}"/>
    <cellStyle name="Normal 38 15_01-04-2012" xfId="8981" xr:uid="{00000000-0005-0000-0000-00000B630000}"/>
    <cellStyle name="Normal 38 16" xfId="8982" xr:uid="{00000000-0005-0000-0000-00000C630000}"/>
    <cellStyle name="Normal 38 16 2" xfId="8983" xr:uid="{00000000-0005-0000-0000-00000D630000}"/>
    <cellStyle name="Normal 38 16 2 2" xfId="38653" xr:uid="{00000000-0005-0000-0000-00000E630000}"/>
    <cellStyle name="Normal 38 16 3" xfId="8984" xr:uid="{00000000-0005-0000-0000-00000F630000}"/>
    <cellStyle name="Normal 38 16 3 2" xfId="38654" xr:uid="{00000000-0005-0000-0000-000010630000}"/>
    <cellStyle name="Normal 38 16 4" xfId="8985" xr:uid="{00000000-0005-0000-0000-000011630000}"/>
    <cellStyle name="Normal 38 16 4 2" xfId="38655" xr:uid="{00000000-0005-0000-0000-000012630000}"/>
    <cellStyle name="Normal 38 16 5" xfId="38656" xr:uid="{00000000-0005-0000-0000-000013630000}"/>
    <cellStyle name="Normal 38 16_01-04-2012" xfId="8986" xr:uid="{00000000-0005-0000-0000-000014630000}"/>
    <cellStyle name="Normal 38 17" xfId="8987" xr:uid="{00000000-0005-0000-0000-000015630000}"/>
    <cellStyle name="Normal 38 17 2" xfId="8988" xr:uid="{00000000-0005-0000-0000-000016630000}"/>
    <cellStyle name="Normal 38 17 2 2" xfId="38657" xr:uid="{00000000-0005-0000-0000-000017630000}"/>
    <cellStyle name="Normal 38 17 3" xfId="8989" xr:uid="{00000000-0005-0000-0000-000018630000}"/>
    <cellStyle name="Normal 38 17 3 2" xfId="38658" xr:uid="{00000000-0005-0000-0000-000019630000}"/>
    <cellStyle name="Normal 38 17 4" xfId="8990" xr:uid="{00000000-0005-0000-0000-00001A630000}"/>
    <cellStyle name="Normal 38 17 4 2" xfId="38659" xr:uid="{00000000-0005-0000-0000-00001B630000}"/>
    <cellStyle name="Normal 38 17 5" xfId="38660" xr:uid="{00000000-0005-0000-0000-00001C630000}"/>
    <cellStyle name="Normal 38 17_01-04-2012" xfId="8991" xr:uid="{00000000-0005-0000-0000-00001D630000}"/>
    <cellStyle name="Normal 38 18" xfId="8992" xr:uid="{00000000-0005-0000-0000-00001E630000}"/>
    <cellStyle name="Normal 38 18 2" xfId="8993" xr:uid="{00000000-0005-0000-0000-00001F630000}"/>
    <cellStyle name="Normal 38 18 2 2" xfId="38661" xr:uid="{00000000-0005-0000-0000-000020630000}"/>
    <cellStyle name="Normal 38 18 3" xfId="8994" xr:uid="{00000000-0005-0000-0000-000021630000}"/>
    <cellStyle name="Normal 38 18 3 2" xfId="38662" xr:uid="{00000000-0005-0000-0000-000022630000}"/>
    <cellStyle name="Normal 38 18 4" xfId="8995" xr:uid="{00000000-0005-0000-0000-000023630000}"/>
    <cellStyle name="Normal 38 18 4 2" xfId="38663" xr:uid="{00000000-0005-0000-0000-000024630000}"/>
    <cellStyle name="Normal 38 18 5" xfId="38664" xr:uid="{00000000-0005-0000-0000-000025630000}"/>
    <cellStyle name="Normal 38 18_01-04-2012" xfId="8996" xr:uid="{00000000-0005-0000-0000-000026630000}"/>
    <cellStyle name="Normal 38 19" xfId="8997" xr:uid="{00000000-0005-0000-0000-000027630000}"/>
    <cellStyle name="Normal 38 19 2" xfId="8998" xr:uid="{00000000-0005-0000-0000-000028630000}"/>
    <cellStyle name="Normal 38 19 2 2" xfId="38665" xr:uid="{00000000-0005-0000-0000-000029630000}"/>
    <cellStyle name="Normal 38 19 3" xfId="8999" xr:uid="{00000000-0005-0000-0000-00002A630000}"/>
    <cellStyle name="Normal 38 19 3 2" xfId="38666" xr:uid="{00000000-0005-0000-0000-00002B630000}"/>
    <cellStyle name="Normal 38 19 4" xfId="9000" xr:uid="{00000000-0005-0000-0000-00002C630000}"/>
    <cellStyle name="Normal 38 19 4 2" xfId="38667" xr:uid="{00000000-0005-0000-0000-00002D630000}"/>
    <cellStyle name="Normal 38 19 5" xfId="38668" xr:uid="{00000000-0005-0000-0000-00002E630000}"/>
    <cellStyle name="Normal 38 19_01-04-2012" xfId="9001" xr:uid="{00000000-0005-0000-0000-00002F630000}"/>
    <cellStyle name="Normal 38 2" xfId="9002" xr:uid="{00000000-0005-0000-0000-000030630000}"/>
    <cellStyle name="Normal 38 2 2" xfId="9003" xr:uid="{00000000-0005-0000-0000-000031630000}"/>
    <cellStyle name="Normal 38 2 2 2" xfId="33663" xr:uid="{00000000-0005-0000-0000-000032630000}"/>
    <cellStyle name="Normal 38 2 2 2 2" xfId="38669" xr:uid="{00000000-0005-0000-0000-000033630000}"/>
    <cellStyle name="Normal 38 2 3" xfId="9004" xr:uid="{00000000-0005-0000-0000-000034630000}"/>
    <cellStyle name="Normal 38 2 3 2" xfId="38670" xr:uid="{00000000-0005-0000-0000-000035630000}"/>
    <cellStyle name="Normal 38 2 4" xfId="9005" xr:uid="{00000000-0005-0000-0000-000036630000}"/>
    <cellStyle name="Normal 38 2 4 2" xfId="38671" xr:uid="{00000000-0005-0000-0000-000037630000}"/>
    <cellStyle name="Normal 38 2 5" xfId="20382" xr:uid="{00000000-0005-0000-0000-000038630000}"/>
    <cellStyle name="Normal 38 2 5 2" xfId="38672" xr:uid="{00000000-0005-0000-0000-000039630000}"/>
    <cellStyle name="Normal 38 2_01-04-2012" xfId="9006" xr:uid="{00000000-0005-0000-0000-00003A630000}"/>
    <cellStyle name="Normal 38 20" xfId="9007" xr:uid="{00000000-0005-0000-0000-00003B630000}"/>
    <cellStyle name="Normal 38 20 2" xfId="9008" xr:uid="{00000000-0005-0000-0000-00003C630000}"/>
    <cellStyle name="Normal 38 20 2 2" xfId="38673" xr:uid="{00000000-0005-0000-0000-00003D630000}"/>
    <cellStyle name="Normal 38 20 3" xfId="9009" xr:uid="{00000000-0005-0000-0000-00003E630000}"/>
    <cellStyle name="Normal 38 20 3 2" xfId="38674" xr:uid="{00000000-0005-0000-0000-00003F630000}"/>
    <cellStyle name="Normal 38 20 4" xfId="9010" xr:uid="{00000000-0005-0000-0000-000040630000}"/>
    <cellStyle name="Normal 38 20 4 2" xfId="38675" xr:uid="{00000000-0005-0000-0000-000041630000}"/>
    <cellStyle name="Normal 38 20 5" xfId="38676" xr:uid="{00000000-0005-0000-0000-000042630000}"/>
    <cellStyle name="Normal 38 20_01-04-2012" xfId="9011" xr:uid="{00000000-0005-0000-0000-000043630000}"/>
    <cellStyle name="Normal 38 21" xfId="9012" xr:uid="{00000000-0005-0000-0000-000044630000}"/>
    <cellStyle name="Normal 38 21 2" xfId="9013" xr:uid="{00000000-0005-0000-0000-000045630000}"/>
    <cellStyle name="Normal 38 21 2 2" xfId="38677" xr:uid="{00000000-0005-0000-0000-000046630000}"/>
    <cellStyle name="Normal 38 21 3" xfId="9014" xr:uid="{00000000-0005-0000-0000-000047630000}"/>
    <cellStyle name="Normal 38 21 3 2" xfId="38678" xr:uid="{00000000-0005-0000-0000-000048630000}"/>
    <cellStyle name="Normal 38 21 4" xfId="9015" xr:uid="{00000000-0005-0000-0000-000049630000}"/>
    <cellStyle name="Normal 38 21 4 2" xfId="38679" xr:uid="{00000000-0005-0000-0000-00004A630000}"/>
    <cellStyle name="Normal 38 21 5" xfId="38680" xr:uid="{00000000-0005-0000-0000-00004B630000}"/>
    <cellStyle name="Normal 38 21_01-04-2012" xfId="9016" xr:uid="{00000000-0005-0000-0000-00004C630000}"/>
    <cellStyle name="Normal 38 22" xfId="9017" xr:uid="{00000000-0005-0000-0000-00004D630000}"/>
    <cellStyle name="Normal 38 22 2" xfId="9018" xr:uid="{00000000-0005-0000-0000-00004E630000}"/>
    <cellStyle name="Normal 38 22 2 2" xfId="38681" xr:uid="{00000000-0005-0000-0000-00004F630000}"/>
    <cellStyle name="Normal 38 22 3" xfId="9019" xr:uid="{00000000-0005-0000-0000-000050630000}"/>
    <cellStyle name="Normal 38 22 3 2" xfId="38682" xr:uid="{00000000-0005-0000-0000-000051630000}"/>
    <cellStyle name="Normal 38 22 4" xfId="9020" xr:uid="{00000000-0005-0000-0000-000052630000}"/>
    <cellStyle name="Normal 38 22 4 2" xfId="38683" xr:uid="{00000000-0005-0000-0000-000053630000}"/>
    <cellStyle name="Normal 38 22 5" xfId="38684" xr:uid="{00000000-0005-0000-0000-000054630000}"/>
    <cellStyle name="Normal 38 22_01-04-2012" xfId="9021" xr:uid="{00000000-0005-0000-0000-000055630000}"/>
    <cellStyle name="Normal 38 23" xfId="9022" xr:uid="{00000000-0005-0000-0000-000056630000}"/>
    <cellStyle name="Normal 38 23 2" xfId="9023" xr:uid="{00000000-0005-0000-0000-000057630000}"/>
    <cellStyle name="Normal 38 23 2 2" xfId="38685" xr:uid="{00000000-0005-0000-0000-000058630000}"/>
    <cellStyle name="Normal 38 23 3" xfId="9024" xr:uid="{00000000-0005-0000-0000-000059630000}"/>
    <cellStyle name="Normal 38 23 3 2" xfId="38686" xr:uid="{00000000-0005-0000-0000-00005A630000}"/>
    <cellStyle name="Normal 38 23 4" xfId="9025" xr:uid="{00000000-0005-0000-0000-00005B630000}"/>
    <cellStyle name="Normal 38 23 4 2" xfId="38687" xr:uid="{00000000-0005-0000-0000-00005C630000}"/>
    <cellStyle name="Normal 38 23 5" xfId="38688" xr:uid="{00000000-0005-0000-0000-00005D630000}"/>
    <cellStyle name="Normal 38 23_01-04-2012" xfId="9026" xr:uid="{00000000-0005-0000-0000-00005E630000}"/>
    <cellStyle name="Normal 38 24" xfId="9027" xr:uid="{00000000-0005-0000-0000-00005F630000}"/>
    <cellStyle name="Normal 38 24 2" xfId="9028" xr:uid="{00000000-0005-0000-0000-000060630000}"/>
    <cellStyle name="Normal 38 24 2 2" xfId="38689" xr:uid="{00000000-0005-0000-0000-000061630000}"/>
    <cellStyle name="Normal 38 24 3" xfId="9029" xr:uid="{00000000-0005-0000-0000-000062630000}"/>
    <cellStyle name="Normal 38 24 3 2" xfId="38690" xr:uid="{00000000-0005-0000-0000-000063630000}"/>
    <cellStyle name="Normal 38 24 4" xfId="9030" xr:uid="{00000000-0005-0000-0000-000064630000}"/>
    <cellStyle name="Normal 38 24 4 2" xfId="38691" xr:uid="{00000000-0005-0000-0000-000065630000}"/>
    <cellStyle name="Normal 38 24 5" xfId="38692" xr:uid="{00000000-0005-0000-0000-000066630000}"/>
    <cellStyle name="Normal 38 24_01-04-2012" xfId="9031" xr:uid="{00000000-0005-0000-0000-000067630000}"/>
    <cellStyle name="Normal 38 25" xfId="9032" xr:uid="{00000000-0005-0000-0000-000068630000}"/>
    <cellStyle name="Normal 38 25 2" xfId="9033" xr:uid="{00000000-0005-0000-0000-000069630000}"/>
    <cellStyle name="Normal 38 25 2 2" xfId="38693" xr:uid="{00000000-0005-0000-0000-00006A630000}"/>
    <cellStyle name="Normal 38 25 3" xfId="9034" xr:uid="{00000000-0005-0000-0000-00006B630000}"/>
    <cellStyle name="Normal 38 25 3 2" xfId="38694" xr:uid="{00000000-0005-0000-0000-00006C630000}"/>
    <cellStyle name="Normal 38 25 4" xfId="9035" xr:uid="{00000000-0005-0000-0000-00006D630000}"/>
    <cellStyle name="Normal 38 25 4 2" xfId="38695" xr:uid="{00000000-0005-0000-0000-00006E630000}"/>
    <cellStyle name="Normal 38 25 5" xfId="38696" xr:uid="{00000000-0005-0000-0000-00006F630000}"/>
    <cellStyle name="Normal 38 25_01-04-2012" xfId="9036" xr:uid="{00000000-0005-0000-0000-000070630000}"/>
    <cellStyle name="Normal 38 26" xfId="9037" xr:uid="{00000000-0005-0000-0000-000071630000}"/>
    <cellStyle name="Normal 38 26 2" xfId="9038" xr:uid="{00000000-0005-0000-0000-000072630000}"/>
    <cellStyle name="Normal 38 26 2 2" xfId="38697" xr:uid="{00000000-0005-0000-0000-000073630000}"/>
    <cellStyle name="Normal 38 26 3" xfId="9039" xr:uid="{00000000-0005-0000-0000-000074630000}"/>
    <cellStyle name="Normal 38 26 3 2" xfId="38698" xr:uid="{00000000-0005-0000-0000-000075630000}"/>
    <cellStyle name="Normal 38 26 4" xfId="9040" xr:uid="{00000000-0005-0000-0000-000076630000}"/>
    <cellStyle name="Normal 38 26 4 2" xfId="38699" xr:uid="{00000000-0005-0000-0000-000077630000}"/>
    <cellStyle name="Normal 38 26 5" xfId="38700" xr:uid="{00000000-0005-0000-0000-000078630000}"/>
    <cellStyle name="Normal 38 26_01-04-2012" xfId="9041" xr:uid="{00000000-0005-0000-0000-000079630000}"/>
    <cellStyle name="Normal 38 27" xfId="9042" xr:uid="{00000000-0005-0000-0000-00007A630000}"/>
    <cellStyle name="Normal 38 27 2" xfId="9043" xr:uid="{00000000-0005-0000-0000-00007B630000}"/>
    <cellStyle name="Normal 38 27 2 2" xfId="38701" xr:uid="{00000000-0005-0000-0000-00007C630000}"/>
    <cellStyle name="Normal 38 27 3" xfId="9044" xr:uid="{00000000-0005-0000-0000-00007D630000}"/>
    <cellStyle name="Normal 38 27 3 2" xfId="38702" xr:uid="{00000000-0005-0000-0000-00007E630000}"/>
    <cellStyle name="Normal 38 27 4" xfId="9045" xr:uid="{00000000-0005-0000-0000-00007F630000}"/>
    <cellStyle name="Normal 38 27 4 2" xfId="38703" xr:uid="{00000000-0005-0000-0000-000080630000}"/>
    <cellStyle name="Normal 38 27 5" xfId="38704" xr:uid="{00000000-0005-0000-0000-000081630000}"/>
    <cellStyle name="Normal 38 27_01-04-2012" xfId="9046" xr:uid="{00000000-0005-0000-0000-000082630000}"/>
    <cellStyle name="Normal 38 28" xfId="9047" xr:uid="{00000000-0005-0000-0000-000083630000}"/>
    <cellStyle name="Normal 38 28 2" xfId="9048" xr:uid="{00000000-0005-0000-0000-000084630000}"/>
    <cellStyle name="Normal 38 28 2 2" xfId="38705" xr:uid="{00000000-0005-0000-0000-000085630000}"/>
    <cellStyle name="Normal 38 28 3" xfId="9049" xr:uid="{00000000-0005-0000-0000-000086630000}"/>
    <cellStyle name="Normal 38 28 3 2" xfId="38706" xr:uid="{00000000-0005-0000-0000-000087630000}"/>
    <cellStyle name="Normal 38 28 4" xfId="9050" xr:uid="{00000000-0005-0000-0000-000088630000}"/>
    <cellStyle name="Normal 38 28 4 2" xfId="38707" xr:uid="{00000000-0005-0000-0000-000089630000}"/>
    <cellStyle name="Normal 38 28 5" xfId="38708" xr:uid="{00000000-0005-0000-0000-00008A630000}"/>
    <cellStyle name="Normal 38 28_01-04-2012" xfId="9051" xr:uid="{00000000-0005-0000-0000-00008B630000}"/>
    <cellStyle name="Normal 38 29" xfId="9052" xr:uid="{00000000-0005-0000-0000-00008C630000}"/>
    <cellStyle name="Normal 38 29 2" xfId="9053" xr:uid="{00000000-0005-0000-0000-00008D630000}"/>
    <cellStyle name="Normal 38 29 2 2" xfId="38709" xr:uid="{00000000-0005-0000-0000-00008E630000}"/>
    <cellStyle name="Normal 38 29 3" xfId="9054" xr:uid="{00000000-0005-0000-0000-00008F630000}"/>
    <cellStyle name="Normal 38 29 3 2" xfId="38710" xr:uid="{00000000-0005-0000-0000-000090630000}"/>
    <cellStyle name="Normal 38 29 4" xfId="9055" xr:uid="{00000000-0005-0000-0000-000091630000}"/>
    <cellStyle name="Normal 38 29 4 2" xfId="38711" xr:uid="{00000000-0005-0000-0000-000092630000}"/>
    <cellStyle name="Normal 38 29 5" xfId="38712" xr:uid="{00000000-0005-0000-0000-000093630000}"/>
    <cellStyle name="Normal 38 29_01-04-2012" xfId="9056" xr:uid="{00000000-0005-0000-0000-000094630000}"/>
    <cellStyle name="Normal 38 3" xfId="9057" xr:uid="{00000000-0005-0000-0000-000095630000}"/>
    <cellStyle name="Normal 38 3 2" xfId="9058" xr:uid="{00000000-0005-0000-0000-000096630000}"/>
    <cellStyle name="Normal 38 3 2 2" xfId="38713" xr:uid="{00000000-0005-0000-0000-000097630000}"/>
    <cellStyle name="Normal 38 3 3" xfId="9059" xr:uid="{00000000-0005-0000-0000-000098630000}"/>
    <cellStyle name="Normal 38 3 3 2" xfId="38714" xr:uid="{00000000-0005-0000-0000-000099630000}"/>
    <cellStyle name="Normal 38 3 4" xfId="9060" xr:uid="{00000000-0005-0000-0000-00009A630000}"/>
    <cellStyle name="Normal 38 3 4 2" xfId="38715" xr:uid="{00000000-0005-0000-0000-00009B630000}"/>
    <cellStyle name="Normal 38 3 5" xfId="20383" xr:uid="{00000000-0005-0000-0000-00009C630000}"/>
    <cellStyle name="Normal 38 3 5 2" xfId="38716" xr:uid="{00000000-0005-0000-0000-00009D630000}"/>
    <cellStyle name="Normal 38 3_01-04-2012" xfId="9061" xr:uid="{00000000-0005-0000-0000-00009E630000}"/>
    <cellStyle name="Normal 38 30" xfId="9062" xr:uid="{00000000-0005-0000-0000-00009F630000}"/>
    <cellStyle name="Normal 38 30 2" xfId="9063" xr:uid="{00000000-0005-0000-0000-0000A0630000}"/>
    <cellStyle name="Normal 38 30 2 2" xfId="38717" xr:uid="{00000000-0005-0000-0000-0000A1630000}"/>
    <cellStyle name="Normal 38 30 3" xfId="9064" xr:uid="{00000000-0005-0000-0000-0000A2630000}"/>
    <cellStyle name="Normal 38 30 3 2" xfId="38718" xr:uid="{00000000-0005-0000-0000-0000A3630000}"/>
    <cellStyle name="Normal 38 30 4" xfId="9065" xr:uid="{00000000-0005-0000-0000-0000A4630000}"/>
    <cellStyle name="Normal 38 30 4 2" xfId="38719" xr:uid="{00000000-0005-0000-0000-0000A5630000}"/>
    <cellStyle name="Normal 38 30 5" xfId="38720" xr:uid="{00000000-0005-0000-0000-0000A6630000}"/>
    <cellStyle name="Normal 38 30_01-04-2012" xfId="9066" xr:uid="{00000000-0005-0000-0000-0000A7630000}"/>
    <cellStyle name="Normal 38 31" xfId="9067" xr:uid="{00000000-0005-0000-0000-0000A8630000}"/>
    <cellStyle name="Normal 38 31 2" xfId="9068" xr:uid="{00000000-0005-0000-0000-0000A9630000}"/>
    <cellStyle name="Normal 38 31 2 2" xfId="38721" xr:uid="{00000000-0005-0000-0000-0000AA630000}"/>
    <cellStyle name="Normal 38 31 3" xfId="9069" xr:uid="{00000000-0005-0000-0000-0000AB630000}"/>
    <cellStyle name="Normal 38 31 3 2" xfId="38722" xr:uid="{00000000-0005-0000-0000-0000AC630000}"/>
    <cellStyle name="Normal 38 31 4" xfId="9070" xr:uid="{00000000-0005-0000-0000-0000AD630000}"/>
    <cellStyle name="Normal 38 31 4 2" xfId="38723" xr:uid="{00000000-0005-0000-0000-0000AE630000}"/>
    <cellStyle name="Normal 38 31 5" xfId="38724" xr:uid="{00000000-0005-0000-0000-0000AF630000}"/>
    <cellStyle name="Normal 38 31_01-04-2012" xfId="9071" xr:uid="{00000000-0005-0000-0000-0000B0630000}"/>
    <cellStyle name="Normal 38 32" xfId="9072" xr:uid="{00000000-0005-0000-0000-0000B1630000}"/>
    <cellStyle name="Normal 38 32 2" xfId="9073" xr:uid="{00000000-0005-0000-0000-0000B2630000}"/>
    <cellStyle name="Normal 38 32 2 2" xfId="38725" xr:uid="{00000000-0005-0000-0000-0000B3630000}"/>
    <cellStyle name="Normal 38 32 3" xfId="9074" xr:uid="{00000000-0005-0000-0000-0000B4630000}"/>
    <cellStyle name="Normal 38 32 3 2" xfId="38726" xr:uid="{00000000-0005-0000-0000-0000B5630000}"/>
    <cellStyle name="Normal 38 32 4" xfId="9075" xr:uid="{00000000-0005-0000-0000-0000B6630000}"/>
    <cellStyle name="Normal 38 32 4 2" xfId="38727" xr:uid="{00000000-0005-0000-0000-0000B7630000}"/>
    <cellStyle name="Normal 38 32 5" xfId="38728" xr:uid="{00000000-0005-0000-0000-0000B8630000}"/>
    <cellStyle name="Normal 38 32_01-04-2012" xfId="9076" xr:uid="{00000000-0005-0000-0000-0000B9630000}"/>
    <cellStyle name="Normal 38 33" xfId="9077" xr:uid="{00000000-0005-0000-0000-0000BA630000}"/>
    <cellStyle name="Normal 38 33 2" xfId="9078" xr:uid="{00000000-0005-0000-0000-0000BB630000}"/>
    <cellStyle name="Normal 38 33 2 2" xfId="38729" xr:uid="{00000000-0005-0000-0000-0000BC630000}"/>
    <cellStyle name="Normal 38 33 3" xfId="9079" xr:uid="{00000000-0005-0000-0000-0000BD630000}"/>
    <cellStyle name="Normal 38 33 3 2" xfId="38730" xr:uid="{00000000-0005-0000-0000-0000BE630000}"/>
    <cellStyle name="Normal 38 33 4" xfId="9080" xr:uid="{00000000-0005-0000-0000-0000BF630000}"/>
    <cellStyle name="Normal 38 33 4 2" xfId="38731" xr:uid="{00000000-0005-0000-0000-0000C0630000}"/>
    <cellStyle name="Normal 38 33 5" xfId="38732" xr:uid="{00000000-0005-0000-0000-0000C1630000}"/>
    <cellStyle name="Normal 38 33_01-04-2012" xfId="9081" xr:uid="{00000000-0005-0000-0000-0000C2630000}"/>
    <cellStyle name="Normal 38 34" xfId="9082" xr:uid="{00000000-0005-0000-0000-0000C3630000}"/>
    <cellStyle name="Normal 38 34 2" xfId="9083" xr:uid="{00000000-0005-0000-0000-0000C4630000}"/>
    <cellStyle name="Normal 38 34 2 2" xfId="38733" xr:uid="{00000000-0005-0000-0000-0000C5630000}"/>
    <cellStyle name="Normal 38 34 3" xfId="9084" xr:uid="{00000000-0005-0000-0000-0000C6630000}"/>
    <cellStyle name="Normal 38 34 3 2" xfId="38734" xr:uid="{00000000-0005-0000-0000-0000C7630000}"/>
    <cellStyle name="Normal 38 34 4" xfId="9085" xr:uid="{00000000-0005-0000-0000-0000C8630000}"/>
    <cellStyle name="Normal 38 34 4 2" xfId="38735" xr:uid="{00000000-0005-0000-0000-0000C9630000}"/>
    <cellStyle name="Normal 38 34 5" xfId="38736" xr:uid="{00000000-0005-0000-0000-0000CA630000}"/>
    <cellStyle name="Normal 38 34_01-04-2012" xfId="9086" xr:uid="{00000000-0005-0000-0000-0000CB630000}"/>
    <cellStyle name="Normal 38 35" xfId="9087" xr:uid="{00000000-0005-0000-0000-0000CC630000}"/>
    <cellStyle name="Normal 38 35 2" xfId="9088" xr:uid="{00000000-0005-0000-0000-0000CD630000}"/>
    <cellStyle name="Normal 38 35 2 2" xfId="38737" xr:uid="{00000000-0005-0000-0000-0000CE630000}"/>
    <cellStyle name="Normal 38 35 3" xfId="9089" xr:uid="{00000000-0005-0000-0000-0000CF630000}"/>
    <cellStyle name="Normal 38 35 3 2" xfId="38738" xr:uid="{00000000-0005-0000-0000-0000D0630000}"/>
    <cellStyle name="Normal 38 35 4" xfId="9090" xr:uid="{00000000-0005-0000-0000-0000D1630000}"/>
    <cellStyle name="Normal 38 35 4 2" xfId="38739" xr:uid="{00000000-0005-0000-0000-0000D2630000}"/>
    <cellStyle name="Normal 38 35 5" xfId="38740" xr:uid="{00000000-0005-0000-0000-0000D3630000}"/>
    <cellStyle name="Normal 38 35_01-04-2012" xfId="9091" xr:uid="{00000000-0005-0000-0000-0000D4630000}"/>
    <cellStyle name="Normal 38 36" xfId="9092" xr:uid="{00000000-0005-0000-0000-0000D5630000}"/>
    <cellStyle name="Normal 38 36 2" xfId="9093" xr:uid="{00000000-0005-0000-0000-0000D6630000}"/>
    <cellStyle name="Normal 38 36 2 2" xfId="38741" xr:uid="{00000000-0005-0000-0000-0000D7630000}"/>
    <cellStyle name="Normal 38 36 3" xfId="9094" xr:uid="{00000000-0005-0000-0000-0000D8630000}"/>
    <cellStyle name="Normal 38 36 3 2" xfId="38742" xr:uid="{00000000-0005-0000-0000-0000D9630000}"/>
    <cellStyle name="Normal 38 36 4" xfId="9095" xr:uid="{00000000-0005-0000-0000-0000DA630000}"/>
    <cellStyle name="Normal 38 36 4 2" xfId="38743" xr:uid="{00000000-0005-0000-0000-0000DB630000}"/>
    <cellStyle name="Normal 38 36 5" xfId="38744" xr:uid="{00000000-0005-0000-0000-0000DC630000}"/>
    <cellStyle name="Normal 38 36_01-04-2012" xfId="9096" xr:uid="{00000000-0005-0000-0000-0000DD630000}"/>
    <cellStyle name="Normal 38 37" xfId="9097" xr:uid="{00000000-0005-0000-0000-0000DE630000}"/>
    <cellStyle name="Normal 38 37 2" xfId="9098" xr:uid="{00000000-0005-0000-0000-0000DF630000}"/>
    <cellStyle name="Normal 38 37 2 2" xfId="38745" xr:uid="{00000000-0005-0000-0000-0000E0630000}"/>
    <cellStyle name="Normal 38 37 3" xfId="9099" xr:uid="{00000000-0005-0000-0000-0000E1630000}"/>
    <cellStyle name="Normal 38 37 3 2" xfId="38746" xr:uid="{00000000-0005-0000-0000-0000E2630000}"/>
    <cellStyle name="Normal 38 37 4" xfId="9100" xr:uid="{00000000-0005-0000-0000-0000E3630000}"/>
    <cellStyle name="Normal 38 37 4 2" xfId="38747" xr:uid="{00000000-0005-0000-0000-0000E4630000}"/>
    <cellStyle name="Normal 38 37 5" xfId="38748" xr:uid="{00000000-0005-0000-0000-0000E5630000}"/>
    <cellStyle name="Normal 38 37_01-04-2012" xfId="9101" xr:uid="{00000000-0005-0000-0000-0000E6630000}"/>
    <cellStyle name="Normal 38 38" xfId="9102" xr:uid="{00000000-0005-0000-0000-0000E7630000}"/>
    <cellStyle name="Normal 38 38 2" xfId="38749" xr:uid="{00000000-0005-0000-0000-0000E8630000}"/>
    <cellStyle name="Normal 38 39" xfId="9103" xr:uid="{00000000-0005-0000-0000-0000E9630000}"/>
    <cellStyle name="Normal 38 39 2" xfId="38750" xr:uid="{00000000-0005-0000-0000-0000EA630000}"/>
    <cellStyle name="Normal 38 4" xfId="9104" xr:uid="{00000000-0005-0000-0000-0000EB630000}"/>
    <cellStyle name="Normal 38 4 2" xfId="9105" xr:uid="{00000000-0005-0000-0000-0000EC630000}"/>
    <cellStyle name="Normal 38 4 2 2" xfId="38751" xr:uid="{00000000-0005-0000-0000-0000ED630000}"/>
    <cellStyle name="Normal 38 4 3" xfId="9106" xr:uid="{00000000-0005-0000-0000-0000EE630000}"/>
    <cellStyle name="Normal 38 4 3 2" xfId="38752" xr:uid="{00000000-0005-0000-0000-0000EF630000}"/>
    <cellStyle name="Normal 38 4 4" xfId="9107" xr:uid="{00000000-0005-0000-0000-0000F0630000}"/>
    <cellStyle name="Normal 38 4 4 2" xfId="38753" xr:uid="{00000000-0005-0000-0000-0000F1630000}"/>
    <cellStyle name="Normal 38 4 5" xfId="38754" xr:uid="{00000000-0005-0000-0000-0000F2630000}"/>
    <cellStyle name="Normal 38 4_01-04-2012" xfId="9108" xr:uid="{00000000-0005-0000-0000-0000F3630000}"/>
    <cellStyle name="Normal 38 40" xfId="9109" xr:uid="{00000000-0005-0000-0000-0000F4630000}"/>
    <cellStyle name="Normal 38 40 2" xfId="38755" xr:uid="{00000000-0005-0000-0000-0000F5630000}"/>
    <cellStyle name="Normal 38 41" xfId="20384" xr:uid="{00000000-0005-0000-0000-0000F6630000}"/>
    <cellStyle name="Normal 38 41 2" xfId="38756" xr:uid="{00000000-0005-0000-0000-0000F7630000}"/>
    <cellStyle name="Normal 38 42" xfId="20385" xr:uid="{00000000-0005-0000-0000-0000F8630000}"/>
    <cellStyle name="Normal 38 43" xfId="20386" xr:uid="{00000000-0005-0000-0000-0000F9630000}"/>
    <cellStyle name="Normal 38 44" xfId="20387" xr:uid="{00000000-0005-0000-0000-0000FA630000}"/>
    <cellStyle name="Normal 38 45" xfId="20388" xr:uid="{00000000-0005-0000-0000-0000FB630000}"/>
    <cellStyle name="Normal 38 46" xfId="20389" xr:uid="{00000000-0005-0000-0000-0000FC630000}"/>
    <cellStyle name="Normal 38 47" xfId="33662" xr:uid="{00000000-0005-0000-0000-0000FD630000}"/>
    <cellStyle name="Normal 38 5" xfId="9110" xr:uid="{00000000-0005-0000-0000-0000FE630000}"/>
    <cellStyle name="Normal 38 5 2" xfId="9111" xr:uid="{00000000-0005-0000-0000-0000FF630000}"/>
    <cellStyle name="Normal 38 5 2 2" xfId="38757" xr:uid="{00000000-0005-0000-0000-000000640000}"/>
    <cellStyle name="Normal 38 5 3" xfId="9112" xr:uid="{00000000-0005-0000-0000-000001640000}"/>
    <cellStyle name="Normal 38 5 3 2" xfId="38758" xr:uid="{00000000-0005-0000-0000-000002640000}"/>
    <cellStyle name="Normal 38 5 4" xfId="9113" xr:uid="{00000000-0005-0000-0000-000003640000}"/>
    <cellStyle name="Normal 38 5 4 2" xfId="38759" xr:uid="{00000000-0005-0000-0000-000004640000}"/>
    <cellStyle name="Normal 38 5 5" xfId="38760" xr:uid="{00000000-0005-0000-0000-000005640000}"/>
    <cellStyle name="Normal 38 5_01-04-2012" xfId="9114" xr:uid="{00000000-0005-0000-0000-000006640000}"/>
    <cellStyle name="Normal 38 6" xfId="9115" xr:uid="{00000000-0005-0000-0000-000007640000}"/>
    <cellStyle name="Normal 38 6 2" xfId="9116" xr:uid="{00000000-0005-0000-0000-000008640000}"/>
    <cellStyle name="Normal 38 6 2 2" xfId="38761" xr:uid="{00000000-0005-0000-0000-000009640000}"/>
    <cellStyle name="Normal 38 6 3" xfId="9117" xr:uid="{00000000-0005-0000-0000-00000A640000}"/>
    <cellStyle name="Normal 38 6 3 2" xfId="38762" xr:uid="{00000000-0005-0000-0000-00000B640000}"/>
    <cellStyle name="Normal 38 6 4" xfId="9118" xr:uid="{00000000-0005-0000-0000-00000C640000}"/>
    <cellStyle name="Normal 38 6 4 2" xfId="38763" xr:uid="{00000000-0005-0000-0000-00000D640000}"/>
    <cellStyle name="Normal 38 6 5" xfId="38764" xr:uid="{00000000-0005-0000-0000-00000E640000}"/>
    <cellStyle name="Normal 38 6_01-04-2012" xfId="9119" xr:uid="{00000000-0005-0000-0000-00000F640000}"/>
    <cellStyle name="Normal 38 7" xfId="9120" xr:uid="{00000000-0005-0000-0000-000010640000}"/>
    <cellStyle name="Normal 38 7 2" xfId="9121" xr:uid="{00000000-0005-0000-0000-000011640000}"/>
    <cellStyle name="Normal 38 7 2 2" xfId="38765" xr:uid="{00000000-0005-0000-0000-000012640000}"/>
    <cellStyle name="Normal 38 7 3" xfId="9122" xr:uid="{00000000-0005-0000-0000-000013640000}"/>
    <cellStyle name="Normal 38 7 3 2" xfId="38766" xr:uid="{00000000-0005-0000-0000-000014640000}"/>
    <cellStyle name="Normal 38 7 4" xfId="9123" xr:uid="{00000000-0005-0000-0000-000015640000}"/>
    <cellStyle name="Normal 38 7 4 2" xfId="38767" xr:uid="{00000000-0005-0000-0000-000016640000}"/>
    <cellStyle name="Normal 38 7 5" xfId="38768" xr:uid="{00000000-0005-0000-0000-000017640000}"/>
    <cellStyle name="Normal 38 7_01-04-2012" xfId="9124" xr:uid="{00000000-0005-0000-0000-000018640000}"/>
    <cellStyle name="Normal 38 8" xfId="9125" xr:uid="{00000000-0005-0000-0000-000019640000}"/>
    <cellStyle name="Normal 38 8 2" xfId="9126" xr:uid="{00000000-0005-0000-0000-00001A640000}"/>
    <cellStyle name="Normal 38 8 2 2" xfId="38769" xr:uid="{00000000-0005-0000-0000-00001B640000}"/>
    <cellStyle name="Normal 38 8 3" xfId="9127" xr:uid="{00000000-0005-0000-0000-00001C640000}"/>
    <cellStyle name="Normal 38 8 3 2" xfId="38770" xr:uid="{00000000-0005-0000-0000-00001D640000}"/>
    <cellStyle name="Normal 38 8 4" xfId="9128" xr:uid="{00000000-0005-0000-0000-00001E640000}"/>
    <cellStyle name="Normal 38 8 4 2" xfId="38771" xr:uid="{00000000-0005-0000-0000-00001F640000}"/>
    <cellStyle name="Normal 38 8 5" xfId="38772" xr:uid="{00000000-0005-0000-0000-000020640000}"/>
    <cellStyle name="Normal 38 8_01-04-2012" xfId="9129" xr:uid="{00000000-0005-0000-0000-000021640000}"/>
    <cellStyle name="Normal 38 9" xfId="9130" xr:uid="{00000000-0005-0000-0000-000022640000}"/>
    <cellStyle name="Normal 38 9 2" xfId="9131" xr:uid="{00000000-0005-0000-0000-000023640000}"/>
    <cellStyle name="Normal 38 9 2 2" xfId="38773" xr:uid="{00000000-0005-0000-0000-000024640000}"/>
    <cellStyle name="Normal 38 9 3" xfId="9132" xr:uid="{00000000-0005-0000-0000-000025640000}"/>
    <cellStyle name="Normal 38 9 3 2" xfId="38774" xr:uid="{00000000-0005-0000-0000-000026640000}"/>
    <cellStyle name="Normal 38 9 4" xfId="9133" xr:uid="{00000000-0005-0000-0000-000027640000}"/>
    <cellStyle name="Normal 38 9 4 2" xfId="38775" xr:uid="{00000000-0005-0000-0000-000028640000}"/>
    <cellStyle name="Normal 38 9 5" xfId="38776" xr:uid="{00000000-0005-0000-0000-000029640000}"/>
    <cellStyle name="Normal 38 9_01-04-2012" xfId="9134" xr:uid="{00000000-0005-0000-0000-00002A640000}"/>
    <cellStyle name="Normal 38_01-04-2012" xfId="9135" xr:uid="{00000000-0005-0000-0000-00002B640000}"/>
    <cellStyle name="Normal 380" xfId="20390" xr:uid="{00000000-0005-0000-0000-00002C640000}"/>
    <cellStyle name="Normal 381" xfId="20391" xr:uid="{00000000-0005-0000-0000-00002D640000}"/>
    <cellStyle name="Normal 382" xfId="20392" xr:uid="{00000000-0005-0000-0000-00002E640000}"/>
    <cellStyle name="Normal 383" xfId="20393" xr:uid="{00000000-0005-0000-0000-00002F640000}"/>
    <cellStyle name="Normal 384" xfId="20394" xr:uid="{00000000-0005-0000-0000-000030640000}"/>
    <cellStyle name="Normal 385" xfId="20395" xr:uid="{00000000-0005-0000-0000-000031640000}"/>
    <cellStyle name="Normal 386" xfId="20396" xr:uid="{00000000-0005-0000-0000-000032640000}"/>
    <cellStyle name="Normal 387" xfId="20397" xr:uid="{00000000-0005-0000-0000-000033640000}"/>
    <cellStyle name="Normal 388" xfId="20398" xr:uid="{00000000-0005-0000-0000-000034640000}"/>
    <cellStyle name="Normal 389" xfId="20399" xr:uid="{00000000-0005-0000-0000-000035640000}"/>
    <cellStyle name="Normal 39" xfId="9136" xr:uid="{00000000-0005-0000-0000-000036640000}"/>
    <cellStyle name="Normal 39 10" xfId="9137" xr:uid="{00000000-0005-0000-0000-000037640000}"/>
    <cellStyle name="Normal 39 10 2" xfId="9138" xr:uid="{00000000-0005-0000-0000-000038640000}"/>
    <cellStyle name="Normal 39 10 2 2" xfId="38777" xr:uid="{00000000-0005-0000-0000-000039640000}"/>
    <cellStyle name="Normal 39 10 3" xfId="9139" xr:uid="{00000000-0005-0000-0000-00003A640000}"/>
    <cellStyle name="Normal 39 10 3 2" xfId="38778" xr:uid="{00000000-0005-0000-0000-00003B640000}"/>
    <cellStyle name="Normal 39 10 4" xfId="9140" xr:uid="{00000000-0005-0000-0000-00003C640000}"/>
    <cellStyle name="Normal 39 10 4 2" xfId="38779" xr:uid="{00000000-0005-0000-0000-00003D640000}"/>
    <cellStyle name="Normal 39 10 5" xfId="38780" xr:uid="{00000000-0005-0000-0000-00003E640000}"/>
    <cellStyle name="Normal 39 10_01-04-2012" xfId="9141" xr:uid="{00000000-0005-0000-0000-00003F640000}"/>
    <cellStyle name="Normal 39 11" xfId="9142" xr:uid="{00000000-0005-0000-0000-000040640000}"/>
    <cellStyle name="Normal 39 11 2" xfId="9143" xr:uid="{00000000-0005-0000-0000-000041640000}"/>
    <cellStyle name="Normal 39 11 2 2" xfId="38781" xr:uid="{00000000-0005-0000-0000-000042640000}"/>
    <cellStyle name="Normal 39 11 3" xfId="9144" xr:uid="{00000000-0005-0000-0000-000043640000}"/>
    <cellStyle name="Normal 39 11 3 2" xfId="38782" xr:uid="{00000000-0005-0000-0000-000044640000}"/>
    <cellStyle name="Normal 39 11 4" xfId="9145" xr:uid="{00000000-0005-0000-0000-000045640000}"/>
    <cellStyle name="Normal 39 11 4 2" xfId="38783" xr:uid="{00000000-0005-0000-0000-000046640000}"/>
    <cellStyle name="Normal 39 11 5" xfId="38784" xr:uid="{00000000-0005-0000-0000-000047640000}"/>
    <cellStyle name="Normal 39 11_01-04-2012" xfId="9146" xr:uid="{00000000-0005-0000-0000-000048640000}"/>
    <cellStyle name="Normal 39 12" xfId="9147" xr:uid="{00000000-0005-0000-0000-000049640000}"/>
    <cellStyle name="Normal 39 12 2" xfId="9148" xr:uid="{00000000-0005-0000-0000-00004A640000}"/>
    <cellStyle name="Normal 39 12 2 2" xfId="38785" xr:uid="{00000000-0005-0000-0000-00004B640000}"/>
    <cellStyle name="Normal 39 12 3" xfId="9149" xr:uid="{00000000-0005-0000-0000-00004C640000}"/>
    <cellStyle name="Normal 39 12 3 2" xfId="38786" xr:uid="{00000000-0005-0000-0000-00004D640000}"/>
    <cellStyle name="Normal 39 12 4" xfId="9150" xr:uid="{00000000-0005-0000-0000-00004E640000}"/>
    <cellStyle name="Normal 39 12 4 2" xfId="38787" xr:uid="{00000000-0005-0000-0000-00004F640000}"/>
    <cellStyle name="Normal 39 12 5" xfId="38788" xr:uid="{00000000-0005-0000-0000-000050640000}"/>
    <cellStyle name="Normal 39 12_01-04-2012" xfId="9151" xr:uid="{00000000-0005-0000-0000-000051640000}"/>
    <cellStyle name="Normal 39 13" xfId="9152" xr:uid="{00000000-0005-0000-0000-000052640000}"/>
    <cellStyle name="Normal 39 13 2" xfId="9153" xr:uid="{00000000-0005-0000-0000-000053640000}"/>
    <cellStyle name="Normal 39 13 2 2" xfId="38789" xr:uid="{00000000-0005-0000-0000-000054640000}"/>
    <cellStyle name="Normal 39 13 3" xfId="9154" xr:uid="{00000000-0005-0000-0000-000055640000}"/>
    <cellStyle name="Normal 39 13 3 2" xfId="38790" xr:uid="{00000000-0005-0000-0000-000056640000}"/>
    <cellStyle name="Normal 39 13 4" xfId="9155" xr:uid="{00000000-0005-0000-0000-000057640000}"/>
    <cellStyle name="Normal 39 13 4 2" xfId="38791" xr:uid="{00000000-0005-0000-0000-000058640000}"/>
    <cellStyle name="Normal 39 13 5" xfId="38792" xr:uid="{00000000-0005-0000-0000-000059640000}"/>
    <cellStyle name="Normal 39 13_01-04-2012" xfId="9156" xr:uid="{00000000-0005-0000-0000-00005A640000}"/>
    <cellStyle name="Normal 39 14" xfId="9157" xr:uid="{00000000-0005-0000-0000-00005B640000}"/>
    <cellStyle name="Normal 39 14 2" xfId="9158" xr:uid="{00000000-0005-0000-0000-00005C640000}"/>
    <cellStyle name="Normal 39 14 2 2" xfId="38793" xr:uid="{00000000-0005-0000-0000-00005D640000}"/>
    <cellStyle name="Normal 39 14 3" xfId="9159" xr:uid="{00000000-0005-0000-0000-00005E640000}"/>
    <cellStyle name="Normal 39 14 3 2" xfId="38794" xr:uid="{00000000-0005-0000-0000-00005F640000}"/>
    <cellStyle name="Normal 39 14 4" xfId="9160" xr:uid="{00000000-0005-0000-0000-000060640000}"/>
    <cellStyle name="Normal 39 14 4 2" xfId="38795" xr:uid="{00000000-0005-0000-0000-000061640000}"/>
    <cellStyle name="Normal 39 14 5" xfId="38796" xr:uid="{00000000-0005-0000-0000-000062640000}"/>
    <cellStyle name="Normal 39 14_01-04-2012" xfId="9161" xr:uid="{00000000-0005-0000-0000-000063640000}"/>
    <cellStyle name="Normal 39 15" xfId="9162" xr:uid="{00000000-0005-0000-0000-000064640000}"/>
    <cellStyle name="Normal 39 15 2" xfId="9163" xr:uid="{00000000-0005-0000-0000-000065640000}"/>
    <cellStyle name="Normal 39 15 2 2" xfId="38797" xr:uid="{00000000-0005-0000-0000-000066640000}"/>
    <cellStyle name="Normal 39 15 3" xfId="9164" xr:uid="{00000000-0005-0000-0000-000067640000}"/>
    <cellStyle name="Normal 39 15 3 2" xfId="38798" xr:uid="{00000000-0005-0000-0000-000068640000}"/>
    <cellStyle name="Normal 39 15 4" xfId="9165" xr:uid="{00000000-0005-0000-0000-000069640000}"/>
    <cellStyle name="Normal 39 15 4 2" xfId="38799" xr:uid="{00000000-0005-0000-0000-00006A640000}"/>
    <cellStyle name="Normal 39 15 5" xfId="38800" xr:uid="{00000000-0005-0000-0000-00006B640000}"/>
    <cellStyle name="Normal 39 15_01-04-2012" xfId="9166" xr:uid="{00000000-0005-0000-0000-00006C640000}"/>
    <cellStyle name="Normal 39 16" xfId="9167" xr:uid="{00000000-0005-0000-0000-00006D640000}"/>
    <cellStyle name="Normal 39 16 2" xfId="9168" xr:uid="{00000000-0005-0000-0000-00006E640000}"/>
    <cellStyle name="Normal 39 16 2 2" xfId="38801" xr:uid="{00000000-0005-0000-0000-00006F640000}"/>
    <cellStyle name="Normal 39 16 3" xfId="9169" xr:uid="{00000000-0005-0000-0000-000070640000}"/>
    <cellStyle name="Normal 39 16 3 2" xfId="38802" xr:uid="{00000000-0005-0000-0000-000071640000}"/>
    <cellStyle name="Normal 39 16 4" xfId="9170" xr:uid="{00000000-0005-0000-0000-000072640000}"/>
    <cellStyle name="Normal 39 16 4 2" xfId="38803" xr:uid="{00000000-0005-0000-0000-000073640000}"/>
    <cellStyle name="Normal 39 16 5" xfId="38804" xr:uid="{00000000-0005-0000-0000-000074640000}"/>
    <cellStyle name="Normal 39 16_01-04-2012" xfId="9171" xr:uid="{00000000-0005-0000-0000-000075640000}"/>
    <cellStyle name="Normal 39 17" xfId="9172" xr:uid="{00000000-0005-0000-0000-000076640000}"/>
    <cellStyle name="Normal 39 17 2" xfId="9173" xr:uid="{00000000-0005-0000-0000-000077640000}"/>
    <cellStyle name="Normal 39 17 2 2" xfId="38805" xr:uid="{00000000-0005-0000-0000-000078640000}"/>
    <cellStyle name="Normal 39 17 3" xfId="9174" xr:uid="{00000000-0005-0000-0000-000079640000}"/>
    <cellStyle name="Normal 39 17 3 2" xfId="38806" xr:uid="{00000000-0005-0000-0000-00007A640000}"/>
    <cellStyle name="Normal 39 17 4" xfId="9175" xr:uid="{00000000-0005-0000-0000-00007B640000}"/>
    <cellStyle name="Normal 39 17 4 2" xfId="38807" xr:uid="{00000000-0005-0000-0000-00007C640000}"/>
    <cellStyle name="Normal 39 17 5" xfId="38808" xr:uid="{00000000-0005-0000-0000-00007D640000}"/>
    <cellStyle name="Normal 39 17_01-04-2012" xfId="9176" xr:uid="{00000000-0005-0000-0000-00007E640000}"/>
    <cellStyle name="Normal 39 18" xfId="9177" xr:uid="{00000000-0005-0000-0000-00007F640000}"/>
    <cellStyle name="Normal 39 18 2" xfId="9178" xr:uid="{00000000-0005-0000-0000-000080640000}"/>
    <cellStyle name="Normal 39 18 2 2" xfId="38809" xr:uid="{00000000-0005-0000-0000-000081640000}"/>
    <cellStyle name="Normal 39 18 3" xfId="9179" xr:uid="{00000000-0005-0000-0000-000082640000}"/>
    <cellStyle name="Normal 39 18 3 2" xfId="38810" xr:uid="{00000000-0005-0000-0000-000083640000}"/>
    <cellStyle name="Normal 39 18 4" xfId="9180" xr:uid="{00000000-0005-0000-0000-000084640000}"/>
    <cellStyle name="Normal 39 18 4 2" xfId="38811" xr:uid="{00000000-0005-0000-0000-000085640000}"/>
    <cellStyle name="Normal 39 18 5" xfId="38812" xr:uid="{00000000-0005-0000-0000-000086640000}"/>
    <cellStyle name="Normal 39 18_01-04-2012" xfId="9181" xr:uid="{00000000-0005-0000-0000-000087640000}"/>
    <cellStyle name="Normal 39 19" xfId="9182" xr:uid="{00000000-0005-0000-0000-000088640000}"/>
    <cellStyle name="Normal 39 19 2" xfId="9183" xr:uid="{00000000-0005-0000-0000-000089640000}"/>
    <cellStyle name="Normal 39 19 2 2" xfId="38813" xr:uid="{00000000-0005-0000-0000-00008A640000}"/>
    <cellStyle name="Normal 39 19 3" xfId="9184" xr:uid="{00000000-0005-0000-0000-00008B640000}"/>
    <cellStyle name="Normal 39 19 3 2" xfId="38814" xr:uid="{00000000-0005-0000-0000-00008C640000}"/>
    <cellStyle name="Normal 39 19 4" xfId="9185" xr:uid="{00000000-0005-0000-0000-00008D640000}"/>
    <cellStyle name="Normal 39 19 4 2" xfId="38815" xr:uid="{00000000-0005-0000-0000-00008E640000}"/>
    <cellStyle name="Normal 39 19 5" xfId="38816" xr:uid="{00000000-0005-0000-0000-00008F640000}"/>
    <cellStyle name="Normal 39 19_01-04-2012" xfId="9186" xr:uid="{00000000-0005-0000-0000-000090640000}"/>
    <cellStyle name="Normal 39 2" xfId="9187" xr:uid="{00000000-0005-0000-0000-000091640000}"/>
    <cellStyle name="Normal 39 2 2" xfId="9188" xr:uid="{00000000-0005-0000-0000-000092640000}"/>
    <cellStyle name="Normal 39 2 2 2" xfId="33665" xr:uid="{00000000-0005-0000-0000-000093640000}"/>
    <cellStyle name="Normal 39 2 2 2 2" xfId="38817" xr:uid="{00000000-0005-0000-0000-000094640000}"/>
    <cellStyle name="Normal 39 2 3" xfId="9189" xr:uid="{00000000-0005-0000-0000-000095640000}"/>
    <cellStyle name="Normal 39 2 3 2" xfId="38818" xr:uid="{00000000-0005-0000-0000-000096640000}"/>
    <cellStyle name="Normal 39 2 4" xfId="9190" xr:uid="{00000000-0005-0000-0000-000097640000}"/>
    <cellStyle name="Normal 39 2 4 2" xfId="38819" xr:uid="{00000000-0005-0000-0000-000098640000}"/>
    <cellStyle name="Normal 39 2 5" xfId="20400" xr:uid="{00000000-0005-0000-0000-000099640000}"/>
    <cellStyle name="Normal 39 2 5 2" xfId="38820" xr:uid="{00000000-0005-0000-0000-00009A640000}"/>
    <cellStyle name="Normal 39 2_01-04-2012" xfId="9191" xr:uid="{00000000-0005-0000-0000-00009B640000}"/>
    <cellStyle name="Normal 39 20" xfId="9192" xr:uid="{00000000-0005-0000-0000-00009C640000}"/>
    <cellStyle name="Normal 39 20 2" xfId="9193" xr:uid="{00000000-0005-0000-0000-00009D640000}"/>
    <cellStyle name="Normal 39 20 2 2" xfId="38821" xr:uid="{00000000-0005-0000-0000-00009E640000}"/>
    <cellStyle name="Normal 39 20 3" xfId="9194" xr:uid="{00000000-0005-0000-0000-00009F640000}"/>
    <cellStyle name="Normal 39 20 3 2" xfId="38822" xr:uid="{00000000-0005-0000-0000-0000A0640000}"/>
    <cellStyle name="Normal 39 20 4" xfId="9195" xr:uid="{00000000-0005-0000-0000-0000A1640000}"/>
    <cellStyle name="Normal 39 20 4 2" xfId="38823" xr:uid="{00000000-0005-0000-0000-0000A2640000}"/>
    <cellStyle name="Normal 39 20 5" xfId="38824" xr:uid="{00000000-0005-0000-0000-0000A3640000}"/>
    <cellStyle name="Normal 39 20_01-04-2012" xfId="9196" xr:uid="{00000000-0005-0000-0000-0000A4640000}"/>
    <cellStyle name="Normal 39 21" xfId="9197" xr:uid="{00000000-0005-0000-0000-0000A5640000}"/>
    <cellStyle name="Normal 39 21 2" xfId="9198" xr:uid="{00000000-0005-0000-0000-0000A6640000}"/>
    <cellStyle name="Normal 39 21 2 2" xfId="38825" xr:uid="{00000000-0005-0000-0000-0000A7640000}"/>
    <cellStyle name="Normal 39 21 3" xfId="9199" xr:uid="{00000000-0005-0000-0000-0000A8640000}"/>
    <cellStyle name="Normal 39 21 3 2" xfId="38826" xr:uid="{00000000-0005-0000-0000-0000A9640000}"/>
    <cellStyle name="Normal 39 21 4" xfId="9200" xr:uid="{00000000-0005-0000-0000-0000AA640000}"/>
    <cellStyle name="Normal 39 21 4 2" xfId="38827" xr:uid="{00000000-0005-0000-0000-0000AB640000}"/>
    <cellStyle name="Normal 39 21 5" xfId="38828" xr:uid="{00000000-0005-0000-0000-0000AC640000}"/>
    <cellStyle name="Normal 39 21_01-04-2012" xfId="9201" xr:uid="{00000000-0005-0000-0000-0000AD640000}"/>
    <cellStyle name="Normal 39 22" xfId="9202" xr:uid="{00000000-0005-0000-0000-0000AE640000}"/>
    <cellStyle name="Normal 39 22 2" xfId="9203" xr:uid="{00000000-0005-0000-0000-0000AF640000}"/>
    <cellStyle name="Normal 39 22 2 2" xfId="38829" xr:uid="{00000000-0005-0000-0000-0000B0640000}"/>
    <cellStyle name="Normal 39 22 3" xfId="9204" xr:uid="{00000000-0005-0000-0000-0000B1640000}"/>
    <cellStyle name="Normal 39 22 3 2" xfId="38830" xr:uid="{00000000-0005-0000-0000-0000B2640000}"/>
    <cellStyle name="Normal 39 22 4" xfId="9205" xr:uid="{00000000-0005-0000-0000-0000B3640000}"/>
    <cellStyle name="Normal 39 22 4 2" xfId="38831" xr:uid="{00000000-0005-0000-0000-0000B4640000}"/>
    <cellStyle name="Normal 39 22 5" xfId="38832" xr:uid="{00000000-0005-0000-0000-0000B5640000}"/>
    <cellStyle name="Normal 39 22_01-04-2012" xfId="9206" xr:uid="{00000000-0005-0000-0000-0000B6640000}"/>
    <cellStyle name="Normal 39 23" xfId="9207" xr:uid="{00000000-0005-0000-0000-0000B7640000}"/>
    <cellStyle name="Normal 39 23 2" xfId="9208" xr:uid="{00000000-0005-0000-0000-0000B8640000}"/>
    <cellStyle name="Normal 39 23 2 2" xfId="38833" xr:uid="{00000000-0005-0000-0000-0000B9640000}"/>
    <cellStyle name="Normal 39 23 3" xfId="9209" xr:uid="{00000000-0005-0000-0000-0000BA640000}"/>
    <cellStyle name="Normal 39 23 3 2" xfId="38834" xr:uid="{00000000-0005-0000-0000-0000BB640000}"/>
    <cellStyle name="Normal 39 23 4" xfId="9210" xr:uid="{00000000-0005-0000-0000-0000BC640000}"/>
    <cellStyle name="Normal 39 23 4 2" xfId="38835" xr:uid="{00000000-0005-0000-0000-0000BD640000}"/>
    <cellStyle name="Normal 39 23 5" xfId="38836" xr:uid="{00000000-0005-0000-0000-0000BE640000}"/>
    <cellStyle name="Normal 39 23_01-04-2012" xfId="9211" xr:uid="{00000000-0005-0000-0000-0000BF640000}"/>
    <cellStyle name="Normal 39 24" xfId="9212" xr:uid="{00000000-0005-0000-0000-0000C0640000}"/>
    <cellStyle name="Normal 39 24 2" xfId="9213" xr:uid="{00000000-0005-0000-0000-0000C1640000}"/>
    <cellStyle name="Normal 39 24 2 2" xfId="38837" xr:uid="{00000000-0005-0000-0000-0000C2640000}"/>
    <cellStyle name="Normal 39 24 3" xfId="9214" xr:uid="{00000000-0005-0000-0000-0000C3640000}"/>
    <cellStyle name="Normal 39 24 3 2" xfId="38838" xr:uid="{00000000-0005-0000-0000-0000C4640000}"/>
    <cellStyle name="Normal 39 24 4" xfId="9215" xr:uid="{00000000-0005-0000-0000-0000C5640000}"/>
    <cellStyle name="Normal 39 24 4 2" xfId="38839" xr:uid="{00000000-0005-0000-0000-0000C6640000}"/>
    <cellStyle name="Normal 39 24 5" xfId="38840" xr:uid="{00000000-0005-0000-0000-0000C7640000}"/>
    <cellStyle name="Normal 39 24_01-04-2012" xfId="9216" xr:uid="{00000000-0005-0000-0000-0000C8640000}"/>
    <cellStyle name="Normal 39 25" xfId="9217" xr:uid="{00000000-0005-0000-0000-0000C9640000}"/>
    <cellStyle name="Normal 39 25 2" xfId="9218" xr:uid="{00000000-0005-0000-0000-0000CA640000}"/>
    <cellStyle name="Normal 39 25 2 2" xfId="38841" xr:uid="{00000000-0005-0000-0000-0000CB640000}"/>
    <cellStyle name="Normal 39 25 3" xfId="9219" xr:uid="{00000000-0005-0000-0000-0000CC640000}"/>
    <cellStyle name="Normal 39 25 3 2" xfId="38842" xr:uid="{00000000-0005-0000-0000-0000CD640000}"/>
    <cellStyle name="Normal 39 25 4" xfId="9220" xr:uid="{00000000-0005-0000-0000-0000CE640000}"/>
    <cellStyle name="Normal 39 25 4 2" xfId="38843" xr:uid="{00000000-0005-0000-0000-0000CF640000}"/>
    <cellStyle name="Normal 39 25 5" xfId="38844" xr:uid="{00000000-0005-0000-0000-0000D0640000}"/>
    <cellStyle name="Normal 39 25_01-04-2012" xfId="9221" xr:uid="{00000000-0005-0000-0000-0000D1640000}"/>
    <cellStyle name="Normal 39 26" xfId="9222" xr:uid="{00000000-0005-0000-0000-0000D2640000}"/>
    <cellStyle name="Normal 39 26 2" xfId="9223" xr:uid="{00000000-0005-0000-0000-0000D3640000}"/>
    <cellStyle name="Normal 39 26 2 2" xfId="38845" xr:uid="{00000000-0005-0000-0000-0000D4640000}"/>
    <cellStyle name="Normal 39 26 3" xfId="9224" xr:uid="{00000000-0005-0000-0000-0000D5640000}"/>
    <cellStyle name="Normal 39 26 3 2" xfId="38846" xr:uid="{00000000-0005-0000-0000-0000D6640000}"/>
    <cellStyle name="Normal 39 26 4" xfId="9225" xr:uid="{00000000-0005-0000-0000-0000D7640000}"/>
    <cellStyle name="Normal 39 26 4 2" xfId="38847" xr:uid="{00000000-0005-0000-0000-0000D8640000}"/>
    <cellStyle name="Normal 39 26 5" xfId="38848" xr:uid="{00000000-0005-0000-0000-0000D9640000}"/>
    <cellStyle name="Normal 39 26_01-04-2012" xfId="9226" xr:uid="{00000000-0005-0000-0000-0000DA640000}"/>
    <cellStyle name="Normal 39 27" xfId="9227" xr:uid="{00000000-0005-0000-0000-0000DB640000}"/>
    <cellStyle name="Normal 39 27 2" xfId="9228" xr:uid="{00000000-0005-0000-0000-0000DC640000}"/>
    <cellStyle name="Normal 39 27 2 2" xfId="38849" xr:uid="{00000000-0005-0000-0000-0000DD640000}"/>
    <cellStyle name="Normal 39 27 3" xfId="9229" xr:uid="{00000000-0005-0000-0000-0000DE640000}"/>
    <cellStyle name="Normal 39 27 3 2" xfId="38850" xr:uid="{00000000-0005-0000-0000-0000DF640000}"/>
    <cellStyle name="Normal 39 27 4" xfId="9230" xr:uid="{00000000-0005-0000-0000-0000E0640000}"/>
    <cellStyle name="Normal 39 27 4 2" xfId="38851" xr:uid="{00000000-0005-0000-0000-0000E1640000}"/>
    <cellStyle name="Normal 39 27 5" xfId="38852" xr:uid="{00000000-0005-0000-0000-0000E2640000}"/>
    <cellStyle name="Normal 39 27_01-04-2012" xfId="9231" xr:uid="{00000000-0005-0000-0000-0000E3640000}"/>
    <cellStyle name="Normal 39 28" xfId="9232" xr:uid="{00000000-0005-0000-0000-0000E4640000}"/>
    <cellStyle name="Normal 39 28 2" xfId="9233" xr:uid="{00000000-0005-0000-0000-0000E5640000}"/>
    <cellStyle name="Normal 39 28 2 2" xfId="38853" xr:uid="{00000000-0005-0000-0000-0000E6640000}"/>
    <cellStyle name="Normal 39 28 3" xfId="9234" xr:uid="{00000000-0005-0000-0000-0000E7640000}"/>
    <cellStyle name="Normal 39 28 3 2" xfId="38854" xr:uid="{00000000-0005-0000-0000-0000E8640000}"/>
    <cellStyle name="Normal 39 28 4" xfId="9235" xr:uid="{00000000-0005-0000-0000-0000E9640000}"/>
    <cellStyle name="Normal 39 28 4 2" xfId="38855" xr:uid="{00000000-0005-0000-0000-0000EA640000}"/>
    <cellStyle name="Normal 39 28 5" xfId="38856" xr:uid="{00000000-0005-0000-0000-0000EB640000}"/>
    <cellStyle name="Normal 39 28_01-04-2012" xfId="9236" xr:uid="{00000000-0005-0000-0000-0000EC640000}"/>
    <cellStyle name="Normal 39 29" xfId="9237" xr:uid="{00000000-0005-0000-0000-0000ED640000}"/>
    <cellStyle name="Normal 39 29 2" xfId="9238" xr:uid="{00000000-0005-0000-0000-0000EE640000}"/>
    <cellStyle name="Normal 39 29 2 2" xfId="38857" xr:uid="{00000000-0005-0000-0000-0000EF640000}"/>
    <cellStyle name="Normal 39 29 3" xfId="9239" xr:uid="{00000000-0005-0000-0000-0000F0640000}"/>
    <cellStyle name="Normal 39 29 3 2" xfId="38858" xr:uid="{00000000-0005-0000-0000-0000F1640000}"/>
    <cellStyle name="Normal 39 29 4" xfId="9240" xr:uid="{00000000-0005-0000-0000-0000F2640000}"/>
    <cellStyle name="Normal 39 29 4 2" xfId="38859" xr:uid="{00000000-0005-0000-0000-0000F3640000}"/>
    <cellStyle name="Normal 39 29 5" xfId="38860" xr:uid="{00000000-0005-0000-0000-0000F4640000}"/>
    <cellStyle name="Normal 39 29_01-04-2012" xfId="9241" xr:uid="{00000000-0005-0000-0000-0000F5640000}"/>
    <cellStyle name="Normal 39 3" xfId="9242" xr:uid="{00000000-0005-0000-0000-0000F6640000}"/>
    <cellStyle name="Normal 39 3 2" xfId="9243" xr:uid="{00000000-0005-0000-0000-0000F7640000}"/>
    <cellStyle name="Normal 39 3 2 2" xfId="38861" xr:uid="{00000000-0005-0000-0000-0000F8640000}"/>
    <cellStyle name="Normal 39 3 3" xfId="9244" xr:uid="{00000000-0005-0000-0000-0000F9640000}"/>
    <cellStyle name="Normal 39 3 3 2" xfId="38862" xr:uid="{00000000-0005-0000-0000-0000FA640000}"/>
    <cellStyle name="Normal 39 3 4" xfId="9245" xr:uid="{00000000-0005-0000-0000-0000FB640000}"/>
    <cellStyle name="Normal 39 3 4 2" xfId="38863" xr:uid="{00000000-0005-0000-0000-0000FC640000}"/>
    <cellStyle name="Normal 39 3 5" xfId="20401" xr:uid="{00000000-0005-0000-0000-0000FD640000}"/>
    <cellStyle name="Normal 39 3 5 2" xfId="38864" xr:uid="{00000000-0005-0000-0000-0000FE640000}"/>
    <cellStyle name="Normal 39 3_01-04-2012" xfId="9246" xr:uid="{00000000-0005-0000-0000-0000FF640000}"/>
    <cellStyle name="Normal 39 30" xfId="9247" xr:uid="{00000000-0005-0000-0000-000000650000}"/>
    <cellStyle name="Normal 39 30 2" xfId="9248" xr:uid="{00000000-0005-0000-0000-000001650000}"/>
    <cellStyle name="Normal 39 30 2 2" xfId="38865" xr:uid="{00000000-0005-0000-0000-000002650000}"/>
    <cellStyle name="Normal 39 30 3" xfId="9249" xr:uid="{00000000-0005-0000-0000-000003650000}"/>
    <cellStyle name="Normal 39 30 3 2" xfId="38866" xr:uid="{00000000-0005-0000-0000-000004650000}"/>
    <cellStyle name="Normal 39 30 4" xfId="9250" xr:uid="{00000000-0005-0000-0000-000005650000}"/>
    <cellStyle name="Normal 39 30 4 2" xfId="38867" xr:uid="{00000000-0005-0000-0000-000006650000}"/>
    <cellStyle name="Normal 39 30 5" xfId="38868" xr:uid="{00000000-0005-0000-0000-000007650000}"/>
    <cellStyle name="Normal 39 30_01-04-2012" xfId="9251" xr:uid="{00000000-0005-0000-0000-000008650000}"/>
    <cellStyle name="Normal 39 31" xfId="9252" xr:uid="{00000000-0005-0000-0000-000009650000}"/>
    <cellStyle name="Normal 39 31 2" xfId="9253" xr:uid="{00000000-0005-0000-0000-00000A650000}"/>
    <cellStyle name="Normal 39 31 2 2" xfId="38869" xr:uid="{00000000-0005-0000-0000-00000B650000}"/>
    <cellStyle name="Normal 39 31 3" xfId="9254" xr:uid="{00000000-0005-0000-0000-00000C650000}"/>
    <cellStyle name="Normal 39 31 3 2" xfId="38870" xr:uid="{00000000-0005-0000-0000-00000D650000}"/>
    <cellStyle name="Normal 39 31 4" xfId="9255" xr:uid="{00000000-0005-0000-0000-00000E650000}"/>
    <cellStyle name="Normal 39 31 4 2" xfId="38871" xr:uid="{00000000-0005-0000-0000-00000F650000}"/>
    <cellStyle name="Normal 39 31 5" xfId="38872" xr:uid="{00000000-0005-0000-0000-000010650000}"/>
    <cellStyle name="Normal 39 31_01-04-2012" xfId="9256" xr:uid="{00000000-0005-0000-0000-000011650000}"/>
    <cellStyle name="Normal 39 32" xfId="9257" xr:uid="{00000000-0005-0000-0000-000012650000}"/>
    <cellStyle name="Normal 39 32 2" xfId="9258" xr:uid="{00000000-0005-0000-0000-000013650000}"/>
    <cellStyle name="Normal 39 32 2 2" xfId="38873" xr:uid="{00000000-0005-0000-0000-000014650000}"/>
    <cellStyle name="Normal 39 32 3" xfId="9259" xr:uid="{00000000-0005-0000-0000-000015650000}"/>
    <cellStyle name="Normal 39 32 3 2" xfId="38874" xr:uid="{00000000-0005-0000-0000-000016650000}"/>
    <cellStyle name="Normal 39 32 4" xfId="9260" xr:uid="{00000000-0005-0000-0000-000017650000}"/>
    <cellStyle name="Normal 39 32 4 2" xfId="38875" xr:uid="{00000000-0005-0000-0000-000018650000}"/>
    <cellStyle name="Normal 39 32 5" xfId="38876" xr:uid="{00000000-0005-0000-0000-000019650000}"/>
    <cellStyle name="Normal 39 32_01-04-2012" xfId="9261" xr:uid="{00000000-0005-0000-0000-00001A650000}"/>
    <cellStyle name="Normal 39 33" xfId="9262" xr:uid="{00000000-0005-0000-0000-00001B650000}"/>
    <cellStyle name="Normal 39 33 2" xfId="9263" xr:uid="{00000000-0005-0000-0000-00001C650000}"/>
    <cellStyle name="Normal 39 33 2 2" xfId="38877" xr:uid="{00000000-0005-0000-0000-00001D650000}"/>
    <cellStyle name="Normal 39 33 3" xfId="9264" xr:uid="{00000000-0005-0000-0000-00001E650000}"/>
    <cellStyle name="Normal 39 33 3 2" xfId="38878" xr:uid="{00000000-0005-0000-0000-00001F650000}"/>
    <cellStyle name="Normal 39 33 4" xfId="9265" xr:uid="{00000000-0005-0000-0000-000020650000}"/>
    <cellStyle name="Normal 39 33 4 2" xfId="38879" xr:uid="{00000000-0005-0000-0000-000021650000}"/>
    <cellStyle name="Normal 39 33 5" xfId="38880" xr:uid="{00000000-0005-0000-0000-000022650000}"/>
    <cellStyle name="Normal 39 33_01-04-2012" xfId="9266" xr:uid="{00000000-0005-0000-0000-000023650000}"/>
    <cellStyle name="Normal 39 34" xfId="9267" xr:uid="{00000000-0005-0000-0000-000024650000}"/>
    <cellStyle name="Normal 39 34 2" xfId="9268" xr:uid="{00000000-0005-0000-0000-000025650000}"/>
    <cellStyle name="Normal 39 34 2 2" xfId="38881" xr:uid="{00000000-0005-0000-0000-000026650000}"/>
    <cellStyle name="Normal 39 34 3" xfId="9269" xr:uid="{00000000-0005-0000-0000-000027650000}"/>
    <cellStyle name="Normal 39 34 3 2" xfId="38882" xr:uid="{00000000-0005-0000-0000-000028650000}"/>
    <cellStyle name="Normal 39 34 4" xfId="9270" xr:uid="{00000000-0005-0000-0000-000029650000}"/>
    <cellStyle name="Normal 39 34 4 2" xfId="38883" xr:uid="{00000000-0005-0000-0000-00002A650000}"/>
    <cellStyle name="Normal 39 34 5" xfId="38884" xr:uid="{00000000-0005-0000-0000-00002B650000}"/>
    <cellStyle name="Normal 39 34_01-04-2012" xfId="9271" xr:uid="{00000000-0005-0000-0000-00002C650000}"/>
    <cellStyle name="Normal 39 35" xfId="9272" xr:uid="{00000000-0005-0000-0000-00002D650000}"/>
    <cellStyle name="Normal 39 35 2" xfId="9273" xr:uid="{00000000-0005-0000-0000-00002E650000}"/>
    <cellStyle name="Normal 39 35 2 2" xfId="38885" xr:uid="{00000000-0005-0000-0000-00002F650000}"/>
    <cellStyle name="Normal 39 35 3" xfId="9274" xr:uid="{00000000-0005-0000-0000-000030650000}"/>
    <cellStyle name="Normal 39 35 3 2" xfId="38886" xr:uid="{00000000-0005-0000-0000-000031650000}"/>
    <cellStyle name="Normal 39 35 4" xfId="9275" xr:uid="{00000000-0005-0000-0000-000032650000}"/>
    <cellStyle name="Normal 39 35 4 2" xfId="38887" xr:uid="{00000000-0005-0000-0000-000033650000}"/>
    <cellStyle name="Normal 39 35 5" xfId="38888" xr:uid="{00000000-0005-0000-0000-000034650000}"/>
    <cellStyle name="Normal 39 35_01-04-2012" xfId="9276" xr:uid="{00000000-0005-0000-0000-000035650000}"/>
    <cellStyle name="Normal 39 36" xfId="9277" xr:uid="{00000000-0005-0000-0000-000036650000}"/>
    <cellStyle name="Normal 39 36 2" xfId="9278" xr:uid="{00000000-0005-0000-0000-000037650000}"/>
    <cellStyle name="Normal 39 36 2 2" xfId="38889" xr:uid="{00000000-0005-0000-0000-000038650000}"/>
    <cellStyle name="Normal 39 36 3" xfId="9279" xr:uid="{00000000-0005-0000-0000-000039650000}"/>
    <cellStyle name="Normal 39 36 3 2" xfId="38890" xr:uid="{00000000-0005-0000-0000-00003A650000}"/>
    <cellStyle name="Normal 39 36 4" xfId="9280" xr:uid="{00000000-0005-0000-0000-00003B650000}"/>
    <cellStyle name="Normal 39 36 4 2" xfId="38891" xr:uid="{00000000-0005-0000-0000-00003C650000}"/>
    <cellStyle name="Normal 39 36 5" xfId="38892" xr:uid="{00000000-0005-0000-0000-00003D650000}"/>
    <cellStyle name="Normal 39 36_01-04-2012" xfId="9281" xr:uid="{00000000-0005-0000-0000-00003E650000}"/>
    <cellStyle name="Normal 39 37" xfId="9282" xr:uid="{00000000-0005-0000-0000-00003F650000}"/>
    <cellStyle name="Normal 39 37 2" xfId="9283" xr:uid="{00000000-0005-0000-0000-000040650000}"/>
    <cellStyle name="Normal 39 37 2 2" xfId="38893" xr:uid="{00000000-0005-0000-0000-000041650000}"/>
    <cellStyle name="Normal 39 37 3" xfId="9284" xr:uid="{00000000-0005-0000-0000-000042650000}"/>
    <cellStyle name="Normal 39 37 3 2" xfId="38894" xr:uid="{00000000-0005-0000-0000-000043650000}"/>
    <cellStyle name="Normal 39 37 4" xfId="9285" xr:uid="{00000000-0005-0000-0000-000044650000}"/>
    <cellStyle name="Normal 39 37 4 2" xfId="38895" xr:uid="{00000000-0005-0000-0000-000045650000}"/>
    <cellStyle name="Normal 39 37 5" xfId="38896" xr:uid="{00000000-0005-0000-0000-000046650000}"/>
    <cellStyle name="Normal 39 37_01-04-2012" xfId="9286" xr:uid="{00000000-0005-0000-0000-000047650000}"/>
    <cellStyle name="Normal 39 38" xfId="9287" xr:uid="{00000000-0005-0000-0000-000048650000}"/>
    <cellStyle name="Normal 39 38 2" xfId="38897" xr:uid="{00000000-0005-0000-0000-000049650000}"/>
    <cellStyle name="Normal 39 39" xfId="9288" xr:uid="{00000000-0005-0000-0000-00004A650000}"/>
    <cellStyle name="Normal 39 39 2" xfId="38898" xr:uid="{00000000-0005-0000-0000-00004B650000}"/>
    <cellStyle name="Normal 39 4" xfId="9289" xr:uid="{00000000-0005-0000-0000-00004C650000}"/>
    <cellStyle name="Normal 39 4 2" xfId="9290" xr:uid="{00000000-0005-0000-0000-00004D650000}"/>
    <cellStyle name="Normal 39 4 2 2" xfId="38899" xr:uid="{00000000-0005-0000-0000-00004E650000}"/>
    <cellStyle name="Normal 39 4 3" xfId="9291" xr:uid="{00000000-0005-0000-0000-00004F650000}"/>
    <cellStyle name="Normal 39 4 3 2" xfId="38900" xr:uid="{00000000-0005-0000-0000-000050650000}"/>
    <cellStyle name="Normal 39 4 4" xfId="9292" xr:uid="{00000000-0005-0000-0000-000051650000}"/>
    <cellStyle name="Normal 39 4 4 2" xfId="38901" xr:uid="{00000000-0005-0000-0000-000052650000}"/>
    <cellStyle name="Normal 39 4 5" xfId="38902" xr:uid="{00000000-0005-0000-0000-000053650000}"/>
    <cellStyle name="Normal 39 4_01-04-2012" xfId="9293" xr:uid="{00000000-0005-0000-0000-000054650000}"/>
    <cellStyle name="Normal 39 40" xfId="9294" xr:uid="{00000000-0005-0000-0000-000055650000}"/>
    <cellStyle name="Normal 39 40 2" xfId="38903" xr:uid="{00000000-0005-0000-0000-000056650000}"/>
    <cellStyle name="Normal 39 41" xfId="20402" xr:uid="{00000000-0005-0000-0000-000057650000}"/>
    <cellStyle name="Normal 39 41 2" xfId="38904" xr:uid="{00000000-0005-0000-0000-000058650000}"/>
    <cellStyle name="Normal 39 42" xfId="20403" xr:uid="{00000000-0005-0000-0000-000059650000}"/>
    <cellStyle name="Normal 39 43" xfId="20404" xr:uid="{00000000-0005-0000-0000-00005A650000}"/>
    <cellStyle name="Normal 39 44" xfId="20405" xr:uid="{00000000-0005-0000-0000-00005B650000}"/>
    <cellStyle name="Normal 39 45" xfId="20406" xr:uid="{00000000-0005-0000-0000-00005C650000}"/>
    <cellStyle name="Normal 39 46" xfId="20407" xr:uid="{00000000-0005-0000-0000-00005D650000}"/>
    <cellStyle name="Normal 39 47" xfId="33664" xr:uid="{00000000-0005-0000-0000-00005E650000}"/>
    <cellStyle name="Normal 39 5" xfId="9295" xr:uid="{00000000-0005-0000-0000-00005F650000}"/>
    <cellStyle name="Normal 39 5 2" xfId="9296" xr:uid="{00000000-0005-0000-0000-000060650000}"/>
    <cellStyle name="Normal 39 5 2 2" xfId="38905" xr:uid="{00000000-0005-0000-0000-000061650000}"/>
    <cellStyle name="Normal 39 5 3" xfId="9297" xr:uid="{00000000-0005-0000-0000-000062650000}"/>
    <cellStyle name="Normal 39 5 3 2" xfId="38906" xr:uid="{00000000-0005-0000-0000-000063650000}"/>
    <cellStyle name="Normal 39 5 4" xfId="9298" xr:uid="{00000000-0005-0000-0000-000064650000}"/>
    <cellStyle name="Normal 39 5 4 2" xfId="38907" xr:uid="{00000000-0005-0000-0000-000065650000}"/>
    <cellStyle name="Normal 39 5 5" xfId="38908" xr:uid="{00000000-0005-0000-0000-000066650000}"/>
    <cellStyle name="Normal 39 5_01-04-2012" xfId="9299" xr:uid="{00000000-0005-0000-0000-000067650000}"/>
    <cellStyle name="Normal 39 6" xfId="9300" xr:uid="{00000000-0005-0000-0000-000068650000}"/>
    <cellStyle name="Normal 39 6 2" xfId="9301" xr:uid="{00000000-0005-0000-0000-000069650000}"/>
    <cellStyle name="Normal 39 6 2 2" xfId="38909" xr:uid="{00000000-0005-0000-0000-00006A650000}"/>
    <cellStyle name="Normal 39 6 3" xfId="9302" xr:uid="{00000000-0005-0000-0000-00006B650000}"/>
    <cellStyle name="Normal 39 6 3 2" xfId="38910" xr:uid="{00000000-0005-0000-0000-00006C650000}"/>
    <cellStyle name="Normal 39 6 4" xfId="9303" xr:uid="{00000000-0005-0000-0000-00006D650000}"/>
    <cellStyle name="Normal 39 6 4 2" xfId="38911" xr:uid="{00000000-0005-0000-0000-00006E650000}"/>
    <cellStyle name="Normal 39 6 5" xfId="38912" xr:uid="{00000000-0005-0000-0000-00006F650000}"/>
    <cellStyle name="Normal 39 6_01-04-2012" xfId="9304" xr:uid="{00000000-0005-0000-0000-000070650000}"/>
    <cellStyle name="Normal 39 7" xfId="9305" xr:uid="{00000000-0005-0000-0000-000071650000}"/>
    <cellStyle name="Normal 39 7 2" xfId="9306" xr:uid="{00000000-0005-0000-0000-000072650000}"/>
    <cellStyle name="Normal 39 7 2 2" xfId="38913" xr:uid="{00000000-0005-0000-0000-000073650000}"/>
    <cellStyle name="Normal 39 7 3" xfId="9307" xr:uid="{00000000-0005-0000-0000-000074650000}"/>
    <cellStyle name="Normal 39 7 3 2" xfId="38914" xr:uid="{00000000-0005-0000-0000-000075650000}"/>
    <cellStyle name="Normal 39 7 4" xfId="9308" xr:uid="{00000000-0005-0000-0000-000076650000}"/>
    <cellStyle name="Normal 39 7 4 2" xfId="38915" xr:uid="{00000000-0005-0000-0000-000077650000}"/>
    <cellStyle name="Normal 39 7 5" xfId="38916" xr:uid="{00000000-0005-0000-0000-000078650000}"/>
    <cellStyle name="Normal 39 7_01-04-2012" xfId="9309" xr:uid="{00000000-0005-0000-0000-000079650000}"/>
    <cellStyle name="Normal 39 8" xfId="9310" xr:uid="{00000000-0005-0000-0000-00007A650000}"/>
    <cellStyle name="Normal 39 8 2" xfId="9311" xr:uid="{00000000-0005-0000-0000-00007B650000}"/>
    <cellStyle name="Normal 39 8 2 2" xfId="38917" xr:uid="{00000000-0005-0000-0000-00007C650000}"/>
    <cellStyle name="Normal 39 8 3" xfId="9312" xr:uid="{00000000-0005-0000-0000-00007D650000}"/>
    <cellStyle name="Normal 39 8 3 2" xfId="38918" xr:uid="{00000000-0005-0000-0000-00007E650000}"/>
    <cellStyle name="Normal 39 8 4" xfId="9313" xr:uid="{00000000-0005-0000-0000-00007F650000}"/>
    <cellStyle name="Normal 39 8 4 2" xfId="38919" xr:uid="{00000000-0005-0000-0000-000080650000}"/>
    <cellStyle name="Normal 39 8 5" xfId="38920" xr:uid="{00000000-0005-0000-0000-000081650000}"/>
    <cellStyle name="Normal 39 8_01-04-2012" xfId="9314" xr:uid="{00000000-0005-0000-0000-000082650000}"/>
    <cellStyle name="Normal 39 9" xfId="9315" xr:uid="{00000000-0005-0000-0000-000083650000}"/>
    <cellStyle name="Normal 39 9 2" xfId="9316" xr:uid="{00000000-0005-0000-0000-000084650000}"/>
    <cellStyle name="Normal 39 9 2 2" xfId="38921" xr:uid="{00000000-0005-0000-0000-000085650000}"/>
    <cellStyle name="Normal 39 9 3" xfId="9317" xr:uid="{00000000-0005-0000-0000-000086650000}"/>
    <cellStyle name="Normal 39 9 3 2" xfId="38922" xr:uid="{00000000-0005-0000-0000-000087650000}"/>
    <cellStyle name="Normal 39 9 4" xfId="9318" xr:uid="{00000000-0005-0000-0000-000088650000}"/>
    <cellStyle name="Normal 39 9 4 2" xfId="38923" xr:uid="{00000000-0005-0000-0000-000089650000}"/>
    <cellStyle name="Normal 39 9 5" xfId="38924" xr:uid="{00000000-0005-0000-0000-00008A650000}"/>
    <cellStyle name="Normal 39 9_01-04-2012" xfId="9319" xr:uid="{00000000-0005-0000-0000-00008B650000}"/>
    <cellStyle name="Normal 39_01-04-2012" xfId="9320" xr:uid="{00000000-0005-0000-0000-00008C650000}"/>
    <cellStyle name="Normal 390" xfId="20408" xr:uid="{00000000-0005-0000-0000-00008D650000}"/>
    <cellStyle name="Normal 391" xfId="20409" xr:uid="{00000000-0005-0000-0000-00008E650000}"/>
    <cellStyle name="Normal 392" xfId="20410" xr:uid="{00000000-0005-0000-0000-00008F650000}"/>
    <cellStyle name="Normal 393" xfId="20411" xr:uid="{00000000-0005-0000-0000-000090650000}"/>
    <cellStyle name="Normal 394" xfId="20412" xr:uid="{00000000-0005-0000-0000-000091650000}"/>
    <cellStyle name="Normal 395" xfId="20413" xr:uid="{00000000-0005-0000-0000-000092650000}"/>
    <cellStyle name="Normal 396" xfId="20414" xr:uid="{00000000-0005-0000-0000-000093650000}"/>
    <cellStyle name="Normal 397" xfId="20415" xr:uid="{00000000-0005-0000-0000-000094650000}"/>
    <cellStyle name="Normal 398" xfId="20416" xr:uid="{00000000-0005-0000-0000-000095650000}"/>
    <cellStyle name="Normal 399" xfId="20417" xr:uid="{00000000-0005-0000-0000-000096650000}"/>
    <cellStyle name="Normal 4" xfId="4" xr:uid="{00000000-0005-0000-0000-000097650000}"/>
    <cellStyle name="Normal 4 10" xfId="9322" xr:uid="{00000000-0005-0000-0000-000098650000}"/>
    <cellStyle name="Normal 4 10 2" xfId="20418" xr:uid="{00000000-0005-0000-0000-000099650000}"/>
    <cellStyle name="Normal 4 10 2 2" xfId="20419" xr:uid="{00000000-0005-0000-0000-00009A650000}"/>
    <cellStyle name="Normal 4 10 2 3" xfId="20420" xr:uid="{00000000-0005-0000-0000-00009B650000}"/>
    <cellStyle name="Normal 4 10 2 4" xfId="20421" xr:uid="{00000000-0005-0000-0000-00009C650000}"/>
    <cellStyle name="Normal 4 10 2 5" xfId="20422" xr:uid="{00000000-0005-0000-0000-00009D650000}"/>
    <cellStyle name="Normal 4 10 2 6" xfId="20423" xr:uid="{00000000-0005-0000-0000-00009E650000}"/>
    <cellStyle name="Normal 4 10 2 7" xfId="20424" xr:uid="{00000000-0005-0000-0000-00009F650000}"/>
    <cellStyle name="Normal 4 10 3" xfId="20425" xr:uid="{00000000-0005-0000-0000-0000A0650000}"/>
    <cellStyle name="Normal 4 10 4" xfId="20426" xr:uid="{00000000-0005-0000-0000-0000A1650000}"/>
    <cellStyle name="Normal 4 10 5" xfId="20427" xr:uid="{00000000-0005-0000-0000-0000A2650000}"/>
    <cellStyle name="Normal 4 10 6" xfId="20428" xr:uid="{00000000-0005-0000-0000-0000A3650000}"/>
    <cellStyle name="Normal 4 10 7" xfId="20429" xr:uid="{00000000-0005-0000-0000-0000A4650000}"/>
    <cellStyle name="Normal 4 10 8" xfId="20430" xr:uid="{00000000-0005-0000-0000-0000A5650000}"/>
    <cellStyle name="Normal 4 10 9" xfId="20431" xr:uid="{00000000-0005-0000-0000-0000A6650000}"/>
    <cellStyle name="Normal 4 11" xfId="9323" xr:uid="{00000000-0005-0000-0000-0000A7650000}"/>
    <cellStyle name="Normal 4 11 2" xfId="20432" xr:uid="{00000000-0005-0000-0000-0000A8650000}"/>
    <cellStyle name="Normal 4 11 2 2" xfId="20433" xr:uid="{00000000-0005-0000-0000-0000A9650000}"/>
    <cellStyle name="Normal 4 11 2 3" xfId="20434" xr:uid="{00000000-0005-0000-0000-0000AA650000}"/>
    <cellStyle name="Normal 4 11 2 4" xfId="20435" xr:uid="{00000000-0005-0000-0000-0000AB650000}"/>
    <cellStyle name="Normal 4 11 2 5" xfId="20436" xr:uid="{00000000-0005-0000-0000-0000AC650000}"/>
    <cellStyle name="Normal 4 11 2 6" xfId="20437" xr:uid="{00000000-0005-0000-0000-0000AD650000}"/>
    <cellStyle name="Normal 4 11 2 7" xfId="20438" xr:uid="{00000000-0005-0000-0000-0000AE650000}"/>
    <cellStyle name="Normal 4 11 3" xfId="20439" xr:uid="{00000000-0005-0000-0000-0000AF650000}"/>
    <cellStyle name="Normal 4 11 4" xfId="20440" xr:uid="{00000000-0005-0000-0000-0000B0650000}"/>
    <cellStyle name="Normal 4 11 5" xfId="20441" xr:uid="{00000000-0005-0000-0000-0000B1650000}"/>
    <cellStyle name="Normal 4 11 6" xfId="20442" xr:uid="{00000000-0005-0000-0000-0000B2650000}"/>
    <cellStyle name="Normal 4 11 7" xfId="20443" xr:uid="{00000000-0005-0000-0000-0000B3650000}"/>
    <cellStyle name="Normal 4 11 8" xfId="20444" xr:uid="{00000000-0005-0000-0000-0000B4650000}"/>
    <cellStyle name="Normal 4 11 9" xfId="20445" xr:uid="{00000000-0005-0000-0000-0000B5650000}"/>
    <cellStyle name="Normal 4 12" xfId="9324" xr:uid="{00000000-0005-0000-0000-0000B6650000}"/>
    <cellStyle name="Normal 4 12 2" xfId="20446" xr:uid="{00000000-0005-0000-0000-0000B7650000}"/>
    <cellStyle name="Normal 4 12 2 2" xfId="20447" xr:uid="{00000000-0005-0000-0000-0000B8650000}"/>
    <cellStyle name="Normal 4 12 2 3" xfId="20448" xr:uid="{00000000-0005-0000-0000-0000B9650000}"/>
    <cellStyle name="Normal 4 12 2 4" xfId="20449" xr:uid="{00000000-0005-0000-0000-0000BA650000}"/>
    <cellStyle name="Normal 4 12 2 5" xfId="20450" xr:uid="{00000000-0005-0000-0000-0000BB650000}"/>
    <cellStyle name="Normal 4 12 2 6" xfId="20451" xr:uid="{00000000-0005-0000-0000-0000BC650000}"/>
    <cellStyle name="Normal 4 12 2 7" xfId="20452" xr:uid="{00000000-0005-0000-0000-0000BD650000}"/>
    <cellStyle name="Normal 4 12 3" xfId="20453" xr:uid="{00000000-0005-0000-0000-0000BE650000}"/>
    <cellStyle name="Normal 4 12 4" xfId="20454" xr:uid="{00000000-0005-0000-0000-0000BF650000}"/>
    <cellStyle name="Normal 4 12 5" xfId="20455" xr:uid="{00000000-0005-0000-0000-0000C0650000}"/>
    <cellStyle name="Normal 4 12 6" xfId="20456" xr:uid="{00000000-0005-0000-0000-0000C1650000}"/>
    <cellStyle name="Normal 4 12 7" xfId="20457" xr:uid="{00000000-0005-0000-0000-0000C2650000}"/>
    <cellStyle name="Normal 4 12 8" xfId="20458" xr:uid="{00000000-0005-0000-0000-0000C3650000}"/>
    <cellStyle name="Normal 4 12 9" xfId="20459" xr:uid="{00000000-0005-0000-0000-0000C4650000}"/>
    <cellStyle name="Normal 4 13" xfId="9325" xr:uid="{00000000-0005-0000-0000-0000C5650000}"/>
    <cellStyle name="Normal 4 13 2" xfId="20460" xr:uid="{00000000-0005-0000-0000-0000C6650000}"/>
    <cellStyle name="Normal 4 13 2 2" xfId="20461" xr:uid="{00000000-0005-0000-0000-0000C7650000}"/>
    <cellStyle name="Normal 4 13 2 3" xfId="20462" xr:uid="{00000000-0005-0000-0000-0000C8650000}"/>
    <cellStyle name="Normal 4 13 2 4" xfId="20463" xr:uid="{00000000-0005-0000-0000-0000C9650000}"/>
    <cellStyle name="Normal 4 13 2 5" xfId="20464" xr:uid="{00000000-0005-0000-0000-0000CA650000}"/>
    <cellStyle name="Normal 4 13 2 6" xfId="20465" xr:uid="{00000000-0005-0000-0000-0000CB650000}"/>
    <cellStyle name="Normal 4 13 2 7" xfId="20466" xr:uid="{00000000-0005-0000-0000-0000CC650000}"/>
    <cellStyle name="Normal 4 13 3" xfId="20467" xr:uid="{00000000-0005-0000-0000-0000CD650000}"/>
    <cellStyle name="Normal 4 13 4" xfId="20468" xr:uid="{00000000-0005-0000-0000-0000CE650000}"/>
    <cellStyle name="Normal 4 13 5" xfId="20469" xr:uid="{00000000-0005-0000-0000-0000CF650000}"/>
    <cellStyle name="Normal 4 13 6" xfId="20470" xr:uid="{00000000-0005-0000-0000-0000D0650000}"/>
    <cellStyle name="Normal 4 13 7" xfId="20471" xr:uid="{00000000-0005-0000-0000-0000D1650000}"/>
    <cellStyle name="Normal 4 13 8" xfId="20472" xr:uid="{00000000-0005-0000-0000-0000D2650000}"/>
    <cellStyle name="Normal 4 13 9" xfId="20473" xr:uid="{00000000-0005-0000-0000-0000D3650000}"/>
    <cellStyle name="Normal 4 14" xfId="9326" xr:uid="{00000000-0005-0000-0000-0000D4650000}"/>
    <cellStyle name="Normal 4 14 2" xfId="20474" xr:uid="{00000000-0005-0000-0000-0000D5650000}"/>
    <cellStyle name="Normal 4 14 2 2" xfId="20475" xr:uid="{00000000-0005-0000-0000-0000D6650000}"/>
    <cellStyle name="Normal 4 14 2 3" xfId="20476" xr:uid="{00000000-0005-0000-0000-0000D7650000}"/>
    <cellStyle name="Normal 4 14 2 4" xfId="20477" xr:uid="{00000000-0005-0000-0000-0000D8650000}"/>
    <cellStyle name="Normal 4 14 2 5" xfId="20478" xr:uid="{00000000-0005-0000-0000-0000D9650000}"/>
    <cellStyle name="Normal 4 14 2 6" xfId="20479" xr:uid="{00000000-0005-0000-0000-0000DA650000}"/>
    <cellStyle name="Normal 4 14 2 7" xfId="20480" xr:uid="{00000000-0005-0000-0000-0000DB650000}"/>
    <cellStyle name="Normal 4 14 3" xfId="20481" xr:uid="{00000000-0005-0000-0000-0000DC650000}"/>
    <cellStyle name="Normal 4 14 4" xfId="20482" xr:uid="{00000000-0005-0000-0000-0000DD650000}"/>
    <cellStyle name="Normal 4 14 5" xfId="20483" xr:uid="{00000000-0005-0000-0000-0000DE650000}"/>
    <cellStyle name="Normal 4 14 6" xfId="20484" xr:uid="{00000000-0005-0000-0000-0000DF650000}"/>
    <cellStyle name="Normal 4 14 7" xfId="20485" xr:uid="{00000000-0005-0000-0000-0000E0650000}"/>
    <cellStyle name="Normal 4 14 8" xfId="20486" xr:uid="{00000000-0005-0000-0000-0000E1650000}"/>
    <cellStyle name="Normal 4 14 9" xfId="20487" xr:uid="{00000000-0005-0000-0000-0000E2650000}"/>
    <cellStyle name="Normal 4 15" xfId="9327" xr:uid="{00000000-0005-0000-0000-0000E3650000}"/>
    <cellStyle name="Normal 4 15 2" xfId="20488" xr:uid="{00000000-0005-0000-0000-0000E4650000}"/>
    <cellStyle name="Normal 4 15 2 2" xfId="20489" xr:uid="{00000000-0005-0000-0000-0000E5650000}"/>
    <cellStyle name="Normal 4 15 2 3" xfId="20490" xr:uid="{00000000-0005-0000-0000-0000E6650000}"/>
    <cellStyle name="Normal 4 15 2 4" xfId="20491" xr:uid="{00000000-0005-0000-0000-0000E7650000}"/>
    <cellStyle name="Normal 4 15 2 5" xfId="20492" xr:uid="{00000000-0005-0000-0000-0000E8650000}"/>
    <cellStyle name="Normal 4 15 2 6" xfId="20493" xr:uid="{00000000-0005-0000-0000-0000E9650000}"/>
    <cellStyle name="Normal 4 15 2 7" xfId="20494" xr:uid="{00000000-0005-0000-0000-0000EA650000}"/>
    <cellStyle name="Normal 4 15 3" xfId="20495" xr:uid="{00000000-0005-0000-0000-0000EB650000}"/>
    <cellStyle name="Normal 4 15 4" xfId="20496" xr:uid="{00000000-0005-0000-0000-0000EC650000}"/>
    <cellStyle name="Normal 4 15 5" xfId="20497" xr:uid="{00000000-0005-0000-0000-0000ED650000}"/>
    <cellStyle name="Normal 4 15 6" xfId="20498" xr:uid="{00000000-0005-0000-0000-0000EE650000}"/>
    <cellStyle name="Normal 4 15 7" xfId="20499" xr:uid="{00000000-0005-0000-0000-0000EF650000}"/>
    <cellStyle name="Normal 4 15 8" xfId="20500" xr:uid="{00000000-0005-0000-0000-0000F0650000}"/>
    <cellStyle name="Normal 4 15 9" xfId="20501" xr:uid="{00000000-0005-0000-0000-0000F1650000}"/>
    <cellStyle name="Normal 4 16" xfId="9328" xr:uid="{00000000-0005-0000-0000-0000F2650000}"/>
    <cellStyle name="Normal 4 16 2" xfId="20502" xr:uid="{00000000-0005-0000-0000-0000F3650000}"/>
    <cellStyle name="Normal 4 16 2 2" xfId="20503" xr:uid="{00000000-0005-0000-0000-0000F4650000}"/>
    <cellStyle name="Normal 4 16 2 3" xfId="20504" xr:uid="{00000000-0005-0000-0000-0000F5650000}"/>
    <cellStyle name="Normal 4 16 2 4" xfId="20505" xr:uid="{00000000-0005-0000-0000-0000F6650000}"/>
    <cellStyle name="Normal 4 16 2 5" xfId="20506" xr:uid="{00000000-0005-0000-0000-0000F7650000}"/>
    <cellStyle name="Normal 4 16 2 6" xfId="20507" xr:uid="{00000000-0005-0000-0000-0000F8650000}"/>
    <cellStyle name="Normal 4 16 2 7" xfId="20508" xr:uid="{00000000-0005-0000-0000-0000F9650000}"/>
    <cellStyle name="Normal 4 16 3" xfId="20509" xr:uid="{00000000-0005-0000-0000-0000FA650000}"/>
    <cellStyle name="Normal 4 16 4" xfId="20510" xr:uid="{00000000-0005-0000-0000-0000FB650000}"/>
    <cellStyle name="Normal 4 16 5" xfId="20511" xr:uid="{00000000-0005-0000-0000-0000FC650000}"/>
    <cellStyle name="Normal 4 16 6" xfId="20512" xr:uid="{00000000-0005-0000-0000-0000FD650000}"/>
    <cellStyle name="Normal 4 16 7" xfId="20513" xr:uid="{00000000-0005-0000-0000-0000FE650000}"/>
    <cellStyle name="Normal 4 16 8" xfId="20514" xr:uid="{00000000-0005-0000-0000-0000FF650000}"/>
    <cellStyle name="Normal 4 16 9" xfId="20515" xr:uid="{00000000-0005-0000-0000-000000660000}"/>
    <cellStyle name="Normal 4 17" xfId="9329" xr:uid="{00000000-0005-0000-0000-000001660000}"/>
    <cellStyle name="Normal 4 17 2" xfId="20516" xr:uid="{00000000-0005-0000-0000-000002660000}"/>
    <cellStyle name="Normal 4 17 2 2" xfId="20517" xr:uid="{00000000-0005-0000-0000-000003660000}"/>
    <cellStyle name="Normal 4 17 2 3" xfId="20518" xr:uid="{00000000-0005-0000-0000-000004660000}"/>
    <cellStyle name="Normal 4 17 2 4" xfId="20519" xr:uid="{00000000-0005-0000-0000-000005660000}"/>
    <cellStyle name="Normal 4 17 2 5" xfId="20520" xr:uid="{00000000-0005-0000-0000-000006660000}"/>
    <cellStyle name="Normal 4 17 2 6" xfId="20521" xr:uid="{00000000-0005-0000-0000-000007660000}"/>
    <cellStyle name="Normal 4 17 2 7" xfId="20522" xr:uid="{00000000-0005-0000-0000-000008660000}"/>
    <cellStyle name="Normal 4 17 3" xfId="20523" xr:uid="{00000000-0005-0000-0000-000009660000}"/>
    <cellStyle name="Normal 4 17 4" xfId="20524" xr:uid="{00000000-0005-0000-0000-00000A660000}"/>
    <cellStyle name="Normal 4 17 5" xfId="20525" xr:uid="{00000000-0005-0000-0000-00000B660000}"/>
    <cellStyle name="Normal 4 17 6" xfId="20526" xr:uid="{00000000-0005-0000-0000-00000C660000}"/>
    <cellStyle name="Normal 4 17 7" xfId="20527" xr:uid="{00000000-0005-0000-0000-00000D660000}"/>
    <cellStyle name="Normal 4 17 8" xfId="20528" xr:uid="{00000000-0005-0000-0000-00000E660000}"/>
    <cellStyle name="Normal 4 17 9" xfId="20529" xr:uid="{00000000-0005-0000-0000-00000F660000}"/>
    <cellStyle name="Normal 4 18" xfId="9330" xr:uid="{00000000-0005-0000-0000-000010660000}"/>
    <cellStyle name="Normal 4 18 2" xfId="20530" xr:uid="{00000000-0005-0000-0000-000011660000}"/>
    <cellStyle name="Normal 4 18 2 2" xfId="20531" xr:uid="{00000000-0005-0000-0000-000012660000}"/>
    <cellStyle name="Normal 4 18 2 3" xfId="20532" xr:uid="{00000000-0005-0000-0000-000013660000}"/>
    <cellStyle name="Normal 4 18 2 4" xfId="20533" xr:uid="{00000000-0005-0000-0000-000014660000}"/>
    <cellStyle name="Normal 4 18 2 5" xfId="20534" xr:uid="{00000000-0005-0000-0000-000015660000}"/>
    <cellStyle name="Normal 4 18 2 6" xfId="20535" xr:uid="{00000000-0005-0000-0000-000016660000}"/>
    <cellStyle name="Normal 4 18 2 7" xfId="20536" xr:uid="{00000000-0005-0000-0000-000017660000}"/>
    <cellStyle name="Normal 4 18 3" xfId="20537" xr:uid="{00000000-0005-0000-0000-000018660000}"/>
    <cellStyle name="Normal 4 18 4" xfId="20538" xr:uid="{00000000-0005-0000-0000-000019660000}"/>
    <cellStyle name="Normal 4 18 5" xfId="20539" xr:uid="{00000000-0005-0000-0000-00001A660000}"/>
    <cellStyle name="Normal 4 18 6" xfId="20540" xr:uid="{00000000-0005-0000-0000-00001B660000}"/>
    <cellStyle name="Normal 4 18 7" xfId="20541" xr:uid="{00000000-0005-0000-0000-00001C660000}"/>
    <cellStyle name="Normal 4 18 8" xfId="20542" xr:uid="{00000000-0005-0000-0000-00001D660000}"/>
    <cellStyle name="Normal 4 18 9" xfId="20543" xr:uid="{00000000-0005-0000-0000-00001E660000}"/>
    <cellStyle name="Normal 4 19" xfId="9331" xr:uid="{00000000-0005-0000-0000-00001F660000}"/>
    <cellStyle name="Normal 4 19 2" xfId="20544" xr:uid="{00000000-0005-0000-0000-000020660000}"/>
    <cellStyle name="Normal 4 19 2 2" xfId="20545" xr:uid="{00000000-0005-0000-0000-000021660000}"/>
    <cellStyle name="Normal 4 19 2 3" xfId="20546" xr:uid="{00000000-0005-0000-0000-000022660000}"/>
    <cellStyle name="Normal 4 19 2 4" xfId="20547" xr:uid="{00000000-0005-0000-0000-000023660000}"/>
    <cellStyle name="Normal 4 19 2 5" xfId="20548" xr:uid="{00000000-0005-0000-0000-000024660000}"/>
    <cellStyle name="Normal 4 19 2 6" xfId="20549" xr:uid="{00000000-0005-0000-0000-000025660000}"/>
    <cellStyle name="Normal 4 19 2 7" xfId="20550" xr:uid="{00000000-0005-0000-0000-000026660000}"/>
    <cellStyle name="Normal 4 19 3" xfId="20551" xr:uid="{00000000-0005-0000-0000-000027660000}"/>
    <cellStyle name="Normal 4 19 4" xfId="20552" xr:uid="{00000000-0005-0000-0000-000028660000}"/>
    <cellStyle name="Normal 4 19 5" xfId="20553" xr:uid="{00000000-0005-0000-0000-000029660000}"/>
    <cellStyle name="Normal 4 19 6" xfId="20554" xr:uid="{00000000-0005-0000-0000-00002A660000}"/>
    <cellStyle name="Normal 4 19 7" xfId="20555" xr:uid="{00000000-0005-0000-0000-00002B660000}"/>
    <cellStyle name="Normal 4 19 8" xfId="20556" xr:uid="{00000000-0005-0000-0000-00002C660000}"/>
    <cellStyle name="Normal 4 19 9" xfId="20557" xr:uid="{00000000-0005-0000-0000-00002D660000}"/>
    <cellStyle name="Normal 4 2" xfId="9332" xr:uid="{00000000-0005-0000-0000-00002E660000}"/>
    <cellStyle name="Normal 4 2 10" xfId="20558" xr:uid="{00000000-0005-0000-0000-00002F660000}"/>
    <cellStyle name="Normal 4 2 10 2" xfId="20559" xr:uid="{00000000-0005-0000-0000-000030660000}"/>
    <cellStyle name="Normal 4 2 10 2 2" xfId="33666" xr:uid="{00000000-0005-0000-0000-000031660000}"/>
    <cellStyle name="Normal 4 2 10 3" xfId="33667" xr:uid="{00000000-0005-0000-0000-000032660000}"/>
    <cellStyle name="Normal 4 2 11" xfId="20560" xr:uid="{00000000-0005-0000-0000-000033660000}"/>
    <cellStyle name="Normal 4 2 11 2" xfId="20561" xr:uid="{00000000-0005-0000-0000-000034660000}"/>
    <cellStyle name="Normal 4 2 11 2 2" xfId="33668" xr:uid="{00000000-0005-0000-0000-000035660000}"/>
    <cellStyle name="Normal 4 2 11 3" xfId="33669" xr:uid="{00000000-0005-0000-0000-000036660000}"/>
    <cellStyle name="Normal 4 2 12" xfId="20562" xr:uid="{00000000-0005-0000-0000-000037660000}"/>
    <cellStyle name="Normal 4 2 12 2" xfId="33670" xr:uid="{00000000-0005-0000-0000-000038660000}"/>
    <cellStyle name="Normal 4 2 13" xfId="20563" xr:uid="{00000000-0005-0000-0000-000039660000}"/>
    <cellStyle name="Normal 4 2 14" xfId="20564" xr:uid="{00000000-0005-0000-0000-00003A660000}"/>
    <cellStyle name="Normal 4 2 2" xfId="20565" xr:uid="{00000000-0005-0000-0000-00003B660000}"/>
    <cellStyle name="Normal 4 2 2 2" xfId="20566" xr:uid="{00000000-0005-0000-0000-00003C660000}"/>
    <cellStyle name="Normal 4 2 2 2 2" xfId="20567" xr:uid="{00000000-0005-0000-0000-00003D660000}"/>
    <cellStyle name="Normal 4 2 2 2 2 2" xfId="20568" xr:uid="{00000000-0005-0000-0000-00003E660000}"/>
    <cellStyle name="Normal 4 2 2 2 3" xfId="20569" xr:uid="{00000000-0005-0000-0000-00003F660000}"/>
    <cellStyle name="Normal 4 2 2 3" xfId="20570" xr:uid="{00000000-0005-0000-0000-000040660000}"/>
    <cellStyle name="Normal 4 2 2 3 2" xfId="20571" xr:uid="{00000000-0005-0000-0000-000041660000}"/>
    <cellStyle name="Normal 4 2 2 4" xfId="20572" xr:uid="{00000000-0005-0000-0000-000042660000}"/>
    <cellStyle name="Normal 4 2 2 4 2" xfId="33671" xr:uid="{00000000-0005-0000-0000-000043660000}"/>
    <cellStyle name="Normal 4 2 2 5" xfId="20573" xr:uid="{00000000-0005-0000-0000-000044660000}"/>
    <cellStyle name="Normal 4 2 2 6" xfId="20574" xr:uid="{00000000-0005-0000-0000-000045660000}"/>
    <cellStyle name="Normal 4 2 2 7" xfId="20575" xr:uid="{00000000-0005-0000-0000-000046660000}"/>
    <cellStyle name="Normal 4 2 2 8" xfId="20576" xr:uid="{00000000-0005-0000-0000-000047660000}"/>
    <cellStyle name="Normal 4 2 3" xfId="20577" xr:uid="{00000000-0005-0000-0000-000048660000}"/>
    <cellStyle name="Normal 4 2 3 2" xfId="20578" xr:uid="{00000000-0005-0000-0000-000049660000}"/>
    <cellStyle name="Normal 4 2 3 2 2" xfId="20579" xr:uid="{00000000-0005-0000-0000-00004A660000}"/>
    <cellStyle name="Normal 4 2 3 2 2 2" xfId="33672" xr:uid="{00000000-0005-0000-0000-00004B660000}"/>
    <cellStyle name="Normal 4 2 3 2 3" xfId="33673" xr:uid="{00000000-0005-0000-0000-00004C660000}"/>
    <cellStyle name="Normal 4 2 3 3" xfId="20580" xr:uid="{00000000-0005-0000-0000-00004D660000}"/>
    <cellStyle name="Normal 4 2 3 3 2" xfId="33674" xr:uid="{00000000-0005-0000-0000-00004E660000}"/>
    <cellStyle name="Normal 4 2 3 4" xfId="20581" xr:uid="{00000000-0005-0000-0000-00004F660000}"/>
    <cellStyle name="Normal 4 2 4" xfId="20582" xr:uid="{00000000-0005-0000-0000-000050660000}"/>
    <cellStyle name="Normal 4 2 4 2" xfId="20583" xr:uid="{00000000-0005-0000-0000-000051660000}"/>
    <cellStyle name="Normal 4 2 4 2 2" xfId="20584" xr:uid="{00000000-0005-0000-0000-000052660000}"/>
    <cellStyle name="Normal 4 2 4 2 2 2" xfId="33675" xr:uid="{00000000-0005-0000-0000-000053660000}"/>
    <cellStyle name="Normal 4 2 4 2 3" xfId="33676" xr:uid="{00000000-0005-0000-0000-000054660000}"/>
    <cellStyle name="Normal 4 2 4 3" xfId="20585" xr:uid="{00000000-0005-0000-0000-000055660000}"/>
    <cellStyle name="Normal 4 2 4 3 2" xfId="33677" xr:uid="{00000000-0005-0000-0000-000056660000}"/>
    <cellStyle name="Normal 4 2 4 4" xfId="20586" xr:uid="{00000000-0005-0000-0000-000057660000}"/>
    <cellStyle name="Normal 4 2 4 5" xfId="38925" xr:uid="{00000000-0005-0000-0000-000058660000}"/>
    <cellStyle name="Normal 4 2 5" xfId="20587" xr:uid="{00000000-0005-0000-0000-000059660000}"/>
    <cellStyle name="Normal 4 2 5 2" xfId="20588" xr:uid="{00000000-0005-0000-0000-00005A660000}"/>
    <cellStyle name="Normal 4 2 5 2 2" xfId="20589" xr:uid="{00000000-0005-0000-0000-00005B660000}"/>
    <cellStyle name="Normal 4 2 5 2 2 2" xfId="33678" xr:uid="{00000000-0005-0000-0000-00005C660000}"/>
    <cellStyle name="Normal 4 2 5 2 3" xfId="33679" xr:uid="{00000000-0005-0000-0000-00005D660000}"/>
    <cellStyle name="Normal 4 2 5 3" xfId="20590" xr:uid="{00000000-0005-0000-0000-00005E660000}"/>
    <cellStyle name="Normal 4 2 5 3 2" xfId="33680" xr:uid="{00000000-0005-0000-0000-00005F660000}"/>
    <cellStyle name="Normal 4 2 5 4" xfId="33681" xr:uid="{00000000-0005-0000-0000-000060660000}"/>
    <cellStyle name="Normal 4 2 6" xfId="20591" xr:uid="{00000000-0005-0000-0000-000061660000}"/>
    <cellStyle name="Normal 4 2 6 2" xfId="20592" xr:uid="{00000000-0005-0000-0000-000062660000}"/>
    <cellStyle name="Normal 4 2 6 2 2" xfId="20593" xr:uid="{00000000-0005-0000-0000-000063660000}"/>
    <cellStyle name="Normal 4 2 6 2 2 2" xfId="33682" xr:uid="{00000000-0005-0000-0000-000064660000}"/>
    <cellStyle name="Normal 4 2 6 2 3" xfId="33683" xr:uid="{00000000-0005-0000-0000-000065660000}"/>
    <cellStyle name="Normal 4 2 6 3" xfId="20594" xr:uid="{00000000-0005-0000-0000-000066660000}"/>
    <cellStyle name="Normal 4 2 6 3 2" xfId="33684" xr:uid="{00000000-0005-0000-0000-000067660000}"/>
    <cellStyle name="Normal 4 2 6 4" xfId="33685" xr:uid="{00000000-0005-0000-0000-000068660000}"/>
    <cellStyle name="Normal 4 2 7" xfId="20595" xr:uid="{00000000-0005-0000-0000-000069660000}"/>
    <cellStyle name="Normal 4 2 7 2" xfId="20596" xr:uid="{00000000-0005-0000-0000-00006A660000}"/>
    <cellStyle name="Normal 4 2 7 2 2" xfId="20597" xr:uid="{00000000-0005-0000-0000-00006B660000}"/>
    <cellStyle name="Normal 4 2 7 2 2 2" xfId="33686" xr:uid="{00000000-0005-0000-0000-00006C660000}"/>
    <cellStyle name="Normal 4 2 7 2 3" xfId="33687" xr:uid="{00000000-0005-0000-0000-00006D660000}"/>
    <cellStyle name="Normal 4 2 7 3" xfId="20598" xr:uid="{00000000-0005-0000-0000-00006E660000}"/>
    <cellStyle name="Normal 4 2 7 3 2" xfId="33688" xr:uid="{00000000-0005-0000-0000-00006F660000}"/>
    <cellStyle name="Normal 4 2 7 4" xfId="33689" xr:uid="{00000000-0005-0000-0000-000070660000}"/>
    <cellStyle name="Normal 4 2 8" xfId="20599" xr:uid="{00000000-0005-0000-0000-000071660000}"/>
    <cellStyle name="Normal 4 2 8 2" xfId="20600" xr:uid="{00000000-0005-0000-0000-000072660000}"/>
    <cellStyle name="Normal 4 2 8 2 2" xfId="20601" xr:uid="{00000000-0005-0000-0000-000073660000}"/>
    <cellStyle name="Normal 4 2 8 2 2 2" xfId="33690" xr:uid="{00000000-0005-0000-0000-000074660000}"/>
    <cellStyle name="Normal 4 2 8 2 3" xfId="33691" xr:uid="{00000000-0005-0000-0000-000075660000}"/>
    <cellStyle name="Normal 4 2 8 3" xfId="20602" xr:uid="{00000000-0005-0000-0000-000076660000}"/>
    <cellStyle name="Normal 4 2 8 3 2" xfId="33692" xr:uid="{00000000-0005-0000-0000-000077660000}"/>
    <cellStyle name="Normal 4 2 8 4" xfId="33693" xr:uid="{00000000-0005-0000-0000-000078660000}"/>
    <cellStyle name="Normal 4 2 9" xfId="20603" xr:uid="{00000000-0005-0000-0000-000079660000}"/>
    <cellStyle name="Normal 4 2 9 2" xfId="20604" xr:uid="{00000000-0005-0000-0000-00007A660000}"/>
    <cellStyle name="Normal 4 2 9 2 2" xfId="33694" xr:uid="{00000000-0005-0000-0000-00007B660000}"/>
    <cellStyle name="Normal 4 2 9 3" xfId="33695" xr:uid="{00000000-0005-0000-0000-00007C660000}"/>
    <cellStyle name="Normal 4 20" xfId="9333" xr:uid="{00000000-0005-0000-0000-00007D660000}"/>
    <cellStyle name="Normal 4 20 2" xfId="20605" xr:uid="{00000000-0005-0000-0000-00007E660000}"/>
    <cellStyle name="Normal 4 20 2 2" xfId="20606" xr:uid="{00000000-0005-0000-0000-00007F660000}"/>
    <cellStyle name="Normal 4 20 2 3" xfId="20607" xr:uid="{00000000-0005-0000-0000-000080660000}"/>
    <cellStyle name="Normal 4 20 2 4" xfId="20608" xr:uid="{00000000-0005-0000-0000-000081660000}"/>
    <cellStyle name="Normal 4 20 2 5" xfId="20609" xr:uid="{00000000-0005-0000-0000-000082660000}"/>
    <cellStyle name="Normal 4 20 2 6" xfId="20610" xr:uid="{00000000-0005-0000-0000-000083660000}"/>
    <cellStyle name="Normal 4 20 2 7" xfId="20611" xr:uid="{00000000-0005-0000-0000-000084660000}"/>
    <cellStyle name="Normal 4 20 3" xfId="20612" xr:uid="{00000000-0005-0000-0000-000085660000}"/>
    <cellStyle name="Normal 4 20 4" xfId="20613" xr:uid="{00000000-0005-0000-0000-000086660000}"/>
    <cellStyle name="Normal 4 20 5" xfId="20614" xr:uid="{00000000-0005-0000-0000-000087660000}"/>
    <cellStyle name="Normal 4 20 6" xfId="20615" xr:uid="{00000000-0005-0000-0000-000088660000}"/>
    <cellStyle name="Normal 4 20 7" xfId="20616" xr:uid="{00000000-0005-0000-0000-000089660000}"/>
    <cellStyle name="Normal 4 20 8" xfId="20617" xr:uid="{00000000-0005-0000-0000-00008A660000}"/>
    <cellStyle name="Normal 4 20 9" xfId="20618" xr:uid="{00000000-0005-0000-0000-00008B660000}"/>
    <cellStyle name="Normal 4 21" xfId="9334" xr:uid="{00000000-0005-0000-0000-00008C660000}"/>
    <cellStyle name="Normal 4 21 2" xfId="20619" xr:uid="{00000000-0005-0000-0000-00008D660000}"/>
    <cellStyle name="Normal 4 21 2 2" xfId="20620" xr:uid="{00000000-0005-0000-0000-00008E660000}"/>
    <cellStyle name="Normal 4 21 2 3" xfId="20621" xr:uid="{00000000-0005-0000-0000-00008F660000}"/>
    <cellStyle name="Normal 4 21 2 4" xfId="20622" xr:uid="{00000000-0005-0000-0000-000090660000}"/>
    <cellStyle name="Normal 4 21 2 5" xfId="20623" xr:uid="{00000000-0005-0000-0000-000091660000}"/>
    <cellStyle name="Normal 4 21 2 6" xfId="20624" xr:uid="{00000000-0005-0000-0000-000092660000}"/>
    <cellStyle name="Normal 4 21 2 7" xfId="20625" xr:uid="{00000000-0005-0000-0000-000093660000}"/>
    <cellStyle name="Normal 4 21 3" xfId="20626" xr:uid="{00000000-0005-0000-0000-000094660000}"/>
    <cellStyle name="Normal 4 21 4" xfId="20627" xr:uid="{00000000-0005-0000-0000-000095660000}"/>
    <cellStyle name="Normal 4 21 5" xfId="20628" xr:uid="{00000000-0005-0000-0000-000096660000}"/>
    <cellStyle name="Normal 4 21 6" xfId="20629" xr:uid="{00000000-0005-0000-0000-000097660000}"/>
    <cellStyle name="Normal 4 21 7" xfId="20630" xr:uid="{00000000-0005-0000-0000-000098660000}"/>
    <cellStyle name="Normal 4 21 8" xfId="20631" xr:uid="{00000000-0005-0000-0000-000099660000}"/>
    <cellStyle name="Normal 4 21 9" xfId="20632" xr:uid="{00000000-0005-0000-0000-00009A660000}"/>
    <cellStyle name="Normal 4 22" xfId="9335" xr:uid="{00000000-0005-0000-0000-00009B660000}"/>
    <cellStyle name="Normal 4 22 2" xfId="20633" xr:uid="{00000000-0005-0000-0000-00009C660000}"/>
    <cellStyle name="Normal 4 22 2 2" xfId="20634" xr:uid="{00000000-0005-0000-0000-00009D660000}"/>
    <cellStyle name="Normal 4 22 2 3" xfId="20635" xr:uid="{00000000-0005-0000-0000-00009E660000}"/>
    <cellStyle name="Normal 4 22 2 4" xfId="20636" xr:uid="{00000000-0005-0000-0000-00009F660000}"/>
    <cellStyle name="Normal 4 22 2 5" xfId="20637" xr:uid="{00000000-0005-0000-0000-0000A0660000}"/>
    <cellStyle name="Normal 4 22 2 6" xfId="20638" xr:uid="{00000000-0005-0000-0000-0000A1660000}"/>
    <cellStyle name="Normal 4 22 2 7" xfId="20639" xr:uid="{00000000-0005-0000-0000-0000A2660000}"/>
    <cellStyle name="Normal 4 22 3" xfId="20640" xr:uid="{00000000-0005-0000-0000-0000A3660000}"/>
    <cellStyle name="Normal 4 22 4" xfId="20641" xr:uid="{00000000-0005-0000-0000-0000A4660000}"/>
    <cellStyle name="Normal 4 22 5" xfId="20642" xr:uid="{00000000-0005-0000-0000-0000A5660000}"/>
    <cellStyle name="Normal 4 22 6" xfId="20643" xr:uid="{00000000-0005-0000-0000-0000A6660000}"/>
    <cellStyle name="Normal 4 22 7" xfId="20644" xr:uid="{00000000-0005-0000-0000-0000A7660000}"/>
    <cellStyle name="Normal 4 22 8" xfId="20645" xr:uid="{00000000-0005-0000-0000-0000A8660000}"/>
    <cellStyle name="Normal 4 22 9" xfId="20646" xr:uid="{00000000-0005-0000-0000-0000A9660000}"/>
    <cellStyle name="Normal 4 23" xfId="9336" xr:uid="{00000000-0005-0000-0000-0000AA660000}"/>
    <cellStyle name="Normal 4 23 2" xfId="20647" xr:uid="{00000000-0005-0000-0000-0000AB660000}"/>
    <cellStyle name="Normal 4 23 3" xfId="20648" xr:uid="{00000000-0005-0000-0000-0000AC660000}"/>
    <cellStyle name="Normal 4 23 4" xfId="20649" xr:uid="{00000000-0005-0000-0000-0000AD660000}"/>
    <cellStyle name="Normal 4 23 5" xfId="20650" xr:uid="{00000000-0005-0000-0000-0000AE660000}"/>
    <cellStyle name="Normal 4 23 6" xfId="20651" xr:uid="{00000000-0005-0000-0000-0000AF660000}"/>
    <cellStyle name="Normal 4 23 7" xfId="20652" xr:uid="{00000000-0005-0000-0000-0000B0660000}"/>
    <cellStyle name="Normal 4 23 8" xfId="20653" xr:uid="{00000000-0005-0000-0000-0000B1660000}"/>
    <cellStyle name="Normal 4 24" xfId="9337" xr:uid="{00000000-0005-0000-0000-0000B2660000}"/>
    <cellStyle name="Normal 4 24 2" xfId="20654" xr:uid="{00000000-0005-0000-0000-0000B3660000}"/>
    <cellStyle name="Normal 4 24 3" xfId="20655" xr:uid="{00000000-0005-0000-0000-0000B4660000}"/>
    <cellStyle name="Normal 4 24 4" xfId="20656" xr:uid="{00000000-0005-0000-0000-0000B5660000}"/>
    <cellStyle name="Normal 4 24 5" xfId="20657" xr:uid="{00000000-0005-0000-0000-0000B6660000}"/>
    <cellStyle name="Normal 4 24 6" xfId="20658" xr:uid="{00000000-0005-0000-0000-0000B7660000}"/>
    <cellStyle name="Normal 4 24 7" xfId="20659" xr:uid="{00000000-0005-0000-0000-0000B8660000}"/>
    <cellStyle name="Normal 4 24 8" xfId="20660" xr:uid="{00000000-0005-0000-0000-0000B9660000}"/>
    <cellStyle name="Normal 4 25" xfId="9338" xr:uid="{00000000-0005-0000-0000-0000BA660000}"/>
    <cellStyle name="Normal 4 25 2" xfId="20661" xr:uid="{00000000-0005-0000-0000-0000BB660000}"/>
    <cellStyle name="Normal 4 25 3" xfId="20662" xr:uid="{00000000-0005-0000-0000-0000BC660000}"/>
    <cellStyle name="Normal 4 25 4" xfId="20663" xr:uid="{00000000-0005-0000-0000-0000BD660000}"/>
    <cellStyle name="Normal 4 25 5" xfId="20664" xr:uid="{00000000-0005-0000-0000-0000BE660000}"/>
    <cellStyle name="Normal 4 25 6" xfId="20665" xr:uid="{00000000-0005-0000-0000-0000BF660000}"/>
    <cellStyle name="Normal 4 25 7" xfId="20666" xr:uid="{00000000-0005-0000-0000-0000C0660000}"/>
    <cellStyle name="Normal 4 25 8" xfId="20667" xr:uid="{00000000-0005-0000-0000-0000C1660000}"/>
    <cellStyle name="Normal 4 26" xfId="9339" xr:uid="{00000000-0005-0000-0000-0000C2660000}"/>
    <cellStyle name="Normal 4 26 2" xfId="20668" xr:uid="{00000000-0005-0000-0000-0000C3660000}"/>
    <cellStyle name="Normal 4 26 3" xfId="20669" xr:uid="{00000000-0005-0000-0000-0000C4660000}"/>
    <cellStyle name="Normal 4 26 4" xfId="20670" xr:uid="{00000000-0005-0000-0000-0000C5660000}"/>
    <cellStyle name="Normal 4 26 5" xfId="20671" xr:uid="{00000000-0005-0000-0000-0000C6660000}"/>
    <cellStyle name="Normal 4 26 6" xfId="20672" xr:uid="{00000000-0005-0000-0000-0000C7660000}"/>
    <cellStyle name="Normal 4 26 7" xfId="20673" xr:uid="{00000000-0005-0000-0000-0000C8660000}"/>
    <cellStyle name="Normal 4 26 8" xfId="20674" xr:uid="{00000000-0005-0000-0000-0000C9660000}"/>
    <cellStyle name="Normal 4 27" xfId="9340" xr:uid="{00000000-0005-0000-0000-0000CA660000}"/>
    <cellStyle name="Normal 4 27 2" xfId="20675" xr:uid="{00000000-0005-0000-0000-0000CB660000}"/>
    <cellStyle name="Normal 4 27 3" xfId="20676" xr:uid="{00000000-0005-0000-0000-0000CC660000}"/>
    <cellStyle name="Normal 4 27 4" xfId="20677" xr:uid="{00000000-0005-0000-0000-0000CD660000}"/>
    <cellStyle name="Normal 4 27 5" xfId="20678" xr:uid="{00000000-0005-0000-0000-0000CE660000}"/>
    <cellStyle name="Normal 4 27 6" xfId="20679" xr:uid="{00000000-0005-0000-0000-0000CF660000}"/>
    <cellStyle name="Normal 4 27 7" xfId="20680" xr:uid="{00000000-0005-0000-0000-0000D0660000}"/>
    <cellStyle name="Normal 4 27 8" xfId="20681" xr:uid="{00000000-0005-0000-0000-0000D1660000}"/>
    <cellStyle name="Normal 4 28" xfId="9341" xr:uid="{00000000-0005-0000-0000-0000D2660000}"/>
    <cellStyle name="Normal 4 28 2" xfId="20682" xr:uid="{00000000-0005-0000-0000-0000D3660000}"/>
    <cellStyle name="Normal 4 28 3" xfId="20683" xr:uid="{00000000-0005-0000-0000-0000D4660000}"/>
    <cellStyle name="Normal 4 28 4" xfId="20684" xr:uid="{00000000-0005-0000-0000-0000D5660000}"/>
    <cellStyle name="Normal 4 28 5" xfId="20685" xr:uid="{00000000-0005-0000-0000-0000D6660000}"/>
    <cellStyle name="Normal 4 28 6" xfId="20686" xr:uid="{00000000-0005-0000-0000-0000D7660000}"/>
    <cellStyle name="Normal 4 28 7" xfId="20687" xr:uid="{00000000-0005-0000-0000-0000D8660000}"/>
    <cellStyle name="Normal 4 28 8" xfId="20688" xr:uid="{00000000-0005-0000-0000-0000D9660000}"/>
    <cellStyle name="Normal 4 29" xfId="9342" xr:uid="{00000000-0005-0000-0000-0000DA660000}"/>
    <cellStyle name="Normal 4 29 2" xfId="20689" xr:uid="{00000000-0005-0000-0000-0000DB660000}"/>
    <cellStyle name="Normal 4 29 3" xfId="20690" xr:uid="{00000000-0005-0000-0000-0000DC660000}"/>
    <cellStyle name="Normal 4 29 4" xfId="20691" xr:uid="{00000000-0005-0000-0000-0000DD660000}"/>
    <cellStyle name="Normal 4 29 5" xfId="20692" xr:uid="{00000000-0005-0000-0000-0000DE660000}"/>
    <cellStyle name="Normal 4 29 6" xfId="20693" xr:uid="{00000000-0005-0000-0000-0000DF660000}"/>
    <cellStyle name="Normal 4 29 7" xfId="20694" xr:uid="{00000000-0005-0000-0000-0000E0660000}"/>
    <cellStyle name="Normal 4 29 8" xfId="20695" xr:uid="{00000000-0005-0000-0000-0000E1660000}"/>
    <cellStyle name="Normal 4 3" xfId="9343" xr:uid="{00000000-0005-0000-0000-0000E2660000}"/>
    <cellStyle name="Normal 4 3 10" xfId="20696" xr:uid="{00000000-0005-0000-0000-0000E3660000}"/>
    <cellStyle name="Normal 4 3 10 2" xfId="20697" xr:uid="{00000000-0005-0000-0000-0000E4660000}"/>
    <cellStyle name="Normal 4 3 10 2 2" xfId="33696" xr:uid="{00000000-0005-0000-0000-0000E5660000}"/>
    <cellStyle name="Normal 4 3 10 3" xfId="33697" xr:uid="{00000000-0005-0000-0000-0000E6660000}"/>
    <cellStyle name="Normal 4 3 11" xfId="20698" xr:uid="{00000000-0005-0000-0000-0000E7660000}"/>
    <cellStyle name="Normal 4 3 11 2" xfId="20699" xr:uid="{00000000-0005-0000-0000-0000E8660000}"/>
    <cellStyle name="Normal 4 3 11 2 2" xfId="33698" xr:uid="{00000000-0005-0000-0000-0000E9660000}"/>
    <cellStyle name="Normal 4 3 11 3" xfId="33699" xr:uid="{00000000-0005-0000-0000-0000EA660000}"/>
    <cellStyle name="Normal 4 3 12" xfId="20700" xr:uid="{00000000-0005-0000-0000-0000EB660000}"/>
    <cellStyle name="Normal 4 3 12 2" xfId="33700" xr:uid="{00000000-0005-0000-0000-0000EC660000}"/>
    <cellStyle name="Normal 4 3 13" xfId="20701" xr:uid="{00000000-0005-0000-0000-0000ED660000}"/>
    <cellStyle name="Normal 4 3 14" xfId="20702" xr:uid="{00000000-0005-0000-0000-0000EE660000}"/>
    <cellStyle name="Normal 4 3 2" xfId="20703" xr:uid="{00000000-0005-0000-0000-0000EF660000}"/>
    <cellStyle name="Normal 4 3 2 2" xfId="20704" xr:uid="{00000000-0005-0000-0000-0000F0660000}"/>
    <cellStyle name="Normal 4 3 2 2 2" xfId="20705" xr:uid="{00000000-0005-0000-0000-0000F1660000}"/>
    <cellStyle name="Normal 4 3 2 2 2 2" xfId="33701" xr:uid="{00000000-0005-0000-0000-0000F2660000}"/>
    <cellStyle name="Normal 4 3 2 2 3" xfId="33702" xr:uid="{00000000-0005-0000-0000-0000F3660000}"/>
    <cellStyle name="Normal 4 3 2 3" xfId="20706" xr:uid="{00000000-0005-0000-0000-0000F4660000}"/>
    <cellStyle name="Normal 4 3 2 3 2" xfId="33703" xr:uid="{00000000-0005-0000-0000-0000F5660000}"/>
    <cellStyle name="Normal 4 3 2 4" xfId="33704" xr:uid="{00000000-0005-0000-0000-0000F6660000}"/>
    <cellStyle name="Normal 4 3 2 5" xfId="38926" xr:uid="{00000000-0005-0000-0000-0000F7660000}"/>
    <cellStyle name="Normal 4 3 3" xfId="20707" xr:uid="{00000000-0005-0000-0000-0000F8660000}"/>
    <cellStyle name="Normal 4 3 3 2" xfId="20708" xr:uid="{00000000-0005-0000-0000-0000F9660000}"/>
    <cellStyle name="Normal 4 3 3 2 2" xfId="20709" xr:uid="{00000000-0005-0000-0000-0000FA660000}"/>
    <cellStyle name="Normal 4 3 3 2 2 2" xfId="33705" xr:uid="{00000000-0005-0000-0000-0000FB660000}"/>
    <cellStyle name="Normal 4 3 3 2 3" xfId="33706" xr:uid="{00000000-0005-0000-0000-0000FC660000}"/>
    <cellStyle name="Normal 4 3 3 3" xfId="20710" xr:uid="{00000000-0005-0000-0000-0000FD660000}"/>
    <cellStyle name="Normal 4 3 3 3 2" xfId="33707" xr:uid="{00000000-0005-0000-0000-0000FE660000}"/>
    <cellStyle name="Normal 4 3 3 4" xfId="33708" xr:uid="{00000000-0005-0000-0000-0000FF660000}"/>
    <cellStyle name="Normal 4 3 4" xfId="20711" xr:uid="{00000000-0005-0000-0000-000000670000}"/>
    <cellStyle name="Normal 4 3 4 2" xfId="20712" xr:uid="{00000000-0005-0000-0000-000001670000}"/>
    <cellStyle name="Normal 4 3 4 2 2" xfId="20713" xr:uid="{00000000-0005-0000-0000-000002670000}"/>
    <cellStyle name="Normal 4 3 4 2 2 2" xfId="33709" xr:uid="{00000000-0005-0000-0000-000003670000}"/>
    <cellStyle name="Normal 4 3 4 2 3" xfId="33710" xr:uid="{00000000-0005-0000-0000-000004670000}"/>
    <cellStyle name="Normal 4 3 4 3" xfId="20714" xr:uid="{00000000-0005-0000-0000-000005670000}"/>
    <cellStyle name="Normal 4 3 4 3 2" xfId="33711" xr:uid="{00000000-0005-0000-0000-000006670000}"/>
    <cellStyle name="Normal 4 3 4 4" xfId="33712" xr:uid="{00000000-0005-0000-0000-000007670000}"/>
    <cellStyle name="Normal 4 3 5" xfId="20715" xr:uid="{00000000-0005-0000-0000-000008670000}"/>
    <cellStyle name="Normal 4 3 5 2" xfId="20716" xr:uid="{00000000-0005-0000-0000-000009670000}"/>
    <cellStyle name="Normal 4 3 5 2 2" xfId="20717" xr:uid="{00000000-0005-0000-0000-00000A670000}"/>
    <cellStyle name="Normal 4 3 5 2 2 2" xfId="33713" xr:uid="{00000000-0005-0000-0000-00000B670000}"/>
    <cellStyle name="Normal 4 3 5 2 3" xfId="33714" xr:uid="{00000000-0005-0000-0000-00000C670000}"/>
    <cellStyle name="Normal 4 3 5 3" xfId="20718" xr:uid="{00000000-0005-0000-0000-00000D670000}"/>
    <cellStyle name="Normal 4 3 5 3 2" xfId="33715" xr:uid="{00000000-0005-0000-0000-00000E670000}"/>
    <cellStyle name="Normal 4 3 5 4" xfId="33716" xr:uid="{00000000-0005-0000-0000-00000F670000}"/>
    <cellStyle name="Normal 4 3 6" xfId="20719" xr:uid="{00000000-0005-0000-0000-000010670000}"/>
    <cellStyle name="Normal 4 3 6 2" xfId="20720" xr:uid="{00000000-0005-0000-0000-000011670000}"/>
    <cellStyle name="Normal 4 3 6 2 2" xfId="20721" xr:uid="{00000000-0005-0000-0000-000012670000}"/>
    <cellStyle name="Normal 4 3 6 2 2 2" xfId="33717" xr:uid="{00000000-0005-0000-0000-000013670000}"/>
    <cellStyle name="Normal 4 3 6 2 3" xfId="33718" xr:uid="{00000000-0005-0000-0000-000014670000}"/>
    <cellStyle name="Normal 4 3 6 3" xfId="20722" xr:uid="{00000000-0005-0000-0000-000015670000}"/>
    <cellStyle name="Normal 4 3 6 3 2" xfId="33719" xr:uid="{00000000-0005-0000-0000-000016670000}"/>
    <cellStyle name="Normal 4 3 6 4" xfId="33720" xr:uid="{00000000-0005-0000-0000-000017670000}"/>
    <cellStyle name="Normal 4 3 7" xfId="20723" xr:uid="{00000000-0005-0000-0000-000018670000}"/>
    <cellStyle name="Normal 4 3 7 2" xfId="20724" xr:uid="{00000000-0005-0000-0000-000019670000}"/>
    <cellStyle name="Normal 4 3 7 2 2" xfId="20725" xr:uid="{00000000-0005-0000-0000-00001A670000}"/>
    <cellStyle name="Normal 4 3 7 2 2 2" xfId="33721" xr:uid="{00000000-0005-0000-0000-00001B670000}"/>
    <cellStyle name="Normal 4 3 7 2 3" xfId="33722" xr:uid="{00000000-0005-0000-0000-00001C670000}"/>
    <cellStyle name="Normal 4 3 7 3" xfId="20726" xr:uid="{00000000-0005-0000-0000-00001D670000}"/>
    <cellStyle name="Normal 4 3 7 3 2" xfId="33723" xr:uid="{00000000-0005-0000-0000-00001E670000}"/>
    <cellStyle name="Normal 4 3 7 4" xfId="33724" xr:uid="{00000000-0005-0000-0000-00001F670000}"/>
    <cellStyle name="Normal 4 3 8" xfId="20727" xr:uid="{00000000-0005-0000-0000-000020670000}"/>
    <cellStyle name="Normal 4 3 8 2" xfId="20728" xr:uid="{00000000-0005-0000-0000-000021670000}"/>
    <cellStyle name="Normal 4 3 8 2 2" xfId="20729" xr:uid="{00000000-0005-0000-0000-000022670000}"/>
    <cellStyle name="Normal 4 3 8 2 2 2" xfId="33725" xr:uid="{00000000-0005-0000-0000-000023670000}"/>
    <cellStyle name="Normal 4 3 8 2 3" xfId="33726" xr:uid="{00000000-0005-0000-0000-000024670000}"/>
    <cellStyle name="Normal 4 3 8 3" xfId="20730" xr:uid="{00000000-0005-0000-0000-000025670000}"/>
    <cellStyle name="Normal 4 3 8 3 2" xfId="33727" xr:uid="{00000000-0005-0000-0000-000026670000}"/>
    <cellStyle name="Normal 4 3 8 4" xfId="33728" xr:uid="{00000000-0005-0000-0000-000027670000}"/>
    <cellStyle name="Normal 4 3 9" xfId="20731" xr:uid="{00000000-0005-0000-0000-000028670000}"/>
    <cellStyle name="Normal 4 3 9 2" xfId="20732" xr:uid="{00000000-0005-0000-0000-000029670000}"/>
    <cellStyle name="Normal 4 3 9 2 2" xfId="33729" xr:uid="{00000000-0005-0000-0000-00002A670000}"/>
    <cellStyle name="Normal 4 3 9 3" xfId="33730" xr:uid="{00000000-0005-0000-0000-00002B670000}"/>
    <cellStyle name="Normal 4 30" xfId="9344" xr:uid="{00000000-0005-0000-0000-00002C670000}"/>
    <cellStyle name="Normal 4 30 2" xfId="20733" xr:uid="{00000000-0005-0000-0000-00002D670000}"/>
    <cellStyle name="Normal 4 30 3" xfId="20734" xr:uid="{00000000-0005-0000-0000-00002E670000}"/>
    <cellStyle name="Normal 4 30 4" xfId="20735" xr:uid="{00000000-0005-0000-0000-00002F670000}"/>
    <cellStyle name="Normal 4 30 5" xfId="20736" xr:uid="{00000000-0005-0000-0000-000030670000}"/>
    <cellStyle name="Normal 4 30 6" xfId="20737" xr:uid="{00000000-0005-0000-0000-000031670000}"/>
    <cellStyle name="Normal 4 30 7" xfId="20738" xr:uid="{00000000-0005-0000-0000-000032670000}"/>
    <cellStyle name="Normal 4 30 8" xfId="20739" xr:uid="{00000000-0005-0000-0000-000033670000}"/>
    <cellStyle name="Normal 4 31" xfId="9345" xr:uid="{00000000-0005-0000-0000-000034670000}"/>
    <cellStyle name="Normal 4 31 2" xfId="20740" xr:uid="{00000000-0005-0000-0000-000035670000}"/>
    <cellStyle name="Normal 4 31 3" xfId="20741" xr:uid="{00000000-0005-0000-0000-000036670000}"/>
    <cellStyle name="Normal 4 31 4" xfId="20742" xr:uid="{00000000-0005-0000-0000-000037670000}"/>
    <cellStyle name="Normal 4 31 5" xfId="20743" xr:uid="{00000000-0005-0000-0000-000038670000}"/>
    <cellStyle name="Normal 4 31 6" xfId="20744" xr:uid="{00000000-0005-0000-0000-000039670000}"/>
    <cellStyle name="Normal 4 31 7" xfId="20745" xr:uid="{00000000-0005-0000-0000-00003A670000}"/>
    <cellStyle name="Normal 4 31 8" xfId="20746" xr:uid="{00000000-0005-0000-0000-00003B670000}"/>
    <cellStyle name="Normal 4 32" xfId="9346" xr:uid="{00000000-0005-0000-0000-00003C670000}"/>
    <cellStyle name="Normal 4 32 2" xfId="20747" xr:uid="{00000000-0005-0000-0000-00003D670000}"/>
    <cellStyle name="Normal 4 32 3" xfId="20748" xr:uid="{00000000-0005-0000-0000-00003E670000}"/>
    <cellStyle name="Normal 4 32 4" xfId="20749" xr:uid="{00000000-0005-0000-0000-00003F670000}"/>
    <cellStyle name="Normal 4 32 5" xfId="20750" xr:uid="{00000000-0005-0000-0000-000040670000}"/>
    <cellStyle name="Normal 4 32 6" xfId="20751" xr:uid="{00000000-0005-0000-0000-000041670000}"/>
    <cellStyle name="Normal 4 32 7" xfId="20752" xr:uid="{00000000-0005-0000-0000-000042670000}"/>
    <cellStyle name="Normal 4 32 8" xfId="20753" xr:uid="{00000000-0005-0000-0000-000043670000}"/>
    <cellStyle name="Normal 4 33" xfId="9347" xr:uid="{00000000-0005-0000-0000-000044670000}"/>
    <cellStyle name="Normal 4 33 2" xfId="20754" xr:uid="{00000000-0005-0000-0000-000045670000}"/>
    <cellStyle name="Normal 4 33 3" xfId="20755" xr:uid="{00000000-0005-0000-0000-000046670000}"/>
    <cellStyle name="Normal 4 33 4" xfId="20756" xr:uid="{00000000-0005-0000-0000-000047670000}"/>
    <cellStyle name="Normal 4 33 5" xfId="20757" xr:uid="{00000000-0005-0000-0000-000048670000}"/>
    <cellStyle name="Normal 4 33 6" xfId="20758" xr:uid="{00000000-0005-0000-0000-000049670000}"/>
    <cellStyle name="Normal 4 33 7" xfId="20759" xr:uid="{00000000-0005-0000-0000-00004A670000}"/>
    <cellStyle name="Normal 4 33 8" xfId="20760" xr:uid="{00000000-0005-0000-0000-00004B670000}"/>
    <cellStyle name="Normal 4 34" xfId="9348" xr:uid="{00000000-0005-0000-0000-00004C670000}"/>
    <cellStyle name="Normal 4 34 2" xfId="20761" xr:uid="{00000000-0005-0000-0000-00004D670000}"/>
    <cellStyle name="Normal 4 34 3" xfId="20762" xr:uid="{00000000-0005-0000-0000-00004E670000}"/>
    <cellStyle name="Normal 4 34 4" xfId="20763" xr:uid="{00000000-0005-0000-0000-00004F670000}"/>
    <cellStyle name="Normal 4 34 5" xfId="20764" xr:uid="{00000000-0005-0000-0000-000050670000}"/>
    <cellStyle name="Normal 4 34 6" xfId="20765" xr:uid="{00000000-0005-0000-0000-000051670000}"/>
    <cellStyle name="Normal 4 34 7" xfId="20766" xr:uid="{00000000-0005-0000-0000-000052670000}"/>
    <cellStyle name="Normal 4 34 8" xfId="20767" xr:uid="{00000000-0005-0000-0000-000053670000}"/>
    <cellStyle name="Normal 4 35" xfId="9349" xr:uid="{00000000-0005-0000-0000-000054670000}"/>
    <cellStyle name="Normal 4 35 2" xfId="20768" xr:uid="{00000000-0005-0000-0000-000055670000}"/>
    <cellStyle name="Normal 4 35 3" xfId="20769" xr:uid="{00000000-0005-0000-0000-000056670000}"/>
    <cellStyle name="Normal 4 35 4" xfId="20770" xr:uid="{00000000-0005-0000-0000-000057670000}"/>
    <cellStyle name="Normal 4 35 5" xfId="20771" xr:uid="{00000000-0005-0000-0000-000058670000}"/>
    <cellStyle name="Normal 4 35 6" xfId="20772" xr:uid="{00000000-0005-0000-0000-000059670000}"/>
    <cellStyle name="Normal 4 35 7" xfId="20773" xr:uid="{00000000-0005-0000-0000-00005A670000}"/>
    <cellStyle name="Normal 4 35 8" xfId="20774" xr:uid="{00000000-0005-0000-0000-00005B670000}"/>
    <cellStyle name="Normal 4 36" xfId="9350" xr:uid="{00000000-0005-0000-0000-00005C670000}"/>
    <cellStyle name="Normal 4 36 2" xfId="20775" xr:uid="{00000000-0005-0000-0000-00005D670000}"/>
    <cellStyle name="Normal 4 36 3" xfId="20776" xr:uid="{00000000-0005-0000-0000-00005E670000}"/>
    <cellStyle name="Normal 4 36 4" xfId="20777" xr:uid="{00000000-0005-0000-0000-00005F670000}"/>
    <cellStyle name="Normal 4 36 5" xfId="20778" xr:uid="{00000000-0005-0000-0000-000060670000}"/>
    <cellStyle name="Normal 4 36 6" xfId="20779" xr:uid="{00000000-0005-0000-0000-000061670000}"/>
    <cellStyle name="Normal 4 36 7" xfId="20780" xr:uid="{00000000-0005-0000-0000-000062670000}"/>
    <cellStyle name="Normal 4 36 8" xfId="20781" xr:uid="{00000000-0005-0000-0000-000063670000}"/>
    <cellStyle name="Normal 4 37" xfId="9351" xr:uid="{00000000-0005-0000-0000-000064670000}"/>
    <cellStyle name="Normal 4 37 2" xfId="20782" xr:uid="{00000000-0005-0000-0000-000065670000}"/>
    <cellStyle name="Normal 4 37 3" xfId="20783" xr:uid="{00000000-0005-0000-0000-000066670000}"/>
    <cellStyle name="Normal 4 37 4" xfId="20784" xr:uid="{00000000-0005-0000-0000-000067670000}"/>
    <cellStyle name="Normal 4 37 5" xfId="20785" xr:uid="{00000000-0005-0000-0000-000068670000}"/>
    <cellStyle name="Normal 4 37 6" xfId="20786" xr:uid="{00000000-0005-0000-0000-000069670000}"/>
    <cellStyle name="Normal 4 37 7" xfId="20787" xr:uid="{00000000-0005-0000-0000-00006A670000}"/>
    <cellStyle name="Normal 4 37 8" xfId="20788" xr:uid="{00000000-0005-0000-0000-00006B670000}"/>
    <cellStyle name="Normal 4 38" xfId="9352" xr:uid="{00000000-0005-0000-0000-00006C670000}"/>
    <cellStyle name="Normal 4 38 2" xfId="20789" xr:uid="{00000000-0005-0000-0000-00006D670000}"/>
    <cellStyle name="Normal 4 38 3" xfId="20790" xr:uid="{00000000-0005-0000-0000-00006E670000}"/>
    <cellStyle name="Normal 4 38 4" xfId="20791" xr:uid="{00000000-0005-0000-0000-00006F670000}"/>
    <cellStyle name="Normal 4 38 5" xfId="20792" xr:uid="{00000000-0005-0000-0000-000070670000}"/>
    <cellStyle name="Normal 4 38 6" xfId="20793" xr:uid="{00000000-0005-0000-0000-000071670000}"/>
    <cellStyle name="Normal 4 38 7" xfId="20794" xr:uid="{00000000-0005-0000-0000-000072670000}"/>
    <cellStyle name="Normal 4 38 8" xfId="20795" xr:uid="{00000000-0005-0000-0000-000073670000}"/>
    <cellStyle name="Normal 4 39" xfId="9353" xr:uid="{00000000-0005-0000-0000-000074670000}"/>
    <cellStyle name="Normal 4 39 2" xfId="20796" xr:uid="{00000000-0005-0000-0000-000075670000}"/>
    <cellStyle name="Normal 4 39 3" xfId="20797" xr:uid="{00000000-0005-0000-0000-000076670000}"/>
    <cellStyle name="Normal 4 39 4" xfId="20798" xr:uid="{00000000-0005-0000-0000-000077670000}"/>
    <cellStyle name="Normal 4 39 5" xfId="20799" xr:uid="{00000000-0005-0000-0000-000078670000}"/>
    <cellStyle name="Normal 4 39 6" xfId="20800" xr:uid="{00000000-0005-0000-0000-000079670000}"/>
    <cellStyle name="Normal 4 39 7" xfId="20801" xr:uid="{00000000-0005-0000-0000-00007A670000}"/>
    <cellStyle name="Normal 4 39 8" xfId="20802" xr:uid="{00000000-0005-0000-0000-00007B670000}"/>
    <cellStyle name="Normal 4 4" xfId="9354" xr:uid="{00000000-0005-0000-0000-00007C670000}"/>
    <cellStyle name="Normal 4 4 2" xfId="20803" xr:uid="{00000000-0005-0000-0000-00007D670000}"/>
    <cellStyle name="Normal 4 4 2 2" xfId="33731" xr:uid="{00000000-0005-0000-0000-00007E670000}"/>
    <cellStyle name="Normal 4 4 2 3" xfId="38927" xr:uid="{00000000-0005-0000-0000-00007F670000}"/>
    <cellStyle name="Normal 4 4 3" xfId="20804" xr:uid="{00000000-0005-0000-0000-000080670000}"/>
    <cellStyle name="Normal 4 4 4" xfId="20805" xr:uid="{00000000-0005-0000-0000-000081670000}"/>
    <cellStyle name="Normal 4 40" xfId="9355" xr:uid="{00000000-0005-0000-0000-000082670000}"/>
    <cellStyle name="Normal 4 40 2" xfId="20806" xr:uid="{00000000-0005-0000-0000-000083670000}"/>
    <cellStyle name="Normal 4 40 3" xfId="20807" xr:uid="{00000000-0005-0000-0000-000084670000}"/>
    <cellStyle name="Normal 4 40 4" xfId="20808" xr:uid="{00000000-0005-0000-0000-000085670000}"/>
    <cellStyle name="Normal 4 40 5" xfId="20809" xr:uid="{00000000-0005-0000-0000-000086670000}"/>
    <cellStyle name="Normal 4 40 6" xfId="20810" xr:uid="{00000000-0005-0000-0000-000087670000}"/>
    <cellStyle name="Normal 4 40 7" xfId="20811" xr:uid="{00000000-0005-0000-0000-000088670000}"/>
    <cellStyle name="Normal 4 40 8" xfId="20812" xr:uid="{00000000-0005-0000-0000-000089670000}"/>
    <cellStyle name="Normal 4 41" xfId="9356" xr:uid="{00000000-0005-0000-0000-00008A670000}"/>
    <cellStyle name="Normal 4 41 2" xfId="20813" xr:uid="{00000000-0005-0000-0000-00008B670000}"/>
    <cellStyle name="Normal 4 41 3" xfId="20814" xr:uid="{00000000-0005-0000-0000-00008C670000}"/>
    <cellStyle name="Normal 4 41 4" xfId="20815" xr:uid="{00000000-0005-0000-0000-00008D670000}"/>
    <cellStyle name="Normal 4 41 5" xfId="20816" xr:uid="{00000000-0005-0000-0000-00008E670000}"/>
    <cellStyle name="Normal 4 41 6" xfId="20817" xr:uid="{00000000-0005-0000-0000-00008F670000}"/>
    <cellStyle name="Normal 4 41 7" xfId="20818" xr:uid="{00000000-0005-0000-0000-000090670000}"/>
    <cellStyle name="Normal 4 41 8" xfId="20819" xr:uid="{00000000-0005-0000-0000-000091670000}"/>
    <cellStyle name="Normal 4 42" xfId="9357" xr:uid="{00000000-0005-0000-0000-000092670000}"/>
    <cellStyle name="Normal 4 42 2" xfId="20820" xr:uid="{00000000-0005-0000-0000-000093670000}"/>
    <cellStyle name="Normal 4 42 3" xfId="20821" xr:uid="{00000000-0005-0000-0000-000094670000}"/>
    <cellStyle name="Normal 4 42 4" xfId="20822" xr:uid="{00000000-0005-0000-0000-000095670000}"/>
    <cellStyle name="Normal 4 42 5" xfId="20823" xr:uid="{00000000-0005-0000-0000-000096670000}"/>
    <cellStyle name="Normal 4 42 6" xfId="20824" xr:uid="{00000000-0005-0000-0000-000097670000}"/>
    <cellStyle name="Normal 4 42 7" xfId="20825" xr:uid="{00000000-0005-0000-0000-000098670000}"/>
    <cellStyle name="Normal 4 42 8" xfId="20826" xr:uid="{00000000-0005-0000-0000-000099670000}"/>
    <cellStyle name="Normal 4 43" xfId="9358" xr:uid="{00000000-0005-0000-0000-00009A670000}"/>
    <cellStyle name="Normal 4 43 2" xfId="20827" xr:uid="{00000000-0005-0000-0000-00009B670000}"/>
    <cellStyle name="Normal 4 44" xfId="9359" xr:uid="{00000000-0005-0000-0000-00009C670000}"/>
    <cellStyle name="Normal 4 44 2" xfId="20828" xr:uid="{00000000-0005-0000-0000-00009D670000}"/>
    <cellStyle name="Normal 4 45" xfId="9360" xr:uid="{00000000-0005-0000-0000-00009E670000}"/>
    <cellStyle name="Normal 4 45 2" xfId="20829" xr:uid="{00000000-0005-0000-0000-00009F670000}"/>
    <cellStyle name="Normal 4 46" xfId="9361" xr:uid="{00000000-0005-0000-0000-0000A0670000}"/>
    <cellStyle name="Normal 4 46 2" xfId="20830" xr:uid="{00000000-0005-0000-0000-0000A1670000}"/>
    <cellStyle name="Normal 4 47" xfId="9362" xr:uid="{00000000-0005-0000-0000-0000A2670000}"/>
    <cellStyle name="Normal 4 47 2" xfId="20831" xr:uid="{00000000-0005-0000-0000-0000A3670000}"/>
    <cellStyle name="Normal 4 48" xfId="9363" xr:uid="{00000000-0005-0000-0000-0000A4670000}"/>
    <cellStyle name="Normal 4 48 2" xfId="20832" xr:uid="{00000000-0005-0000-0000-0000A5670000}"/>
    <cellStyle name="Normal 4 49" xfId="9364" xr:uid="{00000000-0005-0000-0000-0000A6670000}"/>
    <cellStyle name="Normal 4 49 2" xfId="20833" xr:uid="{00000000-0005-0000-0000-0000A7670000}"/>
    <cellStyle name="Normal 4 5" xfId="9365" xr:uid="{00000000-0005-0000-0000-0000A8670000}"/>
    <cellStyle name="Normal 4 5 2" xfId="20834" xr:uid="{00000000-0005-0000-0000-0000A9670000}"/>
    <cellStyle name="Normal 4 5 2 2" xfId="38928" xr:uid="{00000000-0005-0000-0000-0000AA670000}"/>
    <cellStyle name="Normal 4 5 3" xfId="20835" xr:uid="{00000000-0005-0000-0000-0000AB670000}"/>
    <cellStyle name="Normal 4 50" xfId="9366" xr:uid="{00000000-0005-0000-0000-0000AC670000}"/>
    <cellStyle name="Normal 4 50 2" xfId="20836" xr:uid="{00000000-0005-0000-0000-0000AD670000}"/>
    <cellStyle name="Normal 4 51" xfId="9367" xr:uid="{00000000-0005-0000-0000-0000AE670000}"/>
    <cellStyle name="Normal 4 52" xfId="9368" xr:uid="{00000000-0005-0000-0000-0000AF670000}"/>
    <cellStyle name="Normal 4 53" xfId="9369" xr:uid="{00000000-0005-0000-0000-0000B0670000}"/>
    <cellStyle name="Normal 4 54" xfId="9370" xr:uid="{00000000-0005-0000-0000-0000B1670000}"/>
    <cellStyle name="Normal 4 55" xfId="9371" xr:uid="{00000000-0005-0000-0000-0000B2670000}"/>
    <cellStyle name="Normal 4 56" xfId="9372" xr:uid="{00000000-0005-0000-0000-0000B3670000}"/>
    <cellStyle name="Normal 4 57" xfId="9373" xr:uid="{00000000-0005-0000-0000-0000B4670000}"/>
    <cellStyle name="Normal 4 58" xfId="9374" xr:uid="{00000000-0005-0000-0000-0000B5670000}"/>
    <cellStyle name="Normal 4 59" xfId="9375" xr:uid="{00000000-0005-0000-0000-0000B6670000}"/>
    <cellStyle name="Normal 4 6" xfId="9376" xr:uid="{00000000-0005-0000-0000-0000B7670000}"/>
    <cellStyle name="Normal 4 6 2" xfId="20837" xr:uid="{00000000-0005-0000-0000-0000B8670000}"/>
    <cellStyle name="Normal 4 6 2 2" xfId="33732" xr:uid="{00000000-0005-0000-0000-0000B9670000}"/>
    <cellStyle name="Normal 4 60" xfId="9377" xr:uid="{00000000-0005-0000-0000-0000BA670000}"/>
    <cellStyle name="Normal 4 61" xfId="9378" xr:uid="{00000000-0005-0000-0000-0000BB670000}"/>
    <cellStyle name="Normal 4 62" xfId="9379" xr:uid="{00000000-0005-0000-0000-0000BC670000}"/>
    <cellStyle name="Normal 4 63" xfId="9321" xr:uid="{00000000-0005-0000-0000-0000BD670000}"/>
    <cellStyle name="Normal 4 64" xfId="38929" xr:uid="{00000000-0005-0000-0000-0000BE670000}"/>
    <cellStyle name="Normal 4 65" xfId="33525" xr:uid="{00000000-0005-0000-0000-0000BF670000}"/>
    <cellStyle name="Normal 4 65 2" xfId="38930" xr:uid="{00000000-0005-0000-0000-0000C0670000}"/>
    <cellStyle name="Normal 4 65 2 2" xfId="40958" xr:uid="{00000000-0005-0000-0000-0000C1670000}"/>
    <cellStyle name="Normal 4 65 2 2 3" xfId="40967" xr:uid="{00000000-0005-0000-0000-0000C2670000}"/>
    <cellStyle name="Normal 4 65 2 2 3 3" xfId="40988" xr:uid="{00000000-0005-0000-0000-0000C3670000}"/>
    <cellStyle name="Normal 4 65 2 2 3 3 2" xfId="40990" xr:uid="{00000000-0005-0000-0000-0000C4670000}"/>
    <cellStyle name="Normal 4 65 3" xfId="40965" xr:uid="{00000000-0005-0000-0000-0000C5670000}"/>
    <cellStyle name="Normal 4 65 3 4 2" xfId="40992" xr:uid="{00000000-0005-0000-0000-0000C6670000}"/>
    <cellStyle name="Normal 4 65 3 5" xfId="40997" xr:uid="{00000000-0005-0000-0000-0000C7670000}"/>
    <cellStyle name="Normal 4 65 3 5 2" xfId="41000" xr:uid="{00000000-0005-0000-0000-0000C8670000}"/>
    <cellStyle name="Normal 4 65 3 5 2 2" xfId="41008" xr:uid="{00000000-0005-0000-0000-0000C9670000}"/>
    <cellStyle name="Normal 4 65 3 5 2 2 2" xfId="41016" xr:uid="{00000000-0005-0000-0000-0000CA670000}"/>
    <cellStyle name="Normal 4 65 3 5 2 3" xfId="41014" xr:uid="{00000000-0005-0000-0000-0000CB670000}"/>
    <cellStyle name="Normal 4 7" xfId="9380" xr:uid="{00000000-0005-0000-0000-0000CC670000}"/>
    <cellStyle name="Normal 4 7 2" xfId="20838" xr:uid="{00000000-0005-0000-0000-0000CD670000}"/>
    <cellStyle name="Normal 4 8" xfId="9381" xr:uid="{00000000-0005-0000-0000-0000CE670000}"/>
    <cellStyle name="Normal 4 8 2" xfId="20839" xr:uid="{00000000-0005-0000-0000-0000CF670000}"/>
    <cellStyle name="Normal 4 9" xfId="9382" xr:uid="{00000000-0005-0000-0000-0000D0670000}"/>
    <cellStyle name="Normal 4 9 2" xfId="20840" xr:uid="{00000000-0005-0000-0000-0000D1670000}"/>
    <cellStyle name="Normal 4 9 2 2" xfId="20841" xr:uid="{00000000-0005-0000-0000-0000D2670000}"/>
    <cellStyle name="Normal 4 9 2 3" xfId="20842" xr:uid="{00000000-0005-0000-0000-0000D3670000}"/>
    <cellStyle name="Normal 4 9 2 4" xfId="20843" xr:uid="{00000000-0005-0000-0000-0000D4670000}"/>
    <cellStyle name="Normal 4 9 2 5" xfId="20844" xr:uid="{00000000-0005-0000-0000-0000D5670000}"/>
    <cellStyle name="Normal 4 9 2 6" xfId="20845" xr:uid="{00000000-0005-0000-0000-0000D6670000}"/>
    <cellStyle name="Normal 4 9 2 7" xfId="20846" xr:uid="{00000000-0005-0000-0000-0000D7670000}"/>
    <cellStyle name="Normal 4 9 3" xfId="20847" xr:uid="{00000000-0005-0000-0000-0000D8670000}"/>
    <cellStyle name="Normal 4 9 4" xfId="20848" xr:uid="{00000000-0005-0000-0000-0000D9670000}"/>
    <cellStyle name="Normal 4 9 5" xfId="20849" xr:uid="{00000000-0005-0000-0000-0000DA670000}"/>
    <cellStyle name="Normal 4 9 6" xfId="20850" xr:uid="{00000000-0005-0000-0000-0000DB670000}"/>
    <cellStyle name="Normal 4 9 7" xfId="20851" xr:uid="{00000000-0005-0000-0000-0000DC670000}"/>
    <cellStyle name="Normal 4 9 8" xfId="20852" xr:uid="{00000000-0005-0000-0000-0000DD670000}"/>
    <cellStyle name="Normal 4 9 9" xfId="20853" xr:uid="{00000000-0005-0000-0000-0000DE670000}"/>
    <cellStyle name="Normal 4_01-04-2012" xfId="9383" xr:uid="{00000000-0005-0000-0000-0000DF670000}"/>
    <cellStyle name="Normal 40" xfId="9384" xr:uid="{00000000-0005-0000-0000-0000E0670000}"/>
    <cellStyle name="Normal 40 10" xfId="9385" xr:uid="{00000000-0005-0000-0000-0000E1670000}"/>
    <cellStyle name="Normal 40 10 2" xfId="9386" xr:uid="{00000000-0005-0000-0000-0000E2670000}"/>
    <cellStyle name="Normal 40 10 2 2" xfId="38931" xr:uid="{00000000-0005-0000-0000-0000E3670000}"/>
    <cellStyle name="Normal 40 10 3" xfId="9387" xr:uid="{00000000-0005-0000-0000-0000E4670000}"/>
    <cellStyle name="Normal 40 10 3 2" xfId="38932" xr:uid="{00000000-0005-0000-0000-0000E5670000}"/>
    <cellStyle name="Normal 40 10 4" xfId="9388" xr:uid="{00000000-0005-0000-0000-0000E6670000}"/>
    <cellStyle name="Normal 40 10 4 2" xfId="38933" xr:uid="{00000000-0005-0000-0000-0000E7670000}"/>
    <cellStyle name="Normal 40 10 5" xfId="38934" xr:uid="{00000000-0005-0000-0000-0000E8670000}"/>
    <cellStyle name="Normal 40 10_01-04-2012" xfId="9389" xr:uid="{00000000-0005-0000-0000-0000E9670000}"/>
    <cellStyle name="Normal 40 11" xfId="9390" xr:uid="{00000000-0005-0000-0000-0000EA670000}"/>
    <cellStyle name="Normal 40 11 2" xfId="9391" xr:uid="{00000000-0005-0000-0000-0000EB670000}"/>
    <cellStyle name="Normal 40 11 2 2" xfId="38935" xr:uid="{00000000-0005-0000-0000-0000EC670000}"/>
    <cellStyle name="Normal 40 11 3" xfId="9392" xr:uid="{00000000-0005-0000-0000-0000ED670000}"/>
    <cellStyle name="Normal 40 11 3 2" xfId="38936" xr:uid="{00000000-0005-0000-0000-0000EE670000}"/>
    <cellStyle name="Normal 40 11 4" xfId="9393" xr:uid="{00000000-0005-0000-0000-0000EF670000}"/>
    <cellStyle name="Normal 40 11 4 2" xfId="38937" xr:uid="{00000000-0005-0000-0000-0000F0670000}"/>
    <cellStyle name="Normal 40 11 5" xfId="38938" xr:uid="{00000000-0005-0000-0000-0000F1670000}"/>
    <cellStyle name="Normal 40 11_01-04-2012" xfId="9394" xr:uid="{00000000-0005-0000-0000-0000F2670000}"/>
    <cellStyle name="Normal 40 12" xfId="9395" xr:uid="{00000000-0005-0000-0000-0000F3670000}"/>
    <cellStyle name="Normal 40 12 2" xfId="9396" xr:uid="{00000000-0005-0000-0000-0000F4670000}"/>
    <cellStyle name="Normal 40 12 2 2" xfId="38939" xr:uid="{00000000-0005-0000-0000-0000F5670000}"/>
    <cellStyle name="Normal 40 12 3" xfId="9397" xr:uid="{00000000-0005-0000-0000-0000F6670000}"/>
    <cellStyle name="Normal 40 12 3 2" xfId="38940" xr:uid="{00000000-0005-0000-0000-0000F7670000}"/>
    <cellStyle name="Normal 40 12 4" xfId="9398" xr:uid="{00000000-0005-0000-0000-0000F8670000}"/>
    <cellStyle name="Normal 40 12 4 2" xfId="38941" xr:uid="{00000000-0005-0000-0000-0000F9670000}"/>
    <cellStyle name="Normal 40 12 5" xfId="38942" xr:uid="{00000000-0005-0000-0000-0000FA670000}"/>
    <cellStyle name="Normal 40 12_01-04-2012" xfId="9399" xr:uid="{00000000-0005-0000-0000-0000FB670000}"/>
    <cellStyle name="Normal 40 13" xfId="9400" xr:uid="{00000000-0005-0000-0000-0000FC670000}"/>
    <cellStyle name="Normal 40 13 2" xfId="9401" xr:uid="{00000000-0005-0000-0000-0000FD670000}"/>
    <cellStyle name="Normal 40 13 2 2" xfId="38943" xr:uid="{00000000-0005-0000-0000-0000FE670000}"/>
    <cellStyle name="Normal 40 13 3" xfId="9402" xr:uid="{00000000-0005-0000-0000-0000FF670000}"/>
    <cellStyle name="Normal 40 13 3 2" xfId="38944" xr:uid="{00000000-0005-0000-0000-000000680000}"/>
    <cellStyle name="Normal 40 13 4" xfId="9403" xr:uid="{00000000-0005-0000-0000-000001680000}"/>
    <cellStyle name="Normal 40 13 4 2" xfId="38945" xr:uid="{00000000-0005-0000-0000-000002680000}"/>
    <cellStyle name="Normal 40 13 5" xfId="38946" xr:uid="{00000000-0005-0000-0000-000003680000}"/>
    <cellStyle name="Normal 40 13_01-04-2012" xfId="9404" xr:uid="{00000000-0005-0000-0000-000004680000}"/>
    <cellStyle name="Normal 40 14" xfId="9405" xr:uid="{00000000-0005-0000-0000-000005680000}"/>
    <cellStyle name="Normal 40 14 2" xfId="9406" xr:uid="{00000000-0005-0000-0000-000006680000}"/>
    <cellStyle name="Normal 40 14 2 2" xfId="38947" xr:uid="{00000000-0005-0000-0000-000007680000}"/>
    <cellStyle name="Normal 40 14 3" xfId="9407" xr:uid="{00000000-0005-0000-0000-000008680000}"/>
    <cellStyle name="Normal 40 14 3 2" xfId="38948" xr:uid="{00000000-0005-0000-0000-000009680000}"/>
    <cellStyle name="Normal 40 14 4" xfId="9408" xr:uid="{00000000-0005-0000-0000-00000A680000}"/>
    <cellStyle name="Normal 40 14 4 2" xfId="38949" xr:uid="{00000000-0005-0000-0000-00000B680000}"/>
    <cellStyle name="Normal 40 14 5" xfId="38950" xr:uid="{00000000-0005-0000-0000-00000C680000}"/>
    <cellStyle name="Normal 40 14_01-04-2012" xfId="9409" xr:uid="{00000000-0005-0000-0000-00000D680000}"/>
    <cellStyle name="Normal 40 15" xfId="9410" xr:uid="{00000000-0005-0000-0000-00000E680000}"/>
    <cellStyle name="Normal 40 15 2" xfId="9411" xr:uid="{00000000-0005-0000-0000-00000F680000}"/>
    <cellStyle name="Normal 40 15 2 2" xfId="38951" xr:uid="{00000000-0005-0000-0000-000010680000}"/>
    <cellStyle name="Normal 40 15 3" xfId="9412" xr:uid="{00000000-0005-0000-0000-000011680000}"/>
    <cellStyle name="Normal 40 15 3 2" xfId="38952" xr:uid="{00000000-0005-0000-0000-000012680000}"/>
    <cellStyle name="Normal 40 15 4" xfId="9413" xr:uid="{00000000-0005-0000-0000-000013680000}"/>
    <cellStyle name="Normal 40 15 4 2" xfId="38953" xr:uid="{00000000-0005-0000-0000-000014680000}"/>
    <cellStyle name="Normal 40 15 5" xfId="38954" xr:uid="{00000000-0005-0000-0000-000015680000}"/>
    <cellStyle name="Normal 40 15_01-04-2012" xfId="9414" xr:uid="{00000000-0005-0000-0000-000016680000}"/>
    <cellStyle name="Normal 40 16" xfId="9415" xr:uid="{00000000-0005-0000-0000-000017680000}"/>
    <cellStyle name="Normal 40 16 2" xfId="9416" xr:uid="{00000000-0005-0000-0000-000018680000}"/>
    <cellStyle name="Normal 40 16 2 2" xfId="38955" xr:uid="{00000000-0005-0000-0000-000019680000}"/>
    <cellStyle name="Normal 40 16 3" xfId="9417" xr:uid="{00000000-0005-0000-0000-00001A680000}"/>
    <cellStyle name="Normal 40 16 3 2" xfId="38956" xr:uid="{00000000-0005-0000-0000-00001B680000}"/>
    <cellStyle name="Normal 40 16 4" xfId="9418" xr:uid="{00000000-0005-0000-0000-00001C680000}"/>
    <cellStyle name="Normal 40 16 4 2" xfId="38957" xr:uid="{00000000-0005-0000-0000-00001D680000}"/>
    <cellStyle name="Normal 40 16 5" xfId="38958" xr:uid="{00000000-0005-0000-0000-00001E680000}"/>
    <cellStyle name="Normal 40 16_01-04-2012" xfId="9419" xr:uid="{00000000-0005-0000-0000-00001F680000}"/>
    <cellStyle name="Normal 40 17" xfId="9420" xr:uid="{00000000-0005-0000-0000-000020680000}"/>
    <cellStyle name="Normal 40 17 2" xfId="9421" xr:uid="{00000000-0005-0000-0000-000021680000}"/>
    <cellStyle name="Normal 40 17 2 2" xfId="38959" xr:uid="{00000000-0005-0000-0000-000022680000}"/>
    <cellStyle name="Normal 40 17 3" xfId="9422" xr:uid="{00000000-0005-0000-0000-000023680000}"/>
    <cellStyle name="Normal 40 17 3 2" xfId="38960" xr:uid="{00000000-0005-0000-0000-000024680000}"/>
    <cellStyle name="Normal 40 17 4" xfId="9423" xr:uid="{00000000-0005-0000-0000-000025680000}"/>
    <cellStyle name="Normal 40 17 4 2" xfId="38961" xr:uid="{00000000-0005-0000-0000-000026680000}"/>
    <cellStyle name="Normal 40 17 5" xfId="38962" xr:uid="{00000000-0005-0000-0000-000027680000}"/>
    <cellStyle name="Normal 40 17_01-04-2012" xfId="9424" xr:uid="{00000000-0005-0000-0000-000028680000}"/>
    <cellStyle name="Normal 40 18" xfId="9425" xr:uid="{00000000-0005-0000-0000-000029680000}"/>
    <cellStyle name="Normal 40 18 2" xfId="9426" xr:uid="{00000000-0005-0000-0000-00002A680000}"/>
    <cellStyle name="Normal 40 18 2 2" xfId="38963" xr:uid="{00000000-0005-0000-0000-00002B680000}"/>
    <cellStyle name="Normal 40 18 3" xfId="9427" xr:uid="{00000000-0005-0000-0000-00002C680000}"/>
    <cellStyle name="Normal 40 18 3 2" xfId="38964" xr:uid="{00000000-0005-0000-0000-00002D680000}"/>
    <cellStyle name="Normal 40 18 4" xfId="9428" xr:uid="{00000000-0005-0000-0000-00002E680000}"/>
    <cellStyle name="Normal 40 18 4 2" xfId="38965" xr:uid="{00000000-0005-0000-0000-00002F680000}"/>
    <cellStyle name="Normal 40 18 5" xfId="38966" xr:uid="{00000000-0005-0000-0000-000030680000}"/>
    <cellStyle name="Normal 40 18_01-04-2012" xfId="9429" xr:uid="{00000000-0005-0000-0000-000031680000}"/>
    <cellStyle name="Normal 40 19" xfId="9430" xr:uid="{00000000-0005-0000-0000-000032680000}"/>
    <cellStyle name="Normal 40 19 2" xfId="9431" xr:uid="{00000000-0005-0000-0000-000033680000}"/>
    <cellStyle name="Normal 40 19 2 2" xfId="38967" xr:uid="{00000000-0005-0000-0000-000034680000}"/>
    <cellStyle name="Normal 40 19 3" xfId="9432" xr:uid="{00000000-0005-0000-0000-000035680000}"/>
    <cellStyle name="Normal 40 19 3 2" xfId="38968" xr:uid="{00000000-0005-0000-0000-000036680000}"/>
    <cellStyle name="Normal 40 19 4" xfId="9433" xr:uid="{00000000-0005-0000-0000-000037680000}"/>
    <cellStyle name="Normal 40 19 4 2" xfId="38969" xr:uid="{00000000-0005-0000-0000-000038680000}"/>
    <cellStyle name="Normal 40 19 5" xfId="38970" xr:uid="{00000000-0005-0000-0000-000039680000}"/>
    <cellStyle name="Normal 40 19_01-04-2012" xfId="9434" xr:uid="{00000000-0005-0000-0000-00003A680000}"/>
    <cellStyle name="Normal 40 2" xfId="9435" xr:uid="{00000000-0005-0000-0000-00003B680000}"/>
    <cellStyle name="Normal 40 2 2" xfId="9436" xr:uid="{00000000-0005-0000-0000-00003C680000}"/>
    <cellStyle name="Normal 40 2 2 2" xfId="33734" xr:uid="{00000000-0005-0000-0000-00003D680000}"/>
    <cellStyle name="Normal 40 2 2 2 2" xfId="38971" xr:uid="{00000000-0005-0000-0000-00003E680000}"/>
    <cellStyle name="Normal 40 2 3" xfId="9437" xr:uid="{00000000-0005-0000-0000-00003F680000}"/>
    <cellStyle name="Normal 40 2 3 2" xfId="38972" xr:uid="{00000000-0005-0000-0000-000040680000}"/>
    <cellStyle name="Normal 40 2 4" xfId="9438" xr:uid="{00000000-0005-0000-0000-000041680000}"/>
    <cellStyle name="Normal 40 2 4 2" xfId="38973" xr:uid="{00000000-0005-0000-0000-000042680000}"/>
    <cellStyle name="Normal 40 2 5" xfId="20854" xr:uid="{00000000-0005-0000-0000-000043680000}"/>
    <cellStyle name="Normal 40 2 5 2" xfId="38974" xr:uid="{00000000-0005-0000-0000-000044680000}"/>
    <cellStyle name="Normal 40 2_01-04-2012" xfId="9439" xr:uid="{00000000-0005-0000-0000-000045680000}"/>
    <cellStyle name="Normal 40 20" xfId="9440" xr:uid="{00000000-0005-0000-0000-000046680000}"/>
    <cellStyle name="Normal 40 20 2" xfId="9441" xr:uid="{00000000-0005-0000-0000-000047680000}"/>
    <cellStyle name="Normal 40 20 2 2" xfId="38975" xr:uid="{00000000-0005-0000-0000-000048680000}"/>
    <cellStyle name="Normal 40 20 3" xfId="9442" xr:uid="{00000000-0005-0000-0000-000049680000}"/>
    <cellStyle name="Normal 40 20 3 2" xfId="38976" xr:uid="{00000000-0005-0000-0000-00004A680000}"/>
    <cellStyle name="Normal 40 20 4" xfId="9443" xr:uid="{00000000-0005-0000-0000-00004B680000}"/>
    <cellStyle name="Normal 40 20 4 2" xfId="38977" xr:uid="{00000000-0005-0000-0000-00004C680000}"/>
    <cellStyle name="Normal 40 20 5" xfId="38978" xr:uid="{00000000-0005-0000-0000-00004D680000}"/>
    <cellStyle name="Normal 40 20_01-04-2012" xfId="9444" xr:uid="{00000000-0005-0000-0000-00004E680000}"/>
    <cellStyle name="Normal 40 21" xfId="9445" xr:uid="{00000000-0005-0000-0000-00004F680000}"/>
    <cellStyle name="Normal 40 21 2" xfId="9446" xr:uid="{00000000-0005-0000-0000-000050680000}"/>
    <cellStyle name="Normal 40 21 2 2" xfId="38979" xr:uid="{00000000-0005-0000-0000-000051680000}"/>
    <cellStyle name="Normal 40 21 3" xfId="9447" xr:uid="{00000000-0005-0000-0000-000052680000}"/>
    <cellStyle name="Normal 40 21 3 2" xfId="38980" xr:uid="{00000000-0005-0000-0000-000053680000}"/>
    <cellStyle name="Normal 40 21 4" xfId="9448" xr:uid="{00000000-0005-0000-0000-000054680000}"/>
    <cellStyle name="Normal 40 21 4 2" xfId="38981" xr:uid="{00000000-0005-0000-0000-000055680000}"/>
    <cellStyle name="Normal 40 21 5" xfId="38982" xr:uid="{00000000-0005-0000-0000-000056680000}"/>
    <cellStyle name="Normal 40 21_01-04-2012" xfId="9449" xr:uid="{00000000-0005-0000-0000-000057680000}"/>
    <cellStyle name="Normal 40 22" xfId="9450" xr:uid="{00000000-0005-0000-0000-000058680000}"/>
    <cellStyle name="Normal 40 22 2" xfId="9451" xr:uid="{00000000-0005-0000-0000-000059680000}"/>
    <cellStyle name="Normal 40 22 2 2" xfId="38983" xr:uid="{00000000-0005-0000-0000-00005A680000}"/>
    <cellStyle name="Normal 40 22 3" xfId="9452" xr:uid="{00000000-0005-0000-0000-00005B680000}"/>
    <cellStyle name="Normal 40 22 3 2" xfId="38984" xr:uid="{00000000-0005-0000-0000-00005C680000}"/>
    <cellStyle name="Normal 40 22 4" xfId="9453" xr:uid="{00000000-0005-0000-0000-00005D680000}"/>
    <cellStyle name="Normal 40 22 4 2" xfId="38985" xr:uid="{00000000-0005-0000-0000-00005E680000}"/>
    <cellStyle name="Normal 40 22 5" xfId="38986" xr:uid="{00000000-0005-0000-0000-00005F680000}"/>
    <cellStyle name="Normal 40 22_01-04-2012" xfId="9454" xr:uid="{00000000-0005-0000-0000-000060680000}"/>
    <cellStyle name="Normal 40 23" xfId="9455" xr:uid="{00000000-0005-0000-0000-000061680000}"/>
    <cellStyle name="Normal 40 23 2" xfId="9456" xr:uid="{00000000-0005-0000-0000-000062680000}"/>
    <cellStyle name="Normal 40 23 2 2" xfId="38987" xr:uid="{00000000-0005-0000-0000-000063680000}"/>
    <cellStyle name="Normal 40 23 3" xfId="9457" xr:uid="{00000000-0005-0000-0000-000064680000}"/>
    <cellStyle name="Normal 40 23 3 2" xfId="38988" xr:uid="{00000000-0005-0000-0000-000065680000}"/>
    <cellStyle name="Normal 40 23 4" xfId="9458" xr:uid="{00000000-0005-0000-0000-000066680000}"/>
    <cellStyle name="Normal 40 23 4 2" xfId="38989" xr:uid="{00000000-0005-0000-0000-000067680000}"/>
    <cellStyle name="Normal 40 23 5" xfId="38990" xr:uid="{00000000-0005-0000-0000-000068680000}"/>
    <cellStyle name="Normal 40 23_01-04-2012" xfId="9459" xr:uid="{00000000-0005-0000-0000-000069680000}"/>
    <cellStyle name="Normal 40 24" xfId="9460" xr:uid="{00000000-0005-0000-0000-00006A680000}"/>
    <cellStyle name="Normal 40 24 2" xfId="9461" xr:uid="{00000000-0005-0000-0000-00006B680000}"/>
    <cellStyle name="Normal 40 24 2 2" xfId="38991" xr:uid="{00000000-0005-0000-0000-00006C680000}"/>
    <cellStyle name="Normal 40 24 3" xfId="9462" xr:uid="{00000000-0005-0000-0000-00006D680000}"/>
    <cellStyle name="Normal 40 24 3 2" xfId="38992" xr:uid="{00000000-0005-0000-0000-00006E680000}"/>
    <cellStyle name="Normal 40 24 4" xfId="9463" xr:uid="{00000000-0005-0000-0000-00006F680000}"/>
    <cellStyle name="Normal 40 24 4 2" xfId="38993" xr:uid="{00000000-0005-0000-0000-000070680000}"/>
    <cellStyle name="Normal 40 24 5" xfId="38994" xr:uid="{00000000-0005-0000-0000-000071680000}"/>
    <cellStyle name="Normal 40 24_01-04-2012" xfId="9464" xr:uid="{00000000-0005-0000-0000-000072680000}"/>
    <cellStyle name="Normal 40 25" xfId="9465" xr:uid="{00000000-0005-0000-0000-000073680000}"/>
    <cellStyle name="Normal 40 25 2" xfId="9466" xr:uid="{00000000-0005-0000-0000-000074680000}"/>
    <cellStyle name="Normal 40 25 2 2" xfId="38995" xr:uid="{00000000-0005-0000-0000-000075680000}"/>
    <cellStyle name="Normal 40 25 3" xfId="9467" xr:uid="{00000000-0005-0000-0000-000076680000}"/>
    <cellStyle name="Normal 40 25 3 2" xfId="38996" xr:uid="{00000000-0005-0000-0000-000077680000}"/>
    <cellStyle name="Normal 40 25 4" xfId="9468" xr:uid="{00000000-0005-0000-0000-000078680000}"/>
    <cellStyle name="Normal 40 25 4 2" xfId="38997" xr:uid="{00000000-0005-0000-0000-000079680000}"/>
    <cellStyle name="Normal 40 25 5" xfId="38998" xr:uid="{00000000-0005-0000-0000-00007A680000}"/>
    <cellStyle name="Normal 40 25_01-04-2012" xfId="9469" xr:uid="{00000000-0005-0000-0000-00007B680000}"/>
    <cellStyle name="Normal 40 26" xfId="9470" xr:uid="{00000000-0005-0000-0000-00007C680000}"/>
    <cellStyle name="Normal 40 26 2" xfId="9471" xr:uid="{00000000-0005-0000-0000-00007D680000}"/>
    <cellStyle name="Normal 40 26 2 2" xfId="38999" xr:uid="{00000000-0005-0000-0000-00007E680000}"/>
    <cellStyle name="Normal 40 26 3" xfId="9472" xr:uid="{00000000-0005-0000-0000-00007F680000}"/>
    <cellStyle name="Normal 40 26 3 2" xfId="39000" xr:uid="{00000000-0005-0000-0000-000080680000}"/>
    <cellStyle name="Normal 40 26 4" xfId="9473" xr:uid="{00000000-0005-0000-0000-000081680000}"/>
    <cellStyle name="Normal 40 26 4 2" xfId="39001" xr:uid="{00000000-0005-0000-0000-000082680000}"/>
    <cellStyle name="Normal 40 26 5" xfId="39002" xr:uid="{00000000-0005-0000-0000-000083680000}"/>
    <cellStyle name="Normal 40 26_01-04-2012" xfId="9474" xr:uid="{00000000-0005-0000-0000-000084680000}"/>
    <cellStyle name="Normal 40 27" xfId="9475" xr:uid="{00000000-0005-0000-0000-000085680000}"/>
    <cellStyle name="Normal 40 27 2" xfId="9476" xr:uid="{00000000-0005-0000-0000-000086680000}"/>
    <cellStyle name="Normal 40 27 2 2" xfId="39003" xr:uid="{00000000-0005-0000-0000-000087680000}"/>
    <cellStyle name="Normal 40 27 3" xfId="9477" xr:uid="{00000000-0005-0000-0000-000088680000}"/>
    <cellStyle name="Normal 40 27 3 2" xfId="39004" xr:uid="{00000000-0005-0000-0000-000089680000}"/>
    <cellStyle name="Normal 40 27 4" xfId="9478" xr:uid="{00000000-0005-0000-0000-00008A680000}"/>
    <cellStyle name="Normal 40 27 4 2" xfId="39005" xr:uid="{00000000-0005-0000-0000-00008B680000}"/>
    <cellStyle name="Normal 40 27 5" xfId="39006" xr:uid="{00000000-0005-0000-0000-00008C680000}"/>
    <cellStyle name="Normal 40 27_01-04-2012" xfId="9479" xr:uid="{00000000-0005-0000-0000-00008D680000}"/>
    <cellStyle name="Normal 40 28" xfId="9480" xr:uid="{00000000-0005-0000-0000-00008E680000}"/>
    <cellStyle name="Normal 40 28 2" xfId="9481" xr:uid="{00000000-0005-0000-0000-00008F680000}"/>
    <cellStyle name="Normal 40 28 2 2" xfId="39007" xr:uid="{00000000-0005-0000-0000-000090680000}"/>
    <cellStyle name="Normal 40 28 3" xfId="9482" xr:uid="{00000000-0005-0000-0000-000091680000}"/>
    <cellStyle name="Normal 40 28 3 2" xfId="39008" xr:uid="{00000000-0005-0000-0000-000092680000}"/>
    <cellStyle name="Normal 40 28 4" xfId="9483" xr:uid="{00000000-0005-0000-0000-000093680000}"/>
    <cellStyle name="Normal 40 28 4 2" xfId="39009" xr:uid="{00000000-0005-0000-0000-000094680000}"/>
    <cellStyle name="Normal 40 28 5" xfId="39010" xr:uid="{00000000-0005-0000-0000-000095680000}"/>
    <cellStyle name="Normal 40 28_01-04-2012" xfId="9484" xr:uid="{00000000-0005-0000-0000-000096680000}"/>
    <cellStyle name="Normal 40 29" xfId="9485" xr:uid="{00000000-0005-0000-0000-000097680000}"/>
    <cellStyle name="Normal 40 29 2" xfId="9486" xr:uid="{00000000-0005-0000-0000-000098680000}"/>
    <cellStyle name="Normal 40 29 2 2" xfId="39011" xr:uid="{00000000-0005-0000-0000-000099680000}"/>
    <cellStyle name="Normal 40 29 3" xfId="9487" xr:uid="{00000000-0005-0000-0000-00009A680000}"/>
    <cellStyle name="Normal 40 29 3 2" xfId="39012" xr:uid="{00000000-0005-0000-0000-00009B680000}"/>
    <cellStyle name="Normal 40 29 4" xfId="9488" xr:uid="{00000000-0005-0000-0000-00009C680000}"/>
    <cellStyle name="Normal 40 29 4 2" xfId="39013" xr:uid="{00000000-0005-0000-0000-00009D680000}"/>
    <cellStyle name="Normal 40 29 5" xfId="39014" xr:uid="{00000000-0005-0000-0000-00009E680000}"/>
    <cellStyle name="Normal 40 29_01-04-2012" xfId="9489" xr:uid="{00000000-0005-0000-0000-00009F680000}"/>
    <cellStyle name="Normal 40 3" xfId="9490" xr:uid="{00000000-0005-0000-0000-0000A0680000}"/>
    <cellStyle name="Normal 40 3 2" xfId="9491" xr:uid="{00000000-0005-0000-0000-0000A1680000}"/>
    <cellStyle name="Normal 40 3 2 2" xfId="39015" xr:uid="{00000000-0005-0000-0000-0000A2680000}"/>
    <cellStyle name="Normal 40 3 3" xfId="9492" xr:uid="{00000000-0005-0000-0000-0000A3680000}"/>
    <cellStyle name="Normal 40 3 3 2" xfId="39016" xr:uid="{00000000-0005-0000-0000-0000A4680000}"/>
    <cellStyle name="Normal 40 3 4" xfId="9493" xr:uid="{00000000-0005-0000-0000-0000A5680000}"/>
    <cellStyle name="Normal 40 3 4 2" xfId="39017" xr:uid="{00000000-0005-0000-0000-0000A6680000}"/>
    <cellStyle name="Normal 40 3 5" xfId="20855" xr:uid="{00000000-0005-0000-0000-0000A7680000}"/>
    <cellStyle name="Normal 40 3 5 2" xfId="39018" xr:uid="{00000000-0005-0000-0000-0000A8680000}"/>
    <cellStyle name="Normal 40 3_01-04-2012" xfId="9494" xr:uid="{00000000-0005-0000-0000-0000A9680000}"/>
    <cellStyle name="Normal 40 30" xfId="9495" xr:uid="{00000000-0005-0000-0000-0000AA680000}"/>
    <cellStyle name="Normal 40 30 2" xfId="9496" xr:uid="{00000000-0005-0000-0000-0000AB680000}"/>
    <cellStyle name="Normal 40 30 2 2" xfId="39019" xr:uid="{00000000-0005-0000-0000-0000AC680000}"/>
    <cellStyle name="Normal 40 30 3" xfId="9497" xr:uid="{00000000-0005-0000-0000-0000AD680000}"/>
    <cellStyle name="Normal 40 30 3 2" xfId="39020" xr:uid="{00000000-0005-0000-0000-0000AE680000}"/>
    <cellStyle name="Normal 40 30 4" xfId="9498" xr:uid="{00000000-0005-0000-0000-0000AF680000}"/>
    <cellStyle name="Normal 40 30 4 2" xfId="39021" xr:uid="{00000000-0005-0000-0000-0000B0680000}"/>
    <cellStyle name="Normal 40 30 5" xfId="39022" xr:uid="{00000000-0005-0000-0000-0000B1680000}"/>
    <cellStyle name="Normal 40 30_01-04-2012" xfId="9499" xr:uid="{00000000-0005-0000-0000-0000B2680000}"/>
    <cellStyle name="Normal 40 31" xfId="9500" xr:uid="{00000000-0005-0000-0000-0000B3680000}"/>
    <cellStyle name="Normal 40 31 2" xfId="9501" xr:uid="{00000000-0005-0000-0000-0000B4680000}"/>
    <cellStyle name="Normal 40 31 2 2" xfId="39023" xr:uid="{00000000-0005-0000-0000-0000B5680000}"/>
    <cellStyle name="Normal 40 31 3" xfId="9502" xr:uid="{00000000-0005-0000-0000-0000B6680000}"/>
    <cellStyle name="Normal 40 31 3 2" xfId="39024" xr:uid="{00000000-0005-0000-0000-0000B7680000}"/>
    <cellStyle name="Normal 40 31 4" xfId="9503" xr:uid="{00000000-0005-0000-0000-0000B8680000}"/>
    <cellStyle name="Normal 40 31 4 2" xfId="39025" xr:uid="{00000000-0005-0000-0000-0000B9680000}"/>
    <cellStyle name="Normal 40 31 5" xfId="39026" xr:uid="{00000000-0005-0000-0000-0000BA680000}"/>
    <cellStyle name="Normal 40 31_01-04-2012" xfId="9504" xr:uid="{00000000-0005-0000-0000-0000BB680000}"/>
    <cellStyle name="Normal 40 32" xfId="9505" xr:uid="{00000000-0005-0000-0000-0000BC680000}"/>
    <cellStyle name="Normal 40 32 2" xfId="9506" xr:uid="{00000000-0005-0000-0000-0000BD680000}"/>
    <cellStyle name="Normal 40 32 2 2" xfId="39027" xr:uid="{00000000-0005-0000-0000-0000BE680000}"/>
    <cellStyle name="Normal 40 32 3" xfId="9507" xr:uid="{00000000-0005-0000-0000-0000BF680000}"/>
    <cellStyle name="Normal 40 32 3 2" xfId="39028" xr:uid="{00000000-0005-0000-0000-0000C0680000}"/>
    <cellStyle name="Normal 40 32 4" xfId="9508" xr:uid="{00000000-0005-0000-0000-0000C1680000}"/>
    <cellStyle name="Normal 40 32 4 2" xfId="39029" xr:uid="{00000000-0005-0000-0000-0000C2680000}"/>
    <cellStyle name="Normal 40 32 5" xfId="39030" xr:uid="{00000000-0005-0000-0000-0000C3680000}"/>
    <cellStyle name="Normal 40 32_01-04-2012" xfId="9509" xr:uid="{00000000-0005-0000-0000-0000C4680000}"/>
    <cellStyle name="Normal 40 33" xfId="9510" xr:uid="{00000000-0005-0000-0000-0000C5680000}"/>
    <cellStyle name="Normal 40 33 2" xfId="9511" xr:uid="{00000000-0005-0000-0000-0000C6680000}"/>
    <cellStyle name="Normal 40 33 2 2" xfId="39031" xr:uid="{00000000-0005-0000-0000-0000C7680000}"/>
    <cellStyle name="Normal 40 33 3" xfId="9512" xr:uid="{00000000-0005-0000-0000-0000C8680000}"/>
    <cellStyle name="Normal 40 33 3 2" xfId="39032" xr:uid="{00000000-0005-0000-0000-0000C9680000}"/>
    <cellStyle name="Normal 40 33 4" xfId="9513" xr:uid="{00000000-0005-0000-0000-0000CA680000}"/>
    <cellStyle name="Normal 40 33 4 2" xfId="39033" xr:uid="{00000000-0005-0000-0000-0000CB680000}"/>
    <cellStyle name="Normal 40 33 5" xfId="39034" xr:uid="{00000000-0005-0000-0000-0000CC680000}"/>
    <cellStyle name="Normal 40 33_01-04-2012" xfId="9514" xr:uid="{00000000-0005-0000-0000-0000CD680000}"/>
    <cellStyle name="Normal 40 34" xfId="9515" xr:uid="{00000000-0005-0000-0000-0000CE680000}"/>
    <cellStyle name="Normal 40 34 2" xfId="9516" xr:uid="{00000000-0005-0000-0000-0000CF680000}"/>
    <cellStyle name="Normal 40 34 2 2" xfId="39035" xr:uid="{00000000-0005-0000-0000-0000D0680000}"/>
    <cellStyle name="Normal 40 34 3" xfId="9517" xr:uid="{00000000-0005-0000-0000-0000D1680000}"/>
    <cellStyle name="Normal 40 34 3 2" xfId="39036" xr:uid="{00000000-0005-0000-0000-0000D2680000}"/>
    <cellStyle name="Normal 40 34 4" xfId="9518" xr:uid="{00000000-0005-0000-0000-0000D3680000}"/>
    <cellStyle name="Normal 40 34 4 2" xfId="39037" xr:uid="{00000000-0005-0000-0000-0000D4680000}"/>
    <cellStyle name="Normal 40 34 5" xfId="39038" xr:uid="{00000000-0005-0000-0000-0000D5680000}"/>
    <cellStyle name="Normal 40 34_01-04-2012" xfId="9519" xr:uid="{00000000-0005-0000-0000-0000D6680000}"/>
    <cellStyle name="Normal 40 35" xfId="9520" xr:uid="{00000000-0005-0000-0000-0000D7680000}"/>
    <cellStyle name="Normal 40 35 2" xfId="9521" xr:uid="{00000000-0005-0000-0000-0000D8680000}"/>
    <cellStyle name="Normal 40 35 2 2" xfId="39039" xr:uid="{00000000-0005-0000-0000-0000D9680000}"/>
    <cellStyle name="Normal 40 35 3" xfId="9522" xr:uid="{00000000-0005-0000-0000-0000DA680000}"/>
    <cellStyle name="Normal 40 35 3 2" xfId="39040" xr:uid="{00000000-0005-0000-0000-0000DB680000}"/>
    <cellStyle name="Normal 40 35 4" xfId="9523" xr:uid="{00000000-0005-0000-0000-0000DC680000}"/>
    <cellStyle name="Normal 40 35 4 2" xfId="39041" xr:uid="{00000000-0005-0000-0000-0000DD680000}"/>
    <cellStyle name="Normal 40 35 5" xfId="39042" xr:uid="{00000000-0005-0000-0000-0000DE680000}"/>
    <cellStyle name="Normal 40 35_01-04-2012" xfId="9524" xr:uid="{00000000-0005-0000-0000-0000DF680000}"/>
    <cellStyle name="Normal 40 36" xfId="9525" xr:uid="{00000000-0005-0000-0000-0000E0680000}"/>
    <cellStyle name="Normal 40 36 2" xfId="9526" xr:uid="{00000000-0005-0000-0000-0000E1680000}"/>
    <cellStyle name="Normal 40 36 2 2" xfId="39043" xr:uid="{00000000-0005-0000-0000-0000E2680000}"/>
    <cellStyle name="Normal 40 36 3" xfId="9527" xr:uid="{00000000-0005-0000-0000-0000E3680000}"/>
    <cellStyle name="Normal 40 36 3 2" xfId="39044" xr:uid="{00000000-0005-0000-0000-0000E4680000}"/>
    <cellStyle name="Normal 40 36 4" xfId="9528" xr:uid="{00000000-0005-0000-0000-0000E5680000}"/>
    <cellStyle name="Normal 40 36 4 2" xfId="39045" xr:uid="{00000000-0005-0000-0000-0000E6680000}"/>
    <cellStyle name="Normal 40 36 5" xfId="39046" xr:uid="{00000000-0005-0000-0000-0000E7680000}"/>
    <cellStyle name="Normal 40 36_01-04-2012" xfId="9529" xr:uid="{00000000-0005-0000-0000-0000E8680000}"/>
    <cellStyle name="Normal 40 37" xfId="9530" xr:uid="{00000000-0005-0000-0000-0000E9680000}"/>
    <cellStyle name="Normal 40 37 2" xfId="9531" xr:uid="{00000000-0005-0000-0000-0000EA680000}"/>
    <cellStyle name="Normal 40 37 2 2" xfId="39047" xr:uid="{00000000-0005-0000-0000-0000EB680000}"/>
    <cellStyle name="Normal 40 37 3" xfId="9532" xr:uid="{00000000-0005-0000-0000-0000EC680000}"/>
    <cellStyle name="Normal 40 37 3 2" xfId="39048" xr:uid="{00000000-0005-0000-0000-0000ED680000}"/>
    <cellStyle name="Normal 40 37 4" xfId="9533" xr:uid="{00000000-0005-0000-0000-0000EE680000}"/>
    <cellStyle name="Normal 40 37 4 2" xfId="39049" xr:uid="{00000000-0005-0000-0000-0000EF680000}"/>
    <cellStyle name="Normal 40 37 5" xfId="39050" xr:uid="{00000000-0005-0000-0000-0000F0680000}"/>
    <cellStyle name="Normal 40 37_01-04-2012" xfId="9534" xr:uid="{00000000-0005-0000-0000-0000F1680000}"/>
    <cellStyle name="Normal 40 38" xfId="9535" xr:uid="{00000000-0005-0000-0000-0000F2680000}"/>
    <cellStyle name="Normal 40 38 2" xfId="39051" xr:uid="{00000000-0005-0000-0000-0000F3680000}"/>
    <cellStyle name="Normal 40 39" xfId="9536" xr:uid="{00000000-0005-0000-0000-0000F4680000}"/>
    <cellStyle name="Normal 40 39 2" xfId="39052" xr:uid="{00000000-0005-0000-0000-0000F5680000}"/>
    <cellStyle name="Normal 40 4" xfId="9537" xr:uid="{00000000-0005-0000-0000-0000F6680000}"/>
    <cellStyle name="Normal 40 4 2" xfId="9538" xr:uid="{00000000-0005-0000-0000-0000F7680000}"/>
    <cellStyle name="Normal 40 4 2 2" xfId="39053" xr:uid="{00000000-0005-0000-0000-0000F8680000}"/>
    <cellStyle name="Normal 40 4 3" xfId="9539" xr:uid="{00000000-0005-0000-0000-0000F9680000}"/>
    <cellStyle name="Normal 40 4 3 2" xfId="39054" xr:uid="{00000000-0005-0000-0000-0000FA680000}"/>
    <cellStyle name="Normal 40 4 4" xfId="9540" xr:uid="{00000000-0005-0000-0000-0000FB680000}"/>
    <cellStyle name="Normal 40 4 4 2" xfId="39055" xr:uid="{00000000-0005-0000-0000-0000FC680000}"/>
    <cellStyle name="Normal 40 4 5" xfId="39056" xr:uid="{00000000-0005-0000-0000-0000FD680000}"/>
    <cellStyle name="Normal 40 4_01-04-2012" xfId="9541" xr:uid="{00000000-0005-0000-0000-0000FE680000}"/>
    <cellStyle name="Normal 40 40" xfId="9542" xr:uid="{00000000-0005-0000-0000-0000FF680000}"/>
    <cellStyle name="Normal 40 40 2" xfId="39057" xr:uid="{00000000-0005-0000-0000-000000690000}"/>
    <cellStyle name="Normal 40 41" xfId="20856" xr:uid="{00000000-0005-0000-0000-000001690000}"/>
    <cellStyle name="Normal 40 41 2" xfId="39058" xr:uid="{00000000-0005-0000-0000-000002690000}"/>
    <cellStyle name="Normal 40 42" xfId="20857" xr:uid="{00000000-0005-0000-0000-000003690000}"/>
    <cellStyle name="Normal 40 43" xfId="20858" xr:uid="{00000000-0005-0000-0000-000004690000}"/>
    <cellStyle name="Normal 40 44" xfId="20859" xr:uid="{00000000-0005-0000-0000-000005690000}"/>
    <cellStyle name="Normal 40 45" xfId="20860" xr:uid="{00000000-0005-0000-0000-000006690000}"/>
    <cellStyle name="Normal 40 46" xfId="20861" xr:uid="{00000000-0005-0000-0000-000007690000}"/>
    <cellStyle name="Normal 40 47" xfId="33733" xr:uid="{00000000-0005-0000-0000-000008690000}"/>
    <cellStyle name="Normal 40 5" xfId="9543" xr:uid="{00000000-0005-0000-0000-000009690000}"/>
    <cellStyle name="Normal 40 5 2" xfId="9544" xr:uid="{00000000-0005-0000-0000-00000A690000}"/>
    <cellStyle name="Normal 40 5 2 2" xfId="39059" xr:uid="{00000000-0005-0000-0000-00000B690000}"/>
    <cellStyle name="Normal 40 5 3" xfId="9545" xr:uid="{00000000-0005-0000-0000-00000C690000}"/>
    <cellStyle name="Normal 40 5 3 2" xfId="39060" xr:uid="{00000000-0005-0000-0000-00000D690000}"/>
    <cellStyle name="Normal 40 5 4" xfId="9546" xr:uid="{00000000-0005-0000-0000-00000E690000}"/>
    <cellStyle name="Normal 40 5 4 2" xfId="39061" xr:uid="{00000000-0005-0000-0000-00000F690000}"/>
    <cellStyle name="Normal 40 5 5" xfId="39062" xr:uid="{00000000-0005-0000-0000-000010690000}"/>
    <cellStyle name="Normal 40 5_01-04-2012" xfId="9547" xr:uid="{00000000-0005-0000-0000-000011690000}"/>
    <cellStyle name="Normal 40 6" xfId="9548" xr:uid="{00000000-0005-0000-0000-000012690000}"/>
    <cellStyle name="Normal 40 6 2" xfId="9549" xr:uid="{00000000-0005-0000-0000-000013690000}"/>
    <cellStyle name="Normal 40 6 2 2" xfId="39063" xr:uid="{00000000-0005-0000-0000-000014690000}"/>
    <cellStyle name="Normal 40 6 3" xfId="9550" xr:uid="{00000000-0005-0000-0000-000015690000}"/>
    <cellStyle name="Normal 40 6 3 2" xfId="39064" xr:uid="{00000000-0005-0000-0000-000016690000}"/>
    <cellStyle name="Normal 40 6 4" xfId="9551" xr:uid="{00000000-0005-0000-0000-000017690000}"/>
    <cellStyle name="Normal 40 6 4 2" xfId="39065" xr:uid="{00000000-0005-0000-0000-000018690000}"/>
    <cellStyle name="Normal 40 6 5" xfId="39066" xr:uid="{00000000-0005-0000-0000-000019690000}"/>
    <cellStyle name="Normal 40 6_01-04-2012" xfId="9552" xr:uid="{00000000-0005-0000-0000-00001A690000}"/>
    <cellStyle name="Normal 40 7" xfId="9553" xr:uid="{00000000-0005-0000-0000-00001B690000}"/>
    <cellStyle name="Normal 40 7 2" xfId="9554" xr:uid="{00000000-0005-0000-0000-00001C690000}"/>
    <cellStyle name="Normal 40 7 2 2" xfId="39067" xr:uid="{00000000-0005-0000-0000-00001D690000}"/>
    <cellStyle name="Normal 40 7 3" xfId="9555" xr:uid="{00000000-0005-0000-0000-00001E690000}"/>
    <cellStyle name="Normal 40 7 3 2" xfId="39068" xr:uid="{00000000-0005-0000-0000-00001F690000}"/>
    <cellStyle name="Normal 40 7 4" xfId="9556" xr:uid="{00000000-0005-0000-0000-000020690000}"/>
    <cellStyle name="Normal 40 7 4 2" xfId="39069" xr:uid="{00000000-0005-0000-0000-000021690000}"/>
    <cellStyle name="Normal 40 7 5" xfId="39070" xr:uid="{00000000-0005-0000-0000-000022690000}"/>
    <cellStyle name="Normal 40 7_01-04-2012" xfId="9557" xr:uid="{00000000-0005-0000-0000-000023690000}"/>
    <cellStyle name="Normal 40 8" xfId="9558" xr:uid="{00000000-0005-0000-0000-000024690000}"/>
    <cellStyle name="Normal 40 8 2" xfId="9559" xr:uid="{00000000-0005-0000-0000-000025690000}"/>
    <cellStyle name="Normal 40 8 2 2" xfId="39071" xr:uid="{00000000-0005-0000-0000-000026690000}"/>
    <cellStyle name="Normal 40 8 3" xfId="9560" xr:uid="{00000000-0005-0000-0000-000027690000}"/>
    <cellStyle name="Normal 40 8 3 2" xfId="39072" xr:uid="{00000000-0005-0000-0000-000028690000}"/>
    <cellStyle name="Normal 40 8 4" xfId="9561" xr:uid="{00000000-0005-0000-0000-000029690000}"/>
    <cellStyle name="Normal 40 8 4 2" xfId="39073" xr:uid="{00000000-0005-0000-0000-00002A690000}"/>
    <cellStyle name="Normal 40 8 5" xfId="39074" xr:uid="{00000000-0005-0000-0000-00002B690000}"/>
    <cellStyle name="Normal 40 8_01-04-2012" xfId="9562" xr:uid="{00000000-0005-0000-0000-00002C690000}"/>
    <cellStyle name="Normal 40 9" xfId="9563" xr:uid="{00000000-0005-0000-0000-00002D690000}"/>
    <cellStyle name="Normal 40 9 2" xfId="9564" xr:uid="{00000000-0005-0000-0000-00002E690000}"/>
    <cellStyle name="Normal 40 9 2 2" xfId="39075" xr:uid="{00000000-0005-0000-0000-00002F690000}"/>
    <cellStyle name="Normal 40 9 3" xfId="9565" xr:uid="{00000000-0005-0000-0000-000030690000}"/>
    <cellStyle name="Normal 40 9 3 2" xfId="39076" xr:uid="{00000000-0005-0000-0000-000031690000}"/>
    <cellStyle name="Normal 40 9 4" xfId="9566" xr:uid="{00000000-0005-0000-0000-000032690000}"/>
    <cellStyle name="Normal 40 9 4 2" xfId="39077" xr:uid="{00000000-0005-0000-0000-000033690000}"/>
    <cellStyle name="Normal 40 9 5" xfId="39078" xr:uid="{00000000-0005-0000-0000-000034690000}"/>
    <cellStyle name="Normal 40 9_01-04-2012" xfId="9567" xr:uid="{00000000-0005-0000-0000-000035690000}"/>
    <cellStyle name="Normal 40_01-04-2012" xfId="9568" xr:uid="{00000000-0005-0000-0000-000036690000}"/>
    <cellStyle name="Normal 400" xfId="20862" xr:uid="{00000000-0005-0000-0000-000037690000}"/>
    <cellStyle name="Normal 401" xfId="20863" xr:uid="{00000000-0005-0000-0000-000038690000}"/>
    <cellStyle name="Normal 402" xfId="20864" xr:uid="{00000000-0005-0000-0000-000039690000}"/>
    <cellStyle name="Normal 403" xfId="20865" xr:uid="{00000000-0005-0000-0000-00003A690000}"/>
    <cellStyle name="Normal 404" xfId="20866" xr:uid="{00000000-0005-0000-0000-00003B690000}"/>
    <cellStyle name="Normal 405" xfId="20867" xr:uid="{00000000-0005-0000-0000-00003C690000}"/>
    <cellStyle name="Normal 406" xfId="20868" xr:uid="{00000000-0005-0000-0000-00003D690000}"/>
    <cellStyle name="Normal 407" xfId="20869" xr:uid="{00000000-0005-0000-0000-00003E690000}"/>
    <cellStyle name="Normal 408" xfId="20870" xr:uid="{00000000-0005-0000-0000-00003F690000}"/>
    <cellStyle name="Normal 409" xfId="20871" xr:uid="{00000000-0005-0000-0000-000040690000}"/>
    <cellStyle name="Normal 41" xfId="9569" xr:uid="{00000000-0005-0000-0000-000041690000}"/>
    <cellStyle name="Normal 41 10" xfId="9570" xr:uid="{00000000-0005-0000-0000-000042690000}"/>
    <cellStyle name="Normal 41 10 2" xfId="9571" xr:uid="{00000000-0005-0000-0000-000043690000}"/>
    <cellStyle name="Normal 41 10 2 2" xfId="39079" xr:uid="{00000000-0005-0000-0000-000044690000}"/>
    <cellStyle name="Normal 41 10 3" xfId="9572" xr:uid="{00000000-0005-0000-0000-000045690000}"/>
    <cellStyle name="Normal 41 10 3 2" xfId="39080" xr:uid="{00000000-0005-0000-0000-000046690000}"/>
    <cellStyle name="Normal 41 10 4" xfId="9573" xr:uid="{00000000-0005-0000-0000-000047690000}"/>
    <cellStyle name="Normal 41 10 4 2" xfId="39081" xr:uid="{00000000-0005-0000-0000-000048690000}"/>
    <cellStyle name="Normal 41 10 5" xfId="39082" xr:uid="{00000000-0005-0000-0000-000049690000}"/>
    <cellStyle name="Normal 41 10_01-04-2012" xfId="9574" xr:uid="{00000000-0005-0000-0000-00004A690000}"/>
    <cellStyle name="Normal 41 11" xfId="9575" xr:uid="{00000000-0005-0000-0000-00004B690000}"/>
    <cellStyle name="Normal 41 11 2" xfId="9576" xr:uid="{00000000-0005-0000-0000-00004C690000}"/>
    <cellStyle name="Normal 41 11 2 2" xfId="39083" xr:uid="{00000000-0005-0000-0000-00004D690000}"/>
    <cellStyle name="Normal 41 11 3" xfId="9577" xr:uid="{00000000-0005-0000-0000-00004E690000}"/>
    <cellStyle name="Normal 41 11 3 2" xfId="39084" xr:uid="{00000000-0005-0000-0000-00004F690000}"/>
    <cellStyle name="Normal 41 11 4" xfId="9578" xr:uid="{00000000-0005-0000-0000-000050690000}"/>
    <cellStyle name="Normal 41 11 4 2" xfId="39085" xr:uid="{00000000-0005-0000-0000-000051690000}"/>
    <cellStyle name="Normal 41 11 5" xfId="39086" xr:uid="{00000000-0005-0000-0000-000052690000}"/>
    <cellStyle name="Normal 41 11_01-04-2012" xfId="9579" xr:uid="{00000000-0005-0000-0000-000053690000}"/>
    <cellStyle name="Normal 41 12" xfId="9580" xr:uid="{00000000-0005-0000-0000-000054690000}"/>
    <cellStyle name="Normal 41 12 2" xfId="9581" xr:uid="{00000000-0005-0000-0000-000055690000}"/>
    <cellStyle name="Normal 41 12 2 2" xfId="39087" xr:uid="{00000000-0005-0000-0000-000056690000}"/>
    <cellStyle name="Normal 41 12 3" xfId="9582" xr:uid="{00000000-0005-0000-0000-000057690000}"/>
    <cellStyle name="Normal 41 12 3 2" xfId="39088" xr:uid="{00000000-0005-0000-0000-000058690000}"/>
    <cellStyle name="Normal 41 12 4" xfId="9583" xr:uid="{00000000-0005-0000-0000-000059690000}"/>
    <cellStyle name="Normal 41 12 4 2" xfId="39089" xr:uid="{00000000-0005-0000-0000-00005A690000}"/>
    <cellStyle name="Normal 41 12 5" xfId="39090" xr:uid="{00000000-0005-0000-0000-00005B690000}"/>
    <cellStyle name="Normal 41 12_01-04-2012" xfId="9584" xr:uid="{00000000-0005-0000-0000-00005C690000}"/>
    <cellStyle name="Normal 41 13" xfId="9585" xr:uid="{00000000-0005-0000-0000-00005D690000}"/>
    <cellStyle name="Normal 41 13 2" xfId="9586" xr:uid="{00000000-0005-0000-0000-00005E690000}"/>
    <cellStyle name="Normal 41 13 2 2" xfId="39091" xr:uid="{00000000-0005-0000-0000-00005F690000}"/>
    <cellStyle name="Normal 41 13 3" xfId="9587" xr:uid="{00000000-0005-0000-0000-000060690000}"/>
    <cellStyle name="Normal 41 13 3 2" xfId="39092" xr:uid="{00000000-0005-0000-0000-000061690000}"/>
    <cellStyle name="Normal 41 13 4" xfId="9588" xr:uid="{00000000-0005-0000-0000-000062690000}"/>
    <cellStyle name="Normal 41 13 4 2" xfId="39093" xr:uid="{00000000-0005-0000-0000-000063690000}"/>
    <cellStyle name="Normal 41 13 5" xfId="39094" xr:uid="{00000000-0005-0000-0000-000064690000}"/>
    <cellStyle name="Normal 41 13_01-04-2012" xfId="9589" xr:uid="{00000000-0005-0000-0000-000065690000}"/>
    <cellStyle name="Normal 41 14" xfId="9590" xr:uid="{00000000-0005-0000-0000-000066690000}"/>
    <cellStyle name="Normal 41 14 2" xfId="9591" xr:uid="{00000000-0005-0000-0000-000067690000}"/>
    <cellStyle name="Normal 41 14 2 2" xfId="39095" xr:uid="{00000000-0005-0000-0000-000068690000}"/>
    <cellStyle name="Normal 41 14 3" xfId="9592" xr:uid="{00000000-0005-0000-0000-000069690000}"/>
    <cellStyle name="Normal 41 14 3 2" xfId="39096" xr:uid="{00000000-0005-0000-0000-00006A690000}"/>
    <cellStyle name="Normal 41 14 4" xfId="9593" xr:uid="{00000000-0005-0000-0000-00006B690000}"/>
    <cellStyle name="Normal 41 14 4 2" xfId="39097" xr:uid="{00000000-0005-0000-0000-00006C690000}"/>
    <cellStyle name="Normal 41 14 5" xfId="39098" xr:uid="{00000000-0005-0000-0000-00006D690000}"/>
    <cellStyle name="Normal 41 14_01-04-2012" xfId="9594" xr:uid="{00000000-0005-0000-0000-00006E690000}"/>
    <cellStyle name="Normal 41 15" xfId="9595" xr:uid="{00000000-0005-0000-0000-00006F690000}"/>
    <cellStyle name="Normal 41 15 2" xfId="9596" xr:uid="{00000000-0005-0000-0000-000070690000}"/>
    <cellStyle name="Normal 41 15 2 2" xfId="39099" xr:uid="{00000000-0005-0000-0000-000071690000}"/>
    <cellStyle name="Normal 41 15 3" xfId="9597" xr:uid="{00000000-0005-0000-0000-000072690000}"/>
    <cellStyle name="Normal 41 15 3 2" xfId="39100" xr:uid="{00000000-0005-0000-0000-000073690000}"/>
    <cellStyle name="Normal 41 15 4" xfId="9598" xr:uid="{00000000-0005-0000-0000-000074690000}"/>
    <cellStyle name="Normal 41 15 4 2" xfId="39101" xr:uid="{00000000-0005-0000-0000-000075690000}"/>
    <cellStyle name="Normal 41 15 5" xfId="39102" xr:uid="{00000000-0005-0000-0000-000076690000}"/>
    <cellStyle name="Normal 41 15_01-04-2012" xfId="9599" xr:uid="{00000000-0005-0000-0000-000077690000}"/>
    <cellStyle name="Normal 41 16" xfId="9600" xr:uid="{00000000-0005-0000-0000-000078690000}"/>
    <cellStyle name="Normal 41 16 2" xfId="9601" xr:uid="{00000000-0005-0000-0000-000079690000}"/>
    <cellStyle name="Normal 41 16 2 2" xfId="39103" xr:uid="{00000000-0005-0000-0000-00007A690000}"/>
    <cellStyle name="Normal 41 16 3" xfId="9602" xr:uid="{00000000-0005-0000-0000-00007B690000}"/>
    <cellStyle name="Normal 41 16 3 2" xfId="39104" xr:uid="{00000000-0005-0000-0000-00007C690000}"/>
    <cellStyle name="Normal 41 16 4" xfId="9603" xr:uid="{00000000-0005-0000-0000-00007D690000}"/>
    <cellStyle name="Normal 41 16 4 2" xfId="39105" xr:uid="{00000000-0005-0000-0000-00007E690000}"/>
    <cellStyle name="Normal 41 16 5" xfId="39106" xr:uid="{00000000-0005-0000-0000-00007F690000}"/>
    <cellStyle name="Normal 41 16_01-04-2012" xfId="9604" xr:uid="{00000000-0005-0000-0000-000080690000}"/>
    <cellStyle name="Normal 41 17" xfId="9605" xr:uid="{00000000-0005-0000-0000-000081690000}"/>
    <cellStyle name="Normal 41 17 2" xfId="9606" xr:uid="{00000000-0005-0000-0000-000082690000}"/>
    <cellStyle name="Normal 41 17 2 2" xfId="39107" xr:uid="{00000000-0005-0000-0000-000083690000}"/>
    <cellStyle name="Normal 41 17 3" xfId="9607" xr:uid="{00000000-0005-0000-0000-000084690000}"/>
    <cellStyle name="Normal 41 17 3 2" xfId="39108" xr:uid="{00000000-0005-0000-0000-000085690000}"/>
    <cellStyle name="Normal 41 17 4" xfId="9608" xr:uid="{00000000-0005-0000-0000-000086690000}"/>
    <cellStyle name="Normal 41 17 4 2" xfId="39109" xr:uid="{00000000-0005-0000-0000-000087690000}"/>
    <cellStyle name="Normal 41 17 5" xfId="39110" xr:uid="{00000000-0005-0000-0000-000088690000}"/>
    <cellStyle name="Normal 41 17_01-04-2012" xfId="9609" xr:uid="{00000000-0005-0000-0000-000089690000}"/>
    <cellStyle name="Normal 41 18" xfId="9610" xr:uid="{00000000-0005-0000-0000-00008A690000}"/>
    <cellStyle name="Normal 41 18 2" xfId="9611" xr:uid="{00000000-0005-0000-0000-00008B690000}"/>
    <cellStyle name="Normal 41 18 2 2" xfId="39111" xr:uid="{00000000-0005-0000-0000-00008C690000}"/>
    <cellStyle name="Normal 41 18 3" xfId="9612" xr:uid="{00000000-0005-0000-0000-00008D690000}"/>
    <cellStyle name="Normal 41 18 3 2" xfId="39112" xr:uid="{00000000-0005-0000-0000-00008E690000}"/>
    <cellStyle name="Normal 41 18 4" xfId="9613" xr:uid="{00000000-0005-0000-0000-00008F690000}"/>
    <cellStyle name="Normal 41 18 4 2" xfId="39113" xr:uid="{00000000-0005-0000-0000-000090690000}"/>
    <cellStyle name="Normal 41 18 5" xfId="39114" xr:uid="{00000000-0005-0000-0000-000091690000}"/>
    <cellStyle name="Normal 41 18_01-04-2012" xfId="9614" xr:uid="{00000000-0005-0000-0000-000092690000}"/>
    <cellStyle name="Normal 41 19" xfId="9615" xr:uid="{00000000-0005-0000-0000-000093690000}"/>
    <cellStyle name="Normal 41 19 2" xfId="9616" xr:uid="{00000000-0005-0000-0000-000094690000}"/>
    <cellStyle name="Normal 41 19 2 2" xfId="39115" xr:uid="{00000000-0005-0000-0000-000095690000}"/>
    <cellStyle name="Normal 41 19 3" xfId="9617" xr:uid="{00000000-0005-0000-0000-000096690000}"/>
    <cellStyle name="Normal 41 19 3 2" xfId="39116" xr:uid="{00000000-0005-0000-0000-000097690000}"/>
    <cellStyle name="Normal 41 19 4" xfId="9618" xr:uid="{00000000-0005-0000-0000-000098690000}"/>
    <cellStyle name="Normal 41 19 4 2" xfId="39117" xr:uid="{00000000-0005-0000-0000-000099690000}"/>
    <cellStyle name="Normal 41 19 5" xfId="39118" xr:uid="{00000000-0005-0000-0000-00009A690000}"/>
    <cellStyle name="Normal 41 19_01-04-2012" xfId="9619" xr:uid="{00000000-0005-0000-0000-00009B690000}"/>
    <cellStyle name="Normal 41 2" xfId="9620" xr:uid="{00000000-0005-0000-0000-00009C690000}"/>
    <cellStyle name="Normal 41 2 2" xfId="9621" xr:uid="{00000000-0005-0000-0000-00009D690000}"/>
    <cellStyle name="Normal 41 2 2 2" xfId="33736" xr:uid="{00000000-0005-0000-0000-00009E690000}"/>
    <cellStyle name="Normal 41 2 2 2 2" xfId="39119" xr:uid="{00000000-0005-0000-0000-00009F690000}"/>
    <cellStyle name="Normal 41 2 3" xfId="9622" xr:uid="{00000000-0005-0000-0000-0000A0690000}"/>
    <cellStyle name="Normal 41 2 3 2" xfId="39120" xr:uid="{00000000-0005-0000-0000-0000A1690000}"/>
    <cellStyle name="Normal 41 2 4" xfId="9623" xr:uid="{00000000-0005-0000-0000-0000A2690000}"/>
    <cellStyle name="Normal 41 2 4 2" xfId="39121" xr:uid="{00000000-0005-0000-0000-0000A3690000}"/>
    <cellStyle name="Normal 41 2 5" xfId="20872" xr:uid="{00000000-0005-0000-0000-0000A4690000}"/>
    <cellStyle name="Normal 41 2 5 2" xfId="39122" xr:uid="{00000000-0005-0000-0000-0000A5690000}"/>
    <cellStyle name="Normal 41 2_01-04-2012" xfId="9624" xr:uid="{00000000-0005-0000-0000-0000A6690000}"/>
    <cellStyle name="Normal 41 20" xfId="9625" xr:uid="{00000000-0005-0000-0000-0000A7690000}"/>
    <cellStyle name="Normal 41 20 2" xfId="9626" xr:uid="{00000000-0005-0000-0000-0000A8690000}"/>
    <cellStyle name="Normal 41 20 2 2" xfId="39123" xr:uid="{00000000-0005-0000-0000-0000A9690000}"/>
    <cellStyle name="Normal 41 20 3" xfId="9627" xr:uid="{00000000-0005-0000-0000-0000AA690000}"/>
    <cellStyle name="Normal 41 20 3 2" xfId="39124" xr:uid="{00000000-0005-0000-0000-0000AB690000}"/>
    <cellStyle name="Normal 41 20 4" xfId="9628" xr:uid="{00000000-0005-0000-0000-0000AC690000}"/>
    <cellStyle name="Normal 41 20 4 2" xfId="39125" xr:uid="{00000000-0005-0000-0000-0000AD690000}"/>
    <cellStyle name="Normal 41 20 5" xfId="39126" xr:uid="{00000000-0005-0000-0000-0000AE690000}"/>
    <cellStyle name="Normal 41 20_01-04-2012" xfId="9629" xr:uid="{00000000-0005-0000-0000-0000AF690000}"/>
    <cellStyle name="Normal 41 21" xfId="9630" xr:uid="{00000000-0005-0000-0000-0000B0690000}"/>
    <cellStyle name="Normal 41 21 2" xfId="9631" xr:uid="{00000000-0005-0000-0000-0000B1690000}"/>
    <cellStyle name="Normal 41 21 2 2" xfId="39127" xr:uid="{00000000-0005-0000-0000-0000B2690000}"/>
    <cellStyle name="Normal 41 21 3" xfId="9632" xr:uid="{00000000-0005-0000-0000-0000B3690000}"/>
    <cellStyle name="Normal 41 21 3 2" xfId="39128" xr:uid="{00000000-0005-0000-0000-0000B4690000}"/>
    <cellStyle name="Normal 41 21 4" xfId="9633" xr:uid="{00000000-0005-0000-0000-0000B5690000}"/>
    <cellStyle name="Normal 41 21 4 2" xfId="39129" xr:uid="{00000000-0005-0000-0000-0000B6690000}"/>
    <cellStyle name="Normal 41 21 5" xfId="39130" xr:uid="{00000000-0005-0000-0000-0000B7690000}"/>
    <cellStyle name="Normal 41 21_01-04-2012" xfId="9634" xr:uid="{00000000-0005-0000-0000-0000B8690000}"/>
    <cellStyle name="Normal 41 22" xfId="9635" xr:uid="{00000000-0005-0000-0000-0000B9690000}"/>
    <cellStyle name="Normal 41 22 2" xfId="9636" xr:uid="{00000000-0005-0000-0000-0000BA690000}"/>
    <cellStyle name="Normal 41 22 2 2" xfId="39131" xr:uid="{00000000-0005-0000-0000-0000BB690000}"/>
    <cellStyle name="Normal 41 22 3" xfId="9637" xr:uid="{00000000-0005-0000-0000-0000BC690000}"/>
    <cellStyle name="Normal 41 22 3 2" xfId="39132" xr:uid="{00000000-0005-0000-0000-0000BD690000}"/>
    <cellStyle name="Normal 41 22 4" xfId="9638" xr:uid="{00000000-0005-0000-0000-0000BE690000}"/>
    <cellStyle name="Normal 41 22 4 2" xfId="39133" xr:uid="{00000000-0005-0000-0000-0000BF690000}"/>
    <cellStyle name="Normal 41 22 5" xfId="39134" xr:uid="{00000000-0005-0000-0000-0000C0690000}"/>
    <cellStyle name="Normal 41 22_01-04-2012" xfId="9639" xr:uid="{00000000-0005-0000-0000-0000C1690000}"/>
    <cellStyle name="Normal 41 23" xfId="9640" xr:uid="{00000000-0005-0000-0000-0000C2690000}"/>
    <cellStyle name="Normal 41 23 2" xfId="9641" xr:uid="{00000000-0005-0000-0000-0000C3690000}"/>
    <cellStyle name="Normal 41 23 2 2" xfId="39135" xr:uid="{00000000-0005-0000-0000-0000C4690000}"/>
    <cellStyle name="Normal 41 23 3" xfId="9642" xr:uid="{00000000-0005-0000-0000-0000C5690000}"/>
    <cellStyle name="Normal 41 23 3 2" xfId="39136" xr:uid="{00000000-0005-0000-0000-0000C6690000}"/>
    <cellStyle name="Normal 41 23 4" xfId="9643" xr:uid="{00000000-0005-0000-0000-0000C7690000}"/>
    <cellStyle name="Normal 41 23 4 2" xfId="39137" xr:uid="{00000000-0005-0000-0000-0000C8690000}"/>
    <cellStyle name="Normal 41 23 5" xfId="39138" xr:uid="{00000000-0005-0000-0000-0000C9690000}"/>
    <cellStyle name="Normal 41 23_01-04-2012" xfId="9644" xr:uid="{00000000-0005-0000-0000-0000CA690000}"/>
    <cellStyle name="Normal 41 24" xfId="9645" xr:uid="{00000000-0005-0000-0000-0000CB690000}"/>
    <cellStyle name="Normal 41 24 2" xfId="9646" xr:uid="{00000000-0005-0000-0000-0000CC690000}"/>
    <cellStyle name="Normal 41 24 2 2" xfId="39139" xr:uid="{00000000-0005-0000-0000-0000CD690000}"/>
    <cellStyle name="Normal 41 24 3" xfId="9647" xr:uid="{00000000-0005-0000-0000-0000CE690000}"/>
    <cellStyle name="Normal 41 24 3 2" xfId="39140" xr:uid="{00000000-0005-0000-0000-0000CF690000}"/>
    <cellStyle name="Normal 41 24 4" xfId="9648" xr:uid="{00000000-0005-0000-0000-0000D0690000}"/>
    <cellStyle name="Normal 41 24 4 2" xfId="39141" xr:uid="{00000000-0005-0000-0000-0000D1690000}"/>
    <cellStyle name="Normal 41 24 5" xfId="39142" xr:uid="{00000000-0005-0000-0000-0000D2690000}"/>
    <cellStyle name="Normal 41 24_01-04-2012" xfId="9649" xr:uid="{00000000-0005-0000-0000-0000D3690000}"/>
    <cellStyle name="Normal 41 25" xfId="9650" xr:uid="{00000000-0005-0000-0000-0000D4690000}"/>
    <cellStyle name="Normal 41 25 2" xfId="9651" xr:uid="{00000000-0005-0000-0000-0000D5690000}"/>
    <cellStyle name="Normal 41 25 2 2" xfId="39143" xr:uid="{00000000-0005-0000-0000-0000D6690000}"/>
    <cellStyle name="Normal 41 25 3" xfId="9652" xr:uid="{00000000-0005-0000-0000-0000D7690000}"/>
    <cellStyle name="Normal 41 25 3 2" xfId="39144" xr:uid="{00000000-0005-0000-0000-0000D8690000}"/>
    <cellStyle name="Normal 41 25 4" xfId="9653" xr:uid="{00000000-0005-0000-0000-0000D9690000}"/>
    <cellStyle name="Normal 41 25 4 2" xfId="39145" xr:uid="{00000000-0005-0000-0000-0000DA690000}"/>
    <cellStyle name="Normal 41 25 5" xfId="39146" xr:uid="{00000000-0005-0000-0000-0000DB690000}"/>
    <cellStyle name="Normal 41 25_01-04-2012" xfId="9654" xr:uid="{00000000-0005-0000-0000-0000DC690000}"/>
    <cellStyle name="Normal 41 26" xfId="9655" xr:uid="{00000000-0005-0000-0000-0000DD690000}"/>
    <cellStyle name="Normal 41 26 2" xfId="9656" xr:uid="{00000000-0005-0000-0000-0000DE690000}"/>
    <cellStyle name="Normal 41 26 2 2" xfId="39147" xr:uid="{00000000-0005-0000-0000-0000DF690000}"/>
    <cellStyle name="Normal 41 26 3" xfId="9657" xr:uid="{00000000-0005-0000-0000-0000E0690000}"/>
    <cellStyle name="Normal 41 26 3 2" xfId="39148" xr:uid="{00000000-0005-0000-0000-0000E1690000}"/>
    <cellStyle name="Normal 41 26 4" xfId="9658" xr:uid="{00000000-0005-0000-0000-0000E2690000}"/>
    <cellStyle name="Normal 41 26 4 2" xfId="39149" xr:uid="{00000000-0005-0000-0000-0000E3690000}"/>
    <cellStyle name="Normal 41 26 5" xfId="39150" xr:uid="{00000000-0005-0000-0000-0000E4690000}"/>
    <cellStyle name="Normal 41 26_01-04-2012" xfId="9659" xr:uid="{00000000-0005-0000-0000-0000E5690000}"/>
    <cellStyle name="Normal 41 27" xfId="9660" xr:uid="{00000000-0005-0000-0000-0000E6690000}"/>
    <cellStyle name="Normal 41 27 2" xfId="9661" xr:uid="{00000000-0005-0000-0000-0000E7690000}"/>
    <cellStyle name="Normal 41 27 2 2" xfId="39151" xr:uid="{00000000-0005-0000-0000-0000E8690000}"/>
    <cellStyle name="Normal 41 27 3" xfId="9662" xr:uid="{00000000-0005-0000-0000-0000E9690000}"/>
    <cellStyle name="Normal 41 27 3 2" xfId="39152" xr:uid="{00000000-0005-0000-0000-0000EA690000}"/>
    <cellStyle name="Normal 41 27 4" xfId="9663" xr:uid="{00000000-0005-0000-0000-0000EB690000}"/>
    <cellStyle name="Normal 41 27 4 2" xfId="39153" xr:uid="{00000000-0005-0000-0000-0000EC690000}"/>
    <cellStyle name="Normal 41 27 5" xfId="39154" xr:uid="{00000000-0005-0000-0000-0000ED690000}"/>
    <cellStyle name="Normal 41 27_01-04-2012" xfId="9664" xr:uid="{00000000-0005-0000-0000-0000EE690000}"/>
    <cellStyle name="Normal 41 28" xfId="9665" xr:uid="{00000000-0005-0000-0000-0000EF690000}"/>
    <cellStyle name="Normal 41 28 2" xfId="9666" xr:uid="{00000000-0005-0000-0000-0000F0690000}"/>
    <cellStyle name="Normal 41 28 2 2" xfId="39155" xr:uid="{00000000-0005-0000-0000-0000F1690000}"/>
    <cellStyle name="Normal 41 28 3" xfId="9667" xr:uid="{00000000-0005-0000-0000-0000F2690000}"/>
    <cellStyle name="Normal 41 28 3 2" xfId="39156" xr:uid="{00000000-0005-0000-0000-0000F3690000}"/>
    <cellStyle name="Normal 41 28 4" xfId="9668" xr:uid="{00000000-0005-0000-0000-0000F4690000}"/>
    <cellStyle name="Normal 41 28 4 2" xfId="39157" xr:uid="{00000000-0005-0000-0000-0000F5690000}"/>
    <cellStyle name="Normal 41 28 5" xfId="39158" xr:uid="{00000000-0005-0000-0000-0000F6690000}"/>
    <cellStyle name="Normal 41 28_01-04-2012" xfId="9669" xr:uid="{00000000-0005-0000-0000-0000F7690000}"/>
    <cellStyle name="Normal 41 29" xfId="9670" xr:uid="{00000000-0005-0000-0000-0000F8690000}"/>
    <cellStyle name="Normal 41 29 2" xfId="9671" xr:uid="{00000000-0005-0000-0000-0000F9690000}"/>
    <cellStyle name="Normal 41 29 2 2" xfId="39159" xr:uid="{00000000-0005-0000-0000-0000FA690000}"/>
    <cellStyle name="Normal 41 29 3" xfId="9672" xr:uid="{00000000-0005-0000-0000-0000FB690000}"/>
    <cellStyle name="Normal 41 29 3 2" xfId="39160" xr:uid="{00000000-0005-0000-0000-0000FC690000}"/>
    <cellStyle name="Normal 41 29 4" xfId="9673" xr:uid="{00000000-0005-0000-0000-0000FD690000}"/>
    <cellStyle name="Normal 41 29 4 2" xfId="39161" xr:uid="{00000000-0005-0000-0000-0000FE690000}"/>
    <cellStyle name="Normal 41 29 5" xfId="39162" xr:uid="{00000000-0005-0000-0000-0000FF690000}"/>
    <cellStyle name="Normal 41 29_01-04-2012" xfId="9674" xr:uid="{00000000-0005-0000-0000-0000006A0000}"/>
    <cellStyle name="Normal 41 3" xfId="9675" xr:uid="{00000000-0005-0000-0000-0000016A0000}"/>
    <cellStyle name="Normal 41 3 2" xfId="9676" xr:uid="{00000000-0005-0000-0000-0000026A0000}"/>
    <cellStyle name="Normal 41 3 2 2" xfId="39163" xr:uid="{00000000-0005-0000-0000-0000036A0000}"/>
    <cellStyle name="Normal 41 3 3" xfId="9677" xr:uid="{00000000-0005-0000-0000-0000046A0000}"/>
    <cellStyle name="Normal 41 3 3 2" xfId="39164" xr:uid="{00000000-0005-0000-0000-0000056A0000}"/>
    <cellStyle name="Normal 41 3 4" xfId="9678" xr:uid="{00000000-0005-0000-0000-0000066A0000}"/>
    <cellStyle name="Normal 41 3 4 2" xfId="39165" xr:uid="{00000000-0005-0000-0000-0000076A0000}"/>
    <cellStyle name="Normal 41 3 5" xfId="20873" xr:uid="{00000000-0005-0000-0000-0000086A0000}"/>
    <cellStyle name="Normal 41 3 5 2" xfId="39166" xr:uid="{00000000-0005-0000-0000-0000096A0000}"/>
    <cellStyle name="Normal 41 3_01-04-2012" xfId="9679" xr:uid="{00000000-0005-0000-0000-00000A6A0000}"/>
    <cellStyle name="Normal 41 30" xfId="9680" xr:uid="{00000000-0005-0000-0000-00000B6A0000}"/>
    <cellStyle name="Normal 41 30 2" xfId="9681" xr:uid="{00000000-0005-0000-0000-00000C6A0000}"/>
    <cellStyle name="Normal 41 30 2 2" xfId="39167" xr:uid="{00000000-0005-0000-0000-00000D6A0000}"/>
    <cellStyle name="Normal 41 30 3" xfId="9682" xr:uid="{00000000-0005-0000-0000-00000E6A0000}"/>
    <cellStyle name="Normal 41 30 3 2" xfId="39168" xr:uid="{00000000-0005-0000-0000-00000F6A0000}"/>
    <cellStyle name="Normal 41 30 4" xfId="9683" xr:uid="{00000000-0005-0000-0000-0000106A0000}"/>
    <cellStyle name="Normal 41 30 4 2" xfId="39169" xr:uid="{00000000-0005-0000-0000-0000116A0000}"/>
    <cellStyle name="Normal 41 30 5" xfId="39170" xr:uid="{00000000-0005-0000-0000-0000126A0000}"/>
    <cellStyle name="Normal 41 30_01-04-2012" xfId="9684" xr:uid="{00000000-0005-0000-0000-0000136A0000}"/>
    <cellStyle name="Normal 41 31" xfId="9685" xr:uid="{00000000-0005-0000-0000-0000146A0000}"/>
    <cellStyle name="Normal 41 31 2" xfId="9686" xr:uid="{00000000-0005-0000-0000-0000156A0000}"/>
    <cellStyle name="Normal 41 31 2 2" xfId="39171" xr:uid="{00000000-0005-0000-0000-0000166A0000}"/>
    <cellStyle name="Normal 41 31 3" xfId="9687" xr:uid="{00000000-0005-0000-0000-0000176A0000}"/>
    <cellStyle name="Normal 41 31 3 2" xfId="39172" xr:uid="{00000000-0005-0000-0000-0000186A0000}"/>
    <cellStyle name="Normal 41 31 4" xfId="9688" xr:uid="{00000000-0005-0000-0000-0000196A0000}"/>
    <cellStyle name="Normal 41 31 4 2" xfId="39173" xr:uid="{00000000-0005-0000-0000-00001A6A0000}"/>
    <cellStyle name="Normal 41 31 5" xfId="39174" xr:uid="{00000000-0005-0000-0000-00001B6A0000}"/>
    <cellStyle name="Normal 41 31_01-04-2012" xfId="9689" xr:uid="{00000000-0005-0000-0000-00001C6A0000}"/>
    <cellStyle name="Normal 41 32" xfId="9690" xr:uid="{00000000-0005-0000-0000-00001D6A0000}"/>
    <cellStyle name="Normal 41 32 2" xfId="9691" xr:uid="{00000000-0005-0000-0000-00001E6A0000}"/>
    <cellStyle name="Normal 41 32 2 2" xfId="39175" xr:uid="{00000000-0005-0000-0000-00001F6A0000}"/>
    <cellStyle name="Normal 41 32 3" xfId="9692" xr:uid="{00000000-0005-0000-0000-0000206A0000}"/>
    <cellStyle name="Normal 41 32 3 2" xfId="39176" xr:uid="{00000000-0005-0000-0000-0000216A0000}"/>
    <cellStyle name="Normal 41 32 4" xfId="9693" xr:uid="{00000000-0005-0000-0000-0000226A0000}"/>
    <cellStyle name="Normal 41 32 4 2" xfId="39177" xr:uid="{00000000-0005-0000-0000-0000236A0000}"/>
    <cellStyle name="Normal 41 32 5" xfId="39178" xr:uid="{00000000-0005-0000-0000-0000246A0000}"/>
    <cellStyle name="Normal 41 32_01-04-2012" xfId="9694" xr:uid="{00000000-0005-0000-0000-0000256A0000}"/>
    <cellStyle name="Normal 41 33" xfId="9695" xr:uid="{00000000-0005-0000-0000-0000266A0000}"/>
    <cellStyle name="Normal 41 33 2" xfId="9696" xr:uid="{00000000-0005-0000-0000-0000276A0000}"/>
    <cellStyle name="Normal 41 33 2 2" xfId="39179" xr:uid="{00000000-0005-0000-0000-0000286A0000}"/>
    <cellStyle name="Normal 41 33 3" xfId="9697" xr:uid="{00000000-0005-0000-0000-0000296A0000}"/>
    <cellStyle name="Normal 41 33 3 2" xfId="39180" xr:uid="{00000000-0005-0000-0000-00002A6A0000}"/>
    <cellStyle name="Normal 41 33 4" xfId="9698" xr:uid="{00000000-0005-0000-0000-00002B6A0000}"/>
    <cellStyle name="Normal 41 33 4 2" xfId="39181" xr:uid="{00000000-0005-0000-0000-00002C6A0000}"/>
    <cellStyle name="Normal 41 33 5" xfId="39182" xr:uid="{00000000-0005-0000-0000-00002D6A0000}"/>
    <cellStyle name="Normal 41 33_01-04-2012" xfId="9699" xr:uid="{00000000-0005-0000-0000-00002E6A0000}"/>
    <cellStyle name="Normal 41 34" xfId="9700" xr:uid="{00000000-0005-0000-0000-00002F6A0000}"/>
    <cellStyle name="Normal 41 34 2" xfId="9701" xr:uid="{00000000-0005-0000-0000-0000306A0000}"/>
    <cellStyle name="Normal 41 34 2 2" xfId="39183" xr:uid="{00000000-0005-0000-0000-0000316A0000}"/>
    <cellStyle name="Normal 41 34 3" xfId="9702" xr:uid="{00000000-0005-0000-0000-0000326A0000}"/>
    <cellStyle name="Normal 41 34 3 2" xfId="39184" xr:uid="{00000000-0005-0000-0000-0000336A0000}"/>
    <cellStyle name="Normal 41 34 4" xfId="9703" xr:uid="{00000000-0005-0000-0000-0000346A0000}"/>
    <cellStyle name="Normal 41 34 4 2" xfId="39185" xr:uid="{00000000-0005-0000-0000-0000356A0000}"/>
    <cellStyle name="Normal 41 34 5" xfId="39186" xr:uid="{00000000-0005-0000-0000-0000366A0000}"/>
    <cellStyle name="Normal 41 34_01-04-2012" xfId="9704" xr:uid="{00000000-0005-0000-0000-0000376A0000}"/>
    <cellStyle name="Normal 41 35" xfId="9705" xr:uid="{00000000-0005-0000-0000-0000386A0000}"/>
    <cellStyle name="Normal 41 35 2" xfId="9706" xr:uid="{00000000-0005-0000-0000-0000396A0000}"/>
    <cellStyle name="Normal 41 35 2 2" xfId="39187" xr:uid="{00000000-0005-0000-0000-00003A6A0000}"/>
    <cellStyle name="Normal 41 35 3" xfId="9707" xr:uid="{00000000-0005-0000-0000-00003B6A0000}"/>
    <cellStyle name="Normal 41 35 3 2" xfId="39188" xr:uid="{00000000-0005-0000-0000-00003C6A0000}"/>
    <cellStyle name="Normal 41 35 4" xfId="9708" xr:uid="{00000000-0005-0000-0000-00003D6A0000}"/>
    <cellStyle name="Normal 41 35 4 2" xfId="39189" xr:uid="{00000000-0005-0000-0000-00003E6A0000}"/>
    <cellStyle name="Normal 41 35 5" xfId="39190" xr:uid="{00000000-0005-0000-0000-00003F6A0000}"/>
    <cellStyle name="Normal 41 35_01-04-2012" xfId="9709" xr:uid="{00000000-0005-0000-0000-0000406A0000}"/>
    <cellStyle name="Normal 41 36" xfId="9710" xr:uid="{00000000-0005-0000-0000-0000416A0000}"/>
    <cellStyle name="Normal 41 36 2" xfId="9711" xr:uid="{00000000-0005-0000-0000-0000426A0000}"/>
    <cellStyle name="Normal 41 36 2 2" xfId="39191" xr:uid="{00000000-0005-0000-0000-0000436A0000}"/>
    <cellStyle name="Normal 41 36 3" xfId="9712" xr:uid="{00000000-0005-0000-0000-0000446A0000}"/>
    <cellStyle name="Normal 41 36 3 2" xfId="39192" xr:uid="{00000000-0005-0000-0000-0000456A0000}"/>
    <cellStyle name="Normal 41 36 4" xfId="9713" xr:uid="{00000000-0005-0000-0000-0000466A0000}"/>
    <cellStyle name="Normal 41 36 4 2" xfId="39193" xr:uid="{00000000-0005-0000-0000-0000476A0000}"/>
    <cellStyle name="Normal 41 36 5" xfId="39194" xr:uid="{00000000-0005-0000-0000-0000486A0000}"/>
    <cellStyle name="Normal 41 36_01-04-2012" xfId="9714" xr:uid="{00000000-0005-0000-0000-0000496A0000}"/>
    <cellStyle name="Normal 41 37" xfId="9715" xr:uid="{00000000-0005-0000-0000-00004A6A0000}"/>
    <cellStyle name="Normal 41 37 2" xfId="9716" xr:uid="{00000000-0005-0000-0000-00004B6A0000}"/>
    <cellStyle name="Normal 41 37 2 2" xfId="39195" xr:uid="{00000000-0005-0000-0000-00004C6A0000}"/>
    <cellStyle name="Normal 41 37 3" xfId="9717" xr:uid="{00000000-0005-0000-0000-00004D6A0000}"/>
    <cellStyle name="Normal 41 37 3 2" xfId="39196" xr:uid="{00000000-0005-0000-0000-00004E6A0000}"/>
    <cellStyle name="Normal 41 37 4" xfId="9718" xr:uid="{00000000-0005-0000-0000-00004F6A0000}"/>
    <cellStyle name="Normal 41 37 4 2" xfId="39197" xr:uid="{00000000-0005-0000-0000-0000506A0000}"/>
    <cellStyle name="Normal 41 37 5" xfId="39198" xr:uid="{00000000-0005-0000-0000-0000516A0000}"/>
    <cellStyle name="Normal 41 37_01-04-2012" xfId="9719" xr:uid="{00000000-0005-0000-0000-0000526A0000}"/>
    <cellStyle name="Normal 41 38" xfId="9720" xr:uid="{00000000-0005-0000-0000-0000536A0000}"/>
    <cellStyle name="Normal 41 38 2" xfId="39199" xr:uid="{00000000-0005-0000-0000-0000546A0000}"/>
    <cellStyle name="Normal 41 39" xfId="9721" xr:uid="{00000000-0005-0000-0000-0000556A0000}"/>
    <cellStyle name="Normal 41 39 2" xfId="39200" xr:uid="{00000000-0005-0000-0000-0000566A0000}"/>
    <cellStyle name="Normal 41 4" xfId="9722" xr:uid="{00000000-0005-0000-0000-0000576A0000}"/>
    <cellStyle name="Normal 41 4 2" xfId="9723" xr:uid="{00000000-0005-0000-0000-0000586A0000}"/>
    <cellStyle name="Normal 41 4 2 2" xfId="39201" xr:uid="{00000000-0005-0000-0000-0000596A0000}"/>
    <cellStyle name="Normal 41 4 3" xfId="9724" xr:uid="{00000000-0005-0000-0000-00005A6A0000}"/>
    <cellStyle name="Normal 41 4 3 2" xfId="39202" xr:uid="{00000000-0005-0000-0000-00005B6A0000}"/>
    <cellStyle name="Normal 41 4 4" xfId="9725" xr:uid="{00000000-0005-0000-0000-00005C6A0000}"/>
    <cellStyle name="Normal 41 4 4 2" xfId="39203" xr:uid="{00000000-0005-0000-0000-00005D6A0000}"/>
    <cellStyle name="Normal 41 4 5" xfId="39204" xr:uid="{00000000-0005-0000-0000-00005E6A0000}"/>
    <cellStyle name="Normal 41 4_01-04-2012" xfId="9726" xr:uid="{00000000-0005-0000-0000-00005F6A0000}"/>
    <cellStyle name="Normal 41 40" xfId="9727" xr:uid="{00000000-0005-0000-0000-0000606A0000}"/>
    <cellStyle name="Normal 41 40 2" xfId="39205" xr:uid="{00000000-0005-0000-0000-0000616A0000}"/>
    <cellStyle name="Normal 41 41" xfId="20874" xr:uid="{00000000-0005-0000-0000-0000626A0000}"/>
    <cellStyle name="Normal 41 41 2" xfId="39206" xr:uid="{00000000-0005-0000-0000-0000636A0000}"/>
    <cellStyle name="Normal 41 42" xfId="20875" xr:uid="{00000000-0005-0000-0000-0000646A0000}"/>
    <cellStyle name="Normal 41 43" xfId="20876" xr:uid="{00000000-0005-0000-0000-0000656A0000}"/>
    <cellStyle name="Normal 41 44" xfId="20877" xr:uid="{00000000-0005-0000-0000-0000666A0000}"/>
    <cellStyle name="Normal 41 45" xfId="20878" xr:uid="{00000000-0005-0000-0000-0000676A0000}"/>
    <cellStyle name="Normal 41 46" xfId="20879" xr:uid="{00000000-0005-0000-0000-0000686A0000}"/>
    <cellStyle name="Normal 41 47" xfId="33735" xr:uid="{00000000-0005-0000-0000-0000696A0000}"/>
    <cellStyle name="Normal 41 5" xfId="9728" xr:uid="{00000000-0005-0000-0000-00006A6A0000}"/>
    <cellStyle name="Normal 41 5 2" xfId="9729" xr:uid="{00000000-0005-0000-0000-00006B6A0000}"/>
    <cellStyle name="Normal 41 5 2 2" xfId="39207" xr:uid="{00000000-0005-0000-0000-00006C6A0000}"/>
    <cellStyle name="Normal 41 5 3" xfId="9730" xr:uid="{00000000-0005-0000-0000-00006D6A0000}"/>
    <cellStyle name="Normal 41 5 3 2" xfId="39208" xr:uid="{00000000-0005-0000-0000-00006E6A0000}"/>
    <cellStyle name="Normal 41 5 4" xfId="9731" xr:uid="{00000000-0005-0000-0000-00006F6A0000}"/>
    <cellStyle name="Normal 41 5 4 2" xfId="39209" xr:uid="{00000000-0005-0000-0000-0000706A0000}"/>
    <cellStyle name="Normal 41 5 5" xfId="39210" xr:uid="{00000000-0005-0000-0000-0000716A0000}"/>
    <cellStyle name="Normal 41 5_01-04-2012" xfId="9732" xr:uid="{00000000-0005-0000-0000-0000726A0000}"/>
    <cellStyle name="Normal 41 6" xfId="9733" xr:uid="{00000000-0005-0000-0000-0000736A0000}"/>
    <cellStyle name="Normal 41 6 2" xfId="9734" xr:uid="{00000000-0005-0000-0000-0000746A0000}"/>
    <cellStyle name="Normal 41 6 2 2" xfId="39211" xr:uid="{00000000-0005-0000-0000-0000756A0000}"/>
    <cellStyle name="Normal 41 6 3" xfId="9735" xr:uid="{00000000-0005-0000-0000-0000766A0000}"/>
    <cellStyle name="Normal 41 6 3 2" xfId="39212" xr:uid="{00000000-0005-0000-0000-0000776A0000}"/>
    <cellStyle name="Normal 41 6 4" xfId="9736" xr:uid="{00000000-0005-0000-0000-0000786A0000}"/>
    <cellStyle name="Normal 41 6 4 2" xfId="39213" xr:uid="{00000000-0005-0000-0000-0000796A0000}"/>
    <cellStyle name="Normal 41 6 5" xfId="39214" xr:uid="{00000000-0005-0000-0000-00007A6A0000}"/>
    <cellStyle name="Normal 41 6_01-04-2012" xfId="9737" xr:uid="{00000000-0005-0000-0000-00007B6A0000}"/>
    <cellStyle name="Normal 41 7" xfId="9738" xr:uid="{00000000-0005-0000-0000-00007C6A0000}"/>
    <cellStyle name="Normal 41 7 2" xfId="9739" xr:uid="{00000000-0005-0000-0000-00007D6A0000}"/>
    <cellStyle name="Normal 41 7 2 2" xfId="39215" xr:uid="{00000000-0005-0000-0000-00007E6A0000}"/>
    <cellStyle name="Normal 41 7 3" xfId="9740" xr:uid="{00000000-0005-0000-0000-00007F6A0000}"/>
    <cellStyle name="Normal 41 7 3 2" xfId="39216" xr:uid="{00000000-0005-0000-0000-0000806A0000}"/>
    <cellStyle name="Normal 41 7 4" xfId="9741" xr:uid="{00000000-0005-0000-0000-0000816A0000}"/>
    <cellStyle name="Normal 41 7 4 2" xfId="39217" xr:uid="{00000000-0005-0000-0000-0000826A0000}"/>
    <cellStyle name="Normal 41 7 5" xfId="39218" xr:uid="{00000000-0005-0000-0000-0000836A0000}"/>
    <cellStyle name="Normal 41 7_01-04-2012" xfId="9742" xr:uid="{00000000-0005-0000-0000-0000846A0000}"/>
    <cellStyle name="Normal 41 8" xfId="9743" xr:uid="{00000000-0005-0000-0000-0000856A0000}"/>
    <cellStyle name="Normal 41 8 2" xfId="9744" xr:uid="{00000000-0005-0000-0000-0000866A0000}"/>
    <cellStyle name="Normal 41 8 2 2" xfId="39219" xr:uid="{00000000-0005-0000-0000-0000876A0000}"/>
    <cellStyle name="Normal 41 8 3" xfId="9745" xr:uid="{00000000-0005-0000-0000-0000886A0000}"/>
    <cellStyle name="Normal 41 8 3 2" xfId="39220" xr:uid="{00000000-0005-0000-0000-0000896A0000}"/>
    <cellStyle name="Normal 41 8 4" xfId="9746" xr:uid="{00000000-0005-0000-0000-00008A6A0000}"/>
    <cellStyle name="Normal 41 8 4 2" xfId="39221" xr:uid="{00000000-0005-0000-0000-00008B6A0000}"/>
    <cellStyle name="Normal 41 8 5" xfId="39222" xr:uid="{00000000-0005-0000-0000-00008C6A0000}"/>
    <cellStyle name="Normal 41 8_01-04-2012" xfId="9747" xr:uid="{00000000-0005-0000-0000-00008D6A0000}"/>
    <cellStyle name="Normal 41 9" xfId="9748" xr:uid="{00000000-0005-0000-0000-00008E6A0000}"/>
    <cellStyle name="Normal 41 9 2" xfId="9749" xr:uid="{00000000-0005-0000-0000-00008F6A0000}"/>
    <cellStyle name="Normal 41 9 2 2" xfId="39223" xr:uid="{00000000-0005-0000-0000-0000906A0000}"/>
    <cellStyle name="Normal 41 9 3" xfId="9750" xr:uid="{00000000-0005-0000-0000-0000916A0000}"/>
    <cellStyle name="Normal 41 9 3 2" xfId="39224" xr:uid="{00000000-0005-0000-0000-0000926A0000}"/>
    <cellStyle name="Normal 41 9 4" xfId="9751" xr:uid="{00000000-0005-0000-0000-0000936A0000}"/>
    <cellStyle name="Normal 41 9 4 2" xfId="39225" xr:uid="{00000000-0005-0000-0000-0000946A0000}"/>
    <cellStyle name="Normal 41 9 5" xfId="39226" xr:uid="{00000000-0005-0000-0000-0000956A0000}"/>
    <cellStyle name="Normal 41 9_01-04-2012" xfId="9752" xr:uid="{00000000-0005-0000-0000-0000966A0000}"/>
    <cellStyle name="Normal 41_01-04-2012" xfId="9753" xr:uid="{00000000-0005-0000-0000-0000976A0000}"/>
    <cellStyle name="Normal 410" xfId="20880" xr:uid="{00000000-0005-0000-0000-0000986A0000}"/>
    <cellStyle name="Normal 411" xfId="20881" xr:uid="{00000000-0005-0000-0000-0000996A0000}"/>
    <cellStyle name="Normal 412" xfId="20882" xr:uid="{00000000-0005-0000-0000-00009A6A0000}"/>
    <cellStyle name="Normal 413" xfId="20883" xr:uid="{00000000-0005-0000-0000-00009B6A0000}"/>
    <cellStyle name="Normal 414" xfId="20884" xr:uid="{00000000-0005-0000-0000-00009C6A0000}"/>
    <cellStyle name="Normal 415" xfId="20885" xr:uid="{00000000-0005-0000-0000-00009D6A0000}"/>
    <cellStyle name="Normal 416" xfId="20886" xr:uid="{00000000-0005-0000-0000-00009E6A0000}"/>
    <cellStyle name="Normal 417" xfId="20887" xr:uid="{00000000-0005-0000-0000-00009F6A0000}"/>
    <cellStyle name="Normal 418" xfId="20888" xr:uid="{00000000-0005-0000-0000-0000A06A0000}"/>
    <cellStyle name="Normal 419" xfId="20889" xr:uid="{00000000-0005-0000-0000-0000A16A0000}"/>
    <cellStyle name="Normal 42" xfId="9754" xr:uid="{00000000-0005-0000-0000-0000A26A0000}"/>
    <cellStyle name="Normal 42 10" xfId="9755" xr:uid="{00000000-0005-0000-0000-0000A36A0000}"/>
    <cellStyle name="Normal 42 10 2" xfId="9756" xr:uid="{00000000-0005-0000-0000-0000A46A0000}"/>
    <cellStyle name="Normal 42 10 2 2" xfId="39227" xr:uid="{00000000-0005-0000-0000-0000A56A0000}"/>
    <cellStyle name="Normal 42 10 3" xfId="9757" xr:uid="{00000000-0005-0000-0000-0000A66A0000}"/>
    <cellStyle name="Normal 42 10 3 2" xfId="39228" xr:uid="{00000000-0005-0000-0000-0000A76A0000}"/>
    <cellStyle name="Normal 42 10 4" xfId="9758" xr:uid="{00000000-0005-0000-0000-0000A86A0000}"/>
    <cellStyle name="Normal 42 10 4 2" xfId="39229" xr:uid="{00000000-0005-0000-0000-0000A96A0000}"/>
    <cellStyle name="Normal 42 10 5" xfId="39230" xr:uid="{00000000-0005-0000-0000-0000AA6A0000}"/>
    <cellStyle name="Normal 42 10_01-04-2012" xfId="9759" xr:uid="{00000000-0005-0000-0000-0000AB6A0000}"/>
    <cellStyle name="Normal 42 11" xfId="9760" xr:uid="{00000000-0005-0000-0000-0000AC6A0000}"/>
    <cellStyle name="Normal 42 11 2" xfId="9761" xr:uid="{00000000-0005-0000-0000-0000AD6A0000}"/>
    <cellStyle name="Normal 42 11 2 2" xfId="39231" xr:uid="{00000000-0005-0000-0000-0000AE6A0000}"/>
    <cellStyle name="Normal 42 11 3" xfId="9762" xr:uid="{00000000-0005-0000-0000-0000AF6A0000}"/>
    <cellStyle name="Normal 42 11 3 2" xfId="39232" xr:uid="{00000000-0005-0000-0000-0000B06A0000}"/>
    <cellStyle name="Normal 42 11 4" xfId="9763" xr:uid="{00000000-0005-0000-0000-0000B16A0000}"/>
    <cellStyle name="Normal 42 11 4 2" xfId="39233" xr:uid="{00000000-0005-0000-0000-0000B26A0000}"/>
    <cellStyle name="Normal 42 11 5" xfId="39234" xr:uid="{00000000-0005-0000-0000-0000B36A0000}"/>
    <cellStyle name="Normal 42 11_01-04-2012" xfId="9764" xr:uid="{00000000-0005-0000-0000-0000B46A0000}"/>
    <cellStyle name="Normal 42 12" xfId="9765" xr:uid="{00000000-0005-0000-0000-0000B56A0000}"/>
    <cellStyle name="Normal 42 12 2" xfId="9766" xr:uid="{00000000-0005-0000-0000-0000B66A0000}"/>
    <cellStyle name="Normal 42 12 2 2" xfId="39235" xr:uid="{00000000-0005-0000-0000-0000B76A0000}"/>
    <cellStyle name="Normal 42 12 3" xfId="9767" xr:uid="{00000000-0005-0000-0000-0000B86A0000}"/>
    <cellStyle name="Normal 42 12 3 2" xfId="39236" xr:uid="{00000000-0005-0000-0000-0000B96A0000}"/>
    <cellStyle name="Normal 42 12 4" xfId="9768" xr:uid="{00000000-0005-0000-0000-0000BA6A0000}"/>
    <cellStyle name="Normal 42 12 4 2" xfId="39237" xr:uid="{00000000-0005-0000-0000-0000BB6A0000}"/>
    <cellStyle name="Normal 42 12 5" xfId="39238" xr:uid="{00000000-0005-0000-0000-0000BC6A0000}"/>
    <cellStyle name="Normal 42 12_01-04-2012" xfId="9769" xr:uid="{00000000-0005-0000-0000-0000BD6A0000}"/>
    <cellStyle name="Normal 42 13" xfId="9770" xr:uid="{00000000-0005-0000-0000-0000BE6A0000}"/>
    <cellStyle name="Normal 42 13 2" xfId="9771" xr:uid="{00000000-0005-0000-0000-0000BF6A0000}"/>
    <cellStyle name="Normal 42 13 2 2" xfId="39239" xr:uid="{00000000-0005-0000-0000-0000C06A0000}"/>
    <cellStyle name="Normal 42 13 3" xfId="9772" xr:uid="{00000000-0005-0000-0000-0000C16A0000}"/>
    <cellStyle name="Normal 42 13 3 2" xfId="39240" xr:uid="{00000000-0005-0000-0000-0000C26A0000}"/>
    <cellStyle name="Normal 42 13 4" xfId="9773" xr:uid="{00000000-0005-0000-0000-0000C36A0000}"/>
    <cellStyle name="Normal 42 13 4 2" xfId="39241" xr:uid="{00000000-0005-0000-0000-0000C46A0000}"/>
    <cellStyle name="Normal 42 13 5" xfId="39242" xr:uid="{00000000-0005-0000-0000-0000C56A0000}"/>
    <cellStyle name="Normal 42 13_01-04-2012" xfId="9774" xr:uid="{00000000-0005-0000-0000-0000C66A0000}"/>
    <cellStyle name="Normal 42 14" xfId="9775" xr:uid="{00000000-0005-0000-0000-0000C76A0000}"/>
    <cellStyle name="Normal 42 14 2" xfId="9776" xr:uid="{00000000-0005-0000-0000-0000C86A0000}"/>
    <cellStyle name="Normal 42 14 2 2" xfId="39243" xr:uid="{00000000-0005-0000-0000-0000C96A0000}"/>
    <cellStyle name="Normal 42 14 3" xfId="9777" xr:uid="{00000000-0005-0000-0000-0000CA6A0000}"/>
    <cellStyle name="Normal 42 14 3 2" xfId="39244" xr:uid="{00000000-0005-0000-0000-0000CB6A0000}"/>
    <cellStyle name="Normal 42 14 4" xfId="9778" xr:uid="{00000000-0005-0000-0000-0000CC6A0000}"/>
    <cellStyle name="Normal 42 14 4 2" xfId="39245" xr:uid="{00000000-0005-0000-0000-0000CD6A0000}"/>
    <cellStyle name="Normal 42 14 5" xfId="39246" xr:uid="{00000000-0005-0000-0000-0000CE6A0000}"/>
    <cellStyle name="Normal 42 14_01-04-2012" xfId="9779" xr:uid="{00000000-0005-0000-0000-0000CF6A0000}"/>
    <cellStyle name="Normal 42 15" xfId="9780" xr:uid="{00000000-0005-0000-0000-0000D06A0000}"/>
    <cellStyle name="Normal 42 15 2" xfId="9781" xr:uid="{00000000-0005-0000-0000-0000D16A0000}"/>
    <cellStyle name="Normal 42 15 2 2" xfId="39247" xr:uid="{00000000-0005-0000-0000-0000D26A0000}"/>
    <cellStyle name="Normal 42 15 3" xfId="9782" xr:uid="{00000000-0005-0000-0000-0000D36A0000}"/>
    <cellStyle name="Normal 42 15 3 2" xfId="39248" xr:uid="{00000000-0005-0000-0000-0000D46A0000}"/>
    <cellStyle name="Normal 42 15 4" xfId="9783" xr:uid="{00000000-0005-0000-0000-0000D56A0000}"/>
    <cellStyle name="Normal 42 15 4 2" xfId="39249" xr:uid="{00000000-0005-0000-0000-0000D66A0000}"/>
    <cellStyle name="Normal 42 15 5" xfId="39250" xr:uid="{00000000-0005-0000-0000-0000D76A0000}"/>
    <cellStyle name="Normal 42 15_01-04-2012" xfId="9784" xr:uid="{00000000-0005-0000-0000-0000D86A0000}"/>
    <cellStyle name="Normal 42 16" xfId="9785" xr:uid="{00000000-0005-0000-0000-0000D96A0000}"/>
    <cellStyle name="Normal 42 16 2" xfId="9786" xr:uid="{00000000-0005-0000-0000-0000DA6A0000}"/>
    <cellStyle name="Normal 42 16 2 2" xfId="39251" xr:uid="{00000000-0005-0000-0000-0000DB6A0000}"/>
    <cellStyle name="Normal 42 16 3" xfId="9787" xr:uid="{00000000-0005-0000-0000-0000DC6A0000}"/>
    <cellStyle name="Normal 42 16 3 2" xfId="39252" xr:uid="{00000000-0005-0000-0000-0000DD6A0000}"/>
    <cellStyle name="Normal 42 16 4" xfId="9788" xr:uid="{00000000-0005-0000-0000-0000DE6A0000}"/>
    <cellStyle name="Normal 42 16 4 2" xfId="39253" xr:uid="{00000000-0005-0000-0000-0000DF6A0000}"/>
    <cellStyle name="Normal 42 16 5" xfId="39254" xr:uid="{00000000-0005-0000-0000-0000E06A0000}"/>
    <cellStyle name="Normal 42 16_01-04-2012" xfId="9789" xr:uid="{00000000-0005-0000-0000-0000E16A0000}"/>
    <cellStyle name="Normal 42 17" xfId="9790" xr:uid="{00000000-0005-0000-0000-0000E26A0000}"/>
    <cellStyle name="Normal 42 17 2" xfId="9791" xr:uid="{00000000-0005-0000-0000-0000E36A0000}"/>
    <cellStyle name="Normal 42 17 2 2" xfId="39255" xr:uid="{00000000-0005-0000-0000-0000E46A0000}"/>
    <cellStyle name="Normal 42 17 3" xfId="9792" xr:uid="{00000000-0005-0000-0000-0000E56A0000}"/>
    <cellStyle name="Normal 42 17 3 2" xfId="39256" xr:uid="{00000000-0005-0000-0000-0000E66A0000}"/>
    <cellStyle name="Normal 42 17 4" xfId="9793" xr:uid="{00000000-0005-0000-0000-0000E76A0000}"/>
    <cellStyle name="Normal 42 17 4 2" xfId="39257" xr:uid="{00000000-0005-0000-0000-0000E86A0000}"/>
    <cellStyle name="Normal 42 17 5" xfId="39258" xr:uid="{00000000-0005-0000-0000-0000E96A0000}"/>
    <cellStyle name="Normal 42 17_01-04-2012" xfId="9794" xr:uid="{00000000-0005-0000-0000-0000EA6A0000}"/>
    <cellStyle name="Normal 42 18" xfId="9795" xr:uid="{00000000-0005-0000-0000-0000EB6A0000}"/>
    <cellStyle name="Normal 42 18 2" xfId="9796" xr:uid="{00000000-0005-0000-0000-0000EC6A0000}"/>
    <cellStyle name="Normal 42 18 2 2" xfId="39259" xr:uid="{00000000-0005-0000-0000-0000ED6A0000}"/>
    <cellStyle name="Normal 42 18 3" xfId="9797" xr:uid="{00000000-0005-0000-0000-0000EE6A0000}"/>
    <cellStyle name="Normal 42 18 3 2" xfId="39260" xr:uid="{00000000-0005-0000-0000-0000EF6A0000}"/>
    <cellStyle name="Normal 42 18 4" xfId="9798" xr:uid="{00000000-0005-0000-0000-0000F06A0000}"/>
    <cellStyle name="Normal 42 18 4 2" xfId="39261" xr:uid="{00000000-0005-0000-0000-0000F16A0000}"/>
    <cellStyle name="Normal 42 18 5" xfId="39262" xr:uid="{00000000-0005-0000-0000-0000F26A0000}"/>
    <cellStyle name="Normal 42 18_01-04-2012" xfId="9799" xr:uid="{00000000-0005-0000-0000-0000F36A0000}"/>
    <cellStyle name="Normal 42 19" xfId="9800" xr:uid="{00000000-0005-0000-0000-0000F46A0000}"/>
    <cellStyle name="Normal 42 19 2" xfId="9801" xr:uid="{00000000-0005-0000-0000-0000F56A0000}"/>
    <cellStyle name="Normal 42 19 2 2" xfId="39263" xr:uid="{00000000-0005-0000-0000-0000F66A0000}"/>
    <cellStyle name="Normal 42 19 3" xfId="9802" xr:uid="{00000000-0005-0000-0000-0000F76A0000}"/>
    <cellStyle name="Normal 42 19 3 2" xfId="39264" xr:uid="{00000000-0005-0000-0000-0000F86A0000}"/>
    <cellStyle name="Normal 42 19 4" xfId="9803" xr:uid="{00000000-0005-0000-0000-0000F96A0000}"/>
    <cellStyle name="Normal 42 19 4 2" xfId="39265" xr:uid="{00000000-0005-0000-0000-0000FA6A0000}"/>
    <cellStyle name="Normal 42 19 5" xfId="39266" xr:uid="{00000000-0005-0000-0000-0000FB6A0000}"/>
    <cellStyle name="Normal 42 19_01-04-2012" xfId="9804" xr:uid="{00000000-0005-0000-0000-0000FC6A0000}"/>
    <cellStyle name="Normal 42 2" xfId="9805" xr:uid="{00000000-0005-0000-0000-0000FD6A0000}"/>
    <cellStyle name="Normal 42 2 2" xfId="9806" xr:uid="{00000000-0005-0000-0000-0000FE6A0000}"/>
    <cellStyle name="Normal 42 2 2 2" xfId="39267" xr:uid="{00000000-0005-0000-0000-0000FF6A0000}"/>
    <cellStyle name="Normal 42 2 3" xfId="9807" xr:uid="{00000000-0005-0000-0000-0000006B0000}"/>
    <cellStyle name="Normal 42 2 3 2" xfId="39268" xr:uid="{00000000-0005-0000-0000-0000016B0000}"/>
    <cellStyle name="Normal 42 2 4" xfId="9808" xr:uid="{00000000-0005-0000-0000-0000026B0000}"/>
    <cellStyle name="Normal 42 2 4 2" xfId="39269" xr:uid="{00000000-0005-0000-0000-0000036B0000}"/>
    <cellStyle name="Normal 42 2 5" xfId="20890" xr:uid="{00000000-0005-0000-0000-0000046B0000}"/>
    <cellStyle name="Normal 42 2 5 2" xfId="39270" xr:uid="{00000000-0005-0000-0000-0000056B0000}"/>
    <cellStyle name="Normal 42 2_01-04-2012" xfId="9809" xr:uid="{00000000-0005-0000-0000-0000066B0000}"/>
    <cellStyle name="Normal 42 20" xfId="9810" xr:uid="{00000000-0005-0000-0000-0000076B0000}"/>
    <cellStyle name="Normal 42 20 2" xfId="9811" xr:uid="{00000000-0005-0000-0000-0000086B0000}"/>
    <cellStyle name="Normal 42 20 2 2" xfId="39271" xr:uid="{00000000-0005-0000-0000-0000096B0000}"/>
    <cellStyle name="Normal 42 20 3" xfId="9812" xr:uid="{00000000-0005-0000-0000-00000A6B0000}"/>
    <cellStyle name="Normal 42 20 3 2" xfId="39272" xr:uid="{00000000-0005-0000-0000-00000B6B0000}"/>
    <cellStyle name="Normal 42 20 4" xfId="9813" xr:uid="{00000000-0005-0000-0000-00000C6B0000}"/>
    <cellStyle name="Normal 42 20 4 2" xfId="39273" xr:uid="{00000000-0005-0000-0000-00000D6B0000}"/>
    <cellStyle name="Normal 42 20 5" xfId="39274" xr:uid="{00000000-0005-0000-0000-00000E6B0000}"/>
    <cellStyle name="Normal 42 20_01-04-2012" xfId="9814" xr:uid="{00000000-0005-0000-0000-00000F6B0000}"/>
    <cellStyle name="Normal 42 21" xfId="9815" xr:uid="{00000000-0005-0000-0000-0000106B0000}"/>
    <cellStyle name="Normal 42 21 2" xfId="9816" xr:uid="{00000000-0005-0000-0000-0000116B0000}"/>
    <cellStyle name="Normal 42 21 2 2" xfId="39275" xr:uid="{00000000-0005-0000-0000-0000126B0000}"/>
    <cellStyle name="Normal 42 21 3" xfId="9817" xr:uid="{00000000-0005-0000-0000-0000136B0000}"/>
    <cellStyle name="Normal 42 21 3 2" xfId="39276" xr:uid="{00000000-0005-0000-0000-0000146B0000}"/>
    <cellStyle name="Normal 42 21 4" xfId="9818" xr:uid="{00000000-0005-0000-0000-0000156B0000}"/>
    <cellStyle name="Normal 42 21 4 2" xfId="39277" xr:uid="{00000000-0005-0000-0000-0000166B0000}"/>
    <cellStyle name="Normal 42 21 5" xfId="39278" xr:uid="{00000000-0005-0000-0000-0000176B0000}"/>
    <cellStyle name="Normal 42 21_01-04-2012" xfId="9819" xr:uid="{00000000-0005-0000-0000-0000186B0000}"/>
    <cellStyle name="Normal 42 22" xfId="9820" xr:uid="{00000000-0005-0000-0000-0000196B0000}"/>
    <cellStyle name="Normal 42 22 2" xfId="9821" xr:uid="{00000000-0005-0000-0000-00001A6B0000}"/>
    <cellStyle name="Normal 42 22 2 2" xfId="39279" xr:uid="{00000000-0005-0000-0000-00001B6B0000}"/>
    <cellStyle name="Normal 42 22 3" xfId="9822" xr:uid="{00000000-0005-0000-0000-00001C6B0000}"/>
    <cellStyle name="Normal 42 22 3 2" xfId="39280" xr:uid="{00000000-0005-0000-0000-00001D6B0000}"/>
    <cellStyle name="Normal 42 22 4" xfId="9823" xr:uid="{00000000-0005-0000-0000-00001E6B0000}"/>
    <cellStyle name="Normal 42 22 4 2" xfId="39281" xr:uid="{00000000-0005-0000-0000-00001F6B0000}"/>
    <cellStyle name="Normal 42 22 5" xfId="39282" xr:uid="{00000000-0005-0000-0000-0000206B0000}"/>
    <cellStyle name="Normal 42 22_01-04-2012" xfId="9824" xr:uid="{00000000-0005-0000-0000-0000216B0000}"/>
    <cellStyle name="Normal 42 23" xfId="9825" xr:uid="{00000000-0005-0000-0000-0000226B0000}"/>
    <cellStyle name="Normal 42 23 2" xfId="9826" xr:uid="{00000000-0005-0000-0000-0000236B0000}"/>
    <cellStyle name="Normal 42 23 2 2" xfId="39283" xr:uid="{00000000-0005-0000-0000-0000246B0000}"/>
    <cellStyle name="Normal 42 23 3" xfId="9827" xr:uid="{00000000-0005-0000-0000-0000256B0000}"/>
    <cellStyle name="Normal 42 23 3 2" xfId="39284" xr:uid="{00000000-0005-0000-0000-0000266B0000}"/>
    <cellStyle name="Normal 42 23 4" xfId="9828" xr:uid="{00000000-0005-0000-0000-0000276B0000}"/>
    <cellStyle name="Normal 42 23 4 2" xfId="39285" xr:uid="{00000000-0005-0000-0000-0000286B0000}"/>
    <cellStyle name="Normal 42 23 5" xfId="39286" xr:uid="{00000000-0005-0000-0000-0000296B0000}"/>
    <cellStyle name="Normal 42 23_01-04-2012" xfId="9829" xr:uid="{00000000-0005-0000-0000-00002A6B0000}"/>
    <cellStyle name="Normal 42 24" xfId="9830" xr:uid="{00000000-0005-0000-0000-00002B6B0000}"/>
    <cellStyle name="Normal 42 24 2" xfId="9831" xr:uid="{00000000-0005-0000-0000-00002C6B0000}"/>
    <cellStyle name="Normal 42 24 2 2" xfId="39287" xr:uid="{00000000-0005-0000-0000-00002D6B0000}"/>
    <cellStyle name="Normal 42 24 3" xfId="9832" xr:uid="{00000000-0005-0000-0000-00002E6B0000}"/>
    <cellStyle name="Normal 42 24 3 2" xfId="39288" xr:uid="{00000000-0005-0000-0000-00002F6B0000}"/>
    <cellStyle name="Normal 42 24 4" xfId="9833" xr:uid="{00000000-0005-0000-0000-0000306B0000}"/>
    <cellStyle name="Normal 42 24 4 2" xfId="39289" xr:uid="{00000000-0005-0000-0000-0000316B0000}"/>
    <cellStyle name="Normal 42 24 5" xfId="39290" xr:uid="{00000000-0005-0000-0000-0000326B0000}"/>
    <cellStyle name="Normal 42 24_01-04-2012" xfId="9834" xr:uid="{00000000-0005-0000-0000-0000336B0000}"/>
    <cellStyle name="Normal 42 25" xfId="9835" xr:uid="{00000000-0005-0000-0000-0000346B0000}"/>
    <cellStyle name="Normal 42 25 2" xfId="9836" xr:uid="{00000000-0005-0000-0000-0000356B0000}"/>
    <cellStyle name="Normal 42 25 2 2" xfId="39291" xr:uid="{00000000-0005-0000-0000-0000366B0000}"/>
    <cellStyle name="Normal 42 25 3" xfId="9837" xr:uid="{00000000-0005-0000-0000-0000376B0000}"/>
    <cellStyle name="Normal 42 25 3 2" xfId="39292" xr:uid="{00000000-0005-0000-0000-0000386B0000}"/>
    <cellStyle name="Normal 42 25 4" xfId="9838" xr:uid="{00000000-0005-0000-0000-0000396B0000}"/>
    <cellStyle name="Normal 42 25 4 2" xfId="39293" xr:uid="{00000000-0005-0000-0000-00003A6B0000}"/>
    <cellStyle name="Normal 42 25 5" xfId="39294" xr:uid="{00000000-0005-0000-0000-00003B6B0000}"/>
    <cellStyle name="Normal 42 25_01-04-2012" xfId="9839" xr:uid="{00000000-0005-0000-0000-00003C6B0000}"/>
    <cellStyle name="Normal 42 26" xfId="9840" xr:uid="{00000000-0005-0000-0000-00003D6B0000}"/>
    <cellStyle name="Normal 42 26 2" xfId="9841" xr:uid="{00000000-0005-0000-0000-00003E6B0000}"/>
    <cellStyle name="Normal 42 26 2 2" xfId="39295" xr:uid="{00000000-0005-0000-0000-00003F6B0000}"/>
    <cellStyle name="Normal 42 26 3" xfId="9842" xr:uid="{00000000-0005-0000-0000-0000406B0000}"/>
    <cellStyle name="Normal 42 26 3 2" xfId="39296" xr:uid="{00000000-0005-0000-0000-0000416B0000}"/>
    <cellStyle name="Normal 42 26 4" xfId="9843" xr:uid="{00000000-0005-0000-0000-0000426B0000}"/>
    <cellStyle name="Normal 42 26 4 2" xfId="39297" xr:uid="{00000000-0005-0000-0000-0000436B0000}"/>
    <cellStyle name="Normal 42 26 5" xfId="39298" xr:uid="{00000000-0005-0000-0000-0000446B0000}"/>
    <cellStyle name="Normal 42 26_01-04-2012" xfId="9844" xr:uid="{00000000-0005-0000-0000-0000456B0000}"/>
    <cellStyle name="Normal 42 27" xfId="9845" xr:uid="{00000000-0005-0000-0000-0000466B0000}"/>
    <cellStyle name="Normal 42 27 2" xfId="9846" xr:uid="{00000000-0005-0000-0000-0000476B0000}"/>
    <cellStyle name="Normal 42 27 2 2" xfId="39299" xr:uid="{00000000-0005-0000-0000-0000486B0000}"/>
    <cellStyle name="Normal 42 27 3" xfId="9847" xr:uid="{00000000-0005-0000-0000-0000496B0000}"/>
    <cellStyle name="Normal 42 27 3 2" xfId="39300" xr:uid="{00000000-0005-0000-0000-00004A6B0000}"/>
    <cellStyle name="Normal 42 27 4" xfId="9848" xr:uid="{00000000-0005-0000-0000-00004B6B0000}"/>
    <cellStyle name="Normal 42 27 4 2" xfId="39301" xr:uid="{00000000-0005-0000-0000-00004C6B0000}"/>
    <cellStyle name="Normal 42 27 5" xfId="39302" xr:uid="{00000000-0005-0000-0000-00004D6B0000}"/>
    <cellStyle name="Normal 42 27_01-04-2012" xfId="9849" xr:uid="{00000000-0005-0000-0000-00004E6B0000}"/>
    <cellStyle name="Normal 42 28" xfId="9850" xr:uid="{00000000-0005-0000-0000-00004F6B0000}"/>
    <cellStyle name="Normal 42 28 2" xfId="9851" xr:uid="{00000000-0005-0000-0000-0000506B0000}"/>
    <cellStyle name="Normal 42 28 2 2" xfId="39303" xr:uid="{00000000-0005-0000-0000-0000516B0000}"/>
    <cellStyle name="Normal 42 28 3" xfId="9852" xr:uid="{00000000-0005-0000-0000-0000526B0000}"/>
    <cellStyle name="Normal 42 28 3 2" xfId="39304" xr:uid="{00000000-0005-0000-0000-0000536B0000}"/>
    <cellStyle name="Normal 42 28 4" xfId="9853" xr:uid="{00000000-0005-0000-0000-0000546B0000}"/>
    <cellStyle name="Normal 42 28 4 2" xfId="39305" xr:uid="{00000000-0005-0000-0000-0000556B0000}"/>
    <cellStyle name="Normal 42 28 5" xfId="39306" xr:uid="{00000000-0005-0000-0000-0000566B0000}"/>
    <cellStyle name="Normal 42 28_01-04-2012" xfId="9854" xr:uid="{00000000-0005-0000-0000-0000576B0000}"/>
    <cellStyle name="Normal 42 29" xfId="9855" xr:uid="{00000000-0005-0000-0000-0000586B0000}"/>
    <cellStyle name="Normal 42 29 2" xfId="9856" xr:uid="{00000000-0005-0000-0000-0000596B0000}"/>
    <cellStyle name="Normal 42 29 2 2" xfId="39307" xr:uid="{00000000-0005-0000-0000-00005A6B0000}"/>
    <cellStyle name="Normal 42 29 3" xfId="9857" xr:uid="{00000000-0005-0000-0000-00005B6B0000}"/>
    <cellStyle name="Normal 42 29 3 2" xfId="39308" xr:uid="{00000000-0005-0000-0000-00005C6B0000}"/>
    <cellStyle name="Normal 42 29 4" xfId="9858" xr:uid="{00000000-0005-0000-0000-00005D6B0000}"/>
    <cellStyle name="Normal 42 29 4 2" xfId="39309" xr:uid="{00000000-0005-0000-0000-00005E6B0000}"/>
    <cellStyle name="Normal 42 29 5" xfId="39310" xr:uid="{00000000-0005-0000-0000-00005F6B0000}"/>
    <cellStyle name="Normal 42 29_01-04-2012" xfId="9859" xr:uid="{00000000-0005-0000-0000-0000606B0000}"/>
    <cellStyle name="Normal 42 3" xfId="9860" xr:uid="{00000000-0005-0000-0000-0000616B0000}"/>
    <cellStyle name="Normal 42 3 2" xfId="9861" xr:uid="{00000000-0005-0000-0000-0000626B0000}"/>
    <cellStyle name="Normal 42 3 2 2" xfId="39311" xr:uid="{00000000-0005-0000-0000-0000636B0000}"/>
    <cellStyle name="Normal 42 3 3" xfId="9862" xr:uid="{00000000-0005-0000-0000-0000646B0000}"/>
    <cellStyle name="Normal 42 3 3 2" xfId="39312" xr:uid="{00000000-0005-0000-0000-0000656B0000}"/>
    <cellStyle name="Normal 42 3 4" xfId="9863" xr:uid="{00000000-0005-0000-0000-0000666B0000}"/>
    <cellStyle name="Normal 42 3 4 2" xfId="39313" xr:uid="{00000000-0005-0000-0000-0000676B0000}"/>
    <cellStyle name="Normal 42 3 5" xfId="33738" xr:uid="{00000000-0005-0000-0000-0000686B0000}"/>
    <cellStyle name="Normal 42 3 5 2" xfId="39314" xr:uid="{00000000-0005-0000-0000-0000696B0000}"/>
    <cellStyle name="Normal 42 3_01-04-2012" xfId="9864" xr:uid="{00000000-0005-0000-0000-00006A6B0000}"/>
    <cellStyle name="Normal 42 30" xfId="9865" xr:uid="{00000000-0005-0000-0000-00006B6B0000}"/>
    <cellStyle name="Normal 42 30 2" xfId="9866" xr:uid="{00000000-0005-0000-0000-00006C6B0000}"/>
    <cellStyle name="Normal 42 30 2 2" xfId="39315" xr:uid="{00000000-0005-0000-0000-00006D6B0000}"/>
    <cellStyle name="Normal 42 30 3" xfId="9867" xr:uid="{00000000-0005-0000-0000-00006E6B0000}"/>
    <cellStyle name="Normal 42 30 3 2" xfId="39316" xr:uid="{00000000-0005-0000-0000-00006F6B0000}"/>
    <cellStyle name="Normal 42 30 4" xfId="9868" xr:uid="{00000000-0005-0000-0000-0000706B0000}"/>
    <cellStyle name="Normal 42 30 4 2" xfId="39317" xr:uid="{00000000-0005-0000-0000-0000716B0000}"/>
    <cellStyle name="Normal 42 30 5" xfId="39318" xr:uid="{00000000-0005-0000-0000-0000726B0000}"/>
    <cellStyle name="Normal 42 30_01-04-2012" xfId="9869" xr:uid="{00000000-0005-0000-0000-0000736B0000}"/>
    <cellStyle name="Normal 42 31" xfId="9870" xr:uid="{00000000-0005-0000-0000-0000746B0000}"/>
    <cellStyle name="Normal 42 31 2" xfId="9871" xr:uid="{00000000-0005-0000-0000-0000756B0000}"/>
    <cellStyle name="Normal 42 31 2 2" xfId="39319" xr:uid="{00000000-0005-0000-0000-0000766B0000}"/>
    <cellStyle name="Normal 42 31 3" xfId="9872" xr:uid="{00000000-0005-0000-0000-0000776B0000}"/>
    <cellStyle name="Normal 42 31 3 2" xfId="39320" xr:uid="{00000000-0005-0000-0000-0000786B0000}"/>
    <cellStyle name="Normal 42 31 4" xfId="9873" xr:uid="{00000000-0005-0000-0000-0000796B0000}"/>
    <cellStyle name="Normal 42 31 4 2" xfId="39321" xr:uid="{00000000-0005-0000-0000-00007A6B0000}"/>
    <cellStyle name="Normal 42 31 5" xfId="39322" xr:uid="{00000000-0005-0000-0000-00007B6B0000}"/>
    <cellStyle name="Normal 42 31_01-04-2012" xfId="9874" xr:uid="{00000000-0005-0000-0000-00007C6B0000}"/>
    <cellStyle name="Normal 42 32" xfId="9875" xr:uid="{00000000-0005-0000-0000-00007D6B0000}"/>
    <cellStyle name="Normal 42 32 2" xfId="9876" xr:uid="{00000000-0005-0000-0000-00007E6B0000}"/>
    <cellStyle name="Normal 42 32 2 2" xfId="39323" xr:uid="{00000000-0005-0000-0000-00007F6B0000}"/>
    <cellStyle name="Normal 42 32 3" xfId="9877" xr:uid="{00000000-0005-0000-0000-0000806B0000}"/>
    <cellStyle name="Normal 42 32 3 2" xfId="39324" xr:uid="{00000000-0005-0000-0000-0000816B0000}"/>
    <cellStyle name="Normal 42 32 4" xfId="9878" xr:uid="{00000000-0005-0000-0000-0000826B0000}"/>
    <cellStyle name="Normal 42 32 4 2" xfId="39325" xr:uid="{00000000-0005-0000-0000-0000836B0000}"/>
    <cellStyle name="Normal 42 32 5" xfId="39326" xr:uid="{00000000-0005-0000-0000-0000846B0000}"/>
    <cellStyle name="Normal 42 32_01-04-2012" xfId="9879" xr:uid="{00000000-0005-0000-0000-0000856B0000}"/>
    <cellStyle name="Normal 42 33" xfId="9880" xr:uid="{00000000-0005-0000-0000-0000866B0000}"/>
    <cellStyle name="Normal 42 33 2" xfId="9881" xr:uid="{00000000-0005-0000-0000-0000876B0000}"/>
    <cellStyle name="Normal 42 33 2 2" xfId="39327" xr:uid="{00000000-0005-0000-0000-0000886B0000}"/>
    <cellStyle name="Normal 42 33 3" xfId="9882" xr:uid="{00000000-0005-0000-0000-0000896B0000}"/>
    <cellStyle name="Normal 42 33 3 2" xfId="39328" xr:uid="{00000000-0005-0000-0000-00008A6B0000}"/>
    <cellStyle name="Normal 42 33 4" xfId="9883" xr:uid="{00000000-0005-0000-0000-00008B6B0000}"/>
    <cellStyle name="Normal 42 33 4 2" xfId="39329" xr:uid="{00000000-0005-0000-0000-00008C6B0000}"/>
    <cellStyle name="Normal 42 33 5" xfId="39330" xr:uid="{00000000-0005-0000-0000-00008D6B0000}"/>
    <cellStyle name="Normal 42 33_01-04-2012" xfId="9884" xr:uid="{00000000-0005-0000-0000-00008E6B0000}"/>
    <cellStyle name="Normal 42 34" xfId="9885" xr:uid="{00000000-0005-0000-0000-00008F6B0000}"/>
    <cellStyle name="Normal 42 34 2" xfId="9886" xr:uid="{00000000-0005-0000-0000-0000906B0000}"/>
    <cellStyle name="Normal 42 34 2 2" xfId="39331" xr:uid="{00000000-0005-0000-0000-0000916B0000}"/>
    <cellStyle name="Normal 42 34 3" xfId="9887" xr:uid="{00000000-0005-0000-0000-0000926B0000}"/>
    <cellStyle name="Normal 42 34 3 2" xfId="39332" xr:uid="{00000000-0005-0000-0000-0000936B0000}"/>
    <cellStyle name="Normal 42 34 4" xfId="9888" xr:uid="{00000000-0005-0000-0000-0000946B0000}"/>
    <cellStyle name="Normal 42 34 4 2" xfId="39333" xr:uid="{00000000-0005-0000-0000-0000956B0000}"/>
    <cellStyle name="Normal 42 34 5" xfId="39334" xr:uid="{00000000-0005-0000-0000-0000966B0000}"/>
    <cellStyle name="Normal 42 34_01-04-2012" xfId="9889" xr:uid="{00000000-0005-0000-0000-0000976B0000}"/>
    <cellStyle name="Normal 42 35" xfId="9890" xr:uid="{00000000-0005-0000-0000-0000986B0000}"/>
    <cellStyle name="Normal 42 35 2" xfId="9891" xr:uid="{00000000-0005-0000-0000-0000996B0000}"/>
    <cellStyle name="Normal 42 35 2 2" xfId="39335" xr:uid="{00000000-0005-0000-0000-00009A6B0000}"/>
    <cellStyle name="Normal 42 35 3" xfId="9892" xr:uid="{00000000-0005-0000-0000-00009B6B0000}"/>
    <cellStyle name="Normal 42 35 3 2" xfId="39336" xr:uid="{00000000-0005-0000-0000-00009C6B0000}"/>
    <cellStyle name="Normal 42 35 4" xfId="9893" xr:uid="{00000000-0005-0000-0000-00009D6B0000}"/>
    <cellStyle name="Normal 42 35 4 2" xfId="39337" xr:uid="{00000000-0005-0000-0000-00009E6B0000}"/>
    <cellStyle name="Normal 42 35 5" xfId="39338" xr:uid="{00000000-0005-0000-0000-00009F6B0000}"/>
    <cellStyle name="Normal 42 35_01-04-2012" xfId="9894" xr:uid="{00000000-0005-0000-0000-0000A06B0000}"/>
    <cellStyle name="Normal 42 36" xfId="9895" xr:uid="{00000000-0005-0000-0000-0000A16B0000}"/>
    <cellStyle name="Normal 42 36 2" xfId="9896" xr:uid="{00000000-0005-0000-0000-0000A26B0000}"/>
    <cellStyle name="Normal 42 36 2 2" xfId="39339" xr:uid="{00000000-0005-0000-0000-0000A36B0000}"/>
    <cellStyle name="Normal 42 36 3" xfId="9897" xr:uid="{00000000-0005-0000-0000-0000A46B0000}"/>
    <cellStyle name="Normal 42 36 3 2" xfId="39340" xr:uid="{00000000-0005-0000-0000-0000A56B0000}"/>
    <cellStyle name="Normal 42 36 4" xfId="9898" xr:uid="{00000000-0005-0000-0000-0000A66B0000}"/>
    <cellStyle name="Normal 42 36 4 2" xfId="39341" xr:uid="{00000000-0005-0000-0000-0000A76B0000}"/>
    <cellStyle name="Normal 42 36 5" xfId="39342" xr:uid="{00000000-0005-0000-0000-0000A86B0000}"/>
    <cellStyle name="Normal 42 36_01-04-2012" xfId="9899" xr:uid="{00000000-0005-0000-0000-0000A96B0000}"/>
    <cellStyle name="Normal 42 37" xfId="9900" xr:uid="{00000000-0005-0000-0000-0000AA6B0000}"/>
    <cellStyle name="Normal 42 37 2" xfId="9901" xr:uid="{00000000-0005-0000-0000-0000AB6B0000}"/>
    <cellStyle name="Normal 42 37 2 2" xfId="39343" xr:uid="{00000000-0005-0000-0000-0000AC6B0000}"/>
    <cellStyle name="Normal 42 37 3" xfId="9902" xr:uid="{00000000-0005-0000-0000-0000AD6B0000}"/>
    <cellStyle name="Normal 42 37 3 2" xfId="39344" xr:uid="{00000000-0005-0000-0000-0000AE6B0000}"/>
    <cellStyle name="Normal 42 37 4" xfId="9903" xr:uid="{00000000-0005-0000-0000-0000AF6B0000}"/>
    <cellStyle name="Normal 42 37 4 2" xfId="39345" xr:uid="{00000000-0005-0000-0000-0000B06B0000}"/>
    <cellStyle name="Normal 42 37 5" xfId="39346" xr:uid="{00000000-0005-0000-0000-0000B16B0000}"/>
    <cellStyle name="Normal 42 37_01-04-2012" xfId="9904" xr:uid="{00000000-0005-0000-0000-0000B26B0000}"/>
    <cellStyle name="Normal 42 38" xfId="9905" xr:uid="{00000000-0005-0000-0000-0000B36B0000}"/>
    <cellStyle name="Normal 42 38 2" xfId="39347" xr:uid="{00000000-0005-0000-0000-0000B46B0000}"/>
    <cellStyle name="Normal 42 39" xfId="9906" xr:uid="{00000000-0005-0000-0000-0000B56B0000}"/>
    <cellStyle name="Normal 42 39 2" xfId="39348" xr:uid="{00000000-0005-0000-0000-0000B66B0000}"/>
    <cellStyle name="Normal 42 4" xfId="9907" xr:uid="{00000000-0005-0000-0000-0000B76B0000}"/>
    <cellStyle name="Normal 42 4 2" xfId="9908" xr:uid="{00000000-0005-0000-0000-0000B86B0000}"/>
    <cellStyle name="Normal 42 4 2 2" xfId="39349" xr:uid="{00000000-0005-0000-0000-0000B96B0000}"/>
    <cellStyle name="Normal 42 4 3" xfId="9909" xr:uid="{00000000-0005-0000-0000-0000BA6B0000}"/>
    <cellStyle name="Normal 42 4 3 2" xfId="39350" xr:uid="{00000000-0005-0000-0000-0000BB6B0000}"/>
    <cellStyle name="Normal 42 4 4" xfId="9910" xr:uid="{00000000-0005-0000-0000-0000BC6B0000}"/>
    <cellStyle name="Normal 42 4 4 2" xfId="39351" xr:uid="{00000000-0005-0000-0000-0000BD6B0000}"/>
    <cellStyle name="Normal 42 4 5" xfId="39352" xr:uid="{00000000-0005-0000-0000-0000BE6B0000}"/>
    <cellStyle name="Normal 42 4_01-04-2012" xfId="9911" xr:uid="{00000000-0005-0000-0000-0000BF6B0000}"/>
    <cellStyle name="Normal 42 40" xfId="9912" xr:uid="{00000000-0005-0000-0000-0000C06B0000}"/>
    <cellStyle name="Normal 42 40 2" xfId="39353" xr:uid="{00000000-0005-0000-0000-0000C16B0000}"/>
    <cellStyle name="Normal 42 41" xfId="20891" xr:uid="{00000000-0005-0000-0000-0000C26B0000}"/>
    <cellStyle name="Normal 42 41 2" xfId="39354" xr:uid="{00000000-0005-0000-0000-0000C36B0000}"/>
    <cellStyle name="Normal 42 42" xfId="20892" xr:uid="{00000000-0005-0000-0000-0000C46B0000}"/>
    <cellStyle name="Normal 42 43" xfId="20893" xr:uid="{00000000-0005-0000-0000-0000C56B0000}"/>
    <cellStyle name="Normal 42 44" xfId="20894" xr:uid="{00000000-0005-0000-0000-0000C66B0000}"/>
    <cellStyle name="Normal 42 45" xfId="20895" xr:uid="{00000000-0005-0000-0000-0000C76B0000}"/>
    <cellStyle name="Normal 42 46" xfId="20896" xr:uid="{00000000-0005-0000-0000-0000C86B0000}"/>
    <cellStyle name="Normal 42 47" xfId="33737" xr:uid="{00000000-0005-0000-0000-0000C96B0000}"/>
    <cellStyle name="Normal 42 5" xfId="9913" xr:uid="{00000000-0005-0000-0000-0000CA6B0000}"/>
    <cellStyle name="Normal 42 5 2" xfId="9914" xr:uid="{00000000-0005-0000-0000-0000CB6B0000}"/>
    <cellStyle name="Normal 42 5 2 2" xfId="39355" xr:uid="{00000000-0005-0000-0000-0000CC6B0000}"/>
    <cellStyle name="Normal 42 5 3" xfId="9915" xr:uid="{00000000-0005-0000-0000-0000CD6B0000}"/>
    <cellStyle name="Normal 42 5 3 2" xfId="39356" xr:uid="{00000000-0005-0000-0000-0000CE6B0000}"/>
    <cellStyle name="Normal 42 5 4" xfId="9916" xr:uid="{00000000-0005-0000-0000-0000CF6B0000}"/>
    <cellStyle name="Normal 42 5 4 2" xfId="39357" xr:uid="{00000000-0005-0000-0000-0000D06B0000}"/>
    <cellStyle name="Normal 42 5 5" xfId="39358" xr:uid="{00000000-0005-0000-0000-0000D16B0000}"/>
    <cellStyle name="Normal 42 5_01-04-2012" xfId="9917" xr:uid="{00000000-0005-0000-0000-0000D26B0000}"/>
    <cellStyle name="Normal 42 6" xfId="9918" xr:uid="{00000000-0005-0000-0000-0000D36B0000}"/>
    <cellStyle name="Normal 42 6 2" xfId="9919" xr:uid="{00000000-0005-0000-0000-0000D46B0000}"/>
    <cellStyle name="Normal 42 6 2 2" xfId="39359" xr:uid="{00000000-0005-0000-0000-0000D56B0000}"/>
    <cellStyle name="Normal 42 6 3" xfId="9920" xr:uid="{00000000-0005-0000-0000-0000D66B0000}"/>
    <cellStyle name="Normal 42 6 3 2" xfId="39360" xr:uid="{00000000-0005-0000-0000-0000D76B0000}"/>
    <cellStyle name="Normal 42 6 4" xfId="9921" xr:uid="{00000000-0005-0000-0000-0000D86B0000}"/>
    <cellStyle name="Normal 42 6 4 2" xfId="39361" xr:uid="{00000000-0005-0000-0000-0000D96B0000}"/>
    <cellStyle name="Normal 42 6 5" xfId="39362" xr:uid="{00000000-0005-0000-0000-0000DA6B0000}"/>
    <cellStyle name="Normal 42 6_01-04-2012" xfId="9922" xr:uid="{00000000-0005-0000-0000-0000DB6B0000}"/>
    <cellStyle name="Normal 42 7" xfId="9923" xr:uid="{00000000-0005-0000-0000-0000DC6B0000}"/>
    <cellStyle name="Normal 42 7 2" xfId="9924" xr:uid="{00000000-0005-0000-0000-0000DD6B0000}"/>
    <cellStyle name="Normal 42 7 2 2" xfId="39363" xr:uid="{00000000-0005-0000-0000-0000DE6B0000}"/>
    <cellStyle name="Normal 42 7 3" xfId="9925" xr:uid="{00000000-0005-0000-0000-0000DF6B0000}"/>
    <cellStyle name="Normal 42 7 3 2" xfId="39364" xr:uid="{00000000-0005-0000-0000-0000E06B0000}"/>
    <cellStyle name="Normal 42 7 4" xfId="9926" xr:uid="{00000000-0005-0000-0000-0000E16B0000}"/>
    <cellStyle name="Normal 42 7 4 2" xfId="39365" xr:uid="{00000000-0005-0000-0000-0000E26B0000}"/>
    <cellStyle name="Normal 42 7 5" xfId="39366" xr:uid="{00000000-0005-0000-0000-0000E36B0000}"/>
    <cellStyle name="Normal 42 7_01-04-2012" xfId="9927" xr:uid="{00000000-0005-0000-0000-0000E46B0000}"/>
    <cellStyle name="Normal 42 8" xfId="9928" xr:uid="{00000000-0005-0000-0000-0000E56B0000}"/>
    <cellStyle name="Normal 42 8 2" xfId="9929" xr:uid="{00000000-0005-0000-0000-0000E66B0000}"/>
    <cellStyle name="Normal 42 8 2 2" xfId="39367" xr:uid="{00000000-0005-0000-0000-0000E76B0000}"/>
    <cellStyle name="Normal 42 8 3" xfId="9930" xr:uid="{00000000-0005-0000-0000-0000E86B0000}"/>
    <cellStyle name="Normal 42 8 3 2" xfId="39368" xr:uid="{00000000-0005-0000-0000-0000E96B0000}"/>
    <cellStyle name="Normal 42 8 4" xfId="9931" xr:uid="{00000000-0005-0000-0000-0000EA6B0000}"/>
    <cellStyle name="Normal 42 8 4 2" xfId="39369" xr:uid="{00000000-0005-0000-0000-0000EB6B0000}"/>
    <cellStyle name="Normal 42 8 5" xfId="39370" xr:uid="{00000000-0005-0000-0000-0000EC6B0000}"/>
    <cellStyle name="Normal 42 8_01-04-2012" xfId="9932" xr:uid="{00000000-0005-0000-0000-0000ED6B0000}"/>
    <cellStyle name="Normal 42 9" xfId="9933" xr:uid="{00000000-0005-0000-0000-0000EE6B0000}"/>
    <cellStyle name="Normal 42 9 2" xfId="9934" xr:uid="{00000000-0005-0000-0000-0000EF6B0000}"/>
    <cellStyle name="Normal 42 9 2 2" xfId="39371" xr:uid="{00000000-0005-0000-0000-0000F06B0000}"/>
    <cellStyle name="Normal 42 9 3" xfId="9935" xr:uid="{00000000-0005-0000-0000-0000F16B0000}"/>
    <cellStyle name="Normal 42 9 3 2" xfId="39372" xr:uid="{00000000-0005-0000-0000-0000F26B0000}"/>
    <cellStyle name="Normal 42 9 4" xfId="9936" xr:uid="{00000000-0005-0000-0000-0000F36B0000}"/>
    <cellStyle name="Normal 42 9 4 2" xfId="39373" xr:uid="{00000000-0005-0000-0000-0000F46B0000}"/>
    <cellStyle name="Normal 42 9 5" xfId="39374" xr:uid="{00000000-0005-0000-0000-0000F56B0000}"/>
    <cellStyle name="Normal 42 9_01-04-2012" xfId="9937" xr:uid="{00000000-0005-0000-0000-0000F66B0000}"/>
    <cellStyle name="Normal 42_01-04-2012" xfId="9938" xr:uid="{00000000-0005-0000-0000-0000F76B0000}"/>
    <cellStyle name="Normal 420" xfId="20897" xr:uid="{00000000-0005-0000-0000-0000F86B0000}"/>
    <cellStyle name="Normal 421" xfId="20898" xr:uid="{00000000-0005-0000-0000-0000F96B0000}"/>
    <cellStyle name="Normal 422" xfId="20899" xr:uid="{00000000-0005-0000-0000-0000FA6B0000}"/>
    <cellStyle name="Normal 423" xfId="20900" xr:uid="{00000000-0005-0000-0000-0000FB6B0000}"/>
    <cellStyle name="Normal 424" xfId="20901" xr:uid="{00000000-0005-0000-0000-0000FC6B0000}"/>
    <cellStyle name="Normal 425" xfId="20902" xr:uid="{00000000-0005-0000-0000-0000FD6B0000}"/>
    <cellStyle name="Normal 426" xfId="20903" xr:uid="{00000000-0005-0000-0000-0000FE6B0000}"/>
    <cellStyle name="Normal 427" xfId="20904" xr:uid="{00000000-0005-0000-0000-0000FF6B0000}"/>
    <cellStyle name="Normal 428" xfId="20905" xr:uid="{00000000-0005-0000-0000-0000006C0000}"/>
    <cellStyle name="Normal 429" xfId="20906" xr:uid="{00000000-0005-0000-0000-0000016C0000}"/>
    <cellStyle name="Normal 43" xfId="9939" xr:uid="{00000000-0005-0000-0000-0000026C0000}"/>
    <cellStyle name="Normal 43 10" xfId="9940" xr:uid="{00000000-0005-0000-0000-0000036C0000}"/>
    <cellStyle name="Normal 43 10 2" xfId="9941" xr:uid="{00000000-0005-0000-0000-0000046C0000}"/>
    <cellStyle name="Normal 43 10 2 2" xfId="39375" xr:uid="{00000000-0005-0000-0000-0000056C0000}"/>
    <cellStyle name="Normal 43 10 3" xfId="9942" xr:uid="{00000000-0005-0000-0000-0000066C0000}"/>
    <cellStyle name="Normal 43 10 3 2" xfId="39376" xr:uid="{00000000-0005-0000-0000-0000076C0000}"/>
    <cellStyle name="Normal 43 10 4" xfId="9943" xr:uid="{00000000-0005-0000-0000-0000086C0000}"/>
    <cellStyle name="Normal 43 10 4 2" xfId="39377" xr:uid="{00000000-0005-0000-0000-0000096C0000}"/>
    <cellStyle name="Normal 43 10 5" xfId="39378" xr:uid="{00000000-0005-0000-0000-00000A6C0000}"/>
    <cellStyle name="Normal 43 10_01-04-2012" xfId="9944" xr:uid="{00000000-0005-0000-0000-00000B6C0000}"/>
    <cellStyle name="Normal 43 11" xfId="9945" xr:uid="{00000000-0005-0000-0000-00000C6C0000}"/>
    <cellStyle name="Normal 43 11 2" xfId="9946" xr:uid="{00000000-0005-0000-0000-00000D6C0000}"/>
    <cellStyle name="Normal 43 11 2 2" xfId="39379" xr:uid="{00000000-0005-0000-0000-00000E6C0000}"/>
    <cellStyle name="Normal 43 11 3" xfId="9947" xr:uid="{00000000-0005-0000-0000-00000F6C0000}"/>
    <cellStyle name="Normal 43 11 3 2" xfId="39380" xr:uid="{00000000-0005-0000-0000-0000106C0000}"/>
    <cellStyle name="Normal 43 11 4" xfId="9948" xr:uid="{00000000-0005-0000-0000-0000116C0000}"/>
    <cellStyle name="Normal 43 11 4 2" xfId="39381" xr:uid="{00000000-0005-0000-0000-0000126C0000}"/>
    <cellStyle name="Normal 43 11 5" xfId="39382" xr:uid="{00000000-0005-0000-0000-0000136C0000}"/>
    <cellStyle name="Normal 43 11_01-04-2012" xfId="9949" xr:uid="{00000000-0005-0000-0000-0000146C0000}"/>
    <cellStyle name="Normal 43 12" xfId="9950" xr:uid="{00000000-0005-0000-0000-0000156C0000}"/>
    <cellStyle name="Normal 43 12 2" xfId="9951" xr:uid="{00000000-0005-0000-0000-0000166C0000}"/>
    <cellStyle name="Normal 43 12 2 2" xfId="39383" xr:uid="{00000000-0005-0000-0000-0000176C0000}"/>
    <cellStyle name="Normal 43 12 3" xfId="9952" xr:uid="{00000000-0005-0000-0000-0000186C0000}"/>
    <cellStyle name="Normal 43 12 3 2" xfId="39384" xr:uid="{00000000-0005-0000-0000-0000196C0000}"/>
    <cellStyle name="Normal 43 12 4" xfId="9953" xr:uid="{00000000-0005-0000-0000-00001A6C0000}"/>
    <cellStyle name="Normal 43 12 4 2" xfId="39385" xr:uid="{00000000-0005-0000-0000-00001B6C0000}"/>
    <cellStyle name="Normal 43 12 5" xfId="39386" xr:uid="{00000000-0005-0000-0000-00001C6C0000}"/>
    <cellStyle name="Normal 43 12_01-04-2012" xfId="9954" xr:uid="{00000000-0005-0000-0000-00001D6C0000}"/>
    <cellStyle name="Normal 43 13" xfId="9955" xr:uid="{00000000-0005-0000-0000-00001E6C0000}"/>
    <cellStyle name="Normal 43 13 2" xfId="9956" xr:uid="{00000000-0005-0000-0000-00001F6C0000}"/>
    <cellStyle name="Normal 43 13 2 2" xfId="39387" xr:uid="{00000000-0005-0000-0000-0000206C0000}"/>
    <cellStyle name="Normal 43 13 3" xfId="9957" xr:uid="{00000000-0005-0000-0000-0000216C0000}"/>
    <cellStyle name="Normal 43 13 3 2" xfId="39388" xr:uid="{00000000-0005-0000-0000-0000226C0000}"/>
    <cellStyle name="Normal 43 13 4" xfId="9958" xr:uid="{00000000-0005-0000-0000-0000236C0000}"/>
    <cellStyle name="Normal 43 13 4 2" xfId="39389" xr:uid="{00000000-0005-0000-0000-0000246C0000}"/>
    <cellStyle name="Normal 43 13 5" xfId="39390" xr:uid="{00000000-0005-0000-0000-0000256C0000}"/>
    <cellStyle name="Normal 43 13_01-04-2012" xfId="9959" xr:uid="{00000000-0005-0000-0000-0000266C0000}"/>
    <cellStyle name="Normal 43 14" xfId="9960" xr:uid="{00000000-0005-0000-0000-0000276C0000}"/>
    <cellStyle name="Normal 43 14 2" xfId="9961" xr:uid="{00000000-0005-0000-0000-0000286C0000}"/>
    <cellStyle name="Normal 43 14 2 2" xfId="39391" xr:uid="{00000000-0005-0000-0000-0000296C0000}"/>
    <cellStyle name="Normal 43 14 3" xfId="9962" xr:uid="{00000000-0005-0000-0000-00002A6C0000}"/>
    <cellStyle name="Normal 43 14 3 2" xfId="39392" xr:uid="{00000000-0005-0000-0000-00002B6C0000}"/>
    <cellStyle name="Normal 43 14 4" xfId="9963" xr:uid="{00000000-0005-0000-0000-00002C6C0000}"/>
    <cellStyle name="Normal 43 14 4 2" xfId="39393" xr:uid="{00000000-0005-0000-0000-00002D6C0000}"/>
    <cellStyle name="Normal 43 14 5" xfId="39394" xr:uid="{00000000-0005-0000-0000-00002E6C0000}"/>
    <cellStyle name="Normal 43 14_01-04-2012" xfId="9964" xr:uid="{00000000-0005-0000-0000-00002F6C0000}"/>
    <cellStyle name="Normal 43 15" xfId="9965" xr:uid="{00000000-0005-0000-0000-0000306C0000}"/>
    <cellStyle name="Normal 43 15 2" xfId="9966" xr:uid="{00000000-0005-0000-0000-0000316C0000}"/>
    <cellStyle name="Normal 43 15 2 2" xfId="39395" xr:uid="{00000000-0005-0000-0000-0000326C0000}"/>
    <cellStyle name="Normal 43 15 3" xfId="9967" xr:uid="{00000000-0005-0000-0000-0000336C0000}"/>
    <cellStyle name="Normal 43 15 3 2" xfId="39396" xr:uid="{00000000-0005-0000-0000-0000346C0000}"/>
    <cellStyle name="Normal 43 15 4" xfId="9968" xr:uid="{00000000-0005-0000-0000-0000356C0000}"/>
    <cellStyle name="Normal 43 15 4 2" xfId="39397" xr:uid="{00000000-0005-0000-0000-0000366C0000}"/>
    <cellStyle name="Normal 43 15 5" xfId="39398" xr:uid="{00000000-0005-0000-0000-0000376C0000}"/>
    <cellStyle name="Normal 43 15_01-04-2012" xfId="9969" xr:uid="{00000000-0005-0000-0000-0000386C0000}"/>
    <cellStyle name="Normal 43 16" xfId="9970" xr:uid="{00000000-0005-0000-0000-0000396C0000}"/>
    <cellStyle name="Normal 43 16 2" xfId="9971" xr:uid="{00000000-0005-0000-0000-00003A6C0000}"/>
    <cellStyle name="Normal 43 16 2 2" xfId="39399" xr:uid="{00000000-0005-0000-0000-00003B6C0000}"/>
    <cellStyle name="Normal 43 16 3" xfId="9972" xr:uid="{00000000-0005-0000-0000-00003C6C0000}"/>
    <cellStyle name="Normal 43 16 3 2" xfId="39400" xr:uid="{00000000-0005-0000-0000-00003D6C0000}"/>
    <cellStyle name="Normal 43 16 4" xfId="9973" xr:uid="{00000000-0005-0000-0000-00003E6C0000}"/>
    <cellStyle name="Normal 43 16 4 2" xfId="39401" xr:uid="{00000000-0005-0000-0000-00003F6C0000}"/>
    <cellStyle name="Normal 43 16 5" xfId="39402" xr:uid="{00000000-0005-0000-0000-0000406C0000}"/>
    <cellStyle name="Normal 43 16_01-04-2012" xfId="9974" xr:uid="{00000000-0005-0000-0000-0000416C0000}"/>
    <cellStyle name="Normal 43 17" xfId="9975" xr:uid="{00000000-0005-0000-0000-0000426C0000}"/>
    <cellStyle name="Normal 43 17 2" xfId="9976" xr:uid="{00000000-0005-0000-0000-0000436C0000}"/>
    <cellStyle name="Normal 43 17 2 2" xfId="39403" xr:uid="{00000000-0005-0000-0000-0000446C0000}"/>
    <cellStyle name="Normal 43 17 3" xfId="9977" xr:uid="{00000000-0005-0000-0000-0000456C0000}"/>
    <cellStyle name="Normal 43 17 3 2" xfId="39404" xr:uid="{00000000-0005-0000-0000-0000466C0000}"/>
    <cellStyle name="Normal 43 17 4" xfId="9978" xr:uid="{00000000-0005-0000-0000-0000476C0000}"/>
    <cellStyle name="Normal 43 17 4 2" xfId="39405" xr:uid="{00000000-0005-0000-0000-0000486C0000}"/>
    <cellStyle name="Normal 43 17 5" xfId="39406" xr:uid="{00000000-0005-0000-0000-0000496C0000}"/>
    <cellStyle name="Normal 43 17_01-04-2012" xfId="9979" xr:uid="{00000000-0005-0000-0000-00004A6C0000}"/>
    <cellStyle name="Normal 43 18" xfId="9980" xr:uid="{00000000-0005-0000-0000-00004B6C0000}"/>
    <cellStyle name="Normal 43 18 2" xfId="9981" xr:uid="{00000000-0005-0000-0000-00004C6C0000}"/>
    <cellStyle name="Normal 43 18 2 2" xfId="39407" xr:uid="{00000000-0005-0000-0000-00004D6C0000}"/>
    <cellStyle name="Normal 43 18 3" xfId="9982" xr:uid="{00000000-0005-0000-0000-00004E6C0000}"/>
    <cellStyle name="Normal 43 18 3 2" xfId="39408" xr:uid="{00000000-0005-0000-0000-00004F6C0000}"/>
    <cellStyle name="Normal 43 18 4" xfId="9983" xr:uid="{00000000-0005-0000-0000-0000506C0000}"/>
    <cellStyle name="Normal 43 18 4 2" xfId="39409" xr:uid="{00000000-0005-0000-0000-0000516C0000}"/>
    <cellStyle name="Normal 43 18 5" xfId="39410" xr:uid="{00000000-0005-0000-0000-0000526C0000}"/>
    <cellStyle name="Normal 43 18_01-04-2012" xfId="9984" xr:uid="{00000000-0005-0000-0000-0000536C0000}"/>
    <cellStyle name="Normal 43 19" xfId="9985" xr:uid="{00000000-0005-0000-0000-0000546C0000}"/>
    <cellStyle name="Normal 43 19 2" xfId="9986" xr:uid="{00000000-0005-0000-0000-0000556C0000}"/>
    <cellStyle name="Normal 43 19 2 2" xfId="39411" xr:uid="{00000000-0005-0000-0000-0000566C0000}"/>
    <cellStyle name="Normal 43 19 3" xfId="9987" xr:uid="{00000000-0005-0000-0000-0000576C0000}"/>
    <cellStyle name="Normal 43 19 3 2" xfId="39412" xr:uid="{00000000-0005-0000-0000-0000586C0000}"/>
    <cellStyle name="Normal 43 19 4" xfId="9988" xr:uid="{00000000-0005-0000-0000-0000596C0000}"/>
    <cellStyle name="Normal 43 19 4 2" xfId="39413" xr:uid="{00000000-0005-0000-0000-00005A6C0000}"/>
    <cellStyle name="Normal 43 19 5" xfId="39414" xr:uid="{00000000-0005-0000-0000-00005B6C0000}"/>
    <cellStyle name="Normal 43 19_01-04-2012" xfId="9989" xr:uid="{00000000-0005-0000-0000-00005C6C0000}"/>
    <cellStyle name="Normal 43 2" xfId="9990" xr:uid="{00000000-0005-0000-0000-00005D6C0000}"/>
    <cellStyle name="Normal 43 2 2" xfId="9991" xr:uid="{00000000-0005-0000-0000-00005E6C0000}"/>
    <cellStyle name="Normal 43 2 2 2" xfId="39415" xr:uid="{00000000-0005-0000-0000-00005F6C0000}"/>
    <cellStyle name="Normal 43 2 3" xfId="9992" xr:uid="{00000000-0005-0000-0000-0000606C0000}"/>
    <cellStyle name="Normal 43 2 3 2" xfId="39416" xr:uid="{00000000-0005-0000-0000-0000616C0000}"/>
    <cellStyle name="Normal 43 2 4" xfId="9993" xr:uid="{00000000-0005-0000-0000-0000626C0000}"/>
    <cellStyle name="Normal 43 2 4 2" xfId="39417" xr:uid="{00000000-0005-0000-0000-0000636C0000}"/>
    <cellStyle name="Normal 43 2 5" xfId="20907" xr:uid="{00000000-0005-0000-0000-0000646C0000}"/>
    <cellStyle name="Normal 43 2 5 2" xfId="39418" xr:uid="{00000000-0005-0000-0000-0000656C0000}"/>
    <cellStyle name="Normal 43 2_01-04-2012" xfId="9994" xr:uid="{00000000-0005-0000-0000-0000666C0000}"/>
    <cellStyle name="Normal 43 20" xfId="9995" xr:uid="{00000000-0005-0000-0000-0000676C0000}"/>
    <cellStyle name="Normal 43 20 2" xfId="9996" xr:uid="{00000000-0005-0000-0000-0000686C0000}"/>
    <cellStyle name="Normal 43 20 2 2" xfId="39419" xr:uid="{00000000-0005-0000-0000-0000696C0000}"/>
    <cellStyle name="Normal 43 20 3" xfId="9997" xr:uid="{00000000-0005-0000-0000-00006A6C0000}"/>
    <cellStyle name="Normal 43 20 3 2" xfId="39420" xr:uid="{00000000-0005-0000-0000-00006B6C0000}"/>
    <cellStyle name="Normal 43 20 4" xfId="9998" xr:uid="{00000000-0005-0000-0000-00006C6C0000}"/>
    <cellStyle name="Normal 43 20 4 2" xfId="39421" xr:uid="{00000000-0005-0000-0000-00006D6C0000}"/>
    <cellStyle name="Normal 43 20 5" xfId="39422" xr:uid="{00000000-0005-0000-0000-00006E6C0000}"/>
    <cellStyle name="Normal 43 20_01-04-2012" xfId="9999" xr:uid="{00000000-0005-0000-0000-00006F6C0000}"/>
    <cellStyle name="Normal 43 21" xfId="10000" xr:uid="{00000000-0005-0000-0000-0000706C0000}"/>
    <cellStyle name="Normal 43 21 2" xfId="10001" xr:uid="{00000000-0005-0000-0000-0000716C0000}"/>
    <cellStyle name="Normal 43 21 2 2" xfId="39423" xr:uid="{00000000-0005-0000-0000-0000726C0000}"/>
    <cellStyle name="Normal 43 21 3" xfId="10002" xr:uid="{00000000-0005-0000-0000-0000736C0000}"/>
    <cellStyle name="Normal 43 21 3 2" xfId="39424" xr:uid="{00000000-0005-0000-0000-0000746C0000}"/>
    <cellStyle name="Normal 43 21 4" xfId="10003" xr:uid="{00000000-0005-0000-0000-0000756C0000}"/>
    <cellStyle name="Normal 43 21 4 2" xfId="39425" xr:uid="{00000000-0005-0000-0000-0000766C0000}"/>
    <cellStyle name="Normal 43 21 5" xfId="39426" xr:uid="{00000000-0005-0000-0000-0000776C0000}"/>
    <cellStyle name="Normal 43 21_01-04-2012" xfId="10004" xr:uid="{00000000-0005-0000-0000-0000786C0000}"/>
    <cellStyle name="Normal 43 22" xfId="10005" xr:uid="{00000000-0005-0000-0000-0000796C0000}"/>
    <cellStyle name="Normal 43 22 2" xfId="10006" xr:uid="{00000000-0005-0000-0000-00007A6C0000}"/>
    <cellStyle name="Normal 43 22 2 2" xfId="39427" xr:uid="{00000000-0005-0000-0000-00007B6C0000}"/>
    <cellStyle name="Normal 43 22 3" xfId="10007" xr:uid="{00000000-0005-0000-0000-00007C6C0000}"/>
    <cellStyle name="Normal 43 22 3 2" xfId="39428" xr:uid="{00000000-0005-0000-0000-00007D6C0000}"/>
    <cellStyle name="Normal 43 22 4" xfId="10008" xr:uid="{00000000-0005-0000-0000-00007E6C0000}"/>
    <cellStyle name="Normal 43 22 4 2" xfId="39429" xr:uid="{00000000-0005-0000-0000-00007F6C0000}"/>
    <cellStyle name="Normal 43 22 5" xfId="39430" xr:uid="{00000000-0005-0000-0000-0000806C0000}"/>
    <cellStyle name="Normal 43 22_01-04-2012" xfId="10009" xr:uid="{00000000-0005-0000-0000-0000816C0000}"/>
    <cellStyle name="Normal 43 23" xfId="10010" xr:uid="{00000000-0005-0000-0000-0000826C0000}"/>
    <cellStyle name="Normal 43 23 2" xfId="10011" xr:uid="{00000000-0005-0000-0000-0000836C0000}"/>
    <cellStyle name="Normal 43 23 2 2" xfId="39431" xr:uid="{00000000-0005-0000-0000-0000846C0000}"/>
    <cellStyle name="Normal 43 23 3" xfId="10012" xr:uid="{00000000-0005-0000-0000-0000856C0000}"/>
    <cellStyle name="Normal 43 23 3 2" xfId="39432" xr:uid="{00000000-0005-0000-0000-0000866C0000}"/>
    <cellStyle name="Normal 43 23 4" xfId="10013" xr:uid="{00000000-0005-0000-0000-0000876C0000}"/>
    <cellStyle name="Normal 43 23 4 2" xfId="39433" xr:uid="{00000000-0005-0000-0000-0000886C0000}"/>
    <cellStyle name="Normal 43 23 5" xfId="39434" xr:uid="{00000000-0005-0000-0000-0000896C0000}"/>
    <cellStyle name="Normal 43 23_01-04-2012" xfId="10014" xr:uid="{00000000-0005-0000-0000-00008A6C0000}"/>
    <cellStyle name="Normal 43 24" xfId="10015" xr:uid="{00000000-0005-0000-0000-00008B6C0000}"/>
    <cellStyle name="Normal 43 24 2" xfId="10016" xr:uid="{00000000-0005-0000-0000-00008C6C0000}"/>
    <cellStyle name="Normal 43 24 2 2" xfId="39435" xr:uid="{00000000-0005-0000-0000-00008D6C0000}"/>
    <cellStyle name="Normal 43 24 3" xfId="10017" xr:uid="{00000000-0005-0000-0000-00008E6C0000}"/>
    <cellStyle name="Normal 43 24 3 2" xfId="39436" xr:uid="{00000000-0005-0000-0000-00008F6C0000}"/>
    <cellStyle name="Normal 43 24 4" xfId="10018" xr:uid="{00000000-0005-0000-0000-0000906C0000}"/>
    <cellStyle name="Normal 43 24 4 2" xfId="39437" xr:uid="{00000000-0005-0000-0000-0000916C0000}"/>
    <cellStyle name="Normal 43 24 5" xfId="39438" xr:uid="{00000000-0005-0000-0000-0000926C0000}"/>
    <cellStyle name="Normal 43 24_01-04-2012" xfId="10019" xr:uid="{00000000-0005-0000-0000-0000936C0000}"/>
    <cellStyle name="Normal 43 25" xfId="10020" xr:uid="{00000000-0005-0000-0000-0000946C0000}"/>
    <cellStyle name="Normal 43 25 2" xfId="10021" xr:uid="{00000000-0005-0000-0000-0000956C0000}"/>
    <cellStyle name="Normal 43 25 2 2" xfId="39439" xr:uid="{00000000-0005-0000-0000-0000966C0000}"/>
    <cellStyle name="Normal 43 25 3" xfId="10022" xr:uid="{00000000-0005-0000-0000-0000976C0000}"/>
    <cellStyle name="Normal 43 25 3 2" xfId="39440" xr:uid="{00000000-0005-0000-0000-0000986C0000}"/>
    <cellStyle name="Normal 43 25 4" xfId="10023" xr:uid="{00000000-0005-0000-0000-0000996C0000}"/>
    <cellStyle name="Normal 43 25 4 2" xfId="39441" xr:uid="{00000000-0005-0000-0000-00009A6C0000}"/>
    <cellStyle name="Normal 43 25 5" xfId="39442" xr:uid="{00000000-0005-0000-0000-00009B6C0000}"/>
    <cellStyle name="Normal 43 25_01-04-2012" xfId="10024" xr:uid="{00000000-0005-0000-0000-00009C6C0000}"/>
    <cellStyle name="Normal 43 26" xfId="10025" xr:uid="{00000000-0005-0000-0000-00009D6C0000}"/>
    <cellStyle name="Normal 43 26 2" xfId="10026" xr:uid="{00000000-0005-0000-0000-00009E6C0000}"/>
    <cellStyle name="Normal 43 26 2 2" xfId="39443" xr:uid="{00000000-0005-0000-0000-00009F6C0000}"/>
    <cellStyle name="Normal 43 26 3" xfId="10027" xr:uid="{00000000-0005-0000-0000-0000A06C0000}"/>
    <cellStyle name="Normal 43 26 3 2" xfId="39444" xr:uid="{00000000-0005-0000-0000-0000A16C0000}"/>
    <cellStyle name="Normal 43 26 4" xfId="10028" xr:uid="{00000000-0005-0000-0000-0000A26C0000}"/>
    <cellStyle name="Normal 43 26 4 2" xfId="39445" xr:uid="{00000000-0005-0000-0000-0000A36C0000}"/>
    <cellStyle name="Normal 43 26 5" xfId="39446" xr:uid="{00000000-0005-0000-0000-0000A46C0000}"/>
    <cellStyle name="Normal 43 26_01-04-2012" xfId="10029" xr:uid="{00000000-0005-0000-0000-0000A56C0000}"/>
    <cellStyle name="Normal 43 27" xfId="10030" xr:uid="{00000000-0005-0000-0000-0000A66C0000}"/>
    <cellStyle name="Normal 43 27 2" xfId="10031" xr:uid="{00000000-0005-0000-0000-0000A76C0000}"/>
    <cellStyle name="Normal 43 27 2 2" xfId="39447" xr:uid="{00000000-0005-0000-0000-0000A86C0000}"/>
    <cellStyle name="Normal 43 27 3" xfId="10032" xr:uid="{00000000-0005-0000-0000-0000A96C0000}"/>
    <cellStyle name="Normal 43 27 3 2" xfId="39448" xr:uid="{00000000-0005-0000-0000-0000AA6C0000}"/>
    <cellStyle name="Normal 43 27 4" xfId="10033" xr:uid="{00000000-0005-0000-0000-0000AB6C0000}"/>
    <cellStyle name="Normal 43 27 4 2" xfId="39449" xr:uid="{00000000-0005-0000-0000-0000AC6C0000}"/>
    <cellStyle name="Normal 43 27 5" xfId="39450" xr:uid="{00000000-0005-0000-0000-0000AD6C0000}"/>
    <cellStyle name="Normal 43 27_01-04-2012" xfId="10034" xr:uid="{00000000-0005-0000-0000-0000AE6C0000}"/>
    <cellStyle name="Normal 43 28" xfId="10035" xr:uid="{00000000-0005-0000-0000-0000AF6C0000}"/>
    <cellStyle name="Normal 43 28 2" xfId="10036" xr:uid="{00000000-0005-0000-0000-0000B06C0000}"/>
    <cellStyle name="Normal 43 28 2 2" xfId="39451" xr:uid="{00000000-0005-0000-0000-0000B16C0000}"/>
    <cellStyle name="Normal 43 28 3" xfId="10037" xr:uid="{00000000-0005-0000-0000-0000B26C0000}"/>
    <cellStyle name="Normal 43 28 3 2" xfId="39452" xr:uid="{00000000-0005-0000-0000-0000B36C0000}"/>
    <cellStyle name="Normal 43 28 4" xfId="10038" xr:uid="{00000000-0005-0000-0000-0000B46C0000}"/>
    <cellStyle name="Normal 43 28 4 2" xfId="39453" xr:uid="{00000000-0005-0000-0000-0000B56C0000}"/>
    <cellStyle name="Normal 43 28 5" xfId="39454" xr:uid="{00000000-0005-0000-0000-0000B66C0000}"/>
    <cellStyle name="Normal 43 28_01-04-2012" xfId="10039" xr:uid="{00000000-0005-0000-0000-0000B76C0000}"/>
    <cellStyle name="Normal 43 29" xfId="10040" xr:uid="{00000000-0005-0000-0000-0000B86C0000}"/>
    <cellStyle name="Normal 43 29 2" xfId="10041" xr:uid="{00000000-0005-0000-0000-0000B96C0000}"/>
    <cellStyle name="Normal 43 29 2 2" xfId="39455" xr:uid="{00000000-0005-0000-0000-0000BA6C0000}"/>
    <cellStyle name="Normal 43 29 3" xfId="10042" xr:uid="{00000000-0005-0000-0000-0000BB6C0000}"/>
    <cellStyle name="Normal 43 29 3 2" xfId="39456" xr:uid="{00000000-0005-0000-0000-0000BC6C0000}"/>
    <cellStyle name="Normal 43 29 4" xfId="10043" xr:uid="{00000000-0005-0000-0000-0000BD6C0000}"/>
    <cellStyle name="Normal 43 29 4 2" xfId="39457" xr:uid="{00000000-0005-0000-0000-0000BE6C0000}"/>
    <cellStyle name="Normal 43 29 5" xfId="39458" xr:uid="{00000000-0005-0000-0000-0000BF6C0000}"/>
    <cellStyle name="Normal 43 29_01-04-2012" xfId="10044" xr:uid="{00000000-0005-0000-0000-0000C06C0000}"/>
    <cellStyle name="Normal 43 3" xfId="10045" xr:uid="{00000000-0005-0000-0000-0000C16C0000}"/>
    <cellStyle name="Normal 43 3 2" xfId="10046" xr:uid="{00000000-0005-0000-0000-0000C26C0000}"/>
    <cellStyle name="Normal 43 3 2 2" xfId="39459" xr:uid="{00000000-0005-0000-0000-0000C36C0000}"/>
    <cellStyle name="Normal 43 3 3" xfId="10047" xr:uid="{00000000-0005-0000-0000-0000C46C0000}"/>
    <cellStyle name="Normal 43 3 3 2" xfId="39460" xr:uid="{00000000-0005-0000-0000-0000C56C0000}"/>
    <cellStyle name="Normal 43 3 4" xfId="10048" xr:uid="{00000000-0005-0000-0000-0000C66C0000}"/>
    <cellStyle name="Normal 43 3 4 2" xfId="39461" xr:uid="{00000000-0005-0000-0000-0000C76C0000}"/>
    <cellStyle name="Normal 43 3 5" xfId="33740" xr:uid="{00000000-0005-0000-0000-0000C86C0000}"/>
    <cellStyle name="Normal 43 3 5 2" xfId="39462" xr:uid="{00000000-0005-0000-0000-0000C96C0000}"/>
    <cellStyle name="Normal 43 3_01-04-2012" xfId="10049" xr:uid="{00000000-0005-0000-0000-0000CA6C0000}"/>
    <cellStyle name="Normal 43 30" xfId="10050" xr:uid="{00000000-0005-0000-0000-0000CB6C0000}"/>
    <cellStyle name="Normal 43 30 2" xfId="10051" xr:uid="{00000000-0005-0000-0000-0000CC6C0000}"/>
    <cellStyle name="Normal 43 30 2 2" xfId="39463" xr:uid="{00000000-0005-0000-0000-0000CD6C0000}"/>
    <cellStyle name="Normal 43 30 3" xfId="10052" xr:uid="{00000000-0005-0000-0000-0000CE6C0000}"/>
    <cellStyle name="Normal 43 30 3 2" xfId="39464" xr:uid="{00000000-0005-0000-0000-0000CF6C0000}"/>
    <cellStyle name="Normal 43 30 4" xfId="10053" xr:uid="{00000000-0005-0000-0000-0000D06C0000}"/>
    <cellStyle name="Normal 43 30 4 2" xfId="39465" xr:uid="{00000000-0005-0000-0000-0000D16C0000}"/>
    <cellStyle name="Normal 43 30 5" xfId="39466" xr:uid="{00000000-0005-0000-0000-0000D26C0000}"/>
    <cellStyle name="Normal 43 30_01-04-2012" xfId="10054" xr:uid="{00000000-0005-0000-0000-0000D36C0000}"/>
    <cellStyle name="Normal 43 31" xfId="10055" xr:uid="{00000000-0005-0000-0000-0000D46C0000}"/>
    <cellStyle name="Normal 43 31 2" xfId="10056" xr:uid="{00000000-0005-0000-0000-0000D56C0000}"/>
    <cellStyle name="Normal 43 31 2 2" xfId="39467" xr:uid="{00000000-0005-0000-0000-0000D66C0000}"/>
    <cellStyle name="Normal 43 31 3" xfId="10057" xr:uid="{00000000-0005-0000-0000-0000D76C0000}"/>
    <cellStyle name="Normal 43 31 3 2" xfId="39468" xr:uid="{00000000-0005-0000-0000-0000D86C0000}"/>
    <cellStyle name="Normal 43 31 4" xfId="10058" xr:uid="{00000000-0005-0000-0000-0000D96C0000}"/>
    <cellStyle name="Normal 43 31 4 2" xfId="39469" xr:uid="{00000000-0005-0000-0000-0000DA6C0000}"/>
    <cellStyle name="Normal 43 31 5" xfId="39470" xr:uid="{00000000-0005-0000-0000-0000DB6C0000}"/>
    <cellStyle name="Normal 43 31_01-04-2012" xfId="10059" xr:uid="{00000000-0005-0000-0000-0000DC6C0000}"/>
    <cellStyle name="Normal 43 32" xfId="10060" xr:uid="{00000000-0005-0000-0000-0000DD6C0000}"/>
    <cellStyle name="Normal 43 32 2" xfId="10061" xr:uid="{00000000-0005-0000-0000-0000DE6C0000}"/>
    <cellStyle name="Normal 43 32 2 2" xfId="39471" xr:uid="{00000000-0005-0000-0000-0000DF6C0000}"/>
    <cellStyle name="Normal 43 32 3" xfId="10062" xr:uid="{00000000-0005-0000-0000-0000E06C0000}"/>
    <cellStyle name="Normal 43 32 3 2" xfId="39472" xr:uid="{00000000-0005-0000-0000-0000E16C0000}"/>
    <cellStyle name="Normal 43 32 4" xfId="10063" xr:uid="{00000000-0005-0000-0000-0000E26C0000}"/>
    <cellStyle name="Normal 43 32 4 2" xfId="39473" xr:uid="{00000000-0005-0000-0000-0000E36C0000}"/>
    <cellStyle name="Normal 43 32 5" xfId="39474" xr:uid="{00000000-0005-0000-0000-0000E46C0000}"/>
    <cellStyle name="Normal 43 32_01-04-2012" xfId="10064" xr:uid="{00000000-0005-0000-0000-0000E56C0000}"/>
    <cellStyle name="Normal 43 33" xfId="10065" xr:uid="{00000000-0005-0000-0000-0000E66C0000}"/>
    <cellStyle name="Normal 43 33 2" xfId="10066" xr:uid="{00000000-0005-0000-0000-0000E76C0000}"/>
    <cellStyle name="Normal 43 33 2 2" xfId="39475" xr:uid="{00000000-0005-0000-0000-0000E86C0000}"/>
    <cellStyle name="Normal 43 33 3" xfId="10067" xr:uid="{00000000-0005-0000-0000-0000E96C0000}"/>
    <cellStyle name="Normal 43 33 3 2" xfId="39476" xr:uid="{00000000-0005-0000-0000-0000EA6C0000}"/>
    <cellStyle name="Normal 43 33 4" xfId="10068" xr:uid="{00000000-0005-0000-0000-0000EB6C0000}"/>
    <cellStyle name="Normal 43 33 4 2" xfId="39477" xr:uid="{00000000-0005-0000-0000-0000EC6C0000}"/>
    <cellStyle name="Normal 43 33 5" xfId="39478" xr:uid="{00000000-0005-0000-0000-0000ED6C0000}"/>
    <cellStyle name="Normal 43 33_01-04-2012" xfId="10069" xr:uid="{00000000-0005-0000-0000-0000EE6C0000}"/>
    <cellStyle name="Normal 43 34" xfId="10070" xr:uid="{00000000-0005-0000-0000-0000EF6C0000}"/>
    <cellStyle name="Normal 43 34 2" xfId="10071" xr:uid="{00000000-0005-0000-0000-0000F06C0000}"/>
    <cellStyle name="Normal 43 34 2 2" xfId="39479" xr:uid="{00000000-0005-0000-0000-0000F16C0000}"/>
    <cellStyle name="Normal 43 34 3" xfId="10072" xr:uid="{00000000-0005-0000-0000-0000F26C0000}"/>
    <cellStyle name="Normal 43 34 3 2" xfId="39480" xr:uid="{00000000-0005-0000-0000-0000F36C0000}"/>
    <cellStyle name="Normal 43 34 4" xfId="10073" xr:uid="{00000000-0005-0000-0000-0000F46C0000}"/>
    <cellStyle name="Normal 43 34 4 2" xfId="39481" xr:uid="{00000000-0005-0000-0000-0000F56C0000}"/>
    <cellStyle name="Normal 43 34 5" xfId="39482" xr:uid="{00000000-0005-0000-0000-0000F66C0000}"/>
    <cellStyle name="Normal 43 34_01-04-2012" xfId="10074" xr:uid="{00000000-0005-0000-0000-0000F76C0000}"/>
    <cellStyle name="Normal 43 35" xfId="10075" xr:uid="{00000000-0005-0000-0000-0000F86C0000}"/>
    <cellStyle name="Normal 43 35 2" xfId="10076" xr:uid="{00000000-0005-0000-0000-0000F96C0000}"/>
    <cellStyle name="Normal 43 35 2 2" xfId="39483" xr:uid="{00000000-0005-0000-0000-0000FA6C0000}"/>
    <cellStyle name="Normal 43 35 3" xfId="10077" xr:uid="{00000000-0005-0000-0000-0000FB6C0000}"/>
    <cellStyle name="Normal 43 35 3 2" xfId="39484" xr:uid="{00000000-0005-0000-0000-0000FC6C0000}"/>
    <cellStyle name="Normal 43 35 4" xfId="10078" xr:uid="{00000000-0005-0000-0000-0000FD6C0000}"/>
    <cellStyle name="Normal 43 35 4 2" xfId="39485" xr:uid="{00000000-0005-0000-0000-0000FE6C0000}"/>
    <cellStyle name="Normal 43 35 5" xfId="39486" xr:uid="{00000000-0005-0000-0000-0000FF6C0000}"/>
    <cellStyle name="Normal 43 35_01-04-2012" xfId="10079" xr:uid="{00000000-0005-0000-0000-0000006D0000}"/>
    <cellStyle name="Normal 43 36" xfId="10080" xr:uid="{00000000-0005-0000-0000-0000016D0000}"/>
    <cellStyle name="Normal 43 36 2" xfId="10081" xr:uid="{00000000-0005-0000-0000-0000026D0000}"/>
    <cellStyle name="Normal 43 36 2 2" xfId="39487" xr:uid="{00000000-0005-0000-0000-0000036D0000}"/>
    <cellStyle name="Normal 43 36 3" xfId="10082" xr:uid="{00000000-0005-0000-0000-0000046D0000}"/>
    <cellStyle name="Normal 43 36 3 2" xfId="39488" xr:uid="{00000000-0005-0000-0000-0000056D0000}"/>
    <cellStyle name="Normal 43 36 4" xfId="10083" xr:uid="{00000000-0005-0000-0000-0000066D0000}"/>
    <cellStyle name="Normal 43 36 4 2" xfId="39489" xr:uid="{00000000-0005-0000-0000-0000076D0000}"/>
    <cellStyle name="Normal 43 36 5" xfId="39490" xr:uid="{00000000-0005-0000-0000-0000086D0000}"/>
    <cellStyle name="Normal 43 36_01-04-2012" xfId="10084" xr:uid="{00000000-0005-0000-0000-0000096D0000}"/>
    <cellStyle name="Normal 43 37" xfId="10085" xr:uid="{00000000-0005-0000-0000-00000A6D0000}"/>
    <cellStyle name="Normal 43 37 2" xfId="10086" xr:uid="{00000000-0005-0000-0000-00000B6D0000}"/>
    <cellStyle name="Normal 43 37 2 2" xfId="39491" xr:uid="{00000000-0005-0000-0000-00000C6D0000}"/>
    <cellStyle name="Normal 43 37 3" xfId="10087" xr:uid="{00000000-0005-0000-0000-00000D6D0000}"/>
    <cellStyle name="Normal 43 37 3 2" xfId="39492" xr:uid="{00000000-0005-0000-0000-00000E6D0000}"/>
    <cellStyle name="Normal 43 37 4" xfId="10088" xr:uid="{00000000-0005-0000-0000-00000F6D0000}"/>
    <cellStyle name="Normal 43 37 4 2" xfId="39493" xr:uid="{00000000-0005-0000-0000-0000106D0000}"/>
    <cellStyle name="Normal 43 37 5" xfId="39494" xr:uid="{00000000-0005-0000-0000-0000116D0000}"/>
    <cellStyle name="Normal 43 37_01-04-2012" xfId="10089" xr:uid="{00000000-0005-0000-0000-0000126D0000}"/>
    <cellStyle name="Normal 43 38" xfId="10090" xr:uid="{00000000-0005-0000-0000-0000136D0000}"/>
    <cellStyle name="Normal 43 38 2" xfId="10091" xr:uid="{00000000-0005-0000-0000-0000146D0000}"/>
    <cellStyle name="Normal 43 38 2 2" xfId="39495" xr:uid="{00000000-0005-0000-0000-0000156D0000}"/>
    <cellStyle name="Normal 43 38 3" xfId="10092" xr:uid="{00000000-0005-0000-0000-0000166D0000}"/>
    <cellStyle name="Normal 43 38 3 2" xfId="39496" xr:uid="{00000000-0005-0000-0000-0000176D0000}"/>
    <cellStyle name="Normal 43 38 4" xfId="10093" xr:uid="{00000000-0005-0000-0000-0000186D0000}"/>
    <cellStyle name="Normal 43 38 4 2" xfId="39497" xr:uid="{00000000-0005-0000-0000-0000196D0000}"/>
    <cellStyle name="Normal 43 38 5" xfId="39498" xr:uid="{00000000-0005-0000-0000-00001A6D0000}"/>
    <cellStyle name="Normal 43 38_01-04-2012" xfId="10094" xr:uid="{00000000-0005-0000-0000-00001B6D0000}"/>
    <cellStyle name="Normal 43 39" xfId="10095" xr:uid="{00000000-0005-0000-0000-00001C6D0000}"/>
    <cellStyle name="Normal 43 39 2" xfId="10096" xr:uid="{00000000-0005-0000-0000-00001D6D0000}"/>
    <cellStyle name="Normal 43 39 2 2" xfId="39499" xr:uid="{00000000-0005-0000-0000-00001E6D0000}"/>
    <cellStyle name="Normal 43 39 3" xfId="10097" xr:uid="{00000000-0005-0000-0000-00001F6D0000}"/>
    <cellStyle name="Normal 43 39 3 2" xfId="39500" xr:uid="{00000000-0005-0000-0000-0000206D0000}"/>
    <cellStyle name="Normal 43 39 4" xfId="10098" xr:uid="{00000000-0005-0000-0000-0000216D0000}"/>
    <cellStyle name="Normal 43 39 4 2" xfId="39501" xr:uid="{00000000-0005-0000-0000-0000226D0000}"/>
    <cellStyle name="Normal 43 39 5" xfId="39502" xr:uid="{00000000-0005-0000-0000-0000236D0000}"/>
    <cellStyle name="Normal 43 39_01-04-2012" xfId="10099" xr:uid="{00000000-0005-0000-0000-0000246D0000}"/>
    <cellStyle name="Normal 43 4" xfId="10100" xr:uid="{00000000-0005-0000-0000-0000256D0000}"/>
    <cellStyle name="Normal 43 4 2" xfId="10101" xr:uid="{00000000-0005-0000-0000-0000266D0000}"/>
    <cellStyle name="Normal 43 4 2 2" xfId="39503" xr:uid="{00000000-0005-0000-0000-0000276D0000}"/>
    <cellStyle name="Normal 43 4 3" xfId="10102" xr:uid="{00000000-0005-0000-0000-0000286D0000}"/>
    <cellStyle name="Normal 43 4 3 2" xfId="39504" xr:uid="{00000000-0005-0000-0000-0000296D0000}"/>
    <cellStyle name="Normal 43 4 4" xfId="10103" xr:uid="{00000000-0005-0000-0000-00002A6D0000}"/>
    <cellStyle name="Normal 43 4 4 2" xfId="39505" xr:uid="{00000000-0005-0000-0000-00002B6D0000}"/>
    <cellStyle name="Normal 43 4 5" xfId="39506" xr:uid="{00000000-0005-0000-0000-00002C6D0000}"/>
    <cellStyle name="Normal 43 4_01-04-2012" xfId="10104" xr:uid="{00000000-0005-0000-0000-00002D6D0000}"/>
    <cellStyle name="Normal 43 40" xfId="10105" xr:uid="{00000000-0005-0000-0000-00002E6D0000}"/>
    <cellStyle name="Normal 43 40 2" xfId="10106" xr:uid="{00000000-0005-0000-0000-00002F6D0000}"/>
    <cellStyle name="Normal 43 40 2 2" xfId="39507" xr:uid="{00000000-0005-0000-0000-0000306D0000}"/>
    <cellStyle name="Normal 43 40 3" xfId="10107" xr:uid="{00000000-0005-0000-0000-0000316D0000}"/>
    <cellStyle name="Normal 43 40 3 2" xfId="39508" xr:uid="{00000000-0005-0000-0000-0000326D0000}"/>
    <cellStyle name="Normal 43 40 4" xfId="10108" xr:uid="{00000000-0005-0000-0000-0000336D0000}"/>
    <cellStyle name="Normal 43 40 4 2" xfId="39509" xr:uid="{00000000-0005-0000-0000-0000346D0000}"/>
    <cellStyle name="Normal 43 40 5" xfId="39510" xr:uid="{00000000-0005-0000-0000-0000356D0000}"/>
    <cellStyle name="Normal 43 40_01-04-2012" xfId="10109" xr:uid="{00000000-0005-0000-0000-0000366D0000}"/>
    <cellStyle name="Normal 43 41" xfId="10110" xr:uid="{00000000-0005-0000-0000-0000376D0000}"/>
    <cellStyle name="Normal 43 41 2" xfId="10111" xr:uid="{00000000-0005-0000-0000-0000386D0000}"/>
    <cellStyle name="Normal 43 41 2 2" xfId="39511" xr:uid="{00000000-0005-0000-0000-0000396D0000}"/>
    <cellStyle name="Normal 43 41 3" xfId="10112" xr:uid="{00000000-0005-0000-0000-00003A6D0000}"/>
    <cellStyle name="Normal 43 41 3 2" xfId="39512" xr:uid="{00000000-0005-0000-0000-00003B6D0000}"/>
    <cellStyle name="Normal 43 41 4" xfId="10113" xr:uid="{00000000-0005-0000-0000-00003C6D0000}"/>
    <cellStyle name="Normal 43 41 4 2" xfId="39513" xr:uid="{00000000-0005-0000-0000-00003D6D0000}"/>
    <cellStyle name="Normal 43 41 5" xfId="39514" xr:uid="{00000000-0005-0000-0000-00003E6D0000}"/>
    <cellStyle name="Normal 43 41_01-04-2012" xfId="10114" xr:uid="{00000000-0005-0000-0000-00003F6D0000}"/>
    <cellStyle name="Normal 43 42" xfId="10115" xr:uid="{00000000-0005-0000-0000-0000406D0000}"/>
    <cellStyle name="Normal 43 42 2" xfId="10116" xr:uid="{00000000-0005-0000-0000-0000416D0000}"/>
    <cellStyle name="Normal 43 42 2 2" xfId="39515" xr:uid="{00000000-0005-0000-0000-0000426D0000}"/>
    <cellStyle name="Normal 43 42 3" xfId="10117" xr:uid="{00000000-0005-0000-0000-0000436D0000}"/>
    <cellStyle name="Normal 43 42 3 2" xfId="39516" xr:uid="{00000000-0005-0000-0000-0000446D0000}"/>
    <cellStyle name="Normal 43 42 4" xfId="10118" xr:uid="{00000000-0005-0000-0000-0000456D0000}"/>
    <cellStyle name="Normal 43 42 4 2" xfId="39517" xr:uid="{00000000-0005-0000-0000-0000466D0000}"/>
    <cellStyle name="Normal 43 42 5" xfId="39518" xr:uid="{00000000-0005-0000-0000-0000476D0000}"/>
    <cellStyle name="Normal 43 42_01-04-2012" xfId="10119" xr:uid="{00000000-0005-0000-0000-0000486D0000}"/>
    <cellStyle name="Normal 43 43" xfId="10120" xr:uid="{00000000-0005-0000-0000-0000496D0000}"/>
    <cellStyle name="Normal 43 43 2" xfId="10121" xr:uid="{00000000-0005-0000-0000-00004A6D0000}"/>
    <cellStyle name="Normal 43 43 2 2" xfId="39519" xr:uid="{00000000-0005-0000-0000-00004B6D0000}"/>
    <cellStyle name="Normal 43 43 3" xfId="10122" xr:uid="{00000000-0005-0000-0000-00004C6D0000}"/>
    <cellStyle name="Normal 43 43 3 2" xfId="39520" xr:uid="{00000000-0005-0000-0000-00004D6D0000}"/>
    <cellStyle name="Normal 43 43 4" xfId="10123" xr:uid="{00000000-0005-0000-0000-00004E6D0000}"/>
    <cellStyle name="Normal 43 43 4 2" xfId="39521" xr:uid="{00000000-0005-0000-0000-00004F6D0000}"/>
    <cellStyle name="Normal 43 43 5" xfId="39522" xr:uid="{00000000-0005-0000-0000-0000506D0000}"/>
    <cellStyle name="Normal 43 43_01-04-2012" xfId="10124" xr:uid="{00000000-0005-0000-0000-0000516D0000}"/>
    <cellStyle name="Normal 43 44" xfId="10125" xr:uid="{00000000-0005-0000-0000-0000526D0000}"/>
    <cellStyle name="Normal 43 44 2" xfId="10126" xr:uid="{00000000-0005-0000-0000-0000536D0000}"/>
    <cellStyle name="Normal 43 44 2 2" xfId="39523" xr:uid="{00000000-0005-0000-0000-0000546D0000}"/>
    <cellStyle name="Normal 43 44 3" xfId="10127" xr:uid="{00000000-0005-0000-0000-0000556D0000}"/>
    <cellStyle name="Normal 43 44 3 2" xfId="39524" xr:uid="{00000000-0005-0000-0000-0000566D0000}"/>
    <cellStyle name="Normal 43 44 4" xfId="10128" xr:uid="{00000000-0005-0000-0000-0000576D0000}"/>
    <cellStyle name="Normal 43 44 4 2" xfId="39525" xr:uid="{00000000-0005-0000-0000-0000586D0000}"/>
    <cellStyle name="Normal 43 44 5" xfId="39526" xr:uid="{00000000-0005-0000-0000-0000596D0000}"/>
    <cellStyle name="Normal 43 44_01-04-2012" xfId="10129" xr:uid="{00000000-0005-0000-0000-00005A6D0000}"/>
    <cellStyle name="Normal 43 45" xfId="10130" xr:uid="{00000000-0005-0000-0000-00005B6D0000}"/>
    <cellStyle name="Normal 43 45 2" xfId="10131" xr:uid="{00000000-0005-0000-0000-00005C6D0000}"/>
    <cellStyle name="Normal 43 45 2 2" xfId="39527" xr:uid="{00000000-0005-0000-0000-00005D6D0000}"/>
    <cellStyle name="Normal 43 45 3" xfId="10132" xr:uid="{00000000-0005-0000-0000-00005E6D0000}"/>
    <cellStyle name="Normal 43 45 3 2" xfId="39528" xr:uid="{00000000-0005-0000-0000-00005F6D0000}"/>
    <cellStyle name="Normal 43 45 4" xfId="10133" xr:uid="{00000000-0005-0000-0000-0000606D0000}"/>
    <cellStyle name="Normal 43 45 4 2" xfId="39529" xr:uid="{00000000-0005-0000-0000-0000616D0000}"/>
    <cellStyle name="Normal 43 45 5" xfId="39530" xr:uid="{00000000-0005-0000-0000-0000626D0000}"/>
    <cellStyle name="Normal 43 45_01-04-2012" xfId="10134" xr:uid="{00000000-0005-0000-0000-0000636D0000}"/>
    <cellStyle name="Normal 43 46" xfId="10135" xr:uid="{00000000-0005-0000-0000-0000646D0000}"/>
    <cellStyle name="Normal 43 46 2" xfId="10136" xr:uid="{00000000-0005-0000-0000-0000656D0000}"/>
    <cellStyle name="Normal 43 46 2 2" xfId="39531" xr:uid="{00000000-0005-0000-0000-0000666D0000}"/>
    <cellStyle name="Normal 43 46 3" xfId="10137" xr:uid="{00000000-0005-0000-0000-0000676D0000}"/>
    <cellStyle name="Normal 43 46 3 2" xfId="39532" xr:uid="{00000000-0005-0000-0000-0000686D0000}"/>
    <cellStyle name="Normal 43 46 4" xfId="10138" xr:uid="{00000000-0005-0000-0000-0000696D0000}"/>
    <cellStyle name="Normal 43 46 4 2" xfId="39533" xr:uid="{00000000-0005-0000-0000-00006A6D0000}"/>
    <cellStyle name="Normal 43 46 5" xfId="39534" xr:uid="{00000000-0005-0000-0000-00006B6D0000}"/>
    <cellStyle name="Normal 43 46_01-04-2012" xfId="10139" xr:uid="{00000000-0005-0000-0000-00006C6D0000}"/>
    <cellStyle name="Normal 43 47" xfId="10140" xr:uid="{00000000-0005-0000-0000-00006D6D0000}"/>
    <cellStyle name="Normal 43 47 2" xfId="39535" xr:uid="{00000000-0005-0000-0000-00006E6D0000}"/>
    <cellStyle name="Normal 43 48" xfId="10141" xr:uid="{00000000-0005-0000-0000-00006F6D0000}"/>
    <cellStyle name="Normal 43 48 2" xfId="39536" xr:uid="{00000000-0005-0000-0000-0000706D0000}"/>
    <cellStyle name="Normal 43 49" xfId="10142" xr:uid="{00000000-0005-0000-0000-0000716D0000}"/>
    <cellStyle name="Normal 43 49 2" xfId="39537" xr:uid="{00000000-0005-0000-0000-0000726D0000}"/>
    <cellStyle name="Normal 43 5" xfId="10143" xr:uid="{00000000-0005-0000-0000-0000736D0000}"/>
    <cellStyle name="Normal 43 5 2" xfId="10144" xr:uid="{00000000-0005-0000-0000-0000746D0000}"/>
    <cellStyle name="Normal 43 5 2 2" xfId="39538" xr:uid="{00000000-0005-0000-0000-0000756D0000}"/>
    <cellStyle name="Normal 43 5 3" xfId="10145" xr:uid="{00000000-0005-0000-0000-0000766D0000}"/>
    <cellStyle name="Normal 43 5 3 2" xfId="39539" xr:uid="{00000000-0005-0000-0000-0000776D0000}"/>
    <cellStyle name="Normal 43 5 4" xfId="10146" xr:uid="{00000000-0005-0000-0000-0000786D0000}"/>
    <cellStyle name="Normal 43 5 4 2" xfId="39540" xr:uid="{00000000-0005-0000-0000-0000796D0000}"/>
    <cellStyle name="Normal 43 5 5" xfId="39541" xr:uid="{00000000-0005-0000-0000-00007A6D0000}"/>
    <cellStyle name="Normal 43 5_01-04-2012" xfId="10147" xr:uid="{00000000-0005-0000-0000-00007B6D0000}"/>
    <cellStyle name="Normal 43 50" xfId="20908" xr:uid="{00000000-0005-0000-0000-00007C6D0000}"/>
    <cellStyle name="Normal 43 50 2" xfId="39542" xr:uid="{00000000-0005-0000-0000-00007D6D0000}"/>
    <cellStyle name="Normal 43 51" xfId="20909" xr:uid="{00000000-0005-0000-0000-00007E6D0000}"/>
    <cellStyle name="Normal 43 52" xfId="20910" xr:uid="{00000000-0005-0000-0000-00007F6D0000}"/>
    <cellStyle name="Normal 43 53" xfId="20911" xr:uid="{00000000-0005-0000-0000-0000806D0000}"/>
    <cellStyle name="Normal 43 54" xfId="20912" xr:uid="{00000000-0005-0000-0000-0000816D0000}"/>
    <cellStyle name="Normal 43 55" xfId="20913" xr:uid="{00000000-0005-0000-0000-0000826D0000}"/>
    <cellStyle name="Normal 43 56" xfId="33739" xr:uid="{00000000-0005-0000-0000-0000836D0000}"/>
    <cellStyle name="Normal 43 6" xfId="10148" xr:uid="{00000000-0005-0000-0000-0000846D0000}"/>
    <cellStyle name="Normal 43 6 2" xfId="10149" xr:uid="{00000000-0005-0000-0000-0000856D0000}"/>
    <cellStyle name="Normal 43 6 2 2" xfId="39543" xr:uid="{00000000-0005-0000-0000-0000866D0000}"/>
    <cellStyle name="Normal 43 6 3" xfId="10150" xr:uid="{00000000-0005-0000-0000-0000876D0000}"/>
    <cellStyle name="Normal 43 6 3 2" xfId="39544" xr:uid="{00000000-0005-0000-0000-0000886D0000}"/>
    <cellStyle name="Normal 43 6 4" xfId="10151" xr:uid="{00000000-0005-0000-0000-0000896D0000}"/>
    <cellStyle name="Normal 43 6 4 2" xfId="39545" xr:uid="{00000000-0005-0000-0000-00008A6D0000}"/>
    <cellStyle name="Normal 43 6 5" xfId="39546" xr:uid="{00000000-0005-0000-0000-00008B6D0000}"/>
    <cellStyle name="Normal 43 6_01-04-2012" xfId="10152" xr:uid="{00000000-0005-0000-0000-00008C6D0000}"/>
    <cellStyle name="Normal 43 7" xfId="10153" xr:uid="{00000000-0005-0000-0000-00008D6D0000}"/>
    <cellStyle name="Normal 43 7 2" xfId="10154" xr:uid="{00000000-0005-0000-0000-00008E6D0000}"/>
    <cellStyle name="Normal 43 7 2 2" xfId="39547" xr:uid="{00000000-0005-0000-0000-00008F6D0000}"/>
    <cellStyle name="Normal 43 7 3" xfId="10155" xr:uid="{00000000-0005-0000-0000-0000906D0000}"/>
    <cellStyle name="Normal 43 7 3 2" xfId="39548" xr:uid="{00000000-0005-0000-0000-0000916D0000}"/>
    <cellStyle name="Normal 43 7 4" xfId="10156" xr:uid="{00000000-0005-0000-0000-0000926D0000}"/>
    <cellStyle name="Normal 43 7 4 2" xfId="39549" xr:uid="{00000000-0005-0000-0000-0000936D0000}"/>
    <cellStyle name="Normal 43 7 5" xfId="39550" xr:uid="{00000000-0005-0000-0000-0000946D0000}"/>
    <cellStyle name="Normal 43 7_01-04-2012" xfId="10157" xr:uid="{00000000-0005-0000-0000-0000956D0000}"/>
    <cellStyle name="Normal 43 8" xfId="10158" xr:uid="{00000000-0005-0000-0000-0000966D0000}"/>
    <cellStyle name="Normal 43 8 2" xfId="10159" xr:uid="{00000000-0005-0000-0000-0000976D0000}"/>
    <cellStyle name="Normal 43 8 2 2" xfId="39551" xr:uid="{00000000-0005-0000-0000-0000986D0000}"/>
    <cellStyle name="Normal 43 8 3" xfId="10160" xr:uid="{00000000-0005-0000-0000-0000996D0000}"/>
    <cellStyle name="Normal 43 8 3 2" xfId="39552" xr:uid="{00000000-0005-0000-0000-00009A6D0000}"/>
    <cellStyle name="Normal 43 8 4" xfId="10161" xr:uid="{00000000-0005-0000-0000-00009B6D0000}"/>
    <cellStyle name="Normal 43 8 4 2" xfId="39553" xr:uid="{00000000-0005-0000-0000-00009C6D0000}"/>
    <cellStyle name="Normal 43 8 5" xfId="39554" xr:uid="{00000000-0005-0000-0000-00009D6D0000}"/>
    <cellStyle name="Normal 43 8_01-04-2012" xfId="10162" xr:uid="{00000000-0005-0000-0000-00009E6D0000}"/>
    <cellStyle name="Normal 43 9" xfId="10163" xr:uid="{00000000-0005-0000-0000-00009F6D0000}"/>
    <cellStyle name="Normal 43 9 2" xfId="10164" xr:uid="{00000000-0005-0000-0000-0000A06D0000}"/>
    <cellStyle name="Normal 43 9 2 2" xfId="39555" xr:uid="{00000000-0005-0000-0000-0000A16D0000}"/>
    <cellStyle name="Normal 43 9 3" xfId="10165" xr:uid="{00000000-0005-0000-0000-0000A26D0000}"/>
    <cellStyle name="Normal 43 9 3 2" xfId="39556" xr:uid="{00000000-0005-0000-0000-0000A36D0000}"/>
    <cellStyle name="Normal 43 9 4" xfId="10166" xr:uid="{00000000-0005-0000-0000-0000A46D0000}"/>
    <cellStyle name="Normal 43 9 4 2" xfId="39557" xr:uid="{00000000-0005-0000-0000-0000A56D0000}"/>
    <cellStyle name="Normal 43 9 5" xfId="39558" xr:uid="{00000000-0005-0000-0000-0000A66D0000}"/>
    <cellStyle name="Normal 43 9_01-04-2012" xfId="10167" xr:uid="{00000000-0005-0000-0000-0000A76D0000}"/>
    <cellStyle name="Normal 43_01-04-2012" xfId="10168" xr:uid="{00000000-0005-0000-0000-0000A86D0000}"/>
    <cellStyle name="Normal 430" xfId="20914" xr:uid="{00000000-0005-0000-0000-0000A96D0000}"/>
    <cellStyle name="Normal 431" xfId="20915" xr:uid="{00000000-0005-0000-0000-0000AA6D0000}"/>
    <cellStyle name="Normal 432" xfId="20916" xr:uid="{00000000-0005-0000-0000-0000AB6D0000}"/>
    <cellStyle name="Normal 433" xfId="20917" xr:uid="{00000000-0005-0000-0000-0000AC6D0000}"/>
    <cellStyle name="Normal 434" xfId="20918" xr:uid="{00000000-0005-0000-0000-0000AD6D0000}"/>
    <cellStyle name="Normal 435" xfId="20919" xr:uid="{00000000-0005-0000-0000-0000AE6D0000}"/>
    <cellStyle name="Normal 436" xfId="20920" xr:uid="{00000000-0005-0000-0000-0000AF6D0000}"/>
    <cellStyle name="Normal 437" xfId="20921" xr:uid="{00000000-0005-0000-0000-0000B06D0000}"/>
    <cellStyle name="Normal 438" xfId="20922" xr:uid="{00000000-0005-0000-0000-0000B16D0000}"/>
    <cellStyle name="Normal 439" xfId="20923" xr:uid="{00000000-0005-0000-0000-0000B26D0000}"/>
    <cellStyle name="Normal 44" xfId="10169" xr:uid="{00000000-0005-0000-0000-0000B36D0000}"/>
    <cellStyle name="Normal 44 10" xfId="10170" xr:uid="{00000000-0005-0000-0000-0000B46D0000}"/>
    <cellStyle name="Normal 44 10 2" xfId="10171" xr:uid="{00000000-0005-0000-0000-0000B56D0000}"/>
    <cellStyle name="Normal 44 10 2 2" xfId="39559" xr:uid="{00000000-0005-0000-0000-0000B66D0000}"/>
    <cellStyle name="Normal 44 10 3" xfId="10172" xr:uid="{00000000-0005-0000-0000-0000B76D0000}"/>
    <cellStyle name="Normal 44 10 3 2" xfId="39560" xr:uid="{00000000-0005-0000-0000-0000B86D0000}"/>
    <cellStyle name="Normal 44 10 4" xfId="10173" xr:uid="{00000000-0005-0000-0000-0000B96D0000}"/>
    <cellStyle name="Normal 44 10 4 2" xfId="39561" xr:uid="{00000000-0005-0000-0000-0000BA6D0000}"/>
    <cellStyle name="Normal 44 10 5" xfId="39562" xr:uid="{00000000-0005-0000-0000-0000BB6D0000}"/>
    <cellStyle name="Normal 44 10_01-04-2012" xfId="10174" xr:uid="{00000000-0005-0000-0000-0000BC6D0000}"/>
    <cellStyle name="Normal 44 11" xfId="10175" xr:uid="{00000000-0005-0000-0000-0000BD6D0000}"/>
    <cellStyle name="Normal 44 11 2" xfId="10176" xr:uid="{00000000-0005-0000-0000-0000BE6D0000}"/>
    <cellStyle name="Normal 44 11 2 2" xfId="39563" xr:uid="{00000000-0005-0000-0000-0000BF6D0000}"/>
    <cellStyle name="Normal 44 11 3" xfId="10177" xr:uid="{00000000-0005-0000-0000-0000C06D0000}"/>
    <cellStyle name="Normal 44 11 3 2" xfId="39564" xr:uid="{00000000-0005-0000-0000-0000C16D0000}"/>
    <cellStyle name="Normal 44 11 4" xfId="10178" xr:uid="{00000000-0005-0000-0000-0000C26D0000}"/>
    <cellStyle name="Normal 44 11 4 2" xfId="39565" xr:uid="{00000000-0005-0000-0000-0000C36D0000}"/>
    <cellStyle name="Normal 44 11 5" xfId="39566" xr:uid="{00000000-0005-0000-0000-0000C46D0000}"/>
    <cellStyle name="Normal 44 11_01-04-2012" xfId="10179" xr:uid="{00000000-0005-0000-0000-0000C56D0000}"/>
    <cellStyle name="Normal 44 12" xfId="10180" xr:uid="{00000000-0005-0000-0000-0000C66D0000}"/>
    <cellStyle name="Normal 44 12 2" xfId="10181" xr:uid="{00000000-0005-0000-0000-0000C76D0000}"/>
    <cellStyle name="Normal 44 12 2 2" xfId="39567" xr:uid="{00000000-0005-0000-0000-0000C86D0000}"/>
    <cellStyle name="Normal 44 12 3" xfId="10182" xr:uid="{00000000-0005-0000-0000-0000C96D0000}"/>
    <cellStyle name="Normal 44 12 3 2" xfId="39568" xr:uid="{00000000-0005-0000-0000-0000CA6D0000}"/>
    <cellStyle name="Normal 44 12 4" xfId="10183" xr:uid="{00000000-0005-0000-0000-0000CB6D0000}"/>
    <cellStyle name="Normal 44 12 4 2" xfId="39569" xr:uid="{00000000-0005-0000-0000-0000CC6D0000}"/>
    <cellStyle name="Normal 44 12 5" xfId="39570" xr:uid="{00000000-0005-0000-0000-0000CD6D0000}"/>
    <cellStyle name="Normal 44 12_01-04-2012" xfId="10184" xr:uid="{00000000-0005-0000-0000-0000CE6D0000}"/>
    <cellStyle name="Normal 44 13" xfId="10185" xr:uid="{00000000-0005-0000-0000-0000CF6D0000}"/>
    <cellStyle name="Normal 44 13 2" xfId="10186" xr:uid="{00000000-0005-0000-0000-0000D06D0000}"/>
    <cellStyle name="Normal 44 13 2 2" xfId="39571" xr:uid="{00000000-0005-0000-0000-0000D16D0000}"/>
    <cellStyle name="Normal 44 13 3" xfId="10187" xr:uid="{00000000-0005-0000-0000-0000D26D0000}"/>
    <cellStyle name="Normal 44 13 3 2" xfId="39572" xr:uid="{00000000-0005-0000-0000-0000D36D0000}"/>
    <cellStyle name="Normal 44 13 4" xfId="10188" xr:uid="{00000000-0005-0000-0000-0000D46D0000}"/>
    <cellStyle name="Normal 44 13 4 2" xfId="39573" xr:uid="{00000000-0005-0000-0000-0000D56D0000}"/>
    <cellStyle name="Normal 44 13 5" xfId="39574" xr:uid="{00000000-0005-0000-0000-0000D66D0000}"/>
    <cellStyle name="Normal 44 13_01-04-2012" xfId="10189" xr:uid="{00000000-0005-0000-0000-0000D76D0000}"/>
    <cellStyle name="Normal 44 14" xfId="10190" xr:uid="{00000000-0005-0000-0000-0000D86D0000}"/>
    <cellStyle name="Normal 44 14 2" xfId="10191" xr:uid="{00000000-0005-0000-0000-0000D96D0000}"/>
    <cellStyle name="Normal 44 14 2 2" xfId="39575" xr:uid="{00000000-0005-0000-0000-0000DA6D0000}"/>
    <cellStyle name="Normal 44 14 3" xfId="10192" xr:uid="{00000000-0005-0000-0000-0000DB6D0000}"/>
    <cellStyle name="Normal 44 14 3 2" xfId="39576" xr:uid="{00000000-0005-0000-0000-0000DC6D0000}"/>
    <cellStyle name="Normal 44 14 4" xfId="10193" xr:uid="{00000000-0005-0000-0000-0000DD6D0000}"/>
    <cellStyle name="Normal 44 14 4 2" xfId="39577" xr:uid="{00000000-0005-0000-0000-0000DE6D0000}"/>
    <cellStyle name="Normal 44 14 5" xfId="39578" xr:uid="{00000000-0005-0000-0000-0000DF6D0000}"/>
    <cellStyle name="Normal 44 14_01-04-2012" xfId="10194" xr:uid="{00000000-0005-0000-0000-0000E06D0000}"/>
    <cellStyle name="Normal 44 15" xfId="10195" xr:uid="{00000000-0005-0000-0000-0000E16D0000}"/>
    <cellStyle name="Normal 44 15 2" xfId="10196" xr:uid="{00000000-0005-0000-0000-0000E26D0000}"/>
    <cellStyle name="Normal 44 15 2 2" xfId="39579" xr:uid="{00000000-0005-0000-0000-0000E36D0000}"/>
    <cellStyle name="Normal 44 15 3" xfId="10197" xr:uid="{00000000-0005-0000-0000-0000E46D0000}"/>
    <cellStyle name="Normal 44 15 3 2" xfId="39580" xr:uid="{00000000-0005-0000-0000-0000E56D0000}"/>
    <cellStyle name="Normal 44 15 4" xfId="10198" xr:uid="{00000000-0005-0000-0000-0000E66D0000}"/>
    <cellStyle name="Normal 44 15 4 2" xfId="39581" xr:uid="{00000000-0005-0000-0000-0000E76D0000}"/>
    <cellStyle name="Normal 44 15 5" xfId="39582" xr:uid="{00000000-0005-0000-0000-0000E86D0000}"/>
    <cellStyle name="Normal 44 15_01-04-2012" xfId="10199" xr:uid="{00000000-0005-0000-0000-0000E96D0000}"/>
    <cellStyle name="Normal 44 16" xfId="10200" xr:uid="{00000000-0005-0000-0000-0000EA6D0000}"/>
    <cellStyle name="Normal 44 16 2" xfId="10201" xr:uid="{00000000-0005-0000-0000-0000EB6D0000}"/>
    <cellStyle name="Normal 44 16 2 2" xfId="39583" xr:uid="{00000000-0005-0000-0000-0000EC6D0000}"/>
    <cellStyle name="Normal 44 16 3" xfId="10202" xr:uid="{00000000-0005-0000-0000-0000ED6D0000}"/>
    <cellStyle name="Normal 44 16 3 2" xfId="39584" xr:uid="{00000000-0005-0000-0000-0000EE6D0000}"/>
    <cellStyle name="Normal 44 16 4" xfId="10203" xr:uid="{00000000-0005-0000-0000-0000EF6D0000}"/>
    <cellStyle name="Normal 44 16 4 2" xfId="39585" xr:uid="{00000000-0005-0000-0000-0000F06D0000}"/>
    <cellStyle name="Normal 44 16 5" xfId="39586" xr:uid="{00000000-0005-0000-0000-0000F16D0000}"/>
    <cellStyle name="Normal 44 16_01-04-2012" xfId="10204" xr:uid="{00000000-0005-0000-0000-0000F26D0000}"/>
    <cellStyle name="Normal 44 17" xfId="10205" xr:uid="{00000000-0005-0000-0000-0000F36D0000}"/>
    <cellStyle name="Normal 44 17 2" xfId="10206" xr:uid="{00000000-0005-0000-0000-0000F46D0000}"/>
    <cellStyle name="Normal 44 17 2 2" xfId="39587" xr:uid="{00000000-0005-0000-0000-0000F56D0000}"/>
    <cellStyle name="Normal 44 17 3" xfId="10207" xr:uid="{00000000-0005-0000-0000-0000F66D0000}"/>
    <cellStyle name="Normal 44 17 3 2" xfId="39588" xr:uid="{00000000-0005-0000-0000-0000F76D0000}"/>
    <cellStyle name="Normal 44 17 4" xfId="10208" xr:uid="{00000000-0005-0000-0000-0000F86D0000}"/>
    <cellStyle name="Normal 44 17 4 2" xfId="39589" xr:uid="{00000000-0005-0000-0000-0000F96D0000}"/>
    <cellStyle name="Normal 44 17 5" xfId="39590" xr:uid="{00000000-0005-0000-0000-0000FA6D0000}"/>
    <cellStyle name="Normal 44 17_01-04-2012" xfId="10209" xr:uid="{00000000-0005-0000-0000-0000FB6D0000}"/>
    <cellStyle name="Normal 44 18" xfId="10210" xr:uid="{00000000-0005-0000-0000-0000FC6D0000}"/>
    <cellStyle name="Normal 44 18 2" xfId="10211" xr:uid="{00000000-0005-0000-0000-0000FD6D0000}"/>
    <cellStyle name="Normal 44 18 2 2" xfId="39591" xr:uid="{00000000-0005-0000-0000-0000FE6D0000}"/>
    <cellStyle name="Normal 44 18 3" xfId="10212" xr:uid="{00000000-0005-0000-0000-0000FF6D0000}"/>
    <cellStyle name="Normal 44 18 3 2" xfId="39592" xr:uid="{00000000-0005-0000-0000-0000006E0000}"/>
    <cellStyle name="Normal 44 18 4" xfId="10213" xr:uid="{00000000-0005-0000-0000-0000016E0000}"/>
    <cellStyle name="Normal 44 18 4 2" xfId="39593" xr:uid="{00000000-0005-0000-0000-0000026E0000}"/>
    <cellStyle name="Normal 44 18 5" xfId="39594" xr:uid="{00000000-0005-0000-0000-0000036E0000}"/>
    <cellStyle name="Normal 44 18_01-04-2012" xfId="10214" xr:uid="{00000000-0005-0000-0000-0000046E0000}"/>
    <cellStyle name="Normal 44 19" xfId="10215" xr:uid="{00000000-0005-0000-0000-0000056E0000}"/>
    <cellStyle name="Normal 44 19 2" xfId="10216" xr:uid="{00000000-0005-0000-0000-0000066E0000}"/>
    <cellStyle name="Normal 44 19 2 2" xfId="39595" xr:uid="{00000000-0005-0000-0000-0000076E0000}"/>
    <cellStyle name="Normal 44 19 3" xfId="10217" xr:uid="{00000000-0005-0000-0000-0000086E0000}"/>
    <cellStyle name="Normal 44 19 3 2" xfId="39596" xr:uid="{00000000-0005-0000-0000-0000096E0000}"/>
    <cellStyle name="Normal 44 19 4" xfId="10218" xr:uid="{00000000-0005-0000-0000-00000A6E0000}"/>
    <cellStyle name="Normal 44 19 4 2" xfId="39597" xr:uid="{00000000-0005-0000-0000-00000B6E0000}"/>
    <cellStyle name="Normal 44 19 5" xfId="39598" xr:uid="{00000000-0005-0000-0000-00000C6E0000}"/>
    <cellStyle name="Normal 44 19_01-04-2012" xfId="10219" xr:uid="{00000000-0005-0000-0000-00000D6E0000}"/>
    <cellStyle name="Normal 44 2" xfId="10220" xr:uid="{00000000-0005-0000-0000-00000E6E0000}"/>
    <cellStyle name="Normal 44 2 2" xfId="10221" xr:uid="{00000000-0005-0000-0000-00000F6E0000}"/>
    <cellStyle name="Normal 44 2 2 2" xfId="39599" xr:uid="{00000000-0005-0000-0000-0000106E0000}"/>
    <cellStyle name="Normal 44 2 3" xfId="10222" xr:uid="{00000000-0005-0000-0000-0000116E0000}"/>
    <cellStyle name="Normal 44 2 3 2" xfId="39600" xr:uid="{00000000-0005-0000-0000-0000126E0000}"/>
    <cellStyle name="Normal 44 2 4" xfId="10223" xr:uid="{00000000-0005-0000-0000-0000136E0000}"/>
    <cellStyle name="Normal 44 2 4 2" xfId="39601" xr:uid="{00000000-0005-0000-0000-0000146E0000}"/>
    <cellStyle name="Normal 44 2 5" xfId="20924" xr:uid="{00000000-0005-0000-0000-0000156E0000}"/>
    <cellStyle name="Normal 44 2 5 2" xfId="39602" xr:uid="{00000000-0005-0000-0000-0000166E0000}"/>
    <cellStyle name="Normal 44 2_01-04-2012" xfId="10224" xr:uid="{00000000-0005-0000-0000-0000176E0000}"/>
    <cellStyle name="Normal 44 20" xfId="10225" xr:uid="{00000000-0005-0000-0000-0000186E0000}"/>
    <cellStyle name="Normal 44 20 2" xfId="10226" xr:uid="{00000000-0005-0000-0000-0000196E0000}"/>
    <cellStyle name="Normal 44 20 2 2" xfId="39603" xr:uid="{00000000-0005-0000-0000-00001A6E0000}"/>
    <cellStyle name="Normal 44 20 3" xfId="10227" xr:uid="{00000000-0005-0000-0000-00001B6E0000}"/>
    <cellStyle name="Normal 44 20 3 2" xfId="39604" xr:uid="{00000000-0005-0000-0000-00001C6E0000}"/>
    <cellStyle name="Normal 44 20 4" xfId="10228" xr:uid="{00000000-0005-0000-0000-00001D6E0000}"/>
    <cellStyle name="Normal 44 20 4 2" xfId="39605" xr:uid="{00000000-0005-0000-0000-00001E6E0000}"/>
    <cellStyle name="Normal 44 20 5" xfId="39606" xr:uid="{00000000-0005-0000-0000-00001F6E0000}"/>
    <cellStyle name="Normal 44 20_01-04-2012" xfId="10229" xr:uid="{00000000-0005-0000-0000-0000206E0000}"/>
    <cellStyle name="Normal 44 21" xfId="10230" xr:uid="{00000000-0005-0000-0000-0000216E0000}"/>
    <cellStyle name="Normal 44 21 2" xfId="10231" xr:uid="{00000000-0005-0000-0000-0000226E0000}"/>
    <cellStyle name="Normal 44 21 2 2" xfId="39607" xr:uid="{00000000-0005-0000-0000-0000236E0000}"/>
    <cellStyle name="Normal 44 21 3" xfId="10232" xr:uid="{00000000-0005-0000-0000-0000246E0000}"/>
    <cellStyle name="Normal 44 21 3 2" xfId="39608" xr:uid="{00000000-0005-0000-0000-0000256E0000}"/>
    <cellStyle name="Normal 44 21 4" xfId="10233" xr:uid="{00000000-0005-0000-0000-0000266E0000}"/>
    <cellStyle name="Normal 44 21 4 2" xfId="39609" xr:uid="{00000000-0005-0000-0000-0000276E0000}"/>
    <cellStyle name="Normal 44 21 5" xfId="39610" xr:uid="{00000000-0005-0000-0000-0000286E0000}"/>
    <cellStyle name="Normal 44 21_01-04-2012" xfId="10234" xr:uid="{00000000-0005-0000-0000-0000296E0000}"/>
    <cellStyle name="Normal 44 22" xfId="10235" xr:uid="{00000000-0005-0000-0000-00002A6E0000}"/>
    <cellStyle name="Normal 44 22 2" xfId="10236" xr:uid="{00000000-0005-0000-0000-00002B6E0000}"/>
    <cellStyle name="Normal 44 22 2 2" xfId="39611" xr:uid="{00000000-0005-0000-0000-00002C6E0000}"/>
    <cellStyle name="Normal 44 22 3" xfId="10237" xr:uid="{00000000-0005-0000-0000-00002D6E0000}"/>
    <cellStyle name="Normal 44 22 3 2" xfId="39612" xr:uid="{00000000-0005-0000-0000-00002E6E0000}"/>
    <cellStyle name="Normal 44 22 4" xfId="10238" xr:uid="{00000000-0005-0000-0000-00002F6E0000}"/>
    <cellStyle name="Normal 44 22 4 2" xfId="39613" xr:uid="{00000000-0005-0000-0000-0000306E0000}"/>
    <cellStyle name="Normal 44 22 5" xfId="39614" xr:uid="{00000000-0005-0000-0000-0000316E0000}"/>
    <cellStyle name="Normal 44 22_01-04-2012" xfId="10239" xr:uid="{00000000-0005-0000-0000-0000326E0000}"/>
    <cellStyle name="Normal 44 23" xfId="10240" xr:uid="{00000000-0005-0000-0000-0000336E0000}"/>
    <cellStyle name="Normal 44 23 2" xfId="10241" xr:uid="{00000000-0005-0000-0000-0000346E0000}"/>
    <cellStyle name="Normal 44 23 2 2" xfId="39615" xr:uid="{00000000-0005-0000-0000-0000356E0000}"/>
    <cellStyle name="Normal 44 23 3" xfId="10242" xr:uid="{00000000-0005-0000-0000-0000366E0000}"/>
    <cellStyle name="Normal 44 23 3 2" xfId="39616" xr:uid="{00000000-0005-0000-0000-0000376E0000}"/>
    <cellStyle name="Normal 44 23 4" xfId="10243" xr:uid="{00000000-0005-0000-0000-0000386E0000}"/>
    <cellStyle name="Normal 44 23 4 2" xfId="39617" xr:uid="{00000000-0005-0000-0000-0000396E0000}"/>
    <cellStyle name="Normal 44 23 5" xfId="39618" xr:uid="{00000000-0005-0000-0000-00003A6E0000}"/>
    <cellStyle name="Normal 44 23_01-04-2012" xfId="10244" xr:uid="{00000000-0005-0000-0000-00003B6E0000}"/>
    <cellStyle name="Normal 44 24" xfId="10245" xr:uid="{00000000-0005-0000-0000-00003C6E0000}"/>
    <cellStyle name="Normal 44 24 2" xfId="10246" xr:uid="{00000000-0005-0000-0000-00003D6E0000}"/>
    <cellStyle name="Normal 44 24 2 2" xfId="39619" xr:uid="{00000000-0005-0000-0000-00003E6E0000}"/>
    <cellStyle name="Normal 44 24 3" xfId="10247" xr:uid="{00000000-0005-0000-0000-00003F6E0000}"/>
    <cellStyle name="Normal 44 24 3 2" xfId="39620" xr:uid="{00000000-0005-0000-0000-0000406E0000}"/>
    <cellStyle name="Normal 44 24 4" xfId="10248" xr:uid="{00000000-0005-0000-0000-0000416E0000}"/>
    <cellStyle name="Normal 44 24 4 2" xfId="39621" xr:uid="{00000000-0005-0000-0000-0000426E0000}"/>
    <cellStyle name="Normal 44 24 5" xfId="39622" xr:uid="{00000000-0005-0000-0000-0000436E0000}"/>
    <cellStyle name="Normal 44 24_01-04-2012" xfId="10249" xr:uid="{00000000-0005-0000-0000-0000446E0000}"/>
    <cellStyle name="Normal 44 25" xfId="10250" xr:uid="{00000000-0005-0000-0000-0000456E0000}"/>
    <cellStyle name="Normal 44 25 2" xfId="10251" xr:uid="{00000000-0005-0000-0000-0000466E0000}"/>
    <cellStyle name="Normal 44 25 2 2" xfId="39623" xr:uid="{00000000-0005-0000-0000-0000476E0000}"/>
    <cellStyle name="Normal 44 25 3" xfId="10252" xr:uid="{00000000-0005-0000-0000-0000486E0000}"/>
    <cellStyle name="Normal 44 25 3 2" xfId="39624" xr:uid="{00000000-0005-0000-0000-0000496E0000}"/>
    <cellStyle name="Normal 44 25 4" xfId="10253" xr:uid="{00000000-0005-0000-0000-00004A6E0000}"/>
    <cellStyle name="Normal 44 25 4 2" xfId="39625" xr:uid="{00000000-0005-0000-0000-00004B6E0000}"/>
    <cellStyle name="Normal 44 25 5" xfId="39626" xr:uid="{00000000-0005-0000-0000-00004C6E0000}"/>
    <cellStyle name="Normal 44 25_01-04-2012" xfId="10254" xr:uid="{00000000-0005-0000-0000-00004D6E0000}"/>
    <cellStyle name="Normal 44 26" xfId="10255" xr:uid="{00000000-0005-0000-0000-00004E6E0000}"/>
    <cellStyle name="Normal 44 26 2" xfId="10256" xr:uid="{00000000-0005-0000-0000-00004F6E0000}"/>
    <cellStyle name="Normal 44 26 2 2" xfId="39627" xr:uid="{00000000-0005-0000-0000-0000506E0000}"/>
    <cellStyle name="Normal 44 26 3" xfId="10257" xr:uid="{00000000-0005-0000-0000-0000516E0000}"/>
    <cellStyle name="Normal 44 26 3 2" xfId="39628" xr:uid="{00000000-0005-0000-0000-0000526E0000}"/>
    <cellStyle name="Normal 44 26 4" xfId="10258" xr:uid="{00000000-0005-0000-0000-0000536E0000}"/>
    <cellStyle name="Normal 44 26 4 2" xfId="39629" xr:uid="{00000000-0005-0000-0000-0000546E0000}"/>
    <cellStyle name="Normal 44 26 5" xfId="39630" xr:uid="{00000000-0005-0000-0000-0000556E0000}"/>
    <cellStyle name="Normal 44 26_01-04-2012" xfId="10259" xr:uid="{00000000-0005-0000-0000-0000566E0000}"/>
    <cellStyle name="Normal 44 27" xfId="10260" xr:uid="{00000000-0005-0000-0000-0000576E0000}"/>
    <cellStyle name="Normal 44 27 2" xfId="10261" xr:uid="{00000000-0005-0000-0000-0000586E0000}"/>
    <cellStyle name="Normal 44 27 2 2" xfId="39631" xr:uid="{00000000-0005-0000-0000-0000596E0000}"/>
    <cellStyle name="Normal 44 27 3" xfId="10262" xr:uid="{00000000-0005-0000-0000-00005A6E0000}"/>
    <cellStyle name="Normal 44 27 3 2" xfId="39632" xr:uid="{00000000-0005-0000-0000-00005B6E0000}"/>
    <cellStyle name="Normal 44 27 4" xfId="10263" xr:uid="{00000000-0005-0000-0000-00005C6E0000}"/>
    <cellStyle name="Normal 44 27 4 2" xfId="39633" xr:uid="{00000000-0005-0000-0000-00005D6E0000}"/>
    <cellStyle name="Normal 44 27 5" xfId="39634" xr:uid="{00000000-0005-0000-0000-00005E6E0000}"/>
    <cellStyle name="Normal 44 27_01-04-2012" xfId="10264" xr:uid="{00000000-0005-0000-0000-00005F6E0000}"/>
    <cellStyle name="Normal 44 28" xfId="10265" xr:uid="{00000000-0005-0000-0000-0000606E0000}"/>
    <cellStyle name="Normal 44 28 2" xfId="10266" xr:uid="{00000000-0005-0000-0000-0000616E0000}"/>
    <cellStyle name="Normal 44 28 2 2" xfId="39635" xr:uid="{00000000-0005-0000-0000-0000626E0000}"/>
    <cellStyle name="Normal 44 28 3" xfId="10267" xr:uid="{00000000-0005-0000-0000-0000636E0000}"/>
    <cellStyle name="Normal 44 28 3 2" xfId="39636" xr:uid="{00000000-0005-0000-0000-0000646E0000}"/>
    <cellStyle name="Normal 44 28 4" xfId="10268" xr:uid="{00000000-0005-0000-0000-0000656E0000}"/>
    <cellStyle name="Normal 44 28 4 2" xfId="39637" xr:uid="{00000000-0005-0000-0000-0000666E0000}"/>
    <cellStyle name="Normal 44 28 5" xfId="39638" xr:uid="{00000000-0005-0000-0000-0000676E0000}"/>
    <cellStyle name="Normal 44 28_01-04-2012" xfId="10269" xr:uid="{00000000-0005-0000-0000-0000686E0000}"/>
    <cellStyle name="Normal 44 29" xfId="10270" xr:uid="{00000000-0005-0000-0000-0000696E0000}"/>
    <cellStyle name="Normal 44 29 2" xfId="10271" xr:uid="{00000000-0005-0000-0000-00006A6E0000}"/>
    <cellStyle name="Normal 44 29 2 2" xfId="39639" xr:uid="{00000000-0005-0000-0000-00006B6E0000}"/>
    <cellStyle name="Normal 44 29 3" xfId="10272" xr:uid="{00000000-0005-0000-0000-00006C6E0000}"/>
    <cellStyle name="Normal 44 29 3 2" xfId="39640" xr:uid="{00000000-0005-0000-0000-00006D6E0000}"/>
    <cellStyle name="Normal 44 29 4" xfId="10273" xr:uid="{00000000-0005-0000-0000-00006E6E0000}"/>
    <cellStyle name="Normal 44 29 4 2" xfId="39641" xr:uid="{00000000-0005-0000-0000-00006F6E0000}"/>
    <cellStyle name="Normal 44 29 5" xfId="39642" xr:uid="{00000000-0005-0000-0000-0000706E0000}"/>
    <cellStyle name="Normal 44 29_01-04-2012" xfId="10274" xr:uid="{00000000-0005-0000-0000-0000716E0000}"/>
    <cellStyle name="Normal 44 3" xfId="10275" xr:uid="{00000000-0005-0000-0000-0000726E0000}"/>
    <cellStyle name="Normal 44 3 2" xfId="10276" xr:uid="{00000000-0005-0000-0000-0000736E0000}"/>
    <cellStyle name="Normal 44 3 2 2" xfId="39643" xr:uid="{00000000-0005-0000-0000-0000746E0000}"/>
    <cellStyle name="Normal 44 3 3" xfId="10277" xr:uid="{00000000-0005-0000-0000-0000756E0000}"/>
    <cellStyle name="Normal 44 3 3 2" xfId="39644" xr:uid="{00000000-0005-0000-0000-0000766E0000}"/>
    <cellStyle name="Normal 44 3 4" xfId="10278" xr:uid="{00000000-0005-0000-0000-0000776E0000}"/>
    <cellStyle name="Normal 44 3 4 2" xfId="39645" xr:uid="{00000000-0005-0000-0000-0000786E0000}"/>
    <cellStyle name="Normal 44 3 5" xfId="39646" xr:uid="{00000000-0005-0000-0000-0000796E0000}"/>
    <cellStyle name="Normal 44 3_01-04-2012" xfId="10279" xr:uid="{00000000-0005-0000-0000-00007A6E0000}"/>
    <cellStyle name="Normal 44 30" xfId="10280" xr:uid="{00000000-0005-0000-0000-00007B6E0000}"/>
    <cellStyle name="Normal 44 30 2" xfId="10281" xr:uid="{00000000-0005-0000-0000-00007C6E0000}"/>
    <cellStyle name="Normal 44 30 2 2" xfId="39647" xr:uid="{00000000-0005-0000-0000-00007D6E0000}"/>
    <cellStyle name="Normal 44 30 3" xfId="10282" xr:uid="{00000000-0005-0000-0000-00007E6E0000}"/>
    <cellStyle name="Normal 44 30 3 2" xfId="39648" xr:uid="{00000000-0005-0000-0000-00007F6E0000}"/>
    <cellStyle name="Normal 44 30 4" xfId="10283" xr:uid="{00000000-0005-0000-0000-0000806E0000}"/>
    <cellStyle name="Normal 44 30 4 2" xfId="39649" xr:uid="{00000000-0005-0000-0000-0000816E0000}"/>
    <cellStyle name="Normal 44 30 5" xfId="39650" xr:uid="{00000000-0005-0000-0000-0000826E0000}"/>
    <cellStyle name="Normal 44 30_01-04-2012" xfId="10284" xr:uid="{00000000-0005-0000-0000-0000836E0000}"/>
    <cellStyle name="Normal 44 31" xfId="10285" xr:uid="{00000000-0005-0000-0000-0000846E0000}"/>
    <cellStyle name="Normal 44 31 2" xfId="10286" xr:uid="{00000000-0005-0000-0000-0000856E0000}"/>
    <cellStyle name="Normal 44 31 2 2" xfId="39651" xr:uid="{00000000-0005-0000-0000-0000866E0000}"/>
    <cellStyle name="Normal 44 31 3" xfId="10287" xr:uid="{00000000-0005-0000-0000-0000876E0000}"/>
    <cellStyle name="Normal 44 31 3 2" xfId="39652" xr:uid="{00000000-0005-0000-0000-0000886E0000}"/>
    <cellStyle name="Normal 44 31 4" xfId="10288" xr:uid="{00000000-0005-0000-0000-0000896E0000}"/>
    <cellStyle name="Normal 44 31 4 2" xfId="39653" xr:uid="{00000000-0005-0000-0000-00008A6E0000}"/>
    <cellStyle name="Normal 44 31 5" xfId="39654" xr:uid="{00000000-0005-0000-0000-00008B6E0000}"/>
    <cellStyle name="Normal 44 31_01-04-2012" xfId="10289" xr:uid="{00000000-0005-0000-0000-00008C6E0000}"/>
    <cellStyle name="Normal 44 32" xfId="10290" xr:uid="{00000000-0005-0000-0000-00008D6E0000}"/>
    <cellStyle name="Normal 44 32 2" xfId="10291" xr:uid="{00000000-0005-0000-0000-00008E6E0000}"/>
    <cellStyle name="Normal 44 32 2 2" xfId="39655" xr:uid="{00000000-0005-0000-0000-00008F6E0000}"/>
    <cellStyle name="Normal 44 32 3" xfId="10292" xr:uid="{00000000-0005-0000-0000-0000906E0000}"/>
    <cellStyle name="Normal 44 32 3 2" xfId="39656" xr:uid="{00000000-0005-0000-0000-0000916E0000}"/>
    <cellStyle name="Normal 44 32 4" xfId="10293" xr:uid="{00000000-0005-0000-0000-0000926E0000}"/>
    <cellStyle name="Normal 44 32 4 2" xfId="39657" xr:uid="{00000000-0005-0000-0000-0000936E0000}"/>
    <cellStyle name="Normal 44 32 5" xfId="39658" xr:uid="{00000000-0005-0000-0000-0000946E0000}"/>
    <cellStyle name="Normal 44 32_01-04-2012" xfId="10294" xr:uid="{00000000-0005-0000-0000-0000956E0000}"/>
    <cellStyle name="Normal 44 33" xfId="10295" xr:uid="{00000000-0005-0000-0000-0000966E0000}"/>
    <cellStyle name="Normal 44 33 2" xfId="10296" xr:uid="{00000000-0005-0000-0000-0000976E0000}"/>
    <cellStyle name="Normal 44 33 2 2" xfId="39659" xr:uid="{00000000-0005-0000-0000-0000986E0000}"/>
    <cellStyle name="Normal 44 33 3" xfId="10297" xr:uid="{00000000-0005-0000-0000-0000996E0000}"/>
    <cellStyle name="Normal 44 33 3 2" xfId="39660" xr:uid="{00000000-0005-0000-0000-00009A6E0000}"/>
    <cellStyle name="Normal 44 33 4" xfId="10298" xr:uid="{00000000-0005-0000-0000-00009B6E0000}"/>
    <cellStyle name="Normal 44 33 4 2" xfId="39661" xr:uid="{00000000-0005-0000-0000-00009C6E0000}"/>
    <cellStyle name="Normal 44 33 5" xfId="39662" xr:uid="{00000000-0005-0000-0000-00009D6E0000}"/>
    <cellStyle name="Normal 44 33_01-04-2012" xfId="10299" xr:uid="{00000000-0005-0000-0000-00009E6E0000}"/>
    <cellStyle name="Normal 44 34" xfId="10300" xr:uid="{00000000-0005-0000-0000-00009F6E0000}"/>
    <cellStyle name="Normal 44 34 2" xfId="10301" xr:uid="{00000000-0005-0000-0000-0000A06E0000}"/>
    <cellStyle name="Normal 44 34 2 2" xfId="39663" xr:uid="{00000000-0005-0000-0000-0000A16E0000}"/>
    <cellStyle name="Normal 44 34 3" xfId="10302" xr:uid="{00000000-0005-0000-0000-0000A26E0000}"/>
    <cellStyle name="Normal 44 34 3 2" xfId="39664" xr:uid="{00000000-0005-0000-0000-0000A36E0000}"/>
    <cellStyle name="Normal 44 34 4" xfId="10303" xr:uid="{00000000-0005-0000-0000-0000A46E0000}"/>
    <cellStyle name="Normal 44 34 4 2" xfId="39665" xr:uid="{00000000-0005-0000-0000-0000A56E0000}"/>
    <cellStyle name="Normal 44 34 5" xfId="39666" xr:uid="{00000000-0005-0000-0000-0000A66E0000}"/>
    <cellStyle name="Normal 44 34_01-04-2012" xfId="10304" xr:uid="{00000000-0005-0000-0000-0000A76E0000}"/>
    <cellStyle name="Normal 44 35" xfId="10305" xr:uid="{00000000-0005-0000-0000-0000A86E0000}"/>
    <cellStyle name="Normal 44 35 2" xfId="10306" xr:uid="{00000000-0005-0000-0000-0000A96E0000}"/>
    <cellStyle name="Normal 44 35 2 2" xfId="39667" xr:uid="{00000000-0005-0000-0000-0000AA6E0000}"/>
    <cellStyle name="Normal 44 35 3" xfId="10307" xr:uid="{00000000-0005-0000-0000-0000AB6E0000}"/>
    <cellStyle name="Normal 44 35 3 2" xfId="39668" xr:uid="{00000000-0005-0000-0000-0000AC6E0000}"/>
    <cellStyle name="Normal 44 35 4" xfId="10308" xr:uid="{00000000-0005-0000-0000-0000AD6E0000}"/>
    <cellStyle name="Normal 44 35 4 2" xfId="39669" xr:uid="{00000000-0005-0000-0000-0000AE6E0000}"/>
    <cellStyle name="Normal 44 35 5" xfId="39670" xr:uid="{00000000-0005-0000-0000-0000AF6E0000}"/>
    <cellStyle name="Normal 44 35_01-04-2012" xfId="10309" xr:uid="{00000000-0005-0000-0000-0000B06E0000}"/>
    <cellStyle name="Normal 44 36" xfId="10310" xr:uid="{00000000-0005-0000-0000-0000B16E0000}"/>
    <cellStyle name="Normal 44 36 2" xfId="10311" xr:uid="{00000000-0005-0000-0000-0000B26E0000}"/>
    <cellStyle name="Normal 44 36 2 2" xfId="39671" xr:uid="{00000000-0005-0000-0000-0000B36E0000}"/>
    <cellStyle name="Normal 44 36 3" xfId="10312" xr:uid="{00000000-0005-0000-0000-0000B46E0000}"/>
    <cellStyle name="Normal 44 36 3 2" xfId="39672" xr:uid="{00000000-0005-0000-0000-0000B56E0000}"/>
    <cellStyle name="Normal 44 36 4" xfId="10313" xr:uid="{00000000-0005-0000-0000-0000B66E0000}"/>
    <cellStyle name="Normal 44 36 4 2" xfId="39673" xr:uid="{00000000-0005-0000-0000-0000B76E0000}"/>
    <cellStyle name="Normal 44 36 5" xfId="39674" xr:uid="{00000000-0005-0000-0000-0000B86E0000}"/>
    <cellStyle name="Normal 44 36_01-04-2012" xfId="10314" xr:uid="{00000000-0005-0000-0000-0000B96E0000}"/>
    <cellStyle name="Normal 44 37" xfId="10315" xr:uid="{00000000-0005-0000-0000-0000BA6E0000}"/>
    <cellStyle name="Normal 44 37 2" xfId="10316" xr:uid="{00000000-0005-0000-0000-0000BB6E0000}"/>
    <cellStyle name="Normal 44 37 2 2" xfId="39675" xr:uid="{00000000-0005-0000-0000-0000BC6E0000}"/>
    <cellStyle name="Normal 44 37 3" xfId="10317" xr:uid="{00000000-0005-0000-0000-0000BD6E0000}"/>
    <cellStyle name="Normal 44 37 3 2" xfId="39676" xr:uid="{00000000-0005-0000-0000-0000BE6E0000}"/>
    <cellStyle name="Normal 44 37 4" xfId="10318" xr:uid="{00000000-0005-0000-0000-0000BF6E0000}"/>
    <cellStyle name="Normal 44 37 4 2" xfId="39677" xr:uid="{00000000-0005-0000-0000-0000C06E0000}"/>
    <cellStyle name="Normal 44 37 5" xfId="39678" xr:uid="{00000000-0005-0000-0000-0000C16E0000}"/>
    <cellStyle name="Normal 44 37_01-04-2012" xfId="10319" xr:uid="{00000000-0005-0000-0000-0000C26E0000}"/>
    <cellStyle name="Normal 44 38" xfId="10320" xr:uid="{00000000-0005-0000-0000-0000C36E0000}"/>
    <cellStyle name="Normal 44 38 2" xfId="10321" xr:uid="{00000000-0005-0000-0000-0000C46E0000}"/>
    <cellStyle name="Normal 44 38 2 2" xfId="39679" xr:uid="{00000000-0005-0000-0000-0000C56E0000}"/>
    <cellStyle name="Normal 44 38 3" xfId="10322" xr:uid="{00000000-0005-0000-0000-0000C66E0000}"/>
    <cellStyle name="Normal 44 38 3 2" xfId="39680" xr:uid="{00000000-0005-0000-0000-0000C76E0000}"/>
    <cellStyle name="Normal 44 38 4" xfId="10323" xr:uid="{00000000-0005-0000-0000-0000C86E0000}"/>
    <cellStyle name="Normal 44 38 4 2" xfId="39681" xr:uid="{00000000-0005-0000-0000-0000C96E0000}"/>
    <cellStyle name="Normal 44 38 5" xfId="39682" xr:uid="{00000000-0005-0000-0000-0000CA6E0000}"/>
    <cellStyle name="Normal 44 38_01-04-2012" xfId="10324" xr:uid="{00000000-0005-0000-0000-0000CB6E0000}"/>
    <cellStyle name="Normal 44 39" xfId="10325" xr:uid="{00000000-0005-0000-0000-0000CC6E0000}"/>
    <cellStyle name="Normal 44 39 2" xfId="10326" xr:uid="{00000000-0005-0000-0000-0000CD6E0000}"/>
    <cellStyle name="Normal 44 39 2 2" xfId="39683" xr:uid="{00000000-0005-0000-0000-0000CE6E0000}"/>
    <cellStyle name="Normal 44 39 3" xfId="10327" xr:uid="{00000000-0005-0000-0000-0000CF6E0000}"/>
    <cellStyle name="Normal 44 39 3 2" xfId="39684" xr:uid="{00000000-0005-0000-0000-0000D06E0000}"/>
    <cellStyle name="Normal 44 39 4" xfId="10328" xr:uid="{00000000-0005-0000-0000-0000D16E0000}"/>
    <cellStyle name="Normal 44 39 4 2" xfId="39685" xr:uid="{00000000-0005-0000-0000-0000D26E0000}"/>
    <cellStyle name="Normal 44 39 5" xfId="39686" xr:uid="{00000000-0005-0000-0000-0000D36E0000}"/>
    <cellStyle name="Normal 44 39_01-04-2012" xfId="10329" xr:uid="{00000000-0005-0000-0000-0000D46E0000}"/>
    <cellStyle name="Normal 44 4" xfId="10330" xr:uid="{00000000-0005-0000-0000-0000D56E0000}"/>
    <cellStyle name="Normal 44 4 2" xfId="10331" xr:uid="{00000000-0005-0000-0000-0000D66E0000}"/>
    <cellStyle name="Normal 44 4 2 2" xfId="39687" xr:uid="{00000000-0005-0000-0000-0000D76E0000}"/>
    <cellStyle name="Normal 44 4 3" xfId="10332" xr:uid="{00000000-0005-0000-0000-0000D86E0000}"/>
    <cellStyle name="Normal 44 4 3 2" xfId="39688" xr:uid="{00000000-0005-0000-0000-0000D96E0000}"/>
    <cellStyle name="Normal 44 4 4" xfId="10333" xr:uid="{00000000-0005-0000-0000-0000DA6E0000}"/>
    <cellStyle name="Normal 44 4 4 2" xfId="39689" xr:uid="{00000000-0005-0000-0000-0000DB6E0000}"/>
    <cellStyle name="Normal 44 4 5" xfId="39690" xr:uid="{00000000-0005-0000-0000-0000DC6E0000}"/>
    <cellStyle name="Normal 44 4_01-04-2012" xfId="10334" xr:uid="{00000000-0005-0000-0000-0000DD6E0000}"/>
    <cellStyle name="Normal 44 40" xfId="10335" xr:uid="{00000000-0005-0000-0000-0000DE6E0000}"/>
    <cellStyle name="Normal 44 40 2" xfId="10336" xr:uid="{00000000-0005-0000-0000-0000DF6E0000}"/>
    <cellStyle name="Normal 44 40 2 2" xfId="39691" xr:uid="{00000000-0005-0000-0000-0000E06E0000}"/>
    <cellStyle name="Normal 44 40 3" xfId="10337" xr:uid="{00000000-0005-0000-0000-0000E16E0000}"/>
    <cellStyle name="Normal 44 40 3 2" xfId="39692" xr:uid="{00000000-0005-0000-0000-0000E26E0000}"/>
    <cellStyle name="Normal 44 40 4" xfId="10338" xr:uid="{00000000-0005-0000-0000-0000E36E0000}"/>
    <cellStyle name="Normal 44 40 4 2" xfId="39693" xr:uid="{00000000-0005-0000-0000-0000E46E0000}"/>
    <cellStyle name="Normal 44 40 5" xfId="39694" xr:uid="{00000000-0005-0000-0000-0000E56E0000}"/>
    <cellStyle name="Normal 44 40_01-04-2012" xfId="10339" xr:uid="{00000000-0005-0000-0000-0000E66E0000}"/>
    <cellStyle name="Normal 44 41" xfId="10340" xr:uid="{00000000-0005-0000-0000-0000E76E0000}"/>
    <cellStyle name="Normal 44 41 2" xfId="10341" xr:uid="{00000000-0005-0000-0000-0000E86E0000}"/>
    <cellStyle name="Normal 44 41 2 2" xfId="39695" xr:uid="{00000000-0005-0000-0000-0000E96E0000}"/>
    <cellStyle name="Normal 44 41 3" xfId="10342" xr:uid="{00000000-0005-0000-0000-0000EA6E0000}"/>
    <cellStyle name="Normal 44 41 3 2" xfId="39696" xr:uid="{00000000-0005-0000-0000-0000EB6E0000}"/>
    <cellStyle name="Normal 44 41 4" xfId="10343" xr:uid="{00000000-0005-0000-0000-0000EC6E0000}"/>
    <cellStyle name="Normal 44 41 4 2" xfId="39697" xr:uid="{00000000-0005-0000-0000-0000ED6E0000}"/>
    <cellStyle name="Normal 44 41 5" xfId="39698" xr:uid="{00000000-0005-0000-0000-0000EE6E0000}"/>
    <cellStyle name="Normal 44 41_01-04-2012" xfId="10344" xr:uid="{00000000-0005-0000-0000-0000EF6E0000}"/>
    <cellStyle name="Normal 44 42" xfId="10345" xr:uid="{00000000-0005-0000-0000-0000F06E0000}"/>
    <cellStyle name="Normal 44 42 2" xfId="10346" xr:uid="{00000000-0005-0000-0000-0000F16E0000}"/>
    <cellStyle name="Normal 44 42 2 2" xfId="39699" xr:uid="{00000000-0005-0000-0000-0000F26E0000}"/>
    <cellStyle name="Normal 44 42 3" xfId="10347" xr:uid="{00000000-0005-0000-0000-0000F36E0000}"/>
    <cellStyle name="Normal 44 42 3 2" xfId="39700" xr:uid="{00000000-0005-0000-0000-0000F46E0000}"/>
    <cellStyle name="Normal 44 42 4" xfId="10348" xr:uid="{00000000-0005-0000-0000-0000F56E0000}"/>
    <cellStyle name="Normal 44 42 4 2" xfId="39701" xr:uid="{00000000-0005-0000-0000-0000F66E0000}"/>
    <cellStyle name="Normal 44 42 5" xfId="39702" xr:uid="{00000000-0005-0000-0000-0000F76E0000}"/>
    <cellStyle name="Normal 44 42_01-04-2012" xfId="10349" xr:uid="{00000000-0005-0000-0000-0000F86E0000}"/>
    <cellStyle name="Normal 44 43" xfId="10350" xr:uid="{00000000-0005-0000-0000-0000F96E0000}"/>
    <cellStyle name="Normal 44 43 2" xfId="10351" xr:uid="{00000000-0005-0000-0000-0000FA6E0000}"/>
    <cellStyle name="Normal 44 43 2 2" xfId="39703" xr:uid="{00000000-0005-0000-0000-0000FB6E0000}"/>
    <cellStyle name="Normal 44 43 3" xfId="10352" xr:uid="{00000000-0005-0000-0000-0000FC6E0000}"/>
    <cellStyle name="Normal 44 43 3 2" xfId="39704" xr:uid="{00000000-0005-0000-0000-0000FD6E0000}"/>
    <cellStyle name="Normal 44 43 4" xfId="10353" xr:uid="{00000000-0005-0000-0000-0000FE6E0000}"/>
    <cellStyle name="Normal 44 43 4 2" xfId="39705" xr:uid="{00000000-0005-0000-0000-0000FF6E0000}"/>
    <cellStyle name="Normal 44 43 5" xfId="39706" xr:uid="{00000000-0005-0000-0000-0000006F0000}"/>
    <cellStyle name="Normal 44 43_01-04-2012" xfId="10354" xr:uid="{00000000-0005-0000-0000-0000016F0000}"/>
    <cellStyle name="Normal 44 44" xfId="10355" xr:uid="{00000000-0005-0000-0000-0000026F0000}"/>
    <cellStyle name="Normal 44 44 2" xfId="10356" xr:uid="{00000000-0005-0000-0000-0000036F0000}"/>
    <cellStyle name="Normal 44 44 2 2" xfId="39707" xr:uid="{00000000-0005-0000-0000-0000046F0000}"/>
    <cellStyle name="Normal 44 44 3" xfId="10357" xr:uid="{00000000-0005-0000-0000-0000056F0000}"/>
    <cellStyle name="Normal 44 44 3 2" xfId="39708" xr:uid="{00000000-0005-0000-0000-0000066F0000}"/>
    <cellStyle name="Normal 44 44 4" xfId="10358" xr:uid="{00000000-0005-0000-0000-0000076F0000}"/>
    <cellStyle name="Normal 44 44 4 2" xfId="39709" xr:uid="{00000000-0005-0000-0000-0000086F0000}"/>
    <cellStyle name="Normal 44 44 5" xfId="39710" xr:uid="{00000000-0005-0000-0000-0000096F0000}"/>
    <cellStyle name="Normal 44 44_01-04-2012" xfId="10359" xr:uid="{00000000-0005-0000-0000-00000A6F0000}"/>
    <cellStyle name="Normal 44 45" xfId="10360" xr:uid="{00000000-0005-0000-0000-00000B6F0000}"/>
    <cellStyle name="Normal 44 45 2" xfId="10361" xr:uid="{00000000-0005-0000-0000-00000C6F0000}"/>
    <cellStyle name="Normal 44 45 2 2" xfId="39711" xr:uid="{00000000-0005-0000-0000-00000D6F0000}"/>
    <cellStyle name="Normal 44 45 3" xfId="10362" xr:uid="{00000000-0005-0000-0000-00000E6F0000}"/>
    <cellStyle name="Normal 44 45 3 2" xfId="39712" xr:uid="{00000000-0005-0000-0000-00000F6F0000}"/>
    <cellStyle name="Normal 44 45 4" xfId="10363" xr:uid="{00000000-0005-0000-0000-0000106F0000}"/>
    <cellStyle name="Normal 44 45 4 2" xfId="39713" xr:uid="{00000000-0005-0000-0000-0000116F0000}"/>
    <cellStyle name="Normal 44 45 5" xfId="39714" xr:uid="{00000000-0005-0000-0000-0000126F0000}"/>
    <cellStyle name="Normal 44 45_01-04-2012" xfId="10364" xr:uid="{00000000-0005-0000-0000-0000136F0000}"/>
    <cellStyle name="Normal 44 46" xfId="10365" xr:uid="{00000000-0005-0000-0000-0000146F0000}"/>
    <cellStyle name="Normal 44 46 2" xfId="10366" xr:uid="{00000000-0005-0000-0000-0000156F0000}"/>
    <cellStyle name="Normal 44 46 2 2" xfId="39715" xr:uid="{00000000-0005-0000-0000-0000166F0000}"/>
    <cellStyle name="Normal 44 46 3" xfId="10367" xr:uid="{00000000-0005-0000-0000-0000176F0000}"/>
    <cellStyle name="Normal 44 46 3 2" xfId="39716" xr:uid="{00000000-0005-0000-0000-0000186F0000}"/>
    <cellStyle name="Normal 44 46 4" xfId="10368" xr:uid="{00000000-0005-0000-0000-0000196F0000}"/>
    <cellStyle name="Normal 44 46 4 2" xfId="39717" xr:uid="{00000000-0005-0000-0000-00001A6F0000}"/>
    <cellStyle name="Normal 44 46 5" xfId="39718" xr:uid="{00000000-0005-0000-0000-00001B6F0000}"/>
    <cellStyle name="Normal 44 46_01-04-2012" xfId="10369" xr:uid="{00000000-0005-0000-0000-00001C6F0000}"/>
    <cellStyle name="Normal 44 47" xfId="10370" xr:uid="{00000000-0005-0000-0000-00001D6F0000}"/>
    <cellStyle name="Normal 44 47 2" xfId="39719" xr:uid="{00000000-0005-0000-0000-00001E6F0000}"/>
    <cellStyle name="Normal 44 48" xfId="10371" xr:uid="{00000000-0005-0000-0000-00001F6F0000}"/>
    <cellStyle name="Normal 44 48 2" xfId="39720" xr:uid="{00000000-0005-0000-0000-0000206F0000}"/>
    <cellStyle name="Normal 44 49" xfId="10372" xr:uid="{00000000-0005-0000-0000-0000216F0000}"/>
    <cellStyle name="Normal 44 49 2" xfId="39721" xr:uid="{00000000-0005-0000-0000-0000226F0000}"/>
    <cellStyle name="Normal 44 5" xfId="10373" xr:uid="{00000000-0005-0000-0000-0000236F0000}"/>
    <cellStyle name="Normal 44 5 2" xfId="10374" xr:uid="{00000000-0005-0000-0000-0000246F0000}"/>
    <cellStyle name="Normal 44 5 2 2" xfId="39722" xr:uid="{00000000-0005-0000-0000-0000256F0000}"/>
    <cellStyle name="Normal 44 5 3" xfId="10375" xr:uid="{00000000-0005-0000-0000-0000266F0000}"/>
    <cellStyle name="Normal 44 5 3 2" xfId="39723" xr:uid="{00000000-0005-0000-0000-0000276F0000}"/>
    <cellStyle name="Normal 44 5 4" xfId="10376" xr:uid="{00000000-0005-0000-0000-0000286F0000}"/>
    <cellStyle name="Normal 44 5 4 2" xfId="39724" xr:uid="{00000000-0005-0000-0000-0000296F0000}"/>
    <cellStyle name="Normal 44 5 5" xfId="39725" xr:uid="{00000000-0005-0000-0000-00002A6F0000}"/>
    <cellStyle name="Normal 44 5_01-04-2012" xfId="10377" xr:uid="{00000000-0005-0000-0000-00002B6F0000}"/>
    <cellStyle name="Normal 44 50" xfId="20925" xr:uid="{00000000-0005-0000-0000-00002C6F0000}"/>
    <cellStyle name="Normal 44 50 2" xfId="39726" xr:uid="{00000000-0005-0000-0000-00002D6F0000}"/>
    <cellStyle name="Normal 44 51" xfId="20926" xr:uid="{00000000-0005-0000-0000-00002E6F0000}"/>
    <cellStyle name="Normal 44 52" xfId="20927" xr:uid="{00000000-0005-0000-0000-00002F6F0000}"/>
    <cellStyle name="Normal 44 53" xfId="20928" xr:uid="{00000000-0005-0000-0000-0000306F0000}"/>
    <cellStyle name="Normal 44 54" xfId="20929" xr:uid="{00000000-0005-0000-0000-0000316F0000}"/>
    <cellStyle name="Normal 44 55" xfId="20930" xr:uid="{00000000-0005-0000-0000-0000326F0000}"/>
    <cellStyle name="Normal 44 56" xfId="33741" xr:uid="{00000000-0005-0000-0000-0000336F0000}"/>
    <cellStyle name="Normal 44 6" xfId="10378" xr:uid="{00000000-0005-0000-0000-0000346F0000}"/>
    <cellStyle name="Normal 44 6 2" xfId="10379" xr:uid="{00000000-0005-0000-0000-0000356F0000}"/>
    <cellStyle name="Normal 44 6 2 2" xfId="39727" xr:uid="{00000000-0005-0000-0000-0000366F0000}"/>
    <cellStyle name="Normal 44 6 3" xfId="10380" xr:uid="{00000000-0005-0000-0000-0000376F0000}"/>
    <cellStyle name="Normal 44 6 3 2" xfId="39728" xr:uid="{00000000-0005-0000-0000-0000386F0000}"/>
    <cellStyle name="Normal 44 6 4" xfId="10381" xr:uid="{00000000-0005-0000-0000-0000396F0000}"/>
    <cellStyle name="Normal 44 6 4 2" xfId="39729" xr:uid="{00000000-0005-0000-0000-00003A6F0000}"/>
    <cellStyle name="Normal 44 6 5" xfId="39730" xr:uid="{00000000-0005-0000-0000-00003B6F0000}"/>
    <cellStyle name="Normal 44 6_01-04-2012" xfId="10382" xr:uid="{00000000-0005-0000-0000-00003C6F0000}"/>
    <cellStyle name="Normal 44 7" xfId="10383" xr:uid="{00000000-0005-0000-0000-00003D6F0000}"/>
    <cellStyle name="Normal 44 7 2" xfId="10384" xr:uid="{00000000-0005-0000-0000-00003E6F0000}"/>
    <cellStyle name="Normal 44 7 2 2" xfId="39731" xr:uid="{00000000-0005-0000-0000-00003F6F0000}"/>
    <cellStyle name="Normal 44 7 3" xfId="10385" xr:uid="{00000000-0005-0000-0000-0000406F0000}"/>
    <cellStyle name="Normal 44 7 3 2" xfId="39732" xr:uid="{00000000-0005-0000-0000-0000416F0000}"/>
    <cellStyle name="Normal 44 7 4" xfId="10386" xr:uid="{00000000-0005-0000-0000-0000426F0000}"/>
    <cellStyle name="Normal 44 7 4 2" xfId="39733" xr:uid="{00000000-0005-0000-0000-0000436F0000}"/>
    <cellStyle name="Normal 44 7 5" xfId="39734" xr:uid="{00000000-0005-0000-0000-0000446F0000}"/>
    <cellStyle name="Normal 44 7_01-04-2012" xfId="10387" xr:uid="{00000000-0005-0000-0000-0000456F0000}"/>
    <cellStyle name="Normal 44 8" xfId="10388" xr:uid="{00000000-0005-0000-0000-0000466F0000}"/>
    <cellStyle name="Normal 44 8 2" xfId="10389" xr:uid="{00000000-0005-0000-0000-0000476F0000}"/>
    <cellStyle name="Normal 44 8 2 2" xfId="39735" xr:uid="{00000000-0005-0000-0000-0000486F0000}"/>
    <cellStyle name="Normal 44 8 3" xfId="10390" xr:uid="{00000000-0005-0000-0000-0000496F0000}"/>
    <cellStyle name="Normal 44 8 3 2" xfId="39736" xr:uid="{00000000-0005-0000-0000-00004A6F0000}"/>
    <cellStyle name="Normal 44 8 4" xfId="10391" xr:uid="{00000000-0005-0000-0000-00004B6F0000}"/>
    <cellStyle name="Normal 44 8 4 2" xfId="39737" xr:uid="{00000000-0005-0000-0000-00004C6F0000}"/>
    <cellStyle name="Normal 44 8 5" xfId="39738" xr:uid="{00000000-0005-0000-0000-00004D6F0000}"/>
    <cellStyle name="Normal 44 8_01-04-2012" xfId="10392" xr:uid="{00000000-0005-0000-0000-00004E6F0000}"/>
    <cellStyle name="Normal 44 9" xfId="10393" xr:uid="{00000000-0005-0000-0000-00004F6F0000}"/>
    <cellStyle name="Normal 44 9 2" xfId="10394" xr:uid="{00000000-0005-0000-0000-0000506F0000}"/>
    <cellStyle name="Normal 44 9 2 2" xfId="39739" xr:uid="{00000000-0005-0000-0000-0000516F0000}"/>
    <cellStyle name="Normal 44 9 3" xfId="10395" xr:uid="{00000000-0005-0000-0000-0000526F0000}"/>
    <cellStyle name="Normal 44 9 3 2" xfId="39740" xr:uid="{00000000-0005-0000-0000-0000536F0000}"/>
    <cellStyle name="Normal 44 9 4" xfId="10396" xr:uid="{00000000-0005-0000-0000-0000546F0000}"/>
    <cellStyle name="Normal 44 9 4 2" xfId="39741" xr:uid="{00000000-0005-0000-0000-0000556F0000}"/>
    <cellStyle name="Normal 44 9 5" xfId="39742" xr:uid="{00000000-0005-0000-0000-0000566F0000}"/>
    <cellStyle name="Normal 44 9_01-04-2012" xfId="10397" xr:uid="{00000000-0005-0000-0000-0000576F0000}"/>
    <cellStyle name="Normal 44_01-04-2012" xfId="10398" xr:uid="{00000000-0005-0000-0000-0000586F0000}"/>
    <cellStyle name="Normal 440" xfId="20931" xr:uid="{00000000-0005-0000-0000-0000596F0000}"/>
    <cellStyle name="Normal 441" xfId="20932" xr:uid="{00000000-0005-0000-0000-00005A6F0000}"/>
    <cellStyle name="Normal 442" xfId="20933" xr:uid="{00000000-0005-0000-0000-00005B6F0000}"/>
    <cellStyle name="Normal 443" xfId="20934" xr:uid="{00000000-0005-0000-0000-00005C6F0000}"/>
    <cellStyle name="Normal 444" xfId="20935" xr:uid="{00000000-0005-0000-0000-00005D6F0000}"/>
    <cellStyle name="Normal 445" xfId="20936" xr:uid="{00000000-0005-0000-0000-00005E6F0000}"/>
    <cellStyle name="Normal 446" xfId="20937" xr:uid="{00000000-0005-0000-0000-00005F6F0000}"/>
    <cellStyle name="Normal 447" xfId="20938" xr:uid="{00000000-0005-0000-0000-0000606F0000}"/>
    <cellStyle name="Normal 448" xfId="20939" xr:uid="{00000000-0005-0000-0000-0000616F0000}"/>
    <cellStyle name="Normal 449" xfId="20940" xr:uid="{00000000-0005-0000-0000-0000626F0000}"/>
    <cellStyle name="Normal 45" xfId="10399" xr:uid="{00000000-0005-0000-0000-0000636F0000}"/>
    <cellStyle name="Normal 45 2" xfId="10400" xr:uid="{00000000-0005-0000-0000-0000646F0000}"/>
    <cellStyle name="Normal 45 2 2" xfId="20941" xr:uid="{00000000-0005-0000-0000-0000656F0000}"/>
    <cellStyle name="Normal 45 3" xfId="20942" xr:uid="{00000000-0005-0000-0000-0000666F0000}"/>
    <cellStyle name="Normal 45_01-04-2012" xfId="10401" xr:uid="{00000000-0005-0000-0000-0000676F0000}"/>
    <cellStyle name="Normal 450" xfId="20943" xr:uid="{00000000-0005-0000-0000-0000686F0000}"/>
    <cellStyle name="Normal 451" xfId="20944" xr:uid="{00000000-0005-0000-0000-0000696F0000}"/>
    <cellStyle name="Normal 452" xfId="20945" xr:uid="{00000000-0005-0000-0000-00006A6F0000}"/>
    <cellStyle name="Normal 453" xfId="20946" xr:uid="{00000000-0005-0000-0000-00006B6F0000}"/>
    <cellStyle name="Normal 454" xfId="20947" xr:uid="{00000000-0005-0000-0000-00006C6F0000}"/>
    <cellStyle name="Normal 455" xfId="20948" xr:uid="{00000000-0005-0000-0000-00006D6F0000}"/>
    <cellStyle name="Normal 456" xfId="20949" xr:uid="{00000000-0005-0000-0000-00006E6F0000}"/>
    <cellStyle name="Normal 457" xfId="20950" xr:uid="{00000000-0005-0000-0000-00006F6F0000}"/>
    <cellStyle name="Normal 458" xfId="20951" xr:uid="{00000000-0005-0000-0000-0000706F0000}"/>
    <cellStyle name="Normal 459" xfId="20952" xr:uid="{00000000-0005-0000-0000-0000716F0000}"/>
    <cellStyle name="Normal 46" xfId="10402" xr:uid="{00000000-0005-0000-0000-0000726F0000}"/>
    <cellStyle name="Normal 46 10" xfId="10403" xr:uid="{00000000-0005-0000-0000-0000736F0000}"/>
    <cellStyle name="Normal 46 10 2" xfId="10404" xr:uid="{00000000-0005-0000-0000-0000746F0000}"/>
    <cellStyle name="Normal 46 10 2 2" xfId="39743" xr:uid="{00000000-0005-0000-0000-0000756F0000}"/>
    <cellStyle name="Normal 46 10 3" xfId="10405" xr:uid="{00000000-0005-0000-0000-0000766F0000}"/>
    <cellStyle name="Normal 46 10 3 2" xfId="39744" xr:uid="{00000000-0005-0000-0000-0000776F0000}"/>
    <cellStyle name="Normal 46 10 4" xfId="10406" xr:uid="{00000000-0005-0000-0000-0000786F0000}"/>
    <cellStyle name="Normal 46 10 4 2" xfId="39745" xr:uid="{00000000-0005-0000-0000-0000796F0000}"/>
    <cellStyle name="Normal 46 10 5" xfId="39746" xr:uid="{00000000-0005-0000-0000-00007A6F0000}"/>
    <cellStyle name="Normal 46 10_01-04-2012" xfId="10407" xr:uid="{00000000-0005-0000-0000-00007B6F0000}"/>
    <cellStyle name="Normal 46 11" xfId="10408" xr:uid="{00000000-0005-0000-0000-00007C6F0000}"/>
    <cellStyle name="Normal 46 11 2" xfId="10409" xr:uid="{00000000-0005-0000-0000-00007D6F0000}"/>
    <cellStyle name="Normal 46 11 2 2" xfId="39747" xr:uid="{00000000-0005-0000-0000-00007E6F0000}"/>
    <cellStyle name="Normal 46 11 3" xfId="10410" xr:uid="{00000000-0005-0000-0000-00007F6F0000}"/>
    <cellStyle name="Normal 46 11 3 2" xfId="39748" xr:uid="{00000000-0005-0000-0000-0000806F0000}"/>
    <cellStyle name="Normal 46 11 4" xfId="10411" xr:uid="{00000000-0005-0000-0000-0000816F0000}"/>
    <cellStyle name="Normal 46 11 4 2" xfId="39749" xr:uid="{00000000-0005-0000-0000-0000826F0000}"/>
    <cellStyle name="Normal 46 11 5" xfId="39750" xr:uid="{00000000-0005-0000-0000-0000836F0000}"/>
    <cellStyle name="Normal 46 11_01-04-2012" xfId="10412" xr:uid="{00000000-0005-0000-0000-0000846F0000}"/>
    <cellStyle name="Normal 46 12" xfId="10413" xr:uid="{00000000-0005-0000-0000-0000856F0000}"/>
    <cellStyle name="Normal 46 12 2" xfId="10414" xr:uid="{00000000-0005-0000-0000-0000866F0000}"/>
    <cellStyle name="Normal 46 12 2 2" xfId="39751" xr:uid="{00000000-0005-0000-0000-0000876F0000}"/>
    <cellStyle name="Normal 46 12 3" xfId="10415" xr:uid="{00000000-0005-0000-0000-0000886F0000}"/>
    <cellStyle name="Normal 46 12 3 2" xfId="39752" xr:uid="{00000000-0005-0000-0000-0000896F0000}"/>
    <cellStyle name="Normal 46 12 4" xfId="10416" xr:uid="{00000000-0005-0000-0000-00008A6F0000}"/>
    <cellStyle name="Normal 46 12 4 2" xfId="39753" xr:uid="{00000000-0005-0000-0000-00008B6F0000}"/>
    <cellStyle name="Normal 46 12 5" xfId="39754" xr:uid="{00000000-0005-0000-0000-00008C6F0000}"/>
    <cellStyle name="Normal 46 12_01-04-2012" xfId="10417" xr:uid="{00000000-0005-0000-0000-00008D6F0000}"/>
    <cellStyle name="Normal 46 13" xfId="10418" xr:uid="{00000000-0005-0000-0000-00008E6F0000}"/>
    <cellStyle name="Normal 46 13 2" xfId="10419" xr:uid="{00000000-0005-0000-0000-00008F6F0000}"/>
    <cellStyle name="Normal 46 13 2 2" xfId="39755" xr:uid="{00000000-0005-0000-0000-0000906F0000}"/>
    <cellStyle name="Normal 46 13 3" xfId="10420" xr:uid="{00000000-0005-0000-0000-0000916F0000}"/>
    <cellStyle name="Normal 46 13 3 2" xfId="39756" xr:uid="{00000000-0005-0000-0000-0000926F0000}"/>
    <cellStyle name="Normal 46 13 4" xfId="10421" xr:uid="{00000000-0005-0000-0000-0000936F0000}"/>
    <cellStyle name="Normal 46 13 4 2" xfId="39757" xr:uid="{00000000-0005-0000-0000-0000946F0000}"/>
    <cellStyle name="Normal 46 13 5" xfId="39758" xr:uid="{00000000-0005-0000-0000-0000956F0000}"/>
    <cellStyle name="Normal 46 13_01-04-2012" xfId="10422" xr:uid="{00000000-0005-0000-0000-0000966F0000}"/>
    <cellStyle name="Normal 46 14" xfId="10423" xr:uid="{00000000-0005-0000-0000-0000976F0000}"/>
    <cellStyle name="Normal 46 14 2" xfId="10424" xr:uid="{00000000-0005-0000-0000-0000986F0000}"/>
    <cellStyle name="Normal 46 14 2 2" xfId="39759" xr:uid="{00000000-0005-0000-0000-0000996F0000}"/>
    <cellStyle name="Normal 46 14 3" xfId="10425" xr:uid="{00000000-0005-0000-0000-00009A6F0000}"/>
    <cellStyle name="Normal 46 14 3 2" xfId="39760" xr:uid="{00000000-0005-0000-0000-00009B6F0000}"/>
    <cellStyle name="Normal 46 14 4" xfId="10426" xr:uid="{00000000-0005-0000-0000-00009C6F0000}"/>
    <cellStyle name="Normal 46 14 4 2" xfId="39761" xr:uid="{00000000-0005-0000-0000-00009D6F0000}"/>
    <cellStyle name="Normal 46 14 5" xfId="39762" xr:uid="{00000000-0005-0000-0000-00009E6F0000}"/>
    <cellStyle name="Normal 46 14_01-04-2012" xfId="10427" xr:uid="{00000000-0005-0000-0000-00009F6F0000}"/>
    <cellStyle name="Normal 46 15" xfId="10428" xr:uid="{00000000-0005-0000-0000-0000A06F0000}"/>
    <cellStyle name="Normal 46 15 2" xfId="10429" xr:uid="{00000000-0005-0000-0000-0000A16F0000}"/>
    <cellStyle name="Normal 46 15 2 2" xfId="39763" xr:uid="{00000000-0005-0000-0000-0000A26F0000}"/>
    <cellStyle name="Normal 46 15 3" xfId="10430" xr:uid="{00000000-0005-0000-0000-0000A36F0000}"/>
    <cellStyle name="Normal 46 15 3 2" xfId="39764" xr:uid="{00000000-0005-0000-0000-0000A46F0000}"/>
    <cellStyle name="Normal 46 15 4" xfId="10431" xr:uid="{00000000-0005-0000-0000-0000A56F0000}"/>
    <cellStyle name="Normal 46 15 4 2" xfId="39765" xr:uid="{00000000-0005-0000-0000-0000A66F0000}"/>
    <cellStyle name="Normal 46 15 5" xfId="39766" xr:uid="{00000000-0005-0000-0000-0000A76F0000}"/>
    <cellStyle name="Normal 46 15_01-04-2012" xfId="10432" xr:uid="{00000000-0005-0000-0000-0000A86F0000}"/>
    <cellStyle name="Normal 46 16" xfId="10433" xr:uid="{00000000-0005-0000-0000-0000A96F0000}"/>
    <cellStyle name="Normal 46 16 2" xfId="10434" xr:uid="{00000000-0005-0000-0000-0000AA6F0000}"/>
    <cellStyle name="Normal 46 16 2 2" xfId="39767" xr:uid="{00000000-0005-0000-0000-0000AB6F0000}"/>
    <cellStyle name="Normal 46 16 3" xfId="10435" xr:uid="{00000000-0005-0000-0000-0000AC6F0000}"/>
    <cellStyle name="Normal 46 16 3 2" xfId="39768" xr:uid="{00000000-0005-0000-0000-0000AD6F0000}"/>
    <cellStyle name="Normal 46 16 4" xfId="10436" xr:uid="{00000000-0005-0000-0000-0000AE6F0000}"/>
    <cellStyle name="Normal 46 16 4 2" xfId="39769" xr:uid="{00000000-0005-0000-0000-0000AF6F0000}"/>
    <cellStyle name="Normal 46 16 5" xfId="39770" xr:uid="{00000000-0005-0000-0000-0000B06F0000}"/>
    <cellStyle name="Normal 46 16_01-04-2012" xfId="10437" xr:uid="{00000000-0005-0000-0000-0000B16F0000}"/>
    <cellStyle name="Normal 46 17" xfId="10438" xr:uid="{00000000-0005-0000-0000-0000B26F0000}"/>
    <cellStyle name="Normal 46 17 2" xfId="10439" xr:uid="{00000000-0005-0000-0000-0000B36F0000}"/>
    <cellStyle name="Normal 46 17 2 2" xfId="39771" xr:uid="{00000000-0005-0000-0000-0000B46F0000}"/>
    <cellStyle name="Normal 46 17 3" xfId="10440" xr:uid="{00000000-0005-0000-0000-0000B56F0000}"/>
    <cellStyle name="Normal 46 17 3 2" xfId="39772" xr:uid="{00000000-0005-0000-0000-0000B66F0000}"/>
    <cellStyle name="Normal 46 17 4" xfId="10441" xr:uid="{00000000-0005-0000-0000-0000B76F0000}"/>
    <cellStyle name="Normal 46 17 4 2" xfId="39773" xr:uid="{00000000-0005-0000-0000-0000B86F0000}"/>
    <cellStyle name="Normal 46 17 5" xfId="39774" xr:uid="{00000000-0005-0000-0000-0000B96F0000}"/>
    <cellStyle name="Normal 46 17_01-04-2012" xfId="10442" xr:uid="{00000000-0005-0000-0000-0000BA6F0000}"/>
    <cellStyle name="Normal 46 18" xfId="10443" xr:uid="{00000000-0005-0000-0000-0000BB6F0000}"/>
    <cellStyle name="Normal 46 18 2" xfId="10444" xr:uid="{00000000-0005-0000-0000-0000BC6F0000}"/>
    <cellStyle name="Normal 46 18 2 2" xfId="39775" xr:uid="{00000000-0005-0000-0000-0000BD6F0000}"/>
    <cellStyle name="Normal 46 18 3" xfId="10445" xr:uid="{00000000-0005-0000-0000-0000BE6F0000}"/>
    <cellStyle name="Normal 46 18 3 2" xfId="39776" xr:uid="{00000000-0005-0000-0000-0000BF6F0000}"/>
    <cellStyle name="Normal 46 18 4" xfId="10446" xr:uid="{00000000-0005-0000-0000-0000C06F0000}"/>
    <cellStyle name="Normal 46 18 4 2" xfId="39777" xr:uid="{00000000-0005-0000-0000-0000C16F0000}"/>
    <cellStyle name="Normal 46 18 5" xfId="39778" xr:uid="{00000000-0005-0000-0000-0000C26F0000}"/>
    <cellStyle name="Normal 46 18_01-04-2012" xfId="10447" xr:uid="{00000000-0005-0000-0000-0000C36F0000}"/>
    <cellStyle name="Normal 46 19" xfId="10448" xr:uid="{00000000-0005-0000-0000-0000C46F0000}"/>
    <cellStyle name="Normal 46 19 2" xfId="10449" xr:uid="{00000000-0005-0000-0000-0000C56F0000}"/>
    <cellStyle name="Normal 46 19 2 2" xfId="39779" xr:uid="{00000000-0005-0000-0000-0000C66F0000}"/>
    <cellStyle name="Normal 46 19 3" xfId="10450" xr:uid="{00000000-0005-0000-0000-0000C76F0000}"/>
    <cellStyle name="Normal 46 19 3 2" xfId="39780" xr:uid="{00000000-0005-0000-0000-0000C86F0000}"/>
    <cellStyle name="Normal 46 19 4" xfId="10451" xr:uid="{00000000-0005-0000-0000-0000C96F0000}"/>
    <cellStyle name="Normal 46 19 4 2" xfId="39781" xr:uid="{00000000-0005-0000-0000-0000CA6F0000}"/>
    <cellStyle name="Normal 46 19 5" xfId="39782" xr:uid="{00000000-0005-0000-0000-0000CB6F0000}"/>
    <cellStyle name="Normal 46 19_01-04-2012" xfId="10452" xr:uid="{00000000-0005-0000-0000-0000CC6F0000}"/>
    <cellStyle name="Normal 46 2" xfId="10453" xr:uid="{00000000-0005-0000-0000-0000CD6F0000}"/>
    <cellStyle name="Normal 46 2 2" xfId="10454" xr:uid="{00000000-0005-0000-0000-0000CE6F0000}"/>
    <cellStyle name="Normal 46 2 2 2" xfId="39783" xr:uid="{00000000-0005-0000-0000-0000CF6F0000}"/>
    <cellStyle name="Normal 46 2 3" xfId="10455" xr:uid="{00000000-0005-0000-0000-0000D06F0000}"/>
    <cellStyle name="Normal 46 2 3 2" xfId="39784" xr:uid="{00000000-0005-0000-0000-0000D16F0000}"/>
    <cellStyle name="Normal 46 2 4" xfId="10456" xr:uid="{00000000-0005-0000-0000-0000D26F0000}"/>
    <cellStyle name="Normal 46 2 4 2" xfId="39785" xr:uid="{00000000-0005-0000-0000-0000D36F0000}"/>
    <cellStyle name="Normal 46 2 5" xfId="20953" xr:uid="{00000000-0005-0000-0000-0000D46F0000}"/>
    <cellStyle name="Normal 46 2 5 2" xfId="39786" xr:uid="{00000000-0005-0000-0000-0000D56F0000}"/>
    <cellStyle name="Normal 46 2_01-04-2012" xfId="10457" xr:uid="{00000000-0005-0000-0000-0000D66F0000}"/>
    <cellStyle name="Normal 46 20" xfId="10458" xr:uid="{00000000-0005-0000-0000-0000D76F0000}"/>
    <cellStyle name="Normal 46 20 2" xfId="10459" xr:uid="{00000000-0005-0000-0000-0000D86F0000}"/>
    <cellStyle name="Normal 46 20 2 2" xfId="39787" xr:uid="{00000000-0005-0000-0000-0000D96F0000}"/>
    <cellStyle name="Normal 46 20 3" xfId="10460" xr:uid="{00000000-0005-0000-0000-0000DA6F0000}"/>
    <cellStyle name="Normal 46 20 3 2" xfId="39788" xr:uid="{00000000-0005-0000-0000-0000DB6F0000}"/>
    <cellStyle name="Normal 46 20 4" xfId="10461" xr:uid="{00000000-0005-0000-0000-0000DC6F0000}"/>
    <cellStyle name="Normal 46 20 4 2" xfId="39789" xr:uid="{00000000-0005-0000-0000-0000DD6F0000}"/>
    <cellStyle name="Normal 46 20 5" xfId="39790" xr:uid="{00000000-0005-0000-0000-0000DE6F0000}"/>
    <cellStyle name="Normal 46 20_01-04-2012" xfId="10462" xr:uid="{00000000-0005-0000-0000-0000DF6F0000}"/>
    <cellStyle name="Normal 46 21" xfId="10463" xr:uid="{00000000-0005-0000-0000-0000E06F0000}"/>
    <cellStyle name="Normal 46 21 2" xfId="10464" xr:uid="{00000000-0005-0000-0000-0000E16F0000}"/>
    <cellStyle name="Normal 46 21 2 2" xfId="39791" xr:uid="{00000000-0005-0000-0000-0000E26F0000}"/>
    <cellStyle name="Normal 46 21 3" xfId="10465" xr:uid="{00000000-0005-0000-0000-0000E36F0000}"/>
    <cellStyle name="Normal 46 21 3 2" xfId="39792" xr:uid="{00000000-0005-0000-0000-0000E46F0000}"/>
    <cellStyle name="Normal 46 21 4" xfId="10466" xr:uid="{00000000-0005-0000-0000-0000E56F0000}"/>
    <cellStyle name="Normal 46 21 4 2" xfId="39793" xr:uid="{00000000-0005-0000-0000-0000E66F0000}"/>
    <cellStyle name="Normal 46 21 5" xfId="39794" xr:uid="{00000000-0005-0000-0000-0000E76F0000}"/>
    <cellStyle name="Normal 46 21_01-04-2012" xfId="10467" xr:uid="{00000000-0005-0000-0000-0000E86F0000}"/>
    <cellStyle name="Normal 46 22" xfId="10468" xr:uid="{00000000-0005-0000-0000-0000E96F0000}"/>
    <cellStyle name="Normal 46 22 2" xfId="10469" xr:uid="{00000000-0005-0000-0000-0000EA6F0000}"/>
    <cellStyle name="Normal 46 22 2 2" xfId="39795" xr:uid="{00000000-0005-0000-0000-0000EB6F0000}"/>
    <cellStyle name="Normal 46 22 3" xfId="10470" xr:uid="{00000000-0005-0000-0000-0000EC6F0000}"/>
    <cellStyle name="Normal 46 22 3 2" xfId="39796" xr:uid="{00000000-0005-0000-0000-0000ED6F0000}"/>
    <cellStyle name="Normal 46 22 4" xfId="10471" xr:uid="{00000000-0005-0000-0000-0000EE6F0000}"/>
    <cellStyle name="Normal 46 22 4 2" xfId="39797" xr:uid="{00000000-0005-0000-0000-0000EF6F0000}"/>
    <cellStyle name="Normal 46 22 5" xfId="39798" xr:uid="{00000000-0005-0000-0000-0000F06F0000}"/>
    <cellStyle name="Normal 46 22_01-04-2012" xfId="10472" xr:uid="{00000000-0005-0000-0000-0000F16F0000}"/>
    <cellStyle name="Normal 46 23" xfId="10473" xr:uid="{00000000-0005-0000-0000-0000F26F0000}"/>
    <cellStyle name="Normal 46 23 2" xfId="10474" xr:uid="{00000000-0005-0000-0000-0000F36F0000}"/>
    <cellStyle name="Normal 46 23 2 2" xfId="39799" xr:uid="{00000000-0005-0000-0000-0000F46F0000}"/>
    <cellStyle name="Normal 46 23 3" xfId="10475" xr:uid="{00000000-0005-0000-0000-0000F56F0000}"/>
    <cellStyle name="Normal 46 23 3 2" xfId="39800" xr:uid="{00000000-0005-0000-0000-0000F66F0000}"/>
    <cellStyle name="Normal 46 23 4" xfId="10476" xr:uid="{00000000-0005-0000-0000-0000F76F0000}"/>
    <cellStyle name="Normal 46 23 4 2" xfId="39801" xr:uid="{00000000-0005-0000-0000-0000F86F0000}"/>
    <cellStyle name="Normal 46 23 5" xfId="39802" xr:uid="{00000000-0005-0000-0000-0000F96F0000}"/>
    <cellStyle name="Normal 46 23_01-04-2012" xfId="10477" xr:uid="{00000000-0005-0000-0000-0000FA6F0000}"/>
    <cellStyle name="Normal 46 24" xfId="10478" xr:uid="{00000000-0005-0000-0000-0000FB6F0000}"/>
    <cellStyle name="Normal 46 24 2" xfId="10479" xr:uid="{00000000-0005-0000-0000-0000FC6F0000}"/>
    <cellStyle name="Normal 46 24 2 2" xfId="39803" xr:uid="{00000000-0005-0000-0000-0000FD6F0000}"/>
    <cellStyle name="Normal 46 24 3" xfId="10480" xr:uid="{00000000-0005-0000-0000-0000FE6F0000}"/>
    <cellStyle name="Normal 46 24 3 2" xfId="39804" xr:uid="{00000000-0005-0000-0000-0000FF6F0000}"/>
    <cellStyle name="Normal 46 24 4" xfId="10481" xr:uid="{00000000-0005-0000-0000-000000700000}"/>
    <cellStyle name="Normal 46 24 4 2" xfId="39805" xr:uid="{00000000-0005-0000-0000-000001700000}"/>
    <cellStyle name="Normal 46 24 5" xfId="39806" xr:uid="{00000000-0005-0000-0000-000002700000}"/>
    <cellStyle name="Normal 46 24_01-04-2012" xfId="10482" xr:uid="{00000000-0005-0000-0000-000003700000}"/>
    <cellStyle name="Normal 46 25" xfId="10483" xr:uid="{00000000-0005-0000-0000-000004700000}"/>
    <cellStyle name="Normal 46 25 2" xfId="10484" xr:uid="{00000000-0005-0000-0000-000005700000}"/>
    <cellStyle name="Normal 46 25 2 2" xfId="39807" xr:uid="{00000000-0005-0000-0000-000006700000}"/>
    <cellStyle name="Normal 46 25 3" xfId="10485" xr:uid="{00000000-0005-0000-0000-000007700000}"/>
    <cellStyle name="Normal 46 25 3 2" xfId="39808" xr:uid="{00000000-0005-0000-0000-000008700000}"/>
    <cellStyle name="Normal 46 25 4" xfId="10486" xr:uid="{00000000-0005-0000-0000-000009700000}"/>
    <cellStyle name="Normal 46 25 4 2" xfId="39809" xr:uid="{00000000-0005-0000-0000-00000A700000}"/>
    <cellStyle name="Normal 46 25 5" xfId="39810" xr:uid="{00000000-0005-0000-0000-00000B700000}"/>
    <cellStyle name="Normal 46 25_01-04-2012" xfId="10487" xr:uid="{00000000-0005-0000-0000-00000C700000}"/>
    <cellStyle name="Normal 46 26" xfId="10488" xr:uid="{00000000-0005-0000-0000-00000D700000}"/>
    <cellStyle name="Normal 46 26 2" xfId="10489" xr:uid="{00000000-0005-0000-0000-00000E700000}"/>
    <cellStyle name="Normal 46 26 2 2" xfId="39811" xr:uid="{00000000-0005-0000-0000-00000F700000}"/>
    <cellStyle name="Normal 46 26 3" xfId="10490" xr:uid="{00000000-0005-0000-0000-000010700000}"/>
    <cellStyle name="Normal 46 26 3 2" xfId="39812" xr:uid="{00000000-0005-0000-0000-000011700000}"/>
    <cellStyle name="Normal 46 26 4" xfId="10491" xr:uid="{00000000-0005-0000-0000-000012700000}"/>
    <cellStyle name="Normal 46 26 4 2" xfId="39813" xr:uid="{00000000-0005-0000-0000-000013700000}"/>
    <cellStyle name="Normal 46 26 5" xfId="39814" xr:uid="{00000000-0005-0000-0000-000014700000}"/>
    <cellStyle name="Normal 46 26_01-04-2012" xfId="10492" xr:uid="{00000000-0005-0000-0000-000015700000}"/>
    <cellStyle name="Normal 46 27" xfId="10493" xr:uid="{00000000-0005-0000-0000-000016700000}"/>
    <cellStyle name="Normal 46 27 2" xfId="10494" xr:uid="{00000000-0005-0000-0000-000017700000}"/>
    <cellStyle name="Normal 46 27 2 2" xfId="39815" xr:uid="{00000000-0005-0000-0000-000018700000}"/>
    <cellStyle name="Normal 46 27 3" xfId="10495" xr:uid="{00000000-0005-0000-0000-000019700000}"/>
    <cellStyle name="Normal 46 27 3 2" xfId="39816" xr:uid="{00000000-0005-0000-0000-00001A700000}"/>
    <cellStyle name="Normal 46 27 4" xfId="10496" xr:uid="{00000000-0005-0000-0000-00001B700000}"/>
    <cellStyle name="Normal 46 27 4 2" xfId="39817" xr:uid="{00000000-0005-0000-0000-00001C700000}"/>
    <cellStyle name="Normal 46 27 5" xfId="39818" xr:uid="{00000000-0005-0000-0000-00001D700000}"/>
    <cellStyle name="Normal 46 27_01-04-2012" xfId="10497" xr:uid="{00000000-0005-0000-0000-00001E700000}"/>
    <cellStyle name="Normal 46 28" xfId="10498" xr:uid="{00000000-0005-0000-0000-00001F700000}"/>
    <cellStyle name="Normal 46 28 2" xfId="10499" xr:uid="{00000000-0005-0000-0000-000020700000}"/>
    <cellStyle name="Normal 46 28 2 2" xfId="39819" xr:uid="{00000000-0005-0000-0000-000021700000}"/>
    <cellStyle name="Normal 46 28 3" xfId="10500" xr:uid="{00000000-0005-0000-0000-000022700000}"/>
    <cellStyle name="Normal 46 28 3 2" xfId="39820" xr:uid="{00000000-0005-0000-0000-000023700000}"/>
    <cellStyle name="Normal 46 28 4" xfId="10501" xr:uid="{00000000-0005-0000-0000-000024700000}"/>
    <cellStyle name="Normal 46 28 4 2" xfId="39821" xr:uid="{00000000-0005-0000-0000-000025700000}"/>
    <cellStyle name="Normal 46 28 5" xfId="39822" xr:uid="{00000000-0005-0000-0000-000026700000}"/>
    <cellStyle name="Normal 46 28_01-04-2012" xfId="10502" xr:uid="{00000000-0005-0000-0000-000027700000}"/>
    <cellStyle name="Normal 46 29" xfId="10503" xr:uid="{00000000-0005-0000-0000-000028700000}"/>
    <cellStyle name="Normal 46 29 2" xfId="10504" xr:uid="{00000000-0005-0000-0000-000029700000}"/>
    <cellStyle name="Normal 46 29 2 2" xfId="39823" xr:uid="{00000000-0005-0000-0000-00002A700000}"/>
    <cellStyle name="Normal 46 29 3" xfId="10505" xr:uid="{00000000-0005-0000-0000-00002B700000}"/>
    <cellStyle name="Normal 46 29 3 2" xfId="39824" xr:uid="{00000000-0005-0000-0000-00002C700000}"/>
    <cellStyle name="Normal 46 29 4" xfId="10506" xr:uid="{00000000-0005-0000-0000-00002D700000}"/>
    <cellStyle name="Normal 46 29 4 2" xfId="39825" xr:uid="{00000000-0005-0000-0000-00002E700000}"/>
    <cellStyle name="Normal 46 29 5" xfId="39826" xr:uid="{00000000-0005-0000-0000-00002F700000}"/>
    <cellStyle name="Normal 46 29_01-04-2012" xfId="10507" xr:uid="{00000000-0005-0000-0000-000030700000}"/>
    <cellStyle name="Normal 46 3" xfId="10508" xr:uid="{00000000-0005-0000-0000-000031700000}"/>
    <cellStyle name="Normal 46 3 2" xfId="10509" xr:uid="{00000000-0005-0000-0000-000032700000}"/>
    <cellStyle name="Normal 46 3 2 2" xfId="39827" xr:uid="{00000000-0005-0000-0000-000033700000}"/>
    <cellStyle name="Normal 46 3 3" xfId="10510" xr:uid="{00000000-0005-0000-0000-000034700000}"/>
    <cellStyle name="Normal 46 3 3 2" xfId="39828" xr:uid="{00000000-0005-0000-0000-000035700000}"/>
    <cellStyle name="Normal 46 3 4" xfId="10511" xr:uid="{00000000-0005-0000-0000-000036700000}"/>
    <cellStyle name="Normal 46 3 4 2" xfId="39829" xr:uid="{00000000-0005-0000-0000-000037700000}"/>
    <cellStyle name="Normal 46 3 5" xfId="39830" xr:uid="{00000000-0005-0000-0000-000038700000}"/>
    <cellStyle name="Normal 46 3_01-04-2012" xfId="10512" xr:uid="{00000000-0005-0000-0000-000039700000}"/>
    <cellStyle name="Normal 46 30" xfId="10513" xr:uid="{00000000-0005-0000-0000-00003A700000}"/>
    <cellStyle name="Normal 46 30 2" xfId="10514" xr:uid="{00000000-0005-0000-0000-00003B700000}"/>
    <cellStyle name="Normal 46 30 2 2" xfId="39831" xr:uid="{00000000-0005-0000-0000-00003C700000}"/>
    <cellStyle name="Normal 46 30 3" xfId="10515" xr:uid="{00000000-0005-0000-0000-00003D700000}"/>
    <cellStyle name="Normal 46 30 3 2" xfId="39832" xr:uid="{00000000-0005-0000-0000-00003E700000}"/>
    <cellStyle name="Normal 46 30 4" xfId="10516" xr:uid="{00000000-0005-0000-0000-00003F700000}"/>
    <cellStyle name="Normal 46 30 4 2" xfId="39833" xr:uid="{00000000-0005-0000-0000-000040700000}"/>
    <cellStyle name="Normal 46 30 5" xfId="39834" xr:uid="{00000000-0005-0000-0000-000041700000}"/>
    <cellStyle name="Normal 46 30_01-04-2012" xfId="10517" xr:uid="{00000000-0005-0000-0000-000042700000}"/>
    <cellStyle name="Normal 46 31" xfId="10518" xr:uid="{00000000-0005-0000-0000-000043700000}"/>
    <cellStyle name="Normal 46 31 2" xfId="10519" xr:uid="{00000000-0005-0000-0000-000044700000}"/>
    <cellStyle name="Normal 46 31 2 2" xfId="39835" xr:uid="{00000000-0005-0000-0000-000045700000}"/>
    <cellStyle name="Normal 46 31 3" xfId="10520" xr:uid="{00000000-0005-0000-0000-000046700000}"/>
    <cellStyle name="Normal 46 31 3 2" xfId="39836" xr:uid="{00000000-0005-0000-0000-000047700000}"/>
    <cellStyle name="Normal 46 31 4" xfId="10521" xr:uid="{00000000-0005-0000-0000-000048700000}"/>
    <cellStyle name="Normal 46 31 4 2" xfId="39837" xr:uid="{00000000-0005-0000-0000-000049700000}"/>
    <cellStyle name="Normal 46 31 5" xfId="39838" xr:uid="{00000000-0005-0000-0000-00004A700000}"/>
    <cellStyle name="Normal 46 31_01-04-2012" xfId="10522" xr:uid="{00000000-0005-0000-0000-00004B700000}"/>
    <cellStyle name="Normal 46 32" xfId="10523" xr:uid="{00000000-0005-0000-0000-00004C700000}"/>
    <cellStyle name="Normal 46 32 2" xfId="10524" xr:uid="{00000000-0005-0000-0000-00004D700000}"/>
    <cellStyle name="Normal 46 32 2 2" xfId="39839" xr:uid="{00000000-0005-0000-0000-00004E700000}"/>
    <cellStyle name="Normal 46 32 3" xfId="10525" xr:uid="{00000000-0005-0000-0000-00004F700000}"/>
    <cellStyle name="Normal 46 32 3 2" xfId="39840" xr:uid="{00000000-0005-0000-0000-000050700000}"/>
    <cellStyle name="Normal 46 32 4" xfId="10526" xr:uid="{00000000-0005-0000-0000-000051700000}"/>
    <cellStyle name="Normal 46 32 4 2" xfId="39841" xr:uid="{00000000-0005-0000-0000-000052700000}"/>
    <cellStyle name="Normal 46 32 5" xfId="39842" xr:uid="{00000000-0005-0000-0000-000053700000}"/>
    <cellStyle name="Normal 46 32_01-04-2012" xfId="10527" xr:uid="{00000000-0005-0000-0000-000054700000}"/>
    <cellStyle name="Normal 46 33" xfId="10528" xr:uid="{00000000-0005-0000-0000-000055700000}"/>
    <cellStyle name="Normal 46 33 2" xfId="10529" xr:uid="{00000000-0005-0000-0000-000056700000}"/>
    <cellStyle name="Normal 46 33 2 2" xfId="39843" xr:uid="{00000000-0005-0000-0000-000057700000}"/>
    <cellStyle name="Normal 46 33 3" xfId="10530" xr:uid="{00000000-0005-0000-0000-000058700000}"/>
    <cellStyle name="Normal 46 33 3 2" xfId="39844" xr:uid="{00000000-0005-0000-0000-000059700000}"/>
    <cellStyle name="Normal 46 33 4" xfId="10531" xr:uid="{00000000-0005-0000-0000-00005A700000}"/>
    <cellStyle name="Normal 46 33 4 2" xfId="39845" xr:uid="{00000000-0005-0000-0000-00005B700000}"/>
    <cellStyle name="Normal 46 33 5" xfId="39846" xr:uid="{00000000-0005-0000-0000-00005C700000}"/>
    <cellStyle name="Normal 46 33_01-04-2012" xfId="10532" xr:uid="{00000000-0005-0000-0000-00005D700000}"/>
    <cellStyle name="Normal 46 34" xfId="10533" xr:uid="{00000000-0005-0000-0000-00005E700000}"/>
    <cellStyle name="Normal 46 34 2" xfId="10534" xr:uid="{00000000-0005-0000-0000-00005F700000}"/>
    <cellStyle name="Normal 46 34 2 2" xfId="39847" xr:uid="{00000000-0005-0000-0000-000060700000}"/>
    <cellStyle name="Normal 46 34 3" xfId="10535" xr:uid="{00000000-0005-0000-0000-000061700000}"/>
    <cellStyle name="Normal 46 34 3 2" xfId="39848" xr:uid="{00000000-0005-0000-0000-000062700000}"/>
    <cellStyle name="Normal 46 34 4" xfId="10536" xr:uid="{00000000-0005-0000-0000-000063700000}"/>
    <cellStyle name="Normal 46 34 4 2" xfId="39849" xr:uid="{00000000-0005-0000-0000-000064700000}"/>
    <cellStyle name="Normal 46 34 5" xfId="39850" xr:uid="{00000000-0005-0000-0000-000065700000}"/>
    <cellStyle name="Normal 46 34_01-04-2012" xfId="10537" xr:uid="{00000000-0005-0000-0000-000066700000}"/>
    <cellStyle name="Normal 46 35" xfId="10538" xr:uid="{00000000-0005-0000-0000-000067700000}"/>
    <cellStyle name="Normal 46 35 2" xfId="10539" xr:uid="{00000000-0005-0000-0000-000068700000}"/>
    <cellStyle name="Normal 46 35 2 2" xfId="39851" xr:uid="{00000000-0005-0000-0000-000069700000}"/>
    <cellStyle name="Normal 46 35 3" xfId="10540" xr:uid="{00000000-0005-0000-0000-00006A700000}"/>
    <cellStyle name="Normal 46 35 3 2" xfId="39852" xr:uid="{00000000-0005-0000-0000-00006B700000}"/>
    <cellStyle name="Normal 46 35 4" xfId="10541" xr:uid="{00000000-0005-0000-0000-00006C700000}"/>
    <cellStyle name="Normal 46 35 4 2" xfId="39853" xr:uid="{00000000-0005-0000-0000-00006D700000}"/>
    <cellStyle name="Normal 46 35 5" xfId="39854" xr:uid="{00000000-0005-0000-0000-00006E700000}"/>
    <cellStyle name="Normal 46 35_01-04-2012" xfId="10542" xr:uid="{00000000-0005-0000-0000-00006F700000}"/>
    <cellStyle name="Normal 46 36" xfId="10543" xr:uid="{00000000-0005-0000-0000-000070700000}"/>
    <cellStyle name="Normal 46 36 2" xfId="10544" xr:uid="{00000000-0005-0000-0000-000071700000}"/>
    <cellStyle name="Normal 46 36 2 2" xfId="39855" xr:uid="{00000000-0005-0000-0000-000072700000}"/>
    <cellStyle name="Normal 46 36 3" xfId="10545" xr:uid="{00000000-0005-0000-0000-000073700000}"/>
    <cellStyle name="Normal 46 36 3 2" xfId="39856" xr:uid="{00000000-0005-0000-0000-000074700000}"/>
    <cellStyle name="Normal 46 36 4" xfId="10546" xr:uid="{00000000-0005-0000-0000-000075700000}"/>
    <cellStyle name="Normal 46 36 4 2" xfId="39857" xr:uid="{00000000-0005-0000-0000-000076700000}"/>
    <cellStyle name="Normal 46 36 5" xfId="39858" xr:uid="{00000000-0005-0000-0000-000077700000}"/>
    <cellStyle name="Normal 46 36_01-04-2012" xfId="10547" xr:uid="{00000000-0005-0000-0000-000078700000}"/>
    <cellStyle name="Normal 46 37" xfId="10548" xr:uid="{00000000-0005-0000-0000-000079700000}"/>
    <cellStyle name="Normal 46 37 2" xfId="10549" xr:uid="{00000000-0005-0000-0000-00007A700000}"/>
    <cellStyle name="Normal 46 37 2 2" xfId="39859" xr:uid="{00000000-0005-0000-0000-00007B700000}"/>
    <cellStyle name="Normal 46 37 3" xfId="10550" xr:uid="{00000000-0005-0000-0000-00007C700000}"/>
    <cellStyle name="Normal 46 37 3 2" xfId="39860" xr:uid="{00000000-0005-0000-0000-00007D700000}"/>
    <cellStyle name="Normal 46 37 4" xfId="10551" xr:uid="{00000000-0005-0000-0000-00007E700000}"/>
    <cellStyle name="Normal 46 37 4 2" xfId="39861" xr:uid="{00000000-0005-0000-0000-00007F700000}"/>
    <cellStyle name="Normal 46 37 5" xfId="39862" xr:uid="{00000000-0005-0000-0000-000080700000}"/>
    <cellStyle name="Normal 46 37_01-04-2012" xfId="10552" xr:uid="{00000000-0005-0000-0000-000081700000}"/>
    <cellStyle name="Normal 46 38" xfId="10553" xr:uid="{00000000-0005-0000-0000-000082700000}"/>
    <cellStyle name="Normal 46 38 2" xfId="39863" xr:uid="{00000000-0005-0000-0000-000083700000}"/>
    <cellStyle name="Normal 46 39" xfId="10554" xr:uid="{00000000-0005-0000-0000-000084700000}"/>
    <cellStyle name="Normal 46 39 2" xfId="39864" xr:uid="{00000000-0005-0000-0000-000085700000}"/>
    <cellStyle name="Normal 46 4" xfId="10555" xr:uid="{00000000-0005-0000-0000-000086700000}"/>
    <cellStyle name="Normal 46 4 2" xfId="10556" xr:uid="{00000000-0005-0000-0000-000087700000}"/>
    <cellStyle name="Normal 46 4 2 2" xfId="39865" xr:uid="{00000000-0005-0000-0000-000088700000}"/>
    <cellStyle name="Normal 46 4 3" xfId="10557" xr:uid="{00000000-0005-0000-0000-000089700000}"/>
    <cellStyle name="Normal 46 4 3 2" xfId="39866" xr:uid="{00000000-0005-0000-0000-00008A700000}"/>
    <cellStyle name="Normal 46 4 4" xfId="10558" xr:uid="{00000000-0005-0000-0000-00008B700000}"/>
    <cellStyle name="Normal 46 4 4 2" xfId="39867" xr:uid="{00000000-0005-0000-0000-00008C700000}"/>
    <cellStyle name="Normal 46 4 5" xfId="39868" xr:uid="{00000000-0005-0000-0000-00008D700000}"/>
    <cellStyle name="Normal 46 4_01-04-2012" xfId="10559" xr:uid="{00000000-0005-0000-0000-00008E700000}"/>
    <cellStyle name="Normal 46 40" xfId="10560" xr:uid="{00000000-0005-0000-0000-00008F700000}"/>
    <cellStyle name="Normal 46 40 2" xfId="39869" xr:uid="{00000000-0005-0000-0000-000090700000}"/>
    <cellStyle name="Normal 46 41" xfId="20954" xr:uid="{00000000-0005-0000-0000-000091700000}"/>
    <cellStyle name="Normal 46 41 2" xfId="39870" xr:uid="{00000000-0005-0000-0000-000092700000}"/>
    <cellStyle name="Normal 46 42" xfId="20955" xr:uid="{00000000-0005-0000-0000-000093700000}"/>
    <cellStyle name="Normal 46 43" xfId="20956" xr:uid="{00000000-0005-0000-0000-000094700000}"/>
    <cellStyle name="Normal 46 44" xfId="20957" xr:uid="{00000000-0005-0000-0000-000095700000}"/>
    <cellStyle name="Normal 46 45" xfId="20958" xr:uid="{00000000-0005-0000-0000-000096700000}"/>
    <cellStyle name="Normal 46 46" xfId="20959" xr:uid="{00000000-0005-0000-0000-000097700000}"/>
    <cellStyle name="Normal 46 47" xfId="33742" xr:uid="{00000000-0005-0000-0000-000098700000}"/>
    <cellStyle name="Normal 46 5" xfId="10561" xr:uid="{00000000-0005-0000-0000-000099700000}"/>
    <cellStyle name="Normal 46 5 2" xfId="10562" xr:uid="{00000000-0005-0000-0000-00009A700000}"/>
    <cellStyle name="Normal 46 5 2 2" xfId="39871" xr:uid="{00000000-0005-0000-0000-00009B700000}"/>
    <cellStyle name="Normal 46 5 3" xfId="10563" xr:uid="{00000000-0005-0000-0000-00009C700000}"/>
    <cellStyle name="Normal 46 5 3 2" xfId="39872" xr:uid="{00000000-0005-0000-0000-00009D700000}"/>
    <cellStyle name="Normal 46 5 4" xfId="10564" xr:uid="{00000000-0005-0000-0000-00009E700000}"/>
    <cellStyle name="Normal 46 5 4 2" xfId="39873" xr:uid="{00000000-0005-0000-0000-00009F700000}"/>
    <cellStyle name="Normal 46 5 5" xfId="39874" xr:uid="{00000000-0005-0000-0000-0000A0700000}"/>
    <cellStyle name="Normal 46 5_01-04-2012" xfId="10565" xr:uid="{00000000-0005-0000-0000-0000A1700000}"/>
    <cellStyle name="Normal 46 6" xfId="10566" xr:uid="{00000000-0005-0000-0000-0000A2700000}"/>
    <cellStyle name="Normal 46 6 2" xfId="10567" xr:uid="{00000000-0005-0000-0000-0000A3700000}"/>
    <cellStyle name="Normal 46 6 2 2" xfId="39875" xr:uid="{00000000-0005-0000-0000-0000A4700000}"/>
    <cellStyle name="Normal 46 6 3" xfId="10568" xr:uid="{00000000-0005-0000-0000-0000A5700000}"/>
    <cellStyle name="Normal 46 6 3 2" xfId="39876" xr:uid="{00000000-0005-0000-0000-0000A6700000}"/>
    <cellStyle name="Normal 46 6 4" xfId="10569" xr:uid="{00000000-0005-0000-0000-0000A7700000}"/>
    <cellStyle name="Normal 46 6 4 2" xfId="39877" xr:uid="{00000000-0005-0000-0000-0000A8700000}"/>
    <cellStyle name="Normal 46 6 5" xfId="39878" xr:uid="{00000000-0005-0000-0000-0000A9700000}"/>
    <cellStyle name="Normal 46 6_01-04-2012" xfId="10570" xr:uid="{00000000-0005-0000-0000-0000AA700000}"/>
    <cellStyle name="Normal 46 7" xfId="10571" xr:uid="{00000000-0005-0000-0000-0000AB700000}"/>
    <cellStyle name="Normal 46 7 2" xfId="10572" xr:uid="{00000000-0005-0000-0000-0000AC700000}"/>
    <cellStyle name="Normal 46 7 2 2" xfId="39879" xr:uid="{00000000-0005-0000-0000-0000AD700000}"/>
    <cellStyle name="Normal 46 7 3" xfId="10573" xr:uid="{00000000-0005-0000-0000-0000AE700000}"/>
    <cellStyle name="Normal 46 7 3 2" xfId="39880" xr:uid="{00000000-0005-0000-0000-0000AF700000}"/>
    <cellStyle name="Normal 46 7 4" xfId="10574" xr:uid="{00000000-0005-0000-0000-0000B0700000}"/>
    <cellStyle name="Normal 46 7 4 2" xfId="39881" xr:uid="{00000000-0005-0000-0000-0000B1700000}"/>
    <cellStyle name="Normal 46 7 5" xfId="39882" xr:uid="{00000000-0005-0000-0000-0000B2700000}"/>
    <cellStyle name="Normal 46 7_01-04-2012" xfId="10575" xr:uid="{00000000-0005-0000-0000-0000B3700000}"/>
    <cellStyle name="Normal 46 8" xfId="10576" xr:uid="{00000000-0005-0000-0000-0000B4700000}"/>
    <cellStyle name="Normal 46 8 2" xfId="10577" xr:uid="{00000000-0005-0000-0000-0000B5700000}"/>
    <cellStyle name="Normal 46 8 2 2" xfId="39883" xr:uid="{00000000-0005-0000-0000-0000B6700000}"/>
    <cellStyle name="Normal 46 8 3" xfId="10578" xr:uid="{00000000-0005-0000-0000-0000B7700000}"/>
    <cellStyle name="Normal 46 8 3 2" xfId="39884" xr:uid="{00000000-0005-0000-0000-0000B8700000}"/>
    <cellStyle name="Normal 46 8 4" xfId="10579" xr:uid="{00000000-0005-0000-0000-0000B9700000}"/>
    <cellStyle name="Normal 46 8 4 2" xfId="39885" xr:uid="{00000000-0005-0000-0000-0000BA700000}"/>
    <cellStyle name="Normal 46 8 5" xfId="39886" xr:uid="{00000000-0005-0000-0000-0000BB700000}"/>
    <cellStyle name="Normal 46 8_01-04-2012" xfId="10580" xr:uid="{00000000-0005-0000-0000-0000BC700000}"/>
    <cellStyle name="Normal 46 9" xfId="10581" xr:uid="{00000000-0005-0000-0000-0000BD700000}"/>
    <cellStyle name="Normal 46 9 2" xfId="10582" xr:uid="{00000000-0005-0000-0000-0000BE700000}"/>
    <cellStyle name="Normal 46 9 2 2" xfId="39887" xr:uid="{00000000-0005-0000-0000-0000BF700000}"/>
    <cellStyle name="Normal 46 9 3" xfId="10583" xr:uid="{00000000-0005-0000-0000-0000C0700000}"/>
    <cellStyle name="Normal 46 9 3 2" xfId="39888" xr:uid="{00000000-0005-0000-0000-0000C1700000}"/>
    <cellStyle name="Normal 46 9 4" xfId="10584" xr:uid="{00000000-0005-0000-0000-0000C2700000}"/>
    <cellStyle name="Normal 46 9 4 2" xfId="39889" xr:uid="{00000000-0005-0000-0000-0000C3700000}"/>
    <cellStyle name="Normal 46 9 5" xfId="39890" xr:uid="{00000000-0005-0000-0000-0000C4700000}"/>
    <cellStyle name="Normal 46 9_01-04-2012" xfId="10585" xr:uid="{00000000-0005-0000-0000-0000C5700000}"/>
    <cellStyle name="Normal 46_01-04-2012" xfId="10586" xr:uid="{00000000-0005-0000-0000-0000C6700000}"/>
    <cellStyle name="Normal 460" xfId="20960" xr:uid="{00000000-0005-0000-0000-0000C7700000}"/>
    <cellStyle name="Normal 461" xfId="20961" xr:uid="{00000000-0005-0000-0000-0000C8700000}"/>
    <cellStyle name="Normal 462" xfId="20962" xr:uid="{00000000-0005-0000-0000-0000C9700000}"/>
    <cellStyle name="Normal 463" xfId="20963" xr:uid="{00000000-0005-0000-0000-0000CA700000}"/>
    <cellStyle name="Normal 464" xfId="20964" xr:uid="{00000000-0005-0000-0000-0000CB700000}"/>
    <cellStyle name="Normal 465" xfId="20965" xr:uid="{00000000-0005-0000-0000-0000CC700000}"/>
    <cellStyle name="Normal 466" xfId="20966" xr:uid="{00000000-0005-0000-0000-0000CD700000}"/>
    <cellStyle name="Normal 467" xfId="20967" xr:uid="{00000000-0005-0000-0000-0000CE700000}"/>
    <cellStyle name="Normal 468" xfId="20968" xr:uid="{00000000-0005-0000-0000-0000CF700000}"/>
    <cellStyle name="Normal 469" xfId="20969" xr:uid="{00000000-0005-0000-0000-0000D0700000}"/>
    <cellStyle name="Normal 47" xfId="10587" xr:uid="{00000000-0005-0000-0000-0000D1700000}"/>
    <cellStyle name="Normal 47 10" xfId="10588" xr:uid="{00000000-0005-0000-0000-0000D2700000}"/>
    <cellStyle name="Normal 47 11" xfId="10589" xr:uid="{00000000-0005-0000-0000-0000D3700000}"/>
    <cellStyle name="Normal 47 12" xfId="10590" xr:uid="{00000000-0005-0000-0000-0000D4700000}"/>
    <cellStyle name="Normal 47 13" xfId="10591" xr:uid="{00000000-0005-0000-0000-0000D5700000}"/>
    <cellStyle name="Normal 47 14" xfId="20970" xr:uid="{00000000-0005-0000-0000-0000D6700000}"/>
    <cellStyle name="Normal 47 2" xfId="10592" xr:uid="{00000000-0005-0000-0000-0000D7700000}"/>
    <cellStyle name="Normal 47 3" xfId="10593" xr:uid="{00000000-0005-0000-0000-0000D8700000}"/>
    <cellStyle name="Normal 47 4" xfId="10594" xr:uid="{00000000-0005-0000-0000-0000D9700000}"/>
    <cellStyle name="Normal 47 5" xfId="10595" xr:uid="{00000000-0005-0000-0000-0000DA700000}"/>
    <cellStyle name="Normal 47 6" xfId="10596" xr:uid="{00000000-0005-0000-0000-0000DB700000}"/>
    <cellStyle name="Normal 47 7" xfId="10597" xr:uid="{00000000-0005-0000-0000-0000DC700000}"/>
    <cellStyle name="Normal 47 8" xfId="10598" xr:uid="{00000000-0005-0000-0000-0000DD700000}"/>
    <cellStyle name="Normal 47 9" xfId="10599" xr:uid="{00000000-0005-0000-0000-0000DE700000}"/>
    <cellStyle name="Normal 47_01-04-2012" xfId="10600" xr:uid="{00000000-0005-0000-0000-0000DF700000}"/>
    <cellStyle name="Normal 470" xfId="20971" xr:uid="{00000000-0005-0000-0000-0000E0700000}"/>
    <cellStyle name="Normal 471" xfId="20972" xr:uid="{00000000-0005-0000-0000-0000E1700000}"/>
    <cellStyle name="Normal 472" xfId="20973" xr:uid="{00000000-0005-0000-0000-0000E2700000}"/>
    <cellStyle name="Normal 473" xfId="20974" xr:uid="{00000000-0005-0000-0000-0000E3700000}"/>
    <cellStyle name="Normal 474" xfId="20975" xr:uid="{00000000-0005-0000-0000-0000E4700000}"/>
    <cellStyle name="Normal 475" xfId="20976" xr:uid="{00000000-0005-0000-0000-0000E5700000}"/>
    <cellStyle name="Normal 476" xfId="20977" xr:uid="{00000000-0005-0000-0000-0000E6700000}"/>
    <cellStyle name="Normal 477" xfId="20978" xr:uid="{00000000-0005-0000-0000-0000E7700000}"/>
    <cellStyle name="Normal 478" xfId="20979" xr:uid="{00000000-0005-0000-0000-0000E8700000}"/>
    <cellStyle name="Normal 479" xfId="20980" xr:uid="{00000000-0005-0000-0000-0000E9700000}"/>
    <cellStyle name="Normal 48" xfId="10601" xr:uid="{00000000-0005-0000-0000-0000EA700000}"/>
    <cellStyle name="Normal 48 10" xfId="10602" xr:uid="{00000000-0005-0000-0000-0000EB700000}"/>
    <cellStyle name="Normal 48 11" xfId="10603" xr:uid="{00000000-0005-0000-0000-0000EC700000}"/>
    <cellStyle name="Normal 48 12" xfId="10604" xr:uid="{00000000-0005-0000-0000-0000ED700000}"/>
    <cellStyle name="Normal 48 13" xfId="10605" xr:uid="{00000000-0005-0000-0000-0000EE700000}"/>
    <cellStyle name="Normal 48 14" xfId="20981" xr:uid="{00000000-0005-0000-0000-0000EF700000}"/>
    <cellStyle name="Normal 48 2" xfId="10606" xr:uid="{00000000-0005-0000-0000-0000F0700000}"/>
    <cellStyle name="Normal 48 3" xfId="10607" xr:uid="{00000000-0005-0000-0000-0000F1700000}"/>
    <cellStyle name="Normal 48 4" xfId="10608" xr:uid="{00000000-0005-0000-0000-0000F2700000}"/>
    <cellStyle name="Normal 48 5" xfId="10609" xr:uid="{00000000-0005-0000-0000-0000F3700000}"/>
    <cellStyle name="Normal 48 6" xfId="10610" xr:uid="{00000000-0005-0000-0000-0000F4700000}"/>
    <cellStyle name="Normal 48 7" xfId="10611" xr:uid="{00000000-0005-0000-0000-0000F5700000}"/>
    <cellStyle name="Normal 48 8" xfId="10612" xr:uid="{00000000-0005-0000-0000-0000F6700000}"/>
    <cellStyle name="Normal 48 9" xfId="10613" xr:uid="{00000000-0005-0000-0000-0000F7700000}"/>
    <cellStyle name="Normal 48_01-04-2012" xfId="10614" xr:uid="{00000000-0005-0000-0000-0000F8700000}"/>
    <cellStyle name="Normal 480" xfId="20982" xr:uid="{00000000-0005-0000-0000-0000F9700000}"/>
    <cellStyle name="Normal 481" xfId="20983" xr:uid="{00000000-0005-0000-0000-0000FA700000}"/>
    <cellStyle name="Normal 482" xfId="20984" xr:uid="{00000000-0005-0000-0000-0000FB700000}"/>
    <cellStyle name="Normal 483" xfId="20985" xr:uid="{00000000-0005-0000-0000-0000FC700000}"/>
    <cellStyle name="Normal 484" xfId="20986" xr:uid="{00000000-0005-0000-0000-0000FD700000}"/>
    <cellStyle name="Normal 485" xfId="20987" xr:uid="{00000000-0005-0000-0000-0000FE700000}"/>
    <cellStyle name="Normal 486" xfId="20988" xr:uid="{00000000-0005-0000-0000-0000FF700000}"/>
    <cellStyle name="Normal 487" xfId="20989" xr:uid="{00000000-0005-0000-0000-000000710000}"/>
    <cellStyle name="Normal 488" xfId="20990" xr:uid="{00000000-0005-0000-0000-000001710000}"/>
    <cellStyle name="Normal 489" xfId="20991" xr:uid="{00000000-0005-0000-0000-000002710000}"/>
    <cellStyle name="Normal 49" xfId="10615" xr:uid="{00000000-0005-0000-0000-000003710000}"/>
    <cellStyle name="Normal 49 10" xfId="10616" xr:uid="{00000000-0005-0000-0000-000004710000}"/>
    <cellStyle name="Normal 49 11" xfId="10617" xr:uid="{00000000-0005-0000-0000-000005710000}"/>
    <cellStyle name="Normal 49 12" xfId="10618" xr:uid="{00000000-0005-0000-0000-000006710000}"/>
    <cellStyle name="Normal 49 13" xfId="10619" xr:uid="{00000000-0005-0000-0000-000007710000}"/>
    <cellStyle name="Normal 49 14" xfId="20992" xr:uid="{00000000-0005-0000-0000-000008710000}"/>
    <cellStyle name="Normal 49 2" xfId="10620" xr:uid="{00000000-0005-0000-0000-000009710000}"/>
    <cellStyle name="Normal 49 3" xfId="10621" xr:uid="{00000000-0005-0000-0000-00000A710000}"/>
    <cellStyle name="Normal 49 4" xfId="10622" xr:uid="{00000000-0005-0000-0000-00000B710000}"/>
    <cellStyle name="Normal 49 5" xfId="10623" xr:uid="{00000000-0005-0000-0000-00000C710000}"/>
    <cellStyle name="Normal 49 6" xfId="10624" xr:uid="{00000000-0005-0000-0000-00000D710000}"/>
    <cellStyle name="Normal 49 7" xfId="10625" xr:uid="{00000000-0005-0000-0000-00000E710000}"/>
    <cellStyle name="Normal 49 8" xfId="10626" xr:uid="{00000000-0005-0000-0000-00000F710000}"/>
    <cellStyle name="Normal 49 9" xfId="10627" xr:uid="{00000000-0005-0000-0000-000010710000}"/>
    <cellStyle name="Normal 49_01-04-2012" xfId="10628" xr:uid="{00000000-0005-0000-0000-000011710000}"/>
    <cellStyle name="Normal 490" xfId="20993" xr:uid="{00000000-0005-0000-0000-000012710000}"/>
    <cellStyle name="Normal 491" xfId="20994" xr:uid="{00000000-0005-0000-0000-000013710000}"/>
    <cellStyle name="Normal 492" xfId="20995" xr:uid="{00000000-0005-0000-0000-000014710000}"/>
    <cellStyle name="Normal 493" xfId="20996" xr:uid="{00000000-0005-0000-0000-000015710000}"/>
    <cellStyle name="Normal 494" xfId="20997" xr:uid="{00000000-0005-0000-0000-000016710000}"/>
    <cellStyle name="Normal 495" xfId="20998" xr:uid="{00000000-0005-0000-0000-000017710000}"/>
    <cellStyle name="Normal 496" xfId="20999" xr:uid="{00000000-0005-0000-0000-000018710000}"/>
    <cellStyle name="Normal 497" xfId="21000" xr:uid="{00000000-0005-0000-0000-000019710000}"/>
    <cellStyle name="Normal 498" xfId="21001" xr:uid="{00000000-0005-0000-0000-00001A710000}"/>
    <cellStyle name="Normal 499" xfId="21002" xr:uid="{00000000-0005-0000-0000-00001B710000}"/>
    <cellStyle name="Normal 5" xfId="10629" xr:uid="{00000000-0005-0000-0000-00001C710000}"/>
    <cellStyle name="Normal 5 10" xfId="10630" xr:uid="{00000000-0005-0000-0000-00001D710000}"/>
    <cellStyle name="Normal 5 10 2" xfId="21003" xr:uid="{00000000-0005-0000-0000-00001E710000}"/>
    <cellStyle name="Normal 5 10 2 2" xfId="33744" xr:uid="{00000000-0005-0000-0000-00001F710000}"/>
    <cellStyle name="Normal 5 10 3" xfId="21004" xr:uid="{00000000-0005-0000-0000-000020710000}"/>
    <cellStyle name="Normal 5 11" xfId="10631" xr:uid="{00000000-0005-0000-0000-000021710000}"/>
    <cellStyle name="Normal 5 11 2" xfId="21005" xr:uid="{00000000-0005-0000-0000-000022710000}"/>
    <cellStyle name="Normal 5 12" xfId="10632" xr:uid="{00000000-0005-0000-0000-000023710000}"/>
    <cellStyle name="Normal 5 12 2" xfId="21006" xr:uid="{00000000-0005-0000-0000-000024710000}"/>
    <cellStyle name="Normal 5 13" xfId="10633" xr:uid="{00000000-0005-0000-0000-000025710000}"/>
    <cellStyle name="Normal 5 13 2" xfId="21007" xr:uid="{00000000-0005-0000-0000-000026710000}"/>
    <cellStyle name="Normal 5 14" xfId="10634" xr:uid="{00000000-0005-0000-0000-000027710000}"/>
    <cellStyle name="Normal 5 15" xfId="10635" xr:uid="{00000000-0005-0000-0000-000028710000}"/>
    <cellStyle name="Normal 5 16" xfId="10636" xr:uid="{00000000-0005-0000-0000-000029710000}"/>
    <cellStyle name="Normal 5 17" xfId="10637" xr:uid="{00000000-0005-0000-0000-00002A710000}"/>
    <cellStyle name="Normal 5 18" xfId="10638" xr:uid="{00000000-0005-0000-0000-00002B710000}"/>
    <cellStyle name="Normal 5 19" xfId="10639" xr:uid="{00000000-0005-0000-0000-00002C710000}"/>
    <cellStyle name="Normal 5 2" xfId="10640" xr:uid="{00000000-0005-0000-0000-00002D710000}"/>
    <cellStyle name="Normal 5 2 10" xfId="10641" xr:uid="{00000000-0005-0000-0000-00002E710000}"/>
    <cellStyle name="Normal 5 2 10 2" xfId="21008" xr:uid="{00000000-0005-0000-0000-00002F710000}"/>
    <cellStyle name="Normal 5 2 10 2 2" xfId="33745" xr:uid="{00000000-0005-0000-0000-000030710000}"/>
    <cellStyle name="Normal 5 2 10 3" xfId="21009" xr:uid="{00000000-0005-0000-0000-000031710000}"/>
    <cellStyle name="Normal 5 2 11" xfId="10642" xr:uid="{00000000-0005-0000-0000-000032710000}"/>
    <cellStyle name="Normal 5 2 11 2" xfId="21010" xr:uid="{00000000-0005-0000-0000-000033710000}"/>
    <cellStyle name="Normal 5 2 11 2 2" xfId="33746" xr:uid="{00000000-0005-0000-0000-000034710000}"/>
    <cellStyle name="Normal 5 2 11 3" xfId="21011" xr:uid="{00000000-0005-0000-0000-000035710000}"/>
    <cellStyle name="Normal 5 2 12" xfId="10643" xr:uid="{00000000-0005-0000-0000-000036710000}"/>
    <cellStyle name="Normal 5 2 12 2" xfId="21012" xr:uid="{00000000-0005-0000-0000-000037710000}"/>
    <cellStyle name="Normal 5 2 13" xfId="10644" xr:uid="{00000000-0005-0000-0000-000038710000}"/>
    <cellStyle name="Normal 5 2 13 2" xfId="21013" xr:uid="{00000000-0005-0000-0000-000039710000}"/>
    <cellStyle name="Normal 5 2 14" xfId="10645" xr:uid="{00000000-0005-0000-0000-00003A710000}"/>
    <cellStyle name="Normal 5 2 14 2" xfId="21014" xr:uid="{00000000-0005-0000-0000-00003B710000}"/>
    <cellStyle name="Normal 5 2 15" xfId="10646" xr:uid="{00000000-0005-0000-0000-00003C710000}"/>
    <cellStyle name="Normal 5 2 15 2" xfId="21015" xr:uid="{00000000-0005-0000-0000-00003D710000}"/>
    <cellStyle name="Normal 5 2 16" xfId="10647" xr:uid="{00000000-0005-0000-0000-00003E710000}"/>
    <cellStyle name="Normal 5 2 17" xfId="10648" xr:uid="{00000000-0005-0000-0000-00003F710000}"/>
    <cellStyle name="Normal 5 2 18" xfId="10649" xr:uid="{00000000-0005-0000-0000-000040710000}"/>
    <cellStyle name="Normal 5 2 19" xfId="10650" xr:uid="{00000000-0005-0000-0000-000041710000}"/>
    <cellStyle name="Normal 5 2 2" xfId="10651" xr:uid="{00000000-0005-0000-0000-000042710000}"/>
    <cellStyle name="Normal 5 2 2 2" xfId="21016" xr:uid="{00000000-0005-0000-0000-000043710000}"/>
    <cellStyle name="Normal 5 2 2 2 2" xfId="21017" xr:uid="{00000000-0005-0000-0000-000044710000}"/>
    <cellStyle name="Normal 5 2 2 2 2 2" xfId="33747" xr:uid="{00000000-0005-0000-0000-000045710000}"/>
    <cellStyle name="Normal 5 2 2 2 3" xfId="33748" xr:uid="{00000000-0005-0000-0000-000046710000}"/>
    <cellStyle name="Normal 5 2 2 2 4" xfId="39891" xr:uid="{00000000-0005-0000-0000-000047710000}"/>
    <cellStyle name="Normal 5 2 2 3" xfId="21018" xr:uid="{00000000-0005-0000-0000-000048710000}"/>
    <cellStyle name="Normal 5 2 2 3 2" xfId="33749" xr:uid="{00000000-0005-0000-0000-000049710000}"/>
    <cellStyle name="Normal 5 2 2 4" xfId="21019" xr:uid="{00000000-0005-0000-0000-00004A710000}"/>
    <cellStyle name="Normal 5 2 2 5" xfId="21020" xr:uid="{00000000-0005-0000-0000-00004B710000}"/>
    <cellStyle name="Normal 5 2 2 6" xfId="21021" xr:uid="{00000000-0005-0000-0000-00004C710000}"/>
    <cellStyle name="Normal 5 2 20" xfId="10652" xr:uid="{00000000-0005-0000-0000-00004D710000}"/>
    <cellStyle name="Normal 5 2 21" xfId="10653" xr:uid="{00000000-0005-0000-0000-00004E710000}"/>
    <cellStyle name="Normal 5 2 22" xfId="10654" xr:uid="{00000000-0005-0000-0000-00004F710000}"/>
    <cellStyle name="Normal 5 2 23" xfId="10655" xr:uid="{00000000-0005-0000-0000-000050710000}"/>
    <cellStyle name="Normal 5 2 24" xfId="10656" xr:uid="{00000000-0005-0000-0000-000051710000}"/>
    <cellStyle name="Normal 5 2 25" xfId="10657" xr:uid="{00000000-0005-0000-0000-000052710000}"/>
    <cellStyle name="Normal 5 2 26" xfId="10658" xr:uid="{00000000-0005-0000-0000-000053710000}"/>
    <cellStyle name="Normal 5 2 27" xfId="10659" xr:uid="{00000000-0005-0000-0000-000054710000}"/>
    <cellStyle name="Normal 5 2 28" xfId="10660" xr:uid="{00000000-0005-0000-0000-000055710000}"/>
    <cellStyle name="Normal 5 2 29" xfId="10661" xr:uid="{00000000-0005-0000-0000-000056710000}"/>
    <cellStyle name="Normal 5 2 3" xfId="10662" xr:uid="{00000000-0005-0000-0000-000057710000}"/>
    <cellStyle name="Normal 5 2 3 2" xfId="21022" xr:uid="{00000000-0005-0000-0000-000058710000}"/>
    <cellStyle name="Normal 5 2 3 2 2" xfId="21023" xr:uid="{00000000-0005-0000-0000-000059710000}"/>
    <cellStyle name="Normal 5 2 3 2 2 2" xfId="33750" xr:uid="{00000000-0005-0000-0000-00005A710000}"/>
    <cellStyle name="Normal 5 2 3 2 3" xfId="33751" xr:uid="{00000000-0005-0000-0000-00005B710000}"/>
    <cellStyle name="Normal 5 2 3 3" xfId="21024" xr:uid="{00000000-0005-0000-0000-00005C710000}"/>
    <cellStyle name="Normal 5 2 3 3 2" xfId="33752" xr:uid="{00000000-0005-0000-0000-00005D710000}"/>
    <cellStyle name="Normal 5 2 3 4" xfId="21025" xr:uid="{00000000-0005-0000-0000-00005E710000}"/>
    <cellStyle name="Normal 5 2 30" xfId="10663" xr:uid="{00000000-0005-0000-0000-00005F710000}"/>
    <cellStyle name="Normal 5 2 31" xfId="10664" xr:uid="{00000000-0005-0000-0000-000060710000}"/>
    <cellStyle name="Normal 5 2 32" xfId="10665" xr:uid="{00000000-0005-0000-0000-000061710000}"/>
    <cellStyle name="Normal 5 2 33" xfId="10666" xr:uid="{00000000-0005-0000-0000-000062710000}"/>
    <cellStyle name="Normal 5 2 34" xfId="10667" xr:uid="{00000000-0005-0000-0000-000063710000}"/>
    <cellStyle name="Normal 5 2 35" xfId="10668" xr:uid="{00000000-0005-0000-0000-000064710000}"/>
    <cellStyle name="Normal 5 2 36" xfId="10669" xr:uid="{00000000-0005-0000-0000-000065710000}"/>
    <cellStyle name="Normal 5 2 37" xfId="10670" xr:uid="{00000000-0005-0000-0000-000066710000}"/>
    <cellStyle name="Normal 5 2 38" xfId="10671" xr:uid="{00000000-0005-0000-0000-000067710000}"/>
    <cellStyle name="Normal 5 2 39" xfId="10672" xr:uid="{00000000-0005-0000-0000-000068710000}"/>
    <cellStyle name="Normal 5 2 4" xfId="10673" xr:uid="{00000000-0005-0000-0000-000069710000}"/>
    <cellStyle name="Normal 5 2 4 2" xfId="21026" xr:uid="{00000000-0005-0000-0000-00006A710000}"/>
    <cellStyle name="Normal 5 2 4 2 2" xfId="21027" xr:uid="{00000000-0005-0000-0000-00006B710000}"/>
    <cellStyle name="Normal 5 2 4 2 2 2" xfId="33753" xr:uid="{00000000-0005-0000-0000-00006C710000}"/>
    <cellStyle name="Normal 5 2 4 2 3" xfId="33754" xr:uid="{00000000-0005-0000-0000-00006D710000}"/>
    <cellStyle name="Normal 5 2 4 3" xfId="21028" xr:uid="{00000000-0005-0000-0000-00006E710000}"/>
    <cellStyle name="Normal 5 2 4 3 2" xfId="33755" xr:uid="{00000000-0005-0000-0000-00006F710000}"/>
    <cellStyle name="Normal 5 2 4 4" xfId="21029" xr:uid="{00000000-0005-0000-0000-000070710000}"/>
    <cellStyle name="Normal 5 2 40" xfId="10674" xr:uid="{00000000-0005-0000-0000-000071710000}"/>
    <cellStyle name="Normal 5 2 41" xfId="10675" xr:uid="{00000000-0005-0000-0000-000072710000}"/>
    <cellStyle name="Normal 5 2 42" xfId="10676" xr:uid="{00000000-0005-0000-0000-000073710000}"/>
    <cellStyle name="Normal 5 2 43" xfId="10677" xr:uid="{00000000-0005-0000-0000-000074710000}"/>
    <cellStyle name="Normal 5 2 44" xfId="10678" xr:uid="{00000000-0005-0000-0000-000075710000}"/>
    <cellStyle name="Normal 5 2 45" xfId="10679" xr:uid="{00000000-0005-0000-0000-000076710000}"/>
    <cellStyle name="Normal 5 2 46" xfId="10680" xr:uid="{00000000-0005-0000-0000-000077710000}"/>
    <cellStyle name="Normal 5 2 47" xfId="10681" xr:uid="{00000000-0005-0000-0000-000078710000}"/>
    <cellStyle name="Normal 5 2 48" xfId="10682" xr:uid="{00000000-0005-0000-0000-000079710000}"/>
    <cellStyle name="Normal 5 2 49" xfId="10683" xr:uid="{00000000-0005-0000-0000-00007A710000}"/>
    <cellStyle name="Normal 5 2 5" xfId="10684" xr:uid="{00000000-0005-0000-0000-00007B710000}"/>
    <cellStyle name="Normal 5 2 5 2" xfId="21030" xr:uid="{00000000-0005-0000-0000-00007C710000}"/>
    <cellStyle name="Normal 5 2 5 2 2" xfId="21031" xr:uid="{00000000-0005-0000-0000-00007D710000}"/>
    <cellStyle name="Normal 5 2 5 2 2 2" xfId="33756" xr:uid="{00000000-0005-0000-0000-00007E710000}"/>
    <cellStyle name="Normal 5 2 5 2 3" xfId="33757" xr:uid="{00000000-0005-0000-0000-00007F710000}"/>
    <cellStyle name="Normal 5 2 5 3" xfId="21032" xr:uid="{00000000-0005-0000-0000-000080710000}"/>
    <cellStyle name="Normal 5 2 5 3 2" xfId="33758" xr:uid="{00000000-0005-0000-0000-000081710000}"/>
    <cellStyle name="Normal 5 2 5 4" xfId="21033" xr:uid="{00000000-0005-0000-0000-000082710000}"/>
    <cellStyle name="Normal 5 2 50" xfId="10685" xr:uid="{00000000-0005-0000-0000-000083710000}"/>
    <cellStyle name="Normal 5 2 50 2" xfId="39892" xr:uid="{00000000-0005-0000-0000-000084710000}"/>
    <cellStyle name="Normal 5 2 51" xfId="10686" xr:uid="{00000000-0005-0000-0000-000085710000}"/>
    <cellStyle name="Normal 5 2 51 2" xfId="39893" xr:uid="{00000000-0005-0000-0000-000086710000}"/>
    <cellStyle name="Normal 5 2 52" xfId="10687" xr:uid="{00000000-0005-0000-0000-000087710000}"/>
    <cellStyle name="Normal 5 2 52 2" xfId="39894" xr:uid="{00000000-0005-0000-0000-000088710000}"/>
    <cellStyle name="Normal 5 2 6" xfId="10688" xr:uid="{00000000-0005-0000-0000-000089710000}"/>
    <cellStyle name="Normal 5 2 6 2" xfId="21034" xr:uid="{00000000-0005-0000-0000-00008A710000}"/>
    <cellStyle name="Normal 5 2 6 2 2" xfId="21035" xr:uid="{00000000-0005-0000-0000-00008B710000}"/>
    <cellStyle name="Normal 5 2 6 2 2 2" xfId="33759" xr:uid="{00000000-0005-0000-0000-00008C710000}"/>
    <cellStyle name="Normal 5 2 6 2 3" xfId="33760" xr:uid="{00000000-0005-0000-0000-00008D710000}"/>
    <cellStyle name="Normal 5 2 6 3" xfId="21036" xr:uid="{00000000-0005-0000-0000-00008E710000}"/>
    <cellStyle name="Normal 5 2 6 3 2" xfId="33761" xr:uid="{00000000-0005-0000-0000-00008F710000}"/>
    <cellStyle name="Normal 5 2 6 4" xfId="21037" xr:uid="{00000000-0005-0000-0000-000090710000}"/>
    <cellStyle name="Normal 5 2 7" xfId="10689" xr:uid="{00000000-0005-0000-0000-000091710000}"/>
    <cellStyle name="Normal 5 2 7 2" xfId="21038" xr:uid="{00000000-0005-0000-0000-000092710000}"/>
    <cellStyle name="Normal 5 2 7 2 2" xfId="21039" xr:uid="{00000000-0005-0000-0000-000093710000}"/>
    <cellStyle name="Normal 5 2 7 2 2 2" xfId="33762" xr:uid="{00000000-0005-0000-0000-000094710000}"/>
    <cellStyle name="Normal 5 2 7 2 3" xfId="33763" xr:uid="{00000000-0005-0000-0000-000095710000}"/>
    <cellStyle name="Normal 5 2 7 3" xfId="21040" xr:uid="{00000000-0005-0000-0000-000096710000}"/>
    <cellStyle name="Normal 5 2 7 3 2" xfId="33764" xr:uid="{00000000-0005-0000-0000-000097710000}"/>
    <cellStyle name="Normal 5 2 7 4" xfId="21041" xr:uid="{00000000-0005-0000-0000-000098710000}"/>
    <cellStyle name="Normal 5 2 8" xfId="10690" xr:uid="{00000000-0005-0000-0000-000099710000}"/>
    <cellStyle name="Normal 5 2 8 2" xfId="21042" xr:uid="{00000000-0005-0000-0000-00009A710000}"/>
    <cellStyle name="Normal 5 2 8 2 2" xfId="21043" xr:uid="{00000000-0005-0000-0000-00009B710000}"/>
    <cellStyle name="Normal 5 2 8 2 2 2" xfId="33765" xr:uid="{00000000-0005-0000-0000-00009C710000}"/>
    <cellStyle name="Normal 5 2 8 2 3" xfId="33766" xr:uid="{00000000-0005-0000-0000-00009D710000}"/>
    <cellStyle name="Normal 5 2 8 3" xfId="21044" xr:uid="{00000000-0005-0000-0000-00009E710000}"/>
    <cellStyle name="Normal 5 2 8 3 2" xfId="33767" xr:uid="{00000000-0005-0000-0000-00009F710000}"/>
    <cellStyle name="Normal 5 2 8 4" xfId="21045" xr:uid="{00000000-0005-0000-0000-0000A0710000}"/>
    <cellStyle name="Normal 5 2 9" xfId="10691" xr:uid="{00000000-0005-0000-0000-0000A1710000}"/>
    <cellStyle name="Normal 5 2 9 2" xfId="21046" xr:uid="{00000000-0005-0000-0000-0000A2710000}"/>
    <cellStyle name="Normal 5 2 9 2 2" xfId="33768" xr:uid="{00000000-0005-0000-0000-0000A3710000}"/>
    <cellStyle name="Normal 5 2 9 3" xfId="21047" xr:uid="{00000000-0005-0000-0000-0000A4710000}"/>
    <cellStyle name="Normal 5 2_01-04-2012" xfId="10692" xr:uid="{00000000-0005-0000-0000-0000A5710000}"/>
    <cellStyle name="Normal 5 20" xfId="10693" xr:uid="{00000000-0005-0000-0000-0000A6710000}"/>
    <cellStyle name="Normal 5 21" xfId="10694" xr:uid="{00000000-0005-0000-0000-0000A7710000}"/>
    <cellStyle name="Normal 5 22" xfId="10695" xr:uid="{00000000-0005-0000-0000-0000A8710000}"/>
    <cellStyle name="Normal 5 23" xfId="10696" xr:uid="{00000000-0005-0000-0000-0000A9710000}"/>
    <cellStyle name="Normal 5 24" xfId="10697" xr:uid="{00000000-0005-0000-0000-0000AA710000}"/>
    <cellStyle name="Normal 5 25" xfId="10698" xr:uid="{00000000-0005-0000-0000-0000AB710000}"/>
    <cellStyle name="Normal 5 26" xfId="10699" xr:uid="{00000000-0005-0000-0000-0000AC710000}"/>
    <cellStyle name="Normal 5 27" xfId="10700" xr:uid="{00000000-0005-0000-0000-0000AD710000}"/>
    <cellStyle name="Normal 5 28" xfId="10701" xr:uid="{00000000-0005-0000-0000-0000AE710000}"/>
    <cellStyle name="Normal 5 29" xfId="10702" xr:uid="{00000000-0005-0000-0000-0000AF710000}"/>
    <cellStyle name="Normal 5 3" xfId="10703" xr:uid="{00000000-0005-0000-0000-0000B0710000}"/>
    <cellStyle name="Normal 5 3 10" xfId="10704" xr:uid="{00000000-0005-0000-0000-0000B1710000}"/>
    <cellStyle name="Normal 5 3 10 2" xfId="21048" xr:uid="{00000000-0005-0000-0000-0000B2710000}"/>
    <cellStyle name="Normal 5 3 10 2 2" xfId="21049" xr:uid="{00000000-0005-0000-0000-0000B3710000}"/>
    <cellStyle name="Normal 5 3 10 2 3" xfId="21050" xr:uid="{00000000-0005-0000-0000-0000B4710000}"/>
    <cellStyle name="Normal 5 3 10 2 4" xfId="21051" xr:uid="{00000000-0005-0000-0000-0000B5710000}"/>
    <cellStyle name="Normal 5 3 10 2 5" xfId="21052" xr:uid="{00000000-0005-0000-0000-0000B6710000}"/>
    <cellStyle name="Normal 5 3 10 2 6" xfId="21053" xr:uid="{00000000-0005-0000-0000-0000B7710000}"/>
    <cellStyle name="Normal 5 3 10 2 7" xfId="21054" xr:uid="{00000000-0005-0000-0000-0000B8710000}"/>
    <cellStyle name="Normal 5 3 10 3" xfId="21055" xr:uid="{00000000-0005-0000-0000-0000B9710000}"/>
    <cellStyle name="Normal 5 3 10 4" xfId="21056" xr:uid="{00000000-0005-0000-0000-0000BA710000}"/>
    <cellStyle name="Normal 5 3 10 5" xfId="21057" xr:uid="{00000000-0005-0000-0000-0000BB710000}"/>
    <cellStyle name="Normal 5 3 10 6" xfId="21058" xr:uid="{00000000-0005-0000-0000-0000BC710000}"/>
    <cellStyle name="Normal 5 3 10 7" xfId="21059" xr:uid="{00000000-0005-0000-0000-0000BD710000}"/>
    <cellStyle name="Normal 5 3 10 8" xfId="21060" xr:uid="{00000000-0005-0000-0000-0000BE710000}"/>
    <cellStyle name="Normal 5 3 10 9" xfId="21061" xr:uid="{00000000-0005-0000-0000-0000BF710000}"/>
    <cellStyle name="Normal 5 3 11" xfId="10705" xr:uid="{00000000-0005-0000-0000-0000C0710000}"/>
    <cellStyle name="Normal 5 3 11 2" xfId="21062" xr:uid="{00000000-0005-0000-0000-0000C1710000}"/>
    <cellStyle name="Normal 5 3 11 2 2" xfId="21063" xr:uid="{00000000-0005-0000-0000-0000C2710000}"/>
    <cellStyle name="Normal 5 3 11 2 3" xfId="21064" xr:uid="{00000000-0005-0000-0000-0000C3710000}"/>
    <cellStyle name="Normal 5 3 11 2 4" xfId="21065" xr:uid="{00000000-0005-0000-0000-0000C4710000}"/>
    <cellStyle name="Normal 5 3 11 2 5" xfId="21066" xr:uid="{00000000-0005-0000-0000-0000C5710000}"/>
    <cellStyle name="Normal 5 3 11 2 6" xfId="21067" xr:uid="{00000000-0005-0000-0000-0000C6710000}"/>
    <cellStyle name="Normal 5 3 11 2 7" xfId="21068" xr:uid="{00000000-0005-0000-0000-0000C7710000}"/>
    <cellStyle name="Normal 5 3 11 3" xfId="21069" xr:uid="{00000000-0005-0000-0000-0000C8710000}"/>
    <cellStyle name="Normal 5 3 11 4" xfId="21070" xr:uid="{00000000-0005-0000-0000-0000C9710000}"/>
    <cellStyle name="Normal 5 3 11 5" xfId="21071" xr:uid="{00000000-0005-0000-0000-0000CA710000}"/>
    <cellStyle name="Normal 5 3 11 6" xfId="21072" xr:uid="{00000000-0005-0000-0000-0000CB710000}"/>
    <cellStyle name="Normal 5 3 11 7" xfId="21073" xr:uid="{00000000-0005-0000-0000-0000CC710000}"/>
    <cellStyle name="Normal 5 3 11 8" xfId="21074" xr:uid="{00000000-0005-0000-0000-0000CD710000}"/>
    <cellStyle name="Normal 5 3 11 9" xfId="21075" xr:uid="{00000000-0005-0000-0000-0000CE710000}"/>
    <cellStyle name="Normal 5 3 12" xfId="10706" xr:uid="{00000000-0005-0000-0000-0000CF710000}"/>
    <cellStyle name="Normal 5 3 12 10" xfId="21076" xr:uid="{00000000-0005-0000-0000-0000D0710000}"/>
    <cellStyle name="Normal 5 3 12 2" xfId="21077" xr:uid="{00000000-0005-0000-0000-0000D1710000}"/>
    <cellStyle name="Normal 5 3 12 2 2" xfId="21078" xr:uid="{00000000-0005-0000-0000-0000D2710000}"/>
    <cellStyle name="Normal 5 3 12 2 3" xfId="21079" xr:uid="{00000000-0005-0000-0000-0000D3710000}"/>
    <cellStyle name="Normal 5 3 12 2 4" xfId="21080" xr:uid="{00000000-0005-0000-0000-0000D4710000}"/>
    <cellStyle name="Normal 5 3 12 2 5" xfId="21081" xr:uid="{00000000-0005-0000-0000-0000D5710000}"/>
    <cellStyle name="Normal 5 3 12 2 6" xfId="21082" xr:uid="{00000000-0005-0000-0000-0000D6710000}"/>
    <cellStyle name="Normal 5 3 12 2 7" xfId="21083" xr:uid="{00000000-0005-0000-0000-0000D7710000}"/>
    <cellStyle name="Normal 5 3 12 2 8" xfId="33769" xr:uid="{00000000-0005-0000-0000-0000D8710000}"/>
    <cellStyle name="Normal 5 3 12 3" xfId="21084" xr:uid="{00000000-0005-0000-0000-0000D9710000}"/>
    <cellStyle name="Normal 5 3 12 4" xfId="21085" xr:uid="{00000000-0005-0000-0000-0000DA710000}"/>
    <cellStyle name="Normal 5 3 12 5" xfId="21086" xr:uid="{00000000-0005-0000-0000-0000DB710000}"/>
    <cellStyle name="Normal 5 3 12 6" xfId="21087" xr:uid="{00000000-0005-0000-0000-0000DC710000}"/>
    <cellStyle name="Normal 5 3 12 7" xfId="21088" xr:uid="{00000000-0005-0000-0000-0000DD710000}"/>
    <cellStyle name="Normal 5 3 12 8" xfId="21089" xr:uid="{00000000-0005-0000-0000-0000DE710000}"/>
    <cellStyle name="Normal 5 3 12 9" xfId="21090" xr:uid="{00000000-0005-0000-0000-0000DF710000}"/>
    <cellStyle name="Normal 5 3 13" xfId="10707" xr:uid="{00000000-0005-0000-0000-0000E0710000}"/>
    <cellStyle name="Normal 5 3 13 2" xfId="21091" xr:uid="{00000000-0005-0000-0000-0000E1710000}"/>
    <cellStyle name="Normal 5 3 13 2 2" xfId="21092" xr:uid="{00000000-0005-0000-0000-0000E2710000}"/>
    <cellStyle name="Normal 5 3 13 2 3" xfId="21093" xr:uid="{00000000-0005-0000-0000-0000E3710000}"/>
    <cellStyle name="Normal 5 3 13 2 4" xfId="21094" xr:uid="{00000000-0005-0000-0000-0000E4710000}"/>
    <cellStyle name="Normal 5 3 13 2 5" xfId="21095" xr:uid="{00000000-0005-0000-0000-0000E5710000}"/>
    <cellStyle name="Normal 5 3 13 2 6" xfId="21096" xr:uid="{00000000-0005-0000-0000-0000E6710000}"/>
    <cellStyle name="Normal 5 3 13 2 7" xfId="21097" xr:uid="{00000000-0005-0000-0000-0000E7710000}"/>
    <cellStyle name="Normal 5 3 13 3" xfId="21098" xr:uid="{00000000-0005-0000-0000-0000E8710000}"/>
    <cellStyle name="Normal 5 3 13 4" xfId="21099" xr:uid="{00000000-0005-0000-0000-0000E9710000}"/>
    <cellStyle name="Normal 5 3 13 5" xfId="21100" xr:uid="{00000000-0005-0000-0000-0000EA710000}"/>
    <cellStyle name="Normal 5 3 13 6" xfId="21101" xr:uid="{00000000-0005-0000-0000-0000EB710000}"/>
    <cellStyle name="Normal 5 3 13 7" xfId="21102" xr:uid="{00000000-0005-0000-0000-0000EC710000}"/>
    <cellStyle name="Normal 5 3 13 8" xfId="21103" xr:uid="{00000000-0005-0000-0000-0000ED710000}"/>
    <cellStyle name="Normal 5 3 13 9" xfId="21104" xr:uid="{00000000-0005-0000-0000-0000EE710000}"/>
    <cellStyle name="Normal 5 3 13 9 2" xfId="33770" xr:uid="{00000000-0005-0000-0000-0000EF710000}"/>
    <cellStyle name="Normal 5 3 14" xfId="10708" xr:uid="{00000000-0005-0000-0000-0000F0710000}"/>
    <cellStyle name="Normal 5 3 14 2" xfId="21105" xr:uid="{00000000-0005-0000-0000-0000F1710000}"/>
    <cellStyle name="Normal 5 3 14 2 2" xfId="21106" xr:uid="{00000000-0005-0000-0000-0000F2710000}"/>
    <cellStyle name="Normal 5 3 14 2 3" xfId="21107" xr:uid="{00000000-0005-0000-0000-0000F3710000}"/>
    <cellStyle name="Normal 5 3 14 2 4" xfId="21108" xr:uid="{00000000-0005-0000-0000-0000F4710000}"/>
    <cellStyle name="Normal 5 3 14 2 5" xfId="21109" xr:uid="{00000000-0005-0000-0000-0000F5710000}"/>
    <cellStyle name="Normal 5 3 14 2 6" xfId="21110" xr:uid="{00000000-0005-0000-0000-0000F6710000}"/>
    <cellStyle name="Normal 5 3 14 2 7" xfId="21111" xr:uid="{00000000-0005-0000-0000-0000F7710000}"/>
    <cellStyle name="Normal 5 3 14 3" xfId="21112" xr:uid="{00000000-0005-0000-0000-0000F8710000}"/>
    <cellStyle name="Normal 5 3 14 4" xfId="21113" xr:uid="{00000000-0005-0000-0000-0000F9710000}"/>
    <cellStyle name="Normal 5 3 14 5" xfId="21114" xr:uid="{00000000-0005-0000-0000-0000FA710000}"/>
    <cellStyle name="Normal 5 3 14 6" xfId="21115" xr:uid="{00000000-0005-0000-0000-0000FB710000}"/>
    <cellStyle name="Normal 5 3 14 7" xfId="21116" xr:uid="{00000000-0005-0000-0000-0000FC710000}"/>
    <cellStyle name="Normal 5 3 14 8" xfId="21117" xr:uid="{00000000-0005-0000-0000-0000FD710000}"/>
    <cellStyle name="Normal 5 3 14 9" xfId="21118" xr:uid="{00000000-0005-0000-0000-0000FE710000}"/>
    <cellStyle name="Normal 5 3 15" xfId="10709" xr:uid="{00000000-0005-0000-0000-0000FF710000}"/>
    <cellStyle name="Normal 5 3 15 2" xfId="21119" xr:uid="{00000000-0005-0000-0000-000000720000}"/>
    <cellStyle name="Normal 5 3 15 2 2" xfId="21120" xr:uid="{00000000-0005-0000-0000-000001720000}"/>
    <cellStyle name="Normal 5 3 15 2 3" xfId="21121" xr:uid="{00000000-0005-0000-0000-000002720000}"/>
    <cellStyle name="Normal 5 3 15 2 4" xfId="21122" xr:uid="{00000000-0005-0000-0000-000003720000}"/>
    <cellStyle name="Normal 5 3 15 2 5" xfId="21123" xr:uid="{00000000-0005-0000-0000-000004720000}"/>
    <cellStyle name="Normal 5 3 15 2 6" xfId="21124" xr:uid="{00000000-0005-0000-0000-000005720000}"/>
    <cellStyle name="Normal 5 3 15 2 7" xfId="21125" xr:uid="{00000000-0005-0000-0000-000006720000}"/>
    <cellStyle name="Normal 5 3 15 3" xfId="21126" xr:uid="{00000000-0005-0000-0000-000007720000}"/>
    <cellStyle name="Normal 5 3 15 4" xfId="21127" xr:uid="{00000000-0005-0000-0000-000008720000}"/>
    <cellStyle name="Normal 5 3 15 5" xfId="21128" xr:uid="{00000000-0005-0000-0000-000009720000}"/>
    <cellStyle name="Normal 5 3 15 6" xfId="21129" xr:uid="{00000000-0005-0000-0000-00000A720000}"/>
    <cellStyle name="Normal 5 3 15 7" xfId="21130" xr:uid="{00000000-0005-0000-0000-00000B720000}"/>
    <cellStyle name="Normal 5 3 15 8" xfId="21131" xr:uid="{00000000-0005-0000-0000-00000C720000}"/>
    <cellStyle name="Normal 5 3 15 9" xfId="21132" xr:uid="{00000000-0005-0000-0000-00000D720000}"/>
    <cellStyle name="Normal 5 3 16" xfId="10710" xr:uid="{00000000-0005-0000-0000-00000E720000}"/>
    <cellStyle name="Normal 5 3 16 2" xfId="21133" xr:uid="{00000000-0005-0000-0000-00000F720000}"/>
    <cellStyle name="Normal 5 3 16 3" xfId="21134" xr:uid="{00000000-0005-0000-0000-000010720000}"/>
    <cellStyle name="Normal 5 3 16 4" xfId="21135" xr:uid="{00000000-0005-0000-0000-000011720000}"/>
    <cellStyle name="Normal 5 3 16 5" xfId="21136" xr:uid="{00000000-0005-0000-0000-000012720000}"/>
    <cellStyle name="Normal 5 3 16 6" xfId="21137" xr:uid="{00000000-0005-0000-0000-000013720000}"/>
    <cellStyle name="Normal 5 3 16 7" xfId="21138" xr:uid="{00000000-0005-0000-0000-000014720000}"/>
    <cellStyle name="Normal 5 3 16 8" xfId="21139" xr:uid="{00000000-0005-0000-0000-000015720000}"/>
    <cellStyle name="Normal 5 3 17" xfId="10711" xr:uid="{00000000-0005-0000-0000-000016720000}"/>
    <cellStyle name="Normal 5 3 17 2" xfId="21140" xr:uid="{00000000-0005-0000-0000-000017720000}"/>
    <cellStyle name="Normal 5 3 17 3" xfId="21141" xr:uid="{00000000-0005-0000-0000-000018720000}"/>
    <cellStyle name="Normal 5 3 17 4" xfId="21142" xr:uid="{00000000-0005-0000-0000-000019720000}"/>
    <cellStyle name="Normal 5 3 17 5" xfId="21143" xr:uid="{00000000-0005-0000-0000-00001A720000}"/>
    <cellStyle name="Normal 5 3 17 6" xfId="21144" xr:uid="{00000000-0005-0000-0000-00001B720000}"/>
    <cellStyle name="Normal 5 3 17 7" xfId="21145" xr:uid="{00000000-0005-0000-0000-00001C720000}"/>
    <cellStyle name="Normal 5 3 17 8" xfId="21146" xr:uid="{00000000-0005-0000-0000-00001D720000}"/>
    <cellStyle name="Normal 5 3 18" xfId="10712" xr:uid="{00000000-0005-0000-0000-00001E720000}"/>
    <cellStyle name="Normal 5 3 18 2" xfId="21147" xr:uid="{00000000-0005-0000-0000-00001F720000}"/>
    <cellStyle name="Normal 5 3 18 3" xfId="21148" xr:uid="{00000000-0005-0000-0000-000020720000}"/>
    <cellStyle name="Normal 5 3 18 4" xfId="21149" xr:uid="{00000000-0005-0000-0000-000021720000}"/>
    <cellStyle name="Normal 5 3 18 5" xfId="21150" xr:uid="{00000000-0005-0000-0000-000022720000}"/>
    <cellStyle name="Normal 5 3 18 6" xfId="21151" xr:uid="{00000000-0005-0000-0000-000023720000}"/>
    <cellStyle name="Normal 5 3 18 7" xfId="21152" xr:uid="{00000000-0005-0000-0000-000024720000}"/>
    <cellStyle name="Normal 5 3 18 8" xfId="21153" xr:uid="{00000000-0005-0000-0000-000025720000}"/>
    <cellStyle name="Normal 5 3 19" xfId="10713" xr:uid="{00000000-0005-0000-0000-000026720000}"/>
    <cellStyle name="Normal 5 3 19 2" xfId="21154" xr:uid="{00000000-0005-0000-0000-000027720000}"/>
    <cellStyle name="Normal 5 3 19 3" xfId="21155" xr:uid="{00000000-0005-0000-0000-000028720000}"/>
    <cellStyle name="Normal 5 3 19 4" xfId="21156" xr:uid="{00000000-0005-0000-0000-000029720000}"/>
    <cellStyle name="Normal 5 3 19 5" xfId="21157" xr:uid="{00000000-0005-0000-0000-00002A720000}"/>
    <cellStyle name="Normal 5 3 19 6" xfId="21158" xr:uid="{00000000-0005-0000-0000-00002B720000}"/>
    <cellStyle name="Normal 5 3 19 7" xfId="21159" xr:uid="{00000000-0005-0000-0000-00002C720000}"/>
    <cellStyle name="Normal 5 3 19 8" xfId="21160" xr:uid="{00000000-0005-0000-0000-00002D720000}"/>
    <cellStyle name="Normal 5 3 2" xfId="10714" xr:uid="{00000000-0005-0000-0000-00002E720000}"/>
    <cellStyle name="Normal 5 3 2 10" xfId="21161" xr:uid="{00000000-0005-0000-0000-00002F720000}"/>
    <cellStyle name="Normal 5 3 2 2" xfId="21162" xr:uid="{00000000-0005-0000-0000-000030720000}"/>
    <cellStyle name="Normal 5 3 2 2 2" xfId="21163" xr:uid="{00000000-0005-0000-0000-000031720000}"/>
    <cellStyle name="Normal 5 3 2 2 2 2" xfId="21164" xr:uid="{00000000-0005-0000-0000-000032720000}"/>
    <cellStyle name="Normal 5 3 2 2 3" xfId="21165" xr:uid="{00000000-0005-0000-0000-000033720000}"/>
    <cellStyle name="Normal 5 3 2 2 3 2" xfId="33771" xr:uid="{00000000-0005-0000-0000-000034720000}"/>
    <cellStyle name="Normal 5 3 2 2 4" xfId="21166" xr:uid="{00000000-0005-0000-0000-000035720000}"/>
    <cellStyle name="Normal 5 3 2 2 5" xfId="21167" xr:uid="{00000000-0005-0000-0000-000036720000}"/>
    <cellStyle name="Normal 5 3 2 2 6" xfId="21168" xr:uid="{00000000-0005-0000-0000-000037720000}"/>
    <cellStyle name="Normal 5 3 2 2 7" xfId="21169" xr:uid="{00000000-0005-0000-0000-000038720000}"/>
    <cellStyle name="Normal 5 3 2 2 8" xfId="21170" xr:uid="{00000000-0005-0000-0000-000039720000}"/>
    <cellStyle name="Normal 5 3 2 3" xfId="21171" xr:uid="{00000000-0005-0000-0000-00003A720000}"/>
    <cellStyle name="Normal 5 3 2 3 2" xfId="21172" xr:uid="{00000000-0005-0000-0000-00003B720000}"/>
    <cellStyle name="Normal 5 3 2 4" xfId="21173" xr:uid="{00000000-0005-0000-0000-00003C720000}"/>
    <cellStyle name="Normal 5 3 2 4 2" xfId="33772" xr:uid="{00000000-0005-0000-0000-00003D720000}"/>
    <cellStyle name="Normal 5 3 2 5" xfId="21174" xr:uid="{00000000-0005-0000-0000-00003E720000}"/>
    <cellStyle name="Normal 5 3 2 6" xfId="21175" xr:uid="{00000000-0005-0000-0000-00003F720000}"/>
    <cellStyle name="Normal 5 3 2 7" xfId="21176" xr:uid="{00000000-0005-0000-0000-000040720000}"/>
    <cellStyle name="Normal 5 3 2 8" xfId="21177" xr:uid="{00000000-0005-0000-0000-000041720000}"/>
    <cellStyle name="Normal 5 3 2 9" xfId="21178" xr:uid="{00000000-0005-0000-0000-000042720000}"/>
    <cellStyle name="Normal 5 3 20" xfId="10715" xr:uid="{00000000-0005-0000-0000-000043720000}"/>
    <cellStyle name="Normal 5 3 20 2" xfId="21179" xr:uid="{00000000-0005-0000-0000-000044720000}"/>
    <cellStyle name="Normal 5 3 20 3" xfId="21180" xr:uid="{00000000-0005-0000-0000-000045720000}"/>
    <cellStyle name="Normal 5 3 20 4" xfId="21181" xr:uid="{00000000-0005-0000-0000-000046720000}"/>
    <cellStyle name="Normal 5 3 20 5" xfId="21182" xr:uid="{00000000-0005-0000-0000-000047720000}"/>
    <cellStyle name="Normal 5 3 20 6" xfId="21183" xr:uid="{00000000-0005-0000-0000-000048720000}"/>
    <cellStyle name="Normal 5 3 20 7" xfId="21184" xr:uid="{00000000-0005-0000-0000-000049720000}"/>
    <cellStyle name="Normal 5 3 20 8" xfId="21185" xr:uid="{00000000-0005-0000-0000-00004A720000}"/>
    <cellStyle name="Normal 5 3 21" xfId="10716" xr:uid="{00000000-0005-0000-0000-00004B720000}"/>
    <cellStyle name="Normal 5 3 21 2" xfId="21186" xr:uid="{00000000-0005-0000-0000-00004C720000}"/>
    <cellStyle name="Normal 5 3 21 3" xfId="21187" xr:uid="{00000000-0005-0000-0000-00004D720000}"/>
    <cellStyle name="Normal 5 3 21 4" xfId="21188" xr:uid="{00000000-0005-0000-0000-00004E720000}"/>
    <cellStyle name="Normal 5 3 21 5" xfId="21189" xr:uid="{00000000-0005-0000-0000-00004F720000}"/>
    <cellStyle name="Normal 5 3 21 6" xfId="21190" xr:uid="{00000000-0005-0000-0000-000050720000}"/>
    <cellStyle name="Normal 5 3 21 7" xfId="21191" xr:uid="{00000000-0005-0000-0000-000051720000}"/>
    <cellStyle name="Normal 5 3 21 8" xfId="21192" xr:uid="{00000000-0005-0000-0000-000052720000}"/>
    <cellStyle name="Normal 5 3 22" xfId="10717" xr:uid="{00000000-0005-0000-0000-000053720000}"/>
    <cellStyle name="Normal 5 3 22 2" xfId="21193" xr:uid="{00000000-0005-0000-0000-000054720000}"/>
    <cellStyle name="Normal 5 3 22 3" xfId="21194" xr:uid="{00000000-0005-0000-0000-000055720000}"/>
    <cellStyle name="Normal 5 3 22 4" xfId="21195" xr:uid="{00000000-0005-0000-0000-000056720000}"/>
    <cellStyle name="Normal 5 3 22 5" xfId="21196" xr:uid="{00000000-0005-0000-0000-000057720000}"/>
    <cellStyle name="Normal 5 3 22 6" xfId="21197" xr:uid="{00000000-0005-0000-0000-000058720000}"/>
    <cellStyle name="Normal 5 3 22 7" xfId="21198" xr:uid="{00000000-0005-0000-0000-000059720000}"/>
    <cellStyle name="Normal 5 3 22 8" xfId="21199" xr:uid="{00000000-0005-0000-0000-00005A720000}"/>
    <cellStyle name="Normal 5 3 23" xfId="10718" xr:uid="{00000000-0005-0000-0000-00005B720000}"/>
    <cellStyle name="Normal 5 3 23 2" xfId="21200" xr:uid="{00000000-0005-0000-0000-00005C720000}"/>
    <cellStyle name="Normal 5 3 23 3" xfId="21201" xr:uid="{00000000-0005-0000-0000-00005D720000}"/>
    <cellStyle name="Normal 5 3 23 4" xfId="21202" xr:uid="{00000000-0005-0000-0000-00005E720000}"/>
    <cellStyle name="Normal 5 3 23 5" xfId="21203" xr:uid="{00000000-0005-0000-0000-00005F720000}"/>
    <cellStyle name="Normal 5 3 23 6" xfId="21204" xr:uid="{00000000-0005-0000-0000-000060720000}"/>
    <cellStyle name="Normal 5 3 23 7" xfId="21205" xr:uid="{00000000-0005-0000-0000-000061720000}"/>
    <cellStyle name="Normal 5 3 23 8" xfId="21206" xr:uid="{00000000-0005-0000-0000-000062720000}"/>
    <cellStyle name="Normal 5 3 24" xfId="10719" xr:uid="{00000000-0005-0000-0000-000063720000}"/>
    <cellStyle name="Normal 5 3 24 2" xfId="21207" xr:uid="{00000000-0005-0000-0000-000064720000}"/>
    <cellStyle name="Normal 5 3 24 3" xfId="21208" xr:uid="{00000000-0005-0000-0000-000065720000}"/>
    <cellStyle name="Normal 5 3 24 4" xfId="21209" xr:uid="{00000000-0005-0000-0000-000066720000}"/>
    <cellStyle name="Normal 5 3 24 5" xfId="21210" xr:uid="{00000000-0005-0000-0000-000067720000}"/>
    <cellStyle name="Normal 5 3 24 6" xfId="21211" xr:uid="{00000000-0005-0000-0000-000068720000}"/>
    <cellStyle name="Normal 5 3 24 7" xfId="21212" xr:uid="{00000000-0005-0000-0000-000069720000}"/>
    <cellStyle name="Normal 5 3 24 8" xfId="21213" xr:uid="{00000000-0005-0000-0000-00006A720000}"/>
    <cellStyle name="Normal 5 3 25" xfId="10720" xr:uid="{00000000-0005-0000-0000-00006B720000}"/>
    <cellStyle name="Normal 5 3 25 2" xfId="21214" xr:uid="{00000000-0005-0000-0000-00006C720000}"/>
    <cellStyle name="Normal 5 3 25 3" xfId="21215" xr:uid="{00000000-0005-0000-0000-00006D720000}"/>
    <cellStyle name="Normal 5 3 25 4" xfId="21216" xr:uid="{00000000-0005-0000-0000-00006E720000}"/>
    <cellStyle name="Normal 5 3 25 5" xfId="21217" xr:uid="{00000000-0005-0000-0000-00006F720000}"/>
    <cellStyle name="Normal 5 3 25 6" xfId="21218" xr:uid="{00000000-0005-0000-0000-000070720000}"/>
    <cellStyle name="Normal 5 3 25 7" xfId="21219" xr:uid="{00000000-0005-0000-0000-000071720000}"/>
    <cellStyle name="Normal 5 3 25 8" xfId="21220" xr:uid="{00000000-0005-0000-0000-000072720000}"/>
    <cellStyle name="Normal 5 3 26" xfId="10721" xr:uid="{00000000-0005-0000-0000-000073720000}"/>
    <cellStyle name="Normal 5 3 26 2" xfId="21221" xr:uid="{00000000-0005-0000-0000-000074720000}"/>
    <cellStyle name="Normal 5 3 26 3" xfId="21222" xr:uid="{00000000-0005-0000-0000-000075720000}"/>
    <cellStyle name="Normal 5 3 26 4" xfId="21223" xr:uid="{00000000-0005-0000-0000-000076720000}"/>
    <cellStyle name="Normal 5 3 26 5" xfId="21224" xr:uid="{00000000-0005-0000-0000-000077720000}"/>
    <cellStyle name="Normal 5 3 26 6" xfId="21225" xr:uid="{00000000-0005-0000-0000-000078720000}"/>
    <cellStyle name="Normal 5 3 26 7" xfId="21226" xr:uid="{00000000-0005-0000-0000-000079720000}"/>
    <cellStyle name="Normal 5 3 26 8" xfId="21227" xr:uid="{00000000-0005-0000-0000-00007A720000}"/>
    <cellStyle name="Normal 5 3 27" xfId="10722" xr:uid="{00000000-0005-0000-0000-00007B720000}"/>
    <cellStyle name="Normal 5 3 27 2" xfId="21228" xr:uid="{00000000-0005-0000-0000-00007C720000}"/>
    <cellStyle name="Normal 5 3 27 3" xfId="21229" xr:uid="{00000000-0005-0000-0000-00007D720000}"/>
    <cellStyle name="Normal 5 3 27 4" xfId="21230" xr:uid="{00000000-0005-0000-0000-00007E720000}"/>
    <cellStyle name="Normal 5 3 27 5" xfId="21231" xr:uid="{00000000-0005-0000-0000-00007F720000}"/>
    <cellStyle name="Normal 5 3 27 6" xfId="21232" xr:uid="{00000000-0005-0000-0000-000080720000}"/>
    <cellStyle name="Normal 5 3 27 7" xfId="21233" xr:uid="{00000000-0005-0000-0000-000081720000}"/>
    <cellStyle name="Normal 5 3 27 8" xfId="21234" xr:uid="{00000000-0005-0000-0000-000082720000}"/>
    <cellStyle name="Normal 5 3 28" xfId="10723" xr:uid="{00000000-0005-0000-0000-000083720000}"/>
    <cellStyle name="Normal 5 3 28 2" xfId="21235" xr:uid="{00000000-0005-0000-0000-000084720000}"/>
    <cellStyle name="Normal 5 3 28 3" xfId="21236" xr:uid="{00000000-0005-0000-0000-000085720000}"/>
    <cellStyle name="Normal 5 3 28 4" xfId="21237" xr:uid="{00000000-0005-0000-0000-000086720000}"/>
    <cellStyle name="Normal 5 3 28 5" xfId="21238" xr:uid="{00000000-0005-0000-0000-000087720000}"/>
    <cellStyle name="Normal 5 3 28 6" xfId="21239" xr:uid="{00000000-0005-0000-0000-000088720000}"/>
    <cellStyle name="Normal 5 3 28 7" xfId="21240" xr:uid="{00000000-0005-0000-0000-000089720000}"/>
    <cellStyle name="Normal 5 3 28 8" xfId="21241" xr:uid="{00000000-0005-0000-0000-00008A720000}"/>
    <cellStyle name="Normal 5 3 29" xfId="10724" xr:uid="{00000000-0005-0000-0000-00008B720000}"/>
    <cellStyle name="Normal 5 3 29 2" xfId="21242" xr:uid="{00000000-0005-0000-0000-00008C720000}"/>
    <cellStyle name="Normal 5 3 29 3" xfId="21243" xr:uid="{00000000-0005-0000-0000-00008D720000}"/>
    <cellStyle name="Normal 5 3 29 4" xfId="21244" xr:uid="{00000000-0005-0000-0000-00008E720000}"/>
    <cellStyle name="Normal 5 3 29 5" xfId="21245" xr:uid="{00000000-0005-0000-0000-00008F720000}"/>
    <cellStyle name="Normal 5 3 29 6" xfId="21246" xr:uid="{00000000-0005-0000-0000-000090720000}"/>
    <cellStyle name="Normal 5 3 29 7" xfId="21247" xr:uid="{00000000-0005-0000-0000-000091720000}"/>
    <cellStyle name="Normal 5 3 29 8" xfId="21248" xr:uid="{00000000-0005-0000-0000-000092720000}"/>
    <cellStyle name="Normal 5 3 3" xfId="10725" xr:uid="{00000000-0005-0000-0000-000093720000}"/>
    <cellStyle name="Normal 5 3 3 10" xfId="21249" xr:uid="{00000000-0005-0000-0000-000094720000}"/>
    <cellStyle name="Normal 5 3 3 2" xfId="21250" xr:uid="{00000000-0005-0000-0000-000095720000}"/>
    <cellStyle name="Normal 5 3 3 2 2" xfId="21251" xr:uid="{00000000-0005-0000-0000-000096720000}"/>
    <cellStyle name="Normal 5 3 3 2 2 2" xfId="21252" xr:uid="{00000000-0005-0000-0000-000097720000}"/>
    <cellStyle name="Normal 5 3 3 2 3" xfId="21253" xr:uid="{00000000-0005-0000-0000-000098720000}"/>
    <cellStyle name="Normal 5 3 3 2 3 2" xfId="33773" xr:uid="{00000000-0005-0000-0000-000099720000}"/>
    <cellStyle name="Normal 5 3 3 2 4" xfId="21254" xr:uid="{00000000-0005-0000-0000-00009A720000}"/>
    <cellStyle name="Normal 5 3 3 2 5" xfId="21255" xr:uid="{00000000-0005-0000-0000-00009B720000}"/>
    <cellStyle name="Normal 5 3 3 2 6" xfId="21256" xr:uid="{00000000-0005-0000-0000-00009C720000}"/>
    <cellStyle name="Normal 5 3 3 2 7" xfId="21257" xr:uid="{00000000-0005-0000-0000-00009D720000}"/>
    <cellStyle name="Normal 5 3 3 2 8" xfId="21258" xr:uid="{00000000-0005-0000-0000-00009E720000}"/>
    <cellStyle name="Normal 5 3 3 3" xfId="21259" xr:uid="{00000000-0005-0000-0000-00009F720000}"/>
    <cellStyle name="Normal 5 3 3 3 2" xfId="21260" xr:uid="{00000000-0005-0000-0000-0000A0720000}"/>
    <cellStyle name="Normal 5 3 3 4" xfId="21261" xr:uid="{00000000-0005-0000-0000-0000A1720000}"/>
    <cellStyle name="Normal 5 3 3 4 2" xfId="33774" xr:uid="{00000000-0005-0000-0000-0000A2720000}"/>
    <cellStyle name="Normal 5 3 3 5" xfId="21262" xr:uid="{00000000-0005-0000-0000-0000A3720000}"/>
    <cellStyle name="Normal 5 3 3 6" xfId="21263" xr:uid="{00000000-0005-0000-0000-0000A4720000}"/>
    <cellStyle name="Normal 5 3 3 7" xfId="21264" xr:uid="{00000000-0005-0000-0000-0000A5720000}"/>
    <cellStyle name="Normal 5 3 3 8" xfId="21265" xr:uid="{00000000-0005-0000-0000-0000A6720000}"/>
    <cellStyle name="Normal 5 3 3 9" xfId="21266" xr:uid="{00000000-0005-0000-0000-0000A7720000}"/>
    <cellStyle name="Normal 5 3 30" xfId="10726" xr:uid="{00000000-0005-0000-0000-0000A8720000}"/>
    <cellStyle name="Normal 5 3 30 2" xfId="21267" xr:uid="{00000000-0005-0000-0000-0000A9720000}"/>
    <cellStyle name="Normal 5 3 30 3" xfId="21268" xr:uid="{00000000-0005-0000-0000-0000AA720000}"/>
    <cellStyle name="Normal 5 3 30 4" xfId="21269" xr:uid="{00000000-0005-0000-0000-0000AB720000}"/>
    <cellStyle name="Normal 5 3 30 5" xfId="21270" xr:uid="{00000000-0005-0000-0000-0000AC720000}"/>
    <cellStyle name="Normal 5 3 30 6" xfId="21271" xr:uid="{00000000-0005-0000-0000-0000AD720000}"/>
    <cellStyle name="Normal 5 3 30 7" xfId="21272" xr:uid="{00000000-0005-0000-0000-0000AE720000}"/>
    <cellStyle name="Normal 5 3 30 8" xfId="21273" xr:uid="{00000000-0005-0000-0000-0000AF720000}"/>
    <cellStyle name="Normal 5 3 31" xfId="10727" xr:uid="{00000000-0005-0000-0000-0000B0720000}"/>
    <cellStyle name="Normal 5 3 31 2" xfId="21274" xr:uid="{00000000-0005-0000-0000-0000B1720000}"/>
    <cellStyle name="Normal 5 3 31 3" xfId="21275" xr:uid="{00000000-0005-0000-0000-0000B2720000}"/>
    <cellStyle name="Normal 5 3 31 4" xfId="21276" xr:uid="{00000000-0005-0000-0000-0000B3720000}"/>
    <cellStyle name="Normal 5 3 31 5" xfId="21277" xr:uid="{00000000-0005-0000-0000-0000B4720000}"/>
    <cellStyle name="Normal 5 3 31 6" xfId="21278" xr:uid="{00000000-0005-0000-0000-0000B5720000}"/>
    <cellStyle name="Normal 5 3 31 7" xfId="21279" xr:uid="{00000000-0005-0000-0000-0000B6720000}"/>
    <cellStyle name="Normal 5 3 31 8" xfId="21280" xr:uid="{00000000-0005-0000-0000-0000B7720000}"/>
    <cellStyle name="Normal 5 3 32" xfId="10728" xr:uid="{00000000-0005-0000-0000-0000B8720000}"/>
    <cellStyle name="Normal 5 3 32 2" xfId="21281" xr:uid="{00000000-0005-0000-0000-0000B9720000}"/>
    <cellStyle name="Normal 5 3 32 3" xfId="21282" xr:uid="{00000000-0005-0000-0000-0000BA720000}"/>
    <cellStyle name="Normal 5 3 32 4" xfId="21283" xr:uid="{00000000-0005-0000-0000-0000BB720000}"/>
    <cellStyle name="Normal 5 3 32 5" xfId="21284" xr:uid="{00000000-0005-0000-0000-0000BC720000}"/>
    <cellStyle name="Normal 5 3 32 6" xfId="21285" xr:uid="{00000000-0005-0000-0000-0000BD720000}"/>
    <cellStyle name="Normal 5 3 32 7" xfId="21286" xr:uid="{00000000-0005-0000-0000-0000BE720000}"/>
    <cellStyle name="Normal 5 3 32 8" xfId="21287" xr:uid="{00000000-0005-0000-0000-0000BF720000}"/>
    <cellStyle name="Normal 5 3 33" xfId="10729" xr:uid="{00000000-0005-0000-0000-0000C0720000}"/>
    <cellStyle name="Normal 5 3 33 2" xfId="21288" xr:uid="{00000000-0005-0000-0000-0000C1720000}"/>
    <cellStyle name="Normal 5 3 33 3" xfId="21289" xr:uid="{00000000-0005-0000-0000-0000C2720000}"/>
    <cellStyle name="Normal 5 3 33 4" xfId="21290" xr:uid="{00000000-0005-0000-0000-0000C3720000}"/>
    <cellStyle name="Normal 5 3 33 5" xfId="21291" xr:uid="{00000000-0005-0000-0000-0000C4720000}"/>
    <cellStyle name="Normal 5 3 33 6" xfId="21292" xr:uid="{00000000-0005-0000-0000-0000C5720000}"/>
    <cellStyle name="Normal 5 3 33 7" xfId="21293" xr:uid="{00000000-0005-0000-0000-0000C6720000}"/>
    <cellStyle name="Normal 5 3 33 8" xfId="21294" xr:uid="{00000000-0005-0000-0000-0000C7720000}"/>
    <cellStyle name="Normal 5 3 34" xfId="10730" xr:uid="{00000000-0005-0000-0000-0000C8720000}"/>
    <cellStyle name="Normal 5 3 34 2" xfId="21295" xr:uid="{00000000-0005-0000-0000-0000C9720000}"/>
    <cellStyle name="Normal 5 3 34 3" xfId="21296" xr:uid="{00000000-0005-0000-0000-0000CA720000}"/>
    <cellStyle name="Normal 5 3 34 4" xfId="21297" xr:uid="{00000000-0005-0000-0000-0000CB720000}"/>
    <cellStyle name="Normal 5 3 34 5" xfId="21298" xr:uid="{00000000-0005-0000-0000-0000CC720000}"/>
    <cellStyle name="Normal 5 3 34 6" xfId="21299" xr:uid="{00000000-0005-0000-0000-0000CD720000}"/>
    <cellStyle name="Normal 5 3 34 7" xfId="21300" xr:uid="{00000000-0005-0000-0000-0000CE720000}"/>
    <cellStyle name="Normal 5 3 34 8" xfId="21301" xr:uid="{00000000-0005-0000-0000-0000CF720000}"/>
    <cellStyle name="Normal 5 3 35" xfId="10731" xr:uid="{00000000-0005-0000-0000-0000D0720000}"/>
    <cellStyle name="Normal 5 3 35 2" xfId="21302" xr:uid="{00000000-0005-0000-0000-0000D1720000}"/>
    <cellStyle name="Normal 5 3 35 3" xfId="21303" xr:uid="{00000000-0005-0000-0000-0000D2720000}"/>
    <cellStyle name="Normal 5 3 35 4" xfId="21304" xr:uid="{00000000-0005-0000-0000-0000D3720000}"/>
    <cellStyle name="Normal 5 3 35 5" xfId="21305" xr:uid="{00000000-0005-0000-0000-0000D4720000}"/>
    <cellStyle name="Normal 5 3 35 6" xfId="21306" xr:uid="{00000000-0005-0000-0000-0000D5720000}"/>
    <cellStyle name="Normal 5 3 35 7" xfId="21307" xr:uid="{00000000-0005-0000-0000-0000D6720000}"/>
    <cellStyle name="Normal 5 3 35 8" xfId="21308" xr:uid="{00000000-0005-0000-0000-0000D7720000}"/>
    <cellStyle name="Normal 5 3 36" xfId="10732" xr:uid="{00000000-0005-0000-0000-0000D8720000}"/>
    <cellStyle name="Normal 5 3 36 2" xfId="21309" xr:uid="{00000000-0005-0000-0000-0000D9720000}"/>
    <cellStyle name="Normal 5 3 36 3" xfId="21310" xr:uid="{00000000-0005-0000-0000-0000DA720000}"/>
    <cellStyle name="Normal 5 3 37" xfId="10733" xr:uid="{00000000-0005-0000-0000-0000DB720000}"/>
    <cellStyle name="Normal 5 3 37 2" xfId="21311" xr:uid="{00000000-0005-0000-0000-0000DC720000}"/>
    <cellStyle name="Normal 5 3 38" xfId="10734" xr:uid="{00000000-0005-0000-0000-0000DD720000}"/>
    <cellStyle name="Normal 5 3 38 2" xfId="21312" xr:uid="{00000000-0005-0000-0000-0000DE720000}"/>
    <cellStyle name="Normal 5 3 39" xfId="10735" xr:uid="{00000000-0005-0000-0000-0000DF720000}"/>
    <cellStyle name="Normal 5 3 39 2" xfId="21313" xr:uid="{00000000-0005-0000-0000-0000E0720000}"/>
    <cellStyle name="Normal 5 3 4" xfId="10736" xr:uid="{00000000-0005-0000-0000-0000E1720000}"/>
    <cellStyle name="Normal 5 3 4 10" xfId="21314" xr:uid="{00000000-0005-0000-0000-0000E2720000}"/>
    <cellStyle name="Normal 5 3 4 2" xfId="21315" xr:uid="{00000000-0005-0000-0000-0000E3720000}"/>
    <cellStyle name="Normal 5 3 4 2 2" xfId="21316" xr:uid="{00000000-0005-0000-0000-0000E4720000}"/>
    <cellStyle name="Normal 5 3 4 2 2 2" xfId="21317" xr:uid="{00000000-0005-0000-0000-0000E5720000}"/>
    <cellStyle name="Normal 5 3 4 2 3" xfId="21318" xr:uid="{00000000-0005-0000-0000-0000E6720000}"/>
    <cellStyle name="Normal 5 3 4 2 3 2" xfId="33775" xr:uid="{00000000-0005-0000-0000-0000E7720000}"/>
    <cellStyle name="Normal 5 3 4 2 4" xfId="21319" xr:uid="{00000000-0005-0000-0000-0000E8720000}"/>
    <cellStyle name="Normal 5 3 4 2 5" xfId="21320" xr:uid="{00000000-0005-0000-0000-0000E9720000}"/>
    <cellStyle name="Normal 5 3 4 2 6" xfId="21321" xr:uid="{00000000-0005-0000-0000-0000EA720000}"/>
    <cellStyle name="Normal 5 3 4 2 7" xfId="21322" xr:uid="{00000000-0005-0000-0000-0000EB720000}"/>
    <cellStyle name="Normal 5 3 4 2 8" xfId="21323" xr:uid="{00000000-0005-0000-0000-0000EC720000}"/>
    <cellStyle name="Normal 5 3 4 3" xfId="21324" xr:uid="{00000000-0005-0000-0000-0000ED720000}"/>
    <cellStyle name="Normal 5 3 4 3 2" xfId="21325" xr:uid="{00000000-0005-0000-0000-0000EE720000}"/>
    <cellStyle name="Normal 5 3 4 4" xfId="21326" xr:uid="{00000000-0005-0000-0000-0000EF720000}"/>
    <cellStyle name="Normal 5 3 4 4 2" xfId="33776" xr:uid="{00000000-0005-0000-0000-0000F0720000}"/>
    <cellStyle name="Normal 5 3 4 5" xfId="21327" xr:uid="{00000000-0005-0000-0000-0000F1720000}"/>
    <cellStyle name="Normal 5 3 4 6" xfId="21328" xr:uid="{00000000-0005-0000-0000-0000F2720000}"/>
    <cellStyle name="Normal 5 3 4 7" xfId="21329" xr:uid="{00000000-0005-0000-0000-0000F3720000}"/>
    <cellStyle name="Normal 5 3 4 8" xfId="21330" xr:uid="{00000000-0005-0000-0000-0000F4720000}"/>
    <cellStyle name="Normal 5 3 4 9" xfId="21331" xr:uid="{00000000-0005-0000-0000-0000F5720000}"/>
    <cellStyle name="Normal 5 3 40" xfId="10737" xr:uid="{00000000-0005-0000-0000-0000F6720000}"/>
    <cellStyle name="Normal 5 3 40 2" xfId="21332" xr:uid="{00000000-0005-0000-0000-0000F7720000}"/>
    <cellStyle name="Normal 5 3 41" xfId="10738" xr:uid="{00000000-0005-0000-0000-0000F8720000}"/>
    <cellStyle name="Normal 5 3 41 2" xfId="21333" xr:uid="{00000000-0005-0000-0000-0000F9720000}"/>
    <cellStyle name="Normal 5 3 42" xfId="10739" xr:uid="{00000000-0005-0000-0000-0000FA720000}"/>
    <cellStyle name="Normal 5 3 42 2" xfId="21334" xr:uid="{00000000-0005-0000-0000-0000FB720000}"/>
    <cellStyle name="Normal 5 3 43" xfId="10740" xr:uid="{00000000-0005-0000-0000-0000FC720000}"/>
    <cellStyle name="Normal 5 3 43 2" xfId="21335" xr:uid="{00000000-0005-0000-0000-0000FD720000}"/>
    <cellStyle name="Normal 5 3 44" xfId="10741" xr:uid="{00000000-0005-0000-0000-0000FE720000}"/>
    <cellStyle name="Normal 5 3 45" xfId="10742" xr:uid="{00000000-0005-0000-0000-0000FF720000}"/>
    <cellStyle name="Normal 5 3 46" xfId="10743" xr:uid="{00000000-0005-0000-0000-000000730000}"/>
    <cellStyle name="Normal 5 3 47" xfId="10744" xr:uid="{00000000-0005-0000-0000-000001730000}"/>
    <cellStyle name="Normal 5 3 48" xfId="10745" xr:uid="{00000000-0005-0000-0000-000002730000}"/>
    <cellStyle name="Normal 5 3 49" xfId="10746" xr:uid="{00000000-0005-0000-0000-000003730000}"/>
    <cellStyle name="Normal 5 3 5" xfId="10747" xr:uid="{00000000-0005-0000-0000-000004730000}"/>
    <cellStyle name="Normal 5 3 5 10" xfId="21336" xr:uid="{00000000-0005-0000-0000-000005730000}"/>
    <cellStyle name="Normal 5 3 5 2" xfId="21337" xr:uid="{00000000-0005-0000-0000-000006730000}"/>
    <cellStyle name="Normal 5 3 5 2 2" xfId="21338" xr:uid="{00000000-0005-0000-0000-000007730000}"/>
    <cellStyle name="Normal 5 3 5 2 2 2" xfId="21339" xr:uid="{00000000-0005-0000-0000-000008730000}"/>
    <cellStyle name="Normal 5 3 5 2 3" xfId="21340" xr:uid="{00000000-0005-0000-0000-000009730000}"/>
    <cellStyle name="Normal 5 3 5 2 3 2" xfId="33777" xr:uid="{00000000-0005-0000-0000-00000A730000}"/>
    <cellStyle name="Normal 5 3 5 2 4" xfId="21341" xr:uid="{00000000-0005-0000-0000-00000B730000}"/>
    <cellStyle name="Normal 5 3 5 2 5" xfId="21342" xr:uid="{00000000-0005-0000-0000-00000C730000}"/>
    <cellStyle name="Normal 5 3 5 2 6" xfId="21343" xr:uid="{00000000-0005-0000-0000-00000D730000}"/>
    <cellStyle name="Normal 5 3 5 2 7" xfId="21344" xr:uid="{00000000-0005-0000-0000-00000E730000}"/>
    <cellStyle name="Normal 5 3 5 2 8" xfId="21345" xr:uid="{00000000-0005-0000-0000-00000F730000}"/>
    <cellStyle name="Normal 5 3 5 3" xfId="21346" xr:uid="{00000000-0005-0000-0000-000010730000}"/>
    <cellStyle name="Normal 5 3 5 3 2" xfId="21347" xr:uid="{00000000-0005-0000-0000-000011730000}"/>
    <cellStyle name="Normal 5 3 5 4" xfId="21348" xr:uid="{00000000-0005-0000-0000-000012730000}"/>
    <cellStyle name="Normal 5 3 5 4 2" xfId="33778" xr:uid="{00000000-0005-0000-0000-000013730000}"/>
    <cellStyle name="Normal 5 3 5 5" xfId="21349" xr:uid="{00000000-0005-0000-0000-000014730000}"/>
    <cellStyle name="Normal 5 3 5 6" xfId="21350" xr:uid="{00000000-0005-0000-0000-000015730000}"/>
    <cellStyle name="Normal 5 3 5 7" xfId="21351" xr:uid="{00000000-0005-0000-0000-000016730000}"/>
    <cellStyle name="Normal 5 3 5 8" xfId="21352" xr:uid="{00000000-0005-0000-0000-000017730000}"/>
    <cellStyle name="Normal 5 3 5 9" xfId="21353" xr:uid="{00000000-0005-0000-0000-000018730000}"/>
    <cellStyle name="Normal 5 3 50" xfId="10748" xr:uid="{00000000-0005-0000-0000-000019730000}"/>
    <cellStyle name="Normal 5 3 50 2" xfId="39895" xr:uid="{00000000-0005-0000-0000-00001A730000}"/>
    <cellStyle name="Normal 5 3 51" xfId="10749" xr:uid="{00000000-0005-0000-0000-00001B730000}"/>
    <cellStyle name="Normal 5 3 51 2" xfId="39896" xr:uid="{00000000-0005-0000-0000-00001C730000}"/>
    <cellStyle name="Normal 5 3 52" xfId="10750" xr:uid="{00000000-0005-0000-0000-00001D730000}"/>
    <cellStyle name="Normal 5 3 52 2" xfId="39897" xr:uid="{00000000-0005-0000-0000-00001E730000}"/>
    <cellStyle name="Normal 5 3 53" xfId="21354" xr:uid="{00000000-0005-0000-0000-00001F730000}"/>
    <cellStyle name="Normal 5 3 6" xfId="10751" xr:uid="{00000000-0005-0000-0000-000020730000}"/>
    <cellStyle name="Normal 5 3 6 10" xfId="21355" xr:uid="{00000000-0005-0000-0000-000021730000}"/>
    <cellStyle name="Normal 5 3 6 2" xfId="21356" xr:uid="{00000000-0005-0000-0000-000022730000}"/>
    <cellStyle name="Normal 5 3 6 2 2" xfId="21357" xr:uid="{00000000-0005-0000-0000-000023730000}"/>
    <cellStyle name="Normal 5 3 6 2 2 2" xfId="21358" xr:uid="{00000000-0005-0000-0000-000024730000}"/>
    <cellStyle name="Normal 5 3 6 2 3" xfId="21359" xr:uid="{00000000-0005-0000-0000-000025730000}"/>
    <cellStyle name="Normal 5 3 6 2 3 2" xfId="33779" xr:uid="{00000000-0005-0000-0000-000026730000}"/>
    <cellStyle name="Normal 5 3 6 2 4" xfId="21360" xr:uid="{00000000-0005-0000-0000-000027730000}"/>
    <cellStyle name="Normal 5 3 6 2 5" xfId="21361" xr:uid="{00000000-0005-0000-0000-000028730000}"/>
    <cellStyle name="Normal 5 3 6 2 6" xfId="21362" xr:uid="{00000000-0005-0000-0000-000029730000}"/>
    <cellStyle name="Normal 5 3 6 2 7" xfId="21363" xr:uid="{00000000-0005-0000-0000-00002A730000}"/>
    <cellStyle name="Normal 5 3 6 2 8" xfId="21364" xr:uid="{00000000-0005-0000-0000-00002B730000}"/>
    <cellStyle name="Normal 5 3 6 3" xfId="21365" xr:uid="{00000000-0005-0000-0000-00002C730000}"/>
    <cellStyle name="Normal 5 3 6 3 2" xfId="21366" xr:uid="{00000000-0005-0000-0000-00002D730000}"/>
    <cellStyle name="Normal 5 3 6 4" xfId="21367" xr:uid="{00000000-0005-0000-0000-00002E730000}"/>
    <cellStyle name="Normal 5 3 6 4 2" xfId="33780" xr:uid="{00000000-0005-0000-0000-00002F730000}"/>
    <cellStyle name="Normal 5 3 6 5" xfId="21368" xr:uid="{00000000-0005-0000-0000-000030730000}"/>
    <cellStyle name="Normal 5 3 6 6" xfId="21369" xr:uid="{00000000-0005-0000-0000-000031730000}"/>
    <cellStyle name="Normal 5 3 6 7" xfId="21370" xr:uid="{00000000-0005-0000-0000-000032730000}"/>
    <cellStyle name="Normal 5 3 6 8" xfId="21371" xr:uid="{00000000-0005-0000-0000-000033730000}"/>
    <cellStyle name="Normal 5 3 6 9" xfId="21372" xr:uid="{00000000-0005-0000-0000-000034730000}"/>
    <cellStyle name="Normal 5 3 7" xfId="10752" xr:uid="{00000000-0005-0000-0000-000035730000}"/>
    <cellStyle name="Normal 5 3 7 10" xfId="21373" xr:uid="{00000000-0005-0000-0000-000036730000}"/>
    <cellStyle name="Normal 5 3 7 2" xfId="21374" xr:uid="{00000000-0005-0000-0000-000037730000}"/>
    <cellStyle name="Normal 5 3 7 2 2" xfId="21375" xr:uid="{00000000-0005-0000-0000-000038730000}"/>
    <cellStyle name="Normal 5 3 7 2 2 2" xfId="21376" xr:uid="{00000000-0005-0000-0000-000039730000}"/>
    <cellStyle name="Normal 5 3 7 2 3" xfId="21377" xr:uid="{00000000-0005-0000-0000-00003A730000}"/>
    <cellStyle name="Normal 5 3 7 2 3 2" xfId="33781" xr:uid="{00000000-0005-0000-0000-00003B730000}"/>
    <cellStyle name="Normal 5 3 7 2 4" xfId="21378" xr:uid="{00000000-0005-0000-0000-00003C730000}"/>
    <cellStyle name="Normal 5 3 7 2 5" xfId="21379" xr:uid="{00000000-0005-0000-0000-00003D730000}"/>
    <cellStyle name="Normal 5 3 7 2 6" xfId="21380" xr:uid="{00000000-0005-0000-0000-00003E730000}"/>
    <cellStyle name="Normal 5 3 7 2 7" xfId="21381" xr:uid="{00000000-0005-0000-0000-00003F730000}"/>
    <cellStyle name="Normal 5 3 7 2 8" xfId="21382" xr:uid="{00000000-0005-0000-0000-000040730000}"/>
    <cellStyle name="Normal 5 3 7 3" xfId="21383" xr:uid="{00000000-0005-0000-0000-000041730000}"/>
    <cellStyle name="Normal 5 3 7 3 2" xfId="21384" xr:uid="{00000000-0005-0000-0000-000042730000}"/>
    <cellStyle name="Normal 5 3 7 4" xfId="21385" xr:uid="{00000000-0005-0000-0000-000043730000}"/>
    <cellStyle name="Normal 5 3 7 4 2" xfId="33782" xr:uid="{00000000-0005-0000-0000-000044730000}"/>
    <cellStyle name="Normal 5 3 7 5" xfId="21386" xr:uid="{00000000-0005-0000-0000-000045730000}"/>
    <cellStyle name="Normal 5 3 7 6" xfId="21387" xr:uid="{00000000-0005-0000-0000-000046730000}"/>
    <cellStyle name="Normal 5 3 7 7" xfId="21388" xr:uid="{00000000-0005-0000-0000-000047730000}"/>
    <cellStyle name="Normal 5 3 7 8" xfId="21389" xr:uid="{00000000-0005-0000-0000-000048730000}"/>
    <cellStyle name="Normal 5 3 7 9" xfId="21390" xr:uid="{00000000-0005-0000-0000-000049730000}"/>
    <cellStyle name="Normal 5 3 8" xfId="10753" xr:uid="{00000000-0005-0000-0000-00004A730000}"/>
    <cellStyle name="Normal 5 3 8 2" xfId="21391" xr:uid="{00000000-0005-0000-0000-00004B730000}"/>
    <cellStyle name="Normal 5 3 8 2 2" xfId="21392" xr:uid="{00000000-0005-0000-0000-00004C730000}"/>
    <cellStyle name="Normal 5 3 8 2 2 2" xfId="33783" xr:uid="{00000000-0005-0000-0000-00004D730000}"/>
    <cellStyle name="Normal 5 3 8 2 3" xfId="21393" xr:uid="{00000000-0005-0000-0000-00004E730000}"/>
    <cellStyle name="Normal 5 3 8 2 4" xfId="21394" xr:uid="{00000000-0005-0000-0000-00004F730000}"/>
    <cellStyle name="Normal 5 3 8 2 5" xfId="21395" xr:uid="{00000000-0005-0000-0000-000050730000}"/>
    <cellStyle name="Normal 5 3 8 2 6" xfId="21396" xr:uid="{00000000-0005-0000-0000-000051730000}"/>
    <cellStyle name="Normal 5 3 8 2 7" xfId="21397" xr:uid="{00000000-0005-0000-0000-000052730000}"/>
    <cellStyle name="Normal 5 3 8 3" xfId="21398" xr:uid="{00000000-0005-0000-0000-000053730000}"/>
    <cellStyle name="Normal 5 3 8 3 2" xfId="33784" xr:uid="{00000000-0005-0000-0000-000054730000}"/>
    <cellStyle name="Normal 5 3 8 4" xfId="21399" xr:uid="{00000000-0005-0000-0000-000055730000}"/>
    <cellStyle name="Normal 5 3 8 5" xfId="21400" xr:uid="{00000000-0005-0000-0000-000056730000}"/>
    <cellStyle name="Normal 5 3 8 6" xfId="21401" xr:uid="{00000000-0005-0000-0000-000057730000}"/>
    <cellStyle name="Normal 5 3 8 7" xfId="21402" xr:uid="{00000000-0005-0000-0000-000058730000}"/>
    <cellStyle name="Normal 5 3 8 8" xfId="21403" xr:uid="{00000000-0005-0000-0000-000059730000}"/>
    <cellStyle name="Normal 5 3 8 9" xfId="21404" xr:uid="{00000000-0005-0000-0000-00005A730000}"/>
    <cellStyle name="Normal 5 3 9" xfId="10754" xr:uid="{00000000-0005-0000-0000-00005B730000}"/>
    <cellStyle name="Normal 5 3 9 10" xfId="21405" xr:uid="{00000000-0005-0000-0000-00005C730000}"/>
    <cellStyle name="Normal 5 3 9 2" xfId="21406" xr:uid="{00000000-0005-0000-0000-00005D730000}"/>
    <cellStyle name="Normal 5 3 9 2 2" xfId="21407" xr:uid="{00000000-0005-0000-0000-00005E730000}"/>
    <cellStyle name="Normal 5 3 9 2 2 2" xfId="33785" xr:uid="{00000000-0005-0000-0000-00005F730000}"/>
    <cellStyle name="Normal 5 3 9 2 3" xfId="21408" xr:uid="{00000000-0005-0000-0000-000060730000}"/>
    <cellStyle name="Normal 5 3 9 2 4" xfId="21409" xr:uid="{00000000-0005-0000-0000-000061730000}"/>
    <cellStyle name="Normal 5 3 9 2 5" xfId="21410" xr:uid="{00000000-0005-0000-0000-000062730000}"/>
    <cellStyle name="Normal 5 3 9 2 6" xfId="21411" xr:uid="{00000000-0005-0000-0000-000063730000}"/>
    <cellStyle name="Normal 5 3 9 2 7" xfId="21412" xr:uid="{00000000-0005-0000-0000-000064730000}"/>
    <cellStyle name="Normal 5 3 9 2 8" xfId="21413" xr:uid="{00000000-0005-0000-0000-000065730000}"/>
    <cellStyle name="Normal 5 3 9 3" xfId="21414" xr:uid="{00000000-0005-0000-0000-000066730000}"/>
    <cellStyle name="Normal 5 3 9 3 2" xfId="33786" xr:uid="{00000000-0005-0000-0000-000067730000}"/>
    <cellStyle name="Normal 5 3 9 4" xfId="21415" xr:uid="{00000000-0005-0000-0000-000068730000}"/>
    <cellStyle name="Normal 5 3 9 5" xfId="21416" xr:uid="{00000000-0005-0000-0000-000069730000}"/>
    <cellStyle name="Normal 5 3 9 6" xfId="21417" xr:uid="{00000000-0005-0000-0000-00006A730000}"/>
    <cellStyle name="Normal 5 3 9 7" xfId="21418" xr:uid="{00000000-0005-0000-0000-00006B730000}"/>
    <cellStyle name="Normal 5 3 9 8" xfId="21419" xr:uid="{00000000-0005-0000-0000-00006C730000}"/>
    <cellStyle name="Normal 5 3 9 9" xfId="21420" xr:uid="{00000000-0005-0000-0000-00006D730000}"/>
    <cellStyle name="Normal 5 3_01-04-2012" xfId="10755" xr:uid="{00000000-0005-0000-0000-00006E730000}"/>
    <cellStyle name="Normal 5 30" xfId="10756" xr:uid="{00000000-0005-0000-0000-00006F730000}"/>
    <cellStyle name="Normal 5 31" xfId="10757" xr:uid="{00000000-0005-0000-0000-000070730000}"/>
    <cellStyle name="Normal 5 32" xfId="10758" xr:uid="{00000000-0005-0000-0000-000071730000}"/>
    <cellStyle name="Normal 5 33" xfId="10759" xr:uid="{00000000-0005-0000-0000-000072730000}"/>
    <cellStyle name="Normal 5 34" xfId="10760" xr:uid="{00000000-0005-0000-0000-000073730000}"/>
    <cellStyle name="Normal 5 35" xfId="10761" xr:uid="{00000000-0005-0000-0000-000074730000}"/>
    <cellStyle name="Normal 5 36" xfId="10762" xr:uid="{00000000-0005-0000-0000-000075730000}"/>
    <cellStyle name="Normal 5 37" xfId="10763" xr:uid="{00000000-0005-0000-0000-000076730000}"/>
    <cellStyle name="Normal 5 38" xfId="10764" xr:uid="{00000000-0005-0000-0000-000077730000}"/>
    <cellStyle name="Normal 5 39" xfId="10765" xr:uid="{00000000-0005-0000-0000-000078730000}"/>
    <cellStyle name="Normal 5 4" xfId="10766" xr:uid="{00000000-0005-0000-0000-000079730000}"/>
    <cellStyle name="Normal 5 4 2" xfId="10767" xr:uid="{00000000-0005-0000-0000-00007A730000}"/>
    <cellStyle name="Normal 5 4 2 2" xfId="39898" xr:uid="{00000000-0005-0000-0000-00007B730000}"/>
    <cellStyle name="Normal 5 4 3" xfId="10768" xr:uid="{00000000-0005-0000-0000-00007C730000}"/>
    <cellStyle name="Normal 5 4 3 2" xfId="39899" xr:uid="{00000000-0005-0000-0000-00007D730000}"/>
    <cellStyle name="Normal 5 4 4" xfId="10769" xr:uid="{00000000-0005-0000-0000-00007E730000}"/>
    <cellStyle name="Normal 5 4 4 2" xfId="39900" xr:uid="{00000000-0005-0000-0000-00007F730000}"/>
    <cellStyle name="Normal 5 4 5" xfId="21421" xr:uid="{00000000-0005-0000-0000-000080730000}"/>
    <cellStyle name="Normal 5 4_01-04-2012" xfId="10770" xr:uid="{00000000-0005-0000-0000-000081730000}"/>
    <cellStyle name="Normal 5 40" xfId="10771" xr:uid="{00000000-0005-0000-0000-000082730000}"/>
    <cellStyle name="Normal 5 41" xfId="10772" xr:uid="{00000000-0005-0000-0000-000083730000}"/>
    <cellStyle name="Normal 5 42" xfId="10773" xr:uid="{00000000-0005-0000-0000-000084730000}"/>
    <cellStyle name="Normal 5 43" xfId="10774" xr:uid="{00000000-0005-0000-0000-000085730000}"/>
    <cellStyle name="Normal 5 44" xfId="10775" xr:uid="{00000000-0005-0000-0000-000086730000}"/>
    <cellStyle name="Normal 5 45" xfId="10776" xr:uid="{00000000-0005-0000-0000-000087730000}"/>
    <cellStyle name="Normal 5 46" xfId="10777" xr:uid="{00000000-0005-0000-0000-000088730000}"/>
    <cellStyle name="Normal 5 47" xfId="10778" xr:uid="{00000000-0005-0000-0000-000089730000}"/>
    <cellStyle name="Normal 5 48" xfId="10779" xr:uid="{00000000-0005-0000-0000-00008A730000}"/>
    <cellStyle name="Normal 5 49" xfId="10780" xr:uid="{00000000-0005-0000-0000-00008B730000}"/>
    <cellStyle name="Normal 5 5" xfId="10781" xr:uid="{00000000-0005-0000-0000-00008C730000}"/>
    <cellStyle name="Normal 5 5 2" xfId="21422" xr:uid="{00000000-0005-0000-0000-00008D730000}"/>
    <cellStyle name="Normal 5 50" xfId="10782" xr:uid="{00000000-0005-0000-0000-00008E730000}"/>
    <cellStyle name="Normal 5 51" xfId="10783" xr:uid="{00000000-0005-0000-0000-00008F730000}"/>
    <cellStyle name="Normal 5 52" xfId="10784" xr:uid="{00000000-0005-0000-0000-000090730000}"/>
    <cellStyle name="Normal 5 53" xfId="10785" xr:uid="{00000000-0005-0000-0000-000091730000}"/>
    <cellStyle name="Normal 5 53 2" xfId="39901" xr:uid="{00000000-0005-0000-0000-000092730000}"/>
    <cellStyle name="Normal 5 54" xfId="10786" xr:uid="{00000000-0005-0000-0000-000093730000}"/>
    <cellStyle name="Normal 5 54 2" xfId="39902" xr:uid="{00000000-0005-0000-0000-000094730000}"/>
    <cellStyle name="Normal 5 55" xfId="10787" xr:uid="{00000000-0005-0000-0000-000095730000}"/>
    <cellStyle name="Normal 5 55 2" xfId="39903" xr:uid="{00000000-0005-0000-0000-000096730000}"/>
    <cellStyle name="Normal 5 56" xfId="21423" xr:uid="{00000000-0005-0000-0000-000097730000}"/>
    <cellStyle name="Normal 5 57" xfId="21424" xr:uid="{00000000-0005-0000-0000-000098730000}"/>
    <cellStyle name="Normal 5 58" xfId="21425" xr:uid="{00000000-0005-0000-0000-000099730000}"/>
    <cellStyle name="Normal 5 59" xfId="21426" xr:uid="{00000000-0005-0000-0000-00009A730000}"/>
    <cellStyle name="Normal 5 6" xfId="10788" xr:uid="{00000000-0005-0000-0000-00009B730000}"/>
    <cellStyle name="Normal 5 6 2" xfId="21427" xr:uid="{00000000-0005-0000-0000-00009C730000}"/>
    <cellStyle name="Normal 5 60" xfId="21428" xr:uid="{00000000-0005-0000-0000-00009D730000}"/>
    <cellStyle name="Normal 5 61" xfId="21429" xr:uid="{00000000-0005-0000-0000-00009E730000}"/>
    <cellStyle name="Normal 5 62" xfId="33743" xr:uid="{00000000-0005-0000-0000-00009F730000}"/>
    <cellStyle name="Normal 5 7" xfId="10789" xr:uid="{00000000-0005-0000-0000-0000A0730000}"/>
    <cellStyle name="Normal 5 7 2" xfId="21430" xr:uid="{00000000-0005-0000-0000-0000A1730000}"/>
    <cellStyle name="Normal 5 7 2 2" xfId="21431" xr:uid="{00000000-0005-0000-0000-0000A2730000}"/>
    <cellStyle name="Normal 5 7 2 2 2" xfId="33787" xr:uid="{00000000-0005-0000-0000-0000A3730000}"/>
    <cellStyle name="Normal 5 7 2 3" xfId="33788" xr:uid="{00000000-0005-0000-0000-0000A4730000}"/>
    <cellStyle name="Normal 5 7 3" xfId="21432" xr:uid="{00000000-0005-0000-0000-0000A5730000}"/>
    <cellStyle name="Normal 5 7 3 2" xfId="33789" xr:uid="{00000000-0005-0000-0000-0000A6730000}"/>
    <cellStyle name="Normal 5 7 4" xfId="21433" xr:uid="{00000000-0005-0000-0000-0000A7730000}"/>
    <cellStyle name="Normal 5 8" xfId="10790" xr:uid="{00000000-0005-0000-0000-0000A8730000}"/>
    <cellStyle name="Normal 5 8 2" xfId="21434" xr:uid="{00000000-0005-0000-0000-0000A9730000}"/>
    <cellStyle name="Normal 5 8 2 2" xfId="21435" xr:uid="{00000000-0005-0000-0000-0000AA730000}"/>
    <cellStyle name="Normal 5 8 2 2 2" xfId="21436" xr:uid="{00000000-0005-0000-0000-0000AB730000}"/>
    <cellStyle name="Normal 5 8 2 2 2 2" xfId="33790" xr:uid="{00000000-0005-0000-0000-0000AC730000}"/>
    <cellStyle name="Normal 5 8 2 2 3" xfId="33791" xr:uid="{00000000-0005-0000-0000-0000AD730000}"/>
    <cellStyle name="Normal 5 8 2 3" xfId="21437" xr:uid="{00000000-0005-0000-0000-0000AE730000}"/>
    <cellStyle name="Normal 5 8 2 3 2" xfId="33792" xr:uid="{00000000-0005-0000-0000-0000AF730000}"/>
    <cellStyle name="Normal 5 8 2 4" xfId="33793" xr:uid="{00000000-0005-0000-0000-0000B0730000}"/>
    <cellStyle name="Normal 5 8 3" xfId="21438" xr:uid="{00000000-0005-0000-0000-0000B1730000}"/>
    <cellStyle name="Normal 5 8 3 2" xfId="21439" xr:uid="{00000000-0005-0000-0000-0000B2730000}"/>
    <cellStyle name="Normal 5 8 3 2 2" xfId="33794" xr:uid="{00000000-0005-0000-0000-0000B3730000}"/>
    <cellStyle name="Normal 5 8 3 3" xfId="33795" xr:uid="{00000000-0005-0000-0000-0000B4730000}"/>
    <cellStyle name="Normal 5 8 4" xfId="21440" xr:uid="{00000000-0005-0000-0000-0000B5730000}"/>
    <cellStyle name="Normal 5 8 4 2" xfId="33796" xr:uid="{00000000-0005-0000-0000-0000B6730000}"/>
    <cellStyle name="Normal 5 8 5" xfId="21441" xr:uid="{00000000-0005-0000-0000-0000B7730000}"/>
    <cellStyle name="Normal 5 9" xfId="10791" xr:uid="{00000000-0005-0000-0000-0000B8730000}"/>
    <cellStyle name="Normal 5 9 2" xfId="21442" xr:uid="{00000000-0005-0000-0000-0000B9730000}"/>
    <cellStyle name="Normal 5_01-04-2012" xfId="10792" xr:uid="{00000000-0005-0000-0000-0000BA730000}"/>
    <cellStyle name="Normal 50" xfId="10793" xr:uid="{00000000-0005-0000-0000-0000BB730000}"/>
    <cellStyle name="Normal 50 10" xfId="10794" xr:uid="{00000000-0005-0000-0000-0000BC730000}"/>
    <cellStyle name="Normal 50 11" xfId="10795" xr:uid="{00000000-0005-0000-0000-0000BD730000}"/>
    <cellStyle name="Normal 50 12" xfId="10796" xr:uid="{00000000-0005-0000-0000-0000BE730000}"/>
    <cellStyle name="Normal 50 13" xfId="10797" xr:uid="{00000000-0005-0000-0000-0000BF730000}"/>
    <cellStyle name="Normal 50 14" xfId="21443" xr:uid="{00000000-0005-0000-0000-0000C0730000}"/>
    <cellStyle name="Normal 50 2" xfId="10798" xr:uid="{00000000-0005-0000-0000-0000C1730000}"/>
    <cellStyle name="Normal 50 3" xfId="10799" xr:uid="{00000000-0005-0000-0000-0000C2730000}"/>
    <cellStyle name="Normal 50 4" xfId="10800" xr:uid="{00000000-0005-0000-0000-0000C3730000}"/>
    <cellStyle name="Normal 50 5" xfId="10801" xr:uid="{00000000-0005-0000-0000-0000C4730000}"/>
    <cellStyle name="Normal 50 6" xfId="10802" xr:uid="{00000000-0005-0000-0000-0000C5730000}"/>
    <cellStyle name="Normal 50 7" xfId="10803" xr:uid="{00000000-0005-0000-0000-0000C6730000}"/>
    <cellStyle name="Normal 50 8" xfId="10804" xr:uid="{00000000-0005-0000-0000-0000C7730000}"/>
    <cellStyle name="Normal 50 9" xfId="10805" xr:uid="{00000000-0005-0000-0000-0000C8730000}"/>
    <cellStyle name="Normal 50_01-04-2012" xfId="10806" xr:uid="{00000000-0005-0000-0000-0000C9730000}"/>
    <cellStyle name="Normal 500" xfId="21444" xr:uid="{00000000-0005-0000-0000-0000CA730000}"/>
    <cellStyle name="Normal 501" xfId="21445" xr:uid="{00000000-0005-0000-0000-0000CB730000}"/>
    <cellStyle name="Normal 502" xfId="21446" xr:uid="{00000000-0005-0000-0000-0000CC730000}"/>
    <cellStyle name="Normal 503" xfId="21447" xr:uid="{00000000-0005-0000-0000-0000CD730000}"/>
    <cellStyle name="Normal 504" xfId="21448" xr:uid="{00000000-0005-0000-0000-0000CE730000}"/>
    <cellStyle name="Normal 505" xfId="21449" xr:uid="{00000000-0005-0000-0000-0000CF730000}"/>
    <cellStyle name="Normal 506" xfId="21450" xr:uid="{00000000-0005-0000-0000-0000D0730000}"/>
    <cellStyle name="Normal 507" xfId="21451" xr:uid="{00000000-0005-0000-0000-0000D1730000}"/>
    <cellStyle name="Normal 508" xfId="21452" xr:uid="{00000000-0005-0000-0000-0000D2730000}"/>
    <cellStyle name="Normal 509" xfId="21453" xr:uid="{00000000-0005-0000-0000-0000D3730000}"/>
    <cellStyle name="Normal 51" xfId="10807" xr:uid="{00000000-0005-0000-0000-0000D4730000}"/>
    <cellStyle name="Normal 51 2" xfId="10808" xr:uid="{00000000-0005-0000-0000-0000D5730000}"/>
    <cellStyle name="Normal 51 3" xfId="21454" xr:uid="{00000000-0005-0000-0000-0000D6730000}"/>
    <cellStyle name="Normal 51_01-04-2012" xfId="10809" xr:uid="{00000000-0005-0000-0000-0000D7730000}"/>
    <cellStyle name="Normal 510" xfId="21455" xr:uid="{00000000-0005-0000-0000-0000D8730000}"/>
    <cellStyle name="Normal 511" xfId="21456" xr:uid="{00000000-0005-0000-0000-0000D9730000}"/>
    <cellStyle name="Normal 512" xfId="21457" xr:uid="{00000000-0005-0000-0000-0000DA730000}"/>
    <cellStyle name="Normal 513" xfId="21458" xr:uid="{00000000-0005-0000-0000-0000DB730000}"/>
    <cellStyle name="Normal 514" xfId="21459" xr:uid="{00000000-0005-0000-0000-0000DC730000}"/>
    <cellStyle name="Normal 515" xfId="21460" xr:uid="{00000000-0005-0000-0000-0000DD730000}"/>
    <cellStyle name="Normal 516" xfId="21461" xr:uid="{00000000-0005-0000-0000-0000DE730000}"/>
    <cellStyle name="Normal 517" xfId="21462" xr:uid="{00000000-0005-0000-0000-0000DF730000}"/>
    <cellStyle name="Normal 518" xfId="21463" xr:uid="{00000000-0005-0000-0000-0000E0730000}"/>
    <cellStyle name="Normal 519" xfId="21464" xr:uid="{00000000-0005-0000-0000-0000E1730000}"/>
    <cellStyle name="Normal 52" xfId="10810" xr:uid="{00000000-0005-0000-0000-0000E2730000}"/>
    <cellStyle name="Normal 52 2" xfId="10811" xr:uid="{00000000-0005-0000-0000-0000E3730000}"/>
    <cellStyle name="Normal 52 3" xfId="21465" xr:uid="{00000000-0005-0000-0000-0000E4730000}"/>
    <cellStyle name="Normal 52_01-04-2012" xfId="10812" xr:uid="{00000000-0005-0000-0000-0000E5730000}"/>
    <cellStyle name="Normal 520" xfId="21466" xr:uid="{00000000-0005-0000-0000-0000E6730000}"/>
    <cellStyle name="Normal 521" xfId="21467" xr:uid="{00000000-0005-0000-0000-0000E7730000}"/>
    <cellStyle name="Normal 522" xfId="21468" xr:uid="{00000000-0005-0000-0000-0000E8730000}"/>
    <cellStyle name="Normal 523" xfId="21469" xr:uid="{00000000-0005-0000-0000-0000E9730000}"/>
    <cellStyle name="Normal 524" xfId="21470" xr:uid="{00000000-0005-0000-0000-0000EA730000}"/>
    <cellStyle name="Normal 525" xfId="21471" xr:uid="{00000000-0005-0000-0000-0000EB730000}"/>
    <cellStyle name="Normal 526" xfId="21472" xr:uid="{00000000-0005-0000-0000-0000EC730000}"/>
    <cellStyle name="Normal 527" xfId="21473" xr:uid="{00000000-0005-0000-0000-0000ED730000}"/>
    <cellStyle name="Normal 528" xfId="21474" xr:uid="{00000000-0005-0000-0000-0000EE730000}"/>
    <cellStyle name="Normal 529" xfId="21475" xr:uid="{00000000-0005-0000-0000-0000EF730000}"/>
    <cellStyle name="Normal 53" xfId="10813" xr:uid="{00000000-0005-0000-0000-0000F0730000}"/>
    <cellStyle name="Normal 53 2" xfId="10814" xr:uid="{00000000-0005-0000-0000-0000F1730000}"/>
    <cellStyle name="Normal 53 3" xfId="21476" xr:uid="{00000000-0005-0000-0000-0000F2730000}"/>
    <cellStyle name="Normal 53_01-04-2012" xfId="10815" xr:uid="{00000000-0005-0000-0000-0000F3730000}"/>
    <cellStyle name="Normal 530" xfId="21477" xr:uid="{00000000-0005-0000-0000-0000F4730000}"/>
    <cellStyle name="Normal 531" xfId="21478" xr:uid="{00000000-0005-0000-0000-0000F5730000}"/>
    <cellStyle name="Normal 532" xfId="21479" xr:uid="{00000000-0005-0000-0000-0000F6730000}"/>
    <cellStyle name="Normal 533" xfId="21480" xr:uid="{00000000-0005-0000-0000-0000F7730000}"/>
    <cellStyle name="Normal 534" xfId="21481" xr:uid="{00000000-0005-0000-0000-0000F8730000}"/>
    <cellStyle name="Normal 535" xfId="21482" xr:uid="{00000000-0005-0000-0000-0000F9730000}"/>
    <cellStyle name="Normal 536" xfId="21483" xr:uid="{00000000-0005-0000-0000-0000FA730000}"/>
    <cellStyle name="Normal 537" xfId="21484" xr:uid="{00000000-0005-0000-0000-0000FB730000}"/>
    <cellStyle name="Normal 538" xfId="21485" xr:uid="{00000000-0005-0000-0000-0000FC730000}"/>
    <cellStyle name="Normal 539" xfId="21486" xr:uid="{00000000-0005-0000-0000-0000FD730000}"/>
    <cellStyle name="Normal 54" xfId="10816" xr:uid="{00000000-0005-0000-0000-0000FE730000}"/>
    <cellStyle name="Normal 54 2" xfId="10817" xr:uid="{00000000-0005-0000-0000-0000FF730000}"/>
    <cellStyle name="Normal 54 3" xfId="21487" xr:uid="{00000000-0005-0000-0000-000000740000}"/>
    <cellStyle name="Normal 54_01-04-2012" xfId="10818" xr:uid="{00000000-0005-0000-0000-000001740000}"/>
    <cellStyle name="Normal 540" xfId="21488" xr:uid="{00000000-0005-0000-0000-000002740000}"/>
    <cellStyle name="Normal 541" xfId="21489" xr:uid="{00000000-0005-0000-0000-000003740000}"/>
    <cellStyle name="Normal 542" xfId="21490" xr:uid="{00000000-0005-0000-0000-000004740000}"/>
    <cellStyle name="Normal 543" xfId="21491" xr:uid="{00000000-0005-0000-0000-000005740000}"/>
    <cellStyle name="Normal 544" xfId="21492" xr:uid="{00000000-0005-0000-0000-000006740000}"/>
    <cellStyle name="Normal 545" xfId="21493" xr:uid="{00000000-0005-0000-0000-000007740000}"/>
    <cellStyle name="Normal 546" xfId="21494" xr:uid="{00000000-0005-0000-0000-000008740000}"/>
    <cellStyle name="Normal 547" xfId="21495" xr:uid="{00000000-0005-0000-0000-000009740000}"/>
    <cellStyle name="Normal 548" xfId="21496" xr:uid="{00000000-0005-0000-0000-00000A740000}"/>
    <cellStyle name="Normal 549" xfId="21497" xr:uid="{00000000-0005-0000-0000-00000B740000}"/>
    <cellStyle name="Normal 55" xfId="10819" xr:uid="{00000000-0005-0000-0000-00000C740000}"/>
    <cellStyle name="Normal 55 2" xfId="10820" xr:uid="{00000000-0005-0000-0000-00000D740000}"/>
    <cellStyle name="Normal 55 3" xfId="21498" xr:uid="{00000000-0005-0000-0000-00000E740000}"/>
    <cellStyle name="Normal 55_01-04-2012" xfId="10821" xr:uid="{00000000-0005-0000-0000-00000F740000}"/>
    <cellStyle name="Normal 550" xfId="21499" xr:uid="{00000000-0005-0000-0000-000010740000}"/>
    <cellStyle name="Normal 551" xfId="21500" xr:uid="{00000000-0005-0000-0000-000011740000}"/>
    <cellStyle name="Normal 552" xfId="21501" xr:uid="{00000000-0005-0000-0000-000012740000}"/>
    <cellStyle name="Normal 553" xfId="21502" xr:uid="{00000000-0005-0000-0000-000013740000}"/>
    <cellStyle name="Normal 554" xfId="21503" xr:uid="{00000000-0005-0000-0000-000014740000}"/>
    <cellStyle name="Normal 555" xfId="21504" xr:uid="{00000000-0005-0000-0000-000015740000}"/>
    <cellStyle name="Normal 556" xfId="21505" xr:uid="{00000000-0005-0000-0000-000016740000}"/>
    <cellStyle name="Normal 557" xfId="21506" xr:uid="{00000000-0005-0000-0000-000017740000}"/>
    <cellStyle name="Normal 558" xfId="21507" xr:uid="{00000000-0005-0000-0000-000018740000}"/>
    <cellStyle name="Normal 559" xfId="21508" xr:uid="{00000000-0005-0000-0000-000019740000}"/>
    <cellStyle name="Normal 56" xfId="10822" xr:uid="{00000000-0005-0000-0000-00001A740000}"/>
    <cellStyle name="Normal 56 2" xfId="10823" xr:uid="{00000000-0005-0000-0000-00001B740000}"/>
    <cellStyle name="Normal 56 3" xfId="21509" xr:uid="{00000000-0005-0000-0000-00001C740000}"/>
    <cellStyle name="Normal 56_01-04-2012" xfId="10824" xr:uid="{00000000-0005-0000-0000-00001D740000}"/>
    <cellStyle name="Normal 560" xfId="21510" xr:uid="{00000000-0005-0000-0000-00001E740000}"/>
    <cellStyle name="Normal 561" xfId="21511" xr:uid="{00000000-0005-0000-0000-00001F740000}"/>
    <cellStyle name="Normal 562" xfId="21512" xr:uid="{00000000-0005-0000-0000-000020740000}"/>
    <cellStyle name="Normal 563" xfId="21513" xr:uid="{00000000-0005-0000-0000-000021740000}"/>
    <cellStyle name="Normal 564" xfId="21514" xr:uid="{00000000-0005-0000-0000-000022740000}"/>
    <cellStyle name="Normal 565" xfId="21515" xr:uid="{00000000-0005-0000-0000-000023740000}"/>
    <cellStyle name="Normal 566" xfId="21516" xr:uid="{00000000-0005-0000-0000-000024740000}"/>
    <cellStyle name="Normal 567" xfId="21517" xr:uid="{00000000-0005-0000-0000-000025740000}"/>
    <cellStyle name="Normal 568" xfId="21518" xr:uid="{00000000-0005-0000-0000-000026740000}"/>
    <cellStyle name="Normal 569" xfId="21519" xr:uid="{00000000-0005-0000-0000-000027740000}"/>
    <cellStyle name="Normal 57" xfId="10825" xr:uid="{00000000-0005-0000-0000-000028740000}"/>
    <cellStyle name="Normal 57 2" xfId="10826" xr:uid="{00000000-0005-0000-0000-000029740000}"/>
    <cellStyle name="Normal 57 3" xfId="21520" xr:uid="{00000000-0005-0000-0000-00002A740000}"/>
    <cellStyle name="Normal 57_01-04-2012" xfId="10827" xr:uid="{00000000-0005-0000-0000-00002B740000}"/>
    <cellStyle name="Normal 570" xfId="21521" xr:uid="{00000000-0005-0000-0000-00002C740000}"/>
    <cellStyle name="Normal 571" xfId="21522" xr:uid="{00000000-0005-0000-0000-00002D740000}"/>
    <cellStyle name="Normal 572" xfId="21523" xr:uid="{00000000-0005-0000-0000-00002E740000}"/>
    <cellStyle name="Normal 573" xfId="21524" xr:uid="{00000000-0005-0000-0000-00002F740000}"/>
    <cellStyle name="Normal 574" xfId="21525" xr:uid="{00000000-0005-0000-0000-000030740000}"/>
    <cellStyle name="Normal 575" xfId="21526" xr:uid="{00000000-0005-0000-0000-000031740000}"/>
    <cellStyle name="Normal 576" xfId="21527" xr:uid="{00000000-0005-0000-0000-000032740000}"/>
    <cellStyle name="Normal 577" xfId="21528" xr:uid="{00000000-0005-0000-0000-000033740000}"/>
    <cellStyle name="Normal 578" xfId="21529" xr:uid="{00000000-0005-0000-0000-000034740000}"/>
    <cellStyle name="Normal 579" xfId="21530" xr:uid="{00000000-0005-0000-0000-000035740000}"/>
    <cellStyle name="Normal 58" xfId="10828" xr:uid="{00000000-0005-0000-0000-000036740000}"/>
    <cellStyle name="Normal 58 2" xfId="10829" xr:uid="{00000000-0005-0000-0000-000037740000}"/>
    <cellStyle name="Normal 58 3" xfId="21531" xr:uid="{00000000-0005-0000-0000-000038740000}"/>
    <cellStyle name="Normal 58_01-04-2012" xfId="10830" xr:uid="{00000000-0005-0000-0000-000039740000}"/>
    <cellStyle name="Normal 580" xfId="21532" xr:uid="{00000000-0005-0000-0000-00003A740000}"/>
    <cellStyle name="Normal 581" xfId="21533" xr:uid="{00000000-0005-0000-0000-00003B740000}"/>
    <cellStyle name="Normal 582" xfId="21534" xr:uid="{00000000-0005-0000-0000-00003C740000}"/>
    <cellStyle name="Normal 583" xfId="21535" xr:uid="{00000000-0005-0000-0000-00003D740000}"/>
    <cellStyle name="Normal 584" xfId="21536" xr:uid="{00000000-0005-0000-0000-00003E740000}"/>
    <cellStyle name="Normal 585" xfId="21537" xr:uid="{00000000-0005-0000-0000-00003F740000}"/>
    <cellStyle name="Normal 586" xfId="21538" xr:uid="{00000000-0005-0000-0000-000040740000}"/>
    <cellStyle name="Normal 587" xfId="21539" xr:uid="{00000000-0005-0000-0000-000041740000}"/>
    <cellStyle name="Normal 588" xfId="21540" xr:uid="{00000000-0005-0000-0000-000042740000}"/>
    <cellStyle name="Normal 589" xfId="21541" xr:uid="{00000000-0005-0000-0000-000043740000}"/>
    <cellStyle name="Normal 59" xfId="10831" xr:uid="{00000000-0005-0000-0000-000044740000}"/>
    <cellStyle name="Normal 59 2" xfId="10832" xr:uid="{00000000-0005-0000-0000-000045740000}"/>
    <cellStyle name="Normal 59 3" xfId="21542" xr:uid="{00000000-0005-0000-0000-000046740000}"/>
    <cellStyle name="Normal 59_01-04-2012" xfId="10833" xr:uid="{00000000-0005-0000-0000-000047740000}"/>
    <cellStyle name="Normal 590" xfId="21543" xr:uid="{00000000-0005-0000-0000-000048740000}"/>
    <cellStyle name="Normal 591" xfId="21544" xr:uid="{00000000-0005-0000-0000-000049740000}"/>
    <cellStyle name="Normal 592" xfId="21545" xr:uid="{00000000-0005-0000-0000-00004A740000}"/>
    <cellStyle name="Normal 593" xfId="21546" xr:uid="{00000000-0005-0000-0000-00004B740000}"/>
    <cellStyle name="Normal 594" xfId="21547" xr:uid="{00000000-0005-0000-0000-00004C740000}"/>
    <cellStyle name="Normal 595" xfId="21548" xr:uid="{00000000-0005-0000-0000-00004D740000}"/>
    <cellStyle name="Normal 596" xfId="21549" xr:uid="{00000000-0005-0000-0000-00004E740000}"/>
    <cellStyle name="Normal 597" xfId="21550" xr:uid="{00000000-0005-0000-0000-00004F740000}"/>
    <cellStyle name="Normal 598" xfId="21551" xr:uid="{00000000-0005-0000-0000-000050740000}"/>
    <cellStyle name="Normal 599" xfId="21552" xr:uid="{00000000-0005-0000-0000-000051740000}"/>
    <cellStyle name="Normal 6" xfId="10834" xr:uid="{00000000-0005-0000-0000-000052740000}"/>
    <cellStyle name="Normal 6 10" xfId="10835" xr:uid="{00000000-0005-0000-0000-000053740000}"/>
    <cellStyle name="Normal 6 11" xfId="10836" xr:uid="{00000000-0005-0000-0000-000054740000}"/>
    <cellStyle name="Normal 6 12" xfId="10837" xr:uid="{00000000-0005-0000-0000-000055740000}"/>
    <cellStyle name="Normal 6 13" xfId="10838" xr:uid="{00000000-0005-0000-0000-000056740000}"/>
    <cellStyle name="Normal 6 14" xfId="10839" xr:uid="{00000000-0005-0000-0000-000057740000}"/>
    <cellStyle name="Normal 6 15" xfId="10840" xr:uid="{00000000-0005-0000-0000-000058740000}"/>
    <cellStyle name="Normal 6 16" xfId="10841" xr:uid="{00000000-0005-0000-0000-000059740000}"/>
    <cellStyle name="Normal 6 17" xfId="10842" xr:uid="{00000000-0005-0000-0000-00005A740000}"/>
    <cellStyle name="Normal 6 18" xfId="10843" xr:uid="{00000000-0005-0000-0000-00005B740000}"/>
    <cellStyle name="Normal 6 19" xfId="10844" xr:uid="{00000000-0005-0000-0000-00005C740000}"/>
    <cellStyle name="Normal 6 2" xfId="10845" xr:uid="{00000000-0005-0000-0000-00005D740000}"/>
    <cellStyle name="Normal 6 2 2" xfId="10846" xr:uid="{00000000-0005-0000-0000-00005E740000}"/>
    <cellStyle name="Normal 6 2 2 2" xfId="21553" xr:uid="{00000000-0005-0000-0000-00005F740000}"/>
    <cellStyle name="Normal 6 2 2 2 2" xfId="21554" xr:uid="{00000000-0005-0000-0000-000060740000}"/>
    <cellStyle name="Normal 6 2 2 3" xfId="21555" xr:uid="{00000000-0005-0000-0000-000061740000}"/>
    <cellStyle name="Normal 6 2 2 4" xfId="21556" xr:uid="{00000000-0005-0000-0000-000062740000}"/>
    <cellStyle name="Normal 6 2 2 5" xfId="21557" xr:uid="{00000000-0005-0000-0000-000063740000}"/>
    <cellStyle name="Normal 6 2 2 6" xfId="21558" xr:uid="{00000000-0005-0000-0000-000064740000}"/>
    <cellStyle name="Normal 6 2 2 7" xfId="21559" xr:uid="{00000000-0005-0000-0000-000065740000}"/>
    <cellStyle name="Normal 6 2 2 8" xfId="21560" xr:uid="{00000000-0005-0000-0000-000066740000}"/>
    <cellStyle name="Normal 6 2 3" xfId="10847" xr:uid="{00000000-0005-0000-0000-000067740000}"/>
    <cellStyle name="Normal 6 2 3 2" xfId="21561" xr:uid="{00000000-0005-0000-0000-000068740000}"/>
    <cellStyle name="Normal 6 2 4" xfId="10848" xr:uid="{00000000-0005-0000-0000-000069740000}"/>
    <cellStyle name="Normal 6 2 4 2" xfId="21562" xr:uid="{00000000-0005-0000-0000-00006A740000}"/>
    <cellStyle name="Normal 6 2 5" xfId="10849" xr:uid="{00000000-0005-0000-0000-00006B740000}"/>
    <cellStyle name="Normal 6 2 6" xfId="10850" xr:uid="{00000000-0005-0000-0000-00006C740000}"/>
    <cellStyle name="Normal 6 2 6 2" xfId="39904" xr:uid="{00000000-0005-0000-0000-00006D740000}"/>
    <cellStyle name="Normal 6 2 7" xfId="10851" xr:uid="{00000000-0005-0000-0000-00006E740000}"/>
    <cellStyle name="Normal 6 2 7 2" xfId="39905" xr:uid="{00000000-0005-0000-0000-00006F740000}"/>
    <cellStyle name="Normal 6 2 8" xfId="10852" xr:uid="{00000000-0005-0000-0000-000070740000}"/>
    <cellStyle name="Normal 6 2 8 2" xfId="39906" xr:uid="{00000000-0005-0000-0000-000071740000}"/>
    <cellStyle name="Normal 6 2 9" xfId="21563" xr:uid="{00000000-0005-0000-0000-000072740000}"/>
    <cellStyle name="Normal 6 2 9 2" xfId="39907" xr:uid="{00000000-0005-0000-0000-000073740000}"/>
    <cellStyle name="Normal 6 2_01-04-2012" xfId="10853" xr:uid="{00000000-0005-0000-0000-000074740000}"/>
    <cellStyle name="Normal 6 20" xfId="10854" xr:uid="{00000000-0005-0000-0000-000075740000}"/>
    <cellStyle name="Normal 6 21" xfId="10855" xr:uid="{00000000-0005-0000-0000-000076740000}"/>
    <cellStyle name="Normal 6 22" xfId="10856" xr:uid="{00000000-0005-0000-0000-000077740000}"/>
    <cellStyle name="Normal 6 23" xfId="10857" xr:uid="{00000000-0005-0000-0000-000078740000}"/>
    <cellStyle name="Normal 6 24" xfId="10858" xr:uid="{00000000-0005-0000-0000-000079740000}"/>
    <cellStyle name="Normal 6 25" xfId="10859" xr:uid="{00000000-0005-0000-0000-00007A740000}"/>
    <cellStyle name="Normal 6 26" xfId="10860" xr:uid="{00000000-0005-0000-0000-00007B740000}"/>
    <cellStyle name="Normal 6 27" xfId="10861" xr:uid="{00000000-0005-0000-0000-00007C740000}"/>
    <cellStyle name="Normal 6 28" xfId="10862" xr:uid="{00000000-0005-0000-0000-00007D740000}"/>
    <cellStyle name="Normal 6 29" xfId="10863" xr:uid="{00000000-0005-0000-0000-00007E740000}"/>
    <cellStyle name="Normal 6 3" xfId="10864" xr:uid="{00000000-0005-0000-0000-00007F740000}"/>
    <cellStyle name="Normal 6 3 10" xfId="21564" xr:uid="{00000000-0005-0000-0000-000080740000}"/>
    <cellStyle name="Normal 6 3 10 2" xfId="21565" xr:uid="{00000000-0005-0000-0000-000081740000}"/>
    <cellStyle name="Normal 6 3 10 2 2" xfId="21566" xr:uid="{00000000-0005-0000-0000-000082740000}"/>
    <cellStyle name="Normal 6 3 10 2 3" xfId="21567" xr:uid="{00000000-0005-0000-0000-000083740000}"/>
    <cellStyle name="Normal 6 3 10 2 4" xfId="21568" xr:uid="{00000000-0005-0000-0000-000084740000}"/>
    <cellStyle name="Normal 6 3 10 2 5" xfId="21569" xr:uid="{00000000-0005-0000-0000-000085740000}"/>
    <cellStyle name="Normal 6 3 10 2 6" xfId="21570" xr:uid="{00000000-0005-0000-0000-000086740000}"/>
    <cellStyle name="Normal 6 3 10 2 7" xfId="21571" xr:uid="{00000000-0005-0000-0000-000087740000}"/>
    <cellStyle name="Normal 6 3 10 3" xfId="21572" xr:uid="{00000000-0005-0000-0000-000088740000}"/>
    <cellStyle name="Normal 6 3 10 4" xfId="21573" xr:uid="{00000000-0005-0000-0000-000089740000}"/>
    <cellStyle name="Normal 6 3 10 5" xfId="21574" xr:uid="{00000000-0005-0000-0000-00008A740000}"/>
    <cellStyle name="Normal 6 3 10 6" xfId="21575" xr:uid="{00000000-0005-0000-0000-00008B740000}"/>
    <cellStyle name="Normal 6 3 10 7" xfId="21576" xr:uid="{00000000-0005-0000-0000-00008C740000}"/>
    <cellStyle name="Normal 6 3 10 8" xfId="21577" xr:uid="{00000000-0005-0000-0000-00008D740000}"/>
    <cellStyle name="Normal 6 3 11" xfId="21578" xr:uid="{00000000-0005-0000-0000-00008E740000}"/>
    <cellStyle name="Normal 6 3 11 2" xfId="21579" xr:uid="{00000000-0005-0000-0000-00008F740000}"/>
    <cellStyle name="Normal 6 3 11 2 2" xfId="21580" xr:uid="{00000000-0005-0000-0000-000090740000}"/>
    <cellStyle name="Normal 6 3 11 2 3" xfId="21581" xr:uid="{00000000-0005-0000-0000-000091740000}"/>
    <cellStyle name="Normal 6 3 11 2 4" xfId="21582" xr:uid="{00000000-0005-0000-0000-000092740000}"/>
    <cellStyle name="Normal 6 3 11 2 5" xfId="21583" xr:uid="{00000000-0005-0000-0000-000093740000}"/>
    <cellStyle name="Normal 6 3 11 2 6" xfId="21584" xr:uid="{00000000-0005-0000-0000-000094740000}"/>
    <cellStyle name="Normal 6 3 11 2 7" xfId="21585" xr:uid="{00000000-0005-0000-0000-000095740000}"/>
    <cellStyle name="Normal 6 3 11 3" xfId="21586" xr:uid="{00000000-0005-0000-0000-000096740000}"/>
    <cellStyle name="Normal 6 3 11 4" xfId="21587" xr:uid="{00000000-0005-0000-0000-000097740000}"/>
    <cellStyle name="Normal 6 3 11 5" xfId="21588" xr:uid="{00000000-0005-0000-0000-000098740000}"/>
    <cellStyle name="Normal 6 3 11 6" xfId="21589" xr:uid="{00000000-0005-0000-0000-000099740000}"/>
    <cellStyle name="Normal 6 3 11 7" xfId="21590" xr:uid="{00000000-0005-0000-0000-00009A740000}"/>
    <cellStyle name="Normal 6 3 11 8" xfId="21591" xr:uid="{00000000-0005-0000-0000-00009B740000}"/>
    <cellStyle name="Normal 6 3 12" xfId="21592" xr:uid="{00000000-0005-0000-0000-00009C740000}"/>
    <cellStyle name="Normal 6 3 12 2" xfId="21593" xr:uid="{00000000-0005-0000-0000-00009D740000}"/>
    <cellStyle name="Normal 6 3 12 2 2" xfId="21594" xr:uid="{00000000-0005-0000-0000-00009E740000}"/>
    <cellStyle name="Normal 6 3 12 2 3" xfId="21595" xr:uid="{00000000-0005-0000-0000-00009F740000}"/>
    <cellStyle name="Normal 6 3 12 2 4" xfId="21596" xr:uid="{00000000-0005-0000-0000-0000A0740000}"/>
    <cellStyle name="Normal 6 3 12 2 5" xfId="21597" xr:uid="{00000000-0005-0000-0000-0000A1740000}"/>
    <cellStyle name="Normal 6 3 12 2 6" xfId="21598" xr:uid="{00000000-0005-0000-0000-0000A2740000}"/>
    <cellStyle name="Normal 6 3 12 2 7" xfId="21599" xr:uid="{00000000-0005-0000-0000-0000A3740000}"/>
    <cellStyle name="Normal 6 3 12 3" xfId="21600" xr:uid="{00000000-0005-0000-0000-0000A4740000}"/>
    <cellStyle name="Normal 6 3 12 4" xfId="21601" xr:uid="{00000000-0005-0000-0000-0000A5740000}"/>
    <cellStyle name="Normal 6 3 12 5" xfId="21602" xr:uid="{00000000-0005-0000-0000-0000A6740000}"/>
    <cellStyle name="Normal 6 3 12 6" xfId="21603" xr:uid="{00000000-0005-0000-0000-0000A7740000}"/>
    <cellStyle name="Normal 6 3 12 7" xfId="21604" xr:uid="{00000000-0005-0000-0000-0000A8740000}"/>
    <cellStyle name="Normal 6 3 12 8" xfId="21605" xr:uid="{00000000-0005-0000-0000-0000A9740000}"/>
    <cellStyle name="Normal 6 3 13" xfId="21606" xr:uid="{00000000-0005-0000-0000-0000AA740000}"/>
    <cellStyle name="Normal 6 3 13 2" xfId="21607" xr:uid="{00000000-0005-0000-0000-0000AB740000}"/>
    <cellStyle name="Normal 6 3 13 2 2" xfId="21608" xr:uid="{00000000-0005-0000-0000-0000AC740000}"/>
    <cellStyle name="Normal 6 3 13 2 3" xfId="21609" xr:uid="{00000000-0005-0000-0000-0000AD740000}"/>
    <cellStyle name="Normal 6 3 13 2 4" xfId="21610" xr:uid="{00000000-0005-0000-0000-0000AE740000}"/>
    <cellStyle name="Normal 6 3 13 2 5" xfId="21611" xr:uid="{00000000-0005-0000-0000-0000AF740000}"/>
    <cellStyle name="Normal 6 3 13 2 6" xfId="21612" xr:uid="{00000000-0005-0000-0000-0000B0740000}"/>
    <cellStyle name="Normal 6 3 13 2 7" xfId="21613" xr:uid="{00000000-0005-0000-0000-0000B1740000}"/>
    <cellStyle name="Normal 6 3 13 3" xfId="21614" xr:uid="{00000000-0005-0000-0000-0000B2740000}"/>
    <cellStyle name="Normal 6 3 13 4" xfId="21615" xr:uid="{00000000-0005-0000-0000-0000B3740000}"/>
    <cellStyle name="Normal 6 3 13 5" xfId="21616" xr:uid="{00000000-0005-0000-0000-0000B4740000}"/>
    <cellStyle name="Normal 6 3 13 6" xfId="21617" xr:uid="{00000000-0005-0000-0000-0000B5740000}"/>
    <cellStyle name="Normal 6 3 13 7" xfId="21618" xr:uid="{00000000-0005-0000-0000-0000B6740000}"/>
    <cellStyle name="Normal 6 3 13 8" xfId="21619" xr:uid="{00000000-0005-0000-0000-0000B7740000}"/>
    <cellStyle name="Normal 6 3 14" xfId="21620" xr:uid="{00000000-0005-0000-0000-0000B8740000}"/>
    <cellStyle name="Normal 6 3 14 2" xfId="21621" xr:uid="{00000000-0005-0000-0000-0000B9740000}"/>
    <cellStyle name="Normal 6 3 14 2 2" xfId="21622" xr:uid="{00000000-0005-0000-0000-0000BA740000}"/>
    <cellStyle name="Normal 6 3 14 2 3" xfId="21623" xr:uid="{00000000-0005-0000-0000-0000BB740000}"/>
    <cellStyle name="Normal 6 3 14 2 4" xfId="21624" xr:uid="{00000000-0005-0000-0000-0000BC740000}"/>
    <cellStyle name="Normal 6 3 14 2 5" xfId="21625" xr:uid="{00000000-0005-0000-0000-0000BD740000}"/>
    <cellStyle name="Normal 6 3 14 2 6" xfId="21626" xr:uid="{00000000-0005-0000-0000-0000BE740000}"/>
    <cellStyle name="Normal 6 3 14 2 7" xfId="21627" xr:uid="{00000000-0005-0000-0000-0000BF740000}"/>
    <cellStyle name="Normal 6 3 14 3" xfId="21628" xr:uid="{00000000-0005-0000-0000-0000C0740000}"/>
    <cellStyle name="Normal 6 3 14 4" xfId="21629" xr:uid="{00000000-0005-0000-0000-0000C1740000}"/>
    <cellStyle name="Normal 6 3 14 5" xfId="21630" xr:uid="{00000000-0005-0000-0000-0000C2740000}"/>
    <cellStyle name="Normal 6 3 14 6" xfId="21631" xr:uid="{00000000-0005-0000-0000-0000C3740000}"/>
    <cellStyle name="Normal 6 3 14 7" xfId="21632" xr:uid="{00000000-0005-0000-0000-0000C4740000}"/>
    <cellStyle name="Normal 6 3 14 8" xfId="21633" xr:uid="{00000000-0005-0000-0000-0000C5740000}"/>
    <cellStyle name="Normal 6 3 15" xfId="21634" xr:uid="{00000000-0005-0000-0000-0000C6740000}"/>
    <cellStyle name="Normal 6 3 15 2" xfId="21635" xr:uid="{00000000-0005-0000-0000-0000C7740000}"/>
    <cellStyle name="Normal 6 3 15 2 2" xfId="21636" xr:uid="{00000000-0005-0000-0000-0000C8740000}"/>
    <cellStyle name="Normal 6 3 15 2 3" xfId="21637" xr:uid="{00000000-0005-0000-0000-0000C9740000}"/>
    <cellStyle name="Normal 6 3 15 2 4" xfId="21638" xr:uid="{00000000-0005-0000-0000-0000CA740000}"/>
    <cellStyle name="Normal 6 3 15 2 5" xfId="21639" xr:uid="{00000000-0005-0000-0000-0000CB740000}"/>
    <cellStyle name="Normal 6 3 15 2 6" xfId="21640" xr:uid="{00000000-0005-0000-0000-0000CC740000}"/>
    <cellStyle name="Normal 6 3 15 2 7" xfId="21641" xr:uid="{00000000-0005-0000-0000-0000CD740000}"/>
    <cellStyle name="Normal 6 3 15 3" xfId="21642" xr:uid="{00000000-0005-0000-0000-0000CE740000}"/>
    <cellStyle name="Normal 6 3 15 4" xfId="21643" xr:uid="{00000000-0005-0000-0000-0000CF740000}"/>
    <cellStyle name="Normal 6 3 15 5" xfId="21644" xr:uid="{00000000-0005-0000-0000-0000D0740000}"/>
    <cellStyle name="Normal 6 3 15 6" xfId="21645" xr:uid="{00000000-0005-0000-0000-0000D1740000}"/>
    <cellStyle name="Normal 6 3 15 7" xfId="21646" xr:uid="{00000000-0005-0000-0000-0000D2740000}"/>
    <cellStyle name="Normal 6 3 15 8" xfId="21647" xr:uid="{00000000-0005-0000-0000-0000D3740000}"/>
    <cellStyle name="Normal 6 3 16" xfId="21648" xr:uid="{00000000-0005-0000-0000-0000D4740000}"/>
    <cellStyle name="Normal 6 3 16 2" xfId="21649" xr:uid="{00000000-0005-0000-0000-0000D5740000}"/>
    <cellStyle name="Normal 6 3 16 3" xfId="21650" xr:uid="{00000000-0005-0000-0000-0000D6740000}"/>
    <cellStyle name="Normal 6 3 16 4" xfId="21651" xr:uid="{00000000-0005-0000-0000-0000D7740000}"/>
    <cellStyle name="Normal 6 3 16 5" xfId="21652" xr:uid="{00000000-0005-0000-0000-0000D8740000}"/>
    <cellStyle name="Normal 6 3 16 6" xfId="21653" xr:uid="{00000000-0005-0000-0000-0000D9740000}"/>
    <cellStyle name="Normal 6 3 16 7" xfId="21654" xr:uid="{00000000-0005-0000-0000-0000DA740000}"/>
    <cellStyle name="Normal 6 3 17" xfId="21655" xr:uid="{00000000-0005-0000-0000-0000DB740000}"/>
    <cellStyle name="Normal 6 3 17 2" xfId="21656" xr:uid="{00000000-0005-0000-0000-0000DC740000}"/>
    <cellStyle name="Normal 6 3 17 3" xfId="21657" xr:uid="{00000000-0005-0000-0000-0000DD740000}"/>
    <cellStyle name="Normal 6 3 17 4" xfId="21658" xr:uid="{00000000-0005-0000-0000-0000DE740000}"/>
    <cellStyle name="Normal 6 3 17 5" xfId="21659" xr:uid="{00000000-0005-0000-0000-0000DF740000}"/>
    <cellStyle name="Normal 6 3 17 6" xfId="21660" xr:uid="{00000000-0005-0000-0000-0000E0740000}"/>
    <cellStyle name="Normal 6 3 17 7" xfId="21661" xr:uid="{00000000-0005-0000-0000-0000E1740000}"/>
    <cellStyle name="Normal 6 3 18" xfId="21662" xr:uid="{00000000-0005-0000-0000-0000E2740000}"/>
    <cellStyle name="Normal 6 3 18 2" xfId="21663" xr:uid="{00000000-0005-0000-0000-0000E3740000}"/>
    <cellStyle name="Normal 6 3 18 3" xfId="21664" xr:uid="{00000000-0005-0000-0000-0000E4740000}"/>
    <cellStyle name="Normal 6 3 18 4" xfId="21665" xr:uid="{00000000-0005-0000-0000-0000E5740000}"/>
    <cellStyle name="Normal 6 3 18 5" xfId="21666" xr:uid="{00000000-0005-0000-0000-0000E6740000}"/>
    <cellStyle name="Normal 6 3 18 6" xfId="21667" xr:uid="{00000000-0005-0000-0000-0000E7740000}"/>
    <cellStyle name="Normal 6 3 18 7" xfId="21668" xr:uid="{00000000-0005-0000-0000-0000E8740000}"/>
    <cellStyle name="Normal 6 3 19" xfId="21669" xr:uid="{00000000-0005-0000-0000-0000E9740000}"/>
    <cellStyle name="Normal 6 3 19 2" xfId="21670" xr:uid="{00000000-0005-0000-0000-0000EA740000}"/>
    <cellStyle name="Normal 6 3 19 3" xfId="21671" xr:uid="{00000000-0005-0000-0000-0000EB740000}"/>
    <cellStyle name="Normal 6 3 19 4" xfId="21672" xr:uid="{00000000-0005-0000-0000-0000EC740000}"/>
    <cellStyle name="Normal 6 3 19 5" xfId="21673" xr:uid="{00000000-0005-0000-0000-0000ED740000}"/>
    <cellStyle name="Normal 6 3 19 6" xfId="21674" xr:uid="{00000000-0005-0000-0000-0000EE740000}"/>
    <cellStyle name="Normal 6 3 19 7" xfId="21675" xr:uid="{00000000-0005-0000-0000-0000EF740000}"/>
    <cellStyle name="Normal 6 3 2" xfId="10865" xr:uid="{00000000-0005-0000-0000-0000F0740000}"/>
    <cellStyle name="Normal 6 3 2 2" xfId="21676" xr:uid="{00000000-0005-0000-0000-0000F1740000}"/>
    <cellStyle name="Normal 6 3 2 2 2" xfId="21677" xr:uid="{00000000-0005-0000-0000-0000F2740000}"/>
    <cellStyle name="Normal 6 3 2 2 3" xfId="21678" xr:uid="{00000000-0005-0000-0000-0000F3740000}"/>
    <cellStyle name="Normal 6 3 2 2 4" xfId="21679" xr:uid="{00000000-0005-0000-0000-0000F4740000}"/>
    <cellStyle name="Normal 6 3 2 2 5" xfId="21680" xr:uid="{00000000-0005-0000-0000-0000F5740000}"/>
    <cellStyle name="Normal 6 3 2 2 6" xfId="21681" xr:uid="{00000000-0005-0000-0000-0000F6740000}"/>
    <cellStyle name="Normal 6 3 2 2 7" xfId="21682" xr:uid="{00000000-0005-0000-0000-0000F7740000}"/>
    <cellStyle name="Normal 6 3 2 3" xfId="21683" xr:uid="{00000000-0005-0000-0000-0000F8740000}"/>
    <cellStyle name="Normal 6 3 2 4" xfId="21684" xr:uid="{00000000-0005-0000-0000-0000F9740000}"/>
    <cellStyle name="Normal 6 3 2 5" xfId="21685" xr:uid="{00000000-0005-0000-0000-0000FA740000}"/>
    <cellStyle name="Normal 6 3 2 6" xfId="21686" xr:uid="{00000000-0005-0000-0000-0000FB740000}"/>
    <cellStyle name="Normal 6 3 2 7" xfId="21687" xr:uid="{00000000-0005-0000-0000-0000FC740000}"/>
    <cellStyle name="Normal 6 3 2 8" xfId="21688" xr:uid="{00000000-0005-0000-0000-0000FD740000}"/>
    <cellStyle name="Normal 6 3 2 9" xfId="21689" xr:uid="{00000000-0005-0000-0000-0000FE740000}"/>
    <cellStyle name="Normal 6 3 20" xfId="21690" xr:uid="{00000000-0005-0000-0000-0000FF740000}"/>
    <cellStyle name="Normal 6 3 20 2" xfId="21691" xr:uid="{00000000-0005-0000-0000-000000750000}"/>
    <cellStyle name="Normal 6 3 20 3" xfId="21692" xr:uid="{00000000-0005-0000-0000-000001750000}"/>
    <cellStyle name="Normal 6 3 20 4" xfId="21693" xr:uid="{00000000-0005-0000-0000-000002750000}"/>
    <cellStyle name="Normal 6 3 20 5" xfId="21694" xr:uid="{00000000-0005-0000-0000-000003750000}"/>
    <cellStyle name="Normal 6 3 20 6" xfId="21695" xr:uid="{00000000-0005-0000-0000-000004750000}"/>
    <cellStyle name="Normal 6 3 20 7" xfId="21696" xr:uid="{00000000-0005-0000-0000-000005750000}"/>
    <cellStyle name="Normal 6 3 21" xfId="21697" xr:uid="{00000000-0005-0000-0000-000006750000}"/>
    <cellStyle name="Normal 6 3 21 2" xfId="21698" xr:uid="{00000000-0005-0000-0000-000007750000}"/>
    <cellStyle name="Normal 6 3 21 3" xfId="21699" xr:uid="{00000000-0005-0000-0000-000008750000}"/>
    <cellStyle name="Normal 6 3 21 4" xfId="21700" xr:uid="{00000000-0005-0000-0000-000009750000}"/>
    <cellStyle name="Normal 6 3 21 5" xfId="21701" xr:uid="{00000000-0005-0000-0000-00000A750000}"/>
    <cellStyle name="Normal 6 3 21 6" xfId="21702" xr:uid="{00000000-0005-0000-0000-00000B750000}"/>
    <cellStyle name="Normal 6 3 21 7" xfId="21703" xr:uid="{00000000-0005-0000-0000-00000C750000}"/>
    <cellStyle name="Normal 6 3 22" xfId="21704" xr:uid="{00000000-0005-0000-0000-00000D750000}"/>
    <cellStyle name="Normal 6 3 22 2" xfId="21705" xr:uid="{00000000-0005-0000-0000-00000E750000}"/>
    <cellStyle name="Normal 6 3 22 3" xfId="21706" xr:uid="{00000000-0005-0000-0000-00000F750000}"/>
    <cellStyle name="Normal 6 3 22 4" xfId="21707" xr:uid="{00000000-0005-0000-0000-000010750000}"/>
    <cellStyle name="Normal 6 3 22 5" xfId="21708" xr:uid="{00000000-0005-0000-0000-000011750000}"/>
    <cellStyle name="Normal 6 3 22 6" xfId="21709" xr:uid="{00000000-0005-0000-0000-000012750000}"/>
    <cellStyle name="Normal 6 3 22 7" xfId="21710" xr:uid="{00000000-0005-0000-0000-000013750000}"/>
    <cellStyle name="Normal 6 3 23" xfId="21711" xr:uid="{00000000-0005-0000-0000-000014750000}"/>
    <cellStyle name="Normal 6 3 23 2" xfId="21712" xr:uid="{00000000-0005-0000-0000-000015750000}"/>
    <cellStyle name="Normal 6 3 23 3" xfId="21713" xr:uid="{00000000-0005-0000-0000-000016750000}"/>
    <cellStyle name="Normal 6 3 23 4" xfId="21714" xr:uid="{00000000-0005-0000-0000-000017750000}"/>
    <cellStyle name="Normal 6 3 23 5" xfId="21715" xr:uid="{00000000-0005-0000-0000-000018750000}"/>
    <cellStyle name="Normal 6 3 23 6" xfId="21716" xr:uid="{00000000-0005-0000-0000-000019750000}"/>
    <cellStyle name="Normal 6 3 23 7" xfId="21717" xr:uid="{00000000-0005-0000-0000-00001A750000}"/>
    <cellStyle name="Normal 6 3 24" xfId="21718" xr:uid="{00000000-0005-0000-0000-00001B750000}"/>
    <cellStyle name="Normal 6 3 24 2" xfId="21719" xr:uid="{00000000-0005-0000-0000-00001C750000}"/>
    <cellStyle name="Normal 6 3 24 3" xfId="21720" xr:uid="{00000000-0005-0000-0000-00001D750000}"/>
    <cellStyle name="Normal 6 3 24 4" xfId="21721" xr:uid="{00000000-0005-0000-0000-00001E750000}"/>
    <cellStyle name="Normal 6 3 24 5" xfId="21722" xr:uid="{00000000-0005-0000-0000-00001F750000}"/>
    <cellStyle name="Normal 6 3 24 6" xfId="21723" xr:uid="{00000000-0005-0000-0000-000020750000}"/>
    <cellStyle name="Normal 6 3 24 7" xfId="21724" xr:uid="{00000000-0005-0000-0000-000021750000}"/>
    <cellStyle name="Normal 6 3 25" xfId="21725" xr:uid="{00000000-0005-0000-0000-000022750000}"/>
    <cellStyle name="Normal 6 3 25 2" xfId="21726" xr:uid="{00000000-0005-0000-0000-000023750000}"/>
    <cellStyle name="Normal 6 3 25 3" xfId="21727" xr:uid="{00000000-0005-0000-0000-000024750000}"/>
    <cellStyle name="Normal 6 3 25 4" xfId="21728" xr:uid="{00000000-0005-0000-0000-000025750000}"/>
    <cellStyle name="Normal 6 3 25 5" xfId="21729" xr:uid="{00000000-0005-0000-0000-000026750000}"/>
    <cellStyle name="Normal 6 3 25 6" xfId="21730" xr:uid="{00000000-0005-0000-0000-000027750000}"/>
    <cellStyle name="Normal 6 3 25 7" xfId="21731" xr:uid="{00000000-0005-0000-0000-000028750000}"/>
    <cellStyle name="Normal 6 3 26" xfId="21732" xr:uid="{00000000-0005-0000-0000-000029750000}"/>
    <cellStyle name="Normal 6 3 26 2" xfId="21733" xr:uid="{00000000-0005-0000-0000-00002A750000}"/>
    <cellStyle name="Normal 6 3 26 3" xfId="21734" xr:uid="{00000000-0005-0000-0000-00002B750000}"/>
    <cellStyle name="Normal 6 3 26 4" xfId="21735" xr:uid="{00000000-0005-0000-0000-00002C750000}"/>
    <cellStyle name="Normal 6 3 26 5" xfId="21736" xr:uid="{00000000-0005-0000-0000-00002D750000}"/>
    <cellStyle name="Normal 6 3 26 6" xfId="21737" xr:uid="{00000000-0005-0000-0000-00002E750000}"/>
    <cellStyle name="Normal 6 3 26 7" xfId="21738" xr:uid="{00000000-0005-0000-0000-00002F750000}"/>
    <cellStyle name="Normal 6 3 27" xfId="21739" xr:uid="{00000000-0005-0000-0000-000030750000}"/>
    <cellStyle name="Normal 6 3 27 2" xfId="21740" xr:uid="{00000000-0005-0000-0000-000031750000}"/>
    <cellStyle name="Normal 6 3 27 3" xfId="21741" xr:uid="{00000000-0005-0000-0000-000032750000}"/>
    <cellStyle name="Normal 6 3 27 4" xfId="21742" xr:uid="{00000000-0005-0000-0000-000033750000}"/>
    <cellStyle name="Normal 6 3 27 5" xfId="21743" xr:uid="{00000000-0005-0000-0000-000034750000}"/>
    <cellStyle name="Normal 6 3 27 6" xfId="21744" xr:uid="{00000000-0005-0000-0000-000035750000}"/>
    <cellStyle name="Normal 6 3 27 7" xfId="21745" xr:uid="{00000000-0005-0000-0000-000036750000}"/>
    <cellStyle name="Normal 6 3 28" xfId="21746" xr:uid="{00000000-0005-0000-0000-000037750000}"/>
    <cellStyle name="Normal 6 3 28 2" xfId="21747" xr:uid="{00000000-0005-0000-0000-000038750000}"/>
    <cellStyle name="Normal 6 3 28 3" xfId="21748" xr:uid="{00000000-0005-0000-0000-000039750000}"/>
    <cellStyle name="Normal 6 3 28 4" xfId="21749" xr:uid="{00000000-0005-0000-0000-00003A750000}"/>
    <cellStyle name="Normal 6 3 28 5" xfId="21750" xr:uid="{00000000-0005-0000-0000-00003B750000}"/>
    <cellStyle name="Normal 6 3 28 6" xfId="21751" xr:uid="{00000000-0005-0000-0000-00003C750000}"/>
    <cellStyle name="Normal 6 3 28 7" xfId="21752" xr:uid="{00000000-0005-0000-0000-00003D750000}"/>
    <cellStyle name="Normal 6 3 29" xfId="21753" xr:uid="{00000000-0005-0000-0000-00003E750000}"/>
    <cellStyle name="Normal 6 3 29 2" xfId="21754" xr:uid="{00000000-0005-0000-0000-00003F750000}"/>
    <cellStyle name="Normal 6 3 29 3" xfId="21755" xr:uid="{00000000-0005-0000-0000-000040750000}"/>
    <cellStyle name="Normal 6 3 29 4" xfId="21756" xr:uid="{00000000-0005-0000-0000-000041750000}"/>
    <cellStyle name="Normal 6 3 29 5" xfId="21757" xr:uid="{00000000-0005-0000-0000-000042750000}"/>
    <cellStyle name="Normal 6 3 29 6" xfId="21758" xr:uid="{00000000-0005-0000-0000-000043750000}"/>
    <cellStyle name="Normal 6 3 29 7" xfId="21759" xr:uid="{00000000-0005-0000-0000-000044750000}"/>
    <cellStyle name="Normal 6 3 3" xfId="10866" xr:uid="{00000000-0005-0000-0000-000045750000}"/>
    <cellStyle name="Normal 6 3 3 2" xfId="21760" xr:uid="{00000000-0005-0000-0000-000046750000}"/>
    <cellStyle name="Normal 6 3 3 2 2" xfId="21761" xr:uid="{00000000-0005-0000-0000-000047750000}"/>
    <cellStyle name="Normal 6 3 3 2 3" xfId="21762" xr:uid="{00000000-0005-0000-0000-000048750000}"/>
    <cellStyle name="Normal 6 3 3 2 4" xfId="21763" xr:uid="{00000000-0005-0000-0000-000049750000}"/>
    <cellStyle name="Normal 6 3 3 2 5" xfId="21764" xr:uid="{00000000-0005-0000-0000-00004A750000}"/>
    <cellStyle name="Normal 6 3 3 2 6" xfId="21765" xr:uid="{00000000-0005-0000-0000-00004B750000}"/>
    <cellStyle name="Normal 6 3 3 2 7" xfId="21766" xr:uid="{00000000-0005-0000-0000-00004C750000}"/>
    <cellStyle name="Normal 6 3 3 3" xfId="21767" xr:uid="{00000000-0005-0000-0000-00004D750000}"/>
    <cellStyle name="Normal 6 3 3 4" xfId="21768" xr:uid="{00000000-0005-0000-0000-00004E750000}"/>
    <cellStyle name="Normal 6 3 3 5" xfId="21769" xr:uid="{00000000-0005-0000-0000-00004F750000}"/>
    <cellStyle name="Normal 6 3 3 6" xfId="21770" xr:uid="{00000000-0005-0000-0000-000050750000}"/>
    <cellStyle name="Normal 6 3 3 7" xfId="21771" xr:uid="{00000000-0005-0000-0000-000051750000}"/>
    <cellStyle name="Normal 6 3 3 8" xfId="21772" xr:uid="{00000000-0005-0000-0000-000052750000}"/>
    <cellStyle name="Normal 6 3 3 9" xfId="21773" xr:uid="{00000000-0005-0000-0000-000053750000}"/>
    <cellStyle name="Normal 6 3 30" xfId="21774" xr:uid="{00000000-0005-0000-0000-000054750000}"/>
    <cellStyle name="Normal 6 3 30 2" xfId="21775" xr:uid="{00000000-0005-0000-0000-000055750000}"/>
    <cellStyle name="Normal 6 3 30 3" xfId="21776" xr:uid="{00000000-0005-0000-0000-000056750000}"/>
    <cellStyle name="Normal 6 3 30 4" xfId="21777" xr:uid="{00000000-0005-0000-0000-000057750000}"/>
    <cellStyle name="Normal 6 3 30 5" xfId="21778" xr:uid="{00000000-0005-0000-0000-000058750000}"/>
    <cellStyle name="Normal 6 3 30 6" xfId="21779" xr:uid="{00000000-0005-0000-0000-000059750000}"/>
    <cellStyle name="Normal 6 3 30 7" xfId="21780" xr:uid="{00000000-0005-0000-0000-00005A750000}"/>
    <cellStyle name="Normal 6 3 31" xfId="21781" xr:uid="{00000000-0005-0000-0000-00005B750000}"/>
    <cellStyle name="Normal 6 3 31 2" xfId="21782" xr:uid="{00000000-0005-0000-0000-00005C750000}"/>
    <cellStyle name="Normal 6 3 31 3" xfId="21783" xr:uid="{00000000-0005-0000-0000-00005D750000}"/>
    <cellStyle name="Normal 6 3 31 4" xfId="21784" xr:uid="{00000000-0005-0000-0000-00005E750000}"/>
    <cellStyle name="Normal 6 3 31 5" xfId="21785" xr:uid="{00000000-0005-0000-0000-00005F750000}"/>
    <cellStyle name="Normal 6 3 31 6" xfId="21786" xr:uid="{00000000-0005-0000-0000-000060750000}"/>
    <cellStyle name="Normal 6 3 31 7" xfId="21787" xr:uid="{00000000-0005-0000-0000-000061750000}"/>
    <cellStyle name="Normal 6 3 32" xfId="21788" xr:uid="{00000000-0005-0000-0000-000062750000}"/>
    <cellStyle name="Normal 6 3 32 2" xfId="21789" xr:uid="{00000000-0005-0000-0000-000063750000}"/>
    <cellStyle name="Normal 6 3 32 3" xfId="21790" xr:uid="{00000000-0005-0000-0000-000064750000}"/>
    <cellStyle name="Normal 6 3 32 4" xfId="21791" xr:uid="{00000000-0005-0000-0000-000065750000}"/>
    <cellStyle name="Normal 6 3 32 5" xfId="21792" xr:uid="{00000000-0005-0000-0000-000066750000}"/>
    <cellStyle name="Normal 6 3 32 6" xfId="21793" xr:uid="{00000000-0005-0000-0000-000067750000}"/>
    <cellStyle name="Normal 6 3 32 7" xfId="21794" xr:uid="{00000000-0005-0000-0000-000068750000}"/>
    <cellStyle name="Normal 6 3 33" xfId="21795" xr:uid="{00000000-0005-0000-0000-000069750000}"/>
    <cellStyle name="Normal 6 3 33 2" xfId="21796" xr:uid="{00000000-0005-0000-0000-00006A750000}"/>
    <cellStyle name="Normal 6 3 33 3" xfId="21797" xr:uid="{00000000-0005-0000-0000-00006B750000}"/>
    <cellStyle name="Normal 6 3 33 4" xfId="21798" xr:uid="{00000000-0005-0000-0000-00006C750000}"/>
    <cellStyle name="Normal 6 3 33 5" xfId="21799" xr:uid="{00000000-0005-0000-0000-00006D750000}"/>
    <cellStyle name="Normal 6 3 33 6" xfId="21800" xr:uid="{00000000-0005-0000-0000-00006E750000}"/>
    <cellStyle name="Normal 6 3 33 7" xfId="21801" xr:uid="{00000000-0005-0000-0000-00006F750000}"/>
    <cellStyle name="Normal 6 3 34" xfId="21802" xr:uid="{00000000-0005-0000-0000-000070750000}"/>
    <cellStyle name="Normal 6 3 34 2" xfId="21803" xr:uid="{00000000-0005-0000-0000-000071750000}"/>
    <cellStyle name="Normal 6 3 34 3" xfId="21804" xr:uid="{00000000-0005-0000-0000-000072750000}"/>
    <cellStyle name="Normal 6 3 34 4" xfId="21805" xr:uid="{00000000-0005-0000-0000-000073750000}"/>
    <cellStyle name="Normal 6 3 34 5" xfId="21806" xr:uid="{00000000-0005-0000-0000-000074750000}"/>
    <cellStyle name="Normal 6 3 34 6" xfId="21807" xr:uid="{00000000-0005-0000-0000-000075750000}"/>
    <cellStyle name="Normal 6 3 34 7" xfId="21808" xr:uid="{00000000-0005-0000-0000-000076750000}"/>
    <cellStyle name="Normal 6 3 35" xfId="21809" xr:uid="{00000000-0005-0000-0000-000077750000}"/>
    <cellStyle name="Normal 6 3 35 2" xfId="21810" xr:uid="{00000000-0005-0000-0000-000078750000}"/>
    <cellStyle name="Normal 6 3 35 3" xfId="21811" xr:uid="{00000000-0005-0000-0000-000079750000}"/>
    <cellStyle name="Normal 6 3 35 4" xfId="21812" xr:uid="{00000000-0005-0000-0000-00007A750000}"/>
    <cellStyle name="Normal 6 3 35 5" xfId="21813" xr:uid="{00000000-0005-0000-0000-00007B750000}"/>
    <cellStyle name="Normal 6 3 35 6" xfId="21814" xr:uid="{00000000-0005-0000-0000-00007C750000}"/>
    <cellStyle name="Normal 6 3 35 7" xfId="21815" xr:uid="{00000000-0005-0000-0000-00007D750000}"/>
    <cellStyle name="Normal 6 3 36" xfId="21816" xr:uid="{00000000-0005-0000-0000-00007E750000}"/>
    <cellStyle name="Normal 6 3 36 2" xfId="21817" xr:uid="{00000000-0005-0000-0000-00007F750000}"/>
    <cellStyle name="Normal 6 3 37" xfId="21818" xr:uid="{00000000-0005-0000-0000-000080750000}"/>
    <cellStyle name="Normal 6 3 38" xfId="21819" xr:uid="{00000000-0005-0000-0000-000081750000}"/>
    <cellStyle name="Normal 6 3 39" xfId="21820" xr:uid="{00000000-0005-0000-0000-000082750000}"/>
    <cellStyle name="Normal 6 3 4" xfId="10867" xr:uid="{00000000-0005-0000-0000-000083750000}"/>
    <cellStyle name="Normal 6 3 4 2" xfId="21821" xr:uid="{00000000-0005-0000-0000-000084750000}"/>
    <cellStyle name="Normal 6 3 4 2 2" xfId="21822" xr:uid="{00000000-0005-0000-0000-000085750000}"/>
    <cellStyle name="Normal 6 3 4 2 3" xfId="21823" xr:uid="{00000000-0005-0000-0000-000086750000}"/>
    <cellStyle name="Normal 6 3 4 2 4" xfId="21824" xr:uid="{00000000-0005-0000-0000-000087750000}"/>
    <cellStyle name="Normal 6 3 4 2 5" xfId="21825" xr:uid="{00000000-0005-0000-0000-000088750000}"/>
    <cellStyle name="Normal 6 3 4 2 6" xfId="21826" xr:uid="{00000000-0005-0000-0000-000089750000}"/>
    <cellStyle name="Normal 6 3 4 2 7" xfId="21827" xr:uid="{00000000-0005-0000-0000-00008A750000}"/>
    <cellStyle name="Normal 6 3 4 3" xfId="21828" xr:uid="{00000000-0005-0000-0000-00008B750000}"/>
    <cellStyle name="Normal 6 3 4 4" xfId="21829" xr:uid="{00000000-0005-0000-0000-00008C750000}"/>
    <cellStyle name="Normal 6 3 4 5" xfId="21830" xr:uid="{00000000-0005-0000-0000-00008D750000}"/>
    <cellStyle name="Normal 6 3 4 6" xfId="21831" xr:uid="{00000000-0005-0000-0000-00008E750000}"/>
    <cellStyle name="Normal 6 3 4 7" xfId="21832" xr:uid="{00000000-0005-0000-0000-00008F750000}"/>
    <cellStyle name="Normal 6 3 4 8" xfId="21833" xr:uid="{00000000-0005-0000-0000-000090750000}"/>
    <cellStyle name="Normal 6 3 4 9" xfId="21834" xr:uid="{00000000-0005-0000-0000-000091750000}"/>
    <cellStyle name="Normal 6 3 40" xfId="21835" xr:uid="{00000000-0005-0000-0000-000092750000}"/>
    <cellStyle name="Normal 6 3 41" xfId="21836" xr:uid="{00000000-0005-0000-0000-000093750000}"/>
    <cellStyle name="Normal 6 3 42" xfId="21837" xr:uid="{00000000-0005-0000-0000-000094750000}"/>
    <cellStyle name="Normal 6 3 5" xfId="10868" xr:uid="{00000000-0005-0000-0000-000095750000}"/>
    <cellStyle name="Normal 6 3 5 2" xfId="21838" xr:uid="{00000000-0005-0000-0000-000096750000}"/>
    <cellStyle name="Normal 6 3 5 2 2" xfId="21839" xr:uid="{00000000-0005-0000-0000-000097750000}"/>
    <cellStyle name="Normal 6 3 5 2 3" xfId="21840" xr:uid="{00000000-0005-0000-0000-000098750000}"/>
    <cellStyle name="Normal 6 3 5 2 4" xfId="21841" xr:uid="{00000000-0005-0000-0000-000099750000}"/>
    <cellStyle name="Normal 6 3 5 2 5" xfId="21842" xr:uid="{00000000-0005-0000-0000-00009A750000}"/>
    <cellStyle name="Normal 6 3 5 2 6" xfId="21843" xr:uid="{00000000-0005-0000-0000-00009B750000}"/>
    <cellStyle name="Normal 6 3 5 2 7" xfId="21844" xr:uid="{00000000-0005-0000-0000-00009C750000}"/>
    <cellStyle name="Normal 6 3 5 3" xfId="21845" xr:uid="{00000000-0005-0000-0000-00009D750000}"/>
    <cellStyle name="Normal 6 3 5 4" xfId="21846" xr:uid="{00000000-0005-0000-0000-00009E750000}"/>
    <cellStyle name="Normal 6 3 5 5" xfId="21847" xr:uid="{00000000-0005-0000-0000-00009F750000}"/>
    <cellStyle name="Normal 6 3 5 6" xfId="21848" xr:uid="{00000000-0005-0000-0000-0000A0750000}"/>
    <cellStyle name="Normal 6 3 5 7" xfId="21849" xr:uid="{00000000-0005-0000-0000-0000A1750000}"/>
    <cellStyle name="Normal 6 3 5 8" xfId="21850" xr:uid="{00000000-0005-0000-0000-0000A2750000}"/>
    <cellStyle name="Normal 6 3 5 9" xfId="21851" xr:uid="{00000000-0005-0000-0000-0000A3750000}"/>
    <cellStyle name="Normal 6 3 6" xfId="10869" xr:uid="{00000000-0005-0000-0000-0000A4750000}"/>
    <cellStyle name="Normal 6 3 6 2" xfId="21852" xr:uid="{00000000-0005-0000-0000-0000A5750000}"/>
    <cellStyle name="Normal 6 3 6 2 2" xfId="21853" xr:uid="{00000000-0005-0000-0000-0000A6750000}"/>
    <cellStyle name="Normal 6 3 6 2 3" xfId="21854" xr:uid="{00000000-0005-0000-0000-0000A7750000}"/>
    <cellStyle name="Normal 6 3 6 2 4" xfId="21855" xr:uid="{00000000-0005-0000-0000-0000A8750000}"/>
    <cellStyle name="Normal 6 3 6 2 5" xfId="21856" xr:uid="{00000000-0005-0000-0000-0000A9750000}"/>
    <cellStyle name="Normal 6 3 6 2 6" xfId="21857" xr:uid="{00000000-0005-0000-0000-0000AA750000}"/>
    <cellStyle name="Normal 6 3 6 2 7" xfId="21858" xr:uid="{00000000-0005-0000-0000-0000AB750000}"/>
    <cellStyle name="Normal 6 3 6 2 8" xfId="39908" xr:uid="{00000000-0005-0000-0000-0000AC750000}"/>
    <cellStyle name="Normal 6 3 6 3" xfId="21859" xr:uid="{00000000-0005-0000-0000-0000AD750000}"/>
    <cellStyle name="Normal 6 3 6 4" xfId="21860" xr:uid="{00000000-0005-0000-0000-0000AE750000}"/>
    <cellStyle name="Normal 6 3 6 5" xfId="21861" xr:uid="{00000000-0005-0000-0000-0000AF750000}"/>
    <cellStyle name="Normal 6 3 6 6" xfId="21862" xr:uid="{00000000-0005-0000-0000-0000B0750000}"/>
    <cellStyle name="Normal 6 3 6 7" xfId="21863" xr:uid="{00000000-0005-0000-0000-0000B1750000}"/>
    <cellStyle name="Normal 6 3 6 8" xfId="21864" xr:uid="{00000000-0005-0000-0000-0000B2750000}"/>
    <cellStyle name="Normal 6 3 6 9" xfId="21865" xr:uid="{00000000-0005-0000-0000-0000B3750000}"/>
    <cellStyle name="Normal 6 3 7" xfId="10870" xr:uid="{00000000-0005-0000-0000-0000B4750000}"/>
    <cellStyle name="Normal 6 3 7 2" xfId="21866" xr:uid="{00000000-0005-0000-0000-0000B5750000}"/>
    <cellStyle name="Normal 6 3 7 2 2" xfId="21867" xr:uid="{00000000-0005-0000-0000-0000B6750000}"/>
    <cellStyle name="Normal 6 3 7 2 3" xfId="21868" xr:uid="{00000000-0005-0000-0000-0000B7750000}"/>
    <cellStyle name="Normal 6 3 7 2 4" xfId="21869" xr:uid="{00000000-0005-0000-0000-0000B8750000}"/>
    <cellStyle name="Normal 6 3 7 2 5" xfId="21870" xr:uid="{00000000-0005-0000-0000-0000B9750000}"/>
    <cellStyle name="Normal 6 3 7 2 6" xfId="21871" xr:uid="{00000000-0005-0000-0000-0000BA750000}"/>
    <cellStyle name="Normal 6 3 7 2 7" xfId="21872" xr:uid="{00000000-0005-0000-0000-0000BB750000}"/>
    <cellStyle name="Normal 6 3 7 2 8" xfId="39909" xr:uid="{00000000-0005-0000-0000-0000BC750000}"/>
    <cellStyle name="Normal 6 3 7 3" xfId="21873" xr:uid="{00000000-0005-0000-0000-0000BD750000}"/>
    <cellStyle name="Normal 6 3 7 4" xfId="21874" xr:uid="{00000000-0005-0000-0000-0000BE750000}"/>
    <cellStyle name="Normal 6 3 7 5" xfId="21875" xr:uid="{00000000-0005-0000-0000-0000BF750000}"/>
    <cellStyle name="Normal 6 3 7 6" xfId="21876" xr:uid="{00000000-0005-0000-0000-0000C0750000}"/>
    <cellStyle name="Normal 6 3 7 7" xfId="21877" xr:uid="{00000000-0005-0000-0000-0000C1750000}"/>
    <cellStyle name="Normal 6 3 7 8" xfId="21878" xr:uid="{00000000-0005-0000-0000-0000C2750000}"/>
    <cellStyle name="Normal 6 3 7 9" xfId="21879" xr:uid="{00000000-0005-0000-0000-0000C3750000}"/>
    <cellStyle name="Normal 6 3 8" xfId="10871" xr:uid="{00000000-0005-0000-0000-0000C4750000}"/>
    <cellStyle name="Normal 6 3 8 2" xfId="21880" xr:uid="{00000000-0005-0000-0000-0000C5750000}"/>
    <cellStyle name="Normal 6 3 8 2 2" xfId="21881" xr:uid="{00000000-0005-0000-0000-0000C6750000}"/>
    <cellStyle name="Normal 6 3 8 2 3" xfId="21882" xr:uid="{00000000-0005-0000-0000-0000C7750000}"/>
    <cellStyle name="Normal 6 3 8 2 4" xfId="21883" xr:uid="{00000000-0005-0000-0000-0000C8750000}"/>
    <cellStyle name="Normal 6 3 8 2 5" xfId="21884" xr:uid="{00000000-0005-0000-0000-0000C9750000}"/>
    <cellStyle name="Normal 6 3 8 2 6" xfId="21885" xr:uid="{00000000-0005-0000-0000-0000CA750000}"/>
    <cellStyle name="Normal 6 3 8 2 7" xfId="21886" xr:uid="{00000000-0005-0000-0000-0000CB750000}"/>
    <cellStyle name="Normal 6 3 8 2 8" xfId="39910" xr:uid="{00000000-0005-0000-0000-0000CC750000}"/>
    <cellStyle name="Normal 6 3 8 3" xfId="21887" xr:uid="{00000000-0005-0000-0000-0000CD750000}"/>
    <cellStyle name="Normal 6 3 8 4" xfId="21888" xr:uid="{00000000-0005-0000-0000-0000CE750000}"/>
    <cellStyle name="Normal 6 3 8 5" xfId="21889" xr:uid="{00000000-0005-0000-0000-0000CF750000}"/>
    <cellStyle name="Normal 6 3 8 6" xfId="21890" xr:uid="{00000000-0005-0000-0000-0000D0750000}"/>
    <cellStyle name="Normal 6 3 8 7" xfId="21891" xr:uid="{00000000-0005-0000-0000-0000D1750000}"/>
    <cellStyle name="Normal 6 3 8 8" xfId="21892" xr:uid="{00000000-0005-0000-0000-0000D2750000}"/>
    <cellStyle name="Normal 6 3 8 9" xfId="21893" xr:uid="{00000000-0005-0000-0000-0000D3750000}"/>
    <cellStyle name="Normal 6 3 9" xfId="21894" xr:uid="{00000000-0005-0000-0000-0000D4750000}"/>
    <cellStyle name="Normal 6 3 9 2" xfId="21895" xr:uid="{00000000-0005-0000-0000-0000D5750000}"/>
    <cellStyle name="Normal 6 3 9 2 2" xfId="21896" xr:uid="{00000000-0005-0000-0000-0000D6750000}"/>
    <cellStyle name="Normal 6 3 9 2 3" xfId="21897" xr:uid="{00000000-0005-0000-0000-0000D7750000}"/>
    <cellStyle name="Normal 6 3 9 2 4" xfId="21898" xr:uid="{00000000-0005-0000-0000-0000D8750000}"/>
    <cellStyle name="Normal 6 3 9 2 5" xfId="21899" xr:uid="{00000000-0005-0000-0000-0000D9750000}"/>
    <cellStyle name="Normal 6 3 9 2 6" xfId="21900" xr:uid="{00000000-0005-0000-0000-0000DA750000}"/>
    <cellStyle name="Normal 6 3 9 2 7" xfId="21901" xr:uid="{00000000-0005-0000-0000-0000DB750000}"/>
    <cellStyle name="Normal 6 3 9 3" xfId="21902" xr:uid="{00000000-0005-0000-0000-0000DC750000}"/>
    <cellStyle name="Normal 6 3 9 4" xfId="21903" xr:uid="{00000000-0005-0000-0000-0000DD750000}"/>
    <cellStyle name="Normal 6 3 9 5" xfId="21904" xr:uid="{00000000-0005-0000-0000-0000DE750000}"/>
    <cellStyle name="Normal 6 3 9 6" xfId="21905" xr:uid="{00000000-0005-0000-0000-0000DF750000}"/>
    <cellStyle name="Normal 6 3 9 7" xfId="21906" xr:uid="{00000000-0005-0000-0000-0000E0750000}"/>
    <cellStyle name="Normal 6 3 9 8" xfId="21907" xr:uid="{00000000-0005-0000-0000-0000E1750000}"/>
    <cellStyle name="Normal 6 3 9 9" xfId="39911" xr:uid="{00000000-0005-0000-0000-0000E2750000}"/>
    <cellStyle name="Normal 6 3_01-04-2012" xfId="10872" xr:uid="{00000000-0005-0000-0000-0000E3750000}"/>
    <cellStyle name="Normal 6 30" xfId="10873" xr:uid="{00000000-0005-0000-0000-0000E4750000}"/>
    <cellStyle name="Normal 6 31" xfId="10874" xr:uid="{00000000-0005-0000-0000-0000E5750000}"/>
    <cellStyle name="Normal 6 32" xfId="10875" xr:uid="{00000000-0005-0000-0000-0000E6750000}"/>
    <cellStyle name="Normal 6 33" xfId="10876" xr:uid="{00000000-0005-0000-0000-0000E7750000}"/>
    <cellStyle name="Normal 6 34" xfId="10877" xr:uid="{00000000-0005-0000-0000-0000E8750000}"/>
    <cellStyle name="Normal 6 35" xfId="10878" xr:uid="{00000000-0005-0000-0000-0000E9750000}"/>
    <cellStyle name="Normal 6 36" xfId="10879" xr:uid="{00000000-0005-0000-0000-0000EA750000}"/>
    <cellStyle name="Normal 6 37" xfId="10880" xr:uid="{00000000-0005-0000-0000-0000EB750000}"/>
    <cellStyle name="Normal 6 38" xfId="10881" xr:uid="{00000000-0005-0000-0000-0000EC750000}"/>
    <cellStyle name="Normal 6 39" xfId="10882" xr:uid="{00000000-0005-0000-0000-0000ED750000}"/>
    <cellStyle name="Normal 6 4" xfId="10883" xr:uid="{00000000-0005-0000-0000-0000EE750000}"/>
    <cellStyle name="Normal 6 4 2" xfId="10884" xr:uid="{00000000-0005-0000-0000-0000EF750000}"/>
    <cellStyle name="Normal 6 4 3" xfId="10885" xr:uid="{00000000-0005-0000-0000-0000F0750000}"/>
    <cellStyle name="Normal 6 4 4" xfId="10886" xr:uid="{00000000-0005-0000-0000-0000F1750000}"/>
    <cellStyle name="Normal 6 4 5" xfId="10887" xr:uid="{00000000-0005-0000-0000-0000F2750000}"/>
    <cellStyle name="Normal 6 4 6" xfId="10888" xr:uid="{00000000-0005-0000-0000-0000F3750000}"/>
    <cellStyle name="Normal 6 4 6 2" xfId="39912" xr:uid="{00000000-0005-0000-0000-0000F4750000}"/>
    <cellStyle name="Normal 6 4 7" xfId="10889" xr:uid="{00000000-0005-0000-0000-0000F5750000}"/>
    <cellStyle name="Normal 6 4 7 2" xfId="39913" xr:uid="{00000000-0005-0000-0000-0000F6750000}"/>
    <cellStyle name="Normal 6 4 8" xfId="10890" xr:uid="{00000000-0005-0000-0000-0000F7750000}"/>
    <cellStyle name="Normal 6 4 8 2" xfId="39914" xr:uid="{00000000-0005-0000-0000-0000F8750000}"/>
    <cellStyle name="Normal 6 4 9" xfId="21908" xr:uid="{00000000-0005-0000-0000-0000F9750000}"/>
    <cellStyle name="Normal 6 4 9 2" xfId="39915" xr:uid="{00000000-0005-0000-0000-0000FA750000}"/>
    <cellStyle name="Normal 6 4_01-04-2012" xfId="10891" xr:uid="{00000000-0005-0000-0000-0000FB750000}"/>
    <cellStyle name="Normal 6 40" xfId="10892" xr:uid="{00000000-0005-0000-0000-0000FC750000}"/>
    <cellStyle name="Normal 6 41" xfId="10893" xr:uid="{00000000-0005-0000-0000-0000FD750000}"/>
    <cellStyle name="Normal 6 42" xfId="10894" xr:uid="{00000000-0005-0000-0000-0000FE750000}"/>
    <cellStyle name="Normal 6 43" xfId="10895" xr:uid="{00000000-0005-0000-0000-0000FF750000}"/>
    <cellStyle name="Normal 6 44" xfId="10896" xr:uid="{00000000-0005-0000-0000-000000760000}"/>
    <cellStyle name="Normal 6 45" xfId="10897" xr:uid="{00000000-0005-0000-0000-000001760000}"/>
    <cellStyle name="Normal 6 46" xfId="10898" xr:uid="{00000000-0005-0000-0000-000002760000}"/>
    <cellStyle name="Normal 6 47" xfId="10899" xr:uid="{00000000-0005-0000-0000-000003760000}"/>
    <cellStyle name="Normal 6 48" xfId="10900" xr:uid="{00000000-0005-0000-0000-000004760000}"/>
    <cellStyle name="Normal 6 49" xfId="10901" xr:uid="{00000000-0005-0000-0000-000005760000}"/>
    <cellStyle name="Normal 6 5" xfId="10902" xr:uid="{00000000-0005-0000-0000-000006760000}"/>
    <cellStyle name="Normal 6 5 2" xfId="21909" xr:uid="{00000000-0005-0000-0000-000007760000}"/>
    <cellStyle name="Normal 6 50" xfId="10903" xr:uid="{00000000-0005-0000-0000-000008760000}"/>
    <cellStyle name="Normal 6 51" xfId="10904" xr:uid="{00000000-0005-0000-0000-000009760000}"/>
    <cellStyle name="Normal 6 52" xfId="10905" xr:uid="{00000000-0005-0000-0000-00000A760000}"/>
    <cellStyle name="Normal 6 53" xfId="10906" xr:uid="{00000000-0005-0000-0000-00000B760000}"/>
    <cellStyle name="Normal 6 54" xfId="10907" xr:uid="{00000000-0005-0000-0000-00000C760000}"/>
    <cellStyle name="Normal 6 55" xfId="10908" xr:uid="{00000000-0005-0000-0000-00000D760000}"/>
    <cellStyle name="Normal 6 56" xfId="10909" xr:uid="{00000000-0005-0000-0000-00000E760000}"/>
    <cellStyle name="Normal 6 57" xfId="10910" xr:uid="{00000000-0005-0000-0000-00000F760000}"/>
    <cellStyle name="Normal 6 57 2" xfId="39916" xr:uid="{00000000-0005-0000-0000-000010760000}"/>
    <cellStyle name="Normal 6 58" xfId="10911" xr:uid="{00000000-0005-0000-0000-000011760000}"/>
    <cellStyle name="Normal 6 58 2" xfId="39917" xr:uid="{00000000-0005-0000-0000-000012760000}"/>
    <cellStyle name="Normal 6 59" xfId="10912" xr:uid="{00000000-0005-0000-0000-000013760000}"/>
    <cellStyle name="Normal 6 59 2" xfId="39918" xr:uid="{00000000-0005-0000-0000-000014760000}"/>
    <cellStyle name="Normal 6 6" xfId="10913" xr:uid="{00000000-0005-0000-0000-000015760000}"/>
    <cellStyle name="Normal 6 60" xfId="10914" xr:uid="{00000000-0005-0000-0000-000016760000}"/>
    <cellStyle name="Normal 6 61" xfId="10915" xr:uid="{00000000-0005-0000-0000-000017760000}"/>
    <cellStyle name="Normal 6 62" xfId="10916" xr:uid="{00000000-0005-0000-0000-000018760000}"/>
    <cellStyle name="Normal 6 63" xfId="10917" xr:uid="{00000000-0005-0000-0000-000019760000}"/>
    <cellStyle name="Normal 6 64" xfId="10918" xr:uid="{00000000-0005-0000-0000-00001A760000}"/>
    <cellStyle name="Normal 6 65" xfId="10919" xr:uid="{00000000-0005-0000-0000-00001B760000}"/>
    <cellStyle name="Normal 6 66" xfId="10920" xr:uid="{00000000-0005-0000-0000-00001C760000}"/>
    <cellStyle name="Normal 6 67" xfId="10921" xr:uid="{00000000-0005-0000-0000-00001D760000}"/>
    <cellStyle name="Normal 6 68" xfId="21910" xr:uid="{00000000-0005-0000-0000-00001E760000}"/>
    <cellStyle name="Normal 6 68 2" xfId="39919" xr:uid="{00000000-0005-0000-0000-00001F760000}"/>
    <cellStyle name="Normal 6 7" xfId="10922" xr:uid="{00000000-0005-0000-0000-000020760000}"/>
    <cellStyle name="Normal 6 8" xfId="10923" xr:uid="{00000000-0005-0000-0000-000021760000}"/>
    <cellStyle name="Normal 6 9" xfId="10924" xr:uid="{00000000-0005-0000-0000-000022760000}"/>
    <cellStyle name="Normal 6_01-04-2012" xfId="10925" xr:uid="{00000000-0005-0000-0000-000023760000}"/>
    <cellStyle name="Normal 60" xfId="10926" xr:uid="{00000000-0005-0000-0000-000024760000}"/>
    <cellStyle name="Normal 60 2" xfId="10927" xr:uid="{00000000-0005-0000-0000-000025760000}"/>
    <cellStyle name="Normal 60 3" xfId="21911" xr:uid="{00000000-0005-0000-0000-000026760000}"/>
    <cellStyle name="Normal 60_01-04-2012" xfId="10928" xr:uid="{00000000-0005-0000-0000-000027760000}"/>
    <cellStyle name="Normal 600" xfId="21912" xr:uid="{00000000-0005-0000-0000-000028760000}"/>
    <cellStyle name="Normal 601" xfId="21913" xr:uid="{00000000-0005-0000-0000-000029760000}"/>
    <cellStyle name="Normal 602" xfId="21914" xr:uid="{00000000-0005-0000-0000-00002A760000}"/>
    <cellStyle name="Normal 603" xfId="21915" xr:uid="{00000000-0005-0000-0000-00002B760000}"/>
    <cellStyle name="Normal 604" xfId="21916" xr:uid="{00000000-0005-0000-0000-00002C760000}"/>
    <cellStyle name="Normal 605" xfId="21917" xr:uid="{00000000-0005-0000-0000-00002D760000}"/>
    <cellStyle name="Normal 606" xfId="21918" xr:uid="{00000000-0005-0000-0000-00002E760000}"/>
    <cellStyle name="Normal 607" xfId="21919" xr:uid="{00000000-0005-0000-0000-00002F760000}"/>
    <cellStyle name="Normal 608" xfId="21920" xr:uid="{00000000-0005-0000-0000-000030760000}"/>
    <cellStyle name="Normal 609" xfId="21921" xr:uid="{00000000-0005-0000-0000-000031760000}"/>
    <cellStyle name="Normal 61" xfId="10929" xr:uid="{00000000-0005-0000-0000-000032760000}"/>
    <cellStyle name="Normal 61 2" xfId="10930" xr:uid="{00000000-0005-0000-0000-000033760000}"/>
    <cellStyle name="Normal 61 3" xfId="21922" xr:uid="{00000000-0005-0000-0000-000034760000}"/>
    <cellStyle name="Normal 61_01-04-2012" xfId="10931" xr:uid="{00000000-0005-0000-0000-000035760000}"/>
    <cellStyle name="Normal 610" xfId="21923" xr:uid="{00000000-0005-0000-0000-000036760000}"/>
    <cellStyle name="Normal 611" xfId="21924" xr:uid="{00000000-0005-0000-0000-000037760000}"/>
    <cellStyle name="Normal 612" xfId="21925" xr:uid="{00000000-0005-0000-0000-000038760000}"/>
    <cellStyle name="Normal 613" xfId="21926" xr:uid="{00000000-0005-0000-0000-000039760000}"/>
    <cellStyle name="Normal 614" xfId="21927" xr:uid="{00000000-0005-0000-0000-00003A760000}"/>
    <cellStyle name="Normal 615" xfId="21928" xr:uid="{00000000-0005-0000-0000-00003B760000}"/>
    <cellStyle name="Normal 616" xfId="21929" xr:uid="{00000000-0005-0000-0000-00003C760000}"/>
    <cellStyle name="Normal 617" xfId="21930" xr:uid="{00000000-0005-0000-0000-00003D760000}"/>
    <cellStyle name="Normal 618" xfId="21931" xr:uid="{00000000-0005-0000-0000-00003E760000}"/>
    <cellStyle name="Normal 619" xfId="21932" xr:uid="{00000000-0005-0000-0000-00003F760000}"/>
    <cellStyle name="Normal 62" xfId="10932" xr:uid="{00000000-0005-0000-0000-000040760000}"/>
    <cellStyle name="Normal 62 2" xfId="10933" xr:uid="{00000000-0005-0000-0000-000041760000}"/>
    <cellStyle name="Normal 62 3" xfId="21933" xr:uid="{00000000-0005-0000-0000-000042760000}"/>
    <cellStyle name="Normal 62_01-04-2012" xfId="10934" xr:uid="{00000000-0005-0000-0000-000043760000}"/>
    <cellStyle name="Normal 620" xfId="21934" xr:uid="{00000000-0005-0000-0000-000044760000}"/>
    <cellStyle name="Normal 621" xfId="21935" xr:uid="{00000000-0005-0000-0000-000045760000}"/>
    <cellStyle name="Normal 622" xfId="21936" xr:uid="{00000000-0005-0000-0000-000046760000}"/>
    <cellStyle name="Normal 623" xfId="21937" xr:uid="{00000000-0005-0000-0000-000047760000}"/>
    <cellStyle name="Normal 624" xfId="21938" xr:uid="{00000000-0005-0000-0000-000048760000}"/>
    <cellStyle name="Normal 625" xfId="21939" xr:uid="{00000000-0005-0000-0000-000049760000}"/>
    <cellStyle name="Normal 626" xfId="21940" xr:uid="{00000000-0005-0000-0000-00004A760000}"/>
    <cellStyle name="Normal 627" xfId="21941" xr:uid="{00000000-0005-0000-0000-00004B760000}"/>
    <cellStyle name="Normal 628" xfId="21942" xr:uid="{00000000-0005-0000-0000-00004C760000}"/>
    <cellStyle name="Normal 629" xfId="21943" xr:uid="{00000000-0005-0000-0000-00004D760000}"/>
    <cellStyle name="Normal 63" xfId="10935" xr:uid="{00000000-0005-0000-0000-00004E760000}"/>
    <cellStyle name="Normal 63 2" xfId="10936" xr:uid="{00000000-0005-0000-0000-00004F760000}"/>
    <cellStyle name="Normal 63 3" xfId="21944" xr:uid="{00000000-0005-0000-0000-000050760000}"/>
    <cellStyle name="Normal 63_01-04-2012" xfId="10937" xr:uid="{00000000-0005-0000-0000-000051760000}"/>
    <cellStyle name="Normal 630" xfId="21945" xr:uid="{00000000-0005-0000-0000-000052760000}"/>
    <cellStyle name="Normal 631" xfId="21946" xr:uid="{00000000-0005-0000-0000-000053760000}"/>
    <cellStyle name="Normal 632" xfId="21947" xr:uid="{00000000-0005-0000-0000-000054760000}"/>
    <cellStyle name="Normal 633" xfId="21948" xr:uid="{00000000-0005-0000-0000-000055760000}"/>
    <cellStyle name="Normal 634" xfId="21949" xr:uid="{00000000-0005-0000-0000-000056760000}"/>
    <cellStyle name="Normal 635" xfId="21950" xr:uid="{00000000-0005-0000-0000-000057760000}"/>
    <cellStyle name="Normal 636" xfId="21951" xr:uid="{00000000-0005-0000-0000-000058760000}"/>
    <cellStyle name="Normal 637" xfId="21952" xr:uid="{00000000-0005-0000-0000-000059760000}"/>
    <cellStyle name="Normal 638" xfId="21953" xr:uid="{00000000-0005-0000-0000-00005A760000}"/>
    <cellStyle name="Normal 639" xfId="21954" xr:uid="{00000000-0005-0000-0000-00005B760000}"/>
    <cellStyle name="Normal 64" xfId="10938" xr:uid="{00000000-0005-0000-0000-00005C760000}"/>
    <cellStyle name="Normal 64 2" xfId="10939" xr:uid="{00000000-0005-0000-0000-00005D760000}"/>
    <cellStyle name="Normal 64 3" xfId="21955" xr:uid="{00000000-0005-0000-0000-00005E760000}"/>
    <cellStyle name="Normal 64_01-04-2012" xfId="10940" xr:uid="{00000000-0005-0000-0000-00005F760000}"/>
    <cellStyle name="Normal 640" xfId="21956" xr:uid="{00000000-0005-0000-0000-000060760000}"/>
    <cellStyle name="Normal 641" xfId="21957" xr:uid="{00000000-0005-0000-0000-000061760000}"/>
    <cellStyle name="Normal 642" xfId="21958" xr:uid="{00000000-0005-0000-0000-000062760000}"/>
    <cellStyle name="Normal 643" xfId="21959" xr:uid="{00000000-0005-0000-0000-000063760000}"/>
    <cellStyle name="Normal 644" xfId="21960" xr:uid="{00000000-0005-0000-0000-000064760000}"/>
    <cellStyle name="Normal 645" xfId="21961" xr:uid="{00000000-0005-0000-0000-000065760000}"/>
    <cellStyle name="Normal 646" xfId="21962" xr:uid="{00000000-0005-0000-0000-000066760000}"/>
    <cellStyle name="Normal 647" xfId="21963" xr:uid="{00000000-0005-0000-0000-000067760000}"/>
    <cellStyle name="Normal 648" xfId="21964" xr:uid="{00000000-0005-0000-0000-000068760000}"/>
    <cellStyle name="Normal 649" xfId="21965" xr:uid="{00000000-0005-0000-0000-000069760000}"/>
    <cellStyle name="Normal 65" xfId="10941" xr:uid="{00000000-0005-0000-0000-00006A760000}"/>
    <cellStyle name="Normal 65 2" xfId="10942" xr:uid="{00000000-0005-0000-0000-00006B760000}"/>
    <cellStyle name="Normal 65 3" xfId="21966" xr:uid="{00000000-0005-0000-0000-00006C760000}"/>
    <cellStyle name="Normal 65_01-04-2012" xfId="10943" xr:uid="{00000000-0005-0000-0000-00006D760000}"/>
    <cellStyle name="Normal 650" xfId="21967" xr:uid="{00000000-0005-0000-0000-00006E760000}"/>
    <cellStyle name="Normal 651" xfId="21968" xr:uid="{00000000-0005-0000-0000-00006F760000}"/>
    <cellStyle name="Normal 652" xfId="21969" xr:uid="{00000000-0005-0000-0000-000070760000}"/>
    <cellStyle name="Normal 653" xfId="21970" xr:uid="{00000000-0005-0000-0000-000071760000}"/>
    <cellStyle name="Normal 654" xfId="21971" xr:uid="{00000000-0005-0000-0000-000072760000}"/>
    <cellStyle name="Normal 655" xfId="21972" xr:uid="{00000000-0005-0000-0000-000073760000}"/>
    <cellStyle name="Normal 656" xfId="21973" xr:uid="{00000000-0005-0000-0000-000074760000}"/>
    <cellStyle name="Normal 657" xfId="21974" xr:uid="{00000000-0005-0000-0000-000075760000}"/>
    <cellStyle name="Normal 658" xfId="21975" xr:uid="{00000000-0005-0000-0000-000076760000}"/>
    <cellStyle name="Normal 659" xfId="21976" xr:uid="{00000000-0005-0000-0000-000077760000}"/>
    <cellStyle name="Normal 66" xfId="10944" xr:uid="{00000000-0005-0000-0000-000078760000}"/>
    <cellStyle name="Normal 66 2" xfId="21977" xr:uid="{00000000-0005-0000-0000-000079760000}"/>
    <cellStyle name="Normal 66 2 2" xfId="39920" xr:uid="{00000000-0005-0000-0000-00007A760000}"/>
    <cellStyle name="Normal 660" xfId="21978" xr:uid="{00000000-0005-0000-0000-00007B760000}"/>
    <cellStyle name="Normal 661" xfId="21979" xr:uid="{00000000-0005-0000-0000-00007C760000}"/>
    <cellStyle name="Normal 662" xfId="21980" xr:uid="{00000000-0005-0000-0000-00007D760000}"/>
    <cellStyle name="Normal 663" xfId="21981" xr:uid="{00000000-0005-0000-0000-00007E760000}"/>
    <cellStyle name="Normal 664" xfId="21982" xr:uid="{00000000-0005-0000-0000-00007F760000}"/>
    <cellStyle name="Normal 665" xfId="21983" xr:uid="{00000000-0005-0000-0000-000080760000}"/>
    <cellStyle name="Normal 666" xfId="21984" xr:uid="{00000000-0005-0000-0000-000081760000}"/>
    <cellStyle name="Normal 667" xfId="21985" xr:uid="{00000000-0005-0000-0000-000082760000}"/>
    <cellStyle name="Normal 668" xfId="21986" xr:uid="{00000000-0005-0000-0000-000083760000}"/>
    <cellStyle name="Normal 669" xfId="21987" xr:uid="{00000000-0005-0000-0000-000084760000}"/>
    <cellStyle name="Normal 67" xfId="10945" xr:uid="{00000000-0005-0000-0000-000085760000}"/>
    <cellStyle name="Normal 67 2" xfId="21988" xr:uid="{00000000-0005-0000-0000-000086760000}"/>
    <cellStyle name="Normal 67 2 2" xfId="39921" xr:uid="{00000000-0005-0000-0000-000087760000}"/>
    <cellStyle name="Normal 670" xfId="21989" xr:uid="{00000000-0005-0000-0000-000088760000}"/>
    <cellStyle name="Normal 671" xfId="21990" xr:uid="{00000000-0005-0000-0000-000089760000}"/>
    <cellStyle name="Normal 672" xfId="21991" xr:uid="{00000000-0005-0000-0000-00008A760000}"/>
    <cellStyle name="Normal 673" xfId="21992" xr:uid="{00000000-0005-0000-0000-00008B760000}"/>
    <cellStyle name="Normal 674" xfId="21993" xr:uid="{00000000-0005-0000-0000-00008C760000}"/>
    <cellStyle name="Normal 675" xfId="21994" xr:uid="{00000000-0005-0000-0000-00008D760000}"/>
    <cellStyle name="Normal 676" xfId="21995" xr:uid="{00000000-0005-0000-0000-00008E760000}"/>
    <cellStyle name="Normal 677" xfId="21996" xr:uid="{00000000-0005-0000-0000-00008F760000}"/>
    <cellStyle name="Normal 678" xfId="21997" xr:uid="{00000000-0005-0000-0000-000090760000}"/>
    <cellStyle name="Normal 679" xfId="21998" xr:uid="{00000000-0005-0000-0000-000091760000}"/>
    <cellStyle name="Normal 68" xfId="10946" xr:uid="{00000000-0005-0000-0000-000092760000}"/>
    <cellStyle name="Normal 68 2" xfId="21999" xr:uid="{00000000-0005-0000-0000-000093760000}"/>
    <cellStyle name="Normal 68 2 2" xfId="39922" xr:uid="{00000000-0005-0000-0000-000094760000}"/>
    <cellStyle name="Normal 680" xfId="22000" xr:uid="{00000000-0005-0000-0000-000095760000}"/>
    <cellStyle name="Normal 681" xfId="22001" xr:uid="{00000000-0005-0000-0000-000096760000}"/>
    <cellStyle name="Normal 682" xfId="22002" xr:uid="{00000000-0005-0000-0000-000097760000}"/>
    <cellStyle name="Normal 683" xfId="22003" xr:uid="{00000000-0005-0000-0000-000098760000}"/>
    <cellStyle name="Normal 684" xfId="22004" xr:uid="{00000000-0005-0000-0000-000099760000}"/>
    <cellStyle name="Normal 685" xfId="22005" xr:uid="{00000000-0005-0000-0000-00009A760000}"/>
    <cellStyle name="Normal 686" xfId="22006" xr:uid="{00000000-0005-0000-0000-00009B760000}"/>
    <cellStyle name="Normal 687" xfId="22007" xr:uid="{00000000-0005-0000-0000-00009C760000}"/>
    <cellStyle name="Normal 688" xfId="22008" xr:uid="{00000000-0005-0000-0000-00009D760000}"/>
    <cellStyle name="Normal 689" xfId="22009" xr:uid="{00000000-0005-0000-0000-00009E760000}"/>
    <cellStyle name="Normal 69" xfId="10947" xr:uid="{00000000-0005-0000-0000-00009F760000}"/>
    <cellStyle name="Normal 69 2" xfId="22010" xr:uid="{00000000-0005-0000-0000-0000A0760000}"/>
    <cellStyle name="Normal 69 2 2" xfId="39923" xr:uid="{00000000-0005-0000-0000-0000A1760000}"/>
    <cellStyle name="Normal 690" xfId="22011" xr:uid="{00000000-0005-0000-0000-0000A2760000}"/>
    <cellStyle name="Normal 691" xfId="22012" xr:uid="{00000000-0005-0000-0000-0000A3760000}"/>
    <cellStyle name="Normal 692" xfId="22013" xr:uid="{00000000-0005-0000-0000-0000A4760000}"/>
    <cellStyle name="Normal 693" xfId="22014" xr:uid="{00000000-0005-0000-0000-0000A5760000}"/>
    <cellStyle name="Normal 694" xfId="22015" xr:uid="{00000000-0005-0000-0000-0000A6760000}"/>
    <cellStyle name="Normal 695" xfId="22016" xr:uid="{00000000-0005-0000-0000-0000A7760000}"/>
    <cellStyle name="Normal 696" xfId="22017" xr:uid="{00000000-0005-0000-0000-0000A8760000}"/>
    <cellStyle name="Normal 697" xfId="22018" xr:uid="{00000000-0005-0000-0000-0000A9760000}"/>
    <cellStyle name="Normal 698" xfId="22019" xr:uid="{00000000-0005-0000-0000-0000AA760000}"/>
    <cellStyle name="Normal 699" xfId="22020" xr:uid="{00000000-0005-0000-0000-0000AB760000}"/>
    <cellStyle name="Normal 7" xfId="10948" xr:uid="{00000000-0005-0000-0000-0000AC760000}"/>
    <cellStyle name="Normal 7 10" xfId="10949" xr:uid="{00000000-0005-0000-0000-0000AD760000}"/>
    <cellStyle name="Normal 7 10 2" xfId="22021" xr:uid="{00000000-0005-0000-0000-0000AE760000}"/>
    <cellStyle name="Normal 7 10 2 2" xfId="22022" xr:uid="{00000000-0005-0000-0000-0000AF760000}"/>
    <cellStyle name="Normal 7 10 2 2 2" xfId="33797" xr:uid="{00000000-0005-0000-0000-0000B0760000}"/>
    <cellStyle name="Normal 7 10 2 3" xfId="33798" xr:uid="{00000000-0005-0000-0000-0000B1760000}"/>
    <cellStyle name="Normal 7 10 3" xfId="22023" xr:uid="{00000000-0005-0000-0000-0000B2760000}"/>
    <cellStyle name="Normal 7 10 3 2" xfId="33799" xr:uid="{00000000-0005-0000-0000-0000B3760000}"/>
    <cellStyle name="Normal 7 10 4" xfId="22024" xr:uid="{00000000-0005-0000-0000-0000B4760000}"/>
    <cellStyle name="Normal 7 11" xfId="10950" xr:uid="{00000000-0005-0000-0000-0000B5760000}"/>
    <cellStyle name="Normal 7 11 2" xfId="22025" xr:uid="{00000000-0005-0000-0000-0000B6760000}"/>
    <cellStyle name="Normal 7 11 2 2" xfId="33800" xr:uid="{00000000-0005-0000-0000-0000B7760000}"/>
    <cellStyle name="Normal 7 11 3" xfId="22026" xr:uid="{00000000-0005-0000-0000-0000B8760000}"/>
    <cellStyle name="Normal 7 12" xfId="10951" xr:uid="{00000000-0005-0000-0000-0000B9760000}"/>
    <cellStyle name="Normal 7 12 2" xfId="22027" xr:uid="{00000000-0005-0000-0000-0000BA760000}"/>
    <cellStyle name="Normal 7 12 2 2" xfId="33801" xr:uid="{00000000-0005-0000-0000-0000BB760000}"/>
    <cellStyle name="Normal 7 12 3" xfId="22028" xr:uid="{00000000-0005-0000-0000-0000BC760000}"/>
    <cellStyle name="Normal 7 13" xfId="10952" xr:uid="{00000000-0005-0000-0000-0000BD760000}"/>
    <cellStyle name="Normal 7 13 2" xfId="22029" xr:uid="{00000000-0005-0000-0000-0000BE760000}"/>
    <cellStyle name="Normal 7 13 2 2" xfId="33802" xr:uid="{00000000-0005-0000-0000-0000BF760000}"/>
    <cellStyle name="Normal 7 13 3" xfId="22030" xr:uid="{00000000-0005-0000-0000-0000C0760000}"/>
    <cellStyle name="Normal 7 14" xfId="10953" xr:uid="{00000000-0005-0000-0000-0000C1760000}"/>
    <cellStyle name="Normal 7 14 2" xfId="22031" xr:uid="{00000000-0005-0000-0000-0000C2760000}"/>
    <cellStyle name="Normal 7 15" xfId="10954" xr:uid="{00000000-0005-0000-0000-0000C3760000}"/>
    <cellStyle name="Normal 7 15 2" xfId="22032" xr:uid="{00000000-0005-0000-0000-0000C4760000}"/>
    <cellStyle name="Normal 7 16" xfId="10955" xr:uid="{00000000-0005-0000-0000-0000C5760000}"/>
    <cellStyle name="Normal 7 17" xfId="10956" xr:uid="{00000000-0005-0000-0000-0000C6760000}"/>
    <cellStyle name="Normal 7 18" xfId="10957" xr:uid="{00000000-0005-0000-0000-0000C7760000}"/>
    <cellStyle name="Normal 7 19" xfId="10958" xr:uid="{00000000-0005-0000-0000-0000C8760000}"/>
    <cellStyle name="Normal 7 2" xfId="10959" xr:uid="{00000000-0005-0000-0000-0000C9760000}"/>
    <cellStyle name="Normal 7 2 2" xfId="10960" xr:uid="{00000000-0005-0000-0000-0000CA760000}"/>
    <cellStyle name="Normal 7 2 2 2" xfId="22033" xr:uid="{00000000-0005-0000-0000-0000CB760000}"/>
    <cellStyle name="Normal 7 2 2 2 2" xfId="22034" xr:uid="{00000000-0005-0000-0000-0000CC760000}"/>
    <cellStyle name="Normal 7 2 2 2 2 2" xfId="33803" xr:uid="{00000000-0005-0000-0000-0000CD760000}"/>
    <cellStyle name="Normal 7 2 2 2 3" xfId="22035" xr:uid="{00000000-0005-0000-0000-0000CE760000}"/>
    <cellStyle name="Normal 7 2 2 2 4" xfId="39924" xr:uid="{00000000-0005-0000-0000-0000CF760000}"/>
    <cellStyle name="Normal 7 2 2 3" xfId="22036" xr:uid="{00000000-0005-0000-0000-0000D0760000}"/>
    <cellStyle name="Normal 7 2 2 3 2" xfId="33804" xr:uid="{00000000-0005-0000-0000-0000D1760000}"/>
    <cellStyle name="Normal 7 2 2 4" xfId="22037" xr:uid="{00000000-0005-0000-0000-0000D2760000}"/>
    <cellStyle name="Normal 7 2 2 5" xfId="22038" xr:uid="{00000000-0005-0000-0000-0000D3760000}"/>
    <cellStyle name="Normal 7 2 2 6" xfId="22039" xr:uid="{00000000-0005-0000-0000-0000D4760000}"/>
    <cellStyle name="Normal 7 2 2 7" xfId="22040" xr:uid="{00000000-0005-0000-0000-0000D5760000}"/>
    <cellStyle name="Normal 7 2 2 8" xfId="22041" xr:uid="{00000000-0005-0000-0000-0000D6760000}"/>
    <cellStyle name="Normal 7 2 2 9" xfId="22042" xr:uid="{00000000-0005-0000-0000-0000D7760000}"/>
    <cellStyle name="Normal 7 2 3" xfId="10961" xr:uid="{00000000-0005-0000-0000-0000D8760000}"/>
    <cellStyle name="Normal 7 2 3 2" xfId="22043" xr:uid="{00000000-0005-0000-0000-0000D9760000}"/>
    <cellStyle name="Normal 7 2 3 2 2" xfId="39925" xr:uid="{00000000-0005-0000-0000-0000DA760000}"/>
    <cellStyle name="Normal 7 2 3 3" xfId="22044" xr:uid="{00000000-0005-0000-0000-0000DB760000}"/>
    <cellStyle name="Normal 7 2 4" xfId="10962" xr:uid="{00000000-0005-0000-0000-0000DC760000}"/>
    <cellStyle name="Normal 7 2 4 2" xfId="22045" xr:uid="{00000000-0005-0000-0000-0000DD760000}"/>
    <cellStyle name="Normal 7 2 4 2 2" xfId="33805" xr:uid="{00000000-0005-0000-0000-0000DE760000}"/>
    <cellStyle name="Normal 7 2 4 2 3" xfId="39926" xr:uid="{00000000-0005-0000-0000-0000DF760000}"/>
    <cellStyle name="Normal 7 2 5" xfId="22046" xr:uid="{00000000-0005-0000-0000-0000E0760000}"/>
    <cellStyle name="Normal 7 2 5 2" xfId="39927" xr:uid="{00000000-0005-0000-0000-0000E1760000}"/>
    <cellStyle name="Normal 7 2 6" xfId="22047" xr:uid="{00000000-0005-0000-0000-0000E2760000}"/>
    <cellStyle name="Normal 7 2_01-04-2012" xfId="10963" xr:uid="{00000000-0005-0000-0000-0000E3760000}"/>
    <cellStyle name="Normal 7 20" xfId="10964" xr:uid="{00000000-0005-0000-0000-0000E4760000}"/>
    <cellStyle name="Normal 7 21" xfId="10965" xr:uid="{00000000-0005-0000-0000-0000E5760000}"/>
    <cellStyle name="Normal 7 22" xfId="10966" xr:uid="{00000000-0005-0000-0000-0000E6760000}"/>
    <cellStyle name="Normal 7 23" xfId="10967" xr:uid="{00000000-0005-0000-0000-0000E7760000}"/>
    <cellStyle name="Normal 7 24" xfId="10968" xr:uid="{00000000-0005-0000-0000-0000E8760000}"/>
    <cellStyle name="Normal 7 25" xfId="10969" xr:uid="{00000000-0005-0000-0000-0000E9760000}"/>
    <cellStyle name="Normal 7 26" xfId="10970" xr:uid="{00000000-0005-0000-0000-0000EA760000}"/>
    <cellStyle name="Normal 7 27" xfId="10971" xr:uid="{00000000-0005-0000-0000-0000EB760000}"/>
    <cellStyle name="Normal 7 28" xfId="10972" xr:uid="{00000000-0005-0000-0000-0000EC760000}"/>
    <cellStyle name="Normal 7 29" xfId="10973" xr:uid="{00000000-0005-0000-0000-0000ED760000}"/>
    <cellStyle name="Normal 7 3" xfId="10974" xr:uid="{00000000-0005-0000-0000-0000EE760000}"/>
    <cellStyle name="Normal 7 3 10" xfId="22048" xr:uid="{00000000-0005-0000-0000-0000EF760000}"/>
    <cellStyle name="Normal 7 3 10 2" xfId="22049" xr:uid="{00000000-0005-0000-0000-0000F0760000}"/>
    <cellStyle name="Normal 7 3 10 2 2" xfId="22050" xr:uid="{00000000-0005-0000-0000-0000F1760000}"/>
    <cellStyle name="Normal 7 3 10 2 3" xfId="22051" xr:uid="{00000000-0005-0000-0000-0000F2760000}"/>
    <cellStyle name="Normal 7 3 10 2 4" xfId="22052" xr:uid="{00000000-0005-0000-0000-0000F3760000}"/>
    <cellStyle name="Normal 7 3 10 2 5" xfId="22053" xr:uid="{00000000-0005-0000-0000-0000F4760000}"/>
    <cellStyle name="Normal 7 3 10 2 6" xfId="22054" xr:uid="{00000000-0005-0000-0000-0000F5760000}"/>
    <cellStyle name="Normal 7 3 10 2 7" xfId="22055" xr:uid="{00000000-0005-0000-0000-0000F6760000}"/>
    <cellStyle name="Normal 7 3 10 3" xfId="22056" xr:uid="{00000000-0005-0000-0000-0000F7760000}"/>
    <cellStyle name="Normal 7 3 10 4" xfId="22057" xr:uid="{00000000-0005-0000-0000-0000F8760000}"/>
    <cellStyle name="Normal 7 3 10 5" xfId="22058" xr:uid="{00000000-0005-0000-0000-0000F9760000}"/>
    <cellStyle name="Normal 7 3 10 6" xfId="22059" xr:uid="{00000000-0005-0000-0000-0000FA760000}"/>
    <cellStyle name="Normal 7 3 10 7" xfId="22060" xr:uid="{00000000-0005-0000-0000-0000FB760000}"/>
    <cellStyle name="Normal 7 3 10 8" xfId="22061" xr:uid="{00000000-0005-0000-0000-0000FC760000}"/>
    <cellStyle name="Normal 7 3 11" xfId="22062" xr:uid="{00000000-0005-0000-0000-0000FD760000}"/>
    <cellStyle name="Normal 7 3 11 2" xfId="22063" xr:uid="{00000000-0005-0000-0000-0000FE760000}"/>
    <cellStyle name="Normal 7 3 11 2 2" xfId="22064" xr:uid="{00000000-0005-0000-0000-0000FF760000}"/>
    <cellStyle name="Normal 7 3 11 2 3" xfId="22065" xr:uid="{00000000-0005-0000-0000-000000770000}"/>
    <cellStyle name="Normal 7 3 11 2 4" xfId="22066" xr:uid="{00000000-0005-0000-0000-000001770000}"/>
    <cellStyle name="Normal 7 3 11 2 5" xfId="22067" xr:uid="{00000000-0005-0000-0000-000002770000}"/>
    <cellStyle name="Normal 7 3 11 2 6" xfId="22068" xr:uid="{00000000-0005-0000-0000-000003770000}"/>
    <cellStyle name="Normal 7 3 11 2 7" xfId="22069" xr:uid="{00000000-0005-0000-0000-000004770000}"/>
    <cellStyle name="Normal 7 3 11 3" xfId="22070" xr:uid="{00000000-0005-0000-0000-000005770000}"/>
    <cellStyle name="Normal 7 3 11 4" xfId="22071" xr:uid="{00000000-0005-0000-0000-000006770000}"/>
    <cellStyle name="Normal 7 3 11 5" xfId="22072" xr:uid="{00000000-0005-0000-0000-000007770000}"/>
    <cellStyle name="Normal 7 3 11 6" xfId="22073" xr:uid="{00000000-0005-0000-0000-000008770000}"/>
    <cellStyle name="Normal 7 3 11 7" xfId="22074" xr:uid="{00000000-0005-0000-0000-000009770000}"/>
    <cellStyle name="Normal 7 3 11 8" xfId="22075" xr:uid="{00000000-0005-0000-0000-00000A770000}"/>
    <cellStyle name="Normal 7 3 12" xfId="22076" xr:uid="{00000000-0005-0000-0000-00000B770000}"/>
    <cellStyle name="Normal 7 3 12 2" xfId="22077" xr:uid="{00000000-0005-0000-0000-00000C770000}"/>
    <cellStyle name="Normal 7 3 12 2 2" xfId="22078" xr:uid="{00000000-0005-0000-0000-00000D770000}"/>
    <cellStyle name="Normal 7 3 12 2 3" xfId="22079" xr:uid="{00000000-0005-0000-0000-00000E770000}"/>
    <cellStyle name="Normal 7 3 12 2 4" xfId="22080" xr:uid="{00000000-0005-0000-0000-00000F770000}"/>
    <cellStyle name="Normal 7 3 12 2 5" xfId="22081" xr:uid="{00000000-0005-0000-0000-000010770000}"/>
    <cellStyle name="Normal 7 3 12 2 6" xfId="22082" xr:uid="{00000000-0005-0000-0000-000011770000}"/>
    <cellStyle name="Normal 7 3 12 2 7" xfId="22083" xr:uid="{00000000-0005-0000-0000-000012770000}"/>
    <cellStyle name="Normal 7 3 12 3" xfId="22084" xr:uid="{00000000-0005-0000-0000-000013770000}"/>
    <cellStyle name="Normal 7 3 12 4" xfId="22085" xr:uid="{00000000-0005-0000-0000-000014770000}"/>
    <cellStyle name="Normal 7 3 12 5" xfId="22086" xr:uid="{00000000-0005-0000-0000-000015770000}"/>
    <cellStyle name="Normal 7 3 12 6" xfId="22087" xr:uid="{00000000-0005-0000-0000-000016770000}"/>
    <cellStyle name="Normal 7 3 12 7" xfId="22088" xr:uid="{00000000-0005-0000-0000-000017770000}"/>
    <cellStyle name="Normal 7 3 12 8" xfId="22089" xr:uid="{00000000-0005-0000-0000-000018770000}"/>
    <cellStyle name="Normal 7 3 13" xfId="22090" xr:uid="{00000000-0005-0000-0000-000019770000}"/>
    <cellStyle name="Normal 7 3 13 2" xfId="22091" xr:uid="{00000000-0005-0000-0000-00001A770000}"/>
    <cellStyle name="Normal 7 3 13 2 2" xfId="22092" xr:uid="{00000000-0005-0000-0000-00001B770000}"/>
    <cellStyle name="Normal 7 3 13 2 3" xfId="22093" xr:uid="{00000000-0005-0000-0000-00001C770000}"/>
    <cellStyle name="Normal 7 3 13 2 4" xfId="22094" xr:uid="{00000000-0005-0000-0000-00001D770000}"/>
    <cellStyle name="Normal 7 3 13 2 5" xfId="22095" xr:uid="{00000000-0005-0000-0000-00001E770000}"/>
    <cellStyle name="Normal 7 3 13 2 6" xfId="22096" xr:uid="{00000000-0005-0000-0000-00001F770000}"/>
    <cellStyle name="Normal 7 3 13 2 7" xfId="22097" xr:uid="{00000000-0005-0000-0000-000020770000}"/>
    <cellStyle name="Normal 7 3 13 3" xfId="22098" xr:uid="{00000000-0005-0000-0000-000021770000}"/>
    <cellStyle name="Normal 7 3 13 4" xfId="22099" xr:uid="{00000000-0005-0000-0000-000022770000}"/>
    <cellStyle name="Normal 7 3 13 5" xfId="22100" xr:uid="{00000000-0005-0000-0000-000023770000}"/>
    <cellStyle name="Normal 7 3 13 6" xfId="22101" xr:uid="{00000000-0005-0000-0000-000024770000}"/>
    <cellStyle name="Normal 7 3 13 7" xfId="22102" xr:uid="{00000000-0005-0000-0000-000025770000}"/>
    <cellStyle name="Normal 7 3 13 8" xfId="22103" xr:uid="{00000000-0005-0000-0000-000026770000}"/>
    <cellStyle name="Normal 7 3 14" xfId="22104" xr:uid="{00000000-0005-0000-0000-000027770000}"/>
    <cellStyle name="Normal 7 3 14 2" xfId="22105" xr:uid="{00000000-0005-0000-0000-000028770000}"/>
    <cellStyle name="Normal 7 3 14 2 2" xfId="22106" xr:uid="{00000000-0005-0000-0000-000029770000}"/>
    <cellStyle name="Normal 7 3 14 2 3" xfId="22107" xr:uid="{00000000-0005-0000-0000-00002A770000}"/>
    <cellStyle name="Normal 7 3 14 2 4" xfId="22108" xr:uid="{00000000-0005-0000-0000-00002B770000}"/>
    <cellStyle name="Normal 7 3 14 2 5" xfId="22109" xr:uid="{00000000-0005-0000-0000-00002C770000}"/>
    <cellStyle name="Normal 7 3 14 2 6" xfId="22110" xr:uid="{00000000-0005-0000-0000-00002D770000}"/>
    <cellStyle name="Normal 7 3 14 2 7" xfId="22111" xr:uid="{00000000-0005-0000-0000-00002E770000}"/>
    <cellStyle name="Normal 7 3 14 3" xfId="22112" xr:uid="{00000000-0005-0000-0000-00002F770000}"/>
    <cellStyle name="Normal 7 3 14 4" xfId="22113" xr:uid="{00000000-0005-0000-0000-000030770000}"/>
    <cellStyle name="Normal 7 3 14 5" xfId="22114" xr:uid="{00000000-0005-0000-0000-000031770000}"/>
    <cellStyle name="Normal 7 3 14 6" xfId="22115" xr:uid="{00000000-0005-0000-0000-000032770000}"/>
    <cellStyle name="Normal 7 3 14 7" xfId="22116" xr:uid="{00000000-0005-0000-0000-000033770000}"/>
    <cellStyle name="Normal 7 3 14 8" xfId="22117" xr:uid="{00000000-0005-0000-0000-000034770000}"/>
    <cellStyle name="Normal 7 3 15" xfId="22118" xr:uid="{00000000-0005-0000-0000-000035770000}"/>
    <cellStyle name="Normal 7 3 15 2" xfId="22119" xr:uid="{00000000-0005-0000-0000-000036770000}"/>
    <cellStyle name="Normal 7 3 15 2 2" xfId="22120" xr:uid="{00000000-0005-0000-0000-000037770000}"/>
    <cellStyle name="Normal 7 3 15 2 3" xfId="22121" xr:uid="{00000000-0005-0000-0000-000038770000}"/>
    <cellStyle name="Normal 7 3 15 2 4" xfId="22122" xr:uid="{00000000-0005-0000-0000-000039770000}"/>
    <cellStyle name="Normal 7 3 15 2 5" xfId="22123" xr:uid="{00000000-0005-0000-0000-00003A770000}"/>
    <cellStyle name="Normal 7 3 15 2 6" xfId="22124" xr:uid="{00000000-0005-0000-0000-00003B770000}"/>
    <cellStyle name="Normal 7 3 15 2 7" xfId="22125" xr:uid="{00000000-0005-0000-0000-00003C770000}"/>
    <cellStyle name="Normal 7 3 15 3" xfId="22126" xr:uid="{00000000-0005-0000-0000-00003D770000}"/>
    <cellStyle name="Normal 7 3 15 4" xfId="22127" xr:uid="{00000000-0005-0000-0000-00003E770000}"/>
    <cellStyle name="Normal 7 3 15 5" xfId="22128" xr:uid="{00000000-0005-0000-0000-00003F770000}"/>
    <cellStyle name="Normal 7 3 15 6" xfId="22129" xr:uid="{00000000-0005-0000-0000-000040770000}"/>
    <cellStyle name="Normal 7 3 15 7" xfId="22130" xr:uid="{00000000-0005-0000-0000-000041770000}"/>
    <cellStyle name="Normal 7 3 15 8" xfId="22131" xr:uid="{00000000-0005-0000-0000-000042770000}"/>
    <cellStyle name="Normal 7 3 16" xfId="22132" xr:uid="{00000000-0005-0000-0000-000043770000}"/>
    <cellStyle name="Normal 7 3 16 2" xfId="22133" xr:uid="{00000000-0005-0000-0000-000044770000}"/>
    <cellStyle name="Normal 7 3 16 3" xfId="22134" xr:uid="{00000000-0005-0000-0000-000045770000}"/>
    <cellStyle name="Normal 7 3 16 4" xfId="22135" xr:uid="{00000000-0005-0000-0000-000046770000}"/>
    <cellStyle name="Normal 7 3 16 5" xfId="22136" xr:uid="{00000000-0005-0000-0000-000047770000}"/>
    <cellStyle name="Normal 7 3 16 6" xfId="22137" xr:uid="{00000000-0005-0000-0000-000048770000}"/>
    <cellStyle name="Normal 7 3 16 7" xfId="22138" xr:uid="{00000000-0005-0000-0000-000049770000}"/>
    <cellStyle name="Normal 7 3 17" xfId="22139" xr:uid="{00000000-0005-0000-0000-00004A770000}"/>
    <cellStyle name="Normal 7 3 17 2" xfId="22140" xr:uid="{00000000-0005-0000-0000-00004B770000}"/>
    <cellStyle name="Normal 7 3 17 3" xfId="22141" xr:uid="{00000000-0005-0000-0000-00004C770000}"/>
    <cellStyle name="Normal 7 3 17 4" xfId="22142" xr:uid="{00000000-0005-0000-0000-00004D770000}"/>
    <cellStyle name="Normal 7 3 17 5" xfId="22143" xr:uid="{00000000-0005-0000-0000-00004E770000}"/>
    <cellStyle name="Normal 7 3 17 6" xfId="22144" xr:uid="{00000000-0005-0000-0000-00004F770000}"/>
    <cellStyle name="Normal 7 3 17 7" xfId="22145" xr:uid="{00000000-0005-0000-0000-000050770000}"/>
    <cellStyle name="Normal 7 3 18" xfId="22146" xr:uid="{00000000-0005-0000-0000-000051770000}"/>
    <cellStyle name="Normal 7 3 18 2" xfId="22147" xr:uid="{00000000-0005-0000-0000-000052770000}"/>
    <cellStyle name="Normal 7 3 18 3" xfId="22148" xr:uid="{00000000-0005-0000-0000-000053770000}"/>
    <cellStyle name="Normal 7 3 18 4" xfId="22149" xr:uid="{00000000-0005-0000-0000-000054770000}"/>
    <cellStyle name="Normal 7 3 18 5" xfId="22150" xr:uid="{00000000-0005-0000-0000-000055770000}"/>
    <cellStyle name="Normal 7 3 18 6" xfId="22151" xr:uid="{00000000-0005-0000-0000-000056770000}"/>
    <cellStyle name="Normal 7 3 18 7" xfId="22152" xr:uid="{00000000-0005-0000-0000-000057770000}"/>
    <cellStyle name="Normal 7 3 19" xfId="22153" xr:uid="{00000000-0005-0000-0000-000058770000}"/>
    <cellStyle name="Normal 7 3 19 2" xfId="22154" xr:uid="{00000000-0005-0000-0000-000059770000}"/>
    <cellStyle name="Normal 7 3 19 3" xfId="22155" xr:uid="{00000000-0005-0000-0000-00005A770000}"/>
    <cellStyle name="Normal 7 3 19 4" xfId="22156" xr:uid="{00000000-0005-0000-0000-00005B770000}"/>
    <cellStyle name="Normal 7 3 19 5" xfId="22157" xr:uid="{00000000-0005-0000-0000-00005C770000}"/>
    <cellStyle name="Normal 7 3 19 6" xfId="22158" xr:uid="{00000000-0005-0000-0000-00005D770000}"/>
    <cellStyle name="Normal 7 3 19 7" xfId="22159" xr:uid="{00000000-0005-0000-0000-00005E770000}"/>
    <cellStyle name="Normal 7 3 2" xfId="10975" xr:uid="{00000000-0005-0000-0000-00005F770000}"/>
    <cellStyle name="Normal 7 3 2 10" xfId="22160" xr:uid="{00000000-0005-0000-0000-000060770000}"/>
    <cellStyle name="Normal 7 3 2 2" xfId="22161" xr:uid="{00000000-0005-0000-0000-000061770000}"/>
    <cellStyle name="Normal 7 3 2 2 2" xfId="22162" xr:uid="{00000000-0005-0000-0000-000062770000}"/>
    <cellStyle name="Normal 7 3 2 2 2 2" xfId="33806" xr:uid="{00000000-0005-0000-0000-000063770000}"/>
    <cellStyle name="Normal 7 3 2 2 3" xfId="22163" xr:uid="{00000000-0005-0000-0000-000064770000}"/>
    <cellStyle name="Normal 7 3 2 2 4" xfId="22164" xr:uid="{00000000-0005-0000-0000-000065770000}"/>
    <cellStyle name="Normal 7 3 2 2 5" xfId="22165" xr:uid="{00000000-0005-0000-0000-000066770000}"/>
    <cellStyle name="Normal 7 3 2 2 6" xfId="22166" xr:uid="{00000000-0005-0000-0000-000067770000}"/>
    <cellStyle name="Normal 7 3 2 2 7" xfId="22167" xr:uid="{00000000-0005-0000-0000-000068770000}"/>
    <cellStyle name="Normal 7 3 2 2 8" xfId="22168" xr:uid="{00000000-0005-0000-0000-000069770000}"/>
    <cellStyle name="Normal 7 3 2 2 9" xfId="39928" xr:uid="{00000000-0005-0000-0000-00006A770000}"/>
    <cellStyle name="Normal 7 3 2 3" xfId="22169" xr:uid="{00000000-0005-0000-0000-00006B770000}"/>
    <cellStyle name="Normal 7 3 2 3 2" xfId="33807" xr:uid="{00000000-0005-0000-0000-00006C770000}"/>
    <cellStyle name="Normal 7 3 2 4" xfId="22170" xr:uid="{00000000-0005-0000-0000-00006D770000}"/>
    <cellStyle name="Normal 7 3 2 5" xfId="22171" xr:uid="{00000000-0005-0000-0000-00006E770000}"/>
    <cellStyle name="Normal 7 3 2 6" xfId="22172" xr:uid="{00000000-0005-0000-0000-00006F770000}"/>
    <cellStyle name="Normal 7 3 2 7" xfId="22173" xr:uid="{00000000-0005-0000-0000-000070770000}"/>
    <cellStyle name="Normal 7 3 2 8" xfId="22174" xr:uid="{00000000-0005-0000-0000-000071770000}"/>
    <cellStyle name="Normal 7 3 2 9" xfId="22175" xr:uid="{00000000-0005-0000-0000-000072770000}"/>
    <cellStyle name="Normal 7 3 20" xfId="22176" xr:uid="{00000000-0005-0000-0000-000073770000}"/>
    <cellStyle name="Normal 7 3 20 2" xfId="22177" xr:uid="{00000000-0005-0000-0000-000074770000}"/>
    <cellStyle name="Normal 7 3 20 3" xfId="22178" xr:uid="{00000000-0005-0000-0000-000075770000}"/>
    <cellStyle name="Normal 7 3 20 4" xfId="22179" xr:uid="{00000000-0005-0000-0000-000076770000}"/>
    <cellStyle name="Normal 7 3 20 5" xfId="22180" xr:uid="{00000000-0005-0000-0000-000077770000}"/>
    <cellStyle name="Normal 7 3 20 6" xfId="22181" xr:uid="{00000000-0005-0000-0000-000078770000}"/>
    <cellStyle name="Normal 7 3 20 7" xfId="22182" xr:uid="{00000000-0005-0000-0000-000079770000}"/>
    <cellStyle name="Normal 7 3 21" xfId="22183" xr:uid="{00000000-0005-0000-0000-00007A770000}"/>
    <cellStyle name="Normal 7 3 21 2" xfId="22184" xr:uid="{00000000-0005-0000-0000-00007B770000}"/>
    <cellStyle name="Normal 7 3 21 3" xfId="22185" xr:uid="{00000000-0005-0000-0000-00007C770000}"/>
    <cellStyle name="Normal 7 3 21 4" xfId="22186" xr:uid="{00000000-0005-0000-0000-00007D770000}"/>
    <cellStyle name="Normal 7 3 21 5" xfId="22187" xr:uid="{00000000-0005-0000-0000-00007E770000}"/>
    <cellStyle name="Normal 7 3 21 6" xfId="22188" xr:uid="{00000000-0005-0000-0000-00007F770000}"/>
    <cellStyle name="Normal 7 3 21 7" xfId="22189" xr:uid="{00000000-0005-0000-0000-000080770000}"/>
    <cellStyle name="Normal 7 3 22" xfId="22190" xr:uid="{00000000-0005-0000-0000-000081770000}"/>
    <cellStyle name="Normal 7 3 22 2" xfId="22191" xr:uid="{00000000-0005-0000-0000-000082770000}"/>
    <cellStyle name="Normal 7 3 22 3" xfId="22192" xr:uid="{00000000-0005-0000-0000-000083770000}"/>
    <cellStyle name="Normal 7 3 22 4" xfId="22193" xr:uid="{00000000-0005-0000-0000-000084770000}"/>
    <cellStyle name="Normal 7 3 22 5" xfId="22194" xr:uid="{00000000-0005-0000-0000-000085770000}"/>
    <cellStyle name="Normal 7 3 22 6" xfId="22195" xr:uid="{00000000-0005-0000-0000-000086770000}"/>
    <cellStyle name="Normal 7 3 22 7" xfId="22196" xr:uid="{00000000-0005-0000-0000-000087770000}"/>
    <cellStyle name="Normal 7 3 23" xfId="22197" xr:uid="{00000000-0005-0000-0000-000088770000}"/>
    <cellStyle name="Normal 7 3 23 2" xfId="22198" xr:uid="{00000000-0005-0000-0000-000089770000}"/>
    <cellStyle name="Normal 7 3 23 3" xfId="22199" xr:uid="{00000000-0005-0000-0000-00008A770000}"/>
    <cellStyle name="Normal 7 3 23 4" xfId="22200" xr:uid="{00000000-0005-0000-0000-00008B770000}"/>
    <cellStyle name="Normal 7 3 23 5" xfId="22201" xr:uid="{00000000-0005-0000-0000-00008C770000}"/>
    <cellStyle name="Normal 7 3 23 6" xfId="22202" xr:uid="{00000000-0005-0000-0000-00008D770000}"/>
    <cellStyle name="Normal 7 3 23 7" xfId="22203" xr:uid="{00000000-0005-0000-0000-00008E770000}"/>
    <cellStyle name="Normal 7 3 24" xfId="22204" xr:uid="{00000000-0005-0000-0000-00008F770000}"/>
    <cellStyle name="Normal 7 3 24 2" xfId="22205" xr:uid="{00000000-0005-0000-0000-000090770000}"/>
    <cellStyle name="Normal 7 3 24 3" xfId="22206" xr:uid="{00000000-0005-0000-0000-000091770000}"/>
    <cellStyle name="Normal 7 3 24 4" xfId="22207" xr:uid="{00000000-0005-0000-0000-000092770000}"/>
    <cellStyle name="Normal 7 3 24 5" xfId="22208" xr:uid="{00000000-0005-0000-0000-000093770000}"/>
    <cellStyle name="Normal 7 3 24 6" xfId="22209" xr:uid="{00000000-0005-0000-0000-000094770000}"/>
    <cellStyle name="Normal 7 3 24 7" xfId="22210" xr:uid="{00000000-0005-0000-0000-000095770000}"/>
    <cellStyle name="Normal 7 3 25" xfId="22211" xr:uid="{00000000-0005-0000-0000-000096770000}"/>
    <cellStyle name="Normal 7 3 25 2" xfId="22212" xr:uid="{00000000-0005-0000-0000-000097770000}"/>
    <cellStyle name="Normal 7 3 25 3" xfId="22213" xr:uid="{00000000-0005-0000-0000-000098770000}"/>
    <cellStyle name="Normal 7 3 25 4" xfId="22214" xr:uid="{00000000-0005-0000-0000-000099770000}"/>
    <cellStyle name="Normal 7 3 25 5" xfId="22215" xr:uid="{00000000-0005-0000-0000-00009A770000}"/>
    <cellStyle name="Normal 7 3 25 6" xfId="22216" xr:uid="{00000000-0005-0000-0000-00009B770000}"/>
    <cellStyle name="Normal 7 3 25 7" xfId="22217" xr:uid="{00000000-0005-0000-0000-00009C770000}"/>
    <cellStyle name="Normal 7 3 26" xfId="22218" xr:uid="{00000000-0005-0000-0000-00009D770000}"/>
    <cellStyle name="Normal 7 3 26 2" xfId="22219" xr:uid="{00000000-0005-0000-0000-00009E770000}"/>
    <cellStyle name="Normal 7 3 26 3" xfId="22220" xr:uid="{00000000-0005-0000-0000-00009F770000}"/>
    <cellStyle name="Normal 7 3 26 4" xfId="22221" xr:uid="{00000000-0005-0000-0000-0000A0770000}"/>
    <cellStyle name="Normal 7 3 26 5" xfId="22222" xr:uid="{00000000-0005-0000-0000-0000A1770000}"/>
    <cellStyle name="Normal 7 3 26 6" xfId="22223" xr:uid="{00000000-0005-0000-0000-0000A2770000}"/>
    <cellStyle name="Normal 7 3 26 7" xfId="22224" xr:uid="{00000000-0005-0000-0000-0000A3770000}"/>
    <cellStyle name="Normal 7 3 27" xfId="22225" xr:uid="{00000000-0005-0000-0000-0000A4770000}"/>
    <cellStyle name="Normal 7 3 27 2" xfId="22226" xr:uid="{00000000-0005-0000-0000-0000A5770000}"/>
    <cellStyle name="Normal 7 3 27 3" xfId="22227" xr:uid="{00000000-0005-0000-0000-0000A6770000}"/>
    <cellStyle name="Normal 7 3 27 4" xfId="22228" xr:uid="{00000000-0005-0000-0000-0000A7770000}"/>
    <cellStyle name="Normal 7 3 27 5" xfId="22229" xr:uid="{00000000-0005-0000-0000-0000A8770000}"/>
    <cellStyle name="Normal 7 3 27 6" xfId="22230" xr:uid="{00000000-0005-0000-0000-0000A9770000}"/>
    <cellStyle name="Normal 7 3 27 7" xfId="22231" xr:uid="{00000000-0005-0000-0000-0000AA770000}"/>
    <cellStyle name="Normal 7 3 28" xfId="22232" xr:uid="{00000000-0005-0000-0000-0000AB770000}"/>
    <cellStyle name="Normal 7 3 28 2" xfId="22233" xr:uid="{00000000-0005-0000-0000-0000AC770000}"/>
    <cellStyle name="Normal 7 3 28 3" xfId="22234" xr:uid="{00000000-0005-0000-0000-0000AD770000}"/>
    <cellStyle name="Normal 7 3 28 4" xfId="22235" xr:uid="{00000000-0005-0000-0000-0000AE770000}"/>
    <cellStyle name="Normal 7 3 28 5" xfId="22236" xr:uid="{00000000-0005-0000-0000-0000AF770000}"/>
    <cellStyle name="Normal 7 3 28 6" xfId="22237" xr:uid="{00000000-0005-0000-0000-0000B0770000}"/>
    <cellStyle name="Normal 7 3 28 7" xfId="22238" xr:uid="{00000000-0005-0000-0000-0000B1770000}"/>
    <cellStyle name="Normal 7 3 29" xfId="22239" xr:uid="{00000000-0005-0000-0000-0000B2770000}"/>
    <cellStyle name="Normal 7 3 29 2" xfId="22240" xr:uid="{00000000-0005-0000-0000-0000B3770000}"/>
    <cellStyle name="Normal 7 3 29 3" xfId="22241" xr:uid="{00000000-0005-0000-0000-0000B4770000}"/>
    <cellStyle name="Normal 7 3 29 4" xfId="22242" xr:uid="{00000000-0005-0000-0000-0000B5770000}"/>
    <cellStyle name="Normal 7 3 29 5" xfId="22243" xr:uid="{00000000-0005-0000-0000-0000B6770000}"/>
    <cellStyle name="Normal 7 3 29 6" xfId="22244" xr:uid="{00000000-0005-0000-0000-0000B7770000}"/>
    <cellStyle name="Normal 7 3 29 7" xfId="22245" xr:uid="{00000000-0005-0000-0000-0000B8770000}"/>
    <cellStyle name="Normal 7 3 3" xfId="10976" xr:uid="{00000000-0005-0000-0000-0000B9770000}"/>
    <cellStyle name="Normal 7 3 3 10" xfId="22246" xr:uid="{00000000-0005-0000-0000-0000BA770000}"/>
    <cellStyle name="Normal 7 3 3 2" xfId="22247" xr:uid="{00000000-0005-0000-0000-0000BB770000}"/>
    <cellStyle name="Normal 7 3 3 2 2" xfId="22248" xr:uid="{00000000-0005-0000-0000-0000BC770000}"/>
    <cellStyle name="Normal 7 3 3 2 3" xfId="22249" xr:uid="{00000000-0005-0000-0000-0000BD770000}"/>
    <cellStyle name="Normal 7 3 3 2 4" xfId="22250" xr:uid="{00000000-0005-0000-0000-0000BE770000}"/>
    <cellStyle name="Normal 7 3 3 2 5" xfId="22251" xr:uid="{00000000-0005-0000-0000-0000BF770000}"/>
    <cellStyle name="Normal 7 3 3 2 6" xfId="22252" xr:uid="{00000000-0005-0000-0000-0000C0770000}"/>
    <cellStyle name="Normal 7 3 3 2 7" xfId="22253" xr:uid="{00000000-0005-0000-0000-0000C1770000}"/>
    <cellStyle name="Normal 7 3 3 2 8" xfId="33808" xr:uid="{00000000-0005-0000-0000-0000C2770000}"/>
    <cellStyle name="Normal 7 3 3 2 9" xfId="39929" xr:uid="{00000000-0005-0000-0000-0000C3770000}"/>
    <cellStyle name="Normal 7 3 3 3" xfId="22254" xr:uid="{00000000-0005-0000-0000-0000C4770000}"/>
    <cellStyle name="Normal 7 3 3 4" xfId="22255" xr:uid="{00000000-0005-0000-0000-0000C5770000}"/>
    <cellStyle name="Normal 7 3 3 5" xfId="22256" xr:uid="{00000000-0005-0000-0000-0000C6770000}"/>
    <cellStyle name="Normal 7 3 3 6" xfId="22257" xr:uid="{00000000-0005-0000-0000-0000C7770000}"/>
    <cellStyle name="Normal 7 3 3 7" xfId="22258" xr:uid="{00000000-0005-0000-0000-0000C8770000}"/>
    <cellStyle name="Normal 7 3 3 8" xfId="22259" xr:uid="{00000000-0005-0000-0000-0000C9770000}"/>
    <cellStyle name="Normal 7 3 3 9" xfId="22260" xr:uid="{00000000-0005-0000-0000-0000CA770000}"/>
    <cellStyle name="Normal 7 3 30" xfId="22261" xr:uid="{00000000-0005-0000-0000-0000CB770000}"/>
    <cellStyle name="Normal 7 3 30 2" xfId="22262" xr:uid="{00000000-0005-0000-0000-0000CC770000}"/>
    <cellStyle name="Normal 7 3 30 3" xfId="22263" xr:uid="{00000000-0005-0000-0000-0000CD770000}"/>
    <cellStyle name="Normal 7 3 30 4" xfId="22264" xr:uid="{00000000-0005-0000-0000-0000CE770000}"/>
    <cellStyle name="Normal 7 3 30 5" xfId="22265" xr:uid="{00000000-0005-0000-0000-0000CF770000}"/>
    <cellStyle name="Normal 7 3 30 6" xfId="22266" xr:uid="{00000000-0005-0000-0000-0000D0770000}"/>
    <cellStyle name="Normal 7 3 30 7" xfId="22267" xr:uid="{00000000-0005-0000-0000-0000D1770000}"/>
    <cellStyle name="Normal 7 3 31" xfId="22268" xr:uid="{00000000-0005-0000-0000-0000D2770000}"/>
    <cellStyle name="Normal 7 3 31 2" xfId="22269" xr:uid="{00000000-0005-0000-0000-0000D3770000}"/>
    <cellStyle name="Normal 7 3 31 3" xfId="22270" xr:uid="{00000000-0005-0000-0000-0000D4770000}"/>
    <cellStyle name="Normal 7 3 31 4" xfId="22271" xr:uid="{00000000-0005-0000-0000-0000D5770000}"/>
    <cellStyle name="Normal 7 3 31 5" xfId="22272" xr:uid="{00000000-0005-0000-0000-0000D6770000}"/>
    <cellStyle name="Normal 7 3 31 6" xfId="22273" xr:uid="{00000000-0005-0000-0000-0000D7770000}"/>
    <cellStyle name="Normal 7 3 31 7" xfId="22274" xr:uid="{00000000-0005-0000-0000-0000D8770000}"/>
    <cellStyle name="Normal 7 3 32" xfId="22275" xr:uid="{00000000-0005-0000-0000-0000D9770000}"/>
    <cellStyle name="Normal 7 3 32 2" xfId="22276" xr:uid="{00000000-0005-0000-0000-0000DA770000}"/>
    <cellStyle name="Normal 7 3 32 3" xfId="22277" xr:uid="{00000000-0005-0000-0000-0000DB770000}"/>
    <cellStyle name="Normal 7 3 32 4" xfId="22278" xr:uid="{00000000-0005-0000-0000-0000DC770000}"/>
    <cellStyle name="Normal 7 3 32 5" xfId="22279" xr:uid="{00000000-0005-0000-0000-0000DD770000}"/>
    <cellStyle name="Normal 7 3 32 6" xfId="22280" xr:uid="{00000000-0005-0000-0000-0000DE770000}"/>
    <cellStyle name="Normal 7 3 32 7" xfId="22281" xr:uid="{00000000-0005-0000-0000-0000DF770000}"/>
    <cellStyle name="Normal 7 3 33" xfId="22282" xr:uid="{00000000-0005-0000-0000-0000E0770000}"/>
    <cellStyle name="Normal 7 3 33 2" xfId="22283" xr:uid="{00000000-0005-0000-0000-0000E1770000}"/>
    <cellStyle name="Normal 7 3 33 3" xfId="22284" xr:uid="{00000000-0005-0000-0000-0000E2770000}"/>
    <cellStyle name="Normal 7 3 33 4" xfId="22285" xr:uid="{00000000-0005-0000-0000-0000E3770000}"/>
    <cellStyle name="Normal 7 3 33 5" xfId="22286" xr:uid="{00000000-0005-0000-0000-0000E4770000}"/>
    <cellStyle name="Normal 7 3 33 6" xfId="22287" xr:uid="{00000000-0005-0000-0000-0000E5770000}"/>
    <cellStyle name="Normal 7 3 33 7" xfId="22288" xr:uid="{00000000-0005-0000-0000-0000E6770000}"/>
    <cellStyle name="Normal 7 3 34" xfId="22289" xr:uid="{00000000-0005-0000-0000-0000E7770000}"/>
    <cellStyle name="Normal 7 3 34 2" xfId="22290" xr:uid="{00000000-0005-0000-0000-0000E8770000}"/>
    <cellStyle name="Normal 7 3 34 3" xfId="22291" xr:uid="{00000000-0005-0000-0000-0000E9770000}"/>
    <cellStyle name="Normal 7 3 34 4" xfId="22292" xr:uid="{00000000-0005-0000-0000-0000EA770000}"/>
    <cellStyle name="Normal 7 3 34 5" xfId="22293" xr:uid="{00000000-0005-0000-0000-0000EB770000}"/>
    <cellStyle name="Normal 7 3 34 6" xfId="22294" xr:uid="{00000000-0005-0000-0000-0000EC770000}"/>
    <cellStyle name="Normal 7 3 34 7" xfId="22295" xr:uid="{00000000-0005-0000-0000-0000ED770000}"/>
    <cellStyle name="Normal 7 3 35" xfId="22296" xr:uid="{00000000-0005-0000-0000-0000EE770000}"/>
    <cellStyle name="Normal 7 3 35 2" xfId="22297" xr:uid="{00000000-0005-0000-0000-0000EF770000}"/>
    <cellStyle name="Normal 7 3 35 3" xfId="22298" xr:uid="{00000000-0005-0000-0000-0000F0770000}"/>
    <cellStyle name="Normal 7 3 35 4" xfId="22299" xr:uid="{00000000-0005-0000-0000-0000F1770000}"/>
    <cellStyle name="Normal 7 3 35 5" xfId="22300" xr:uid="{00000000-0005-0000-0000-0000F2770000}"/>
    <cellStyle name="Normal 7 3 35 6" xfId="22301" xr:uid="{00000000-0005-0000-0000-0000F3770000}"/>
    <cellStyle name="Normal 7 3 35 7" xfId="22302" xr:uid="{00000000-0005-0000-0000-0000F4770000}"/>
    <cellStyle name="Normal 7 3 36" xfId="22303" xr:uid="{00000000-0005-0000-0000-0000F5770000}"/>
    <cellStyle name="Normal 7 3 36 2" xfId="22304" xr:uid="{00000000-0005-0000-0000-0000F6770000}"/>
    <cellStyle name="Normal 7 3 37" xfId="22305" xr:uid="{00000000-0005-0000-0000-0000F7770000}"/>
    <cellStyle name="Normal 7 3 38" xfId="22306" xr:uid="{00000000-0005-0000-0000-0000F8770000}"/>
    <cellStyle name="Normal 7 3 39" xfId="22307" xr:uid="{00000000-0005-0000-0000-0000F9770000}"/>
    <cellStyle name="Normal 7 3 4" xfId="10977" xr:uid="{00000000-0005-0000-0000-0000FA770000}"/>
    <cellStyle name="Normal 7 3 4 2" xfId="22308" xr:uid="{00000000-0005-0000-0000-0000FB770000}"/>
    <cellStyle name="Normal 7 3 4 2 2" xfId="22309" xr:uid="{00000000-0005-0000-0000-0000FC770000}"/>
    <cellStyle name="Normal 7 3 4 2 3" xfId="22310" xr:uid="{00000000-0005-0000-0000-0000FD770000}"/>
    <cellStyle name="Normal 7 3 4 2 4" xfId="22311" xr:uid="{00000000-0005-0000-0000-0000FE770000}"/>
    <cellStyle name="Normal 7 3 4 2 5" xfId="22312" xr:uid="{00000000-0005-0000-0000-0000FF770000}"/>
    <cellStyle name="Normal 7 3 4 2 6" xfId="22313" xr:uid="{00000000-0005-0000-0000-000000780000}"/>
    <cellStyle name="Normal 7 3 4 2 7" xfId="22314" xr:uid="{00000000-0005-0000-0000-000001780000}"/>
    <cellStyle name="Normal 7 3 4 2 8" xfId="39930" xr:uid="{00000000-0005-0000-0000-000002780000}"/>
    <cellStyle name="Normal 7 3 4 3" xfId="22315" xr:uid="{00000000-0005-0000-0000-000003780000}"/>
    <cellStyle name="Normal 7 3 4 4" xfId="22316" xr:uid="{00000000-0005-0000-0000-000004780000}"/>
    <cellStyle name="Normal 7 3 4 5" xfId="22317" xr:uid="{00000000-0005-0000-0000-000005780000}"/>
    <cellStyle name="Normal 7 3 4 6" xfId="22318" xr:uid="{00000000-0005-0000-0000-000006780000}"/>
    <cellStyle name="Normal 7 3 4 7" xfId="22319" xr:uid="{00000000-0005-0000-0000-000007780000}"/>
    <cellStyle name="Normal 7 3 4 8" xfId="22320" xr:uid="{00000000-0005-0000-0000-000008780000}"/>
    <cellStyle name="Normal 7 3 4 9" xfId="22321" xr:uid="{00000000-0005-0000-0000-000009780000}"/>
    <cellStyle name="Normal 7 3 4 9 2" xfId="33809" xr:uid="{00000000-0005-0000-0000-00000A780000}"/>
    <cellStyle name="Normal 7 3 40" xfId="22322" xr:uid="{00000000-0005-0000-0000-00000B780000}"/>
    <cellStyle name="Normal 7 3 41" xfId="22323" xr:uid="{00000000-0005-0000-0000-00000C780000}"/>
    <cellStyle name="Normal 7 3 42" xfId="22324" xr:uid="{00000000-0005-0000-0000-00000D780000}"/>
    <cellStyle name="Normal 7 3 43" xfId="22325" xr:uid="{00000000-0005-0000-0000-00000E780000}"/>
    <cellStyle name="Normal 7 3 5" xfId="22326" xr:uid="{00000000-0005-0000-0000-00000F780000}"/>
    <cellStyle name="Normal 7 3 5 2" xfId="22327" xr:uid="{00000000-0005-0000-0000-000010780000}"/>
    <cellStyle name="Normal 7 3 5 2 2" xfId="22328" xr:uid="{00000000-0005-0000-0000-000011780000}"/>
    <cellStyle name="Normal 7 3 5 2 3" xfId="22329" xr:uid="{00000000-0005-0000-0000-000012780000}"/>
    <cellStyle name="Normal 7 3 5 2 4" xfId="22330" xr:uid="{00000000-0005-0000-0000-000013780000}"/>
    <cellStyle name="Normal 7 3 5 2 5" xfId="22331" xr:uid="{00000000-0005-0000-0000-000014780000}"/>
    <cellStyle name="Normal 7 3 5 2 6" xfId="22332" xr:uid="{00000000-0005-0000-0000-000015780000}"/>
    <cellStyle name="Normal 7 3 5 2 7" xfId="22333" xr:uid="{00000000-0005-0000-0000-000016780000}"/>
    <cellStyle name="Normal 7 3 5 3" xfId="22334" xr:uid="{00000000-0005-0000-0000-000017780000}"/>
    <cellStyle name="Normal 7 3 5 4" xfId="22335" xr:uid="{00000000-0005-0000-0000-000018780000}"/>
    <cellStyle name="Normal 7 3 5 5" xfId="22336" xr:uid="{00000000-0005-0000-0000-000019780000}"/>
    <cellStyle name="Normal 7 3 5 6" xfId="22337" xr:uid="{00000000-0005-0000-0000-00001A780000}"/>
    <cellStyle name="Normal 7 3 5 7" xfId="22338" xr:uid="{00000000-0005-0000-0000-00001B780000}"/>
    <cellStyle name="Normal 7 3 5 8" xfId="22339" xr:uid="{00000000-0005-0000-0000-00001C780000}"/>
    <cellStyle name="Normal 7 3 5 9" xfId="39931" xr:uid="{00000000-0005-0000-0000-00001D780000}"/>
    <cellStyle name="Normal 7 3 6" xfId="22340" xr:uid="{00000000-0005-0000-0000-00001E780000}"/>
    <cellStyle name="Normal 7 3 6 2" xfId="22341" xr:uid="{00000000-0005-0000-0000-00001F780000}"/>
    <cellStyle name="Normal 7 3 6 2 2" xfId="22342" xr:uid="{00000000-0005-0000-0000-000020780000}"/>
    <cellStyle name="Normal 7 3 6 2 3" xfId="22343" xr:uid="{00000000-0005-0000-0000-000021780000}"/>
    <cellStyle name="Normal 7 3 6 2 4" xfId="22344" xr:uid="{00000000-0005-0000-0000-000022780000}"/>
    <cellStyle name="Normal 7 3 6 2 5" xfId="22345" xr:uid="{00000000-0005-0000-0000-000023780000}"/>
    <cellStyle name="Normal 7 3 6 2 6" xfId="22346" xr:uid="{00000000-0005-0000-0000-000024780000}"/>
    <cellStyle name="Normal 7 3 6 2 7" xfId="22347" xr:uid="{00000000-0005-0000-0000-000025780000}"/>
    <cellStyle name="Normal 7 3 6 3" xfId="22348" xr:uid="{00000000-0005-0000-0000-000026780000}"/>
    <cellStyle name="Normal 7 3 6 4" xfId="22349" xr:uid="{00000000-0005-0000-0000-000027780000}"/>
    <cellStyle name="Normal 7 3 6 5" xfId="22350" xr:uid="{00000000-0005-0000-0000-000028780000}"/>
    <cellStyle name="Normal 7 3 6 6" xfId="22351" xr:uid="{00000000-0005-0000-0000-000029780000}"/>
    <cellStyle name="Normal 7 3 6 7" xfId="22352" xr:uid="{00000000-0005-0000-0000-00002A780000}"/>
    <cellStyle name="Normal 7 3 6 8" xfId="22353" xr:uid="{00000000-0005-0000-0000-00002B780000}"/>
    <cellStyle name="Normal 7 3 7" xfId="22354" xr:uid="{00000000-0005-0000-0000-00002C780000}"/>
    <cellStyle name="Normal 7 3 7 2" xfId="22355" xr:uid="{00000000-0005-0000-0000-00002D780000}"/>
    <cellStyle name="Normal 7 3 7 2 2" xfId="22356" xr:uid="{00000000-0005-0000-0000-00002E780000}"/>
    <cellStyle name="Normal 7 3 7 2 3" xfId="22357" xr:uid="{00000000-0005-0000-0000-00002F780000}"/>
    <cellStyle name="Normal 7 3 7 2 4" xfId="22358" xr:uid="{00000000-0005-0000-0000-000030780000}"/>
    <cellStyle name="Normal 7 3 7 2 5" xfId="22359" xr:uid="{00000000-0005-0000-0000-000031780000}"/>
    <cellStyle name="Normal 7 3 7 2 6" xfId="22360" xr:uid="{00000000-0005-0000-0000-000032780000}"/>
    <cellStyle name="Normal 7 3 7 2 7" xfId="22361" xr:uid="{00000000-0005-0000-0000-000033780000}"/>
    <cellStyle name="Normal 7 3 7 3" xfId="22362" xr:uid="{00000000-0005-0000-0000-000034780000}"/>
    <cellStyle name="Normal 7 3 7 4" xfId="22363" xr:uid="{00000000-0005-0000-0000-000035780000}"/>
    <cellStyle name="Normal 7 3 7 5" xfId="22364" xr:uid="{00000000-0005-0000-0000-000036780000}"/>
    <cellStyle name="Normal 7 3 7 6" xfId="22365" xr:uid="{00000000-0005-0000-0000-000037780000}"/>
    <cellStyle name="Normal 7 3 7 7" xfId="22366" xr:uid="{00000000-0005-0000-0000-000038780000}"/>
    <cellStyle name="Normal 7 3 7 8" xfId="22367" xr:uid="{00000000-0005-0000-0000-000039780000}"/>
    <cellStyle name="Normal 7 3 8" xfId="22368" xr:uid="{00000000-0005-0000-0000-00003A780000}"/>
    <cellStyle name="Normal 7 3 8 2" xfId="22369" xr:uid="{00000000-0005-0000-0000-00003B780000}"/>
    <cellStyle name="Normal 7 3 8 2 2" xfId="22370" xr:uid="{00000000-0005-0000-0000-00003C780000}"/>
    <cellStyle name="Normal 7 3 8 2 3" xfId="22371" xr:uid="{00000000-0005-0000-0000-00003D780000}"/>
    <cellStyle name="Normal 7 3 8 2 4" xfId="22372" xr:uid="{00000000-0005-0000-0000-00003E780000}"/>
    <cellStyle name="Normal 7 3 8 2 5" xfId="22373" xr:uid="{00000000-0005-0000-0000-00003F780000}"/>
    <cellStyle name="Normal 7 3 8 2 6" xfId="22374" xr:uid="{00000000-0005-0000-0000-000040780000}"/>
    <cellStyle name="Normal 7 3 8 2 7" xfId="22375" xr:uid="{00000000-0005-0000-0000-000041780000}"/>
    <cellStyle name="Normal 7 3 8 3" xfId="22376" xr:uid="{00000000-0005-0000-0000-000042780000}"/>
    <cellStyle name="Normal 7 3 8 4" xfId="22377" xr:uid="{00000000-0005-0000-0000-000043780000}"/>
    <cellStyle name="Normal 7 3 8 5" xfId="22378" xr:uid="{00000000-0005-0000-0000-000044780000}"/>
    <cellStyle name="Normal 7 3 8 6" xfId="22379" xr:uid="{00000000-0005-0000-0000-000045780000}"/>
    <cellStyle name="Normal 7 3 8 7" xfId="22380" xr:uid="{00000000-0005-0000-0000-000046780000}"/>
    <cellStyle name="Normal 7 3 8 8" xfId="22381" xr:uid="{00000000-0005-0000-0000-000047780000}"/>
    <cellStyle name="Normal 7 3 9" xfId="22382" xr:uid="{00000000-0005-0000-0000-000048780000}"/>
    <cellStyle name="Normal 7 3 9 2" xfId="22383" xr:uid="{00000000-0005-0000-0000-000049780000}"/>
    <cellStyle name="Normal 7 3 9 2 2" xfId="22384" xr:uid="{00000000-0005-0000-0000-00004A780000}"/>
    <cellStyle name="Normal 7 3 9 2 3" xfId="22385" xr:uid="{00000000-0005-0000-0000-00004B780000}"/>
    <cellStyle name="Normal 7 3 9 2 4" xfId="22386" xr:uid="{00000000-0005-0000-0000-00004C780000}"/>
    <cellStyle name="Normal 7 3 9 2 5" xfId="22387" xr:uid="{00000000-0005-0000-0000-00004D780000}"/>
    <cellStyle name="Normal 7 3 9 2 6" xfId="22388" xr:uid="{00000000-0005-0000-0000-00004E780000}"/>
    <cellStyle name="Normal 7 3 9 2 7" xfId="22389" xr:uid="{00000000-0005-0000-0000-00004F780000}"/>
    <cellStyle name="Normal 7 3 9 3" xfId="22390" xr:uid="{00000000-0005-0000-0000-000050780000}"/>
    <cellStyle name="Normal 7 3 9 4" xfId="22391" xr:uid="{00000000-0005-0000-0000-000051780000}"/>
    <cellStyle name="Normal 7 3 9 5" xfId="22392" xr:uid="{00000000-0005-0000-0000-000052780000}"/>
    <cellStyle name="Normal 7 3 9 6" xfId="22393" xr:uid="{00000000-0005-0000-0000-000053780000}"/>
    <cellStyle name="Normal 7 3 9 7" xfId="22394" xr:uid="{00000000-0005-0000-0000-000054780000}"/>
    <cellStyle name="Normal 7 3 9 8" xfId="22395" xr:uid="{00000000-0005-0000-0000-000055780000}"/>
    <cellStyle name="Normal 7 3_01-04-2012" xfId="10978" xr:uid="{00000000-0005-0000-0000-000056780000}"/>
    <cellStyle name="Normal 7 30" xfId="10979" xr:uid="{00000000-0005-0000-0000-000057780000}"/>
    <cellStyle name="Normal 7 31" xfId="10980" xr:uid="{00000000-0005-0000-0000-000058780000}"/>
    <cellStyle name="Normal 7 32" xfId="10981" xr:uid="{00000000-0005-0000-0000-000059780000}"/>
    <cellStyle name="Normal 7 33" xfId="10982" xr:uid="{00000000-0005-0000-0000-00005A780000}"/>
    <cellStyle name="Normal 7 34" xfId="10983" xr:uid="{00000000-0005-0000-0000-00005B780000}"/>
    <cellStyle name="Normal 7 35" xfId="10984" xr:uid="{00000000-0005-0000-0000-00005C780000}"/>
    <cellStyle name="Normal 7 36" xfId="10985" xr:uid="{00000000-0005-0000-0000-00005D780000}"/>
    <cellStyle name="Normal 7 37" xfId="10986" xr:uid="{00000000-0005-0000-0000-00005E780000}"/>
    <cellStyle name="Normal 7 38" xfId="10987" xr:uid="{00000000-0005-0000-0000-00005F780000}"/>
    <cellStyle name="Normal 7 39" xfId="10988" xr:uid="{00000000-0005-0000-0000-000060780000}"/>
    <cellStyle name="Normal 7 4" xfId="10989" xr:uid="{00000000-0005-0000-0000-000061780000}"/>
    <cellStyle name="Normal 7 4 2" xfId="10990" xr:uid="{00000000-0005-0000-0000-000062780000}"/>
    <cellStyle name="Normal 7 4 2 2" xfId="22396" xr:uid="{00000000-0005-0000-0000-000063780000}"/>
    <cellStyle name="Normal 7 4 2 2 2" xfId="33810" xr:uid="{00000000-0005-0000-0000-000064780000}"/>
    <cellStyle name="Normal 7 4 2 2 3" xfId="39932" xr:uid="{00000000-0005-0000-0000-000065780000}"/>
    <cellStyle name="Normal 7 4 2 3" xfId="22397" xr:uid="{00000000-0005-0000-0000-000066780000}"/>
    <cellStyle name="Normal 7 4 3" xfId="10991" xr:uid="{00000000-0005-0000-0000-000067780000}"/>
    <cellStyle name="Normal 7 4 3 2" xfId="22398" xr:uid="{00000000-0005-0000-0000-000068780000}"/>
    <cellStyle name="Normal 7 4 3 2 2" xfId="39933" xr:uid="{00000000-0005-0000-0000-000069780000}"/>
    <cellStyle name="Normal 7 4 4" xfId="10992" xr:uid="{00000000-0005-0000-0000-00006A780000}"/>
    <cellStyle name="Normal 7 4 4 2" xfId="22399" xr:uid="{00000000-0005-0000-0000-00006B780000}"/>
    <cellStyle name="Normal 7 4 4 2 2" xfId="39934" xr:uid="{00000000-0005-0000-0000-00006C780000}"/>
    <cellStyle name="Normal 7 4 5" xfId="22400" xr:uid="{00000000-0005-0000-0000-00006D780000}"/>
    <cellStyle name="Normal 7 4 5 2" xfId="39935" xr:uid="{00000000-0005-0000-0000-00006E780000}"/>
    <cellStyle name="Normal 7 4_01-04-2012" xfId="10993" xr:uid="{00000000-0005-0000-0000-00006F780000}"/>
    <cellStyle name="Normal 7 40" xfId="10994" xr:uid="{00000000-0005-0000-0000-000070780000}"/>
    <cellStyle name="Normal 7 41" xfId="10995" xr:uid="{00000000-0005-0000-0000-000071780000}"/>
    <cellStyle name="Normal 7 42" xfId="10996" xr:uid="{00000000-0005-0000-0000-000072780000}"/>
    <cellStyle name="Normal 7 43" xfId="10997" xr:uid="{00000000-0005-0000-0000-000073780000}"/>
    <cellStyle name="Normal 7 44" xfId="10998" xr:uid="{00000000-0005-0000-0000-000074780000}"/>
    <cellStyle name="Normal 7 45" xfId="10999" xr:uid="{00000000-0005-0000-0000-000075780000}"/>
    <cellStyle name="Normal 7 46" xfId="11000" xr:uid="{00000000-0005-0000-0000-000076780000}"/>
    <cellStyle name="Normal 7 47" xfId="11001" xr:uid="{00000000-0005-0000-0000-000077780000}"/>
    <cellStyle name="Normal 7 48" xfId="11002" xr:uid="{00000000-0005-0000-0000-000078780000}"/>
    <cellStyle name="Normal 7 49" xfId="11003" xr:uid="{00000000-0005-0000-0000-000079780000}"/>
    <cellStyle name="Normal 7 5" xfId="11004" xr:uid="{00000000-0005-0000-0000-00007A780000}"/>
    <cellStyle name="Normal 7 5 2" xfId="22401" xr:uid="{00000000-0005-0000-0000-00007B780000}"/>
    <cellStyle name="Normal 7 5 2 2" xfId="22402" xr:uid="{00000000-0005-0000-0000-00007C780000}"/>
    <cellStyle name="Normal 7 5 2 2 2" xfId="33811" xr:uid="{00000000-0005-0000-0000-00007D780000}"/>
    <cellStyle name="Normal 7 5 2 3" xfId="33812" xr:uid="{00000000-0005-0000-0000-00007E780000}"/>
    <cellStyle name="Normal 7 5 3" xfId="22403" xr:uid="{00000000-0005-0000-0000-00007F780000}"/>
    <cellStyle name="Normal 7 5 3 2" xfId="33813" xr:uid="{00000000-0005-0000-0000-000080780000}"/>
    <cellStyle name="Normal 7 5 4" xfId="22404" xr:uid="{00000000-0005-0000-0000-000081780000}"/>
    <cellStyle name="Normal 7 50" xfId="11005" xr:uid="{00000000-0005-0000-0000-000082780000}"/>
    <cellStyle name="Normal 7 51" xfId="11006" xr:uid="{00000000-0005-0000-0000-000083780000}"/>
    <cellStyle name="Normal 7 52" xfId="11007" xr:uid="{00000000-0005-0000-0000-000084780000}"/>
    <cellStyle name="Normal 7 53" xfId="11008" xr:uid="{00000000-0005-0000-0000-000085780000}"/>
    <cellStyle name="Normal 7 53 2" xfId="39936" xr:uid="{00000000-0005-0000-0000-000086780000}"/>
    <cellStyle name="Normal 7 54" xfId="11009" xr:uid="{00000000-0005-0000-0000-000087780000}"/>
    <cellStyle name="Normal 7 54 2" xfId="39937" xr:uid="{00000000-0005-0000-0000-000088780000}"/>
    <cellStyle name="Normal 7 55" xfId="11010" xr:uid="{00000000-0005-0000-0000-000089780000}"/>
    <cellStyle name="Normal 7 55 2" xfId="39938" xr:uid="{00000000-0005-0000-0000-00008A780000}"/>
    <cellStyle name="Normal 7 56" xfId="11011" xr:uid="{00000000-0005-0000-0000-00008B780000}"/>
    <cellStyle name="Normal 7 57" xfId="11012" xr:uid="{00000000-0005-0000-0000-00008C780000}"/>
    <cellStyle name="Normal 7 58" xfId="11013" xr:uid="{00000000-0005-0000-0000-00008D780000}"/>
    <cellStyle name="Normal 7 59" xfId="11014" xr:uid="{00000000-0005-0000-0000-00008E780000}"/>
    <cellStyle name="Normal 7 6" xfId="11015" xr:uid="{00000000-0005-0000-0000-00008F780000}"/>
    <cellStyle name="Normal 7 6 2" xfId="22405" xr:uid="{00000000-0005-0000-0000-000090780000}"/>
    <cellStyle name="Normal 7 6 2 2" xfId="22406" xr:uid="{00000000-0005-0000-0000-000091780000}"/>
    <cellStyle name="Normal 7 6 2 2 2" xfId="33814" xr:uid="{00000000-0005-0000-0000-000092780000}"/>
    <cellStyle name="Normal 7 6 2 3" xfId="33815" xr:uid="{00000000-0005-0000-0000-000093780000}"/>
    <cellStyle name="Normal 7 6 3" xfId="22407" xr:uid="{00000000-0005-0000-0000-000094780000}"/>
    <cellStyle name="Normal 7 6 3 2" xfId="33816" xr:uid="{00000000-0005-0000-0000-000095780000}"/>
    <cellStyle name="Normal 7 6 4" xfId="22408" xr:uid="{00000000-0005-0000-0000-000096780000}"/>
    <cellStyle name="Normal 7 60" xfId="11016" xr:uid="{00000000-0005-0000-0000-000097780000}"/>
    <cellStyle name="Normal 7 61" xfId="11017" xr:uid="{00000000-0005-0000-0000-000098780000}"/>
    <cellStyle name="Normal 7 62" xfId="11018" xr:uid="{00000000-0005-0000-0000-000099780000}"/>
    <cellStyle name="Normal 7 63" xfId="11019" xr:uid="{00000000-0005-0000-0000-00009A780000}"/>
    <cellStyle name="Normal 7 64" xfId="22409" xr:uid="{00000000-0005-0000-0000-00009B780000}"/>
    <cellStyle name="Normal 7 64 2" xfId="39939" xr:uid="{00000000-0005-0000-0000-00009C780000}"/>
    <cellStyle name="Normal 7 7" xfId="11020" xr:uid="{00000000-0005-0000-0000-00009D780000}"/>
    <cellStyle name="Normal 7 7 2" xfId="22410" xr:uid="{00000000-0005-0000-0000-00009E780000}"/>
    <cellStyle name="Normal 7 7 2 2" xfId="22411" xr:uid="{00000000-0005-0000-0000-00009F780000}"/>
    <cellStyle name="Normal 7 7 2 2 2" xfId="33817" xr:uid="{00000000-0005-0000-0000-0000A0780000}"/>
    <cellStyle name="Normal 7 7 2 3" xfId="33818" xr:uid="{00000000-0005-0000-0000-0000A1780000}"/>
    <cellStyle name="Normal 7 7 3" xfId="22412" xr:uid="{00000000-0005-0000-0000-0000A2780000}"/>
    <cellStyle name="Normal 7 7 3 2" xfId="33819" xr:uid="{00000000-0005-0000-0000-0000A3780000}"/>
    <cellStyle name="Normal 7 7 4" xfId="22413" xr:uid="{00000000-0005-0000-0000-0000A4780000}"/>
    <cellStyle name="Normal 7 8" xfId="11021" xr:uid="{00000000-0005-0000-0000-0000A5780000}"/>
    <cellStyle name="Normal 7 8 2" xfId="22414" xr:uid="{00000000-0005-0000-0000-0000A6780000}"/>
    <cellStyle name="Normal 7 8 2 2" xfId="22415" xr:uid="{00000000-0005-0000-0000-0000A7780000}"/>
    <cellStyle name="Normal 7 8 2 2 2" xfId="33820" xr:uid="{00000000-0005-0000-0000-0000A8780000}"/>
    <cellStyle name="Normal 7 8 2 3" xfId="33821" xr:uid="{00000000-0005-0000-0000-0000A9780000}"/>
    <cellStyle name="Normal 7 8 3" xfId="22416" xr:uid="{00000000-0005-0000-0000-0000AA780000}"/>
    <cellStyle name="Normal 7 8 3 2" xfId="33822" xr:uid="{00000000-0005-0000-0000-0000AB780000}"/>
    <cellStyle name="Normal 7 8 4" xfId="22417" xr:uid="{00000000-0005-0000-0000-0000AC780000}"/>
    <cellStyle name="Normal 7 9" xfId="11022" xr:uid="{00000000-0005-0000-0000-0000AD780000}"/>
    <cellStyle name="Normal 7 9 2" xfId="22418" xr:uid="{00000000-0005-0000-0000-0000AE780000}"/>
    <cellStyle name="Normal 7 9 2 2" xfId="22419" xr:uid="{00000000-0005-0000-0000-0000AF780000}"/>
    <cellStyle name="Normal 7 9 2 2 2" xfId="33823" xr:uid="{00000000-0005-0000-0000-0000B0780000}"/>
    <cellStyle name="Normal 7 9 2 3" xfId="33824" xr:uid="{00000000-0005-0000-0000-0000B1780000}"/>
    <cellStyle name="Normal 7 9 3" xfId="22420" xr:uid="{00000000-0005-0000-0000-0000B2780000}"/>
    <cellStyle name="Normal 7 9 3 2" xfId="33825" xr:uid="{00000000-0005-0000-0000-0000B3780000}"/>
    <cellStyle name="Normal 7 9 4" xfId="22421" xr:uid="{00000000-0005-0000-0000-0000B4780000}"/>
    <cellStyle name="Normal 7_01-04-2012" xfId="11023" xr:uid="{00000000-0005-0000-0000-0000B5780000}"/>
    <cellStyle name="Normal 70" xfId="11024" xr:uid="{00000000-0005-0000-0000-0000B6780000}"/>
    <cellStyle name="Normal 70 2" xfId="22422" xr:uid="{00000000-0005-0000-0000-0000B7780000}"/>
    <cellStyle name="Normal 70 2 2" xfId="39940" xr:uid="{00000000-0005-0000-0000-0000B8780000}"/>
    <cellStyle name="Normal 70 3" xfId="22423" xr:uid="{00000000-0005-0000-0000-0000B9780000}"/>
    <cellStyle name="Normal 700" xfId="22424" xr:uid="{00000000-0005-0000-0000-0000BA780000}"/>
    <cellStyle name="Normal 701" xfId="22425" xr:uid="{00000000-0005-0000-0000-0000BB780000}"/>
    <cellStyle name="Normal 702" xfId="22426" xr:uid="{00000000-0005-0000-0000-0000BC780000}"/>
    <cellStyle name="Normal 703" xfId="22427" xr:uid="{00000000-0005-0000-0000-0000BD780000}"/>
    <cellStyle name="Normal 704" xfId="22428" xr:uid="{00000000-0005-0000-0000-0000BE780000}"/>
    <cellStyle name="Normal 705" xfId="22429" xr:uid="{00000000-0005-0000-0000-0000BF780000}"/>
    <cellStyle name="Normal 706" xfId="22430" xr:uid="{00000000-0005-0000-0000-0000C0780000}"/>
    <cellStyle name="Normal 707" xfId="22431" xr:uid="{00000000-0005-0000-0000-0000C1780000}"/>
    <cellStyle name="Normal 708" xfId="22432" xr:uid="{00000000-0005-0000-0000-0000C2780000}"/>
    <cellStyle name="Normal 709" xfId="22433" xr:uid="{00000000-0005-0000-0000-0000C3780000}"/>
    <cellStyle name="Normal 71" xfId="11025" xr:uid="{00000000-0005-0000-0000-0000C4780000}"/>
    <cellStyle name="Normal 71 2" xfId="22434" xr:uid="{00000000-0005-0000-0000-0000C5780000}"/>
    <cellStyle name="Normal 710" xfId="22435" xr:uid="{00000000-0005-0000-0000-0000C6780000}"/>
    <cellStyle name="Normal 711" xfId="22436" xr:uid="{00000000-0005-0000-0000-0000C7780000}"/>
    <cellStyle name="Normal 712" xfId="32575" xr:uid="{00000000-0005-0000-0000-0000C8780000}"/>
    <cellStyle name="Normal 712 2" xfId="33826" xr:uid="{00000000-0005-0000-0000-0000C9780000}"/>
    <cellStyle name="Normal 713" xfId="33523" xr:uid="{00000000-0005-0000-0000-0000CA780000}"/>
    <cellStyle name="Normal 713 2" xfId="33827" xr:uid="{00000000-0005-0000-0000-0000CB780000}"/>
    <cellStyle name="Normal 714" xfId="33524" xr:uid="{00000000-0005-0000-0000-0000CC780000}"/>
    <cellStyle name="Normal 714 2" xfId="33828" xr:uid="{00000000-0005-0000-0000-0000CD780000}"/>
    <cellStyle name="Normal 715" xfId="33829" xr:uid="{00000000-0005-0000-0000-0000CE780000}"/>
    <cellStyle name="Normal 716" xfId="33830" xr:uid="{00000000-0005-0000-0000-0000CF780000}"/>
    <cellStyle name="Normal 717" xfId="33831" xr:uid="{00000000-0005-0000-0000-0000D0780000}"/>
    <cellStyle name="Normal 718" xfId="33832" xr:uid="{00000000-0005-0000-0000-0000D1780000}"/>
    <cellStyle name="Normal 719" xfId="33833" xr:uid="{00000000-0005-0000-0000-0000D2780000}"/>
    <cellStyle name="Normal 72" xfId="11026" xr:uid="{00000000-0005-0000-0000-0000D3780000}"/>
    <cellStyle name="Normal 72 2" xfId="11027" xr:uid="{00000000-0005-0000-0000-0000D4780000}"/>
    <cellStyle name="Normal 72 2 2" xfId="39941" xr:uid="{00000000-0005-0000-0000-0000D5780000}"/>
    <cellStyle name="Normal 72 3" xfId="11028" xr:uid="{00000000-0005-0000-0000-0000D6780000}"/>
    <cellStyle name="Normal 72 3 2" xfId="39942" xr:uid="{00000000-0005-0000-0000-0000D7780000}"/>
    <cellStyle name="Normal 72 4" xfId="22437" xr:uid="{00000000-0005-0000-0000-0000D8780000}"/>
    <cellStyle name="Normal 72 4 2" xfId="39943" xr:uid="{00000000-0005-0000-0000-0000D9780000}"/>
    <cellStyle name="Normal 72_Hoja1" xfId="11029" xr:uid="{00000000-0005-0000-0000-0000DA780000}"/>
    <cellStyle name="Normal 720" xfId="33834" xr:uid="{00000000-0005-0000-0000-0000DB780000}"/>
    <cellStyle name="Normal 721" xfId="33835" xr:uid="{00000000-0005-0000-0000-0000DC780000}"/>
    <cellStyle name="Normal 722" xfId="33836" xr:uid="{00000000-0005-0000-0000-0000DD780000}"/>
    <cellStyle name="Normal 723" xfId="33837" xr:uid="{00000000-0005-0000-0000-0000DE780000}"/>
    <cellStyle name="Normal 724" xfId="33838" xr:uid="{00000000-0005-0000-0000-0000DF780000}"/>
    <cellStyle name="Normal 725" xfId="33839" xr:uid="{00000000-0005-0000-0000-0000E0780000}"/>
    <cellStyle name="Normal 726" xfId="33840" xr:uid="{00000000-0005-0000-0000-0000E1780000}"/>
    <cellStyle name="Normal 727" xfId="33841" xr:uid="{00000000-0005-0000-0000-0000E2780000}"/>
    <cellStyle name="Normal 728" xfId="33842" xr:uid="{00000000-0005-0000-0000-0000E3780000}"/>
    <cellStyle name="Normal 729" xfId="33843" xr:uid="{00000000-0005-0000-0000-0000E4780000}"/>
    <cellStyle name="Normal 73" xfId="11030" xr:uid="{00000000-0005-0000-0000-0000E5780000}"/>
    <cellStyle name="Normal 73 2" xfId="11031" xr:uid="{00000000-0005-0000-0000-0000E6780000}"/>
    <cellStyle name="Normal 73 2 2" xfId="22438" xr:uid="{00000000-0005-0000-0000-0000E7780000}"/>
    <cellStyle name="Normal 73 2 2 2" xfId="39944" xr:uid="{00000000-0005-0000-0000-0000E8780000}"/>
    <cellStyle name="Normal 73 3" xfId="11032" xr:uid="{00000000-0005-0000-0000-0000E9780000}"/>
    <cellStyle name="Normal 73 3 2" xfId="39945" xr:uid="{00000000-0005-0000-0000-0000EA780000}"/>
    <cellStyle name="Normal 73 4" xfId="22439" xr:uid="{00000000-0005-0000-0000-0000EB780000}"/>
    <cellStyle name="Normal 73 4 2" xfId="39946" xr:uid="{00000000-0005-0000-0000-0000EC780000}"/>
    <cellStyle name="Normal 73_Hoja1" xfId="11033" xr:uid="{00000000-0005-0000-0000-0000ED780000}"/>
    <cellStyle name="Normal 730" xfId="33844" xr:uid="{00000000-0005-0000-0000-0000EE780000}"/>
    <cellStyle name="Normal 731" xfId="33845" xr:uid="{00000000-0005-0000-0000-0000EF780000}"/>
    <cellStyle name="Normal 732" xfId="33846" xr:uid="{00000000-0005-0000-0000-0000F0780000}"/>
    <cellStyle name="Normal 733" xfId="33847" xr:uid="{00000000-0005-0000-0000-0000F1780000}"/>
    <cellStyle name="Normal 734" xfId="33848" xr:uid="{00000000-0005-0000-0000-0000F2780000}"/>
    <cellStyle name="Normal 735" xfId="33849" xr:uid="{00000000-0005-0000-0000-0000F3780000}"/>
    <cellStyle name="Normal 736" xfId="33850" xr:uid="{00000000-0005-0000-0000-0000F4780000}"/>
    <cellStyle name="Normal 737" xfId="33851" xr:uid="{00000000-0005-0000-0000-0000F5780000}"/>
    <cellStyle name="Normal 738" xfId="33852" xr:uid="{00000000-0005-0000-0000-0000F6780000}"/>
    <cellStyle name="Normal 739" xfId="33853" xr:uid="{00000000-0005-0000-0000-0000F7780000}"/>
    <cellStyle name="Normal 74" xfId="11034" xr:uid="{00000000-0005-0000-0000-0000F8780000}"/>
    <cellStyle name="Normal 74 2" xfId="22440" xr:uid="{00000000-0005-0000-0000-0000F9780000}"/>
    <cellStyle name="Normal 74 2 2" xfId="39947" xr:uid="{00000000-0005-0000-0000-0000FA780000}"/>
    <cellStyle name="Normal 74 3" xfId="22441" xr:uid="{00000000-0005-0000-0000-0000FB780000}"/>
    <cellStyle name="Normal 740" xfId="33854" xr:uid="{00000000-0005-0000-0000-0000FC780000}"/>
    <cellStyle name="Normal 741" xfId="33855" xr:uid="{00000000-0005-0000-0000-0000FD780000}"/>
    <cellStyle name="Normal 742" xfId="33856" xr:uid="{00000000-0005-0000-0000-0000FE780000}"/>
    <cellStyle name="Normal 743" xfId="33857" xr:uid="{00000000-0005-0000-0000-0000FF780000}"/>
    <cellStyle name="Normal 744" xfId="33858" xr:uid="{00000000-0005-0000-0000-000000790000}"/>
    <cellStyle name="Normal 745" xfId="33859" xr:uid="{00000000-0005-0000-0000-000001790000}"/>
    <cellStyle name="Normal 746" xfId="33860" xr:uid="{00000000-0005-0000-0000-000002790000}"/>
    <cellStyle name="Normal 747" xfId="33861" xr:uid="{00000000-0005-0000-0000-000003790000}"/>
    <cellStyle name="Normal 748" xfId="33862" xr:uid="{00000000-0005-0000-0000-000004790000}"/>
    <cellStyle name="Normal 749" xfId="33863" xr:uid="{00000000-0005-0000-0000-000005790000}"/>
    <cellStyle name="Normal 75" xfId="22442" xr:uid="{00000000-0005-0000-0000-000006790000}"/>
    <cellStyle name="Normal 75 2" xfId="22443" xr:uid="{00000000-0005-0000-0000-000007790000}"/>
    <cellStyle name="Normal 75 3" xfId="22444" xr:uid="{00000000-0005-0000-0000-000008790000}"/>
    <cellStyle name="Normal 75 4" xfId="39948" xr:uid="{00000000-0005-0000-0000-000009790000}"/>
    <cellStyle name="Normal 750" xfId="33864" xr:uid="{00000000-0005-0000-0000-00000A790000}"/>
    <cellStyle name="Normal 751" xfId="33865" xr:uid="{00000000-0005-0000-0000-00000B790000}"/>
    <cellStyle name="Normal 752" xfId="33866" xr:uid="{00000000-0005-0000-0000-00000C790000}"/>
    <cellStyle name="Normal 753" xfId="33867" xr:uid="{00000000-0005-0000-0000-00000D790000}"/>
    <cellStyle name="Normal 754" xfId="33868" xr:uid="{00000000-0005-0000-0000-00000E790000}"/>
    <cellStyle name="Normal 754 2" xfId="33869" xr:uid="{00000000-0005-0000-0000-00000F790000}"/>
    <cellStyle name="Normal 755" xfId="33870" xr:uid="{00000000-0005-0000-0000-000010790000}"/>
    <cellStyle name="Normal 756" xfId="33871" xr:uid="{00000000-0005-0000-0000-000011790000}"/>
    <cellStyle name="Normal 757" xfId="33872" xr:uid="{00000000-0005-0000-0000-000012790000}"/>
    <cellStyle name="Normal 758" xfId="33873" xr:uid="{00000000-0005-0000-0000-000013790000}"/>
    <cellStyle name="Normal 759" xfId="33874" xr:uid="{00000000-0005-0000-0000-000014790000}"/>
    <cellStyle name="Normal 76" xfId="22445" xr:uid="{00000000-0005-0000-0000-000015790000}"/>
    <cellStyle name="Normal 76 2" xfId="22446" xr:uid="{00000000-0005-0000-0000-000016790000}"/>
    <cellStyle name="Normal 76 3" xfId="39949" xr:uid="{00000000-0005-0000-0000-000017790000}"/>
    <cellStyle name="Normal 760" xfId="33875" xr:uid="{00000000-0005-0000-0000-000018790000}"/>
    <cellStyle name="Normal 761" xfId="33876" xr:uid="{00000000-0005-0000-0000-000019790000}"/>
    <cellStyle name="Normal 762" xfId="33877" xr:uid="{00000000-0005-0000-0000-00001A790000}"/>
    <cellStyle name="Normal 763" xfId="33878" xr:uid="{00000000-0005-0000-0000-00001B790000}"/>
    <cellStyle name="Normal 764" xfId="33879" xr:uid="{00000000-0005-0000-0000-00001C790000}"/>
    <cellStyle name="Normal 765" xfId="33880" xr:uid="{00000000-0005-0000-0000-00001D790000}"/>
    <cellStyle name="Normal 766" xfId="33881" xr:uid="{00000000-0005-0000-0000-00001E790000}"/>
    <cellStyle name="Normal 767" xfId="33882" xr:uid="{00000000-0005-0000-0000-00001F790000}"/>
    <cellStyle name="Normal 768" xfId="33883" xr:uid="{00000000-0005-0000-0000-000020790000}"/>
    <cellStyle name="Normal 769" xfId="33884" xr:uid="{00000000-0005-0000-0000-000021790000}"/>
    <cellStyle name="Normal 77" xfId="22447" xr:uid="{00000000-0005-0000-0000-000022790000}"/>
    <cellStyle name="Normal 77 2" xfId="22448" xr:uid="{00000000-0005-0000-0000-000023790000}"/>
    <cellStyle name="Normal 77 2 2" xfId="39951" xr:uid="{00000000-0005-0000-0000-000024790000}"/>
    <cellStyle name="Normal 77 3" xfId="39952" xr:uid="{00000000-0005-0000-0000-000025790000}"/>
    <cellStyle name="Normal 77 4" xfId="39950" xr:uid="{00000000-0005-0000-0000-000026790000}"/>
    <cellStyle name="Normal 770" xfId="33885" xr:uid="{00000000-0005-0000-0000-000027790000}"/>
    <cellStyle name="Normal 771" xfId="33886" xr:uid="{00000000-0005-0000-0000-000028790000}"/>
    <cellStyle name="Normal 772" xfId="33887" xr:uid="{00000000-0005-0000-0000-000029790000}"/>
    <cellStyle name="Normal 773" xfId="33888" xr:uid="{00000000-0005-0000-0000-00002A790000}"/>
    <cellStyle name="Normal 774" xfId="33889" xr:uid="{00000000-0005-0000-0000-00002B790000}"/>
    <cellStyle name="Normal 775" xfId="33890" xr:uid="{00000000-0005-0000-0000-00002C790000}"/>
    <cellStyle name="Normal 776" xfId="33891" xr:uid="{00000000-0005-0000-0000-00002D790000}"/>
    <cellStyle name="Normal 777" xfId="33892" xr:uid="{00000000-0005-0000-0000-00002E790000}"/>
    <cellStyle name="Normal 778" xfId="33893" xr:uid="{00000000-0005-0000-0000-00002F790000}"/>
    <cellStyle name="Normal 779" xfId="33894" xr:uid="{00000000-0005-0000-0000-000030790000}"/>
    <cellStyle name="Normal 78" xfId="22449" xr:uid="{00000000-0005-0000-0000-000031790000}"/>
    <cellStyle name="Normal 78 2" xfId="22450" xr:uid="{00000000-0005-0000-0000-000032790000}"/>
    <cellStyle name="Normal 78 2 2" xfId="39954" xr:uid="{00000000-0005-0000-0000-000033790000}"/>
    <cellStyle name="Normal 78 3" xfId="39955" xr:uid="{00000000-0005-0000-0000-000034790000}"/>
    <cellStyle name="Normal 78 4" xfId="39953" xr:uid="{00000000-0005-0000-0000-000035790000}"/>
    <cellStyle name="Normal 780" xfId="33895" xr:uid="{00000000-0005-0000-0000-000036790000}"/>
    <cellStyle name="Normal 781" xfId="33896" xr:uid="{00000000-0005-0000-0000-000037790000}"/>
    <cellStyle name="Normal 782" xfId="33897" xr:uid="{00000000-0005-0000-0000-000038790000}"/>
    <cellStyle name="Normal 783" xfId="33898" xr:uid="{00000000-0005-0000-0000-000039790000}"/>
    <cellStyle name="Normal 784" xfId="33899" xr:uid="{00000000-0005-0000-0000-00003A790000}"/>
    <cellStyle name="Normal 785" xfId="33900" xr:uid="{00000000-0005-0000-0000-00003B790000}"/>
    <cellStyle name="Normal 786" xfId="33901" xr:uid="{00000000-0005-0000-0000-00003C790000}"/>
    <cellStyle name="Normal 787" xfId="33902" xr:uid="{00000000-0005-0000-0000-00003D790000}"/>
    <cellStyle name="Normal 788" xfId="33903" xr:uid="{00000000-0005-0000-0000-00003E790000}"/>
    <cellStyle name="Normal 789" xfId="33904" xr:uid="{00000000-0005-0000-0000-00003F790000}"/>
    <cellStyle name="Normal 79" xfId="22451" xr:uid="{00000000-0005-0000-0000-000040790000}"/>
    <cellStyle name="Normal 79 2" xfId="22452" xr:uid="{00000000-0005-0000-0000-000041790000}"/>
    <cellStyle name="Normal 79 2 2" xfId="39957" xr:uid="{00000000-0005-0000-0000-000042790000}"/>
    <cellStyle name="Normal 79 3" xfId="39958" xr:uid="{00000000-0005-0000-0000-000043790000}"/>
    <cellStyle name="Normal 79 4" xfId="39956" xr:uid="{00000000-0005-0000-0000-000044790000}"/>
    <cellStyle name="Normal 790" xfId="33905" xr:uid="{00000000-0005-0000-0000-000045790000}"/>
    <cellStyle name="Normal 791" xfId="33906" xr:uid="{00000000-0005-0000-0000-000046790000}"/>
    <cellStyle name="Normal 792" xfId="33907" xr:uid="{00000000-0005-0000-0000-000047790000}"/>
    <cellStyle name="Normal 793" xfId="33908" xr:uid="{00000000-0005-0000-0000-000048790000}"/>
    <cellStyle name="Normal 794" xfId="33909" xr:uid="{00000000-0005-0000-0000-000049790000}"/>
    <cellStyle name="Normal 795" xfId="33910" xr:uid="{00000000-0005-0000-0000-00004A790000}"/>
    <cellStyle name="Normal 796" xfId="33911" xr:uid="{00000000-0005-0000-0000-00004B790000}"/>
    <cellStyle name="Normal 797" xfId="33949" xr:uid="{00000000-0005-0000-0000-00004C790000}"/>
    <cellStyle name="Normal 798" xfId="40352" xr:uid="{00000000-0005-0000-0000-00004D790000}"/>
    <cellStyle name="Normal 799" xfId="40354" xr:uid="{00000000-0005-0000-0000-00004E790000}"/>
    <cellStyle name="Normal 8" xfId="11035" xr:uid="{00000000-0005-0000-0000-00004F790000}"/>
    <cellStyle name="Normal 8 2" xfId="11036" xr:uid="{00000000-0005-0000-0000-000050790000}"/>
    <cellStyle name="Normal 8 2 2" xfId="22453" xr:uid="{00000000-0005-0000-0000-000051790000}"/>
    <cellStyle name="Normal 8 2 2 2" xfId="22454" xr:uid="{00000000-0005-0000-0000-000052790000}"/>
    <cellStyle name="Normal 8 2 2 3" xfId="22455" xr:uid="{00000000-0005-0000-0000-000053790000}"/>
    <cellStyle name="Normal 8 2 2 4" xfId="22456" xr:uid="{00000000-0005-0000-0000-000054790000}"/>
    <cellStyle name="Normal 8 2 3" xfId="22457" xr:uid="{00000000-0005-0000-0000-000055790000}"/>
    <cellStyle name="Normal 8 2 3 2" xfId="22458" xr:uid="{00000000-0005-0000-0000-000056790000}"/>
    <cellStyle name="Normal 8 2 3 3" xfId="22459" xr:uid="{00000000-0005-0000-0000-000057790000}"/>
    <cellStyle name="Normal 8 2 3 4" xfId="22460" xr:uid="{00000000-0005-0000-0000-000058790000}"/>
    <cellStyle name="Normal 8 2 4" xfId="22461" xr:uid="{00000000-0005-0000-0000-000059790000}"/>
    <cellStyle name="Normal 8 3" xfId="11037" xr:uid="{00000000-0005-0000-0000-00005A790000}"/>
    <cellStyle name="Normal 8 3 10" xfId="22462" xr:uid="{00000000-0005-0000-0000-00005B790000}"/>
    <cellStyle name="Normal 8 3 10 2" xfId="22463" xr:uid="{00000000-0005-0000-0000-00005C790000}"/>
    <cellStyle name="Normal 8 3 10 2 2" xfId="22464" xr:uid="{00000000-0005-0000-0000-00005D790000}"/>
    <cellStyle name="Normal 8 3 10 2 3" xfId="22465" xr:uid="{00000000-0005-0000-0000-00005E790000}"/>
    <cellStyle name="Normal 8 3 10 2 4" xfId="22466" xr:uid="{00000000-0005-0000-0000-00005F790000}"/>
    <cellStyle name="Normal 8 3 10 2 5" xfId="22467" xr:uid="{00000000-0005-0000-0000-000060790000}"/>
    <cellStyle name="Normal 8 3 10 2 6" xfId="22468" xr:uid="{00000000-0005-0000-0000-000061790000}"/>
    <cellStyle name="Normal 8 3 10 2 7" xfId="22469" xr:uid="{00000000-0005-0000-0000-000062790000}"/>
    <cellStyle name="Normal 8 3 10 3" xfId="22470" xr:uid="{00000000-0005-0000-0000-000063790000}"/>
    <cellStyle name="Normal 8 3 10 4" xfId="22471" xr:uid="{00000000-0005-0000-0000-000064790000}"/>
    <cellStyle name="Normal 8 3 10 5" xfId="22472" xr:uid="{00000000-0005-0000-0000-000065790000}"/>
    <cellStyle name="Normal 8 3 10 6" xfId="22473" xr:uid="{00000000-0005-0000-0000-000066790000}"/>
    <cellStyle name="Normal 8 3 10 7" xfId="22474" xr:uid="{00000000-0005-0000-0000-000067790000}"/>
    <cellStyle name="Normal 8 3 10 8" xfId="22475" xr:uid="{00000000-0005-0000-0000-000068790000}"/>
    <cellStyle name="Normal 8 3 11" xfId="22476" xr:uid="{00000000-0005-0000-0000-000069790000}"/>
    <cellStyle name="Normal 8 3 11 2" xfId="22477" xr:uid="{00000000-0005-0000-0000-00006A790000}"/>
    <cellStyle name="Normal 8 3 11 2 2" xfId="22478" xr:uid="{00000000-0005-0000-0000-00006B790000}"/>
    <cellStyle name="Normal 8 3 11 2 3" xfId="22479" xr:uid="{00000000-0005-0000-0000-00006C790000}"/>
    <cellStyle name="Normal 8 3 11 2 4" xfId="22480" xr:uid="{00000000-0005-0000-0000-00006D790000}"/>
    <cellStyle name="Normal 8 3 11 2 5" xfId="22481" xr:uid="{00000000-0005-0000-0000-00006E790000}"/>
    <cellStyle name="Normal 8 3 11 2 6" xfId="22482" xr:uid="{00000000-0005-0000-0000-00006F790000}"/>
    <cellStyle name="Normal 8 3 11 2 7" xfId="22483" xr:uid="{00000000-0005-0000-0000-000070790000}"/>
    <cellStyle name="Normal 8 3 11 3" xfId="22484" xr:uid="{00000000-0005-0000-0000-000071790000}"/>
    <cellStyle name="Normal 8 3 11 4" xfId="22485" xr:uid="{00000000-0005-0000-0000-000072790000}"/>
    <cellStyle name="Normal 8 3 11 5" xfId="22486" xr:uid="{00000000-0005-0000-0000-000073790000}"/>
    <cellStyle name="Normal 8 3 11 6" xfId="22487" xr:uid="{00000000-0005-0000-0000-000074790000}"/>
    <cellStyle name="Normal 8 3 11 7" xfId="22488" xr:uid="{00000000-0005-0000-0000-000075790000}"/>
    <cellStyle name="Normal 8 3 11 8" xfId="22489" xr:uid="{00000000-0005-0000-0000-000076790000}"/>
    <cellStyle name="Normal 8 3 12" xfId="22490" xr:uid="{00000000-0005-0000-0000-000077790000}"/>
    <cellStyle name="Normal 8 3 12 2" xfId="22491" xr:uid="{00000000-0005-0000-0000-000078790000}"/>
    <cellStyle name="Normal 8 3 12 2 2" xfId="22492" xr:uid="{00000000-0005-0000-0000-000079790000}"/>
    <cellStyle name="Normal 8 3 12 2 3" xfId="22493" xr:uid="{00000000-0005-0000-0000-00007A790000}"/>
    <cellStyle name="Normal 8 3 12 2 4" xfId="22494" xr:uid="{00000000-0005-0000-0000-00007B790000}"/>
    <cellStyle name="Normal 8 3 12 2 5" xfId="22495" xr:uid="{00000000-0005-0000-0000-00007C790000}"/>
    <cellStyle name="Normal 8 3 12 2 6" xfId="22496" xr:uid="{00000000-0005-0000-0000-00007D790000}"/>
    <cellStyle name="Normal 8 3 12 2 7" xfId="22497" xr:uid="{00000000-0005-0000-0000-00007E790000}"/>
    <cellStyle name="Normal 8 3 12 3" xfId="22498" xr:uid="{00000000-0005-0000-0000-00007F790000}"/>
    <cellStyle name="Normal 8 3 12 4" xfId="22499" xr:uid="{00000000-0005-0000-0000-000080790000}"/>
    <cellStyle name="Normal 8 3 12 5" xfId="22500" xr:uid="{00000000-0005-0000-0000-000081790000}"/>
    <cellStyle name="Normal 8 3 12 6" xfId="22501" xr:uid="{00000000-0005-0000-0000-000082790000}"/>
    <cellStyle name="Normal 8 3 12 7" xfId="22502" xr:uid="{00000000-0005-0000-0000-000083790000}"/>
    <cellStyle name="Normal 8 3 12 8" xfId="22503" xr:uid="{00000000-0005-0000-0000-000084790000}"/>
    <cellStyle name="Normal 8 3 13" xfId="22504" xr:uid="{00000000-0005-0000-0000-000085790000}"/>
    <cellStyle name="Normal 8 3 13 2" xfId="22505" xr:uid="{00000000-0005-0000-0000-000086790000}"/>
    <cellStyle name="Normal 8 3 13 2 2" xfId="22506" xr:uid="{00000000-0005-0000-0000-000087790000}"/>
    <cellStyle name="Normal 8 3 13 2 3" xfId="22507" xr:uid="{00000000-0005-0000-0000-000088790000}"/>
    <cellStyle name="Normal 8 3 13 2 4" xfId="22508" xr:uid="{00000000-0005-0000-0000-000089790000}"/>
    <cellStyle name="Normal 8 3 13 2 5" xfId="22509" xr:uid="{00000000-0005-0000-0000-00008A790000}"/>
    <cellStyle name="Normal 8 3 13 2 6" xfId="22510" xr:uid="{00000000-0005-0000-0000-00008B790000}"/>
    <cellStyle name="Normal 8 3 13 2 7" xfId="22511" xr:uid="{00000000-0005-0000-0000-00008C790000}"/>
    <cellStyle name="Normal 8 3 13 3" xfId="22512" xr:uid="{00000000-0005-0000-0000-00008D790000}"/>
    <cellStyle name="Normal 8 3 13 4" xfId="22513" xr:uid="{00000000-0005-0000-0000-00008E790000}"/>
    <cellStyle name="Normal 8 3 13 5" xfId="22514" xr:uid="{00000000-0005-0000-0000-00008F790000}"/>
    <cellStyle name="Normal 8 3 13 6" xfId="22515" xr:uid="{00000000-0005-0000-0000-000090790000}"/>
    <cellStyle name="Normal 8 3 13 7" xfId="22516" xr:uid="{00000000-0005-0000-0000-000091790000}"/>
    <cellStyle name="Normal 8 3 13 8" xfId="22517" xr:uid="{00000000-0005-0000-0000-000092790000}"/>
    <cellStyle name="Normal 8 3 14" xfId="22518" xr:uid="{00000000-0005-0000-0000-000093790000}"/>
    <cellStyle name="Normal 8 3 14 2" xfId="22519" xr:uid="{00000000-0005-0000-0000-000094790000}"/>
    <cellStyle name="Normal 8 3 14 2 2" xfId="22520" xr:uid="{00000000-0005-0000-0000-000095790000}"/>
    <cellStyle name="Normal 8 3 14 2 3" xfId="22521" xr:uid="{00000000-0005-0000-0000-000096790000}"/>
    <cellStyle name="Normal 8 3 14 2 4" xfId="22522" xr:uid="{00000000-0005-0000-0000-000097790000}"/>
    <cellStyle name="Normal 8 3 14 2 5" xfId="22523" xr:uid="{00000000-0005-0000-0000-000098790000}"/>
    <cellStyle name="Normal 8 3 14 2 6" xfId="22524" xr:uid="{00000000-0005-0000-0000-000099790000}"/>
    <cellStyle name="Normal 8 3 14 2 7" xfId="22525" xr:uid="{00000000-0005-0000-0000-00009A790000}"/>
    <cellStyle name="Normal 8 3 14 3" xfId="22526" xr:uid="{00000000-0005-0000-0000-00009B790000}"/>
    <cellStyle name="Normal 8 3 14 4" xfId="22527" xr:uid="{00000000-0005-0000-0000-00009C790000}"/>
    <cellStyle name="Normal 8 3 14 5" xfId="22528" xr:uid="{00000000-0005-0000-0000-00009D790000}"/>
    <cellStyle name="Normal 8 3 14 6" xfId="22529" xr:uid="{00000000-0005-0000-0000-00009E790000}"/>
    <cellStyle name="Normal 8 3 14 7" xfId="22530" xr:uid="{00000000-0005-0000-0000-00009F790000}"/>
    <cellStyle name="Normal 8 3 14 8" xfId="22531" xr:uid="{00000000-0005-0000-0000-0000A0790000}"/>
    <cellStyle name="Normal 8 3 15" xfId="22532" xr:uid="{00000000-0005-0000-0000-0000A1790000}"/>
    <cellStyle name="Normal 8 3 15 2" xfId="22533" xr:uid="{00000000-0005-0000-0000-0000A2790000}"/>
    <cellStyle name="Normal 8 3 15 2 2" xfId="22534" xr:uid="{00000000-0005-0000-0000-0000A3790000}"/>
    <cellStyle name="Normal 8 3 15 2 3" xfId="22535" xr:uid="{00000000-0005-0000-0000-0000A4790000}"/>
    <cellStyle name="Normal 8 3 15 2 4" xfId="22536" xr:uid="{00000000-0005-0000-0000-0000A5790000}"/>
    <cellStyle name="Normal 8 3 15 2 5" xfId="22537" xr:uid="{00000000-0005-0000-0000-0000A6790000}"/>
    <cellStyle name="Normal 8 3 15 2 6" xfId="22538" xr:uid="{00000000-0005-0000-0000-0000A7790000}"/>
    <cellStyle name="Normal 8 3 15 2 7" xfId="22539" xr:uid="{00000000-0005-0000-0000-0000A8790000}"/>
    <cellStyle name="Normal 8 3 15 3" xfId="22540" xr:uid="{00000000-0005-0000-0000-0000A9790000}"/>
    <cellStyle name="Normal 8 3 15 4" xfId="22541" xr:uid="{00000000-0005-0000-0000-0000AA790000}"/>
    <cellStyle name="Normal 8 3 15 5" xfId="22542" xr:uid="{00000000-0005-0000-0000-0000AB790000}"/>
    <cellStyle name="Normal 8 3 15 6" xfId="22543" xr:uid="{00000000-0005-0000-0000-0000AC790000}"/>
    <cellStyle name="Normal 8 3 15 7" xfId="22544" xr:uid="{00000000-0005-0000-0000-0000AD790000}"/>
    <cellStyle name="Normal 8 3 15 8" xfId="22545" xr:uid="{00000000-0005-0000-0000-0000AE790000}"/>
    <cellStyle name="Normal 8 3 16" xfId="22546" xr:uid="{00000000-0005-0000-0000-0000AF790000}"/>
    <cellStyle name="Normal 8 3 16 2" xfId="22547" xr:uid="{00000000-0005-0000-0000-0000B0790000}"/>
    <cellStyle name="Normal 8 3 16 3" xfId="22548" xr:uid="{00000000-0005-0000-0000-0000B1790000}"/>
    <cellStyle name="Normal 8 3 16 4" xfId="22549" xr:uid="{00000000-0005-0000-0000-0000B2790000}"/>
    <cellStyle name="Normal 8 3 16 5" xfId="22550" xr:uid="{00000000-0005-0000-0000-0000B3790000}"/>
    <cellStyle name="Normal 8 3 16 6" xfId="22551" xr:uid="{00000000-0005-0000-0000-0000B4790000}"/>
    <cellStyle name="Normal 8 3 16 7" xfId="22552" xr:uid="{00000000-0005-0000-0000-0000B5790000}"/>
    <cellStyle name="Normal 8 3 17" xfId="22553" xr:uid="{00000000-0005-0000-0000-0000B6790000}"/>
    <cellStyle name="Normal 8 3 17 2" xfId="22554" xr:uid="{00000000-0005-0000-0000-0000B7790000}"/>
    <cellStyle name="Normal 8 3 17 3" xfId="22555" xr:uid="{00000000-0005-0000-0000-0000B8790000}"/>
    <cellStyle name="Normal 8 3 17 4" xfId="22556" xr:uid="{00000000-0005-0000-0000-0000B9790000}"/>
    <cellStyle name="Normal 8 3 17 5" xfId="22557" xr:uid="{00000000-0005-0000-0000-0000BA790000}"/>
    <cellStyle name="Normal 8 3 17 6" xfId="22558" xr:uid="{00000000-0005-0000-0000-0000BB790000}"/>
    <cellStyle name="Normal 8 3 17 7" xfId="22559" xr:uid="{00000000-0005-0000-0000-0000BC790000}"/>
    <cellStyle name="Normal 8 3 18" xfId="22560" xr:uid="{00000000-0005-0000-0000-0000BD790000}"/>
    <cellStyle name="Normal 8 3 18 2" xfId="22561" xr:uid="{00000000-0005-0000-0000-0000BE790000}"/>
    <cellStyle name="Normal 8 3 18 3" xfId="22562" xr:uid="{00000000-0005-0000-0000-0000BF790000}"/>
    <cellStyle name="Normal 8 3 18 4" xfId="22563" xr:uid="{00000000-0005-0000-0000-0000C0790000}"/>
    <cellStyle name="Normal 8 3 18 5" xfId="22564" xr:uid="{00000000-0005-0000-0000-0000C1790000}"/>
    <cellStyle name="Normal 8 3 18 6" xfId="22565" xr:uid="{00000000-0005-0000-0000-0000C2790000}"/>
    <cellStyle name="Normal 8 3 18 7" xfId="22566" xr:uid="{00000000-0005-0000-0000-0000C3790000}"/>
    <cellStyle name="Normal 8 3 19" xfId="22567" xr:uid="{00000000-0005-0000-0000-0000C4790000}"/>
    <cellStyle name="Normal 8 3 19 2" xfId="22568" xr:uid="{00000000-0005-0000-0000-0000C5790000}"/>
    <cellStyle name="Normal 8 3 19 3" xfId="22569" xr:uid="{00000000-0005-0000-0000-0000C6790000}"/>
    <cellStyle name="Normal 8 3 19 4" xfId="22570" xr:uid="{00000000-0005-0000-0000-0000C7790000}"/>
    <cellStyle name="Normal 8 3 19 5" xfId="22571" xr:uid="{00000000-0005-0000-0000-0000C8790000}"/>
    <cellStyle name="Normal 8 3 19 6" xfId="22572" xr:uid="{00000000-0005-0000-0000-0000C9790000}"/>
    <cellStyle name="Normal 8 3 19 7" xfId="22573" xr:uid="{00000000-0005-0000-0000-0000CA790000}"/>
    <cellStyle name="Normal 8 3 2" xfId="22574" xr:uid="{00000000-0005-0000-0000-0000CB790000}"/>
    <cellStyle name="Normal 8 3 2 2" xfId="22575" xr:uid="{00000000-0005-0000-0000-0000CC790000}"/>
    <cellStyle name="Normal 8 3 2 2 2" xfId="22576" xr:uid="{00000000-0005-0000-0000-0000CD790000}"/>
    <cellStyle name="Normal 8 3 2 2 3" xfId="22577" xr:uid="{00000000-0005-0000-0000-0000CE790000}"/>
    <cellStyle name="Normal 8 3 2 2 4" xfId="22578" xr:uid="{00000000-0005-0000-0000-0000CF790000}"/>
    <cellStyle name="Normal 8 3 2 2 5" xfId="22579" xr:uid="{00000000-0005-0000-0000-0000D0790000}"/>
    <cellStyle name="Normal 8 3 2 2 6" xfId="22580" xr:uid="{00000000-0005-0000-0000-0000D1790000}"/>
    <cellStyle name="Normal 8 3 2 2 7" xfId="22581" xr:uid="{00000000-0005-0000-0000-0000D2790000}"/>
    <cellStyle name="Normal 8 3 2 3" xfId="22582" xr:uid="{00000000-0005-0000-0000-0000D3790000}"/>
    <cellStyle name="Normal 8 3 2 4" xfId="22583" xr:uid="{00000000-0005-0000-0000-0000D4790000}"/>
    <cellStyle name="Normal 8 3 2 5" xfId="22584" xr:uid="{00000000-0005-0000-0000-0000D5790000}"/>
    <cellStyle name="Normal 8 3 2 6" xfId="22585" xr:uid="{00000000-0005-0000-0000-0000D6790000}"/>
    <cellStyle name="Normal 8 3 2 7" xfId="22586" xr:uid="{00000000-0005-0000-0000-0000D7790000}"/>
    <cellStyle name="Normal 8 3 2 8" xfId="22587" xr:uid="{00000000-0005-0000-0000-0000D8790000}"/>
    <cellStyle name="Normal 8 3 20" xfId="22588" xr:uid="{00000000-0005-0000-0000-0000D9790000}"/>
    <cellStyle name="Normal 8 3 20 2" xfId="22589" xr:uid="{00000000-0005-0000-0000-0000DA790000}"/>
    <cellStyle name="Normal 8 3 20 3" xfId="22590" xr:uid="{00000000-0005-0000-0000-0000DB790000}"/>
    <cellStyle name="Normal 8 3 20 4" xfId="22591" xr:uid="{00000000-0005-0000-0000-0000DC790000}"/>
    <cellStyle name="Normal 8 3 20 5" xfId="22592" xr:uid="{00000000-0005-0000-0000-0000DD790000}"/>
    <cellStyle name="Normal 8 3 20 6" xfId="22593" xr:uid="{00000000-0005-0000-0000-0000DE790000}"/>
    <cellStyle name="Normal 8 3 20 7" xfId="22594" xr:uid="{00000000-0005-0000-0000-0000DF790000}"/>
    <cellStyle name="Normal 8 3 21" xfId="22595" xr:uid="{00000000-0005-0000-0000-0000E0790000}"/>
    <cellStyle name="Normal 8 3 21 2" xfId="22596" xr:uid="{00000000-0005-0000-0000-0000E1790000}"/>
    <cellStyle name="Normal 8 3 21 3" xfId="22597" xr:uid="{00000000-0005-0000-0000-0000E2790000}"/>
    <cellStyle name="Normal 8 3 21 4" xfId="22598" xr:uid="{00000000-0005-0000-0000-0000E3790000}"/>
    <cellStyle name="Normal 8 3 21 5" xfId="22599" xr:uid="{00000000-0005-0000-0000-0000E4790000}"/>
    <cellStyle name="Normal 8 3 21 6" xfId="22600" xr:uid="{00000000-0005-0000-0000-0000E5790000}"/>
    <cellStyle name="Normal 8 3 21 7" xfId="22601" xr:uid="{00000000-0005-0000-0000-0000E6790000}"/>
    <cellStyle name="Normal 8 3 22" xfId="22602" xr:uid="{00000000-0005-0000-0000-0000E7790000}"/>
    <cellStyle name="Normal 8 3 22 2" xfId="22603" xr:uid="{00000000-0005-0000-0000-0000E8790000}"/>
    <cellStyle name="Normal 8 3 22 3" xfId="22604" xr:uid="{00000000-0005-0000-0000-0000E9790000}"/>
    <cellStyle name="Normal 8 3 22 4" xfId="22605" xr:uid="{00000000-0005-0000-0000-0000EA790000}"/>
    <cellStyle name="Normal 8 3 22 5" xfId="22606" xr:uid="{00000000-0005-0000-0000-0000EB790000}"/>
    <cellStyle name="Normal 8 3 22 6" xfId="22607" xr:uid="{00000000-0005-0000-0000-0000EC790000}"/>
    <cellStyle name="Normal 8 3 22 7" xfId="22608" xr:uid="{00000000-0005-0000-0000-0000ED790000}"/>
    <cellStyle name="Normal 8 3 23" xfId="22609" xr:uid="{00000000-0005-0000-0000-0000EE790000}"/>
    <cellStyle name="Normal 8 3 23 2" xfId="22610" xr:uid="{00000000-0005-0000-0000-0000EF790000}"/>
    <cellStyle name="Normal 8 3 23 3" xfId="22611" xr:uid="{00000000-0005-0000-0000-0000F0790000}"/>
    <cellStyle name="Normal 8 3 23 4" xfId="22612" xr:uid="{00000000-0005-0000-0000-0000F1790000}"/>
    <cellStyle name="Normal 8 3 23 5" xfId="22613" xr:uid="{00000000-0005-0000-0000-0000F2790000}"/>
    <cellStyle name="Normal 8 3 23 6" xfId="22614" xr:uid="{00000000-0005-0000-0000-0000F3790000}"/>
    <cellStyle name="Normal 8 3 23 7" xfId="22615" xr:uid="{00000000-0005-0000-0000-0000F4790000}"/>
    <cellStyle name="Normal 8 3 24" xfId="22616" xr:uid="{00000000-0005-0000-0000-0000F5790000}"/>
    <cellStyle name="Normal 8 3 24 2" xfId="22617" xr:uid="{00000000-0005-0000-0000-0000F6790000}"/>
    <cellStyle name="Normal 8 3 24 3" xfId="22618" xr:uid="{00000000-0005-0000-0000-0000F7790000}"/>
    <cellStyle name="Normal 8 3 24 4" xfId="22619" xr:uid="{00000000-0005-0000-0000-0000F8790000}"/>
    <cellStyle name="Normal 8 3 24 5" xfId="22620" xr:uid="{00000000-0005-0000-0000-0000F9790000}"/>
    <cellStyle name="Normal 8 3 24 6" xfId="22621" xr:uid="{00000000-0005-0000-0000-0000FA790000}"/>
    <cellStyle name="Normal 8 3 24 7" xfId="22622" xr:uid="{00000000-0005-0000-0000-0000FB790000}"/>
    <cellStyle name="Normal 8 3 25" xfId="22623" xr:uid="{00000000-0005-0000-0000-0000FC790000}"/>
    <cellStyle name="Normal 8 3 25 2" xfId="22624" xr:uid="{00000000-0005-0000-0000-0000FD790000}"/>
    <cellStyle name="Normal 8 3 25 3" xfId="22625" xr:uid="{00000000-0005-0000-0000-0000FE790000}"/>
    <cellStyle name="Normal 8 3 25 4" xfId="22626" xr:uid="{00000000-0005-0000-0000-0000FF790000}"/>
    <cellStyle name="Normal 8 3 25 5" xfId="22627" xr:uid="{00000000-0005-0000-0000-0000007A0000}"/>
    <cellStyle name="Normal 8 3 25 6" xfId="22628" xr:uid="{00000000-0005-0000-0000-0000017A0000}"/>
    <cellStyle name="Normal 8 3 25 7" xfId="22629" xr:uid="{00000000-0005-0000-0000-0000027A0000}"/>
    <cellStyle name="Normal 8 3 26" xfId="22630" xr:uid="{00000000-0005-0000-0000-0000037A0000}"/>
    <cellStyle name="Normal 8 3 26 2" xfId="22631" xr:uid="{00000000-0005-0000-0000-0000047A0000}"/>
    <cellStyle name="Normal 8 3 26 3" xfId="22632" xr:uid="{00000000-0005-0000-0000-0000057A0000}"/>
    <cellStyle name="Normal 8 3 26 4" xfId="22633" xr:uid="{00000000-0005-0000-0000-0000067A0000}"/>
    <cellStyle name="Normal 8 3 26 5" xfId="22634" xr:uid="{00000000-0005-0000-0000-0000077A0000}"/>
    <cellStyle name="Normal 8 3 26 6" xfId="22635" xr:uid="{00000000-0005-0000-0000-0000087A0000}"/>
    <cellStyle name="Normal 8 3 26 7" xfId="22636" xr:uid="{00000000-0005-0000-0000-0000097A0000}"/>
    <cellStyle name="Normal 8 3 27" xfId="22637" xr:uid="{00000000-0005-0000-0000-00000A7A0000}"/>
    <cellStyle name="Normal 8 3 27 2" xfId="22638" xr:uid="{00000000-0005-0000-0000-00000B7A0000}"/>
    <cellStyle name="Normal 8 3 27 3" xfId="22639" xr:uid="{00000000-0005-0000-0000-00000C7A0000}"/>
    <cellStyle name="Normal 8 3 27 4" xfId="22640" xr:uid="{00000000-0005-0000-0000-00000D7A0000}"/>
    <cellStyle name="Normal 8 3 27 5" xfId="22641" xr:uid="{00000000-0005-0000-0000-00000E7A0000}"/>
    <cellStyle name="Normal 8 3 27 6" xfId="22642" xr:uid="{00000000-0005-0000-0000-00000F7A0000}"/>
    <cellStyle name="Normal 8 3 27 7" xfId="22643" xr:uid="{00000000-0005-0000-0000-0000107A0000}"/>
    <cellStyle name="Normal 8 3 28" xfId="22644" xr:uid="{00000000-0005-0000-0000-0000117A0000}"/>
    <cellStyle name="Normal 8 3 28 2" xfId="22645" xr:uid="{00000000-0005-0000-0000-0000127A0000}"/>
    <cellStyle name="Normal 8 3 28 3" xfId="22646" xr:uid="{00000000-0005-0000-0000-0000137A0000}"/>
    <cellStyle name="Normal 8 3 28 4" xfId="22647" xr:uid="{00000000-0005-0000-0000-0000147A0000}"/>
    <cellStyle name="Normal 8 3 28 5" xfId="22648" xr:uid="{00000000-0005-0000-0000-0000157A0000}"/>
    <cellStyle name="Normal 8 3 28 6" xfId="22649" xr:uid="{00000000-0005-0000-0000-0000167A0000}"/>
    <cellStyle name="Normal 8 3 28 7" xfId="22650" xr:uid="{00000000-0005-0000-0000-0000177A0000}"/>
    <cellStyle name="Normal 8 3 29" xfId="22651" xr:uid="{00000000-0005-0000-0000-0000187A0000}"/>
    <cellStyle name="Normal 8 3 29 2" xfId="22652" xr:uid="{00000000-0005-0000-0000-0000197A0000}"/>
    <cellStyle name="Normal 8 3 29 3" xfId="22653" xr:uid="{00000000-0005-0000-0000-00001A7A0000}"/>
    <cellStyle name="Normal 8 3 29 4" xfId="22654" xr:uid="{00000000-0005-0000-0000-00001B7A0000}"/>
    <cellStyle name="Normal 8 3 29 5" xfId="22655" xr:uid="{00000000-0005-0000-0000-00001C7A0000}"/>
    <cellStyle name="Normal 8 3 29 6" xfId="22656" xr:uid="{00000000-0005-0000-0000-00001D7A0000}"/>
    <cellStyle name="Normal 8 3 29 7" xfId="22657" xr:uid="{00000000-0005-0000-0000-00001E7A0000}"/>
    <cellStyle name="Normal 8 3 3" xfId="22658" xr:uid="{00000000-0005-0000-0000-00001F7A0000}"/>
    <cellStyle name="Normal 8 3 3 2" xfId="22659" xr:uid="{00000000-0005-0000-0000-0000207A0000}"/>
    <cellStyle name="Normal 8 3 3 2 2" xfId="22660" xr:uid="{00000000-0005-0000-0000-0000217A0000}"/>
    <cellStyle name="Normal 8 3 3 2 3" xfId="22661" xr:uid="{00000000-0005-0000-0000-0000227A0000}"/>
    <cellStyle name="Normal 8 3 3 2 4" xfId="22662" xr:uid="{00000000-0005-0000-0000-0000237A0000}"/>
    <cellStyle name="Normal 8 3 3 2 5" xfId="22663" xr:uid="{00000000-0005-0000-0000-0000247A0000}"/>
    <cellStyle name="Normal 8 3 3 2 6" xfId="22664" xr:uid="{00000000-0005-0000-0000-0000257A0000}"/>
    <cellStyle name="Normal 8 3 3 2 7" xfId="22665" xr:uid="{00000000-0005-0000-0000-0000267A0000}"/>
    <cellStyle name="Normal 8 3 3 3" xfId="22666" xr:uid="{00000000-0005-0000-0000-0000277A0000}"/>
    <cellStyle name="Normal 8 3 3 4" xfId="22667" xr:uid="{00000000-0005-0000-0000-0000287A0000}"/>
    <cellStyle name="Normal 8 3 3 5" xfId="22668" xr:uid="{00000000-0005-0000-0000-0000297A0000}"/>
    <cellStyle name="Normal 8 3 3 6" xfId="22669" xr:uid="{00000000-0005-0000-0000-00002A7A0000}"/>
    <cellStyle name="Normal 8 3 3 7" xfId="22670" xr:uid="{00000000-0005-0000-0000-00002B7A0000}"/>
    <cellStyle name="Normal 8 3 3 8" xfId="22671" xr:uid="{00000000-0005-0000-0000-00002C7A0000}"/>
    <cellStyle name="Normal 8 3 30" xfId="22672" xr:uid="{00000000-0005-0000-0000-00002D7A0000}"/>
    <cellStyle name="Normal 8 3 30 2" xfId="22673" xr:uid="{00000000-0005-0000-0000-00002E7A0000}"/>
    <cellStyle name="Normal 8 3 30 3" xfId="22674" xr:uid="{00000000-0005-0000-0000-00002F7A0000}"/>
    <cellStyle name="Normal 8 3 30 4" xfId="22675" xr:uid="{00000000-0005-0000-0000-0000307A0000}"/>
    <cellStyle name="Normal 8 3 30 5" xfId="22676" xr:uid="{00000000-0005-0000-0000-0000317A0000}"/>
    <cellStyle name="Normal 8 3 30 6" xfId="22677" xr:uid="{00000000-0005-0000-0000-0000327A0000}"/>
    <cellStyle name="Normal 8 3 30 7" xfId="22678" xr:uid="{00000000-0005-0000-0000-0000337A0000}"/>
    <cellStyle name="Normal 8 3 31" xfId="22679" xr:uid="{00000000-0005-0000-0000-0000347A0000}"/>
    <cellStyle name="Normal 8 3 31 2" xfId="22680" xr:uid="{00000000-0005-0000-0000-0000357A0000}"/>
    <cellStyle name="Normal 8 3 31 3" xfId="22681" xr:uid="{00000000-0005-0000-0000-0000367A0000}"/>
    <cellStyle name="Normal 8 3 31 4" xfId="22682" xr:uid="{00000000-0005-0000-0000-0000377A0000}"/>
    <cellStyle name="Normal 8 3 31 5" xfId="22683" xr:uid="{00000000-0005-0000-0000-0000387A0000}"/>
    <cellStyle name="Normal 8 3 31 6" xfId="22684" xr:uid="{00000000-0005-0000-0000-0000397A0000}"/>
    <cellStyle name="Normal 8 3 31 7" xfId="22685" xr:uid="{00000000-0005-0000-0000-00003A7A0000}"/>
    <cellStyle name="Normal 8 3 32" xfId="22686" xr:uid="{00000000-0005-0000-0000-00003B7A0000}"/>
    <cellStyle name="Normal 8 3 32 2" xfId="22687" xr:uid="{00000000-0005-0000-0000-00003C7A0000}"/>
    <cellStyle name="Normal 8 3 32 3" xfId="22688" xr:uid="{00000000-0005-0000-0000-00003D7A0000}"/>
    <cellStyle name="Normal 8 3 32 4" xfId="22689" xr:uid="{00000000-0005-0000-0000-00003E7A0000}"/>
    <cellStyle name="Normal 8 3 32 5" xfId="22690" xr:uid="{00000000-0005-0000-0000-00003F7A0000}"/>
    <cellStyle name="Normal 8 3 32 6" xfId="22691" xr:uid="{00000000-0005-0000-0000-0000407A0000}"/>
    <cellStyle name="Normal 8 3 32 7" xfId="22692" xr:uid="{00000000-0005-0000-0000-0000417A0000}"/>
    <cellStyle name="Normal 8 3 33" xfId="22693" xr:uid="{00000000-0005-0000-0000-0000427A0000}"/>
    <cellStyle name="Normal 8 3 33 2" xfId="22694" xr:uid="{00000000-0005-0000-0000-0000437A0000}"/>
    <cellStyle name="Normal 8 3 33 3" xfId="22695" xr:uid="{00000000-0005-0000-0000-0000447A0000}"/>
    <cellStyle name="Normal 8 3 33 4" xfId="22696" xr:uid="{00000000-0005-0000-0000-0000457A0000}"/>
    <cellStyle name="Normal 8 3 33 5" xfId="22697" xr:uid="{00000000-0005-0000-0000-0000467A0000}"/>
    <cellStyle name="Normal 8 3 33 6" xfId="22698" xr:uid="{00000000-0005-0000-0000-0000477A0000}"/>
    <cellStyle name="Normal 8 3 33 7" xfId="22699" xr:uid="{00000000-0005-0000-0000-0000487A0000}"/>
    <cellStyle name="Normal 8 3 34" xfId="22700" xr:uid="{00000000-0005-0000-0000-0000497A0000}"/>
    <cellStyle name="Normal 8 3 34 2" xfId="22701" xr:uid="{00000000-0005-0000-0000-00004A7A0000}"/>
    <cellStyle name="Normal 8 3 34 3" xfId="22702" xr:uid="{00000000-0005-0000-0000-00004B7A0000}"/>
    <cellStyle name="Normal 8 3 34 4" xfId="22703" xr:uid="{00000000-0005-0000-0000-00004C7A0000}"/>
    <cellStyle name="Normal 8 3 34 5" xfId="22704" xr:uid="{00000000-0005-0000-0000-00004D7A0000}"/>
    <cellStyle name="Normal 8 3 34 6" xfId="22705" xr:uid="{00000000-0005-0000-0000-00004E7A0000}"/>
    <cellStyle name="Normal 8 3 34 7" xfId="22706" xr:uid="{00000000-0005-0000-0000-00004F7A0000}"/>
    <cellStyle name="Normal 8 3 35" xfId="22707" xr:uid="{00000000-0005-0000-0000-0000507A0000}"/>
    <cellStyle name="Normal 8 3 35 2" xfId="22708" xr:uid="{00000000-0005-0000-0000-0000517A0000}"/>
    <cellStyle name="Normal 8 3 35 3" xfId="22709" xr:uid="{00000000-0005-0000-0000-0000527A0000}"/>
    <cellStyle name="Normal 8 3 35 4" xfId="22710" xr:uid="{00000000-0005-0000-0000-0000537A0000}"/>
    <cellStyle name="Normal 8 3 35 5" xfId="22711" xr:uid="{00000000-0005-0000-0000-0000547A0000}"/>
    <cellStyle name="Normal 8 3 35 6" xfId="22712" xr:uid="{00000000-0005-0000-0000-0000557A0000}"/>
    <cellStyle name="Normal 8 3 35 7" xfId="22713" xr:uid="{00000000-0005-0000-0000-0000567A0000}"/>
    <cellStyle name="Normal 8 3 36" xfId="22714" xr:uid="{00000000-0005-0000-0000-0000577A0000}"/>
    <cellStyle name="Normal 8 3 37" xfId="22715" xr:uid="{00000000-0005-0000-0000-0000587A0000}"/>
    <cellStyle name="Normal 8 3 38" xfId="22716" xr:uid="{00000000-0005-0000-0000-0000597A0000}"/>
    <cellStyle name="Normal 8 3 39" xfId="22717" xr:uid="{00000000-0005-0000-0000-00005A7A0000}"/>
    <cellStyle name="Normal 8 3 4" xfId="22718" xr:uid="{00000000-0005-0000-0000-00005B7A0000}"/>
    <cellStyle name="Normal 8 3 4 2" xfId="22719" xr:uid="{00000000-0005-0000-0000-00005C7A0000}"/>
    <cellStyle name="Normal 8 3 4 2 2" xfId="22720" xr:uid="{00000000-0005-0000-0000-00005D7A0000}"/>
    <cellStyle name="Normal 8 3 4 2 3" xfId="22721" xr:uid="{00000000-0005-0000-0000-00005E7A0000}"/>
    <cellStyle name="Normal 8 3 4 2 4" xfId="22722" xr:uid="{00000000-0005-0000-0000-00005F7A0000}"/>
    <cellStyle name="Normal 8 3 4 2 5" xfId="22723" xr:uid="{00000000-0005-0000-0000-0000607A0000}"/>
    <cellStyle name="Normal 8 3 4 2 6" xfId="22724" xr:uid="{00000000-0005-0000-0000-0000617A0000}"/>
    <cellStyle name="Normal 8 3 4 2 7" xfId="22725" xr:uid="{00000000-0005-0000-0000-0000627A0000}"/>
    <cellStyle name="Normal 8 3 4 3" xfId="22726" xr:uid="{00000000-0005-0000-0000-0000637A0000}"/>
    <cellStyle name="Normal 8 3 4 4" xfId="22727" xr:uid="{00000000-0005-0000-0000-0000647A0000}"/>
    <cellStyle name="Normal 8 3 4 5" xfId="22728" xr:uid="{00000000-0005-0000-0000-0000657A0000}"/>
    <cellStyle name="Normal 8 3 4 6" xfId="22729" xr:uid="{00000000-0005-0000-0000-0000667A0000}"/>
    <cellStyle name="Normal 8 3 4 7" xfId="22730" xr:uid="{00000000-0005-0000-0000-0000677A0000}"/>
    <cellStyle name="Normal 8 3 4 8" xfId="22731" xr:uid="{00000000-0005-0000-0000-0000687A0000}"/>
    <cellStyle name="Normal 8 3 40" xfId="22732" xr:uid="{00000000-0005-0000-0000-0000697A0000}"/>
    <cellStyle name="Normal 8 3 41" xfId="22733" xr:uid="{00000000-0005-0000-0000-00006A7A0000}"/>
    <cellStyle name="Normal 8 3 5" xfId="22734" xr:uid="{00000000-0005-0000-0000-00006B7A0000}"/>
    <cellStyle name="Normal 8 3 5 2" xfId="22735" xr:uid="{00000000-0005-0000-0000-00006C7A0000}"/>
    <cellStyle name="Normal 8 3 5 2 2" xfId="22736" xr:uid="{00000000-0005-0000-0000-00006D7A0000}"/>
    <cellStyle name="Normal 8 3 5 2 3" xfId="22737" xr:uid="{00000000-0005-0000-0000-00006E7A0000}"/>
    <cellStyle name="Normal 8 3 5 2 4" xfId="22738" xr:uid="{00000000-0005-0000-0000-00006F7A0000}"/>
    <cellStyle name="Normal 8 3 5 2 5" xfId="22739" xr:uid="{00000000-0005-0000-0000-0000707A0000}"/>
    <cellStyle name="Normal 8 3 5 2 6" xfId="22740" xr:uid="{00000000-0005-0000-0000-0000717A0000}"/>
    <cellStyle name="Normal 8 3 5 2 7" xfId="22741" xr:uid="{00000000-0005-0000-0000-0000727A0000}"/>
    <cellStyle name="Normal 8 3 5 3" xfId="22742" xr:uid="{00000000-0005-0000-0000-0000737A0000}"/>
    <cellStyle name="Normal 8 3 5 4" xfId="22743" xr:uid="{00000000-0005-0000-0000-0000747A0000}"/>
    <cellStyle name="Normal 8 3 5 5" xfId="22744" xr:uid="{00000000-0005-0000-0000-0000757A0000}"/>
    <cellStyle name="Normal 8 3 5 6" xfId="22745" xr:uid="{00000000-0005-0000-0000-0000767A0000}"/>
    <cellStyle name="Normal 8 3 5 7" xfId="22746" xr:uid="{00000000-0005-0000-0000-0000777A0000}"/>
    <cellStyle name="Normal 8 3 5 8" xfId="22747" xr:uid="{00000000-0005-0000-0000-0000787A0000}"/>
    <cellStyle name="Normal 8 3 6" xfId="22748" xr:uid="{00000000-0005-0000-0000-0000797A0000}"/>
    <cellStyle name="Normal 8 3 6 2" xfId="22749" xr:uid="{00000000-0005-0000-0000-00007A7A0000}"/>
    <cellStyle name="Normal 8 3 6 2 2" xfId="22750" xr:uid="{00000000-0005-0000-0000-00007B7A0000}"/>
    <cellStyle name="Normal 8 3 6 2 3" xfId="22751" xr:uid="{00000000-0005-0000-0000-00007C7A0000}"/>
    <cellStyle name="Normal 8 3 6 2 4" xfId="22752" xr:uid="{00000000-0005-0000-0000-00007D7A0000}"/>
    <cellStyle name="Normal 8 3 6 2 5" xfId="22753" xr:uid="{00000000-0005-0000-0000-00007E7A0000}"/>
    <cellStyle name="Normal 8 3 6 2 6" xfId="22754" xr:uid="{00000000-0005-0000-0000-00007F7A0000}"/>
    <cellStyle name="Normal 8 3 6 2 7" xfId="22755" xr:uid="{00000000-0005-0000-0000-0000807A0000}"/>
    <cellStyle name="Normal 8 3 6 3" xfId="22756" xr:uid="{00000000-0005-0000-0000-0000817A0000}"/>
    <cellStyle name="Normal 8 3 6 4" xfId="22757" xr:uid="{00000000-0005-0000-0000-0000827A0000}"/>
    <cellStyle name="Normal 8 3 6 5" xfId="22758" xr:uid="{00000000-0005-0000-0000-0000837A0000}"/>
    <cellStyle name="Normal 8 3 6 6" xfId="22759" xr:uid="{00000000-0005-0000-0000-0000847A0000}"/>
    <cellStyle name="Normal 8 3 6 7" xfId="22760" xr:uid="{00000000-0005-0000-0000-0000857A0000}"/>
    <cellStyle name="Normal 8 3 6 8" xfId="22761" xr:uid="{00000000-0005-0000-0000-0000867A0000}"/>
    <cellStyle name="Normal 8 3 7" xfId="22762" xr:uid="{00000000-0005-0000-0000-0000877A0000}"/>
    <cellStyle name="Normal 8 3 7 2" xfId="22763" xr:uid="{00000000-0005-0000-0000-0000887A0000}"/>
    <cellStyle name="Normal 8 3 7 2 2" xfId="22764" xr:uid="{00000000-0005-0000-0000-0000897A0000}"/>
    <cellStyle name="Normal 8 3 7 2 3" xfId="22765" xr:uid="{00000000-0005-0000-0000-00008A7A0000}"/>
    <cellStyle name="Normal 8 3 7 2 4" xfId="22766" xr:uid="{00000000-0005-0000-0000-00008B7A0000}"/>
    <cellStyle name="Normal 8 3 7 2 5" xfId="22767" xr:uid="{00000000-0005-0000-0000-00008C7A0000}"/>
    <cellStyle name="Normal 8 3 7 2 6" xfId="22768" xr:uid="{00000000-0005-0000-0000-00008D7A0000}"/>
    <cellStyle name="Normal 8 3 7 2 7" xfId="22769" xr:uid="{00000000-0005-0000-0000-00008E7A0000}"/>
    <cellStyle name="Normal 8 3 7 3" xfId="22770" xr:uid="{00000000-0005-0000-0000-00008F7A0000}"/>
    <cellStyle name="Normal 8 3 7 4" xfId="22771" xr:uid="{00000000-0005-0000-0000-0000907A0000}"/>
    <cellStyle name="Normal 8 3 7 5" xfId="22772" xr:uid="{00000000-0005-0000-0000-0000917A0000}"/>
    <cellStyle name="Normal 8 3 7 6" xfId="22773" xr:uid="{00000000-0005-0000-0000-0000927A0000}"/>
    <cellStyle name="Normal 8 3 7 7" xfId="22774" xr:uid="{00000000-0005-0000-0000-0000937A0000}"/>
    <cellStyle name="Normal 8 3 7 8" xfId="22775" xr:uid="{00000000-0005-0000-0000-0000947A0000}"/>
    <cellStyle name="Normal 8 3 8" xfId="22776" xr:uid="{00000000-0005-0000-0000-0000957A0000}"/>
    <cellStyle name="Normal 8 3 8 2" xfId="22777" xr:uid="{00000000-0005-0000-0000-0000967A0000}"/>
    <cellStyle name="Normal 8 3 8 2 2" xfId="22778" xr:uid="{00000000-0005-0000-0000-0000977A0000}"/>
    <cellStyle name="Normal 8 3 8 2 3" xfId="22779" xr:uid="{00000000-0005-0000-0000-0000987A0000}"/>
    <cellStyle name="Normal 8 3 8 2 4" xfId="22780" xr:uid="{00000000-0005-0000-0000-0000997A0000}"/>
    <cellStyle name="Normal 8 3 8 2 5" xfId="22781" xr:uid="{00000000-0005-0000-0000-00009A7A0000}"/>
    <cellStyle name="Normal 8 3 8 2 6" xfId="22782" xr:uid="{00000000-0005-0000-0000-00009B7A0000}"/>
    <cellStyle name="Normal 8 3 8 2 7" xfId="22783" xr:uid="{00000000-0005-0000-0000-00009C7A0000}"/>
    <cellStyle name="Normal 8 3 8 3" xfId="22784" xr:uid="{00000000-0005-0000-0000-00009D7A0000}"/>
    <cellStyle name="Normal 8 3 8 4" xfId="22785" xr:uid="{00000000-0005-0000-0000-00009E7A0000}"/>
    <cellStyle name="Normal 8 3 8 5" xfId="22786" xr:uid="{00000000-0005-0000-0000-00009F7A0000}"/>
    <cellStyle name="Normal 8 3 8 6" xfId="22787" xr:uid="{00000000-0005-0000-0000-0000A07A0000}"/>
    <cellStyle name="Normal 8 3 8 7" xfId="22788" xr:uid="{00000000-0005-0000-0000-0000A17A0000}"/>
    <cellStyle name="Normal 8 3 8 8" xfId="22789" xr:uid="{00000000-0005-0000-0000-0000A27A0000}"/>
    <cellStyle name="Normal 8 3 9" xfId="22790" xr:uid="{00000000-0005-0000-0000-0000A37A0000}"/>
    <cellStyle name="Normal 8 3 9 2" xfId="22791" xr:uid="{00000000-0005-0000-0000-0000A47A0000}"/>
    <cellStyle name="Normal 8 3 9 2 2" xfId="22792" xr:uid="{00000000-0005-0000-0000-0000A57A0000}"/>
    <cellStyle name="Normal 8 3 9 2 3" xfId="22793" xr:uid="{00000000-0005-0000-0000-0000A67A0000}"/>
    <cellStyle name="Normal 8 3 9 2 4" xfId="22794" xr:uid="{00000000-0005-0000-0000-0000A77A0000}"/>
    <cellStyle name="Normal 8 3 9 2 5" xfId="22795" xr:uid="{00000000-0005-0000-0000-0000A87A0000}"/>
    <cellStyle name="Normal 8 3 9 2 6" xfId="22796" xr:uid="{00000000-0005-0000-0000-0000A97A0000}"/>
    <cellStyle name="Normal 8 3 9 2 7" xfId="22797" xr:uid="{00000000-0005-0000-0000-0000AA7A0000}"/>
    <cellStyle name="Normal 8 3 9 3" xfId="22798" xr:uid="{00000000-0005-0000-0000-0000AB7A0000}"/>
    <cellStyle name="Normal 8 3 9 4" xfId="22799" xr:uid="{00000000-0005-0000-0000-0000AC7A0000}"/>
    <cellStyle name="Normal 8 3 9 5" xfId="22800" xr:uid="{00000000-0005-0000-0000-0000AD7A0000}"/>
    <cellStyle name="Normal 8 3 9 6" xfId="22801" xr:uid="{00000000-0005-0000-0000-0000AE7A0000}"/>
    <cellStyle name="Normal 8 3 9 7" xfId="22802" xr:uid="{00000000-0005-0000-0000-0000AF7A0000}"/>
    <cellStyle name="Normal 8 3 9 8" xfId="22803" xr:uid="{00000000-0005-0000-0000-0000B07A0000}"/>
    <cellStyle name="Normal 8 4" xfId="11038" xr:uid="{00000000-0005-0000-0000-0000B17A0000}"/>
    <cellStyle name="Normal 8 4 2" xfId="22804" xr:uid="{00000000-0005-0000-0000-0000B27A0000}"/>
    <cellStyle name="Normal 8 4 2 2" xfId="39959" xr:uid="{00000000-0005-0000-0000-0000B37A0000}"/>
    <cellStyle name="Normal 8 5" xfId="11039" xr:uid="{00000000-0005-0000-0000-0000B47A0000}"/>
    <cellStyle name="Normal 8 5 2" xfId="22805" xr:uid="{00000000-0005-0000-0000-0000B57A0000}"/>
    <cellStyle name="Normal 8 5 2 2" xfId="39960" xr:uid="{00000000-0005-0000-0000-0000B67A0000}"/>
    <cellStyle name="Normal 8 6" xfId="22806" xr:uid="{00000000-0005-0000-0000-0000B77A0000}"/>
    <cellStyle name="Normal 8 7" xfId="22807" xr:uid="{00000000-0005-0000-0000-0000B87A0000}"/>
    <cellStyle name="Normal 80" xfId="22808" xr:uid="{00000000-0005-0000-0000-0000B97A0000}"/>
    <cellStyle name="Normal 80 2" xfId="22809" xr:uid="{00000000-0005-0000-0000-0000BA7A0000}"/>
    <cellStyle name="Normal 80 2 2" xfId="39961" xr:uid="{00000000-0005-0000-0000-0000BB7A0000}"/>
    <cellStyle name="Normal 80 3" xfId="39962" xr:uid="{00000000-0005-0000-0000-0000BC7A0000}"/>
    <cellStyle name="Normal 800" xfId="40953" xr:uid="{00000000-0005-0000-0000-0000BD7A0000}"/>
    <cellStyle name="Normal 801" xfId="40986" xr:uid="{00000000-0005-0000-0000-0000BE7A0000}"/>
    <cellStyle name="Normal 802" xfId="40995" xr:uid="{00000000-0005-0000-0000-0000BF7A0000}"/>
    <cellStyle name="Normal 803" xfId="40996" xr:uid="{00000000-0005-0000-0000-0000C07A0000}"/>
    <cellStyle name="Normal 81" xfId="22810" xr:uid="{00000000-0005-0000-0000-0000C17A0000}"/>
    <cellStyle name="Normal 81 2" xfId="22811" xr:uid="{00000000-0005-0000-0000-0000C27A0000}"/>
    <cellStyle name="Normal 81 2 2" xfId="39963" xr:uid="{00000000-0005-0000-0000-0000C37A0000}"/>
    <cellStyle name="Normal 81 3" xfId="39964" xr:uid="{00000000-0005-0000-0000-0000C47A0000}"/>
    <cellStyle name="Normal 82" xfId="22812" xr:uid="{00000000-0005-0000-0000-0000C57A0000}"/>
    <cellStyle name="Normal 82 2" xfId="22813" xr:uid="{00000000-0005-0000-0000-0000C67A0000}"/>
    <cellStyle name="Normal 82 2 2" xfId="39965" xr:uid="{00000000-0005-0000-0000-0000C77A0000}"/>
    <cellStyle name="Normal 82 3" xfId="39966" xr:uid="{00000000-0005-0000-0000-0000C87A0000}"/>
    <cellStyle name="Normal 83" xfId="22814" xr:uid="{00000000-0005-0000-0000-0000C97A0000}"/>
    <cellStyle name="Normal 83 2" xfId="22815" xr:uid="{00000000-0005-0000-0000-0000CA7A0000}"/>
    <cellStyle name="Normal 83 2 2" xfId="39967" xr:uid="{00000000-0005-0000-0000-0000CB7A0000}"/>
    <cellStyle name="Normal 83 3" xfId="39968" xr:uid="{00000000-0005-0000-0000-0000CC7A0000}"/>
    <cellStyle name="Normal 84" xfId="22816" xr:uid="{00000000-0005-0000-0000-0000CD7A0000}"/>
    <cellStyle name="Normal 85" xfId="22817" xr:uid="{00000000-0005-0000-0000-0000CE7A0000}"/>
    <cellStyle name="Normal 86" xfId="22818" xr:uid="{00000000-0005-0000-0000-0000CF7A0000}"/>
    <cellStyle name="Normal 86 2" xfId="39969" xr:uid="{00000000-0005-0000-0000-0000D07A0000}"/>
    <cellStyle name="Normal 87" xfId="22819" xr:uid="{00000000-0005-0000-0000-0000D17A0000}"/>
    <cellStyle name="Normal 87 2" xfId="39970" xr:uid="{00000000-0005-0000-0000-0000D27A0000}"/>
    <cellStyle name="Normal 88" xfId="22820" xr:uid="{00000000-0005-0000-0000-0000D37A0000}"/>
    <cellStyle name="Normal 88 2" xfId="39971" xr:uid="{00000000-0005-0000-0000-0000D47A0000}"/>
    <cellStyle name="Normal 89" xfId="22821" xr:uid="{00000000-0005-0000-0000-0000D57A0000}"/>
    <cellStyle name="Normal 89 2" xfId="39972" xr:uid="{00000000-0005-0000-0000-0000D67A0000}"/>
    <cellStyle name="Normal 9" xfId="11040" xr:uid="{00000000-0005-0000-0000-0000D77A0000}"/>
    <cellStyle name="Normal 9 10" xfId="11041" xr:uid="{00000000-0005-0000-0000-0000D87A0000}"/>
    <cellStyle name="Normal 9 11" xfId="11042" xr:uid="{00000000-0005-0000-0000-0000D97A0000}"/>
    <cellStyle name="Normal 9 12" xfId="11043" xr:uid="{00000000-0005-0000-0000-0000DA7A0000}"/>
    <cellStyle name="Normal 9 13" xfId="11044" xr:uid="{00000000-0005-0000-0000-0000DB7A0000}"/>
    <cellStyle name="Normal 9 14" xfId="11045" xr:uid="{00000000-0005-0000-0000-0000DC7A0000}"/>
    <cellStyle name="Normal 9 15" xfId="11046" xr:uid="{00000000-0005-0000-0000-0000DD7A0000}"/>
    <cellStyle name="Normal 9 16" xfId="11047" xr:uid="{00000000-0005-0000-0000-0000DE7A0000}"/>
    <cellStyle name="Normal 9 17" xfId="11048" xr:uid="{00000000-0005-0000-0000-0000DF7A0000}"/>
    <cellStyle name="Normal 9 18" xfId="11049" xr:uid="{00000000-0005-0000-0000-0000E07A0000}"/>
    <cellStyle name="Normal 9 19" xfId="11050" xr:uid="{00000000-0005-0000-0000-0000E17A0000}"/>
    <cellStyle name="Normal 9 2" xfId="11051" xr:uid="{00000000-0005-0000-0000-0000E27A0000}"/>
    <cellStyle name="Normal 9 2 10" xfId="22822" xr:uid="{00000000-0005-0000-0000-0000E37A0000}"/>
    <cellStyle name="Normal 9 2 10 2" xfId="22823" xr:uid="{00000000-0005-0000-0000-0000E47A0000}"/>
    <cellStyle name="Normal 9 2 10 2 2" xfId="22824" xr:uid="{00000000-0005-0000-0000-0000E57A0000}"/>
    <cellStyle name="Normal 9 2 10 2 3" xfId="22825" xr:uid="{00000000-0005-0000-0000-0000E67A0000}"/>
    <cellStyle name="Normal 9 2 10 2 4" xfId="22826" xr:uid="{00000000-0005-0000-0000-0000E77A0000}"/>
    <cellStyle name="Normal 9 2 10 2 5" xfId="22827" xr:uid="{00000000-0005-0000-0000-0000E87A0000}"/>
    <cellStyle name="Normal 9 2 10 2 6" xfId="22828" xr:uid="{00000000-0005-0000-0000-0000E97A0000}"/>
    <cellStyle name="Normal 9 2 10 2 7" xfId="22829" xr:uid="{00000000-0005-0000-0000-0000EA7A0000}"/>
    <cellStyle name="Normal 9 2 10 3" xfId="22830" xr:uid="{00000000-0005-0000-0000-0000EB7A0000}"/>
    <cellStyle name="Normal 9 2 10 4" xfId="22831" xr:uid="{00000000-0005-0000-0000-0000EC7A0000}"/>
    <cellStyle name="Normal 9 2 10 5" xfId="22832" xr:uid="{00000000-0005-0000-0000-0000ED7A0000}"/>
    <cellStyle name="Normal 9 2 10 6" xfId="22833" xr:uid="{00000000-0005-0000-0000-0000EE7A0000}"/>
    <cellStyle name="Normal 9 2 10 7" xfId="22834" xr:uid="{00000000-0005-0000-0000-0000EF7A0000}"/>
    <cellStyle name="Normal 9 2 10 8" xfId="22835" xr:uid="{00000000-0005-0000-0000-0000F07A0000}"/>
    <cellStyle name="Normal 9 2 11" xfId="22836" xr:uid="{00000000-0005-0000-0000-0000F17A0000}"/>
    <cellStyle name="Normal 9 2 11 2" xfId="22837" xr:uid="{00000000-0005-0000-0000-0000F27A0000}"/>
    <cellStyle name="Normal 9 2 11 2 2" xfId="22838" xr:uid="{00000000-0005-0000-0000-0000F37A0000}"/>
    <cellStyle name="Normal 9 2 11 2 3" xfId="22839" xr:uid="{00000000-0005-0000-0000-0000F47A0000}"/>
    <cellStyle name="Normal 9 2 11 2 4" xfId="22840" xr:uid="{00000000-0005-0000-0000-0000F57A0000}"/>
    <cellStyle name="Normal 9 2 11 2 5" xfId="22841" xr:uid="{00000000-0005-0000-0000-0000F67A0000}"/>
    <cellStyle name="Normal 9 2 11 2 6" xfId="22842" xr:uid="{00000000-0005-0000-0000-0000F77A0000}"/>
    <cellStyle name="Normal 9 2 11 2 7" xfId="22843" xr:uid="{00000000-0005-0000-0000-0000F87A0000}"/>
    <cellStyle name="Normal 9 2 11 3" xfId="22844" xr:uid="{00000000-0005-0000-0000-0000F97A0000}"/>
    <cellStyle name="Normal 9 2 11 4" xfId="22845" xr:uid="{00000000-0005-0000-0000-0000FA7A0000}"/>
    <cellStyle name="Normal 9 2 11 5" xfId="22846" xr:uid="{00000000-0005-0000-0000-0000FB7A0000}"/>
    <cellStyle name="Normal 9 2 11 6" xfId="22847" xr:uid="{00000000-0005-0000-0000-0000FC7A0000}"/>
    <cellStyle name="Normal 9 2 11 7" xfId="22848" xr:uid="{00000000-0005-0000-0000-0000FD7A0000}"/>
    <cellStyle name="Normal 9 2 11 8" xfId="22849" xr:uid="{00000000-0005-0000-0000-0000FE7A0000}"/>
    <cellStyle name="Normal 9 2 12" xfId="22850" xr:uid="{00000000-0005-0000-0000-0000FF7A0000}"/>
    <cellStyle name="Normal 9 2 12 2" xfId="22851" xr:uid="{00000000-0005-0000-0000-0000007B0000}"/>
    <cellStyle name="Normal 9 2 12 2 2" xfId="22852" xr:uid="{00000000-0005-0000-0000-0000017B0000}"/>
    <cellStyle name="Normal 9 2 12 2 3" xfId="22853" xr:uid="{00000000-0005-0000-0000-0000027B0000}"/>
    <cellStyle name="Normal 9 2 12 2 4" xfId="22854" xr:uid="{00000000-0005-0000-0000-0000037B0000}"/>
    <cellStyle name="Normal 9 2 12 2 5" xfId="22855" xr:uid="{00000000-0005-0000-0000-0000047B0000}"/>
    <cellStyle name="Normal 9 2 12 2 6" xfId="22856" xr:uid="{00000000-0005-0000-0000-0000057B0000}"/>
    <cellStyle name="Normal 9 2 12 2 7" xfId="22857" xr:uid="{00000000-0005-0000-0000-0000067B0000}"/>
    <cellStyle name="Normal 9 2 12 3" xfId="22858" xr:uid="{00000000-0005-0000-0000-0000077B0000}"/>
    <cellStyle name="Normal 9 2 12 4" xfId="22859" xr:uid="{00000000-0005-0000-0000-0000087B0000}"/>
    <cellStyle name="Normal 9 2 12 5" xfId="22860" xr:uid="{00000000-0005-0000-0000-0000097B0000}"/>
    <cellStyle name="Normal 9 2 12 6" xfId="22861" xr:uid="{00000000-0005-0000-0000-00000A7B0000}"/>
    <cellStyle name="Normal 9 2 12 7" xfId="22862" xr:uid="{00000000-0005-0000-0000-00000B7B0000}"/>
    <cellStyle name="Normal 9 2 12 8" xfId="22863" xr:uid="{00000000-0005-0000-0000-00000C7B0000}"/>
    <cellStyle name="Normal 9 2 13" xfId="22864" xr:uid="{00000000-0005-0000-0000-00000D7B0000}"/>
    <cellStyle name="Normal 9 2 13 2" xfId="22865" xr:uid="{00000000-0005-0000-0000-00000E7B0000}"/>
    <cellStyle name="Normal 9 2 13 2 2" xfId="22866" xr:uid="{00000000-0005-0000-0000-00000F7B0000}"/>
    <cellStyle name="Normal 9 2 13 2 3" xfId="22867" xr:uid="{00000000-0005-0000-0000-0000107B0000}"/>
    <cellStyle name="Normal 9 2 13 2 4" xfId="22868" xr:uid="{00000000-0005-0000-0000-0000117B0000}"/>
    <cellStyle name="Normal 9 2 13 2 5" xfId="22869" xr:uid="{00000000-0005-0000-0000-0000127B0000}"/>
    <cellStyle name="Normal 9 2 13 2 6" xfId="22870" xr:uid="{00000000-0005-0000-0000-0000137B0000}"/>
    <cellStyle name="Normal 9 2 13 2 7" xfId="22871" xr:uid="{00000000-0005-0000-0000-0000147B0000}"/>
    <cellStyle name="Normal 9 2 13 3" xfId="22872" xr:uid="{00000000-0005-0000-0000-0000157B0000}"/>
    <cellStyle name="Normal 9 2 13 4" xfId="22873" xr:uid="{00000000-0005-0000-0000-0000167B0000}"/>
    <cellStyle name="Normal 9 2 13 5" xfId="22874" xr:uid="{00000000-0005-0000-0000-0000177B0000}"/>
    <cellStyle name="Normal 9 2 13 6" xfId="22875" xr:uid="{00000000-0005-0000-0000-0000187B0000}"/>
    <cellStyle name="Normal 9 2 13 7" xfId="22876" xr:uid="{00000000-0005-0000-0000-0000197B0000}"/>
    <cellStyle name="Normal 9 2 13 8" xfId="22877" xr:uid="{00000000-0005-0000-0000-00001A7B0000}"/>
    <cellStyle name="Normal 9 2 14" xfId="22878" xr:uid="{00000000-0005-0000-0000-00001B7B0000}"/>
    <cellStyle name="Normal 9 2 14 2" xfId="22879" xr:uid="{00000000-0005-0000-0000-00001C7B0000}"/>
    <cellStyle name="Normal 9 2 14 2 2" xfId="22880" xr:uid="{00000000-0005-0000-0000-00001D7B0000}"/>
    <cellStyle name="Normal 9 2 14 2 3" xfId="22881" xr:uid="{00000000-0005-0000-0000-00001E7B0000}"/>
    <cellStyle name="Normal 9 2 14 2 4" xfId="22882" xr:uid="{00000000-0005-0000-0000-00001F7B0000}"/>
    <cellStyle name="Normal 9 2 14 2 5" xfId="22883" xr:uid="{00000000-0005-0000-0000-0000207B0000}"/>
    <cellStyle name="Normal 9 2 14 2 6" xfId="22884" xr:uid="{00000000-0005-0000-0000-0000217B0000}"/>
    <cellStyle name="Normal 9 2 14 2 7" xfId="22885" xr:uid="{00000000-0005-0000-0000-0000227B0000}"/>
    <cellStyle name="Normal 9 2 14 3" xfId="22886" xr:uid="{00000000-0005-0000-0000-0000237B0000}"/>
    <cellStyle name="Normal 9 2 14 4" xfId="22887" xr:uid="{00000000-0005-0000-0000-0000247B0000}"/>
    <cellStyle name="Normal 9 2 14 5" xfId="22888" xr:uid="{00000000-0005-0000-0000-0000257B0000}"/>
    <cellStyle name="Normal 9 2 14 6" xfId="22889" xr:uid="{00000000-0005-0000-0000-0000267B0000}"/>
    <cellStyle name="Normal 9 2 14 7" xfId="22890" xr:uid="{00000000-0005-0000-0000-0000277B0000}"/>
    <cellStyle name="Normal 9 2 14 8" xfId="22891" xr:uid="{00000000-0005-0000-0000-0000287B0000}"/>
    <cellStyle name="Normal 9 2 15" xfId="22892" xr:uid="{00000000-0005-0000-0000-0000297B0000}"/>
    <cellStyle name="Normal 9 2 15 2" xfId="22893" xr:uid="{00000000-0005-0000-0000-00002A7B0000}"/>
    <cellStyle name="Normal 9 2 15 2 2" xfId="22894" xr:uid="{00000000-0005-0000-0000-00002B7B0000}"/>
    <cellStyle name="Normal 9 2 15 2 3" xfId="22895" xr:uid="{00000000-0005-0000-0000-00002C7B0000}"/>
    <cellStyle name="Normal 9 2 15 2 4" xfId="22896" xr:uid="{00000000-0005-0000-0000-00002D7B0000}"/>
    <cellStyle name="Normal 9 2 15 2 5" xfId="22897" xr:uid="{00000000-0005-0000-0000-00002E7B0000}"/>
    <cellStyle name="Normal 9 2 15 2 6" xfId="22898" xr:uid="{00000000-0005-0000-0000-00002F7B0000}"/>
    <cellStyle name="Normal 9 2 15 2 7" xfId="22899" xr:uid="{00000000-0005-0000-0000-0000307B0000}"/>
    <cellStyle name="Normal 9 2 15 3" xfId="22900" xr:uid="{00000000-0005-0000-0000-0000317B0000}"/>
    <cellStyle name="Normal 9 2 15 4" xfId="22901" xr:uid="{00000000-0005-0000-0000-0000327B0000}"/>
    <cellStyle name="Normal 9 2 15 5" xfId="22902" xr:uid="{00000000-0005-0000-0000-0000337B0000}"/>
    <cellStyle name="Normal 9 2 15 6" xfId="22903" xr:uid="{00000000-0005-0000-0000-0000347B0000}"/>
    <cellStyle name="Normal 9 2 15 7" xfId="22904" xr:uid="{00000000-0005-0000-0000-0000357B0000}"/>
    <cellStyle name="Normal 9 2 15 8" xfId="22905" xr:uid="{00000000-0005-0000-0000-0000367B0000}"/>
    <cellStyle name="Normal 9 2 16" xfId="22906" xr:uid="{00000000-0005-0000-0000-0000377B0000}"/>
    <cellStyle name="Normal 9 2 16 2" xfId="22907" xr:uid="{00000000-0005-0000-0000-0000387B0000}"/>
    <cellStyle name="Normal 9 2 16 3" xfId="22908" xr:uid="{00000000-0005-0000-0000-0000397B0000}"/>
    <cellStyle name="Normal 9 2 16 4" xfId="22909" xr:uid="{00000000-0005-0000-0000-00003A7B0000}"/>
    <cellStyle name="Normal 9 2 16 5" xfId="22910" xr:uid="{00000000-0005-0000-0000-00003B7B0000}"/>
    <cellStyle name="Normal 9 2 16 6" xfId="22911" xr:uid="{00000000-0005-0000-0000-00003C7B0000}"/>
    <cellStyle name="Normal 9 2 16 7" xfId="22912" xr:uid="{00000000-0005-0000-0000-00003D7B0000}"/>
    <cellStyle name="Normal 9 2 17" xfId="22913" xr:uid="{00000000-0005-0000-0000-00003E7B0000}"/>
    <cellStyle name="Normal 9 2 17 2" xfId="22914" xr:uid="{00000000-0005-0000-0000-00003F7B0000}"/>
    <cellStyle name="Normal 9 2 17 3" xfId="22915" xr:uid="{00000000-0005-0000-0000-0000407B0000}"/>
    <cellStyle name="Normal 9 2 17 4" xfId="22916" xr:uid="{00000000-0005-0000-0000-0000417B0000}"/>
    <cellStyle name="Normal 9 2 17 5" xfId="22917" xr:uid="{00000000-0005-0000-0000-0000427B0000}"/>
    <cellStyle name="Normal 9 2 17 6" xfId="22918" xr:uid="{00000000-0005-0000-0000-0000437B0000}"/>
    <cellStyle name="Normal 9 2 17 7" xfId="22919" xr:uid="{00000000-0005-0000-0000-0000447B0000}"/>
    <cellStyle name="Normal 9 2 18" xfId="22920" xr:uid="{00000000-0005-0000-0000-0000457B0000}"/>
    <cellStyle name="Normal 9 2 18 2" xfId="22921" xr:uid="{00000000-0005-0000-0000-0000467B0000}"/>
    <cellStyle name="Normal 9 2 18 3" xfId="22922" xr:uid="{00000000-0005-0000-0000-0000477B0000}"/>
    <cellStyle name="Normal 9 2 18 4" xfId="22923" xr:uid="{00000000-0005-0000-0000-0000487B0000}"/>
    <cellStyle name="Normal 9 2 18 5" xfId="22924" xr:uid="{00000000-0005-0000-0000-0000497B0000}"/>
    <cellStyle name="Normal 9 2 18 6" xfId="22925" xr:uid="{00000000-0005-0000-0000-00004A7B0000}"/>
    <cellStyle name="Normal 9 2 18 7" xfId="22926" xr:uid="{00000000-0005-0000-0000-00004B7B0000}"/>
    <cellStyle name="Normal 9 2 19" xfId="22927" xr:uid="{00000000-0005-0000-0000-00004C7B0000}"/>
    <cellStyle name="Normal 9 2 19 2" xfId="22928" xr:uid="{00000000-0005-0000-0000-00004D7B0000}"/>
    <cellStyle name="Normal 9 2 19 3" xfId="22929" xr:uid="{00000000-0005-0000-0000-00004E7B0000}"/>
    <cellStyle name="Normal 9 2 19 4" xfId="22930" xr:uid="{00000000-0005-0000-0000-00004F7B0000}"/>
    <cellStyle name="Normal 9 2 19 5" xfId="22931" xr:uid="{00000000-0005-0000-0000-0000507B0000}"/>
    <cellStyle name="Normal 9 2 19 6" xfId="22932" xr:uid="{00000000-0005-0000-0000-0000517B0000}"/>
    <cellStyle name="Normal 9 2 19 7" xfId="22933" xr:uid="{00000000-0005-0000-0000-0000527B0000}"/>
    <cellStyle name="Normal 9 2 2" xfId="11052" xr:uid="{00000000-0005-0000-0000-0000537B0000}"/>
    <cellStyle name="Normal 9 2 2 2" xfId="22934" xr:uid="{00000000-0005-0000-0000-0000547B0000}"/>
    <cellStyle name="Normal 9 2 2 2 2" xfId="22935" xr:uid="{00000000-0005-0000-0000-0000557B0000}"/>
    <cellStyle name="Normal 9 2 2 2 3" xfId="22936" xr:uid="{00000000-0005-0000-0000-0000567B0000}"/>
    <cellStyle name="Normal 9 2 2 2 4" xfId="22937" xr:uid="{00000000-0005-0000-0000-0000577B0000}"/>
    <cellStyle name="Normal 9 2 2 2 5" xfId="22938" xr:uid="{00000000-0005-0000-0000-0000587B0000}"/>
    <cellStyle name="Normal 9 2 2 2 6" xfId="22939" xr:uid="{00000000-0005-0000-0000-0000597B0000}"/>
    <cellStyle name="Normal 9 2 2 2 7" xfId="22940" xr:uid="{00000000-0005-0000-0000-00005A7B0000}"/>
    <cellStyle name="Normal 9 2 2 2 8" xfId="39973" xr:uid="{00000000-0005-0000-0000-00005B7B0000}"/>
    <cellStyle name="Normal 9 2 2 3" xfId="22941" xr:uid="{00000000-0005-0000-0000-00005C7B0000}"/>
    <cellStyle name="Normal 9 2 2 4" xfId="22942" xr:uid="{00000000-0005-0000-0000-00005D7B0000}"/>
    <cellStyle name="Normal 9 2 2 5" xfId="22943" xr:uid="{00000000-0005-0000-0000-00005E7B0000}"/>
    <cellStyle name="Normal 9 2 2 6" xfId="22944" xr:uid="{00000000-0005-0000-0000-00005F7B0000}"/>
    <cellStyle name="Normal 9 2 2 7" xfId="22945" xr:uid="{00000000-0005-0000-0000-0000607B0000}"/>
    <cellStyle name="Normal 9 2 2 8" xfId="22946" xr:uid="{00000000-0005-0000-0000-0000617B0000}"/>
    <cellStyle name="Normal 9 2 2 9" xfId="22947" xr:uid="{00000000-0005-0000-0000-0000627B0000}"/>
    <cellStyle name="Normal 9 2 20" xfId="22948" xr:uid="{00000000-0005-0000-0000-0000637B0000}"/>
    <cellStyle name="Normal 9 2 20 2" xfId="22949" xr:uid="{00000000-0005-0000-0000-0000647B0000}"/>
    <cellStyle name="Normal 9 2 20 3" xfId="22950" xr:uid="{00000000-0005-0000-0000-0000657B0000}"/>
    <cellStyle name="Normal 9 2 20 4" xfId="22951" xr:uid="{00000000-0005-0000-0000-0000667B0000}"/>
    <cellStyle name="Normal 9 2 20 5" xfId="22952" xr:uid="{00000000-0005-0000-0000-0000677B0000}"/>
    <cellStyle name="Normal 9 2 20 6" xfId="22953" xr:uid="{00000000-0005-0000-0000-0000687B0000}"/>
    <cellStyle name="Normal 9 2 20 7" xfId="22954" xr:uid="{00000000-0005-0000-0000-0000697B0000}"/>
    <cellStyle name="Normal 9 2 21" xfId="22955" xr:uid="{00000000-0005-0000-0000-00006A7B0000}"/>
    <cellStyle name="Normal 9 2 21 2" xfId="22956" xr:uid="{00000000-0005-0000-0000-00006B7B0000}"/>
    <cellStyle name="Normal 9 2 21 3" xfId="22957" xr:uid="{00000000-0005-0000-0000-00006C7B0000}"/>
    <cellStyle name="Normal 9 2 21 4" xfId="22958" xr:uid="{00000000-0005-0000-0000-00006D7B0000}"/>
    <cellStyle name="Normal 9 2 21 5" xfId="22959" xr:uid="{00000000-0005-0000-0000-00006E7B0000}"/>
    <cellStyle name="Normal 9 2 21 6" xfId="22960" xr:uid="{00000000-0005-0000-0000-00006F7B0000}"/>
    <cellStyle name="Normal 9 2 21 7" xfId="22961" xr:uid="{00000000-0005-0000-0000-0000707B0000}"/>
    <cellStyle name="Normal 9 2 22" xfId="22962" xr:uid="{00000000-0005-0000-0000-0000717B0000}"/>
    <cellStyle name="Normal 9 2 22 2" xfId="22963" xr:uid="{00000000-0005-0000-0000-0000727B0000}"/>
    <cellStyle name="Normal 9 2 22 3" xfId="22964" xr:uid="{00000000-0005-0000-0000-0000737B0000}"/>
    <cellStyle name="Normal 9 2 22 4" xfId="22965" xr:uid="{00000000-0005-0000-0000-0000747B0000}"/>
    <cellStyle name="Normal 9 2 22 5" xfId="22966" xr:uid="{00000000-0005-0000-0000-0000757B0000}"/>
    <cellStyle name="Normal 9 2 22 6" xfId="22967" xr:uid="{00000000-0005-0000-0000-0000767B0000}"/>
    <cellStyle name="Normal 9 2 22 7" xfId="22968" xr:uid="{00000000-0005-0000-0000-0000777B0000}"/>
    <cellStyle name="Normal 9 2 23" xfId="22969" xr:uid="{00000000-0005-0000-0000-0000787B0000}"/>
    <cellStyle name="Normal 9 2 23 2" xfId="22970" xr:uid="{00000000-0005-0000-0000-0000797B0000}"/>
    <cellStyle name="Normal 9 2 23 3" xfId="22971" xr:uid="{00000000-0005-0000-0000-00007A7B0000}"/>
    <cellStyle name="Normal 9 2 23 4" xfId="22972" xr:uid="{00000000-0005-0000-0000-00007B7B0000}"/>
    <cellStyle name="Normal 9 2 23 5" xfId="22973" xr:uid="{00000000-0005-0000-0000-00007C7B0000}"/>
    <cellStyle name="Normal 9 2 23 6" xfId="22974" xr:uid="{00000000-0005-0000-0000-00007D7B0000}"/>
    <cellStyle name="Normal 9 2 23 7" xfId="22975" xr:uid="{00000000-0005-0000-0000-00007E7B0000}"/>
    <cellStyle name="Normal 9 2 24" xfId="22976" xr:uid="{00000000-0005-0000-0000-00007F7B0000}"/>
    <cellStyle name="Normal 9 2 24 2" xfId="22977" xr:uid="{00000000-0005-0000-0000-0000807B0000}"/>
    <cellStyle name="Normal 9 2 24 3" xfId="22978" xr:uid="{00000000-0005-0000-0000-0000817B0000}"/>
    <cellStyle name="Normal 9 2 24 4" xfId="22979" xr:uid="{00000000-0005-0000-0000-0000827B0000}"/>
    <cellStyle name="Normal 9 2 24 5" xfId="22980" xr:uid="{00000000-0005-0000-0000-0000837B0000}"/>
    <cellStyle name="Normal 9 2 24 6" xfId="22981" xr:uid="{00000000-0005-0000-0000-0000847B0000}"/>
    <cellStyle name="Normal 9 2 24 7" xfId="22982" xr:uid="{00000000-0005-0000-0000-0000857B0000}"/>
    <cellStyle name="Normal 9 2 25" xfId="22983" xr:uid="{00000000-0005-0000-0000-0000867B0000}"/>
    <cellStyle name="Normal 9 2 25 2" xfId="22984" xr:uid="{00000000-0005-0000-0000-0000877B0000}"/>
    <cellStyle name="Normal 9 2 25 3" xfId="22985" xr:uid="{00000000-0005-0000-0000-0000887B0000}"/>
    <cellStyle name="Normal 9 2 25 4" xfId="22986" xr:uid="{00000000-0005-0000-0000-0000897B0000}"/>
    <cellStyle name="Normal 9 2 25 5" xfId="22987" xr:uid="{00000000-0005-0000-0000-00008A7B0000}"/>
    <cellStyle name="Normal 9 2 25 6" xfId="22988" xr:uid="{00000000-0005-0000-0000-00008B7B0000}"/>
    <cellStyle name="Normal 9 2 25 7" xfId="22989" xr:uid="{00000000-0005-0000-0000-00008C7B0000}"/>
    <cellStyle name="Normal 9 2 26" xfId="22990" xr:uid="{00000000-0005-0000-0000-00008D7B0000}"/>
    <cellStyle name="Normal 9 2 26 2" xfId="22991" xr:uid="{00000000-0005-0000-0000-00008E7B0000}"/>
    <cellStyle name="Normal 9 2 26 3" xfId="22992" xr:uid="{00000000-0005-0000-0000-00008F7B0000}"/>
    <cellStyle name="Normal 9 2 26 4" xfId="22993" xr:uid="{00000000-0005-0000-0000-0000907B0000}"/>
    <cellStyle name="Normal 9 2 26 5" xfId="22994" xr:uid="{00000000-0005-0000-0000-0000917B0000}"/>
    <cellStyle name="Normal 9 2 26 6" xfId="22995" xr:uid="{00000000-0005-0000-0000-0000927B0000}"/>
    <cellStyle name="Normal 9 2 26 7" xfId="22996" xr:uid="{00000000-0005-0000-0000-0000937B0000}"/>
    <cellStyle name="Normal 9 2 27" xfId="22997" xr:uid="{00000000-0005-0000-0000-0000947B0000}"/>
    <cellStyle name="Normal 9 2 27 2" xfId="22998" xr:uid="{00000000-0005-0000-0000-0000957B0000}"/>
    <cellStyle name="Normal 9 2 27 3" xfId="22999" xr:uid="{00000000-0005-0000-0000-0000967B0000}"/>
    <cellStyle name="Normal 9 2 27 4" xfId="23000" xr:uid="{00000000-0005-0000-0000-0000977B0000}"/>
    <cellStyle name="Normal 9 2 27 5" xfId="23001" xr:uid="{00000000-0005-0000-0000-0000987B0000}"/>
    <cellStyle name="Normal 9 2 27 6" xfId="23002" xr:uid="{00000000-0005-0000-0000-0000997B0000}"/>
    <cellStyle name="Normal 9 2 27 7" xfId="23003" xr:uid="{00000000-0005-0000-0000-00009A7B0000}"/>
    <cellStyle name="Normal 9 2 28" xfId="23004" xr:uid="{00000000-0005-0000-0000-00009B7B0000}"/>
    <cellStyle name="Normal 9 2 28 2" xfId="23005" xr:uid="{00000000-0005-0000-0000-00009C7B0000}"/>
    <cellStyle name="Normal 9 2 28 3" xfId="23006" xr:uid="{00000000-0005-0000-0000-00009D7B0000}"/>
    <cellStyle name="Normal 9 2 28 4" xfId="23007" xr:uid="{00000000-0005-0000-0000-00009E7B0000}"/>
    <cellStyle name="Normal 9 2 28 5" xfId="23008" xr:uid="{00000000-0005-0000-0000-00009F7B0000}"/>
    <cellStyle name="Normal 9 2 28 6" xfId="23009" xr:uid="{00000000-0005-0000-0000-0000A07B0000}"/>
    <cellStyle name="Normal 9 2 28 7" xfId="23010" xr:uid="{00000000-0005-0000-0000-0000A17B0000}"/>
    <cellStyle name="Normal 9 2 29" xfId="23011" xr:uid="{00000000-0005-0000-0000-0000A27B0000}"/>
    <cellStyle name="Normal 9 2 29 2" xfId="23012" xr:uid="{00000000-0005-0000-0000-0000A37B0000}"/>
    <cellStyle name="Normal 9 2 29 3" xfId="23013" xr:uid="{00000000-0005-0000-0000-0000A47B0000}"/>
    <cellStyle name="Normal 9 2 29 4" xfId="23014" xr:uid="{00000000-0005-0000-0000-0000A57B0000}"/>
    <cellStyle name="Normal 9 2 29 5" xfId="23015" xr:uid="{00000000-0005-0000-0000-0000A67B0000}"/>
    <cellStyle name="Normal 9 2 29 6" xfId="23016" xr:uid="{00000000-0005-0000-0000-0000A77B0000}"/>
    <cellStyle name="Normal 9 2 29 7" xfId="23017" xr:uid="{00000000-0005-0000-0000-0000A87B0000}"/>
    <cellStyle name="Normal 9 2 3" xfId="11053" xr:uid="{00000000-0005-0000-0000-0000A97B0000}"/>
    <cellStyle name="Normal 9 2 3 2" xfId="23018" xr:uid="{00000000-0005-0000-0000-0000AA7B0000}"/>
    <cellStyle name="Normal 9 2 3 2 2" xfId="23019" xr:uid="{00000000-0005-0000-0000-0000AB7B0000}"/>
    <cellStyle name="Normal 9 2 3 2 3" xfId="23020" xr:uid="{00000000-0005-0000-0000-0000AC7B0000}"/>
    <cellStyle name="Normal 9 2 3 2 4" xfId="23021" xr:uid="{00000000-0005-0000-0000-0000AD7B0000}"/>
    <cellStyle name="Normal 9 2 3 2 5" xfId="23022" xr:uid="{00000000-0005-0000-0000-0000AE7B0000}"/>
    <cellStyle name="Normal 9 2 3 2 6" xfId="23023" xr:uid="{00000000-0005-0000-0000-0000AF7B0000}"/>
    <cellStyle name="Normal 9 2 3 2 7" xfId="23024" xr:uid="{00000000-0005-0000-0000-0000B07B0000}"/>
    <cellStyle name="Normal 9 2 3 2 8" xfId="39974" xr:uid="{00000000-0005-0000-0000-0000B17B0000}"/>
    <cellStyle name="Normal 9 2 3 3" xfId="23025" xr:uid="{00000000-0005-0000-0000-0000B27B0000}"/>
    <cellStyle name="Normal 9 2 3 4" xfId="23026" xr:uid="{00000000-0005-0000-0000-0000B37B0000}"/>
    <cellStyle name="Normal 9 2 3 5" xfId="23027" xr:uid="{00000000-0005-0000-0000-0000B47B0000}"/>
    <cellStyle name="Normal 9 2 3 6" xfId="23028" xr:uid="{00000000-0005-0000-0000-0000B57B0000}"/>
    <cellStyle name="Normal 9 2 3 7" xfId="23029" xr:uid="{00000000-0005-0000-0000-0000B67B0000}"/>
    <cellStyle name="Normal 9 2 3 8" xfId="23030" xr:uid="{00000000-0005-0000-0000-0000B77B0000}"/>
    <cellStyle name="Normal 9 2 3 9" xfId="23031" xr:uid="{00000000-0005-0000-0000-0000B87B0000}"/>
    <cellStyle name="Normal 9 2 30" xfId="23032" xr:uid="{00000000-0005-0000-0000-0000B97B0000}"/>
    <cellStyle name="Normal 9 2 30 2" xfId="23033" xr:uid="{00000000-0005-0000-0000-0000BA7B0000}"/>
    <cellStyle name="Normal 9 2 30 3" xfId="23034" xr:uid="{00000000-0005-0000-0000-0000BB7B0000}"/>
    <cellStyle name="Normal 9 2 30 4" xfId="23035" xr:uid="{00000000-0005-0000-0000-0000BC7B0000}"/>
    <cellStyle name="Normal 9 2 30 5" xfId="23036" xr:uid="{00000000-0005-0000-0000-0000BD7B0000}"/>
    <cellStyle name="Normal 9 2 30 6" xfId="23037" xr:uid="{00000000-0005-0000-0000-0000BE7B0000}"/>
    <cellStyle name="Normal 9 2 30 7" xfId="23038" xr:uid="{00000000-0005-0000-0000-0000BF7B0000}"/>
    <cellStyle name="Normal 9 2 31" xfId="23039" xr:uid="{00000000-0005-0000-0000-0000C07B0000}"/>
    <cellStyle name="Normal 9 2 31 2" xfId="23040" xr:uid="{00000000-0005-0000-0000-0000C17B0000}"/>
    <cellStyle name="Normal 9 2 31 3" xfId="23041" xr:uid="{00000000-0005-0000-0000-0000C27B0000}"/>
    <cellStyle name="Normal 9 2 31 4" xfId="23042" xr:uid="{00000000-0005-0000-0000-0000C37B0000}"/>
    <cellStyle name="Normal 9 2 31 5" xfId="23043" xr:uid="{00000000-0005-0000-0000-0000C47B0000}"/>
    <cellStyle name="Normal 9 2 31 6" xfId="23044" xr:uid="{00000000-0005-0000-0000-0000C57B0000}"/>
    <cellStyle name="Normal 9 2 31 7" xfId="23045" xr:uid="{00000000-0005-0000-0000-0000C67B0000}"/>
    <cellStyle name="Normal 9 2 32" xfId="23046" xr:uid="{00000000-0005-0000-0000-0000C77B0000}"/>
    <cellStyle name="Normal 9 2 32 2" xfId="23047" xr:uid="{00000000-0005-0000-0000-0000C87B0000}"/>
    <cellStyle name="Normal 9 2 32 3" xfId="23048" xr:uid="{00000000-0005-0000-0000-0000C97B0000}"/>
    <cellStyle name="Normal 9 2 32 4" xfId="23049" xr:uid="{00000000-0005-0000-0000-0000CA7B0000}"/>
    <cellStyle name="Normal 9 2 32 5" xfId="23050" xr:uid="{00000000-0005-0000-0000-0000CB7B0000}"/>
    <cellStyle name="Normal 9 2 32 6" xfId="23051" xr:uid="{00000000-0005-0000-0000-0000CC7B0000}"/>
    <cellStyle name="Normal 9 2 32 7" xfId="23052" xr:uid="{00000000-0005-0000-0000-0000CD7B0000}"/>
    <cellStyle name="Normal 9 2 33" xfId="23053" xr:uid="{00000000-0005-0000-0000-0000CE7B0000}"/>
    <cellStyle name="Normal 9 2 33 2" xfId="23054" xr:uid="{00000000-0005-0000-0000-0000CF7B0000}"/>
    <cellStyle name="Normal 9 2 33 3" xfId="23055" xr:uid="{00000000-0005-0000-0000-0000D07B0000}"/>
    <cellStyle name="Normal 9 2 33 4" xfId="23056" xr:uid="{00000000-0005-0000-0000-0000D17B0000}"/>
    <cellStyle name="Normal 9 2 33 5" xfId="23057" xr:uid="{00000000-0005-0000-0000-0000D27B0000}"/>
    <cellStyle name="Normal 9 2 33 6" xfId="23058" xr:uid="{00000000-0005-0000-0000-0000D37B0000}"/>
    <cellStyle name="Normal 9 2 33 7" xfId="23059" xr:uid="{00000000-0005-0000-0000-0000D47B0000}"/>
    <cellStyle name="Normal 9 2 34" xfId="23060" xr:uid="{00000000-0005-0000-0000-0000D57B0000}"/>
    <cellStyle name="Normal 9 2 34 2" xfId="23061" xr:uid="{00000000-0005-0000-0000-0000D67B0000}"/>
    <cellStyle name="Normal 9 2 34 3" xfId="23062" xr:uid="{00000000-0005-0000-0000-0000D77B0000}"/>
    <cellStyle name="Normal 9 2 34 4" xfId="23063" xr:uid="{00000000-0005-0000-0000-0000D87B0000}"/>
    <cellStyle name="Normal 9 2 34 5" xfId="23064" xr:uid="{00000000-0005-0000-0000-0000D97B0000}"/>
    <cellStyle name="Normal 9 2 34 6" xfId="23065" xr:uid="{00000000-0005-0000-0000-0000DA7B0000}"/>
    <cellStyle name="Normal 9 2 34 7" xfId="23066" xr:uid="{00000000-0005-0000-0000-0000DB7B0000}"/>
    <cellStyle name="Normal 9 2 35" xfId="23067" xr:uid="{00000000-0005-0000-0000-0000DC7B0000}"/>
    <cellStyle name="Normal 9 2 35 2" xfId="23068" xr:uid="{00000000-0005-0000-0000-0000DD7B0000}"/>
    <cellStyle name="Normal 9 2 35 3" xfId="23069" xr:uid="{00000000-0005-0000-0000-0000DE7B0000}"/>
    <cellStyle name="Normal 9 2 35 4" xfId="23070" xr:uid="{00000000-0005-0000-0000-0000DF7B0000}"/>
    <cellStyle name="Normal 9 2 35 5" xfId="23071" xr:uid="{00000000-0005-0000-0000-0000E07B0000}"/>
    <cellStyle name="Normal 9 2 35 6" xfId="23072" xr:uid="{00000000-0005-0000-0000-0000E17B0000}"/>
    <cellStyle name="Normal 9 2 35 7" xfId="23073" xr:uid="{00000000-0005-0000-0000-0000E27B0000}"/>
    <cellStyle name="Normal 9 2 36" xfId="23074" xr:uid="{00000000-0005-0000-0000-0000E37B0000}"/>
    <cellStyle name="Normal 9 2 36 2" xfId="23075" xr:uid="{00000000-0005-0000-0000-0000E47B0000}"/>
    <cellStyle name="Normal 9 2 37" xfId="23076" xr:uid="{00000000-0005-0000-0000-0000E57B0000}"/>
    <cellStyle name="Normal 9 2 38" xfId="23077" xr:uid="{00000000-0005-0000-0000-0000E67B0000}"/>
    <cellStyle name="Normal 9 2 39" xfId="23078" xr:uid="{00000000-0005-0000-0000-0000E77B0000}"/>
    <cellStyle name="Normal 9 2 4" xfId="11054" xr:uid="{00000000-0005-0000-0000-0000E87B0000}"/>
    <cellStyle name="Normal 9 2 4 2" xfId="23079" xr:uid="{00000000-0005-0000-0000-0000E97B0000}"/>
    <cellStyle name="Normal 9 2 4 2 2" xfId="23080" xr:uid="{00000000-0005-0000-0000-0000EA7B0000}"/>
    <cellStyle name="Normal 9 2 4 2 3" xfId="23081" xr:uid="{00000000-0005-0000-0000-0000EB7B0000}"/>
    <cellStyle name="Normal 9 2 4 2 4" xfId="23082" xr:uid="{00000000-0005-0000-0000-0000EC7B0000}"/>
    <cellStyle name="Normal 9 2 4 2 5" xfId="23083" xr:uid="{00000000-0005-0000-0000-0000ED7B0000}"/>
    <cellStyle name="Normal 9 2 4 2 6" xfId="23084" xr:uid="{00000000-0005-0000-0000-0000EE7B0000}"/>
    <cellStyle name="Normal 9 2 4 2 7" xfId="23085" xr:uid="{00000000-0005-0000-0000-0000EF7B0000}"/>
    <cellStyle name="Normal 9 2 4 2 8" xfId="39975" xr:uid="{00000000-0005-0000-0000-0000F07B0000}"/>
    <cellStyle name="Normal 9 2 4 3" xfId="23086" xr:uid="{00000000-0005-0000-0000-0000F17B0000}"/>
    <cellStyle name="Normal 9 2 4 4" xfId="23087" xr:uid="{00000000-0005-0000-0000-0000F27B0000}"/>
    <cellStyle name="Normal 9 2 4 5" xfId="23088" xr:uid="{00000000-0005-0000-0000-0000F37B0000}"/>
    <cellStyle name="Normal 9 2 4 6" xfId="23089" xr:uid="{00000000-0005-0000-0000-0000F47B0000}"/>
    <cellStyle name="Normal 9 2 4 7" xfId="23090" xr:uid="{00000000-0005-0000-0000-0000F57B0000}"/>
    <cellStyle name="Normal 9 2 4 8" xfId="23091" xr:uid="{00000000-0005-0000-0000-0000F67B0000}"/>
    <cellStyle name="Normal 9 2 4 9" xfId="23092" xr:uid="{00000000-0005-0000-0000-0000F77B0000}"/>
    <cellStyle name="Normal 9 2 40" xfId="23093" xr:uid="{00000000-0005-0000-0000-0000F87B0000}"/>
    <cellStyle name="Normal 9 2 41" xfId="23094" xr:uid="{00000000-0005-0000-0000-0000F97B0000}"/>
    <cellStyle name="Normal 9 2 42" xfId="23095" xr:uid="{00000000-0005-0000-0000-0000FA7B0000}"/>
    <cellStyle name="Normal 9 2 43" xfId="23096" xr:uid="{00000000-0005-0000-0000-0000FB7B0000}"/>
    <cellStyle name="Normal 9 2 5" xfId="23097" xr:uid="{00000000-0005-0000-0000-0000FC7B0000}"/>
    <cellStyle name="Normal 9 2 5 2" xfId="23098" xr:uid="{00000000-0005-0000-0000-0000FD7B0000}"/>
    <cellStyle name="Normal 9 2 5 2 2" xfId="23099" xr:uid="{00000000-0005-0000-0000-0000FE7B0000}"/>
    <cellStyle name="Normal 9 2 5 2 3" xfId="23100" xr:uid="{00000000-0005-0000-0000-0000FF7B0000}"/>
    <cellStyle name="Normal 9 2 5 2 4" xfId="23101" xr:uid="{00000000-0005-0000-0000-0000007C0000}"/>
    <cellStyle name="Normal 9 2 5 2 5" xfId="23102" xr:uid="{00000000-0005-0000-0000-0000017C0000}"/>
    <cellStyle name="Normal 9 2 5 2 6" xfId="23103" xr:uid="{00000000-0005-0000-0000-0000027C0000}"/>
    <cellStyle name="Normal 9 2 5 2 7" xfId="23104" xr:uid="{00000000-0005-0000-0000-0000037C0000}"/>
    <cellStyle name="Normal 9 2 5 3" xfId="23105" xr:uid="{00000000-0005-0000-0000-0000047C0000}"/>
    <cellStyle name="Normal 9 2 5 4" xfId="23106" xr:uid="{00000000-0005-0000-0000-0000057C0000}"/>
    <cellStyle name="Normal 9 2 5 5" xfId="23107" xr:uid="{00000000-0005-0000-0000-0000067C0000}"/>
    <cellStyle name="Normal 9 2 5 6" xfId="23108" xr:uid="{00000000-0005-0000-0000-0000077C0000}"/>
    <cellStyle name="Normal 9 2 5 7" xfId="23109" xr:uid="{00000000-0005-0000-0000-0000087C0000}"/>
    <cellStyle name="Normal 9 2 5 8" xfId="23110" xr:uid="{00000000-0005-0000-0000-0000097C0000}"/>
    <cellStyle name="Normal 9 2 5 9" xfId="39976" xr:uid="{00000000-0005-0000-0000-00000A7C0000}"/>
    <cellStyle name="Normal 9 2 6" xfId="23111" xr:uid="{00000000-0005-0000-0000-00000B7C0000}"/>
    <cellStyle name="Normal 9 2 6 2" xfId="23112" xr:uid="{00000000-0005-0000-0000-00000C7C0000}"/>
    <cellStyle name="Normal 9 2 6 2 2" xfId="23113" xr:uid="{00000000-0005-0000-0000-00000D7C0000}"/>
    <cellStyle name="Normal 9 2 6 2 3" xfId="23114" xr:uid="{00000000-0005-0000-0000-00000E7C0000}"/>
    <cellStyle name="Normal 9 2 6 2 4" xfId="23115" xr:uid="{00000000-0005-0000-0000-00000F7C0000}"/>
    <cellStyle name="Normal 9 2 6 2 5" xfId="23116" xr:uid="{00000000-0005-0000-0000-0000107C0000}"/>
    <cellStyle name="Normal 9 2 6 2 6" xfId="23117" xr:uid="{00000000-0005-0000-0000-0000117C0000}"/>
    <cellStyle name="Normal 9 2 6 2 7" xfId="23118" xr:uid="{00000000-0005-0000-0000-0000127C0000}"/>
    <cellStyle name="Normal 9 2 6 3" xfId="23119" xr:uid="{00000000-0005-0000-0000-0000137C0000}"/>
    <cellStyle name="Normal 9 2 6 4" xfId="23120" xr:uid="{00000000-0005-0000-0000-0000147C0000}"/>
    <cellStyle name="Normal 9 2 6 5" xfId="23121" xr:uid="{00000000-0005-0000-0000-0000157C0000}"/>
    <cellStyle name="Normal 9 2 6 6" xfId="23122" xr:uid="{00000000-0005-0000-0000-0000167C0000}"/>
    <cellStyle name="Normal 9 2 6 7" xfId="23123" xr:uid="{00000000-0005-0000-0000-0000177C0000}"/>
    <cellStyle name="Normal 9 2 6 8" xfId="23124" xr:uid="{00000000-0005-0000-0000-0000187C0000}"/>
    <cellStyle name="Normal 9 2 7" xfId="23125" xr:uid="{00000000-0005-0000-0000-0000197C0000}"/>
    <cellStyle name="Normal 9 2 7 2" xfId="23126" xr:uid="{00000000-0005-0000-0000-00001A7C0000}"/>
    <cellStyle name="Normal 9 2 7 2 2" xfId="23127" xr:uid="{00000000-0005-0000-0000-00001B7C0000}"/>
    <cellStyle name="Normal 9 2 7 2 3" xfId="23128" xr:uid="{00000000-0005-0000-0000-00001C7C0000}"/>
    <cellStyle name="Normal 9 2 7 2 4" xfId="23129" xr:uid="{00000000-0005-0000-0000-00001D7C0000}"/>
    <cellStyle name="Normal 9 2 7 2 5" xfId="23130" xr:uid="{00000000-0005-0000-0000-00001E7C0000}"/>
    <cellStyle name="Normal 9 2 7 2 6" xfId="23131" xr:uid="{00000000-0005-0000-0000-00001F7C0000}"/>
    <cellStyle name="Normal 9 2 7 2 7" xfId="23132" xr:uid="{00000000-0005-0000-0000-0000207C0000}"/>
    <cellStyle name="Normal 9 2 7 3" xfId="23133" xr:uid="{00000000-0005-0000-0000-0000217C0000}"/>
    <cellStyle name="Normal 9 2 7 4" xfId="23134" xr:uid="{00000000-0005-0000-0000-0000227C0000}"/>
    <cellStyle name="Normal 9 2 7 5" xfId="23135" xr:uid="{00000000-0005-0000-0000-0000237C0000}"/>
    <cellStyle name="Normal 9 2 7 6" xfId="23136" xr:uid="{00000000-0005-0000-0000-0000247C0000}"/>
    <cellStyle name="Normal 9 2 7 7" xfId="23137" xr:uid="{00000000-0005-0000-0000-0000257C0000}"/>
    <cellStyle name="Normal 9 2 7 8" xfId="23138" xr:uid="{00000000-0005-0000-0000-0000267C0000}"/>
    <cellStyle name="Normal 9 2 8" xfId="23139" xr:uid="{00000000-0005-0000-0000-0000277C0000}"/>
    <cellStyle name="Normal 9 2 8 2" xfId="23140" xr:uid="{00000000-0005-0000-0000-0000287C0000}"/>
    <cellStyle name="Normal 9 2 8 2 2" xfId="23141" xr:uid="{00000000-0005-0000-0000-0000297C0000}"/>
    <cellStyle name="Normal 9 2 8 2 3" xfId="23142" xr:uid="{00000000-0005-0000-0000-00002A7C0000}"/>
    <cellStyle name="Normal 9 2 8 2 4" xfId="23143" xr:uid="{00000000-0005-0000-0000-00002B7C0000}"/>
    <cellStyle name="Normal 9 2 8 2 5" xfId="23144" xr:uid="{00000000-0005-0000-0000-00002C7C0000}"/>
    <cellStyle name="Normal 9 2 8 2 6" xfId="23145" xr:uid="{00000000-0005-0000-0000-00002D7C0000}"/>
    <cellStyle name="Normal 9 2 8 2 7" xfId="23146" xr:uid="{00000000-0005-0000-0000-00002E7C0000}"/>
    <cellStyle name="Normal 9 2 8 3" xfId="23147" xr:uid="{00000000-0005-0000-0000-00002F7C0000}"/>
    <cellStyle name="Normal 9 2 8 4" xfId="23148" xr:uid="{00000000-0005-0000-0000-0000307C0000}"/>
    <cellStyle name="Normal 9 2 8 5" xfId="23149" xr:uid="{00000000-0005-0000-0000-0000317C0000}"/>
    <cellStyle name="Normal 9 2 8 6" xfId="23150" xr:uid="{00000000-0005-0000-0000-0000327C0000}"/>
    <cellStyle name="Normal 9 2 8 7" xfId="23151" xr:uid="{00000000-0005-0000-0000-0000337C0000}"/>
    <cellStyle name="Normal 9 2 8 8" xfId="23152" xr:uid="{00000000-0005-0000-0000-0000347C0000}"/>
    <cellStyle name="Normal 9 2 9" xfId="23153" xr:uid="{00000000-0005-0000-0000-0000357C0000}"/>
    <cellStyle name="Normal 9 2 9 2" xfId="23154" xr:uid="{00000000-0005-0000-0000-0000367C0000}"/>
    <cellStyle name="Normal 9 2 9 2 2" xfId="23155" xr:uid="{00000000-0005-0000-0000-0000377C0000}"/>
    <cellStyle name="Normal 9 2 9 2 3" xfId="23156" xr:uid="{00000000-0005-0000-0000-0000387C0000}"/>
    <cellStyle name="Normal 9 2 9 2 4" xfId="23157" xr:uid="{00000000-0005-0000-0000-0000397C0000}"/>
    <cellStyle name="Normal 9 2 9 2 5" xfId="23158" xr:uid="{00000000-0005-0000-0000-00003A7C0000}"/>
    <cellStyle name="Normal 9 2 9 2 6" xfId="23159" xr:uid="{00000000-0005-0000-0000-00003B7C0000}"/>
    <cellStyle name="Normal 9 2 9 2 7" xfId="23160" xr:uid="{00000000-0005-0000-0000-00003C7C0000}"/>
    <cellStyle name="Normal 9 2 9 3" xfId="23161" xr:uid="{00000000-0005-0000-0000-00003D7C0000}"/>
    <cellStyle name="Normal 9 2 9 4" xfId="23162" xr:uid="{00000000-0005-0000-0000-00003E7C0000}"/>
    <cellStyle name="Normal 9 2 9 5" xfId="23163" xr:uid="{00000000-0005-0000-0000-00003F7C0000}"/>
    <cellStyle name="Normal 9 2 9 6" xfId="23164" xr:uid="{00000000-0005-0000-0000-0000407C0000}"/>
    <cellStyle name="Normal 9 2 9 7" xfId="23165" xr:uid="{00000000-0005-0000-0000-0000417C0000}"/>
    <cellStyle name="Normal 9 2 9 8" xfId="23166" xr:uid="{00000000-0005-0000-0000-0000427C0000}"/>
    <cellStyle name="Normal 9 2_01-04-2012" xfId="11055" xr:uid="{00000000-0005-0000-0000-0000437C0000}"/>
    <cellStyle name="Normal 9 20" xfId="11056" xr:uid="{00000000-0005-0000-0000-0000447C0000}"/>
    <cellStyle name="Normal 9 21" xfId="11057" xr:uid="{00000000-0005-0000-0000-0000457C0000}"/>
    <cellStyle name="Normal 9 22" xfId="11058" xr:uid="{00000000-0005-0000-0000-0000467C0000}"/>
    <cellStyle name="Normal 9 23" xfId="11059" xr:uid="{00000000-0005-0000-0000-0000477C0000}"/>
    <cellStyle name="Normal 9 24" xfId="11060" xr:uid="{00000000-0005-0000-0000-0000487C0000}"/>
    <cellStyle name="Normal 9 25" xfId="11061" xr:uid="{00000000-0005-0000-0000-0000497C0000}"/>
    <cellStyle name="Normal 9 26" xfId="11062" xr:uid="{00000000-0005-0000-0000-00004A7C0000}"/>
    <cellStyle name="Normal 9 27" xfId="11063" xr:uid="{00000000-0005-0000-0000-00004B7C0000}"/>
    <cellStyle name="Normal 9 28" xfId="11064" xr:uid="{00000000-0005-0000-0000-00004C7C0000}"/>
    <cellStyle name="Normal 9 29" xfId="11065" xr:uid="{00000000-0005-0000-0000-00004D7C0000}"/>
    <cellStyle name="Normal 9 3" xfId="11066" xr:uid="{00000000-0005-0000-0000-00004E7C0000}"/>
    <cellStyle name="Normal 9 3 2" xfId="11067" xr:uid="{00000000-0005-0000-0000-00004F7C0000}"/>
    <cellStyle name="Normal 9 3 2 2" xfId="39977" xr:uid="{00000000-0005-0000-0000-0000507C0000}"/>
    <cellStyle name="Normal 9 3 3" xfId="11068" xr:uid="{00000000-0005-0000-0000-0000517C0000}"/>
    <cellStyle name="Normal 9 3 3 2" xfId="39978" xr:uid="{00000000-0005-0000-0000-0000527C0000}"/>
    <cellStyle name="Normal 9 3 4" xfId="11069" xr:uid="{00000000-0005-0000-0000-0000537C0000}"/>
    <cellStyle name="Normal 9 3 4 2" xfId="39979" xr:uid="{00000000-0005-0000-0000-0000547C0000}"/>
    <cellStyle name="Normal 9 3 5" xfId="23167" xr:uid="{00000000-0005-0000-0000-0000557C0000}"/>
    <cellStyle name="Normal 9 3 5 2" xfId="39980" xr:uid="{00000000-0005-0000-0000-0000567C0000}"/>
    <cellStyle name="Normal 9 3_01-04-2012" xfId="11070" xr:uid="{00000000-0005-0000-0000-0000577C0000}"/>
    <cellStyle name="Normal 9 30" xfId="11071" xr:uid="{00000000-0005-0000-0000-0000587C0000}"/>
    <cellStyle name="Normal 9 31" xfId="11072" xr:uid="{00000000-0005-0000-0000-0000597C0000}"/>
    <cellStyle name="Normal 9 32" xfId="11073" xr:uid="{00000000-0005-0000-0000-00005A7C0000}"/>
    <cellStyle name="Normal 9 33" xfId="11074" xr:uid="{00000000-0005-0000-0000-00005B7C0000}"/>
    <cellStyle name="Normal 9 34" xfId="11075" xr:uid="{00000000-0005-0000-0000-00005C7C0000}"/>
    <cellStyle name="Normal 9 35" xfId="11076" xr:uid="{00000000-0005-0000-0000-00005D7C0000}"/>
    <cellStyle name="Normal 9 36" xfId="11077" xr:uid="{00000000-0005-0000-0000-00005E7C0000}"/>
    <cellStyle name="Normal 9 37" xfId="11078" xr:uid="{00000000-0005-0000-0000-00005F7C0000}"/>
    <cellStyle name="Normal 9 38" xfId="11079" xr:uid="{00000000-0005-0000-0000-0000607C0000}"/>
    <cellStyle name="Normal 9 39" xfId="11080" xr:uid="{00000000-0005-0000-0000-0000617C0000}"/>
    <cellStyle name="Normal 9 4" xfId="11081" xr:uid="{00000000-0005-0000-0000-0000627C0000}"/>
    <cellStyle name="Normal 9 4 2" xfId="11082" xr:uid="{00000000-0005-0000-0000-0000637C0000}"/>
    <cellStyle name="Normal 9 4 2 2" xfId="39981" xr:uid="{00000000-0005-0000-0000-0000647C0000}"/>
    <cellStyle name="Normal 9 4 3" xfId="11083" xr:uid="{00000000-0005-0000-0000-0000657C0000}"/>
    <cellStyle name="Normal 9 4 3 2" xfId="39982" xr:uid="{00000000-0005-0000-0000-0000667C0000}"/>
    <cellStyle name="Normal 9 4 4" xfId="11084" xr:uid="{00000000-0005-0000-0000-0000677C0000}"/>
    <cellStyle name="Normal 9 4 4 2" xfId="39983" xr:uid="{00000000-0005-0000-0000-0000687C0000}"/>
    <cellStyle name="Normal 9 4 5" xfId="23168" xr:uid="{00000000-0005-0000-0000-0000697C0000}"/>
    <cellStyle name="Normal 9 4 5 2" xfId="39984" xr:uid="{00000000-0005-0000-0000-00006A7C0000}"/>
    <cellStyle name="Normal 9 4_01-04-2012" xfId="11085" xr:uid="{00000000-0005-0000-0000-00006B7C0000}"/>
    <cellStyle name="Normal 9 40" xfId="11086" xr:uid="{00000000-0005-0000-0000-00006C7C0000}"/>
    <cellStyle name="Normal 9 41" xfId="11087" xr:uid="{00000000-0005-0000-0000-00006D7C0000}"/>
    <cellStyle name="Normal 9 42" xfId="11088" xr:uid="{00000000-0005-0000-0000-00006E7C0000}"/>
    <cellStyle name="Normal 9 43" xfId="11089" xr:uid="{00000000-0005-0000-0000-00006F7C0000}"/>
    <cellStyle name="Normal 9 44" xfId="11090" xr:uid="{00000000-0005-0000-0000-0000707C0000}"/>
    <cellStyle name="Normal 9 45" xfId="11091" xr:uid="{00000000-0005-0000-0000-0000717C0000}"/>
    <cellStyle name="Normal 9 46" xfId="11092" xr:uid="{00000000-0005-0000-0000-0000727C0000}"/>
    <cellStyle name="Normal 9 47" xfId="11093" xr:uid="{00000000-0005-0000-0000-0000737C0000}"/>
    <cellStyle name="Normal 9 48" xfId="11094" xr:uid="{00000000-0005-0000-0000-0000747C0000}"/>
    <cellStyle name="Normal 9 49" xfId="11095" xr:uid="{00000000-0005-0000-0000-0000757C0000}"/>
    <cellStyle name="Normal 9 5" xfId="11096" xr:uid="{00000000-0005-0000-0000-0000767C0000}"/>
    <cellStyle name="Normal 9 5 2" xfId="11097" xr:uid="{00000000-0005-0000-0000-0000777C0000}"/>
    <cellStyle name="Normal 9 5 2 2" xfId="39985" xr:uid="{00000000-0005-0000-0000-0000787C0000}"/>
    <cellStyle name="Normal 9 5 3" xfId="11098" xr:uid="{00000000-0005-0000-0000-0000797C0000}"/>
    <cellStyle name="Normal 9 5 3 2" xfId="39986" xr:uid="{00000000-0005-0000-0000-00007A7C0000}"/>
    <cellStyle name="Normal 9 5 4" xfId="11099" xr:uid="{00000000-0005-0000-0000-00007B7C0000}"/>
    <cellStyle name="Normal 9 5 4 2" xfId="39987" xr:uid="{00000000-0005-0000-0000-00007C7C0000}"/>
    <cellStyle name="Normal 9 5_01-04-2012" xfId="11100" xr:uid="{00000000-0005-0000-0000-00007D7C0000}"/>
    <cellStyle name="Normal 9 50" xfId="11101" xr:uid="{00000000-0005-0000-0000-00007E7C0000}"/>
    <cellStyle name="Normal 9 51" xfId="11102" xr:uid="{00000000-0005-0000-0000-00007F7C0000}"/>
    <cellStyle name="Normal 9 52" xfId="11103" xr:uid="{00000000-0005-0000-0000-0000807C0000}"/>
    <cellStyle name="Normal 9 53" xfId="11104" xr:uid="{00000000-0005-0000-0000-0000817C0000}"/>
    <cellStyle name="Normal 9 54" xfId="11105" xr:uid="{00000000-0005-0000-0000-0000827C0000}"/>
    <cellStyle name="Normal 9 55" xfId="11106" xr:uid="{00000000-0005-0000-0000-0000837C0000}"/>
    <cellStyle name="Normal 9 56" xfId="23169" xr:uid="{00000000-0005-0000-0000-0000847C0000}"/>
    <cellStyle name="Normal 9 56 2" xfId="39988" xr:uid="{00000000-0005-0000-0000-0000857C0000}"/>
    <cellStyle name="Normal 9 6" xfId="11107" xr:uid="{00000000-0005-0000-0000-0000867C0000}"/>
    <cellStyle name="Normal 9 7" xfId="11108" xr:uid="{00000000-0005-0000-0000-0000877C0000}"/>
    <cellStyle name="Normal 9 8" xfId="11109" xr:uid="{00000000-0005-0000-0000-0000887C0000}"/>
    <cellStyle name="Normal 9 9" xfId="11110" xr:uid="{00000000-0005-0000-0000-0000897C0000}"/>
    <cellStyle name="Normal 9_01-04-2012" xfId="11111" xr:uid="{00000000-0005-0000-0000-00008A7C0000}"/>
    <cellStyle name="Normal 90" xfId="23170" xr:uid="{00000000-0005-0000-0000-00008B7C0000}"/>
    <cellStyle name="Normal 90 2" xfId="39989" xr:uid="{00000000-0005-0000-0000-00008C7C0000}"/>
    <cellStyle name="Normal 91" xfId="23171" xr:uid="{00000000-0005-0000-0000-00008D7C0000}"/>
    <cellStyle name="Normal 91 2" xfId="23172" xr:uid="{00000000-0005-0000-0000-00008E7C0000}"/>
    <cellStyle name="Normal 91 2 2" xfId="39990" xr:uid="{00000000-0005-0000-0000-00008F7C0000}"/>
    <cellStyle name="Normal 91 3" xfId="39991" xr:uid="{00000000-0005-0000-0000-0000907C0000}"/>
    <cellStyle name="Normal 92" xfId="23173" xr:uid="{00000000-0005-0000-0000-0000917C0000}"/>
    <cellStyle name="Normal 92 2" xfId="23174" xr:uid="{00000000-0005-0000-0000-0000927C0000}"/>
    <cellStyle name="Normal 92 2 2" xfId="39992" xr:uid="{00000000-0005-0000-0000-0000937C0000}"/>
    <cellStyle name="Normal 92 3" xfId="39993" xr:uid="{00000000-0005-0000-0000-0000947C0000}"/>
    <cellStyle name="Normal 93" xfId="23175" xr:uid="{00000000-0005-0000-0000-0000957C0000}"/>
    <cellStyle name="Normal 93 2" xfId="23176" xr:uid="{00000000-0005-0000-0000-0000967C0000}"/>
    <cellStyle name="Normal 93 2 2" xfId="39994" xr:uid="{00000000-0005-0000-0000-0000977C0000}"/>
    <cellStyle name="Normal 93 3" xfId="39995" xr:uid="{00000000-0005-0000-0000-0000987C0000}"/>
    <cellStyle name="Normal 94" xfId="23177" xr:uid="{00000000-0005-0000-0000-0000997C0000}"/>
    <cellStyle name="Normal 94 2" xfId="23178" xr:uid="{00000000-0005-0000-0000-00009A7C0000}"/>
    <cellStyle name="Normal 94 2 2" xfId="39996" xr:uid="{00000000-0005-0000-0000-00009B7C0000}"/>
    <cellStyle name="Normal 94 3" xfId="39997" xr:uid="{00000000-0005-0000-0000-00009C7C0000}"/>
    <cellStyle name="Normal 95" xfId="23179" xr:uid="{00000000-0005-0000-0000-00009D7C0000}"/>
    <cellStyle name="Normal 95 2" xfId="39998" xr:uid="{00000000-0005-0000-0000-00009E7C0000}"/>
    <cellStyle name="Normal 96" xfId="23180" xr:uid="{00000000-0005-0000-0000-00009F7C0000}"/>
    <cellStyle name="Normal 96 2" xfId="39999" xr:uid="{00000000-0005-0000-0000-0000A07C0000}"/>
    <cellStyle name="Normal 97" xfId="23181" xr:uid="{00000000-0005-0000-0000-0000A17C0000}"/>
    <cellStyle name="Normal 97 2" xfId="40000" xr:uid="{00000000-0005-0000-0000-0000A27C0000}"/>
    <cellStyle name="Normal 98" xfId="23182" xr:uid="{00000000-0005-0000-0000-0000A37C0000}"/>
    <cellStyle name="Normal 98 2" xfId="40001" xr:uid="{00000000-0005-0000-0000-0000A47C0000}"/>
    <cellStyle name="Normal 99" xfId="23183" xr:uid="{00000000-0005-0000-0000-0000A57C0000}"/>
    <cellStyle name="Normal_Sheet1 2" xfId="23" xr:uid="{00000000-0005-0000-0000-0000A67C0000}"/>
    <cellStyle name="Notas 10" xfId="11112" xr:uid="{00000000-0005-0000-0000-0000A77C0000}"/>
    <cellStyle name="Notas 10 2" xfId="12007" xr:uid="{00000000-0005-0000-0000-0000A87C0000}"/>
    <cellStyle name="Notas 10 2 2" xfId="30941" xr:uid="{00000000-0005-0000-0000-0000A97C0000}"/>
    <cellStyle name="Notas 10 2 3" xfId="33230" xr:uid="{00000000-0005-0000-0000-0000AA7C0000}"/>
    <cellStyle name="Notas 10 2 4" xfId="40003" xr:uid="{00000000-0005-0000-0000-0000AB7C0000}"/>
    <cellStyle name="Notas 10 3" xfId="12008" xr:uid="{00000000-0005-0000-0000-0000AC7C0000}"/>
    <cellStyle name="Notas 10 3 2" xfId="30942" xr:uid="{00000000-0005-0000-0000-0000AD7C0000}"/>
    <cellStyle name="Notas 10 3 3" xfId="33231" xr:uid="{00000000-0005-0000-0000-0000AE7C0000}"/>
    <cellStyle name="Notas 10 3 4" xfId="40004" xr:uid="{00000000-0005-0000-0000-0000AF7C0000}"/>
    <cellStyle name="Notas 10 4" xfId="30940" xr:uid="{00000000-0005-0000-0000-0000B07C0000}"/>
    <cellStyle name="Notas 10 5" xfId="33229" xr:uid="{00000000-0005-0000-0000-0000B17C0000}"/>
    <cellStyle name="Notas 10 6" xfId="40002" xr:uid="{00000000-0005-0000-0000-0000B27C0000}"/>
    <cellStyle name="Notas 11" xfId="11113" xr:uid="{00000000-0005-0000-0000-0000B37C0000}"/>
    <cellStyle name="Notas 11 2" xfId="12009" xr:uid="{00000000-0005-0000-0000-0000B47C0000}"/>
    <cellStyle name="Notas 11 2 2" xfId="30944" xr:uid="{00000000-0005-0000-0000-0000B57C0000}"/>
    <cellStyle name="Notas 11 2 3" xfId="33233" xr:uid="{00000000-0005-0000-0000-0000B67C0000}"/>
    <cellStyle name="Notas 11 2 4" xfId="40006" xr:uid="{00000000-0005-0000-0000-0000B77C0000}"/>
    <cellStyle name="Notas 11 3" xfId="12010" xr:uid="{00000000-0005-0000-0000-0000B87C0000}"/>
    <cellStyle name="Notas 11 3 2" xfId="30945" xr:uid="{00000000-0005-0000-0000-0000B97C0000}"/>
    <cellStyle name="Notas 11 3 3" xfId="33234" xr:uid="{00000000-0005-0000-0000-0000BA7C0000}"/>
    <cellStyle name="Notas 11 3 4" xfId="40007" xr:uid="{00000000-0005-0000-0000-0000BB7C0000}"/>
    <cellStyle name="Notas 11 4" xfId="30943" xr:uid="{00000000-0005-0000-0000-0000BC7C0000}"/>
    <cellStyle name="Notas 11 5" xfId="33232" xr:uid="{00000000-0005-0000-0000-0000BD7C0000}"/>
    <cellStyle name="Notas 11 6" xfId="40005" xr:uid="{00000000-0005-0000-0000-0000BE7C0000}"/>
    <cellStyle name="Notas 12" xfId="11114" xr:uid="{00000000-0005-0000-0000-0000BF7C0000}"/>
    <cellStyle name="Notas 12 2" xfId="12011" xr:uid="{00000000-0005-0000-0000-0000C07C0000}"/>
    <cellStyle name="Notas 12 2 2" xfId="30947" xr:uid="{00000000-0005-0000-0000-0000C17C0000}"/>
    <cellStyle name="Notas 12 2 3" xfId="33236" xr:uid="{00000000-0005-0000-0000-0000C27C0000}"/>
    <cellStyle name="Notas 12 2 4" xfId="40009" xr:uid="{00000000-0005-0000-0000-0000C37C0000}"/>
    <cellStyle name="Notas 12 3" xfId="12012" xr:uid="{00000000-0005-0000-0000-0000C47C0000}"/>
    <cellStyle name="Notas 12 3 2" xfId="30948" xr:uid="{00000000-0005-0000-0000-0000C57C0000}"/>
    <cellStyle name="Notas 12 3 3" xfId="33237" xr:uid="{00000000-0005-0000-0000-0000C67C0000}"/>
    <cellStyle name="Notas 12 3 4" xfId="40010" xr:uid="{00000000-0005-0000-0000-0000C77C0000}"/>
    <cellStyle name="Notas 12 4" xfId="30946" xr:uid="{00000000-0005-0000-0000-0000C87C0000}"/>
    <cellStyle name="Notas 12 5" xfId="33235" xr:uid="{00000000-0005-0000-0000-0000C97C0000}"/>
    <cellStyle name="Notas 12 6" xfId="40008" xr:uid="{00000000-0005-0000-0000-0000CA7C0000}"/>
    <cellStyle name="Notas 13" xfId="11115" xr:uid="{00000000-0005-0000-0000-0000CB7C0000}"/>
    <cellStyle name="Notas 13 2" xfId="12013" xr:uid="{00000000-0005-0000-0000-0000CC7C0000}"/>
    <cellStyle name="Notas 13 2 2" xfId="30950" xr:uid="{00000000-0005-0000-0000-0000CD7C0000}"/>
    <cellStyle name="Notas 13 2 3" xfId="33239" xr:uid="{00000000-0005-0000-0000-0000CE7C0000}"/>
    <cellStyle name="Notas 13 2 4" xfId="40012" xr:uid="{00000000-0005-0000-0000-0000CF7C0000}"/>
    <cellStyle name="Notas 13 3" xfId="12014" xr:uid="{00000000-0005-0000-0000-0000D07C0000}"/>
    <cellStyle name="Notas 13 3 2" xfId="30951" xr:uid="{00000000-0005-0000-0000-0000D17C0000}"/>
    <cellStyle name="Notas 13 3 3" xfId="33240" xr:uid="{00000000-0005-0000-0000-0000D27C0000}"/>
    <cellStyle name="Notas 13 3 4" xfId="40013" xr:uid="{00000000-0005-0000-0000-0000D37C0000}"/>
    <cellStyle name="Notas 13 4" xfId="30949" xr:uid="{00000000-0005-0000-0000-0000D47C0000}"/>
    <cellStyle name="Notas 13 5" xfId="33238" xr:uid="{00000000-0005-0000-0000-0000D57C0000}"/>
    <cellStyle name="Notas 13 6" xfId="40011" xr:uid="{00000000-0005-0000-0000-0000D67C0000}"/>
    <cellStyle name="Notas 14" xfId="11116" xr:uid="{00000000-0005-0000-0000-0000D77C0000}"/>
    <cellStyle name="Notas 14 2" xfId="12015" xr:uid="{00000000-0005-0000-0000-0000D87C0000}"/>
    <cellStyle name="Notas 14 2 2" xfId="30953" xr:uid="{00000000-0005-0000-0000-0000D97C0000}"/>
    <cellStyle name="Notas 14 2 3" xfId="33242" xr:uid="{00000000-0005-0000-0000-0000DA7C0000}"/>
    <cellStyle name="Notas 14 2 4" xfId="40015" xr:uid="{00000000-0005-0000-0000-0000DB7C0000}"/>
    <cellStyle name="Notas 14 3" xfId="12016" xr:uid="{00000000-0005-0000-0000-0000DC7C0000}"/>
    <cellStyle name="Notas 14 3 2" xfId="30954" xr:uid="{00000000-0005-0000-0000-0000DD7C0000}"/>
    <cellStyle name="Notas 14 3 3" xfId="33243" xr:uid="{00000000-0005-0000-0000-0000DE7C0000}"/>
    <cellStyle name="Notas 14 3 4" xfId="40016" xr:uid="{00000000-0005-0000-0000-0000DF7C0000}"/>
    <cellStyle name="Notas 14 4" xfId="30952" xr:uid="{00000000-0005-0000-0000-0000E07C0000}"/>
    <cellStyle name="Notas 14 5" xfId="33241" xr:uid="{00000000-0005-0000-0000-0000E17C0000}"/>
    <cellStyle name="Notas 14 6" xfId="40014" xr:uid="{00000000-0005-0000-0000-0000E27C0000}"/>
    <cellStyle name="Notas 15" xfId="11117" xr:uid="{00000000-0005-0000-0000-0000E37C0000}"/>
    <cellStyle name="Notas 15 2" xfId="12017" xr:uid="{00000000-0005-0000-0000-0000E47C0000}"/>
    <cellStyle name="Notas 15 2 2" xfId="30956" xr:uid="{00000000-0005-0000-0000-0000E57C0000}"/>
    <cellStyle name="Notas 15 2 3" xfId="33245" xr:uid="{00000000-0005-0000-0000-0000E67C0000}"/>
    <cellStyle name="Notas 15 2 4" xfId="40018" xr:uid="{00000000-0005-0000-0000-0000E77C0000}"/>
    <cellStyle name="Notas 15 3" xfId="12018" xr:uid="{00000000-0005-0000-0000-0000E87C0000}"/>
    <cellStyle name="Notas 15 3 2" xfId="30957" xr:uid="{00000000-0005-0000-0000-0000E97C0000}"/>
    <cellStyle name="Notas 15 3 3" xfId="33246" xr:uid="{00000000-0005-0000-0000-0000EA7C0000}"/>
    <cellStyle name="Notas 15 3 4" xfId="40019" xr:uid="{00000000-0005-0000-0000-0000EB7C0000}"/>
    <cellStyle name="Notas 15 4" xfId="30955" xr:uid="{00000000-0005-0000-0000-0000EC7C0000}"/>
    <cellStyle name="Notas 15 5" xfId="33244" xr:uid="{00000000-0005-0000-0000-0000ED7C0000}"/>
    <cellStyle name="Notas 15 6" xfId="40017" xr:uid="{00000000-0005-0000-0000-0000EE7C0000}"/>
    <cellStyle name="Notas 16" xfId="11118" xr:uid="{00000000-0005-0000-0000-0000EF7C0000}"/>
    <cellStyle name="Notas 16 2" xfId="12019" xr:uid="{00000000-0005-0000-0000-0000F07C0000}"/>
    <cellStyle name="Notas 16 2 2" xfId="30959" xr:uid="{00000000-0005-0000-0000-0000F17C0000}"/>
    <cellStyle name="Notas 16 2 3" xfId="33248" xr:uid="{00000000-0005-0000-0000-0000F27C0000}"/>
    <cellStyle name="Notas 16 2 4" xfId="40021" xr:uid="{00000000-0005-0000-0000-0000F37C0000}"/>
    <cellStyle name="Notas 16 3" xfId="12020" xr:uid="{00000000-0005-0000-0000-0000F47C0000}"/>
    <cellStyle name="Notas 16 3 2" xfId="30960" xr:uid="{00000000-0005-0000-0000-0000F57C0000}"/>
    <cellStyle name="Notas 16 3 3" xfId="33249" xr:uid="{00000000-0005-0000-0000-0000F67C0000}"/>
    <cellStyle name="Notas 16 3 4" xfId="40022" xr:uid="{00000000-0005-0000-0000-0000F77C0000}"/>
    <cellStyle name="Notas 16 4" xfId="30958" xr:uid="{00000000-0005-0000-0000-0000F87C0000}"/>
    <cellStyle name="Notas 16 5" xfId="33247" xr:uid="{00000000-0005-0000-0000-0000F97C0000}"/>
    <cellStyle name="Notas 16 6" xfId="40020" xr:uid="{00000000-0005-0000-0000-0000FA7C0000}"/>
    <cellStyle name="Notas 17" xfId="11119" xr:uid="{00000000-0005-0000-0000-0000FB7C0000}"/>
    <cellStyle name="Notas 17 2" xfId="12021" xr:uid="{00000000-0005-0000-0000-0000FC7C0000}"/>
    <cellStyle name="Notas 17 2 2" xfId="30962" xr:uid="{00000000-0005-0000-0000-0000FD7C0000}"/>
    <cellStyle name="Notas 17 2 3" xfId="33251" xr:uid="{00000000-0005-0000-0000-0000FE7C0000}"/>
    <cellStyle name="Notas 17 2 4" xfId="40024" xr:uid="{00000000-0005-0000-0000-0000FF7C0000}"/>
    <cellStyle name="Notas 17 3" xfId="12022" xr:uid="{00000000-0005-0000-0000-0000007D0000}"/>
    <cellStyle name="Notas 17 3 2" xfId="30963" xr:uid="{00000000-0005-0000-0000-0000017D0000}"/>
    <cellStyle name="Notas 17 3 3" xfId="33252" xr:uid="{00000000-0005-0000-0000-0000027D0000}"/>
    <cellStyle name="Notas 17 3 4" xfId="40025" xr:uid="{00000000-0005-0000-0000-0000037D0000}"/>
    <cellStyle name="Notas 17 4" xfId="30961" xr:uid="{00000000-0005-0000-0000-0000047D0000}"/>
    <cellStyle name="Notas 17 5" xfId="33250" xr:uid="{00000000-0005-0000-0000-0000057D0000}"/>
    <cellStyle name="Notas 17 6" xfId="40023" xr:uid="{00000000-0005-0000-0000-0000067D0000}"/>
    <cellStyle name="Notas 18" xfId="11120" xr:uid="{00000000-0005-0000-0000-0000077D0000}"/>
    <cellStyle name="Notas 18 2" xfId="12023" xr:uid="{00000000-0005-0000-0000-0000087D0000}"/>
    <cellStyle name="Notas 18 2 2" xfId="30965" xr:uid="{00000000-0005-0000-0000-0000097D0000}"/>
    <cellStyle name="Notas 18 2 3" xfId="33254" xr:uid="{00000000-0005-0000-0000-00000A7D0000}"/>
    <cellStyle name="Notas 18 2 4" xfId="40027" xr:uid="{00000000-0005-0000-0000-00000B7D0000}"/>
    <cellStyle name="Notas 18 3" xfId="12024" xr:uid="{00000000-0005-0000-0000-00000C7D0000}"/>
    <cellStyle name="Notas 18 3 2" xfId="30966" xr:uid="{00000000-0005-0000-0000-00000D7D0000}"/>
    <cellStyle name="Notas 18 3 3" xfId="33255" xr:uid="{00000000-0005-0000-0000-00000E7D0000}"/>
    <cellStyle name="Notas 18 3 4" xfId="40028" xr:uid="{00000000-0005-0000-0000-00000F7D0000}"/>
    <cellStyle name="Notas 18 4" xfId="30964" xr:uid="{00000000-0005-0000-0000-0000107D0000}"/>
    <cellStyle name="Notas 18 5" xfId="33253" xr:uid="{00000000-0005-0000-0000-0000117D0000}"/>
    <cellStyle name="Notas 18 6" xfId="40026" xr:uid="{00000000-0005-0000-0000-0000127D0000}"/>
    <cellStyle name="Notas 19" xfId="11121" xr:uid="{00000000-0005-0000-0000-0000137D0000}"/>
    <cellStyle name="Notas 19 2" xfId="12025" xr:uid="{00000000-0005-0000-0000-0000147D0000}"/>
    <cellStyle name="Notas 19 2 2" xfId="30968" xr:uid="{00000000-0005-0000-0000-0000157D0000}"/>
    <cellStyle name="Notas 19 2 3" xfId="33257" xr:uid="{00000000-0005-0000-0000-0000167D0000}"/>
    <cellStyle name="Notas 19 2 4" xfId="40030" xr:uid="{00000000-0005-0000-0000-0000177D0000}"/>
    <cellStyle name="Notas 19 3" xfId="12026" xr:uid="{00000000-0005-0000-0000-0000187D0000}"/>
    <cellStyle name="Notas 19 3 2" xfId="30969" xr:uid="{00000000-0005-0000-0000-0000197D0000}"/>
    <cellStyle name="Notas 19 3 3" xfId="33258" xr:uid="{00000000-0005-0000-0000-00001A7D0000}"/>
    <cellStyle name="Notas 19 3 4" xfId="40031" xr:uid="{00000000-0005-0000-0000-00001B7D0000}"/>
    <cellStyle name="Notas 19 4" xfId="30967" xr:uid="{00000000-0005-0000-0000-00001C7D0000}"/>
    <cellStyle name="Notas 19 5" xfId="33256" xr:uid="{00000000-0005-0000-0000-00001D7D0000}"/>
    <cellStyle name="Notas 19 6" xfId="40029" xr:uid="{00000000-0005-0000-0000-00001E7D0000}"/>
    <cellStyle name="Notas 2" xfId="11122" xr:uid="{00000000-0005-0000-0000-00001F7D0000}"/>
    <cellStyle name="Notas 2 10" xfId="23184" xr:uid="{00000000-0005-0000-0000-0000207D0000}"/>
    <cellStyle name="Notas 2 10 2" xfId="23185" xr:uid="{00000000-0005-0000-0000-0000217D0000}"/>
    <cellStyle name="Notas 2 10 2 2" xfId="30972" xr:uid="{00000000-0005-0000-0000-0000227D0000}"/>
    <cellStyle name="Notas 2 10 3" xfId="23186" xr:uid="{00000000-0005-0000-0000-0000237D0000}"/>
    <cellStyle name="Notas 2 10 3 2" xfId="30973" xr:uid="{00000000-0005-0000-0000-0000247D0000}"/>
    <cellStyle name="Notas 2 10 4" xfId="23187" xr:uid="{00000000-0005-0000-0000-0000257D0000}"/>
    <cellStyle name="Notas 2 10 4 2" xfId="30974" xr:uid="{00000000-0005-0000-0000-0000267D0000}"/>
    <cellStyle name="Notas 2 10 5" xfId="23188" xr:uid="{00000000-0005-0000-0000-0000277D0000}"/>
    <cellStyle name="Notas 2 10 5 2" xfId="30975" xr:uid="{00000000-0005-0000-0000-0000287D0000}"/>
    <cellStyle name="Notas 2 10 6" xfId="23189" xr:uid="{00000000-0005-0000-0000-0000297D0000}"/>
    <cellStyle name="Notas 2 10 6 2" xfId="30976" xr:uid="{00000000-0005-0000-0000-00002A7D0000}"/>
    <cellStyle name="Notas 2 10 7" xfId="30971" xr:uid="{00000000-0005-0000-0000-00002B7D0000}"/>
    <cellStyle name="Notas 2 11" xfId="23190" xr:uid="{00000000-0005-0000-0000-00002C7D0000}"/>
    <cellStyle name="Notas 2 11 2" xfId="23191" xr:uid="{00000000-0005-0000-0000-00002D7D0000}"/>
    <cellStyle name="Notas 2 11 2 2" xfId="30978" xr:uid="{00000000-0005-0000-0000-00002E7D0000}"/>
    <cellStyle name="Notas 2 11 3" xfId="23192" xr:uid="{00000000-0005-0000-0000-00002F7D0000}"/>
    <cellStyle name="Notas 2 11 3 2" xfId="30979" xr:uid="{00000000-0005-0000-0000-0000307D0000}"/>
    <cellStyle name="Notas 2 11 4" xfId="23193" xr:uid="{00000000-0005-0000-0000-0000317D0000}"/>
    <cellStyle name="Notas 2 11 4 2" xfId="30980" xr:uid="{00000000-0005-0000-0000-0000327D0000}"/>
    <cellStyle name="Notas 2 11 5" xfId="23194" xr:uid="{00000000-0005-0000-0000-0000337D0000}"/>
    <cellStyle name="Notas 2 11 5 2" xfId="30981" xr:uid="{00000000-0005-0000-0000-0000347D0000}"/>
    <cellStyle name="Notas 2 11 6" xfId="23195" xr:uid="{00000000-0005-0000-0000-0000357D0000}"/>
    <cellStyle name="Notas 2 11 6 2" xfId="30982" xr:uid="{00000000-0005-0000-0000-0000367D0000}"/>
    <cellStyle name="Notas 2 11 7" xfId="30977" xr:uid="{00000000-0005-0000-0000-0000377D0000}"/>
    <cellStyle name="Notas 2 12" xfId="23196" xr:uid="{00000000-0005-0000-0000-0000387D0000}"/>
    <cellStyle name="Notas 2 12 2" xfId="23197" xr:uid="{00000000-0005-0000-0000-0000397D0000}"/>
    <cellStyle name="Notas 2 12 2 2" xfId="30984" xr:uid="{00000000-0005-0000-0000-00003A7D0000}"/>
    <cellStyle name="Notas 2 12 3" xfId="23198" xr:uid="{00000000-0005-0000-0000-00003B7D0000}"/>
    <cellStyle name="Notas 2 12 3 2" xfId="30985" xr:uid="{00000000-0005-0000-0000-00003C7D0000}"/>
    <cellStyle name="Notas 2 12 4" xfId="23199" xr:uid="{00000000-0005-0000-0000-00003D7D0000}"/>
    <cellStyle name="Notas 2 12 4 2" xfId="30986" xr:uid="{00000000-0005-0000-0000-00003E7D0000}"/>
    <cellStyle name="Notas 2 12 5" xfId="23200" xr:uid="{00000000-0005-0000-0000-00003F7D0000}"/>
    <cellStyle name="Notas 2 12 5 2" xfId="30987" xr:uid="{00000000-0005-0000-0000-0000407D0000}"/>
    <cellStyle name="Notas 2 12 6" xfId="23201" xr:uid="{00000000-0005-0000-0000-0000417D0000}"/>
    <cellStyle name="Notas 2 12 6 2" xfId="30988" xr:uid="{00000000-0005-0000-0000-0000427D0000}"/>
    <cellStyle name="Notas 2 12 7" xfId="30983" xr:uid="{00000000-0005-0000-0000-0000437D0000}"/>
    <cellStyle name="Notas 2 13" xfId="23202" xr:uid="{00000000-0005-0000-0000-0000447D0000}"/>
    <cellStyle name="Notas 2 13 2" xfId="23203" xr:uid="{00000000-0005-0000-0000-0000457D0000}"/>
    <cellStyle name="Notas 2 13 2 2" xfId="30990" xr:uid="{00000000-0005-0000-0000-0000467D0000}"/>
    <cellStyle name="Notas 2 13 3" xfId="23204" xr:uid="{00000000-0005-0000-0000-0000477D0000}"/>
    <cellStyle name="Notas 2 13 3 2" xfId="30991" xr:uid="{00000000-0005-0000-0000-0000487D0000}"/>
    <cellStyle name="Notas 2 13 4" xfId="23205" xr:uid="{00000000-0005-0000-0000-0000497D0000}"/>
    <cellStyle name="Notas 2 13 4 2" xfId="30992" xr:uid="{00000000-0005-0000-0000-00004A7D0000}"/>
    <cellStyle name="Notas 2 13 5" xfId="23206" xr:uid="{00000000-0005-0000-0000-00004B7D0000}"/>
    <cellStyle name="Notas 2 13 5 2" xfId="30993" xr:uid="{00000000-0005-0000-0000-00004C7D0000}"/>
    <cellStyle name="Notas 2 13 6" xfId="23207" xr:uid="{00000000-0005-0000-0000-00004D7D0000}"/>
    <cellStyle name="Notas 2 13 6 2" xfId="30994" xr:uid="{00000000-0005-0000-0000-00004E7D0000}"/>
    <cellStyle name="Notas 2 13 7" xfId="30989" xr:uid="{00000000-0005-0000-0000-00004F7D0000}"/>
    <cellStyle name="Notas 2 14" xfId="23208" xr:uid="{00000000-0005-0000-0000-0000507D0000}"/>
    <cellStyle name="Notas 2 14 2" xfId="23209" xr:uid="{00000000-0005-0000-0000-0000517D0000}"/>
    <cellStyle name="Notas 2 14 2 2" xfId="30996" xr:uid="{00000000-0005-0000-0000-0000527D0000}"/>
    <cellStyle name="Notas 2 14 3" xfId="23210" xr:uid="{00000000-0005-0000-0000-0000537D0000}"/>
    <cellStyle name="Notas 2 14 3 2" xfId="30997" xr:uid="{00000000-0005-0000-0000-0000547D0000}"/>
    <cellStyle name="Notas 2 14 4" xfId="23211" xr:uid="{00000000-0005-0000-0000-0000557D0000}"/>
    <cellStyle name="Notas 2 14 4 2" xfId="30998" xr:uid="{00000000-0005-0000-0000-0000567D0000}"/>
    <cellStyle name="Notas 2 14 5" xfId="23212" xr:uid="{00000000-0005-0000-0000-0000577D0000}"/>
    <cellStyle name="Notas 2 14 5 2" xfId="30999" xr:uid="{00000000-0005-0000-0000-0000587D0000}"/>
    <cellStyle name="Notas 2 14 6" xfId="23213" xr:uid="{00000000-0005-0000-0000-0000597D0000}"/>
    <cellStyle name="Notas 2 14 6 2" xfId="31000" xr:uid="{00000000-0005-0000-0000-00005A7D0000}"/>
    <cellStyle name="Notas 2 14 7" xfId="30995" xr:uid="{00000000-0005-0000-0000-00005B7D0000}"/>
    <cellStyle name="Notas 2 15" xfId="23214" xr:uid="{00000000-0005-0000-0000-00005C7D0000}"/>
    <cellStyle name="Notas 2 15 2" xfId="23215" xr:uid="{00000000-0005-0000-0000-00005D7D0000}"/>
    <cellStyle name="Notas 2 15 2 2" xfId="31002" xr:uid="{00000000-0005-0000-0000-00005E7D0000}"/>
    <cellStyle name="Notas 2 15 3" xfId="31001" xr:uid="{00000000-0005-0000-0000-00005F7D0000}"/>
    <cellStyle name="Notas 2 16" xfId="23216" xr:uid="{00000000-0005-0000-0000-0000607D0000}"/>
    <cellStyle name="Notas 2 16 2" xfId="31003" xr:uid="{00000000-0005-0000-0000-0000617D0000}"/>
    <cellStyle name="Notas 2 17" xfId="30970" xr:uid="{00000000-0005-0000-0000-0000627D0000}"/>
    <cellStyle name="Notas 2 18" xfId="33259" xr:uid="{00000000-0005-0000-0000-0000637D0000}"/>
    <cellStyle name="Notas 2 19" xfId="33912" xr:uid="{00000000-0005-0000-0000-0000647D0000}"/>
    <cellStyle name="Notas 2 2" xfId="12027" xr:uid="{00000000-0005-0000-0000-0000657D0000}"/>
    <cellStyle name="Notas 2 2 10" xfId="23217" xr:uid="{00000000-0005-0000-0000-0000667D0000}"/>
    <cellStyle name="Notas 2 2 10 2" xfId="23218" xr:uid="{00000000-0005-0000-0000-0000677D0000}"/>
    <cellStyle name="Notas 2 2 10 2 2" xfId="31006" xr:uid="{00000000-0005-0000-0000-0000687D0000}"/>
    <cellStyle name="Notas 2 2 10 3" xfId="23219" xr:uid="{00000000-0005-0000-0000-0000697D0000}"/>
    <cellStyle name="Notas 2 2 10 3 2" xfId="31007" xr:uid="{00000000-0005-0000-0000-00006A7D0000}"/>
    <cellStyle name="Notas 2 2 10 4" xfId="23220" xr:uid="{00000000-0005-0000-0000-00006B7D0000}"/>
    <cellStyle name="Notas 2 2 10 4 2" xfId="31008" xr:uid="{00000000-0005-0000-0000-00006C7D0000}"/>
    <cellStyle name="Notas 2 2 10 5" xfId="23221" xr:uid="{00000000-0005-0000-0000-00006D7D0000}"/>
    <cellStyle name="Notas 2 2 10 5 2" xfId="31009" xr:uid="{00000000-0005-0000-0000-00006E7D0000}"/>
    <cellStyle name="Notas 2 2 10 6" xfId="23222" xr:uid="{00000000-0005-0000-0000-00006F7D0000}"/>
    <cellStyle name="Notas 2 2 10 6 2" xfId="31010" xr:uid="{00000000-0005-0000-0000-0000707D0000}"/>
    <cellStyle name="Notas 2 2 10 7" xfId="31005" xr:uid="{00000000-0005-0000-0000-0000717D0000}"/>
    <cellStyle name="Notas 2 2 11" xfId="23223" xr:uid="{00000000-0005-0000-0000-0000727D0000}"/>
    <cellStyle name="Notas 2 2 11 2" xfId="23224" xr:uid="{00000000-0005-0000-0000-0000737D0000}"/>
    <cellStyle name="Notas 2 2 11 2 2" xfId="31012" xr:uid="{00000000-0005-0000-0000-0000747D0000}"/>
    <cellStyle name="Notas 2 2 11 3" xfId="31011" xr:uid="{00000000-0005-0000-0000-0000757D0000}"/>
    <cellStyle name="Notas 2 2 12" xfId="23225" xr:uid="{00000000-0005-0000-0000-0000767D0000}"/>
    <cellStyle name="Notas 2 2 12 2" xfId="31013" xr:uid="{00000000-0005-0000-0000-0000777D0000}"/>
    <cellStyle name="Notas 2 2 13" xfId="31004" xr:uid="{00000000-0005-0000-0000-0000787D0000}"/>
    <cellStyle name="Notas 2 2 14" xfId="33260" xr:uid="{00000000-0005-0000-0000-0000797D0000}"/>
    <cellStyle name="Notas 2 2 15" xfId="33913" xr:uid="{00000000-0005-0000-0000-00007A7D0000}"/>
    <cellStyle name="Notas 2 2 16" xfId="40033" xr:uid="{00000000-0005-0000-0000-00007B7D0000}"/>
    <cellStyle name="Notas 2 2 2" xfId="23226" xr:uid="{00000000-0005-0000-0000-00007C7D0000}"/>
    <cellStyle name="Notas 2 2 2 10" xfId="23227" xr:uid="{00000000-0005-0000-0000-00007D7D0000}"/>
    <cellStyle name="Notas 2 2 2 10 2" xfId="23228" xr:uid="{00000000-0005-0000-0000-00007E7D0000}"/>
    <cellStyle name="Notas 2 2 2 10 2 2" xfId="31016" xr:uid="{00000000-0005-0000-0000-00007F7D0000}"/>
    <cellStyle name="Notas 2 2 2 10 3" xfId="31015" xr:uid="{00000000-0005-0000-0000-0000807D0000}"/>
    <cellStyle name="Notas 2 2 2 11" xfId="31014" xr:uid="{00000000-0005-0000-0000-0000817D0000}"/>
    <cellStyle name="Notas 2 2 2 12" xfId="33914" xr:uid="{00000000-0005-0000-0000-0000827D0000}"/>
    <cellStyle name="Notas 2 2 2 13" xfId="40034" xr:uid="{00000000-0005-0000-0000-0000837D0000}"/>
    <cellStyle name="Notas 2 2 2 2" xfId="23229" xr:uid="{00000000-0005-0000-0000-0000847D0000}"/>
    <cellStyle name="Notas 2 2 2 2 2" xfId="23230" xr:uid="{00000000-0005-0000-0000-0000857D0000}"/>
    <cellStyle name="Notas 2 2 2 2 2 2" xfId="31018" xr:uid="{00000000-0005-0000-0000-0000867D0000}"/>
    <cellStyle name="Notas 2 2 2 2 3" xfId="23231" xr:uid="{00000000-0005-0000-0000-0000877D0000}"/>
    <cellStyle name="Notas 2 2 2 2 3 2" xfId="31019" xr:uid="{00000000-0005-0000-0000-0000887D0000}"/>
    <cellStyle name="Notas 2 2 2 2 4" xfId="23232" xr:uid="{00000000-0005-0000-0000-0000897D0000}"/>
    <cellStyle name="Notas 2 2 2 2 4 2" xfId="31020" xr:uid="{00000000-0005-0000-0000-00008A7D0000}"/>
    <cellStyle name="Notas 2 2 2 2 5" xfId="23233" xr:uid="{00000000-0005-0000-0000-00008B7D0000}"/>
    <cellStyle name="Notas 2 2 2 2 5 2" xfId="31021" xr:uid="{00000000-0005-0000-0000-00008C7D0000}"/>
    <cellStyle name="Notas 2 2 2 2 6" xfId="23234" xr:uid="{00000000-0005-0000-0000-00008D7D0000}"/>
    <cellStyle name="Notas 2 2 2 2 6 2" xfId="31022" xr:uid="{00000000-0005-0000-0000-00008E7D0000}"/>
    <cellStyle name="Notas 2 2 2 2 7" xfId="31017" xr:uid="{00000000-0005-0000-0000-00008F7D0000}"/>
    <cellStyle name="Notas 2 2 2 3" xfId="23235" xr:uid="{00000000-0005-0000-0000-0000907D0000}"/>
    <cellStyle name="Notas 2 2 2 3 2" xfId="23236" xr:uid="{00000000-0005-0000-0000-0000917D0000}"/>
    <cellStyle name="Notas 2 2 2 3 2 2" xfId="31024" xr:uid="{00000000-0005-0000-0000-0000927D0000}"/>
    <cellStyle name="Notas 2 2 2 3 3" xfId="23237" xr:uid="{00000000-0005-0000-0000-0000937D0000}"/>
    <cellStyle name="Notas 2 2 2 3 3 2" xfId="31025" xr:uid="{00000000-0005-0000-0000-0000947D0000}"/>
    <cellStyle name="Notas 2 2 2 3 4" xfId="23238" xr:uid="{00000000-0005-0000-0000-0000957D0000}"/>
    <cellStyle name="Notas 2 2 2 3 4 2" xfId="31026" xr:uid="{00000000-0005-0000-0000-0000967D0000}"/>
    <cellStyle name="Notas 2 2 2 3 5" xfId="23239" xr:uid="{00000000-0005-0000-0000-0000977D0000}"/>
    <cellStyle name="Notas 2 2 2 3 5 2" xfId="31027" xr:uid="{00000000-0005-0000-0000-0000987D0000}"/>
    <cellStyle name="Notas 2 2 2 3 6" xfId="23240" xr:uid="{00000000-0005-0000-0000-0000997D0000}"/>
    <cellStyle name="Notas 2 2 2 3 6 2" xfId="31028" xr:uid="{00000000-0005-0000-0000-00009A7D0000}"/>
    <cellStyle name="Notas 2 2 2 3 7" xfId="31023" xr:uid="{00000000-0005-0000-0000-00009B7D0000}"/>
    <cellStyle name="Notas 2 2 2 4" xfId="23241" xr:uid="{00000000-0005-0000-0000-00009C7D0000}"/>
    <cellStyle name="Notas 2 2 2 4 2" xfId="23242" xr:uid="{00000000-0005-0000-0000-00009D7D0000}"/>
    <cellStyle name="Notas 2 2 2 4 2 2" xfId="31030" xr:uid="{00000000-0005-0000-0000-00009E7D0000}"/>
    <cellStyle name="Notas 2 2 2 4 3" xfId="23243" xr:uid="{00000000-0005-0000-0000-00009F7D0000}"/>
    <cellStyle name="Notas 2 2 2 4 3 2" xfId="31031" xr:uid="{00000000-0005-0000-0000-0000A07D0000}"/>
    <cellStyle name="Notas 2 2 2 4 4" xfId="23244" xr:uid="{00000000-0005-0000-0000-0000A17D0000}"/>
    <cellStyle name="Notas 2 2 2 4 4 2" xfId="31032" xr:uid="{00000000-0005-0000-0000-0000A27D0000}"/>
    <cellStyle name="Notas 2 2 2 4 5" xfId="23245" xr:uid="{00000000-0005-0000-0000-0000A37D0000}"/>
    <cellStyle name="Notas 2 2 2 4 5 2" xfId="31033" xr:uid="{00000000-0005-0000-0000-0000A47D0000}"/>
    <cellStyle name="Notas 2 2 2 4 6" xfId="23246" xr:uid="{00000000-0005-0000-0000-0000A57D0000}"/>
    <cellStyle name="Notas 2 2 2 4 6 2" xfId="31034" xr:uid="{00000000-0005-0000-0000-0000A67D0000}"/>
    <cellStyle name="Notas 2 2 2 4 7" xfId="31029" xr:uid="{00000000-0005-0000-0000-0000A77D0000}"/>
    <cellStyle name="Notas 2 2 2 5" xfId="23247" xr:uid="{00000000-0005-0000-0000-0000A87D0000}"/>
    <cellStyle name="Notas 2 2 2 5 2" xfId="23248" xr:uid="{00000000-0005-0000-0000-0000A97D0000}"/>
    <cellStyle name="Notas 2 2 2 5 2 2" xfId="31036" xr:uid="{00000000-0005-0000-0000-0000AA7D0000}"/>
    <cellStyle name="Notas 2 2 2 5 3" xfId="23249" xr:uid="{00000000-0005-0000-0000-0000AB7D0000}"/>
    <cellStyle name="Notas 2 2 2 5 3 2" xfId="31037" xr:uid="{00000000-0005-0000-0000-0000AC7D0000}"/>
    <cellStyle name="Notas 2 2 2 5 4" xfId="23250" xr:uid="{00000000-0005-0000-0000-0000AD7D0000}"/>
    <cellStyle name="Notas 2 2 2 5 4 2" xfId="31038" xr:uid="{00000000-0005-0000-0000-0000AE7D0000}"/>
    <cellStyle name="Notas 2 2 2 5 5" xfId="23251" xr:uid="{00000000-0005-0000-0000-0000AF7D0000}"/>
    <cellStyle name="Notas 2 2 2 5 5 2" xfId="31039" xr:uid="{00000000-0005-0000-0000-0000B07D0000}"/>
    <cellStyle name="Notas 2 2 2 5 6" xfId="23252" xr:uid="{00000000-0005-0000-0000-0000B17D0000}"/>
    <cellStyle name="Notas 2 2 2 5 6 2" xfId="31040" xr:uid="{00000000-0005-0000-0000-0000B27D0000}"/>
    <cellStyle name="Notas 2 2 2 5 7" xfId="31035" xr:uid="{00000000-0005-0000-0000-0000B37D0000}"/>
    <cellStyle name="Notas 2 2 2 6" xfId="23253" xr:uid="{00000000-0005-0000-0000-0000B47D0000}"/>
    <cellStyle name="Notas 2 2 2 6 2" xfId="23254" xr:uid="{00000000-0005-0000-0000-0000B57D0000}"/>
    <cellStyle name="Notas 2 2 2 6 2 2" xfId="31042" xr:uid="{00000000-0005-0000-0000-0000B67D0000}"/>
    <cellStyle name="Notas 2 2 2 6 3" xfId="23255" xr:uid="{00000000-0005-0000-0000-0000B77D0000}"/>
    <cellStyle name="Notas 2 2 2 6 3 2" xfId="31043" xr:uid="{00000000-0005-0000-0000-0000B87D0000}"/>
    <cellStyle name="Notas 2 2 2 6 4" xfId="23256" xr:uid="{00000000-0005-0000-0000-0000B97D0000}"/>
    <cellStyle name="Notas 2 2 2 6 4 2" xfId="31044" xr:uid="{00000000-0005-0000-0000-0000BA7D0000}"/>
    <cellStyle name="Notas 2 2 2 6 5" xfId="23257" xr:uid="{00000000-0005-0000-0000-0000BB7D0000}"/>
    <cellStyle name="Notas 2 2 2 6 5 2" xfId="31045" xr:uid="{00000000-0005-0000-0000-0000BC7D0000}"/>
    <cellStyle name="Notas 2 2 2 6 6" xfId="23258" xr:uid="{00000000-0005-0000-0000-0000BD7D0000}"/>
    <cellStyle name="Notas 2 2 2 6 6 2" xfId="31046" xr:uid="{00000000-0005-0000-0000-0000BE7D0000}"/>
    <cellStyle name="Notas 2 2 2 6 7" xfId="31041" xr:uid="{00000000-0005-0000-0000-0000BF7D0000}"/>
    <cellStyle name="Notas 2 2 2 7" xfId="23259" xr:uid="{00000000-0005-0000-0000-0000C07D0000}"/>
    <cellStyle name="Notas 2 2 2 7 2" xfId="23260" xr:uid="{00000000-0005-0000-0000-0000C17D0000}"/>
    <cellStyle name="Notas 2 2 2 7 2 2" xfId="31048" xr:uid="{00000000-0005-0000-0000-0000C27D0000}"/>
    <cellStyle name="Notas 2 2 2 7 3" xfId="23261" xr:uid="{00000000-0005-0000-0000-0000C37D0000}"/>
    <cellStyle name="Notas 2 2 2 7 3 2" xfId="31049" xr:uid="{00000000-0005-0000-0000-0000C47D0000}"/>
    <cellStyle name="Notas 2 2 2 7 4" xfId="23262" xr:uid="{00000000-0005-0000-0000-0000C57D0000}"/>
    <cellStyle name="Notas 2 2 2 7 4 2" xfId="31050" xr:uid="{00000000-0005-0000-0000-0000C67D0000}"/>
    <cellStyle name="Notas 2 2 2 7 5" xfId="23263" xr:uid="{00000000-0005-0000-0000-0000C77D0000}"/>
    <cellStyle name="Notas 2 2 2 7 5 2" xfId="31051" xr:uid="{00000000-0005-0000-0000-0000C87D0000}"/>
    <cellStyle name="Notas 2 2 2 7 6" xfId="23264" xr:uid="{00000000-0005-0000-0000-0000C97D0000}"/>
    <cellStyle name="Notas 2 2 2 7 6 2" xfId="31052" xr:uid="{00000000-0005-0000-0000-0000CA7D0000}"/>
    <cellStyle name="Notas 2 2 2 7 7" xfId="31047" xr:uid="{00000000-0005-0000-0000-0000CB7D0000}"/>
    <cellStyle name="Notas 2 2 2 8" xfId="23265" xr:uid="{00000000-0005-0000-0000-0000CC7D0000}"/>
    <cellStyle name="Notas 2 2 2 8 2" xfId="23266" xr:uid="{00000000-0005-0000-0000-0000CD7D0000}"/>
    <cellStyle name="Notas 2 2 2 8 2 2" xfId="31054" xr:uid="{00000000-0005-0000-0000-0000CE7D0000}"/>
    <cellStyle name="Notas 2 2 2 8 3" xfId="23267" xr:uid="{00000000-0005-0000-0000-0000CF7D0000}"/>
    <cellStyle name="Notas 2 2 2 8 3 2" xfId="31055" xr:uid="{00000000-0005-0000-0000-0000D07D0000}"/>
    <cellStyle name="Notas 2 2 2 8 4" xfId="23268" xr:uid="{00000000-0005-0000-0000-0000D17D0000}"/>
    <cellStyle name="Notas 2 2 2 8 4 2" xfId="31056" xr:uid="{00000000-0005-0000-0000-0000D27D0000}"/>
    <cellStyle name="Notas 2 2 2 8 5" xfId="23269" xr:uid="{00000000-0005-0000-0000-0000D37D0000}"/>
    <cellStyle name="Notas 2 2 2 8 5 2" xfId="31057" xr:uid="{00000000-0005-0000-0000-0000D47D0000}"/>
    <cellStyle name="Notas 2 2 2 8 6" xfId="23270" xr:uid="{00000000-0005-0000-0000-0000D57D0000}"/>
    <cellStyle name="Notas 2 2 2 8 6 2" xfId="31058" xr:uid="{00000000-0005-0000-0000-0000D67D0000}"/>
    <cellStyle name="Notas 2 2 2 8 7" xfId="31053" xr:uid="{00000000-0005-0000-0000-0000D77D0000}"/>
    <cellStyle name="Notas 2 2 2 9" xfId="23271" xr:uid="{00000000-0005-0000-0000-0000D87D0000}"/>
    <cellStyle name="Notas 2 2 2 9 2" xfId="23272" xr:uid="{00000000-0005-0000-0000-0000D97D0000}"/>
    <cellStyle name="Notas 2 2 2 9 2 2" xfId="31060" xr:uid="{00000000-0005-0000-0000-0000DA7D0000}"/>
    <cellStyle name="Notas 2 2 2 9 3" xfId="23273" xr:uid="{00000000-0005-0000-0000-0000DB7D0000}"/>
    <cellStyle name="Notas 2 2 2 9 3 2" xfId="31061" xr:uid="{00000000-0005-0000-0000-0000DC7D0000}"/>
    <cellStyle name="Notas 2 2 2 9 4" xfId="23274" xr:uid="{00000000-0005-0000-0000-0000DD7D0000}"/>
    <cellStyle name="Notas 2 2 2 9 4 2" xfId="31062" xr:uid="{00000000-0005-0000-0000-0000DE7D0000}"/>
    <cellStyle name="Notas 2 2 2 9 5" xfId="23275" xr:uid="{00000000-0005-0000-0000-0000DF7D0000}"/>
    <cellStyle name="Notas 2 2 2 9 5 2" xfId="31063" xr:uid="{00000000-0005-0000-0000-0000E07D0000}"/>
    <cellStyle name="Notas 2 2 2 9 6" xfId="23276" xr:uid="{00000000-0005-0000-0000-0000E17D0000}"/>
    <cellStyle name="Notas 2 2 2 9 6 2" xfId="31064" xr:uid="{00000000-0005-0000-0000-0000E27D0000}"/>
    <cellStyle name="Notas 2 2 2 9 7" xfId="31059" xr:uid="{00000000-0005-0000-0000-0000E37D0000}"/>
    <cellStyle name="Notas 2 2 3" xfId="23277" xr:uid="{00000000-0005-0000-0000-0000E47D0000}"/>
    <cellStyle name="Notas 2 2 3 2" xfId="23278" xr:uid="{00000000-0005-0000-0000-0000E57D0000}"/>
    <cellStyle name="Notas 2 2 3 2 2" xfId="31066" xr:uid="{00000000-0005-0000-0000-0000E67D0000}"/>
    <cellStyle name="Notas 2 2 3 3" xfId="23279" xr:uid="{00000000-0005-0000-0000-0000E77D0000}"/>
    <cellStyle name="Notas 2 2 3 3 2" xfId="31067" xr:uid="{00000000-0005-0000-0000-0000E87D0000}"/>
    <cellStyle name="Notas 2 2 3 4" xfId="23280" xr:uid="{00000000-0005-0000-0000-0000E97D0000}"/>
    <cellStyle name="Notas 2 2 3 4 2" xfId="31068" xr:uid="{00000000-0005-0000-0000-0000EA7D0000}"/>
    <cellStyle name="Notas 2 2 3 5" xfId="23281" xr:uid="{00000000-0005-0000-0000-0000EB7D0000}"/>
    <cellStyle name="Notas 2 2 3 5 2" xfId="31069" xr:uid="{00000000-0005-0000-0000-0000EC7D0000}"/>
    <cellStyle name="Notas 2 2 3 6" xfId="23282" xr:uid="{00000000-0005-0000-0000-0000ED7D0000}"/>
    <cellStyle name="Notas 2 2 3 6 2" xfId="31070" xr:uid="{00000000-0005-0000-0000-0000EE7D0000}"/>
    <cellStyle name="Notas 2 2 3 7" xfId="31065" xr:uid="{00000000-0005-0000-0000-0000EF7D0000}"/>
    <cellStyle name="Notas 2 2 4" xfId="23283" xr:uid="{00000000-0005-0000-0000-0000F07D0000}"/>
    <cellStyle name="Notas 2 2 4 2" xfId="23284" xr:uid="{00000000-0005-0000-0000-0000F17D0000}"/>
    <cellStyle name="Notas 2 2 4 2 2" xfId="31072" xr:uid="{00000000-0005-0000-0000-0000F27D0000}"/>
    <cellStyle name="Notas 2 2 4 3" xfId="23285" xr:uid="{00000000-0005-0000-0000-0000F37D0000}"/>
    <cellStyle name="Notas 2 2 4 3 2" xfId="31073" xr:uid="{00000000-0005-0000-0000-0000F47D0000}"/>
    <cellStyle name="Notas 2 2 4 4" xfId="23286" xr:uid="{00000000-0005-0000-0000-0000F57D0000}"/>
    <cellStyle name="Notas 2 2 4 4 2" xfId="31074" xr:uid="{00000000-0005-0000-0000-0000F67D0000}"/>
    <cellStyle name="Notas 2 2 4 5" xfId="23287" xr:uid="{00000000-0005-0000-0000-0000F77D0000}"/>
    <cellStyle name="Notas 2 2 4 5 2" xfId="31075" xr:uid="{00000000-0005-0000-0000-0000F87D0000}"/>
    <cellStyle name="Notas 2 2 4 6" xfId="23288" xr:uid="{00000000-0005-0000-0000-0000F97D0000}"/>
    <cellStyle name="Notas 2 2 4 6 2" xfId="31076" xr:uid="{00000000-0005-0000-0000-0000FA7D0000}"/>
    <cellStyle name="Notas 2 2 4 7" xfId="31071" xr:uid="{00000000-0005-0000-0000-0000FB7D0000}"/>
    <cellStyle name="Notas 2 2 5" xfId="23289" xr:uid="{00000000-0005-0000-0000-0000FC7D0000}"/>
    <cellStyle name="Notas 2 2 5 2" xfId="23290" xr:uid="{00000000-0005-0000-0000-0000FD7D0000}"/>
    <cellStyle name="Notas 2 2 5 2 2" xfId="31078" xr:uid="{00000000-0005-0000-0000-0000FE7D0000}"/>
    <cellStyle name="Notas 2 2 5 3" xfId="23291" xr:uid="{00000000-0005-0000-0000-0000FF7D0000}"/>
    <cellStyle name="Notas 2 2 5 3 2" xfId="31079" xr:uid="{00000000-0005-0000-0000-0000007E0000}"/>
    <cellStyle name="Notas 2 2 5 4" xfId="23292" xr:uid="{00000000-0005-0000-0000-0000017E0000}"/>
    <cellStyle name="Notas 2 2 5 4 2" xfId="31080" xr:uid="{00000000-0005-0000-0000-0000027E0000}"/>
    <cellStyle name="Notas 2 2 5 5" xfId="23293" xr:uid="{00000000-0005-0000-0000-0000037E0000}"/>
    <cellStyle name="Notas 2 2 5 5 2" xfId="31081" xr:uid="{00000000-0005-0000-0000-0000047E0000}"/>
    <cellStyle name="Notas 2 2 5 6" xfId="23294" xr:uid="{00000000-0005-0000-0000-0000057E0000}"/>
    <cellStyle name="Notas 2 2 5 6 2" xfId="31082" xr:uid="{00000000-0005-0000-0000-0000067E0000}"/>
    <cellStyle name="Notas 2 2 5 7" xfId="31077" xr:uid="{00000000-0005-0000-0000-0000077E0000}"/>
    <cellStyle name="Notas 2 2 6" xfId="23295" xr:uid="{00000000-0005-0000-0000-0000087E0000}"/>
    <cellStyle name="Notas 2 2 6 2" xfId="23296" xr:uid="{00000000-0005-0000-0000-0000097E0000}"/>
    <cellStyle name="Notas 2 2 6 2 2" xfId="31084" xr:uid="{00000000-0005-0000-0000-00000A7E0000}"/>
    <cellStyle name="Notas 2 2 6 3" xfId="23297" xr:uid="{00000000-0005-0000-0000-00000B7E0000}"/>
    <cellStyle name="Notas 2 2 6 3 2" xfId="31085" xr:uid="{00000000-0005-0000-0000-00000C7E0000}"/>
    <cellStyle name="Notas 2 2 6 4" xfId="23298" xr:uid="{00000000-0005-0000-0000-00000D7E0000}"/>
    <cellStyle name="Notas 2 2 6 4 2" xfId="31086" xr:uid="{00000000-0005-0000-0000-00000E7E0000}"/>
    <cellStyle name="Notas 2 2 6 5" xfId="23299" xr:uid="{00000000-0005-0000-0000-00000F7E0000}"/>
    <cellStyle name="Notas 2 2 6 5 2" xfId="31087" xr:uid="{00000000-0005-0000-0000-0000107E0000}"/>
    <cellStyle name="Notas 2 2 6 6" xfId="23300" xr:uid="{00000000-0005-0000-0000-0000117E0000}"/>
    <cellStyle name="Notas 2 2 6 6 2" xfId="31088" xr:uid="{00000000-0005-0000-0000-0000127E0000}"/>
    <cellStyle name="Notas 2 2 6 7" xfId="31083" xr:uid="{00000000-0005-0000-0000-0000137E0000}"/>
    <cellStyle name="Notas 2 2 7" xfId="23301" xr:uid="{00000000-0005-0000-0000-0000147E0000}"/>
    <cellStyle name="Notas 2 2 7 2" xfId="23302" xr:uid="{00000000-0005-0000-0000-0000157E0000}"/>
    <cellStyle name="Notas 2 2 7 2 2" xfId="31090" xr:uid="{00000000-0005-0000-0000-0000167E0000}"/>
    <cellStyle name="Notas 2 2 7 3" xfId="23303" xr:uid="{00000000-0005-0000-0000-0000177E0000}"/>
    <cellStyle name="Notas 2 2 7 3 2" xfId="31091" xr:uid="{00000000-0005-0000-0000-0000187E0000}"/>
    <cellStyle name="Notas 2 2 7 4" xfId="23304" xr:uid="{00000000-0005-0000-0000-0000197E0000}"/>
    <cellStyle name="Notas 2 2 7 4 2" xfId="31092" xr:uid="{00000000-0005-0000-0000-00001A7E0000}"/>
    <cellStyle name="Notas 2 2 7 5" xfId="23305" xr:uid="{00000000-0005-0000-0000-00001B7E0000}"/>
    <cellStyle name="Notas 2 2 7 5 2" xfId="31093" xr:uid="{00000000-0005-0000-0000-00001C7E0000}"/>
    <cellStyle name="Notas 2 2 7 6" xfId="23306" xr:uid="{00000000-0005-0000-0000-00001D7E0000}"/>
    <cellStyle name="Notas 2 2 7 6 2" xfId="31094" xr:uid="{00000000-0005-0000-0000-00001E7E0000}"/>
    <cellStyle name="Notas 2 2 7 7" xfId="31089" xr:uid="{00000000-0005-0000-0000-00001F7E0000}"/>
    <cellStyle name="Notas 2 2 8" xfId="23307" xr:uid="{00000000-0005-0000-0000-0000207E0000}"/>
    <cellStyle name="Notas 2 2 8 2" xfId="23308" xr:uid="{00000000-0005-0000-0000-0000217E0000}"/>
    <cellStyle name="Notas 2 2 8 2 2" xfId="31096" xr:uid="{00000000-0005-0000-0000-0000227E0000}"/>
    <cellStyle name="Notas 2 2 8 3" xfId="23309" xr:uid="{00000000-0005-0000-0000-0000237E0000}"/>
    <cellStyle name="Notas 2 2 8 3 2" xfId="31097" xr:uid="{00000000-0005-0000-0000-0000247E0000}"/>
    <cellStyle name="Notas 2 2 8 4" xfId="23310" xr:uid="{00000000-0005-0000-0000-0000257E0000}"/>
    <cellStyle name="Notas 2 2 8 4 2" xfId="31098" xr:uid="{00000000-0005-0000-0000-0000267E0000}"/>
    <cellStyle name="Notas 2 2 8 5" xfId="23311" xr:uid="{00000000-0005-0000-0000-0000277E0000}"/>
    <cellStyle name="Notas 2 2 8 5 2" xfId="31099" xr:uid="{00000000-0005-0000-0000-0000287E0000}"/>
    <cellStyle name="Notas 2 2 8 6" xfId="23312" xr:uid="{00000000-0005-0000-0000-0000297E0000}"/>
    <cellStyle name="Notas 2 2 8 6 2" xfId="31100" xr:uid="{00000000-0005-0000-0000-00002A7E0000}"/>
    <cellStyle name="Notas 2 2 8 7" xfId="31095" xr:uid="{00000000-0005-0000-0000-00002B7E0000}"/>
    <cellStyle name="Notas 2 2 9" xfId="23313" xr:uid="{00000000-0005-0000-0000-00002C7E0000}"/>
    <cellStyle name="Notas 2 2 9 2" xfId="23314" xr:uid="{00000000-0005-0000-0000-00002D7E0000}"/>
    <cellStyle name="Notas 2 2 9 2 2" xfId="31102" xr:uid="{00000000-0005-0000-0000-00002E7E0000}"/>
    <cellStyle name="Notas 2 2 9 3" xfId="23315" xr:uid="{00000000-0005-0000-0000-00002F7E0000}"/>
    <cellStyle name="Notas 2 2 9 3 2" xfId="31103" xr:uid="{00000000-0005-0000-0000-0000307E0000}"/>
    <cellStyle name="Notas 2 2 9 4" xfId="23316" xr:uid="{00000000-0005-0000-0000-0000317E0000}"/>
    <cellStyle name="Notas 2 2 9 4 2" xfId="31104" xr:uid="{00000000-0005-0000-0000-0000327E0000}"/>
    <cellStyle name="Notas 2 2 9 5" xfId="23317" xr:uid="{00000000-0005-0000-0000-0000337E0000}"/>
    <cellStyle name="Notas 2 2 9 5 2" xfId="31105" xr:uid="{00000000-0005-0000-0000-0000347E0000}"/>
    <cellStyle name="Notas 2 2 9 6" xfId="23318" xr:uid="{00000000-0005-0000-0000-0000357E0000}"/>
    <cellStyle name="Notas 2 2 9 6 2" xfId="31106" xr:uid="{00000000-0005-0000-0000-0000367E0000}"/>
    <cellStyle name="Notas 2 2 9 7" xfId="31101" xr:uid="{00000000-0005-0000-0000-0000377E0000}"/>
    <cellStyle name="Notas 2 20" xfId="40032" xr:uid="{00000000-0005-0000-0000-0000387E0000}"/>
    <cellStyle name="Notas 2 3" xfId="12028" xr:uid="{00000000-0005-0000-0000-0000397E0000}"/>
    <cellStyle name="Notas 2 3 10" xfId="23319" xr:uid="{00000000-0005-0000-0000-00003A7E0000}"/>
    <cellStyle name="Notas 2 3 10 2" xfId="23320" xr:uid="{00000000-0005-0000-0000-00003B7E0000}"/>
    <cellStyle name="Notas 2 3 10 2 2" xfId="31109" xr:uid="{00000000-0005-0000-0000-00003C7E0000}"/>
    <cellStyle name="Notas 2 3 10 3" xfId="31108" xr:uid="{00000000-0005-0000-0000-00003D7E0000}"/>
    <cellStyle name="Notas 2 3 11" xfId="23321" xr:uid="{00000000-0005-0000-0000-00003E7E0000}"/>
    <cellStyle name="Notas 2 3 11 2" xfId="31110" xr:uid="{00000000-0005-0000-0000-00003F7E0000}"/>
    <cellStyle name="Notas 2 3 12" xfId="31107" xr:uid="{00000000-0005-0000-0000-0000407E0000}"/>
    <cellStyle name="Notas 2 3 13" xfId="33261" xr:uid="{00000000-0005-0000-0000-0000417E0000}"/>
    <cellStyle name="Notas 2 3 14" xfId="33915" xr:uid="{00000000-0005-0000-0000-0000427E0000}"/>
    <cellStyle name="Notas 2 3 15" xfId="40035" xr:uid="{00000000-0005-0000-0000-0000437E0000}"/>
    <cellStyle name="Notas 2 3 2" xfId="23322" xr:uid="{00000000-0005-0000-0000-0000447E0000}"/>
    <cellStyle name="Notas 2 3 2 2" xfId="23323" xr:uid="{00000000-0005-0000-0000-0000457E0000}"/>
    <cellStyle name="Notas 2 3 2 2 2" xfId="31112" xr:uid="{00000000-0005-0000-0000-0000467E0000}"/>
    <cellStyle name="Notas 2 3 2 3" xfId="23324" xr:uid="{00000000-0005-0000-0000-0000477E0000}"/>
    <cellStyle name="Notas 2 3 2 3 2" xfId="31113" xr:uid="{00000000-0005-0000-0000-0000487E0000}"/>
    <cellStyle name="Notas 2 3 2 4" xfId="23325" xr:uid="{00000000-0005-0000-0000-0000497E0000}"/>
    <cellStyle name="Notas 2 3 2 4 2" xfId="31114" xr:uid="{00000000-0005-0000-0000-00004A7E0000}"/>
    <cellStyle name="Notas 2 3 2 5" xfId="23326" xr:uid="{00000000-0005-0000-0000-00004B7E0000}"/>
    <cellStyle name="Notas 2 3 2 5 2" xfId="31115" xr:uid="{00000000-0005-0000-0000-00004C7E0000}"/>
    <cellStyle name="Notas 2 3 2 6" xfId="23327" xr:uid="{00000000-0005-0000-0000-00004D7E0000}"/>
    <cellStyle name="Notas 2 3 2 6 2" xfId="31116" xr:uid="{00000000-0005-0000-0000-00004E7E0000}"/>
    <cellStyle name="Notas 2 3 2 7" xfId="31111" xr:uid="{00000000-0005-0000-0000-00004F7E0000}"/>
    <cellStyle name="Notas 2 3 3" xfId="23328" xr:uid="{00000000-0005-0000-0000-0000507E0000}"/>
    <cellStyle name="Notas 2 3 3 2" xfId="23329" xr:uid="{00000000-0005-0000-0000-0000517E0000}"/>
    <cellStyle name="Notas 2 3 3 2 2" xfId="31118" xr:uid="{00000000-0005-0000-0000-0000527E0000}"/>
    <cellStyle name="Notas 2 3 3 3" xfId="23330" xr:uid="{00000000-0005-0000-0000-0000537E0000}"/>
    <cellStyle name="Notas 2 3 3 3 2" xfId="31119" xr:uid="{00000000-0005-0000-0000-0000547E0000}"/>
    <cellStyle name="Notas 2 3 3 4" xfId="23331" xr:uid="{00000000-0005-0000-0000-0000557E0000}"/>
    <cellStyle name="Notas 2 3 3 4 2" xfId="31120" xr:uid="{00000000-0005-0000-0000-0000567E0000}"/>
    <cellStyle name="Notas 2 3 3 5" xfId="23332" xr:uid="{00000000-0005-0000-0000-0000577E0000}"/>
    <cellStyle name="Notas 2 3 3 5 2" xfId="31121" xr:uid="{00000000-0005-0000-0000-0000587E0000}"/>
    <cellStyle name="Notas 2 3 3 6" xfId="23333" xr:uid="{00000000-0005-0000-0000-0000597E0000}"/>
    <cellStyle name="Notas 2 3 3 6 2" xfId="31122" xr:uid="{00000000-0005-0000-0000-00005A7E0000}"/>
    <cellStyle name="Notas 2 3 3 7" xfId="31117" xr:uid="{00000000-0005-0000-0000-00005B7E0000}"/>
    <cellStyle name="Notas 2 3 4" xfId="23334" xr:uid="{00000000-0005-0000-0000-00005C7E0000}"/>
    <cellStyle name="Notas 2 3 4 2" xfId="23335" xr:uid="{00000000-0005-0000-0000-00005D7E0000}"/>
    <cellStyle name="Notas 2 3 4 2 2" xfId="31124" xr:uid="{00000000-0005-0000-0000-00005E7E0000}"/>
    <cellStyle name="Notas 2 3 4 3" xfId="23336" xr:uid="{00000000-0005-0000-0000-00005F7E0000}"/>
    <cellStyle name="Notas 2 3 4 3 2" xfId="31125" xr:uid="{00000000-0005-0000-0000-0000607E0000}"/>
    <cellStyle name="Notas 2 3 4 4" xfId="23337" xr:uid="{00000000-0005-0000-0000-0000617E0000}"/>
    <cellStyle name="Notas 2 3 4 4 2" xfId="31126" xr:uid="{00000000-0005-0000-0000-0000627E0000}"/>
    <cellStyle name="Notas 2 3 4 5" xfId="23338" xr:uid="{00000000-0005-0000-0000-0000637E0000}"/>
    <cellStyle name="Notas 2 3 4 5 2" xfId="31127" xr:uid="{00000000-0005-0000-0000-0000647E0000}"/>
    <cellStyle name="Notas 2 3 4 6" xfId="23339" xr:uid="{00000000-0005-0000-0000-0000657E0000}"/>
    <cellStyle name="Notas 2 3 4 6 2" xfId="31128" xr:uid="{00000000-0005-0000-0000-0000667E0000}"/>
    <cellStyle name="Notas 2 3 4 7" xfId="31123" xr:uid="{00000000-0005-0000-0000-0000677E0000}"/>
    <cellStyle name="Notas 2 3 5" xfId="23340" xr:uid="{00000000-0005-0000-0000-0000687E0000}"/>
    <cellStyle name="Notas 2 3 5 2" xfId="23341" xr:uid="{00000000-0005-0000-0000-0000697E0000}"/>
    <cellStyle name="Notas 2 3 5 2 2" xfId="31130" xr:uid="{00000000-0005-0000-0000-00006A7E0000}"/>
    <cellStyle name="Notas 2 3 5 3" xfId="23342" xr:uid="{00000000-0005-0000-0000-00006B7E0000}"/>
    <cellStyle name="Notas 2 3 5 3 2" xfId="31131" xr:uid="{00000000-0005-0000-0000-00006C7E0000}"/>
    <cellStyle name="Notas 2 3 5 4" xfId="23343" xr:uid="{00000000-0005-0000-0000-00006D7E0000}"/>
    <cellStyle name="Notas 2 3 5 4 2" xfId="31132" xr:uid="{00000000-0005-0000-0000-00006E7E0000}"/>
    <cellStyle name="Notas 2 3 5 5" xfId="23344" xr:uid="{00000000-0005-0000-0000-00006F7E0000}"/>
    <cellStyle name="Notas 2 3 5 5 2" xfId="31133" xr:uid="{00000000-0005-0000-0000-0000707E0000}"/>
    <cellStyle name="Notas 2 3 5 6" xfId="23345" xr:uid="{00000000-0005-0000-0000-0000717E0000}"/>
    <cellStyle name="Notas 2 3 5 6 2" xfId="31134" xr:uid="{00000000-0005-0000-0000-0000727E0000}"/>
    <cellStyle name="Notas 2 3 5 7" xfId="31129" xr:uid="{00000000-0005-0000-0000-0000737E0000}"/>
    <cellStyle name="Notas 2 3 6" xfId="23346" xr:uid="{00000000-0005-0000-0000-0000747E0000}"/>
    <cellStyle name="Notas 2 3 6 2" xfId="23347" xr:uid="{00000000-0005-0000-0000-0000757E0000}"/>
    <cellStyle name="Notas 2 3 6 2 2" xfId="31136" xr:uid="{00000000-0005-0000-0000-0000767E0000}"/>
    <cellStyle name="Notas 2 3 6 3" xfId="23348" xr:uid="{00000000-0005-0000-0000-0000777E0000}"/>
    <cellStyle name="Notas 2 3 6 3 2" xfId="31137" xr:uid="{00000000-0005-0000-0000-0000787E0000}"/>
    <cellStyle name="Notas 2 3 6 4" xfId="23349" xr:uid="{00000000-0005-0000-0000-0000797E0000}"/>
    <cellStyle name="Notas 2 3 6 4 2" xfId="31138" xr:uid="{00000000-0005-0000-0000-00007A7E0000}"/>
    <cellStyle name="Notas 2 3 6 5" xfId="23350" xr:uid="{00000000-0005-0000-0000-00007B7E0000}"/>
    <cellStyle name="Notas 2 3 6 5 2" xfId="31139" xr:uid="{00000000-0005-0000-0000-00007C7E0000}"/>
    <cellStyle name="Notas 2 3 6 6" xfId="23351" xr:uid="{00000000-0005-0000-0000-00007D7E0000}"/>
    <cellStyle name="Notas 2 3 6 6 2" xfId="31140" xr:uid="{00000000-0005-0000-0000-00007E7E0000}"/>
    <cellStyle name="Notas 2 3 6 7" xfId="31135" xr:uid="{00000000-0005-0000-0000-00007F7E0000}"/>
    <cellStyle name="Notas 2 3 7" xfId="23352" xr:uid="{00000000-0005-0000-0000-0000807E0000}"/>
    <cellStyle name="Notas 2 3 7 2" xfId="23353" xr:uid="{00000000-0005-0000-0000-0000817E0000}"/>
    <cellStyle name="Notas 2 3 7 2 2" xfId="31142" xr:uid="{00000000-0005-0000-0000-0000827E0000}"/>
    <cellStyle name="Notas 2 3 7 3" xfId="23354" xr:uid="{00000000-0005-0000-0000-0000837E0000}"/>
    <cellStyle name="Notas 2 3 7 3 2" xfId="31143" xr:uid="{00000000-0005-0000-0000-0000847E0000}"/>
    <cellStyle name="Notas 2 3 7 4" xfId="23355" xr:uid="{00000000-0005-0000-0000-0000857E0000}"/>
    <cellStyle name="Notas 2 3 7 4 2" xfId="31144" xr:uid="{00000000-0005-0000-0000-0000867E0000}"/>
    <cellStyle name="Notas 2 3 7 5" xfId="23356" xr:uid="{00000000-0005-0000-0000-0000877E0000}"/>
    <cellStyle name="Notas 2 3 7 5 2" xfId="31145" xr:uid="{00000000-0005-0000-0000-0000887E0000}"/>
    <cellStyle name="Notas 2 3 7 6" xfId="23357" xr:uid="{00000000-0005-0000-0000-0000897E0000}"/>
    <cellStyle name="Notas 2 3 7 6 2" xfId="31146" xr:uid="{00000000-0005-0000-0000-00008A7E0000}"/>
    <cellStyle name="Notas 2 3 7 7" xfId="31141" xr:uid="{00000000-0005-0000-0000-00008B7E0000}"/>
    <cellStyle name="Notas 2 3 8" xfId="23358" xr:uid="{00000000-0005-0000-0000-00008C7E0000}"/>
    <cellStyle name="Notas 2 3 8 2" xfId="23359" xr:uid="{00000000-0005-0000-0000-00008D7E0000}"/>
    <cellStyle name="Notas 2 3 8 2 2" xfId="31148" xr:uid="{00000000-0005-0000-0000-00008E7E0000}"/>
    <cellStyle name="Notas 2 3 8 3" xfId="23360" xr:uid="{00000000-0005-0000-0000-00008F7E0000}"/>
    <cellStyle name="Notas 2 3 8 3 2" xfId="31149" xr:uid="{00000000-0005-0000-0000-0000907E0000}"/>
    <cellStyle name="Notas 2 3 8 4" xfId="23361" xr:uid="{00000000-0005-0000-0000-0000917E0000}"/>
    <cellStyle name="Notas 2 3 8 4 2" xfId="31150" xr:uid="{00000000-0005-0000-0000-0000927E0000}"/>
    <cellStyle name="Notas 2 3 8 5" xfId="23362" xr:uid="{00000000-0005-0000-0000-0000937E0000}"/>
    <cellStyle name="Notas 2 3 8 5 2" xfId="31151" xr:uid="{00000000-0005-0000-0000-0000947E0000}"/>
    <cellStyle name="Notas 2 3 8 6" xfId="23363" xr:uid="{00000000-0005-0000-0000-0000957E0000}"/>
    <cellStyle name="Notas 2 3 8 6 2" xfId="31152" xr:uid="{00000000-0005-0000-0000-0000967E0000}"/>
    <cellStyle name="Notas 2 3 8 7" xfId="31147" xr:uid="{00000000-0005-0000-0000-0000977E0000}"/>
    <cellStyle name="Notas 2 3 9" xfId="23364" xr:uid="{00000000-0005-0000-0000-0000987E0000}"/>
    <cellStyle name="Notas 2 3 9 2" xfId="23365" xr:uid="{00000000-0005-0000-0000-0000997E0000}"/>
    <cellStyle name="Notas 2 3 9 2 2" xfId="31154" xr:uid="{00000000-0005-0000-0000-00009A7E0000}"/>
    <cellStyle name="Notas 2 3 9 3" xfId="23366" xr:uid="{00000000-0005-0000-0000-00009B7E0000}"/>
    <cellStyle name="Notas 2 3 9 3 2" xfId="31155" xr:uid="{00000000-0005-0000-0000-00009C7E0000}"/>
    <cellStyle name="Notas 2 3 9 4" xfId="23367" xr:uid="{00000000-0005-0000-0000-00009D7E0000}"/>
    <cellStyle name="Notas 2 3 9 4 2" xfId="31156" xr:uid="{00000000-0005-0000-0000-00009E7E0000}"/>
    <cellStyle name="Notas 2 3 9 5" xfId="23368" xr:uid="{00000000-0005-0000-0000-00009F7E0000}"/>
    <cellStyle name="Notas 2 3 9 5 2" xfId="31157" xr:uid="{00000000-0005-0000-0000-0000A07E0000}"/>
    <cellStyle name="Notas 2 3 9 6" xfId="23369" xr:uid="{00000000-0005-0000-0000-0000A17E0000}"/>
    <cellStyle name="Notas 2 3 9 6 2" xfId="31158" xr:uid="{00000000-0005-0000-0000-0000A27E0000}"/>
    <cellStyle name="Notas 2 3 9 7" xfId="31153" xr:uid="{00000000-0005-0000-0000-0000A37E0000}"/>
    <cellStyle name="Notas 2 4" xfId="23370" xr:uid="{00000000-0005-0000-0000-0000A47E0000}"/>
    <cellStyle name="Notas 2 4 2" xfId="40036" xr:uid="{00000000-0005-0000-0000-0000A57E0000}"/>
    <cellStyle name="Notas 2 5" xfId="23371" xr:uid="{00000000-0005-0000-0000-0000A67E0000}"/>
    <cellStyle name="Notas 2 5 10" xfId="23372" xr:uid="{00000000-0005-0000-0000-0000A77E0000}"/>
    <cellStyle name="Notas 2 5 10 2" xfId="23373" xr:uid="{00000000-0005-0000-0000-0000A87E0000}"/>
    <cellStyle name="Notas 2 5 10 2 2" xfId="31161" xr:uid="{00000000-0005-0000-0000-0000A97E0000}"/>
    <cellStyle name="Notas 2 5 10 3" xfId="31160" xr:uid="{00000000-0005-0000-0000-0000AA7E0000}"/>
    <cellStyle name="Notas 2 5 11" xfId="31159" xr:uid="{00000000-0005-0000-0000-0000AB7E0000}"/>
    <cellStyle name="Notas 2 5 12" xfId="33916" xr:uid="{00000000-0005-0000-0000-0000AC7E0000}"/>
    <cellStyle name="Notas 2 5 2" xfId="23374" xr:uid="{00000000-0005-0000-0000-0000AD7E0000}"/>
    <cellStyle name="Notas 2 5 2 2" xfId="23375" xr:uid="{00000000-0005-0000-0000-0000AE7E0000}"/>
    <cellStyle name="Notas 2 5 2 2 2" xfId="31163" xr:uid="{00000000-0005-0000-0000-0000AF7E0000}"/>
    <cellStyle name="Notas 2 5 2 3" xfId="23376" xr:uid="{00000000-0005-0000-0000-0000B07E0000}"/>
    <cellStyle name="Notas 2 5 2 3 2" xfId="31164" xr:uid="{00000000-0005-0000-0000-0000B17E0000}"/>
    <cellStyle name="Notas 2 5 2 4" xfId="23377" xr:uid="{00000000-0005-0000-0000-0000B27E0000}"/>
    <cellStyle name="Notas 2 5 2 4 2" xfId="31165" xr:uid="{00000000-0005-0000-0000-0000B37E0000}"/>
    <cellStyle name="Notas 2 5 2 5" xfId="23378" xr:uid="{00000000-0005-0000-0000-0000B47E0000}"/>
    <cellStyle name="Notas 2 5 2 5 2" xfId="31166" xr:uid="{00000000-0005-0000-0000-0000B57E0000}"/>
    <cellStyle name="Notas 2 5 2 6" xfId="23379" xr:uid="{00000000-0005-0000-0000-0000B67E0000}"/>
    <cellStyle name="Notas 2 5 2 6 2" xfId="31167" xr:uid="{00000000-0005-0000-0000-0000B77E0000}"/>
    <cellStyle name="Notas 2 5 2 7" xfId="31162" xr:uid="{00000000-0005-0000-0000-0000B87E0000}"/>
    <cellStyle name="Notas 2 5 3" xfId="23380" xr:uid="{00000000-0005-0000-0000-0000B97E0000}"/>
    <cellStyle name="Notas 2 5 3 2" xfId="23381" xr:uid="{00000000-0005-0000-0000-0000BA7E0000}"/>
    <cellStyle name="Notas 2 5 3 2 2" xfId="31169" xr:uid="{00000000-0005-0000-0000-0000BB7E0000}"/>
    <cellStyle name="Notas 2 5 3 3" xfId="23382" xr:uid="{00000000-0005-0000-0000-0000BC7E0000}"/>
    <cellStyle name="Notas 2 5 3 3 2" xfId="31170" xr:uid="{00000000-0005-0000-0000-0000BD7E0000}"/>
    <cellStyle name="Notas 2 5 3 4" xfId="23383" xr:uid="{00000000-0005-0000-0000-0000BE7E0000}"/>
    <cellStyle name="Notas 2 5 3 4 2" xfId="31171" xr:uid="{00000000-0005-0000-0000-0000BF7E0000}"/>
    <cellStyle name="Notas 2 5 3 5" xfId="23384" xr:uid="{00000000-0005-0000-0000-0000C07E0000}"/>
    <cellStyle name="Notas 2 5 3 5 2" xfId="31172" xr:uid="{00000000-0005-0000-0000-0000C17E0000}"/>
    <cellStyle name="Notas 2 5 3 6" xfId="23385" xr:uid="{00000000-0005-0000-0000-0000C27E0000}"/>
    <cellStyle name="Notas 2 5 3 6 2" xfId="31173" xr:uid="{00000000-0005-0000-0000-0000C37E0000}"/>
    <cellStyle name="Notas 2 5 3 7" xfId="31168" xr:uid="{00000000-0005-0000-0000-0000C47E0000}"/>
    <cellStyle name="Notas 2 5 4" xfId="23386" xr:uid="{00000000-0005-0000-0000-0000C57E0000}"/>
    <cellStyle name="Notas 2 5 4 2" xfId="23387" xr:uid="{00000000-0005-0000-0000-0000C67E0000}"/>
    <cellStyle name="Notas 2 5 4 2 2" xfId="31175" xr:uid="{00000000-0005-0000-0000-0000C77E0000}"/>
    <cellStyle name="Notas 2 5 4 3" xfId="23388" xr:uid="{00000000-0005-0000-0000-0000C87E0000}"/>
    <cellStyle name="Notas 2 5 4 3 2" xfId="31176" xr:uid="{00000000-0005-0000-0000-0000C97E0000}"/>
    <cellStyle name="Notas 2 5 4 4" xfId="23389" xr:uid="{00000000-0005-0000-0000-0000CA7E0000}"/>
    <cellStyle name="Notas 2 5 4 4 2" xfId="31177" xr:uid="{00000000-0005-0000-0000-0000CB7E0000}"/>
    <cellStyle name="Notas 2 5 4 5" xfId="23390" xr:uid="{00000000-0005-0000-0000-0000CC7E0000}"/>
    <cellStyle name="Notas 2 5 4 5 2" xfId="31178" xr:uid="{00000000-0005-0000-0000-0000CD7E0000}"/>
    <cellStyle name="Notas 2 5 4 6" xfId="23391" xr:uid="{00000000-0005-0000-0000-0000CE7E0000}"/>
    <cellStyle name="Notas 2 5 4 6 2" xfId="31179" xr:uid="{00000000-0005-0000-0000-0000CF7E0000}"/>
    <cellStyle name="Notas 2 5 4 7" xfId="31174" xr:uid="{00000000-0005-0000-0000-0000D07E0000}"/>
    <cellStyle name="Notas 2 5 5" xfId="23392" xr:uid="{00000000-0005-0000-0000-0000D17E0000}"/>
    <cellStyle name="Notas 2 5 5 2" xfId="23393" xr:uid="{00000000-0005-0000-0000-0000D27E0000}"/>
    <cellStyle name="Notas 2 5 5 2 2" xfId="31181" xr:uid="{00000000-0005-0000-0000-0000D37E0000}"/>
    <cellStyle name="Notas 2 5 5 3" xfId="23394" xr:uid="{00000000-0005-0000-0000-0000D47E0000}"/>
    <cellStyle name="Notas 2 5 5 3 2" xfId="31182" xr:uid="{00000000-0005-0000-0000-0000D57E0000}"/>
    <cellStyle name="Notas 2 5 5 4" xfId="23395" xr:uid="{00000000-0005-0000-0000-0000D67E0000}"/>
    <cellStyle name="Notas 2 5 5 4 2" xfId="31183" xr:uid="{00000000-0005-0000-0000-0000D77E0000}"/>
    <cellStyle name="Notas 2 5 5 5" xfId="23396" xr:uid="{00000000-0005-0000-0000-0000D87E0000}"/>
    <cellStyle name="Notas 2 5 5 5 2" xfId="31184" xr:uid="{00000000-0005-0000-0000-0000D97E0000}"/>
    <cellStyle name="Notas 2 5 5 6" xfId="23397" xr:uid="{00000000-0005-0000-0000-0000DA7E0000}"/>
    <cellStyle name="Notas 2 5 5 6 2" xfId="31185" xr:uid="{00000000-0005-0000-0000-0000DB7E0000}"/>
    <cellStyle name="Notas 2 5 5 7" xfId="31180" xr:uid="{00000000-0005-0000-0000-0000DC7E0000}"/>
    <cellStyle name="Notas 2 5 6" xfId="23398" xr:uid="{00000000-0005-0000-0000-0000DD7E0000}"/>
    <cellStyle name="Notas 2 5 6 2" xfId="23399" xr:uid="{00000000-0005-0000-0000-0000DE7E0000}"/>
    <cellStyle name="Notas 2 5 6 2 2" xfId="31187" xr:uid="{00000000-0005-0000-0000-0000DF7E0000}"/>
    <cellStyle name="Notas 2 5 6 3" xfId="23400" xr:uid="{00000000-0005-0000-0000-0000E07E0000}"/>
    <cellStyle name="Notas 2 5 6 3 2" xfId="31188" xr:uid="{00000000-0005-0000-0000-0000E17E0000}"/>
    <cellStyle name="Notas 2 5 6 4" xfId="23401" xr:uid="{00000000-0005-0000-0000-0000E27E0000}"/>
    <cellStyle name="Notas 2 5 6 4 2" xfId="31189" xr:uid="{00000000-0005-0000-0000-0000E37E0000}"/>
    <cellStyle name="Notas 2 5 6 5" xfId="23402" xr:uid="{00000000-0005-0000-0000-0000E47E0000}"/>
    <cellStyle name="Notas 2 5 6 5 2" xfId="31190" xr:uid="{00000000-0005-0000-0000-0000E57E0000}"/>
    <cellStyle name="Notas 2 5 6 6" xfId="23403" xr:uid="{00000000-0005-0000-0000-0000E67E0000}"/>
    <cellStyle name="Notas 2 5 6 6 2" xfId="31191" xr:uid="{00000000-0005-0000-0000-0000E77E0000}"/>
    <cellStyle name="Notas 2 5 6 7" xfId="31186" xr:uid="{00000000-0005-0000-0000-0000E87E0000}"/>
    <cellStyle name="Notas 2 5 7" xfId="23404" xr:uid="{00000000-0005-0000-0000-0000E97E0000}"/>
    <cellStyle name="Notas 2 5 7 2" xfId="23405" xr:uid="{00000000-0005-0000-0000-0000EA7E0000}"/>
    <cellStyle name="Notas 2 5 7 2 2" xfId="31193" xr:uid="{00000000-0005-0000-0000-0000EB7E0000}"/>
    <cellStyle name="Notas 2 5 7 3" xfId="23406" xr:uid="{00000000-0005-0000-0000-0000EC7E0000}"/>
    <cellStyle name="Notas 2 5 7 3 2" xfId="31194" xr:uid="{00000000-0005-0000-0000-0000ED7E0000}"/>
    <cellStyle name="Notas 2 5 7 4" xfId="23407" xr:uid="{00000000-0005-0000-0000-0000EE7E0000}"/>
    <cellStyle name="Notas 2 5 7 4 2" xfId="31195" xr:uid="{00000000-0005-0000-0000-0000EF7E0000}"/>
    <cellStyle name="Notas 2 5 7 5" xfId="23408" xr:uid="{00000000-0005-0000-0000-0000F07E0000}"/>
    <cellStyle name="Notas 2 5 7 5 2" xfId="31196" xr:uid="{00000000-0005-0000-0000-0000F17E0000}"/>
    <cellStyle name="Notas 2 5 7 6" xfId="23409" xr:uid="{00000000-0005-0000-0000-0000F27E0000}"/>
    <cellStyle name="Notas 2 5 7 6 2" xfId="31197" xr:uid="{00000000-0005-0000-0000-0000F37E0000}"/>
    <cellStyle name="Notas 2 5 7 7" xfId="31192" xr:uid="{00000000-0005-0000-0000-0000F47E0000}"/>
    <cellStyle name="Notas 2 5 8" xfId="23410" xr:uid="{00000000-0005-0000-0000-0000F57E0000}"/>
    <cellStyle name="Notas 2 5 8 2" xfId="23411" xr:uid="{00000000-0005-0000-0000-0000F67E0000}"/>
    <cellStyle name="Notas 2 5 8 2 2" xfId="31199" xr:uid="{00000000-0005-0000-0000-0000F77E0000}"/>
    <cellStyle name="Notas 2 5 8 3" xfId="23412" xr:uid="{00000000-0005-0000-0000-0000F87E0000}"/>
    <cellStyle name="Notas 2 5 8 3 2" xfId="31200" xr:uid="{00000000-0005-0000-0000-0000F97E0000}"/>
    <cellStyle name="Notas 2 5 8 4" xfId="23413" xr:uid="{00000000-0005-0000-0000-0000FA7E0000}"/>
    <cellStyle name="Notas 2 5 8 4 2" xfId="31201" xr:uid="{00000000-0005-0000-0000-0000FB7E0000}"/>
    <cellStyle name="Notas 2 5 8 5" xfId="23414" xr:uid="{00000000-0005-0000-0000-0000FC7E0000}"/>
    <cellStyle name="Notas 2 5 8 5 2" xfId="31202" xr:uid="{00000000-0005-0000-0000-0000FD7E0000}"/>
    <cellStyle name="Notas 2 5 8 6" xfId="23415" xr:uid="{00000000-0005-0000-0000-0000FE7E0000}"/>
    <cellStyle name="Notas 2 5 8 6 2" xfId="31203" xr:uid="{00000000-0005-0000-0000-0000FF7E0000}"/>
    <cellStyle name="Notas 2 5 8 7" xfId="31198" xr:uid="{00000000-0005-0000-0000-0000007F0000}"/>
    <cellStyle name="Notas 2 5 9" xfId="23416" xr:uid="{00000000-0005-0000-0000-0000017F0000}"/>
    <cellStyle name="Notas 2 5 9 2" xfId="23417" xr:uid="{00000000-0005-0000-0000-0000027F0000}"/>
    <cellStyle name="Notas 2 5 9 2 2" xfId="31205" xr:uid="{00000000-0005-0000-0000-0000037F0000}"/>
    <cellStyle name="Notas 2 5 9 3" xfId="23418" xr:uid="{00000000-0005-0000-0000-0000047F0000}"/>
    <cellStyle name="Notas 2 5 9 3 2" xfId="31206" xr:uid="{00000000-0005-0000-0000-0000057F0000}"/>
    <cellStyle name="Notas 2 5 9 4" xfId="23419" xr:uid="{00000000-0005-0000-0000-0000067F0000}"/>
    <cellStyle name="Notas 2 5 9 4 2" xfId="31207" xr:uid="{00000000-0005-0000-0000-0000077F0000}"/>
    <cellStyle name="Notas 2 5 9 5" xfId="23420" xr:uid="{00000000-0005-0000-0000-0000087F0000}"/>
    <cellStyle name="Notas 2 5 9 5 2" xfId="31208" xr:uid="{00000000-0005-0000-0000-0000097F0000}"/>
    <cellStyle name="Notas 2 5 9 6" xfId="23421" xr:uid="{00000000-0005-0000-0000-00000A7F0000}"/>
    <cellStyle name="Notas 2 5 9 6 2" xfId="31209" xr:uid="{00000000-0005-0000-0000-00000B7F0000}"/>
    <cellStyle name="Notas 2 5 9 7" xfId="31204" xr:uid="{00000000-0005-0000-0000-00000C7F0000}"/>
    <cellStyle name="Notas 2 6" xfId="23422" xr:uid="{00000000-0005-0000-0000-00000D7F0000}"/>
    <cellStyle name="Notas 2 6 10" xfId="23423" xr:uid="{00000000-0005-0000-0000-00000E7F0000}"/>
    <cellStyle name="Notas 2 6 10 2" xfId="23424" xr:uid="{00000000-0005-0000-0000-00000F7F0000}"/>
    <cellStyle name="Notas 2 6 10 2 2" xfId="31212" xr:uid="{00000000-0005-0000-0000-0000107F0000}"/>
    <cellStyle name="Notas 2 6 10 3" xfId="31211" xr:uid="{00000000-0005-0000-0000-0000117F0000}"/>
    <cellStyle name="Notas 2 6 11" xfId="31210" xr:uid="{00000000-0005-0000-0000-0000127F0000}"/>
    <cellStyle name="Notas 2 6 12" xfId="33917" xr:uid="{00000000-0005-0000-0000-0000137F0000}"/>
    <cellStyle name="Notas 2 6 2" xfId="23425" xr:uid="{00000000-0005-0000-0000-0000147F0000}"/>
    <cellStyle name="Notas 2 6 2 2" xfId="23426" xr:uid="{00000000-0005-0000-0000-0000157F0000}"/>
    <cellStyle name="Notas 2 6 2 2 2" xfId="31214" xr:uid="{00000000-0005-0000-0000-0000167F0000}"/>
    <cellStyle name="Notas 2 6 2 3" xfId="23427" xr:uid="{00000000-0005-0000-0000-0000177F0000}"/>
    <cellStyle name="Notas 2 6 2 3 2" xfId="31215" xr:uid="{00000000-0005-0000-0000-0000187F0000}"/>
    <cellStyle name="Notas 2 6 2 4" xfId="23428" xr:uid="{00000000-0005-0000-0000-0000197F0000}"/>
    <cellStyle name="Notas 2 6 2 4 2" xfId="31216" xr:uid="{00000000-0005-0000-0000-00001A7F0000}"/>
    <cellStyle name="Notas 2 6 2 5" xfId="23429" xr:uid="{00000000-0005-0000-0000-00001B7F0000}"/>
    <cellStyle name="Notas 2 6 2 5 2" xfId="31217" xr:uid="{00000000-0005-0000-0000-00001C7F0000}"/>
    <cellStyle name="Notas 2 6 2 6" xfId="23430" xr:uid="{00000000-0005-0000-0000-00001D7F0000}"/>
    <cellStyle name="Notas 2 6 2 6 2" xfId="31218" xr:uid="{00000000-0005-0000-0000-00001E7F0000}"/>
    <cellStyle name="Notas 2 6 2 7" xfId="31213" xr:uid="{00000000-0005-0000-0000-00001F7F0000}"/>
    <cellStyle name="Notas 2 6 3" xfId="23431" xr:uid="{00000000-0005-0000-0000-0000207F0000}"/>
    <cellStyle name="Notas 2 6 3 2" xfId="23432" xr:uid="{00000000-0005-0000-0000-0000217F0000}"/>
    <cellStyle name="Notas 2 6 3 2 2" xfId="31220" xr:uid="{00000000-0005-0000-0000-0000227F0000}"/>
    <cellStyle name="Notas 2 6 3 3" xfId="23433" xr:uid="{00000000-0005-0000-0000-0000237F0000}"/>
    <cellStyle name="Notas 2 6 3 3 2" xfId="31221" xr:uid="{00000000-0005-0000-0000-0000247F0000}"/>
    <cellStyle name="Notas 2 6 3 4" xfId="23434" xr:uid="{00000000-0005-0000-0000-0000257F0000}"/>
    <cellStyle name="Notas 2 6 3 4 2" xfId="31222" xr:uid="{00000000-0005-0000-0000-0000267F0000}"/>
    <cellStyle name="Notas 2 6 3 5" xfId="23435" xr:uid="{00000000-0005-0000-0000-0000277F0000}"/>
    <cellStyle name="Notas 2 6 3 5 2" xfId="31223" xr:uid="{00000000-0005-0000-0000-0000287F0000}"/>
    <cellStyle name="Notas 2 6 3 6" xfId="23436" xr:uid="{00000000-0005-0000-0000-0000297F0000}"/>
    <cellStyle name="Notas 2 6 3 6 2" xfId="31224" xr:uid="{00000000-0005-0000-0000-00002A7F0000}"/>
    <cellStyle name="Notas 2 6 3 7" xfId="31219" xr:uid="{00000000-0005-0000-0000-00002B7F0000}"/>
    <cellStyle name="Notas 2 6 4" xfId="23437" xr:uid="{00000000-0005-0000-0000-00002C7F0000}"/>
    <cellStyle name="Notas 2 6 4 2" xfId="23438" xr:uid="{00000000-0005-0000-0000-00002D7F0000}"/>
    <cellStyle name="Notas 2 6 4 2 2" xfId="31226" xr:uid="{00000000-0005-0000-0000-00002E7F0000}"/>
    <cellStyle name="Notas 2 6 4 3" xfId="23439" xr:uid="{00000000-0005-0000-0000-00002F7F0000}"/>
    <cellStyle name="Notas 2 6 4 3 2" xfId="31227" xr:uid="{00000000-0005-0000-0000-0000307F0000}"/>
    <cellStyle name="Notas 2 6 4 4" xfId="23440" xr:uid="{00000000-0005-0000-0000-0000317F0000}"/>
    <cellStyle name="Notas 2 6 4 4 2" xfId="31228" xr:uid="{00000000-0005-0000-0000-0000327F0000}"/>
    <cellStyle name="Notas 2 6 4 5" xfId="23441" xr:uid="{00000000-0005-0000-0000-0000337F0000}"/>
    <cellStyle name="Notas 2 6 4 5 2" xfId="31229" xr:uid="{00000000-0005-0000-0000-0000347F0000}"/>
    <cellStyle name="Notas 2 6 4 6" xfId="23442" xr:uid="{00000000-0005-0000-0000-0000357F0000}"/>
    <cellStyle name="Notas 2 6 4 6 2" xfId="31230" xr:uid="{00000000-0005-0000-0000-0000367F0000}"/>
    <cellStyle name="Notas 2 6 4 7" xfId="31225" xr:uid="{00000000-0005-0000-0000-0000377F0000}"/>
    <cellStyle name="Notas 2 6 5" xfId="23443" xr:uid="{00000000-0005-0000-0000-0000387F0000}"/>
    <cellStyle name="Notas 2 6 5 2" xfId="23444" xr:uid="{00000000-0005-0000-0000-0000397F0000}"/>
    <cellStyle name="Notas 2 6 5 2 2" xfId="31232" xr:uid="{00000000-0005-0000-0000-00003A7F0000}"/>
    <cellStyle name="Notas 2 6 5 3" xfId="23445" xr:uid="{00000000-0005-0000-0000-00003B7F0000}"/>
    <cellStyle name="Notas 2 6 5 3 2" xfId="31233" xr:uid="{00000000-0005-0000-0000-00003C7F0000}"/>
    <cellStyle name="Notas 2 6 5 4" xfId="23446" xr:uid="{00000000-0005-0000-0000-00003D7F0000}"/>
    <cellStyle name="Notas 2 6 5 4 2" xfId="31234" xr:uid="{00000000-0005-0000-0000-00003E7F0000}"/>
    <cellStyle name="Notas 2 6 5 5" xfId="23447" xr:uid="{00000000-0005-0000-0000-00003F7F0000}"/>
    <cellStyle name="Notas 2 6 5 5 2" xfId="31235" xr:uid="{00000000-0005-0000-0000-0000407F0000}"/>
    <cellStyle name="Notas 2 6 5 6" xfId="23448" xr:uid="{00000000-0005-0000-0000-0000417F0000}"/>
    <cellStyle name="Notas 2 6 5 6 2" xfId="31236" xr:uid="{00000000-0005-0000-0000-0000427F0000}"/>
    <cellStyle name="Notas 2 6 5 7" xfId="31231" xr:uid="{00000000-0005-0000-0000-0000437F0000}"/>
    <cellStyle name="Notas 2 6 6" xfId="23449" xr:uid="{00000000-0005-0000-0000-0000447F0000}"/>
    <cellStyle name="Notas 2 6 6 2" xfId="23450" xr:uid="{00000000-0005-0000-0000-0000457F0000}"/>
    <cellStyle name="Notas 2 6 6 2 2" xfId="31238" xr:uid="{00000000-0005-0000-0000-0000467F0000}"/>
    <cellStyle name="Notas 2 6 6 3" xfId="23451" xr:uid="{00000000-0005-0000-0000-0000477F0000}"/>
    <cellStyle name="Notas 2 6 6 3 2" xfId="31239" xr:uid="{00000000-0005-0000-0000-0000487F0000}"/>
    <cellStyle name="Notas 2 6 6 4" xfId="23452" xr:uid="{00000000-0005-0000-0000-0000497F0000}"/>
    <cellStyle name="Notas 2 6 6 4 2" xfId="31240" xr:uid="{00000000-0005-0000-0000-00004A7F0000}"/>
    <cellStyle name="Notas 2 6 6 5" xfId="23453" xr:uid="{00000000-0005-0000-0000-00004B7F0000}"/>
    <cellStyle name="Notas 2 6 6 5 2" xfId="31241" xr:uid="{00000000-0005-0000-0000-00004C7F0000}"/>
    <cellStyle name="Notas 2 6 6 6" xfId="23454" xr:uid="{00000000-0005-0000-0000-00004D7F0000}"/>
    <cellStyle name="Notas 2 6 6 6 2" xfId="31242" xr:uid="{00000000-0005-0000-0000-00004E7F0000}"/>
    <cellStyle name="Notas 2 6 6 7" xfId="31237" xr:uid="{00000000-0005-0000-0000-00004F7F0000}"/>
    <cellStyle name="Notas 2 6 7" xfId="23455" xr:uid="{00000000-0005-0000-0000-0000507F0000}"/>
    <cellStyle name="Notas 2 6 7 2" xfId="23456" xr:uid="{00000000-0005-0000-0000-0000517F0000}"/>
    <cellStyle name="Notas 2 6 7 2 2" xfId="31244" xr:uid="{00000000-0005-0000-0000-0000527F0000}"/>
    <cellStyle name="Notas 2 6 7 3" xfId="23457" xr:uid="{00000000-0005-0000-0000-0000537F0000}"/>
    <cellStyle name="Notas 2 6 7 3 2" xfId="31245" xr:uid="{00000000-0005-0000-0000-0000547F0000}"/>
    <cellStyle name="Notas 2 6 7 4" xfId="23458" xr:uid="{00000000-0005-0000-0000-0000557F0000}"/>
    <cellStyle name="Notas 2 6 7 4 2" xfId="31246" xr:uid="{00000000-0005-0000-0000-0000567F0000}"/>
    <cellStyle name="Notas 2 6 7 5" xfId="23459" xr:uid="{00000000-0005-0000-0000-0000577F0000}"/>
    <cellStyle name="Notas 2 6 7 5 2" xfId="31247" xr:uid="{00000000-0005-0000-0000-0000587F0000}"/>
    <cellStyle name="Notas 2 6 7 6" xfId="23460" xr:uid="{00000000-0005-0000-0000-0000597F0000}"/>
    <cellStyle name="Notas 2 6 7 6 2" xfId="31248" xr:uid="{00000000-0005-0000-0000-00005A7F0000}"/>
    <cellStyle name="Notas 2 6 7 7" xfId="31243" xr:uid="{00000000-0005-0000-0000-00005B7F0000}"/>
    <cellStyle name="Notas 2 6 8" xfId="23461" xr:uid="{00000000-0005-0000-0000-00005C7F0000}"/>
    <cellStyle name="Notas 2 6 8 2" xfId="23462" xr:uid="{00000000-0005-0000-0000-00005D7F0000}"/>
    <cellStyle name="Notas 2 6 8 2 2" xfId="31250" xr:uid="{00000000-0005-0000-0000-00005E7F0000}"/>
    <cellStyle name="Notas 2 6 8 3" xfId="23463" xr:uid="{00000000-0005-0000-0000-00005F7F0000}"/>
    <cellStyle name="Notas 2 6 8 3 2" xfId="31251" xr:uid="{00000000-0005-0000-0000-0000607F0000}"/>
    <cellStyle name="Notas 2 6 8 4" xfId="23464" xr:uid="{00000000-0005-0000-0000-0000617F0000}"/>
    <cellStyle name="Notas 2 6 8 4 2" xfId="31252" xr:uid="{00000000-0005-0000-0000-0000627F0000}"/>
    <cellStyle name="Notas 2 6 8 5" xfId="23465" xr:uid="{00000000-0005-0000-0000-0000637F0000}"/>
    <cellStyle name="Notas 2 6 8 5 2" xfId="31253" xr:uid="{00000000-0005-0000-0000-0000647F0000}"/>
    <cellStyle name="Notas 2 6 8 6" xfId="23466" xr:uid="{00000000-0005-0000-0000-0000657F0000}"/>
    <cellStyle name="Notas 2 6 8 6 2" xfId="31254" xr:uid="{00000000-0005-0000-0000-0000667F0000}"/>
    <cellStyle name="Notas 2 6 8 7" xfId="31249" xr:uid="{00000000-0005-0000-0000-0000677F0000}"/>
    <cellStyle name="Notas 2 6 9" xfId="23467" xr:uid="{00000000-0005-0000-0000-0000687F0000}"/>
    <cellStyle name="Notas 2 6 9 2" xfId="23468" xr:uid="{00000000-0005-0000-0000-0000697F0000}"/>
    <cellStyle name="Notas 2 6 9 2 2" xfId="31256" xr:uid="{00000000-0005-0000-0000-00006A7F0000}"/>
    <cellStyle name="Notas 2 6 9 3" xfId="23469" xr:uid="{00000000-0005-0000-0000-00006B7F0000}"/>
    <cellStyle name="Notas 2 6 9 3 2" xfId="31257" xr:uid="{00000000-0005-0000-0000-00006C7F0000}"/>
    <cellStyle name="Notas 2 6 9 4" xfId="23470" xr:uid="{00000000-0005-0000-0000-00006D7F0000}"/>
    <cellStyle name="Notas 2 6 9 4 2" xfId="31258" xr:uid="{00000000-0005-0000-0000-00006E7F0000}"/>
    <cellStyle name="Notas 2 6 9 5" xfId="23471" xr:uid="{00000000-0005-0000-0000-00006F7F0000}"/>
    <cellStyle name="Notas 2 6 9 5 2" xfId="31259" xr:uid="{00000000-0005-0000-0000-0000707F0000}"/>
    <cellStyle name="Notas 2 6 9 6" xfId="23472" xr:uid="{00000000-0005-0000-0000-0000717F0000}"/>
    <cellStyle name="Notas 2 6 9 6 2" xfId="31260" xr:uid="{00000000-0005-0000-0000-0000727F0000}"/>
    <cellStyle name="Notas 2 6 9 7" xfId="31255" xr:uid="{00000000-0005-0000-0000-0000737F0000}"/>
    <cellStyle name="Notas 2 7" xfId="23473" xr:uid="{00000000-0005-0000-0000-0000747F0000}"/>
    <cellStyle name="Notas 2 7 2" xfId="23474" xr:uid="{00000000-0005-0000-0000-0000757F0000}"/>
    <cellStyle name="Notas 2 7 2 2" xfId="31262" xr:uid="{00000000-0005-0000-0000-0000767F0000}"/>
    <cellStyle name="Notas 2 7 3" xfId="23475" xr:uid="{00000000-0005-0000-0000-0000777F0000}"/>
    <cellStyle name="Notas 2 7 3 2" xfId="31263" xr:uid="{00000000-0005-0000-0000-0000787F0000}"/>
    <cellStyle name="Notas 2 7 4" xfId="23476" xr:uid="{00000000-0005-0000-0000-0000797F0000}"/>
    <cellStyle name="Notas 2 7 4 2" xfId="31264" xr:uid="{00000000-0005-0000-0000-00007A7F0000}"/>
    <cellStyle name="Notas 2 7 5" xfId="23477" xr:uid="{00000000-0005-0000-0000-00007B7F0000}"/>
    <cellStyle name="Notas 2 7 5 2" xfId="31265" xr:uid="{00000000-0005-0000-0000-00007C7F0000}"/>
    <cellStyle name="Notas 2 7 6" xfId="23478" xr:uid="{00000000-0005-0000-0000-00007D7F0000}"/>
    <cellStyle name="Notas 2 7 6 2" xfId="31266" xr:uid="{00000000-0005-0000-0000-00007E7F0000}"/>
    <cellStyle name="Notas 2 7 7" xfId="31261" xr:uid="{00000000-0005-0000-0000-00007F7F0000}"/>
    <cellStyle name="Notas 2 8" xfId="23479" xr:uid="{00000000-0005-0000-0000-0000807F0000}"/>
    <cellStyle name="Notas 2 8 2" xfId="23480" xr:uid="{00000000-0005-0000-0000-0000817F0000}"/>
    <cellStyle name="Notas 2 8 2 2" xfId="31268" xr:uid="{00000000-0005-0000-0000-0000827F0000}"/>
    <cellStyle name="Notas 2 8 3" xfId="23481" xr:uid="{00000000-0005-0000-0000-0000837F0000}"/>
    <cellStyle name="Notas 2 8 3 2" xfId="31269" xr:uid="{00000000-0005-0000-0000-0000847F0000}"/>
    <cellStyle name="Notas 2 8 4" xfId="23482" xr:uid="{00000000-0005-0000-0000-0000857F0000}"/>
    <cellStyle name="Notas 2 8 4 2" xfId="31270" xr:uid="{00000000-0005-0000-0000-0000867F0000}"/>
    <cellStyle name="Notas 2 8 5" xfId="23483" xr:uid="{00000000-0005-0000-0000-0000877F0000}"/>
    <cellStyle name="Notas 2 8 5 2" xfId="31271" xr:uid="{00000000-0005-0000-0000-0000887F0000}"/>
    <cellStyle name="Notas 2 8 6" xfId="23484" xr:uid="{00000000-0005-0000-0000-0000897F0000}"/>
    <cellStyle name="Notas 2 8 6 2" xfId="31272" xr:uid="{00000000-0005-0000-0000-00008A7F0000}"/>
    <cellStyle name="Notas 2 8 7" xfId="31267" xr:uid="{00000000-0005-0000-0000-00008B7F0000}"/>
    <cellStyle name="Notas 2 9" xfId="23485" xr:uid="{00000000-0005-0000-0000-00008C7F0000}"/>
    <cellStyle name="Notas 2 9 2" xfId="23486" xr:uid="{00000000-0005-0000-0000-00008D7F0000}"/>
    <cellStyle name="Notas 2 9 2 2" xfId="31274" xr:uid="{00000000-0005-0000-0000-00008E7F0000}"/>
    <cellStyle name="Notas 2 9 3" xfId="23487" xr:uid="{00000000-0005-0000-0000-00008F7F0000}"/>
    <cellStyle name="Notas 2 9 3 2" xfId="31275" xr:uid="{00000000-0005-0000-0000-0000907F0000}"/>
    <cellStyle name="Notas 2 9 4" xfId="23488" xr:uid="{00000000-0005-0000-0000-0000917F0000}"/>
    <cellStyle name="Notas 2 9 4 2" xfId="31276" xr:uid="{00000000-0005-0000-0000-0000927F0000}"/>
    <cellStyle name="Notas 2 9 5" xfId="23489" xr:uid="{00000000-0005-0000-0000-0000937F0000}"/>
    <cellStyle name="Notas 2 9 5 2" xfId="31277" xr:uid="{00000000-0005-0000-0000-0000947F0000}"/>
    <cellStyle name="Notas 2 9 6" xfId="23490" xr:uid="{00000000-0005-0000-0000-0000957F0000}"/>
    <cellStyle name="Notas 2 9 6 2" xfId="31278" xr:uid="{00000000-0005-0000-0000-0000967F0000}"/>
    <cellStyle name="Notas 2 9 7" xfId="31273" xr:uid="{00000000-0005-0000-0000-0000977F0000}"/>
    <cellStyle name="Notas 20" xfId="11123" xr:uid="{00000000-0005-0000-0000-0000987F0000}"/>
    <cellStyle name="Notas 20 2" xfId="12029" xr:uid="{00000000-0005-0000-0000-0000997F0000}"/>
    <cellStyle name="Notas 20 2 2" xfId="31280" xr:uid="{00000000-0005-0000-0000-00009A7F0000}"/>
    <cellStyle name="Notas 20 2 3" xfId="33263" xr:uid="{00000000-0005-0000-0000-00009B7F0000}"/>
    <cellStyle name="Notas 20 2 4" xfId="40038" xr:uid="{00000000-0005-0000-0000-00009C7F0000}"/>
    <cellStyle name="Notas 20 3" xfId="12030" xr:uid="{00000000-0005-0000-0000-00009D7F0000}"/>
    <cellStyle name="Notas 20 3 2" xfId="31281" xr:uid="{00000000-0005-0000-0000-00009E7F0000}"/>
    <cellStyle name="Notas 20 3 3" xfId="33264" xr:uid="{00000000-0005-0000-0000-00009F7F0000}"/>
    <cellStyle name="Notas 20 3 4" xfId="40039" xr:uid="{00000000-0005-0000-0000-0000A07F0000}"/>
    <cellStyle name="Notas 20 4" xfId="31279" xr:uid="{00000000-0005-0000-0000-0000A17F0000}"/>
    <cellStyle name="Notas 20 5" xfId="33262" xr:uid="{00000000-0005-0000-0000-0000A27F0000}"/>
    <cellStyle name="Notas 20 6" xfId="40037" xr:uid="{00000000-0005-0000-0000-0000A37F0000}"/>
    <cellStyle name="Notas 21" xfId="11124" xr:uid="{00000000-0005-0000-0000-0000A47F0000}"/>
    <cellStyle name="Notas 21 2" xfId="12031" xr:uid="{00000000-0005-0000-0000-0000A57F0000}"/>
    <cellStyle name="Notas 21 2 2" xfId="31283" xr:uid="{00000000-0005-0000-0000-0000A67F0000}"/>
    <cellStyle name="Notas 21 2 3" xfId="33266" xr:uid="{00000000-0005-0000-0000-0000A77F0000}"/>
    <cellStyle name="Notas 21 2 4" xfId="40041" xr:uid="{00000000-0005-0000-0000-0000A87F0000}"/>
    <cellStyle name="Notas 21 3" xfId="12032" xr:uid="{00000000-0005-0000-0000-0000A97F0000}"/>
    <cellStyle name="Notas 21 3 2" xfId="31284" xr:uid="{00000000-0005-0000-0000-0000AA7F0000}"/>
    <cellStyle name="Notas 21 3 3" xfId="33267" xr:uid="{00000000-0005-0000-0000-0000AB7F0000}"/>
    <cellStyle name="Notas 21 3 4" xfId="40042" xr:uid="{00000000-0005-0000-0000-0000AC7F0000}"/>
    <cellStyle name="Notas 21 4" xfId="31282" xr:uid="{00000000-0005-0000-0000-0000AD7F0000}"/>
    <cellStyle name="Notas 21 5" xfId="33265" xr:uid="{00000000-0005-0000-0000-0000AE7F0000}"/>
    <cellStyle name="Notas 21 6" xfId="40040" xr:uid="{00000000-0005-0000-0000-0000AF7F0000}"/>
    <cellStyle name="Notas 22" xfId="11125" xr:uid="{00000000-0005-0000-0000-0000B07F0000}"/>
    <cellStyle name="Notas 22 2" xfId="12033" xr:uid="{00000000-0005-0000-0000-0000B17F0000}"/>
    <cellStyle name="Notas 22 2 2" xfId="31286" xr:uid="{00000000-0005-0000-0000-0000B27F0000}"/>
    <cellStyle name="Notas 22 2 3" xfId="33269" xr:uid="{00000000-0005-0000-0000-0000B37F0000}"/>
    <cellStyle name="Notas 22 2 4" xfId="40044" xr:uid="{00000000-0005-0000-0000-0000B47F0000}"/>
    <cellStyle name="Notas 22 3" xfId="12034" xr:uid="{00000000-0005-0000-0000-0000B57F0000}"/>
    <cellStyle name="Notas 22 3 2" xfId="31287" xr:uid="{00000000-0005-0000-0000-0000B67F0000}"/>
    <cellStyle name="Notas 22 3 3" xfId="33270" xr:uid="{00000000-0005-0000-0000-0000B77F0000}"/>
    <cellStyle name="Notas 22 3 4" xfId="40045" xr:uid="{00000000-0005-0000-0000-0000B87F0000}"/>
    <cellStyle name="Notas 22 4" xfId="31285" xr:uid="{00000000-0005-0000-0000-0000B97F0000}"/>
    <cellStyle name="Notas 22 5" xfId="33268" xr:uid="{00000000-0005-0000-0000-0000BA7F0000}"/>
    <cellStyle name="Notas 22 6" xfId="40043" xr:uid="{00000000-0005-0000-0000-0000BB7F0000}"/>
    <cellStyle name="Notas 23" xfId="11126" xr:uid="{00000000-0005-0000-0000-0000BC7F0000}"/>
    <cellStyle name="Notas 23 2" xfId="12035" xr:uid="{00000000-0005-0000-0000-0000BD7F0000}"/>
    <cellStyle name="Notas 23 2 2" xfId="31289" xr:uid="{00000000-0005-0000-0000-0000BE7F0000}"/>
    <cellStyle name="Notas 23 2 3" xfId="33272" xr:uid="{00000000-0005-0000-0000-0000BF7F0000}"/>
    <cellStyle name="Notas 23 2 4" xfId="40047" xr:uid="{00000000-0005-0000-0000-0000C07F0000}"/>
    <cellStyle name="Notas 23 3" xfId="12036" xr:uid="{00000000-0005-0000-0000-0000C17F0000}"/>
    <cellStyle name="Notas 23 3 2" xfId="31290" xr:uid="{00000000-0005-0000-0000-0000C27F0000}"/>
    <cellStyle name="Notas 23 3 3" xfId="33273" xr:uid="{00000000-0005-0000-0000-0000C37F0000}"/>
    <cellStyle name="Notas 23 3 4" xfId="40048" xr:uid="{00000000-0005-0000-0000-0000C47F0000}"/>
    <cellStyle name="Notas 23 4" xfId="31288" xr:uid="{00000000-0005-0000-0000-0000C57F0000}"/>
    <cellStyle name="Notas 23 5" xfId="33271" xr:uid="{00000000-0005-0000-0000-0000C67F0000}"/>
    <cellStyle name="Notas 23 6" xfId="40046" xr:uid="{00000000-0005-0000-0000-0000C77F0000}"/>
    <cellStyle name="Notas 24" xfId="11127" xr:uid="{00000000-0005-0000-0000-0000C87F0000}"/>
    <cellStyle name="Notas 24 2" xfId="12037" xr:uid="{00000000-0005-0000-0000-0000C97F0000}"/>
    <cellStyle name="Notas 24 2 2" xfId="31292" xr:uid="{00000000-0005-0000-0000-0000CA7F0000}"/>
    <cellStyle name="Notas 24 2 3" xfId="33275" xr:uid="{00000000-0005-0000-0000-0000CB7F0000}"/>
    <cellStyle name="Notas 24 2 4" xfId="40050" xr:uid="{00000000-0005-0000-0000-0000CC7F0000}"/>
    <cellStyle name="Notas 24 3" xfId="12038" xr:uid="{00000000-0005-0000-0000-0000CD7F0000}"/>
    <cellStyle name="Notas 24 3 2" xfId="31293" xr:uid="{00000000-0005-0000-0000-0000CE7F0000}"/>
    <cellStyle name="Notas 24 3 3" xfId="33276" xr:uid="{00000000-0005-0000-0000-0000CF7F0000}"/>
    <cellStyle name="Notas 24 3 4" xfId="40051" xr:uid="{00000000-0005-0000-0000-0000D07F0000}"/>
    <cellStyle name="Notas 24 4" xfId="31291" xr:uid="{00000000-0005-0000-0000-0000D17F0000}"/>
    <cellStyle name="Notas 24 5" xfId="33274" xr:uid="{00000000-0005-0000-0000-0000D27F0000}"/>
    <cellStyle name="Notas 24 6" xfId="40049" xr:uid="{00000000-0005-0000-0000-0000D37F0000}"/>
    <cellStyle name="Notas 25" xfId="11128" xr:uid="{00000000-0005-0000-0000-0000D47F0000}"/>
    <cellStyle name="Notas 25 2" xfId="12039" xr:uid="{00000000-0005-0000-0000-0000D57F0000}"/>
    <cellStyle name="Notas 25 2 2" xfId="31295" xr:uid="{00000000-0005-0000-0000-0000D67F0000}"/>
    <cellStyle name="Notas 25 2 3" xfId="33278" xr:uid="{00000000-0005-0000-0000-0000D77F0000}"/>
    <cellStyle name="Notas 25 2 4" xfId="40053" xr:uid="{00000000-0005-0000-0000-0000D87F0000}"/>
    <cellStyle name="Notas 25 3" xfId="12040" xr:uid="{00000000-0005-0000-0000-0000D97F0000}"/>
    <cellStyle name="Notas 25 3 2" xfId="31296" xr:uid="{00000000-0005-0000-0000-0000DA7F0000}"/>
    <cellStyle name="Notas 25 3 3" xfId="33279" xr:uid="{00000000-0005-0000-0000-0000DB7F0000}"/>
    <cellStyle name="Notas 25 3 4" xfId="40054" xr:uid="{00000000-0005-0000-0000-0000DC7F0000}"/>
    <cellStyle name="Notas 25 4" xfId="31294" xr:uid="{00000000-0005-0000-0000-0000DD7F0000}"/>
    <cellStyle name="Notas 25 5" xfId="33277" xr:uid="{00000000-0005-0000-0000-0000DE7F0000}"/>
    <cellStyle name="Notas 25 6" xfId="40052" xr:uid="{00000000-0005-0000-0000-0000DF7F0000}"/>
    <cellStyle name="Notas 26" xfId="11129" xr:uid="{00000000-0005-0000-0000-0000E07F0000}"/>
    <cellStyle name="Notas 26 2" xfId="12041" xr:uid="{00000000-0005-0000-0000-0000E17F0000}"/>
    <cellStyle name="Notas 26 2 2" xfId="31298" xr:uid="{00000000-0005-0000-0000-0000E27F0000}"/>
    <cellStyle name="Notas 26 2 3" xfId="33281" xr:uid="{00000000-0005-0000-0000-0000E37F0000}"/>
    <cellStyle name="Notas 26 2 4" xfId="40056" xr:uid="{00000000-0005-0000-0000-0000E47F0000}"/>
    <cellStyle name="Notas 26 3" xfId="12042" xr:uid="{00000000-0005-0000-0000-0000E57F0000}"/>
    <cellStyle name="Notas 26 3 2" xfId="31299" xr:uid="{00000000-0005-0000-0000-0000E67F0000}"/>
    <cellStyle name="Notas 26 3 3" xfId="33282" xr:uid="{00000000-0005-0000-0000-0000E77F0000}"/>
    <cellStyle name="Notas 26 3 4" xfId="40057" xr:uid="{00000000-0005-0000-0000-0000E87F0000}"/>
    <cellStyle name="Notas 26 4" xfId="31297" xr:uid="{00000000-0005-0000-0000-0000E97F0000}"/>
    <cellStyle name="Notas 26 5" xfId="33280" xr:uid="{00000000-0005-0000-0000-0000EA7F0000}"/>
    <cellStyle name="Notas 26 6" xfId="40055" xr:uid="{00000000-0005-0000-0000-0000EB7F0000}"/>
    <cellStyle name="Notas 27" xfId="11130" xr:uid="{00000000-0005-0000-0000-0000EC7F0000}"/>
    <cellStyle name="Notas 27 2" xfId="12043" xr:uid="{00000000-0005-0000-0000-0000ED7F0000}"/>
    <cellStyle name="Notas 27 2 2" xfId="31301" xr:uid="{00000000-0005-0000-0000-0000EE7F0000}"/>
    <cellStyle name="Notas 27 2 3" xfId="33284" xr:uid="{00000000-0005-0000-0000-0000EF7F0000}"/>
    <cellStyle name="Notas 27 2 4" xfId="40059" xr:uid="{00000000-0005-0000-0000-0000F07F0000}"/>
    <cellStyle name="Notas 27 3" xfId="12044" xr:uid="{00000000-0005-0000-0000-0000F17F0000}"/>
    <cellStyle name="Notas 27 3 2" xfId="31302" xr:uid="{00000000-0005-0000-0000-0000F27F0000}"/>
    <cellStyle name="Notas 27 3 3" xfId="33285" xr:uid="{00000000-0005-0000-0000-0000F37F0000}"/>
    <cellStyle name="Notas 27 3 4" xfId="40060" xr:uid="{00000000-0005-0000-0000-0000F47F0000}"/>
    <cellStyle name="Notas 27 4" xfId="31300" xr:uid="{00000000-0005-0000-0000-0000F57F0000}"/>
    <cellStyle name="Notas 27 5" xfId="33283" xr:uid="{00000000-0005-0000-0000-0000F67F0000}"/>
    <cellStyle name="Notas 27 6" xfId="40058" xr:uid="{00000000-0005-0000-0000-0000F77F0000}"/>
    <cellStyle name="Notas 28" xfId="11131" xr:uid="{00000000-0005-0000-0000-0000F87F0000}"/>
    <cellStyle name="Notas 28 2" xfId="12045" xr:uid="{00000000-0005-0000-0000-0000F97F0000}"/>
    <cellStyle name="Notas 28 2 2" xfId="31304" xr:uid="{00000000-0005-0000-0000-0000FA7F0000}"/>
    <cellStyle name="Notas 28 2 3" xfId="33287" xr:uid="{00000000-0005-0000-0000-0000FB7F0000}"/>
    <cellStyle name="Notas 28 2 4" xfId="40062" xr:uid="{00000000-0005-0000-0000-0000FC7F0000}"/>
    <cellStyle name="Notas 28 3" xfId="12046" xr:uid="{00000000-0005-0000-0000-0000FD7F0000}"/>
    <cellStyle name="Notas 28 3 2" xfId="31305" xr:uid="{00000000-0005-0000-0000-0000FE7F0000}"/>
    <cellStyle name="Notas 28 3 3" xfId="33288" xr:uid="{00000000-0005-0000-0000-0000FF7F0000}"/>
    <cellStyle name="Notas 28 3 4" xfId="40063" xr:uid="{00000000-0005-0000-0000-000000800000}"/>
    <cellStyle name="Notas 28 4" xfId="31303" xr:uid="{00000000-0005-0000-0000-000001800000}"/>
    <cellStyle name="Notas 28 5" xfId="33286" xr:uid="{00000000-0005-0000-0000-000002800000}"/>
    <cellStyle name="Notas 28 6" xfId="40061" xr:uid="{00000000-0005-0000-0000-000003800000}"/>
    <cellStyle name="Notas 29" xfId="11132" xr:uid="{00000000-0005-0000-0000-000004800000}"/>
    <cellStyle name="Notas 29 2" xfId="12047" xr:uid="{00000000-0005-0000-0000-000005800000}"/>
    <cellStyle name="Notas 29 2 2" xfId="31307" xr:uid="{00000000-0005-0000-0000-000006800000}"/>
    <cellStyle name="Notas 29 2 3" xfId="33290" xr:uid="{00000000-0005-0000-0000-000007800000}"/>
    <cellStyle name="Notas 29 2 4" xfId="40065" xr:uid="{00000000-0005-0000-0000-000008800000}"/>
    <cellStyle name="Notas 29 3" xfId="12048" xr:uid="{00000000-0005-0000-0000-000009800000}"/>
    <cellStyle name="Notas 29 3 2" xfId="31308" xr:uid="{00000000-0005-0000-0000-00000A800000}"/>
    <cellStyle name="Notas 29 3 3" xfId="33291" xr:uid="{00000000-0005-0000-0000-00000B800000}"/>
    <cellStyle name="Notas 29 3 4" xfId="40066" xr:uid="{00000000-0005-0000-0000-00000C800000}"/>
    <cellStyle name="Notas 29 4" xfId="31306" xr:uid="{00000000-0005-0000-0000-00000D800000}"/>
    <cellStyle name="Notas 29 5" xfId="33289" xr:uid="{00000000-0005-0000-0000-00000E800000}"/>
    <cellStyle name="Notas 29 6" xfId="40064" xr:uid="{00000000-0005-0000-0000-00000F800000}"/>
    <cellStyle name="Notas 3" xfId="11133" xr:uid="{00000000-0005-0000-0000-000010800000}"/>
    <cellStyle name="Notas 3 10" xfId="23491" xr:uid="{00000000-0005-0000-0000-000011800000}"/>
    <cellStyle name="Notas 3 10 2" xfId="23492" xr:uid="{00000000-0005-0000-0000-000012800000}"/>
    <cellStyle name="Notas 3 10 2 2" xfId="31311" xr:uid="{00000000-0005-0000-0000-000013800000}"/>
    <cellStyle name="Notas 3 10 3" xfId="23493" xr:uid="{00000000-0005-0000-0000-000014800000}"/>
    <cellStyle name="Notas 3 10 3 2" xfId="31312" xr:uid="{00000000-0005-0000-0000-000015800000}"/>
    <cellStyle name="Notas 3 10 4" xfId="23494" xr:uid="{00000000-0005-0000-0000-000016800000}"/>
    <cellStyle name="Notas 3 10 4 2" xfId="31313" xr:uid="{00000000-0005-0000-0000-000017800000}"/>
    <cellStyle name="Notas 3 10 5" xfId="23495" xr:uid="{00000000-0005-0000-0000-000018800000}"/>
    <cellStyle name="Notas 3 10 5 2" xfId="31314" xr:uid="{00000000-0005-0000-0000-000019800000}"/>
    <cellStyle name="Notas 3 10 6" xfId="23496" xr:uid="{00000000-0005-0000-0000-00001A800000}"/>
    <cellStyle name="Notas 3 10 6 2" xfId="31315" xr:uid="{00000000-0005-0000-0000-00001B800000}"/>
    <cellStyle name="Notas 3 10 7" xfId="31310" xr:uid="{00000000-0005-0000-0000-00001C800000}"/>
    <cellStyle name="Notas 3 11" xfId="23497" xr:uid="{00000000-0005-0000-0000-00001D800000}"/>
    <cellStyle name="Notas 3 11 2" xfId="23498" xr:uid="{00000000-0005-0000-0000-00001E800000}"/>
    <cellStyle name="Notas 3 11 2 2" xfId="31317" xr:uid="{00000000-0005-0000-0000-00001F800000}"/>
    <cellStyle name="Notas 3 11 3" xfId="23499" xr:uid="{00000000-0005-0000-0000-000020800000}"/>
    <cellStyle name="Notas 3 11 3 2" xfId="31318" xr:uid="{00000000-0005-0000-0000-000021800000}"/>
    <cellStyle name="Notas 3 11 4" xfId="23500" xr:uid="{00000000-0005-0000-0000-000022800000}"/>
    <cellStyle name="Notas 3 11 4 2" xfId="31319" xr:uid="{00000000-0005-0000-0000-000023800000}"/>
    <cellStyle name="Notas 3 11 5" xfId="23501" xr:uid="{00000000-0005-0000-0000-000024800000}"/>
    <cellStyle name="Notas 3 11 5 2" xfId="31320" xr:uid="{00000000-0005-0000-0000-000025800000}"/>
    <cellStyle name="Notas 3 11 6" xfId="23502" xr:uid="{00000000-0005-0000-0000-000026800000}"/>
    <cellStyle name="Notas 3 11 6 2" xfId="31321" xr:uid="{00000000-0005-0000-0000-000027800000}"/>
    <cellStyle name="Notas 3 11 7" xfId="31316" xr:uid="{00000000-0005-0000-0000-000028800000}"/>
    <cellStyle name="Notas 3 12" xfId="23503" xr:uid="{00000000-0005-0000-0000-000029800000}"/>
    <cellStyle name="Notas 3 12 2" xfId="23504" xr:uid="{00000000-0005-0000-0000-00002A800000}"/>
    <cellStyle name="Notas 3 12 2 2" xfId="31323" xr:uid="{00000000-0005-0000-0000-00002B800000}"/>
    <cellStyle name="Notas 3 12 3" xfId="23505" xr:uid="{00000000-0005-0000-0000-00002C800000}"/>
    <cellStyle name="Notas 3 12 3 2" xfId="31324" xr:uid="{00000000-0005-0000-0000-00002D800000}"/>
    <cellStyle name="Notas 3 12 4" xfId="23506" xr:uid="{00000000-0005-0000-0000-00002E800000}"/>
    <cellStyle name="Notas 3 12 4 2" xfId="31325" xr:uid="{00000000-0005-0000-0000-00002F800000}"/>
    <cellStyle name="Notas 3 12 5" xfId="23507" xr:uid="{00000000-0005-0000-0000-000030800000}"/>
    <cellStyle name="Notas 3 12 5 2" xfId="31326" xr:uid="{00000000-0005-0000-0000-000031800000}"/>
    <cellStyle name="Notas 3 12 6" xfId="23508" xr:uid="{00000000-0005-0000-0000-000032800000}"/>
    <cellStyle name="Notas 3 12 6 2" xfId="31327" xr:uid="{00000000-0005-0000-0000-000033800000}"/>
    <cellStyle name="Notas 3 12 7" xfId="31322" xr:uid="{00000000-0005-0000-0000-000034800000}"/>
    <cellStyle name="Notas 3 13" xfId="23509" xr:uid="{00000000-0005-0000-0000-000035800000}"/>
    <cellStyle name="Notas 3 13 2" xfId="23510" xr:uid="{00000000-0005-0000-0000-000036800000}"/>
    <cellStyle name="Notas 3 13 2 2" xfId="31329" xr:uid="{00000000-0005-0000-0000-000037800000}"/>
    <cellStyle name="Notas 3 13 3" xfId="31328" xr:uid="{00000000-0005-0000-0000-000038800000}"/>
    <cellStyle name="Notas 3 14" xfId="23511" xr:uid="{00000000-0005-0000-0000-000039800000}"/>
    <cellStyle name="Notas 3 14 2" xfId="31330" xr:uid="{00000000-0005-0000-0000-00003A800000}"/>
    <cellStyle name="Notas 3 15" xfId="31309" xr:uid="{00000000-0005-0000-0000-00003B800000}"/>
    <cellStyle name="Notas 3 16" xfId="33292" xr:uid="{00000000-0005-0000-0000-00003C800000}"/>
    <cellStyle name="Notas 3 17" xfId="33918" xr:uid="{00000000-0005-0000-0000-00003D800000}"/>
    <cellStyle name="Notas 3 18" xfId="40067" xr:uid="{00000000-0005-0000-0000-00003E800000}"/>
    <cellStyle name="Notas 3 2" xfId="12049" xr:uid="{00000000-0005-0000-0000-00003F800000}"/>
    <cellStyle name="Notas 3 2 10" xfId="23512" xr:uid="{00000000-0005-0000-0000-000040800000}"/>
    <cellStyle name="Notas 3 2 10 2" xfId="23513" xr:uid="{00000000-0005-0000-0000-000041800000}"/>
    <cellStyle name="Notas 3 2 10 2 2" xfId="31333" xr:uid="{00000000-0005-0000-0000-000042800000}"/>
    <cellStyle name="Notas 3 2 10 3" xfId="31332" xr:uid="{00000000-0005-0000-0000-000043800000}"/>
    <cellStyle name="Notas 3 2 11" xfId="23514" xr:uid="{00000000-0005-0000-0000-000044800000}"/>
    <cellStyle name="Notas 3 2 11 2" xfId="31334" xr:uid="{00000000-0005-0000-0000-000045800000}"/>
    <cellStyle name="Notas 3 2 12" xfId="31331" xr:uid="{00000000-0005-0000-0000-000046800000}"/>
    <cellStyle name="Notas 3 2 13" xfId="33293" xr:uid="{00000000-0005-0000-0000-000047800000}"/>
    <cellStyle name="Notas 3 2 14" xfId="33919" xr:uid="{00000000-0005-0000-0000-000048800000}"/>
    <cellStyle name="Notas 3 2 15" xfId="40068" xr:uid="{00000000-0005-0000-0000-000049800000}"/>
    <cellStyle name="Notas 3 2 2" xfId="23515" xr:uid="{00000000-0005-0000-0000-00004A800000}"/>
    <cellStyle name="Notas 3 2 2 2" xfId="23516" xr:uid="{00000000-0005-0000-0000-00004B800000}"/>
    <cellStyle name="Notas 3 2 2 2 2" xfId="31336" xr:uid="{00000000-0005-0000-0000-00004C800000}"/>
    <cellStyle name="Notas 3 2 2 3" xfId="23517" xr:uid="{00000000-0005-0000-0000-00004D800000}"/>
    <cellStyle name="Notas 3 2 2 3 2" xfId="31337" xr:uid="{00000000-0005-0000-0000-00004E800000}"/>
    <cellStyle name="Notas 3 2 2 4" xfId="23518" xr:uid="{00000000-0005-0000-0000-00004F800000}"/>
    <cellStyle name="Notas 3 2 2 4 2" xfId="31338" xr:uid="{00000000-0005-0000-0000-000050800000}"/>
    <cellStyle name="Notas 3 2 2 5" xfId="23519" xr:uid="{00000000-0005-0000-0000-000051800000}"/>
    <cellStyle name="Notas 3 2 2 5 2" xfId="31339" xr:uid="{00000000-0005-0000-0000-000052800000}"/>
    <cellStyle name="Notas 3 2 2 6" xfId="23520" xr:uid="{00000000-0005-0000-0000-000053800000}"/>
    <cellStyle name="Notas 3 2 2 6 2" xfId="31340" xr:uid="{00000000-0005-0000-0000-000054800000}"/>
    <cellStyle name="Notas 3 2 2 7" xfId="31335" xr:uid="{00000000-0005-0000-0000-000055800000}"/>
    <cellStyle name="Notas 3 2 2 8" xfId="40069" xr:uid="{00000000-0005-0000-0000-000056800000}"/>
    <cellStyle name="Notas 3 2 3" xfId="23521" xr:uid="{00000000-0005-0000-0000-000057800000}"/>
    <cellStyle name="Notas 3 2 3 2" xfId="23522" xr:uid="{00000000-0005-0000-0000-000058800000}"/>
    <cellStyle name="Notas 3 2 3 2 2" xfId="31342" xr:uid="{00000000-0005-0000-0000-000059800000}"/>
    <cellStyle name="Notas 3 2 3 3" xfId="23523" xr:uid="{00000000-0005-0000-0000-00005A800000}"/>
    <cellStyle name="Notas 3 2 3 3 2" xfId="31343" xr:uid="{00000000-0005-0000-0000-00005B800000}"/>
    <cellStyle name="Notas 3 2 3 4" xfId="23524" xr:uid="{00000000-0005-0000-0000-00005C800000}"/>
    <cellStyle name="Notas 3 2 3 4 2" xfId="31344" xr:uid="{00000000-0005-0000-0000-00005D800000}"/>
    <cellStyle name="Notas 3 2 3 5" xfId="23525" xr:uid="{00000000-0005-0000-0000-00005E800000}"/>
    <cellStyle name="Notas 3 2 3 5 2" xfId="31345" xr:uid="{00000000-0005-0000-0000-00005F800000}"/>
    <cellStyle name="Notas 3 2 3 6" xfId="23526" xr:uid="{00000000-0005-0000-0000-000060800000}"/>
    <cellStyle name="Notas 3 2 3 6 2" xfId="31346" xr:uid="{00000000-0005-0000-0000-000061800000}"/>
    <cellStyle name="Notas 3 2 3 7" xfId="31341" xr:uid="{00000000-0005-0000-0000-000062800000}"/>
    <cellStyle name="Notas 3 2 4" xfId="23527" xr:uid="{00000000-0005-0000-0000-000063800000}"/>
    <cellStyle name="Notas 3 2 4 2" xfId="23528" xr:uid="{00000000-0005-0000-0000-000064800000}"/>
    <cellStyle name="Notas 3 2 4 2 2" xfId="31348" xr:uid="{00000000-0005-0000-0000-000065800000}"/>
    <cellStyle name="Notas 3 2 4 3" xfId="23529" xr:uid="{00000000-0005-0000-0000-000066800000}"/>
    <cellStyle name="Notas 3 2 4 3 2" xfId="31349" xr:uid="{00000000-0005-0000-0000-000067800000}"/>
    <cellStyle name="Notas 3 2 4 4" xfId="23530" xr:uid="{00000000-0005-0000-0000-000068800000}"/>
    <cellStyle name="Notas 3 2 4 4 2" xfId="31350" xr:uid="{00000000-0005-0000-0000-000069800000}"/>
    <cellStyle name="Notas 3 2 4 5" xfId="23531" xr:uid="{00000000-0005-0000-0000-00006A800000}"/>
    <cellStyle name="Notas 3 2 4 5 2" xfId="31351" xr:uid="{00000000-0005-0000-0000-00006B800000}"/>
    <cellStyle name="Notas 3 2 4 6" xfId="23532" xr:uid="{00000000-0005-0000-0000-00006C800000}"/>
    <cellStyle name="Notas 3 2 4 6 2" xfId="31352" xr:uid="{00000000-0005-0000-0000-00006D800000}"/>
    <cellStyle name="Notas 3 2 4 7" xfId="31347" xr:uid="{00000000-0005-0000-0000-00006E800000}"/>
    <cellStyle name="Notas 3 2 5" xfId="23533" xr:uid="{00000000-0005-0000-0000-00006F800000}"/>
    <cellStyle name="Notas 3 2 5 2" xfId="23534" xr:uid="{00000000-0005-0000-0000-000070800000}"/>
    <cellStyle name="Notas 3 2 5 2 2" xfId="31354" xr:uid="{00000000-0005-0000-0000-000071800000}"/>
    <cellStyle name="Notas 3 2 5 3" xfId="23535" xr:uid="{00000000-0005-0000-0000-000072800000}"/>
    <cellStyle name="Notas 3 2 5 3 2" xfId="31355" xr:uid="{00000000-0005-0000-0000-000073800000}"/>
    <cellStyle name="Notas 3 2 5 4" xfId="23536" xr:uid="{00000000-0005-0000-0000-000074800000}"/>
    <cellStyle name="Notas 3 2 5 4 2" xfId="31356" xr:uid="{00000000-0005-0000-0000-000075800000}"/>
    <cellStyle name="Notas 3 2 5 5" xfId="23537" xr:uid="{00000000-0005-0000-0000-000076800000}"/>
    <cellStyle name="Notas 3 2 5 5 2" xfId="31357" xr:uid="{00000000-0005-0000-0000-000077800000}"/>
    <cellStyle name="Notas 3 2 5 6" xfId="23538" xr:uid="{00000000-0005-0000-0000-000078800000}"/>
    <cellStyle name="Notas 3 2 5 6 2" xfId="31358" xr:uid="{00000000-0005-0000-0000-000079800000}"/>
    <cellStyle name="Notas 3 2 5 7" xfId="31353" xr:uid="{00000000-0005-0000-0000-00007A800000}"/>
    <cellStyle name="Notas 3 2 6" xfId="23539" xr:uid="{00000000-0005-0000-0000-00007B800000}"/>
    <cellStyle name="Notas 3 2 6 2" xfId="23540" xr:uid="{00000000-0005-0000-0000-00007C800000}"/>
    <cellStyle name="Notas 3 2 6 2 2" xfId="31360" xr:uid="{00000000-0005-0000-0000-00007D800000}"/>
    <cellStyle name="Notas 3 2 6 3" xfId="23541" xr:uid="{00000000-0005-0000-0000-00007E800000}"/>
    <cellStyle name="Notas 3 2 6 3 2" xfId="31361" xr:uid="{00000000-0005-0000-0000-00007F800000}"/>
    <cellStyle name="Notas 3 2 6 4" xfId="23542" xr:uid="{00000000-0005-0000-0000-000080800000}"/>
    <cellStyle name="Notas 3 2 6 4 2" xfId="31362" xr:uid="{00000000-0005-0000-0000-000081800000}"/>
    <cellStyle name="Notas 3 2 6 5" xfId="23543" xr:uid="{00000000-0005-0000-0000-000082800000}"/>
    <cellStyle name="Notas 3 2 6 5 2" xfId="31363" xr:uid="{00000000-0005-0000-0000-000083800000}"/>
    <cellStyle name="Notas 3 2 6 6" xfId="23544" xr:uid="{00000000-0005-0000-0000-000084800000}"/>
    <cellStyle name="Notas 3 2 6 6 2" xfId="31364" xr:uid="{00000000-0005-0000-0000-000085800000}"/>
    <cellStyle name="Notas 3 2 6 7" xfId="31359" xr:uid="{00000000-0005-0000-0000-000086800000}"/>
    <cellStyle name="Notas 3 2 7" xfId="23545" xr:uid="{00000000-0005-0000-0000-000087800000}"/>
    <cellStyle name="Notas 3 2 7 2" xfId="23546" xr:uid="{00000000-0005-0000-0000-000088800000}"/>
    <cellStyle name="Notas 3 2 7 2 2" xfId="31366" xr:uid="{00000000-0005-0000-0000-000089800000}"/>
    <cellStyle name="Notas 3 2 7 3" xfId="23547" xr:uid="{00000000-0005-0000-0000-00008A800000}"/>
    <cellStyle name="Notas 3 2 7 3 2" xfId="31367" xr:uid="{00000000-0005-0000-0000-00008B800000}"/>
    <cellStyle name="Notas 3 2 7 4" xfId="23548" xr:uid="{00000000-0005-0000-0000-00008C800000}"/>
    <cellStyle name="Notas 3 2 7 4 2" xfId="31368" xr:uid="{00000000-0005-0000-0000-00008D800000}"/>
    <cellStyle name="Notas 3 2 7 5" xfId="23549" xr:uid="{00000000-0005-0000-0000-00008E800000}"/>
    <cellStyle name="Notas 3 2 7 5 2" xfId="31369" xr:uid="{00000000-0005-0000-0000-00008F800000}"/>
    <cellStyle name="Notas 3 2 7 6" xfId="23550" xr:uid="{00000000-0005-0000-0000-000090800000}"/>
    <cellStyle name="Notas 3 2 7 6 2" xfId="31370" xr:uid="{00000000-0005-0000-0000-000091800000}"/>
    <cellStyle name="Notas 3 2 7 7" xfId="31365" xr:uid="{00000000-0005-0000-0000-000092800000}"/>
    <cellStyle name="Notas 3 2 8" xfId="23551" xr:uid="{00000000-0005-0000-0000-000093800000}"/>
    <cellStyle name="Notas 3 2 8 2" xfId="23552" xr:uid="{00000000-0005-0000-0000-000094800000}"/>
    <cellStyle name="Notas 3 2 8 2 2" xfId="31372" xr:uid="{00000000-0005-0000-0000-000095800000}"/>
    <cellStyle name="Notas 3 2 8 3" xfId="23553" xr:uid="{00000000-0005-0000-0000-000096800000}"/>
    <cellStyle name="Notas 3 2 8 3 2" xfId="31373" xr:uid="{00000000-0005-0000-0000-000097800000}"/>
    <cellStyle name="Notas 3 2 8 4" xfId="23554" xr:uid="{00000000-0005-0000-0000-000098800000}"/>
    <cellStyle name="Notas 3 2 8 4 2" xfId="31374" xr:uid="{00000000-0005-0000-0000-000099800000}"/>
    <cellStyle name="Notas 3 2 8 5" xfId="23555" xr:uid="{00000000-0005-0000-0000-00009A800000}"/>
    <cellStyle name="Notas 3 2 8 5 2" xfId="31375" xr:uid="{00000000-0005-0000-0000-00009B800000}"/>
    <cellStyle name="Notas 3 2 8 6" xfId="23556" xr:uid="{00000000-0005-0000-0000-00009C800000}"/>
    <cellStyle name="Notas 3 2 8 6 2" xfId="31376" xr:uid="{00000000-0005-0000-0000-00009D800000}"/>
    <cellStyle name="Notas 3 2 8 7" xfId="31371" xr:uid="{00000000-0005-0000-0000-00009E800000}"/>
    <cellStyle name="Notas 3 2 9" xfId="23557" xr:uid="{00000000-0005-0000-0000-00009F800000}"/>
    <cellStyle name="Notas 3 2 9 2" xfId="23558" xr:uid="{00000000-0005-0000-0000-0000A0800000}"/>
    <cellStyle name="Notas 3 2 9 2 2" xfId="31378" xr:uid="{00000000-0005-0000-0000-0000A1800000}"/>
    <cellStyle name="Notas 3 2 9 3" xfId="23559" xr:uid="{00000000-0005-0000-0000-0000A2800000}"/>
    <cellStyle name="Notas 3 2 9 3 2" xfId="31379" xr:uid="{00000000-0005-0000-0000-0000A3800000}"/>
    <cellStyle name="Notas 3 2 9 4" xfId="23560" xr:uid="{00000000-0005-0000-0000-0000A4800000}"/>
    <cellStyle name="Notas 3 2 9 4 2" xfId="31380" xr:uid="{00000000-0005-0000-0000-0000A5800000}"/>
    <cellStyle name="Notas 3 2 9 5" xfId="23561" xr:uid="{00000000-0005-0000-0000-0000A6800000}"/>
    <cellStyle name="Notas 3 2 9 5 2" xfId="31381" xr:uid="{00000000-0005-0000-0000-0000A7800000}"/>
    <cellStyle name="Notas 3 2 9 6" xfId="23562" xr:uid="{00000000-0005-0000-0000-0000A8800000}"/>
    <cellStyle name="Notas 3 2 9 6 2" xfId="31382" xr:uid="{00000000-0005-0000-0000-0000A9800000}"/>
    <cellStyle name="Notas 3 2 9 7" xfId="31377" xr:uid="{00000000-0005-0000-0000-0000AA800000}"/>
    <cellStyle name="Notas 3 3" xfId="12050" xr:uid="{00000000-0005-0000-0000-0000AB800000}"/>
    <cellStyle name="Notas 3 3 10" xfId="23563" xr:uid="{00000000-0005-0000-0000-0000AC800000}"/>
    <cellStyle name="Notas 3 3 10 2" xfId="23564" xr:uid="{00000000-0005-0000-0000-0000AD800000}"/>
    <cellStyle name="Notas 3 3 10 2 2" xfId="31385" xr:uid="{00000000-0005-0000-0000-0000AE800000}"/>
    <cellStyle name="Notas 3 3 10 3" xfId="31384" xr:uid="{00000000-0005-0000-0000-0000AF800000}"/>
    <cellStyle name="Notas 3 3 11" xfId="23565" xr:uid="{00000000-0005-0000-0000-0000B0800000}"/>
    <cellStyle name="Notas 3 3 11 2" xfId="31386" xr:uid="{00000000-0005-0000-0000-0000B1800000}"/>
    <cellStyle name="Notas 3 3 12" xfId="31383" xr:uid="{00000000-0005-0000-0000-0000B2800000}"/>
    <cellStyle name="Notas 3 3 13" xfId="33294" xr:uid="{00000000-0005-0000-0000-0000B3800000}"/>
    <cellStyle name="Notas 3 3 14" xfId="33920" xr:uid="{00000000-0005-0000-0000-0000B4800000}"/>
    <cellStyle name="Notas 3 3 15" xfId="40070" xr:uid="{00000000-0005-0000-0000-0000B5800000}"/>
    <cellStyle name="Notas 3 3 2" xfId="23566" xr:uid="{00000000-0005-0000-0000-0000B6800000}"/>
    <cellStyle name="Notas 3 3 2 2" xfId="23567" xr:uid="{00000000-0005-0000-0000-0000B7800000}"/>
    <cellStyle name="Notas 3 3 2 2 2" xfId="31388" xr:uid="{00000000-0005-0000-0000-0000B8800000}"/>
    <cellStyle name="Notas 3 3 2 3" xfId="23568" xr:uid="{00000000-0005-0000-0000-0000B9800000}"/>
    <cellStyle name="Notas 3 3 2 3 2" xfId="31389" xr:uid="{00000000-0005-0000-0000-0000BA800000}"/>
    <cellStyle name="Notas 3 3 2 4" xfId="23569" xr:uid="{00000000-0005-0000-0000-0000BB800000}"/>
    <cellStyle name="Notas 3 3 2 4 2" xfId="31390" xr:uid="{00000000-0005-0000-0000-0000BC800000}"/>
    <cellStyle name="Notas 3 3 2 5" xfId="23570" xr:uid="{00000000-0005-0000-0000-0000BD800000}"/>
    <cellStyle name="Notas 3 3 2 5 2" xfId="31391" xr:uid="{00000000-0005-0000-0000-0000BE800000}"/>
    <cellStyle name="Notas 3 3 2 6" xfId="23571" xr:uid="{00000000-0005-0000-0000-0000BF800000}"/>
    <cellStyle name="Notas 3 3 2 6 2" xfId="31392" xr:uid="{00000000-0005-0000-0000-0000C0800000}"/>
    <cellStyle name="Notas 3 3 2 7" xfId="31387" xr:uid="{00000000-0005-0000-0000-0000C1800000}"/>
    <cellStyle name="Notas 3 3 3" xfId="23572" xr:uid="{00000000-0005-0000-0000-0000C2800000}"/>
    <cellStyle name="Notas 3 3 3 2" xfId="23573" xr:uid="{00000000-0005-0000-0000-0000C3800000}"/>
    <cellStyle name="Notas 3 3 3 2 2" xfId="31394" xr:uid="{00000000-0005-0000-0000-0000C4800000}"/>
    <cellStyle name="Notas 3 3 3 3" xfId="23574" xr:uid="{00000000-0005-0000-0000-0000C5800000}"/>
    <cellStyle name="Notas 3 3 3 3 2" xfId="31395" xr:uid="{00000000-0005-0000-0000-0000C6800000}"/>
    <cellStyle name="Notas 3 3 3 4" xfId="23575" xr:uid="{00000000-0005-0000-0000-0000C7800000}"/>
    <cellStyle name="Notas 3 3 3 4 2" xfId="31396" xr:uid="{00000000-0005-0000-0000-0000C8800000}"/>
    <cellStyle name="Notas 3 3 3 5" xfId="23576" xr:uid="{00000000-0005-0000-0000-0000C9800000}"/>
    <cellStyle name="Notas 3 3 3 5 2" xfId="31397" xr:uid="{00000000-0005-0000-0000-0000CA800000}"/>
    <cellStyle name="Notas 3 3 3 6" xfId="23577" xr:uid="{00000000-0005-0000-0000-0000CB800000}"/>
    <cellStyle name="Notas 3 3 3 6 2" xfId="31398" xr:uid="{00000000-0005-0000-0000-0000CC800000}"/>
    <cellStyle name="Notas 3 3 3 7" xfId="31393" xr:uid="{00000000-0005-0000-0000-0000CD800000}"/>
    <cellStyle name="Notas 3 3 4" xfId="23578" xr:uid="{00000000-0005-0000-0000-0000CE800000}"/>
    <cellStyle name="Notas 3 3 4 2" xfId="23579" xr:uid="{00000000-0005-0000-0000-0000CF800000}"/>
    <cellStyle name="Notas 3 3 4 2 2" xfId="31400" xr:uid="{00000000-0005-0000-0000-0000D0800000}"/>
    <cellStyle name="Notas 3 3 4 3" xfId="23580" xr:uid="{00000000-0005-0000-0000-0000D1800000}"/>
    <cellStyle name="Notas 3 3 4 3 2" xfId="31401" xr:uid="{00000000-0005-0000-0000-0000D2800000}"/>
    <cellStyle name="Notas 3 3 4 4" xfId="23581" xr:uid="{00000000-0005-0000-0000-0000D3800000}"/>
    <cellStyle name="Notas 3 3 4 4 2" xfId="31402" xr:uid="{00000000-0005-0000-0000-0000D4800000}"/>
    <cellStyle name="Notas 3 3 4 5" xfId="23582" xr:uid="{00000000-0005-0000-0000-0000D5800000}"/>
    <cellStyle name="Notas 3 3 4 5 2" xfId="31403" xr:uid="{00000000-0005-0000-0000-0000D6800000}"/>
    <cellStyle name="Notas 3 3 4 6" xfId="23583" xr:uid="{00000000-0005-0000-0000-0000D7800000}"/>
    <cellStyle name="Notas 3 3 4 6 2" xfId="31404" xr:uid="{00000000-0005-0000-0000-0000D8800000}"/>
    <cellStyle name="Notas 3 3 4 7" xfId="31399" xr:uid="{00000000-0005-0000-0000-0000D9800000}"/>
    <cellStyle name="Notas 3 3 5" xfId="23584" xr:uid="{00000000-0005-0000-0000-0000DA800000}"/>
    <cellStyle name="Notas 3 3 5 2" xfId="23585" xr:uid="{00000000-0005-0000-0000-0000DB800000}"/>
    <cellStyle name="Notas 3 3 5 2 2" xfId="31406" xr:uid="{00000000-0005-0000-0000-0000DC800000}"/>
    <cellStyle name="Notas 3 3 5 3" xfId="23586" xr:uid="{00000000-0005-0000-0000-0000DD800000}"/>
    <cellStyle name="Notas 3 3 5 3 2" xfId="31407" xr:uid="{00000000-0005-0000-0000-0000DE800000}"/>
    <cellStyle name="Notas 3 3 5 4" xfId="23587" xr:uid="{00000000-0005-0000-0000-0000DF800000}"/>
    <cellStyle name="Notas 3 3 5 4 2" xfId="31408" xr:uid="{00000000-0005-0000-0000-0000E0800000}"/>
    <cellStyle name="Notas 3 3 5 5" xfId="23588" xr:uid="{00000000-0005-0000-0000-0000E1800000}"/>
    <cellStyle name="Notas 3 3 5 5 2" xfId="31409" xr:uid="{00000000-0005-0000-0000-0000E2800000}"/>
    <cellStyle name="Notas 3 3 5 6" xfId="23589" xr:uid="{00000000-0005-0000-0000-0000E3800000}"/>
    <cellStyle name="Notas 3 3 5 6 2" xfId="31410" xr:uid="{00000000-0005-0000-0000-0000E4800000}"/>
    <cellStyle name="Notas 3 3 5 7" xfId="31405" xr:uid="{00000000-0005-0000-0000-0000E5800000}"/>
    <cellStyle name="Notas 3 3 6" xfId="23590" xr:uid="{00000000-0005-0000-0000-0000E6800000}"/>
    <cellStyle name="Notas 3 3 6 2" xfId="23591" xr:uid="{00000000-0005-0000-0000-0000E7800000}"/>
    <cellStyle name="Notas 3 3 6 2 2" xfId="31412" xr:uid="{00000000-0005-0000-0000-0000E8800000}"/>
    <cellStyle name="Notas 3 3 6 3" xfId="23592" xr:uid="{00000000-0005-0000-0000-0000E9800000}"/>
    <cellStyle name="Notas 3 3 6 3 2" xfId="31413" xr:uid="{00000000-0005-0000-0000-0000EA800000}"/>
    <cellStyle name="Notas 3 3 6 4" xfId="23593" xr:uid="{00000000-0005-0000-0000-0000EB800000}"/>
    <cellStyle name="Notas 3 3 6 4 2" xfId="31414" xr:uid="{00000000-0005-0000-0000-0000EC800000}"/>
    <cellStyle name="Notas 3 3 6 5" xfId="23594" xr:uid="{00000000-0005-0000-0000-0000ED800000}"/>
    <cellStyle name="Notas 3 3 6 5 2" xfId="31415" xr:uid="{00000000-0005-0000-0000-0000EE800000}"/>
    <cellStyle name="Notas 3 3 6 6" xfId="23595" xr:uid="{00000000-0005-0000-0000-0000EF800000}"/>
    <cellStyle name="Notas 3 3 6 6 2" xfId="31416" xr:uid="{00000000-0005-0000-0000-0000F0800000}"/>
    <cellStyle name="Notas 3 3 6 7" xfId="31411" xr:uid="{00000000-0005-0000-0000-0000F1800000}"/>
    <cellStyle name="Notas 3 3 7" xfId="23596" xr:uid="{00000000-0005-0000-0000-0000F2800000}"/>
    <cellStyle name="Notas 3 3 7 2" xfId="23597" xr:uid="{00000000-0005-0000-0000-0000F3800000}"/>
    <cellStyle name="Notas 3 3 7 2 2" xfId="31418" xr:uid="{00000000-0005-0000-0000-0000F4800000}"/>
    <cellStyle name="Notas 3 3 7 3" xfId="23598" xr:uid="{00000000-0005-0000-0000-0000F5800000}"/>
    <cellStyle name="Notas 3 3 7 3 2" xfId="31419" xr:uid="{00000000-0005-0000-0000-0000F6800000}"/>
    <cellStyle name="Notas 3 3 7 4" xfId="23599" xr:uid="{00000000-0005-0000-0000-0000F7800000}"/>
    <cellStyle name="Notas 3 3 7 4 2" xfId="31420" xr:uid="{00000000-0005-0000-0000-0000F8800000}"/>
    <cellStyle name="Notas 3 3 7 5" xfId="23600" xr:uid="{00000000-0005-0000-0000-0000F9800000}"/>
    <cellStyle name="Notas 3 3 7 5 2" xfId="31421" xr:uid="{00000000-0005-0000-0000-0000FA800000}"/>
    <cellStyle name="Notas 3 3 7 6" xfId="23601" xr:uid="{00000000-0005-0000-0000-0000FB800000}"/>
    <cellStyle name="Notas 3 3 7 6 2" xfId="31422" xr:uid="{00000000-0005-0000-0000-0000FC800000}"/>
    <cellStyle name="Notas 3 3 7 7" xfId="31417" xr:uid="{00000000-0005-0000-0000-0000FD800000}"/>
    <cellStyle name="Notas 3 3 8" xfId="23602" xr:uid="{00000000-0005-0000-0000-0000FE800000}"/>
    <cellStyle name="Notas 3 3 8 2" xfId="23603" xr:uid="{00000000-0005-0000-0000-0000FF800000}"/>
    <cellStyle name="Notas 3 3 8 2 2" xfId="31424" xr:uid="{00000000-0005-0000-0000-000000810000}"/>
    <cellStyle name="Notas 3 3 8 3" xfId="23604" xr:uid="{00000000-0005-0000-0000-000001810000}"/>
    <cellStyle name="Notas 3 3 8 3 2" xfId="31425" xr:uid="{00000000-0005-0000-0000-000002810000}"/>
    <cellStyle name="Notas 3 3 8 4" xfId="23605" xr:uid="{00000000-0005-0000-0000-000003810000}"/>
    <cellStyle name="Notas 3 3 8 4 2" xfId="31426" xr:uid="{00000000-0005-0000-0000-000004810000}"/>
    <cellStyle name="Notas 3 3 8 5" xfId="23606" xr:uid="{00000000-0005-0000-0000-000005810000}"/>
    <cellStyle name="Notas 3 3 8 5 2" xfId="31427" xr:uid="{00000000-0005-0000-0000-000006810000}"/>
    <cellStyle name="Notas 3 3 8 6" xfId="23607" xr:uid="{00000000-0005-0000-0000-000007810000}"/>
    <cellStyle name="Notas 3 3 8 6 2" xfId="31428" xr:uid="{00000000-0005-0000-0000-000008810000}"/>
    <cellStyle name="Notas 3 3 8 7" xfId="31423" xr:uid="{00000000-0005-0000-0000-000009810000}"/>
    <cellStyle name="Notas 3 3 9" xfId="23608" xr:uid="{00000000-0005-0000-0000-00000A810000}"/>
    <cellStyle name="Notas 3 3 9 2" xfId="23609" xr:uid="{00000000-0005-0000-0000-00000B810000}"/>
    <cellStyle name="Notas 3 3 9 2 2" xfId="31430" xr:uid="{00000000-0005-0000-0000-00000C810000}"/>
    <cellStyle name="Notas 3 3 9 3" xfId="23610" xr:uid="{00000000-0005-0000-0000-00000D810000}"/>
    <cellStyle name="Notas 3 3 9 3 2" xfId="31431" xr:uid="{00000000-0005-0000-0000-00000E810000}"/>
    <cellStyle name="Notas 3 3 9 4" xfId="23611" xr:uid="{00000000-0005-0000-0000-00000F810000}"/>
    <cellStyle name="Notas 3 3 9 4 2" xfId="31432" xr:uid="{00000000-0005-0000-0000-000010810000}"/>
    <cellStyle name="Notas 3 3 9 5" xfId="23612" xr:uid="{00000000-0005-0000-0000-000011810000}"/>
    <cellStyle name="Notas 3 3 9 5 2" xfId="31433" xr:uid="{00000000-0005-0000-0000-000012810000}"/>
    <cellStyle name="Notas 3 3 9 6" xfId="23613" xr:uid="{00000000-0005-0000-0000-000013810000}"/>
    <cellStyle name="Notas 3 3 9 6 2" xfId="31434" xr:uid="{00000000-0005-0000-0000-000014810000}"/>
    <cellStyle name="Notas 3 3 9 7" xfId="31429" xr:uid="{00000000-0005-0000-0000-000015810000}"/>
    <cellStyle name="Notas 3 4" xfId="23614" xr:uid="{00000000-0005-0000-0000-000016810000}"/>
    <cellStyle name="Notas 3 4 10" xfId="23615" xr:uid="{00000000-0005-0000-0000-000017810000}"/>
    <cellStyle name="Notas 3 4 10 2" xfId="23616" xr:uid="{00000000-0005-0000-0000-000018810000}"/>
    <cellStyle name="Notas 3 4 10 2 2" xfId="31437" xr:uid="{00000000-0005-0000-0000-000019810000}"/>
    <cellStyle name="Notas 3 4 10 3" xfId="31436" xr:uid="{00000000-0005-0000-0000-00001A810000}"/>
    <cellStyle name="Notas 3 4 11" xfId="31435" xr:uid="{00000000-0005-0000-0000-00001B810000}"/>
    <cellStyle name="Notas 3 4 12" xfId="33921" xr:uid="{00000000-0005-0000-0000-00001C810000}"/>
    <cellStyle name="Notas 3 4 2" xfId="23617" xr:uid="{00000000-0005-0000-0000-00001D810000}"/>
    <cellStyle name="Notas 3 4 2 2" xfId="23618" xr:uid="{00000000-0005-0000-0000-00001E810000}"/>
    <cellStyle name="Notas 3 4 2 2 2" xfId="31439" xr:uid="{00000000-0005-0000-0000-00001F810000}"/>
    <cellStyle name="Notas 3 4 2 3" xfId="23619" xr:uid="{00000000-0005-0000-0000-000020810000}"/>
    <cellStyle name="Notas 3 4 2 3 2" xfId="31440" xr:uid="{00000000-0005-0000-0000-000021810000}"/>
    <cellStyle name="Notas 3 4 2 4" xfId="23620" xr:uid="{00000000-0005-0000-0000-000022810000}"/>
    <cellStyle name="Notas 3 4 2 4 2" xfId="31441" xr:uid="{00000000-0005-0000-0000-000023810000}"/>
    <cellStyle name="Notas 3 4 2 5" xfId="23621" xr:uid="{00000000-0005-0000-0000-000024810000}"/>
    <cellStyle name="Notas 3 4 2 5 2" xfId="31442" xr:uid="{00000000-0005-0000-0000-000025810000}"/>
    <cellStyle name="Notas 3 4 2 6" xfId="23622" xr:uid="{00000000-0005-0000-0000-000026810000}"/>
    <cellStyle name="Notas 3 4 2 6 2" xfId="31443" xr:uid="{00000000-0005-0000-0000-000027810000}"/>
    <cellStyle name="Notas 3 4 2 7" xfId="31438" xr:uid="{00000000-0005-0000-0000-000028810000}"/>
    <cellStyle name="Notas 3 4 3" xfId="23623" xr:uid="{00000000-0005-0000-0000-000029810000}"/>
    <cellStyle name="Notas 3 4 3 2" xfId="23624" xr:uid="{00000000-0005-0000-0000-00002A810000}"/>
    <cellStyle name="Notas 3 4 3 2 2" xfId="31445" xr:uid="{00000000-0005-0000-0000-00002B810000}"/>
    <cellStyle name="Notas 3 4 3 3" xfId="23625" xr:uid="{00000000-0005-0000-0000-00002C810000}"/>
    <cellStyle name="Notas 3 4 3 3 2" xfId="31446" xr:uid="{00000000-0005-0000-0000-00002D810000}"/>
    <cellStyle name="Notas 3 4 3 4" xfId="23626" xr:uid="{00000000-0005-0000-0000-00002E810000}"/>
    <cellStyle name="Notas 3 4 3 4 2" xfId="31447" xr:uid="{00000000-0005-0000-0000-00002F810000}"/>
    <cellStyle name="Notas 3 4 3 5" xfId="23627" xr:uid="{00000000-0005-0000-0000-000030810000}"/>
    <cellStyle name="Notas 3 4 3 5 2" xfId="31448" xr:uid="{00000000-0005-0000-0000-000031810000}"/>
    <cellStyle name="Notas 3 4 3 6" xfId="23628" xr:uid="{00000000-0005-0000-0000-000032810000}"/>
    <cellStyle name="Notas 3 4 3 6 2" xfId="31449" xr:uid="{00000000-0005-0000-0000-000033810000}"/>
    <cellStyle name="Notas 3 4 3 7" xfId="31444" xr:uid="{00000000-0005-0000-0000-000034810000}"/>
    <cellStyle name="Notas 3 4 4" xfId="23629" xr:uid="{00000000-0005-0000-0000-000035810000}"/>
    <cellStyle name="Notas 3 4 4 2" xfId="23630" xr:uid="{00000000-0005-0000-0000-000036810000}"/>
    <cellStyle name="Notas 3 4 4 2 2" xfId="31451" xr:uid="{00000000-0005-0000-0000-000037810000}"/>
    <cellStyle name="Notas 3 4 4 3" xfId="23631" xr:uid="{00000000-0005-0000-0000-000038810000}"/>
    <cellStyle name="Notas 3 4 4 3 2" xfId="31452" xr:uid="{00000000-0005-0000-0000-000039810000}"/>
    <cellStyle name="Notas 3 4 4 4" xfId="23632" xr:uid="{00000000-0005-0000-0000-00003A810000}"/>
    <cellStyle name="Notas 3 4 4 4 2" xfId="31453" xr:uid="{00000000-0005-0000-0000-00003B810000}"/>
    <cellStyle name="Notas 3 4 4 5" xfId="23633" xr:uid="{00000000-0005-0000-0000-00003C810000}"/>
    <cellStyle name="Notas 3 4 4 5 2" xfId="31454" xr:uid="{00000000-0005-0000-0000-00003D810000}"/>
    <cellStyle name="Notas 3 4 4 6" xfId="23634" xr:uid="{00000000-0005-0000-0000-00003E810000}"/>
    <cellStyle name="Notas 3 4 4 6 2" xfId="31455" xr:uid="{00000000-0005-0000-0000-00003F810000}"/>
    <cellStyle name="Notas 3 4 4 7" xfId="31450" xr:uid="{00000000-0005-0000-0000-000040810000}"/>
    <cellStyle name="Notas 3 4 5" xfId="23635" xr:uid="{00000000-0005-0000-0000-000041810000}"/>
    <cellStyle name="Notas 3 4 5 2" xfId="23636" xr:uid="{00000000-0005-0000-0000-000042810000}"/>
    <cellStyle name="Notas 3 4 5 2 2" xfId="31457" xr:uid="{00000000-0005-0000-0000-000043810000}"/>
    <cellStyle name="Notas 3 4 5 3" xfId="23637" xr:uid="{00000000-0005-0000-0000-000044810000}"/>
    <cellStyle name="Notas 3 4 5 3 2" xfId="31458" xr:uid="{00000000-0005-0000-0000-000045810000}"/>
    <cellStyle name="Notas 3 4 5 4" xfId="23638" xr:uid="{00000000-0005-0000-0000-000046810000}"/>
    <cellStyle name="Notas 3 4 5 4 2" xfId="31459" xr:uid="{00000000-0005-0000-0000-000047810000}"/>
    <cellStyle name="Notas 3 4 5 5" xfId="23639" xr:uid="{00000000-0005-0000-0000-000048810000}"/>
    <cellStyle name="Notas 3 4 5 5 2" xfId="31460" xr:uid="{00000000-0005-0000-0000-000049810000}"/>
    <cellStyle name="Notas 3 4 5 6" xfId="23640" xr:uid="{00000000-0005-0000-0000-00004A810000}"/>
    <cellStyle name="Notas 3 4 5 6 2" xfId="31461" xr:uid="{00000000-0005-0000-0000-00004B810000}"/>
    <cellStyle name="Notas 3 4 5 7" xfId="31456" xr:uid="{00000000-0005-0000-0000-00004C810000}"/>
    <cellStyle name="Notas 3 4 6" xfId="23641" xr:uid="{00000000-0005-0000-0000-00004D810000}"/>
    <cellStyle name="Notas 3 4 6 2" xfId="23642" xr:uid="{00000000-0005-0000-0000-00004E810000}"/>
    <cellStyle name="Notas 3 4 6 2 2" xfId="31463" xr:uid="{00000000-0005-0000-0000-00004F810000}"/>
    <cellStyle name="Notas 3 4 6 3" xfId="23643" xr:uid="{00000000-0005-0000-0000-000050810000}"/>
    <cellStyle name="Notas 3 4 6 3 2" xfId="31464" xr:uid="{00000000-0005-0000-0000-000051810000}"/>
    <cellStyle name="Notas 3 4 6 4" xfId="23644" xr:uid="{00000000-0005-0000-0000-000052810000}"/>
    <cellStyle name="Notas 3 4 6 4 2" xfId="31465" xr:uid="{00000000-0005-0000-0000-000053810000}"/>
    <cellStyle name="Notas 3 4 6 5" xfId="23645" xr:uid="{00000000-0005-0000-0000-000054810000}"/>
    <cellStyle name="Notas 3 4 6 5 2" xfId="31466" xr:uid="{00000000-0005-0000-0000-000055810000}"/>
    <cellStyle name="Notas 3 4 6 6" xfId="23646" xr:uid="{00000000-0005-0000-0000-000056810000}"/>
    <cellStyle name="Notas 3 4 6 6 2" xfId="31467" xr:uid="{00000000-0005-0000-0000-000057810000}"/>
    <cellStyle name="Notas 3 4 6 7" xfId="31462" xr:uid="{00000000-0005-0000-0000-000058810000}"/>
    <cellStyle name="Notas 3 4 7" xfId="23647" xr:uid="{00000000-0005-0000-0000-000059810000}"/>
    <cellStyle name="Notas 3 4 7 2" xfId="23648" xr:uid="{00000000-0005-0000-0000-00005A810000}"/>
    <cellStyle name="Notas 3 4 7 2 2" xfId="31469" xr:uid="{00000000-0005-0000-0000-00005B810000}"/>
    <cellStyle name="Notas 3 4 7 3" xfId="23649" xr:uid="{00000000-0005-0000-0000-00005C810000}"/>
    <cellStyle name="Notas 3 4 7 3 2" xfId="31470" xr:uid="{00000000-0005-0000-0000-00005D810000}"/>
    <cellStyle name="Notas 3 4 7 4" xfId="23650" xr:uid="{00000000-0005-0000-0000-00005E810000}"/>
    <cellStyle name="Notas 3 4 7 4 2" xfId="31471" xr:uid="{00000000-0005-0000-0000-00005F810000}"/>
    <cellStyle name="Notas 3 4 7 5" xfId="23651" xr:uid="{00000000-0005-0000-0000-000060810000}"/>
    <cellStyle name="Notas 3 4 7 5 2" xfId="31472" xr:uid="{00000000-0005-0000-0000-000061810000}"/>
    <cellStyle name="Notas 3 4 7 6" xfId="23652" xr:uid="{00000000-0005-0000-0000-000062810000}"/>
    <cellStyle name="Notas 3 4 7 6 2" xfId="31473" xr:uid="{00000000-0005-0000-0000-000063810000}"/>
    <cellStyle name="Notas 3 4 7 7" xfId="31468" xr:uid="{00000000-0005-0000-0000-000064810000}"/>
    <cellStyle name="Notas 3 4 8" xfId="23653" xr:uid="{00000000-0005-0000-0000-000065810000}"/>
    <cellStyle name="Notas 3 4 8 2" xfId="23654" xr:uid="{00000000-0005-0000-0000-000066810000}"/>
    <cellStyle name="Notas 3 4 8 2 2" xfId="31475" xr:uid="{00000000-0005-0000-0000-000067810000}"/>
    <cellStyle name="Notas 3 4 8 3" xfId="23655" xr:uid="{00000000-0005-0000-0000-000068810000}"/>
    <cellStyle name="Notas 3 4 8 3 2" xfId="31476" xr:uid="{00000000-0005-0000-0000-000069810000}"/>
    <cellStyle name="Notas 3 4 8 4" xfId="23656" xr:uid="{00000000-0005-0000-0000-00006A810000}"/>
    <cellStyle name="Notas 3 4 8 4 2" xfId="31477" xr:uid="{00000000-0005-0000-0000-00006B810000}"/>
    <cellStyle name="Notas 3 4 8 5" xfId="23657" xr:uid="{00000000-0005-0000-0000-00006C810000}"/>
    <cellStyle name="Notas 3 4 8 5 2" xfId="31478" xr:uid="{00000000-0005-0000-0000-00006D810000}"/>
    <cellStyle name="Notas 3 4 8 6" xfId="23658" xr:uid="{00000000-0005-0000-0000-00006E810000}"/>
    <cellStyle name="Notas 3 4 8 6 2" xfId="31479" xr:uid="{00000000-0005-0000-0000-00006F810000}"/>
    <cellStyle name="Notas 3 4 8 7" xfId="31474" xr:uid="{00000000-0005-0000-0000-000070810000}"/>
    <cellStyle name="Notas 3 4 9" xfId="23659" xr:uid="{00000000-0005-0000-0000-000071810000}"/>
    <cellStyle name="Notas 3 4 9 2" xfId="23660" xr:uid="{00000000-0005-0000-0000-000072810000}"/>
    <cellStyle name="Notas 3 4 9 2 2" xfId="31481" xr:uid="{00000000-0005-0000-0000-000073810000}"/>
    <cellStyle name="Notas 3 4 9 3" xfId="23661" xr:uid="{00000000-0005-0000-0000-000074810000}"/>
    <cellStyle name="Notas 3 4 9 3 2" xfId="31482" xr:uid="{00000000-0005-0000-0000-000075810000}"/>
    <cellStyle name="Notas 3 4 9 4" xfId="23662" xr:uid="{00000000-0005-0000-0000-000076810000}"/>
    <cellStyle name="Notas 3 4 9 4 2" xfId="31483" xr:uid="{00000000-0005-0000-0000-000077810000}"/>
    <cellStyle name="Notas 3 4 9 5" xfId="23663" xr:uid="{00000000-0005-0000-0000-000078810000}"/>
    <cellStyle name="Notas 3 4 9 5 2" xfId="31484" xr:uid="{00000000-0005-0000-0000-000079810000}"/>
    <cellStyle name="Notas 3 4 9 6" xfId="23664" xr:uid="{00000000-0005-0000-0000-00007A810000}"/>
    <cellStyle name="Notas 3 4 9 6 2" xfId="31485" xr:uid="{00000000-0005-0000-0000-00007B810000}"/>
    <cellStyle name="Notas 3 4 9 7" xfId="31480" xr:uid="{00000000-0005-0000-0000-00007C810000}"/>
    <cellStyle name="Notas 3 5" xfId="23665" xr:uid="{00000000-0005-0000-0000-00007D810000}"/>
    <cellStyle name="Notas 3 5 2" xfId="23666" xr:uid="{00000000-0005-0000-0000-00007E810000}"/>
    <cellStyle name="Notas 3 5 2 2" xfId="31487" xr:uid="{00000000-0005-0000-0000-00007F810000}"/>
    <cellStyle name="Notas 3 5 3" xfId="23667" xr:uid="{00000000-0005-0000-0000-000080810000}"/>
    <cellStyle name="Notas 3 5 3 2" xfId="31488" xr:uid="{00000000-0005-0000-0000-000081810000}"/>
    <cellStyle name="Notas 3 5 4" xfId="23668" xr:uid="{00000000-0005-0000-0000-000082810000}"/>
    <cellStyle name="Notas 3 5 4 2" xfId="31489" xr:uid="{00000000-0005-0000-0000-000083810000}"/>
    <cellStyle name="Notas 3 5 5" xfId="23669" xr:uid="{00000000-0005-0000-0000-000084810000}"/>
    <cellStyle name="Notas 3 5 5 2" xfId="31490" xr:uid="{00000000-0005-0000-0000-000085810000}"/>
    <cellStyle name="Notas 3 5 6" xfId="23670" xr:uid="{00000000-0005-0000-0000-000086810000}"/>
    <cellStyle name="Notas 3 5 6 2" xfId="31491" xr:uid="{00000000-0005-0000-0000-000087810000}"/>
    <cellStyle name="Notas 3 5 7" xfId="31486" xr:uid="{00000000-0005-0000-0000-000088810000}"/>
    <cellStyle name="Notas 3 6" xfId="23671" xr:uid="{00000000-0005-0000-0000-000089810000}"/>
    <cellStyle name="Notas 3 6 2" xfId="23672" xr:uid="{00000000-0005-0000-0000-00008A810000}"/>
    <cellStyle name="Notas 3 6 2 2" xfId="31493" xr:uid="{00000000-0005-0000-0000-00008B810000}"/>
    <cellStyle name="Notas 3 6 3" xfId="23673" xr:uid="{00000000-0005-0000-0000-00008C810000}"/>
    <cellStyle name="Notas 3 6 3 2" xfId="31494" xr:uid="{00000000-0005-0000-0000-00008D810000}"/>
    <cellStyle name="Notas 3 6 4" xfId="23674" xr:uid="{00000000-0005-0000-0000-00008E810000}"/>
    <cellStyle name="Notas 3 6 4 2" xfId="31495" xr:uid="{00000000-0005-0000-0000-00008F810000}"/>
    <cellStyle name="Notas 3 6 5" xfId="23675" xr:uid="{00000000-0005-0000-0000-000090810000}"/>
    <cellStyle name="Notas 3 6 5 2" xfId="31496" xr:uid="{00000000-0005-0000-0000-000091810000}"/>
    <cellStyle name="Notas 3 6 6" xfId="23676" xr:uid="{00000000-0005-0000-0000-000092810000}"/>
    <cellStyle name="Notas 3 6 6 2" xfId="31497" xr:uid="{00000000-0005-0000-0000-000093810000}"/>
    <cellStyle name="Notas 3 6 7" xfId="31492" xr:uid="{00000000-0005-0000-0000-000094810000}"/>
    <cellStyle name="Notas 3 7" xfId="23677" xr:uid="{00000000-0005-0000-0000-000095810000}"/>
    <cellStyle name="Notas 3 7 2" xfId="23678" xr:uid="{00000000-0005-0000-0000-000096810000}"/>
    <cellStyle name="Notas 3 7 2 2" xfId="31499" xr:uid="{00000000-0005-0000-0000-000097810000}"/>
    <cellStyle name="Notas 3 7 3" xfId="23679" xr:uid="{00000000-0005-0000-0000-000098810000}"/>
    <cellStyle name="Notas 3 7 3 2" xfId="31500" xr:uid="{00000000-0005-0000-0000-000099810000}"/>
    <cellStyle name="Notas 3 7 4" xfId="23680" xr:uid="{00000000-0005-0000-0000-00009A810000}"/>
    <cellStyle name="Notas 3 7 4 2" xfId="31501" xr:uid="{00000000-0005-0000-0000-00009B810000}"/>
    <cellStyle name="Notas 3 7 5" xfId="23681" xr:uid="{00000000-0005-0000-0000-00009C810000}"/>
    <cellStyle name="Notas 3 7 5 2" xfId="31502" xr:uid="{00000000-0005-0000-0000-00009D810000}"/>
    <cellStyle name="Notas 3 7 6" xfId="23682" xr:uid="{00000000-0005-0000-0000-00009E810000}"/>
    <cellStyle name="Notas 3 7 6 2" xfId="31503" xr:uid="{00000000-0005-0000-0000-00009F810000}"/>
    <cellStyle name="Notas 3 7 7" xfId="31498" xr:uid="{00000000-0005-0000-0000-0000A0810000}"/>
    <cellStyle name="Notas 3 8" xfId="23683" xr:uid="{00000000-0005-0000-0000-0000A1810000}"/>
    <cellStyle name="Notas 3 8 2" xfId="23684" xr:uid="{00000000-0005-0000-0000-0000A2810000}"/>
    <cellStyle name="Notas 3 8 2 2" xfId="31505" xr:uid="{00000000-0005-0000-0000-0000A3810000}"/>
    <cellStyle name="Notas 3 8 3" xfId="23685" xr:uid="{00000000-0005-0000-0000-0000A4810000}"/>
    <cellStyle name="Notas 3 8 3 2" xfId="31506" xr:uid="{00000000-0005-0000-0000-0000A5810000}"/>
    <cellStyle name="Notas 3 8 4" xfId="23686" xr:uid="{00000000-0005-0000-0000-0000A6810000}"/>
    <cellStyle name="Notas 3 8 4 2" xfId="31507" xr:uid="{00000000-0005-0000-0000-0000A7810000}"/>
    <cellStyle name="Notas 3 8 5" xfId="23687" xr:uid="{00000000-0005-0000-0000-0000A8810000}"/>
    <cellStyle name="Notas 3 8 5 2" xfId="31508" xr:uid="{00000000-0005-0000-0000-0000A9810000}"/>
    <cellStyle name="Notas 3 8 6" xfId="23688" xr:uid="{00000000-0005-0000-0000-0000AA810000}"/>
    <cellStyle name="Notas 3 8 6 2" xfId="31509" xr:uid="{00000000-0005-0000-0000-0000AB810000}"/>
    <cellStyle name="Notas 3 8 7" xfId="31504" xr:uid="{00000000-0005-0000-0000-0000AC810000}"/>
    <cellStyle name="Notas 3 9" xfId="23689" xr:uid="{00000000-0005-0000-0000-0000AD810000}"/>
    <cellStyle name="Notas 3 9 2" xfId="23690" xr:uid="{00000000-0005-0000-0000-0000AE810000}"/>
    <cellStyle name="Notas 3 9 2 2" xfId="31511" xr:uid="{00000000-0005-0000-0000-0000AF810000}"/>
    <cellStyle name="Notas 3 9 3" xfId="23691" xr:uid="{00000000-0005-0000-0000-0000B0810000}"/>
    <cellStyle name="Notas 3 9 3 2" xfId="31512" xr:uid="{00000000-0005-0000-0000-0000B1810000}"/>
    <cellStyle name="Notas 3 9 4" xfId="23692" xr:uid="{00000000-0005-0000-0000-0000B2810000}"/>
    <cellStyle name="Notas 3 9 4 2" xfId="31513" xr:uid="{00000000-0005-0000-0000-0000B3810000}"/>
    <cellStyle name="Notas 3 9 5" xfId="23693" xr:uid="{00000000-0005-0000-0000-0000B4810000}"/>
    <cellStyle name="Notas 3 9 5 2" xfId="31514" xr:uid="{00000000-0005-0000-0000-0000B5810000}"/>
    <cellStyle name="Notas 3 9 6" xfId="23694" xr:uid="{00000000-0005-0000-0000-0000B6810000}"/>
    <cellStyle name="Notas 3 9 6 2" xfId="31515" xr:uid="{00000000-0005-0000-0000-0000B7810000}"/>
    <cellStyle name="Notas 3 9 7" xfId="31510" xr:uid="{00000000-0005-0000-0000-0000B8810000}"/>
    <cellStyle name="Notas 30" xfId="11134" xr:uid="{00000000-0005-0000-0000-0000B9810000}"/>
    <cellStyle name="Notas 30 2" xfId="12051" xr:uid="{00000000-0005-0000-0000-0000BA810000}"/>
    <cellStyle name="Notas 30 2 2" xfId="31517" xr:uid="{00000000-0005-0000-0000-0000BB810000}"/>
    <cellStyle name="Notas 30 2 3" xfId="33296" xr:uid="{00000000-0005-0000-0000-0000BC810000}"/>
    <cellStyle name="Notas 30 2 4" xfId="40072" xr:uid="{00000000-0005-0000-0000-0000BD810000}"/>
    <cellStyle name="Notas 30 3" xfId="12052" xr:uid="{00000000-0005-0000-0000-0000BE810000}"/>
    <cellStyle name="Notas 30 3 2" xfId="31518" xr:uid="{00000000-0005-0000-0000-0000BF810000}"/>
    <cellStyle name="Notas 30 3 3" xfId="33297" xr:uid="{00000000-0005-0000-0000-0000C0810000}"/>
    <cellStyle name="Notas 30 3 4" xfId="40073" xr:uid="{00000000-0005-0000-0000-0000C1810000}"/>
    <cellStyle name="Notas 30 4" xfId="31516" xr:uid="{00000000-0005-0000-0000-0000C2810000}"/>
    <cellStyle name="Notas 30 5" xfId="33295" xr:uid="{00000000-0005-0000-0000-0000C3810000}"/>
    <cellStyle name="Notas 30 6" xfId="40071" xr:uid="{00000000-0005-0000-0000-0000C4810000}"/>
    <cellStyle name="Notas 31" xfId="11135" xr:uid="{00000000-0005-0000-0000-0000C5810000}"/>
    <cellStyle name="Notas 31 2" xfId="12053" xr:uid="{00000000-0005-0000-0000-0000C6810000}"/>
    <cellStyle name="Notas 31 2 2" xfId="31520" xr:uid="{00000000-0005-0000-0000-0000C7810000}"/>
    <cellStyle name="Notas 31 2 3" xfId="33299" xr:uid="{00000000-0005-0000-0000-0000C8810000}"/>
    <cellStyle name="Notas 31 2 4" xfId="40075" xr:uid="{00000000-0005-0000-0000-0000C9810000}"/>
    <cellStyle name="Notas 31 3" xfId="12054" xr:uid="{00000000-0005-0000-0000-0000CA810000}"/>
    <cellStyle name="Notas 31 3 2" xfId="31521" xr:uid="{00000000-0005-0000-0000-0000CB810000}"/>
    <cellStyle name="Notas 31 3 3" xfId="33300" xr:uid="{00000000-0005-0000-0000-0000CC810000}"/>
    <cellStyle name="Notas 31 3 4" xfId="40076" xr:uid="{00000000-0005-0000-0000-0000CD810000}"/>
    <cellStyle name="Notas 31 4" xfId="31519" xr:uid="{00000000-0005-0000-0000-0000CE810000}"/>
    <cellStyle name="Notas 31 5" xfId="33298" xr:uid="{00000000-0005-0000-0000-0000CF810000}"/>
    <cellStyle name="Notas 31 6" xfId="40074" xr:uid="{00000000-0005-0000-0000-0000D0810000}"/>
    <cellStyle name="Notas 32" xfId="11136" xr:uid="{00000000-0005-0000-0000-0000D1810000}"/>
    <cellStyle name="Notas 32 2" xfId="12055" xr:uid="{00000000-0005-0000-0000-0000D2810000}"/>
    <cellStyle name="Notas 32 2 2" xfId="31523" xr:uid="{00000000-0005-0000-0000-0000D3810000}"/>
    <cellStyle name="Notas 32 2 3" xfId="33302" xr:uid="{00000000-0005-0000-0000-0000D4810000}"/>
    <cellStyle name="Notas 32 2 4" xfId="40078" xr:uid="{00000000-0005-0000-0000-0000D5810000}"/>
    <cellStyle name="Notas 32 3" xfId="12056" xr:uid="{00000000-0005-0000-0000-0000D6810000}"/>
    <cellStyle name="Notas 32 3 2" xfId="31524" xr:uid="{00000000-0005-0000-0000-0000D7810000}"/>
    <cellStyle name="Notas 32 3 3" xfId="33303" xr:uid="{00000000-0005-0000-0000-0000D8810000}"/>
    <cellStyle name="Notas 32 3 4" xfId="40079" xr:uid="{00000000-0005-0000-0000-0000D9810000}"/>
    <cellStyle name="Notas 32 4" xfId="31522" xr:uid="{00000000-0005-0000-0000-0000DA810000}"/>
    <cellStyle name="Notas 32 5" xfId="33301" xr:uid="{00000000-0005-0000-0000-0000DB810000}"/>
    <cellStyle name="Notas 32 6" xfId="40077" xr:uid="{00000000-0005-0000-0000-0000DC810000}"/>
    <cellStyle name="Notas 33" xfId="11137" xr:uid="{00000000-0005-0000-0000-0000DD810000}"/>
    <cellStyle name="Notas 33 2" xfId="12057" xr:uid="{00000000-0005-0000-0000-0000DE810000}"/>
    <cellStyle name="Notas 33 2 2" xfId="31526" xr:uid="{00000000-0005-0000-0000-0000DF810000}"/>
    <cellStyle name="Notas 33 2 3" xfId="33305" xr:uid="{00000000-0005-0000-0000-0000E0810000}"/>
    <cellStyle name="Notas 33 2 4" xfId="40081" xr:uid="{00000000-0005-0000-0000-0000E1810000}"/>
    <cellStyle name="Notas 33 3" xfId="12058" xr:uid="{00000000-0005-0000-0000-0000E2810000}"/>
    <cellStyle name="Notas 33 3 2" xfId="31527" xr:uid="{00000000-0005-0000-0000-0000E3810000}"/>
    <cellStyle name="Notas 33 3 3" xfId="33306" xr:uid="{00000000-0005-0000-0000-0000E4810000}"/>
    <cellStyle name="Notas 33 3 4" xfId="40082" xr:uid="{00000000-0005-0000-0000-0000E5810000}"/>
    <cellStyle name="Notas 33 4" xfId="31525" xr:uid="{00000000-0005-0000-0000-0000E6810000}"/>
    <cellStyle name="Notas 33 5" xfId="33304" xr:uid="{00000000-0005-0000-0000-0000E7810000}"/>
    <cellStyle name="Notas 33 6" xfId="40080" xr:uid="{00000000-0005-0000-0000-0000E8810000}"/>
    <cellStyle name="Notas 34" xfId="11138" xr:uid="{00000000-0005-0000-0000-0000E9810000}"/>
    <cellStyle name="Notas 34 2" xfId="12059" xr:uid="{00000000-0005-0000-0000-0000EA810000}"/>
    <cellStyle name="Notas 34 2 2" xfId="31529" xr:uid="{00000000-0005-0000-0000-0000EB810000}"/>
    <cellStyle name="Notas 34 2 3" xfId="33308" xr:uid="{00000000-0005-0000-0000-0000EC810000}"/>
    <cellStyle name="Notas 34 2 4" xfId="40084" xr:uid="{00000000-0005-0000-0000-0000ED810000}"/>
    <cellStyle name="Notas 34 3" xfId="12060" xr:uid="{00000000-0005-0000-0000-0000EE810000}"/>
    <cellStyle name="Notas 34 3 2" xfId="31530" xr:uid="{00000000-0005-0000-0000-0000EF810000}"/>
    <cellStyle name="Notas 34 3 3" xfId="33309" xr:uid="{00000000-0005-0000-0000-0000F0810000}"/>
    <cellStyle name="Notas 34 3 4" xfId="40085" xr:uid="{00000000-0005-0000-0000-0000F1810000}"/>
    <cellStyle name="Notas 34 4" xfId="31528" xr:uid="{00000000-0005-0000-0000-0000F2810000}"/>
    <cellStyle name="Notas 34 5" xfId="33307" xr:uid="{00000000-0005-0000-0000-0000F3810000}"/>
    <cellStyle name="Notas 34 6" xfId="40083" xr:uid="{00000000-0005-0000-0000-0000F4810000}"/>
    <cellStyle name="Notas 35" xfId="11139" xr:uid="{00000000-0005-0000-0000-0000F5810000}"/>
    <cellStyle name="Notas 35 2" xfId="12061" xr:uid="{00000000-0005-0000-0000-0000F6810000}"/>
    <cellStyle name="Notas 35 2 2" xfId="31532" xr:uid="{00000000-0005-0000-0000-0000F7810000}"/>
    <cellStyle name="Notas 35 2 3" xfId="33311" xr:uid="{00000000-0005-0000-0000-0000F8810000}"/>
    <cellStyle name="Notas 35 2 4" xfId="40087" xr:uid="{00000000-0005-0000-0000-0000F9810000}"/>
    <cellStyle name="Notas 35 3" xfId="12062" xr:uid="{00000000-0005-0000-0000-0000FA810000}"/>
    <cellStyle name="Notas 35 3 2" xfId="31533" xr:uid="{00000000-0005-0000-0000-0000FB810000}"/>
    <cellStyle name="Notas 35 3 3" xfId="33312" xr:uid="{00000000-0005-0000-0000-0000FC810000}"/>
    <cellStyle name="Notas 35 3 4" xfId="40088" xr:uid="{00000000-0005-0000-0000-0000FD810000}"/>
    <cellStyle name="Notas 35 4" xfId="31531" xr:uid="{00000000-0005-0000-0000-0000FE810000}"/>
    <cellStyle name="Notas 35 5" xfId="33310" xr:uid="{00000000-0005-0000-0000-0000FF810000}"/>
    <cellStyle name="Notas 35 6" xfId="40086" xr:uid="{00000000-0005-0000-0000-000000820000}"/>
    <cellStyle name="Notas 36" xfId="11140" xr:uid="{00000000-0005-0000-0000-000001820000}"/>
    <cellStyle name="Notas 36 2" xfId="12063" xr:uid="{00000000-0005-0000-0000-000002820000}"/>
    <cellStyle name="Notas 36 2 2" xfId="31535" xr:uid="{00000000-0005-0000-0000-000003820000}"/>
    <cellStyle name="Notas 36 2 3" xfId="33314" xr:uid="{00000000-0005-0000-0000-000004820000}"/>
    <cellStyle name="Notas 36 2 4" xfId="40090" xr:uid="{00000000-0005-0000-0000-000005820000}"/>
    <cellStyle name="Notas 36 3" xfId="12064" xr:uid="{00000000-0005-0000-0000-000006820000}"/>
    <cellStyle name="Notas 36 3 2" xfId="31536" xr:uid="{00000000-0005-0000-0000-000007820000}"/>
    <cellStyle name="Notas 36 3 3" xfId="33315" xr:uid="{00000000-0005-0000-0000-000008820000}"/>
    <cellStyle name="Notas 36 3 4" xfId="40091" xr:uid="{00000000-0005-0000-0000-000009820000}"/>
    <cellStyle name="Notas 36 4" xfId="31534" xr:uid="{00000000-0005-0000-0000-00000A820000}"/>
    <cellStyle name="Notas 36 5" xfId="33313" xr:uid="{00000000-0005-0000-0000-00000B820000}"/>
    <cellStyle name="Notas 36 6" xfId="40089" xr:uid="{00000000-0005-0000-0000-00000C820000}"/>
    <cellStyle name="Notas 37" xfId="11141" xr:uid="{00000000-0005-0000-0000-00000D820000}"/>
    <cellStyle name="Notas 37 2" xfId="12065" xr:uid="{00000000-0005-0000-0000-00000E820000}"/>
    <cellStyle name="Notas 37 2 2" xfId="31538" xr:uid="{00000000-0005-0000-0000-00000F820000}"/>
    <cellStyle name="Notas 37 2 3" xfId="33317" xr:uid="{00000000-0005-0000-0000-000010820000}"/>
    <cellStyle name="Notas 37 2 4" xfId="40093" xr:uid="{00000000-0005-0000-0000-000011820000}"/>
    <cellStyle name="Notas 37 3" xfId="12066" xr:uid="{00000000-0005-0000-0000-000012820000}"/>
    <cellStyle name="Notas 37 3 2" xfId="31539" xr:uid="{00000000-0005-0000-0000-000013820000}"/>
    <cellStyle name="Notas 37 3 3" xfId="33318" xr:uid="{00000000-0005-0000-0000-000014820000}"/>
    <cellStyle name="Notas 37 3 4" xfId="40094" xr:uid="{00000000-0005-0000-0000-000015820000}"/>
    <cellStyle name="Notas 37 4" xfId="31537" xr:uid="{00000000-0005-0000-0000-000016820000}"/>
    <cellStyle name="Notas 37 5" xfId="33316" xr:uid="{00000000-0005-0000-0000-000017820000}"/>
    <cellStyle name="Notas 37 6" xfId="40092" xr:uid="{00000000-0005-0000-0000-000018820000}"/>
    <cellStyle name="Notas 38" xfId="11142" xr:uid="{00000000-0005-0000-0000-000019820000}"/>
    <cellStyle name="Notas 38 2" xfId="12067" xr:uid="{00000000-0005-0000-0000-00001A820000}"/>
    <cellStyle name="Notas 38 2 2" xfId="31541" xr:uid="{00000000-0005-0000-0000-00001B820000}"/>
    <cellStyle name="Notas 38 2 3" xfId="33320" xr:uid="{00000000-0005-0000-0000-00001C820000}"/>
    <cellStyle name="Notas 38 2 4" xfId="40096" xr:uid="{00000000-0005-0000-0000-00001D820000}"/>
    <cellStyle name="Notas 38 3" xfId="12068" xr:uid="{00000000-0005-0000-0000-00001E820000}"/>
    <cellStyle name="Notas 38 3 2" xfId="31542" xr:uid="{00000000-0005-0000-0000-00001F820000}"/>
    <cellStyle name="Notas 38 3 3" xfId="33321" xr:uid="{00000000-0005-0000-0000-000020820000}"/>
    <cellStyle name="Notas 38 3 4" xfId="40097" xr:uid="{00000000-0005-0000-0000-000021820000}"/>
    <cellStyle name="Notas 38 4" xfId="31540" xr:uid="{00000000-0005-0000-0000-000022820000}"/>
    <cellStyle name="Notas 38 5" xfId="33319" xr:uid="{00000000-0005-0000-0000-000023820000}"/>
    <cellStyle name="Notas 38 6" xfId="40095" xr:uid="{00000000-0005-0000-0000-000024820000}"/>
    <cellStyle name="Notas 39" xfId="11143" xr:uid="{00000000-0005-0000-0000-000025820000}"/>
    <cellStyle name="Notas 39 2" xfId="12069" xr:uid="{00000000-0005-0000-0000-000026820000}"/>
    <cellStyle name="Notas 39 2 2" xfId="31544" xr:uid="{00000000-0005-0000-0000-000027820000}"/>
    <cellStyle name="Notas 39 2 3" xfId="33323" xr:uid="{00000000-0005-0000-0000-000028820000}"/>
    <cellStyle name="Notas 39 2 4" xfId="40099" xr:uid="{00000000-0005-0000-0000-000029820000}"/>
    <cellStyle name="Notas 39 3" xfId="12070" xr:uid="{00000000-0005-0000-0000-00002A820000}"/>
    <cellStyle name="Notas 39 3 2" xfId="31545" xr:uid="{00000000-0005-0000-0000-00002B820000}"/>
    <cellStyle name="Notas 39 3 3" xfId="33324" xr:uid="{00000000-0005-0000-0000-00002C820000}"/>
    <cellStyle name="Notas 39 3 4" xfId="40100" xr:uid="{00000000-0005-0000-0000-00002D820000}"/>
    <cellStyle name="Notas 39 4" xfId="31543" xr:uid="{00000000-0005-0000-0000-00002E820000}"/>
    <cellStyle name="Notas 39 5" xfId="33322" xr:uid="{00000000-0005-0000-0000-00002F820000}"/>
    <cellStyle name="Notas 39 6" xfId="40098" xr:uid="{00000000-0005-0000-0000-000030820000}"/>
    <cellStyle name="Notas 4" xfId="11144" xr:uid="{00000000-0005-0000-0000-000031820000}"/>
    <cellStyle name="Notas 4 10" xfId="23695" xr:uid="{00000000-0005-0000-0000-000032820000}"/>
    <cellStyle name="Notas 4 10 2" xfId="23696" xr:uid="{00000000-0005-0000-0000-000033820000}"/>
    <cellStyle name="Notas 4 10 2 2" xfId="31548" xr:uid="{00000000-0005-0000-0000-000034820000}"/>
    <cellStyle name="Notas 4 10 3" xfId="23697" xr:uid="{00000000-0005-0000-0000-000035820000}"/>
    <cellStyle name="Notas 4 10 3 2" xfId="31549" xr:uid="{00000000-0005-0000-0000-000036820000}"/>
    <cellStyle name="Notas 4 10 4" xfId="23698" xr:uid="{00000000-0005-0000-0000-000037820000}"/>
    <cellStyle name="Notas 4 10 4 2" xfId="31550" xr:uid="{00000000-0005-0000-0000-000038820000}"/>
    <cellStyle name="Notas 4 10 5" xfId="23699" xr:uid="{00000000-0005-0000-0000-000039820000}"/>
    <cellStyle name="Notas 4 10 5 2" xfId="31551" xr:uid="{00000000-0005-0000-0000-00003A820000}"/>
    <cellStyle name="Notas 4 10 6" xfId="23700" xr:uid="{00000000-0005-0000-0000-00003B820000}"/>
    <cellStyle name="Notas 4 10 6 2" xfId="31552" xr:uid="{00000000-0005-0000-0000-00003C820000}"/>
    <cellStyle name="Notas 4 10 7" xfId="31547" xr:uid="{00000000-0005-0000-0000-00003D820000}"/>
    <cellStyle name="Notas 4 11" xfId="23701" xr:uid="{00000000-0005-0000-0000-00003E820000}"/>
    <cellStyle name="Notas 4 11 2" xfId="23702" xr:uid="{00000000-0005-0000-0000-00003F820000}"/>
    <cellStyle name="Notas 4 11 2 2" xfId="31554" xr:uid="{00000000-0005-0000-0000-000040820000}"/>
    <cellStyle name="Notas 4 11 3" xfId="31553" xr:uid="{00000000-0005-0000-0000-000041820000}"/>
    <cellStyle name="Notas 4 12" xfId="23703" xr:uid="{00000000-0005-0000-0000-000042820000}"/>
    <cellStyle name="Notas 4 12 2" xfId="31555" xr:uid="{00000000-0005-0000-0000-000043820000}"/>
    <cellStyle name="Notas 4 13" xfId="31546" xr:uid="{00000000-0005-0000-0000-000044820000}"/>
    <cellStyle name="Notas 4 14" xfId="33325" xr:uid="{00000000-0005-0000-0000-000045820000}"/>
    <cellStyle name="Notas 4 15" xfId="33922" xr:uid="{00000000-0005-0000-0000-000046820000}"/>
    <cellStyle name="Notas 4 16" xfId="40101" xr:uid="{00000000-0005-0000-0000-000047820000}"/>
    <cellStyle name="Notas 4 2" xfId="12071" xr:uid="{00000000-0005-0000-0000-000048820000}"/>
    <cellStyle name="Notas 4 2 10" xfId="23704" xr:uid="{00000000-0005-0000-0000-000049820000}"/>
    <cellStyle name="Notas 4 2 10 2" xfId="23705" xr:uid="{00000000-0005-0000-0000-00004A820000}"/>
    <cellStyle name="Notas 4 2 10 2 2" xfId="31558" xr:uid="{00000000-0005-0000-0000-00004B820000}"/>
    <cellStyle name="Notas 4 2 10 3" xfId="31557" xr:uid="{00000000-0005-0000-0000-00004C820000}"/>
    <cellStyle name="Notas 4 2 11" xfId="23706" xr:uid="{00000000-0005-0000-0000-00004D820000}"/>
    <cellStyle name="Notas 4 2 11 2" xfId="31559" xr:uid="{00000000-0005-0000-0000-00004E820000}"/>
    <cellStyle name="Notas 4 2 12" xfId="31556" xr:uid="{00000000-0005-0000-0000-00004F820000}"/>
    <cellStyle name="Notas 4 2 13" xfId="33326" xr:uid="{00000000-0005-0000-0000-000050820000}"/>
    <cellStyle name="Notas 4 2 14" xfId="33923" xr:uid="{00000000-0005-0000-0000-000051820000}"/>
    <cellStyle name="Notas 4 2 15" xfId="40102" xr:uid="{00000000-0005-0000-0000-000052820000}"/>
    <cellStyle name="Notas 4 2 2" xfId="23707" xr:uid="{00000000-0005-0000-0000-000053820000}"/>
    <cellStyle name="Notas 4 2 2 2" xfId="23708" xr:uid="{00000000-0005-0000-0000-000054820000}"/>
    <cellStyle name="Notas 4 2 2 2 2" xfId="31561" xr:uid="{00000000-0005-0000-0000-000055820000}"/>
    <cellStyle name="Notas 4 2 2 3" xfId="23709" xr:uid="{00000000-0005-0000-0000-000056820000}"/>
    <cellStyle name="Notas 4 2 2 3 2" xfId="31562" xr:uid="{00000000-0005-0000-0000-000057820000}"/>
    <cellStyle name="Notas 4 2 2 4" xfId="23710" xr:uid="{00000000-0005-0000-0000-000058820000}"/>
    <cellStyle name="Notas 4 2 2 4 2" xfId="31563" xr:uid="{00000000-0005-0000-0000-000059820000}"/>
    <cellStyle name="Notas 4 2 2 5" xfId="23711" xr:uid="{00000000-0005-0000-0000-00005A820000}"/>
    <cellStyle name="Notas 4 2 2 5 2" xfId="31564" xr:uid="{00000000-0005-0000-0000-00005B820000}"/>
    <cellStyle name="Notas 4 2 2 6" xfId="23712" xr:uid="{00000000-0005-0000-0000-00005C820000}"/>
    <cellStyle name="Notas 4 2 2 6 2" xfId="31565" xr:uid="{00000000-0005-0000-0000-00005D820000}"/>
    <cellStyle name="Notas 4 2 2 7" xfId="31560" xr:uid="{00000000-0005-0000-0000-00005E820000}"/>
    <cellStyle name="Notas 4 2 2 8" xfId="40103" xr:uid="{00000000-0005-0000-0000-00005F820000}"/>
    <cellStyle name="Notas 4 2 3" xfId="23713" xr:uid="{00000000-0005-0000-0000-000060820000}"/>
    <cellStyle name="Notas 4 2 3 2" xfId="23714" xr:uid="{00000000-0005-0000-0000-000061820000}"/>
    <cellStyle name="Notas 4 2 3 2 2" xfId="31567" xr:uid="{00000000-0005-0000-0000-000062820000}"/>
    <cellStyle name="Notas 4 2 3 3" xfId="23715" xr:uid="{00000000-0005-0000-0000-000063820000}"/>
    <cellStyle name="Notas 4 2 3 3 2" xfId="31568" xr:uid="{00000000-0005-0000-0000-000064820000}"/>
    <cellStyle name="Notas 4 2 3 4" xfId="23716" xr:uid="{00000000-0005-0000-0000-000065820000}"/>
    <cellStyle name="Notas 4 2 3 4 2" xfId="31569" xr:uid="{00000000-0005-0000-0000-000066820000}"/>
    <cellStyle name="Notas 4 2 3 5" xfId="23717" xr:uid="{00000000-0005-0000-0000-000067820000}"/>
    <cellStyle name="Notas 4 2 3 5 2" xfId="31570" xr:uid="{00000000-0005-0000-0000-000068820000}"/>
    <cellStyle name="Notas 4 2 3 6" xfId="23718" xr:uid="{00000000-0005-0000-0000-000069820000}"/>
    <cellStyle name="Notas 4 2 3 6 2" xfId="31571" xr:uid="{00000000-0005-0000-0000-00006A820000}"/>
    <cellStyle name="Notas 4 2 3 7" xfId="31566" xr:uid="{00000000-0005-0000-0000-00006B820000}"/>
    <cellStyle name="Notas 4 2 4" xfId="23719" xr:uid="{00000000-0005-0000-0000-00006C820000}"/>
    <cellStyle name="Notas 4 2 4 2" xfId="23720" xr:uid="{00000000-0005-0000-0000-00006D820000}"/>
    <cellStyle name="Notas 4 2 4 2 2" xfId="31573" xr:uid="{00000000-0005-0000-0000-00006E820000}"/>
    <cellStyle name="Notas 4 2 4 3" xfId="23721" xr:uid="{00000000-0005-0000-0000-00006F820000}"/>
    <cellStyle name="Notas 4 2 4 3 2" xfId="31574" xr:uid="{00000000-0005-0000-0000-000070820000}"/>
    <cellStyle name="Notas 4 2 4 4" xfId="23722" xr:uid="{00000000-0005-0000-0000-000071820000}"/>
    <cellStyle name="Notas 4 2 4 4 2" xfId="31575" xr:uid="{00000000-0005-0000-0000-000072820000}"/>
    <cellStyle name="Notas 4 2 4 5" xfId="23723" xr:uid="{00000000-0005-0000-0000-000073820000}"/>
    <cellStyle name="Notas 4 2 4 5 2" xfId="31576" xr:uid="{00000000-0005-0000-0000-000074820000}"/>
    <cellStyle name="Notas 4 2 4 6" xfId="23724" xr:uid="{00000000-0005-0000-0000-000075820000}"/>
    <cellStyle name="Notas 4 2 4 6 2" xfId="31577" xr:uid="{00000000-0005-0000-0000-000076820000}"/>
    <cellStyle name="Notas 4 2 4 7" xfId="31572" xr:uid="{00000000-0005-0000-0000-000077820000}"/>
    <cellStyle name="Notas 4 2 5" xfId="23725" xr:uid="{00000000-0005-0000-0000-000078820000}"/>
    <cellStyle name="Notas 4 2 5 2" xfId="23726" xr:uid="{00000000-0005-0000-0000-000079820000}"/>
    <cellStyle name="Notas 4 2 5 2 2" xfId="31579" xr:uid="{00000000-0005-0000-0000-00007A820000}"/>
    <cellStyle name="Notas 4 2 5 3" xfId="23727" xr:uid="{00000000-0005-0000-0000-00007B820000}"/>
    <cellStyle name="Notas 4 2 5 3 2" xfId="31580" xr:uid="{00000000-0005-0000-0000-00007C820000}"/>
    <cellStyle name="Notas 4 2 5 4" xfId="23728" xr:uid="{00000000-0005-0000-0000-00007D820000}"/>
    <cellStyle name="Notas 4 2 5 4 2" xfId="31581" xr:uid="{00000000-0005-0000-0000-00007E820000}"/>
    <cellStyle name="Notas 4 2 5 5" xfId="23729" xr:uid="{00000000-0005-0000-0000-00007F820000}"/>
    <cellStyle name="Notas 4 2 5 5 2" xfId="31582" xr:uid="{00000000-0005-0000-0000-000080820000}"/>
    <cellStyle name="Notas 4 2 5 6" xfId="23730" xr:uid="{00000000-0005-0000-0000-000081820000}"/>
    <cellStyle name="Notas 4 2 5 6 2" xfId="31583" xr:uid="{00000000-0005-0000-0000-000082820000}"/>
    <cellStyle name="Notas 4 2 5 7" xfId="31578" xr:uid="{00000000-0005-0000-0000-000083820000}"/>
    <cellStyle name="Notas 4 2 6" xfId="23731" xr:uid="{00000000-0005-0000-0000-000084820000}"/>
    <cellStyle name="Notas 4 2 6 2" xfId="23732" xr:uid="{00000000-0005-0000-0000-000085820000}"/>
    <cellStyle name="Notas 4 2 6 2 2" xfId="31585" xr:uid="{00000000-0005-0000-0000-000086820000}"/>
    <cellStyle name="Notas 4 2 6 3" xfId="23733" xr:uid="{00000000-0005-0000-0000-000087820000}"/>
    <cellStyle name="Notas 4 2 6 3 2" xfId="31586" xr:uid="{00000000-0005-0000-0000-000088820000}"/>
    <cellStyle name="Notas 4 2 6 4" xfId="23734" xr:uid="{00000000-0005-0000-0000-000089820000}"/>
    <cellStyle name="Notas 4 2 6 4 2" xfId="31587" xr:uid="{00000000-0005-0000-0000-00008A820000}"/>
    <cellStyle name="Notas 4 2 6 5" xfId="23735" xr:uid="{00000000-0005-0000-0000-00008B820000}"/>
    <cellStyle name="Notas 4 2 6 5 2" xfId="31588" xr:uid="{00000000-0005-0000-0000-00008C820000}"/>
    <cellStyle name="Notas 4 2 6 6" xfId="23736" xr:uid="{00000000-0005-0000-0000-00008D820000}"/>
    <cellStyle name="Notas 4 2 6 6 2" xfId="31589" xr:uid="{00000000-0005-0000-0000-00008E820000}"/>
    <cellStyle name="Notas 4 2 6 7" xfId="31584" xr:uid="{00000000-0005-0000-0000-00008F820000}"/>
    <cellStyle name="Notas 4 2 7" xfId="23737" xr:uid="{00000000-0005-0000-0000-000090820000}"/>
    <cellStyle name="Notas 4 2 7 2" xfId="23738" xr:uid="{00000000-0005-0000-0000-000091820000}"/>
    <cellStyle name="Notas 4 2 7 2 2" xfId="31591" xr:uid="{00000000-0005-0000-0000-000092820000}"/>
    <cellStyle name="Notas 4 2 7 3" xfId="23739" xr:uid="{00000000-0005-0000-0000-000093820000}"/>
    <cellStyle name="Notas 4 2 7 3 2" xfId="31592" xr:uid="{00000000-0005-0000-0000-000094820000}"/>
    <cellStyle name="Notas 4 2 7 4" xfId="23740" xr:uid="{00000000-0005-0000-0000-000095820000}"/>
    <cellStyle name="Notas 4 2 7 4 2" xfId="31593" xr:uid="{00000000-0005-0000-0000-000096820000}"/>
    <cellStyle name="Notas 4 2 7 5" xfId="23741" xr:uid="{00000000-0005-0000-0000-000097820000}"/>
    <cellStyle name="Notas 4 2 7 5 2" xfId="31594" xr:uid="{00000000-0005-0000-0000-000098820000}"/>
    <cellStyle name="Notas 4 2 7 6" xfId="23742" xr:uid="{00000000-0005-0000-0000-000099820000}"/>
    <cellStyle name="Notas 4 2 7 6 2" xfId="31595" xr:uid="{00000000-0005-0000-0000-00009A820000}"/>
    <cellStyle name="Notas 4 2 7 7" xfId="31590" xr:uid="{00000000-0005-0000-0000-00009B820000}"/>
    <cellStyle name="Notas 4 2 8" xfId="23743" xr:uid="{00000000-0005-0000-0000-00009C820000}"/>
    <cellStyle name="Notas 4 2 8 2" xfId="23744" xr:uid="{00000000-0005-0000-0000-00009D820000}"/>
    <cellStyle name="Notas 4 2 8 2 2" xfId="31597" xr:uid="{00000000-0005-0000-0000-00009E820000}"/>
    <cellStyle name="Notas 4 2 8 3" xfId="23745" xr:uid="{00000000-0005-0000-0000-00009F820000}"/>
    <cellStyle name="Notas 4 2 8 3 2" xfId="31598" xr:uid="{00000000-0005-0000-0000-0000A0820000}"/>
    <cellStyle name="Notas 4 2 8 4" xfId="23746" xr:uid="{00000000-0005-0000-0000-0000A1820000}"/>
    <cellStyle name="Notas 4 2 8 4 2" xfId="31599" xr:uid="{00000000-0005-0000-0000-0000A2820000}"/>
    <cellStyle name="Notas 4 2 8 5" xfId="23747" xr:uid="{00000000-0005-0000-0000-0000A3820000}"/>
    <cellStyle name="Notas 4 2 8 5 2" xfId="31600" xr:uid="{00000000-0005-0000-0000-0000A4820000}"/>
    <cellStyle name="Notas 4 2 8 6" xfId="23748" xr:uid="{00000000-0005-0000-0000-0000A5820000}"/>
    <cellStyle name="Notas 4 2 8 6 2" xfId="31601" xr:uid="{00000000-0005-0000-0000-0000A6820000}"/>
    <cellStyle name="Notas 4 2 8 7" xfId="31596" xr:uid="{00000000-0005-0000-0000-0000A7820000}"/>
    <cellStyle name="Notas 4 2 9" xfId="23749" xr:uid="{00000000-0005-0000-0000-0000A8820000}"/>
    <cellStyle name="Notas 4 2 9 2" xfId="23750" xr:uid="{00000000-0005-0000-0000-0000A9820000}"/>
    <cellStyle name="Notas 4 2 9 2 2" xfId="31603" xr:uid="{00000000-0005-0000-0000-0000AA820000}"/>
    <cellStyle name="Notas 4 2 9 3" xfId="23751" xr:uid="{00000000-0005-0000-0000-0000AB820000}"/>
    <cellStyle name="Notas 4 2 9 3 2" xfId="31604" xr:uid="{00000000-0005-0000-0000-0000AC820000}"/>
    <cellStyle name="Notas 4 2 9 4" xfId="23752" xr:uid="{00000000-0005-0000-0000-0000AD820000}"/>
    <cellStyle name="Notas 4 2 9 4 2" xfId="31605" xr:uid="{00000000-0005-0000-0000-0000AE820000}"/>
    <cellStyle name="Notas 4 2 9 5" xfId="23753" xr:uid="{00000000-0005-0000-0000-0000AF820000}"/>
    <cellStyle name="Notas 4 2 9 5 2" xfId="31606" xr:uid="{00000000-0005-0000-0000-0000B0820000}"/>
    <cellStyle name="Notas 4 2 9 6" xfId="23754" xr:uid="{00000000-0005-0000-0000-0000B1820000}"/>
    <cellStyle name="Notas 4 2 9 6 2" xfId="31607" xr:uid="{00000000-0005-0000-0000-0000B2820000}"/>
    <cellStyle name="Notas 4 2 9 7" xfId="31602" xr:uid="{00000000-0005-0000-0000-0000B3820000}"/>
    <cellStyle name="Notas 4 3" xfId="12072" xr:uid="{00000000-0005-0000-0000-0000B4820000}"/>
    <cellStyle name="Notas 4 3 10" xfId="40104" xr:uid="{00000000-0005-0000-0000-0000B5820000}"/>
    <cellStyle name="Notas 4 3 2" xfId="23755" xr:uid="{00000000-0005-0000-0000-0000B6820000}"/>
    <cellStyle name="Notas 4 3 2 2" xfId="31609" xr:uid="{00000000-0005-0000-0000-0000B7820000}"/>
    <cellStyle name="Notas 4 3 3" xfId="23756" xr:uid="{00000000-0005-0000-0000-0000B8820000}"/>
    <cellStyle name="Notas 4 3 3 2" xfId="31610" xr:uid="{00000000-0005-0000-0000-0000B9820000}"/>
    <cellStyle name="Notas 4 3 4" xfId="23757" xr:uid="{00000000-0005-0000-0000-0000BA820000}"/>
    <cellStyle name="Notas 4 3 4 2" xfId="31611" xr:uid="{00000000-0005-0000-0000-0000BB820000}"/>
    <cellStyle name="Notas 4 3 5" xfId="23758" xr:uid="{00000000-0005-0000-0000-0000BC820000}"/>
    <cellStyle name="Notas 4 3 5 2" xfId="31612" xr:uid="{00000000-0005-0000-0000-0000BD820000}"/>
    <cellStyle name="Notas 4 3 6" xfId="23759" xr:uid="{00000000-0005-0000-0000-0000BE820000}"/>
    <cellStyle name="Notas 4 3 6 2" xfId="31613" xr:uid="{00000000-0005-0000-0000-0000BF820000}"/>
    <cellStyle name="Notas 4 3 7" xfId="23760" xr:uid="{00000000-0005-0000-0000-0000C0820000}"/>
    <cellStyle name="Notas 4 3 7 2" xfId="31614" xr:uid="{00000000-0005-0000-0000-0000C1820000}"/>
    <cellStyle name="Notas 4 3 8" xfId="31608" xr:uid="{00000000-0005-0000-0000-0000C2820000}"/>
    <cellStyle name="Notas 4 3 9" xfId="33327" xr:uid="{00000000-0005-0000-0000-0000C3820000}"/>
    <cellStyle name="Notas 4 4" xfId="23761" xr:uid="{00000000-0005-0000-0000-0000C4820000}"/>
    <cellStyle name="Notas 4 4 2" xfId="23762" xr:uid="{00000000-0005-0000-0000-0000C5820000}"/>
    <cellStyle name="Notas 4 4 2 2" xfId="31616" xr:uid="{00000000-0005-0000-0000-0000C6820000}"/>
    <cellStyle name="Notas 4 4 3" xfId="23763" xr:uid="{00000000-0005-0000-0000-0000C7820000}"/>
    <cellStyle name="Notas 4 4 3 2" xfId="31617" xr:uid="{00000000-0005-0000-0000-0000C8820000}"/>
    <cellStyle name="Notas 4 4 4" xfId="23764" xr:uid="{00000000-0005-0000-0000-0000C9820000}"/>
    <cellStyle name="Notas 4 4 4 2" xfId="31618" xr:uid="{00000000-0005-0000-0000-0000CA820000}"/>
    <cellStyle name="Notas 4 4 5" xfId="23765" xr:uid="{00000000-0005-0000-0000-0000CB820000}"/>
    <cellStyle name="Notas 4 4 5 2" xfId="31619" xr:uid="{00000000-0005-0000-0000-0000CC820000}"/>
    <cellStyle name="Notas 4 4 6" xfId="23766" xr:uid="{00000000-0005-0000-0000-0000CD820000}"/>
    <cellStyle name="Notas 4 4 6 2" xfId="31620" xr:uid="{00000000-0005-0000-0000-0000CE820000}"/>
    <cellStyle name="Notas 4 4 7" xfId="31615" xr:uid="{00000000-0005-0000-0000-0000CF820000}"/>
    <cellStyle name="Notas 4 5" xfId="23767" xr:uid="{00000000-0005-0000-0000-0000D0820000}"/>
    <cellStyle name="Notas 4 5 2" xfId="23768" xr:uid="{00000000-0005-0000-0000-0000D1820000}"/>
    <cellStyle name="Notas 4 5 2 2" xfId="31622" xr:uid="{00000000-0005-0000-0000-0000D2820000}"/>
    <cellStyle name="Notas 4 5 3" xfId="23769" xr:uid="{00000000-0005-0000-0000-0000D3820000}"/>
    <cellStyle name="Notas 4 5 3 2" xfId="31623" xr:uid="{00000000-0005-0000-0000-0000D4820000}"/>
    <cellStyle name="Notas 4 5 4" xfId="23770" xr:uid="{00000000-0005-0000-0000-0000D5820000}"/>
    <cellStyle name="Notas 4 5 4 2" xfId="31624" xr:uid="{00000000-0005-0000-0000-0000D6820000}"/>
    <cellStyle name="Notas 4 5 5" xfId="23771" xr:uid="{00000000-0005-0000-0000-0000D7820000}"/>
    <cellStyle name="Notas 4 5 5 2" xfId="31625" xr:uid="{00000000-0005-0000-0000-0000D8820000}"/>
    <cellStyle name="Notas 4 5 6" xfId="23772" xr:uid="{00000000-0005-0000-0000-0000D9820000}"/>
    <cellStyle name="Notas 4 5 6 2" xfId="31626" xr:uid="{00000000-0005-0000-0000-0000DA820000}"/>
    <cellStyle name="Notas 4 5 7" xfId="31621" xr:uid="{00000000-0005-0000-0000-0000DB820000}"/>
    <cellStyle name="Notas 4 6" xfId="23773" xr:uid="{00000000-0005-0000-0000-0000DC820000}"/>
    <cellStyle name="Notas 4 6 2" xfId="23774" xr:uid="{00000000-0005-0000-0000-0000DD820000}"/>
    <cellStyle name="Notas 4 6 2 2" xfId="31628" xr:uid="{00000000-0005-0000-0000-0000DE820000}"/>
    <cellStyle name="Notas 4 6 3" xfId="23775" xr:uid="{00000000-0005-0000-0000-0000DF820000}"/>
    <cellStyle name="Notas 4 6 3 2" xfId="31629" xr:uid="{00000000-0005-0000-0000-0000E0820000}"/>
    <cellStyle name="Notas 4 6 4" xfId="23776" xr:uid="{00000000-0005-0000-0000-0000E1820000}"/>
    <cellStyle name="Notas 4 6 4 2" xfId="31630" xr:uid="{00000000-0005-0000-0000-0000E2820000}"/>
    <cellStyle name="Notas 4 6 5" xfId="23777" xr:uid="{00000000-0005-0000-0000-0000E3820000}"/>
    <cellStyle name="Notas 4 6 5 2" xfId="31631" xr:uid="{00000000-0005-0000-0000-0000E4820000}"/>
    <cellStyle name="Notas 4 6 6" xfId="23778" xr:uid="{00000000-0005-0000-0000-0000E5820000}"/>
    <cellStyle name="Notas 4 6 6 2" xfId="31632" xr:uid="{00000000-0005-0000-0000-0000E6820000}"/>
    <cellStyle name="Notas 4 6 7" xfId="31627" xr:uid="{00000000-0005-0000-0000-0000E7820000}"/>
    <cellStyle name="Notas 4 7" xfId="23779" xr:uid="{00000000-0005-0000-0000-0000E8820000}"/>
    <cellStyle name="Notas 4 7 2" xfId="23780" xr:uid="{00000000-0005-0000-0000-0000E9820000}"/>
    <cellStyle name="Notas 4 7 2 2" xfId="31634" xr:uid="{00000000-0005-0000-0000-0000EA820000}"/>
    <cellStyle name="Notas 4 7 3" xfId="23781" xr:uid="{00000000-0005-0000-0000-0000EB820000}"/>
    <cellStyle name="Notas 4 7 3 2" xfId="31635" xr:uid="{00000000-0005-0000-0000-0000EC820000}"/>
    <cellStyle name="Notas 4 7 4" xfId="23782" xr:uid="{00000000-0005-0000-0000-0000ED820000}"/>
    <cellStyle name="Notas 4 7 4 2" xfId="31636" xr:uid="{00000000-0005-0000-0000-0000EE820000}"/>
    <cellStyle name="Notas 4 7 5" xfId="23783" xr:uid="{00000000-0005-0000-0000-0000EF820000}"/>
    <cellStyle name="Notas 4 7 5 2" xfId="31637" xr:uid="{00000000-0005-0000-0000-0000F0820000}"/>
    <cellStyle name="Notas 4 7 6" xfId="23784" xr:uid="{00000000-0005-0000-0000-0000F1820000}"/>
    <cellStyle name="Notas 4 7 6 2" xfId="31638" xr:uid="{00000000-0005-0000-0000-0000F2820000}"/>
    <cellStyle name="Notas 4 7 7" xfId="31633" xr:uid="{00000000-0005-0000-0000-0000F3820000}"/>
    <cellStyle name="Notas 4 8" xfId="23785" xr:uid="{00000000-0005-0000-0000-0000F4820000}"/>
    <cellStyle name="Notas 4 8 2" xfId="23786" xr:uid="{00000000-0005-0000-0000-0000F5820000}"/>
    <cellStyle name="Notas 4 8 2 2" xfId="31640" xr:uid="{00000000-0005-0000-0000-0000F6820000}"/>
    <cellStyle name="Notas 4 8 3" xfId="23787" xr:uid="{00000000-0005-0000-0000-0000F7820000}"/>
    <cellStyle name="Notas 4 8 3 2" xfId="31641" xr:uid="{00000000-0005-0000-0000-0000F8820000}"/>
    <cellStyle name="Notas 4 8 4" xfId="23788" xr:uid="{00000000-0005-0000-0000-0000F9820000}"/>
    <cellStyle name="Notas 4 8 4 2" xfId="31642" xr:uid="{00000000-0005-0000-0000-0000FA820000}"/>
    <cellStyle name="Notas 4 8 5" xfId="23789" xr:uid="{00000000-0005-0000-0000-0000FB820000}"/>
    <cellStyle name="Notas 4 8 5 2" xfId="31643" xr:uid="{00000000-0005-0000-0000-0000FC820000}"/>
    <cellStyle name="Notas 4 8 6" xfId="23790" xr:uid="{00000000-0005-0000-0000-0000FD820000}"/>
    <cellStyle name="Notas 4 8 6 2" xfId="31644" xr:uid="{00000000-0005-0000-0000-0000FE820000}"/>
    <cellStyle name="Notas 4 8 7" xfId="31639" xr:uid="{00000000-0005-0000-0000-0000FF820000}"/>
    <cellStyle name="Notas 4 9" xfId="23791" xr:uid="{00000000-0005-0000-0000-000000830000}"/>
    <cellStyle name="Notas 4 9 2" xfId="23792" xr:uid="{00000000-0005-0000-0000-000001830000}"/>
    <cellStyle name="Notas 4 9 2 2" xfId="31646" xr:uid="{00000000-0005-0000-0000-000002830000}"/>
    <cellStyle name="Notas 4 9 3" xfId="23793" xr:uid="{00000000-0005-0000-0000-000003830000}"/>
    <cellStyle name="Notas 4 9 3 2" xfId="31647" xr:uid="{00000000-0005-0000-0000-000004830000}"/>
    <cellStyle name="Notas 4 9 4" xfId="23794" xr:uid="{00000000-0005-0000-0000-000005830000}"/>
    <cellStyle name="Notas 4 9 4 2" xfId="31648" xr:uid="{00000000-0005-0000-0000-000006830000}"/>
    <cellStyle name="Notas 4 9 5" xfId="23795" xr:uid="{00000000-0005-0000-0000-000007830000}"/>
    <cellStyle name="Notas 4 9 5 2" xfId="31649" xr:uid="{00000000-0005-0000-0000-000008830000}"/>
    <cellStyle name="Notas 4 9 6" xfId="23796" xr:uid="{00000000-0005-0000-0000-000009830000}"/>
    <cellStyle name="Notas 4 9 6 2" xfId="31650" xr:uid="{00000000-0005-0000-0000-00000A830000}"/>
    <cellStyle name="Notas 4 9 7" xfId="31645" xr:uid="{00000000-0005-0000-0000-00000B830000}"/>
    <cellStyle name="Notas 40" xfId="11145" xr:uid="{00000000-0005-0000-0000-00000C830000}"/>
    <cellStyle name="Notas 40 2" xfId="12073" xr:uid="{00000000-0005-0000-0000-00000D830000}"/>
    <cellStyle name="Notas 40 2 2" xfId="31652" xr:uid="{00000000-0005-0000-0000-00000E830000}"/>
    <cellStyle name="Notas 40 2 3" xfId="33329" xr:uid="{00000000-0005-0000-0000-00000F830000}"/>
    <cellStyle name="Notas 40 2 4" xfId="40106" xr:uid="{00000000-0005-0000-0000-000010830000}"/>
    <cellStyle name="Notas 40 3" xfId="12074" xr:uid="{00000000-0005-0000-0000-000011830000}"/>
    <cellStyle name="Notas 40 3 2" xfId="31653" xr:uid="{00000000-0005-0000-0000-000012830000}"/>
    <cellStyle name="Notas 40 3 3" xfId="33330" xr:uid="{00000000-0005-0000-0000-000013830000}"/>
    <cellStyle name="Notas 40 3 4" xfId="40107" xr:uid="{00000000-0005-0000-0000-000014830000}"/>
    <cellStyle name="Notas 40 4" xfId="31651" xr:uid="{00000000-0005-0000-0000-000015830000}"/>
    <cellStyle name="Notas 40 5" xfId="33328" xr:uid="{00000000-0005-0000-0000-000016830000}"/>
    <cellStyle name="Notas 40 6" xfId="40105" xr:uid="{00000000-0005-0000-0000-000017830000}"/>
    <cellStyle name="Notas 41" xfId="11146" xr:uid="{00000000-0005-0000-0000-000018830000}"/>
    <cellStyle name="Notas 41 2" xfId="12075" xr:uid="{00000000-0005-0000-0000-000019830000}"/>
    <cellStyle name="Notas 41 2 2" xfId="31655" xr:uid="{00000000-0005-0000-0000-00001A830000}"/>
    <cellStyle name="Notas 41 2 3" xfId="33332" xr:uid="{00000000-0005-0000-0000-00001B830000}"/>
    <cellStyle name="Notas 41 2 4" xfId="40109" xr:uid="{00000000-0005-0000-0000-00001C830000}"/>
    <cellStyle name="Notas 41 3" xfId="12076" xr:uid="{00000000-0005-0000-0000-00001D830000}"/>
    <cellStyle name="Notas 41 3 2" xfId="31656" xr:uid="{00000000-0005-0000-0000-00001E830000}"/>
    <cellStyle name="Notas 41 3 3" xfId="33333" xr:uid="{00000000-0005-0000-0000-00001F830000}"/>
    <cellStyle name="Notas 41 3 4" xfId="40110" xr:uid="{00000000-0005-0000-0000-000020830000}"/>
    <cellStyle name="Notas 41 4" xfId="31654" xr:uid="{00000000-0005-0000-0000-000021830000}"/>
    <cellStyle name="Notas 41 5" xfId="33331" xr:uid="{00000000-0005-0000-0000-000022830000}"/>
    <cellStyle name="Notas 41 6" xfId="40108" xr:uid="{00000000-0005-0000-0000-000023830000}"/>
    <cellStyle name="Notas 42" xfId="11147" xr:uid="{00000000-0005-0000-0000-000024830000}"/>
    <cellStyle name="Notas 42 2" xfId="12077" xr:uid="{00000000-0005-0000-0000-000025830000}"/>
    <cellStyle name="Notas 42 2 2" xfId="31658" xr:uid="{00000000-0005-0000-0000-000026830000}"/>
    <cellStyle name="Notas 42 2 3" xfId="33335" xr:uid="{00000000-0005-0000-0000-000027830000}"/>
    <cellStyle name="Notas 42 2 4" xfId="40112" xr:uid="{00000000-0005-0000-0000-000028830000}"/>
    <cellStyle name="Notas 42 3" xfId="12078" xr:uid="{00000000-0005-0000-0000-000029830000}"/>
    <cellStyle name="Notas 42 3 2" xfId="31659" xr:uid="{00000000-0005-0000-0000-00002A830000}"/>
    <cellStyle name="Notas 42 3 3" xfId="33336" xr:uid="{00000000-0005-0000-0000-00002B830000}"/>
    <cellStyle name="Notas 42 3 4" xfId="40113" xr:uid="{00000000-0005-0000-0000-00002C830000}"/>
    <cellStyle name="Notas 42 4" xfId="31657" xr:uid="{00000000-0005-0000-0000-00002D830000}"/>
    <cellStyle name="Notas 42 5" xfId="33334" xr:uid="{00000000-0005-0000-0000-00002E830000}"/>
    <cellStyle name="Notas 42 6" xfId="40111" xr:uid="{00000000-0005-0000-0000-00002F830000}"/>
    <cellStyle name="Notas 43" xfId="11148" xr:uid="{00000000-0005-0000-0000-000030830000}"/>
    <cellStyle name="Notas 43 2" xfId="12079" xr:uid="{00000000-0005-0000-0000-000031830000}"/>
    <cellStyle name="Notas 43 2 2" xfId="31661" xr:uid="{00000000-0005-0000-0000-000032830000}"/>
    <cellStyle name="Notas 43 2 3" xfId="33338" xr:uid="{00000000-0005-0000-0000-000033830000}"/>
    <cellStyle name="Notas 43 2 4" xfId="40115" xr:uid="{00000000-0005-0000-0000-000034830000}"/>
    <cellStyle name="Notas 43 3" xfId="12080" xr:uid="{00000000-0005-0000-0000-000035830000}"/>
    <cellStyle name="Notas 43 3 2" xfId="31662" xr:uid="{00000000-0005-0000-0000-000036830000}"/>
    <cellStyle name="Notas 43 3 3" xfId="33339" xr:uid="{00000000-0005-0000-0000-000037830000}"/>
    <cellStyle name="Notas 43 3 4" xfId="40116" xr:uid="{00000000-0005-0000-0000-000038830000}"/>
    <cellStyle name="Notas 43 4" xfId="31660" xr:uid="{00000000-0005-0000-0000-000039830000}"/>
    <cellStyle name="Notas 43 5" xfId="33337" xr:uid="{00000000-0005-0000-0000-00003A830000}"/>
    <cellStyle name="Notas 43 6" xfId="40114" xr:uid="{00000000-0005-0000-0000-00003B830000}"/>
    <cellStyle name="Notas 44" xfId="11149" xr:uid="{00000000-0005-0000-0000-00003C830000}"/>
    <cellStyle name="Notas 44 2" xfId="12081" xr:uid="{00000000-0005-0000-0000-00003D830000}"/>
    <cellStyle name="Notas 44 2 2" xfId="31664" xr:uid="{00000000-0005-0000-0000-00003E830000}"/>
    <cellStyle name="Notas 44 2 3" xfId="33341" xr:uid="{00000000-0005-0000-0000-00003F830000}"/>
    <cellStyle name="Notas 44 2 4" xfId="40118" xr:uid="{00000000-0005-0000-0000-000040830000}"/>
    <cellStyle name="Notas 44 3" xfId="12082" xr:uid="{00000000-0005-0000-0000-000041830000}"/>
    <cellStyle name="Notas 44 3 2" xfId="31665" xr:uid="{00000000-0005-0000-0000-000042830000}"/>
    <cellStyle name="Notas 44 3 3" xfId="33342" xr:uid="{00000000-0005-0000-0000-000043830000}"/>
    <cellStyle name="Notas 44 3 4" xfId="40119" xr:uid="{00000000-0005-0000-0000-000044830000}"/>
    <cellStyle name="Notas 44 4" xfId="31663" xr:uid="{00000000-0005-0000-0000-000045830000}"/>
    <cellStyle name="Notas 44 5" xfId="33340" xr:uid="{00000000-0005-0000-0000-000046830000}"/>
    <cellStyle name="Notas 44 6" xfId="40117" xr:uid="{00000000-0005-0000-0000-000047830000}"/>
    <cellStyle name="Notas 45" xfId="11150" xr:uid="{00000000-0005-0000-0000-000048830000}"/>
    <cellStyle name="Notas 45 2" xfId="12083" xr:uid="{00000000-0005-0000-0000-000049830000}"/>
    <cellStyle name="Notas 45 2 2" xfId="31667" xr:uid="{00000000-0005-0000-0000-00004A830000}"/>
    <cellStyle name="Notas 45 2 3" xfId="33344" xr:uid="{00000000-0005-0000-0000-00004B830000}"/>
    <cellStyle name="Notas 45 2 4" xfId="40121" xr:uid="{00000000-0005-0000-0000-00004C830000}"/>
    <cellStyle name="Notas 45 3" xfId="12084" xr:uid="{00000000-0005-0000-0000-00004D830000}"/>
    <cellStyle name="Notas 45 3 2" xfId="31668" xr:uid="{00000000-0005-0000-0000-00004E830000}"/>
    <cellStyle name="Notas 45 3 3" xfId="33345" xr:uid="{00000000-0005-0000-0000-00004F830000}"/>
    <cellStyle name="Notas 45 3 4" xfId="40122" xr:uid="{00000000-0005-0000-0000-000050830000}"/>
    <cellStyle name="Notas 45 4" xfId="31666" xr:uid="{00000000-0005-0000-0000-000051830000}"/>
    <cellStyle name="Notas 45 5" xfId="33343" xr:uid="{00000000-0005-0000-0000-000052830000}"/>
    <cellStyle name="Notas 45 6" xfId="40120" xr:uid="{00000000-0005-0000-0000-000053830000}"/>
    <cellStyle name="Notas 46" xfId="11151" xr:uid="{00000000-0005-0000-0000-000054830000}"/>
    <cellStyle name="Notas 46 2" xfId="12085" xr:uid="{00000000-0005-0000-0000-000055830000}"/>
    <cellStyle name="Notas 46 2 2" xfId="31670" xr:uid="{00000000-0005-0000-0000-000056830000}"/>
    <cellStyle name="Notas 46 2 3" xfId="33347" xr:uid="{00000000-0005-0000-0000-000057830000}"/>
    <cellStyle name="Notas 46 2 4" xfId="40124" xr:uid="{00000000-0005-0000-0000-000058830000}"/>
    <cellStyle name="Notas 46 3" xfId="12086" xr:uid="{00000000-0005-0000-0000-000059830000}"/>
    <cellStyle name="Notas 46 3 2" xfId="31671" xr:uid="{00000000-0005-0000-0000-00005A830000}"/>
    <cellStyle name="Notas 46 3 3" xfId="33348" xr:uid="{00000000-0005-0000-0000-00005B830000}"/>
    <cellStyle name="Notas 46 3 4" xfId="40125" xr:uid="{00000000-0005-0000-0000-00005C830000}"/>
    <cellStyle name="Notas 46 4" xfId="31669" xr:uid="{00000000-0005-0000-0000-00005D830000}"/>
    <cellStyle name="Notas 46 5" xfId="33346" xr:uid="{00000000-0005-0000-0000-00005E830000}"/>
    <cellStyle name="Notas 46 6" xfId="40123" xr:uid="{00000000-0005-0000-0000-00005F830000}"/>
    <cellStyle name="Notas 47" xfId="11152" xr:uid="{00000000-0005-0000-0000-000060830000}"/>
    <cellStyle name="Notas 47 2" xfId="12087" xr:uid="{00000000-0005-0000-0000-000061830000}"/>
    <cellStyle name="Notas 47 2 2" xfId="31673" xr:uid="{00000000-0005-0000-0000-000062830000}"/>
    <cellStyle name="Notas 47 2 3" xfId="33350" xr:uid="{00000000-0005-0000-0000-000063830000}"/>
    <cellStyle name="Notas 47 2 4" xfId="40127" xr:uid="{00000000-0005-0000-0000-000064830000}"/>
    <cellStyle name="Notas 47 3" xfId="12088" xr:uid="{00000000-0005-0000-0000-000065830000}"/>
    <cellStyle name="Notas 47 3 2" xfId="31674" xr:uid="{00000000-0005-0000-0000-000066830000}"/>
    <cellStyle name="Notas 47 3 3" xfId="33351" xr:uid="{00000000-0005-0000-0000-000067830000}"/>
    <cellStyle name="Notas 47 3 4" xfId="40128" xr:uid="{00000000-0005-0000-0000-000068830000}"/>
    <cellStyle name="Notas 47 4" xfId="31672" xr:uid="{00000000-0005-0000-0000-000069830000}"/>
    <cellStyle name="Notas 47 5" xfId="33349" xr:uid="{00000000-0005-0000-0000-00006A830000}"/>
    <cellStyle name="Notas 47 6" xfId="40126" xr:uid="{00000000-0005-0000-0000-00006B830000}"/>
    <cellStyle name="Notas 48" xfId="11153" xr:uid="{00000000-0005-0000-0000-00006C830000}"/>
    <cellStyle name="Notas 48 2" xfId="12089" xr:uid="{00000000-0005-0000-0000-00006D830000}"/>
    <cellStyle name="Notas 48 2 2" xfId="31676" xr:uid="{00000000-0005-0000-0000-00006E830000}"/>
    <cellStyle name="Notas 48 2 3" xfId="33353" xr:uid="{00000000-0005-0000-0000-00006F830000}"/>
    <cellStyle name="Notas 48 2 4" xfId="40130" xr:uid="{00000000-0005-0000-0000-000070830000}"/>
    <cellStyle name="Notas 48 3" xfId="12090" xr:uid="{00000000-0005-0000-0000-000071830000}"/>
    <cellStyle name="Notas 48 3 2" xfId="31677" xr:uid="{00000000-0005-0000-0000-000072830000}"/>
    <cellStyle name="Notas 48 3 3" xfId="33354" xr:uid="{00000000-0005-0000-0000-000073830000}"/>
    <cellStyle name="Notas 48 3 4" xfId="40131" xr:uid="{00000000-0005-0000-0000-000074830000}"/>
    <cellStyle name="Notas 48 4" xfId="31675" xr:uid="{00000000-0005-0000-0000-000075830000}"/>
    <cellStyle name="Notas 48 5" xfId="33352" xr:uid="{00000000-0005-0000-0000-000076830000}"/>
    <cellStyle name="Notas 48 6" xfId="40129" xr:uid="{00000000-0005-0000-0000-000077830000}"/>
    <cellStyle name="Notas 49" xfId="11154" xr:uid="{00000000-0005-0000-0000-000078830000}"/>
    <cellStyle name="Notas 49 2" xfId="12091" xr:uid="{00000000-0005-0000-0000-000079830000}"/>
    <cellStyle name="Notas 49 2 2" xfId="31679" xr:uid="{00000000-0005-0000-0000-00007A830000}"/>
    <cellStyle name="Notas 49 2 3" xfId="33356" xr:uid="{00000000-0005-0000-0000-00007B830000}"/>
    <cellStyle name="Notas 49 2 4" xfId="40133" xr:uid="{00000000-0005-0000-0000-00007C830000}"/>
    <cellStyle name="Notas 49 3" xfId="12092" xr:uid="{00000000-0005-0000-0000-00007D830000}"/>
    <cellStyle name="Notas 49 3 2" xfId="31680" xr:uid="{00000000-0005-0000-0000-00007E830000}"/>
    <cellStyle name="Notas 49 3 3" xfId="33357" xr:uid="{00000000-0005-0000-0000-00007F830000}"/>
    <cellStyle name="Notas 49 3 4" xfId="40134" xr:uid="{00000000-0005-0000-0000-000080830000}"/>
    <cellStyle name="Notas 49 4" xfId="31678" xr:uid="{00000000-0005-0000-0000-000081830000}"/>
    <cellStyle name="Notas 49 5" xfId="33355" xr:uid="{00000000-0005-0000-0000-000082830000}"/>
    <cellStyle name="Notas 49 6" xfId="40132" xr:uid="{00000000-0005-0000-0000-000083830000}"/>
    <cellStyle name="Notas 5" xfId="11155" xr:uid="{00000000-0005-0000-0000-000084830000}"/>
    <cellStyle name="Notas 5 2" xfId="12093" xr:uid="{00000000-0005-0000-0000-000085830000}"/>
    <cellStyle name="Notas 5 2 10" xfId="23797" xr:uid="{00000000-0005-0000-0000-000086830000}"/>
    <cellStyle name="Notas 5 2 10 2" xfId="23798" xr:uid="{00000000-0005-0000-0000-000087830000}"/>
    <cellStyle name="Notas 5 2 10 2 2" xfId="31684" xr:uid="{00000000-0005-0000-0000-000088830000}"/>
    <cellStyle name="Notas 5 2 10 3" xfId="31683" xr:uid="{00000000-0005-0000-0000-000089830000}"/>
    <cellStyle name="Notas 5 2 11" xfId="23799" xr:uid="{00000000-0005-0000-0000-00008A830000}"/>
    <cellStyle name="Notas 5 2 11 2" xfId="31685" xr:uid="{00000000-0005-0000-0000-00008B830000}"/>
    <cellStyle name="Notas 5 2 12" xfId="31682" xr:uid="{00000000-0005-0000-0000-00008C830000}"/>
    <cellStyle name="Notas 5 2 13" xfId="33359" xr:uid="{00000000-0005-0000-0000-00008D830000}"/>
    <cellStyle name="Notas 5 2 14" xfId="33924" xr:uid="{00000000-0005-0000-0000-00008E830000}"/>
    <cellStyle name="Notas 5 2 15" xfId="40136" xr:uid="{00000000-0005-0000-0000-00008F830000}"/>
    <cellStyle name="Notas 5 2 2" xfId="23800" xr:uid="{00000000-0005-0000-0000-000090830000}"/>
    <cellStyle name="Notas 5 2 2 2" xfId="23801" xr:uid="{00000000-0005-0000-0000-000091830000}"/>
    <cellStyle name="Notas 5 2 2 2 2" xfId="31687" xr:uid="{00000000-0005-0000-0000-000092830000}"/>
    <cellStyle name="Notas 5 2 2 3" xfId="23802" xr:uid="{00000000-0005-0000-0000-000093830000}"/>
    <cellStyle name="Notas 5 2 2 3 2" xfId="31688" xr:uid="{00000000-0005-0000-0000-000094830000}"/>
    <cellStyle name="Notas 5 2 2 4" xfId="23803" xr:uid="{00000000-0005-0000-0000-000095830000}"/>
    <cellStyle name="Notas 5 2 2 4 2" xfId="31689" xr:uid="{00000000-0005-0000-0000-000096830000}"/>
    <cellStyle name="Notas 5 2 2 5" xfId="23804" xr:uid="{00000000-0005-0000-0000-000097830000}"/>
    <cellStyle name="Notas 5 2 2 5 2" xfId="31690" xr:uid="{00000000-0005-0000-0000-000098830000}"/>
    <cellStyle name="Notas 5 2 2 6" xfId="23805" xr:uid="{00000000-0005-0000-0000-000099830000}"/>
    <cellStyle name="Notas 5 2 2 6 2" xfId="31691" xr:uid="{00000000-0005-0000-0000-00009A830000}"/>
    <cellStyle name="Notas 5 2 2 7" xfId="31686" xr:uid="{00000000-0005-0000-0000-00009B830000}"/>
    <cellStyle name="Notas 5 2 2 8" xfId="40137" xr:uid="{00000000-0005-0000-0000-00009C830000}"/>
    <cellStyle name="Notas 5 2 3" xfId="23806" xr:uid="{00000000-0005-0000-0000-00009D830000}"/>
    <cellStyle name="Notas 5 2 3 2" xfId="23807" xr:uid="{00000000-0005-0000-0000-00009E830000}"/>
    <cellStyle name="Notas 5 2 3 2 2" xfId="31693" xr:uid="{00000000-0005-0000-0000-00009F830000}"/>
    <cellStyle name="Notas 5 2 3 3" xfId="23808" xr:uid="{00000000-0005-0000-0000-0000A0830000}"/>
    <cellStyle name="Notas 5 2 3 3 2" xfId="31694" xr:uid="{00000000-0005-0000-0000-0000A1830000}"/>
    <cellStyle name="Notas 5 2 3 4" xfId="23809" xr:uid="{00000000-0005-0000-0000-0000A2830000}"/>
    <cellStyle name="Notas 5 2 3 4 2" xfId="31695" xr:uid="{00000000-0005-0000-0000-0000A3830000}"/>
    <cellStyle name="Notas 5 2 3 5" xfId="23810" xr:uid="{00000000-0005-0000-0000-0000A4830000}"/>
    <cellStyle name="Notas 5 2 3 5 2" xfId="31696" xr:uid="{00000000-0005-0000-0000-0000A5830000}"/>
    <cellStyle name="Notas 5 2 3 6" xfId="23811" xr:uid="{00000000-0005-0000-0000-0000A6830000}"/>
    <cellStyle name="Notas 5 2 3 6 2" xfId="31697" xr:uid="{00000000-0005-0000-0000-0000A7830000}"/>
    <cellStyle name="Notas 5 2 3 7" xfId="31692" xr:uid="{00000000-0005-0000-0000-0000A8830000}"/>
    <cellStyle name="Notas 5 2 4" xfId="23812" xr:uid="{00000000-0005-0000-0000-0000A9830000}"/>
    <cellStyle name="Notas 5 2 4 2" xfId="23813" xr:uid="{00000000-0005-0000-0000-0000AA830000}"/>
    <cellStyle name="Notas 5 2 4 2 2" xfId="31699" xr:uid="{00000000-0005-0000-0000-0000AB830000}"/>
    <cellStyle name="Notas 5 2 4 3" xfId="23814" xr:uid="{00000000-0005-0000-0000-0000AC830000}"/>
    <cellStyle name="Notas 5 2 4 3 2" xfId="31700" xr:uid="{00000000-0005-0000-0000-0000AD830000}"/>
    <cellStyle name="Notas 5 2 4 4" xfId="23815" xr:uid="{00000000-0005-0000-0000-0000AE830000}"/>
    <cellStyle name="Notas 5 2 4 4 2" xfId="31701" xr:uid="{00000000-0005-0000-0000-0000AF830000}"/>
    <cellStyle name="Notas 5 2 4 5" xfId="23816" xr:uid="{00000000-0005-0000-0000-0000B0830000}"/>
    <cellStyle name="Notas 5 2 4 5 2" xfId="31702" xr:uid="{00000000-0005-0000-0000-0000B1830000}"/>
    <cellStyle name="Notas 5 2 4 6" xfId="23817" xr:uid="{00000000-0005-0000-0000-0000B2830000}"/>
    <cellStyle name="Notas 5 2 4 6 2" xfId="31703" xr:uid="{00000000-0005-0000-0000-0000B3830000}"/>
    <cellStyle name="Notas 5 2 4 7" xfId="31698" xr:uid="{00000000-0005-0000-0000-0000B4830000}"/>
    <cellStyle name="Notas 5 2 5" xfId="23818" xr:uid="{00000000-0005-0000-0000-0000B5830000}"/>
    <cellStyle name="Notas 5 2 5 2" xfId="23819" xr:uid="{00000000-0005-0000-0000-0000B6830000}"/>
    <cellStyle name="Notas 5 2 5 2 2" xfId="31705" xr:uid="{00000000-0005-0000-0000-0000B7830000}"/>
    <cellStyle name="Notas 5 2 5 3" xfId="23820" xr:uid="{00000000-0005-0000-0000-0000B8830000}"/>
    <cellStyle name="Notas 5 2 5 3 2" xfId="31706" xr:uid="{00000000-0005-0000-0000-0000B9830000}"/>
    <cellStyle name="Notas 5 2 5 4" xfId="23821" xr:uid="{00000000-0005-0000-0000-0000BA830000}"/>
    <cellStyle name="Notas 5 2 5 4 2" xfId="31707" xr:uid="{00000000-0005-0000-0000-0000BB830000}"/>
    <cellStyle name="Notas 5 2 5 5" xfId="23822" xr:uid="{00000000-0005-0000-0000-0000BC830000}"/>
    <cellStyle name="Notas 5 2 5 5 2" xfId="31708" xr:uid="{00000000-0005-0000-0000-0000BD830000}"/>
    <cellStyle name="Notas 5 2 5 6" xfId="23823" xr:uid="{00000000-0005-0000-0000-0000BE830000}"/>
    <cellStyle name="Notas 5 2 5 6 2" xfId="31709" xr:uid="{00000000-0005-0000-0000-0000BF830000}"/>
    <cellStyle name="Notas 5 2 5 7" xfId="31704" xr:uid="{00000000-0005-0000-0000-0000C0830000}"/>
    <cellStyle name="Notas 5 2 6" xfId="23824" xr:uid="{00000000-0005-0000-0000-0000C1830000}"/>
    <cellStyle name="Notas 5 2 6 2" xfId="23825" xr:uid="{00000000-0005-0000-0000-0000C2830000}"/>
    <cellStyle name="Notas 5 2 6 2 2" xfId="31711" xr:uid="{00000000-0005-0000-0000-0000C3830000}"/>
    <cellStyle name="Notas 5 2 6 3" xfId="23826" xr:uid="{00000000-0005-0000-0000-0000C4830000}"/>
    <cellStyle name="Notas 5 2 6 3 2" xfId="31712" xr:uid="{00000000-0005-0000-0000-0000C5830000}"/>
    <cellStyle name="Notas 5 2 6 4" xfId="23827" xr:uid="{00000000-0005-0000-0000-0000C6830000}"/>
    <cellStyle name="Notas 5 2 6 4 2" xfId="31713" xr:uid="{00000000-0005-0000-0000-0000C7830000}"/>
    <cellStyle name="Notas 5 2 6 5" xfId="23828" xr:uid="{00000000-0005-0000-0000-0000C8830000}"/>
    <cellStyle name="Notas 5 2 6 5 2" xfId="31714" xr:uid="{00000000-0005-0000-0000-0000C9830000}"/>
    <cellStyle name="Notas 5 2 6 6" xfId="23829" xr:uid="{00000000-0005-0000-0000-0000CA830000}"/>
    <cellStyle name="Notas 5 2 6 6 2" xfId="31715" xr:uid="{00000000-0005-0000-0000-0000CB830000}"/>
    <cellStyle name="Notas 5 2 6 7" xfId="31710" xr:uid="{00000000-0005-0000-0000-0000CC830000}"/>
    <cellStyle name="Notas 5 2 7" xfId="23830" xr:uid="{00000000-0005-0000-0000-0000CD830000}"/>
    <cellStyle name="Notas 5 2 7 2" xfId="23831" xr:uid="{00000000-0005-0000-0000-0000CE830000}"/>
    <cellStyle name="Notas 5 2 7 2 2" xfId="31717" xr:uid="{00000000-0005-0000-0000-0000CF830000}"/>
    <cellStyle name="Notas 5 2 7 3" xfId="23832" xr:uid="{00000000-0005-0000-0000-0000D0830000}"/>
    <cellStyle name="Notas 5 2 7 3 2" xfId="31718" xr:uid="{00000000-0005-0000-0000-0000D1830000}"/>
    <cellStyle name="Notas 5 2 7 4" xfId="23833" xr:uid="{00000000-0005-0000-0000-0000D2830000}"/>
    <cellStyle name="Notas 5 2 7 4 2" xfId="31719" xr:uid="{00000000-0005-0000-0000-0000D3830000}"/>
    <cellStyle name="Notas 5 2 7 5" xfId="23834" xr:uid="{00000000-0005-0000-0000-0000D4830000}"/>
    <cellStyle name="Notas 5 2 7 5 2" xfId="31720" xr:uid="{00000000-0005-0000-0000-0000D5830000}"/>
    <cellStyle name="Notas 5 2 7 6" xfId="23835" xr:uid="{00000000-0005-0000-0000-0000D6830000}"/>
    <cellStyle name="Notas 5 2 7 6 2" xfId="31721" xr:uid="{00000000-0005-0000-0000-0000D7830000}"/>
    <cellStyle name="Notas 5 2 7 7" xfId="31716" xr:uid="{00000000-0005-0000-0000-0000D8830000}"/>
    <cellStyle name="Notas 5 2 8" xfId="23836" xr:uid="{00000000-0005-0000-0000-0000D9830000}"/>
    <cellStyle name="Notas 5 2 8 2" xfId="23837" xr:uid="{00000000-0005-0000-0000-0000DA830000}"/>
    <cellStyle name="Notas 5 2 8 2 2" xfId="31723" xr:uid="{00000000-0005-0000-0000-0000DB830000}"/>
    <cellStyle name="Notas 5 2 8 3" xfId="23838" xr:uid="{00000000-0005-0000-0000-0000DC830000}"/>
    <cellStyle name="Notas 5 2 8 3 2" xfId="31724" xr:uid="{00000000-0005-0000-0000-0000DD830000}"/>
    <cellStyle name="Notas 5 2 8 4" xfId="23839" xr:uid="{00000000-0005-0000-0000-0000DE830000}"/>
    <cellStyle name="Notas 5 2 8 4 2" xfId="31725" xr:uid="{00000000-0005-0000-0000-0000DF830000}"/>
    <cellStyle name="Notas 5 2 8 5" xfId="23840" xr:uid="{00000000-0005-0000-0000-0000E0830000}"/>
    <cellStyle name="Notas 5 2 8 5 2" xfId="31726" xr:uid="{00000000-0005-0000-0000-0000E1830000}"/>
    <cellStyle name="Notas 5 2 8 6" xfId="23841" xr:uid="{00000000-0005-0000-0000-0000E2830000}"/>
    <cellStyle name="Notas 5 2 8 6 2" xfId="31727" xr:uid="{00000000-0005-0000-0000-0000E3830000}"/>
    <cellStyle name="Notas 5 2 8 7" xfId="31722" xr:uid="{00000000-0005-0000-0000-0000E4830000}"/>
    <cellStyle name="Notas 5 2 9" xfId="23842" xr:uid="{00000000-0005-0000-0000-0000E5830000}"/>
    <cellStyle name="Notas 5 2 9 2" xfId="23843" xr:uid="{00000000-0005-0000-0000-0000E6830000}"/>
    <cellStyle name="Notas 5 2 9 2 2" xfId="31729" xr:uid="{00000000-0005-0000-0000-0000E7830000}"/>
    <cellStyle name="Notas 5 2 9 3" xfId="23844" xr:uid="{00000000-0005-0000-0000-0000E8830000}"/>
    <cellStyle name="Notas 5 2 9 3 2" xfId="31730" xr:uid="{00000000-0005-0000-0000-0000E9830000}"/>
    <cellStyle name="Notas 5 2 9 4" xfId="23845" xr:uid="{00000000-0005-0000-0000-0000EA830000}"/>
    <cellStyle name="Notas 5 2 9 4 2" xfId="31731" xr:uid="{00000000-0005-0000-0000-0000EB830000}"/>
    <cellStyle name="Notas 5 2 9 5" xfId="23846" xr:uid="{00000000-0005-0000-0000-0000EC830000}"/>
    <cellStyle name="Notas 5 2 9 5 2" xfId="31732" xr:uid="{00000000-0005-0000-0000-0000ED830000}"/>
    <cellStyle name="Notas 5 2 9 6" xfId="23847" xr:uid="{00000000-0005-0000-0000-0000EE830000}"/>
    <cellStyle name="Notas 5 2 9 6 2" xfId="31733" xr:uid="{00000000-0005-0000-0000-0000EF830000}"/>
    <cellStyle name="Notas 5 2 9 7" xfId="31728" xr:uid="{00000000-0005-0000-0000-0000F0830000}"/>
    <cellStyle name="Notas 5 3" xfId="12094" xr:uid="{00000000-0005-0000-0000-0000F1830000}"/>
    <cellStyle name="Notas 5 3 2" xfId="31734" xr:uid="{00000000-0005-0000-0000-0000F2830000}"/>
    <cellStyle name="Notas 5 3 3" xfId="33360" xr:uid="{00000000-0005-0000-0000-0000F3830000}"/>
    <cellStyle name="Notas 5 3 4" xfId="40138" xr:uid="{00000000-0005-0000-0000-0000F4830000}"/>
    <cellStyle name="Notas 5 4" xfId="23848" xr:uid="{00000000-0005-0000-0000-0000F5830000}"/>
    <cellStyle name="Notas 5 5" xfId="31681" xr:uid="{00000000-0005-0000-0000-0000F6830000}"/>
    <cellStyle name="Notas 5 6" xfId="33358" xr:uid="{00000000-0005-0000-0000-0000F7830000}"/>
    <cellStyle name="Notas 5 7" xfId="40135" xr:uid="{00000000-0005-0000-0000-0000F8830000}"/>
    <cellStyle name="Notas 50" xfId="11156" xr:uid="{00000000-0005-0000-0000-0000F9830000}"/>
    <cellStyle name="Notas 50 2" xfId="12095" xr:uid="{00000000-0005-0000-0000-0000FA830000}"/>
    <cellStyle name="Notas 50 2 2" xfId="31736" xr:uid="{00000000-0005-0000-0000-0000FB830000}"/>
    <cellStyle name="Notas 50 2 3" xfId="33362" xr:uid="{00000000-0005-0000-0000-0000FC830000}"/>
    <cellStyle name="Notas 50 2 4" xfId="40140" xr:uid="{00000000-0005-0000-0000-0000FD830000}"/>
    <cellStyle name="Notas 50 3" xfId="12096" xr:uid="{00000000-0005-0000-0000-0000FE830000}"/>
    <cellStyle name="Notas 50 3 2" xfId="31737" xr:uid="{00000000-0005-0000-0000-0000FF830000}"/>
    <cellStyle name="Notas 50 3 3" xfId="33363" xr:uid="{00000000-0005-0000-0000-000000840000}"/>
    <cellStyle name="Notas 50 3 4" xfId="40141" xr:uid="{00000000-0005-0000-0000-000001840000}"/>
    <cellStyle name="Notas 50 4" xfId="31735" xr:uid="{00000000-0005-0000-0000-000002840000}"/>
    <cellStyle name="Notas 50 5" xfId="33361" xr:uid="{00000000-0005-0000-0000-000003840000}"/>
    <cellStyle name="Notas 50 6" xfId="40139" xr:uid="{00000000-0005-0000-0000-000004840000}"/>
    <cellStyle name="Notas 6" xfId="11157" xr:uid="{00000000-0005-0000-0000-000005840000}"/>
    <cellStyle name="Notas 6 2" xfId="12097" xr:uid="{00000000-0005-0000-0000-000006840000}"/>
    <cellStyle name="Notas 6 2 10" xfId="23849" xr:uid="{00000000-0005-0000-0000-000007840000}"/>
    <cellStyle name="Notas 6 2 10 2" xfId="23850" xr:uid="{00000000-0005-0000-0000-000008840000}"/>
    <cellStyle name="Notas 6 2 10 2 2" xfId="31741" xr:uid="{00000000-0005-0000-0000-000009840000}"/>
    <cellStyle name="Notas 6 2 10 3" xfId="31740" xr:uid="{00000000-0005-0000-0000-00000A840000}"/>
    <cellStyle name="Notas 6 2 11" xfId="23851" xr:uid="{00000000-0005-0000-0000-00000B840000}"/>
    <cellStyle name="Notas 6 2 11 2" xfId="31742" xr:uid="{00000000-0005-0000-0000-00000C840000}"/>
    <cellStyle name="Notas 6 2 12" xfId="31739" xr:uid="{00000000-0005-0000-0000-00000D840000}"/>
    <cellStyle name="Notas 6 2 13" xfId="33365" xr:uid="{00000000-0005-0000-0000-00000E840000}"/>
    <cellStyle name="Notas 6 2 14" xfId="33925" xr:uid="{00000000-0005-0000-0000-00000F840000}"/>
    <cellStyle name="Notas 6 2 15" xfId="40143" xr:uid="{00000000-0005-0000-0000-000010840000}"/>
    <cellStyle name="Notas 6 2 2" xfId="23852" xr:uid="{00000000-0005-0000-0000-000011840000}"/>
    <cellStyle name="Notas 6 2 2 2" xfId="23853" xr:uid="{00000000-0005-0000-0000-000012840000}"/>
    <cellStyle name="Notas 6 2 2 2 2" xfId="31744" xr:uid="{00000000-0005-0000-0000-000013840000}"/>
    <cellStyle name="Notas 6 2 2 3" xfId="23854" xr:uid="{00000000-0005-0000-0000-000014840000}"/>
    <cellStyle name="Notas 6 2 2 3 2" xfId="31745" xr:uid="{00000000-0005-0000-0000-000015840000}"/>
    <cellStyle name="Notas 6 2 2 4" xfId="23855" xr:uid="{00000000-0005-0000-0000-000016840000}"/>
    <cellStyle name="Notas 6 2 2 4 2" xfId="31746" xr:uid="{00000000-0005-0000-0000-000017840000}"/>
    <cellStyle name="Notas 6 2 2 5" xfId="23856" xr:uid="{00000000-0005-0000-0000-000018840000}"/>
    <cellStyle name="Notas 6 2 2 5 2" xfId="31747" xr:uid="{00000000-0005-0000-0000-000019840000}"/>
    <cellStyle name="Notas 6 2 2 6" xfId="23857" xr:uid="{00000000-0005-0000-0000-00001A840000}"/>
    <cellStyle name="Notas 6 2 2 6 2" xfId="31748" xr:uid="{00000000-0005-0000-0000-00001B840000}"/>
    <cellStyle name="Notas 6 2 2 7" xfId="31743" xr:uid="{00000000-0005-0000-0000-00001C840000}"/>
    <cellStyle name="Notas 6 2 2 8" xfId="40144" xr:uid="{00000000-0005-0000-0000-00001D840000}"/>
    <cellStyle name="Notas 6 2 3" xfId="23858" xr:uid="{00000000-0005-0000-0000-00001E840000}"/>
    <cellStyle name="Notas 6 2 3 2" xfId="23859" xr:uid="{00000000-0005-0000-0000-00001F840000}"/>
    <cellStyle name="Notas 6 2 3 2 2" xfId="31750" xr:uid="{00000000-0005-0000-0000-000020840000}"/>
    <cellStyle name="Notas 6 2 3 3" xfId="23860" xr:uid="{00000000-0005-0000-0000-000021840000}"/>
    <cellStyle name="Notas 6 2 3 3 2" xfId="31751" xr:uid="{00000000-0005-0000-0000-000022840000}"/>
    <cellStyle name="Notas 6 2 3 4" xfId="23861" xr:uid="{00000000-0005-0000-0000-000023840000}"/>
    <cellStyle name="Notas 6 2 3 4 2" xfId="31752" xr:uid="{00000000-0005-0000-0000-000024840000}"/>
    <cellStyle name="Notas 6 2 3 5" xfId="23862" xr:uid="{00000000-0005-0000-0000-000025840000}"/>
    <cellStyle name="Notas 6 2 3 5 2" xfId="31753" xr:uid="{00000000-0005-0000-0000-000026840000}"/>
    <cellStyle name="Notas 6 2 3 6" xfId="23863" xr:uid="{00000000-0005-0000-0000-000027840000}"/>
    <cellStyle name="Notas 6 2 3 6 2" xfId="31754" xr:uid="{00000000-0005-0000-0000-000028840000}"/>
    <cellStyle name="Notas 6 2 3 7" xfId="31749" xr:uid="{00000000-0005-0000-0000-000029840000}"/>
    <cellStyle name="Notas 6 2 4" xfId="23864" xr:uid="{00000000-0005-0000-0000-00002A840000}"/>
    <cellStyle name="Notas 6 2 4 2" xfId="23865" xr:uid="{00000000-0005-0000-0000-00002B840000}"/>
    <cellStyle name="Notas 6 2 4 2 2" xfId="31756" xr:uid="{00000000-0005-0000-0000-00002C840000}"/>
    <cellStyle name="Notas 6 2 4 3" xfId="23866" xr:uid="{00000000-0005-0000-0000-00002D840000}"/>
    <cellStyle name="Notas 6 2 4 3 2" xfId="31757" xr:uid="{00000000-0005-0000-0000-00002E840000}"/>
    <cellStyle name="Notas 6 2 4 4" xfId="23867" xr:uid="{00000000-0005-0000-0000-00002F840000}"/>
    <cellStyle name="Notas 6 2 4 4 2" xfId="31758" xr:uid="{00000000-0005-0000-0000-000030840000}"/>
    <cellStyle name="Notas 6 2 4 5" xfId="23868" xr:uid="{00000000-0005-0000-0000-000031840000}"/>
    <cellStyle name="Notas 6 2 4 5 2" xfId="31759" xr:uid="{00000000-0005-0000-0000-000032840000}"/>
    <cellStyle name="Notas 6 2 4 6" xfId="23869" xr:uid="{00000000-0005-0000-0000-000033840000}"/>
    <cellStyle name="Notas 6 2 4 6 2" xfId="31760" xr:uid="{00000000-0005-0000-0000-000034840000}"/>
    <cellStyle name="Notas 6 2 4 7" xfId="31755" xr:uid="{00000000-0005-0000-0000-000035840000}"/>
    <cellStyle name="Notas 6 2 5" xfId="23870" xr:uid="{00000000-0005-0000-0000-000036840000}"/>
    <cellStyle name="Notas 6 2 5 2" xfId="23871" xr:uid="{00000000-0005-0000-0000-000037840000}"/>
    <cellStyle name="Notas 6 2 5 2 2" xfId="31762" xr:uid="{00000000-0005-0000-0000-000038840000}"/>
    <cellStyle name="Notas 6 2 5 3" xfId="23872" xr:uid="{00000000-0005-0000-0000-000039840000}"/>
    <cellStyle name="Notas 6 2 5 3 2" xfId="31763" xr:uid="{00000000-0005-0000-0000-00003A840000}"/>
    <cellStyle name="Notas 6 2 5 4" xfId="23873" xr:uid="{00000000-0005-0000-0000-00003B840000}"/>
    <cellStyle name="Notas 6 2 5 4 2" xfId="31764" xr:uid="{00000000-0005-0000-0000-00003C840000}"/>
    <cellStyle name="Notas 6 2 5 5" xfId="23874" xr:uid="{00000000-0005-0000-0000-00003D840000}"/>
    <cellStyle name="Notas 6 2 5 5 2" xfId="31765" xr:uid="{00000000-0005-0000-0000-00003E840000}"/>
    <cellStyle name="Notas 6 2 5 6" xfId="23875" xr:uid="{00000000-0005-0000-0000-00003F840000}"/>
    <cellStyle name="Notas 6 2 5 6 2" xfId="31766" xr:uid="{00000000-0005-0000-0000-000040840000}"/>
    <cellStyle name="Notas 6 2 5 7" xfId="31761" xr:uid="{00000000-0005-0000-0000-000041840000}"/>
    <cellStyle name="Notas 6 2 6" xfId="23876" xr:uid="{00000000-0005-0000-0000-000042840000}"/>
    <cellStyle name="Notas 6 2 6 2" xfId="23877" xr:uid="{00000000-0005-0000-0000-000043840000}"/>
    <cellStyle name="Notas 6 2 6 2 2" xfId="31768" xr:uid="{00000000-0005-0000-0000-000044840000}"/>
    <cellStyle name="Notas 6 2 6 3" xfId="23878" xr:uid="{00000000-0005-0000-0000-000045840000}"/>
    <cellStyle name="Notas 6 2 6 3 2" xfId="31769" xr:uid="{00000000-0005-0000-0000-000046840000}"/>
    <cellStyle name="Notas 6 2 6 4" xfId="23879" xr:uid="{00000000-0005-0000-0000-000047840000}"/>
    <cellStyle name="Notas 6 2 6 4 2" xfId="31770" xr:uid="{00000000-0005-0000-0000-000048840000}"/>
    <cellStyle name="Notas 6 2 6 5" xfId="23880" xr:uid="{00000000-0005-0000-0000-000049840000}"/>
    <cellStyle name="Notas 6 2 6 5 2" xfId="31771" xr:uid="{00000000-0005-0000-0000-00004A840000}"/>
    <cellStyle name="Notas 6 2 6 6" xfId="23881" xr:uid="{00000000-0005-0000-0000-00004B840000}"/>
    <cellStyle name="Notas 6 2 6 6 2" xfId="31772" xr:uid="{00000000-0005-0000-0000-00004C840000}"/>
    <cellStyle name="Notas 6 2 6 7" xfId="31767" xr:uid="{00000000-0005-0000-0000-00004D840000}"/>
    <cellStyle name="Notas 6 2 7" xfId="23882" xr:uid="{00000000-0005-0000-0000-00004E840000}"/>
    <cellStyle name="Notas 6 2 7 2" xfId="23883" xr:uid="{00000000-0005-0000-0000-00004F840000}"/>
    <cellStyle name="Notas 6 2 7 2 2" xfId="31774" xr:uid="{00000000-0005-0000-0000-000050840000}"/>
    <cellStyle name="Notas 6 2 7 3" xfId="23884" xr:uid="{00000000-0005-0000-0000-000051840000}"/>
    <cellStyle name="Notas 6 2 7 3 2" xfId="31775" xr:uid="{00000000-0005-0000-0000-000052840000}"/>
    <cellStyle name="Notas 6 2 7 4" xfId="23885" xr:uid="{00000000-0005-0000-0000-000053840000}"/>
    <cellStyle name="Notas 6 2 7 4 2" xfId="31776" xr:uid="{00000000-0005-0000-0000-000054840000}"/>
    <cellStyle name="Notas 6 2 7 5" xfId="23886" xr:uid="{00000000-0005-0000-0000-000055840000}"/>
    <cellStyle name="Notas 6 2 7 5 2" xfId="31777" xr:uid="{00000000-0005-0000-0000-000056840000}"/>
    <cellStyle name="Notas 6 2 7 6" xfId="23887" xr:uid="{00000000-0005-0000-0000-000057840000}"/>
    <cellStyle name="Notas 6 2 7 6 2" xfId="31778" xr:uid="{00000000-0005-0000-0000-000058840000}"/>
    <cellStyle name="Notas 6 2 7 7" xfId="31773" xr:uid="{00000000-0005-0000-0000-000059840000}"/>
    <cellStyle name="Notas 6 2 8" xfId="23888" xr:uid="{00000000-0005-0000-0000-00005A840000}"/>
    <cellStyle name="Notas 6 2 8 2" xfId="23889" xr:uid="{00000000-0005-0000-0000-00005B840000}"/>
    <cellStyle name="Notas 6 2 8 2 2" xfId="31780" xr:uid="{00000000-0005-0000-0000-00005C840000}"/>
    <cellStyle name="Notas 6 2 8 3" xfId="23890" xr:uid="{00000000-0005-0000-0000-00005D840000}"/>
    <cellStyle name="Notas 6 2 8 3 2" xfId="31781" xr:uid="{00000000-0005-0000-0000-00005E840000}"/>
    <cellStyle name="Notas 6 2 8 4" xfId="23891" xr:uid="{00000000-0005-0000-0000-00005F840000}"/>
    <cellStyle name="Notas 6 2 8 4 2" xfId="31782" xr:uid="{00000000-0005-0000-0000-000060840000}"/>
    <cellStyle name="Notas 6 2 8 5" xfId="23892" xr:uid="{00000000-0005-0000-0000-000061840000}"/>
    <cellStyle name="Notas 6 2 8 5 2" xfId="31783" xr:uid="{00000000-0005-0000-0000-000062840000}"/>
    <cellStyle name="Notas 6 2 8 6" xfId="23893" xr:uid="{00000000-0005-0000-0000-000063840000}"/>
    <cellStyle name="Notas 6 2 8 6 2" xfId="31784" xr:uid="{00000000-0005-0000-0000-000064840000}"/>
    <cellStyle name="Notas 6 2 8 7" xfId="31779" xr:uid="{00000000-0005-0000-0000-000065840000}"/>
    <cellStyle name="Notas 6 2 9" xfId="23894" xr:uid="{00000000-0005-0000-0000-000066840000}"/>
    <cellStyle name="Notas 6 2 9 2" xfId="23895" xr:uid="{00000000-0005-0000-0000-000067840000}"/>
    <cellStyle name="Notas 6 2 9 2 2" xfId="31786" xr:uid="{00000000-0005-0000-0000-000068840000}"/>
    <cellStyle name="Notas 6 2 9 3" xfId="23896" xr:uid="{00000000-0005-0000-0000-000069840000}"/>
    <cellStyle name="Notas 6 2 9 3 2" xfId="31787" xr:uid="{00000000-0005-0000-0000-00006A840000}"/>
    <cellStyle name="Notas 6 2 9 4" xfId="23897" xr:uid="{00000000-0005-0000-0000-00006B840000}"/>
    <cellStyle name="Notas 6 2 9 4 2" xfId="31788" xr:uid="{00000000-0005-0000-0000-00006C840000}"/>
    <cellStyle name="Notas 6 2 9 5" xfId="23898" xr:uid="{00000000-0005-0000-0000-00006D840000}"/>
    <cellStyle name="Notas 6 2 9 5 2" xfId="31789" xr:uid="{00000000-0005-0000-0000-00006E840000}"/>
    <cellStyle name="Notas 6 2 9 6" xfId="23899" xr:uid="{00000000-0005-0000-0000-00006F840000}"/>
    <cellStyle name="Notas 6 2 9 6 2" xfId="31790" xr:uid="{00000000-0005-0000-0000-000070840000}"/>
    <cellStyle name="Notas 6 2 9 7" xfId="31785" xr:uid="{00000000-0005-0000-0000-000071840000}"/>
    <cellStyle name="Notas 6 3" xfId="12098" xr:uid="{00000000-0005-0000-0000-000072840000}"/>
    <cellStyle name="Notas 6 3 2" xfId="31791" xr:uid="{00000000-0005-0000-0000-000073840000}"/>
    <cellStyle name="Notas 6 3 3" xfId="33366" xr:uid="{00000000-0005-0000-0000-000074840000}"/>
    <cellStyle name="Notas 6 3 4" xfId="40145" xr:uid="{00000000-0005-0000-0000-000075840000}"/>
    <cellStyle name="Notas 6 4" xfId="31738" xr:uid="{00000000-0005-0000-0000-000076840000}"/>
    <cellStyle name="Notas 6 5" xfId="33364" xr:uid="{00000000-0005-0000-0000-000077840000}"/>
    <cellStyle name="Notas 6 6" xfId="40142" xr:uid="{00000000-0005-0000-0000-000078840000}"/>
    <cellStyle name="Notas 7" xfId="11158" xr:uid="{00000000-0005-0000-0000-000079840000}"/>
    <cellStyle name="Notas 7 2" xfId="12099" xr:uid="{00000000-0005-0000-0000-00007A840000}"/>
    <cellStyle name="Notas 7 2 10" xfId="23900" xr:uid="{00000000-0005-0000-0000-00007B840000}"/>
    <cellStyle name="Notas 7 2 10 2" xfId="23901" xr:uid="{00000000-0005-0000-0000-00007C840000}"/>
    <cellStyle name="Notas 7 2 10 2 2" xfId="31795" xr:uid="{00000000-0005-0000-0000-00007D840000}"/>
    <cellStyle name="Notas 7 2 10 3" xfId="31794" xr:uid="{00000000-0005-0000-0000-00007E840000}"/>
    <cellStyle name="Notas 7 2 11" xfId="23902" xr:uid="{00000000-0005-0000-0000-00007F840000}"/>
    <cellStyle name="Notas 7 2 11 2" xfId="31796" xr:uid="{00000000-0005-0000-0000-000080840000}"/>
    <cellStyle name="Notas 7 2 12" xfId="31793" xr:uid="{00000000-0005-0000-0000-000081840000}"/>
    <cellStyle name="Notas 7 2 13" xfId="33368" xr:uid="{00000000-0005-0000-0000-000082840000}"/>
    <cellStyle name="Notas 7 2 14" xfId="33926" xr:uid="{00000000-0005-0000-0000-000083840000}"/>
    <cellStyle name="Notas 7 2 15" xfId="40147" xr:uid="{00000000-0005-0000-0000-000084840000}"/>
    <cellStyle name="Notas 7 2 2" xfId="23903" xr:uid="{00000000-0005-0000-0000-000085840000}"/>
    <cellStyle name="Notas 7 2 2 2" xfId="23904" xr:uid="{00000000-0005-0000-0000-000086840000}"/>
    <cellStyle name="Notas 7 2 2 2 2" xfId="31798" xr:uid="{00000000-0005-0000-0000-000087840000}"/>
    <cellStyle name="Notas 7 2 2 3" xfId="23905" xr:uid="{00000000-0005-0000-0000-000088840000}"/>
    <cellStyle name="Notas 7 2 2 3 2" xfId="31799" xr:uid="{00000000-0005-0000-0000-000089840000}"/>
    <cellStyle name="Notas 7 2 2 4" xfId="23906" xr:uid="{00000000-0005-0000-0000-00008A840000}"/>
    <cellStyle name="Notas 7 2 2 4 2" xfId="31800" xr:uid="{00000000-0005-0000-0000-00008B840000}"/>
    <cellStyle name="Notas 7 2 2 5" xfId="23907" xr:uid="{00000000-0005-0000-0000-00008C840000}"/>
    <cellStyle name="Notas 7 2 2 5 2" xfId="31801" xr:uid="{00000000-0005-0000-0000-00008D840000}"/>
    <cellStyle name="Notas 7 2 2 6" xfId="23908" xr:uid="{00000000-0005-0000-0000-00008E840000}"/>
    <cellStyle name="Notas 7 2 2 6 2" xfId="31802" xr:uid="{00000000-0005-0000-0000-00008F840000}"/>
    <cellStyle name="Notas 7 2 2 7" xfId="31797" xr:uid="{00000000-0005-0000-0000-000090840000}"/>
    <cellStyle name="Notas 7 2 2 8" xfId="40148" xr:uid="{00000000-0005-0000-0000-000091840000}"/>
    <cellStyle name="Notas 7 2 3" xfId="23909" xr:uid="{00000000-0005-0000-0000-000092840000}"/>
    <cellStyle name="Notas 7 2 3 2" xfId="23910" xr:uid="{00000000-0005-0000-0000-000093840000}"/>
    <cellStyle name="Notas 7 2 3 2 2" xfId="31804" xr:uid="{00000000-0005-0000-0000-000094840000}"/>
    <cellStyle name="Notas 7 2 3 3" xfId="23911" xr:uid="{00000000-0005-0000-0000-000095840000}"/>
    <cellStyle name="Notas 7 2 3 3 2" xfId="31805" xr:uid="{00000000-0005-0000-0000-000096840000}"/>
    <cellStyle name="Notas 7 2 3 4" xfId="23912" xr:uid="{00000000-0005-0000-0000-000097840000}"/>
    <cellStyle name="Notas 7 2 3 4 2" xfId="31806" xr:uid="{00000000-0005-0000-0000-000098840000}"/>
    <cellStyle name="Notas 7 2 3 5" xfId="23913" xr:uid="{00000000-0005-0000-0000-000099840000}"/>
    <cellStyle name="Notas 7 2 3 5 2" xfId="31807" xr:uid="{00000000-0005-0000-0000-00009A840000}"/>
    <cellStyle name="Notas 7 2 3 6" xfId="23914" xr:uid="{00000000-0005-0000-0000-00009B840000}"/>
    <cellStyle name="Notas 7 2 3 6 2" xfId="31808" xr:uid="{00000000-0005-0000-0000-00009C840000}"/>
    <cellStyle name="Notas 7 2 3 7" xfId="31803" xr:uid="{00000000-0005-0000-0000-00009D840000}"/>
    <cellStyle name="Notas 7 2 4" xfId="23915" xr:uid="{00000000-0005-0000-0000-00009E840000}"/>
    <cellStyle name="Notas 7 2 4 2" xfId="23916" xr:uid="{00000000-0005-0000-0000-00009F840000}"/>
    <cellStyle name="Notas 7 2 4 2 2" xfId="31810" xr:uid="{00000000-0005-0000-0000-0000A0840000}"/>
    <cellStyle name="Notas 7 2 4 3" xfId="23917" xr:uid="{00000000-0005-0000-0000-0000A1840000}"/>
    <cellStyle name="Notas 7 2 4 3 2" xfId="31811" xr:uid="{00000000-0005-0000-0000-0000A2840000}"/>
    <cellStyle name="Notas 7 2 4 4" xfId="23918" xr:uid="{00000000-0005-0000-0000-0000A3840000}"/>
    <cellStyle name="Notas 7 2 4 4 2" xfId="31812" xr:uid="{00000000-0005-0000-0000-0000A4840000}"/>
    <cellStyle name="Notas 7 2 4 5" xfId="23919" xr:uid="{00000000-0005-0000-0000-0000A5840000}"/>
    <cellStyle name="Notas 7 2 4 5 2" xfId="31813" xr:uid="{00000000-0005-0000-0000-0000A6840000}"/>
    <cellStyle name="Notas 7 2 4 6" xfId="23920" xr:uid="{00000000-0005-0000-0000-0000A7840000}"/>
    <cellStyle name="Notas 7 2 4 6 2" xfId="31814" xr:uid="{00000000-0005-0000-0000-0000A8840000}"/>
    <cellStyle name="Notas 7 2 4 7" xfId="31809" xr:uid="{00000000-0005-0000-0000-0000A9840000}"/>
    <cellStyle name="Notas 7 2 5" xfId="23921" xr:uid="{00000000-0005-0000-0000-0000AA840000}"/>
    <cellStyle name="Notas 7 2 5 2" xfId="23922" xr:uid="{00000000-0005-0000-0000-0000AB840000}"/>
    <cellStyle name="Notas 7 2 5 2 2" xfId="31816" xr:uid="{00000000-0005-0000-0000-0000AC840000}"/>
    <cellStyle name="Notas 7 2 5 3" xfId="23923" xr:uid="{00000000-0005-0000-0000-0000AD840000}"/>
    <cellStyle name="Notas 7 2 5 3 2" xfId="31817" xr:uid="{00000000-0005-0000-0000-0000AE840000}"/>
    <cellStyle name="Notas 7 2 5 4" xfId="23924" xr:uid="{00000000-0005-0000-0000-0000AF840000}"/>
    <cellStyle name="Notas 7 2 5 4 2" xfId="31818" xr:uid="{00000000-0005-0000-0000-0000B0840000}"/>
    <cellStyle name="Notas 7 2 5 5" xfId="23925" xr:uid="{00000000-0005-0000-0000-0000B1840000}"/>
    <cellStyle name="Notas 7 2 5 5 2" xfId="31819" xr:uid="{00000000-0005-0000-0000-0000B2840000}"/>
    <cellStyle name="Notas 7 2 5 6" xfId="23926" xr:uid="{00000000-0005-0000-0000-0000B3840000}"/>
    <cellStyle name="Notas 7 2 5 6 2" xfId="31820" xr:uid="{00000000-0005-0000-0000-0000B4840000}"/>
    <cellStyle name="Notas 7 2 5 7" xfId="31815" xr:uid="{00000000-0005-0000-0000-0000B5840000}"/>
    <cellStyle name="Notas 7 2 6" xfId="23927" xr:uid="{00000000-0005-0000-0000-0000B6840000}"/>
    <cellStyle name="Notas 7 2 6 2" xfId="23928" xr:uid="{00000000-0005-0000-0000-0000B7840000}"/>
    <cellStyle name="Notas 7 2 6 2 2" xfId="31822" xr:uid="{00000000-0005-0000-0000-0000B8840000}"/>
    <cellStyle name="Notas 7 2 6 3" xfId="23929" xr:uid="{00000000-0005-0000-0000-0000B9840000}"/>
    <cellStyle name="Notas 7 2 6 3 2" xfId="31823" xr:uid="{00000000-0005-0000-0000-0000BA840000}"/>
    <cellStyle name="Notas 7 2 6 4" xfId="23930" xr:uid="{00000000-0005-0000-0000-0000BB840000}"/>
    <cellStyle name="Notas 7 2 6 4 2" xfId="31824" xr:uid="{00000000-0005-0000-0000-0000BC840000}"/>
    <cellStyle name="Notas 7 2 6 5" xfId="23931" xr:uid="{00000000-0005-0000-0000-0000BD840000}"/>
    <cellStyle name="Notas 7 2 6 5 2" xfId="31825" xr:uid="{00000000-0005-0000-0000-0000BE840000}"/>
    <cellStyle name="Notas 7 2 6 6" xfId="23932" xr:uid="{00000000-0005-0000-0000-0000BF840000}"/>
    <cellStyle name="Notas 7 2 6 6 2" xfId="31826" xr:uid="{00000000-0005-0000-0000-0000C0840000}"/>
    <cellStyle name="Notas 7 2 6 7" xfId="31821" xr:uid="{00000000-0005-0000-0000-0000C1840000}"/>
    <cellStyle name="Notas 7 2 7" xfId="23933" xr:uid="{00000000-0005-0000-0000-0000C2840000}"/>
    <cellStyle name="Notas 7 2 7 2" xfId="23934" xr:uid="{00000000-0005-0000-0000-0000C3840000}"/>
    <cellStyle name="Notas 7 2 7 2 2" xfId="31828" xr:uid="{00000000-0005-0000-0000-0000C4840000}"/>
    <cellStyle name="Notas 7 2 7 3" xfId="23935" xr:uid="{00000000-0005-0000-0000-0000C5840000}"/>
    <cellStyle name="Notas 7 2 7 3 2" xfId="31829" xr:uid="{00000000-0005-0000-0000-0000C6840000}"/>
    <cellStyle name="Notas 7 2 7 4" xfId="23936" xr:uid="{00000000-0005-0000-0000-0000C7840000}"/>
    <cellStyle name="Notas 7 2 7 4 2" xfId="31830" xr:uid="{00000000-0005-0000-0000-0000C8840000}"/>
    <cellStyle name="Notas 7 2 7 5" xfId="23937" xr:uid="{00000000-0005-0000-0000-0000C9840000}"/>
    <cellStyle name="Notas 7 2 7 5 2" xfId="31831" xr:uid="{00000000-0005-0000-0000-0000CA840000}"/>
    <cellStyle name="Notas 7 2 7 6" xfId="23938" xr:uid="{00000000-0005-0000-0000-0000CB840000}"/>
    <cellStyle name="Notas 7 2 7 6 2" xfId="31832" xr:uid="{00000000-0005-0000-0000-0000CC840000}"/>
    <cellStyle name="Notas 7 2 7 7" xfId="31827" xr:uid="{00000000-0005-0000-0000-0000CD840000}"/>
    <cellStyle name="Notas 7 2 8" xfId="23939" xr:uid="{00000000-0005-0000-0000-0000CE840000}"/>
    <cellStyle name="Notas 7 2 8 2" xfId="23940" xr:uid="{00000000-0005-0000-0000-0000CF840000}"/>
    <cellStyle name="Notas 7 2 8 2 2" xfId="31834" xr:uid="{00000000-0005-0000-0000-0000D0840000}"/>
    <cellStyle name="Notas 7 2 8 3" xfId="23941" xr:uid="{00000000-0005-0000-0000-0000D1840000}"/>
    <cellStyle name="Notas 7 2 8 3 2" xfId="31835" xr:uid="{00000000-0005-0000-0000-0000D2840000}"/>
    <cellStyle name="Notas 7 2 8 4" xfId="23942" xr:uid="{00000000-0005-0000-0000-0000D3840000}"/>
    <cellStyle name="Notas 7 2 8 4 2" xfId="31836" xr:uid="{00000000-0005-0000-0000-0000D4840000}"/>
    <cellStyle name="Notas 7 2 8 5" xfId="23943" xr:uid="{00000000-0005-0000-0000-0000D5840000}"/>
    <cellStyle name="Notas 7 2 8 5 2" xfId="31837" xr:uid="{00000000-0005-0000-0000-0000D6840000}"/>
    <cellStyle name="Notas 7 2 8 6" xfId="23944" xr:uid="{00000000-0005-0000-0000-0000D7840000}"/>
    <cellStyle name="Notas 7 2 8 6 2" xfId="31838" xr:uid="{00000000-0005-0000-0000-0000D8840000}"/>
    <cellStyle name="Notas 7 2 8 7" xfId="31833" xr:uid="{00000000-0005-0000-0000-0000D9840000}"/>
    <cellStyle name="Notas 7 2 9" xfId="23945" xr:uid="{00000000-0005-0000-0000-0000DA840000}"/>
    <cellStyle name="Notas 7 2 9 2" xfId="23946" xr:uid="{00000000-0005-0000-0000-0000DB840000}"/>
    <cellStyle name="Notas 7 2 9 2 2" xfId="31840" xr:uid="{00000000-0005-0000-0000-0000DC840000}"/>
    <cellStyle name="Notas 7 2 9 3" xfId="23947" xr:uid="{00000000-0005-0000-0000-0000DD840000}"/>
    <cellStyle name="Notas 7 2 9 3 2" xfId="31841" xr:uid="{00000000-0005-0000-0000-0000DE840000}"/>
    <cellStyle name="Notas 7 2 9 4" xfId="23948" xr:uid="{00000000-0005-0000-0000-0000DF840000}"/>
    <cellStyle name="Notas 7 2 9 4 2" xfId="31842" xr:uid="{00000000-0005-0000-0000-0000E0840000}"/>
    <cellStyle name="Notas 7 2 9 5" xfId="23949" xr:uid="{00000000-0005-0000-0000-0000E1840000}"/>
    <cellStyle name="Notas 7 2 9 5 2" xfId="31843" xr:uid="{00000000-0005-0000-0000-0000E2840000}"/>
    <cellStyle name="Notas 7 2 9 6" xfId="23950" xr:uid="{00000000-0005-0000-0000-0000E3840000}"/>
    <cellStyle name="Notas 7 2 9 6 2" xfId="31844" xr:uid="{00000000-0005-0000-0000-0000E4840000}"/>
    <cellStyle name="Notas 7 2 9 7" xfId="31839" xr:uid="{00000000-0005-0000-0000-0000E5840000}"/>
    <cellStyle name="Notas 7 3" xfId="12100" xr:uid="{00000000-0005-0000-0000-0000E6840000}"/>
    <cellStyle name="Notas 7 3 2" xfId="31845" xr:uid="{00000000-0005-0000-0000-0000E7840000}"/>
    <cellStyle name="Notas 7 3 3" xfId="33369" xr:uid="{00000000-0005-0000-0000-0000E8840000}"/>
    <cellStyle name="Notas 7 3 4" xfId="40149" xr:uid="{00000000-0005-0000-0000-0000E9840000}"/>
    <cellStyle name="Notas 7 4" xfId="31792" xr:uid="{00000000-0005-0000-0000-0000EA840000}"/>
    <cellStyle name="Notas 7 5" xfId="33367" xr:uid="{00000000-0005-0000-0000-0000EB840000}"/>
    <cellStyle name="Notas 7 6" xfId="40146" xr:uid="{00000000-0005-0000-0000-0000EC840000}"/>
    <cellStyle name="Notas 8" xfId="11159" xr:uid="{00000000-0005-0000-0000-0000ED840000}"/>
    <cellStyle name="Notas 8 2" xfId="12101" xr:uid="{00000000-0005-0000-0000-0000EE840000}"/>
    <cellStyle name="Notas 8 2 10" xfId="23951" xr:uid="{00000000-0005-0000-0000-0000EF840000}"/>
    <cellStyle name="Notas 8 2 10 2" xfId="23952" xr:uid="{00000000-0005-0000-0000-0000F0840000}"/>
    <cellStyle name="Notas 8 2 10 2 2" xfId="31849" xr:uid="{00000000-0005-0000-0000-0000F1840000}"/>
    <cellStyle name="Notas 8 2 10 3" xfId="31848" xr:uid="{00000000-0005-0000-0000-0000F2840000}"/>
    <cellStyle name="Notas 8 2 11" xfId="23953" xr:uid="{00000000-0005-0000-0000-0000F3840000}"/>
    <cellStyle name="Notas 8 2 11 2" xfId="31850" xr:uid="{00000000-0005-0000-0000-0000F4840000}"/>
    <cellStyle name="Notas 8 2 12" xfId="31847" xr:uid="{00000000-0005-0000-0000-0000F5840000}"/>
    <cellStyle name="Notas 8 2 13" xfId="33371" xr:uid="{00000000-0005-0000-0000-0000F6840000}"/>
    <cellStyle name="Notas 8 2 14" xfId="33927" xr:uid="{00000000-0005-0000-0000-0000F7840000}"/>
    <cellStyle name="Notas 8 2 15" xfId="40151" xr:uid="{00000000-0005-0000-0000-0000F8840000}"/>
    <cellStyle name="Notas 8 2 2" xfId="23954" xr:uid="{00000000-0005-0000-0000-0000F9840000}"/>
    <cellStyle name="Notas 8 2 2 2" xfId="23955" xr:uid="{00000000-0005-0000-0000-0000FA840000}"/>
    <cellStyle name="Notas 8 2 2 2 2" xfId="31852" xr:uid="{00000000-0005-0000-0000-0000FB840000}"/>
    <cellStyle name="Notas 8 2 2 3" xfId="23956" xr:uid="{00000000-0005-0000-0000-0000FC840000}"/>
    <cellStyle name="Notas 8 2 2 3 2" xfId="31853" xr:uid="{00000000-0005-0000-0000-0000FD840000}"/>
    <cellStyle name="Notas 8 2 2 4" xfId="23957" xr:uid="{00000000-0005-0000-0000-0000FE840000}"/>
    <cellStyle name="Notas 8 2 2 4 2" xfId="31854" xr:uid="{00000000-0005-0000-0000-0000FF840000}"/>
    <cellStyle name="Notas 8 2 2 5" xfId="23958" xr:uid="{00000000-0005-0000-0000-000000850000}"/>
    <cellStyle name="Notas 8 2 2 5 2" xfId="31855" xr:uid="{00000000-0005-0000-0000-000001850000}"/>
    <cellStyle name="Notas 8 2 2 6" xfId="23959" xr:uid="{00000000-0005-0000-0000-000002850000}"/>
    <cellStyle name="Notas 8 2 2 6 2" xfId="31856" xr:uid="{00000000-0005-0000-0000-000003850000}"/>
    <cellStyle name="Notas 8 2 2 7" xfId="31851" xr:uid="{00000000-0005-0000-0000-000004850000}"/>
    <cellStyle name="Notas 8 2 2 8" xfId="40152" xr:uid="{00000000-0005-0000-0000-000005850000}"/>
    <cellStyle name="Notas 8 2 3" xfId="23960" xr:uid="{00000000-0005-0000-0000-000006850000}"/>
    <cellStyle name="Notas 8 2 3 2" xfId="23961" xr:uid="{00000000-0005-0000-0000-000007850000}"/>
    <cellStyle name="Notas 8 2 3 2 2" xfId="31858" xr:uid="{00000000-0005-0000-0000-000008850000}"/>
    <cellStyle name="Notas 8 2 3 3" xfId="23962" xr:uid="{00000000-0005-0000-0000-000009850000}"/>
    <cellStyle name="Notas 8 2 3 3 2" xfId="31859" xr:uid="{00000000-0005-0000-0000-00000A850000}"/>
    <cellStyle name="Notas 8 2 3 4" xfId="23963" xr:uid="{00000000-0005-0000-0000-00000B850000}"/>
    <cellStyle name="Notas 8 2 3 4 2" xfId="31860" xr:uid="{00000000-0005-0000-0000-00000C850000}"/>
    <cellStyle name="Notas 8 2 3 5" xfId="23964" xr:uid="{00000000-0005-0000-0000-00000D850000}"/>
    <cellStyle name="Notas 8 2 3 5 2" xfId="31861" xr:uid="{00000000-0005-0000-0000-00000E850000}"/>
    <cellStyle name="Notas 8 2 3 6" xfId="23965" xr:uid="{00000000-0005-0000-0000-00000F850000}"/>
    <cellStyle name="Notas 8 2 3 6 2" xfId="31862" xr:uid="{00000000-0005-0000-0000-000010850000}"/>
    <cellStyle name="Notas 8 2 3 7" xfId="31857" xr:uid="{00000000-0005-0000-0000-000011850000}"/>
    <cellStyle name="Notas 8 2 4" xfId="23966" xr:uid="{00000000-0005-0000-0000-000012850000}"/>
    <cellStyle name="Notas 8 2 4 2" xfId="23967" xr:uid="{00000000-0005-0000-0000-000013850000}"/>
    <cellStyle name="Notas 8 2 4 2 2" xfId="31864" xr:uid="{00000000-0005-0000-0000-000014850000}"/>
    <cellStyle name="Notas 8 2 4 3" xfId="23968" xr:uid="{00000000-0005-0000-0000-000015850000}"/>
    <cellStyle name="Notas 8 2 4 3 2" xfId="31865" xr:uid="{00000000-0005-0000-0000-000016850000}"/>
    <cellStyle name="Notas 8 2 4 4" xfId="23969" xr:uid="{00000000-0005-0000-0000-000017850000}"/>
    <cellStyle name="Notas 8 2 4 4 2" xfId="31866" xr:uid="{00000000-0005-0000-0000-000018850000}"/>
    <cellStyle name="Notas 8 2 4 5" xfId="23970" xr:uid="{00000000-0005-0000-0000-000019850000}"/>
    <cellStyle name="Notas 8 2 4 5 2" xfId="31867" xr:uid="{00000000-0005-0000-0000-00001A850000}"/>
    <cellStyle name="Notas 8 2 4 6" xfId="23971" xr:uid="{00000000-0005-0000-0000-00001B850000}"/>
    <cellStyle name="Notas 8 2 4 6 2" xfId="31868" xr:uid="{00000000-0005-0000-0000-00001C850000}"/>
    <cellStyle name="Notas 8 2 4 7" xfId="31863" xr:uid="{00000000-0005-0000-0000-00001D850000}"/>
    <cellStyle name="Notas 8 2 5" xfId="23972" xr:uid="{00000000-0005-0000-0000-00001E850000}"/>
    <cellStyle name="Notas 8 2 5 2" xfId="23973" xr:uid="{00000000-0005-0000-0000-00001F850000}"/>
    <cellStyle name="Notas 8 2 5 2 2" xfId="31870" xr:uid="{00000000-0005-0000-0000-000020850000}"/>
    <cellStyle name="Notas 8 2 5 3" xfId="23974" xr:uid="{00000000-0005-0000-0000-000021850000}"/>
    <cellStyle name="Notas 8 2 5 3 2" xfId="31871" xr:uid="{00000000-0005-0000-0000-000022850000}"/>
    <cellStyle name="Notas 8 2 5 4" xfId="23975" xr:uid="{00000000-0005-0000-0000-000023850000}"/>
    <cellStyle name="Notas 8 2 5 4 2" xfId="31872" xr:uid="{00000000-0005-0000-0000-000024850000}"/>
    <cellStyle name="Notas 8 2 5 5" xfId="23976" xr:uid="{00000000-0005-0000-0000-000025850000}"/>
    <cellStyle name="Notas 8 2 5 5 2" xfId="31873" xr:uid="{00000000-0005-0000-0000-000026850000}"/>
    <cellStyle name="Notas 8 2 5 6" xfId="23977" xr:uid="{00000000-0005-0000-0000-000027850000}"/>
    <cellStyle name="Notas 8 2 5 6 2" xfId="31874" xr:uid="{00000000-0005-0000-0000-000028850000}"/>
    <cellStyle name="Notas 8 2 5 7" xfId="31869" xr:uid="{00000000-0005-0000-0000-000029850000}"/>
    <cellStyle name="Notas 8 2 6" xfId="23978" xr:uid="{00000000-0005-0000-0000-00002A850000}"/>
    <cellStyle name="Notas 8 2 6 2" xfId="23979" xr:uid="{00000000-0005-0000-0000-00002B850000}"/>
    <cellStyle name="Notas 8 2 6 2 2" xfId="31876" xr:uid="{00000000-0005-0000-0000-00002C850000}"/>
    <cellStyle name="Notas 8 2 6 3" xfId="23980" xr:uid="{00000000-0005-0000-0000-00002D850000}"/>
    <cellStyle name="Notas 8 2 6 3 2" xfId="31877" xr:uid="{00000000-0005-0000-0000-00002E850000}"/>
    <cellStyle name="Notas 8 2 6 4" xfId="23981" xr:uid="{00000000-0005-0000-0000-00002F850000}"/>
    <cellStyle name="Notas 8 2 6 4 2" xfId="31878" xr:uid="{00000000-0005-0000-0000-000030850000}"/>
    <cellStyle name="Notas 8 2 6 5" xfId="23982" xr:uid="{00000000-0005-0000-0000-000031850000}"/>
    <cellStyle name="Notas 8 2 6 5 2" xfId="31879" xr:uid="{00000000-0005-0000-0000-000032850000}"/>
    <cellStyle name="Notas 8 2 6 6" xfId="23983" xr:uid="{00000000-0005-0000-0000-000033850000}"/>
    <cellStyle name="Notas 8 2 6 6 2" xfId="31880" xr:uid="{00000000-0005-0000-0000-000034850000}"/>
    <cellStyle name="Notas 8 2 6 7" xfId="31875" xr:uid="{00000000-0005-0000-0000-000035850000}"/>
    <cellStyle name="Notas 8 2 7" xfId="23984" xr:uid="{00000000-0005-0000-0000-000036850000}"/>
    <cellStyle name="Notas 8 2 7 2" xfId="23985" xr:uid="{00000000-0005-0000-0000-000037850000}"/>
    <cellStyle name="Notas 8 2 7 2 2" xfId="31882" xr:uid="{00000000-0005-0000-0000-000038850000}"/>
    <cellStyle name="Notas 8 2 7 3" xfId="23986" xr:uid="{00000000-0005-0000-0000-000039850000}"/>
    <cellStyle name="Notas 8 2 7 3 2" xfId="31883" xr:uid="{00000000-0005-0000-0000-00003A850000}"/>
    <cellStyle name="Notas 8 2 7 4" xfId="23987" xr:uid="{00000000-0005-0000-0000-00003B850000}"/>
    <cellStyle name="Notas 8 2 7 4 2" xfId="31884" xr:uid="{00000000-0005-0000-0000-00003C850000}"/>
    <cellStyle name="Notas 8 2 7 5" xfId="23988" xr:uid="{00000000-0005-0000-0000-00003D850000}"/>
    <cellStyle name="Notas 8 2 7 5 2" xfId="31885" xr:uid="{00000000-0005-0000-0000-00003E850000}"/>
    <cellStyle name="Notas 8 2 7 6" xfId="23989" xr:uid="{00000000-0005-0000-0000-00003F850000}"/>
    <cellStyle name="Notas 8 2 7 6 2" xfId="31886" xr:uid="{00000000-0005-0000-0000-000040850000}"/>
    <cellStyle name="Notas 8 2 7 7" xfId="31881" xr:uid="{00000000-0005-0000-0000-000041850000}"/>
    <cellStyle name="Notas 8 2 8" xfId="23990" xr:uid="{00000000-0005-0000-0000-000042850000}"/>
    <cellStyle name="Notas 8 2 8 2" xfId="23991" xr:uid="{00000000-0005-0000-0000-000043850000}"/>
    <cellStyle name="Notas 8 2 8 2 2" xfId="31888" xr:uid="{00000000-0005-0000-0000-000044850000}"/>
    <cellStyle name="Notas 8 2 8 3" xfId="23992" xr:uid="{00000000-0005-0000-0000-000045850000}"/>
    <cellStyle name="Notas 8 2 8 3 2" xfId="31889" xr:uid="{00000000-0005-0000-0000-000046850000}"/>
    <cellStyle name="Notas 8 2 8 4" xfId="23993" xr:uid="{00000000-0005-0000-0000-000047850000}"/>
    <cellStyle name="Notas 8 2 8 4 2" xfId="31890" xr:uid="{00000000-0005-0000-0000-000048850000}"/>
    <cellStyle name="Notas 8 2 8 5" xfId="23994" xr:uid="{00000000-0005-0000-0000-000049850000}"/>
    <cellStyle name="Notas 8 2 8 5 2" xfId="31891" xr:uid="{00000000-0005-0000-0000-00004A850000}"/>
    <cellStyle name="Notas 8 2 8 6" xfId="23995" xr:uid="{00000000-0005-0000-0000-00004B850000}"/>
    <cellStyle name="Notas 8 2 8 6 2" xfId="31892" xr:uid="{00000000-0005-0000-0000-00004C850000}"/>
    <cellStyle name="Notas 8 2 8 7" xfId="31887" xr:uid="{00000000-0005-0000-0000-00004D850000}"/>
    <cellStyle name="Notas 8 2 9" xfId="23996" xr:uid="{00000000-0005-0000-0000-00004E850000}"/>
    <cellStyle name="Notas 8 2 9 2" xfId="23997" xr:uid="{00000000-0005-0000-0000-00004F850000}"/>
    <cellStyle name="Notas 8 2 9 2 2" xfId="31894" xr:uid="{00000000-0005-0000-0000-000050850000}"/>
    <cellStyle name="Notas 8 2 9 3" xfId="23998" xr:uid="{00000000-0005-0000-0000-000051850000}"/>
    <cellStyle name="Notas 8 2 9 3 2" xfId="31895" xr:uid="{00000000-0005-0000-0000-000052850000}"/>
    <cellStyle name="Notas 8 2 9 4" xfId="23999" xr:uid="{00000000-0005-0000-0000-000053850000}"/>
    <cellStyle name="Notas 8 2 9 4 2" xfId="31896" xr:uid="{00000000-0005-0000-0000-000054850000}"/>
    <cellStyle name="Notas 8 2 9 5" xfId="24000" xr:uid="{00000000-0005-0000-0000-000055850000}"/>
    <cellStyle name="Notas 8 2 9 5 2" xfId="31897" xr:uid="{00000000-0005-0000-0000-000056850000}"/>
    <cellStyle name="Notas 8 2 9 6" xfId="24001" xr:uid="{00000000-0005-0000-0000-000057850000}"/>
    <cellStyle name="Notas 8 2 9 6 2" xfId="31898" xr:uid="{00000000-0005-0000-0000-000058850000}"/>
    <cellStyle name="Notas 8 2 9 7" xfId="31893" xr:uid="{00000000-0005-0000-0000-000059850000}"/>
    <cellStyle name="Notas 8 3" xfId="12102" xr:uid="{00000000-0005-0000-0000-00005A850000}"/>
    <cellStyle name="Notas 8 3 2" xfId="31899" xr:uid="{00000000-0005-0000-0000-00005B850000}"/>
    <cellStyle name="Notas 8 3 3" xfId="33372" xr:uid="{00000000-0005-0000-0000-00005C850000}"/>
    <cellStyle name="Notas 8 3 4" xfId="40153" xr:uid="{00000000-0005-0000-0000-00005D850000}"/>
    <cellStyle name="Notas 8 4" xfId="31846" xr:uid="{00000000-0005-0000-0000-00005E850000}"/>
    <cellStyle name="Notas 8 5" xfId="33370" xr:uid="{00000000-0005-0000-0000-00005F850000}"/>
    <cellStyle name="Notas 8 6" xfId="40150" xr:uid="{00000000-0005-0000-0000-000060850000}"/>
    <cellStyle name="Notas 9" xfId="11160" xr:uid="{00000000-0005-0000-0000-000061850000}"/>
    <cellStyle name="Notas 9 2" xfId="12103" xr:uid="{00000000-0005-0000-0000-000062850000}"/>
    <cellStyle name="Notas 9 2 10" xfId="24002" xr:uid="{00000000-0005-0000-0000-000063850000}"/>
    <cellStyle name="Notas 9 2 10 2" xfId="24003" xr:uid="{00000000-0005-0000-0000-000064850000}"/>
    <cellStyle name="Notas 9 2 10 2 2" xfId="31903" xr:uid="{00000000-0005-0000-0000-000065850000}"/>
    <cellStyle name="Notas 9 2 10 3" xfId="31902" xr:uid="{00000000-0005-0000-0000-000066850000}"/>
    <cellStyle name="Notas 9 2 11" xfId="24004" xr:uid="{00000000-0005-0000-0000-000067850000}"/>
    <cellStyle name="Notas 9 2 11 2" xfId="31904" xr:uid="{00000000-0005-0000-0000-000068850000}"/>
    <cellStyle name="Notas 9 2 12" xfId="31901" xr:uid="{00000000-0005-0000-0000-000069850000}"/>
    <cellStyle name="Notas 9 2 13" xfId="33374" xr:uid="{00000000-0005-0000-0000-00006A850000}"/>
    <cellStyle name="Notas 9 2 14" xfId="33928" xr:uid="{00000000-0005-0000-0000-00006B850000}"/>
    <cellStyle name="Notas 9 2 15" xfId="40155" xr:uid="{00000000-0005-0000-0000-00006C850000}"/>
    <cellStyle name="Notas 9 2 2" xfId="24005" xr:uid="{00000000-0005-0000-0000-00006D850000}"/>
    <cellStyle name="Notas 9 2 2 2" xfId="24006" xr:uid="{00000000-0005-0000-0000-00006E850000}"/>
    <cellStyle name="Notas 9 2 2 2 2" xfId="31906" xr:uid="{00000000-0005-0000-0000-00006F850000}"/>
    <cellStyle name="Notas 9 2 2 3" xfId="24007" xr:uid="{00000000-0005-0000-0000-000070850000}"/>
    <cellStyle name="Notas 9 2 2 3 2" xfId="31907" xr:uid="{00000000-0005-0000-0000-000071850000}"/>
    <cellStyle name="Notas 9 2 2 4" xfId="24008" xr:uid="{00000000-0005-0000-0000-000072850000}"/>
    <cellStyle name="Notas 9 2 2 4 2" xfId="31908" xr:uid="{00000000-0005-0000-0000-000073850000}"/>
    <cellStyle name="Notas 9 2 2 5" xfId="24009" xr:uid="{00000000-0005-0000-0000-000074850000}"/>
    <cellStyle name="Notas 9 2 2 5 2" xfId="31909" xr:uid="{00000000-0005-0000-0000-000075850000}"/>
    <cellStyle name="Notas 9 2 2 6" xfId="24010" xr:uid="{00000000-0005-0000-0000-000076850000}"/>
    <cellStyle name="Notas 9 2 2 6 2" xfId="31910" xr:uid="{00000000-0005-0000-0000-000077850000}"/>
    <cellStyle name="Notas 9 2 2 7" xfId="31905" xr:uid="{00000000-0005-0000-0000-000078850000}"/>
    <cellStyle name="Notas 9 2 2 8" xfId="40156" xr:uid="{00000000-0005-0000-0000-000079850000}"/>
    <cellStyle name="Notas 9 2 3" xfId="24011" xr:uid="{00000000-0005-0000-0000-00007A850000}"/>
    <cellStyle name="Notas 9 2 3 2" xfId="24012" xr:uid="{00000000-0005-0000-0000-00007B850000}"/>
    <cellStyle name="Notas 9 2 3 2 2" xfId="31912" xr:uid="{00000000-0005-0000-0000-00007C850000}"/>
    <cellStyle name="Notas 9 2 3 3" xfId="24013" xr:uid="{00000000-0005-0000-0000-00007D850000}"/>
    <cellStyle name="Notas 9 2 3 3 2" xfId="31913" xr:uid="{00000000-0005-0000-0000-00007E850000}"/>
    <cellStyle name="Notas 9 2 3 4" xfId="24014" xr:uid="{00000000-0005-0000-0000-00007F850000}"/>
    <cellStyle name="Notas 9 2 3 4 2" xfId="31914" xr:uid="{00000000-0005-0000-0000-000080850000}"/>
    <cellStyle name="Notas 9 2 3 5" xfId="24015" xr:uid="{00000000-0005-0000-0000-000081850000}"/>
    <cellStyle name="Notas 9 2 3 5 2" xfId="31915" xr:uid="{00000000-0005-0000-0000-000082850000}"/>
    <cellStyle name="Notas 9 2 3 6" xfId="24016" xr:uid="{00000000-0005-0000-0000-000083850000}"/>
    <cellStyle name="Notas 9 2 3 6 2" xfId="31916" xr:uid="{00000000-0005-0000-0000-000084850000}"/>
    <cellStyle name="Notas 9 2 3 7" xfId="31911" xr:uid="{00000000-0005-0000-0000-000085850000}"/>
    <cellStyle name="Notas 9 2 4" xfId="24017" xr:uid="{00000000-0005-0000-0000-000086850000}"/>
    <cellStyle name="Notas 9 2 4 2" xfId="24018" xr:uid="{00000000-0005-0000-0000-000087850000}"/>
    <cellStyle name="Notas 9 2 4 2 2" xfId="31918" xr:uid="{00000000-0005-0000-0000-000088850000}"/>
    <cellStyle name="Notas 9 2 4 3" xfId="24019" xr:uid="{00000000-0005-0000-0000-000089850000}"/>
    <cellStyle name="Notas 9 2 4 3 2" xfId="31919" xr:uid="{00000000-0005-0000-0000-00008A850000}"/>
    <cellStyle name="Notas 9 2 4 4" xfId="24020" xr:uid="{00000000-0005-0000-0000-00008B850000}"/>
    <cellStyle name="Notas 9 2 4 4 2" xfId="31920" xr:uid="{00000000-0005-0000-0000-00008C850000}"/>
    <cellStyle name="Notas 9 2 4 5" xfId="24021" xr:uid="{00000000-0005-0000-0000-00008D850000}"/>
    <cellStyle name="Notas 9 2 4 5 2" xfId="31921" xr:uid="{00000000-0005-0000-0000-00008E850000}"/>
    <cellStyle name="Notas 9 2 4 6" xfId="24022" xr:uid="{00000000-0005-0000-0000-00008F850000}"/>
    <cellStyle name="Notas 9 2 4 6 2" xfId="31922" xr:uid="{00000000-0005-0000-0000-000090850000}"/>
    <cellStyle name="Notas 9 2 4 7" xfId="31917" xr:uid="{00000000-0005-0000-0000-000091850000}"/>
    <cellStyle name="Notas 9 2 5" xfId="24023" xr:uid="{00000000-0005-0000-0000-000092850000}"/>
    <cellStyle name="Notas 9 2 5 2" xfId="24024" xr:uid="{00000000-0005-0000-0000-000093850000}"/>
    <cellStyle name="Notas 9 2 5 2 2" xfId="31924" xr:uid="{00000000-0005-0000-0000-000094850000}"/>
    <cellStyle name="Notas 9 2 5 3" xfId="24025" xr:uid="{00000000-0005-0000-0000-000095850000}"/>
    <cellStyle name="Notas 9 2 5 3 2" xfId="31925" xr:uid="{00000000-0005-0000-0000-000096850000}"/>
    <cellStyle name="Notas 9 2 5 4" xfId="24026" xr:uid="{00000000-0005-0000-0000-000097850000}"/>
    <cellStyle name="Notas 9 2 5 4 2" xfId="31926" xr:uid="{00000000-0005-0000-0000-000098850000}"/>
    <cellStyle name="Notas 9 2 5 5" xfId="24027" xr:uid="{00000000-0005-0000-0000-000099850000}"/>
    <cellStyle name="Notas 9 2 5 5 2" xfId="31927" xr:uid="{00000000-0005-0000-0000-00009A850000}"/>
    <cellStyle name="Notas 9 2 5 6" xfId="24028" xr:uid="{00000000-0005-0000-0000-00009B850000}"/>
    <cellStyle name="Notas 9 2 5 6 2" xfId="31928" xr:uid="{00000000-0005-0000-0000-00009C850000}"/>
    <cellStyle name="Notas 9 2 5 7" xfId="31923" xr:uid="{00000000-0005-0000-0000-00009D850000}"/>
    <cellStyle name="Notas 9 2 6" xfId="24029" xr:uid="{00000000-0005-0000-0000-00009E850000}"/>
    <cellStyle name="Notas 9 2 6 2" xfId="24030" xr:uid="{00000000-0005-0000-0000-00009F850000}"/>
    <cellStyle name="Notas 9 2 6 2 2" xfId="31930" xr:uid="{00000000-0005-0000-0000-0000A0850000}"/>
    <cellStyle name="Notas 9 2 6 3" xfId="24031" xr:uid="{00000000-0005-0000-0000-0000A1850000}"/>
    <cellStyle name="Notas 9 2 6 3 2" xfId="31931" xr:uid="{00000000-0005-0000-0000-0000A2850000}"/>
    <cellStyle name="Notas 9 2 6 4" xfId="24032" xr:uid="{00000000-0005-0000-0000-0000A3850000}"/>
    <cellStyle name="Notas 9 2 6 4 2" xfId="31932" xr:uid="{00000000-0005-0000-0000-0000A4850000}"/>
    <cellStyle name="Notas 9 2 6 5" xfId="24033" xr:uid="{00000000-0005-0000-0000-0000A5850000}"/>
    <cellStyle name="Notas 9 2 6 5 2" xfId="31933" xr:uid="{00000000-0005-0000-0000-0000A6850000}"/>
    <cellStyle name="Notas 9 2 6 6" xfId="24034" xr:uid="{00000000-0005-0000-0000-0000A7850000}"/>
    <cellStyle name="Notas 9 2 6 6 2" xfId="31934" xr:uid="{00000000-0005-0000-0000-0000A8850000}"/>
    <cellStyle name="Notas 9 2 6 7" xfId="31929" xr:uid="{00000000-0005-0000-0000-0000A9850000}"/>
    <cellStyle name="Notas 9 2 7" xfId="24035" xr:uid="{00000000-0005-0000-0000-0000AA850000}"/>
    <cellStyle name="Notas 9 2 7 2" xfId="24036" xr:uid="{00000000-0005-0000-0000-0000AB850000}"/>
    <cellStyle name="Notas 9 2 7 2 2" xfId="31936" xr:uid="{00000000-0005-0000-0000-0000AC850000}"/>
    <cellStyle name="Notas 9 2 7 3" xfId="24037" xr:uid="{00000000-0005-0000-0000-0000AD850000}"/>
    <cellStyle name="Notas 9 2 7 3 2" xfId="31937" xr:uid="{00000000-0005-0000-0000-0000AE850000}"/>
    <cellStyle name="Notas 9 2 7 4" xfId="24038" xr:uid="{00000000-0005-0000-0000-0000AF850000}"/>
    <cellStyle name="Notas 9 2 7 4 2" xfId="31938" xr:uid="{00000000-0005-0000-0000-0000B0850000}"/>
    <cellStyle name="Notas 9 2 7 5" xfId="24039" xr:uid="{00000000-0005-0000-0000-0000B1850000}"/>
    <cellStyle name="Notas 9 2 7 5 2" xfId="31939" xr:uid="{00000000-0005-0000-0000-0000B2850000}"/>
    <cellStyle name="Notas 9 2 7 6" xfId="24040" xr:uid="{00000000-0005-0000-0000-0000B3850000}"/>
    <cellStyle name="Notas 9 2 7 6 2" xfId="31940" xr:uid="{00000000-0005-0000-0000-0000B4850000}"/>
    <cellStyle name="Notas 9 2 7 7" xfId="31935" xr:uid="{00000000-0005-0000-0000-0000B5850000}"/>
    <cellStyle name="Notas 9 2 8" xfId="24041" xr:uid="{00000000-0005-0000-0000-0000B6850000}"/>
    <cellStyle name="Notas 9 2 8 2" xfId="24042" xr:uid="{00000000-0005-0000-0000-0000B7850000}"/>
    <cellStyle name="Notas 9 2 8 2 2" xfId="31942" xr:uid="{00000000-0005-0000-0000-0000B8850000}"/>
    <cellStyle name="Notas 9 2 8 3" xfId="24043" xr:uid="{00000000-0005-0000-0000-0000B9850000}"/>
    <cellStyle name="Notas 9 2 8 3 2" xfId="31943" xr:uid="{00000000-0005-0000-0000-0000BA850000}"/>
    <cellStyle name="Notas 9 2 8 4" xfId="24044" xr:uid="{00000000-0005-0000-0000-0000BB850000}"/>
    <cellStyle name="Notas 9 2 8 4 2" xfId="31944" xr:uid="{00000000-0005-0000-0000-0000BC850000}"/>
    <cellStyle name="Notas 9 2 8 5" xfId="24045" xr:uid="{00000000-0005-0000-0000-0000BD850000}"/>
    <cellStyle name="Notas 9 2 8 5 2" xfId="31945" xr:uid="{00000000-0005-0000-0000-0000BE850000}"/>
    <cellStyle name="Notas 9 2 8 6" xfId="24046" xr:uid="{00000000-0005-0000-0000-0000BF850000}"/>
    <cellStyle name="Notas 9 2 8 6 2" xfId="31946" xr:uid="{00000000-0005-0000-0000-0000C0850000}"/>
    <cellStyle name="Notas 9 2 8 7" xfId="31941" xr:uid="{00000000-0005-0000-0000-0000C1850000}"/>
    <cellStyle name="Notas 9 2 9" xfId="24047" xr:uid="{00000000-0005-0000-0000-0000C2850000}"/>
    <cellStyle name="Notas 9 2 9 2" xfId="24048" xr:uid="{00000000-0005-0000-0000-0000C3850000}"/>
    <cellStyle name="Notas 9 2 9 2 2" xfId="31948" xr:uid="{00000000-0005-0000-0000-0000C4850000}"/>
    <cellStyle name="Notas 9 2 9 3" xfId="24049" xr:uid="{00000000-0005-0000-0000-0000C5850000}"/>
    <cellStyle name="Notas 9 2 9 3 2" xfId="31949" xr:uid="{00000000-0005-0000-0000-0000C6850000}"/>
    <cellStyle name="Notas 9 2 9 4" xfId="24050" xr:uid="{00000000-0005-0000-0000-0000C7850000}"/>
    <cellStyle name="Notas 9 2 9 4 2" xfId="31950" xr:uid="{00000000-0005-0000-0000-0000C8850000}"/>
    <cellStyle name="Notas 9 2 9 5" xfId="24051" xr:uid="{00000000-0005-0000-0000-0000C9850000}"/>
    <cellStyle name="Notas 9 2 9 5 2" xfId="31951" xr:uid="{00000000-0005-0000-0000-0000CA850000}"/>
    <cellStyle name="Notas 9 2 9 6" xfId="24052" xr:uid="{00000000-0005-0000-0000-0000CB850000}"/>
    <cellStyle name="Notas 9 2 9 6 2" xfId="31952" xr:uid="{00000000-0005-0000-0000-0000CC850000}"/>
    <cellStyle name="Notas 9 2 9 7" xfId="31947" xr:uid="{00000000-0005-0000-0000-0000CD850000}"/>
    <cellStyle name="Notas 9 3" xfId="12104" xr:uid="{00000000-0005-0000-0000-0000CE850000}"/>
    <cellStyle name="Notas 9 3 2" xfId="31953" xr:uid="{00000000-0005-0000-0000-0000CF850000}"/>
    <cellStyle name="Notas 9 3 3" xfId="33375" xr:uid="{00000000-0005-0000-0000-0000D0850000}"/>
    <cellStyle name="Notas 9 3 4" xfId="40157" xr:uid="{00000000-0005-0000-0000-0000D1850000}"/>
    <cellStyle name="Notas 9 4" xfId="31900" xr:uid="{00000000-0005-0000-0000-0000D2850000}"/>
    <cellStyle name="Notas 9 5" xfId="33373" xr:uid="{00000000-0005-0000-0000-0000D3850000}"/>
    <cellStyle name="Notas 9 6" xfId="40154" xr:uid="{00000000-0005-0000-0000-0000D4850000}"/>
    <cellStyle name="Note" xfId="24053" xr:uid="{00000000-0005-0000-0000-0000D5850000}"/>
    <cellStyle name="Note 2" xfId="33929" xr:uid="{00000000-0005-0000-0000-0000D6850000}"/>
    <cellStyle name="Note 2 2" xfId="33930" xr:uid="{00000000-0005-0000-0000-0000D7850000}"/>
    <cellStyle name="Note 2 3" xfId="40159" xr:uid="{00000000-0005-0000-0000-0000D8850000}"/>
    <cellStyle name="Note 3" xfId="33931" xr:uid="{00000000-0005-0000-0000-0000D9850000}"/>
    <cellStyle name="Note 4" xfId="40158" xr:uid="{00000000-0005-0000-0000-0000DA850000}"/>
    <cellStyle name="Number()" xfId="24054" xr:uid="{00000000-0005-0000-0000-0000DB850000}"/>
    <cellStyle name="Œ…‹æØ‚è [0.00]_Sheet1" xfId="24055" xr:uid="{00000000-0005-0000-0000-0000DC850000}"/>
    <cellStyle name="Œ…‹æØ‚è_Sheet1" xfId="24056" xr:uid="{00000000-0005-0000-0000-0000DD850000}"/>
    <cellStyle name="Output" xfId="24057" xr:uid="{00000000-0005-0000-0000-0000DE850000}"/>
    <cellStyle name="per.style" xfId="24058" xr:uid="{00000000-0005-0000-0000-0000DF850000}"/>
    <cellStyle name="Percent [2]" xfId="24059" xr:uid="{00000000-0005-0000-0000-0000E0850000}"/>
    <cellStyle name="Percent [2] 10" xfId="40160" xr:uid="{00000000-0005-0000-0000-0000E1850000}"/>
    <cellStyle name="Percent [2] 2" xfId="24060" xr:uid="{00000000-0005-0000-0000-0000E2850000}"/>
    <cellStyle name="Percent [2] 2 2" xfId="40161" xr:uid="{00000000-0005-0000-0000-0000E3850000}"/>
    <cellStyle name="Percent [2] 3" xfId="24061" xr:uid="{00000000-0005-0000-0000-0000E4850000}"/>
    <cellStyle name="Percent [2] 3 2" xfId="40162" xr:uid="{00000000-0005-0000-0000-0000E5850000}"/>
    <cellStyle name="Percent [2] 4" xfId="24062" xr:uid="{00000000-0005-0000-0000-0000E6850000}"/>
    <cellStyle name="Percent [2] 4 2" xfId="40163" xr:uid="{00000000-0005-0000-0000-0000E7850000}"/>
    <cellStyle name="Percent [2] 5" xfId="24063" xr:uid="{00000000-0005-0000-0000-0000E8850000}"/>
    <cellStyle name="Percent [2] 5 2" xfId="40164" xr:uid="{00000000-0005-0000-0000-0000E9850000}"/>
    <cellStyle name="Percent [2] 6" xfId="24064" xr:uid="{00000000-0005-0000-0000-0000EA850000}"/>
    <cellStyle name="Percent [2] 6 2" xfId="40165" xr:uid="{00000000-0005-0000-0000-0000EB850000}"/>
    <cellStyle name="Percent [2] 7" xfId="24065" xr:uid="{00000000-0005-0000-0000-0000EC850000}"/>
    <cellStyle name="Percent [2] 7 2" xfId="40166" xr:uid="{00000000-0005-0000-0000-0000ED850000}"/>
    <cellStyle name="Percent [2] 8" xfId="24066" xr:uid="{00000000-0005-0000-0000-0000EE850000}"/>
    <cellStyle name="Percent [2] 8 2" xfId="40167" xr:uid="{00000000-0005-0000-0000-0000EF850000}"/>
    <cellStyle name="Percent [2] 9" xfId="24067" xr:uid="{00000000-0005-0000-0000-0000F0850000}"/>
    <cellStyle name="Percent [2] 9 2" xfId="40168" xr:uid="{00000000-0005-0000-0000-0000F1850000}"/>
    <cellStyle name="Percent 2" xfId="19" xr:uid="{00000000-0005-0000-0000-0000F2850000}"/>
    <cellStyle name="Percent 2 2" xfId="24068" xr:uid="{00000000-0005-0000-0000-0000F3850000}"/>
    <cellStyle name="Percent 2 2 2" xfId="40169" xr:uid="{00000000-0005-0000-0000-0000F4850000}"/>
    <cellStyle name="Percent 2 3" xfId="24069" xr:uid="{00000000-0005-0000-0000-0000F5850000}"/>
    <cellStyle name="Percent 3" xfId="24" xr:uid="{00000000-0005-0000-0000-0000F6850000}"/>
    <cellStyle name="Percent 3 2" xfId="40170" xr:uid="{00000000-0005-0000-0000-0000F7850000}"/>
    <cellStyle name="Percent 4" xfId="40171" xr:uid="{00000000-0005-0000-0000-0000F8850000}"/>
    <cellStyle name="Percent 4 2" xfId="40172" xr:uid="{00000000-0005-0000-0000-0000F9850000}"/>
    <cellStyle name="Percent 4 2 2" xfId="40173" xr:uid="{00000000-0005-0000-0000-0000FA850000}"/>
    <cellStyle name="Percent 4 3" xfId="40174" xr:uid="{00000000-0005-0000-0000-0000FB850000}"/>
    <cellStyle name="Percent 5" xfId="40175" xr:uid="{00000000-0005-0000-0000-0000FC850000}"/>
    <cellStyle name="Popis" xfId="24070" xr:uid="{00000000-0005-0000-0000-0000FD850000}"/>
    <cellStyle name="Porcent" xfId="25832" xr:uid="{00000000-0005-0000-0000-0000FE850000}"/>
    <cellStyle name="Porcentaje" xfId="26" builtinId="5"/>
    <cellStyle name="Porcentaje 10" xfId="24071" xr:uid="{00000000-0005-0000-0000-000000860000}"/>
    <cellStyle name="Porcentaje 10 2" xfId="24072" xr:uid="{00000000-0005-0000-0000-000001860000}"/>
    <cellStyle name="Porcentaje 10 2 2" xfId="24073" xr:uid="{00000000-0005-0000-0000-000002860000}"/>
    <cellStyle name="Porcentaje 10 2 3" xfId="24074" xr:uid="{00000000-0005-0000-0000-000003860000}"/>
    <cellStyle name="Porcentaje 10 2 4" xfId="24075" xr:uid="{00000000-0005-0000-0000-000004860000}"/>
    <cellStyle name="Porcentaje 10 2 5" xfId="24076" xr:uid="{00000000-0005-0000-0000-000005860000}"/>
    <cellStyle name="Porcentaje 10 2 6" xfId="24077" xr:uid="{00000000-0005-0000-0000-000006860000}"/>
    <cellStyle name="Porcentaje 10 2 7" xfId="24078" xr:uid="{00000000-0005-0000-0000-000007860000}"/>
    <cellStyle name="Porcentaje 10 3" xfId="24079" xr:uid="{00000000-0005-0000-0000-000008860000}"/>
    <cellStyle name="Porcentaje 10 4" xfId="24080" xr:uid="{00000000-0005-0000-0000-000009860000}"/>
    <cellStyle name="Porcentaje 10 5" xfId="24081" xr:uid="{00000000-0005-0000-0000-00000A860000}"/>
    <cellStyle name="Porcentaje 10 6" xfId="24082" xr:uid="{00000000-0005-0000-0000-00000B860000}"/>
    <cellStyle name="Porcentaje 10 7" xfId="24083" xr:uid="{00000000-0005-0000-0000-00000C860000}"/>
    <cellStyle name="Porcentaje 10 8" xfId="24084" xr:uid="{00000000-0005-0000-0000-00000D860000}"/>
    <cellStyle name="Porcentaje 11" xfId="24085" xr:uid="{00000000-0005-0000-0000-00000E860000}"/>
    <cellStyle name="Porcentaje 11 2" xfId="24086" xr:uid="{00000000-0005-0000-0000-00000F860000}"/>
    <cellStyle name="Porcentaje 11 2 2" xfId="24087" xr:uid="{00000000-0005-0000-0000-000010860000}"/>
    <cellStyle name="Porcentaje 11 2 3" xfId="24088" xr:uid="{00000000-0005-0000-0000-000011860000}"/>
    <cellStyle name="Porcentaje 11 2 4" xfId="24089" xr:uid="{00000000-0005-0000-0000-000012860000}"/>
    <cellStyle name="Porcentaje 11 2 5" xfId="24090" xr:uid="{00000000-0005-0000-0000-000013860000}"/>
    <cellStyle name="Porcentaje 11 2 6" xfId="24091" xr:uid="{00000000-0005-0000-0000-000014860000}"/>
    <cellStyle name="Porcentaje 11 2 7" xfId="24092" xr:uid="{00000000-0005-0000-0000-000015860000}"/>
    <cellStyle name="Porcentaje 11 3" xfId="24093" xr:uid="{00000000-0005-0000-0000-000016860000}"/>
    <cellStyle name="Porcentaje 11 4" xfId="24094" xr:uid="{00000000-0005-0000-0000-000017860000}"/>
    <cellStyle name="Porcentaje 11 5" xfId="24095" xr:uid="{00000000-0005-0000-0000-000018860000}"/>
    <cellStyle name="Porcentaje 11 6" xfId="24096" xr:uid="{00000000-0005-0000-0000-000019860000}"/>
    <cellStyle name="Porcentaje 11 7" xfId="24097" xr:uid="{00000000-0005-0000-0000-00001A860000}"/>
    <cellStyle name="Porcentaje 11 8" xfId="24098" xr:uid="{00000000-0005-0000-0000-00001B860000}"/>
    <cellStyle name="Porcentaje 12" xfId="24099" xr:uid="{00000000-0005-0000-0000-00001C860000}"/>
    <cellStyle name="Porcentaje 12 2" xfId="24100" xr:uid="{00000000-0005-0000-0000-00001D860000}"/>
    <cellStyle name="Porcentaje 12 2 2" xfId="24101" xr:uid="{00000000-0005-0000-0000-00001E860000}"/>
    <cellStyle name="Porcentaje 12 2 3" xfId="24102" xr:uid="{00000000-0005-0000-0000-00001F860000}"/>
    <cellStyle name="Porcentaje 12 2 4" xfId="24103" xr:uid="{00000000-0005-0000-0000-000020860000}"/>
    <cellStyle name="Porcentaje 12 2 5" xfId="24104" xr:uid="{00000000-0005-0000-0000-000021860000}"/>
    <cellStyle name="Porcentaje 12 2 6" xfId="24105" xr:uid="{00000000-0005-0000-0000-000022860000}"/>
    <cellStyle name="Porcentaje 12 2 7" xfId="24106" xr:uid="{00000000-0005-0000-0000-000023860000}"/>
    <cellStyle name="Porcentaje 12 3" xfId="24107" xr:uid="{00000000-0005-0000-0000-000024860000}"/>
    <cellStyle name="Porcentaje 12 4" xfId="24108" xr:uid="{00000000-0005-0000-0000-000025860000}"/>
    <cellStyle name="Porcentaje 12 5" xfId="24109" xr:uid="{00000000-0005-0000-0000-000026860000}"/>
    <cellStyle name="Porcentaje 12 6" xfId="24110" xr:uid="{00000000-0005-0000-0000-000027860000}"/>
    <cellStyle name="Porcentaje 12 7" xfId="24111" xr:uid="{00000000-0005-0000-0000-000028860000}"/>
    <cellStyle name="Porcentaje 12 8" xfId="24112" xr:uid="{00000000-0005-0000-0000-000029860000}"/>
    <cellStyle name="Porcentaje 13" xfId="24113" xr:uid="{00000000-0005-0000-0000-00002A860000}"/>
    <cellStyle name="Porcentaje 13 2" xfId="24114" xr:uid="{00000000-0005-0000-0000-00002B860000}"/>
    <cellStyle name="Porcentaje 13 2 2" xfId="24115" xr:uid="{00000000-0005-0000-0000-00002C860000}"/>
    <cellStyle name="Porcentaje 13 2 3" xfId="24116" xr:uid="{00000000-0005-0000-0000-00002D860000}"/>
    <cellStyle name="Porcentaje 13 2 4" xfId="24117" xr:uid="{00000000-0005-0000-0000-00002E860000}"/>
    <cellStyle name="Porcentaje 13 2 5" xfId="24118" xr:uid="{00000000-0005-0000-0000-00002F860000}"/>
    <cellStyle name="Porcentaje 13 2 6" xfId="24119" xr:uid="{00000000-0005-0000-0000-000030860000}"/>
    <cellStyle name="Porcentaje 13 2 7" xfId="24120" xr:uid="{00000000-0005-0000-0000-000031860000}"/>
    <cellStyle name="Porcentaje 13 3" xfId="24121" xr:uid="{00000000-0005-0000-0000-000032860000}"/>
    <cellStyle name="Porcentaje 13 4" xfId="24122" xr:uid="{00000000-0005-0000-0000-000033860000}"/>
    <cellStyle name="Porcentaje 13 5" xfId="24123" xr:uid="{00000000-0005-0000-0000-000034860000}"/>
    <cellStyle name="Porcentaje 13 6" xfId="24124" xr:uid="{00000000-0005-0000-0000-000035860000}"/>
    <cellStyle name="Porcentaje 13 7" xfId="24125" xr:uid="{00000000-0005-0000-0000-000036860000}"/>
    <cellStyle name="Porcentaje 13 8" xfId="24126" xr:uid="{00000000-0005-0000-0000-000037860000}"/>
    <cellStyle name="Porcentaje 14" xfId="24127" xr:uid="{00000000-0005-0000-0000-000038860000}"/>
    <cellStyle name="Porcentaje 14 2" xfId="24128" xr:uid="{00000000-0005-0000-0000-000039860000}"/>
    <cellStyle name="Porcentaje 14 2 2" xfId="24129" xr:uid="{00000000-0005-0000-0000-00003A860000}"/>
    <cellStyle name="Porcentaje 14 2 3" xfId="24130" xr:uid="{00000000-0005-0000-0000-00003B860000}"/>
    <cellStyle name="Porcentaje 14 2 4" xfId="24131" xr:uid="{00000000-0005-0000-0000-00003C860000}"/>
    <cellStyle name="Porcentaje 14 2 5" xfId="24132" xr:uid="{00000000-0005-0000-0000-00003D860000}"/>
    <cellStyle name="Porcentaje 14 2 6" xfId="24133" xr:uid="{00000000-0005-0000-0000-00003E860000}"/>
    <cellStyle name="Porcentaje 14 2 7" xfId="24134" xr:uid="{00000000-0005-0000-0000-00003F860000}"/>
    <cellStyle name="Porcentaje 14 3" xfId="24135" xr:uid="{00000000-0005-0000-0000-000040860000}"/>
    <cellStyle name="Porcentaje 14 4" xfId="24136" xr:uid="{00000000-0005-0000-0000-000041860000}"/>
    <cellStyle name="Porcentaje 14 5" xfId="24137" xr:uid="{00000000-0005-0000-0000-000042860000}"/>
    <cellStyle name="Porcentaje 14 6" xfId="24138" xr:uid="{00000000-0005-0000-0000-000043860000}"/>
    <cellStyle name="Porcentaje 14 7" xfId="24139" xr:uid="{00000000-0005-0000-0000-000044860000}"/>
    <cellStyle name="Porcentaje 14 8" xfId="24140" xr:uid="{00000000-0005-0000-0000-000045860000}"/>
    <cellStyle name="Porcentaje 15" xfId="24141" xr:uid="{00000000-0005-0000-0000-000046860000}"/>
    <cellStyle name="Porcentaje 15 2" xfId="24142" xr:uid="{00000000-0005-0000-0000-000047860000}"/>
    <cellStyle name="Porcentaje 15 2 2" xfId="24143" xr:uid="{00000000-0005-0000-0000-000048860000}"/>
    <cellStyle name="Porcentaje 15 2 3" xfId="24144" xr:uid="{00000000-0005-0000-0000-000049860000}"/>
    <cellStyle name="Porcentaje 15 2 4" xfId="24145" xr:uid="{00000000-0005-0000-0000-00004A860000}"/>
    <cellStyle name="Porcentaje 15 2 5" xfId="24146" xr:uid="{00000000-0005-0000-0000-00004B860000}"/>
    <cellStyle name="Porcentaje 15 2 6" xfId="24147" xr:uid="{00000000-0005-0000-0000-00004C860000}"/>
    <cellStyle name="Porcentaje 15 2 7" xfId="24148" xr:uid="{00000000-0005-0000-0000-00004D860000}"/>
    <cellStyle name="Porcentaje 15 3" xfId="24149" xr:uid="{00000000-0005-0000-0000-00004E860000}"/>
    <cellStyle name="Porcentaje 15 4" xfId="24150" xr:uid="{00000000-0005-0000-0000-00004F860000}"/>
    <cellStyle name="Porcentaje 15 5" xfId="24151" xr:uid="{00000000-0005-0000-0000-000050860000}"/>
    <cellStyle name="Porcentaje 15 6" xfId="24152" xr:uid="{00000000-0005-0000-0000-000051860000}"/>
    <cellStyle name="Porcentaje 15 7" xfId="24153" xr:uid="{00000000-0005-0000-0000-000052860000}"/>
    <cellStyle name="Porcentaje 15 8" xfId="24154" xr:uid="{00000000-0005-0000-0000-000053860000}"/>
    <cellStyle name="Porcentaje 16" xfId="24155" xr:uid="{00000000-0005-0000-0000-000054860000}"/>
    <cellStyle name="Porcentaje 16 2" xfId="24156" xr:uid="{00000000-0005-0000-0000-000055860000}"/>
    <cellStyle name="Porcentaje 16 2 2" xfId="24157" xr:uid="{00000000-0005-0000-0000-000056860000}"/>
    <cellStyle name="Porcentaje 16 2 3" xfId="24158" xr:uid="{00000000-0005-0000-0000-000057860000}"/>
    <cellStyle name="Porcentaje 16 2 4" xfId="24159" xr:uid="{00000000-0005-0000-0000-000058860000}"/>
    <cellStyle name="Porcentaje 16 2 5" xfId="24160" xr:uid="{00000000-0005-0000-0000-000059860000}"/>
    <cellStyle name="Porcentaje 16 2 6" xfId="24161" xr:uid="{00000000-0005-0000-0000-00005A860000}"/>
    <cellStyle name="Porcentaje 16 2 7" xfId="24162" xr:uid="{00000000-0005-0000-0000-00005B860000}"/>
    <cellStyle name="Porcentaje 16 3" xfId="24163" xr:uid="{00000000-0005-0000-0000-00005C860000}"/>
    <cellStyle name="Porcentaje 16 4" xfId="24164" xr:uid="{00000000-0005-0000-0000-00005D860000}"/>
    <cellStyle name="Porcentaje 16 5" xfId="24165" xr:uid="{00000000-0005-0000-0000-00005E860000}"/>
    <cellStyle name="Porcentaje 16 6" xfId="24166" xr:uid="{00000000-0005-0000-0000-00005F860000}"/>
    <cellStyle name="Porcentaje 16 7" xfId="24167" xr:uid="{00000000-0005-0000-0000-000060860000}"/>
    <cellStyle name="Porcentaje 16 8" xfId="24168" xr:uid="{00000000-0005-0000-0000-000061860000}"/>
    <cellStyle name="Porcentaje 17" xfId="24169" xr:uid="{00000000-0005-0000-0000-000062860000}"/>
    <cellStyle name="Porcentaje 17 2" xfId="24170" xr:uid="{00000000-0005-0000-0000-000063860000}"/>
    <cellStyle name="Porcentaje 17 2 2" xfId="24171" xr:uid="{00000000-0005-0000-0000-000064860000}"/>
    <cellStyle name="Porcentaje 17 2 3" xfId="24172" xr:uid="{00000000-0005-0000-0000-000065860000}"/>
    <cellStyle name="Porcentaje 17 2 4" xfId="24173" xr:uid="{00000000-0005-0000-0000-000066860000}"/>
    <cellStyle name="Porcentaje 17 2 5" xfId="24174" xr:uid="{00000000-0005-0000-0000-000067860000}"/>
    <cellStyle name="Porcentaje 17 2 6" xfId="24175" xr:uid="{00000000-0005-0000-0000-000068860000}"/>
    <cellStyle name="Porcentaje 17 2 7" xfId="24176" xr:uid="{00000000-0005-0000-0000-000069860000}"/>
    <cellStyle name="Porcentaje 17 3" xfId="24177" xr:uid="{00000000-0005-0000-0000-00006A860000}"/>
    <cellStyle name="Porcentaje 17 4" xfId="24178" xr:uid="{00000000-0005-0000-0000-00006B860000}"/>
    <cellStyle name="Porcentaje 17 5" xfId="24179" xr:uid="{00000000-0005-0000-0000-00006C860000}"/>
    <cellStyle name="Porcentaje 17 6" xfId="24180" xr:uid="{00000000-0005-0000-0000-00006D860000}"/>
    <cellStyle name="Porcentaje 17 7" xfId="24181" xr:uid="{00000000-0005-0000-0000-00006E860000}"/>
    <cellStyle name="Porcentaje 17 8" xfId="24182" xr:uid="{00000000-0005-0000-0000-00006F860000}"/>
    <cellStyle name="Porcentaje 18" xfId="24183" xr:uid="{00000000-0005-0000-0000-000070860000}"/>
    <cellStyle name="Porcentaje 18 2" xfId="24184" xr:uid="{00000000-0005-0000-0000-000071860000}"/>
    <cellStyle name="Porcentaje 18 3" xfId="24185" xr:uid="{00000000-0005-0000-0000-000072860000}"/>
    <cellStyle name="Porcentaje 18 4" xfId="24186" xr:uid="{00000000-0005-0000-0000-000073860000}"/>
    <cellStyle name="Porcentaje 18 5" xfId="24187" xr:uid="{00000000-0005-0000-0000-000074860000}"/>
    <cellStyle name="Porcentaje 18 6" xfId="24188" xr:uid="{00000000-0005-0000-0000-000075860000}"/>
    <cellStyle name="Porcentaje 18 7" xfId="24189" xr:uid="{00000000-0005-0000-0000-000076860000}"/>
    <cellStyle name="Porcentaje 19" xfId="24190" xr:uid="{00000000-0005-0000-0000-000077860000}"/>
    <cellStyle name="Porcentaje 19 2" xfId="24191" xr:uid="{00000000-0005-0000-0000-000078860000}"/>
    <cellStyle name="Porcentaje 19 3" xfId="24192" xr:uid="{00000000-0005-0000-0000-000079860000}"/>
    <cellStyle name="Porcentaje 19 4" xfId="24193" xr:uid="{00000000-0005-0000-0000-00007A860000}"/>
    <cellStyle name="Porcentaje 19 5" xfId="24194" xr:uid="{00000000-0005-0000-0000-00007B860000}"/>
    <cellStyle name="Porcentaje 19 6" xfId="24195" xr:uid="{00000000-0005-0000-0000-00007C860000}"/>
    <cellStyle name="Porcentaje 19 7" xfId="24196" xr:uid="{00000000-0005-0000-0000-00007D860000}"/>
    <cellStyle name="Porcentaje 2" xfId="11161" xr:uid="{00000000-0005-0000-0000-00007E860000}"/>
    <cellStyle name="Porcentaje 2 2" xfId="11162" xr:uid="{00000000-0005-0000-0000-00007F860000}"/>
    <cellStyle name="Porcentaje 2 2 2" xfId="33932" xr:uid="{00000000-0005-0000-0000-000080860000}"/>
    <cellStyle name="Porcentaje 2 3" xfId="24197" xr:uid="{00000000-0005-0000-0000-000081860000}"/>
    <cellStyle name="Porcentaje 2 3 2" xfId="40176" xr:uid="{00000000-0005-0000-0000-000082860000}"/>
    <cellStyle name="Porcentaje 2 4" xfId="24198" xr:uid="{00000000-0005-0000-0000-000083860000}"/>
    <cellStyle name="Porcentaje 2 5" xfId="24199" xr:uid="{00000000-0005-0000-0000-000084860000}"/>
    <cellStyle name="Porcentaje 2_Hoja1" xfId="11163" xr:uid="{00000000-0005-0000-0000-000085860000}"/>
    <cellStyle name="Porcentaje 20" xfId="24200" xr:uid="{00000000-0005-0000-0000-000086860000}"/>
    <cellStyle name="Porcentaje 20 2" xfId="24201" xr:uid="{00000000-0005-0000-0000-000087860000}"/>
    <cellStyle name="Porcentaje 20 3" xfId="24202" xr:uid="{00000000-0005-0000-0000-000088860000}"/>
    <cellStyle name="Porcentaje 20 4" xfId="24203" xr:uid="{00000000-0005-0000-0000-000089860000}"/>
    <cellStyle name="Porcentaje 20 5" xfId="24204" xr:uid="{00000000-0005-0000-0000-00008A860000}"/>
    <cellStyle name="Porcentaje 20 6" xfId="24205" xr:uid="{00000000-0005-0000-0000-00008B860000}"/>
    <cellStyle name="Porcentaje 20 7" xfId="24206" xr:uid="{00000000-0005-0000-0000-00008C860000}"/>
    <cellStyle name="Porcentaje 21" xfId="24207" xr:uid="{00000000-0005-0000-0000-00008D860000}"/>
    <cellStyle name="Porcentaje 21 2" xfId="24208" xr:uid="{00000000-0005-0000-0000-00008E860000}"/>
    <cellStyle name="Porcentaje 21 3" xfId="24209" xr:uid="{00000000-0005-0000-0000-00008F860000}"/>
    <cellStyle name="Porcentaje 21 4" xfId="24210" xr:uid="{00000000-0005-0000-0000-000090860000}"/>
    <cellStyle name="Porcentaje 21 5" xfId="24211" xr:uid="{00000000-0005-0000-0000-000091860000}"/>
    <cellStyle name="Porcentaje 21 6" xfId="24212" xr:uid="{00000000-0005-0000-0000-000092860000}"/>
    <cellStyle name="Porcentaje 21 7" xfId="24213" xr:uid="{00000000-0005-0000-0000-000093860000}"/>
    <cellStyle name="Porcentaje 22" xfId="24214" xr:uid="{00000000-0005-0000-0000-000094860000}"/>
    <cellStyle name="Porcentaje 22 2" xfId="24215" xr:uid="{00000000-0005-0000-0000-000095860000}"/>
    <cellStyle name="Porcentaje 22 3" xfId="24216" xr:uid="{00000000-0005-0000-0000-000096860000}"/>
    <cellStyle name="Porcentaje 22 4" xfId="24217" xr:uid="{00000000-0005-0000-0000-000097860000}"/>
    <cellStyle name="Porcentaje 22 5" xfId="24218" xr:uid="{00000000-0005-0000-0000-000098860000}"/>
    <cellStyle name="Porcentaje 22 6" xfId="24219" xr:uid="{00000000-0005-0000-0000-000099860000}"/>
    <cellStyle name="Porcentaje 22 7" xfId="24220" xr:uid="{00000000-0005-0000-0000-00009A860000}"/>
    <cellStyle name="Porcentaje 23" xfId="24221" xr:uid="{00000000-0005-0000-0000-00009B860000}"/>
    <cellStyle name="Porcentaje 23 2" xfId="24222" xr:uid="{00000000-0005-0000-0000-00009C860000}"/>
    <cellStyle name="Porcentaje 23 3" xfId="24223" xr:uid="{00000000-0005-0000-0000-00009D860000}"/>
    <cellStyle name="Porcentaje 23 4" xfId="24224" xr:uid="{00000000-0005-0000-0000-00009E860000}"/>
    <cellStyle name="Porcentaje 23 5" xfId="24225" xr:uid="{00000000-0005-0000-0000-00009F860000}"/>
    <cellStyle name="Porcentaje 23 6" xfId="24226" xr:uid="{00000000-0005-0000-0000-0000A0860000}"/>
    <cellStyle name="Porcentaje 23 7" xfId="24227" xr:uid="{00000000-0005-0000-0000-0000A1860000}"/>
    <cellStyle name="Porcentaje 24" xfId="24228" xr:uid="{00000000-0005-0000-0000-0000A2860000}"/>
    <cellStyle name="Porcentaje 24 2" xfId="24229" xr:uid="{00000000-0005-0000-0000-0000A3860000}"/>
    <cellStyle name="Porcentaje 24 3" xfId="24230" xr:uid="{00000000-0005-0000-0000-0000A4860000}"/>
    <cellStyle name="Porcentaje 24 4" xfId="24231" xr:uid="{00000000-0005-0000-0000-0000A5860000}"/>
    <cellStyle name="Porcentaje 24 5" xfId="24232" xr:uid="{00000000-0005-0000-0000-0000A6860000}"/>
    <cellStyle name="Porcentaje 24 6" xfId="24233" xr:uid="{00000000-0005-0000-0000-0000A7860000}"/>
    <cellStyle name="Porcentaje 24 7" xfId="24234" xr:uid="{00000000-0005-0000-0000-0000A8860000}"/>
    <cellStyle name="Porcentaje 25" xfId="24235" xr:uid="{00000000-0005-0000-0000-0000A9860000}"/>
    <cellStyle name="Porcentaje 25 2" xfId="24236" xr:uid="{00000000-0005-0000-0000-0000AA860000}"/>
    <cellStyle name="Porcentaje 25 3" xfId="24237" xr:uid="{00000000-0005-0000-0000-0000AB860000}"/>
    <cellStyle name="Porcentaje 25 4" xfId="24238" xr:uid="{00000000-0005-0000-0000-0000AC860000}"/>
    <cellStyle name="Porcentaje 25 5" xfId="24239" xr:uid="{00000000-0005-0000-0000-0000AD860000}"/>
    <cellStyle name="Porcentaje 25 6" xfId="24240" xr:uid="{00000000-0005-0000-0000-0000AE860000}"/>
    <cellStyle name="Porcentaje 25 7" xfId="24241" xr:uid="{00000000-0005-0000-0000-0000AF860000}"/>
    <cellStyle name="Porcentaje 26" xfId="24242" xr:uid="{00000000-0005-0000-0000-0000B0860000}"/>
    <cellStyle name="Porcentaje 26 2" xfId="24243" xr:uid="{00000000-0005-0000-0000-0000B1860000}"/>
    <cellStyle name="Porcentaje 26 3" xfId="24244" xr:uid="{00000000-0005-0000-0000-0000B2860000}"/>
    <cellStyle name="Porcentaje 26 4" xfId="24245" xr:uid="{00000000-0005-0000-0000-0000B3860000}"/>
    <cellStyle name="Porcentaje 26 5" xfId="24246" xr:uid="{00000000-0005-0000-0000-0000B4860000}"/>
    <cellStyle name="Porcentaje 26 6" xfId="24247" xr:uid="{00000000-0005-0000-0000-0000B5860000}"/>
    <cellStyle name="Porcentaje 26 7" xfId="24248" xr:uid="{00000000-0005-0000-0000-0000B6860000}"/>
    <cellStyle name="Porcentaje 27" xfId="24249" xr:uid="{00000000-0005-0000-0000-0000B7860000}"/>
    <cellStyle name="Porcentaje 27 2" xfId="24250" xr:uid="{00000000-0005-0000-0000-0000B8860000}"/>
    <cellStyle name="Porcentaje 27 3" xfId="24251" xr:uid="{00000000-0005-0000-0000-0000B9860000}"/>
    <cellStyle name="Porcentaje 27 4" xfId="24252" xr:uid="{00000000-0005-0000-0000-0000BA860000}"/>
    <cellStyle name="Porcentaje 27 5" xfId="24253" xr:uid="{00000000-0005-0000-0000-0000BB860000}"/>
    <cellStyle name="Porcentaje 27 6" xfId="24254" xr:uid="{00000000-0005-0000-0000-0000BC860000}"/>
    <cellStyle name="Porcentaje 27 7" xfId="24255" xr:uid="{00000000-0005-0000-0000-0000BD860000}"/>
    <cellStyle name="Porcentaje 28" xfId="24256" xr:uid="{00000000-0005-0000-0000-0000BE860000}"/>
    <cellStyle name="Porcentaje 28 2" xfId="24257" xr:uid="{00000000-0005-0000-0000-0000BF860000}"/>
    <cellStyle name="Porcentaje 28 3" xfId="24258" xr:uid="{00000000-0005-0000-0000-0000C0860000}"/>
    <cellStyle name="Porcentaje 28 4" xfId="24259" xr:uid="{00000000-0005-0000-0000-0000C1860000}"/>
    <cellStyle name="Porcentaje 28 5" xfId="24260" xr:uid="{00000000-0005-0000-0000-0000C2860000}"/>
    <cellStyle name="Porcentaje 28 6" xfId="24261" xr:uid="{00000000-0005-0000-0000-0000C3860000}"/>
    <cellStyle name="Porcentaje 28 7" xfId="24262" xr:uid="{00000000-0005-0000-0000-0000C4860000}"/>
    <cellStyle name="Porcentaje 29" xfId="24263" xr:uid="{00000000-0005-0000-0000-0000C5860000}"/>
    <cellStyle name="Porcentaje 29 2" xfId="24264" xr:uid="{00000000-0005-0000-0000-0000C6860000}"/>
    <cellStyle name="Porcentaje 29 3" xfId="24265" xr:uid="{00000000-0005-0000-0000-0000C7860000}"/>
    <cellStyle name="Porcentaje 29 4" xfId="24266" xr:uid="{00000000-0005-0000-0000-0000C8860000}"/>
    <cellStyle name="Porcentaje 29 5" xfId="24267" xr:uid="{00000000-0005-0000-0000-0000C9860000}"/>
    <cellStyle name="Porcentaje 29 6" xfId="24268" xr:uid="{00000000-0005-0000-0000-0000CA860000}"/>
    <cellStyle name="Porcentaje 29 7" xfId="24269" xr:uid="{00000000-0005-0000-0000-0000CB860000}"/>
    <cellStyle name="Porcentaje 3" xfId="24270" xr:uid="{00000000-0005-0000-0000-0000CC860000}"/>
    <cellStyle name="Porcentaje 3 10" xfId="24271" xr:uid="{00000000-0005-0000-0000-0000CD860000}"/>
    <cellStyle name="Porcentaje 3 2" xfId="24272" xr:uid="{00000000-0005-0000-0000-0000CE860000}"/>
    <cellStyle name="Porcentaje 3 2 2" xfId="24273" xr:uid="{00000000-0005-0000-0000-0000CF860000}"/>
    <cellStyle name="Porcentaje 3 2 3" xfId="24274" xr:uid="{00000000-0005-0000-0000-0000D0860000}"/>
    <cellStyle name="Porcentaje 3 2 4" xfId="24275" xr:uid="{00000000-0005-0000-0000-0000D1860000}"/>
    <cellStyle name="Porcentaje 3 2 5" xfId="24276" xr:uid="{00000000-0005-0000-0000-0000D2860000}"/>
    <cellStyle name="Porcentaje 3 2 6" xfId="24277" xr:uid="{00000000-0005-0000-0000-0000D3860000}"/>
    <cellStyle name="Porcentaje 3 2 7" xfId="24278" xr:uid="{00000000-0005-0000-0000-0000D4860000}"/>
    <cellStyle name="Porcentaje 3 3" xfId="24279" xr:uid="{00000000-0005-0000-0000-0000D5860000}"/>
    <cellStyle name="Porcentaje 3 4" xfId="24280" xr:uid="{00000000-0005-0000-0000-0000D6860000}"/>
    <cellStyle name="Porcentaje 3 5" xfId="24281" xr:uid="{00000000-0005-0000-0000-0000D7860000}"/>
    <cellStyle name="Porcentaje 3 6" xfId="24282" xr:uid="{00000000-0005-0000-0000-0000D8860000}"/>
    <cellStyle name="Porcentaje 3 7" xfId="24283" xr:uid="{00000000-0005-0000-0000-0000D9860000}"/>
    <cellStyle name="Porcentaje 3 8" xfId="24284" xr:uid="{00000000-0005-0000-0000-0000DA860000}"/>
    <cellStyle name="Porcentaje 3 9" xfId="24285" xr:uid="{00000000-0005-0000-0000-0000DB860000}"/>
    <cellStyle name="Porcentaje 30" xfId="24286" xr:uid="{00000000-0005-0000-0000-0000DC860000}"/>
    <cellStyle name="Porcentaje 30 2" xfId="24287" xr:uid="{00000000-0005-0000-0000-0000DD860000}"/>
    <cellStyle name="Porcentaje 30 3" xfId="24288" xr:uid="{00000000-0005-0000-0000-0000DE860000}"/>
    <cellStyle name="Porcentaje 30 4" xfId="24289" xr:uid="{00000000-0005-0000-0000-0000DF860000}"/>
    <cellStyle name="Porcentaje 30 5" xfId="24290" xr:uid="{00000000-0005-0000-0000-0000E0860000}"/>
    <cellStyle name="Porcentaje 30 6" xfId="24291" xr:uid="{00000000-0005-0000-0000-0000E1860000}"/>
    <cellStyle name="Porcentaje 30 7" xfId="24292" xr:uid="{00000000-0005-0000-0000-0000E2860000}"/>
    <cellStyle name="Porcentaje 31" xfId="24293" xr:uid="{00000000-0005-0000-0000-0000E3860000}"/>
    <cellStyle name="Porcentaje 31 2" xfId="24294" xr:uid="{00000000-0005-0000-0000-0000E4860000}"/>
    <cellStyle name="Porcentaje 31 3" xfId="24295" xr:uid="{00000000-0005-0000-0000-0000E5860000}"/>
    <cellStyle name="Porcentaje 31 4" xfId="24296" xr:uid="{00000000-0005-0000-0000-0000E6860000}"/>
    <cellStyle name="Porcentaje 31 5" xfId="24297" xr:uid="{00000000-0005-0000-0000-0000E7860000}"/>
    <cellStyle name="Porcentaje 31 6" xfId="24298" xr:uid="{00000000-0005-0000-0000-0000E8860000}"/>
    <cellStyle name="Porcentaje 31 7" xfId="24299" xr:uid="{00000000-0005-0000-0000-0000E9860000}"/>
    <cellStyle name="Porcentaje 32" xfId="24300" xr:uid="{00000000-0005-0000-0000-0000EA860000}"/>
    <cellStyle name="Porcentaje 32 2" xfId="24301" xr:uid="{00000000-0005-0000-0000-0000EB860000}"/>
    <cellStyle name="Porcentaje 32 3" xfId="24302" xr:uid="{00000000-0005-0000-0000-0000EC860000}"/>
    <cellStyle name="Porcentaje 32 4" xfId="24303" xr:uid="{00000000-0005-0000-0000-0000ED860000}"/>
    <cellStyle name="Porcentaje 32 5" xfId="24304" xr:uid="{00000000-0005-0000-0000-0000EE860000}"/>
    <cellStyle name="Porcentaje 32 6" xfId="24305" xr:uid="{00000000-0005-0000-0000-0000EF860000}"/>
    <cellStyle name="Porcentaje 32 7" xfId="24306" xr:uid="{00000000-0005-0000-0000-0000F0860000}"/>
    <cellStyle name="Porcentaje 33" xfId="24307" xr:uid="{00000000-0005-0000-0000-0000F1860000}"/>
    <cellStyle name="Porcentaje 33 2" xfId="24308" xr:uid="{00000000-0005-0000-0000-0000F2860000}"/>
    <cellStyle name="Porcentaje 33 3" xfId="24309" xr:uid="{00000000-0005-0000-0000-0000F3860000}"/>
    <cellStyle name="Porcentaje 33 4" xfId="24310" xr:uid="{00000000-0005-0000-0000-0000F4860000}"/>
    <cellStyle name="Porcentaje 33 5" xfId="24311" xr:uid="{00000000-0005-0000-0000-0000F5860000}"/>
    <cellStyle name="Porcentaje 33 6" xfId="24312" xr:uid="{00000000-0005-0000-0000-0000F6860000}"/>
    <cellStyle name="Porcentaje 33 7" xfId="24313" xr:uid="{00000000-0005-0000-0000-0000F7860000}"/>
    <cellStyle name="Porcentaje 34" xfId="24314" xr:uid="{00000000-0005-0000-0000-0000F8860000}"/>
    <cellStyle name="Porcentaje 34 2" xfId="24315" xr:uid="{00000000-0005-0000-0000-0000F9860000}"/>
    <cellStyle name="Porcentaje 34 3" xfId="24316" xr:uid="{00000000-0005-0000-0000-0000FA860000}"/>
    <cellStyle name="Porcentaje 34 4" xfId="24317" xr:uid="{00000000-0005-0000-0000-0000FB860000}"/>
    <cellStyle name="Porcentaje 34 5" xfId="24318" xr:uid="{00000000-0005-0000-0000-0000FC860000}"/>
    <cellStyle name="Porcentaje 34 6" xfId="24319" xr:uid="{00000000-0005-0000-0000-0000FD860000}"/>
    <cellStyle name="Porcentaje 34 7" xfId="24320" xr:uid="{00000000-0005-0000-0000-0000FE860000}"/>
    <cellStyle name="Porcentaje 35" xfId="24321" xr:uid="{00000000-0005-0000-0000-0000FF860000}"/>
    <cellStyle name="Porcentaje 35 2" xfId="24322" xr:uid="{00000000-0005-0000-0000-000000870000}"/>
    <cellStyle name="Porcentaje 35 3" xfId="24323" xr:uid="{00000000-0005-0000-0000-000001870000}"/>
    <cellStyle name="Porcentaje 35 4" xfId="24324" xr:uid="{00000000-0005-0000-0000-000002870000}"/>
    <cellStyle name="Porcentaje 35 5" xfId="24325" xr:uid="{00000000-0005-0000-0000-000003870000}"/>
    <cellStyle name="Porcentaje 35 6" xfId="24326" xr:uid="{00000000-0005-0000-0000-000004870000}"/>
    <cellStyle name="Porcentaje 35 7" xfId="24327" xr:uid="{00000000-0005-0000-0000-000005870000}"/>
    <cellStyle name="Porcentaje 36" xfId="24328" xr:uid="{00000000-0005-0000-0000-000006870000}"/>
    <cellStyle name="Porcentaje 36 2" xfId="24329" xr:uid="{00000000-0005-0000-0000-000007870000}"/>
    <cellStyle name="Porcentaje 36 3" xfId="24330" xr:uid="{00000000-0005-0000-0000-000008870000}"/>
    <cellStyle name="Porcentaje 36 4" xfId="24331" xr:uid="{00000000-0005-0000-0000-000009870000}"/>
    <cellStyle name="Porcentaje 36 5" xfId="24332" xr:uid="{00000000-0005-0000-0000-00000A870000}"/>
    <cellStyle name="Porcentaje 36 6" xfId="24333" xr:uid="{00000000-0005-0000-0000-00000B870000}"/>
    <cellStyle name="Porcentaje 36 7" xfId="24334" xr:uid="{00000000-0005-0000-0000-00000C870000}"/>
    <cellStyle name="Porcentaje 37" xfId="24335" xr:uid="{00000000-0005-0000-0000-00000D870000}"/>
    <cellStyle name="Porcentaje 4" xfId="24336" xr:uid="{00000000-0005-0000-0000-00000E870000}"/>
    <cellStyle name="Porcentaje 4 2" xfId="24337" xr:uid="{00000000-0005-0000-0000-00000F870000}"/>
    <cellStyle name="Porcentaje 4 2 2" xfId="24338" xr:uid="{00000000-0005-0000-0000-000010870000}"/>
    <cellStyle name="Porcentaje 4 2 3" xfId="24339" xr:uid="{00000000-0005-0000-0000-000011870000}"/>
    <cellStyle name="Porcentaje 4 2 4" xfId="24340" xr:uid="{00000000-0005-0000-0000-000012870000}"/>
    <cellStyle name="Porcentaje 4 2 5" xfId="24341" xr:uid="{00000000-0005-0000-0000-000013870000}"/>
    <cellStyle name="Porcentaje 4 2 6" xfId="24342" xr:uid="{00000000-0005-0000-0000-000014870000}"/>
    <cellStyle name="Porcentaje 4 2 7" xfId="24343" xr:uid="{00000000-0005-0000-0000-000015870000}"/>
    <cellStyle name="Porcentaje 4 3" xfId="24344" xr:uid="{00000000-0005-0000-0000-000016870000}"/>
    <cellStyle name="Porcentaje 4 4" xfId="24345" xr:uid="{00000000-0005-0000-0000-000017870000}"/>
    <cellStyle name="Porcentaje 4 5" xfId="24346" xr:uid="{00000000-0005-0000-0000-000018870000}"/>
    <cellStyle name="Porcentaje 4 6" xfId="24347" xr:uid="{00000000-0005-0000-0000-000019870000}"/>
    <cellStyle name="Porcentaje 4 7" xfId="24348" xr:uid="{00000000-0005-0000-0000-00001A870000}"/>
    <cellStyle name="Porcentaje 4 8" xfId="24349" xr:uid="{00000000-0005-0000-0000-00001B870000}"/>
    <cellStyle name="Porcentaje 5" xfId="24350" xr:uid="{00000000-0005-0000-0000-00001C870000}"/>
    <cellStyle name="Porcentaje 5 2" xfId="24351" xr:uid="{00000000-0005-0000-0000-00001D870000}"/>
    <cellStyle name="Porcentaje 5 2 2" xfId="24352" xr:uid="{00000000-0005-0000-0000-00001E870000}"/>
    <cellStyle name="Porcentaje 5 2 3" xfId="24353" xr:uid="{00000000-0005-0000-0000-00001F870000}"/>
    <cellStyle name="Porcentaje 5 2 4" xfId="24354" xr:uid="{00000000-0005-0000-0000-000020870000}"/>
    <cellStyle name="Porcentaje 5 2 5" xfId="24355" xr:uid="{00000000-0005-0000-0000-000021870000}"/>
    <cellStyle name="Porcentaje 5 2 6" xfId="24356" xr:uid="{00000000-0005-0000-0000-000022870000}"/>
    <cellStyle name="Porcentaje 5 2 7" xfId="24357" xr:uid="{00000000-0005-0000-0000-000023870000}"/>
    <cellStyle name="Porcentaje 5 3" xfId="24358" xr:uid="{00000000-0005-0000-0000-000024870000}"/>
    <cellStyle name="Porcentaje 5 4" xfId="24359" xr:uid="{00000000-0005-0000-0000-000025870000}"/>
    <cellStyle name="Porcentaje 5 5" xfId="24360" xr:uid="{00000000-0005-0000-0000-000026870000}"/>
    <cellStyle name="Porcentaje 5 6" xfId="24361" xr:uid="{00000000-0005-0000-0000-000027870000}"/>
    <cellStyle name="Porcentaje 5 7" xfId="24362" xr:uid="{00000000-0005-0000-0000-000028870000}"/>
    <cellStyle name="Porcentaje 5 8" xfId="24363" xr:uid="{00000000-0005-0000-0000-000029870000}"/>
    <cellStyle name="Porcentaje 6" xfId="24364" xr:uid="{00000000-0005-0000-0000-00002A870000}"/>
    <cellStyle name="Porcentaje 6 2" xfId="24365" xr:uid="{00000000-0005-0000-0000-00002B870000}"/>
    <cellStyle name="Porcentaje 6 2 2" xfId="24366" xr:uid="{00000000-0005-0000-0000-00002C870000}"/>
    <cellStyle name="Porcentaje 6 2 3" xfId="24367" xr:uid="{00000000-0005-0000-0000-00002D870000}"/>
    <cellStyle name="Porcentaje 6 2 4" xfId="24368" xr:uid="{00000000-0005-0000-0000-00002E870000}"/>
    <cellStyle name="Porcentaje 6 2 5" xfId="24369" xr:uid="{00000000-0005-0000-0000-00002F870000}"/>
    <cellStyle name="Porcentaje 6 2 6" xfId="24370" xr:uid="{00000000-0005-0000-0000-000030870000}"/>
    <cellStyle name="Porcentaje 6 2 7" xfId="24371" xr:uid="{00000000-0005-0000-0000-000031870000}"/>
    <cellStyle name="Porcentaje 6 3" xfId="24372" xr:uid="{00000000-0005-0000-0000-000032870000}"/>
    <cellStyle name="Porcentaje 6 4" xfId="24373" xr:uid="{00000000-0005-0000-0000-000033870000}"/>
    <cellStyle name="Porcentaje 6 5" xfId="24374" xr:uid="{00000000-0005-0000-0000-000034870000}"/>
    <cellStyle name="Porcentaje 6 6" xfId="24375" xr:uid="{00000000-0005-0000-0000-000035870000}"/>
    <cellStyle name="Porcentaje 6 7" xfId="24376" xr:uid="{00000000-0005-0000-0000-000036870000}"/>
    <cellStyle name="Porcentaje 6 8" xfId="24377" xr:uid="{00000000-0005-0000-0000-000037870000}"/>
    <cellStyle name="Porcentaje 7" xfId="24378" xr:uid="{00000000-0005-0000-0000-000038870000}"/>
    <cellStyle name="Porcentaje 7 2" xfId="24379" xr:uid="{00000000-0005-0000-0000-000039870000}"/>
    <cellStyle name="Porcentaje 7 2 2" xfId="24380" xr:uid="{00000000-0005-0000-0000-00003A870000}"/>
    <cellStyle name="Porcentaje 7 2 3" xfId="24381" xr:uid="{00000000-0005-0000-0000-00003B870000}"/>
    <cellStyle name="Porcentaje 7 2 4" xfId="24382" xr:uid="{00000000-0005-0000-0000-00003C870000}"/>
    <cellStyle name="Porcentaje 7 2 5" xfId="24383" xr:uid="{00000000-0005-0000-0000-00003D870000}"/>
    <cellStyle name="Porcentaje 7 2 6" xfId="24384" xr:uid="{00000000-0005-0000-0000-00003E870000}"/>
    <cellStyle name="Porcentaje 7 2 7" xfId="24385" xr:uid="{00000000-0005-0000-0000-00003F870000}"/>
    <cellStyle name="Porcentaje 7 3" xfId="24386" xr:uid="{00000000-0005-0000-0000-000040870000}"/>
    <cellStyle name="Porcentaje 7 4" xfId="24387" xr:uid="{00000000-0005-0000-0000-000041870000}"/>
    <cellStyle name="Porcentaje 7 5" xfId="24388" xr:uid="{00000000-0005-0000-0000-000042870000}"/>
    <cellStyle name="Porcentaje 7 6" xfId="24389" xr:uid="{00000000-0005-0000-0000-000043870000}"/>
    <cellStyle name="Porcentaje 7 7" xfId="24390" xr:uid="{00000000-0005-0000-0000-000044870000}"/>
    <cellStyle name="Porcentaje 7 8" xfId="24391" xr:uid="{00000000-0005-0000-0000-000045870000}"/>
    <cellStyle name="Porcentaje 8" xfId="24392" xr:uid="{00000000-0005-0000-0000-000046870000}"/>
    <cellStyle name="Porcentaje 8 2" xfId="24393" xr:uid="{00000000-0005-0000-0000-000047870000}"/>
    <cellStyle name="Porcentaje 8 2 2" xfId="24394" xr:uid="{00000000-0005-0000-0000-000048870000}"/>
    <cellStyle name="Porcentaje 8 2 3" xfId="24395" xr:uid="{00000000-0005-0000-0000-000049870000}"/>
    <cellStyle name="Porcentaje 8 2 4" xfId="24396" xr:uid="{00000000-0005-0000-0000-00004A870000}"/>
    <cellStyle name="Porcentaje 8 2 5" xfId="24397" xr:uid="{00000000-0005-0000-0000-00004B870000}"/>
    <cellStyle name="Porcentaje 8 2 6" xfId="24398" xr:uid="{00000000-0005-0000-0000-00004C870000}"/>
    <cellStyle name="Porcentaje 8 2 7" xfId="24399" xr:uid="{00000000-0005-0000-0000-00004D870000}"/>
    <cellStyle name="Porcentaje 8 3" xfId="24400" xr:uid="{00000000-0005-0000-0000-00004E870000}"/>
    <cellStyle name="Porcentaje 8 4" xfId="24401" xr:uid="{00000000-0005-0000-0000-00004F870000}"/>
    <cellStyle name="Porcentaje 8 5" xfId="24402" xr:uid="{00000000-0005-0000-0000-000050870000}"/>
    <cellStyle name="Porcentaje 8 6" xfId="24403" xr:uid="{00000000-0005-0000-0000-000051870000}"/>
    <cellStyle name="Porcentaje 8 7" xfId="24404" xr:uid="{00000000-0005-0000-0000-000052870000}"/>
    <cellStyle name="Porcentaje 8 8" xfId="24405" xr:uid="{00000000-0005-0000-0000-000053870000}"/>
    <cellStyle name="Porcentaje 9" xfId="24406" xr:uid="{00000000-0005-0000-0000-000054870000}"/>
    <cellStyle name="Porcentaje 9 2" xfId="24407" xr:uid="{00000000-0005-0000-0000-000055870000}"/>
    <cellStyle name="Porcentaje 9 2 2" xfId="24408" xr:uid="{00000000-0005-0000-0000-000056870000}"/>
    <cellStyle name="Porcentaje 9 2 3" xfId="24409" xr:uid="{00000000-0005-0000-0000-000057870000}"/>
    <cellStyle name="Porcentaje 9 2 4" xfId="24410" xr:uid="{00000000-0005-0000-0000-000058870000}"/>
    <cellStyle name="Porcentaje 9 2 5" xfId="24411" xr:uid="{00000000-0005-0000-0000-000059870000}"/>
    <cellStyle name="Porcentaje 9 2 6" xfId="24412" xr:uid="{00000000-0005-0000-0000-00005A870000}"/>
    <cellStyle name="Porcentaje 9 2 7" xfId="24413" xr:uid="{00000000-0005-0000-0000-00005B870000}"/>
    <cellStyle name="Porcentaje 9 3" xfId="24414" xr:uid="{00000000-0005-0000-0000-00005C870000}"/>
    <cellStyle name="Porcentaje 9 4" xfId="24415" xr:uid="{00000000-0005-0000-0000-00005D870000}"/>
    <cellStyle name="Porcentaje 9 5" xfId="24416" xr:uid="{00000000-0005-0000-0000-00005E870000}"/>
    <cellStyle name="Porcentaje 9 6" xfId="24417" xr:uid="{00000000-0005-0000-0000-00005F870000}"/>
    <cellStyle name="Porcentaje 9 7" xfId="24418" xr:uid="{00000000-0005-0000-0000-000060870000}"/>
    <cellStyle name="Porcentaje 9 8" xfId="24419" xr:uid="{00000000-0005-0000-0000-000061870000}"/>
    <cellStyle name="Porcentual 2" xfId="11164" xr:uid="{00000000-0005-0000-0000-000062870000}"/>
    <cellStyle name="Porcentual 2 10" xfId="24420" xr:uid="{00000000-0005-0000-0000-000063870000}"/>
    <cellStyle name="Porcentual 2 10 10" xfId="24421" xr:uid="{00000000-0005-0000-0000-000064870000}"/>
    <cellStyle name="Porcentual 2 10 10 2" xfId="24422" xr:uid="{00000000-0005-0000-0000-000065870000}"/>
    <cellStyle name="Porcentual 2 10 10 2 2" xfId="24423" xr:uid="{00000000-0005-0000-0000-000066870000}"/>
    <cellStyle name="Porcentual 2 10 10 2 3" xfId="24424" xr:uid="{00000000-0005-0000-0000-000067870000}"/>
    <cellStyle name="Porcentual 2 10 10 2 4" xfId="24425" xr:uid="{00000000-0005-0000-0000-000068870000}"/>
    <cellStyle name="Porcentual 2 10 10 2 5" xfId="24426" xr:uid="{00000000-0005-0000-0000-000069870000}"/>
    <cellStyle name="Porcentual 2 10 10 2 6" xfId="24427" xr:uid="{00000000-0005-0000-0000-00006A870000}"/>
    <cellStyle name="Porcentual 2 10 10 2 7" xfId="24428" xr:uid="{00000000-0005-0000-0000-00006B870000}"/>
    <cellStyle name="Porcentual 2 10 10 3" xfId="24429" xr:uid="{00000000-0005-0000-0000-00006C870000}"/>
    <cellStyle name="Porcentual 2 10 10 4" xfId="24430" xr:uid="{00000000-0005-0000-0000-00006D870000}"/>
    <cellStyle name="Porcentual 2 10 10 5" xfId="24431" xr:uid="{00000000-0005-0000-0000-00006E870000}"/>
    <cellStyle name="Porcentual 2 10 10 6" xfId="24432" xr:uid="{00000000-0005-0000-0000-00006F870000}"/>
    <cellStyle name="Porcentual 2 10 10 7" xfId="24433" xr:uid="{00000000-0005-0000-0000-000070870000}"/>
    <cellStyle name="Porcentual 2 10 10 8" xfId="24434" xr:uid="{00000000-0005-0000-0000-000071870000}"/>
    <cellStyle name="Porcentual 2 10 11" xfId="24435" xr:uid="{00000000-0005-0000-0000-000072870000}"/>
    <cellStyle name="Porcentual 2 10 11 2" xfId="24436" xr:uid="{00000000-0005-0000-0000-000073870000}"/>
    <cellStyle name="Porcentual 2 10 11 2 2" xfId="24437" xr:uid="{00000000-0005-0000-0000-000074870000}"/>
    <cellStyle name="Porcentual 2 10 11 2 3" xfId="24438" xr:uid="{00000000-0005-0000-0000-000075870000}"/>
    <cellStyle name="Porcentual 2 10 11 2 4" xfId="24439" xr:uid="{00000000-0005-0000-0000-000076870000}"/>
    <cellStyle name="Porcentual 2 10 11 2 5" xfId="24440" xr:uid="{00000000-0005-0000-0000-000077870000}"/>
    <cellStyle name="Porcentual 2 10 11 2 6" xfId="24441" xr:uid="{00000000-0005-0000-0000-000078870000}"/>
    <cellStyle name="Porcentual 2 10 11 2 7" xfId="24442" xr:uid="{00000000-0005-0000-0000-000079870000}"/>
    <cellStyle name="Porcentual 2 10 11 3" xfId="24443" xr:uid="{00000000-0005-0000-0000-00007A870000}"/>
    <cellStyle name="Porcentual 2 10 11 4" xfId="24444" xr:uid="{00000000-0005-0000-0000-00007B870000}"/>
    <cellStyle name="Porcentual 2 10 11 5" xfId="24445" xr:uid="{00000000-0005-0000-0000-00007C870000}"/>
    <cellStyle name="Porcentual 2 10 11 6" xfId="24446" xr:uid="{00000000-0005-0000-0000-00007D870000}"/>
    <cellStyle name="Porcentual 2 10 11 7" xfId="24447" xr:uid="{00000000-0005-0000-0000-00007E870000}"/>
    <cellStyle name="Porcentual 2 10 11 8" xfId="24448" xr:uid="{00000000-0005-0000-0000-00007F870000}"/>
    <cellStyle name="Porcentual 2 10 12" xfId="24449" xr:uid="{00000000-0005-0000-0000-000080870000}"/>
    <cellStyle name="Porcentual 2 10 12 2" xfId="24450" xr:uid="{00000000-0005-0000-0000-000081870000}"/>
    <cellStyle name="Porcentual 2 10 12 2 2" xfId="24451" xr:uid="{00000000-0005-0000-0000-000082870000}"/>
    <cellStyle name="Porcentual 2 10 12 2 3" xfId="24452" xr:uid="{00000000-0005-0000-0000-000083870000}"/>
    <cellStyle name="Porcentual 2 10 12 2 4" xfId="24453" xr:uid="{00000000-0005-0000-0000-000084870000}"/>
    <cellStyle name="Porcentual 2 10 12 2 5" xfId="24454" xr:uid="{00000000-0005-0000-0000-000085870000}"/>
    <cellStyle name="Porcentual 2 10 12 2 6" xfId="24455" xr:uid="{00000000-0005-0000-0000-000086870000}"/>
    <cellStyle name="Porcentual 2 10 12 2 7" xfId="24456" xr:uid="{00000000-0005-0000-0000-000087870000}"/>
    <cellStyle name="Porcentual 2 10 12 3" xfId="24457" xr:uid="{00000000-0005-0000-0000-000088870000}"/>
    <cellStyle name="Porcentual 2 10 12 4" xfId="24458" xr:uid="{00000000-0005-0000-0000-000089870000}"/>
    <cellStyle name="Porcentual 2 10 12 5" xfId="24459" xr:uid="{00000000-0005-0000-0000-00008A870000}"/>
    <cellStyle name="Porcentual 2 10 12 6" xfId="24460" xr:uid="{00000000-0005-0000-0000-00008B870000}"/>
    <cellStyle name="Porcentual 2 10 12 7" xfId="24461" xr:uid="{00000000-0005-0000-0000-00008C870000}"/>
    <cellStyle name="Porcentual 2 10 12 8" xfId="24462" xr:uid="{00000000-0005-0000-0000-00008D870000}"/>
    <cellStyle name="Porcentual 2 10 13" xfId="24463" xr:uid="{00000000-0005-0000-0000-00008E870000}"/>
    <cellStyle name="Porcentual 2 10 13 2" xfId="24464" xr:uid="{00000000-0005-0000-0000-00008F870000}"/>
    <cellStyle name="Porcentual 2 10 13 2 2" xfId="24465" xr:uid="{00000000-0005-0000-0000-000090870000}"/>
    <cellStyle name="Porcentual 2 10 13 2 3" xfId="24466" xr:uid="{00000000-0005-0000-0000-000091870000}"/>
    <cellStyle name="Porcentual 2 10 13 2 4" xfId="24467" xr:uid="{00000000-0005-0000-0000-000092870000}"/>
    <cellStyle name="Porcentual 2 10 13 2 5" xfId="24468" xr:uid="{00000000-0005-0000-0000-000093870000}"/>
    <cellStyle name="Porcentual 2 10 13 2 6" xfId="24469" xr:uid="{00000000-0005-0000-0000-000094870000}"/>
    <cellStyle name="Porcentual 2 10 13 2 7" xfId="24470" xr:uid="{00000000-0005-0000-0000-000095870000}"/>
    <cellStyle name="Porcentual 2 10 13 3" xfId="24471" xr:uid="{00000000-0005-0000-0000-000096870000}"/>
    <cellStyle name="Porcentual 2 10 13 4" xfId="24472" xr:uid="{00000000-0005-0000-0000-000097870000}"/>
    <cellStyle name="Porcentual 2 10 13 5" xfId="24473" xr:uid="{00000000-0005-0000-0000-000098870000}"/>
    <cellStyle name="Porcentual 2 10 13 6" xfId="24474" xr:uid="{00000000-0005-0000-0000-000099870000}"/>
    <cellStyle name="Porcentual 2 10 13 7" xfId="24475" xr:uid="{00000000-0005-0000-0000-00009A870000}"/>
    <cellStyle name="Porcentual 2 10 13 8" xfId="24476" xr:uid="{00000000-0005-0000-0000-00009B870000}"/>
    <cellStyle name="Porcentual 2 10 14" xfId="24477" xr:uid="{00000000-0005-0000-0000-00009C870000}"/>
    <cellStyle name="Porcentual 2 10 14 2" xfId="24478" xr:uid="{00000000-0005-0000-0000-00009D870000}"/>
    <cellStyle name="Porcentual 2 10 14 2 2" xfId="24479" xr:uid="{00000000-0005-0000-0000-00009E870000}"/>
    <cellStyle name="Porcentual 2 10 14 2 3" xfId="24480" xr:uid="{00000000-0005-0000-0000-00009F870000}"/>
    <cellStyle name="Porcentual 2 10 14 2 4" xfId="24481" xr:uid="{00000000-0005-0000-0000-0000A0870000}"/>
    <cellStyle name="Porcentual 2 10 14 2 5" xfId="24482" xr:uid="{00000000-0005-0000-0000-0000A1870000}"/>
    <cellStyle name="Porcentual 2 10 14 2 6" xfId="24483" xr:uid="{00000000-0005-0000-0000-0000A2870000}"/>
    <cellStyle name="Porcentual 2 10 14 2 7" xfId="24484" xr:uid="{00000000-0005-0000-0000-0000A3870000}"/>
    <cellStyle name="Porcentual 2 10 14 3" xfId="24485" xr:uid="{00000000-0005-0000-0000-0000A4870000}"/>
    <cellStyle name="Porcentual 2 10 14 4" xfId="24486" xr:uid="{00000000-0005-0000-0000-0000A5870000}"/>
    <cellStyle name="Porcentual 2 10 14 5" xfId="24487" xr:uid="{00000000-0005-0000-0000-0000A6870000}"/>
    <cellStyle name="Porcentual 2 10 14 6" xfId="24488" xr:uid="{00000000-0005-0000-0000-0000A7870000}"/>
    <cellStyle name="Porcentual 2 10 14 7" xfId="24489" xr:uid="{00000000-0005-0000-0000-0000A8870000}"/>
    <cellStyle name="Porcentual 2 10 14 8" xfId="24490" xr:uid="{00000000-0005-0000-0000-0000A9870000}"/>
    <cellStyle name="Porcentual 2 10 15" xfId="24491" xr:uid="{00000000-0005-0000-0000-0000AA870000}"/>
    <cellStyle name="Porcentual 2 10 15 2" xfId="24492" xr:uid="{00000000-0005-0000-0000-0000AB870000}"/>
    <cellStyle name="Porcentual 2 10 15 2 2" xfId="24493" xr:uid="{00000000-0005-0000-0000-0000AC870000}"/>
    <cellStyle name="Porcentual 2 10 15 2 3" xfId="24494" xr:uid="{00000000-0005-0000-0000-0000AD870000}"/>
    <cellStyle name="Porcentual 2 10 15 2 4" xfId="24495" xr:uid="{00000000-0005-0000-0000-0000AE870000}"/>
    <cellStyle name="Porcentual 2 10 15 2 5" xfId="24496" xr:uid="{00000000-0005-0000-0000-0000AF870000}"/>
    <cellStyle name="Porcentual 2 10 15 2 6" xfId="24497" xr:uid="{00000000-0005-0000-0000-0000B0870000}"/>
    <cellStyle name="Porcentual 2 10 15 2 7" xfId="24498" xr:uid="{00000000-0005-0000-0000-0000B1870000}"/>
    <cellStyle name="Porcentual 2 10 15 3" xfId="24499" xr:uid="{00000000-0005-0000-0000-0000B2870000}"/>
    <cellStyle name="Porcentual 2 10 15 4" xfId="24500" xr:uid="{00000000-0005-0000-0000-0000B3870000}"/>
    <cellStyle name="Porcentual 2 10 15 5" xfId="24501" xr:uid="{00000000-0005-0000-0000-0000B4870000}"/>
    <cellStyle name="Porcentual 2 10 15 6" xfId="24502" xr:uid="{00000000-0005-0000-0000-0000B5870000}"/>
    <cellStyle name="Porcentual 2 10 15 7" xfId="24503" xr:uid="{00000000-0005-0000-0000-0000B6870000}"/>
    <cellStyle name="Porcentual 2 10 15 8" xfId="24504" xr:uid="{00000000-0005-0000-0000-0000B7870000}"/>
    <cellStyle name="Porcentual 2 10 16" xfId="24505" xr:uid="{00000000-0005-0000-0000-0000B8870000}"/>
    <cellStyle name="Porcentual 2 10 16 2" xfId="24506" xr:uid="{00000000-0005-0000-0000-0000B9870000}"/>
    <cellStyle name="Porcentual 2 10 16 3" xfId="24507" xr:uid="{00000000-0005-0000-0000-0000BA870000}"/>
    <cellStyle name="Porcentual 2 10 16 4" xfId="24508" xr:uid="{00000000-0005-0000-0000-0000BB870000}"/>
    <cellStyle name="Porcentual 2 10 16 5" xfId="24509" xr:uid="{00000000-0005-0000-0000-0000BC870000}"/>
    <cellStyle name="Porcentual 2 10 16 6" xfId="24510" xr:uid="{00000000-0005-0000-0000-0000BD870000}"/>
    <cellStyle name="Porcentual 2 10 16 7" xfId="24511" xr:uid="{00000000-0005-0000-0000-0000BE870000}"/>
    <cellStyle name="Porcentual 2 10 17" xfId="24512" xr:uid="{00000000-0005-0000-0000-0000BF870000}"/>
    <cellStyle name="Porcentual 2 10 17 2" xfId="24513" xr:uid="{00000000-0005-0000-0000-0000C0870000}"/>
    <cellStyle name="Porcentual 2 10 17 3" xfId="24514" xr:uid="{00000000-0005-0000-0000-0000C1870000}"/>
    <cellStyle name="Porcentual 2 10 17 4" xfId="24515" xr:uid="{00000000-0005-0000-0000-0000C2870000}"/>
    <cellStyle name="Porcentual 2 10 17 5" xfId="24516" xr:uid="{00000000-0005-0000-0000-0000C3870000}"/>
    <cellStyle name="Porcentual 2 10 17 6" xfId="24517" xr:uid="{00000000-0005-0000-0000-0000C4870000}"/>
    <cellStyle name="Porcentual 2 10 17 7" xfId="24518" xr:uid="{00000000-0005-0000-0000-0000C5870000}"/>
    <cellStyle name="Porcentual 2 10 18" xfId="24519" xr:uid="{00000000-0005-0000-0000-0000C6870000}"/>
    <cellStyle name="Porcentual 2 10 18 2" xfId="24520" xr:uid="{00000000-0005-0000-0000-0000C7870000}"/>
    <cellStyle name="Porcentual 2 10 18 3" xfId="24521" xr:uid="{00000000-0005-0000-0000-0000C8870000}"/>
    <cellStyle name="Porcentual 2 10 18 4" xfId="24522" xr:uid="{00000000-0005-0000-0000-0000C9870000}"/>
    <cellStyle name="Porcentual 2 10 18 5" xfId="24523" xr:uid="{00000000-0005-0000-0000-0000CA870000}"/>
    <cellStyle name="Porcentual 2 10 18 6" xfId="24524" xr:uid="{00000000-0005-0000-0000-0000CB870000}"/>
    <cellStyle name="Porcentual 2 10 18 7" xfId="24525" xr:uid="{00000000-0005-0000-0000-0000CC870000}"/>
    <cellStyle name="Porcentual 2 10 19" xfId="24526" xr:uid="{00000000-0005-0000-0000-0000CD870000}"/>
    <cellStyle name="Porcentual 2 10 19 2" xfId="24527" xr:uid="{00000000-0005-0000-0000-0000CE870000}"/>
    <cellStyle name="Porcentual 2 10 19 3" xfId="24528" xr:uid="{00000000-0005-0000-0000-0000CF870000}"/>
    <cellStyle name="Porcentual 2 10 19 4" xfId="24529" xr:uid="{00000000-0005-0000-0000-0000D0870000}"/>
    <cellStyle name="Porcentual 2 10 19 5" xfId="24530" xr:uid="{00000000-0005-0000-0000-0000D1870000}"/>
    <cellStyle name="Porcentual 2 10 19 6" xfId="24531" xr:uid="{00000000-0005-0000-0000-0000D2870000}"/>
    <cellStyle name="Porcentual 2 10 19 7" xfId="24532" xr:uid="{00000000-0005-0000-0000-0000D3870000}"/>
    <cellStyle name="Porcentual 2 10 2" xfId="24533" xr:uid="{00000000-0005-0000-0000-0000D4870000}"/>
    <cellStyle name="Porcentual 2 10 2 2" xfId="24534" xr:uid="{00000000-0005-0000-0000-0000D5870000}"/>
    <cellStyle name="Porcentual 2 10 2 2 2" xfId="24535" xr:uid="{00000000-0005-0000-0000-0000D6870000}"/>
    <cellStyle name="Porcentual 2 10 2 2 3" xfId="24536" xr:uid="{00000000-0005-0000-0000-0000D7870000}"/>
    <cellStyle name="Porcentual 2 10 2 2 4" xfId="24537" xr:uid="{00000000-0005-0000-0000-0000D8870000}"/>
    <cellStyle name="Porcentual 2 10 2 2 5" xfId="24538" xr:uid="{00000000-0005-0000-0000-0000D9870000}"/>
    <cellStyle name="Porcentual 2 10 2 2 6" xfId="24539" xr:uid="{00000000-0005-0000-0000-0000DA870000}"/>
    <cellStyle name="Porcentual 2 10 2 2 7" xfId="24540" xr:uid="{00000000-0005-0000-0000-0000DB870000}"/>
    <cellStyle name="Porcentual 2 10 2 3" xfId="24541" xr:uid="{00000000-0005-0000-0000-0000DC870000}"/>
    <cellStyle name="Porcentual 2 10 2 4" xfId="24542" xr:uid="{00000000-0005-0000-0000-0000DD870000}"/>
    <cellStyle name="Porcentual 2 10 2 5" xfId="24543" xr:uid="{00000000-0005-0000-0000-0000DE870000}"/>
    <cellStyle name="Porcentual 2 10 2 6" xfId="24544" xr:uid="{00000000-0005-0000-0000-0000DF870000}"/>
    <cellStyle name="Porcentual 2 10 2 7" xfId="24545" xr:uid="{00000000-0005-0000-0000-0000E0870000}"/>
    <cellStyle name="Porcentual 2 10 2 8" xfId="24546" xr:uid="{00000000-0005-0000-0000-0000E1870000}"/>
    <cellStyle name="Porcentual 2 10 20" xfId="24547" xr:uid="{00000000-0005-0000-0000-0000E2870000}"/>
    <cellStyle name="Porcentual 2 10 20 2" xfId="24548" xr:uid="{00000000-0005-0000-0000-0000E3870000}"/>
    <cellStyle name="Porcentual 2 10 20 3" xfId="24549" xr:uid="{00000000-0005-0000-0000-0000E4870000}"/>
    <cellStyle name="Porcentual 2 10 20 4" xfId="24550" xr:uid="{00000000-0005-0000-0000-0000E5870000}"/>
    <cellStyle name="Porcentual 2 10 20 5" xfId="24551" xr:uid="{00000000-0005-0000-0000-0000E6870000}"/>
    <cellStyle name="Porcentual 2 10 20 6" xfId="24552" xr:uid="{00000000-0005-0000-0000-0000E7870000}"/>
    <cellStyle name="Porcentual 2 10 20 7" xfId="24553" xr:uid="{00000000-0005-0000-0000-0000E8870000}"/>
    <cellStyle name="Porcentual 2 10 21" xfId="24554" xr:uid="{00000000-0005-0000-0000-0000E9870000}"/>
    <cellStyle name="Porcentual 2 10 21 2" xfId="24555" xr:uid="{00000000-0005-0000-0000-0000EA870000}"/>
    <cellStyle name="Porcentual 2 10 21 3" xfId="24556" xr:uid="{00000000-0005-0000-0000-0000EB870000}"/>
    <cellStyle name="Porcentual 2 10 21 4" xfId="24557" xr:uid="{00000000-0005-0000-0000-0000EC870000}"/>
    <cellStyle name="Porcentual 2 10 21 5" xfId="24558" xr:uid="{00000000-0005-0000-0000-0000ED870000}"/>
    <cellStyle name="Porcentual 2 10 21 6" xfId="24559" xr:uid="{00000000-0005-0000-0000-0000EE870000}"/>
    <cellStyle name="Porcentual 2 10 21 7" xfId="24560" xr:uid="{00000000-0005-0000-0000-0000EF870000}"/>
    <cellStyle name="Porcentual 2 10 22" xfId="24561" xr:uid="{00000000-0005-0000-0000-0000F0870000}"/>
    <cellStyle name="Porcentual 2 10 22 2" xfId="24562" xr:uid="{00000000-0005-0000-0000-0000F1870000}"/>
    <cellStyle name="Porcentual 2 10 22 3" xfId="24563" xr:uid="{00000000-0005-0000-0000-0000F2870000}"/>
    <cellStyle name="Porcentual 2 10 22 4" xfId="24564" xr:uid="{00000000-0005-0000-0000-0000F3870000}"/>
    <cellStyle name="Porcentual 2 10 22 5" xfId="24565" xr:uid="{00000000-0005-0000-0000-0000F4870000}"/>
    <cellStyle name="Porcentual 2 10 22 6" xfId="24566" xr:uid="{00000000-0005-0000-0000-0000F5870000}"/>
    <cellStyle name="Porcentual 2 10 22 7" xfId="24567" xr:uid="{00000000-0005-0000-0000-0000F6870000}"/>
    <cellStyle name="Porcentual 2 10 23" xfId="24568" xr:uid="{00000000-0005-0000-0000-0000F7870000}"/>
    <cellStyle name="Porcentual 2 10 23 2" xfId="24569" xr:uid="{00000000-0005-0000-0000-0000F8870000}"/>
    <cellStyle name="Porcentual 2 10 23 3" xfId="24570" xr:uid="{00000000-0005-0000-0000-0000F9870000}"/>
    <cellStyle name="Porcentual 2 10 23 4" xfId="24571" xr:uid="{00000000-0005-0000-0000-0000FA870000}"/>
    <cellStyle name="Porcentual 2 10 23 5" xfId="24572" xr:uid="{00000000-0005-0000-0000-0000FB870000}"/>
    <cellStyle name="Porcentual 2 10 23 6" xfId="24573" xr:uid="{00000000-0005-0000-0000-0000FC870000}"/>
    <cellStyle name="Porcentual 2 10 23 7" xfId="24574" xr:uid="{00000000-0005-0000-0000-0000FD870000}"/>
    <cellStyle name="Porcentual 2 10 24" xfId="24575" xr:uid="{00000000-0005-0000-0000-0000FE870000}"/>
    <cellStyle name="Porcentual 2 10 24 2" xfId="24576" xr:uid="{00000000-0005-0000-0000-0000FF870000}"/>
    <cellStyle name="Porcentual 2 10 24 3" xfId="24577" xr:uid="{00000000-0005-0000-0000-000000880000}"/>
    <cellStyle name="Porcentual 2 10 24 4" xfId="24578" xr:uid="{00000000-0005-0000-0000-000001880000}"/>
    <cellStyle name="Porcentual 2 10 24 5" xfId="24579" xr:uid="{00000000-0005-0000-0000-000002880000}"/>
    <cellStyle name="Porcentual 2 10 24 6" xfId="24580" xr:uid="{00000000-0005-0000-0000-000003880000}"/>
    <cellStyle name="Porcentual 2 10 24 7" xfId="24581" xr:uid="{00000000-0005-0000-0000-000004880000}"/>
    <cellStyle name="Porcentual 2 10 25" xfId="24582" xr:uid="{00000000-0005-0000-0000-000005880000}"/>
    <cellStyle name="Porcentual 2 10 25 2" xfId="24583" xr:uid="{00000000-0005-0000-0000-000006880000}"/>
    <cellStyle name="Porcentual 2 10 25 3" xfId="24584" xr:uid="{00000000-0005-0000-0000-000007880000}"/>
    <cellStyle name="Porcentual 2 10 25 4" xfId="24585" xr:uid="{00000000-0005-0000-0000-000008880000}"/>
    <cellStyle name="Porcentual 2 10 25 5" xfId="24586" xr:uid="{00000000-0005-0000-0000-000009880000}"/>
    <cellStyle name="Porcentual 2 10 25 6" xfId="24587" xr:uid="{00000000-0005-0000-0000-00000A880000}"/>
    <cellStyle name="Porcentual 2 10 25 7" xfId="24588" xr:uid="{00000000-0005-0000-0000-00000B880000}"/>
    <cellStyle name="Porcentual 2 10 26" xfId="24589" xr:uid="{00000000-0005-0000-0000-00000C880000}"/>
    <cellStyle name="Porcentual 2 10 26 2" xfId="24590" xr:uid="{00000000-0005-0000-0000-00000D880000}"/>
    <cellStyle name="Porcentual 2 10 26 3" xfId="24591" xr:uid="{00000000-0005-0000-0000-00000E880000}"/>
    <cellStyle name="Porcentual 2 10 26 4" xfId="24592" xr:uid="{00000000-0005-0000-0000-00000F880000}"/>
    <cellStyle name="Porcentual 2 10 26 5" xfId="24593" xr:uid="{00000000-0005-0000-0000-000010880000}"/>
    <cellStyle name="Porcentual 2 10 26 6" xfId="24594" xr:uid="{00000000-0005-0000-0000-000011880000}"/>
    <cellStyle name="Porcentual 2 10 26 7" xfId="24595" xr:uid="{00000000-0005-0000-0000-000012880000}"/>
    <cellStyle name="Porcentual 2 10 27" xfId="24596" xr:uid="{00000000-0005-0000-0000-000013880000}"/>
    <cellStyle name="Porcentual 2 10 27 2" xfId="24597" xr:uid="{00000000-0005-0000-0000-000014880000}"/>
    <cellStyle name="Porcentual 2 10 27 3" xfId="24598" xr:uid="{00000000-0005-0000-0000-000015880000}"/>
    <cellStyle name="Porcentual 2 10 27 4" xfId="24599" xr:uid="{00000000-0005-0000-0000-000016880000}"/>
    <cellStyle name="Porcentual 2 10 27 5" xfId="24600" xr:uid="{00000000-0005-0000-0000-000017880000}"/>
    <cellStyle name="Porcentual 2 10 27 6" xfId="24601" xr:uid="{00000000-0005-0000-0000-000018880000}"/>
    <cellStyle name="Porcentual 2 10 27 7" xfId="24602" xr:uid="{00000000-0005-0000-0000-000019880000}"/>
    <cellStyle name="Porcentual 2 10 28" xfId="24603" xr:uid="{00000000-0005-0000-0000-00001A880000}"/>
    <cellStyle name="Porcentual 2 10 28 2" xfId="24604" xr:uid="{00000000-0005-0000-0000-00001B880000}"/>
    <cellStyle name="Porcentual 2 10 28 3" xfId="24605" xr:uid="{00000000-0005-0000-0000-00001C880000}"/>
    <cellStyle name="Porcentual 2 10 28 4" xfId="24606" xr:uid="{00000000-0005-0000-0000-00001D880000}"/>
    <cellStyle name="Porcentual 2 10 28 5" xfId="24607" xr:uid="{00000000-0005-0000-0000-00001E880000}"/>
    <cellStyle name="Porcentual 2 10 28 6" xfId="24608" xr:uid="{00000000-0005-0000-0000-00001F880000}"/>
    <cellStyle name="Porcentual 2 10 28 7" xfId="24609" xr:uid="{00000000-0005-0000-0000-000020880000}"/>
    <cellStyle name="Porcentual 2 10 29" xfId="24610" xr:uid="{00000000-0005-0000-0000-000021880000}"/>
    <cellStyle name="Porcentual 2 10 29 2" xfId="24611" xr:uid="{00000000-0005-0000-0000-000022880000}"/>
    <cellStyle name="Porcentual 2 10 29 3" xfId="24612" xr:uid="{00000000-0005-0000-0000-000023880000}"/>
    <cellStyle name="Porcentual 2 10 29 4" xfId="24613" xr:uid="{00000000-0005-0000-0000-000024880000}"/>
    <cellStyle name="Porcentual 2 10 29 5" xfId="24614" xr:uid="{00000000-0005-0000-0000-000025880000}"/>
    <cellStyle name="Porcentual 2 10 29 6" xfId="24615" xr:uid="{00000000-0005-0000-0000-000026880000}"/>
    <cellStyle name="Porcentual 2 10 29 7" xfId="24616" xr:uid="{00000000-0005-0000-0000-000027880000}"/>
    <cellStyle name="Porcentual 2 10 3" xfId="24617" xr:uid="{00000000-0005-0000-0000-000028880000}"/>
    <cellStyle name="Porcentual 2 10 3 2" xfId="24618" xr:uid="{00000000-0005-0000-0000-000029880000}"/>
    <cellStyle name="Porcentual 2 10 3 2 2" xfId="24619" xr:uid="{00000000-0005-0000-0000-00002A880000}"/>
    <cellStyle name="Porcentual 2 10 3 2 3" xfId="24620" xr:uid="{00000000-0005-0000-0000-00002B880000}"/>
    <cellStyle name="Porcentual 2 10 3 2 4" xfId="24621" xr:uid="{00000000-0005-0000-0000-00002C880000}"/>
    <cellStyle name="Porcentual 2 10 3 2 5" xfId="24622" xr:uid="{00000000-0005-0000-0000-00002D880000}"/>
    <cellStyle name="Porcentual 2 10 3 2 6" xfId="24623" xr:uid="{00000000-0005-0000-0000-00002E880000}"/>
    <cellStyle name="Porcentual 2 10 3 2 7" xfId="24624" xr:uid="{00000000-0005-0000-0000-00002F880000}"/>
    <cellStyle name="Porcentual 2 10 3 3" xfId="24625" xr:uid="{00000000-0005-0000-0000-000030880000}"/>
    <cellStyle name="Porcentual 2 10 3 4" xfId="24626" xr:uid="{00000000-0005-0000-0000-000031880000}"/>
    <cellStyle name="Porcentual 2 10 3 5" xfId="24627" xr:uid="{00000000-0005-0000-0000-000032880000}"/>
    <cellStyle name="Porcentual 2 10 3 6" xfId="24628" xr:uid="{00000000-0005-0000-0000-000033880000}"/>
    <cellStyle name="Porcentual 2 10 3 7" xfId="24629" xr:uid="{00000000-0005-0000-0000-000034880000}"/>
    <cellStyle name="Porcentual 2 10 3 8" xfId="24630" xr:uid="{00000000-0005-0000-0000-000035880000}"/>
    <cellStyle name="Porcentual 2 10 30" xfId="24631" xr:uid="{00000000-0005-0000-0000-000036880000}"/>
    <cellStyle name="Porcentual 2 10 30 2" xfId="24632" xr:uid="{00000000-0005-0000-0000-000037880000}"/>
    <cellStyle name="Porcentual 2 10 30 3" xfId="24633" xr:uid="{00000000-0005-0000-0000-000038880000}"/>
    <cellStyle name="Porcentual 2 10 30 4" xfId="24634" xr:uid="{00000000-0005-0000-0000-000039880000}"/>
    <cellStyle name="Porcentual 2 10 30 5" xfId="24635" xr:uid="{00000000-0005-0000-0000-00003A880000}"/>
    <cellStyle name="Porcentual 2 10 30 6" xfId="24636" xr:uid="{00000000-0005-0000-0000-00003B880000}"/>
    <cellStyle name="Porcentual 2 10 30 7" xfId="24637" xr:uid="{00000000-0005-0000-0000-00003C880000}"/>
    <cellStyle name="Porcentual 2 10 31" xfId="24638" xr:uid="{00000000-0005-0000-0000-00003D880000}"/>
    <cellStyle name="Porcentual 2 10 31 2" xfId="24639" xr:uid="{00000000-0005-0000-0000-00003E880000}"/>
    <cellStyle name="Porcentual 2 10 31 3" xfId="24640" xr:uid="{00000000-0005-0000-0000-00003F880000}"/>
    <cellStyle name="Porcentual 2 10 31 4" xfId="24641" xr:uid="{00000000-0005-0000-0000-000040880000}"/>
    <cellStyle name="Porcentual 2 10 31 5" xfId="24642" xr:uid="{00000000-0005-0000-0000-000041880000}"/>
    <cellStyle name="Porcentual 2 10 31 6" xfId="24643" xr:uid="{00000000-0005-0000-0000-000042880000}"/>
    <cellStyle name="Porcentual 2 10 31 7" xfId="24644" xr:uid="{00000000-0005-0000-0000-000043880000}"/>
    <cellStyle name="Porcentual 2 10 32" xfId="24645" xr:uid="{00000000-0005-0000-0000-000044880000}"/>
    <cellStyle name="Porcentual 2 10 32 2" xfId="24646" xr:uid="{00000000-0005-0000-0000-000045880000}"/>
    <cellStyle name="Porcentual 2 10 32 3" xfId="24647" xr:uid="{00000000-0005-0000-0000-000046880000}"/>
    <cellStyle name="Porcentual 2 10 32 4" xfId="24648" xr:uid="{00000000-0005-0000-0000-000047880000}"/>
    <cellStyle name="Porcentual 2 10 32 5" xfId="24649" xr:uid="{00000000-0005-0000-0000-000048880000}"/>
    <cellStyle name="Porcentual 2 10 32 6" xfId="24650" xr:uid="{00000000-0005-0000-0000-000049880000}"/>
    <cellStyle name="Porcentual 2 10 32 7" xfId="24651" xr:uid="{00000000-0005-0000-0000-00004A880000}"/>
    <cellStyle name="Porcentual 2 10 33" xfId="24652" xr:uid="{00000000-0005-0000-0000-00004B880000}"/>
    <cellStyle name="Porcentual 2 10 33 2" xfId="24653" xr:uid="{00000000-0005-0000-0000-00004C880000}"/>
    <cellStyle name="Porcentual 2 10 33 3" xfId="24654" xr:uid="{00000000-0005-0000-0000-00004D880000}"/>
    <cellStyle name="Porcentual 2 10 33 4" xfId="24655" xr:uid="{00000000-0005-0000-0000-00004E880000}"/>
    <cellStyle name="Porcentual 2 10 33 5" xfId="24656" xr:uid="{00000000-0005-0000-0000-00004F880000}"/>
    <cellStyle name="Porcentual 2 10 33 6" xfId="24657" xr:uid="{00000000-0005-0000-0000-000050880000}"/>
    <cellStyle name="Porcentual 2 10 33 7" xfId="24658" xr:uid="{00000000-0005-0000-0000-000051880000}"/>
    <cellStyle name="Porcentual 2 10 34" xfId="24659" xr:uid="{00000000-0005-0000-0000-000052880000}"/>
    <cellStyle name="Porcentual 2 10 34 2" xfId="24660" xr:uid="{00000000-0005-0000-0000-000053880000}"/>
    <cellStyle name="Porcentual 2 10 34 3" xfId="24661" xr:uid="{00000000-0005-0000-0000-000054880000}"/>
    <cellStyle name="Porcentual 2 10 34 4" xfId="24662" xr:uid="{00000000-0005-0000-0000-000055880000}"/>
    <cellStyle name="Porcentual 2 10 34 5" xfId="24663" xr:uid="{00000000-0005-0000-0000-000056880000}"/>
    <cellStyle name="Porcentual 2 10 34 6" xfId="24664" xr:uid="{00000000-0005-0000-0000-000057880000}"/>
    <cellStyle name="Porcentual 2 10 34 7" xfId="24665" xr:uid="{00000000-0005-0000-0000-000058880000}"/>
    <cellStyle name="Porcentual 2 10 35" xfId="24666" xr:uid="{00000000-0005-0000-0000-000059880000}"/>
    <cellStyle name="Porcentual 2 10 35 2" xfId="24667" xr:uid="{00000000-0005-0000-0000-00005A880000}"/>
    <cellStyle name="Porcentual 2 10 35 3" xfId="24668" xr:uid="{00000000-0005-0000-0000-00005B880000}"/>
    <cellStyle name="Porcentual 2 10 35 4" xfId="24669" xr:uid="{00000000-0005-0000-0000-00005C880000}"/>
    <cellStyle name="Porcentual 2 10 35 5" xfId="24670" xr:uid="{00000000-0005-0000-0000-00005D880000}"/>
    <cellStyle name="Porcentual 2 10 35 6" xfId="24671" xr:uid="{00000000-0005-0000-0000-00005E880000}"/>
    <cellStyle name="Porcentual 2 10 35 7" xfId="24672" xr:uid="{00000000-0005-0000-0000-00005F880000}"/>
    <cellStyle name="Porcentual 2 10 36" xfId="24673" xr:uid="{00000000-0005-0000-0000-000060880000}"/>
    <cellStyle name="Porcentual 2 10 37" xfId="24674" xr:uid="{00000000-0005-0000-0000-000061880000}"/>
    <cellStyle name="Porcentual 2 10 38" xfId="24675" xr:uid="{00000000-0005-0000-0000-000062880000}"/>
    <cellStyle name="Porcentual 2 10 39" xfId="24676" xr:uid="{00000000-0005-0000-0000-000063880000}"/>
    <cellStyle name="Porcentual 2 10 4" xfId="24677" xr:uid="{00000000-0005-0000-0000-000064880000}"/>
    <cellStyle name="Porcentual 2 10 4 2" xfId="24678" xr:uid="{00000000-0005-0000-0000-000065880000}"/>
    <cellStyle name="Porcentual 2 10 4 2 2" xfId="24679" xr:uid="{00000000-0005-0000-0000-000066880000}"/>
    <cellStyle name="Porcentual 2 10 4 2 3" xfId="24680" xr:uid="{00000000-0005-0000-0000-000067880000}"/>
    <cellStyle name="Porcentual 2 10 4 2 4" xfId="24681" xr:uid="{00000000-0005-0000-0000-000068880000}"/>
    <cellStyle name="Porcentual 2 10 4 2 5" xfId="24682" xr:uid="{00000000-0005-0000-0000-000069880000}"/>
    <cellStyle name="Porcentual 2 10 4 2 6" xfId="24683" xr:uid="{00000000-0005-0000-0000-00006A880000}"/>
    <cellStyle name="Porcentual 2 10 4 2 7" xfId="24684" xr:uid="{00000000-0005-0000-0000-00006B880000}"/>
    <cellStyle name="Porcentual 2 10 4 3" xfId="24685" xr:uid="{00000000-0005-0000-0000-00006C880000}"/>
    <cellStyle name="Porcentual 2 10 4 4" xfId="24686" xr:uid="{00000000-0005-0000-0000-00006D880000}"/>
    <cellStyle name="Porcentual 2 10 4 5" xfId="24687" xr:uid="{00000000-0005-0000-0000-00006E880000}"/>
    <cellStyle name="Porcentual 2 10 4 6" xfId="24688" xr:uid="{00000000-0005-0000-0000-00006F880000}"/>
    <cellStyle name="Porcentual 2 10 4 7" xfId="24689" xr:uid="{00000000-0005-0000-0000-000070880000}"/>
    <cellStyle name="Porcentual 2 10 4 8" xfId="24690" xr:uid="{00000000-0005-0000-0000-000071880000}"/>
    <cellStyle name="Porcentual 2 10 40" xfId="24691" xr:uid="{00000000-0005-0000-0000-000072880000}"/>
    <cellStyle name="Porcentual 2 10 41" xfId="24692" xr:uid="{00000000-0005-0000-0000-000073880000}"/>
    <cellStyle name="Porcentual 2 10 5" xfId="24693" xr:uid="{00000000-0005-0000-0000-000074880000}"/>
    <cellStyle name="Porcentual 2 10 5 2" xfId="24694" xr:uid="{00000000-0005-0000-0000-000075880000}"/>
    <cellStyle name="Porcentual 2 10 5 2 2" xfId="24695" xr:uid="{00000000-0005-0000-0000-000076880000}"/>
    <cellStyle name="Porcentual 2 10 5 2 3" xfId="24696" xr:uid="{00000000-0005-0000-0000-000077880000}"/>
    <cellStyle name="Porcentual 2 10 5 2 4" xfId="24697" xr:uid="{00000000-0005-0000-0000-000078880000}"/>
    <cellStyle name="Porcentual 2 10 5 2 5" xfId="24698" xr:uid="{00000000-0005-0000-0000-000079880000}"/>
    <cellStyle name="Porcentual 2 10 5 2 6" xfId="24699" xr:uid="{00000000-0005-0000-0000-00007A880000}"/>
    <cellStyle name="Porcentual 2 10 5 2 7" xfId="24700" xr:uid="{00000000-0005-0000-0000-00007B880000}"/>
    <cellStyle name="Porcentual 2 10 5 3" xfId="24701" xr:uid="{00000000-0005-0000-0000-00007C880000}"/>
    <cellStyle name="Porcentual 2 10 5 4" xfId="24702" xr:uid="{00000000-0005-0000-0000-00007D880000}"/>
    <cellStyle name="Porcentual 2 10 5 5" xfId="24703" xr:uid="{00000000-0005-0000-0000-00007E880000}"/>
    <cellStyle name="Porcentual 2 10 5 6" xfId="24704" xr:uid="{00000000-0005-0000-0000-00007F880000}"/>
    <cellStyle name="Porcentual 2 10 5 7" xfId="24705" xr:uid="{00000000-0005-0000-0000-000080880000}"/>
    <cellStyle name="Porcentual 2 10 5 8" xfId="24706" xr:uid="{00000000-0005-0000-0000-000081880000}"/>
    <cellStyle name="Porcentual 2 10 6" xfId="24707" xr:uid="{00000000-0005-0000-0000-000082880000}"/>
    <cellStyle name="Porcentual 2 10 6 2" xfId="24708" xr:uid="{00000000-0005-0000-0000-000083880000}"/>
    <cellStyle name="Porcentual 2 10 6 2 2" xfId="24709" xr:uid="{00000000-0005-0000-0000-000084880000}"/>
    <cellStyle name="Porcentual 2 10 6 2 3" xfId="24710" xr:uid="{00000000-0005-0000-0000-000085880000}"/>
    <cellStyle name="Porcentual 2 10 6 2 4" xfId="24711" xr:uid="{00000000-0005-0000-0000-000086880000}"/>
    <cellStyle name="Porcentual 2 10 6 2 5" xfId="24712" xr:uid="{00000000-0005-0000-0000-000087880000}"/>
    <cellStyle name="Porcentual 2 10 6 2 6" xfId="24713" xr:uid="{00000000-0005-0000-0000-000088880000}"/>
    <cellStyle name="Porcentual 2 10 6 2 7" xfId="24714" xr:uid="{00000000-0005-0000-0000-000089880000}"/>
    <cellStyle name="Porcentual 2 10 6 3" xfId="24715" xr:uid="{00000000-0005-0000-0000-00008A880000}"/>
    <cellStyle name="Porcentual 2 10 6 4" xfId="24716" xr:uid="{00000000-0005-0000-0000-00008B880000}"/>
    <cellStyle name="Porcentual 2 10 6 5" xfId="24717" xr:uid="{00000000-0005-0000-0000-00008C880000}"/>
    <cellStyle name="Porcentual 2 10 6 6" xfId="24718" xr:uid="{00000000-0005-0000-0000-00008D880000}"/>
    <cellStyle name="Porcentual 2 10 6 7" xfId="24719" xr:uid="{00000000-0005-0000-0000-00008E880000}"/>
    <cellStyle name="Porcentual 2 10 6 8" xfId="24720" xr:uid="{00000000-0005-0000-0000-00008F880000}"/>
    <cellStyle name="Porcentual 2 10 7" xfId="24721" xr:uid="{00000000-0005-0000-0000-000090880000}"/>
    <cellStyle name="Porcentual 2 10 7 2" xfId="24722" xr:uid="{00000000-0005-0000-0000-000091880000}"/>
    <cellStyle name="Porcentual 2 10 7 2 2" xfId="24723" xr:uid="{00000000-0005-0000-0000-000092880000}"/>
    <cellStyle name="Porcentual 2 10 7 2 3" xfId="24724" xr:uid="{00000000-0005-0000-0000-000093880000}"/>
    <cellStyle name="Porcentual 2 10 7 2 4" xfId="24725" xr:uid="{00000000-0005-0000-0000-000094880000}"/>
    <cellStyle name="Porcentual 2 10 7 2 5" xfId="24726" xr:uid="{00000000-0005-0000-0000-000095880000}"/>
    <cellStyle name="Porcentual 2 10 7 2 6" xfId="24727" xr:uid="{00000000-0005-0000-0000-000096880000}"/>
    <cellStyle name="Porcentual 2 10 7 2 7" xfId="24728" xr:uid="{00000000-0005-0000-0000-000097880000}"/>
    <cellStyle name="Porcentual 2 10 7 3" xfId="24729" xr:uid="{00000000-0005-0000-0000-000098880000}"/>
    <cellStyle name="Porcentual 2 10 7 4" xfId="24730" xr:uid="{00000000-0005-0000-0000-000099880000}"/>
    <cellStyle name="Porcentual 2 10 7 5" xfId="24731" xr:uid="{00000000-0005-0000-0000-00009A880000}"/>
    <cellStyle name="Porcentual 2 10 7 6" xfId="24732" xr:uid="{00000000-0005-0000-0000-00009B880000}"/>
    <cellStyle name="Porcentual 2 10 7 7" xfId="24733" xr:uid="{00000000-0005-0000-0000-00009C880000}"/>
    <cellStyle name="Porcentual 2 10 7 8" xfId="24734" xr:uid="{00000000-0005-0000-0000-00009D880000}"/>
    <cellStyle name="Porcentual 2 10 8" xfId="24735" xr:uid="{00000000-0005-0000-0000-00009E880000}"/>
    <cellStyle name="Porcentual 2 10 8 2" xfId="24736" xr:uid="{00000000-0005-0000-0000-00009F880000}"/>
    <cellStyle name="Porcentual 2 10 8 2 2" xfId="24737" xr:uid="{00000000-0005-0000-0000-0000A0880000}"/>
    <cellStyle name="Porcentual 2 10 8 2 3" xfId="24738" xr:uid="{00000000-0005-0000-0000-0000A1880000}"/>
    <cellStyle name="Porcentual 2 10 8 2 4" xfId="24739" xr:uid="{00000000-0005-0000-0000-0000A2880000}"/>
    <cellStyle name="Porcentual 2 10 8 2 5" xfId="24740" xr:uid="{00000000-0005-0000-0000-0000A3880000}"/>
    <cellStyle name="Porcentual 2 10 8 2 6" xfId="24741" xr:uid="{00000000-0005-0000-0000-0000A4880000}"/>
    <cellStyle name="Porcentual 2 10 8 2 7" xfId="24742" xr:uid="{00000000-0005-0000-0000-0000A5880000}"/>
    <cellStyle name="Porcentual 2 10 8 3" xfId="24743" xr:uid="{00000000-0005-0000-0000-0000A6880000}"/>
    <cellStyle name="Porcentual 2 10 8 4" xfId="24744" xr:uid="{00000000-0005-0000-0000-0000A7880000}"/>
    <cellStyle name="Porcentual 2 10 8 5" xfId="24745" xr:uid="{00000000-0005-0000-0000-0000A8880000}"/>
    <cellStyle name="Porcentual 2 10 8 6" xfId="24746" xr:uid="{00000000-0005-0000-0000-0000A9880000}"/>
    <cellStyle name="Porcentual 2 10 8 7" xfId="24747" xr:uid="{00000000-0005-0000-0000-0000AA880000}"/>
    <cellStyle name="Porcentual 2 10 8 8" xfId="24748" xr:uid="{00000000-0005-0000-0000-0000AB880000}"/>
    <cellStyle name="Porcentual 2 10 9" xfId="24749" xr:uid="{00000000-0005-0000-0000-0000AC880000}"/>
    <cellStyle name="Porcentual 2 10 9 2" xfId="24750" xr:uid="{00000000-0005-0000-0000-0000AD880000}"/>
    <cellStyle name="Porcentual 2 10 9 2 2" xfId="24751" xr:uid="{00000000-0005-0000-0000-0000AE880000}"/>
    <cellStyle name="Porcentual 2 10 9 2 3" xfId="24752" xr:uid="{00000000-0005-0000-0000-0000AF880000}"/>
    <cellStyle name="Porcentual 2 10 9 2 4" xfId="24753" xr:uid="{00000000-0005-0000-0000-0000B0880000}"/>
    <cellStyle name="Porcentual 2 10 9 2 5" xfId="24754" xr:uid="{00000000-0005-0000-0000-0000B1880000}"/>
    <cellStyle name="Porcentual 2 10 9 2 6" xfId="24755" xr:uid="{00000000-0005-0000-0000-0000B2880000}"/>
    <cellStyle name="Porcentual 2 10 9 2 7" xfId="24756" xr:uid="{00000000-0005-0000-0000-0000B3880000}"/>
    <cellStyle name="Porcentual 2 10 9 3" xfId="24757" xr:uid="{00000000-0005-0000-0000-0000B4880000}"/>
    <cellStyle name="Porcentual 2 10 9 4" xfId="24758" xr:uid="{00000000-0005-0000-0000-0000B5880000}"/>
    <cellStyle name="Porcentual 2 10 9 5" xfId="24759" xr:uid="{00000000-0005-0000-0000-0000B6880000}"/>
    <cellStyle name="Porcentual 2 10 9 6" xfId="24760" xr:uid="{00000000-0005-0000-0000-0000B7880000}"/>
    <cellStyle name="Porcentual 2 10 9 7" xfId="24761" xr:uid="{00000000-0005-0000-0000-0000B8880000}"/>
    <cellStyle name="Porcentual 2 10 9 8" xfId="24762" xr:uid="{00000000-0005-0000-0000-0000B9880000}"/>
    <cellStyle name="Porcentual 2 11" xfId="24763" xr:uid="{00000000-0005-0000-0000-0000BA880000}"/>
    <cellStyle name="Porcentual 2 11 10" xfId="24764" xr:uid="{00000000-0005-0000-0000-0000BB880000}"/>
    <cellStyle name="Porcentual 2 11 10 2" xfId="24765" xr:uid="{00000000-0005-0000-0000-0000BC880000}"/>
    <cellStyle name="Porcentual 2 11 10 2 2" xfId="24766" xr:uid="{00000000-0005-0000-0000-0000BD880000}"/>
    <cellStyle name="Porcentual 2 11 10 2 3" xfId="24767" xr:uid="{00000000-0005-0000-0000-0000BE880000}"/>
    <cellStyle name="Porcentual 2 11 10 2 4" xfId="24768" xr:uid="{00000000-0005-0000-0000-0000BF880000}"/>
    <cellStyle name="Porcentual 2 11 10 2 5" xfId="24769" xr:uid="{00000000-0005-0000-0000-0000C0880000}"/>
    <cellStyle name="Porcentual 2 11 10 2 6" xfId="24770" xr:uid="{00000000-0005-0000-0000-0000C1880000}"/>
    <cellStyle name="Porcentual 2 11 10 2 7" xfId="24771" xr:uid="{00000000-0005-0000-0000-0000C2880000}"/>
    <cellStyle name="Porcentual 2 11 10 3" xfId="24772" xr:uid="{00000000-0005-0000-0000-0000C3880000}"/>
    <cellStyle name="Porcentual 2 11 10 4" xfId="24773" xr:uid="{00000000-0005-0000-0000-0000C4880000}"/>
    <cellStyle name="Porcentual 2 11 10 5" xfId="24774" xr:uid="{00000000-0005-0000-0000-0000C5880000}"/>
    <cellStyle name="Porcentual 2 11 10 6" xfId="24775" xr:uid="{00000000-0005-0000-0000-0000C6880000}"/>
    <cellStyle name="Porcentual 2 11 10 7" xfId="24776" xr:uid="{00000000-0005-0000-0000-0000C7880000}"/>
    <cellStyle name="Porcentual 2 11 10 8" xfId="24777" xr:uid="{00000000-0005-0000-0000-0000C8880000}"/>
    <cellStyle name="Porcentual 2 11 11" xfId="24778" xr:uid="{00000000-0005-0000-0000-0000C9880000}"/>
    <cellStyle name="Porcentual 2 11 11 2" xfId="24779" xr:uid="{00000000-0005-0000-0000-0000CA880000}"/>
    <cellStyle name="Porcentual 2 11 11 2 2" xfId="24780" xr:uid="{00000000-0005-0000-0000-0000CB880000}"/>
    <cellStyle name="Porcentual 2 11 11 2 3" xfId="24781" xr:uid="{00000000-0005-0000-0000-0000CC880000}"/>
    <cellStyle name="Porcentual 2 11 11 2 4" xfId="24782" xr:uid="{00000000-0005-0000-0000-0000CD880000}"/>
    <cellStyle name="Porcentual 2 11 11 2 5" xfId="24783" xr:uid="{00000000-0005-0000-0000-0000CE880000}"/>
    <cellStyle name="Porcentual 2 11 11 2 6" xfId="24784" xr:uid="{00000000-0005-0000-0000-0000CF880000}"/>
    <cellStyle name="Porcentual 2 11 11 2 7" xfId="24785" xr:uid="{00000000-0005-0000-0000-0000D0880000}"/>
    <cellStyle name="Porcentual 2 11 11 3" xfId="24786" xr:uid="{00000000-0005-0000-0000-0000D1880000}"/>
    <cellStyle name="Porcentual 2 11 11 4" xfId="24787" xr:uid="{00000000-0005-0000-0000-0000D2880000}"/>
    <cellStyle name="Porcentual 2 11 11 5" xfId="24788" xr:uid="{00000000-0005-0000-0000-0000D3880000}"/>
    <cellStyle name="Porcentual 2 11 11 6" xfId="24789" xr:uid="{00000000-0005-0000-0000-0000D4880000}"/>
    <cellStyle name="Porcentual 2 11 11 7" xfId="24790" xr:uid="{00000000-0005-0000-0000-0000D5880000}"/>
    <cellStyle name="Porcentual 2 11 11 8" xfId="24791" xr:uid="{00000000-0005-0000-0000-0000D6880000}"/>
    <cellStyle name="Porcentual 2 11 12" xfId="24792" xr:uid="{00000000-0005-0000-0000-0000D7880000}"/>
    <cellStyle name="Porcentual 2 11 12 2" xfId="24793" xr:uid="{00000000-0005-0000-0000-0000D8880000}"/>
    <cellStyle name="Porcentual 2 11 12 2 2" xfId="24794" xr:uid="{00000000-0005-0000-0000-0000D9880000}"/>
    <cellStyle name="Porcentual 2 11 12 2 3" xfId="24795" xr:uid="{00000000-0005-0000-0000-0000DA880000}"/>
    <cellStyle name="Porcentual 2 11 12 2 4" xfId="24796" xr:uid="{00000000-0005-0000-0000-0000DB880000}"/>
    <cellStyle name="Porcentual 2 11 12 2 5" xfId="24797" xr:uid="{00000000-0005-0000-0000-0000DC880000}"/>
    <cellStyle name="Porcentual 2 11 12 2 6" xfId="24798" xr:uid="{00000000-0005-0000-0000-0000DD880000}"/>
    <cellStyle name="Porcentual 2 11 12 2 7" xfId="24799" xr:uid="{00000000-0005-0000-0000-0000DE880000}"/>
    <cellStyle name="Porcentual 2 11 12 3" xfId="24800" xr:uid="{00000000-0005-0000-0000-0000DF880000}"/>
    <cellStyle name="Porcentual 2 11 12 4" xfId="24801" xr:uid="{00000000-0005-0000-0000-0000E0880000}"/>
    <cellStyle name="Porcentual 2 11 12 5" xfId="24802" xr:uid="{00000000-0005-0000-0000-0000E1880000}"/>
    <cellStyle name="Porcentual 2 11 12 6" xfId="24803" xr:uid="{00000000-0005-0000-0000-0000E2880000}"/>
    <cellStyle name="Porcentual 2 11 12 7" xfId="24804" xr:uid="{00000000-0005-0000-0000-0000E3880000}"/>
    <cellStyle name="Porcentual 2 11 12 8" xfId="24805" xr:uid="{00000000-0005-0000-0000-0000E4880000}"/>
    <cellStyle name="Porcentual 2 11 13" xfId="24806" xr:uid="{00000000-0005-0000-0000-0000E5880000}"/>
    <cellStyle name="Porcentual 2 11 13 2" xfId="24807" xr:uid="{00000000-0005-0000-0000-0000E6880000}"/>
    <cellStyle name="Porcentual 2 11 13 2 2" xfId="24808" xr:uid="{00000000-0005-0000-0000-0000E7880000}"/>
    <cellStyle name="Porcentual 2 11 13 2 3" xfId="24809" xr:uid="{00000000-0005-0000-0000-0000E8880000}"/>
    <cellStyle name="Porcentual 2 11 13 2 4" xfId="24810" xr:uid="{00000000-0005-0000-0000-0000E9880000}"/>
    <cellStyle name="Porcentual 2 11 13 2 5" xfId="24811" xr:uid="{00000000-0005-0000-0000-0000EA880000}"/>
    <cellStyle name="Porcentual 2 11 13 2 6" xfId="24812" xr:uid="{00000000-0005-0000-0000-0000EB880000}"/>
    <cellStyle name="Porcentual 2 11 13 2 7" xfId="24813" xr:uid="{00000000-0005-0000-0000-0000EC880000}"/>
    <cellStyle name="Porcentual 2 11 13 3" xfId="24814" xr:uid="{00000000-0005-0000-0000-0000ED880000}"/>
    <cellStyle name="Porcentual 2 11 13 4" xfId="24815" xr:uid="{00000000-0005-0000-0000-0000EE880000}"/>
    <cellStyle name="Porcentual 2 11 13 5" xfId="24816" xr:uid="{00000000-0005-0000-0000-0000EF880000}"/>
    <cellStyle name="Porcentual 2 11 13 6" xfId="24817" xr:uid="{00000000-0005-0000-0000-0000F0880000}"/>
    <cellStyle name="Porcentual 2 11 13 7" xfId="24818" xr:uid="{00000000-0005-0000-0000-0000F1880000}"/>
    <cellStyle name="Porcentual 2 11 13 8" xfId="24819" xr:uid="{00000000-0005-0000-0000-0000F2880000}"/>
    <cellStyle name="Porcentual 2 11 14" xfId="24820" xr:uid="{00000000-0005-0000-0000-0000F3880000}"/>
    <cellStyle name="Porcentual 2 11 14 2" xfId="24821" xr:uid="{00000000-0005-0000-0000-0000F4880000}"/>
    <cellStyle name="Porcentual 2 11 14 2 2" xfId="24822" xr:uid="{00000000-0005-0000-0000-0000F5880000}"/>
    <cellStyle name="Porcentual 2 11 14 2 3" xfId="24823" xr:uid="{00000000-0005-0000-0000-0000F6880000}"/>
    <cellStyle name="Porcentual 2 11 14 2 4" xfId="24824" xr:uid="{00000000-0005-0000-0000-0000F7880000}"/>
    <cellStyle name="Porcentual 2 11 14 2 5" xfId="24825" xr:uid="{00000000-0005-0000-0000-0000F8880000}"/>
    <cellStyle name="Porcentual 2 11 14 2 6" xfId="24826" xr:uid="{00000000-0005-0000-0000-0000F9880000}"/>
    <cellStyle name="Porcentual 2 11 14 2 7" xfId="24827" xr:uid="{00000000-0005-0000-0000-0000FA880000}"/>
    <cellStyle name="Porcentual 2 11 14 3" xfId="24828" xr:uid="{00000000-0005-0000-0000-0000FB880000}"/>
    <cellStyle name="Porcentual 2 11 14 4" xfId="24829" xr:uid="{00000000-0005-0000-0000-0000FC880000}"/>
    <cellStyle name="Porcentual 2 11 14 5" xfId="24830" xr:uid="{00000000-0005-0000-0000-0000FD880000}"/>
    <cellStyle name="Porcentual 2 11 14 6" xfId="24831" xr:uid="{00000000-0005-0000-0000-0000FE880000}"/>
    <cellStyle name="Porcentual 2 11 14 7" xfId="24832" xr:uid="{00000000-0005-0000-0000-0000FF880000}"/>
    <cellStyle name="Porcentual 2 11 14 8" xfId="24833" xr:uid="{00000000-0005-0000-0000-000000890000}"/>
    <cellStyle name="Porcentual 2 11 15" xfId="24834" xr:uid="{00000000-0005-0000-0000-000001890000}"/>
    <cellStyle name="Porcentual 2 11 15 2" xfId="24835" xr:uid="{00000000-0005-0000-0000-000002890000}"/>
    <cellStyle name="Porcentual 2 11 15 2 2" xfId="24836" xr:uid="{00000000-0005-0000-0000-000003890000}"/>
    <cellStyle name="Porcentual 2 11 15 2 3" xfId="24837" xr:uid="{00000000-0005-0000-0000-000004890000}"/>
    <cellStyle name="Porcentual 2 11 15 2 4" xfId="24838" xr:uid="{00000000-0005-0000-0000-000005890000}"/>
    <cellStyle name="Porcentual 2 11 15 2 5" xfId="24839" xr:uid="{00000000-0005-0000-0000-000006890000}"/>
    <cellStyle name="Porcentual 2 11 15 2 6" xfId="24840" xr:uid="{00000000-0005-0000-0000-000007890000}"/>
    <cellStyle name="Porcentual 2 11 15 2 7" xfId="24841" xr:uid="{00000000-0005-0000-0000-000008890000}"/>
    <cellStyle name="Porcentual 2 11 15 3" xfId="24842" xr:uid="{00000000-0005-0000-0000-000009890000}"/>
    <cellStyle name="Porcentual 2 11 15 4" xfId="24843" xr:uid="{00000000-0005-0000-0000-00000A890000}"/>
    <cellStyle name="Porcentual 2 11 15 5" xfId="24844" xr:uid="{00000000-0005-0000-0000-00000B890000}"/>
    <cellStyle name="Porcentual 2 11 15 6" xfId="24845" xr:uid="{00000000-0005-0000-0000-00000C890000}"/>
    <cellStyle name="Porcentual 2 11 15 7" xfId="24846" xr:uid="{00000000-0005-0000-0000-00000D890000}"/>
    <cellStyle name="Porcentual 2 11 15 8" xfId="24847" xr:uid="{00000000-0005-0000-0000-00000E890000}"/>
    <cellStyle name="Porcentual 2 11 16" xfId="24848" xr:uid="{00000000-0005-0000-0000-00000F890000}"/>
    <cellStyle name="Porcentual 2 11 16 2" xfId="24849" xr:uid="{00000000-0005-0000-0000-000010890000}"/>
    <cellStyle name="Porcentual 2 11 16 3" xfId="24850" xr:uid="{00000000-0005-0000-0000-000011890000}"/>
    <cellStyle name="Porcentual 2 11 16 4" xfId="24851" xr:uid="{00000000-0005-0000-0000-000012890000}"/>
    <cellStyle name="Porcentual 2 11 16 5" xfId="24852" xr:uid="{00000000-0005-0000-0000-000013890000}"/>
    <cellStyle name="Porcentual 2 11 16 6" xfId="24853" xr:uid="{00000000-0005-0000-0000-000014890000}"/>
    <cellStyle name="Porcentual 2 11 16 7" xfId="24854" xr:uid="{00000000-0005-0000-0000-000015890000}"/>
    <cellStyle name="Porcentual 2 11 17" xfId="24855" xr:uid="{00000000-0005-0000-0000-000016890000}"/>
    <cellStyle name="Porcentual 2 11 17 2" xfId="24856" xr:uid="{00000000-0005-0000-0000-000017890000}"/>
    <cellStyle name="Porcentual 2 11 17 3" xfId="24857" xr:uid="{00000000-0005-0000-0000-000018890000}"/>
    <cellStyle name="Porcentual 2 11 17 4" xfId="24858" xr:uid="{00000000-0005-0000-0000-000019890000}"/>
    <cellStyle name="Porcentual 2 11 17 5" xfId="24859" xr:uid="{00000000-0005-0000-0000-00001A890000}"/>
    <cellStyle name="Porcentual 2 11 17 6" xfId="24860" xr:uid="{00000000-0005-0000-0000-00001B890000}"/>
    <cellStyle name="Porcentual 2 11 17 7" xfId="24861" xr:uid="{00000000-0005-0000-0000-00001C890000}"/>
    <cellStyle name="Porcentual 2 11 18" xfId="24862" xr:uid="{00000000-0005-0000-0000-00001D890000}"/>
    <cellStyle name="Porcentual 2 11 18 2" xfId="24863" xr:uid="{00000000-0005-0000-0000-00001E890000}"/>
    <cellStyle name="Porcentual 2 11 18 3" xfId="24864" xr:uid="{00000000-0005-0000-0000-00001F890000}"/>
    <cellStyle name="Porcentual 2 11 18 4" xfId="24865" xr:uid="{00000000-0005-0000-0000-000020890000}"/>
    <cellStyle name="Porcentual 2 11 18 5" xfId="24866" xr:uid="{00000000-0005-0000-0000-000021890000}"/>
    <cellStyle name="Porcentual 2 11 18 6" xfId="24867" xr:uid="{00000000-0005-0000-0000-000022890000}"/>
    <cellStyle name="Porcentual 2 11 18 7" xfId="24868" xr:uid="{00000000-0005-0000-0000-000023890000}"/>
    <cellStyle name="Porcentual 2 11 19" xfId="24869" xr:uid="{00000000-0005-0000-0000-000024890000}"/>
    <cellStyle name="Porcentual 2 11 19 2" xfId="24870" xr:uid="{00000000-0005-0000-0000-000025890000}"/>
    <cellStyle name="Porcentual 2 11 19 3" xfId="24871" xr:uid="{00000000-0005-0000-0000-000026890000}"/>
    <cellStyle name="Porcentual 2 11 19 4" xfId="24872" xr:uid="{00000000-0005-0000-0000-000027890000}"/>
    <cellStyle name="Porcentual 2 11 19 5" xfId="24873" xr:uid="{00000000-0005-0000-0000-000028890000}"/>
    <cellStyle name="Porcentual 2 11 19 6" xfId="24874" xr:uid="{00000000-0005-0000-0000-000029890000}"/>
    <cellStyle name="Porcentual 2 11 19 7" xfId="24875" xr:uid="{00000000-0005-0000-0000-00002A890000}"/>
    <cellStyle name="Porcentual 2 11 2" xfId="24876" xr:uid="{00000000-0005-0000-0000-00002B890000}"/>
    <cellStyle name="Porcentual 2 11 2 2" xfId="24877" xr:uid="{00000000-0005-0000-0000-00002C890000}"/>
    <cellStyle name="Porcentual 2 11 2 2 2" xfId="24878" xr:uid="{00000000-0005-0000-0000-00002D890000}"/>
    <cellStyle name="Porcentual 2 11 2 2 3" xfId="24879" xr:uid="{00000000-0005-0000-0000-00002E890000}"/>
    <cellStyle name="Porcentual 2 11 2 2 4" xfId="24880" xr:uid="{00000000-0005-0000-0000-00002F890000}"/>
    <cellStyle name="Porcentual 2 11 2 2 5" xfId="24881" xr:uid="{00000000-0005-0000-0000-000030890000}"/>
    <cellStyle name="Porcentual 2 11 2 2 6" xfId="24882" xr:uid="{00000000-0005-0000-0000-000031890000}"/>
    <cellStyle name="Porcentual 2 11 2 2 7" xfId="24883" xr:uid="{00000000-0005-0000-0000-000032890000}"/>
    <cellStyle name="Porcentual 2 11 2 3" xfId="24884" xr:uid="{00000000-0005-0000-0000-000033890000}"/>
    <cellStyle name="Porcentual 2 11 2 4" xfId="24885" xr:uid="{00000000-0005-0000-0000-000034890000}"/>
    <cellStyle name="Porcentual 2 11 2 5" xfId="24886" xr:uid="{00000000-0005-0000-0000-000035890000}"/>
    <cellStyle name="Porcentual 2 11 2 6" xfId="24887" xr:uid="{00000000-0005-0000-0000-000036890000}"/>
    <cellStyle name="Porcentual 2 11 2 7" xfId="24888" xr:uid="{00000000-0005-0000-0000-000037890000}"/>
    <cellStyle name="Porcentual 2 11 2 8" xfId="24889" xr:uid="{00000000-0005-0000-0000-000038890000}"/>
    <cellStyle name="Porcentual 2 11 20" xfId="24890" xr:uid="{00000000-0005-0000-0000-000039890000}"/>
    <cellStyle name="Porcentual 2 11 20 2" xfId="24891" xr:uid="{00000000-0005-0000-0000-00003A890000}"/>
    <cellStyle name="Porcentual 2 11 20 3" xfId="24892" xr:uid="{00000000-0005-0000-0000-00003B890000}"/>
    <cellStyle name="Porcentual 2 11 20 4" xfId="24893" xr:uid="{00000000-0005-0000-0000-00003C890000}"/>
    <cellStyle name="Porcentual 2 11 20 5" xfId="24894" xr:uid="{00000000-0005-0000-0000-00003D890000}"/>
    <cellStyle name="Porcentual 2 11 20 6" xfId="24895" xr:uid="{00000000-0005-0000-0000-00003E890000}"/>
    <cellStyle name="Porcentual 2 11 20 7" xfId="24896" xr:uid="{00000000-0005-0000-0000-00003F890000}"/>
    <cellStyle name="Porcentual 2 11 21" xfId="24897" xr:uid="{00000000-0005-0000-0000-000040890000}"/>
    <cellStyle name="Porcentual 2 11 21 2" xfId="24898" xr:uid="{00000000-0005-0000-0000-000041890000}"/>
    <cellStyle name="Porcentual 2 11 21 3" xfId="24899" xr:uid="{00000000-0005-0000-0000-000042890000}"/>
    <cellStyle name="Porcentual 2 11 21 4" xfId="24900" xr:uid="{00000000-0005-0000-0000-000043890000}"/>
    <cellStyle name="Porcentual 2 11 21 5" xfId="24901" xr:uid="{00000000-0005-0000-0000-000044890000}"/>
    <cellStyle name="Porcentual 2 11 21 6" xfId="24902" xr:uid="{00000000-0005-0000-0000-000045890000}"/>
    <cellStyle name="Porcentual 2 11 21 7" xfId="24903" xr:uid="{00000000-0005-0000-0000-000046890000}"/>
    <cellStyle name="Porcentual 2 11 22" xfId="24904" xr:uid="{00000000-0005-0000-0000-000047890000}"/>
    <cellStyle name="Porcentual 2 11 22 2" xfId="24905" xr:uid="{00000000-0005-0000-0000-000048890000}"/>
    <cellStyle name="Porcentual 2 11 22 3" xfId="24906" xr:uid="{00000000-0005-0000-0000-000049890000}"/>
    <cellStyle name="Porcentual 2 11 22 4" xfId="24907" xr:uid="{00000000-0005-0000-0000-00004A890000}"/>
    <cellStyle name="Porcentual 2 11 22 5" xfId="24908" xr:uid="{00000000-0005-0000-0000-00004B890000}"/>
    <cellStyle name="Porcentual 2 11 22 6" xfId="24909" xr:uid="{00000000-0005-0000-0000-00004C890000}"/>
    <cellStyle name="Porcentual 2 11 22 7" xfId="24910" xr:uid="{00000000-0005-0000-0000-00004D890000}"/>
    <cellStyle name="Porcentual 2 11 23" xfId="24911" xr:uid="{00000000-0005-0000-0000-00004E890000}"/>
    <cellStyle name="Porcentual 2 11 23 2" xfId="24912" xr:uid="{00000000-0005-0000-0000-00004F890000}"/>
    <cellStyle name="Porcentual 2 11 23 3" xfId="24913" xr:uid="{00000000-0005-0000-0000-000050890000}"/>
    <cellStyle name="Porcentual 2 11 23 4" xfId="24914" xr:uid="{00000000-0005-0000-0000-000051890000}"/>
    <cellStyle name="Porcentual 2 11 23 5" xfId="24915" xr:uid="{00000000-0005-0000-0000-000052890000}"/>
    <cellStyle name="Porcentual 2 11 23 6" xfId="24916" xr:uid="{00000000-0005-0000-0000-000053890000}"/>
    <cellStyle name="Porcentual 2 11 23 7" xfId="24917" xr:uid="{00000000-0005-0000-0000-000054890000}"/>
    <cellStyle name="Porcentual 2 11 24" xfId="24918" xr:uid="{00000000-0005-0000-0000-000055890000}"/>
    <cellStyle name="Porcentual 2 11 24 2" xfId="24919" xr:uid="{00000000-0005-0000-0000-000056890000}"/>
    <cellStyle name="Porcentual 2 11 24 3" xfId="24920" xr:uid="{00000000-0005-0000-0000-000057890000}"/>
    <cellStyle name="Porcentual 2 11 24 4" xfId="24921" xr:uid="{00000000-0005-0000-0000-000058890000}"/>
    <cellStyle name="Porcentual 2 11 24 5" xfId="24922" xr:uid="{00000000-0005-0000-0000-000059890000}"/>
    <cellStyle name="Porcentual 2 11 24 6" xfId="24923" xr:uid="{00000000-0005-0000-0000-00005A890000}"/>
    <cellStyle name="Porcentual 2 11 24 7" xfId="24924" xr:uid="{00000000-0005-0000-0000-00005B890000}"/>
    <cellStyle name="Porcentual 2 11 25" xfId="24925" xr:uid="{00000000-0005-0000-0000-00005C890000}"/>
    <cellStyle name="Porcentual 2 11 25 2" xfId="24926" xr:uid="{00000000-0005-0000-0000-00005D890000}"/>
    <cellStyle name="Porcentual 2 11 25 3" xfId="24927" xr:uid="{00000000-0005-0000-0000-00005E890000}"/>
    <cellStyle name="Porcentual 2 11 25 4" xfId="24928" xr:uid="{00000000-0005-0000-0000-00005F890000}"/>
    <cellStyle name="Porcentual 2 11 25 5" xfId="24929" xr:uid="{00000000-0005-0000-0000-000060890000}"/>
    <cellStyle name="Porcentual 2 11 25 6" xfId="24930" xr:uid="{00000000-0005-0000-0000-000061890000}"/>
    <cellStyle name="Porcentual 2 11 25 7" xfId="24931" xr:uid="{00000000-0005-0000-0000-000062890000}"/>
    <cellStyle name="Porcentual 2 11 26" xfId="24932" xr:uid="{00000000-0005-0000-0000-000063890000}"/>
    <cellStyle name="Porcentual 2 11 26 2" xfId="24933" xr:uid="{00000000-0005-0000-0000-000064890000}"/>
    <cellStyle name="Porcentual 2 11 26 3" xfId="24934" xr:uid="{00000000-0005-0000-0000-000065890000}"/>
    <cellStyle name="Porcentual 2 11 26 4" xfId="24935" xr:uid="{00000000-0005-0000-0000-000066890000}"/>
    <cellStyle name="Porcentual 2 11 26 5" xfId="24936" xr:uid="{00000000-0005-0000-0000-000067890000}"/>
    <cellStyle name="Porcentual 2 11 26 6" xfId="24937" xr:uid="{00000000-0005-0000-0000-000068890000}"/>
    <cellStyle name="Porcentual 2 11 26 7" xfId="24938" xr:uid="{00000000-0005-0000-0000-000069890000}"/>
    <cellStyle name="Porcentual 2 11 27" xfId="24939" xr:uid="{00000000-0005-0000-0000-00006A890000}"/>
    <cellStyle name="Porcentual 2 11 27 2" xfId="24940" xr:uid="{00000000-0005-0000-0000-00006B890000}"/>
    <cellStyle name="Porcentual 2 11 27 3" xfId="24941" xr:uid="{00000000-0005-0000-0000-00006C890000}"/>
    <cellStyle name="Porcentual 2 11 27 4" xfId="24942" xr:uid="{00000000-0005-0000-0000-00006D890000}"/>
    <cellStyle name="Porcentual 2 11 27 5" xfId="24943" xr:uid="{00000000-0005-0000-0000-00006E890000}"/>
    <cellStyle name="Porcentual 2 11 27 6" xfId="24944" xr:uid="{00000000-0005-0000-0000-00006F890000}"/>
    <cellStyle name="Porcentual 2 11 27 7" xfId="24945" xr:uid="{00000000-0005-0000-0000-000070890000}"/>
    <cellStyle name="Porcentual 2 11 28" xfId="24946" xr:uid="{00000000-0005-0000-0000-000071890000}"/>
    <cellStyle name="Porcentual 2 11 28 2" xfId="24947" xr:uid="{00000000-0005-0000-0000-000072890000}"/>
    <cellStyle name="Porcentual 2 11 28 3" xfId="24948" xr:uid="{00000000-0005-0000-0000-000073890000}"/>
    <cellStyle name="Porcentual 2 11 28 4" xfId="24949" xr:uid="{00000000-0005-0000-0000-000074890000}"/>
    <cellStyle name="Porcentual 2 11 28 5" xfId="24950" xr:uid="{00000000-0005-0000-0000-000075890000}"/>
    <cellStyle name="Porcentual 2 11 28 6" xfId="24951" xr:uid="{00000000-0005-0000-0000-000076890000}"/>
    <cellStyle name="Porcentual 2 11 28 7" xfId="24952" xr:uid="{00000000-0005-0000-0000-000077890000}"/>
    <cellStyle name="Porcentual 2 11 29" xfId="24953" xr:uid="{00000000-0005-0000-0000-000078890000}"/>
    <cellStyle name="Porcentual 2 11 29 2" xfId="24954" xr:uid="{00000000-0005-0000-0000-000079890000}"/>
    <cellStyle name="Porcentual 2 11 29 3" xfId="24955" xr:uid="{00000000-0005-0000-0000-00007A890000}"/>
    <cellStyle name="Porcentual 2 11 29 4" xfId="24956" xr:uid="{00000000-0005-0000-0000-00007B890000}"/>
    <cellStyle name="Porcentual 2 11 29 5" xfId="24957" xr:uid="{00000000-0005-0000-0000-00007C890000}"/>
    <cellStyle name="Porcentual 2 11 29 6" xfId="24958" xr:uid="{00000000-0005-0000-0000-00007D890000}"/>
    <cellStyle name="Porcentual 2 11 29 7" xfId="24959" xr:uid="{00000000-0005-0000-0000-00007E890000}"/>
    <cellStyle name="Porcentual 2 11 3" xfId="24960" xr:uid="{00000000-0005-0000-0000-00007F890000}"/>
    <cellStyle name="Porcentual 2 11 3 2" xfId="24961" xr:uid="{00000000-0005-0000-0000-000080890000}"/>
    <cellStyle name="Porcentual 2 11 3 2 2" xfId="24962" xr:uid="{00000000-0005-0000-0000-000081890000}"/>
    <cellStyle name="Porcentual 2 11 3 2 3" xfId="24963" xr:uid="{00000000-0005-0000-0000-000082890000}"/>
    <cellStyle name="Porcentual 2 11 3 2 4" xfId="24964" xr:uid="{00000000-0005-0000-0000-000083890000}"/>
    <cellStyle name="Porcentual 2 11 3 2 5" xfId="24965" xr:uid="{00000000-0005-0000-0000-000084890000}"/>
    <cellStyle name="Porcentual 2 11 3 2 6" xfId="24966" xr:uid="{00000000-0005-0000-0000-000085890000}"/>
    <cellStyle name="Porcentual 2 11 3 2 7" xfId="24967" xr:uid="{00000000-0005-0000-0000-000086890000}"/>
    <cellStyle name="Porcentual 2 11 3 3" xfId="24968" xr:uid="{00000000-0005-0000-0000-000087890000}"/>
    <cellStyle name="Porcentual 2 11 3 4" xfId="24969" xr:uid="{00000000-0005-0000-0000-000088890000}"/>
    <cellStyle name="Porcentual 2 11 3 5" xfId="24970" xr:uid="{00000000-0005-0000-0000-000089890000}"/>
    <cellStyle name="Porcentual 2 11 3 6" xfId="24971" xr:uid="{00000000-0005-0000-0000-00008A890000}"/>
    <cellStyle name="Porcentual 2 11 3 7" xfId="24972" xr:uid="{00000000-0005-0000-0000-00008B890000}"/>
    <cellStyle name="Porcentual 2 11 3 8" xfId="24973" xr:uid="{00000000-0005-0000-0000-00008C890000}"/>
    <cellStyle name="Porcentual 2 11 30" xfId="24974" xr:uid="{00000000-0005-0000-0000-00008D890000}"/>
    <cellStyle name="Porcentual 2 11 30 2" xfId="24975" xr:uid="{00000000-0005-0000-0000-00008E890000}"/>
    <cellStyle name="Porcentual 2 11 30 3" xfId="24976" xr:uid="{00000000-0005-0000-0000-00008F890000}"/>
    <cellStyle name="Porcentual 2 11 30 4" xfId="24977" xr:uid="{00000000-0005-0000-0000-000090890000}"/>
    <cellStyle name="Porcentual 2 11 30 5" xfId="24978" xr:uid="{00000000-0005-0000-0000-000091890000}"/>
    <cellStyle name="Porcentual 2 11 30 6" xfId="24979" xr:uid="{00000000-0005-0000-0000-000092890000}"/>
    <cellStyle name="Porcentual 2 11 30 7" xfId="24980" xr:uid="{00000000-0005-0000-0000-000093890000}"/>
    <cellStyle name="Porcentual 2 11 31" xfId="24981" xr:uid="{00000000-0005-0000-0000-000094890000}"/>
    <cellStyle name="Porcentual 2 11 31 2" xfId="24982" xr:uid="{00000000-0005-0000-0000-000095890000}"/>
    <cellStyle name="Porcentual 2 11 31 3" xfId="24983" xr:uid="{00000000-0005-0000-0000-000096890000}"/>
    <cellStyle name="Porcentual 2 11 31 4" xfId="24984" xr:uid="{00000000-0005-0000-0000-000097890000}"/>
    <cellStyle name="Porcentual 2 11 31 5" xfId="24985" xr:uid="{00000000-0005-0000-0000-000098890000}"/>
    <cellStyle name="Porcentual 2 11 31 6" xfId="24986" xr:uid="{00000000-0005-0000-0000-000099890000}"/>
    <cellStyle name="Porcentual 2 11 31 7" xfId="24987" xr:uid="{00000000-0005-0000-0000-00009A890000}"/>
    <cellStyle name="Porcentual 2 11 32" xfId="24988" xr:uid="{00000000-0005-0000-0000-00009B890000}"/>
    <cellStyle name="Porcentual 2 11 32 2" xfId="24989" xr:uid="{00000000-0005-0000-0000-00009C890000}"/>
    <cellStyle name="Porcentual 2 11 32 3" xfId="24990" xr:uid="{00000000-0005-0000-0000-00009D890000}"/>
    <cellStyle name="Porcentual 2 11 32 4" xfId="24991" xr:uid="{00000000-0005-0000-0000-00009E890000}"/>
    <cellStyle name="Porcentual 2 11 32 5" xfId="24992" xr:uid="{00000000-0005-0000-0000-00009F890000}"/>
    <cellStyle name="Porcentual 2 11 32 6" xfId="24993" xr:uid="{00000000-0005-0000-0000-0000A0890000}"/>
    <cellStyle name="Porcentual 2 11 32 7" xfId="24994" xr:uid="{00000000-0005-0000-0000-0000A1890000}"/>
    <cellStyle name="Porcentual 2 11 33" xfId="24995" xr:uid="{00000000-0005-0000-0000-0000A2890000}"/>
    <cellStyle name="Porcentual 2 11 33 2" xfId="24996" xr:uid="{00000000-0005-0000-0000-0000A3890000}"/>
    <cellStyle name="Porcentual 2 11 33 3" xfId="24997" xr:uid="{00000000-0005-0000-0000-0000A4890000}"/>
    <cellStyle name="Porcentual 2 11 33 4" xfId="24998" xr:uid="{00000000-0005-0000-0000-0000A5890000}"/>
    <cellStyle name="Porcentual 2 11 33 5" xfId="24999" xr:uid="{00000000-0005-0000-0000-0000A6890000}"/>
    <cellStyle name="Porcentual 2 11 33 6" xfId="25000" xr:uid="{00000000-0005-0000-0000-0000A7890000}"/>
    <cellStyle name="Porcentual 2 11 33 7" xfId="25001" xr:uid="{00000000-0005-0000-0000-0000A8890000}"/>
    <cellStyle name="Porcentual 2 11 34" xfId="25002" xr:uid="{00000000-0005-0000-0000-0000A9890000}"/>
    <cellStyle name="Porcentual 2 11 34 2" xfId="25003" xr:uid="{00000000-0005-0000-0000-0000AA890000}"/>
    <cellStyle name="Porcentual 2 11 34 3" xfId="25004" xr:uid="{00000000-0005-0000-0000-0000AB890000}"/>
    <cellStyle name="Porcentual 2 11 34 4" xfId="25005" xr:uid="{00000000-0005-0000-0000-0000AC890000}"/>
    <cellStyle name="Porcentual 2 11 34 5" xfId="25006" xr:uid="{00000000-0005-0000-0000-0000AD890000}"/>
    <cellStyle name="Porcentual 2 11 34 6" xfId="25007" xr:uid="{00000000-0005-0000-0000-0000AE890000}"/>
    <cellStyle name="Porcentual 2 11 34 7" xfId="25008" xr:uid="{00000000-0005-0000-0000-0000AF890000}"/>
    <cellStyle name="Porcentual 2 11 35" xfId="25009" xr:uid="{00000000-0005-0000-0000-0000B0890000}"/>
    <cellStyle name="Porcentual 2 11 35 2" xfId="25010" xr:uid="{00000000-0005-0000-0000-0000B1890000}"/>
    <cellStyle name="Porcentual 2 11 35 3" xfId="25011" xr:uid="{00000000-0005-0000-0000-0000B2890000}"/>
    <cellStyle name="Porcentual 2 11 35 4" xfId="25012" xr:uid="{00000000-0005-0000-0000-0000B3890000}"/>
    <cellStyle name="Porcentual 2 11 35 5" xfId="25013" xr:uid="{00000000-0005-0000-0000-0000B4890000}"/>
    <cellStyle name="Porcentual 2 11 35 6" xfId="25014" xr:uid="{00000000-0005-0000-0000-0000B5890000}"/>
    <cellStyle name="Porcentual 2 11 35 7" xfId="25015" xr:uid="{00000000-0005-0000-0000-0000B6890000}"/>
    <cellStyle name="Porcentual 2 11 36" xfId="25016" xr:uid="{00000000-0005-0000-0000-0000B7890000}"/>
    <cellStyle name="Porcentual 2 11 37" xfId="25017" xr:uid="{00000000-0005-0000-0000-0000B8890000}"/>
    <cellStyle name="Porcentual 2 11 38" xfId="25018" xr:uid="{00000000-0005-0000-0000-0000B9890000}"/>
    <cellStyle name="Porcentual 2 11 39" xfId="25019" xr:uid="{00000000-0005-0000-0000-0000BA890000}"/>
    <cellStyle name="Porcentual 2 11 4" xfId="25020" xr:uid="{00000000-0005-0000-0000-0000BB890000}"/>
    <cellStyle name="Porcentual 2 11 4 2" xfId="25021" xr:uid="{00000000-0005-0000-0000-0000BC890000}"/>
    <cellStyle name="Porcentual 2 11 4 2 2" xfId="25022" xr:uid="{00000000-0005-0000-0000-0000BD890000}"/>
    <cellStyle name="Porcentual 2 11 4 2 3" xfId="25023" xr:uid="{00000000-0005-0000-0000-0000BE890000}"/>
    <cellStyle name="Porcentual 2 11 4 2 4" xfId="25024" xr:uid="{00000000-0005-0000-0000-0000BF890000}"/>
    <cellStyle name="Porcentual 2 11 4 2 5" xfId="25025" xr:uid="{00000000-0005-0000-0000-0000C0890000}"/>
    <cellStyle name="Porcentual 2 11 4 2 6" xfId="25026" xr:uid="{00000000-0005-0000-0000-0000C1890000}"/>
    <cellStyle name="Porcentual 2 11 4 2 7" xfId="25027" xr:uid="{00000000-0005-0000-0000-0000C2890000}"/>
    <cellStyle name="Porcentual 2 11 4 3" xfId="25028" xr:uid="{00000000-0005-0000-0000-0000C3890000}"/>
    <cellStyle name="Porcentual 2 11 4 4" xfId="25029" xr:uid="{00000000-0005-0000-0000-0000C4890000}"/>
    <cellStyle name="Porcentual 2 11 4 5" xfId="25030" xr:uid="{00000000-0005-0000-0000-0000C5890000}"/>
    <cellStyle name="Porcentual 2 11 4 6" xfId="25031" xr:uid="{00000000-0005-0000-0000-0000C6890000}"/>
    <cellStyle name="Porcentual 2 11 4 7" xfId="25032" xr:uid="{00000000-0005-0000-0000-0000C7890000}"/>
    <cellStyle name="Porcentual 2 11 4 8" xfId="25033" xr:uid="{00000000-0005-0000-0000-0000C8890000}"/>
    <cellStyle name="Porcentual 2 11 40" xfId="25034" xr:uid="{00000000-0005-0000-0000-0000C9890000}"/>
    <cellStyle name="Porcentual 2 11 41" xfId="25035" xr:uid="{00000000-0005-0000-0000-0000CA890000}"/>
    <cellStyle name="Porcentual 2 11 5" xfId="25036" xr:uid="{00000000-0005-0000-0000-0000CB890000}"/>
    <cellStyle name="Porcentual 2 11 5 2" xfId="25037" xr:uid="{00000000-0005-0000-0000-0000CC890000}"/>
    <cellStyle name="Porcentual 2 11 5 2 2" xfId="25038" xr:uid="{00000000-0005-0000-0000-0000CD890000}"/>
    <cellStyle name="Porcentual 2 11 5 2 3" xfId="25039" xr:uid="{00000000-0005-0000-0000-0000CE890000}"/>
    <cellStyle name="Porcentual 2 11 5 2 4" xfId="25040" xr:uid="{00000000-0005-0000-0000-0000CF890000}"/>
    <cellStyle name="Porcentual 2 11 5 2 5" xfId="25041" xr:uid="{00000000-0005-0000-0000-0000D0890000}"/>
    <cellStyle name="Porcentual 2 11 5 2 6" xfId="25042" xr:uid="{00000000-0005-0000-0000-0000D1890000}"/>
    <cellStyle name="Porcentual 2 11 5 2 7" xfId="25043" xr:uid="{00000000-0005-0000-0000-0000D2890000}"/>
    <cellStyle name="Porcentual 2 11 5 3" xfId="25044" xr:uid="{00000000-0005-0000-0000-0000D3890000}"/>
    <cellStyle name="Porcentual 2 11 5 4" xfId="25045" xr:uid="{00000000-0005-0000-0000-0000D4890000}"/>
    <cellStyle name="Porcentual 2 11 5 5" xfId="25046" xr:uid="{00000000-0005-0000-0000-0000D5890000}"/>
    <cellStyle name="Porcentual 2 11 5 6" xfId="25047" xr:uid="{00000000-0005-0000-0000-0000D6890000}"/>
    <cellStyle name="Porcentual 2 11 5 7" xfId="25048" xr:uid="{00000000-0005-0000-0000-0000D7890000}"/>
    <cellStyle name="Porcentual 2 11 5 8" xfId="25049" xr:uid="{00000000-0005-0000-0000-0000D8890000}"/>
    <cellStyle name="Porcentual 2 11 6" xfId="25050" xr:uid="{00000000-0005-0000-0000-0000D9890000}"/>
    <cellStyle name="Porcentual 2 11 6 2" xfId="25051" xr:uid="{00000000-0005-0000-0000-0000DA890000}"/>
    <cellStyle name="Porcentual 2 11 6 2 2" xfId="25052" xr:uid="{00000000-0005-0000-0000-0000DB890000}"/>
    <cellStyle name="Porcentual 2 11 6 2 3" xfId="25053" xr:uid="{00000000-0005-0000-0000-0000DC890000}"/>
    <cellStyle name="Porcentual 2 11 6 2 4" xfId="25054" xr:uid="{00000000-0005-0000-0000-0000DD890000}"/>
    <cellStyle name="Porcentual 2 11 6 2 5" xfId="25055" xr:uid="{00000000-0005-0000-0000-0000DE890000}"/>
    <cellStyle name="Porcentual 2 11 6 2 6" xfId="25056" xr:uid="{00000000-0005-0000-0000-0000DF890000}"/>
    <cellStyle name="Porcentual 2 11 6 2 7" xfId="25057" xr:uid="{00000000-0005-0000-0000-0000E0890000}"/>
    <cellStyle name="Porcentual 2 11 6 3" xfId="25058" xr:uid="{00000000-0005-0000-0000-0000E1890000}"/>
    <cellStyle name="Porcentual 2 11 6 4" xfId="25059" xr:uid="{00000000-0005-0000-0000-0000E2890000}"/>
    <cellStyle name="Porcentual 2 11 6 5" xfId="25060" xr:uid="{00000000-0005-0000-0000-0000E3890000}"/>
    <cellStyle name="Porcentual 2 11 6 6" xfId="25061" xr:uid="{00000000-0005-0000-0000-0000E4890000}"/>
    <cellStyle name="Porcentual 2 11 6 7" xfId="25062" xr:uid="{00000000-0005-0000-0000-0000E5890000}"/>
    <cellStyle name="Porcentual 2 11 6 8" xfId="25063" xr:uid="{00000000-0005-0000-0000-0000E6890000}"/>
    <cellStyle name="Porcentual 2 11 7" xfId="25064" xr:uid="{00000000-0005-0000-0000-0000E7890000}"/>
    <cellStyle name="Porcentual 2 11 7 2" xfId="25065" xr:uid="{00000000-0005-0000-0000-0000E8890000}"/>
    <cellStyle name="Porcentual 2 11 7 2 2" xfId="25066" xr:uid="{00000000-0005-0000-0000-0000E9890000}"/>
    <cellStyle name="Porcentual 2 11 7 2 3" xfId="25067" xr:uid="{00000000-0005-0000-0000-0000EA890000}"/>
    <cellStyle name="Porcentual 2 11 7 2 4" xfId="25068" xr:uid="{00000000-0005-0000-0000-0000EB890000}"/>
    <cellStyle name="Porcentual 2 11 7 2 5" xfId="25069" xr:uid="{00000000-0005-0000-0000-0000EC890000}"/>
    <cellStyle name="Porcentual 2 11 7 2 6" xfId="25070" xr:uid="{00000000-0005-0000-0000-0000ED890000}"/>
    <cellStyle name="Porcentual 2 11 7 2 7" xfId="25071" xr:uid="{00000000-0005-0000-0000-0000EE890000}"/>
    <cellStyle name="Porcentual 2 11 7 3" xfId="25072" xr:uid="{00000000-0005-0000-0000-0000EF890000}"/>
    <cellStyle name="Porcentual 2 11 7 4" xfId="25073" xr:uid="{00000000-0005-0000-0000-0000F0890000}"/>
    <cellStyle name="Porcentual 2 11 7 5" xfId="25074" xr:uid="{00000000-0005-0000-0000-0000F1890000}"/>
    <cellStyle name="Porcentual 2 11 7 6" xfId="25075" xr:uid="{00000000-0005-0000-0000-0000F2890000}"/>
    <cellStyle name="Porcentual 2 11 7 7" xfId="25076" xr:uid="{00000000-0005-0000-0000-0000F3890000}"/>
    <cellStyle name="Porcentual 2 11 7 8" xfId="25077" xr:uid="{00000000-0005-0000-0000-0000F4890000}"/>
    <cellStyle name="Porcentual 2 11 8" xfId="25078" xr:uid="{00000000-0005-0000-0000-0000F5890000}"/>
    <cellStyle name="Porcentual 2 11 8 2" xfId="25079" xr:uid="{00000000-0005-0000-0000-0000F6890000}"/>
    <cellStyle name="Porcentual 2 11 8 2 2" xfId="25080" xr:uid="{00000000-0005-0000-0000-0000F7890000}"/>
    <cellStyle name="Porcentual 2 11 8 2 3" xfId="25081" xr:uid="{00000000-0005-0000-0000-0000F8890000}"/>
    <cellStyle name="Porcentual 2 11 8 2 4" xfId="25082" xr:uid="{00000000-0005-0000-0000-0000F9890000}"/>
    <cellStyle name="Porcentual 2 11 8 2 5" xfId="25083" xr:uid="{00000000-0005-0000-0000-0000FA890000}"/>
    <cellStyle name="Porcentual 2 11 8 2 6" xfId="25084" xr:uid="{00000000-0005-0000-0000-0000FB890000}"/>
    <cellStyle name="Porcentual 2 11 8 2 7" xfId="25085" xr:uid="{00000000-0005-0000-0000-0000FC890000}"/>
    <cellStyle name="Porcentual 2 11 8 3" xfId="25086" xr:uid="{00000000-0005-0000-0000-0000FD890000}"/>
    <cellStyle name="Porcentual 2 11 8 4" xfId="25087" xr:uid="{00000000-0005-0000-0000-0000FE890000}"/>
    <cellStyle name="Porcentual 2 11 8 5" xfId="25088" xr:uid="{00000000-0005-0000-0000-0000FF890000}"/>
    <cellStyle name="Porcentual 2 11 8 6" xfId="25089" xr:uid="{00000000-0005-0000-0000-0000008A0000}"/>
    <cellStyle name="Porcentual 2 11 8 7" xfId="25090" xr:uid="{00000000-0005-0000-0000-0000018A0000}"/>
    <cellStyle name="Porcentual 2 11 8 8" xfId="25091" xr:uid="{00000000-0005-0000-0000-0000028A0000}"/>
    <cellStyle name="Porcentual 2 11 9" xfId="25092" xr:uid="{00000000-0005-0000-0000-0000038A0000}"/>
    <cellStyle name="Porcentual 2 11 9 2" xfId="25093" xr:uid="{00000000-0005-0000-0000-0000048A0000}"/>
    <cellStyle name="Porcentual 2 11 9 2 2" xfId="25094" xr:uid="{00000000-0005-0000-0000-0000058A0000}"/>
    <cellStyle name="Porcentual 2 11 9 2 3" xfId="25095" xr:uid="{00000000-0005-0000-0000-0000068A0000}"/>
    <cellStyle name="Porcentual 2 11 9 2 4" xfId="25096" xr:uid="{00000000-0005-0000-0000-0000078A0000}"/>
    <cellStyle name="Porcentual 2 11 9 2 5" xfId="25097" xr:uid="{00000000-0005-0000-0000-0000088A0000}"/>
    <cellStyle name="Porcentual 2 11 9 2 6" xfId="25098" xr:uid="{00000000-0005-0000-0000-0000098A0000}"/>
    <cellStyle name="Porcentual 2 11 9 2 7" xfId="25099" xr:uid="{00000000-0005-0000-0000-00000A8A0000}"/>
    <cellStyle name="Porcentual 2 11 9 3" xfId="25100" xr:uid="{00000000-0005-0000-0000-00000B8A0000}"/>
    <cellStyle name="Porcentual 2 11 9 4" xfId="25101" xr:uid="{00000000-0005-0000-0000-00000C8A0000}"/>
    <cellStyle name="Porcentual 2 11 9 5" xfId="25102" xr:uid="{00000000-0005-0000-0000-00000D8A0000}"/>
    <cellStyle name="Porcentual 2 11 9 6" xfId="25103" xr:uid="{00000000-0005-0000-0000-00000E8A0000}"/>
    <cellStyle name="Porcentual 2 11 9 7" xfId="25104" xr:uid="{00000000-0005-0000-0000-00000F8A0000}"/>
    <cellStyle name="Porcentual 2 11 9 8" xfId="25105" xr:uid="{00000000-0005-0000-0000-0000108A0000}"/>
    <cellStyle name="Porcentual 2 12" xfId="25106" xr:uid="{00000000-0005-0000-0000-0000118A0000}"/>
    <cellStyle name="Porcentual 2 12 10" xfId="25107" xr:uid="{00000000-0005-0000-0000-0000128A0000}"/>
    <cellStyle name="Porcentual 2 12 10 2" xfId="25108" xr:uid="{00000000-0005-0000-0000-0000138A0000}"/>
    <cellStyle name="Porcentual 2 12 10 2 2" xfId="25109" xr:uid="{00000000-0005-0000-0000-0000148A0000}"/>
    <cellStyle name="Porcentual 2 12 10 2 3" xfId="25110" xr:uid="{00000000-0005-0000-0000-0000158A0000}"/>
    <cellStyle name="Porcentual 2 12 10 2 4" xfId="25111" xr:uid="{00000000-0005-0000-0000-0000168A0000}"/>
    <cellStyle name="Porcentual 2 12 10 2 5" xfId="25112" xr:uid="{00000000-0005-0000-0000-0000178A0000}"/>
    <cellStyle name="Porcentual 2 12 10 2 6" xfId="25113" xr:uid="{00000000-0005-0000-0000-0000188A0000}"/>
    <cellStyle name="Porcentual 2 12 10 2 7" xfId="25114" xr:uid="{00000000-0005-0000-0000-0000198A0000}"/>
    <cellStyle name="Porcentual 2 12 10 3" xfId="25115" xr:uid="{00000000-0005-0000-0000-00001A8A0000}"/>
    <cellStyle name="Porcentual 2 12 10 4" xfId="25116" xr:uid="{00000000-0005-0000-0000-00001B8A0000}"/>
    <cellStyle name="Porcentual 2 12 10 5" xfId="25117" xr:uid="{00000000-0005-0000-0000-00001C8A0000}"/>
    <cellStyle name="Porcentual 2 12 10 6" xfId="25118" xr:uid="{00000000-0005-0000-0000-00001D8A0000}"/>
    <cellStyle name="Porcentual 2 12 10 7" xfId="25119" xr:uid="{00000000-0005-0000-0000-00001E8A0000}"/>
    <cellStyle name="Porcentual 2 12 10 8" xfId="25120" xr:uid="{00000000-0005-0000-0000-00001F8A0000}"/>
    <cellStyle name="Porcentual 2 12 11" xfId="25121" xr:uid="{00000000-0005-0000-0000-0000208A0000}"/>
    <cellStyle name="Porcentual 2 12 11 2" xfId="25122" xr:uid="{00000000-0005-0000-0000-0000218A0000}"/>
    <cellStyle name="Porcentual 2 12 11 2 2" xfId="25123" xr:uid="{00000000-0005-0000-0000-0000228A0000}"/>
    <cellStyle name="Porcentual 2 12 11 2 3" xfId="25124" xr:uid="{00000000-0005-0000-0000-0000238A0000}"/>
    <cellStyle name="Porcentual 2 12 11 2 4" xfId="25125" xr:uid="{00000000-0005-0000-0000-0000248A0000}"/>
    <cellStyle name="Porcentual 2 12 11 2 5" xfId="25126" xr:uid="{00000000-0005-0000-0000-0000258A0000}"/>
    <cellStyle name="Porcentual 2 12 11 2 6" xfId="25127" xr:uid="{00000000-0005-0000-0000-0000268A0000}"/>
    <cellStyle name="Porcentual 2 12 11 2 7" xfId="25128" xr:uid="{00000000-0005-0000-0000-0000278A0000}"/>
    <cellStyle name="Porcentual 2 12 11 3" xfId="25129" xr:uid="{00000000-0005-0000-0000-0000288A0000}"/>
    <cellStyle name="Porcentual 2 12 11 4" xfId="25130" xr:uid="{00000000-0005-0000-0000-0000298A0000}"/>
    <cellStyle name="Porcentual 2 12 11 5" xfId="25131" xr:uid="{00000000-0005-0000-0000-00002A8A0000}"/>
    <cellStyle name="Porcentual 2 12 11 6" xfId="25132" xr:uid="{00000000-0005-0000-0000-00002B8A0000}"/>
    <cellStyle name="Porcentual 2 12 11 7" xfId="25133" xr:uid="{00000000-0005-0000-0000-00002C8A0000}"/>
    <cellStyle name="Porcentual 2 12 11 8" xfId="25134" xr:uid="{00000000-0005-0000-0000-00002D8A0000}"/>
    <cellStyle name="Porcentual 2 12 12" xfId="25135" xr:uid="{00000000-0005-0000-0000-00002E8A0000}"/>
    <cellStyle name="Porcentual 2 12 12 2" xfId="25136" xr:uid="{00000000-0005-0000-0000-00002F8A0000}"/>
    <cellStyle name="Porcentual 2 12 12 2 2" xfId="25137" xr:uid="{00000000-0005-0000-0000-0000308A0000}"/>
    <cellStyle name="Porcentual 2 12 12 2 3" xfId="25138" xr:uid="{00000000-0005-0000-0000-0000318A0000}"/>
    <cellStyle name="Porcentual 2 12 12 2 4" xfId="25139" xr:uid="{00000000-0005-0000-0000-0000328A0000}"/>
    <cellStyle name="Porcentual 2 12 12 2 5" xfId="25140" xr:uid="{00000000-0005-0000-0000-0000338A0000}"/>
    <cellStyle name="Porcentual 2 12 12 2 6" xfId="25141" xr:uid="{00000000-0005-0000-0000-0000348A0000}"/>
    <cellStyle name="Porcentual 2 12 12 2 7" xfId="25142" xr:uid="{00000000-0005-0000-0000-0000358A0000}"/>
    <cellStyle name="Porcentual 2 12 12 3" xfId="25143" xr:uid="{00000000-0005-0000-0000-0000368A0000}"/>
    <cellStyle name="Porcentual 2 12 12 4" xfId="25144" xr:uid="{00000000-0005-0000-0000-0000378A0000}"/>
    <cellStyle name="Porcentual 2 12 12 5" xfId="25145" xr:uid="{00000000-0005-0000-0000-0000388A0000}"/>
    <cellStyle name="Porcentual 2 12 12 6" xfId="25146" xr:uid="{00000000-0005-0000-0000-0000398A0000}"/>
    <cellStyle name="Porcentual 2 12 12 7" xfId="25147" xr:uid="{00000000-0005-0000-0000-00003A8A0000}"/>
    <cellStyle name="Porcentual 2 12 12 8" xfId="25148" xr:uid="{00000000-0005-0000-0000-00003B8A0000}"/>
    <cellStyle name="Porcentual 2 12 13" xfId="25149" xr:uid="{00000000-0005-0000-0000-00003C8A0000}"/>
    <cellStyle name="Porcentual 2 12 13 2" xfId="25150" xr:uid="{00000000-0005-0000-0000-00003D8A0000}"/>
    <cellStyle name="Porcentual 2 12 13 2 2" xfId="25151" xr:uid="{00000000-0005-0000-0000-00003E8A0000}"/>
    <cellStyle name="Porcentual 2 12 13 2 3" xfId="25152" xr:uid="{00000000-0005-0000-0000-00003F8A0000}"/>
    <cellStyle name="Porcentual 2 12 13 2 4" xfId="25153" xr:uid="{00000000-0005-0000-0000-0000408A0000}"/>
    <cellStyle name="Porcentual 2 12 13 2 5" xfId="25154" xr:uid="{00000000-0005-0000-0000-0000418A0000}"/>
    <cellStyle name="Porcentual 2 12 13 2 6" xfId="25155" xr:uid="{00000000-0005-0000-0000-0000428A0000}"/>
    <cellStyle name="Porcentual 2 12 13 2 7" xfId="25156" xr:uid="{00000000-0005-0000-0000-0000438A0000}"/>
    <cellStyle name="Porcentual 2 12 13 3" xfId="25157" xr:uid="{00000000-0005-0000-0000-0000448A0000}"/>
    <cellStyle name="Porcentual 2 12 13 4" xfId="25158" xr:uid="{00000000-0005-0000-0000-0000458A0000}"/>
    <cellStyle name="Porcentual 2 12 13 5" xfId="25159" xr:uid="{00000000-0005-0000-0000-0000468A0000}"/>
    <cellStyle name="Porcentual 2 12 13 6" xfId="25160" xr:uid="{00000000-0005-0000-0000-0000478A0000}"/>
    <cellStyle name="Porcentual 2 12 13 7" xfId="25161" xr:uid="{00000000-0005-0000-0000-0000488A0000}"/>
    <cellStyle name="Porcentual 2 12 13 8" xfId="25162" xr:uid="{00000000-0005-0000-0000-0000498A0000}"/>
    <cellStyle name="Porcentual 2 12 14" xfId="25163" xr:uid="{00000000-0005-0000-0000-00004A8A0000}"/>
    <cellStyle name="Porcentual 2 12 14 2" xfId="25164" xr:uid="{00000000-0005-0000-0000-00004B8A0000}"/>
    <cellStyle name="Porcentual 2 12 14 2 2" xfId="25165" xr:uid="{00000000-0005-0000-0000-00004C8A0000}"/>
    <cellStyle name="Porcentual 2 12 14 2 3" xfId="25166" xr:uid="{00000000-0005-0000-0000-00004D8A0000}"/>
    <cellStyle name="Porcentual 2 12 14 2 4" xfId="25167" xr:uid="{00000000-0005-0000-0000-00004E8A0000}"/>
    <cellStyle name="Porcentual 2 12 14 2 5" xfId="25168" xr:uid="{00000000-0005-0000-0000-00004F8A0000}"/>
    <cellStyle name="Porcentual 2 12 14 2 6" xfId="25169" xr:uid="{00000000-0005-0000-0000-0000508A0000}"/>
    <cellStyle name="Porcentual 2 12 14 2 7" xfId="25170" xr:uid="{00000000-0005-0000-0000-0000518A0000}"/>
    <cellStyle name="Porcentual 2 12 14 3" xfId="25171" xr:uid="{00000000-0005-0000-0000-0000528A0000}"/>
    <cellStyle name="Porcentual 2 12 14 4" xfId="25172" xr:uid="{00000000-0005-0000-0000-0000538A0000}"/>
    <cellStyle name="Porcentual 2 12 14 5" xfId="25173" xr:uid="{00000000-0005-0000-0000-0000548A0000}"/>
    <cellStyle name="Porcentual 2 12 14 6" xfId="25174" xr:uid="{00000000-0005-0000-0000-0000558A0000}"/>
    <cellStyle name="Porcentual 2 12 14 7" xfId="25175" xr:uid="{00000000-0005-0000-0000-0000568A0000}"/>
    <cellStyle name="Porcentual 2 12 14 8" xfId="25176" xr:uid="{00000000-0005-0000-0000-0000578A0000}"/>
    <cellStyle name="Porcentual 2 12 15" xfId="25177" xr:uid="{00000000-0005-0000-0000-0000588A0000}"/>
    <cellStyle name="Porcentual 2 12 15 2" xfId="25178" xr:uid="{00000000-0005-0000-0000-0000598A0000}"/>
    <cellStyle name="Porcentual 2 12 15 2 2" xfId="25179" xr:uid="{00000000-0005-0000-0000-00005A8A0000}"/>
    <cellStyle name="Porcentual 2 12 15 2 3" xfId="25180" xr:uid="{00000000-0005-0000-0000-00005B8A0000}"/>
    <cellStyle name="Porcentual 2 12 15 2 4" xfId="25181" xr:uid="{00000000-0005-0000-0000-00005C8A0000}"/>
    <cellStyle name="Porcentual 2 12 15 2 5" xfId="25182" xr:uid="{00000000-0005-0000-0000-00005D8A0000}"/>
    <cellStyle name="Porcentual 2 12 15 2 6" xfId="25183" xr:uid="{00000000-0005-0000-0000-00005E8A0000}"/>
    <cellStyle name="Porcentual 2 12 15 2 7" xfId="25184" xr:uid="{00000000-0005-0000-0000-00005F8A0000}"/>
    <cellStyle name="Porcentual 2 12 15 3" xfId="25185" xr:uid="{00000000-0005-0000-0000-0000608A0000}"/>
    <cellStyle name="Porcentual 2 12 15 4" xfId="25186" xr:uid="{00000000-0005-0000-0000-0000618A0000}"/>
    <cellStyle name="Porcentual 2 12 15 5" xfId="25187" xr:uid="{00000000-0005-0000-0000-0000628A0000}"/>
    <cellStyle name="Porcentual 2 12 15 6" xfId="25188" xr:uid="{00000000-0005-0000-0000-0000638A0000}"/>
    <cellStyle name="Porcentual 2 12 15 7" xfId="25189" xr:uid="{00000000-0005-0000-0000-0000648A0000}"/>
    <cellStyle name="Porcentual 2 12 15 8" xfId="25190" xr:uid="{00000000-0005-0000-0000-0000658A0000}"/>
    <cellStyle name="Porcentual 2 12 16" xfId="25191" xr:uid="{00000000-0005-0000-0000-0000668A0000}"/>
    <cellStyle name="Porcentual 2 12 16 2" xfId="25192" xr:uid="{00000000-0005-0000-0000-0000678A0000}"/>
    <cellStyle name="Porcentual 2 12 16 3" xfId="25193" xr:uid="{00000000-0005-0000-0000-0000688A0000}"/>
    <cellStyle name="Porcentual 2 12 16 4" xfId="25194" xr:uid="{00000000-0005-0000-0000-0000698A0000}"/>
    <cellStyle name="Porcentual 2 12 16 5" xfId="25195" xr:uid="{00000000-0005-0000-0000-00006A8A0000}"/>
    <cellStyle name="Porcentual 2 12 16 6" xfId="25196" xr:uid="{00000000-0005-0000-0000-00006B8A0000}"/>
    <cellStyle name="Porcentual 2 12 16 7" xfId="25197" xr:uid="{00000000-0005-0000-0000-00006C8A0000}"/>
    <cellStyle name="Porcentual 2 12 17" xfId="25198" xr:uid="{00000000-0005-0000-0000-00006D8A0000}"/>
    <cellStyle name="Porcentual 2 12 17 2" xfId="25199" xr:uid="{00000000-0005-0000-0000-00006E8A0000}"/>
    <cellStyle name="Porcentual 2 12 17 3" xfId="25200" xr:uid="{00000000-0005-0000-0000-00006F8A0000}"/>
    <cellStyle name="Porcentual 2 12 17 4" xfId="25201" xr:uid="{00000000-0005-0000-0000-0000708A0000}"/>
    <cellStyle name="Porcentual 2 12 17 5" xfId="25202" xr:uid="{00000000-0005-0000-0000-0000718A0000}"/>
    <cellStyle name="Porcentual 2 12 17 6" xfId="25203" xr:uid="{00000000-0005-0000-0000-0000728A0000}"/>
    <cellStyle name="Porcentual 2 12 17 7" xfId="25204" xr:uid="{00000000-0005-0000-0000-0000738A0000}"/>
    <cellStyle name="Porcentual 2 12 18" xfId="25205" xr:uid="{00000000-0005-0000-0000-0000748A0000}"/>
    <cellStyle name="Porcentual 2 12 18 2" xfId="25206" xr:uid="{00000000-0005-0000-0000-0000758A0000}"/>
    <cellStyle name="Porcentual 2 12 18 3" xfId="25207" xr:uid="{00000000-0005-0000-0000-0000768A0000}"/>
    <cellStyle name="Porcentual 2 12 18 4" xfId="25208" xr:uid="{00000000-0005-0000-0000-0000778A0000}"/>
    <cellStyle name="Porcentual 2 12 18 5" xfId="25209" xr:uid="{00000000-0005-0000-0000-0000788A0000}"/>
    <cellStyle name="Porcentual 2 12 18 6" xfId="25210" xr:uid="{00000000-0005-0000-0000-0000798A0000}"/>
    <cellStyle name="Porcentual 2 12 18 7" xfId="25211" xr:uid="{00000000-0005-0000-0000-00007A8A0000}"/>
    <cellStyle name="Porcentual 2 12 19" xfId="25212" xr:uid="{00000000-0005-0000-0000-00007B8A0000}"/>
    <cellStyle name="Porcentual 2 12 19 2" xfId="25213" xr:uid="{00000000-0005-0000-0000-00007C8A0000}"/>
    <cellStyle name="Porcentual 2 12 19 3" xfId="25214" xr:uid="{00000000-0005-0000-0000-00007D8A0000}"/>
    <cellStyle name="Porcentual 2 12 19 4" xfId="25215" xr:uid="{00000000-0005-0000-0000-00007E8A0000}"/>
    <cellStyle name="Porcentual 2 12 19 5" xfId="25216" xr:uid="{00000000-0005-0000-0000-00007F8A0000}"/>
    <cellStyle name="Porcentual 2 12 19 6" xfId="25217" xr:uid="{00000000-0005-0000-0000-0000808A0000}"/>
    <cellStyle name="Porcentual 2 12 19 7" xfId="25218" xr:uid="{00000000-0005-0000-0000-0000818A0000}"/>
    <cellStyle name="Porcentual 2 12 2" xfId="25219" xr:uid="{00000000-0005-0000-0000-0000828A0000}"/>
    <cellStyle name="Porcentual 2 12 2 2" xfId="25220" xr:uid="{00000000-0005-0000-0000-0000838A0000}"/>
    <cellStyle name="Porcentual 2 12 2 2 2" xfId="25221" xr:uid="{00000000-0005-0000-0000-0000848A0000}"/>
    <cellStyle name="Porcentual 2 12 2 2 3" xfId="25222" xr:uid="{00000000-0005-0000-0000-0000858A0000}"/>
    <cellStyle name="Porcentual 2 12 2 2 4" xfId="25223" xr:uid="{00000000-0005-0000-0000-0000868A0000}"/>
    <cellStyle name="Porcentual 2 12 2 2 5" xfId="25224" xr:uid="{00000000-0005-0000-0000-0000878A0000}"/>
    <cellStyle name="Porcentual 2 12 2 2 6" xfId="25225" xr:uid="{00000000-0005-0000-0000-0000888A0000}"/>
    <cellStyle name="Porcentual 2 12 2 2 7" xfId="25226" xr:uid="{00000000-0005-0000-0000-0000898A0000}"/>
    <cellStyle name="Porcentual 2 12 2 3" xfId="25227" xr:uid="{00000000-0005-0000-0000-00008A8A0000}"/>
    <cellStyle name="Porcentual 2 12 2 4" xfId="25228" xr:uid="{00000000-0005-0000-0000-00008B8A0000}"/>
    <cellStyle name="Porcentual 2 12 2 5" xfId="25229" xr:uid="{00000000-0005-0000-0000-00008C8A0000}"/>
    <cellStyle name="Porcentual 2 12 2 6" xfId="25230" xr:uid="{00000000-0005-0000-0000-00008D8A0000}"/>
    <cellStyle name="Porcentual 2 12 2 7" xfId="25231" xr:uid="{00000000-0005-0000-0000-00008E8A0000}"/>
    <cellStyle name="Porcentual 2 12 2 8" xfId="25232" xr:uid="{00000000-0005-0000-0000-00008F8A0000}"/>
    <cellStyle name="Porcentual 2 12 20" xfId="25233" xr:uid="{00000000-0005-0000-0000-0000908A0000}"/>
    <cellStyle name="Porcentual 2 12 20 2" xfId="25234" xr:uid="{00000000-0005-0000-0000-0000918A0000}"/>
    <cellStyle name="Porcentual 2 12 20 3" xfId="25235" xr:uid="{00000000-0005-0000-0000-0000928A0000}"/>
    <cellStyle name="Porcentual 2 12 20 4" xfId="25236" xr:uid="{00000000-0005-0000-0000-0000938A0000}"/>
    <cellStyle name="Porcentual 2 12 20 5" xfId="25237" xr:uid="{00000000-0005-0000-0000-0000948A0000}"/>
    <cellStyle name="Porcentual 2 12 20 6" xfId="25238" xr:uid="{00000000-0005-0000-0000-0000958A0000}"/>
    <cellStyle name="Porcentual 2 12 20 7" xfId="25239" xr:uid="{00000000-0005-0000-0000-0000968A0000}"/>
    <cellStyle name="Porcentual 2 12 21" xfId="25240" xr:uid="{00000000-0005-0000-0000-0000978A0000}"/>
    <cellStyle name="Porcentual 2 12 21 2" xfId="25241" xr:uid="{00000000-0005-0000-0000-0000988A0000}"/>
    <cellStyle name="Porcentual 2 12 21 3" xfId="25242" xr:uid="{00000000-0005-0000-0000-0000998A0000}"/>
    <cellStyle name="Porcentual 2 12 21 4" xfId="25243" xr:uid="{00000000-0005-0000-0000-00009A8A0000}"/>
    <cellStyle name="Porcentual 2 12 21 5" xfId="25244" xr:uid="{00000000-0005-0000-0000-00009B8A0000}"/>
    <cellStyle name="Porcentual 2 12 21 6" xfId="25245" xr:uid="{00000000-0005-0000-0000-00009C8A0000}"/>
    <cellStyle name="Porcentual 2 12 21 7" xfId="25246" xr:uid="{00000000-0005-0000-0000-00009D8A0000}"/>
    <cellStyle name="Porcentual 2 12 22" xfId="25247" xr:uid="{00000000-0005-0000-0000-00009E8A0000}"/>
    <cellStyle name="Porcentual 2 12 22 2" xfId="25248" xr:uid="{00000000-0005-0000-0000-00009F8A0000}"/>
    <cellStyle name="Porcentual 2 12 22 3" xfId="25249" xr:uid="{00000000-0005-0000-0000-0000A08A0000}"/>
    <cellStyle name="Porcentual 2 12 22 4" xfId="25250" xr:uid="{00000000-0005-0000-0000-0000A18A0000}"/>
    <cellStyle name="Porcentual 2 12 22 5" xfId="25251" xr:uid="{00000000-0005-0000-0000-0000A28A0000}"/>
    <cellStyle name="Porcentual 2 12 22 6" xfId="25252" xr:uid="{00000000-0005-0000-0000-0000A38A0000}"/>
    <cellStyle name="Porcentual 2 12 22 7" xfId="25253" xr:uid="{00000000-0005-0000-0000-0000A48A0000}"/>
    <cellStyle name="Porcentual 2 12 23" xfId="25254" xr:uid="{00000000-0005-0000-0000-0000A58A0000}"/>
    <cellStyle name="Porcentual 2 12 23 2" xfId="25255" xr:uid="{00000000-0005-0000-0000-0000A68A0000}"/>
    <cellStyle name="Porcentual 2 12 23 3" xfId="25256" xr:uid="{00000000-0005-0000-0000-0000A78A0000}"/>
    <cellStyle name="Porcentual 2 12 23 4" xfId="25257" xr:uid="{00000000-0005-0000-0000-0000A88A0000}"/>
    <cellStyle name="Porcentual 2 12 23 5" xfId="25258" xr:uid="{00000000-0005-0000-0000-0000A98A0000}"/>
    <cellStyle name="Porcentual 2 12 23 6" xfId="25259" xr:uid="{00000000-0005-0000-0000-0000AA8A0000}"/>
    <cellStyle name="Porcentual 2 12 23 7" xfId="25260" xr:uid="{00000000-0005-0000-0000-0000AB8A0000}"/>
    <cellStyle name="Porcentual 2 12 24" xfId="25261" xr:uid="{00000000-0005-0000-0000-0000AC8A0000}"/>
    <cellStyle name="Porcentual 2 12 24 2" xfId="25262" xr:uid="{00000000-0005-0000-0000-0000AD8A0000}"/>
    <cellStyle name="Porcentual 2 12 24 3" xfId="25263" xr:uid="{00000000-0005-0000-0000-0000AE8A0000}"/>
    <cellStyle name="Porcentual 2 12 24 4" xfId="25264" xr:uid="{00000000-0005-0000-0000-0000AF8A0000}"/>
    <cellStyle name="Porcentual 2 12 24 5" xfId="25265" xr:uid="{00000000-0005-0000-0000-0000B08A0000}"/>
    <cellStyle name="Porcentual 2 12 24 6" xfId="25266" xr:uid="{00000000-0005-0000-0000-0000B18A0000}"/>
    <cellStyle name="Porcentual 2 12 24 7" xfId="25267" xr:uid="{00000000-0005-0000-0000-0000B28A0000}"/>
    <cellStyle name="Porcentual 2 12 25" xfId="25268" xr:uid="{00000000-0005-0000-0000-0000B38A0000}"/>
    <cellStyle name="Porcentual 2 12 25 2" xfId="25269" xr:uid="{00000000-0005-0000-0000-0000B48A0000}"/>
    <cellStyle name="Porcentual 2 12 25 3" xfId="25270" xr:uid="{00000000-0005-0000-0000-0000B58A0000}"/>
    <cellStyle name="Porcentual 2 12 25 4" xfId="25271" xr:uid="{00000000-0005-0000-0000-0000B68A0000}"/>
    <cellStyle name="Porcentual 2 12 25 5" xfId="25272" xr:uid="{00000000-0005-0000-0000-0000B78A0000}"/>
    <cellStyle name="Porcentual 2 12 25 6" xfId="25273" xr:uid="{00000000-0005-0000-0000-0000B88A0000}"/>
    <cellStyle name="Porcentual 2 12 25 7" xfId="25274" xr:uid="{00000000-0005-0000-0000-0000B98A0000}"/>
    <cellStyle name="Porcentual 2 12 26" xfId="25275" xr:uid="{00000000-0005-0000-0000-0000BA8A0000}"/>
    <cellStyle name="Porcentual 2 12 26 2" xfId="25276" xr:uid="{00000000-0005-0000-0000-0000BB8A0000}"/>
    <cellStyle name="Porcentual 2 12 26 3" xfId="25277" xr:uid="{00000000-0005-0000-0000-0000BC8A0000}"/>
    <cellStyle name="Porcentual 2 12 26 4" xfId="25278" xr:uid="{00000000-0005-0000-0000-0000BD8A0000}"/>
    <cellStyle name="Porcentual 2 12 26 5" xfId="25279" xr:uid="{00000000-0005-0000-0000-0000BE8A0000}"/>
    <cellStyle name="Porcentual 2 12 26 6" xfId="25280" xr:uid="{00000000-0005-0000-0000-0000BF8A0000}"/>
    <cellStyle name="Porcentual 2 12 26 7" xfId="25281" xr:uid="{00000000-0005-0000-0000-0000C08A0000}"/>
    <cellStyle name="Porcentual 2 12 27" xfId="25282" xr:uid="{00000000-0005-0000-0000-0000C18A0000}"/>
    <cellStyle name="Porcentual 2 12 27 2" xfId="25283" xr:uid="{00000000-0005-0000-0000-0000C28A0000}"/>
    <cellStyle name="Porcentual 2 12 27 3" xfId="25284" xr:uid="{00000000-0005-0000-0000-0000C38A0000}"/>
    <cellStyle name="Porcentual 2 12 27 4" xfId="25285" xr:uid="{00000000-0005-0000-0000-0000C48A0000}"/>
    <cellStyle name="Porcentual 2 12 27 5" xfId="25286" xr:uid="{00000000-0005-0000-0000-0000C58A0000}"/>
    <cellStyle name="Porcentual 2 12 27 6" xfId="25287" xr:uid="{00000000-0005-0000-0000-0000C68A0000}"/>
    <cellStyle name="Porcentual 2 12 27 7" xfId="25288" xr:uid="{00000000-0005-0000-0000-0000C78A0000}"/>
    <cellStyle name="Porcentual 2 12 28" xfId="25289" xr:uid="{00000000-0005-0000-0000-0000C88A0000}"/>
    <cellStyle name="Porcentual 2 12 28 2" xfId="25290" xr:uid="{00000000-0005-0000-0000-0000C98A0000}"/>
    <cellStyle name="Porcentual 2 12 28 3" xfId="25291" xr:uid="{00000000-0005-0000-0000-0000CA8A0000}"/>
    <cellStyle name="Porcentual 2 12 28 4" xfId="25292" xr:uid="{00000000-0005-0000-0000-0000CB8A0000}"/>
    <cellStyle name="Porcentual 2 12 28 5" xfId="25293" xr:uid="{00000000-0005-0000-0000-0000CC8A0000}"/>
    <cellStyle name="Porcentual 2 12 28 6" xfId="25294" xr:uid="{00000000-0005-0000-0000-0000CD8A0000}"/>
    <cellStyle name="Porcentual 2 12 28 7" xfId="25295" xr:uid="{00000000-0005-0000-0000-0000CE8A0000}"/>
    <cellStyle name="Porcentual 2 12 29" xfId="25296" xr:uid="{00000000-0005-0000-0000-0000CF8A0000}"/>
    <cellStyle name="Porcentual 2 12 29 2" xfId="25297" xr:uid="{00000000-0005-0000-0000-0000D08A0000}"/>
    <cellStyle name="Porcentual 2 12 29 3" xfId="25298" xr:uid="{00000000-0005-0000-0000-0000D18A0000}"/>
    <cellStyle name="Porcentual 2 12 29 4" xfId="25299" xr:uid="{00000000-0005-0000-0000-0000D28A0000}"/>
    <cellStyle name="Porcentual 2 12 29 5" xfId="25300" xr:uid="{00000000-0005-0000-0000-0000D38A0000}"/>
    <cellStyle name="Porcentual 2 12 29 6" xfId="25301" xr:uid="{00000000-0005-0000-0000-0000D48A0000}"/>
    <cellStyle name="Porcentual 2 12 29 7" xfId="25302" xr:uid="{00000000-0005-0000-0000-0000D58A0000}"/>
    <cellStyle name="Porcentual 2 12 3" xfId="25303" xr:uid="{00000000-0005-0000-0000-0000D68A0000}"/>
    <cellStyle name="Porcentual 2 12 3 2" xfId="25304" xr:uid="{00000000-0005-0000-0000-0000D78A0000}"/>
    <cellStyle name="Porcentual 2 12 3 2 2" xfId="25305" xr:uid="{00000000-0005-0000-0000-0000D88A0000}"/>
    <cellStyle name="Porcentual 2 12 3 2 3" xfId="25306" xr:uid="{00000000-0005-0000-0000-0000D98A0000}"/>
    <cellStyle name="Porcentual 2 12 3 2 4" xfId="25307" xr:uid="{00000000-0005-0000-0000-0000DA8A0000}"/>
    <cellStyle name="Porcentual 2 12 3 2 5" xfId="25308" xr:uid="{00000000-0005-0000-0000-0000DB8A0000}"/>
    <cellStyle name="Porcentual 2 12 3 2 6" xfId="25309" xr:uid="{00000000-0005-0000-0000-0000DC8A0000}"/>
    <cellStyle name="Porcentual 2 12 3 2 7" xfId="25310" xr:uid="{00000000-0005-0000-0000-0000DD8A0000}"/>
    <cellStyle name="Porcentual 2 12 3 3" xfId="25311" xr:uid="{00000000-0005-0000-0000-0000DE8A0000}"/>
    <cellStyle name="Porcentual 2 12 3 4" xfId="25312" xr:uid="{00000000-0005-0000-0000-0000DF8A0000}"/>
    <cellStyle name="Porcentual 2 12 3 5" xfId="25313" xr:uid="{00000000-0005-0000-0000-0000E08A0000}"/>
    <cellStyle name="Porcentual 2 12 3 6" xfId="25314" xr:uid="{00000000-0005-0000-0000-0000E18A0000}"/>
    <cellStyle name="Porcentual 2 12 3 7" xfId="25315" xr:uid="{00000000-0005-0000-0000-0000E28A0000}"/>
    <cellStyle name="Porcentual 2 12 3 8" xfId="25316" xr:uid="{00000000-0005-0000-0000-0000E38A0000}"/>
    <cellStyle name="Porcentual 2 12 30" xfId="25317" xr:uid="{00000000-0005-0000-0000-0000E48A0000}"/>
    <cellStyle name="Porcentual 2 12 30 2" xfId="25318" xr:uid="{00000000-0005-0000-0000-0000E58A0000}"/>
    <cellStyle name="Porcentual 2 12 30 3" xfId="25319" xr:uid="{00000000-0005-0000-0000-0000E68A0000}"/>
    <cellStyle name="Porcentual 2 12 30 4" xfId="25320" xr:uid="{00000000-0005-0000-0000-0000E78A0000}"/>
    <cellStyle name="Porcentual 2 12 30 5" xfId="25321" xr:uid="{00000000-0005-0000-0000-0000E88A0000}"/>
    <cellStyle name="Porcentual 2 12 30 6" xfId="25322" xr:uid="{00000000-0005-0000-0000-0000E98A0000}"/>
    <cellStyle name="Porcentual 2 12 30 7" xfId="25323" xr:uid="{00000000-0005-0000-0000-0000EA8A0000}"/>
    <cellStyle name="Porcentual 2 12 31" xfId="25324" xr:uid="{00000000-0005-0000-0000-0000EB8A0000}"/>
    <cellStyle name="Porcentual 2 12 31 2" xfId="25325" xr:uid="{00000000-0005-0000-0000-0000EC8A0000}"/>
    <cellStyle name="Porcentual 2 12 31 3" xfId="25326" xr:uid="{00000000-0005-0000-0000-0000ED8A0000}"/>
    <cellStyle name="Porcentual 2 12 31 4" xfId="25327" xr:uid="{00000000-0005-0000-0000-0000EE8A0000}"/>
    <cellStyle name="Porcentual 2 12 31 5" xfId="25328" xr:uid="{00000000-0005-0000-0000-0000EF8A0000}"/>
    <cellStyle name="Porcentual 2 12 31 6" xfId="25329" xr:uid="{00000000-0005-0000-0000-0000F08A0000}"/>
    <cellStyle name="Porcentual 2 12 31 7" xfId="25330" xr:uid="{00000000-0005-0000-0000-0000F18A0000}"/>
    <cellStyle name="Porcentual 2 12 32" xfId="25331" xr:uid="{00000000-0005-0000-0000-0000F28A0000}"/>
    <cellStyle name="Porcentual 2 12 32 2" xfId="25332" xr:uid="{00000000-0005-0000-0000-0000F38A0000}"/>
    <cellStyle name="Porcentual 2 12 32 3" xfId="25333" xr:uid="{00000000-0005-0000-0000-0000F48A0000}"/>
    <cellStyle name="Porcentual 2 12 32 4" xfId="25334" xr:uid="{00000000-0005-0000-0000-0000F58A0000}"/>
    <cellStyle name="Porcentual 2 12 32 5" xfId="25335" xr:uid="{00000000-0005-0000-0000-0000F68A0000}"/>
    <cellStyle name="Porcentual 2 12 32 6" xfId="25336" xr:uid="{00000000-0005-0000-0000-0000F78A0000}"/>
    <cellStyle name="Porcentual 2 12 32 7" xfId="25337" xr:uid="{00000000-0005-0000-0000-0000F88A0000}"/>
    <cellStyle name="Porcentual 2 12 33" xfId="25338" xr:uid="{00000000-0005-0000-0000-0000F98A0000}"/>
    <cellStyle name="Porcentual 2 12 33 2" xfId="25339" xr:uid="{00000000-0005-0000-0000-0000FA8A0000}"/>
    <cellStyle name="Porcentual 2 12 33 3" xfId="25340" xr:uid="{00000000-0005-0000-0000-0000FB8A0000}"/>
    <cellStyle name="Porcentual 2 12 33 4" xfId="25341" xr:uid="{00000000-0005-0000-0000-0000FC8A0000}"/>
    <cellStyle name="Porcentual 2 12 33 5" xfId="25342" xr:uid="{00000000-0005-0000-0000-0000FD8A0000}"/>
    <cellStyle name="Porcentual 2 12 33 6" xfId="25343" xr:uid="{00000000-0005-0000-0000-0000FE8A0000}"/>
    <cellStyle name="Porcentual 2 12 33 7" xfId="25344" xr:uid="{00000000-0005-0000-0000-0000FF8A0000}"/>
    <cellStyle name="Porcentual 2 12 34" xfId="25345" xr:uid="{00000000-0005-0000-0000-0000008B0000}"/>
    <cellStyle name="Porcentual 2 12 34 2" xfId="25346" xr:uid="{00000000-0005-0000-0000-0000018B0000}"/>
    <cellStyle name="Porcentual 2 12 34 3" xfId="25347" xr:uid="{00000000-0005-0000-0000-0000028B0000}"/>
    <cellStyle name="Porcentual 2 12 34 4" xfId="25348" xr:uid="{00000000-0005-0000-0000-0000038B0000}"/>
    <cellStyle name="Porcentual 2 12 34 5" xfId="25349" xr:uid="{00000000-0005-0000-0000-0000048B0000}"/>
    <cellStyle name="Porcentual 2 12 34 6" xfId="25350" xr:uid="{00000000-0005-0000-0000-0000058B0000}"/>
    <cellStyle name="Porcentual 2 12 34 7" xfId="25351" xr:uid="{00000000-0005-0000-0000-0000068B0000}"/>
    <cellStyle name="Porcentual 2 12 35" xfId="25352" xr:uid="{00000000-0005-0000-0000-0000078B0000}"/>
    <cellStyle name="Porcentual 2 12 35 2" xfId="25353" xr:uid="{00000000-0005-0000-0000-0000088B0000}"/>
    <cellStyle name="Porcentual 2 12 35 3" xfId="25354" xr:uid="{00000000-0005-0000-0000-0000098B0000}"/>
    <cellStyle name="Porcentual 2 12 35 4" xfId="25355" xr:uid="{00000000-0005-0000-0000-00000A8B0000}"/>
    <cellStyle name="Porcentual 2 12 35 5" xfId="25356" xr:uid="{00000000-0005-0000-0000-00000B8B0000}"/>
    <cellStyle name="Porcentual 2 12 35 6" xfId="25357" xr:uid="{00000000-0005-0000-0000-00000C8B0000}"/>
    <cellStyle name="Porcentual 2 12 35 7" xfId="25358" xr:uid="{00000000-0005-0000-0000-00000D8B0000}"/>
    <cellStyle name="Porcentual 2 12 36" xfId="25359" xr:uid="{00000000-0005-0000-0000-00000E8B0000}"/>
    <cellStyle name="Porcentual 2 12 37" xfId="25360" xr:uid="{00000000-0005-0000-0000-00000F8B0000}"/>
    <cellStyle name="Porcentual 2 12 38" xfId="25361" xr:uid="{00000000-0005-0000-0000-0000108B0000}"/>
    <cellStyle name="Porcentual 2 12 39" xfId="25362" xr:uid="{00000000-0005-0000-0000-0000118B0000}"/>
    <cellStyle name="Porcentual 2 12 4" xfId="25363" xr:uid="{00000000-0005-0000-0000-0000128B0000}"/>
    <cellStyle name="Porcentual 2 12 4 2" xfId="25364" xr:uid="{00000000-0005-0000-0000-0000138B0000}"/>
    <cellStyle name="Porcentual 2 12 4 2 2" xfId="25365" xr:uid="{00000000-0005-0000-0000-0000148B0000}"/>
    <cellStyle name="Porcentual 2 12 4 2 3" xfId="25366" xr:uid="{00000000-0005-0000-0000-0000158B0000}"/>
    <cellStyle name="Porcentual 2 12 4 2 4" xfId="25367" xr:uid="{00000000-0005-0000-0000-0000168B0000}"/>
    <cellStyle name="Porcentual 2 12 4 2 5" xfId="25368" xr:uid="{00000000-0005-0000-0000-0000178B0000}"/>
    <cellStyle name="Porcentual 2 12 4 2 6" xfId="25369" xr:uid="{00000000-0005-0000-0000-0000188B0000}"/>
    <cellStyle name="Porcentual 2 12 4 2 7" xfId="25370" xr:uid="{00000000-0005-0000-0000-0000198B0000}"/>
    <cellStyle name="Porcentual 2 12 4 3" xfId="25371" xr:uid="{00000000-0005-0000-0000-00001A8B0000}"/>
    <cellStyle name="Porcentual 2 12 4 4" xfId="25372" xr:uid="{00000000-0005-0000-0000-00001B8B0000}"/>
    <cellStyle name="Porcentual 2 12 4 5" xfId="25373" xr:uid="{00000000-0005-0000-0000-00001C8B0000}"/>
    <cellStyle name="Porcentual 2 12 4 6" xfId="25374" xr:uid="{00000000-0005-0000-0000-00001D8B0000}"/>
    <cellStyle name="Porcentual 2 12 4 7" xfId="25375" xr:uid="{00000000-0005-0000-0000-00001E8B0000}"/>
    <cellStyle name="Porcentual 2 12 4 8" xfId="25376" xr:uid="{00000000-0005-0000-0000-00001F8B0000}"/>
    <cellStyle name="Porcentual 2 12 40" xfId="25377" xr:uid="{00000000-0005-0000-0000-0000208B0000}"/>
    <cellStyle name="Porcentual 2 12 41" xfId="25378" xr:uid="{00000000-0005-0000-0000-0000218B0000}"/>
    <cellStyle name="Porcentual 2 12 5" xfId="25379" xr:uid="{00000000-0005-0000-0000-0000228B0000}"/>
    <cellStyle name="Porcentual 2 12 5 2" xfId="25380" xr:uid="{00000000-0005-0000-0000-0000238B0000}"/>
    <cellStyle name="Porcentual 2 12 5 2 2" xfId="25381" xr:uid="{00000000-0005-0000-0000-0000248B0000}"/>
    <cellStyle name="Porcentual 2 12 5 2 3" xfId="25382" xr:uid="{00000000-0005-0000-0000-0000258B0000}"/>
    <cellStyle name="Porcentual 2 12 5 2 4" xfId="25383" xr:uid="{00000000-0005-0000-0000-0000268B0000}"/>
    <cellStyle name="Porcentual 2 12 5 2 5" xfId="25384" xr:uid="{00000000-0005-0000-0000-0000278B0000}"/>
    <cellStyle name="Porcentual 2 12 5 2 6" xfId="25385" xr:uid="{00000000-0005-0000-0000-0000288B0000}"/>
    <cellStyle name="Porcentual 2 12 5 2 7" xfId="25386" xr:uid="{00000000-0005-0000-0000-0000298B0000}"/>
    <cellStyle name="Porcentual 2 12 5 3" xfId="25387" xr:uid="{00000000-0005-0000-0000-00002A8B0000}"/>
    <cellStyle name="Porcentual 2 12 5 4" xfId="25388" xr:uid="{00000000-0005-0000-0000-00002B8B0000}"/>
    <cellStyle name="Porcentual 2 12 5 5" xfId="25389" xr:uid="{00000000-0005-0000-0000-00002C8B0000}"/>
    <cellStyle name="Porcentual 2 12 5 6" xfId="25390" xr:uid="{00000000-0005-0000-0000-00002D8B0000}"/>
    <cellStyle name="Porcentual 2 12 5 7" xfId="25391" xr:uid="{00000000-0005-0000-0000-00002E8B0000}"/>
    <cellStyle name="Porcentual 2 12 5 8" xfId="25392" xr:uid="{00000000-0005-0000-0000-00002F8B0000}"/>
    <cellStyle name="Porcentual 2 12 6" xfId="25393" xr:uid="{00000000-0005-0000-0000-0000308B0000}"/>
    <cellStyle name="Porcentual 2 12 6 2" xfId="25394" xr:uid="{00000000-0005-0000-0000-0000318B0000}"/>
    <cellStyle name="Porcentual 2 12 6 2 2" xfId="25395" xr:uid="{00000000-0005-0000-0000-0000328B0000}"/>
    <cellStyle name="Porcentual 2 12 6 2 3" xfId="25396" xr:uid="{00000000-0005-0000-0000-0000338B0000}"/>
    <cellStyle name="Porcentual 2 12 6 2 4" xfId="25397" xr:uid="{00000000-0005-0000-0000-0000348B0000}"/>
    <cellStyle name="Porcentual 2 12 6 2 5" xfId="25398" xr:uid="{00000000-0005-0000-0000-0000358B0000}"/>
    <cellStyle name="Porcentual 2 12 6 2 6" xfId="25399" xr:uid="{00000000-0005-0000-0000-0000368B0000}"/>
    <cellStyle name="Porcentual 2 12 6 2 7" xfId="25400" xr:uid="{00000000-0005-0000-0000-0000378B0000}"/>
    <cellStyle name="Porcentual 2 12 6 3" xfId="25401" xr:uid="{00000000-0005-0000-0000-0000388B0000}"/>
    <cellStyle name="Porcentual 2 12 6 4" xfId="25402" xr:uid="{00000000-0005-0000-0000-0000398B0000}"/>
    <cellStyle name="Porcentual 2 12 6 5" xfId="25403" xr:uid="{00000000-0005-0000-0000-00003A8B0000}"/>
    <cellStyle name="Porcentual 2 12 6 6" xfId="25404" xr:uid="{00000000-0005-0000-0000-00003B8B0000}"/>
    <cellStyle name="Porcentual 2 12 6 7" xfId="25405" xr:uid="{00000000-0005-0000-0000-00003C8B0000}"/>
    <cellStyle name="Porcentual 2 12 6 8" xfId="25406" xr:uid="{00000000-0005-0000-0000-00003D8B0000}"/>
    <cellStyle name="Porcentual 2 12 7" xfId="25407" xr:uid="{00000000-0005-0000-0000-00003E8B0000}"/>
    <cellStyle name="Porcentual 2 12 7 2" xfId="25408" xr:uid="{00000000-0005-0000-0000-00003F8B0000}"/>
    <cellStyle name="Porcentual 2 12 7 2 2" xfId="25409" xr:uid="{00000000-0005-0000-0000-0000408B0000}"/>
    <cellStyle name="Porcentual 2 12 7 2 3" xfId="25410" xr:uid="{00000000-0005-0000-0000-0000418B0000}"/>
    <cellStyle name="Porcentual 2 12 7 2 4" xfId="25411" xr:uid="{00000000-0005-0000-0000-0000428B0000}"/>
    <cellStyle name="Porcentual 2 12 7 2 5" xfId="25412" xr:uid="{00000000-0005-0000-0000-0000438B0000}"/>
    <cellStyle name="Porcentual 2 12 7 2 6" xfId="25413" xr:uid="{00000000-0005-0000-0000-0000448B0000}"/>
    <cellStyle name="Porcentual 2 12 7 2 7" xfId="25414" xr:uid="{00000000-0005-0000-0000-0000458B0000}"/>
    <cellStyle name="Porcentual 2 12 7 3" xfId="25415" xr:uid="{00000000-0005-0000-0000-0000468B0000}"/>
    <cellStyle name="Porcentual 2 12 7 4" xfId="25416" xr:uid="{00000000-0005-0000-0000-0000478B0000}"/>
    <cellStyle name="Porcentual 2 12 7 5" xfId="25417" xr:uid="{00000000-0005-0000-0000-0000488B0000}"/>
    <cellStyle name="Porcentual 2 12 7 6" xfId="25418" xr:uid="{00000000-0005-0000-0000-0000498B0000}"/>
    <cellStyle name="Porcentual 2 12 7 7" xfId="25419" xr:uid="{00000000-0005-0000-0000-00004A8B0000}"/>
    <cellStyle name="Porcentual 2 12 7 8" xfId="25420" xr:uid="{00000000-0005-0000-0000-00004B8B0000}"/>
    <cellStyle name="Porcentual 2 12 8" xfId="25421" xr:uid="{00000000-0005-0000-0000-00004C8B0000}"/>
    <cellStyle name="Porcentual 2 12 8 2" xfId="25422" xr:uid="{00000000-0005-0000-0000-00004D8B0000}"/>
    <cellStyle name="Porcentual 2 12 8 2 2" xfId="25423" xr:uid="{00000000-0005-0000-0000-00004E8B0000}"/>
    <cellStyle name="Porcentual 2 12 8 2 3" xfId="25424" xr:uid="{00000000-0005-0000-0000-00004F8B0000}"/>
    <cellStyle name="Porcentual 2 12 8 2 4" xfId="25425" xr:uid="{00000000-0005-0000-0000-0000508B0000}"/>
    <cellStyle name="Porcentual 2 12 8 2 5" xfId="25426" xr:uid="{00000000-0005-0000-0000-0000518B0000}"/>
    <cellStyle name="Porcentual 2 12 8 2 6" xfId="25427" xr:uid="{00000000-0005-0000-0000-0000528B0000}"/>
    <cellStyle name="Porcentual 2 12 8 2 7" xfId="25428" xr:uid="{00000000-0005-0000-0000-0000538B0000}"/>
    <cellStyle name="Porcentual 2 12 8 3" xfId="25429" xr:uid="{00000000-0005-0000-0000-0000548B0000}"/>
    <cellStyle name="Porcentual 2 12 8 4" xfId="25430" xr:uid="{00000000-0005-0000-0000-0000558B0000}"/>
    <cellStyle name="Porcentual 2 12 8 5" xfId="25431" xr:uid="{00000000-0005-0000-0000-0000568B0000}"/>
    <cellStyle name="Porcentual 2 12 8 6" xfId="25432" xr:uid="{00000000-0005-0000-0000-0000578B0000}"/>
    <cellStyle name="Porcentual 2 12 8 7" xfId="25433" xr:uid="{00000000-0005-0000-0000-0000588B0000}"/>
    <cellStyle name="Porcentual 2 12 8 8" xfId="25434" xr:uid="{00000000-0005-0000-0000-0000598B0000}"/>
    <cellStyle name="Porcentual 2 12 9" xfId="25435" xr:uid="{00000000-0005-0000-0000-00005A8B0000}"/>
    <cellStyle name="Porcentual 2 12 9 2" xfId="25436" xr:uid="{00000000-0005-0000-0000-00005B8B0000}"/>
    <cellStyle name="Porcentual 2 12 9 2 2" xfId="25437" xr:uid="{00000000-0005-0000-0000-00005C8B0000}"/>
    <cellStyle name="Porcentual 2 12 9 2 3" xfId="25438" xr:uid="{00000000-0005-0000-0000-00005D8B0000}"/>
    <cellStyle name="Porcentual 2 12 9 2 4" xfId="25439" xr:uid="{00000000-0005-0000-0000-00005E8B0000}"/>
    <cellStyle name="Porcentual 2 12 9 2 5" xfId="25440" xr:uid="{00000000-0005-0000-0000-00005F8B0000}"/>
    <cellStyle name="Porcentual 2 12 9 2 6" xfId="25441" xr:uid="{00000000-0005-0000-0000-0000608B0000}"/>
    <cellStyle name="Porcentual 2 12 9 2 7" xfId="25442" xr:uid="{00000000-0005-0000-0000-0000618B0000}"/>
    <cellStyle name="Porcentual 2 12 9 3" xfId="25443" xr:uid="{00000000-0005-0000-0000-0000628B0000}"/>
    <cellStyle name="Porcentual 2 12 9 4" xfId="25444" xr:uid="{00000000-0005-0000-0000-0000638B0000}"/>
    <cellStyle name="Porcentual 2 12 9 5" xfId="25445" xr:uid="{00000000-0005-0000-0000-0000648B0000}"/>
    <cellStyle name="Porcentual 2 12 9 6" xfId="25446" xr:uid="{00000000-0005-0000-0000-0000658B0000}"/>
    <cellStyle name="Porcentual 2 12 9 7" xfId="25447" xr:uid="{00000000-0005-0000-0000-0000668B0000}"/>
    <cellStyle name="Porcentual 2 12 9 8" xfId="25448" xr:uid="{00000000-0005-0000-0000-0000678B0000}"/>
    <cellStyle name="Porcentual 2 13" xfId="25449" xr:uid="{00000000-0005-0000-0000-0000688B0000}"/>
    <cellStyle name="Porcentual 2 13 10" xfId="25450" xr:uid="{00000000-0005-0000-0000-0000698B0000}"/>
    <cellStyle name="Porcentual 2 13 10 2" xfId="25451" xr:uid="{00000000-0005-0000-0000-00006A8B0000}"/>
    <cellStyle name="Porcentual 2 13 10 2 2" xfId="25452" xr:uid="{00000000-0005-0000-0000-00006B8B0000}"/>
    <cellStyle name="Porcentual 2 13 10 2 3" xfId="25453" xr:uid="{00000000-0005-0000-0000-00006C8B0000}"/>
    <cellStyle name="Porcentual 2 13 10 2 4" xfId="25454" xr:uid="{00000000-0005-0000-0000-00006D8B0000}"/>
    <cellStyle name="Porcentual 2 13 10 2 5" xfId="25455" xr:uid="{00000000-0005-0000-0000-00006E8B0000}"/>
    <cellStyle name="Porcentual 2 13 10 2 6" xfId="25456" xr:uid="{00000000-0005-0000-0000-00006F8B0000}"/>
    <cellStyle name="Porcentual 2 13 10 2 7" xfId="25457" xr:uid="{00000000-0005-0000-0000-0000708B0000}"/>
    <cellStyle name="Porcentual 2 13 10 3" xfId="25458" xr:uid="{00000000-0005-0000-0000-0000718B0000}"/>
    <cellStyle name="Porcentual 2 13 10 4" xfId="25459" xr:uid="{00000000-0005-0000-0000-0000728B0000}"/>
    <cellStyle name="Porcentual 2 13 10 5" xfId="25460" xr:uid="{00000000-0005-0000-0000-0000738B0000}"/>
    <cellStyle name="Porcentual 2 13 10 6" xfId="25461" xr:uid="{00000000-0005-0000-0000-0000748B0000}"/>
    <cellStyle name="Porcentual 2 13 10 7" xfId="25462" xr:uid="{00000000-0005-0000-0000-0000758B0000}"/>
    <cellStyle name="Porcentual 2 13 10 8" xfId="25463" xr:uid="{00000000-0005-0000-0000-0000768B0000}"/>
    <cellStyle name="Porcentual 2 13 11" xfId="25464" xr:uid="{00000000-0005-0000-0000-0000778B0000}"/>
    <cellStyle name="Porcentual 2 13 11 2" xfId="25465" xr:uid="{00000000-0005-0000-0000-0000788B0000}"/>
    <cellStyle name="Porcentual 2 13 11 2 2" xfId="25466" xr:uid="{00000000-0005-0000-0000-0000798B0000}"/>
    <cellStyle name="Porcentual 2 13 11 2 3" xfId="25467" xr:uid="{00000000-0005-0000-0000-00007A8B0000}"/>
    <cellStyle name="Porcentual 2 13 11 2 4" xfId="25468" xr:uid="{00000000-0005-0000-0000-00007B8B0000}"/>
    <cellStyle name="Porcentual 2 13 11 2 5" xfId="25469" xr:uid="{00000000-0005-0000-0000-00007C8B0000}"/>
    <cellStyle name="Porcentual 2 13 11 2 6" xfId="25470" xr:uid="{00000000-0005-0000-0000-00007D8B0000}"/>
    <cellStyle name="Porcentual 2 13 11 2 7" xfId="25471" xr:uid="{00000000-0005-0000-0000-00007E8B0000}"/>
    <cellStyle name="Porcentual 2 13 11 3" xfId="25472" xr:uid="{00000000-0005-0000-0000-00007F8B0000}"/>
    <cellStyle name="Porcentual 2 13 11 4" xfId="25473" xr:uid="{00000000-0005-0000-0000-0000808B0000}"/>
    <cellStyle name="Porcentual 2 13 11 5" xfId="25474" xr:uid="{00000000-0005-0000-0000-0000818B0000}"/>
    <cellStyle name="Porcentual 2 13 11 6" xfId="25475" xr:uid="{00000000-0005-0000-0000-0000828B0000}"/>
    <cellStyle name="Porcentual 2 13 11 7" xfId="25476" xr:uid="{00000000-0005-0000-0000-0000838B0000}"/>
    <cellStyle name="Porcentual 2 13 11 8" xfId="25477" xr:uid="{00000000-0005-0000-0000-0000848B0000}"/>
    <cellStyle name="Porcentual 2 13 12" xfId="25478" xr:uid="{00000000-0005-0000-0000-0000858B0000}"/>
    <cellStyle name="Porcentual 2 13 12 2" xfId="25479" xr:uid="{00000000-0005-0000-0000-0000868B0000}"/>
    <cellStyle name="Porcentual 2 13 12 2 2" xfId="25480" xr:uid="{00000000-0005-0000-0000-0000878B0000}"/>
    <cellStyle name="Porcentual 2 13 12 2 3" xfId="25481" xr:uid="{00000000-0005-0000-0000-0000888B0000}"/>
    <cellStyle name="Porcentual 2 13 12 2 4" xfId="25482" xr:uid="{00000000-0005-0000-0000-0000898B0000}"/>
    <cellStyle name="Porcentual 2 13 12 2 5" xfId="25483" xr:uid="{00000000-0005-0000-0000-00008A8B0000}"/>
    <cellStyle name="Porcentual 2 13 12 2 6" xfId="25484" xr:uid="{00000000-0005-0000-0000-00008B8B0000}"/>
    <cellStyle name="Porcentual 2 13 12 2 7" xfId="25485" xr:uid="{00000000-0005-0000-0000-00008C8B0000}"/>
    <cellStyle name="Porcentual 2 13 12 3" xfId="25486" xr:uid="{00000000-0005-0000-0000-00008D8B0000}"/>
    <cellStyle name="Porcentual 2 13 12 4" xfId="25487" xr:uid="{00000000-0005-0000-0000-00008E8B0000}"/>
    <cellStyle name="Porcentual 2 13 12 5" xfId="25488" xr:uid="{00000000-0005-0000-0000-00008F8B0000}"/>
    <cellStyle name="Porcentual 2 13 12 6" xfId="25489" xr:uid="{00000000-0005-0000-0000-0000908B0000}"/>
    <cellStyle name="Porcentual 2 13 12 7" xfId="25490" xr:uid="{00000000-0005-0000-0000-0000918B0000}"/>
    <cellStyle name="Porcentual 2 13 12 8" xfId="25491" xr:uid="{00000000-0005-0000-0000-0000928B0000}"/>
    <cellStyle name="Porcentual 2 13 13" xfId="25492" xr:uid="{00000000-0005-0000-0000-0000938B0000}"/>
    <cellStyle name="Porcentual 2 13 13 2" xfId="25493" xr:uid="{00000000-0005-0000-0000-0000948B0000}"/>
    <cellStyle name="Porcentual 2 13 13 2 2" xfId="25494" xr:uid="{00000000-0005-0000-0000-0000958B0000}"/>
    <cellStyle name="Porcentual 2 13 13 2 3" xfId="25495" xr:uid="{00000000-0005-0000-0000-0000968B0000}"/>
    <cellStyle name="Porcentual 2 13 13 2 4" xfId="25496" xr:uid="{00000000-0005-0000-0000-0000978B0000}"/>
    <cellStyle name="Porcentual 2 13 13 2 5" xfId="25497" xr:uid="{00000000-0005-0000-0000-0000988B0000}"/>
    <cellStyle name="Porcentual 2 13 13 2 6" xfId="25498" xr:uid="{00000000-0005-0000-0000-0000998B0000}"/>
    <cellStyle name="Porcentual 2 13 13 2 7" xfId="25499" xr:uid="{00000000-0005-0000-0000-00009A8B0000}"/>
    <cellStyle name="Porcentual 2 13 13 3" xfId="25500" xr:uid="{00000000-0005-0000-0000-00009B8B0000}"/>
    <cellStyle name="Porcentual 2 13 13 4" xfId="25501" xr:uid="{00000000-0005-0000-0000-00009C8B0000}"/>
    <cellStyle name="Porcentual 2 13 13 5" xfId="25502" xr:uid="{00000000-0005-0000-0000-00009D8B0000}"/>
    <cellStyle name="Porcentual 2 13 13 6" xfId="25503" xr:uid="{00000000-0005-0000-0000-00009E8B0000}"/>
    <cellStyle name="Porcentual 2 13 13 7" xfId="25504" xr:uid="{00000000-0005-0000-0000-00009F8B0000}"/>
    <cellStyle name="Porcentual 2 13 13 8" xfId="25505" xr:uid="{00000000-0005-0000-0000-0000A08B0000}"/>
    <cellStyle name="Porcentual 2 13 14" xfId="25506" xr:uid="{00000000-0005-0000-0000-0000A18B0000}"/>
    <cellStyle name="Porcentual 2 13 14 2" xfId="25507" xr:uid="{00000000-0005-0000-0000-0000A28B0000}"/>
    <cellStyle name="Porcentual 2 13 14 2 2" xfId="25508" xr:uid="{00000000-0005-0000-0000-0000A38B0000}"/>
    <cellStyle name="Porcentual 2 13 14 2 3" xfId="25509" xr:uid="{00000000-0005-0000-0000-0000A48B0000}"/>
    <cellStyle name="Porcentual 2 13 14 2 4" xfId="25510" xr:uid="{00000000-0005-0000-0000-0000A58B0000}"/>
    <cellStyle name="Porcentual 2 13 14 2 5" xfId="25511" xr:uid="{00000000-0005-0000-0000-0000A68B0000}"/>
    <cellStyle name="Porcentual 2 13 14 2 6" xfId="25512" xr:uid="{00000000-0005-0000-0000-0000A78B0000}"/>
    <cellStyle name="Porcentual 2 13 14 2 7" xfId="25513" xr:uid="{00000000-0005-0000-0000-0000A88B0000}"/>
    <cellStyle name="Porcentual 2 13 14 3" xfId="25514" xr:uid="{00000000-0005-0000-0000-0000A98B0000}"/>
    <cellStyle name="Porcentual 2 13 14 4" xfId="25515" xr:uid="{00000000-0005-0000-0000-0000AA8B0000}"/>
    <cellStyle name="Porcentual 2 13 14 5" xfId="25516" xr:uid="{00000000-0005-0000-0000-0000AB8B0000}"/>
    <cellStyle name="Porcentual 2 13 14 6" xfId="25517" xr:uid="{00000000-0005-0000-0000-0000AC8B0000}"/>
    <cellStyle name="Porcentual 2 13 14 7" xfId="25518" xr:uid="{00000000-0005-0000-0000-0000AD8B0000}"/>
    <cellStyle name="Porcentual 2 13 14 8" xfId="25519" xr:uid="{00000000-0005-0000-0000-0000AE8B0000}"/>
    <cellStyle name="Porcentual 2 13 15" xfId="25520" xr:uid="{00000000-0005-0000-0000-0000AF8B0000}"/>
    <cellStyle name="Porcentual 2 13 15 2" xfId="25521" xr:uid="{00000000-0005-0000-0000-0000B08B0000}"/>
    <cellStyle name="Porcentual 2 13 15 2 2" xfId="25522" xr:uid="{00000000-0005-0000-0000-0000B18B0000}"/>
    <cellStyle name="Porcentual 2 13 15 2 3" xfId="25523" xr:uid="{00000000-0005-0000-0000-0000B28B0000}"/>
    <cellStyle name="Porcentual 2 13 15 2 4" xfId="25524" xr:uid="{00000000-0005-0000-0000-0000B38B0000}"/>
    <cellStyle name="Porcentual 2 13 15 2 5" xfId="25525" xr:uid="{00000000-0005-0000-0000-0000B48B0000}"/>
    <cellStyle name="Porcentual 2 13 15 2 6" xfId="25526" xr:uid="{00000000-0005-0000-0000-0000B58B0000}"/>
    <cellStyle name="Porcentual 2 13 15 2 7" xfId="25527" xr:uid="{00000000-0005-0000-0000-0000B68B0000}"/>
    <cellStyle name="Porcentual 2 13 15 3" xfId="25528" xr:uid="{00000000-0005-0000-0000-0000B78B0000}"/>
    <cellStyle name="Porcentual 2 13 15 4" xfId="25529" xr:uid="{00000000-0005-0000-0000-0000B88B0000}"/>
    <cellStyle name="Porcentual 2 13 15 5" xfId="25530" xr:uid="{00000000-0005-0000-0000-0000B98B0000}"/>
    <cellStyle name="Porcentual 2 13 15 6" xfId="25531" xr:uid="{00000000-0005-0000-0000-0000BA8B0000}"/>
    <cellStyle name="Porcentual 2 13 15 7" xfId="25532" xr:uid="{00000000-0005-0000-0000-0000BB8B0000}"/>
    <cellStyle name="Porcentual 2 13 15 8" xfId="25533" xr:uid="{00000000-0005-0000-0000-0000BC8B0000}"/>
    <cellStyle name="Porcentual 2 13 16" xfId="25534" xr:uid="{00000000-0005-0000-0000-0000BD8B0000}"/>
    <cellStyle name="Porcentual 2 13 16 2" xfId="25535" xr:uid="{00000000-0005-0000-0000-0000BE8B0000}"/>
    <cellStyle name="Porcentual 2 13 16 3" xfId="25536" xr:uid="{00000000-0005-0000-0000-0000BF8B0000}"/>
    <cellStyle name="Porcentual 2 13 16 4" xfId="25537" xr:uid="{00000000-0005-0000-0000-0000C08B0000}"/>
    <cellStyle name="Porcentual 2 13 16 5" xfId="25538" xr:uid="{00000000-0005-0000-0000-0000C18B0000}"/>
    <cellStyle name="Porcentual 2 13 16 6" xfId="25539" xr:uid="{00000000-0005-0000-0000-0000C28B0000}"/>
    <cellStyle name="Porcentual 2 13 16 7" xfId="25540" xr:uid="{00000000-0005-0000-0000-0000C38B0000}"/>
    <cellStyle name="Porcentual 2 13 17" xfId="25541" xr:uid="{00000000-0005-0000-0000-0000C48B0000}"/>
    <cellStyle name="Porcentual 2 13 17 2" xfId="25542" xr:uid="{00000000-0005-0000-0000-0000C58B0000}"/>
    <cellStyle name="Porcentual 2 13 17 3" xfId="25543" xr:uid="{00000000-0005-0000-0000-0000C68B0000}"/>
    <cellStyle name="Porcentual 2 13 17 4" xfId="25544" xr:uid="{00000000-0005-0000-0000-0000C78B0000}"/>
    <cellStyle name="Porcentual 2 13 17 5" xfId="25545" xr:uid="{00000000-0005-0000-0000-0000C88B0000}"/>
    <cellStyle name="Porcentual 2 13 17 6" xfId="25546" xr:uid="{00000000-0005-0000-0000-0000C98B0000}"/>
    <cellStyle name="Porcentual 2 13 17 7" xfId="25547" xr:uid="{00000000-0005-0000-0000-0000CA8B0000}"/>
    <cellStyle name="Porcentual 2 13 18" xfId="25548" xr:uid="{00000000-0005-0000-0000-0000CB8B0000}"/>
    <cellStyle name="Porcentual 2 13 18 2" xfId="25549" xr:uid="{00000000-0005-0000-0000-0000CC8B0000}"/>
    <cellStyle name="Porcentual 2 13 18 3" xfId="25550" xr:uid="{00000000-0005-0000-0000-0000CD8B0000}"/>
    <cellStyle name="Porcentual 2 13 18 4" xfId="25551" xr:uid="{00000000-0005-0000-0000-0000CE8B0000}"/>
    <cellStyle name="Porcentual 2 13 18 5" xfId="25552" xr:uid="{00000000-0005-0000-0000-0000CF8B0000}"/>
    <cellStyle name="Porcentual 2 13 18 6" xfId="25553" xr:uid="{00000000-0005-0000-0000-0000D08B0000}"/>
    <cellStyle name="Porcentual 2 13 18 7" xfId="25554" xr:uid="{00000000-0005-0000-0000-0000D18B0000}"/>
    <cellStyle name="Porcentual 2 13 19" xfId="25555" xr:uid="{00000000-0005-0000-0000-0000D28B0000}"/>
    <cellStyle name="Porcentual 2 13 19 2" xfId="25556" xr:uid="{00000000-0005-0000-0000-0000D38B0000}"/>
    <cellStyle name="Porcentual 2 13 19 3" xfId="25557" xr:uid="{00000000-0005-0000-0000-0000D48B0000}"/>
    <cellStyle name="Porcentual 2 13 19 4" xfId="25558" xr:uid="{00000000-0005-0000-0000-0000D58B0000}"/>
    <cellStyle name="Porcentual 2 13 19 5" xfId="25559" xr:uid="{00000000-0005-0000-0000-0000D68B0000}"/>
    <cellStyle name="Porcentual 2 13 19 6" xfId="25560" xr:uid="{00000000-0005-0000-0000-0000D78B0000}"/>
    <cellStyle name="Porcentual 2 13 19 7" xfId="25561" xr:uid="{00000000-0005-0000-0000-0000D88B0000}"/>
    <cellStyle name="Porcentual 2 13 2" xfId="25562" xr:uid="{00000000-0005-0000-0000-0000D98B0000}"/>
    <cellStyle name="Porcentual 2 13 2 2" xfId="25563" xr:uid="{00000000-0005-0000-0000-0000DA8B0000}"/>
    <cellStyle name="Porcentual 2 13 2 2 2" xfId="25564" xr:uid="{00000000-0005-0000-0000-0000DB8B0000}"/>
    <cellStyle name="Porcentual 2 13 2 2 3" xfId="25565" xr:uid="{00000000-0005-0000-0000-0000DC8B0000}"/>
    <cellStyle name="Porcentual 2 13 2 2 4" xfId="25566" xr:uid="{00000000-0005-0000-0000-0000DD8B0000}"/>
    <cellStyle name="Porcentual 2 13 2 2 5" xfId="25567" xr:uid="{00000000-0005-0000-0000-0000DE8B0000}"/>
    <cellStyle name="Porcentual 2 13 2 2 6" xfId="25568" xr:uid="{00000000-0005-0000-0000-0000DF8B0000}"/>
    <cellStyle name="Porcentual 2 13 2 2 7" xfId="25569" xr:uid="{00000000-0005-0000-0000-0000E08B0000}"/>
    <cellStyle name="Porcentual 2 13 2 3" xfId="25570" xr:uid="{00000000-0005-0000-0000-0000E18B0000}"/>
    <cellStyle name="Porcentual 2 13 2 4" xfId="25571" xr:uid="{00000000-0005-0000-0000-0000E28B0000}"/>
    <cellStyle name="Porcentual 2 13 2 5" xfId="25572" xr:uid="{00000000-0005-0000-0000-0000E38B0000}"/>
    <cellStyle name="Porcentual 2 13 2 6" xfId="25573" xr:uid="{00000000-0005-0000-0000-0000E48B0000}"/>
    <cellStyle name="Porcentual 2 13 2 7" xfId="25574" xr:uid="{00000000-0005-0000-0000-0000E58B0000}"/>
    <cellStyle name="Porcentual 2 13 2 8" xfId="25575" xr:uid="{00000000-0005-0000-0000-0000E68B0000}"/>
    <cellStyle name="Porcentual 2 13 20" xfId="25576" xr:uid="{00000000-0005-0000-0000-0000E78B0000}"/>
    <cellStyle name="Porcentual 2 13 20 2" xfId="25577" xr:uid="{00000000-0005-0000-0000-0000E88B0000}"/>
    <cellStyle name="Porcentual 2 13 20 3" xfId="25578" xr:uid="{00000000-0005-0000-0000-0000E98B0000}"/>
    <cellStyle name="Porcentual 2 13 20 4" xfId="25579" xr:uid="{00000000-0005-0000-0000-0000EA8B0000}"/>
    <cellStyle name="Porcentual 2 13 20 5" xfId="25580" xr:uid="{00000000-0005-0000-0000-0000EB8B0000}"/>
    <cellStyle name="Porcentual 2 13 20 6" xfId="25581" xr:uid="{00000000-0005-0000-0000-0000EC8B0000}"/>
    <cellStyle name="Porcentual 2 13 20 7" xfId="25582" xr:uid="{00000000-0005-0000-0000-0000ED8B0000}"/>
    <cellStyle name="Porcentual 2 13 21" xfId="25583" xr:uid="{00000000-0005-0000-0000-0000EE8B0000}"/>
    <cellStyle name="Porcentual 2 13 21 2" xfId="25584" xr:uid="{00000000-0005-0000-0000-0000EF8B0000}"/>
    <cellStyle name="Porcentual 2 13 21 3" xfId="25585" xr:uid="{00000000-0005-0000-0000-0000F08B0000}"/>
    <cellStyle name="Porcentual 2 13 21 4" xfId="25586" xr:uid="{00000000-0005-0000-0000-0000F18B0000}"/>
    <cellStyle name="Porcentual 2 13 21 5" xfId="25587" xr:uid="{00000000-0005-0000-0000-0000F28B0000}"/>
    <cellStyle name="Porcentual 2 13 21 6" xfId="25588" xr:uid="{00000000-0005-0000-0000-0000F38B0000}"/>
    <cellStyle name="Porcentual 2 13 21 7" xfId="25589" xr:uid="{00000000-0005-0000-0000-0000F48B0000}"/>
    <cellStyle name="Porcentual 2 13 22" xfId="25590" xr:uid="{00000000-0005-0000-0000-0000F58B0000}"/>
    <cellStyle name="Porcentual 2 13 22 2" xfId="25591" xr:uid="{00000000-0005-0000-0000-0000F68B0000}"/>
    <cellStyle name="Porcentual 2 13 22 3" xfId="25592" xr:uid="{00000000-0005-0000-0000-0000F78B0000}"/>
    <cellStyle name="Porcentual 2 13 22 4" xfId="25593" xr:uid="{00000000-0005-0000-0000-0000F88B0000}"/>
    <cellStyle name="Porcentual 2 13 22 5" xfId="25594" xr:uid="{00000000-0005-0000-0000-0000F98B0000}"/>
    <cellStyle name="Porcentual 2 13 22 6" xfId="25595" xr:uid="{00000000-0005-0000-0000-0000FA8B0000}"/>
    <cellStyle name="Porcentual 2 13 22 7" xfId="25596" xr:uid="{00000000-0005-0000-0000-0000FB8B0000}"/>
    <cellStyle name="Porcentual 2 13 23" xfId="25597" xr:uid="{00000000-0005-0000-0000-0000FC8B0000}"/>
    <cellStyle name="Porcentual 2 13 23 2" xfId="25598" xr:uid="{00000000-0005-0000-0000-0000FD8B0000}"/>
    <cellStyle name="Porcentual 2 13 23 3" xfId="25599" xr:uid="{00000000-0005-0000-0000-0000FE8B0000}"/>
    <cellStyle name="Porcentual 2 13 23 4" xfId="25600" xr:uid="{00000000-0005-0000-0000-0000FF8B0000}"/>
    <cellStyle name="Porcentual 2 13 23 5" xfId="25601" xr:uid="{00000000-0005-0000-0000-0000008C0000}"/>
    <cellStyle name="Porcentual 2 13 23 6" xfId="25602" xr:uid="{00000000-0005-0000-0000-0000018C0000}"/>
    <cellStyle name="Porcentual 2 13 23 7" xfId="25603" xr:uid="{00000000-0005-0000-0000-0000028C0000}"/>
    <cellStyle name="Porcentual 2 13 24" xfId="25604" xr:uid="{00000000-0005-0000-0000-0000038C0000}"/>
    <cellStyle name="Porcentual 2 13 24 2" xfId="25605" xr:uid="{00000000-0005-0000-0000-0000048C0000}"/>
    <cellStyle name="Porcentual 2 13 24 3" xfId="25606" xr:uid="{00000000-0005-0000-0000-0000058C0000}"/>
    <cellStyle name="Porcentual 2 13 24 4" xfId="25607" xr:uid="{00000000-0005-0000-0000-0000068C0000}"/>
    <cellStyle name="Porcentual 2 13 24 5" xfId="25608" xr:uid="{00000000-0005-0000-0000-0000078C0000}"/>
    <cellStyle name="Porcentual 2 13 24 6" xfId="25609" xr:uid="{00000000-0005-0000-0000-0000088C0000}"/>
    <cellStyle name="Porcentual 2 13 24 7" xfId="25610" xr:uid="{00000000-0005-0000-0000-0000098C0000}"/>
    <cellStyle name="Porcentual 2 13 25" xfId="25611" xr:uid="{00000000-0005-0000-0000-00000A8C0000}"/>
    <cellStyle name="Porcentual 2 13 25 2" xfId="25612" xr:uid="{00000000-0005-0000-0000-00000B8C0000}"/>
    <cellStyle name="Porcentual 2 13 25 3" xfId="25613" xr:uid="{00000000-0005-0000-0000-00000C8C0000}"/>
    <cellStyle name="Porcentual 2 13 25 4" xfId="25614" xr:uid="{00000000-0005-0000-0000-00000D8C0000}"/>
    <cellStyle name="Porcentual 2 13 25 5" xfId="25615" xr:uid="{00000000-0005-0000-0000-00000E8C0000}"/>
    <cellStyle name="Porcentual 2 13 25 6" xfId="25616" xr:uid="{00000000-0005-0000-0000-00000F8C0000}"/>
    <cellStyle name="Porcentual 2 13 25 7" xfId="25617" xr:uid="{00000000-0005-0000-0000-0000108C0000}"/>
    <cellStyle name="Porcentual 2 13 26" xfId="25618" xr:uid="{00000000-0005-0000-0000-0000118C0000}"/>
    <cellStyle name="Porcentual 2 13 26 2" xfId="25619" xr:uid="{00000000-0005-0000-0000-0000128C0000}"/>
    <cellStyle name="Porcentual 2 13 26 3" xfId="25620" xr:uid="{00000000-0005-0000-0000-0000138C0000}"/>
    <cellStyle name="Porcentual 2 13 26 4" xfId="25621" xr:uid="{00000000-0005-0000-0000-0000148C0000}"/>
    <cellStyle name="Porcentual 2 13 26 5" xfId="25622" xr:uid="{00000000-0005-0000-0000-0000158C0000}"/>
    <cellStyle name="Porcentual 2 13 26 6" xfId="25623" xr:uid="{00000000-0005-0000-0000-0000168C0000}"/>
    <cellStyle name="Porcentual 2 13 26 7" xfId="25624" xr:uid="{00000000-0005-0000-0000-0000178C0000}"/>
    <cellStyle name="Porcentual 2 13 27" xfId="25625" xr:uid="{00000000-0005-0000-0000-0000188C0000}"/>
    <cellStyle name="Porcentual 2 13 27 2" xfId="25626" xr:uid="{00000000-0005-0000-0000-0000198C0000}"/>
    <cellStyle name="Porcentual 2 13 27 3" xfId="25627" xr:uid="{00000000-0005-0000-0000-00001A8C0000}"/>
    <cellStyle name="Porcentual 2 13 27 4" xfId="25628" xr:uid="{00000000-0005-0000-0000-00001B8C0000}"/>
    <cellStyle name="Porcentual 2 13 27 5" xfId="25629" xr:uid="{00000000-0005-0000-0000-00001C8C0000}"/>
    <cellStyle name="Porcentual 2 13 27 6" xfId="25630" xr:uid="{00000000-0005-0000-0000-00001D8C0000}"/>
    <cellStyle name="Porcentual 2 13 27 7" xfId="25631" xr:uid="{00000000-0005-0000-0000-00001E8C0000}"/>
    <cellStyle name="Porcentual 2 13 28" xfId="25632" xr:uid="{00000000-0005-0000-0000-00001F8C0000}"/>
    <cellStyle name="Porcentual 2 13 28 2" xfId="25633" xr:uid="{00000000-0005-0000-0000-0000208C0000}"/>
    <cellStyle name="Porcentual 2 13 28 3" xfId="25634" xr:uid="{00000000-0005-0000-0000-0000218C0000}"/>
    <cellStyle name="Porcentual 2 13 28 4" xfId="25635" xr:uid="{00000000-0005-0000-0000-0000228C0000}"/>
    <cellStyle name="Porcentual 2 13 28 5" xfId="25636" xr:uid="{00000000-0005-0000-0000-0000238C0000}"/>
    <cellStyle name="Porcentual 2 13 28 6" xfId="25637" xr:uid="{00000000-0005-0000-0000-0000248C0000}"/>
    <cellStyle name="Porcentual 2 13 28 7" xfId="25638" xr:uid="{00000000-0005-0000-0000-0000258C0000}"/>
    <cellStyle name="Porcentual 2 13 29" xfId="25639" xr:uid="{00000000-0005-0000-0000-0000268C0000}"/>
    <cellStyle name="Porcentual 2 13 29 2" xfId="25640" xr:uid="{00000000-0005-0000-0000-0000278C0000}"/>
    <cellStyle name="Porcentual 2 13 29 3" xfId="25641" xr:uid="{00000000-0005-0000-0000-0000288C0000}"/>
    <cellStyle name="Porcentual 2 13 29 4" xfId="25642" xr:uid="{00000000-0005-0000-0000-0000298C0000}"/>
    <cellStyle name="Porcentual 2 13 29 5" xfId="25643" xr:uid="{00000000-0005-0000-0000-00002A8C0000}"/>
    <cellStyle name="Porcentual 2 13 29 6" xfId="25644" xr:uid="{00000000-0005-0000-0000-00002B8C0000}"/>
    <cellStyle name="Porcentual 2 13 29 7" xfId="25645" xr:uid="{00000000-0005-0000-0000-00002C8C0000}"/>
    <cellStyle name="Porcentual 2 13 3" xfId="25646" xr:uid="{00000000-0005-0000-0000-00002D8C0000}"/>
    <cellStyle name="Porcentual 2 13 3 2" xfId="25647" xr:uid="{00000000-0005-0000-0000-00002E8C0000}"/>
    <cellStyle name="Porcentual 2 13 3 2 2" xfId="25648" xr:uid="{00000000-0005-0000-0000-00002F8C0000}"/>
    <cellStyle name="Porcentual 2 13 3 2 3" xfId="25649" xr:uid="{00000000-0005-0000-0000-0000308C0000}"/>
    <cellStyle name="Porcentual 2 13 3 2 4" xfId="25650" xr:uid="{00000000-0005-0000-0000-0000318C0000}"/>
    <cellStyle name="Porcentual 2 13 3 2 5" xfId="25651" xr:uid="{00000000-0005-0000-0000-0000328C0000}"/>
    <cellStyle name="Porcentual 2 13 3 2 6" xfId="25652" xr:uid="{00000000-0005-0000-0000-0000338C0000}"/>
    <cellStyle name="Porcentual 2 13 3 2 7" xfId="25653" xr:uid="{00000000-0005-0000-0000-0000348C0000}"/>
    <cellStyle name="Porcentual 2 13 3 3" xfId="25654" xr:uid="{00000000-0005-0000-0000-0000358C0000}"/>
    <cellStyle name="Porcentual 2 13 3 4" xfId="25655" xr:uid="{00000000-0005-0000-0000-0000368C0000}"/>
    <cellStyle name="Porcentual 2 13 3 5" xfId="25656" xr:uid="{00000000-0005-0000-0000-0000378C0000}"/>
    <cellStyle name="Porcentual 2 13 3 6" xfId="25657" xr:uid="{00000000-0005-0000-0000-0000388C0000}"/>
    <cellStyle name="Porcentual 2 13 3 7" xfId="25658" xr:uid="{00000000-0005-0000-0000-0000398C0000}"/>
    <cellStyle name="Porcentual 2 13 3 8" xfId="25659" xr:uid="{00000000-0005-0000-0000-00003A8C0000}"/>
    <cellStyle name="Porcentual 2 13 30" xfId="25660" xr:uid="{00000000-0005-0000-0000-00003B8C0000}"/>
    <cellStyle name="Porcentual 2 13 30 2" xfId="25661" xr:uid="{00000000-0005-0000-0000-00003C8C0000}"/>
    <cellStyle name="Porcentual 2 13 30 3" xfId="25662" xr:uid="{00000000-0005-0000-0000-00003D8C0000}"/>
    <cellStyle name="Porcentual 2 13 30 4" xfId="25663" xr:uid="{00000000-0005-0000-0000-00003E8C0000}"/>
    <cellStyle name="Porcentual 2 13 30 5" xfId="25664" xr:uid="{00000000-0005-0000-0000-00003F8C0000}"/>
    <cellStyle name="Porcentual 2 13 30 6" xfId="25665" xr:uid="{00000000-0005-0000-0000-0000408C0000}"/>
    <cellStyle name="Porcentual 2 13 30 7" xfId="25666" xr:uid="{00000000-0005-0000-0000-0000418C0000}"/>
    <cellStyle name="Porcentual 2 13 31" xfId="25667" xr:uid="{00000000-0005-0000-0000-0000428C0000}"/>
    <cellStyle name="Porcentual 2 13 31 2" xfId="25668" xr:uid="{00000000-0005-0000-0000-0000438C0000}"/>
    <cellStyle name="Porcentual 2 13 31 3" xfId="25669" xr:uid="{00000000-0005-0000-0000-0000448C0000}"/>
    <cellStyle name="Porcentual 2 13 31 4" xfId="25670" xr:uid="{00000000-0005-0000-0000-0000458C0000}"/>
    <cellStyle name="Porcentual 2 13 31 5" xfId="25671" xr:uid="{00000000-0005-0000-0000-0000468C0000}"/>
    <cellStyle name="Porcentual 2 13 31 6" xfId="25672" xr:uid="{00000000-0005-0000-0000-0000478C0000}"/>
    <cellStyle name="Porcentual 2 13 31 7" xfId="25673" xr:uid="{00000000-0005-0000-0000-0000488C0000}"/>
    <cellStyle name="Porcentual 2 13 32" xfId="25674" xr:uid="{00000000-0005-0000-0000-0000498C0000}"/>
    <cellStyle name="Porcentual 2 13 32 2" xfId="25675" xr:uid="{00000000-0005-0000-0000-00004A8C0000}"/>
    <cellStyle name="Porcentual 2 13 32 3" xfId="25676" xr:uid="{00000000-0005-0000-0000-00004B8C0000}"/>
    <cellStyle name="Porcentual 2 13 32 4" xfId="25677" xr:uid="{00000000-0005-0000-0000-00004C8C0000}"/>
    <cellStyle name="Porcentual 2 13 32 5" xfId="25678" xr:uid="{00000000-0005-0000-0000-00004D8C0000}"/>
    <cellStyle name="Porcentual 2 13 32 6" xfId="25679" xr:uid="{00000000-0005-0000-0000-00004E8C0000}"/>
    <cellStyle name="Porcentual 2 13 32 7" xfId="25680" xr:uid="{00000000-0005-0000-0000-00004F8C0000}"/>
    <cellStyle name="Porcentual 2 13 33" xfId="25681" xr:uid="{00000000-0005-0000-0000-0000508C0000}"/>
    <cellStyle name="Porcentual 2 13 33 2" xfId="25682" xr:uid="{00000000-0005-0000-0000-0000518C0000}"/>
    <cellStyle name="Porcentual 2 13 33 3" xfId="25683" xr:uid="{00000000-0005-0000-0000-0000528C0000}"/>
    <cellStyle name="Porcentual 2 13 33 4" xfId="25684" xr:uid="{00000000-0005-0000-0000-0000538C0000}"/>
    <cellStyle name="Porcentual 2 13 33 5" xfId="25685" xr:uid="{00000000-0005-0000-0000-0000548C0000}"/>
    <cellStyle name="Porcentual 2 13 33 6" xfId="25686" xr:uid="{00000000-0005-0000-0000-0000558C0000}"/>
    <cellStyle name="Porcentual 2 13 33 7" xfId="25687" xr:uid="{00000000-0005-0000-0000-0000568C0000}"/>
    <cellStyle name="Porcentual 2 13 34" xfId="25688" xr:uid="{00000000-0005-0000-0000-0000578C0000}"/>
    <cellStyle name="Porcentual 2 13 34 2" xfId="25689" xr:uid="{00000000-0005-0000-0000-0000588C0000}"/>
    <cellStyle name="Porcentual 2 13 34 3" xfId="25690" xr:uid="{00000000-0005-0000-0000-0000598C0000}"/>
    <cellStyle name="Porcentual 2 13 34 4" xfId="25691" xr:uid="{00000000-0005-0000-0000-00005A8C0000}"/>
    <cellStyle name="Porcentual 2 13 34 5" xfId="25692" xr:uid="{00000000-0005-0000-0000-00005B8C0000}"/>
    <cellStyle name="Porcentual 2 13 34 6" xfId="25693" xr:uid="{00000000-0005-0000-0000-00005C8C0000}"/>
    <cellStyle name="Porcentual 2 13 34 7" xfId="25694" xr:uid="{00000000-0005-0000-0000-00005D8C0000}"/>
    <cellStyle name="Porcentual 2 13 35" xfId="25695" xr:uid="{00000000-0005-0000-0000-00005E8C0000}"/>
    <cellStyle name="Porcentual 2 13 35 2" xfId="25696" xr:uid="{00000000-0005-0000-0000-00005F8C0000}"/>
    <cellStyle name="Porcentual 2 13 35 3" xfId="25697" xr:uid="{00000000-0005-0000-0000-0000608C0000}"/>
    <cellStyle name="Porcentual 2 13 35 4" xfId="25698" xr:uid="{00000000-0005-0000-0000-0000618C0000}"/>
    <cellStyle name="Porcentual 2 13 35 5" xfId="25699" xr:uid="{00000000-0005-0000-0000-0000628C0000}"/>
    <cellStyle name="Porcentual 2 13 35 6" xfId="25700" xr:uid="{00000000-0005-0000-0000-0000638C0000}"/>
    <cellStyle name="Porcentual 2 13 35 7" xfId="25701" xr:uid="{00000000-0005-0000-0000-0000648C0000}"/>
    <cellStyle name="Porcentual 2 13 36" xfId="25702" xr:uid="{00000000-0005-0000-0000-0000658C0000}"/>
    <cellStyle name="Porcentual 2 13 37" xfId="25703" xr:uid="{00000000-0005-0000-0000-0000668C0000}"/>
    <cellStyle name="Porcentual 2 13 38" xfId="25704" xr:uid="{00000000-0005-0000-0000-0000678C0000}"/>
    <cellStyle name="Porcentual 2 13 39" xfId="25705" xr:uid="{00000000-0005-0000-0000-0000688C0000}"/>
    <cellStyle name="Porcentual 2 13 4" xfId="25706" xr:uid="{00000000-0005-0000-0000-0000698C0000}"/>
    <cellStyle name="Porcentual 2 13 4 2" xfId="25707" xr:uid="{00000000-0005-0000-0000-00006A8C0000}"/>
    <cellStyle name="Porcentual 2 13 4 2 2" xfId="25708" xr:uid="{00000000-0005-0000-0000-00006B8C0000}"/>
    <cellStyle name="Porcentual 2 13 4 2 3" xfId="25709" xr:uid="{00000000-0005-0000-0000-00006C8C0000}"/>
    <cellStyle name="Porcentual 2 13 4 2 4" xfId="25710" xr:uid="{00000000-0005-0000-0000-00006D8C0000}"/>
    <cellStyle name="Porcentual 2 13 4 2 5" xfId="25711" xr:uid="{00000000-0005-0000-0000-00006E8C0000}"/>
    <cellStyle name="Porcentual 2 13 4 2 6" xfId="25712" xr:uid="{00000000-0005-0000-0000-00006F8C0000}"/>
    <cellStyle name="Porcentual 2 13 4 2 7" xfId="25713" xr:uid="{00000000-0005-0000-0000-0000708C0000}"/>
    <cellStyle name="Porcentual 2 13 4 3" xfId="25714" xr:uid="{00000000-0005-0000-0000-0000718C0000}"/>
    <cellStyle name="Porcentual 2 13 4 4" xfId="25715" xr:uid="{00000000-0005-0000-0000-0000728C0000}"/>
    <cellStyle name="Porcentual 2 13 4 5" xfId="25716" xr:uid="{00000000-0005-0000-0000-0000738C0000}"/>
    <cellStyle name="Porcentual 2 13 4 6" xfId="25717" xr:uid="{00000000-0005-0000-0000-0000748C0000}"/>
    <cellStyle name="Porcentual 2 13 4 7" xfId="25718" xr:uid="{00000000-0005-0000-0000-0000758C0000}"/>
    <cellStyle name="Porcentual 2 13 4 8" xfId="25719" xr:uid="{00000000-0005-0000-0000-0000768C0000}"/>
    <cellStyle name="Porcentual 2 13 40" xfId="25720" xr:uid="{00000000-0005-0000-0000-0000778C0000}"/>
    <cellStyle name="Porcentual 2 13 41" xfId="25721" xr:uid="{00000000-0005-0000-0000-0000788C0000}"/>
    <cellStyle name="Porcentual 2 13 5" xfId="25722" xr:uid="{00000000-0005-0000-0000-0000798C0000}"/>
    <cellStyle name="Porcentual 2 13 5 2" xfId="25723" xr:uid="{00000000-0005-0000-0000-00007A8C0000}"/>
    <cellStyle name="Porcentual 2 13 5 2 2" xfId="25724" xr:uid="{00000000-0005-0000-0000-00007B8C0000}"/>
    <cellStyle name="Porcentual 2 13 5 2 3" xfId="25725" xr:uid="{00000000-0005-0000-0000-00007C8C0000}"/>
    <cellStyle name="Porcentual 2 13 5 2 4" xfId="25726" xr:uid="{00000000-0005-0000-0000-00007D8C0000}"/>
    <cellStyle name="Porcentual 2 13 5 2 5" xfId="25727" xr:uid="{00000000-0005-0000-0000-00007E8C0000}"/>
    <cellStyle name="Porcentual 2 13 5 2 6" xfId="25728" xr:uid="{00000000-0005-0000-0000-00007F8C0000}"/>
    <cellStyle name="Porcentual 2 13 5 2 7" xfId="25729" xr:uid="{00000000-0005-0000-0000-0000808C0000}"/>
    <cellStyle name="Porcentual 2 13 5 3" xfId="25730" xr:uid="{00000000-0005-0000-0000-0000818C0000}"/>
    <cellStyle name="Porcentual 2 13 5 4" xfId="25731" xr:uid="{00000000-0005-0000-0000-0000828C0000}"/>
    <cellStyle name="Porcentual 2 13 5 5" xfId="25732" xr:uid="{00000000-0005-0000-0000-0000838C0000}"/>
    <cellStyle name="Porcentual 2 13 5 6" xfId="25733" xr:uid="{00000000-0005-0000-0000-0000848C0000}"/>
    <cellStyle name="Porcentual 2 13 5 7" xfId="25734" xr:uid="{00000000-0005-0000-0000-0000858C0000}"/>
    <cellStyle name="Porcentual 2 13 5 8" xfId="25735" xr:uid="{00000000-0005-0000-0000-0000868C0000}"/>
    <cellStyle name="Porcentual 2 13 6" xfId="25736" xr:uid="{00000000-0005-0000-0000-0000878C0000}"/>
    <cellStyle name="Porcentual 2 13 6 2" xfId="25737" xr:uid="{00000000-0005-0000-0000-0000888C0000}"/>
    <cellStyle name="Porcentual 2 13 6 2 2" xfId="25738" xr:uid="{00000000-0005-0000-0000-0000898C0000}"/>
    <cellStyle name="Porcentual 2 13 6 2 3" xfId="25739" xr:uid="{00000000-0005-0000-0000-00008A8C0000}"/>
    <cellStyle name="Porcentual 2 13 6 2 4" xfId="25740" xr:uid="{00000000-0005-0000-0000-00008B8C0000}"/>
    <cellStyle name="Porcentual 2 13 6 2 5" xfId="25741" xr:uid="{00000000-0005-0000-0000-00008C8C0000}"/>
    <cellStyle name="Porcentual 2 13 6 2 6" xfId="25742" xr:uid="{00000000-0005-0000-0000-00008D8C0000}"/>
    <cellStyle name="Porcentual 2 13 6 2 7" xfId="25743" xr:uid="{00000000-0005-0000-0000-00008E8C0000}"/>
    <cellStyle name="Porcentual 2 13 6 3" xfId="25744" xr:uid="{00000000-0005-0000-0000-00008F8C0000}"/>
    <cellStyle name="Porcentual 2 13 6 4" xfId="25745" xr:uid="{00000000-0005-0000-0000-0000908C0000}"/>
    <cellStyle name="Porcentual 2 13 6 5" xfId="25746" xr:uid="{00000000-0005-0000-0000-0000918C0000}"/>
    <cellStyle name="Porcentual 2 13 6 6" xfId="25747" xr:uid="{00000000-0005-0000-0000-0000928C0000}"/>
    <cellStyle name="Porcentual 2 13 6 7" xfId="25748" xr:uid="{00000000-0005-0000-0000-0000938C0000}"/>
    <cellStyle name="Porcentual 2 13 6 8" xfId="25749" xr:uid="{00000000-0005-0000-0000-0000948C0000}"/>
    <cellStyle name="Porcentual 2 13 7" xfId="25750" xr:uid="{00000000-0005-0000-0000-0000958C0000}"/>
    <cellStyle name="Porcentual 2 13 7 2" xfId="25751" xr:uid="{00000000-0005-0000-0000-0000968C0000}"/>
    <cellStyle name="Porcentual 2 13 7 2 2" xfId="25752" xr:uid="{00000000-0005-0000-0000-0000978C0000}"/>
    <cellStyle name="Porcentual 2 13 7 2 3" xfId="25753" xr:uid="{00000000-0005-0000-0000-0000988C0000}"/>
    <cellStyle name="Porcentual 2 13 7 2 4" xfId="25754" xr:uid="{00000000-0005-0000-0000-0000998C0000}"/>
    <cellStyle name="Porcentual 2 13 7 2 5" xfId="25755" xr:uid="{00000000-0005-0000-0000-00009A8C0000}"/>
    <cellStyle name="Porcentual 2 13 7 2 6" xfId="25756" xr:uid="{00000000-0005-0000-0000-00009B8C0000}"/>
    <cellStyle name="Porcentual 2 13 7 2 7" xfId="25757" xr:uid="{00000000-0005-0000-0000-00009C8C0000}"/>
    <cellStyle name="Porcentual 2 13 7 3" xfId="25758" xr:uid="{00000000-0005-0000-0000-00009D8C0000}"/>
    <cellStyle name="Porcentual 2 13 7 4" xfId="25759" xr:uid="{00000000-0005-0000-0000-00009E8C0000}"/>
    <cellStyle name="Porcentual 2 13 7 5" xfId="25760" xr:uid="{00000000-0005-0000-0000-00009F8C0000}"/>
    <cellStyle name="Porcentual 2 13 7 6" xfId="25761" xr:uid="{00000000-0005-0000-0000-0000A08C0000}"/>
    <cellStyle name="Porcentual 2 13 7 7" xfId="25762" xr:uid="{00000000-0005-0000-0000-0000A18C0000}"/>
    <cellStyle name="Porcentual 2 13 7 8" xfId="25763" xr:uid="{00000000-0005-0000-0000-0000A28C0000}"/>
    <cellStyle name="Porcentual 2 13 8" xfId="25764" xr:uid="{00000000-0005-0000-0000-0000A38C0000}"/>
    <cellStyle name="Porcentual 2 13 8 2" xfId="25765" xr:uid="{00000000-0005-0000-0000-0000A48C0000}"/>
    <cellStyle name="Porcentual 2 13 8 2 2" xfId="25766" xr:uid="{00000000-0005-0000-0000-0000A58C0000}"/>
    <cellStyle name="Porcentual 2 13 8 2 3" xfId="25767" xr:uid="{00000000-0005-0000-0000-0000A68C0000}"/>
    <cellStyle name="Porcentual 2 13 8 2 4" xfId="25768" xr:uid="{00000000-0005-0000-0000-0000A78C0000}"/>
    <cellStyle name="Porcentual 2 13 8 2 5" xfId="25769" xr:uid="{00000000-0005-0000-0000-0000A88C0000}"/>
    <cellStyle name="Porcentual 2 13 8 2 6" xfId="25770" xr:uid="{00000000-0005-0000-0000-0000A98C0000}"/>
    <cellStyle name="Porcentual 2 13 8 2 7" xfId="25771" xr:uid="{00000000-0005-0000-0000-0000AA8C0000}"/>
    <cellStyle name="Porcentual 2 13 8 3" xfId="25772" xr:uid="{00000000-0005-0000-0000-0000AB8C0000}"/>
    <cellStyle name="Porcentual 2 13 8 4" xfId="25773" xr:uid="{00000000-0005-0000-0000-0000AC8C0000}"/>
    <cellStyle name="Porcentual 2 13 8 5" xfId="25774" xr:uid="{00000000-0005-0000-0000-0000AD8C0000}"/>
    <cellStyle name="Porcentual 2 13 8 6" xfId="25775" xr:uid="{00000000-0005-0000-0000-0000AE8C0000}"/>
    <cellStyle name="Porcentual 2 13 8 7" xfId="25776" xr:uid="{00000000-0005-0000-0000-0000AF8C0000}"/>
    <cellStyle name="Porcentual 2 13 8 8" xfId="25777" xr:uid="{00000000-0005-0000-0000-0000B08C0000}"/>
    <cellStyle name="Porcentual 2 13 9" xfId="25778" xr:uid="{00000000-0005-0000-0000-0000B18C0000}"/>
    <cellStyle name="Porcentual 2 13 9 2" xfId="25779" xr:uid="{00000000-0005-0000-0000-0000B28C0000}"/>
    <cellStyle name="Porcentual 2 13 9 2 2" xfId="25780" xr:uid="{00000000-0005-0000-0000-0000B38C0000}"/>
    <cellStyle name="Porcentual 2 13 9 2 3" xfId="25781" xr:uid="{00000000-0005-0000-0000-0000B48C0000}"/>
    <cellStyle name="Porcentual 2 13 9 2 4" xfId="25782" xr:uid="{00000000-0005-0000-0000-0000B58C0000}"/>
    <cellStyle name="Porcentual 2 13 9 2 5" xfId="25783" xr:uid="{00000000-0005-0000-0000-0000B68C0000}"/>
    <cellStyle name="Porcentual 2 13 9 2 6" xfId="25784" xr:uid="{00000000-0005-0000-0000-0000B78C0000}"/>
    <cellStyle name="Porcentual 2 13 9 2 7" xfId="25785" xr:uid="{00000000-0005-0000-0000-0000B88C0000}"/>
    <cellStyle name="Porcentual 2 13 9 3" xfId="25786" xr:uid="{00000000-0005-0000-0000-0000B98C0000}"/>
    <cellStyle name="Porcentual 2 13 9 4" xfId="25787" xr:uid="{00000000-0005-0000-0000-0000BA8C0000}"/>
    <cellStyle name="Porcentual 2 13 9 5" xfId="25788" xr:uid="{00000000-0005-0000-0000-0000BB8C0000}"/>
    <cellStyle name="Porcentual 2 13 9 6" xfId="25789" xr:uid="{00000000-0005-0000-0000-0000BC8C0000}"/>
    <cellStyle name="Porcentual 2 13 9 7" xfId="25790" xr:uid="{00000000-0005-0000-0000-0000BD8C0000}"/>
    <cellStyle name="Porcentual 2 13 9 8" xfId="25791" xr:uid="{00000000-0005-0000-0000-0000BE8C0000}"/>
    <cellStyle name="Porcentual 2 14" xfId="25792" xr:uid="{00000000-0005-0000-0000-0000BF8C0000}"/>
    <cellStyle name="Porcentual 2 14 10" xfId="25793" xr:uid="{00000000-0005-0000-0000-0000C08C0000}"/>
    <cellStyle name="Porcentual 2 14 10 2" xfId="25794" xr:uid="{00000000-0005-0000-0000-0000C18C0000}"/>
    <cellStyle name="Porcentual 2 14 10 2 2" xfId="25795" xr:uid="{00000000-0005-0000-0000-0000C28C0000}"/>
    <cellStyle name="Porcentual 2 14 10 2 3" xfId="25796" xr:uid="{00000000-0005-0000-0000-0000C38C0000}"/>
    <cellStyle name="Porcentual 2 14 10 2 4" xfId="25797" xr:uid="{00000000-0005-0000-0000-0000C48C0000}"/>
    <cellStyle name="Porcentual 2 14 10 2 5" xfId="25798" xr:uid="{00000000-0005-0000-0000-0000C58C0000}"/>
    <cellStyle name="Porcentual 2 14 10 2 6" xfId="25799" xr:uid="{00000000-0005-0000-0000-0000C68C0000}"/>
    <cellStyle name="Porcentual 2 14 10 2 7" xfId="25800" xr:uid="{00000000-0005-0000-0000-0000C78C0000}"/>
    <cellStyle name="Porcentual 2 14 10 3" xfId="25801" xr:uid="{00000000-0005-0000-0000-0000C88C0000}"/>
    <cellStyle name="Porcentual 2 14 10 4" xfId="25802" xr:uid="{00000000-0005-0000-0000-0000C98C0000}"/>
    <cellStyle name="Porcentual 2 14 10 5" xfId="25803" xr:uid="{00000000-0005-0000-0000-0000CA8C0000}"/>
    <cellStyle name="Porcentual 2 14 10 6" xfId="25804" xr:uid="{00000000-0005-0000-0000-0000CB8C0000}"/>
    <cellStyle name="Porcentual 2 14 10 7" xfId="25805" xr:uid="{00000000-0005-0000-0000-0000CC8C0000}"/>
    <cellStyle name="Porcentual 2 14 10 8" xfId="25806" xr:uid="{00000000-0005-0000-0000-0000CD8C0000}"/>
    <cellStyle name="Porcentual 2 14 11" xfId="25807" xr:uid="{00000000-0005-0000-0000-0000CE8C0000}"/>
    <cellStyle name="Porcentual 2 14 11 2" xfId="25808" xr:uid="{00000000-0005-0000-0000-0000CF8C0000}"/>
    <cellStyle name="Porcentual 2 14 11 2 2" xfId="25809" xr:uid="{00000000-0005-0000-0000-0000D08C0000}"/>
    <cellStyle name="Porcentual 2 14 11 2 3" xfId="25810" xr:uid="{00000000-0005-0000-0000-0000D18C0000}"/>
    <cellStyle name="Porcentual 2 14 11 2 4" xfId="25811" xr:uid="{00000000-0005-0000-0000-0000D28C0000}"/>
    <cellStyle name="Porcentual 2 14 11 2 5" xfId="25812" xr:uid="{00000000-0005-0000-0000-0000D38C0000}"/>
    <cellStyle name="Porcentual 2 14 11 2 6" xfId="25813" xr:uid="{00000000-0005-0000-0000-0000D48C0000}"/>
    <cellStyle name="Porcentual 2 14 11 2 7" xfId="25814" xr:uid="{00000000-0005-0000-0000-0000D58C0000}"/>
    <cellStyle name="Porcentual 2 14 11 3" xfId="25815" xr:uid="{00000000-0005-0000-0000-0000D68C0000}"/>
    <cellStyle name="Porcentual 2 14 11 4" xfId="25816" xr:uid="{00000000-0005-0000-0000-0000D78C0000}"/>
    <cellStyle name="Porcentual 2 14 11 5" xfId="25817" xr:uid="{00000000-0005-0000-0000-0000D88C0000}"/>
    <cellStyle name="Porcentual 2 14 11 6" xfId="25818" xr:uid="{00000000-0005-0000-0000-0000D98C0000}"/>
    <cellStyle name="Porcentual 2 14 11 7" xfId="25819" xr:uid="{00000000-0005-0000-0000-0000DA8C0000}"/>
    <cellStyle name="Porcentual 2 14 11 8" xfId="25820" xr:uid="{00000000-0005-0000-0000-0000DB8C0000}"/>
    <cellStyle name="Porcentual 2 14 12" xfId="25821" xr:uid="{00000000-0005-0000-0000-0000DC8C0000}"/>
    <cellStyle name="Porcentual 2 14 12 2" xfId="25822" xr:uid="{00000000-0005-0000-0000-0000DD8C0000}"/>
    <cellStyle name="Porcentual 2 14 12 2 2" xfId="25823" xr:uid="{00000000-0005-0000-0000-0000DE8C0000}"/>
    <cellStyle name="Porcentual 2 14 12 2 3" xfId="25824" xr:uid="{00000000-0005-0000-0000-0000DF8C0000}"/>
    <cellStyle name="Porcentual 2 14 12 2 4" xfId="25825" xr:uid="{00000000-0005-0000-0000-0000E08C0000}"/>
    <cellStyle name="Porcentual 2 14 12 2 5" xfId="25826" xr:uid="{00000000-0005-0000-0000-0000E18C0000}"/>
    <cellStyle name="Porcentual 2 14 12 2 6" xfId="25827" xr:uid="{00000000-0005-0000-0000-0000E28C0000}"/>
    <cellStyle name="Porcentual 2 14 12 2 7" xfId="25828" xr:uid="{00000000-0005-0000-0000-0000E38C0000}"/>
    <cellStyle name="Porcentual 2 14 12 3" xfId="25829" xr:uid="{00000000-0005-0000-0000-0000E48C0000}"/>
    <cellStyle name="Porcentual 2 14 12 4" xfId="25830" xr:uid="{00000000-0005-0000-0000-0000E58C0000}"/>
    <cellStyle name="Porcentual 2 14 12 5" xfId="25831" xr:uid="{00000000-0005-0000-0000-0000E68C0000}"/>
    <cellStyle name="Porcentual 2 14 12 7" xfId="25833" xr:uid="{00000000-0005-0000-0000-0000E78C0000}"/>
    <cellStyle name="Porcentual 2 14 12 8" xfId="25834" xr:uid="{00000000-0005-0000-0000-0000E88C0000}"/>
    <cellStyle name="Porcentual 2 14 13" xfId="25835" xr:uid="{00000000-0005-0000-0000-0000E98C0000}"/>
    <cellStyle name="Porcentual 2 14 13 2" xfId="25836" xr:uid="{00000000-0005-0000-0000-0000EA8C0000}"/>
    <cellStyle name="Porcentual 2 14 13 2 2" xfId="25837" xr:uid="{00000000-0005-0000-0000-0000EB8C0000}"/>
    <cellStyle name="Porcentual 2 14 13 2 3" xfId="25838" xr:uid="{00000000-0005-0000-0000-0000EC8C0000}"/>
    <cellStyle name="Porcentual 2 14 13 2 4" xfId="25839" xr:uid="{00000000-0005-0000-0000-0000ED8C0000}"/>
    <cellStyle name="Porcentual 2 14 13 2 5" xfId="25840" xr:uid="{00000000-0005-0000-0000-0000EE8C0000}"/>
    <cellStyle name="Porcentual 2 14 13 2 6" xfId="25841" xr:uid="{00000000-0005-0000-0000-0000EF8C0000}"/>
    <cellStyle name="Porcentual 2 14 13 2 7" xfId="25842" xr:uid="{00000000-0005-0000-0000-0000F08C0000}"/>
    <cellStyle name="Porcentual 2 14 13 3" xfId="25843" xr:uid="{00000000-0005-0000-0000-0000F18C0000}"/>
    <cellStyle name="Porcentual 2 14 13 4" xfId="25844" xr:uid="{00000000-0005-0000-0000-0000F28C0000}"/>
    <cellStyle name="Porcentual 2 14 13 5" xfId="25845" xr:uid="{00000000-0005-0000-0000-0000F38C0000}"/>
    <cellStyle name="Porcentual 2 14 13 6" xfId="25846" xr:uid="{00000000-0005-0000-0000-0000F48C0000}"/>
    <cellStyle name="Porcentual 2 14 13 7" xfId="25847" xr:uid="{00000000-0005-0000-0000-0000F58C0000}"/>
    <cellStyle name="Porcentual 2 14 13 8" xfId="25848" xr:uid="{00000000-0005-0000-0000-0000F68C0000}"/>
    <cellStyle name="Porcentual 2 14 14" xfId="25849" xr:uid="{00000000-0005-0000-0000-0000F78C0000}"/>
    <cellStyle name="Porcentual 2 14 14 2" xfId="25850" xr:uid="{00000000-0005-0000-0000-0000F88C0000}"/>
    <cellStyle name="Porcentual 2 14 14 2 2" xfId="25851" xr:uid="{00000000-0005-0000-0000-0000F98C0000}"/>
    <cellStyle name="Porcentual 2 14 14 2 3" xfId="25852" xr:uid="{00000000-0005-0000-0000-0000FA8C0000}"/>
    <cellStyle name="Porcentual 2 14 14 2 4" xfId="25853" xr:uid="{00000000-0005-0000-0000-0000FB8C0000}"/>
    <cellStyle name="Porcentual 2 14 14 2 5" xfId="25854" xr:uid="{00000000-0005-0000-0000-0000FC8C0000}"/>
    <cellStyle name="Porcentual 2 14 14 2 6" xfId="25855" xr:uid="{00000000-0005-0000-0000-0000FD8C0000}"/>
    <cellStyle name="Porcentual 2 14 14 2 7" xfId="25856" xr:uid="{00000000-0005-0000-0000-0000FE8C0000}"/>
    <cellStyle name="Porcentual 2 14 14 3" xfId="25857" xr:uid="{00000000-0005-0000-0000-0000FF8C0000}"/>
    <cellStyle name="Porcentual 2 14 14 4" xfId="25858" xr:uid="{00000000-0005-0000-0000-0000008D0000}"/>
    <cellStyle name="Porcentual 2 14 14 5" xfId="25859" xr:uid="{00000000-0005-0000-0000-0000018D0000}"/>
    <cellStyle name="Porcentual 2 14 14 6" xfId="25860" xr:uid="{00000000-0005-0000-0000-0000028D0000}"/>
    <cellStyle name="Porcentual 2 14 14 7" xfId="25861" xr:uid="{00000000-0005-0000-0000-0000038D0000}"/>
    <cellStyle name="Porcentual 2 14 14 8" xfId="25862" xr:uid="{00000000-0005-0000-0000-0000048D0000}"/>
    <cellStyle name="Porcentual 2 14 15" xfId="25863" xr:uid="{00000000-0005-0000-0000-0000058D0000}"/>
    <cellStyle name="Porcentual 2 14 15 2" xfId="25864" xr:uid="{00000000-0005-0000-0000-0000068D0000}"/>
    <cellStyle name="Porcentual 2 14 15 2 2" xfId="25865" xr:uid="{00000000-0005-0000-0000-0000078D0000}"/>
    <cellStyle name="Porcentual 2 14 15 2 3" xfId="25866" xr:uid="{00000000-0005-0000-0000-0000088D0000}"/>
    <cellStyle name="Porcentual 2 14 15 2 4" xfId="25867" xr:uid="{00000000-0005-0000-0000-0000098D0000}"/>
    <cellStyle name="Porcentual 2 14 15 2 5" xfId="25868" xr:uid="{00000000-0005-0000-0000-00000A8D0000}"/>
    <cellStyle name="Porcentual 2 14 15 2 6" xfId="25869" xr:uid="{00000000-0005-0000-0000-00000B8D0000}"/>
    <cellStyle name="Porcentual 2 14 15 2 7" xfId="25870" xr:uid="{00000000-0005-0000-0000-00000C8D0000}"/>
    <cellStyle name="Porcentual 2 14 15 3" xfId="25871" xr:uid="{00000000-0005-0000-0000-00000D8D0000}"/>
    <cellStyle name="Porcentual 2 14 15 4" xfId="25872" xr:uid="{00000000-0005-0000-0000-00000E8D0000}"/>
    <cellStyle name="Porcentual 2 14 15 5" xfId="25873" xr:uid="{00000000-0005-0000-0000-00000F8D0000}"/>
    <cellStyle name="Porcentual 2 14 15 6" xfId="25874" xr:uid="{00000000-0005-0000-0000-0000108D0000}"/>
    <cellStyle name="Porcentual 2 14 15 7" xfId="25875" xr:uid="{00000000-0005-0000-0000-0000118D0000}"/>
    <cellStyle name="Porcentual 2 14 15 8" xfId="25876" xr:uid="{00000000-0005-0000-0000-0000128D0000}"/>
    <cellStyle name="Porcentual 2 14 16" xfId="25877" xr:uid="{00000000-0005-0000-0000-0000138D0000}"/>
    <cellStyle name="Porcentual 2 14 16 2" xfId="25878" xr:uid="{00000000-0005-0000-0000-0000148D0000}"/>
    <cellStyle name="Porcentual 2 14 16 3" xfId="25879" xr:uid="{00000000-0005-0000-0000-0000158D0000}"/>
    <cellStyle name="Porcentual 2 14 16 4" xfId="25880" xr:uid="{00000000-0005-0000-0000-0000168D0000}"/>
    <cellStyle name="Porcentual 2 14 16 5" xfId="25881" xr:uid="{00000000-0005-0000-0000-0000178D0000}"/>
    <cellStyle name="Porcentual 2 14 16 6" xfId="25882" xr:uid="{00000000-0005-0000-0000-0000188D0000}"/>
    <cellStyle name="Porcentual 2 14 16 7" xfId="25883" xr:uid="{00000000-0005-0000-0000-0000198D0000}"/>
    <cellStyle name="Porcentual 2 14 17" xfId="25884" xr:uid="{00000000-0005-0000-0000-00001A8D0000}"/>
    <cellStyle name="Porcentual 2 14 17 2" xfId="25885" xr:uid="{00000000-0005-0000-0000-00001B8D0000}"/>
    <cellStyle name="Porcentual 2 14 17 3" xfId="25886" xr:uid="{00000000-0005-0000-0000-00001C8D0000}"/>
    <cellStyle name="Porcentual 2 14 17 4" xfId="25887" xr:uid="{00000000-0005-0000-0000-00001D8D0000}"/>
    <cellStyle name="Porcentual 2 14 17 5" xfId="25888" xr:uid="{00000000-0005-0000-0000-00001E8D0000}"/>
    <cellStyle name="Porcentual 2 14 17 6" xfId="25889" xr:uid="{00000000-0005-0000-0000-00001F8D0000}"/>
    <cellStyle name="Porcentual 2 14 17 7" xfId="25890" xr:uid="{00000000-0005-0000-0000-0000208D0000}"/>
    <cellStyle name="Porcentual 2 14 18" xfId="25891" xr:uid="{00000000-0005-0000-0000-0000218D0000}"/>
    <cellStyle name="Porcentual 2 14 18 2" xfId="25892" xr:uid="{00000000-0005-0000-0000-0000228D0000}"/>
    <cellStyle name="Porcentual 2 14 18 3" xfId="25893" xr:uid="{00000000-0005-0000-0000-0000238D0000}"/>
    <cellStyle name="Porcentual 2 14 18 4" xfId="25894" xr:uid="{00000000-0005-0000-0000-0000248D0000}"/>
    <cellStyle name="Porcentual 2 14 18 5" xfId="25895" xr:uid="{00000000-0005-0000-0000-0000258D0000}"/>
    <cellStyle name="Porcentual 2 14 18 6" xfId="25896" xr:uid="{00000000-0005-0000-0000-0000268D0000}"/>
    <cellStyle name="Porcentual 2 14 18 7" xfId="25897" xr:uid="{00000000-0005-0000-0000-0000278D0000}"/>
    <cellStyle name="Porcentual 2 14 19" xfId="25898" xr:uid="{00000000-0005-0000-0000-0000288D0000}"/>
    <cellStyle name="Porcentual 2 14 19 2" xfId="25899" xr:uid="{00000000-0005-0000-0000-0000298D0000}"/>
    <cellStyle name="Porcentual 2 14 19 3" xfId="25900" xr:uid="{00000000-0005-0000-0000-00002A8D0000}"/>
    <cellStyle name="Porcentual 2 14 19 4" xfId="25901" xr:uid="{00000000-0005-0000-0000-00002B8D0000}"/>
    <cellStyle name="Porcentual 2 14 19 5" xfId="25902" xr:uid="{00000000-0005-0000-0000-00002C8D0000}"/>
    <cellStyle name="Porcentual 2 14 19 6" xfId="25903" xr:uid="{00000000-0005-0000-0000-00002D8D0000}"/>
    <cellStyle name="Porcentual 2 14 19 7" xfId="25904" xr:uid="{00000000-0005-0000-0000-00002E8D0000}"/>
    <cellStyle name="Porcentual 2 14 2" xfId="25905" xr:uid="{00000000-0005-0000-0000-00002F8D0000}"/>
    <cellStyle name="Porcentual 2 14 2 2" xfId="25906" xr:uid="{00000000-0005-0000-0000-0000308D0000}"/>
    <cellStyle name="Porcentual 2 14 2 2 2" xfId="25907" xr:uid="{00000000-0005-0000-0000-0000318D0000}"/>
    <cellStyle name="Porcentual 2 14 2 2 3" xfId="25908" xr:uid="{00000000-0005-0000-0000-0000328D0000}"/>
    <cellStyle name="Porcentual 2 14 2 2 4" xfId="25909" xr:uid="{00000000-0005-0000-0000-0000338D0000}"/>
    <cellStyle name="Porcentual 2 14 2 2 5" xfId="25910" xr:uid="{00000000-0005-0000-0000-0000348D0000}"/>
    <cellStyle name="Porcentual 2 14 2 2 6" xfId="25911" xr:uid="{00000000-0005-0000-0000-0000358D0000}"/>
    <cellStyle name="Porcentual 2 14 2 2 7" xfId="25912" xr:uid="{00000000-0005-0000-0000-0000368D0000}"/>
    <cellStyle name="Porcentual 2 14 2 3" xfId="25913" xr:uid="{00000000-0005-0000-0000-0000378D0000}"/>
    <cellStyle name="Porcentual 2 14 2 4" xfId="25914" xr:uid="{00000000-0005-0000-0000-0000388D0000}"/>
    <cellStyle name="Porcentual 2 14 2 5" xfId="25915" xr:uid="{00000000-0005-0000-0000-0000398D0000}"/>
    <cellStyle name="Porcentual 2 14 2 6" xfId="25916" xr:uid="{00000000-0005-0000-0000-00003A8D0000}"/>
    <cellStyle name="Porcentual 2 14 2 7" xfId="25917" xr:uid="{00000000-0005-0000-0000-00003B8D0000}"/>
    <cellStyle name="Porcentual 2 14 2 8" xfId="25918" xr:uid="{00000000-0005-0000-0000-00003C8D0000}"/>
    <cellStyle name="Porcentual 2 14 20" xfId="25919" xr:uid="{00000000-0005-0000-0000-00003D8D0000}"/>
    <cellStyle name="Porcentual 2 14 20 2" xfId="25920" xr:uid="{00000000-0005-0000-0000-00003E8D0000}"/>
    <cellStyle name="Porcentual 2 14 20 3" xfId="25921" xr:uid="{00000000-0005-0000-0000-00003F8D0000}"/>
    <cellStyle name="Porcentual 2 14 20 4" xfId="25922" xr:uid="{00000000-0005-0000-0000-0000408D0000}"/>
    <cellStyle name="Porcentual 2 14 20 5" xfId="25923" xr:uid="{00000000-0005-0000-0000-0000418D0000}"/>
    <cellStyle name="Porcentual 2 14 20 6" xfId="25924" xr:uid="{00000000-0005-0000-0000-0000428D0000}"/>
    <cellStyle name="Porcentual 2 14 20 7" xfId="25925" xr:uid="{00000000-0005-0000-0000-0000438D0000}"/>
    <cellStyle name="Porcentual 2 14 21" xfId="25926" xr:uid="{00000000-0005-0000-0000-0000448D0000}"/>
    <cellStyle name="Porcentual 2 14 21 2" xfId="25927" xr:uid="{00000000-0005-0000-0000-0000458D0000}"/>
    <cellStyle name="Porcentual 2 14 21 3" xfId="25928" xr:uid="{00000000-0005-0000-0000-0000468D0000}"/>
    <cellStyle name="Porcentual 2 14 21 4" xfId="25929" xr:uid="{00000000-0005-0000-0000-0000478D0000}"/>
    <cellStyle name="Porcentual 2 14 21 5" xfId="25930" xr:uid="{00000000-0005-0000-0000-0000488D0000}"/>
    <cellStyle name="Porcentual 2 14 21 6" xfId="25931" xr:uid="{00000000-0005-0000-0000-0000498D0000}"/>
    <cellStyle name="Porcentual 2 14 21 7" xfId="25932" xr:uid="{00000000-0005-0000-0000-00004A8D0000}"/>
    <cellStyle name="Porcentual 2 14 22" xfId="25933" xr:uid="{00000000-0005-0000-0000-00004B8D0000}"/>
    <cellStyle name="Porcentual 2 14 22 2" xfId="25934" xr:uid="{00000000-0005-0000-0000-00004C8D0000}"/>
    <cellStyle name="Porcentual 2 14 22 3" xfId="25935" xr:uid="{00000000-0005-0000-0000-00004D8D0000}"/>
    <cellStyle name="Porcentual 2 14 22 4" xfId="25936" xr:uid="{00000000-0005-0000-0000-00004E8D0000}"/>
    <cellStyle name="Porcentual 2 14 22 5" xfId="25937" xr:uid="{00000000-0005-0000-0000-00004F8D0000}"/>
    <cellStyle name="Porcentual 2 14 22 6" xfId="25938" xr:uid="{00000000-0005-0000-0000-0000508D0000}"/>
    <cellStyle name="Porcentual 2 14 22 7" xfId="25939" xr:uid="{00000000-0005-0000-0000-0000518D0000}"/>
    <cellStyle name="Porcentual 2 14 23" xfId="25940" xr:uid="{00000000-0005-0000-0000-0000528D0000}"/>
    <cellStyle name="Porcentual 2 14 23 2" xfId="25941" xr:uid="{00000000-0005-0000-0000-0000538D0000}"/>
    <cellStyle name="Porcentual 2 14 23 3" xfId="25942" xr:uid="{00000000-0005-0000-0000-0000548D0000}"/>
    <cellStyle name="Porcentual 2 14 23 4" xfId="25943" xr:uid="{00000000-0005-0000-0000-0000558D0000}"/>
    <cellStyle name="Porcentual 2 14 23 5" xfId="25944" xr:uid="{00000000-0005-0000-0000-0000568D0000}"/>
    <cellStyle name="Porcentual 2 14 23 6" xfId="25945" xr:uid="{00000000-0005-0000-0000-0000578D0000}"/>
    <cellStyle name="Porcentual 2 14 23 7" xfId="25946" xr:uid="{00000000-0005-0000-0000-0000588D0000}"/>
    <cellStyle name="Porcentual 2 14 24" xfId="25947" xr:uid="{00000000-0005-0000-0000-0000598D0000}"/>
    <cellStyle name="Porcentual 2 14 24 2" xfId="25948" xr:uid="{00000000-0005-0000-0000-00005A8D0000}"/>
    <cellStyle name="Porcentual 2 14 24 3" xfId="25949" xr:uid="{00000000-0005-0000-0000-00005B8D0000}"/>
    <cellStyle name="Porcentual 2 14 24 4" xfId="25950" xr:uid="{00000000-0005-0000-0000-00005C8D0000}"/>
    <cellStyle name="Porcentual 2 14 24 5" xfId="25951" xr:uid="{00000000-0005-0000-0000-00005D8D0000}"/>
    <cellStyle name="Porcentual 2 14 24 6" xfId="25952" xr:uid="{00000000-0005-0000-0000-00005E8D0000}"/>
    <cellStyle name="Porcentual 2 14 24 7" xfId="25953" xr:uid="{00000000-0005-0000-0000-00005F8D0000}"/>
    <cellStyle name="Porcentual 2 14 25" xfId="25954" xr:uid="{00000000-0005-0000-0000-0000608D0000}"/>
    <cellStyle name="Porcentual 2 14 25 2" xfId="25955" xr:uid="{00000000-0005-0000-0000-0000618D0000}"/>
    <cellStyle name="Porcentual 2 14 25 3" xfId="25956" xr:uid="{00000000-0005-0000-0000-0000628D0000}"/>
    <cellStyle name="Porcentual 2 14 25 4" xfId="25957" xr:uid="{00000000-0005-0000-0000-0000638D0000}"/>
    <cellStyle name="Porcentual 2 14 25 5" xfId="25958" xr:uid="{00000000-0005-0000-0000-0000648D0000}"/>
    <cellStyle name="Porcentual 2 14 25 6" xfId="25959" xr:uid="{00000000-0005-0000-0000-0000658D0000}"/>
    <cellStyle name="Porcentual 2 14 25 7" xfId="25960" xr:uid="{00000000-0005-0000-0000-0000668D0000}"/>
    <cellStyle name="Porcentual 2 14 26" xfId="25961" xr:uid="{00000000-0005-0000-0000-0000678D0000}"/>
    <cellStyle name="Porcentual 2 14 26 2" xfId="25962" xr:uid="{00000000-0005-0000-0000-0000688D0000}"/>
    <cellStyle name="Porcentual 2 14 26 3" xfId="25963" xr:uid="{00000000-0005-0000-0000-0000698D0000}"/>
    <cellStyle name="Porcentual 2 14 26 4" xfId="25964" xr:uid="{00000000-0005-0000-0000-00006A8D0000}"/>
    <cellStyle name="Porcentual 2 14 26 5" xfId="25965" xr:uid="{00000000-0005-0000-0000-00006B8D0000}"/>
    <cellStyle name="Porcentual 2 14 26 6" xfId="25966" xr:uid="{00000000-0005-0000-0000-00006C8D0000}"/>
    <cellStyle name="Porcentual 2 14 26 7" xfId="25967" xr:uid="{00000000-0005-0000-0000-00006D8D0000}"/>
    <cellStyle name="Porcentual 2 14 27" xfId="25968" xr:uid="{00000000-0005-0000-0000-00006E8D0000}"/>
    <cellStyle name="Porcentual 2 14 27 2" xfId="25969" xr:uid="{00000000-0005-0000-0000-00006F8D0000}"/>
    <cellStyle name="Porcentual 2 14 27 3" xfId="25970" xr:uid="{00000000-0005-0000-0000-0000708D0000}"/>
    <cellStyle name="Porcentual 2 14 27 4" xfId="25971" xr:uid="{00000000-0005-0000-0000-0000718D0000}"/>
    <cellStyle name="Porcentual 2 14 27 5" xfId="25972" xr:uid="{00000000-0005-0000-0000-0000728D0000}"/>
    <cellStyle name="Porcentual 2 14 27 6" xfId="25973" xr:uid="{00000000-0005-0000-0000-0000738D0000}"/>
    <cellStyle name="Porcentual 2 14 27 7" xfId="25974" xr:uid="{00000000-0005-0000-0000-0000748D0000}"/>
    <cellStyle name="Porcentual 2 14 28" xfId="25975" xr:uid="{00000000-0005-0000-0000-0000758D0000}"/>
    <cellStyle name="Porcentual 2 14 28 2" xfId="25976" xr:uid="{00000000-0005-0000-0000-0000768D0000}"/>
    <cellStyle name="Porcentual 2 14 28 3" xfId="25977" xr:uid="{00000000-0005-0000-0000-0000778D0000}"/>
    <cellStyle name="Porcentual 2 14 28 4" xfId="25978" xr:uid="{00000000-0005-0000-0000-0000788D0000}"/>
    <cellStyle name="Porcentual 2 14 28 5" xfId="25979" xr:uid="{00000000-0005-0000-0000-0000798D0000}"/>
    <cellStyle name="Porcentual 2 14 28 6" xfId="25980" xr:uid="{00000000-0005-0000-0000-00007A8D0000}"/>
    <cellStyle name="Porcentual 2 14 28 7" xfId="25981" xr:uid="{00000000-0005-0000-0000-00007B8D0000}"/>
    <cellStyle name="Porcentual 2 14 29" xfId="25982" xr:uid="{00000000-0005-0000-0000-00007C8D0000}"/>
    <cellStyle name="Porcentual 2 14 29 2" xfId="25983" xr:uid="{00000000-0005-0000-0000-00007D8D0000}"/>
    <cellStyle name="Porcentual 2 14 29 3" xfId="25984" xr:uid="{00000000-0005-0000-0000-00007E8D0000}"/>
    <cellStyle name="Porcentual 2 14 29 4" xfId="25985" xr:uid="{00000000-0005-0000-0000-00007F8D0000}"/>
    <cellStyle name="Porcentual 2 14 29 5" xfId="25986" xr:uid="{00000000-0005-0000-0000-0000808D0000}"/>
    <cellStyle name="Porcentual 2 14 29 6" xfId="25987" xr:uid="{00000000-0005-0000-0000-0000818D0000}"/>
    <cellStyle name="Porcentual 2 14 29 7" xfId="25988" xr:uid="{00000000-0005-0000-0000-0000828D0000}"/>
    <cellStyle name="Porcentual 2 14 3" xfId="25989" xr:uid="{00000000-0005-0000-0000-0000838D0000}"/>
    <cellStyle name="Porcentual 2 14 3 2" xfId="25990" xr:uid="{00000000-0005-0000-0000-0000848D0000}"/>
    <cellStyle name="Porcentual 2 14 3 2 2" xfId="25991" xr:uid="{00000000-0005-0000-0000-0000858D0000}"/>
    <cellStyle name="Porcentual 2 14 3 2 3" xfId="25992" xr:uid="{00000000-0005-0000-0000-0000868D0000}"/>
    <cellStyle name="Porcentual 2 14 3 2 4" xfId="25993" xr:uid="{00000000-0005-0000-0000-0000878D0000}"/>
    <cellStyle name="Porcentual 2 14 3 2 5" xfId="25994" xr:uid="{00000000-0005-0000-0000-0000888D0000}"/>
    <cellStyle name="Porcentual 2 14 3 2 6" xfId="25995" xr:uid="{00000000-0005-0000-0000-0000898D0000}"/>
    <cellStyle name="Porcentual 2 14 3 2 7" xfId="25996" xr:uid="{00000000-0005-0000-0000-00008A8D0000}"/>
    <cellStyle name="Porcentual 2 14 3 3" xfId="25997" xr:uid="{00000000-0005-0000-0000-00008B8D0000}"/>
    <cellStyle name="Porcentual 2 14 3 4" xfId="25998" xr:uid="{00000000-0005-0000-0000-00008C8D0000}"/>
    <cellStyle name="Porcentual 2 14 3 5" xfId="25999" xr:uid="{00000000-0005-0000-0000-00008D8D0000}"/>
    <cellStyle name="Porcentual 2 14 3 6" xfId="26000" xr:uid="{00000000-0005-0000-0000-00008E8D0000}"/>
    <cellStyle name="Porcentual 2 14 3 7" xfId="26001" xr:uid="{00000000-0005-0000-0000-00008F8D0000}"/>
    <cellStyle name="Porcentual 2 14 3 8" xfId="26002" xr:uid="{00000000-0005-0000-0000-0000908D0000}"/>
    <cellStyle name="Porcentual 2 14 30" xfId="26003" xr:uid="{00000000-0005-0000-0000-0000918D0000}"/>
    <cellStyle name="Porcentual 2 14 30 2" xfId="26004" xr:uid="{00000000-0005-0000-0000-0000928D0000}"/>
    <cellStyle name="Porcentual 2 14 30 3" xfId="26005" xr:uid="{00000000-0005-0000-0000-0000938D0000}"/>
    <cellStyle name="Porcentual 2 14 30 4" xfId="26006" xr:uid="{00000000-0005-0000-0000-0000948D0000}"/>
    <cellStyle name="Porcentual 2 14 30 5" xfId="26007" xr:uid="{00000000-0005-0000-0000-0000958D0000}"/>
    <cellStyle name="Porcentual 2 14 30 6" xfId="26008" xr:uid="{00000000-0005-0000-0000-0000968D0000}"/>
    <cellStyle name="Porcentual 2 14 30 7" xfId="26009" xr:uid="{00000000-0005-0000-0000-0000978D0000}"/>
    <cellStyle name="Porcentual 2 14 31" xfId="26010" xr:uid="{00000000-0005-0000-0000-0000988D0000}"/>
    <cellStyle name="Porcentual 2 14 31 2" xfId="26011" xr:uid="{00000000-0005-0000-0000-0000998D0000}"/>
    <cellStyle name="Porcentual 2 14 31 3" xfId="26012" xr:uid="{00000000-0005-0000-0000-00009A8D0000}"/>
    <cellStyle name="Porcentual 2 14 31 4" xfId="26013" xr:uid="{00000000-0005-0000-0000-00009B8D0000}"/>
    <cellStyle name="Porcentual 2 14 31 5" xfId="26014" xr:uid="{00000000-0005-0000-0000-00009C8D0000}"/>
    <cellStyle name="Porcentual 2 14 31 6" xfId="26015" xr:uid="{00000000-0005-0000-0000-00009D8D0000}"/>
    <cellStyle name="Porcentual 2 14 31 7" xfId="26016" xr:uid="{00000000-0005-0000-0000-00009E8D0000}"/>
    <cellStyle name="Porcentual 2 14 32" xfId="26017" xr:uid="{00000000-0005-0000-0000-00009F8D0000}"/>
    <cellStyle name="Porcentual 2 14 32 2" xfId="26018" xr:uid="{00000000-0005-0000-0000-0000A08D0000}"/>
    <cellStyle name="Porcentual 2 14 32 3" xfId="26019" xr:uid="{00000000-0005-0000-0000-0000A18D0000}"/>
    <cellStyle name="Porcentual 2 14 32 4" xfId="26020" xr:uid="{00000000-0005-0000-0000-0000A28D0000}"/>
    <cellStyle name="Porcentual 2 14 32 5" xfId="26021" xr:uid="{00000000-0005-0000-0000-0000A38D0000}"/>
    <cellStyle name="Porcentual 2 14 32 6" xfId="26022" xr:uid="{00000000-0005-0000-0000-0000A48D0000}"/>
    <cellStyle name="Porcentual 2 14 32 7" xfId="26023" xr:uid="{00000000-0005-0000-0000-0000A58D0000}"/>
    <cellStyle name="Porcentual 2 14 33" xfId="26024" xr:uid="{00000000-0005-0000-0000-0000A68D0000}"/>
    <cellStyle name="Porcentual 2 14 33 2" xfId="26025" xr:uid="{00000000-0005-0000-0000-0000A78D0000}"/>
    <cellStyle name="Porcentual 2 14 33 3" xfId="26026" xr:uid="{00000000-0005-0000-0000-0000A88D0000}"/>
    <cellStyle name="Porcentual 2 14 33 4" xfId="26027" xr:uid="{00000000-0005-0000-0000-0000A98D0000}"/>
    <cellStyle name="Porcentual 2 14 33 5" xfId="26028" xr:uid="{00000000-0005-0000-0000-0000AA8D0000}"/>
    <cellStyle name="Porcentual 2 14 33 6" xfId="26029" xr:uid="{00000000-0005-0000-0000-0000AB8D0000}"/>
    <cellStyle name="Porcentual 2 14 33 7" xfId="26030" xr:uid="{00000000-0005-0000-0000-0000AC8D0000}"/>
    <cellStyle name="Porcentual 2 14 34" xfId="26031" xr:uid="{00000000-0005-0000-0000-0000AD8D0000}"/>
    <cellStyle name="Porcentual 2 14 34 2" xfId="26032" xr:uid="{00000000-0005-0000-0000-0000AE8D0000}"/>
    <cellStyle name="Porcentual 2 14 34 3" xfId="26033" xr:uid="{00000000-0005-0000-0000-0000AF8D0000}"/>
    <cellStyle name="Porcentual 2 14 34 4" xfId="26034" xr:uid="{00000000-0005-0000-0000-0000B08D0000}"/>
    <cellStyle name="Porcentual 2 14 34 5" xfId="26035" xr:uid="{00000000-0005-0000-0000-0000B18D0000}"/>
    <cellStyle name="Porcentual 2 14 34 6" xfId="26036" xr:uid="{00000000-0005-0000-0000-0000B28D0000}"/>
    <cellStyle name="Porcentual 2 14 34 7" xfId="26037" xr:uid="{00000000-0005-0000-0000-0000B38D0000}"/>
    <cellStyle name="Porcentual 2 14 35" xfId="26038" xr:uid="{00000000-0005-0000-0000-0000B48D0000}"/>
    <cellStyle name="Porcentual 2 14 35 2" xfId="26039" xr:uid="{00000000-0005-0000-0000-0000B58D0000}"/>
    <cellStyle name="Porcentual 2 14 35 3" xfId="26040" xr:uid="{00000000-0005-0000-0000-0000B68D0000}"/>
    <cellStyle name="Porcentual 2 14 35 4" xfId="26041" xr:uid="{00000000-0005-0000-0000-0000B78D0000}"/>
    <cellStyle name="Porcentual 2 14 35 5" xfId="26042" xr:uid="{00000000-0005-0000-0000-0000B88D0000}"/>
    <cellStyle name="Porcentual 2 14 35 6" xfId="26043" xr:uid="{00000000-0005-0000-0000-0000B98D0000}"/>
    <cellStyle name="Porcentual 2 14 35 7" xfId="26044" xr:uid="{00000000-0005-0000-0000-0000BA8D0000}"/>
    <cellStyle name="Porcentual 2 14 36" xfId="26045" xr:uid="{00000000-0005-0000-0000-0000BB8D0000}"/>
    <cellStyle name="Porcentual 2 14 37" xfId="26046" xr:uid="{00000000-0005-0000-0000-0000BC8D0000}"/>
    <cellStyle name="Porcentual 2 14 38" xfId="26047" xr:uid="{00000000-0005-0000-0000-0000BD8D0000}"/>
    <cellStyle name="Porcentual 2 14 39" xfId="26048" xr:uid="{00000000-0005-0000-0000-0000BE8D0000}"/>
    <cellStyle name="Porcentual 2 14 4" xfId="26049" xr:uid="{00000000-0005-0000-0000-0000BF8D0000}"/>
    <cellStyle name="Porcentual 2 14 4 2" xfId="26050" xr:uid="{00000000-0005-0000-0000-0000C08D0000}"/>
    <cellStyle name="Porcentual 2 14 4 2 2" xfId="26051" xr:uid="{00000000-0005-0000-0000-0000C18D0000}"/>
    <cellStyle name="Porcentual 2 14 4 2 3" xfId="26052" xr:uid="{00000000-0005-0000-0000-0000C28D0000}"/>
    <cellStyle name="Porcentual 2 14 4 2 4" xfId="26053" xr:uid="{00000000-0005-0000-0000-0000C38D0000}"/>
    <cellStyle name="Porcentual 2 14 4 2 5" xfId="26054" xr:uid="{00000000-0005-0000-0000-0000C48D0000}"/>
    <cellStyle name="Porcentual 2 14 4 2 6" xfId="26055" xr:uid="{00000000-0005-0000-0000-0000C58D0000}"/>
    <cellStyle name="Porcentual 2 14 4 2 7" xfId="26056" xr:uid="{00000000-0005-0000-0000-0000C68D0000}"/>
    <cellStyle name="Porcentual 2 14 4 3" xfId="26057" xr:uid="{00000000-0005-0000-0000-0000C78D0000}"/>
    <cellStyle name="Porcentual 2 14 4 4" xfId="26058" xr:uid="{00000000-0005-0000-0000-0000C88D0000}"/>
    <cellStyle name="Porcentual 2 14 4 5" xfId="26059" xr:uid="{00000000-0005-0000-0000-0000C98D0000}"/>
    <cellStyle name="Porcentual 2 14 4 6" xfId="26060" xr:uid="{00000000-0005-0000-0000-0000CA8D0000}"/>
    <cellStyle name="Porcentual 2 14 4 7" xfId="26061" xr:uid="{00000000-0005-0000-0000-0000CB8D0000}"/>
    <cellStyle name="Porcentual 2 14 4 8" xfId="26062" xr:uid="{00000000-0005-0000-0000-0000CC8D0000}"/>
    <cellStyle name="Porcentual 2 14 40" xfId="26063" xr:uid="{00000000-0005-0000-0000-0000CD8D0000}"/>
    <cellStyle name="Porcentual 2 14 41" xfId="26064" xr:uid="{00000000-0005-0000-0000-0000CE8D0000}"/>
    <cellStyle name="Porcentual 2 14 5" xfId="26065" xr:uid="{00000000-0005-0000-0000-0000CF8D0000}"/>
    <cellStyle name="Porcentual 2 14 5 2" xfId="26066" xr:uid="{00000000-0005-0000-0000-0000D08D0000}"/>
    <cellStyle name="Porcentual 2 14 5 2 2" xfId="26067" xr:uid="{00000000-0005-0000-0000-0000D18D0000}"/>
    <cellStyle name="Porcentual 2 14 5 2 3" xfId="26068" xr:uid="{00000000-0005-0000-0000-0000D28D0000}"/>
    <cellStyle name="Porcentual 2 14 5 2 4" xfId="26069" xr:uid="{00000000-0005-0000-0000-0000D38D0000}"/>
    <cellStyle name="Porcentual 2 14 5 2 5" xfId="26070" xr:uid="{00000000-0005-0000-0000-0000D48D0000}"/>
    <cellStyle name="Porcentual 2 14 5 2 6" xfId="26071" xr:uid="{00000000-0005-0000-0000-0000D58D0000}"/>
    <cellStyle name="Porcentual 2 14 5 2 7" xfId="26072" xr:uid="{00000000-0005-0000-0000-0000D68D0000}"/>
    <cellStyle name="Porcentual 2 14 5 3" xfId="26073" xr:uid="{00000000-0005-0000-0000-0000D78D0000}"/>
    <cellStyle name="Porcentual 2 14 5 4" xfId="26074" xr:uid="{00000000-0005-0000-0000-0000D88D0000}"/>
    <cellStyle name="Porcentual 2 14 5 5" xfId="26075" xr:uid="{00000000-0005-0000-0000-0000D98D0000}"/>
    <cellStyle name="Porcentual 2 14 5 6" xfId="26076" xr:uid="{00000000-0005-0000-0000-0000DA8D0000}"/>
    <cellStyle name="Porcentual 2 14 5 7" xfId="26077" xr:uid="{00000000-0005-0000-0000-0000DB8D0000}"/>
    <cellStyle name="Porcentual 2 14 5 8" xfId="26078" xr:uid="{00000000-0005-0000-0000-0000DC8D0000}"/>
    <cellStyle name="Porcentual 2 14 6" xfId="26079" xr:uid="{00000000-0005-0000-0000-0000DD8D0000}"/>
    <cellStyle name="Porcentual 2 14 6 2" xfId="26080" xr:uid="{00000000-0005-0000-0000-0000DE8D0000}"/>
    <cellStyle name="Porcentual 2 14 6 2 2" xfId="26081" xr:uid="{00000000-0005-0000-0000-0000DF8D0000}"/>
    <cellStyle name="Porcentual 2 14 6 2 3" xfId="26082" xr:uid="{00000000-0005-0000-0000-0000E08D0000}"/>
    <cellStyle name="Porcentual 2 14 6 2 4" xfId="26083" xr:uid="{00000000-0005-0000-0000-0000E18D0000}"/>
    <cellStyle name="Porcentual 2 14 6 2 5" xfId="26084" xr:uid="{00000000-0005-0000-0000-0000E28D0000}"/>
    <cellStyle name="Porcentual 2 14 6 2 6" xfId="26085" xr:uid="{00000000-0005-0000-0000-0000E38D0000}"/>
    <cellStyle name="Porcentual 2 14 6 2 7" xfId="26086" xr:uid="{00000000-0005-0000-0000-0000E48D0000}"/>
    <cellStyle name="Porcentual 2 14 6 3" xfId="26087" xr:uid="{00000000-0005-0000-0000-0000E58D0000}"/>
    <cellStyle name="Porcentual 2 14 6 4" xfId="26088" xr:uid="{00000000-0005-0000-0000-0000E68D0000}"/>
    <cellStyle name="Porcentual 2 14 6 5" xfId="26089" xr:uid="{00000000-0005-0000-0000-0000E78D0000}"/>
    <cellStyle name="Porcentual 2 14 6 6" xfId="26090" xr:uid="{00000000-0005-0000-0000-0000E88D0000}"/>
    <cellStyle name="Porcentual 2 14 6 7" xfId="26091" xr:uid="{00000000-0005-0000-0000-0000E98D0000}"/>
    <cellStyle name="Porcentual 2 14 6 8" xfId="26092" xr:uid="{00000000-0005-0000-0000-0000EA8D0000}"/>
    <cellStyle name="Porcentual 2 14 7" xfId="26093" xr:uid="{00000000-0005-0000-0000-0000EB8D0000}"/>
    <cellStyle name="Porcentual 2 14 7 2" xfId="26094" xr:uid="{00000000-0005-0000-0000-0000EC8D0000}"/>
    <cellStyle name="Porcentual 2 14 7 2 2" xfId="26095" xr:uid="{00000000-0005-0000-0000-0000ED8D0000}"/>
    <cellStyle name="Porcentual 2 14 7 2 3" xfId="26096" xr:uid="{00000000-0005-0000-0000-0000EE8D0000}"/>
    <cellStyle name="Porcentual 2 14 7 2 4" xfId="26097" xr:uid="{00000000-0005-0000-0000-0000EF8D0000}"/>
    <cellStyle name="Porcentual 2 14 7 2 5" xfId="26098" xr:uid="{00000000-0005-0000-0000-0000F08D0000}"/>
    <cellStyle name="Porcentual 2 14 7 2 6" xfId="26099" xr:uid="{00000000-0005-0000-0000-0000F18D0000}"/>
    <cellStyle name="Porcentual 2 14 7 2 7" xfId="26100" xr:uid="{00000000-0005-0000-0000-0000F28D0000}"/>
    <cellStyle name="Porcentual 2 14 7 3" xfId="26101" xr:uid="{00000000-0005-0000-0000-0000F38D0000}"/>
    <cellStyle name="Porcentual 2 14 7 4" xfId="26102" xr:uid="{00000000-0005-0000-0000-0000F48D0000}"/>
    <cellStyle name="Porcentual 2 14 7 5" xfId="26103" xr:uid="{00000000-0005-0000-0000-0000F58D0000}"/>
    <cellStyle name="Porcentual 2 14 7 6" xfId="26104" xr:uid="{00000000-0005-0000-0000-0000F68D0000}"/>
    <cellStyle name="Porcentual 2 14 7 7" xfId="26105" xr:uid="{00000000-0005-0000-0000-0000F78D0000}"/>
    <cellStyle name="Porcentual 2 14 7 8" xfId="26106" xr:uid="{00000000-0005-0000-0000-0000F88D0000}"/>
    <cellStyle name="Porcentual 2 14 8" xfId="26107" xr:uid="{00000000-0005-0000-0000-0000F98D0000}"/>
    <cellStyle name="Porcentual 2 14 8 2" xfId="26108" xr:uid="{00000000-0005-0000-0000-0000FA8D0000}"/>
    <cellStyle name="Porcentual 2 14 8 2 2" xfId="26109" xr:uid="{00000000-0005-0000-0000-0000FB8D0000}"/>
    <cellStyle name="Porcentual 2 14 8 2 3" xfId="26110" xr:uid="{00000000-0005-0000-0000-0000FC8D0000}"/>
    <cellStyle name="Porcentual 2 14 8 2 4" xfId="26111" xr:uid="{00000000-0005-0000-0000-0000FD8D0000}"/>
    <cellStyle name="Porcentual 2 14 8 2 5" xfId="26112" xr:uid="{00000000-0005-0000-0000-0000FE8D0000}"/>
    <cellStyle name="Porcentual 2 14 8 2 6" xfId="26113" xr:uid="{00000000-0005-0000-0000-0000FF8D0000}"/>
    <cellStyle name="Porcentual 2 14 8 2 7" xfId="26114" xr:uid="{00000000-0005-0000-0000-0000008E0000}"/>
    <cellStyle name="Porcentual 2 14 8 3" xfId="26115" xr:uid="{00000000-0005-0000-0000-0000018E0000}"/>
    <cellStyle name="Porcentual 2 14 8 4" xfId="26116" xr:uid="{00000000-0005-0000-0000-0000028E0000}"/>
    <cellStyle name="Porcentual 2 14 8 5" xfId="26117" xr:uid="{00000000-0005-0000-0000-0000038E0000}"/>
    <cellStyle name="Porcentual 2 14 8 6" xfId="26118" xr:uid="{00000000-0005-0000-0000-0000048E0000}"/>
    <cellStyle name="Porcentual 2 14 8 7" xfId="26119" xr:uid="{00000000-0005-0000-0000-0000058E0000}"/>
    <cellStyle name="Porcentual 2 14 8 8" xfId="26120" xr:uid="{00000000-0005-0000-0000-0000068E0000}"/>
    <cellStyle name="Porcentual 2 14 9" xfId="26121" xr:uid="{00000000-0005-0000-0000-0000078E0000}"/>
    <cellStyle name="Porcentual 2 14 9 2" xfId="26122" xr:uid="{00000000-0005-0000-0000-0000088E0000}"/>
    <cellStyle name="Porcentual 2 14 9 2 2" xfId="26123" xr:uid="{00000000-0005-0000-0000-0000098E0000}"/>
    <cellStyle name="Porcentual 2 14 9 2 3" xfId="26124" xr:uid="{00000000-0005-0000-0000-00000A8E0000}"/>
    <cellStyle name="Porcentual 2 14 9 2 4" xfId="26125" xr:uid="{00000000-0005-0000-0000-00000B8E0000}"/>
    <cellStyle name="Porcentual 2 14 9 2 5" xfId="26126" xr:uid="{00000000-0005-0000-0000-00000C8E0000}"/>
    <cellStyle name="Porcentual 2 14 9 2 6" xfId="26127" xr:uid="{00000000-0005-0000-0000-00000D8E0000}"/>
    <cellStyle name="Porcentual 2 14 9 2 7" xfId="26128" xr:uid="{00000000-0005-0000-0000-00000E8E0000}"/>
    <cellStyle name="Porcentual 2 14 9 3" xfId="26129" xr:uid="{00000000-0005-0000-0000-00000F8E0000}"/>
    <cellStyle name="Porcentual 2 14 9 4" xfId="26130" xr:uid="{00000000-0005-0000-0000-0000108E0000}"/>
    <cellStyle name="Porcentual 2 14 9 5" xfId="26131" xr:uid="{00000000-0005-0000-0000-0000118E0000}"/>
    <cellStyle name="Porcentual 2 14 9 6" xfId="26132" xr:uid="{00000000-0005-0000-0000-0000128E0000}"/>
    <cellStyle name="Porcentual 2 14 9 7" xfId="26133" xr:uid="{00000000-0005-0000-0000-0000138E0000}"/>
    <cellStyle name="Porcentual 2 14 9 8" xfId="26134" xr:uid="{00000000-0005-0000-0000-0000148E0000}"/>
    <cellStyle name="Porcentual 2 15" xfId="26135" xr:uid="{00000000-0005-0000-0000-0000158E0000}"/>
    <cellStyle name="Porcentual 2 15 10" xfId="26136" xr:uid="{00000000-0005-0000-0000-0000168E0000}"/>
    <cellStyle name="Porcentual 2 15 10 2" xfId="26137" xr:uid="{00000000-0005-0000-0000-0000178E0000}"/>
    <cellStyle name="Porcentual 2 15 10 2 2" xfId="26138" xr:uid="{00000000-0005-0000-0000-0000188E0000}"/>
    <cellStyle name="Porcentual 2 15 10 2 3" xfId="26139" xr:uid="{00000000-0005-0000-0000-0000198E0000}"/>
    <cellStyle name="Porcentual 2 15 10 2 4" xfId="26140" xr:uid="{00000000-0005-0000-0000-00001A8E0000}"/>
    <cellStyle name="Porcentual 2 15 10 2 5" xfId="26141" xr:uid="{00000000-0005-0000-0000-00001B8E0000}"/>
    <cellStyle name="Porcentual 2 15 10 2 6" xfId="26142" xr:uid="{00000000-0005-0000-0000-00001C8E0000}"/>
    <cellStyle name="Porcentual 2 15 10 2 7" xfId="26143" xr:uid="{00000000-0005-0000-0000-00001D8E0000}"/>
    <cellStyle name="Porcentual 2 15 10 3" xfId="26144" xr:uid="{00000000-0005-0000-0000-00001E8E0000}"/>
    <cellStyle name="Porcentual 2 15 10 4" xfId="26145" xr:uid="{00000000-0005-0000-0000-00001F8E0000}"/>
    <cellStyle name="Porcentual 2 15 10 5" xfId="26146" xr:uid="{00000000-0005-0000-0000-0000208E0000}"/>
    <cellStyle name="Porcentual 2 15 10 6" xfId="26147" xr:uid="{00000000-0005-0000-0000-0000218E0000}"/>
    <cellStyle name="Porcentual 2 15 10 7" xfId="26148" xr:uid="{00000000-0005-0000-0000-0000228E0000}"/>
    <cellStyle name="Porcentual 2 15 10 8" xfId="26149" xr:uid="{00000000-0005-0000-0000-0000238E0000}"/>
    <cellStyle name="Porcentual 2 15 11" xfId="26150" xr:uid="{00000000-0005-0000-0000-0000248E0000}"/>
    <cellStyle name="Porcentual 2 15 11 2" xfId="26151" xr:uid="{00000000-0005-0000-0000-0000258E0000}"/>
    <cellStyle name="Porcentual 2 15 11 2 2" xfId="26152" xr:uid="{00000000-0005-0000-0000-0000268E0000}"/>
    <cellStyle name="Porcentual 2 15 11 2 3" xfId="26153" xr:uid="{00000000-0005-0000-0000-0000278E0000}"/>
    <cellStyle name="Porcentual 2 15 11 2 4" xfId="26154" xr:uid="{00000000-0005-0000-0000-0000288E0000}"/>
    <cellStyle name="Porcentual 2 15 11 2 5" xfId="26155" xr:uid="{00000000-0005-0000-0000-0000298E0000}"/>
    <cellStyle name="Porcentual 2 15 11 2 6" xfId="26156" xr:uid="{00000000-0005-0000-0000-00002A8E0000}"/>
    <cellStyle name="Porcentual 2 15 11 2 7" xfId="26157" xr:uid="{00000000-0005-0000-0000-00002B8E0000}"/>
    <cellStyle name="Porcentual 2 15 11 3" xfId="26158" xr:uid="{00000000-0005-0000-0000-00002C8E0000}"/>
    <cellStyle name="Porcentual 2 15 11 4" xfId="26159" xr:uid="{00000000-0005-0000-0000-00002D8E0000}"/>
    <cellStyle name="Porcentual 2 15 11 5" xfId="26160" xr:uid="{00000000-0005-0000-0000-00002E8E0000}"/>
    <cellStyle name="Porcentual 2 15 11 6" xfId="26161" xr:uid="{00000000-0005-0000-0000-00002F8E0000}"/>
    <cellStyle name="Porcentual 2 15 11 7" xfId="26162" xr:uid="{00000000-0005-0000-0000-0000308E0000}"/>
    <cellStyle name="Porcentual 2 15 11 8" xfId="26163" xr:uid="{00000000-0005-0000-0000-0000318E0000}"/>
    <cellStyle name="Porcentual 2 15 12" xfId="26164" xr:uid="{00000000-0005-0000-0000-0000328E0000}"/>
    <cellStyle name="Porcentual 2 15 12 2" xfId="26165" xr:uid="{00000000-0005-0000-0000-0000338E0000}"/>
    <cellStyle name="Porcentual 2 15 12 2 2" xfId="26166" xr:uid="{00000000-0005-0000-0000-0000348E0000}"/>
    <cellStyle name="Porcentual 2 15 12 2 3" xfId="26167" xr:uid="{00000000-0005-0000-0000-0000358E0000}"/>
    <cellStyle name="Porcentual 2 15 12 2 4" xfId="26168" xr:uid="{00000000-0005-0000-0000-0000368E0000}"/>
    <cellStyle name="Porcentual 2 15 12 2 5" xfId="26169" xr:uid="{00000000-0005-0000-0000-0000378E0000}"/>
    <cellStyle name="Porcentual 2 15 12 2 6" xfId="26170" xr:uid="{00000000-0005-0000-0000-0000388E0000}"/>
    <cellStyle name="Porcentual 2 15 12 2 7" xfId="26171" xr:uid="{00000000-0005-0000-0000-0000398E0000}"/>
    <cellStyle name="Porcentual 2 15 12 3" xfId="26172" xr:uid="{00000000-0005-0000-0000-00003A8E0000}"/>
    <cellStyle name="Porcentual 2 15 12 4" xfId="26173" xr:uid="{00000000-0005-0000-0000-00003B8E0000}"/>
    <cellStyle name="Porcentual 2 15 12 5" xfId="26174" xr:uid="{00000000-0005-0000-0000-00003C8E0000}"/>
    <cellStyle name="Porcentual 2 15 12 6" xfId="26175" xr:uid="{00000000-0005-0000-0000-00003D8E0000}"/>
    <cellStyle name="Porcentual 2 15 12 7" xfId="26176" xr:uid="{00000000-0005-0000-0000-00003E8E0000}"/>
    <cellStyle name="Porcentual 2 15 12 8" xfId="26177" xr:uid="{00000000-0005-0000-0000-00003F8E0000}"/>
    <cellStyle name="Porcentual 2 15 13" xfId="26178" xr:uid="{00000000-0005-0000-0000-0000408E0000}"/>
    <cellStyle name="Porcentual 2 15 13 2" xfId="26179" xr:uid="{00000000-0005-0000-0000-0000418E0000}"/>
    <cellStyle name="Porcentual 2 15 13 2 2" xfId="26180" xr:uid="{00000000-0005-0000-0000-0000428E0000}"/>
    <cellStyle name="Porcentual 2 15 13 2 3" xfId="26181" xr:uid="{00000000-0005-0000-0000-0000438E0000}"/>
    <cellStyle name="Porcentual 2 15 13 2 4" xfId="26182" xr:uid="{00000000-0005-0000-0000-0000448E0000}"/>
    <cellStyle name="Porcentual 2 15 13 2 5" xfId="26183" xr:uid="{00000000-0005-0000-0000-0000458E0000}"/>
    <cellStyle name="Porcentual 2 15 13 2 6" xfId="26184" xr:uid="{00000000-0005-0000-0000-0000468E0000}"/>
    <cellStyle name="Porcentual 2 15 13 2 7" xfId="26185" xr:uid="{00000000-0005-0000-0000-0000478E0000}"/>
    <cellStyle name="Porcentual 2 15 13 3" xfId="26186" xr:uid="{00000000-0005-0000-0000-0000488E0000}"/>
    <cellStyle name="Porcentual 2 15 13 4" xfId="26187" xr:uid="{00000000-0005-0000-0000-0000498E0000}"/>
    <cellStyle name="Porcentual 2 15 13 5" xfId="26188" xr:uid="{00000000-0005-0000-0000-00004A8E0000}"/>
    <cellStyle name="Porcentual 2 15 13 6" xfId="26189" xr:uid="{00000000-0005-0000-0000-00004B8E0000}"/>
    <cellStyle name="Porcentual 2 15 13 7" xfId="26190" xr:uid="{00000000-0005-0000-0000-00004C8E0000}"/>
    <cellStyle name="Porcentual 2 15 13 8" xfId="26191" xr:uid="{00000000-0005-0000-0000-00004D8E0000}"/>
    <cellStyle name="Porcentual 2 15 14" xfId="26192" xr:uid="{00000000-0005-0000-0000-00004E8E0000}"/>
    <cellStyle name="Porcentual 2 15 14 2" xfId="26193" xr:uid="{00000000-0005-0000-0000-00004F8E0000}"/>
    <cellStyle name="Porcentual 2 15 14 2 2" xfId="26194" xr:uid="{00000000-0005-0000-0000-0000508E0000}"/>
    <cellStyle name="Porcentual 2 15 14 2 3" xfId="26195" xr:uid="{00000000-0005-0000-0000-0000518E0000}"/>
    <cellStyle name="Porcentual 2 15 14 2 4" xfId="26196" xr:uid="{00000000-0005-0000-0000-0000528E0000}"/>
    <cellStyle name="Porcentual 2 15 14 2 5" xfId="26197" xr:uid="{00000000-0005-0000-0000-0000538E0000}"/>
    <cellStyle name="Porcentual 2 15 14 2 6" xfId="26198" xr:uid="{00000000-0005-0000-0000-0000548E0000}"/>
    <cellStyle name="Porcentual 2 15 14 2 7" xfId="26199" xr:uid="{00000000-0005-0000-0000-0000558E0000}"/>
    <cellStyle name="Porcentual 2 15 14 3" xfId="26200" xr:uid="{00000000-0005-0000-0000-0000568E0000}"/>
    <cellStyle name="Porcentual 2 15 14 4" xfId="26201" xr:uid="{00000000-0005-0000-0000-0000578E0000}"/>
    <cellStyle name="Porcentual 2 15 14 5" xfId="26202" xr:uid="{00000000-0005-0000-0000-0000588E0000}"/>
    <cellStyle name="Porcentual 2 15 14 6" xfId="26203" xr:uid="{00000000-0005-0000-0000-0000598E0000}"/>
    <cellStyle name="Porcentual 2 15 14 7" xfId="26204" xr:uid="{00000000-0005-0000-0000-00005A8E0000}"/>
    <cellStyle name="Porcentual 2 15 14 8" xfId="26205" xr:uid="{00000000-0005-0000-0000-00005B8E0000}"/>
    <cellStyle name="Porcentual 2 15 15" xfId="26206" xr:uid="{00000000-0005-0000-0000-00005C8E0000}"/>
    <cellStyle name="Porcentual 2 15 15 2" xfId="26207" xr:uid="{00000000-0005-0000-0000-00005D8E0000}"/>
    <cellStyle name="Porcentual 2 15 15 2 2" xfId="26208" xr:uid="{00000000-0005-0000-0000-00005E8E0000}"/>
    <cellStyle name="Porcentual 2 15 15 2 3" xfId="26209" xr:uid="{00000000-0005-0000-0000-00005F8E0000}"/>
    <cellStyle name="Porcentual 2 15 15 2 4" xfId="26210" xr:uid="{00000000-0005-0000-0000-0000608E0000}"/>
    <cellStyle name="Porcentual 2 15 15 2 5" xfId="26211" xr:uid="{00000000-0005-0000-0000-0000618E0000}"/>
    <cellStyle name="Porcentual 2 15 15 2 6" xfId="26212" xr:uid="{00000000-0005-0000-0000-0000628E0000}"/>
    <cellStyle name="Porcentual 2 15 15 2 7" xfId="26213" xr:uid="{00000000-0005-0000-0000-0000638E0000}"/>
    <cellStyle name="Porcentual 2 15 15 3" xfId="26214" xr:uid="{00000000-0005-0000-0000-0000648E0000}"/>
    <cellStyle name="Porcentual 2 15 15 4" xfId="26215" xr:uid="{00000000-0005-0000-0000-0000658E0000}"/>
    <cellStyle name="Porcentual 2 15 15 5" xfId="26216" xr:uid="{00000000-0005-0000-0000-0000668E0000}"/>
    <cellStyle name="Porcentual 2 15 15 6" xfId="26217" xr:uid="{00000000-0005-0000-0000-0000678E0000}"/>
    <cellStyle name="Porcentual 2 15 15 7" xfId="26218" xr:uid="{00000000-0005-0000-0000-0000688E0000}"/>
    <cellStyle name="Porcentual 2 15 15 8" xfId="26219" xr:uid="{00000000-0005-0000-0000-0000698E0000}"/>
    <cellStyle name="Porcentual 2 15 16" xfId="26220" xr:uid="{00000000-0005-0000-0000-00006A8E0000}"/>
    <cellStyle name="Porcentual 2 15 16 2" xfId="26221" xr:uid="{00000000-0005-0000-0000-00006B8E0000}"/>
    <cellStyle name="Porcentual 2 15 16 3" xfId="26222" xr:uid="{00000000-0005-0000-0000-00006C8E0000}"/>
    <cellStyle name="Porcentual 2 15 16 4" xfId="26223" xr:uid="{00000000-0005-0000-0000-00006D8E0000}"/>
    <cellStyle name="Porcentual 2 15 16 5" xfId="26224" xr:uid="{00000000-0005-0000-0000-00006E8E0000}"/>
    <cellStyle name="Porcentual 2 15 16 6" xfId="26225" xr:uid="{00000000-0005-0000-0000-00006F8E0000}"/>
    <cellStyle name="Porcentual 2 15 16 7" xfId="26226" xr:uid="{00000000-0005-0000-0000-0000708E0000}"/>
    <cellStyle name="Porcentual 2 15 17" xfId="26227" xr:uid="{00000000-0005-0000-0000-0000718E0000}"/>
    <cellStyle name="Porcentual 2 15 17 2" xfId="26228" xr:uid="{00000000-0005-0000-0000-0000728E0000}"/>
    <cellStyle name="Porcentual 2 15 17 3" xfId="26229" xr:uid="{00000000-0005-0000-0000-0000738E0000}"/>
    <cellStyle name="Porcentual 2 15 17 4" xfId="26230" xr:uid="{00000000-0005-0000-0000-0000748E0000}"/>
    <cellStyle name="Porcentual 2 15 17 5" xfId="26231" xr:uid="{00000000-0005-0000-0000-0000758E0000}"/>
    <cellStyle name="Porcentual 2 15 17 6" xfId="26232" xr:uid="{00000000-0005-0000-0000-0000768E0000}"/>
    <cellStyle name="Porcentual 2 15 17 7" xfId="26233" xr:uid="{00000000-0005-0000-0000-0000778E0000}"/>
    <cellStyle name="Porcentual 2 15 18" xfId="26234" xr:uid="{00000000-0005-0000-0000-0000788E0000}"/>
    <cellStyle name="Porcentual 2 15 18 2" xfId="26235" xr:uid="{00000000-0005-0000-0000-0000798E0000}"/>
    <cellStyle name="Porcentual 2 15 18 3" xfId="26236" xr:uid="{00000000-0005-0000-0000-00007A8E0000}"/>
    <cellStyle name="Porcentual 2 15 18 4" xfId="26237" xr:uid="{00000000-0005-0000-0000-00007B8E0000}"/>
    <cellStyle name="Porcentual 2 15 18 5" xfId="26238" xr:uid="{00000000-0005-0000-0000-00007C8E0000}"/>
    <cellStyle name="Porcentual 2 15 18 6" xfId="26239" xr:uid="{00000000-0005-0000-0000-00007D8E0000}"/>
    <cellStyle name="Porcentual 2 15 18 7" xfId="26240" xr:uid="{00000000-0005-0000-0000-00007E8E0000}"/>
    <cellStyle name="Porcentual 2 15 19" xfId="26241" xr:uid="{00000000-0005-0000-0000-00007F8E0000}"/>
    <cellStyle name="Porcentual 2 15 19 2" xfId="26242" xr:uid="{00000000-0005-0000-0000-0000808E0000}"/>
    <cellStyle name="Porcentual 2 15 19 3" xfId="26243" xr:uid="{00000000-0005-0000-0000-0000818E0000}"/>
    <cellStyle name="Porcentual 2 15 19 4" xfId="26244" xr:uid="{00000000-0005-0000-0000-0000828E0000}"/>
    <cellStyle name="Porcentual 2 15 19 5" xfId="26245" xr:uid="{00000000-0005-0000-0000-0000838E0000}"/>
    <cellStyle name="Porcentual 2 15 19 6" xfId="26246" xr:uid="{00000000-0005-0000-0000-0000848E0000}"/>
    <cellStyle name="Porcentual 2 15 19 7" xfId="26247" xr:uid="{00000000-0005-0000-0000-0000858E0000}"/>
    <cellStyle name="Porcentual 2 15 2" xfId="26248" xr:uid="{00000000-0005-0000-0000-0000868E0000}"/>
    <cellStyle name="Porcentual 2 15 2 2" xfId="26249" xr:uid="{00000000-0005-0000-0000-0000878E0000}"/>
    <cellStyle name="Porcentual 2 15 2 2 2" xfId="26250" xr:uid="{00000000-0005-0000-0000-0000888E0000}"/>
    <cellStyle name="Porcentual 2 15 2 2 3" xfId="26251" xr:uid="{00000000-0005-0000-0000-0000898E0000}"/>
    <cellStyle name="Porcentual 2 15 2 2 4" xfId="26252" xr:uid="{00000000-0005-0000-0000-00008A8E0000}"/>
    <cellStyle name="Porcentual 2 15 2 2 5" xfId="26253" xr:uid="{00000000-0005-0000-0000-00008B8E0000}"/>
    <cellStyle name="Porcentual 2 15 2 2 6" xfId="26254" xr:uid="{00000000-0005-0000-0000-00008C8E0000}"/>
    <cellStyle name="Porcentual 2 15 2 2 7" xfId="26255" xr:uid="{00000000-0005-0000-0000-00008D8E0000}"/>
    <cellStyle name="Porcentual 2 15 2 3" xfId="26256" xr:uid="{00000000-0005-0000-0000-00008E8E0000}"/>
    <cellStyle name="Porcentual 2 15 2 4" xfId="26257" xr:uid="{00000000-0005-0000-0000-00008F8E0000}"/>
    <cellStyle name="Porcentual 2 15 2 5" xfId="26258" xr:uid="{00000000-0005-0000-0000-0000908E0000}"/>
    <cellStyle name="Porcentual 2 15 2 6" xfId="26259" xr:uid="{00000000-0005-0000-0000-0000918E0000}"/>
    <cellStyle name="Porcentual 2 15 2 7" xfId="26260" xr:uid="{00000000-0005-0000-0000-0000928E0000}"/>
    <cellStyle name="Porcentual 2 15 2 8" xfId="26261" xr:uid="{00000000-0005-0000-0000-0000938E0000}"/>
    <cellStyle name="Porcentual 2 15 20" xfId="26262" xr:uid="{00000000-0005-0000-0000-0000948E0000}"/>
    <cellStyle name="Porcentual 2 15 20 2" xfId="26263" xr:uid="{00000000-0005-0000-0000-0000958E0000}"/>
    <cellStyle name="Porcentual 2 15 20 3" xfId="26264" xr:uid="{00000000-0005-0000-0000-0000968E0000}"/>
    <cellStyle name="Porcentual 2 15 20 4" xfId="26265" xr:uid="{00000000-0005-0000-0000-0000978E0000}"/>
    <cellStyle name="Porcentual 2 15 20 5" xfId="26266" xr:uid="{00000000-0005-0000-0000-0000988E0000}"/>
    <cellStyle name="Porcentual 2 15 20 6" xfId="26267" xr:uid="{00000000-0005-0000-0000-0000998E0000}"/>
    <cellStyle name="Porcentual 2 15 20 7" xfId="26268" xr:uid="{00000000-0005-0000-0000-00009A8E0000}"/>
    <cellStyle name="Porcentual 2 15 21" xfId="26269" xr:uid="{00000000-0005-0000-0000-00009B8E0000}"/>
    <cellStyle name="Porcentual 2 15 21 2" xfId="26270" xr:uid="{00000000-0005-0000-0000-00009C8E0000}"/>
    <cellStyle name="Porcentual 2 15 21 3" xfId="26271" xr:uid="{00000000-0005-0000-0000-00009D8E0000}"/>
    <cellStyle name="Porcentual 2 15 21 4" xfId="26272" xr:uid="{00000000-0005-0000-0000-00009E8E0000}"/>
    <cellStyle name="Porcentual 2 15 21 5" xfId="26273" xr:uid="{00000000-0005-0000-0000-00009F8E0000}"/>
    <cellStyle name="Porcentual 2 15 21 6" xfId="26274" xr:uid="{00000000-0005-0000-0000-0000A08E0000}"/>
    <cellStyle name="Porcentual 2 15 21 7" xfId="26275" xr:uid="{00000000-0005-0000-0000-0000A18E0000}"/>
    <cellStyle name="Porcentual 2 15 22" xfId="26276" xr:uid="{00000000-0005-0000-0000-0000A28E0000}"/>
    <cellStyle name="Porcentual 2 15 22 2" xfId="26277" xr:uid="{00000000-0005-0000-0000-0000A38E0000}"/>
    <cellStyle name="Porcentual 2 15 22 3" xfId="26278" xr:uid="{00000000-0005-0000-0000-0000A48E0000}"/>
    <cellStyle name="Porcentual 2 15 22 4" xfId="26279" xr:uid="{00000000-0005-0000-0000-0000A58E0000}"/>
    <cellStyle name="Porcentual 2 15 22 5" xfId="26280" xr:uid="{00000000-0005-0000-0000-0000A68E0000}"/>
    <cellStyle name="Porcentual 2 15 22 6" xfId="26281" xr:uid="{00000000-0005-0000-0000-0000A78E0000}"/>
    <cellStyle name="Porcentual 2 15 22 7" xfId="26282" xr:uid="{00000000-0005-0000-0000-0000A88E0000}"/>
    <cellStyle name="Porcentual 2 15 23" xfId="26283" xr:uid="{00000000-0005-0000-0000-0000A98E0000}"/>
    <cellStyle name="Porcentual 2 15 23 2" xfId="26284" xr:uid="{00000000-0005-0000-0000-0000AA8E0000}"/>
    <cellStyle name="Porcentual 2 15 23 3" xfId="26285" xr:uid="{00000000-0005-0000-0000-0000AB8E0000}"/>
    <cellStyle name="Porcentual 2 15 23 4" xfId="26286" xr:uid="{00000000-0005-0000-0000-0000AC8E0000}"/>
    <cellStyle name="Porcentual 2 15 23 5" xfId="26287" xr:uid="{00000000-0005-0000-0000-0000AD8E0000}"/>
    <cellStyle name="Porcentual 2 15 23 6" xfId="26288" xr:uid="{00000000-0005-0000-0000-0000AE8E0000}"/>
    <cellStyle name="Porcentual 2 15 23 7" xfId="26289" xr:uid="{00000000-0005-0000-0000-0000AF8E0000}"/>
    <cellStyle name="Porcentual 2 15 24" xfId="26290" xr:uid="{00000000-0005-0000-0000-0000B08E0000}"/>
    <cellStyle name="Porcentual 2 15 24 2" xfId="26291" xr:uid="{00000000-0005-0000-0000-0000B18E0000}"/>
    <cellStyle name="Porcentual 2 15 24 3" xfId="26292" xr:uid="{00000000-0005-0000-0000-0000B28E0000}"/>
    <cellStyle name="Porcentual 2 15 24 4" xfId="26293" xr:uid="{00000000-0005-0000-0000-0000B38E0000}"/>
    <cellStyle name="Porcentual 2 15 24 5" xfId="26294" xr:uid="{00000000-0005-0000-0000-0000B48E0000}"/>
    <cellStyle name="Porcentual 2 15 24 6" xfId="26295" xr:uid="{00000000-0005-0000-0000-0000B58E0000}"/>
    <cellStyle name="Porcentual 2 15 24 7" xfId="26296" xr:uid="{00000000-0005-0000-0000-0000B68E0000}"/>
    <cellStyle name="Porcentual 2 15 25" xfId="26297" xr:uid="{00000000-0005-0000-0000-0000B78E0000}"/>
    <cellStyle name="Porcentual 2 15 25 2" xfId="26298" xr:uid="{00000000-0005-0000-0000-0000B88E0000}"/>
    <cellStyle name="Porcentual 2 15 25 3" xfId="26299" xr:uid="{00000000-0005-0000-0000-0000B98E0000}"/>
    <cellStyle name="Porcentual 2 15 25 4" xfId="26300" xr:uid="{00000000-0005-0000-0000-0000BA8E0000}"/>
    <cellStyle name="Porcentual 2 15 25 5" xfId="26301" xr:uid="{00000000-0005-0000-0000-0000BB8E0000}"/>
    <cellStyle name="Porcentual 2 15 25 6" xfId="26302" xr:uid="{00000000-0005-0000-0000-0000BC8E0000}"/>
    <cellStyle name="Porcentual 2 15 25 7" xfId="26303" xr:uid="{00000000-0005-0000-0000-0000BD8E0000}"/>
    <cellStyle name="Porcentual 2 15 26" xfId="26304" xr:uid="{00000000-0005-0000-0000-0000BE8E0000}"/>
    <cellStyle name="Porcentual 2 15 26 2" xfId="26305" xr:uid="{00000000-0005-0000-0000-0000BF8E0000}"/>
    <cellStyle name="Porcentual 2 15 26 3" xfId="26306" xr:uid="{00000000-0005-0000-0000-0000C08E0000}"/>
    <cellStyle name="Porcentual 2 15 26 4" xfId="26307" xr:uid="{00000000-0005-0000-0000-0000C18E0000}"/>
    <cellStyle name="Porcentual 2 15 26 5" xfId="26308" xr:uid="{00000000-0005-0000-0000-0000C28E0000}"/>
    <cellStyle name="Porcentual 2 15 26 6" xfId="26309" xr:uid="{00000000-0005-0000-0000-0000C38E0000}"/>
    <cellStyle name="Porcentual 2 15 26 7" xfId="26310" xr:uid="{00000000-0005-0000-0000-0000C48E0000}"/>
    <cellStyle name="Porcentual 2 15 27" xfId="26311" xr:uid="{00000000-0005-0000-0000-0000C58E0000}"/>
    <cellStyle name="Porcentual 2 15 27 2" xfId="26312" xr:uid="{00000000-0005-0000-0000-0000C68E0000}"/>
    <cellStyle name="Porcentual 2 15 27 3" xfId="26313" xr:uid="{00000000-0005-0000-0000-0000C78E0000}"/>
    <cellStyle name="Porcentual 2 15 27 4" xfId="26314" xr:uid="{00000000-0005-0000-0000-0000C88E0000}"/>
    <cellStyle name="Porcentual 2 15 27 5" xfId="26315" xr:uid="{00000000-0005-0000-0000-0000C98E0000}"/>
    <cellStyle name="Porcentual 2 15 27 6" xfId="26316" xr:uid="{00000000-0005-0000-0000-0000CA8E0000}"/>
    <cellStyle name="Porcentual 2 15 27 7" xfId="26317" xr:uid="{00000000-0005-0000-0000-0000CB8E0000}"/>
    <cellStyle name="Porcentual 2 15 28" xfId="26318" xr:uid="{00000000-0005-0000-0000-0000CC8E0000}"/>
    <cellStyle name="Porcentual 2 15 28 2" xfId="26319" xr:uid="{00000000-0005-0000-0000-0000CD8E0000}"/>
    <cellStyle name="Porcentual 2 15 28 3" xfId="26320" xr:uid="{00000000-0005-0000-0000-0000CE8E0000}"/>
    <cellStyle name="Porcentual 2 15 28 4" xfId="26321" xr:uid="{00000000-0005-0000-0000-0000CF8E0000}"/>
    <cellStyle name="Porcentual 2 15 28 5" xfId="26322" xr:uid="{00000000-0005-0000-0000-0000D08E0000}"/>
    <cellStyle name="Porcentual 2 15 28 6" xfId="26323" xr:uid="{00000000-0005-0000-0000-0000D18E0000}"/>
    <cellStyle name="Porcentual 2 15 28 7" xfId="26324" xr:uid="{00000000-0005-0000-0000-0000D28E0000}"/>
    <cellStyle name="Porcentual 2 15 29" xfId="26325" xr:uid="{00000000-0005-0000-0000-0000D38E0000}"/>
    <cellStyle name="Porcentual 2 15 29 2" xfId="26326" xr:uid="{00000000-0005-0000-0000-0000D48E0000}"/>
    <cellStyle name="Porcentual 2 15 29 3" xfId="26327" xr:uid="{00000000-0005-0000-0000-0000D58E0000}"/>
    <cellStyle name="Porcentual 2 15 29 4" xfId="26328" xr:uid="{00000000-0005-0000-0000-0000D68E0000}"/>
    <cellStyle name="Porcentual 2 15 29 5" xfId="26329" xr:uid="{00000000-0005-0000-0000-0000D78E0000}"/>
    <cellStyle name="Porcentual 2 15 29 6" xfId="26330" xr:uid="{00000000-0005-0000-0000-0000D88E0000}"/>
    <cellStyle name="Porcentual 2 15 29 7" xfId="26331" xr:uid="{00000000-0005-0000-0000-0000D98E0000}"/>
    <cellStyle name="Porcentual 2 15 3" xfId="26332" xr:uid="{00000000-0005-0000-0000-0000DA8E0000}"/>
    <cellStyle name="Porcentual 2 15 3 2" xfId="26333" xr:uid="{00000000-0005-0000-0000-0000DB8E0000}"/>
    <cellStyle name="Porcentual 2 15 3 2 2" xfId="26334" xr:uid="{00000000-0005-0000-0000-0000DC8E0000}"/>
    <cellStyle name="Porcentual 2 15 3 2 3" xfId="26335" xr:uid="{00000000-0005-0000-0000-0000DD8E0000}"/>
    <cellStyle name="Porcentual 2 15 3 2 4" xfId="26336" xr:uid="{00000000-0005-0000-0000-0000DE8E0000}"/>
    <cellStyle name="Porcentual 2 15 3 2 5" xfId="26337" xr:uid="{00000000-0005-0000-0000-0000DF8E0000}"/>
    <cellStyle name="Porcentual 2 15 3 2 6" xfId="26338" xr:uid="{00000000-0005-0000-0000-0000E08E0000}"/>
    <cellStyle name="Porcentual 2 15 3 2 7" xfId="26339" xr:uid="{00000000-0005-0000-0000-0000E18E0000}"/>
    <cellStyle name="Porcentual 2 15 3 3" xfId="26340" xr:uid="{00000000-0005-0000-0000-0000E28E0000}"/>
    <cellStyle name="Porcentual 2 15 3 4" xfId="26341" xr:uid="{00000000-0005-0000-0000-0000E38E0000}"/>
    <cellStyle name="Porcentual 2 15 3 5" xfId="26342" xr:uid="{00000000-0005-0000-0000-0000E48E0000}"/>
    <cellStyle name="Porcentual 2 15 3 6" xfId="26343" xr:uid="{00000000-0005-0000-0000-0000E58E0000}"/>
    <cellStyle name="Porcentual 2 15 3 7" xfId="26344" xr:uid="{00000000-0005-0000-0000-0000E68E0000}"/>
    <cellStyle name="Porcentual 2 15 3 8" xfId="26345" xr:uid="{00000000-0005-0000-0000-0000E78E0000}"/>
    <cellStyle name="Porcentual 2 15 30" xfId="26346" xr:uid="{00000000-0005-0000-0000-0000E88E0000}"/>
    <cellStyle name="Porcentual 2 15 30 2" xfId="26347" xr:uid="{00000000-0005-0000-0000-0000E98E0000}"/>
    <cellStyle name="Porcentual 2 15 30 3" xfId="26348" xr:uid="{00000000-0005-0000-0000-0000EA8E0000}"/>
    <cellStyle name="Porcentual 2 15 30 4" xfId="26349" xr:uid="{00000000-0005-0000-0000-0000EB8E0000}"/>
    <cellStyle name="Porcentual 2 15 30 5" xfId="26350" xr:uid="{00000000-0005-0000-0000-0000EC8E0000}"/>
    <cellStyle name="Porcentual 2 15 30 6" xfId="26351" xr:uid="{00000000-0005-0000-0000-0000ED8E0000}"/>
    <cellStyle name="Porcentual 2 15 30 7" xfId="26352" xr:uid="{00000000-0005-0000-0000-0000EE8E0000}"/>
    <cellStyle name="Porcentual 2 15 31" xfId="26353" xr:uid="{00000000-0005-0000-0000-0000EF8E0000}"/>
    <cellStyle name="Porcentual 2 15 31 2" xfId="26354" xr:uid="{00000000-0005-0000-0000-0000F08E0000}"/>
    <cellStyle name="Porcentual 2 15 31 3" xfId="26355" xr:uid="{00000000-0005-0000-0000-0000F18E0000}"/>
    <cellStyle name="Porcentual 2 15 31 4" xfId="26356" xr:uid="{00000000-0005-0000-0000-0000F28E0000}"/>
    <cellStyle name="Porcentual 2 15 31 5" xfId="26357" xr:uid="{00000000-0005-0000-0000-0000F38E0000}"/>
    <cellStyle name="Porcentual 2 15 31 6" xfId="26358" xr:uid="{00000000-0005-0000-0000-0000F48E0000}"/>
    <cellStyle name="Porcentual 2 15 31 7" xfId="26359" xr:uid="{00000000-0005-0000-0000-0000F58E0000}"/>
    <cellStyle name="Porcentual 2 15 32" xfId="26360" xr:uid="{00000000-0005-0000-0000-0000F68E0000}"/>
    <cellStyle name="Porcentual 2 15 32 2" xfId="26361" xr:uid="{00000000-0005-0000-0000-0000F78E0000}"/>
    <cellStyle name="Porcentual 2 15 32 3" xfId="26362" xr:uid="{00000000-0005-0000-0000-0000F88E0000}"/>
    <cellStyle name="Porcentual 2 15 32 4" xfId="26363" xr:uid="{00000000-0005-0000-0000-0000F98E0000}"/>
    <cellStyle name="Porcentual 2 15 32 5" xfId="26364" xr:uid="{00000000-0005-0000-0000-0000FA8E0000}"/>
    <cellStyle name="Porcentual 2 15 32 6" xfId="26365" xr:uid="{00000000-0005-0000-0000-0000FB8E0000}"/>
    <cellStyle name="Porcentual 2 15 32 7" xfId="26366" xr:uid="{00000000-0005-0000-0000-0000FC8E0000}"/>
    <cellStyle name="Porcentual 2 15 33" xfId="26367" xr:uid="{00000000-0005-0000-0000-0000FD8E0000}"/>
    <cellStyle name="Porcentual 2 15 33 2" xfId="26368" xr:uid="{00000000-0005-0000-0000-0000FE8E0000}"/>
    <cellStyle name="Porcentual 2 15 33 3" xfId="26369" xr:uid="{00000000-0005-0000-0000-0000FF8E0000}"/>
    <cellStyle name="Porcentual 2 15 33 4" xfId="26370" xr:uid="{00000000-0005-0000-0000-0000008F0000}"/>
    <cellStyle name="Porcentual 2 15 33 5" xfId="26371" xr:uid="{00000000-0005-0000-0000-0000018F0000}"/>
    <cellStyle name="Porcentual 2 15 33 6" xfId="26372" xr:uid="{00000000-0005-0000-0000-0000028F0000}"/>
    <cellStyle name="Porcentual 2 15 33 7" xfId="26373" xr:uid="{00000000-0005-0000-0000-0000038F0000}"/>
    <cellStyle name="Porcentual 2 15 34" xfId="26374" xr:uid="{00000000-0005-0000-0000-0000048F0000}"/>
    <cellStyle name="Porcentual 2 15 34 2" xfId="26375" xr:uid="{00000000-0005-0000-0000-0000058F0000}"/>
    <cellStyle name="Porcentual 2 15 34 3" xfId="26376" xr:uid="{00000000-0005-0000-0000-0000068F0000}"/>
    <cellStyle name="Porcentual 2 15 34 4" xfId="26377" xr:uid="{00000000-0005-0000-0000-0000078F0000}"/>
    <cellStyle name="Porcentual 2 15 34 5" xfId="26378" xr:uid="{00000000-0005-0000-0000-0000088F0000}"/>
    <cellStyle name="Porcentual 2 15 34 6" xfId="26379" xr:uid="{00000000-0005-0000-0000-0000098F0000}"/>
    <cellStyle name="Porcentual 2 15 34 7" xfId="26380" xr:uid="{00000000-0005-0000-0000-00000A8F0000}"/>
    <cellStyle name="Porcentual 2 15 35" xfId="26381" xr:uid="{00000000-0005-0000-0000-00000B8F0000}"/>
    <cellStyle name="Porcentual 2 15 35 2" xfId="26382" xr:uid="{00000000-0005-0000-0000-00000C8F0000}"/>
    <cellStyle name="Porcentual 2 15 35 3" xfId="26383" xr:uid="{00000000-0005-0000-0000-00000D8F0000}"/>
    <cellStyle name="Porcentual 2 15 35 4" xfId="26384" xr:uid="{00000000-0005-0000-0000-00000E8F0000}"/>
    <cellStyle name="Porcentual 2 15 35 5" xfId="26385" xr:uid="{00000000-0005-0000-0000-00000F8F0000}"/>
    <cellStyle name="Porcentual 2 15 35 6" xfId="26386" xr:uid="{00000000-0005-0000-0000-0000108F0000}"/>
    <cellStyle name="Porcentual 2 15 35 7" xfId="26387" xr:uid="{00000000-0005-0000-0000-0000118F0000}"/>
    <cellStyle name="Porcentual 2 15 36" xfId="26388" xr:uid="{00000000-0005-0000-0000-0000128F0000}"/>
    <cellStyle name="Porcentual 2 15 37" xfId="26389" xr:uid="{00000000-0005-0000-0000-0000138F0000}"/>
    <cellStyle name="Porcentual 2 15 38" xfId="26390" xr:uid="{00000000-0005-0000-0000-0000148F0000}"/>
    <cellStyle name="Porcentual 2 15 39" xfId="26391" xr:uid="{00000000-0005-0000-0000-0000158F0000}"/>
    <cellStyle name="Porcentual 2 15 4" xfId="26392" xr:uid="{00000000-0005-0000-0000-0000168F0000}"/>
    <cellStyle name="Porcentual 2 15 4 2" xfId="26393" xr:uid="{00000000-0005-0000-0000-0000178F0000}"/>
    <cellStyle name="Porcentual 2 15 4 2 2" xfId="26394" xr:uid="{00000000-0005-0000-0000-0000188F0000}"/>
    <cellStyle name="Porcentual 2 15 4 2 3" xfId="26395" xr:uid="{00000000-0005-0000-0000-0000198F0000}"/>
    <cellStyle name="Porcentual 2 15 4 2 4" xfId="26396" xr:uid="{00000000-0005-0000-0000-00001A8F0000}"/>
    <cellStyle name="Porcentual 2 15 4 2 5" xfId="26397" xr:uid="{00000000-0005-0000-0000-00001B8F0000}"/>
    <cellStyle name="Porcentual 2 15 4 2 6" xfId="26398" xr:uid="{00000000-0005-0000-0000-00001C8F0000}"/>
    <cellStyle name="Porcentual 2 15 4 2 7" xfId="26399" xr:uid="{00000000-0005-0000-0000-00001D8F0000}"/>
    <cellStyle name="Porcentual 2 15 4 3" xfId="26400" xr:uid="{00000000-0005-0000-0000-00001E8F0000}"/>
    <cellStyle name="Porcentual 2 15 4 4" xfId="26401" xr:uid="{00000000-0005-0000-0000-00001F8F0000}"/>
    <cellStyle name="Porcentual 2 15 4 5" xfId="26402" xr:uid="{00000000-0005-0000-0000-0000208F0000}"/>
    <cellStyle name="Porcentual 2 15 4 6" xfId="26403" xr:uid="{00000000-0005-0000-0000-0000218F0000}"/>
    <cellStyle name="Porcentual 2 15 4 7" xfId="26404" xr:uid="{00000000-0005-0000-0000-0000228F0000}"/>
    <cellStyle name="Porcentual 2 15 4 8" xfId="26405" xr:uid="{00000000-0005-0000-0000-0000238F0000}"/>
    <cellStyle name="Porcentual 2 15 40" xfId="26406" xr:uid="{00000000-0005-0000-0000-0000248F0000}"/>
    <cellStyle name="Porcentual 2 15 41" xfId="26407" xr:uid="{00000000-0005-0000-0000-0000258F0000}"/>
    <cellStyle name="Porcentual 2 15 5" xfId="26408" xr:uid="{00000000-0005-0000-0000-0000268F0000}"/>
    <cellStyle name="Porcentual 2 15 5 2" xfId="26409" xr:uid="{00000000-0005-0000-0000-0000278F0000}"/>
    <cellStyle name="Porcentual 2 15 5 2 2" xfId="26410" xr:uid="{00000000-0005-0000-0000-0000288F0000}"/>
    <cellStyle name="Porcentual 2 15 5 2 3" xfId="26411" xr:uid="{00000000-0005-0000-0000-0000298F0000}"/>
    <cellStyle name="Porcentual 2 15 5 2 4" xfId="26412" xr:uid="{00000000-0005-0000-0000-00002A8F0000}"/>
    <cellStyle name="Porcentual 2 15 5 2 5" xfId="26413" xr:uid="{00000000-0005-0000-0000-00002B8F0000}"/>
    <cellStyle name="Porcentual 2 15 5 2 6" xfId="26414" xr:uid="{00000000-0005-0000-0000-00002C8F0000}"/>
    <cellStyle name="Porcentual 2 15 5 2 7" xfId="26415" xr:uid="{00000000-0005-0000-0000-00002D8F0000}"/>
    <cellStyle name="Porcentual 2 15 5 3" xfId="26416" xr:uid="{00000000-0005-0000-0000-00002E8F0000}"/>
    <cellStyle name="Porcentual 2 15 5 4" xfId="26417" xr:uid="{00000000-0005-0000-0000-00002F8F0000}"/>
    <cellStyle name="Porcentual 2 15 5 5" xfId="26418" xr:uid="{00000000-0005-0000-0000-0000308F0000}"/>
    <cellStyle name="Porcentual 2 15 5 6" xfId="26419" xr:uid="{00000000-0005-0000-0000-0000318F0000}"/>
    <cellStyle name="Porcentual 2 15 5 7" xfId="26420" xr:uid="{00000000-0005-0000-0000-0000328F0000}"/>
    <cellStyle name="Porcentual 2 15 5 8" xfId="26421" xr:uid="{00000000-0005-0000-0000-0000338F0000}"/>
    <cellStyle name="Porcentual 2 15 6" xfId="26422" xr:uid="{00000000-0005-0000-0000-0000348F0000}"/>
    <cellStyle name="Porcentual 2 15 6 2" xfId="26423" xr:uid="{00000000-0005-0000-0000-0000358F0000}"/>
    <cellStyle name="Porcentual 2 15 6 2 2" xfId="26424" xr:uid="{00000000-0005-0000-0000-0000368F0000}"/>
    <cellStyle name="Porcentual 2 15 6 2 3" xfId="26425" xr:uid="{00000000-0005-0000-0000-0000378F0000}"/>
    <cellStyle name="Porcentual 2 15 6 2 4" xfId="26426" xr:uid="{00000000-0005-0000-0000-0000388F0000}"/>
    <cellStyle name="Porcentual 2 15 6 2 5" xfId="26427" xr:uid="{00000000-0005-0000-0000-0000398F0000}"/>
    <cellStyle name="Porcentual 2 15 6 2 6" xfId="26428" xr:uid="{00000000-0005-0000-0000-00003A8F0000}"/>
    <cellStyle name="Porcentual 2 15 6 2 7" xfId="26429" xr:uid="{00000000-0005-0000-0000-00003B8F0000}"/>
    <cellStyle name="Porcentual 2 15 6 3" xfId="26430" xr:uid="{00000000-0005-0000-0000-00003C8F0000}"/>
    <cellStyle name="Porcentual 2 15 6 4" xfId="26431" xr:uid="{00000000-0005-0000-0000-00003D8F0000}"/>
    <cellStyle name="Porcentual 2 15 6 5" xfId="26432" xr:uid="{00000000-0005-0000-0000-00003E8F0000}"/>
    <cellStyle name="Porcentual 2 15 6 6" xfId="26433" xr:uid="{00000000-0005-0000-0000-00003F8F0000}"/>
    <cellStyle name="Porcentual 2 15 6 7" xfId="26434" xr:uid="{00000000-0005-0000-0000-0000408F0000}"/>
    <cellStyle name="Porcentual 2 15 6 8" xfId="26435" xr:uid="{00000000-0005-0000-0000-0000418F0000}"/>
    <cellStyle name="Porcentual 2 15 7" xfId="26436" xr:uid="{00000000-0005-0000-0000-0000428F0000}"/>
    <cellStyle name="Porcentual 2 15 7 2" xfId="26437" xr:uid="{00000000-0005-0000-0000-0000438F0000}"/>
    <cellStyle name="Porcentual 2 15 7 2 2" xfId="26438" xr:uid="{00000000-0005-0000-0000-0000448F0000}"/>
    <cellStyle name="Porcentual 2 15 7 2 3" xfId="26439" xr:uid="{00000000-0005-0000-0000-0000458F0000}"/>
    <cellStyle name="Porcentual 2 15 7 2 4" xfId="26440" xr:uid="{00000000-0005-0000-0000-0000468F0000}"/>
    <cellStyle name="Porcentual 2 15 7 2 5" xfId="26441" xr:uid="{00000000-0005-0000-0000-0000478F0000}"/>
    <cellStyle name="Porcentual 2 15 7 2 6" xfId="26442" xr:uid="{00000000-0005-0000-0000-0000488F0000}"/>
    <cellStyle name="Porcentual 2 15 7 2 7" xfId="26443" xr:uid="{00000000-0005-0000-0000-0000498F0000}"/>
    <cellStyle name="Porcentual 2 15 7 3" xfId="26444" xr:uid="{00000000-0005-0000-0000-00004A8F0000}"/>
    <cellStyle name="Porcentual 2 15 7 4" xfId="26445" xr:uid="{00000000-0005-0000-0000-00004B8F0000}"/>
    <cellStyle name="Porcentual 2 15 7 5" xfId="26446" xr:uid="{00000000-0005-0000-0000-00004C8F0000}"/>
    <cellStyle name="Porcentual 2 15 7 6" xfId="26447" xr:uid="{00000000-0005-0000-0000-00004D8F0000}"/>
    <cellStyle name="Porcentual 2 15 7 7" xfId="26448" xr:uid="{00000000-0005-0000-0000-00004E8F0000}"/>
    <cellStyle name="Porcentual 2 15 7 8" xfId="26449" xr:uid="{00000000-0005-0000-0000-00004F8F0000}"/>
    <cellStyle name="Porcentual 2 15 8" xfId="26450" xr:uid="{00000000-0005-0000-0000-0000508F0000}"/>
    <cellStyle name="Porcentual 2 15 8 2" xfId="26451" xr:uid="{00000000-0005-0000-0000-0000518F0000}"/>
    <cellStyle name="Porcentual 2 15 8 2 2" xfId="26452" xr:uid="{00000000-0005-0000-0000-0000528F0000}"/>
    <cellStyle name="Porcentual 2 15 8 2 3" xfId="26453" xr:uid="{00000000-0005-0000-0000-0000538F0000}"/>
    <cellStyle name="Porcentual 2 15 8 2 4" xfId="26454" xr:uid="{00000000-0005-0000-0000-0000548F0000}"/>
    <cellStyle name="Porcentual 2 15 8 2 5" xfId="26455" xr:uid="{00000000-0005-0000-0000-0000558F0000}"/>
    <cellStyle name="Porcentual 2 15 8 2 6" xfId="26456" xr:uid="{00000000-0005-0000-0000-0000568F0000}"/>
    <cellStyle name="Porcentual 2 15 8 2 7" xfId="26457" xr:uid="{00000000-0005-0000-0000-0000578F0000}"/>
    <cellStyle name="Porcentual 2 15 8 3" xfId="26458" xr:uid="{00000000-0005-0000-0000-0000588F0000}"/>
    <cellStyle name="Porcentual 2 15 8 4" xfId="26459" xr:uid="{00000000-0005-0000-0000-0000598F0000}"/>
    <cellStyle name="Porcentual 2 15 8 5" xfId="26460" xr:uid="{00000000-0005-0000-0000-00005A8F0000}"/>
    <cellStyle name="Porcentual 2 15 8 6" xfId="26461" xr:uid="{00000000-0005-0000-0000-00005B8F0000}"/>
    <cellStyle name="Porcentual 2 15 8 7" xfId="26462" xr:uid="{00000000-0005-0000-0000-00005C8F0000}"/>
    <cellStyle name="Porcentual 2 15 8 8" xfId="26463" xr:uid="{00000000-0005-0000-0000-00005D8F0000}"/>
    <cellStyle name="Porcentual 2 15 9" xfId="26464" xr:uid="{00000000-0005-0000-0000-00005E8F0000}"/>
    <cellStyle name="Porcentual 2 15 9 2" xfId="26465" xr:uid="{00000000-0005-0000-0000-00005F8F0000}"/>
    <cellStyle name="Porcentual 2 15 9 2 2" xfId="26466" xr:uid="{00000000-0005-0000-0000-0000608F0000}"/>
    <cellStyle name="Porcentual 2 15 9 2 3" xfId="26467" xr:uid="{00000000-0005-0000-0000-0000618F0000}"/>
    <cellStyle name="Porcentual 2 15 9 2 4" xfId="26468" xr:uid="{00000000-0005-0000-0000-0000628F0000}"/>
    <cellStyle name="Porcentual 2 15 9 2 5" xfId="26469" xr:uid="{00000000-0005-0000-0000-0000638F0000}"/>
    <cellStyle name="Porcentual 2 15 9 2 6" xfId="26470" xr:uid="{00000000-0005-0000-0000-0000648F0000}"/>
    <cellStyle name="Porcentual 2 15 9 2 7" xfId="26471" xr:uid="{00000000-0005-0000-0000-0000658F0000}"/>
    <cellStyle name="Porcentual 2 15 9 3" xfId="26472" xr:uid="{00000000-0005-0000-0000-0000668F0000}"/>
    <cellStyle name="Porcentual 2 15 9 4" xfId="26473" xr:uid="{00000000-0005-0000-0000-0000678F0000}"/>
    <cellStyle name="Porcentual 2 15 9 5" xfId="26474" xr:uid="{00000000-0005-0000-0000-0000688F0000}"/>
    <cellStyle name="Porcentual 2 15 9 6" xfId="26475" xr:uid="{00000000-0005-0000-0000-0000698F0000}"/>
    <cellStyle name="Porcentual 2 15 9 7" xfId="26476" xr:uid="{00000000-0005-0000-0000-00006A8F0000}"/>
    <cellStyle name="Porcentual 2 15 9 8" xfId="26477" xr:uid="{00000000-0005-0000-0000-00006B8F0000}"/>
    <cellStyle name="Porcentual 2 16" xfId="26478" xr:uid="{00000000-0005-0000-0000-00006C8F0000}"/>
    <cellStyle name="Porcentual 2 16 10" xfId="26479" xr:uid="{00000000-0005-0000-0000-00006D8F0000}"/>
    <cellStyle name="Porcentual 2 16 10 2" xfId="26480" xr:uid="{00000000-0005-0000-0000-00006E8F0000}"/>
    <cellStyle name="Porcentual 2 16 10 2 2" xfId="26481" xr:uid="{00000000-0005-0000-0000-00006F8F0000}"/>
    <cellStyle name="Porcentual 2 16 10 2 3" xfId="26482" xr:uid="{00000000-0005-0000-0000-0000708F0000}"/>
    <cellStyle name="Porcentual 2 16 10 2 4" xfId="26483" xr:uid="{00000000-0005-0000-0000-0000718F0000}"/>
    <cellStyle name="Porcentual 2 16 10 2 5" xfId="26484" xr:uid="{00000000-0005-0000-0000-0000728F0000}"/>
    <cellStyle name="Porcentual 2 16 10 2 6" xfId="26485" xr:uid="{00000000-0005-0000-0000-0000738F0000}"/>
    <cellStyle name="Porcentual 2 16 10 2 7" xfId="26486" xr:uid="{00000000-0005-0000-0000-0000748F0000}"/>
    <cellStyle name="Porcentual 2 16 10 3" xfId="26487" xr:uid="{00000000-0005-0000-0000-0000758F0000}"/>
    <cellStyle name="Porcentual 2 16 10 4" xfId="26488" xr:uid="{00000000-0005-0000-0000-0000768F0000}"/>
    <cellStyle name="Porcentual 2 16 10 5" xfId="26489" xr:uid="{00000000-0005-0000-0000-0000778F0000}"/>
    <cellStyle name="Porcentual 2 16 10 6" xfId="26490" xr:uid="{00000000-0005-0000-0000-0000788F0000}"/>
    <cellStyle name="Porcentual 2 16 10 7" xfId="26491" xr:uid="{00000000-0005-0000-0000-0000798F0000}"/>
    <cellStyle name="Porcentual 2 16 10 8" xfId="26492" xr:uid="{00000000-0005-0000-0000-00007A8F0000}"/>
    <cellStyle name="Porcentual 2 16 11" xfId="26493" xr:uid="{00000000-0005-0000-0000-00007B8F0000}"/>
    <cellStyle name="Porcentual 2 16 11 2" xfId="26494" xr:uid="{00000000-0005-0000-0000-00007C8F0000}"/>
    <cellStyle name="Porcentual 2 16 11 2 2" xfId="26495" xr:uid="{00000000-0005-0000-0000-00007D8F0000}"/>
    <cellStyle name="Porcentual 2 16 11 2 3" xfId="26496" xr:uid="{00000000-0005-0000-0000-00007E8F0000}"/>
    <cellStyle name="Porcentual 2 16 11 2 4" xfId="26497" xr:uid="{00000000-0005-0000-0000-00007F8F0000}"/>
    <cellStyle name="Porcentual 2 16 11 2 5" xfId="26498" xr:uid="{00000000-0005-0000-0000-0000808F0000}"/>
    <cellStyle name="Porcentual 2 16 11 2 6" xfId="26499" xr:uid="{00000000-0005-0000-0000-0000818F0000}"/>
    <cellStyle name="Porcentual 2 16 11 2 7" xfId="26500" xr:uid="{00000000-0005-0000-0000-0000828F0000}"/>
    <cellStyle name="Porcentual 2 16 11 3" xfId="26501" xr:uid="{00000000-0005-0000-0000-0000838F0000}"/>
    <cellStyle name="Porcentual 2 16 11 4" xfId="26502" xr:uid="{00000000-0005-0000-0000-0000848F0000}"/>
    <cellStyle name="Porcentual 2 16 11 5" xfId="26503" xr:uid="{00000000-0005-0000-0000-0000858F0000}"/>
    <cellStyle name="Porcentual 2 16 11 6" xfId="26504" xr:uid="{00000000-0005-0000-0000-0000868F0000}"/>
    <cellStyle name="Porcentual 2 16 11 7" xfId="26505" xr:uid="{00000000-0005-0000-0000-0000878F0000}"/>
    <cellStyle name="Porcentual 2 16 11 8" xfId="26506" xr:uid="{00000000-0005-0000-0000-0000888F0000}"/>
    <cellStyle name="Porcentual 2 16 12" xfId="26507" xr:uid="{00000000-0005-0000-0000-0000898F0000}"/>
    <cellStyle name="Porcentual 2 16 12 2" xfId="26508" xr:uid="{00000000-0005-0000-0000-00008A8F0000}"/>
    <cellStyle name="Porcentual 2 16 12 2 2" xfId="26509" xr:uid="{00000000-0005-0000-0000-00008B8F0000}"/>
    <cellStyle name="Porcentual 2 16 12 2 3" xfId="26510" xr:uid="{00000000-0005-0000-0000-00008C8F0000}"/>
    <cellStyle name="Porcentual 2 16 12 2 4" xfId="26511" xr:uid="{00000000-0005-0000-0000-00008D8F0000}"/>
    <cellStyle name="Porcentual 2 16 12 2 5" xfId="26512" xr:uid="{00000000-0005-0000-0000-00008E8F0000}"/>
    <cellStyle name="Porcentual 2 16 12 2 6" xfId="26513" xr:uid="{00000000-0005-0000-0000-00008F8F0000}"/>
    <cellStyle name="Porcentual 2 16 12 2 7" xfId="26514" xr:uid="{00000000-0005-0000-0000-0000908F0000}"/>
    <cellStyle name="Porcentual 2 16 12 3" xfId="26515" xr:uid="{00000000-0005-0000-0000-0000918F0000}"/>
    <cellStyle name="Porcentual 2 16 12 4" xfId="26516" xr:uid="{00000000-0005-0000-0000-0000928F0000}"/>
    <cellStyle name="Porcentual 2 16 12 5" xfId="26517" xr:uid="{00000000-0005-0000-0000-0000938F0000}"/>
    <cellStyle name="Porcentual 2 16 12 6" xfId="26518" xr:uid="{00000000-0005-0000-0000-0000948F0000}"/>
    <cellStyle name="Porcentual 2 16 12 7" xfId="26519" xr:uid="{00000000-0005-0000-0000-0000958F0000}"/>
    <cellStyle name="Porcentual 2 16 12 8" xfId="26520" xr:uid="{00000000-0005-0000-0000-0000968F0000}"/>
    <cellStyle name="Porcentual 2 16 13" xfId="26521" xr:uid="{00000000-0005-0000-0000-0000978F0000}"/>
    <cellStyle name="Porcentual 2 16 13 2" xfId="26522" xr:uid="{00000000-0005-0000-0000-0000988F0000}"/>
    <cellStyle name="Porcentual 2 16 13 2 2" xfId="26523" xr:uid="{00000000-0005-0000-0000-0000998F0000}"/>
    <cellStyle name="Porcentual 2 16 13 2 3" xfId="26524" xr:uid="{00000000-0005-0000-0000-00009A8F0000}"/>
    <cellStyle name="Porcentual 2 16 13 2 4" xfId="26525" xr:uid="{00000000-0005-0000-0000-00009B8F0000}"/>
    <cellStyle name="Porcentual 2 16 13 2 5" xfId="26526" xr:uid="{00000000-0005-0000-0000-00009C8F0000}"/>
    <cellStyle name="Porcentual 2 16 13 2 6" xfId="26527" xr:uid="{00000000-0005-0000-0000-00009D8F0000}"/>
    <cellStyle name="Porcentual 2 16 13 2 7" xfId="26528" xr:uid="{00000000-0005-0000-0000-00009E8F0000}"/>
    <cellStyle name="Porcentual 2 16 13 3" xfId="26529" xr:uid="{00000000-0005-0000-0000-00009F8F0000}"/>
    <cellStyle name="Porcentual 2 16 13 4" xfId="26530" xr:uid="{00000000-0005-0000-0000-0000A08F0000}"/>
    <cellStyle name="Porcentual 2 16 13 5" xfId="26531" xr:uid="{00000000-0005-0000-0000-0000A18F0000}"/>
    <cellStyle name="Porcentual 2 16 13 6" xfId="26532" xr:uid="{00000000-0005-0000-0000-0000A28F0000}"/>
    <cellStyle name="Porcentual 2 16 13 7" xfId="26533" xr:uid="{00000000-0005-0000-0000-0000A38F0000}"/>
    <cellStyle name="Porcentual 2 16 13 8" xfId="26534" xr:uid="{00000000-0005-0000-0000-0000A48F0000}"/>
    <cellStyle name="Porcentual 2 16 14" xfId="26535" xr:uid="{00000000-0005-0000-0000-0000A58F0000}"/>
    <cellStyle name="Porcentual 2 16 14 2" xfId="26536" xr:uid="{00000000-0005-0000-0000-0000A68F0000}"/>
    <cellStyle name="Porcentual 2 16 14 2 2" xfId="26537" xr:uid="{00000000-0005-0000-0000-0000A78F0000}"/>
    <cellStyle name="Porcentual 2 16 14 2 3" xfId="26538" xr:uid="{00000000-0005-0000-0000-0000A88F0000}"/>
    <cellStyle name="Porcentual 2 16 14 2 4" xfId="26539" xr:uid="{00000000-0005-0000-0000-0000A98F0000}"/>
    <cellStyle name="Porcentual 2 16 14 2 5" xfId="26540" xr:uid="{00000000-0005-0000-0000-0000AA8F0000}"/>
    <cellStyle name="Porcentual 2 16 14 2 6" xfId="26541" xr:uid="{00000000-0005-0000-0000-0000AB8F0000}"/>
    <cellStyle name="Porcentual 2 16 14 2 7" xfId="26542" xr:uid="{00000000-0005-0000-0000-0000AC8F0000}"/>
    <cellStyle name="Porcentual 2 16 14 3" xfId="26543" xr:uid="{00000000-0005-0000-0000-0000AD8F0000}"/>
    <cellStyle name="Porcentual 2 16 14 4" xfId="26544" xr:uid="{00000000-0005-0000-0000-0000AE8F0000}"/>
    <cellStyle name="Porcentual 2 16 14 5" xfId="26545" xr:uid="{00000000-0005-0000-0000-0000AF8F0000}"/>
    <cellStyle name="Porcentual 2 16 14 6" xfId="26546" xr:uid="{00000000-0005-0000-0000-0000B08F0000}"/>
    <cellStyle name="Porcentual 2 16 14 7" xfId="26547" xr:uid="{00000000-0005-0000-0000-0000B18F0000}"/>
    <cellStyle name="Porcentual 2 16 14 8" xfId="26548" xr:uid="{00000000-0005-0000-0000-0000B28F0000}"/>
    <cellStyle name="Porcentual 2 16 15" xfId="26549" xr:uid="{00000000-0005-0000-0000-0000B38F0000}"/>
    <cellStyle name="Porcentual 2 16 15 2" xfId="26550" xr:uid="{00000000-0005-0000-0000-0000B48F0000}"/>
    <cellStyle name="Porcentual 2 16 15 2 2" xfId="26551" xr:uid="{00000000-0005-0000-0000-0000B58F0000}"/>
    <cellStyle name="Porcentual 2 16 15 2 3" xfId="26552" xr:uid="{00000000-0005-0000-0000-0000B68F0000}"/>
    <cellStyle name="Porcentual 2 16 15 2 4" xfId="26553" xr:uid="{00000000-0005-0000-0000-0000B78F0000}"/>
    <cellStyle name="Porcentual 2 16 15 2 5" xfId="26554" xr:uid="{00000000-0005-0000-0000-0000B88F0000}"/>
    <cellStyle name="Porcentual 2 16 15 2 6" xfId="26555" xr:uid="{00000000-0005-0000-0000-0000B98F0000}"/>
    <cellStyle name="Porcentual 2 16 15 2 7" xfId="26556" xr:uid="{00000000-0005-0000-0000-0000BA8F0000}"/>
    <cellStyle name="Porcentual 2 16 15 3" xfId="26557" xr:uid="{00000000-0005-0000-0000-0000BB8F0000}"/>
    <cellStyle name="Porcentual 2 16 15 4" xfId="26558" xr:uid="{00000000-0005-0000-0000-0000BC8F0000}"/>
    <cellStyle name="Porcentual 2 16 15 5" xfId="26559" xr:uid="{00000000-0005-0000-0000-0000BD8F0000}"/>
    <cellStyle name="Porcentual 2 16 15 6" xfId="26560" xr:uid="{00000000-0005-0000-0000-0000BE8F0000}"/>
    <cellStyle name="Porcentual 2 16 15 7" xfId="26561" xr:uid="{00000000-0005-0000-0000-0000BF8F0000}"/>
    <cellStyle name="Porcentual 2 16 15 8" xfId="26562" xr:uid="{00000000-0005-0000-0000-0000C08F0000}"/>
    <cellStyle name="Porcentual 2 16 16" xfId="26563" xr:uid="{00000000-0005-0000-0000-0000C18F0000}"/>
    <cellStyle name="Porcentual 2 16 16 2" xfId="26564" xr:uid="{00000000-0005-0000-0000-0000C28F0000}"/>
    <cellStyle name="Porcentual 2 16 16 3" xfId="26565" xr:uid="{00000000-0005-0000-0000-0000C38F0000}"/>
    <cellStyle name="Porcentual 2 16 16 4" xfId="26566" xr:uid="{00000000-0005-0000-0000-0000C48F0000}"/>
    <cellStyle name="Porcentual 2 16 16 5" xfId="26567" xr:uid="{00000000-0005-0000-0000-0000C58F0000}"/>
    <cellStyle name="Porcentual 2 16 16 6" xfId="26568" xr:uid="{00000000-0005-0000-0000-0000C68F0000}"/>
    <cellStyle name="Porcentual 2 16 16 7" xfId="26569" xr:uid="{00000000-0005-0000-0000-0000C78F0000}"/>
    <cellStyle name="Porcentual 2 16 17" xfId="26570" xr:uid="{00000000-0005-0000-0000-0000C88F0000}"/>
    <cellStyle name="Porcentual 2 16 17 2" xfId="26571" xr:uid="{00000000-0005-0000-0000-0000C98F0000}"/>
    <cellStyle name="Porcentual 2 16 17 3" xfId="26572" xr:uid="{00000000-0005-0000-0000-0000CA8F0000}"/>
    <cellStyle name="Porcentual 2 16 17 4" xfId="26573" xr:uid="{00000000-0005-0000-0000-0000CB8F0000}"/>
    <cellStyle name="Porcentual 2 16 17 5" xfId="26574" xr:uid="{00000000-0005-0000-0000-0000CC8F0000}"/>
    <cellStyle name="Porcentual 2 16 17 6" xfId="26575" xr:uid="{00000000-0005-0000-0000-0000CD8F0000}"/>
    <cellStyle name="Porcentual 2 16 17 7" xfId="26576" xr:uid="{00000000-0005-0000-0000-0000CE8F0000}"/>
    <cellStyle name="Porcentual 2 16 18" xfId="26577" xr:uid="{00000000-0005-0000-0000-0000CF8F0000}"/>
    <cellStyle name="Porcentual 2 16 18 2" xfId="26578" xr:uid="{00000000-0005-0000-0000-0000D08F0000}"/>
    <cellStyle name="Porcentual 2 16 18 3" xfId="26579" xr:uid="{00000000-0005-0000-0000-0000D18F0000}"/>
    <cellStyle name="Porcentual 2 16 18 4" xfId="26580" xr:uid="{00000000-0005-0000-0000-0000D28F0000}"/>
    <cellStyle name="Porcentual 2 16 18 5" xfId="26581" xr:uid="{00000000-0005-0000-0000-0000D38F0000}"/>
    <cellStyle name="Porcentual 2 16 18 6" xfId="26582" xr:uid="{00000000-0005-0000-0000-0000D48F0000}"/>
    <cellStyle name="Porcentual 2 16 18 7" xfId="26583" xr:uid="{00000000-0005-0000-0000-0000D58F0000}"/>
    <cellStyle name="Porcentual 2 16 19" xfId="26584" xr:uid="{00000000-0005-0000-0000-0000D68F0000}"/>
    <cellStyle name="Porcentual 2 16 19 2" xfId="26585" xr:uid="{00000000-0005-0000-0000-0000D78F0000}"/>
    <cellStyle name="Porcentual 2 16 19 3" xfId="26586" xr:uid="{00000000-0005-0000-0000-0000D88F0000}"/>
    <cellStyle name="Porcentual 2 16 19 4" xfId="26587" xr:uid="{00000000-0005-0000-0000-0000D98F0000}"/>
    <cellStyle name="Porcentual 2 16 19 5" xfId="26588" xr:uid="{00000000-0005-0000-0000-0000DA8F0000}"/>
    <cellStyle name="Porcentual 2 16 19 6" xfId="26589" xr:uid="{00000000-0005-0000-0000-0000DB8F0000}"/>
    <cellStyle name="Porcentual 2 16 19 7" xfId="26590" xr:uid="{00000000-0005-0000-0000-0000DC8F0000}"/>
    <cellStyle name="Porcentual 2 16 2" xfId="26591" xr:uid="{00000000-0005-0000-0000-0000DD8F0000}"/>
    <cellStyle name="Porcentual 2 16 2 2" xfId="26592" xr:uid="{00000000-0005-0000-0000-0000DE8F0000}"/>
    <cellStyle name="Porcentual 2 16 2 2 2" xfId="26593" xr:uid="{00000000-0005-0000-0000-0000DF8F0000}"/>
    <cellStyle name="Porcentual 2 16 2 2 3" xfId="26594" xr:uid="{00000000-0005-0000-0000-0000E08F0000}"/>
    <cellStyle name="Porcentual 2 16 2 2 4" xfId="26595" xr:uid="{00000000-0005-0000-0000-0000E18F0000}"/>
    <cellStyle name="Porcentual 2 16 2 2 5" xfId="26596" xr:uid="{00000000-0005-0000-0000-0000E28F0000}"/>
    <cellStyle name="Porcentual 2 16 2 2 6" xfId="26597" xr:uid="{00000000-0005-0000-0000-0000E38F0000}"/>
    <cellStyle name="Porcentual 2 16 2 2 7" xfId="26598" xr:uid="{00000000-0005-0000-0000-0000E48F0000}"/>
    <cellStyle name="Porcentual 2 16 2 3" xfId="26599" xr:uid="{00000000-0005-0000-0000-0000E58F0000}"/>
    <cellStyle name="Porcentual 2 16 2 4" xfId="26600" xr:uid="{00000000-0005-0000-0000-0000E68F0000}"/>
    <cellStyle name="Porcentual 2 16 2 5" xfId="26601" xr:uid="{00000000-0005-0000-0000-0000E78F0000}"/>
    <cellStyle name="Porcentual 2 16 2 6" xfId="26602" xr:uid="{00000000-0005-0000-0000-0000E88F0000}"/>
    <cellStyle name="Porcentual 2 16 2 7" xfId="26603" xr:uid="{00000000-0005-0000-0000-0000E98F0000}"/>
    <cellStyle name="Porcentual 2 16 2 8" xfId="26604" xr:uid="{00000000-0005-0000-0000-0000EA8F0000}"/>
    <cellStyle name="Porcentual 2 16 20" xfId="26605" xr:uid="{00000000-0005-0000-0000-0000EB8F0000}"/>
    <cellStyle name="Porcentual 2 16 20 2" xfId="26606" xr:uid="{00000000-0005-0000-0000-0000EC8F0000}"/>
    <cellStyle name="Porcentual 2 16 20 3" xfId="26607" xr:uid="{00000000-0005-0000-0000-0000ED8F0000}"/>
    <cellStyle name="Porcentual 2 16 20 4" xfId="26608" xr:uid="{00000000-0005-0000-0000-0000EE8F0000}"/>
    <cellStyle name="Porcentual 2 16 20 5" xfId="26609" xr:uid="{00000000-0005-0000-0000-0000EF8F0000}"/>
    <cellStyle name="Porcentual 2 16 20 6" xfId="26610" xr:uid="{00000000-0005-0000-0000-0000F08F0000}"/>
    <cellStyle name="Porcentual 2 16 20 7" xfId="26611" xr:uid="{00000000-0005-0000-0000-0000F18F0000}"/>
    <cellStyle name="Porcentual 2 16 21" xfId="26612" xr:uid="{00000000-0005-0000-0000-0000F28F0000}"/>
    <cellStyle name="Porcentual 2 16 21 2" xfId="26613" xr:uid="{00000000-0005-0000-0000-0000F38F0000}"/>
    <cellStyle name="Porcentual 2 16 21 3" xfId="26614" xr:uid="{00000000-0005-0000-0000-0000F48F0000}"/>
    <cellStyle name="Porcentual 2 16 21 4" xfId="26615" xr:uid="{00000000-0005-0000-0000-0000F58F0000}"/>
    <cellStyle name="Porcentual 2 16 21 5" xfId="26616" xr:uid="{00000000-0005-0000-0000-0000F68F0000}"/>
    <cellStyle name="Porcentual 2 16 21 6" xfId="26617" xr:uid="{00000000-0005-0000-0000-0000F78F0000}"/>
    <cellStyle name="Porcentual 2 16 21 7" xfId="26618" xr:uid="{00000000-0005-0000-0000-0000F88F0000}"/>
    <cellStyle name="Porcentual 2 16 22" xfId="26619" xr:uid="{00000000-0005-0000-0000-0000F98F0000}"/>
    <cellStyle name="Porcentual 2 16 22 2" xfId="26620" xr:uid="{00000000-0005-0000-0000-0000FA8F0000}"/>
    <cellStyle name="Porcentual 2 16 22 3" xfId="26621" xr:uid="{00000000-0005-0000-0000-0000FB8F0000}"/>
    <cellStyle name="Porcentual 2 16 22 4" xfId="26622" xr:uid="{00000000-0005-0000-0000-0000FC8F0000}"/>
    <cellStyle name="Porcentual 2 16 22 5" xfId="26623" xr:uid="{00000000-0005-0000-0000-0000FD8F0000}"/>
    <cellStyle name="Porcentual 2 16 22 6" xfId="26624" xr:uid="{00000000-0005-0000-0000-0000FE8F0000}"/>
    <cellStyle name="Porcentual 2 16 22 7" xfId="26625" xr:uid="{00000000-0005-0000-0000-0000FF8F0000}"/>
    <cellStyle name="Porcentual 2 16 23" xfId="26626" xr:uid="{00000000-0005-0000-0000-000000900000}"/>
    <cellStyle name="Porcentual 2 16 23 2" xfId="26627" xr:uid="{00000000-0005-0000-0000-000001900000}"/>
    <cellStyle name="Porcentual 2 16 23 3" xfId="26628" xr:uid="{00000000-0005-0000-0000-000002900000}"/>
    <cellStyle name="Porcentual 2 16 23 4" xfId="26629" xr:uid="{00000000-0005-0000-0000-000003900000}"/>
    <cellStyle name="Porcentual 2 16 23 5" xfId="26630" xr:uid="{00000000-0005-0000-0000-000004900000}"/>
    <cellStyle name="Porcentual 2 16 23 6" xfId="26631" xr:uid="{00000000-0005-0000-0000-000005900000}"/>
    <cellStyle name="Porcentual 2 16 23 7" xfId="26632" xr:uid="{00000000-0005-0000-0000-000006900000}"/>
    <cellStyle name="Porcentual 2 16 24" xfId="26633" xr:uid="{00000000-0005-0000-0000-000007900000}"/>
    <cellStyle name="Porcentual 2 16 24 2" xfId="26634" xr:uid="{00000000-0005-0000-0000-000008900000}"/>
    <cellStyle name="Porcentual 2 16 24 3" xfId="26635" xr:uid="{00000000-0005-0000-0000-000009900000}"/>
    <cellStyle name="Porcentual 2 16 24 4" xfId="26636" xr:uid="{00000000-0005-0000-0000-00000A900000}"/>
    <cellStyle name="Porcentual 2 16 24 5" xfId="26637" xr:uid="{00000000-0005-0000-0000-00000B900000}"/>
    <cellStyle name="Porcentual 2 16 24 6" xfId="26638" xr:uid="{00000000-0005-0000-0000-00000C900000}"/>
    <cellStyle name="Porcentual 2 16 24 7" xfId="26639" xr:uid="{00000000-0005-0000-0000-00000D900000}"/>
    <cellStyle name="Porcentual 2 16 25" xfId="26640" xr:uid="{00000000-0005-0000-0000-00000E900000}"/>
    <cellStyle name="Porcentual 2 16 25 2" xfId="26641" xr:uid="{00000000-0005-0000-0000-00000F900000}"/>
    <cellStyle name="Porcentual 2 16 25 3" xfId="26642" xr:uid="{00000000-0005-0000-0000-000010900000}"/>
    <cellStyle name="Porcentual 2 16 25 4" xfId="26643" xr:uid="{00000000-0005-0000-0000-000011900000}"/>
    <cellStyle name="Porcentual 2 16 25 5" xfId="26644" xr:uid="{00000000-0005-0000-0000-000012900000}"/>
    <cellStyle name="Porcentual 2 16 25 6" xfId="26645" xr:uid="{00000000-0005-0000-0000-000013900000}"/>
    <cellStyle name="Porcentual 2 16 25 7" xfId="26646" xr:uid="{00000000-0005-0000-0000-000014900000}"/>
    <cellStyle name="Porcentual 2 16 26" xfId="26647" xr:uid="{00000000-0005-0000-0000-000015900000}"/>
    <cellStyle name="Porcentual 2 16 26 2" xfId="26648" xr:uid="{00000000-0005-0000-0000-000016900000}"/>
    <cellStyle name="Porcentual 2 16 26 3" xfId="26649" xr:uid="{00000000-0005-0000-0000-000017900000}"/>
    <cellStyle name="Porcentual 2 16 26 4" xfId="26650" xr:uid="{00000000-0005-0000-0000-000018900000}"/>
    <cellStyle name="Porcentual 2 16 26 5" xfId="26651" xr:uid="{00000000-0005-0000-0000-000019900000}"/>
    <cellStyle name="Porcentual 2 16 26 6" xfId="26652" xr:uid="{00000000-0005-0000-0000-00001A900000}"/>
    <cellStyle name="Porcentual 2 16 26 7" xfId="26653" xr:uid="{00000000-0005-0000-0000-00001B900000}"/>
    <cellStyle name="Porcentual 2 16 27" xfId="26654" xr:uid="{00000000-0005-0000-0000-00001C900000}"/>
    <cellStyle name="Porcentual 2 16 27 2" xfId="26655" xr:uid="{00000000-0005-0000-0000-00001D900000}"/>
    <cellStyle name="Porcentual 2 16 27 3" xfId="26656" xr:uid="{00000000-0005-0000-0000-00001E900000}"/>
    <cellStyle name="Porcentual 2 16 27 4" xfId="26657" xr:uid="{00000000-0005-0000-0000-00001F900000}"/>
    <cellStyle name="Porcentual 2 16 27 5" xfId="26658" xr:uid="{00000000-0005-0000-0000-000020900000}"/>
    <cellStyle name="Porcentual 2 16 27 6" xfId="26659" xr:uid="{00000000-0005-0000-0000-000021900000}"/>
    <cellStyle name="Porcentual 2 16 27 7" xfId="26660" xr:uid="{00000000-0005-0000-0000-000022900000}"/>
    <cellStyle name="Porcentual 2 16 28" xfId="26661" xr:uid="{00000000-0005-0000-0000-000023900000}"/>
    <cellStyle name="Porcentual 2 16 28 2" xfId="26662" xr:uid="{00000000-0005-0000-0000-000024900000}"/>
    <cellStyle name="Porcentual 2 16 28 3" xfId="26663" xr:uid="{00000000-0005-0000-0000-000025900000}"/>
    <cellStyle name="Porcentual 2 16 28 4" xfId="26664" xr:uid="{00000000-0005-0000-0000-000026900000}"/>
    <cellStyle name="Porcentual 2 16 28 5" xfId="26665" xr:uid="{00000000-0005-0000-0000-000027900000}"/>
    <cellStyle name="Porcentual 2 16 28 6" xfId="26666" xr:uid="{00000000-0005-0000-0000-000028900000}"/>
    <cellStyle name="Porcentual 2 16 28 7" xfId="26667" xr:uid="{00000000-0005-0000-0000-000029900000}"/>
    <cellStyle name="Porcentual 2 16 29" xfId="26668" xr:uid="{00000000-0005-0000-0000-00002A900000}"/>
    <cellStyle name="Porcentual 2 16 29 2" xfId="26669" xr:uid="{00000000-0005-0000-0000-00002B900000}"/>
    <cellStyle name="Porcentual 2 16 29 3" xfId="26670" xr:uid="{00000000-0005-0000-0000-00002C900000}"/>
    <cellStyle name="Porcentual 2 16 29 4" xfId="26671" xr:uid="{00000000-0005-0000-0000-00002D900000}"/>
    <cellStyle name="Porcentual 2 16 29 5" xfId="26672" xr:uid="{00000000-0005-0000-0000-00002E900000}"/>
    <cellStyle name="Porcentual 2 16 29 6" xfId="26673" xr:uid="{00000000-0005-0000-0000-00002F900000}"/>
    <cellStyle name="Porcentual 2 16 29 7" xfId="26674" xr:uid="{00000000-0005-0000-0000-000030900000}"/>
    <cellStyle name="Porcentual 2 16 3" xfId="26675" xr:uid="{00000000-0005-0000-0000-000031900000}"/>
    <cellStyle name="Porcentual 2 16 3 2" xfId="26676" xr:uid="{00000000-0005-0000-0000-000032900000}"/>
    <cellStyle name="Porcentual 2 16 3 2 2" xfId="26677" xr:uid="{00000000-0005-0000-0000-000033900000}"/>
    <cellStyle name="Porcentual 2 16 3 2 3" xfId="26678" xr:uid="{00000000-0005-0000-0000-000034900000}"/>
    <cellStyle name="Porcentual 2 16 3 2 4" xfId="26679" xr:uid="{00000000-0005-0000-0000-000035900000}"/>
    <cellStyle name="Porcentual 2 16 3 2 5" xfId="26680" xr:uid="{00000000-0005-0000-0000-000036900000}"/>
    <cellStyle name="Porcentual 2 16 3 2 6" xfId="26681" xr:uid="{00000000-0005-0000-0000-000037900000}"/>
    <cellStyle name="Porcentual 2 16 3 2 7" xfId="26682" xr:uid="{00000000-0005-0000-0000-000038900000}"/>
    <cellStyle name="Porcentual 2 16 3 3" xfId="26683" xr:uid="{00000000-0005-0000-0000-000039900000}"/>
    <cellStyle name="Porcentual 2 16 3 4" xfId="26684" xr:uid="{00000000-0005-0000-0000-00003A900000}"/>
    <cellStyle name="Porcentual 2 16 3 5" xfId="26685" xr:uid="{00000000-0005-0000-0000-00003B900000}"/>
    <cellStyle name="Porcentual 2 16 3 6" xfId="26686" xr:uid="{00000000-0005-0000-0000-00003C900000}"/>
    <cellStyle name="Porcentual 2 16 3 7" xfId="26687" xr:uid="{00000000-0005-0000-0000-00003D900000}"/>
    <cellStyle name="Porcentual 2 16 3 8" xfId="26688" xr:uid="{00000000-0005-0000-0000-00003E900000}"/>
    <cellStyle name="Porcentual 2 16 30" xfId="26689" xr:uid="{00000000-0005-0000-0000-00003F900000}"/>
    <cellStyle name="Porcentual 2 16 30 2" xfId="26690" xr:uid="{00000000-0005-0000-0000-000040900000}"/>
    <cellStyle name="Porcentual 2 16 30 3" xfId="26691" xr:uid="{00000000-0005-0000-0000-000041900000}"/>
    <cellStyle name="Porcentual 2 16 30 4" xfId="26692" xr:uid="{00000000-0005-0000-0000-000042900000}"/>
    <cellStyle name="Porcentual 2 16 30 5" xfId="26693" xr:uid="{00000000-0005-0000-0000-000043900000}"/>
    <cellStyle name="Porcentual 2 16 30 6" xfId="26694" xr:uid="{00000000-0005-0000-0000-000044900000}"/>
    <cellStyle name="Porcentual 2 16 30 7" xfId="26695" xr:uid="{00000000-0005-0000-0000-000045900000}"/>
    <cellStyle name="Porcentual 2 16 31" xfId="26696" xr:uid="{00000000-0005-0000-0000-000046900000}"/>
    <cellStyle name="Porcentual 2 16 31 2" xfId="26697" xr:uid="{00000000-0005-0000-0000-000047900000}"/>
    <cellStyle name="Porcentual 2 16 31 3" xfId="26698" xr:uid="{00000000-0005-0000-0000-000048900000}"/>
    <cellStyle name="Porcentual 2 16 31 4" xfId="26699" xr:uid="{00000000-0005-0000-0000-000049900000}"/>
    <cellStyle name="Porcentual 2 16 31 5" xfId="26700" xr:uid="{00000000-0005-0000-0000-00004A900000}"/>
    <cellStyle name="Porcentual 2 16 31 6" xfId="26701" xr:uid="{00000000-0005-0000-0000-00004B900000}"/>
    <cellStyle name="Porcentual 2 16 31 7" xfId="26702" xr:uid="{00000000-0005-0000-0000-00004C900000}"/>
    <cellStyle name="Porcentual 2 16 32" xfId="26703" xr:uid="{00000000-0005-0000-0000-00004D900000}"/>
    <cellStyle name="Porcentual 2 16 32 2" xfId="26704" xr:uid="{00000000-0005-0000-0000-00004E900000}"/>
    <cellStyle name="Porcentual 2 16 32 3" xfId="26705" xr:uid="{00000000-0005-0000-0000-00004F900000}"/>
    <cellStyle name="Porcentual 2 16 32 4" xfId="26706" xr:uid="{00000000-0005-0000-0000-000050900000}"/>
    <cellStyle name="Porcentual 2 16 32 5" xfId="26707" xr:uid="{00000000-0005-0000-0000-000051900000}"/>
    <cellStyle name="Porcentual 2 16 32 6" xfId="26708" xr:uid="{00000000-0005-0000-0000-000052900000}"/>
    <cellStyle name="Porcentual 2 16 32 7" xfId="26709" xr:uid="{00000000-0005-0000-0000-000053900000}"/>
    <cellStyle name="Porcentual 2 16 33" xfId="26710" xr:uid="{00000000-0005-0000-0000-000054900000}"/>
    <cellStyle name="Porcentual 2 16 33 2" xfId="26711" xr:uid="{00000000-0005-0000-0000-000055900000}"/>
    <cellStyle name="Porcentual 2 16 33 3" xfId="26712" xr:uid="{00000000-0005-0000-0000-000056900000}"/>
    <cellStyle name="Porcentual 2 16 33 4" xfId="26713" xr:uid="{00000000-0005-0000-0000-000057900000}"/>
    <cellStyle name="Porcentual 2 16 33 5" xfId="26714" xr:uid="{00000000-0005-0000-0000-000058900000}"/>
    <cellStyle name="Porcentual 2 16 33 6" xfId="26715" xr:uid="{00000000-0005-0000-0000-000059900000}"/>
    <cellStyle name="Porcentual 2 16 33 7" xfId="26716" xr:uid="{00000000-0005-0000-0000-00005A900000}"/>
    <cellStyle name="Porcentual 2 16 34" xfId="26717" xr:uid="{00000000-0005-0000-0000-00005B900000}"/>
    <cellStyle name="Porcentual 2 16 34 2" xfId="26718" xr:uid="{00000000-0005-0000-0000-00005C900000}"/>
    <cellStyle name="Porcentual 2 16 34 3" xfId="26719" xr:uid="{00000000-0005-0000-0000-00005D900000}"/>
    <cellStyle name="Porcentual 2 16 34 4" xfId="26720" xr:uid="{00000000-0005-0000-0000-00005E900000}"/>
    <cellStyle name="Porcentual 2 16 34 5" xfId="26721" xr:uid="{00000000-0005-0000-0000-00005F900000}"/>
    <cellStyle name="Porcentual 2 16 34 6" xfId="26722" xr:uid="{00000000-0005-0000-0000-000060900000}"/>
    <cellStyle name="Porcentual 2 16 34 7" xfId="26723" xr:uid="{00000000-0005-0000-0000-000061900000}"/>
    <cellStyle name="Porcentual 2 16 35" xfId="26724" xr:uid="{00000000-0005-0000-0000-000062900000}"/>
    <cellStyle name="Porcentual 2 16 35 2" xfId="26725" xr:uid="{00000000-0005-0000-0000-000063900000}"/>
    <cellStyle name="Porcentual 2 16 35 3" xfId="26726" xr:uid="{00000000-0005-0000-0000-000064900000}"/>
    <cellStyle name="Porcentual 2 16 35 4" xfId="26727" xr:uid="{00000000-0005-0000-0000-000065900000}"/>
    <cellStyle name="Porcentual 2 16 35 5" xfId="26728" xr:uid="{00000000-0005-0000-0000-000066900000}"/>
    <cellStyle name="Porcentual 2 16 35 6" xfId="26729" xr:uid="{00000000-0005-0000-0000-000067900000}"/>
    <cellStyle name="Porcentual 2 16 35 7" xfId="26730" xr:uid="{00000000-0005-0000-0000-000068900000}"/>
    <cellStyle name="Porcentual 2 16 36" xfId="26731" xr:uid="{00000000-0005-0000-0000-000069900000}"/>
    <cellStyle name="Porcentual 2 16 37" xfId="26732" xr:uid="{00000000-0005-0000-0000-00006A900000}"/>
    <cellStyle name="Porcentual 2 16 38" xfId="26733" xr:uid="{00000000-0005-0000-0000-00006B900000}"/>
    <cellStyle name="Porcentual 2 16 39" xfId="26734" xr:uid="{00000000-0005-0000-0000-00006C900000}"/>
    <cellStyle name="Porcentual 2 16 4" xfId="26735" xr:uid="{00000000-0005-0000-0000-00006D900000}"/>
    <cellStyle name="Porcentual 2 16 4 2" xfId="26736" xr:uid="{00000000-0005-0000-0000-00006E900000}"/>
    <cellStyle name="Porcentual 2 16 4 2 2" xfId="26737" xr:uid="{00000000-0005-0000-0000-00006F900000}"/>
    <cellStyle name="Porcentual 2 16 4 2 3" xfId="26738" xr:uid="{00000000-0005-0000-0000-000070900000}"/>
    <cellStyle name="Porcentual 2 16 4 2 4" xfId="26739" xr:uid="{00000000-0005-0000-0000-000071900000}"/>
    <cellStyle name="Porcentual 2 16 4 2 5" xfId="26740" xr:uid="{00000000-0005-0000-0000-000072900000}"/>
    <cellStyle name="Porcentual 2 16 4 2 6" xfId="26741" xr:uid="{00000000-0005-0000-0000-000073900000}"/>
    <cellStyle name="Porcentual 2 16 4 2 7" xfId="26742" xr:uid="{00000000-0005-0000-0000-000074900000}"/>
    <cellStyle name="Porcentual 2 16 4 3" xfId="26743" xr:uid="{00000000-0005-0000-0000-000075900000}"/>
    <cellStyle name="Porcentual 2 16 4 4" xfId="26744" xr:uid="{00000000-0005-0000-0000-000076900000}"/>
    <cellStyle name="Porcentual 2 16 4 5" xfId="26745" xr:uid="{00000000-0005-0000-0000-000077900000}"/>
    <cellStyle name="Porcentual 2 16 4 6" xfId="26746" xr:uid="{00000000-0005-0000-0000-000078900000}"/>
    <cellStyle name="Porcentual 2 16 4 7" xfId="26747" xr:uid="{00000000-0005-0000-0000-000079900000}"/>
    <cellStyle name="Porcentual 2 16 4 8" xfId="26748" xr:uid="{00000000-0005-0000-0000-00007A900000}"/>
    <cellStyle name="Porcentual 2 16 40" xfId="26749" xr:uid="{00000000-0005-0000-0000-00007B900000}"/>
    <cellStyle name="Porcentual 2 16 41" xfId="26750" xr:uid="{00000000-0005-0000-0000-00007C900000}"/>
    <cellStyle name="Porcentual 2 16 5" xfId="26751" xr:uid="{00000000-0005-0000-0000-00007D900000}"/>
    <cellStyle name="Porcentual 2 16 5 2" xfId="26752" xr:uid="{00000000-0005-0000-0000-00007E900000}"/>
    <cellStyle name="Porcentual 2 16 5 2 2" xfId="26753" xr:uid="{00000000-0005-0000-0000-00007F900000}"/>
    <cellStyle name="Porcentual 2 16 5 2 3" xfId="26754" xr:uid="{00000000-0005-0000-0000-000080900000}"/>
    <cellStyle name="Porcentual 2 16 5 2 4" xfId="26755" xr:uid="{00000000-0005-0000-0000-000081900000}"/>
    <cellStyle name="Porcentual 2 16 5 2 5" xfId="26756" xr:uid="{00000000-0005-0000-0000-000082900000}"/>
    <cellStyle name="Porcentual 2 16 5 2 6" xfId="26757" xr:uid="{00000000-0005-0000-0000-000083900000}"/>
    <cellStyle name="Porcentual 2 16 5 2 7" xfId="26758" xr:uid="{00000000-0005-0000-0000-000084900000}"/>
    <cellStyle name="Porcentual 2 16 5 3" xfId="26759" xr:uid="{00000000-0005-0000-0000-000085900000}"/>
    <cellStyle name="Porcentual 2 16 5 4" xfId="26760" xr:uid="{00000000-0005-0000-0000-000086900000}"/>
    <cellStyle name="Porcentual 2 16 5 5" xfId="26761" xr:uid="{00000000-0005-0000-0000-000087900000}"/>
    <cellStyle name="Porcentual 2 16 5 6" xfId="26762" xr:uid="{00000000-0005-0000-0000-000088900000}"/>
    <cellStyle name="Porcentual 2 16 5 7" xfId="26763" xr:uid="{00000000-0005-0000-0000-000089900000}"/>
    <cellStyle name="Porcentual 2 16 5 8" xfId="26764" xr:uid="{00000000-0005-0000-0000-00008A900000}"/>
    <cellStyle name="Porcentual 2 16 6" xfId="26765" xr:uid="{00000000-0005-0000-0000-00008B900000}"/>
    <cellStyle name="Porcentual 2 16 6 2" xfId="26766" xr:uid="{00000000-0005-0000-0000-00008C900000}"/>
    <cellStyle name="Porcentual 2 16 6 2 2" xfId="26767" xr:uid="{00000000-0005-0000-0000-00008D900000}"/>
    <cellStyle name="Porcentual 2 16 6 2 3" xfId="26768" xr:uid="{00000000-0005-0000-0000-00008E900000}"/>
    <cellStyle name="Porcentual 2 16 6 2 4" xfId="26769" xr:uid="{00000000-0005-0000-0000-00008F900000}"/>
    <cellStyle name="Porcentual 2 16 6 2 5" xfId="26770" xr:uid="{00000000-0005-0000-0000-000090900000}"/>
    <cellStyle name="Porcentual 2 16 6 2 6" xfId="26771" xr:uid="{00000000-0005-0000-0000-000091900000}"/>
    <cellStyle name="Porcentual 2 16 6 2 7" xfId="26772" xr:uid="{00000000-0005-0000-0000-000092900000}"/>
    <cellStyle name="Porcentual 2 16 6 3" xfId="26773" xr:uid="{00000000-0005-0000-0000-000093900000}"/>
    <cellStyle name="Porcentual 2 16 6 4" xfId="26774" xr:uid="{00000000-0005-0000-0000-000094900000}"/>
    <cellStyle name="Porcentual 2 16 6 5" xfId="26775" xr:uid="{00000000-0005-0000-0000-000095900000}"/>
    <cellStyle name="Porcentual 2 16 6 6" xfId="26776" xr:uid="{00000000-0005-0000-0000-000096900000}"/>
    <cellStyle name="Porcentual 2 16 6 7" xfId="26777" xr:uid="{00000000-0005-0000-0000-000097900000}"/>
    <cellStyle name="Porcentual 2 16 6 8" xfId="26778" xr:uid="{00000000-0005-0000-0000-000098900000}"/>
    <cellStyle name="Porcentual 2 16 7" xfId="26779" xr:uid="{00000000-0005-0000-0000-000099900000}"/>
    <cellStyle name="Porcentual 2 16 7 2" xfId="26780" xr:uid="{00000000-0005-0000-0000-00009A900000}"/>
    <cellStyle name="Porcentual 2 16 7 2 2" xfId="26781" xr:uid="{00000000-0005-0000-0000-00009B900000}"/>
    <cellStyle name="Porcentual 2 16 7 2 3" xfId="26782" xr:uid="{00000000-0005-0000-0000-00009C900000}"/>
    <cellStyle name="Porcentual 2 16 7 2 4" xfId="26783" xr:uid="{00000000-0005-0000-0000-00009D900000}"/>
    <cellStyle name="Porcentual 2 16 7 2 5" xfId="26784" xr:uid="{00000000-0005-0000-0000-00009E900000}"/>
    <cellStyle name="Porcentual 2 16 7 2 6" xfId="26785" xr:uid="{00000000-0005-0000-0000-00009F900000}"/>
    <cellStyle name="Porcentual 2 16 7 2 7" xfId="26786" xr:uid="{00000000-0005-0000-0000-0000A0900000}"/>
    <cellStyle name="Porcentual 2 16 7 3" xfId="26787" xr:uid="{00000000-0005-0000-0000-0000A1900000}"/>
    <cellStyle name="Porcentual 2 16 7 4" xfId="26788" xr:uid="{00000000-0005-0000-0000-0000A2900000}"/>
    <cellStyle name="Porcentual 2 16 7 5" xfId="26789" xr:uid="{00000000-0005-0000-0000-0000A3900000}"/>
    <cellStyle name="Porcentual 2 16 7 6" xfId="26790" xr:uid="{00000000-0005-0000-0000-0000A4900000}"/>
    <cellStyle name="Porcentual 2 16 7 7" xfId="26791" xr:uid="{00000000-0005-0000-0000-0000A5900000}"/>
    <cellStyle name="Porcentual 2 16 7 8" xfId="26792" xr:uid="{00000000-0005-0000-0000-0000A6900000}"/>
    <cellStyle name="Porcentual 2 16 8" xfId="26793" xr:uid="{00000000-0005-0000-0000-0000A7900000}"/>
    <cellStyle name="Porcentual 2 16 8 2" xfId="26794" xr:uid="{00000000-0005-0000-0000-0000A8900000}"/>
    <cellStyle name="Porcentual 2 16 8 2 2" xfId="26795" xr:uid="{00000000-0005-0000-0000-0000A9900000}"/>
    <cellStyle name="Porcentual 2 16 8 2 3" xfId="26796" xr:uid="{00000000-0005-0000-0000-0000AA900000}"/>
    <cellStyle name="Porcentual 2 16 8 2 4" xfId="26797" xr:uid="{00000000-0005-0000-0000-0000AB900000}"/>
    <cellStyle name="Porcentual 2 16 8 2 5" xfId="26798" xr:uid="{00000000-0005-0000-0000-0000AC900000}"/>
    <cellStyle name="Porcentual 2 16 8 2 6" xfId="26799" xr:uid="{00000000-0005-0000-0000-0000AD900000}"/>
    <cellStyle name="Porcentual 2 16 8 2 7" xfId="26800" xr:uid="{00000000-0005-0000-0000-0000AE900000}"/>
    <cellStyle name="Porcentual 2 16 8 3" xfId="26801" xr:uid="{00000000-0005-0000-0000-0000AF900000}"/>
    <cellStyle name="Porcentual 2 16 8 4" xfId="26802" xr:uid="{00000000-0005-0000-0000-0000B0900000}"/>
    <cellStyle name="Porcentual 2 16 8 5" xfId="26803" xr:uid="{00000000-0005-0000-0000-0000B1900000}"/>
    <cellStyle name="Porcentual 2 16 8 6" xfId="26804" xr:uid="{00000000-0005-0000-0000-0000B2900000}"/>
    <cellStyle name="Porcentual 2 16 8 7" xfId="26805" xr:uid="{00000000-0005-0000-0000-0000B3900000}"/>
    <cellStyle name="Porcentual 2 16 8 8" xfId="26806" xr:uid="{00000000-0005-0000-0000-0000B4900000}"/>
    <cellStyle name="Porcentual 2 16 9" xfId="26807" xr:uid="{00000000-0005-0000-0000-0000B5900000}"/>
    <cellStyle name="Porcentual 2 16 9 2" xfId="26808" xr:uid="{00000000-0005-0000-0000-0000B6900000}"/>
    <cellStyle name="Porcentual 2 16 9 2 2" xfId="26809" xr:uid="{00000000-0005-0000-0000-0000B7900000}"/>
    <cellStyle name="Porcentual 2 16 9 2 3" xfId="26810" xr:uid="{00000000-0005-0000-0000-0000B8900000}"/>
    <cellStyle name="Porcentual 2 16 9 2 4" xfId="26811" xr:uid="{00000000-0005-0000-0000-0000B9900000}"/>
    <cellStyle name="Porcentual 2 16 9 2 5" xfId="26812" xr:uid="{00000000-0005-0000-0000-0000BA900000}"/>
    <cellStyle name="Porcentual 2 16 9 2 6" xfId="26813" xr:uid="{00000000-0005-0000-0000-0000BB900000}"/>
    <cellStyle name="Porcentual 2 16 9 2 7" xfId="26814" xr:uid="{00000000-0005-0000-0000-0000BC900000}"/>
    <cellStyle name="Porcentual 2 16 9 3" xfId="26815" xr:uid="{00000000-0005-0000-0000-0000BD900000}"/>
    <cellStyle name="Porcentual 2 16 9 4" xfId="26816" xr:uid="{00000000-0005-0000-0000-0000BE900000}"/>
    <cellStyle name="Porcentual 2 16 9 5" xfId="26817" xr:uid="{00000000-0005-0000-0000-0000BF900000}"/>
    <cellStyle name="Porcentual 2 16 9 6" xfId="26818" xr:uid="{00000000-0005-0000-0000-0000C0900000}"/>
    <cellStyle name="Porcentual 2 16 9 7" xfId="26819" xr:uid="{00000000-0005-0000-0000-0000C1900000}"/>
    <cellStyle name="Porcentual 2 16 9 8" xfId="26820" xr:uid="{00000000-0005-0000-0000-0000C2900000}"/>
    <cellStyle name="Porcentual 2 17" xfId="40177" xr:uid="{00000000-0005-0000-0000-0000C3900000}"/>
    <cellStyle name="Porcentual 2 17 2" xfId="40178" xr:uid="{00000000-0005-0000-0000-0000C4900000}"/>
    <cellStyle name="Porcentual 2 18" xfId="40179" xr:uid="{00000000-0005-0000-0000-0000C5900000}"/>
    <cellStyle name="Porcentual 2 19" xfId="40180" xr:uid="{00000000-0005-0000-0000-0000C6900000}"/>
    <cellStyle name="Porcentual 2 2" xfId="11165" xr:uid="{00000000-0005-0000-0000-0000C7900000}"/>
    <cellStyle name="Porcentual 2 2 2" xfId="26821" xr:uid="{00000000-0005-0000-0000-0000C8900000}"/>
    <cellStyle name="Porcentual 2 2 2 2" xfId="40182" xr:uid="{00000000-0005-0000-0000-0000C9900000}"/>
    <cellStyle name="Porcentual 2 2 2 3" xfId="40181" xr:uid="{00000000-0005-0000-0000-0000CA900000}"/>
    <cellStyle name="Porcentual 2 2 3" xfId="26822" xr:uid="{00000000-0005-0000-0000-0000CB900000}"/>
    <cellStyle name="Porcentual 2 2 4" xfId="40183" xr:uid="{00000000-0005-0000-0000-0000CC900000}"/>
    <cellStyle name="Porcentual 2 3" xfId="26823" xr:uid="{00000000-0005-0000-0000-0000CD900000}"/>
    <cellStyle name="Porcentual 2 3 2" xfId="26824" xr:uid="{00000000-0005-0000-0000-0000CE900000}"/>
    <cellStyle name="Porcentual 2 3 2 2" xfId="40184" xr:uid="{00000000-0005-0000-0000-0000CF900000}"/>
    <cellStyle name="Porcentual 2 4" xfId="26825" xr:uid="{00000000-0005-0000-0000-0000D0900000}"/>
    <cellStyle name="Porcentual 2 4 10" xfId="26826" xr:uid="{00000000-0005-0000-0000-0000D1900000}"/>
    <cellStyle name="Porcentual 2 4 10 2" xfId="26827" xr:uid="{00000000-0005-0000-0000-0000D2900000}"/>
    <cellStyle name="Porcentual 2 4 10 2 2" xfId="26828" xr:uid="{00000000-0005-0000-0000-0000D3900000}"/>
    <cellStyle name="Porcentual 2 4 10 2 3" xfId="26829" xr:uid="{00000000-0005-0000-0000-0000D4900000}"/>
    <cellStyle name="Porcentual 2 4 10 2 4" xfId="26830" xr:uid="{00000000-0005-0000-0000-0000D5900000}"/>
    <cellStyle name="Porcentual 2 4 10 2 5" xfId="26831" xr:uid="{00000000-0005-0000-0000-0000D6900000}"/>
    <cellStyle name="Porcentual 2 4 10 2 6" xfId="26832" xr:uid="{00000000-0005-0000-0000-0000D7900000}"/>
    <cellStyle name="Porcentual 2 4 10 2 7" xfId="26833" xr:uid="{00000000-0005-0000-0000-0000D8900000}"/>
    <cellStyle name="Porcentual 2 4 10 3" xfId="26834" xr:uid="{00000000-0005-0000-0000-0000D9900000}"/>
    <cellStyle name="Porcentual 2 4 10 4" xfId="26835" xr:uid="{00000000-0005-0000-0000-0000DA900000}"/>
    <cellStyle name="Porcentual 2 4 10 5" xfId="26836" xr:uid="{00000000-0005-0000-0000-0000DB900000}"/>
    <cellStyle name="Porcentual 2 4 10 6" xfId="26837" xr:uid="{00000000-0005-0000-0000-0000DC900000}"/>
    <cellStyle name="Porcentual 2 4 10 7" xfId="26838" xr:uid="{00000000-0005-0000-0000-0000DD900000}"/>
    <cellStyle name="Porcentual 2 4 10 8" xfId="26839" xr:uid="{00000000-0005-0000-0000-0000DE900000}"/>
    <cellStyle name="Porcentual 2 4 11" xfId="26840" xr:uid="{00000000-0005-0000-0000-0000DF900000}"/>
    <cellStyle name="Porcentual 2 4 11 2" xfId="26841" xr:uid="{00000000-0005-0000-0000-0000E0900000}"/>
    <cellStyle name="Porcentual 2 4 11 2 2" xfId="26842" xr:uid="{00000000-0005-0000-0000-0000E1900000}"/>
    <cellStyle name="Porcentual 2 4 11 2 3" xfId="26843" xr:uid="{00000000-0005-0000-0000-0000E2900000}"/>
    <cellStyle name="Porcentual 2 4 11 2 4" xfId="26844" xr:uid="{00000000-0005-0000-0000-0000E3900000}"/>
    <cellStyle name="Porcentual 2 4 11 2 5" xfId="26845" xr:uid="{00000000-0005-0000-0000-0000E4900000}"/>
    <cellStyle name="Porcentual 2 4 11 2 6" xfId="26846" xr:uid="{00000000-0005-0000-0000-0000E5900000}"/>
    <cellStyle name="Porcentual 2 4 11 2 7" xfId="26847" xr:uid="{00000000-0005-0000-0000-0000E6900000}"/>
    <cellStyle name="Porcentual 2 4 11 3" xfId="26848" xr:uid="{00000000-0005-0000-0000-0000E7900000}"/>
    <cellStyle name="Porcentual 2 4 11 4" xfId="26849" xr:uid="{00000000-0005-0000-0000-0000E8900000}"/>
    <cellStyle name="Porcentual 2 4 11 5" xfId="26850" xr:uid="{00000000-0005-0000-0000-0000E9900000}"/>
    <cellStyle name="Porcentual 2 4 11 6" xfId="26851" xr:uid="{00000000-0005-0000-0000-0000EA900000}"/>
    <cellStyle name="Porcentual 2 4 11 7" xfId="26852" xr:uid="{00000000-0005-0000-0000-0000EB900000}"/>
    <cellStyle name="Porcentual 2 4 11 8" xfId="26853" xr:uid="{00000000-0005-0000-0000-0000EC900000}"/>
    <cellStyle name="Porcentual 2 4 12" xfId="26854" xr:uid="{00000000-0005-0000-0000-0000ED900000}"/>
    <cellStyle name="Porcentual 2 4 12 2" xfId="26855" xr:uid="{00000000-0005-0000-0000-0000EE900000}"/>
    <cellStyle name="Porcentual 2 4 12 2 2" xfId="26856" xr:uid="{00000000-0005-0000-0000-0000EF900000}"/>
    <cellStyle name="Porcentual 2 4 12 2 3" xfId="26857" xr:uid="{00000000-0005-0000-0000-0000F0900000}"/>
    <cellStyle name="Porcentual 2 4 12 2 4" xfId="26858" xr:uid="{00000000-0005-0000-0000-0000F1900000}"/>
    <cellStyle name="Porcentual 2 4 12 2 5" xfId="26859" xr:uid="{00000000-0005-0000-0000-0000F2900000}"/>
    <cellStyle name="Porcentual 2 4 12 2 6" xfId="26860" xr:uid="{00000000-0005-0000-0000-0000F3900000}"/>
    <cellStyle name="Porcentual 2 4 12 2 7" xfId="26861" xr:uid="{00000000-0005-0000-0000-0000F4900000}"/>
    <cellStyle name="Porcentual 2 4 12 3" xfId="26862" xr:uid="{00000000-0005-0000-0000-0000F5900000}"/>
    <cellStyle name="Porcentual 2 4 12 4" xfId="26863" xr:uid="{00000000-0005-0000-0000-0000F6900000}"/>
    <cellStyle name="Porcentual 2 4 12 5" xfId="26864" xr:uid="{00000000-0005-0000-0000-0000F7900000}"/>
    <cellStyle name="Porcentual 2 4 12 6" xfId="26865" xr:uid="{00000000-0005-0000-0000-0000F8900000}"/>
    <cellStyle name="Porcentual 2 4 12 7" xfId="26866" xr:uid="{00000000-0005-0000-0000-0000F9900000}"/>
    <cellStyle name="Porcentual 2 4 12 8" xfId="26867" xr:uid="{00000000-0005-0000-0000-0000FA900000}"/>
    <cellStyle name="Porcentual 2 4 13" xfId="26868" xr:uid="{00000000-0005-0000-0000-0000FB900000}"/>
    <cellStyle name="Porcentual 2 4 13 2" xfId="26869" xr:uid="{00000000-0005-0000-0000-0000FC900000}"/>
    <cellStyle name="Porcentual 2 4 13 2 2" xfId="26870" xr:uid="{00000000-0005-0000-0000-0000FD900000}"/>
    <cellStyle name="Porcentual 2 4 13 2 3" xfId="26871" xr:uid="{00000000-0005-0000-0000-0000FE900000}"/>
    <cellStyle name="Porcentual 2 4 13 2 4" xfId="26872" xr:uid="{00000000-0005-0000-0000-0000FF900000}"/>
    <cellStyle name="Porcentual 2 4 13 2 5" xfId="26873" xr:uid="{00000000-0005-0000-0000-000000910000}"/>
    <cellStyle name="Porcentual 2 4 13 2 6" xfId="26874" xr:uid="{00000000-0005-0000-0000-000001910000}"/>
    <cellStyle name="Porcentual 2 4 13 2 7" xfId="26875" xr:uid="{00000000-0005-0000-0000-000002910000}"/>
    <cellStyle name="Porcentual 2 4 13 3" xfId="26876" xr:uid="{00000000-0005-0000-0000-000003910000}"/>
    <cellStyle name="Porcentual 2 4 13 4" xfId="26877" xr:uid="{00000000-0005-0000-0000-000004910000}"/>
    <cellStyle name="Porcentual 2 4 13 5" xfId="26878" xr:uid="{00000000-0005-0000-0000-000005910000}"/>
    <cellStyle name="Porcentual 2 4 13 6" xfId="26879" xr:uid="{00000000-0005-0000-0000-000006910000}"/>
    <cellStyle name="Porcentual 2 4 13 7" xfId="26880" xr:uid="{00000000-0005-0000-0000-000007910000}"/>
    <cellStyle name="Porcentual 2 4 13 8" xfId="26881" xr:uid="{00000000-0005-0000-0000-000008910000}"/>
    <cellStyle name="Porcentual 2 4 14" xfId="26882" xr:uid="{00000000-0005-0000-0000-000009910000}"/>
    <cellStyle name="Porcentual 2 4 14 2" xfId="26883" xr:uid="{00000000-0005-0000-0000-00000A910000}"/>
    <cellStyle name="Porcentual 2 4 14 2 2" xfId="26884" xr:uid="{00000000-0005-0000-0000-00000B910000}"/>
    <cellStyle name="Porcentual 2 4 14 2 3" xfId="26885" xr:uid="{00000000-0005-0000-0000-00000C910000}"/>
    <cellStyle name="Porcentual 2 4 14 2 4" xfId="26886" xr:uid="{00000000-0005-0000-0000-00000D910000}"/>
    <cellStyle name="Porcentual 2 4 14 2 5" xfId="26887" xr:uid="{00000000-0005-0000-0000-00000E910000}"/>
    <cellStyle name="Porcentual 2 4 14 2 6" xfId="26888" xr:uid="{00000000-0005-0000-0000-00000F910000}"/>
    <cellStyle name="Porcentual 2 4 14 2 7" xfId="26889" xr:uid="{00000000-0005-0000-0000-000010910000}"/>
    <cellStyle name="Porcentual 2 4 14 3" xfId="26890" xr:uid="{00000000-0005-0000-0000-000011910000}"/>
    <cellStyle name="Porcentual 2 4 14 4" xfId="26891" xr:uid="{00000000-0005-0000-0000-000012910000}"/>
    <cellStyle name="Porcentual 2 4 14 5" xfId="26892" xr:uid="{00000000-0005-0000-0000-000013910000}"/>
    <cellStyle name="Porcentual 2 4 14 6" xfId="26893" xr:uid="{00000000-0005-0000-0000-000014910000}"/>
    <cellStyle name="Porcentual 2 4 14 7" xfId="26894" xr:uid="{00000000-0005-0000-0000-000015910000}"/>
    <cellStyle name="Porcentual 2 4 14 8" xfId="26895" xr:uid="{00000000-0005-0000-0000-000016910000}"/>
    <cellStyle name="Porcentual 2 4 15" xfId="26896" xr:uid="{00000000-0005-0000-0000-000017910000}"/>
    <cellStyle name="Porcentual 2 4 15 2" xfId="26897" xr:uid="{00000000-0005-0000-0000-000018910000}"/>
    <cellStyle name="Porcentual 2 4 15 2 2" xfId="26898" xr:uid="{00000000-0005-0000-0000-000019910000}"/>
    <cellStyle name="Porcentual 2 4 15 2 3" xfId="26899" xr:uid="{00000000-0005-0000-0000-00001A910000}"/>
    <cellStyle name="Porcentual 2 4 15 2 4" xfId="26900" xr:uid="{00000000-0005-0000-0000-00001B910000}"/>
    <cellStyle name="Porcentual 2 4 15 2 5" xfId="26901" xr:uid="{00000000-0005-0000-0000-00001C910000}"/>
    <cellStyle name="Porcentual 2 4 15 2 6" xfId="26902" xr:uid="{00000000-0005-0000-0000-00001D910000}"/>
    <cellStyle name="Porcentual 2 4 15 2 7" xfId="26903" xr:uid="{00000000-0005-0000-0000-00001E910000}"/>
    <cellStyle name="Porcentual 2 4 15 3" xfId="26904" xr:uid="{00000000-0005-0000-0000-00001F910000}"/>
    <cellStyle name="Porcentual 2 4 15 4" xfId="26905" xr:uid="{00000000-0005-0000-0000-000020910000}"/>
    <cellStyle name="Porcentual 2 4 15 5" xfId="26906" xr:uid="{00000000-0005-0000-0000-000021910000}"/>
    <cellStyle name="Porcentual 2 4 15 6" xfId="26907" xr:uid="{00000000-0005-0000-0000-000022910000}"/>
    <cellStyle name="Porcentual 2 4 15 7" xfId="26908" xr:uid="{00000000-0005-0000-0000-000023910000}"/>
    <cellStyle name="Porcentual 2 4 15 8" xfId="26909" xr:uid="{00000000-0005-0000-0000-000024910000}"/>
    <cellStyle name="Porcentual 2 4 16" xfId="26910" xr:uid="{00000000-0005-0000-0000-000025910000}"/>
    <cellStyle name="Porcentual 2 4 16 2" xfId="26911" xr:uid="{00000000-0005-0000-0000-000026910000}"/>
    <cellStyle name="Porcentual 2 4 16 3" xfId="26912" xr:uid="{00000000-0005-0000-0000-000027910000}"/>
    <cellStyle name="Porcentual 2 4 16 4" xfId="26913" xr:uid="{00000000-0005-0000-0000-000028910000}"/>
    <cellStyle name="Porcentual 2 4 16 5" xfId="26914" xr:uid="{00000000-0005-0000-0000-000029910000}"/>
    <cellStyle name="Porcentual 2 4 16 6" xfId="26915" xr:uid="{00000000-0005-0000-0000-00002A910000}"/>
    <cellStyle name="Porcentual 2 4 16 7" xfId="26916" xr:uid="{00000000-0005-0000-0000-00002B910000}"/>
    <cellStyle name="Porcentual 2 4 17" xfId="26917" xr:uid="{00000000-0005-0000-0000-00002C910000}"/>
    <cellStyle name="Porcentual 2 4 17 2" xfId="26918" xr:uid="{00000000-0005-0000-0000-00002D910000}"/>
    <cellStyle name="Porcentual 2 4 17 3" xfId="26919" xr:uid="{00000000-0005-0000-0000-00002E910000}"/>
    <cellStyle name="Porcentual 2 4 17 4" xfId="26920" xr:uid="{00000000-0005-0000-0000-00002F910000}"/>
    <cellStyle name="Porcentual 2 4 17 5" xfId="26921" xr:uid="{00000000-0005-0000-0000-000030910000}"/>
    <cellStyle name="Porcentual 2 4 17 6" xfId="26922" xr:uid="{00000000-0005-0000-0000-000031910000}"/>
    <cellStyle name="Porcentual 2 4 17 7" xfId="26923" xr:uid="{00000000-0005-0000-0000-000032910000}"/>
    <cellStyle name="Porcentual 2 4 18" xfId="26924" xr:uid="{00000000-0005-0000-0000-000033910000}"/>
    <cellStyle name="Porcentual 2 4 18 2" xfId="26925" xr:uid="{00000000-0005-0000-0000-000034910000}"/>
    <cellStyle name="Porcentual 2 4 18 3" xfId="26926" xr:uid="{00000000-0005-0000-0000-000035910000}"/>
    <cellStyle name="Porcentual 2 4 18 4" xfId="26927" xr:uid="{00000000-0005-0000-0000-000036910000}"/>
    <cellStyle name="Porcentual 2 4 18 5" xfId="26928" xr:uid="{00000000-0005-0000-0000-000037910000}"/>
    <cellStyle name="Porcentual 2 4 18 6" xfId="26929" xr:uid="{00000000-0005-0000-0000-000038910000}"/>
    <cellStyle name="Porcentual 2 4 18 7" xfId="26930" xr:uid="{00000000-0005-0000-0000-000039910000}"/>
    <cellStyle name="Porcentual 2 4 19" xfId="26931" xr:uid="{00000000-0005-0000-0000-00003A910000}"/>
    <cellStyle name="Porcentual 2 4 19 2" xfId="26932" xr:uid="{00000000-0005-0000-0000-00003B910000}"/>
    <cellStyle name="Porcentual 2 4 19 3" xfId="26933" xr:uid="{00000000-0005-0000-0000-00003C910000}"/>
    <cellStyle name="Porcentual 2 4 19 4" xfId="26934" xr:uid="{00000000-0005-0000-0000-00003D910000}"/>
    <cellStyle name="Porcentual 2 4 19 5" xfId="26935" xr:uid="{00000000-0005-0000-0000-00003E910000}"/>
    <cellStyle name="Porcentual 2 4 19 6" xfId="26936" xr:uid="{00000000-0005-0000-0000-00003F910000}"/>
    <cellStyle name="Porcentual 2 4 19 7" xfId="26937" xr:uid="{00000000-0005-0000-0000-000040910000}"/>
    <cellStyle name="Porcentual 2 4 2" xfId="26938" xr:uid="{00000000-0005-0000-0000-000041910000}"/>
    <cellStyle name="Porcentual 2 4 2 2" xfId="26939" xr:uid="{00000000-0005-0000-0000-000042910000}"/>
    <cellStyle name="Porcentual 2 4 2 2 2" xfId="26940" xr:uid="{00000000-0005-0000-0000-000043910000}"/>
    <cellStyle name="Porcentual 2 4 2 2 3" xfId="26941" xr:uid="{00000000-0005-0000-0000-000044910000}"/>
    <cellStyle name="Porcentual 2 4 2 2 4" xfId="26942" xr:uid="{00000000-0005-0000-0000-000045910000}"/>
    <cellStyle name="Porcentual 2 4 2 2 5" xfId="26943" xr:uid="{00000000-0005-0000-0000-000046910000}"/>
    <cellStyle name="Porcentual 2 4 2 2 6" xfId="26944" xr:uid="{00000000-0005-0000-0000-000047910000}"/>
    <cellStyle name="Porcentual 2 4 2 2 7" xfId="26945" xr:uid="{00000000-0005-0000-0000-000048910000}"/>
    <cellStyle name="Porcentual 2 4 2 3" xfId="26946" xr:uid="{00000000-0005-0000-0000-000049910000}"/>
    <cellStyle name="Porcentual 2 4 2 4" xfId="26947" xr:uid="{00000000-0005-0000-0000-00004A910000}"/>
    <cellStyle name="Porcentual 2 4 2 5" xfId="26948" xr:uid="{00000000-0005-0000-0000-00004B910000}"/>
    <cellStyle name="Porcentual 2 4 2 6" xfId="26949" xr:uid="{00000000-0005-0000-0000-00004C910000}"/>
    <cellStyle name="Porcentual 2 4 2 7" xfId="26950" xr:uid="{00000000-0005-0000-0000-00004D910000}"/>
    <cellStyle name="Porcentual 2 4 2 8" xfId="26951" xr:uid="{00000000-0005-0000-0000-00004E910000}"/>
    <cellStyle name="Porcentual 2 4 20" xfId="26952" xr:uid="{00000000-0005-0000-0000-00004F910000}"/>
    <cellStyle name="Porcentual 2 4 20 2" xfId="26953" xr:uid="{00000000-0005-0000-0000-000050910000}"/>
    <cellStyle name="Porcentual 2 4 20 3" xfId="26954" xr:uid="{00000000-0005-0000-0000-000051910000}"/>
    <cellStyle name="Porcentual 2 4 20 4" xfId="26955" xr:uid="{00000000-0005-0000-0000-000052910000}"/>
    <cellStyle name="Porcentual 2 4 20 5" xfId="26956" xr:uid="{00000000-0005-0000-0000-000053910000}"/>
    <cellStyle name="Porcentual 2 4 20 6" xfId="26957" xr:uid="{00000000-0005-0000-0000-000054910000}"/>
    <cellStyle name="Porcentual 2 4 20 7" xfId="26958" xr:uid="{00000000-0005-0000-0000-000055910000}"/>
    <cellStyle name="Porcentual 2 4 21" xfId="26959" xr:uid="{00000000-0005-0000-0000-000056910000}"/>
    <cellStyle name="Porcentual 2 4 21 2" xfId="26960" xr:uid="{00000000-0005-0000-0000-000057910000}"/>
    <cellStyle name="Porcentual 2 4 21 3" xfId="26961" xr:uid="{00000000-0005-0000-0000-000058910000}"/>
    <cellStyle name="Porcentual 2 4 21 4" xfId="26962" xr:uid="{00000000-0005-0000-0000-000059910000}"/>
    <cellStyle name="Porcentual 2 4 21 5" xfId="26963" xr:uid="{00000000-0005-0000-0000-00005A910000}"/>
    <cellStyle name="Porcentual 2 4 21 6" xfId="26964" xr:uid="{00000000-0005-0000-0000-00005B910000}"/>
    <cellStyle name="Porcentual 2 4 21 7" xfId="26965" xr:uid="{00000000-0005-0000-0000-00005C910000}"/>
    <cellStyle name="Porcentual 2 4 22" xfId="26966" xr:uid="{00000000-0005-0000-0000-00005D910000}"/>
    <cellStyle name="Porcentual 2 4 22 2" xfId="26967" xr:uid="{00000000-0005-0000-0000-00005E910000}"/>
    <cellStyle name="Porcentual 2 4 22 3" xfId="26968" xr:uid="{00000000-0005-0000-0000-00005F910000}"/>
    <cellStyle name="Porcentual 2 4 22 4" xfId="26969" xr:uid="{00000000-0005-0000-0000-000060910000}"/>
    <cellStyle name="Porcentual 2 4 22 5" xfId="26970" xr:uid="{00000000-0005-0000-0000-000061910000}"/>
    <cellStyle name="Porcentual 2 4 22 6" xfId="26971" xr:uid="{00000000-0005-0000-0000-000062910000}"/>
    <cellStyle name="Porcentual 2 4 22 7" xfId="26972" xr:uid="{00000000-0005-0000-0000-000063910000}"/>
    <cellStyle name="Porcentual 2 4 23" xfId="26973" xr:uid="{00000000-0005-0000-0000-000064910000}"/>
    <cellStyle name="Porcentual 2 4 23 2" xfId="26974" xr:uid="{00000000-0005-0000-0000-000065910000}"/>
    <cellStyle name="Porcentual 2 4 23 3" xfId="26975" xr:uid="{00000000-0005-0000-0000-000066910000}"/>
    <cellStyle name="Porcentual 2 4 23 4" xfId="26976" xr:uid="{00000000-0005-0000-0000-000067910000}"/>
    <cellStyle name="Porcentual 2 4 23 5" xfId="26977" xr:uid="{00000000-0005-0000-0000-000068910000}"/>
    <cellStyle name="Porcentual 2 4 23 6" xfId="26978" xr:uid="{00000000-0005-0000-0000-000069910000}"/>
    <cellStyle name="Porcentual 2 4 23 7" xfId="26979" xr:uid="{00000000-0005-0000-0000-00006A910000}"/>
    <cellStyle name="Porcentual 2 4 24" xfId="26980" xr:uid="{00000000-0005-0000-0000-00006B910000}"/>
    <cellStyle name="Porcentual 2 4 24 2" xfId="26981" xr:uid="{00000000-0005-0000-0000-00006C910000}"/>
    <cellStyle name="Porcentual 2 4 24 3" xfId="26982" xr:uid="{00000000-0005-0000-0000-00006D910000}"/>
    <cellStyle name="Porcentual 2 4 24 4" xfId="26983" xr:uid="{00000000-0005-0000-0000-00006E910000}"/>
    <cellStyle name="Porcentual 2 4 24 5" xfId="26984" xr:uid="{00000000-0005-0000-0000-00006F910000}"/>
    <cellStyle name="Porcentual 2 4 24 6" xfId="26985" xr:uid="{00000000-0005-0000-0000-000070910000}"/>
    <cellStyle name="Porcentual 2 4 24 7" xfId="26986" xr:uid="{00000000-0005-0000-0000-000071910000}"/>
    <cellStyle name="Porcentual 2 4 25" xfId="26987" xr:uid="{00000000-0005-0000-0000-000072910000}"/>
    <cellStyle name="Porcentual 2 4 25 2" xfId="26988" xr:uid="{00000000-0005-0000-0000-000073910000}"/>
    <cellStyle name="Porcentual 2 4 25 3" xfId="26989" xr:uid="{00000000-0005-0000-0000-000074910000}"/>
    <cellStyle name="Porcentual 2 4 25 4" xfId="26990" xr:uid="{00000000-0005-0000-0000-000075910000}"/>
    <cellStyle name="Porcentual 2 4 25 5" xfId="26991" xr:uid="{00000000-0005-0000-0000-000076910000}"/>
    <cellStyle name="Porcentual 2 4 25 6" xfId="26992" xr:uid="{00000000-0005-0000-0000-000077910000}"/>
    <cellStyle name="Porcentual 2 4 25 7" xfId="26993" xr:uid="{00000000-0005-0000-0000-000078910000}"/>
    <cellStyle name="Porcentual 2 4 26" xfId="26994" xr:uid="{00000000-0005-0000-0000-000079910000}"/>
    <cellStyle name="Porcentual 2 4 26 2" xfId="26995" xr:uid="{00000000-0005-0000-0000-00007A910000}"/>
    <cellStyle name="Porcentual 2 4 26 3" xfId="26996" xr:uid="{00000000-0005-0000-0000-00007B910000}"/>
    <cellStyle name="Porcentual 2 4 26 4" xfId="26997" xr:uid="{00000000-0005-0000-0000-00007C910000}"/>
    <cellStyle name="Porcentual 2 4 26 5" xfId="26998" xr:uid="{00000000-0005-0000-0000-00007D910000}"/>
    <cellStyle name="Porcentual 2 4 26 6" xfId="26999" xr:uid="{00000000-0005-0000-0000-00007E910000}"/>
    <cellStyle name="Porcentual 2 4 26 7" xfId="27000" xr:uid="{00000000-0005-0000-0000-00007F910000}"/>
    <cellStyle name="Porcentual 2 4 27" xfId="27001" xr:uid="{00000000-0005-0000-0000-000080910000}"/>
    <cellStyle name="Porcentual 2 4 27 2" xfId="27002" xr:uid="{00000000-0005-0000-0000-000081910000}"/>
    <cellStyle name="Porcentual 2 4 27 3" xfId="27003" xr:uid="{00000000-0005-0000-0000-000082910000}"/>
    <cellStyle name="Porcentual 2 4 27 4" xfId="27004" xr:uid="{00000000-0005-0000-0000-000083910000}"/>
    <cellStyle name="Porcentual 2 4 27 5" xfId="27005" xr:uid="{00000000-0005-0000-0000-000084910000}"/>
    <cellStyle name="Porcentual 2 4 27 6" xfId="27006" xr:uid="{00000000-0005-0000-0000-000085910000}"/>
    <cellStyle name="Porcentual 2 4 27 7" xfId="27007" xr:uid="{00000000-0005-0000-0000-000086910000}"/>
    <cellStyle name="Porcentual 2 4 28" xfId="27008" xr:uid="{00000000-0005-0000-0000-000087910000}"/>
    <cellStyle name="Porcentual 2 4 28 2" xfId="27009" xr:uid="{00000000-0005-0000-0000-000088910000}"/>
    <cellStyle name="Porcentual 2 4 28 3" xfId="27010" xr:uid="{00000000-0005-0000-0000-000089910000}"/>
    <cellStyle name="Porcentual 2 4 28 4" xfId="27011" xr:uid="{00000000-0005-0000-0000-00008A910000}"/>
    <cellStyle name="Porcentual 2 4 28 5" xfId="27012" xr:uid="{00000000-0005-0000-0000-00008B910000}"/>
    <cellStyle name="Porcentual 2 4 28 6" xfId="27013" xr:uid="{00000000-0005-0000-0000-00008C910000}"/>
    <cellStyle name="Porcentual 2 4 28 7" xfId="27014" xr:uid="{00000000-0005-0000-0000-00008D910000}"/>
    <cellStyle name="Porcentual 2 4 29" xfId="27015" xr:uid="{00000000-0005-0000-0000-00008E910000}"/>
    <cellStyle name="Porcentual 2 4 29 2" xfId="27016" xr:uid="{00000000-0005-0000-0000-00008F910000}"/>
    <cellStyle name="Porcentual 2 4 29 3" xfId="27017" xr:uid="{00000000-0005-0000-0000-000090910000}"/>
    <cellStyle name="Porcentual 2 4 29 4" xfId="27018" xr:uid="{00000000-0005-0000-0000-000091910000}"/>
    <cellStyle name="Porcentual 2 4 29 5" xfId="27019" xr:uid="{00000000-0005-0000-0000-000092910000}"/>
    <cellStyle name="Porcentual 2 4 29 6" xfId="27020" xr:uid="{00000000-0005-0000-0000-000093910000}"/>
    <cellStyle name="Porcentual 2 4 29 7" xfId="27021" xr:uid="{00000000-0005-0000-0000-000094910000}"/>
    <cellStyle name="Porcentual 2 4 3" xfId="27022" xr:uid="{00000000-0005-0000-0000-000095910000}"/>
    <cellStyle name="Porcentual 2 4 3 2" xfId="27023" xr:uid="{00000000-0005-0000-0000-000096910000}"/>
    <cellStyle name="Porcentual 2 4 3 2 2" xfId="27024" xr:uid="{00000000-0005-0000-0000-000097910000}"/>
    <cellStyle name="Porcentual 2 4 3 2 3" xfId="27025" xr:uid="{00000000-0005-0000-0000-000098910000}"/>
    <cellStyle name="Porcentual 2 4 3 2 4" xfId="27026" xr:uid="{00000000-0005-0000-0000-000099910000}"/>
    <cellStyle name="Porcentual 2 4 3 2 5" xfId="27027" xr:uid="{00000000-0005-0000-0000-00009A910000}"/>
    <cellStyle name="Porcentual 2 4 3 2 6" xfId="27028" xr:uid="{00000000-0005-0000-0000-00009B910000}"/>
    <cellStyle name="Porcentual 2 4 3 2 7" xfId="27029" xr:uid="{00000000-0005-0000-0000-00009C910000}"/>
    <cellStyle name="Porcentual 2 4 3 3" xfId="27030" xr:uid="{00000000-0005-0000-0000-00009D910000}"/>
    <cellStyle name="Porcentual 2 4 3 4" xfId="27031" xr:uid="{00000000-0005-0000-0000-00009E910000}"/>
    <cellStyle name="Porcentual 2 4 3 5" xfId="27032" xr:uid="{00000000-0005-0000-0000-00009F910000}"/>
    <cellStyle name="Porcentual 2 4 3 6" xfId="27033" xr:uid="{00000000-0005-0000-0000-0000A0910000}"/>
    <cellStyle name="Porcentual 2 4 3 7" xfId="27034" xr:uid="{00000000-0005-0000-0000-0000A1910000}"/>
    <cellStyle name="Porcentual 2 4 3 8" xfId="27035" xr:uid="{00000000-0005-0000-0000-0000A2910000}"/>
    <cellStyle name="Porcentual 2 4 30" xfId="27036" xr:uid="{00000000-0005-0000-0000-0000A3910000}"/>
    <cellStyle name="Porcentual 2 4 30 2" xfId="27037" xr:uid="{00000000-0005-0000-0000-0000A4910000}"/>
    <cellStyle name="Porcentual 2 4 30 3" xfId="27038" xr:uid="{00000000-0005-0000-0000-0000A5910000}"/>
    <cellStyle name="Porcentual 2 4 30 4" xfId="27039" xr:uid="{00000000-0005-0000-0000-0000A6910000}"/>
    <cellStyle name="Porcentual 2 4 30 5" xfId="27040" xr:uid="{00000000-0005-0000-0000-0000A7910000}"/>
    <cellStyle name="Porcentual 2 4 30 6" xfId="27041" xr:uid="{00000000-0005-0000-0000-0000A8910000}"/>
    <cellStyle name="Porcentual 2 4 30 7" xfId="27042" xr:uid="{00000000-0005-0000-0000-0000A9910000}"/>
    <cellStyle name="Porcentual 2 4 31" xfId="27043" xr:uid="{00000000-0005-0000-0000-0000AA910000}"/>
    <cellStyle name="Porcentual 2 4 31 2" xfId="27044" xr:uid="{00000000-0005-0000-0000-0000AB910000}"/>
    <cellStyle name="Porcentual 2 4 31 3" xfId="27045" xr:uid="{00000000-0005-0000-0000-0000AC910000}"/>
    <cellStyle name="Porcentual 2 4 31 4" xfId="27046" xr:uid="{00000000-0005-0000-0000-0000AD910000}"/>
    <cellStyle name="Porcentual 2 4 31 5" xfId="27047" xr:uid="{00000000-0005-0000-0000-0000AE910000}"/>
    <cellStyle name="Porcentual 2 4 31 6" xfId="27048" xr:uid="{00000000-0005-0000-0000-0000AF910000}"/>
    <cellStyle name="Porcentual 2 4 31 7" xfId="27049" xr:uid="{00000000-0005-0000-0000-0000B0910000}"/>
    <cellStyle name="Porcentual 2 4 32" xfId="27050" xr:uid="{00000000-0005-0000-0000-0000B1910000}"/>
    <cellStyle name="Porcentual 2 4 32 2" xfId="27051" xr:uid="{00000000-0005-0000-0000-0000B2910000}"/>
    <cellStyle name="Porcentual 2 4 32 3" xfId="27052" xr:uid="{00000000-0005-0000-0000-0000B3910000}"/>
    <cellStyle name="Porcentual 2 4 32 4" xfId="27053" xr:uid="{00000000-0005-0000-0000-0000B4910000}"/>
    <cellStyle name="Porcentual 2 4 32 5" xfId="27054" xr:uid="{00000000-0005-0000-0000-0000B5910000}"/>
    <cellStyle name="Porcentual 2 4 32 6" xfId="27055" xr:uid="{00000000-0005-0000-0000-0000B6910000}"/>
    <cellStyle name="Porcentual 2 4 32 7" xfId="27056" xr:uid="{00000000-0005-0000-0000-0000B7910000}"/>
    <cellStyle name="Porcentual 2 4 33" xfId="27057" xr:uid="{00000000-0005-0000-0000-0000B8910000}"/>
    <cellStyle name="Porcentual 2 4 33 2" xfId="27058" xr:uid="{00000000-0005-0000-0000-0000B9910000}"/>
    <cellStyle name="Porcentual 2 4 33 3" xfId="27059" xr:uid="{00000000-0005-0000-0000-0000BA910000}"/>
    <cellStyle name="Porcentual 2 4 33 4" xfId="27060" xr:uid="{00000000-0005-0000-0000-0000BB910000}"/>
    <cellStyle name="Porcentual 2 4 33 5" xfId="27061" xr:uid="{00000000-0005-0000-0000-0000BC910000}"/>
    <cellStyle name="Porcentual 2 4 33 6" xfId="27062" xr:uid="{00000000-0005-0000-0000-0000BD910000}"/>
    <cellStyle name="Porcentual 2 4 33 7" xfId="27063" xr:uid="{00000000-0005-0000-0000-0000BE910000}"/>
    <cellStyle name="Porcentual 2 4 34" xfId="27064" xr:uid="{00000000-0005-0000-0000-0000BF910000}"/>
    <cellStyle name="Porcentual 2 4 34 2" xfId="27065" xr:uid="{00000000-0005-0000-0000-0000C0910000}"/>
    <cellStyle name="Porcentual 2 4 34 3" xfId="27066" xr:uid="{00000000-0005-0000-0000-0000C1910000}"/>
    <cellStyle name="Porcentual 2 4 34 4" xfId="27067" xr:uid="{00000000-0005-0000-0000-0000C2910000}"/>
    <cellStyle name="Porcentual 2 4 34 5" xfId="27068" xr:uid="{00000000-0005-0000-0000-0000C3910000}"/>
    <cellStyle name="Porcentual 2 4 34 6" xfId="27069" xr:uid="{00000000-0005-0000-0000-0000C4910000}"/>
    <cellStyle name="Porcentual 2 4 34 7" xfId="27070" xr:uid="{00000000-0005-0000-0000-0000C5910000}"/>
    <cellStyle name="Porcentual 2 4 35" xfId="27071" xr:uid="{00000000-0005-0000-0000-0000C6910000}"/>
    <cellStyle name="Porcentual 2 4 35 2" xfId="27072" xr:uid="{00000000-0005-0000-0000-0000C7910000}"/>
    <cellStyle name="Porcentual 2 4 35 3" xfId="27073" xr:uid="{00000000-0005-0000-0000-0000C8910000}"/>
    <cellStyle name="Porcentual 2 4 35 4" xfId="27074" xr:uid="{00000000-0005-0000-0000-0000C9910000}"/>
    <cellStyle name="Porcentual 2 4 35 5" xfId="27075" xr:uid="{00000000-0005-0000-0000-0000CA910000}"/>
    <cellStyle name="Porcentual 2 4 35 6" xfId="27076" xr:uid="{00000000-0005-0000-0000-0000CB910000}"/>
    <cellStyle name="Porcentual 2 4 35 7" xfId="27077" xr:uid="{00000000-0005-0000-0000-0000CC910000}"/>
    <cellStyle name="Porcentual 2 4 36" xfId="27078" xr:uid="{00000000-0005-0000-0000-0000CD910000}"/>
    <cellStyle name="Porcentual 2 4 37" xfId="27079" xr:uid="{00000000-0005-0000-0000-0000CE910000}"/>
    <cellStyle name="Porcentual 2 4 38" xfId="27080" xr:uid="{00000000-0005-0000-0000-0000CF910000}"/>
    <cellStyle name="Porcentual 2 4 39" xfId="27081" xr:uid="{00000000-0005-0000-0000-0000D0910000}"/>
    <cellStyle name="Porcentual 2 4 4" xfId="27082" xr:uid="{00000000-0005-0000-0000-0000D1910000}"/>
    <cellStyle name="Porcentual 2 4 4 2" xfId="27083" xr:uid="{00000000-0005-0000-0000-0000D2910000}"/>
    <cellStyle name="Porcentual 2 4 4 2 2" xfId="27084" xr:uid="{00000000-0005-0000-0000-0000D3910000}"/>
    <cellStyle name="Porcentual 2 4 4 2 3" xfId="27085" xr:uid="{00000000-0005-0000-0000-0000D4910000}"/>
    <cellStyle name="Porcentual 2 4 4 2 4" xfId="27086" xr:uid="{00000000-0005-0000-0000-0000D5910000}"/>
    <cellStyle name="Porcentual 2 4 4 2 5" xfId="27087" xr:uid="{00000000-0005-0000-0000-0000D6910000}"/>
    <cellStyle name="Porcentual 2 4 4 2 6" xfId="27088" xr:uid="{00000000-0005-0000-0000-0000D7910000}"/>
    <cellStyle name="Porcentual 2 4 4 2 7" xfId="27089" xr:uid="{00000000-0005-0000-0000-0000D8910000}"/>
    <cellStyle name="Porcentual 2 4 4 3" xfId="27090" xr:uid="{00000000-0005-0000-0000-0000D9910000}"/>
    <cellStyle name="Porcentual 2 4 4 4" xfId="27091" xr:uid="{00000000-0005-0000-0000-0000DA910000}"/>
    <cellStyle name="Porcentual 2 4 4 5" xfId="27092" xr:uid="{00000000-0005-0000-0000-0000DB910000}"/>
    <cellStyle name="Porcentual 2 4 4 6" xfId="27093" xr:uid="{00000000-0005-0000-0000-0000DC910000}"/>
    <cellStyle name="Porcentual 2 4 4 7" xfId="27094" xr:uid="{00000000-0005-0000-0000-0000DD910000}"/>
    <cellStyle name="Porcentual 2 4 4 8" xfId="27095" xr:uid="{00000000-0005-0000-0000-0000DE910000}"/>
    <cellStyle name="Porcentual 2 4 40" xfId="27096" xr:uid="{00000000-0005-0000-0000-0000DF910000}"/>
    <cellStyle name="Porcentual 2 4 41" xfId="27097" xr:uid="{00000000-0005-0000-0000-0000E0910000}"/>
    <cellStyle name="Porcentual 2 4 42" xfId="27098" xr:uid="{00000000-0005-0000-0000-0000E1910000}"/>
    <cellStyle name="Porcentual 2 4 5" xfId="27099" xr:uid="{00000000-0005-0000-0000-0000E2910000}"/>
    <cellStyle name="Porcentual 2 4 5 2" xfId="27100" xr:uid="{00000000-0005-0000-0000-0000E3910000}"/>
    <cellStyle name="Porcentual 2 4 5 2 2" xfId="27101" xr:uid="{00000000-0005-0000-0000-0000E4910000}"/>
    <cellStyle name="Porcentual 2 4 5 2 3" xfId="27102" xr:uid="{00000000-0005-0000-0000-0000E5910000}"/>
    <cellStyle name="Porcentual 2 4 5 2 4" xfId="27103" xr:uid="{00000000-0005-0000-0000-0000E6910000}"/>
    <cellStyle name="Porcentual 2 4 5 2 5" xfId="27104" xr:uid="{00000000-0005-0000-0000-0000E7910000}"/>
    <cellStyle name="Porcentual 2 4 5 2 6" xfId="27105" xr:uid="{00000000-0005-0000-0000-0000E8910000}"/>
    <cellStyle name="Porcentual 2 4 5 2 7" xfId="27106" xr:uid="{00000000-0005-0000-0000-0000E9910000}"/>
    <cellStyle name="Porcentual 2 4 5 3" xfId="27107" xr:uid="{00000000-0005-0000-0000-0000EA910000}"/>
    <cellStyle name="Porcentual 2 4 5 4" xfId="27108" xr:uid="{00000000-0005-0000-0000-0000EB910000}"/>
    <cellStyle name="Porcentual 2 4 5 5" xfId="27109" xr:uid="{00000000-0005-0000-0000-0000EC910000}"/>
    <cellStyle name="Porcentual 2 4 5 6" xfId="27110" xr:uid="{00000000-0005-0000-0000-0000ED910000}"/>
    <cellStyle name="Porcentual 2 4 5 7" xfId="27111" xr:uid="{00000000-0005-0000-0000-0000EE910000}"/>
    <cellStyle name="Porcentual 2 4 5 8" xfId="27112" xr:uid="{00000000-0005-0000-0000-0000EF910000}"/>
    <cellStyle name="Porcentual 2 4 6" xfId="27113" xr:uid="{00000000-0005-0000-0000-0000F0910000}"/>
    <cellStyle name="Porcentual 2 4 6 2" xfId="27114" xr:uid="{00000000-0005-0000-0000-0000F1910000}"/>
    <cellStyle name="Porcentual 2 4 6 2 2" xfId="27115" xr:uid="{00000000-0005-0000-0000-0000F2910000}"/>
    <cellStyle name="Porcentual 2 4 6 2 3" xfId="27116" xr:uid="{00000000-0005-0000-0000-0000F3910000}"/>
    <cellStyle name="Porcentual 2 4 6 2 4" xfId="27117" xr:uid="{00000000-0005-0000-0000-0000F4910000}"/>
    <cellStyle name="Porcentual 2 4 6 2 5" xfId="27118" xr:uid="{00000000-0005-0000-0000-0000F5910000}"/>
    <cellStyle name="Porcentual 2 4 6 2 6" xfId="27119" xr:uid="{00000000-0005-0000-0000-0000F6910000}"/>
    <cellStyle name="Porcentual 2 4 6 2 7" xfId="27120" xr:uid="{00000000-0005-0000-0000-0000F7910000}"/>
    <cellStyle name="Porcentual 2 4 6 3" xfId="27121" xr:uid="{00000000-0005-0000-0000-0000F8910000}"/>
    <cellStyle name="Porcentual 2 4 6 4" xfId="27122" xr:uid="{00000000-0005-0000-0000-0000F9910000}"/>
    <cellStyle name="Porcentual 2 4 6 5" xfId="27123" xr:uid="{00000000-0005-0000-0000-0000FA910000}"/>
    <cellStyle name="Porcentual 2 4 6 6" xfId="27124" xr:uid="{00000000-0005-0000-0000-0000FB910000}"/>
    <cellStyle name="Porcentual 2 4 6 7" xfId="27125" xr:uid="{00000000-0005-0000-0000-0000FC910000}"/>
    <cellStyle name="Porcentual 2 4 6 8" xfId="27126" xr:uid="{00000000-0005-0000-0000-0000FD910000}"/>
    <cellStyle name="Porcentual 2 4 7" xfId="27127" xr:uid="{00000000-0005-0000-0000-0000FE910000}"/>
    <cellStyle name="Porcentual 2 4 7 2" xfId="27128" xr:uid="{00000000-0005-0000-0000-0000FF910000}"/>
    <cellStyle name="Porcentual 2 4 7 2 2" xfId="27129" xr:uid="{00000000-0005-0000-0000-000000920000}"/>
    <cellStyle name="Porcentual 2 4 7 2 3" xfId="27130" xr:uid="{00000000-0005-0000-0000-000001920000}"/>
    <cellStyle name="Porcentual 2 4 7 2 4" xfId="27131" xr:uid="{00000000-0005-0000-0000-000002920000}"/>
    <cellStyle name="Porcentual 2 4 7 2 5" xfId="27132" xr:uid="{00000000-0005-0000-0000-000003920000}"/>
    <cellStyle name="Porcentual 2 4 7 2 6" xfId="27133" xr:uid="{00000000-0005-0000-0000-000004920000}"/>
    <cellStyle name="Porcentual 2 4 7 2 7" xfId="27134" xr:uid="{00000000-0005-0000-0000-000005920000}"/>
    <cellStyle name="Porcentual 2 4 7 3" xfId="27135" xr:uid="{00000000-0005-0000-0000-000006920000}"/>
    <cellStyle name="Porcentual 2 4 7 4" xfId="27136" xr:uid="{00000000-0005-0000-0000-000007920000}"/>
    <cellStyle name="Porcentual 2 4 7 5" xfId="27137" xr:uid="{00000000-0005-0000-0000-000008920000}"/>
    <cellStyle name="Porcentual 2 4 7 6" xfId="27138" xr:uid="{00000000-0005-0000-0000-000009920000}"/>
    <cellStyle name="Porcentual 2 4 7 7" xfId="27139" xr:uid="{00000000-0005-0000-0000-00000A920000}"/>
    <cellStyle name="Porcentual 2 4 7 8" xfId="27140" xr:uid="{00000000-0005-0000-0000-00000B920000}"/>
    <cellStyle name="Porcentual 2 4 8" xfId="27141" xr:uid="{00000000-0005-0000-0000-00000C920000}"/>
    <cellStyle name="Porcentual 2 4 8 2" xfId="27142" xr:uid="{00000000-0005-0000-0000-00000D920000}"/>
    <cellStyle name="Porcentual 2 4 8 2 2" xfId="27143" xr:uid="{00000000-0005-0000-0000-00000E920000}"/>
    <cellStyle name="Porcentual 2 4 8 2 3" xfId="27144" xr:uid="{00000000-0005-0000-0000-00000F920000}"/>
    <cellStyle name="Porcentual 2 4 8 2 4" xfId="27145" xr:uid="{00000000-0005-0000-0000-000010920000}"/>
    <cellStyle name="Porcentual 2 4 8 2 5" xfId="27146" xr:uid="{00000000-0005-0000-0000-000011920000}"/>
    <cellStyle name="Porcentual 2 4 8 2 6" xfId="27147" xr:uid="{00000000-0005-0000-0000-000012920000}"/>
    <cellStyle name="Porcentual 2 4 8 2 7" xfId="27148" xr:uid="{00000000-0005-0000-0000-000013920000}"/>
    <cellStyle name="Porcentual 2 4 8 3" xfId="27149" xr:uid="{00000000-0005-0000-0000-000014920000}"/>
    <cellStyle name="Porcentual 2 4 8 4" xfId="27150" xr:uid="{00000000-0005-0000-0000-000015920000}"/>
    <cellStyle name="Porcentual 2 4 8 5" xfId="27151" xr:uid="{00000000-0005-0000-0000-000016920000}"/>
    <cellStyle name="Porcentual 2 4 8 6" xfId="27152" xr:uid="{00000000-0005-0000-0000-000017920000}"/>
    <cellStyle name="Porcentual 2 4 8 7" xfId="27153" xr:uid="{00000000-0005-0000-0000-000018920000}"/>
    <cellStyle name="Porcentual 2 4 8 8" xfId="27154" xr:uid="{00000000-0005-0000-0000-000019920000}"/>
    <cellStyle name="Porcentual 2 4 9" xfId="27155" xr:uid="{00000000-0005-0000-0000-00001A920000}"/>
    <cellStyle name="Porcentual 2 4 9 2" xfId="27156" xr:uid="{00000000-0005-0000-0000-00001B920000}"/>
    <cellStyle name="Porcentual 2 4 9 2 2" xfId="27157" xr:uid="{00000000-0005-0000-0000-00001C920000}"/>
    <cellStyle name="Porcentual 2 4 9 2 3" xfId="27158" xr:uid="{00000000-0005-0000-0000-00001D920000}"/>
    <cellStyle name="Porcentual 2 4 9 2 4" xfId="27159" xr:uid="{00000000-0005-0000-0000-00001E920000}"/>
    <cellStyle name="Porcentual 2 4 9 2 5" xfId="27160" xr:uid="{00000000-0005-0000-0000-00001F920000}"/>
    <cellStyle name="Porcentual 2 4 9 2 6" xfId="27161" xr:uid="{00000000-0005-0000-0000-000020920000}"/>
    <cellStyle name="Porcentual 2 4 9 2 7" xfId="27162" xr:uid="{00000000-0005-0000-0000-000021920000}"/>
    <cellStyle name="Porcentual 2 4 9 3" xfId="27163" xr:uid="{00000000-0005-0000-0000-000022920000}"/>
    <cellStyle name="Porcentual 2 4 9 4" xfId="27164" xr:uid="{00000000-0005-0000-0000-000023920000}"/>
    <cellStyle name="Porcentual 2 4 9 5" xfId="27165" xr:uid="{00000000-0005-0000-0000-000024920000}"/>
    <cellStyle name="Porcentual 2 4 9 6" xfId="27166" xr:uid="{00000000-0005-0000-0000-000025920000}"/>
    <cellStyle name="Porcentual 2 4 9 7" xfId="27167" xr:uid="{00000000-0005-0000-0000-000026920000}"/>
    <cellStyle name="Porcentual 2 4 9 8" xfId="27168" xr:uid="{00000000-0005-0000-0000-000027920000}"/>
    <cellStyle name="Porcentual 2 5" xfId="27169" xr:uid="{00000000-0005-0000-0000-000028920000}"/>
    <cellStyle name="Porcentual 2 5 10" xfId="27170" xr:uid="{00000000-0005-0000-0000-000029920000}"/>
    <cellStyle name="Porcentual 2 5 10 2" xfId="27171" xr:uid="{00000000-0005-0000-0000-00002A920000}"/>
    <cellStyle name="Porcentual 2 5 10 2 2" xfId="27172" xr:uid="{00000000-0005-0000-0000-00002B920000}"/>
    <cellStyle name="Porcentual 2 5 10 2 3" xfId="27173" xr:uid="{00000000-0005-0000-0000-00002C920000}"/>
    <cellStyle name="Porcentual 2 5 10 2 4" xfId="27174" xr:uid="{00000000-0005-0000-0000-00002D920000}"/>
    <cellStyle name="Porcentual 2 5 10 2 5" xfId="27175" xr:uid="{00000000-0005-0000-0000-00002E920000}"/>
    <cellStyle name="Porcentual 2 5 10 2 6" xfId="27176" xr:uid="{00000000-0005-0000-0000-00002F920000}"/>
    <cellStyle name="Porcentual 2 5 10 2 7" xfId="27177" xr:uid="{00000000-0005-0000-0000-000030920000}"/>
    <cellStyle name="Porcentual 2 5 10 3" xfId="27178" xr:uid="{00000000-0005-0000-0000-000031920000}"/>
    <cellStyle name="Porcentual 2 5 10 4" xfId="27179" xr:uid="{00000000-0005-0000-0000-000032920000}"/>
    <cellStyle name="Porcentual 2 5 10 5" xfId="27180" xr:uid="{00000000-0005-0000-0000-000033920000}"/>
    <cellStyle name="Porcentual 2 5 10 6" xfId="27181" xr:uid="{00000000-0005-0000-0000-000034920000}"/>
    <cellStyle name="Porcentual 2 5 10 7" xfId="27182" xr:uid="{00000000-0005-0000-0000-000035920000}"/>
    <cellStyle name="Porcentual 2 5 10 8" xfId="27183" xr:uid="{00000000-0005-0000-0000-000036920000}"/>
    <cellStyle name="Porcentual 2 5 11" xfId="27184" xr:uid="{00000000-0005-0000-0000-000037920000}"/>
    <cellStyle name="Porcentual 2 5 11 2" xfId="27185" xr:uid="{00000000-0005-0000-0000-000038920000}"/>
    <cellStyle name="Porcentual 2 5 11 2 2" xfId="27186" xr:uid="{00000000-0005-0000-0000-000039920000}"/>
    <cellStyle name="Porcentual 2 5 11 2 3" xfId="27187" xr:uid="{00000000-0005-0000-0000-00003A920000}"/>
    <cellStyle name="Porcentual 2 5 11 2 4" xfId="27188" xr:uid="{00000000-0005-0000-0000-00003B920000}"/>
    <cellStyle name="Porcentual 2 5 11 2 5" xfId="27189" xr:uid="{00000000-0005-0000-0000-00003C920000}"/>
    <cellStyle name="Porcentual 2 5 11 2 6" xfId="27190" xr:uid="{00000000-0005-0000-0000-00003D920000}"/>
    <cellStyle name="Porcentual 2 5 11 2 7" xfId="27191" xr:uid="{00000000-0005-0000-0000-00003E920000}"/>
    <cellStyle name="Porcentual 2 5 11 3" xfId="27192" xr:uid="{00000000-0005-0000-0000-00003F920000}"/>
    <cellStyle name="Porcentual 2 5 11 4" xfId="27193" xr:uid="{00000000-0005-0000-0000-000040920000}"/>
    <cellStyle name="Porcentual 2 5 11 5" xfId="27194" xr:uid="{00000000-0005-0000-0000-000041920000}"/>
    <cellStyle name="Porcentual 2 5 11 6" xfId="27195" xr:uid="{00000000-0005-0000-0000-000042920000}"/>
    <cellStyle name="Porcentual 2 5 11 7" xfId="27196" xr:uid="{00000000-0005-0000-0000-000043920000}"/>
    <cellStyle name="Porcentual 2 5 11 8" xfId="27197" xr:uid="{00000000-0005-0000-0000-000044920000}"/>
    <cellStyle name="Porcentual 2 5 12" xfId="27198" xr:uid="{00000000-0005-0000-0000-000045920000}"/>
    <cellStyle name="Porcentual 2 5 12 2" xfId="27199" xr:uid="{00000000-0005-0000-0000-000046920000}"/>
    <cellStyle name="Porcentual 2 5 12 2 2" xfId="27200" xr:uid="{00000000-0005-0000-0000-000047920000}"/>
    <cellStyle name="Porcentual 2 5 12 2 3" xfId="27201" xr:uid="{00000000-0005-0000-0000-000048920000}"/>
    <cellStyle name="Porcentual 2 5 12 2 4" xfId="27202" xr:uid="{00000000-0005-0000-0000-000049920000}"/>
    <cellStyle name="Porcentual 2 5 12 2 5" xfId="27203" xr:uid="{00000000-0005-0000-0000-00004A920000}"/>
    <cellStyle name="Porcentual 2 5 12 2 6" xfId="27204" xr:uid="{00000000-0005-0000-0000-00004B920000}"/>
    <cellStyle name="Porcentual 2 5 12 2 7" xfId="27205" xr:uid="{00000000-0005-0000-0000-00004C920000}"/>
    <cellStyle name="Porcentual 2 5 12 3" xfId="27206" xr:uid="{00000000-0005-0000-0000-00004D920000}"/>
    <cellStyle name="Porcentual 2 5 12 4" xfId="27207" xr:uid="{00000000-0005-0000-0000-00004E920000}"/>
    <cellStyle name="Porcentual 2 5 12 5" xfId="27208" xr:uid="{00000000-0005-0000-0000-00004F920000}"/>
    <cellStyle name="Porcentual 2 5 12 6" xfId="27209" xr:uid="{00000000-0005-0000-0000-000050920000}"/>
    <cellStyle name="Porcentual 2 5 12 7" xfId="27210" xr:uid="{00000000-0005-0000-0000-000051920000}"/>
    <cellStyle name="Porcentual 2 5 12 8" xfId="27211" xr:uid="{00000000-0005-0000-0000-000052920000}"/>
    <cellStyle name="Porcentual 2 5 13" xfId="27212" xr:uid="{00000000-0005-0000-0000-000053920000}"/>
    <cellStyle name="Porcentual 2 5 13 2" xfId="27213" xr:uid="{00000000-0005-0000-0000-000054920000}"/>
    <cellStyle name="Porcentual 2 5 13 2 2" xfId="27214" xr:uid="{00000000-0005-0000-0000-000055920000}"/>
    <cellStyle name="Porcentual 2 5 13 2 3" xfId="27215" xr:uid="{00000000-0005-0000-0000-000056920000}"/>
    <cellStyle name="Porcentual 2 5 13 2 4" xfId="27216" xr:uid="{00000000-0005-0000-0000-000057920000}"/>
    <cellStyle name="Porcentual 2 5 13 2 5" xfId="27217" xr:uid="{00000000-0005-0000-0000-000058920000}"/>
    <cellStyle name="Porcentual 2 5 13 2 6" xfId="27218" xr:uid="{00000000-0005-0000-0000-000059920000}"/>
    <cellStyle name="Porcentual 2 5 13 2 7" xfId="27219" xr:uid="{00000000-0005-0000-0000-00005A920000}"/>
    <cellStyle name="Porcentual 2 5 13 3" xfId="27220" xr:uid="{00000000-0005-0000-0000-00005B920000}"/>
    <cellStyle name="Porcentual 2 5 13 4" xfId="27221" xr:uid="{00000000-0005-0000-0000-00005C920000}"/>
    <cellStyle name="Porcentual 2 5 13 5" xfId="27222" xr:uid="{00000000-0005-0000-0000-00005D920000}"/>
    <cellStyle name="Porcentual 2 5 13 6" xfId="27223" xr:uid="{00000000-0005-0000-0000-00005E920000}"/>
    <cellStyle name="Porcentual 2 5 13 7" xfId="27224" xr:uid="{00000000-0005-0000-0000-00005F920000}"/>
    <cellStyle name="Porcentual 2 5 13 8" xfId="27225" xr:uid="{00000000-0005-0000-0000-000060920000}"/>
    <cellStyle name="Porcentual 2 5 14" xfId="27226" xr:uid="{00000000-0005-0000-0000-000061920000}"/>
    <cellStyle name="Porcentual 2 5 14 2" xfId="27227" xr:uid="{00000000-0005-0000-0000-000062920000}"/>
    <cellStyle name="Porcentual 2 5 14 2 2" xfId="27228" xr:uid="{00000000-0005-0000-0000-000063920000}"/>
    <cellStyle name="Porcentual 2 5 14 2 3" xfId="27229" xr:uid="{00000000-0005-0000-0000-000064920000}"/>
    <cellStyle name="Porcentual 2 5 14 2 4" xfId="27230" xr:uid="{00000000-0005-0000-0000-000065920000}"/>
    <cellStyle name="Porcentual 2 5 14 2 5" xfId="27231" xr:uid="{00000000-0005-0000-0000-000066920000}"/>
    <cellStyle name="Porcentual 2 5 14 2 6" xfId="27232" xr:uid="{00000000-0005-0000-0000-000067920000}"/>
    <cellStyle name="Porcentual 2 5 14 2 7" xfId="27233" xr:uid="{00000000-0005-0000-0000-000068920000}"/>
    <cellStyle name="Porcentual 2 5 14 3" xfId="27234" xr:uid="{00000000-0005-0000-0000-000069920000}"/>
    <cellStyle name="Porcentual 2 5 14 4" xfId="27235" xr:uid="{00000000-0005-0000-0000-00006A920000}"/>
    <cellStyle name="Porcentual 2 5 14 5" xfId="27236" xr:uid="{00000000-0005-0000-0000-00006B920000}"/>
    <cellStyle name="Porcentual 2 5 14 6" xfId="27237" xr:uid="{00000000-0005-0000-0000-00006C920000}"/>
    <cellStyle name="Porcentual 2 5 14 7" xfId="27238" xr:uid="{00000000-0005-0000-0000-00006D920000}"/>
    <cellStyle name="Porcentual 2 5 14 8" xfId="27239" xr:uid="{00000000-0005-0000-0000-00006E920000}"/>
    <cellStyle name="Porcentual 2 5 15" xfId="27240" xr:uid="{00000000-0005-0000-0000-00006F920000}"/>
    <cellStyle name="Porcentual 2 5 15 2" xfId="27241" xr:uid="{00000000-0005-0000-0000-000070920000}"/>
    <cellStyle name="Porcentual 2 5 15 2 2" xfId="27242" xr:uid="{00000000-0005-0000-0000-000071920000}"/>
    <cellStyle name="Porcentual 2 5 15 2 3" xfId="27243" xr:uid="{00000000-0005-0000-0000-000072920000}"/>
    <cellStyle name="Porcentual 2 5 15 2 4" xfId="27244" xr:uid="{00000000-0005-0000-0000-000073920000}"/>
    <cellStyle name="Porcentual 2 5 15 2 5" xfId="27245" xr:uid="{00000000-0005-0000-0000-000074920000}"/>
    <cellStyle name="Porcentual 2 5 15 2 6" xfId="27246" xr:uid="{00000000-0005-0000-0000-000075920000}"/>
    <cellStyle name="Porcentual 2 5 15 2 7" xfId="27247" xr:uid="{00000000-0005-0000-0000-000076920000}"/>
    <cellStyle name="Porcentual 2 5 15 3" xfId="27248" xr:uid="{00000000-0005-0000-0000-000077920000}"/>
    <cellStyle name="Porcentual 2 5 15 4" xfId="27249" xr:uid="{00000000-0005-0000-0000-000078920000}"/>
    <cellStyle name="Porcentual 2 5 15 5" xfId="27250" xr:uid="{00000000-0005-0000-0000-000079920000}"/>
    <cellStyle name="Porcentual 2 5 15 6" xfId="27251" xr:uid="{00000000-0005-0000-0000-00007A920000}"/>
    <cellStyle name="Porcentual 2 5 15 7" xfId="27252" xr:uid="{00000000-0005-0000-0000-00007B920000}"/>
    <cellStyle name="Porcentual 2 5 15 8" xfId="27253" xr:uid="{00000000-0005-0000-0000-00007C920000}"/>
    <cellStyle name="Porcentual 2 5 16" xfId="27254" xr:uid="{00000000-0005-0000-0000-00007D920000}"/>
    <cellStyle name="Porcentual 2 5 16 2" xfId="27255" xr:uid="{00000000-0005-0000-0000-00007E920000}"/>
    <cellStyle name="Porcentual 2 5 16 3" xfId="27256" xr:uid="{00000000-0005-0000-0000-00007F920000}"/>
    <cellStyle name="Porcentual 2 5 16 4" xfId="27257" xr:uid="{00000000-0005-0000-0000-000080920000}"/>
    <cellStyle name="Porcentual 2 5 16 5" xfId="27258" xr:uid="{00000000-0005-0000-0000-000081920000}"/>
    <cellStyle name="Porcentual 2 5 16 6" xfId="27259" xr:uid="{00000000-0005-0000-0000-000082920000}"/>
    <cellStyle name="Porcentual 2 5 16 7" xfId="27260" xr:uid="{00000000-0005-0000-0000-000083920000}"/>
    <cellStyle name="Porcentual 2 5 17" xfId="27261" xr:uid="{00000000-0005-0000-0000-000084920000}"/>
    <cellStyle name="Porcentual 2 5 17 2" xfId="27262" xr:uid="{00000000-0005-0000-0000-000085920000}"/>
    <cellStyle name="Porcentual 2 5 17 3" xfId="27263" xr:uid="{00000000-0005-0000-0000-000086920000}"/>
    <cellStyle name="Porcentual 2 5 17 4" xfId="27264" xr:uid="{00000000-0005-0000-0000-000087920000}"/>
    <cellStyle name="Porcentual 2 5 17 5" xfId="27265" xr:uid="{00000000-0005-0000-0000-000088920000}"/>
    <cellStyle name="Porcentual 2 5 17 6" xfId="27266" xr:uid="{00000000-0005-0000-0000-000089920000}"/>
    <cellStyle name="Porcentual 2 5 17 7" xfId="27267" xr:uid="{00000000-0005-0000-0000-00008A920000}"/>
    <cellStyle name="Porcentual 2 5 18" xfId="27268" xr:uid="{00000000-0005-0000-0000-00008B920000}"/>
    <cellStyle name="Porcentual 2 5 18 2" xfId="27269" xr:uid="{00000000-0005-0000-0000-00008C920000}"/>
    <cellStyle name="Porcentual 2 5 18 3" xfId="27270" xr:uid="{00000000-0005-0000-0000-00008D920000}"/>
    <cellStyle name="Porcentual 2 5 18 4" xfId="27271" xr:uid="{00000000-0005-0000-0000-00008E920000}"/>
    <cellStyle name="Porcentual 2 5 18 5" xfId="27272" xr:uid="{00000000-0005-0000-0000-00008F920000}"/>
    <cellStyle name="Porcentual 2 5 18 6" xfId="27273" xr:uid="{00000000-0005-0000-0000-000090920000}"/>
    <cellStyle name="Porcentual 2 5 18 7" xfId="27274" xr:uid="{00000000-0005-0000-0000-000091920000}"/>
    <cellStyle name="Porcentual 2 5 19" xfId="27275" xr:uid="{00000000-0005-0000-0000-000092920000}"/>
    <cellStyle name="Porcentual 2 5 19 2" xfId="27276" xr:uid="{00000000-0005-0000-0000-000093920000}"/>
    <cellStyle name="Porcentual 2 5 19 3" xfId="27277" xr:uid="{00000000-0005-0000-0000-000094920000}"/>
    <cellStyle name="Porcentual 2 5 19 4" xfId="27278" xr:uid="{00000000-0005-0000-0000-000095920000}"/>
    <cellStyle name="Porcentual 2 5 19 5" xfId="27279" xr:uid="{00000000-0005-0000-0000-000096920000}"/>
    <cellStyle name="Porcentual 2 5 19 6" xfId="27280" xr:uid="{00000000-0005-0000-0000-000097920000}"/>
    <cellStyle name="Porcentual 2 5 19 7" xfId="27281" xr:uid="{00000000-0005-0000-0000-000098920000}"/>
    <cellStyle name="Porcentual 2 5 2" xfId="27282" xr:uid="{00000000-0005-0000-0000-000099920000}"/>
    <cellStyle name="Porcentual 2 5 2 2" xfId="27283" xr:uid="{00000000-0005-0000-0000-00009A920000}"/>
    <cellStyle name="Porcentual 2 5 2 2 2" xfId="27284" xr:uid="{00000000-0005-0000-0000-00009B920000}"/>
    <cellStyle name="Porcentual 2 5 2 2 3" xfId="27285" xr:uid="{00000000-0005-0000-0000-00009C920000}"/>
    <cellStyle name="Porcentual 2 5 2 2 4" xfId="27286" xr:uid="{00000000-0005-0000-0000-00009D920000}"/>
    <cellStyle name="Porcentual 2 5 2 2 5" xfId="27287" xr:uid="{00000000-0005-0000-0000-00009E920000}"/>
    <cellStyle name="Porcentual 2 5 2 2 6" xfId="27288" xr:uid="{00000000-0005-0000-0000-00009F920000}"/>
    <cellStyle name="Porcentual 2 5 2 2 7" xfId="27289" xr:uid="{00000000-0005-0000-0000-0000A0920000}"/>
    <cellStyle name="Porcentual 2 5 2 3" xfId="27290" xr:uid="{00000000-0005-0000-0000-0000A1920000}"/>
    <cellStyle name="Porcentual 2 5 2 4" xfId="27291" xr:uid="{00000000-0005-0000-0000-0000A2920000}"/>
    <cellStyle name="Porcentual 2 5 2 5" xfId="27292" xr:uid="{00000000-0005-0000-0000-0000A3920000}"/>
    <cellStyle name="Porcentual 2 5 2 6" xfId="27293" xr:uid="{00000000-0005-0000-0000-0000A4920000}"/>
    <cellStyle name="Porcentual 2 5 2 7" xfId="27294" xr:uid="{00000000-0005-0000-0000-0000A5920000}"/>
    <cellStyle name="Porcentual 2 5 2 8" xfId="27295" xr:uid="{00000000-0005-0000-0000-0000A6920000}"/>
    <cellStyle name="Porcentual 2 5 20" xfId="27296" xr:uid="{00000000-0005-0000-0000-0000A7920000}"/>
    <cellStyle name="Porcentual 2 5 20 2" xfId="27297" xr:uid="{00000000-0005-0000-0000-0000A8920000}"/>
    <cellStyle name="Porcentual 2 5 20 3" xfId="27298" xr:uid="{00000000-0005-0000-0000-0000A9920000}"/>
    <cellStyle name="Porcentual 2 5 20 4" xfId="27299" xr:uid="{00000000-0005-0000-0000-0000AA920000}"/>
    <cellStyle name="Porcentual 2 5 20 5" xfId="27300" xr:uid="{00000000-0005-0000-0000-0000AB920000}"/>
    <cellStyle name="Porcentual 2 5 20 6" xfId="27301" xr:uid="{00000000-0005-0000-0000-0000AC920000}"/>
    <cellStyle name="Porcentual 2 5 20 7" xfId="27302" xr:uid="{00000000-0005-0000-0000-0000AD920000}"/>
    <cellStyle name="Porcentual 2 5 21" xfId="27303" xr:uid="{00000000-0005-0000-0000-0000AE920000}"/>
    <cellStyle name="Porcentual 2 5 21 2" xfId="27304" xr:uid="{00000000-0005-0000-0000-0000AF920000}"/>
    <cellStyle name="Porcentual 2 5 21 3" xfId="27305" xr:uid="{00000000-0005-0000-0000-0000B0920000}"/>
    <cellStyle name="Porcentual 2 5 21 4" xfId="27306" xr:uid="{00000000-0005-0000-0000-0000B1920000}"/>
    <cellStyle name="Porcentual 2 5 21 5" xfId="27307" xr:uid="{00000000-0005-0000-0000-0000B2920000}"/>
    <cellStyle name="Porcentual 2 5 21 6" xfId="27308" xr:uid="{00000000-0005-0000-0000-0000B3920000}"/>
    <cellStyle name="Porcentual 2 5 21 7" xfId="27309" xr:uid="{00000000-0005-0000-0000-0000B4920000}"/>
    <cellStyle name="Porcentual 2 5 22" xfId="27310" xr:uid="{00000000-0005-0000-0000-0000B5920000}"/>
    <cellStyle name="Porcentual 2 5 22 2" xfId="27311" xr:uid="{00000000-0005-0000-0000-0000B6920000}"/>
    <cellStyle name="Porcentual 2 5 22 3" xfId="27312" xr:uid="{00000000-0005-0000-0000-0000B7920000}"/>
    <cellStyle name="Porcentual 2 5 22 4" xfId="27313" xr:uid="{00000000-0005-0000-0000-0000B8920000}"/>
    <cellStyle name="Porcentual 2 5 22 5" xfId="27314" xr:uid="{00000000-0005-0000-0000-0000B9920000}"/>
    <cellStyle name="Porcentual 2 5 22 6" xfId="27315" xr:uid="{00000000-0005-0000-0000-0000BA920000}"/>
    <cellStyle name="Porcentual 2 5 22 7" xfId="27316" xr:uid="{00000000-0005-0000-0000-0000BB920000}"/>
    <cellStyle name="Porcentual 2 5 23" xfId="27317" xr:uid="{00000000-0005-0000-0000-0000BC920000}"/>
    <cellStyle name="Porcentual 2 5 23 2" xfId="27318" xr:uid="{00000000-0005-0000-0000-0000BD920000}"/>
    <cellStyle name="Porcentual 2 5 23 3" xfId="27319" xr:uid="{00000000-0005-0000-0000-0000BE920000}"/>
    <cellStyle name="Porcentual 2 5 23 4" xfId="27320" xr:uid="{00000000-0005-0000-0000-0000BF920000}"/>
    <cellStyle name="Porcentual 2 5 23 5" xfId="27321" xr:uid="{00000000-0005-0000-0000-0000C0920000}"/>
    <cellStyle name="Porcentual 2 5 23 6" xfId="27322" xr:uid="{00000000-0005-0000-0000-0000C1920000}"/>
    <cellStyle name="Porcentual 2 5 23 7" xfId="27323" xr:uid="{00000000-0005-0000-0000-0000C2920000}"/>
    <cellStyle name="Porcentual 2 5 24" xfId="27324" xr:uid="{00000000-0005-0000-0000-0000C3920000}"/>
    <cellStyle name="Porcentual 2 5 24 2" xfId="27325" xr:uid="{00000000-0005-0000-0000-0000C4920000}"/>
    <cellStyle name="Porcentual 2 5 24 3" xfId="27326" xr:uid="{00000000-0005-0000-0000-0000C5920000}"/>
    <cellStyle name="Porcentual 2 5 24 4" xfId="27327" xr:uid="{00000000-0005-0000-0000-0000C6920000}"/>
    <cellStyle name="Porcentual 2 5 24 5" xfId="27328" xr:uid="{00000000-0005-0000-0000-0000C7920000}"/>
    <cellStyle name="Porcentual 2 5 24 6" xfId="27329" xr:uid="{00000000-0005-0000-0000-0000C8920000}"/>
    <cellStyle name="Porcentual 2 5 24 7" xfId="27330" xr:uid="{00000000-0005-0000-0000-0000C9920000}"/>
    <cellStyle name="Porcentual 2 5 25" xfId="27331" xr:uid="{00000000-0005-0000-0000-0000CA920000}"/>
    <cellStyle name="Porcentual 2 5 25 2" xfId="27332" xr:uid="{00000000-0005-0000-0000-0000CB920000}"/>
    <cellStyle name="Porcentual 2 5 25 3" xfId="27333" xr:uid="{00000000-0005-0000-0000-0000CC920000}"/>
    <cellStyle name="Porcentual 2 5 25 4" xfId="27334" xr:uid="{00000000-0005-0000-0000-0000CD920000}"/>
    <cellStyle name="Porcentual 2 5 25 5" xfId="27335" xr:uid="{00000000-0005-0000-0000-0000CE920000}"/>
    <cellStyle name="Porcentual 2 5 25 6" xfId="27336" xr:uid="{00000000-0005-0000-0000-0000CF920000}"/>
    <cellStyle name="Porcentual 2 5 25 7" xfId="27337" xr:uid="{00000000-0005-0000-0000-0000D0920000}"/>
    <cellStyle name="Porcentual 2 5 26" xfId="27338" xr:uid="{00000000-0005-0000-0000-0000D1920000}"/>
    <cellStyle name="Porcentual 2 5 26 2" xfId="27339" xr:uid="{00000000-0005-0000-0000-0000D2920000}"/>
    <cellStyle name="Porcentual 2 5 26 3" xfId="27340" xr:uid="{00000000-0005-0000-0000-0000D3920000}"/>
    <cellStyle name="Porcentual 2 5 26 4" xfId="27341" xr:uid="{00000000-0005-0000-0000-0000D4920000}"/>
    <cellStyle name="Porcentual 2 5 26 5" xfId="27342" xr:uid="{00000000-0005-0000-0000-0000D5920000}"/>
    <cellStyle name="Porcentual 2 5 26 6" xfId="27343" xr:uid="{00000000-0005-0000-0000-0000D6920000}"/>
    <cellStyle name="Porcentual 2 5 26 7" xfId="27344" xr:uid="{00000000-0005-0000-0000-0000D7920000}"/>
    <cellStyle name="Porcentual 2 5 27" xfId="27345" xr:uid="{00000000-0005-0000-0000-0000D8920000}"/>
    <cellStyle name="Porcentual 2 5 27 2" xfId="27346" xr:uid="{00000000-0005-0000-0000-0000D9920000}"/>
    <cellStyle name="Porcentual 2 5 27 3" xfId="27347" xr:uid="{00000000-0005-0000-0000-0000DA920000}"/>
    <cellStyle name="Porcentual 2 5 27 4" xfId="27348" xr:uid="{00000000-0005-0000-0000-0000DB920000}"/>
    <cellStyle name="Porcentual 2 5 27 5" xfId="27349" xr:uid="{00000000-0005-0000-0000-0000DC920000}"/>
    <cellStyle name="Porcentual 2 5 27 6" xfId="27350" xr:uid="{00000000-0005-0000-0000-0000DD920000}"/>
    <cellStyle name="Porcentual 2 5 27 7" xfId="27351" xr:uid="{00000000-0005-0000-0000-0000DE920000}"/>
    <cellStyle name="Porcentual 2 5 28" xfId="27352" xr:uid="{00000000-0005-0000-0000-0000DF920000}"/>
    <cellStyle name="Porcentual 2 5 28 2" xfId="27353" xr:uid="{00000000-0005-0000-0000-0000E0920000}"/>
    <cellStyle name="Porcentual 2 5 28 3" xfId="27354" xr:uid="{00000000-0005-0000-0000-0000E1920000}"/>
    <cellStyle name="Porcentual 2 5 28 4" xfId="27355" xr:uid="{00000000-0005-0000-0000-0000E2920000}"/>
    <cellStyle name="Porcentual 2 5 28 5" xfId="27356" xr:uid="{00000000-0005-0000-0000-0000E3920000}"/>
    <cellStyle name="Porcentual 2 5 28 6" xfId="27357" xr:uid="{00000000-0005-0000-0000-0000E4920000}"/>
    <cellStyle name="Porcentual 2 5 28 7" xfId="27358" xr:uid="{00000000-0005-0000-0000-0000E5920000}"/>
    <cellStyle name="Porcentual 2 5 29" xfId="27359" xr:uid="{00000000-0005-0000-0000-0000E6920000}"/>
    <cellStyle name="Porcentual 2 5 29 2" xfId="27360" xr:uid="{00000000-0005-0000-0000-0000E7920000}"/>
    <cellStyle name="Porcentual 2 5 29 3" xfId="27361" xr:uid="{00000000-0005-0000-0000-0000E8920000}"/>
    <cellStyle name="Porcentual 2 5 29 4" xfId="27362" xr:uid="{00000000-0005-0000-0000-0000E9920000}"/>
    <cellStyle name="Porcentual 2 5 29 5" xfId="27363" xr:uid="{00000000-0005-0000-0000-0000EA920000}"/>
    <cellStyle name="Porcentual 2 5 29 6" xfId="27364" xr:uid="{00000000-0005-0000-0000-0000EB920000}"/>
    <cellStyle name="Porcentual 2 5 29 7" xfId="27365" xr:uid="{00000000-0005-0000-0000-0000EC920000}"/>
    <cellStyle name="Porcentual 2 5 3" xfId="27366" xr:uid="{00000000-0005-0000-0000-0000ED920000}"/>
    <cellStyle name="Porcentual 2 5 3 2" xfId="27367" xr:uid="{00000000-0005-0000-0000-0000EE920000}"/>
    <cellStyle name="Porcentual 2 5 3 2 2" xfId="27368" xr:uid="{00000000-0005-0000-0000-0000EF920000}"/>
    <cellStyle name="Porcentual 2 5 3 2 3" xfId="27369" xr:uid="{00000000-0005-0000-0000-0000F0920000}"/>
    <cellStyle name="Porcentual 2 5 3 2 4" xfId="27370" xr:uid="{00000000-0005-0000-0000-0000F1920000}"/>
    <cellStyle name="Porcentual 2 5 3 2 5" xfId="27371" xr:uid="{00000000-0005-0000-0000-0000F2920000}"/>
    <cellStyle name="Porcentual 2 5 3 2 6" xfId="27372" xr:uid="{00000000-0005-0000-0000-0000F3920000}"/>
    <cellStyle name="Porcentual 2 5 3 2 7" xfId="27373" xr:uid="{00000000-0005-0000-0000-0000F4920000}"/>
    <cellStyle name="Porcentual 2 5 3 3" xfId="27374" xr:uid="{00000000-0005-0000-0000-0000F5920000}"/>
    <cellStyle name="Porcentual 2 5 3 4" xfId="27375" xr:uid="{00000000-0005-0000-0000-0000F6920000}"/>
    <cellStyle name="Porcentual 2 5 3 5" xfId="27376" xr:uid="{00000000-0005-0000-0000-0000F7920000}"/>
    <cellStyle name="Porcentual 2 5 3 6" xfId="27377" xr:uid="{00000000-0005-0000-0000-0000F8920000}"/>
    <cellStyle name="Porcentual 2 5 3 7" xfId="27378" xr:uid="{00000000-0005-0000-0000-0000F9920000}"/>
    <cellStyle name="Porcentual 2 5 3 8" xfId="27379" xr:uid="{00000000-0005-0000-0000-0000FA920000}"/>
    <cellStyle name="Porcentual 2 5 30" xfId="27380" xr:uid="{00000000-0005-0000-0000-0000FB920000}"/>
    <cellStyle name="Porcentual 2 5 30 2" xfId="27381" xr:uid="{00000000-0005-0000-0000-0000FC920000}"/>
    <cellStyle name="Porcentual 2 5 30 3" xfId="27382" xr:uid="{00000000-0005-0000-0000-0000FD920000}"/>
    <cellStyle name="Porcentual 2 5 30 4" xfId="27383" xr:uid="{00000000-0005-0000-0000-0000FE920000}"/>
    <cellStyle name="Porcentual 2 5 30 5" xfId="27384" xr:uid="{00000000-0005-0000-0000-0000FF920000}"/>
    <cellStyle name="Porcentual 2 5 30 6" xfId="27385" xr:uid="{00000000-0005-0000-0000-000000930000}"/>
    <cellStyle name="Porcentual 2 5 30 7" xfId="27386" xr:uid="{00000000-0005-0000-0000-000001930000}"/>
    <cellStyle name="Porcentual 2 5 31" xfId="27387" xr:uid="{00000000-0005-0000-0000-000002930000}"/>
    <cellStyle name="Porcentual 2 5 31 2" xfId="27388" xr:uid="{00000000-0005-0000-0000-000003930000}"/>
    <cellStyle name="Porcentual 2 5 31 3" xfId="27389" xr:uid="{00000000-0005-0000-0000-000004930000}"/>
    <cellStyle name="Porcentual 2 5 31 4" xfId="27390" xr:uid="{00000000-0005-0000-0000-000005930000}"/>
    <cellStyle name="Porcentual 2 5 31 5" xfId="27391" xr:uid="{00000000-0005-0000-0000-000006930000}"/>
    <cellStyle name="Porcentual 2 5 31 6" xfId="27392" xr:uid="{00000000-0005-0000-0000-000007930000}"/>
    <cellStyle name="Porcentual 2 5 31 7" xfId="27393" xr:uid="{00000000-0005-0000-0000-000008930000}"/>
    <cellStyle name="Porcentual 2 5 32" xfId="27394" xr:uid="{00000000-0005-0000-0000-000009930000}"/>
    <cellStyle name="Porcentual 2 5 32 2" xfId="27395" xr:uid="{00000000-0005-0000-0000-00000A930000}"/>
    <cellStyle name="Porcentual 2 5 32 3" xfId="27396" xr:uid="{00000000-0005-0000-0000-00000B930000}"/>
    <cellStyle name="Porcentual 2 5 32 4" xfId="27397" xr:uid="{00000000-0005-0000-0000-00000C930000}"/>
    <cellStyle name="Porcentual 2 5 32 5" xfId="27398" xr:uid="{00000000-0005-0000-0000-00000D930000}"/>
    <cellStyle name="Porcentual 2 5 32 6" xfId="27399" xr:uid="{00000000-0005-0000-0000-00000E930000}"/>
    <cellStyle name="Porcentual 2 5 32 7" xfId="27400" xr:uid="{00000000-0005-0000-0000-00000F930000}"/>
    <cellStyle name="Porcentual 2 5 33" xfId="27401" xr:uid="{00000000-0005-0000-0000-000010930000}"/>
    <cellStyle name="Porcentual 2 5 33 2" xfId="27402" xr:uid="{00000000-0005-0000-0000-000011930000}"/>
    <cellStyle name="Porcentual 2 5 33 3" xfId="27403" xr:uid="{00000000-0005-0000-0000-000012930000}"/>
    <cellStyle name="Porcentual 2 5 33 4" xfId="27404" xr:uid="{00000000-0005-0000-0000-000013930000}"/>
    <cellStyle name="Porcentual 2 5 33 5" xfId="27405" xr:uid="{00000000-0005-0000-0000-000014930000}"/>
    <cellStyle name="Porcentual 2 5 33 6" xfId="27406" xr:uid="{00000000-0005-0000-0000-000015930000}"/>
    <cellStyle name="Porcentual 2 5 33 7" xfId="27407" xr:uid="{00000000-0005-0000-0000-000016930000}"/>
    <cellStyle name="Porcentual 2 5 34" xfId="27408" xr:uid="{00000000-0005-0000-0000-000017930000}"/>
    <cellStyle name="Porcentual 2 5 34 2" xfId="27409" xr:uid="{00000000-0005-0000-0000-000018930000}"/>
    <cellStyle name="Porcentual 2 5 34 3" xfId="27410" xr:uid="{00000000-0005-0000-0000-000019930000}"/>
    <cellStyle name="Porcentual 2 5 34 4" xfId="27411" xr:uid="{00000000-0005-0000-0000-00001A930000}"/>
    <cellStyle name="Porcentual 2 5 34 5" xfId="27412" xr:uid="{00000000-0005-0000-0000-00001B930000}"/>
    <cellStyle name="Porcentual 2 5 34 6" xfId="27413" xr:uid="{00000000-0005-0000-0000-00001C930000}"/>
    <cellStyle name="Porcentual 2 5 34 7" xfId="27414" xr:uid="{00000000-0005-0000-0000-00001D930000}"/>
    <cellStyle name="Porcentual 2 5 35" xfId="27415" xr:uid="{00000000-0005-0000-0000-00001E930000}"/>
    <cellStyle name="Porcentual 2 5 35 2" xfId="27416" xr:uid="{00000000-0005-0000-0000-00001F930000}"/>
    <cellStyle name="Porcentual 2 5 35 3" xfId="27417" xr:uid="{00000000-0005-0000-0000-000020930000}"/>
    <cellStyle name="Porcentual 2 5 35 4" xfId="27418" xr:uid="{00000000-0005-0000-0000-000021930000}"/>
    <cellStyle name="Porcentual 2 5 35 5" xfId="27419" xr:uid="{00000000-0005-0000-0000-000022930000}"/>
    <cellStyle name="Porcentual 2 5 35 6" xfId="27420" xr:uid="{00000000-0005-0000-0000-000023930000}"/>
    <cellStyle name="Porcentual 2 5 35 7" xfId="27421" xr:uid="{00000000-0005-0000-0000-000024930000}"/>
    <cellStyle name="Porcentual 2 5 36" xfId="27422" xr:uid="{00000000-0005-0000-0000-000025930000}"/>
    <cellStyle name="Porcentual 2 5 37" xfId="27423" xr:uid="{00000000-0005-0000-0000-000026930000}"/>
    <cellStyle name="Porcentual 2 5 38" xfId="27424" xr:uid="{00000000-0005-0000-0000-000027930000}"/>
    <cellStyle name="Porcentual 2 5 39" xfId="27425" xr:uid="{00000000-0005-0000-0000-000028930000}"/>
    <cellStyle name="Porcentual 2 5 4" xfId="27426" xr:uid="{00000000-0005-0000-0000-000029930000}"/>
    <cellStyle name="Porcentual 2 5 4 2" xfId="27427" xr:uid="{00000000-0005-0000-0000-00002A930000}"/>
    <cellStyle name="Porcentual 2 5 4 2 2" xfId="27428" xr:uid="{00000000-0005-0000-0000-00002B930000}"/>
    <cellStyle name="Porcentual 2 5 4 2 3" xfId="27429" xr:uid="{00000000-0005-0000-0000-00002C930000}"/>
    <cellStyle name="Porcentual 2 5 4 2 4" xfId="27430" xr:uid="{00000000-0005-0000-0000-00002D930000}"/>
    <cellStyle name="Porcentual 2 5 4 2 5" xfId="27431" xr:uid="{00000000-0005-0000-0000-00002E930000}"/>
    <cellStyle name="Porcentual 2 5 4 2 6" xfId="27432" xr:uid="{00000000-0005-0000-0000-00002F930000}"/>
    <cellStyle name="Porcentual 2 5 4 2 7" xfId="27433" xr:uid="{00000000-0005-0000-0000-000030930000}"/>
    <cellStyle name="Porcentual 2 5 4 3" xfId="27434" xr:uid="{00000000-0005-0000-0000-000031930000}"/>
    <cellStyle name="Porcentual 2 5 4 4" xfId="27435" xr:uid="{00000000-0005-0000-0000-000032930000}"/>
    <cellStyle name="Porcentual 2 5 4 5" xfId="27436" xr:uid="{00000000-0005-0000-0000-000033930000}"/>
    <cellStyle name="Porcentual 2 5 4 6" xfId="27437" xr:uid="{00000000-0005-0000-0000-000034930000}"/>
    <cellStyle name="Porcentual 2 5 4 7" xfId="27438" xr:uid="{00000000-0005-0000-0000-000035930000}"/>
    <cellStyle name="Porcentual 2 5 4 8" xfId="27439" xr:uid="{00000000-0005-0000-0000-000036930000}"/>
    <cellStyle name="Porcentual 2 5 40" xfId="27440" xr:uid="{00000000-0005-0000-0000-000037930000}"/>
    <cellStyle name="Porcentual 2 5 41" xfId="27441" xr:uid="{00000000-0005-0000-0000-000038930000}"/>
    <cellStyle name="Porcentual 2 5 5" xfId="27442" xr:uid="{00000000-0005-0000-0000-000039930000}"/>
    <cellStyle name="Porcentual 2 5 5 2" xfId="27443" xr:uid="{00000000-0005-0000-0000-00003A930000}"/>
    <cellStyle name="Porcentual 2 5 5 2 2" xfId="27444" xr:uid="{00000000-0005-0000-0000-00003B930000}"/>
    <cellStyle name="Porcentual 2 5 5 2 3" xfId="27445" xr:uid="{00000000-0005-0000-0000-00003C930000}"/>
    <cellStyle name="Porcentual 2 5 5 2 4" xfId="27446" xr:uid="{00000000-0005-0000-0000-00003D930000}"/>
    <cellStyle name="Porcentual 2 5 5 2 5" xfId="27447" xr:uid="{00000000-0005-0000-0000-00003E930000}"/>
    <cellStyle name="Porcentual 2 5 5 2 6" xfId="27448" xr:uid="{00000000-0005-0000-0000-00003F930000}"/>
    <cellStyle name="Porcentual 2 5 5 2 7" xfId="27449" xr:uid="{00000000-0005-0000-0000-000040930000}"/>
    <cellStyle name="Porcentual 2 5 5 3" xfId="27450" xr:uid="{00000000-0005-0000-0000-000041930000}"/>
    <cellStyle name="Porcentual 2 5 5 4" xfId="27451" xr:uid="{00000000-0005-0000-0000-000042930000}"/>
    <cellStyle name="Porcentual 2 5 5 5" xfId="27452" xr:uid="{00000000-0005-0000-0000-000043930000}"/>
    <cellStyle name="Porcentual 2 5 5 6" xfId="27453" xr:uid="{00000000-0005-0000-0000-000044930000}"/>
    <cellStyle name="Porcentual 2 5 5 7" xfId="27454" xr:uid="{00000000-0005-0000-0000-000045930000}"/>
    <cellStyle name="Porcentual 2 5 5 8" xfId="27455" xr:uid="{00000000-0005-0000-0000-000046930000}"/>
    <cellStyle name="Porcentual 2 5 6" xfId="27456" xr:uid="{00000000-0005-0000-0000-000047930000}"/>
    <cellStyle name="Porcentual 2 5 6 2" xfId="27457" xr:uid="{00000000-0005-0000-0000-000048930000}"/>
    <cellStyle name="Porcentual 2 5 6 2 2" xfId="27458" xr:uid="{00000000-0005-0000-0000-000049930000}"/>
    <cellStyle name="Porcentual 2 5 6 2 3" xfId="27459" xr:uid="{00000000-0005-0000-0000-00004A930000}"/>
    <cellStyle name="Porcentual 2 5 6 2 4" xfId="27460" xr:uid="{00000000-0005-0000-0000-00004B930000}"/>
    <cellStyle name="Porcentual 2 5 6 2 5" xfId="27461" xr:uid="{00000000-0005-0000-0000-00004C930000}"/>
    <cellStyle name="Porcentual 2 5 6 2 6" xfId="27462" xr:uid="{00000000-0005-0000-0000-00004D930000}"/>
    <cellStyle name="Porcentual 2 5 6 2 7" xfId="27463" xr:uid="{00000000-0005-0000-0000-00004E930000}"/>
    <cellStyle name="Porcentual 2 5 6 3" xfId="27464" xr:uid="{00000000-0005-0000-0000-00004F930000}"/>
    <cellStyle name="Porcentual 2 5 6 4" xfId="27465" xr:uid="{00000000-0005-0000-0000-000050930000}"/>
    <cellStyle name="Porcentual 2 5 6 5" xfId="27466" xr:uid="{00000000-0005-0000-0000-000051930000}"/>
    <cellStyle name="Porcentual 2 5 6 6" xfId="27467" xr:uid="{00000000-0005-0000-0000-000052930000}"/>
    <cellStyle name="Porcentual 2 5 6 7" xfId="27468" xr:uid="{00000000-0005-0000-0000-000053930000}"/>
    <cellStyle name="Porcentual 2 5 6 8" xfId="27469" xr:uid="{00000000-0005-0000-0000-000054930000}"/>
    <cellStyle name="Porcentual 2 5 7" xfId="27470" xr:uid="{00000000-0005-0000-0000-000055930000}"/>
    <cellStyle name="Porcentual 2 5 7 2" xfId="27471" xr:uid="{00000000-0005-0000-0000-000056930000}"/>
    <cellStyle name="Porcentual 2 5 7 2 2" xfId="27472" xr:uid="{00000000-0005-0000-0000-000057930000}"/>
    <cellStyle name="Porcentual 2 5 7 2 3" xfId="27473" xr:uid="{00000000-0005-0000-0000-000058930000}"/>
    <cellStyle name="Porcentual 2 5 7 2 4" xfId="27474" xr:uid="{00000000-0005-0000-0000-000059930000}"/>
    <cellStyle name="Porcentual 2 5 7 2 5" xfId="27475" xr:uid="{00000000-0005-0000-0000-00005A930000}"/>
    <cellStyle name="Porcentual 2 5 7 2 6" xfId="27476" xr:uid="{00000000-0005-0000-0000-00005B930000}"/>
    <cellStyle name="Porcentual 2 5 7 2 7" xfId="27477" xr:uid="{00000000-0005-0000-0000-00005C930000}"/>
    <cellStyle name="Porcentual 2 5 7 3" xfId="27478" xr:uid="{00000000-0005-0000-0000-00005D930000}"/>
    <cellStyle name="Porcentual 2 5 7 4" xfId="27479" xr:uid="{00000000-0005-0000-0000-00005E930000}"/>
    <cellStyle name="Porcentual 2 5 7 5" xfId="27480" xr:uid="{00000000-0005-0000-0000-00005F930000}"/>
    <cellStyle name="Porcentual 2 5 7 6" xfId="27481" xr:uid="{00000000-0005-0000-0000-000060930000}"/>
    <cellStyle name="Porcentual 2 5 7 7" xfId="27482" xr:uid="{00000000-0005-0000-0000-000061930000}"/>
    <cellStyle name="Porcentual 2 5 7 8" xfId="27483" xr:uid="{00000000-0005-0000-0000-000062930000}"/>
    <cellStyle name="Porcentual 2 5 8" xfId="27484" xr:uid="{00000000-0005-0000-0000-000063930000}"/>
    <cellStyle name="Porcentual 2 5 8 2" xfId="27485" xr:uid="{00000000-0005-0000-0000-000064930000}"/>
    <cellStyle name="Porcentual 2 5 8 2 2" xfId="27486" xr:uid="{00000000-0005-0000-0000-000065930000}"/>
    <cellStyle name="Porcentual 2 5 8 2 3" xfId="27487" xr:uid="{00000000-0005-0000-0000-000066930000}"/>
    <cellStyle name="Porcentual 2 5 8 2 4" xfId="27488" xr:uid="{00000000-0005-0000-0000-000067930000}"/>
    <cellStyle name="Porcentual 2 5 8 2 5" xfId="27489" xr:uid="{00000000-0005-0000-0000-000068930000}"/>
    <cellStyle name="Porcentual 2 5 8 2 6" xfId="27490" xr:uid="{00000000-0005-0000-0000-000069930000}"/>
    <cellStyle name="Porcentual 2 5 8 2 7" xfId="27491" xr:uid="{00000000-0005-0000-0000-00006A930000}"/>
    <cellStyle name="Porcentual 2 5 8 3" xfId="27492" xr:uid="{00000000-0005-0000-0000-00006B930000}"/>
    <cellStyle name="Porcentual 2 5 8 4" xfId="27493" xr:uid="{00000000-0005-0000-0000-00006C930000}"/>
    <cellStyle name="Porcentual 2 5 8 5" xfId="27494" xr:uid="{00000000-0005-0000-0000-00006D930000}"/>
    <cellStyle name="Porcentual 2 5 8 6" xfId="27495" xr:uid="{00000000-0005-0000-0000-00006E930000}"/>
    <cellStyle name="Porcentual 2 5 8 7" xfId="27496" xr:uid="{00000000-0005-0000-0000-00006F930000}"/>
    <cellStyle name="Porcentual 2 5 8 8" xfId="27497" xr:uid="{00000000-0005-0000-0000-000070930000}"/>
    <cellStyle name="Porcentual 2 5 9" xfId="27498" xr:uid="{00000000-0005-0000-0000-000071930000}"/>
    <cellStyle name="Porcentual 2 5 9 2" xfId="27499" xr:uid="{00000000-0005-0000-0000-000072930000}"/>
    <cellStyle name="Porcentual 2 5 9 2 2" xfId="27500" xr:uid="{00000000-0005-0000-0000-000073930000}"/>
    <cellStyle name="Porcentual 2 5 9 2 3" xfId="27501" xr:uid="{00000000-0005-0000-0000-000074930000}"/>
    <cellStyle name="Porcentual 2 5 9 2 4" xfId="27502" xr:uid="{00000000-0005-0000-0000-000075930000}"/>
    <cellStyle name="Porcentual 2 5 9 2 5" xfId="27503" xr:uid="{00000000-0005-0000-0000-000076930000}"/>
    <cellStyle name="Porcentual 2 5 9 2 6" xfId="27504" xr:uid="{00000000-0005-0000-0000-000077930000}"/>
    <cellStyle name="Porcentual 2 5 9 2 7" xfId="27505" xr:uid="{00000000-0005-0000-0000-000078930000}"/>
    <cellStyle name="Porcentual 2 5 9 3" xfId="27506" xr:uid="{00000000-0005-0000-0000-000079930000}"/>
    <cellStyle name="Porcentual 2 5 9 4" xfId="27507" xr:uid="{00000000-0005-0000-0000-00007A930000}"/>
    <cellStyle name="Porcentual 2 5 9 5" xfId="27508" xr:uid="{00000000-0005-0000-0000-00007B930000}"/>
    <cellStyle name="Porcentual 2 5 9 6" xfId="27509" xr:uid="{00000000-0005-0000-0000-00007C930000}"/>
    <cellStyle name="Porcentual 2 5 9 7" xfId="27510" xr:uid="{00000000-0005-0000-0000-00007D930000}"/>
    <cellStyle name="Porcentual 2 5 9 8" xfId="27511" xr:uid="{00000000-0005-0000-0000-00007E930000}"/>
    <cellStyle name="Porcentual 2 6" xfId="27512" xr:uid="{00000000-0005-0000-0000-00007F930000}"/>
    <cellStyle name="Porcentual 2 6 10" xfId="27513" xr:uid="{00000000-0005-0000-0000-000080930000}"/>
    <cellStyle name="Porcentual 2 6 10 2" xfId="27514" xr:uid="{00000000-0005-0000-0000-000081930000}"/>
    <cellStyle name="Porcentual 2 6 10 2 2" xfId="27515" xr:uid="{00000000-0005-0000-0000-000082930000}"/>
    <cellStyle name="Porcentual 2 6 10 2 3" xfId="27516" xr:uid="{00000000-0005-0000-0000-000083930000}"/>
    <cellStyle name="Porcentual 2 6 10 2 4" xfId="27517" xr:uid="{00000000-0005-0000-0000-000084930000}"/>
    <cellStyle name="Porcentual 2 6 10 2 5" xfId="27518" xr:uid="{00000000-0005-0000-0000-000085930000}"/>
    <cellStyle name="Porcentual 2 6 10 2 6" xfId="27519" xr:uid="{00000000-0005-0000-0000-000086930000}"/>
    <cellStyle name="Porcentual 2 6 10 2 7" xfId="27520" xr:uid="{00000000-0005-0000-0000-000087930000}"/>
    <cellStyle name="Porcentual 2 6 10 3" xfId="27521" xr:uid="{00000000-0005-0000-0000-000088930000}"/>
    <cellStyle name="Porcentual 2 6 10 4" xfId="27522" xr:uid="{00000000-0005-0000-0000-000089930000}"/>
    <cellStyle name="Porcentual 2 6 10 5" xfId="27523" xr:uid="{00000000-0005-0000-0000-00008A930000}"/>
    <cellStyle name="Porcentual 2 6 10 6" xfId="27524" xr:uid="{00000000-0005-0000-0000-00008B930000}"/>
    <cellStyle name="Porcentual 2 6 10 7" xfId="27525" xr:uid="{00000000-0005-0000-0000-00008C930000}"/>
    <cellStyle name="Porcentual 2 6 10 8" xfId="27526" xr:uid="{00000000-0005-0000-0000-00008D930000}"/>
    <cellStyle name="Porcentual 2 6 11" xfId="27527" xr:uid="{00000000-0005-0000-0000-00008E930000}"/>
    <cellStyle name="Porcentual 2 6 11 2" xfId="27528" xr:uid="{00000000-0005-0000-0000-00008F930000}"/>
    <cellStyle name="Porcentual 2 6 11 2 2" xfId="27529" xr:uid="{00000000-0005-0000-0000-000090930000}"/>
    <cellStyle name="Porcentual 2 6 11 2 3" xfId="27530" xr:uid="{00000000-0005-0000-0000-000091930000}"/>
    <cellStyle name="Porcentual 2 6 11 2 4" xfId="27531" xr:uid="{00000000-0005-0000-0000-000092930000}"/>
    <cellStyle name="Porcentual 2 6 11 2 5" xfId="27532" xr:uid="{00000000-0005-0000-0000-000093930000}"/>
    <cellStyle name="Porcentual 2 6 11 2 6" xfId="27533" xr:uid="{00000000-0005-0000-0000-000094930000}"/>
    <cellStyle name="Porcentual 2 6 11 2 7" xfId="27534" xr:uid="{00000000-0005-0000-0000-000095930000}"/>
    <cellStyle name="Porcentual 2 6 11 3" xfId="27535" xr:uid="{00000000-0005-0000-0000-000096930000}"/>
    <cellStyle name="Porcentual 2 6 11 4" xfId="27536" xr:uid="{00000000-0005-0000-0000-000097930000}"/>
    <cellStyle name="Porcentual 2 6 11 5" xfId="27537" xr:uid="{00000000-0005-0000-0000-000098930000}"/>
    <cellStyle name="Porcentual 2 6 11 6" xfId="27538" xr:uid="{00000000-0005-0000-0000-000099930000}"/>
    <cellStyle name="Porcentual 2 6 11 7" xfId="27539" xr:uid="{00000000-0005-0000-0000-00009A930000}"/>
    <cellStyle name="Porcentual 2 6 11 8" xfId="27540" xr:uid="{00000000-0005-0000-0000-00009B930000}"/>
    <cellStyle name="Porcentual 2 6 12" xfId="27541" xr:uid="{00000000-0005-0000-0000-00009C930000}"/>
    <cellStyle name="Porcentual 2 6 12 2" xfId="27542" xr:uid="{00000000-0005-0000-0000-00009D930000}"/>
    <cellStyle name="Porcentual 2 6 12 2 2" xfId="27543" xr:uid="{00000000-0005-0000-0000-00009E930000}"/>
    <cellStyle name="Porcentual 2 6 12 2 3" xfId="27544" xr:uid="{00000000-0005-0000-0000-00009F930000}"/>
    <cellStyle name="Porcentual 2 6 12 2 4" xfId="27545" xr:uid="{00000000-0005-0000-0000-0000A0930000}"/>
    <cellStyle name="Porcentual 2 6 12 2 5" xfId="27546" xr:uid="{00000000-0005-0000-0000-0000A1930000}"/>
    <cellStyle name="Porcentual 2 6 12 2 6" xfId="27547" xr:uid="{00000000-0005-0000-0000-0000A2930000}"/>
    <cellStyle name="Porcentual 2 6 12 2 7" xfId="27548" xr:uid="{00000000-0005-0000-0000-0000A3930000}"/>
    <cellStyle name="Porcentual 2 6 12 3" xfId="27549" xr:uid="{00000000-0005-0000-0000-0000A4930000}"/>
    <cellStyle name="Porcentual 2 6 12 4" xfId="27550" xr:uid="{00000000-0005-0000-0000-0000A5930000}"/>
    <cellStyle name="Porcentual 2 6 12 5" xfId="27551" xr:uid="{00000000-0005-0000-0000-0000A6930000}"/>
    <cellStyle name="Porcentual 2 6 12 6" xfId="27552" xr:uid="{00000000-0005-0000-0000-0000A7930000}"/>
    <cellStyle name="Porcentual 2 6 12 7" xfId="27553" xr:uid="{00000000-0005-0000-0000-0000A8930000}"/>
    <cellStyle name="Porcentual 2 6 12 8" xfId="27554" xr:uid="{00000000-0005-0000-0000-0000A9930000}"/>
    <cellStyle name="Porcentual 2 6 13" xfId="27555" xr:uid="{00000000-0005-0000-0000-0000AA930000}"/>
    <cellStyle name="Porcentual 2 6 13 2" xfId="27556" xr:uid="{00000000-0005-0000-0000-0000AB930000}"/>
    <cellStyle name="Porcentual 2 6 13 2 2" xfId="27557" xr:uid="{00000000-0005-0000-0000-0000AC930000}"/>
    <cellStyle name="Porcentual 2 6 13 2 3" xfId="27558" xr:uid="{00000000-0005-0000-0000-0000AD930000}"/>
    <cellStyle name="Porcentual 2 6 13 2 4" xfId="27559" xr:uid="{00000000-0005-0000-0000-0000AE930000}"/>
    <cellStyle name="Porcentual 2 6 13 2 5" xfId="27560" xr:uid="{00000000-0005-0000-0000-0000AF930000}"/>
    <cellStyle name="Porcentual 2 6 13 2 6" xfId="27561" xr:uid="{00000000-0005-0000-0000-0000B0930000}"/>
    <cellStyle name="Porcentual 2 6 13 2 7" xfId="27562" xr:uid="{00000000-0005-0000-0000-0000B1930000}"/>
    <cellStyle name="Porcentual 2 6 13 3" xfId="27563" xr:uid="{00000000-0005-0000-0000-0000B2930000}"/>
    <cellStyle name="Porcentual 2 6 13 4" xfId="27564" xr:uid="{00000000-0005-0000-0000-0000B3930000}"/>
    <cellStyle name="Porcentual 2 6 13 5" xfId="27565" xr:uid="{00000000-0005-0000-0000-0000B4930000}"/>
    <cellStyle name="Porcentual 2 6 13 6" xfId="27566" xr:uid="{00000000-0005-0000-0000-0000B5930000}"/>
    <cellStyle name="Porcentual 2 6 13 7" xfId="27567" xr:uid="{00000000-0005-0000-0000-0000B6930000}"/>
    <cellStyle name="Porcentual 2 6 13 8" xfId="27568" xr:uid="{00000000-0005-0000-0000-0000B7930000}"/>
    <cellStyle name="Porcentual 2 6 14" xfId="27569" xr:uid="{00000000-0005-0000-0000-0000B8930000}"/>
    <cellStyle name="Porcentual 2 6 14 2" xfId="27570" xr:uid="{00000000-0005-0000-0000-0000B9930000}"/>
    <cellStyle name="Porcentual 2 6 14 2 2" xfId="27571" xr:uid="{00000000-0005-0000-0000-0000BA930000}"/>
    <cellStyle name="Porcentual 2 6 14 2 3" xfId="27572" xr:uid="{00000000-0005-0000-0000-0000BB930000}"/>
    <cellStyle name="Porcentual 2 6 14 2 4" xfId="27573" xr:uid="{00000000-0005-0000-0000-0000BC930000}"/>
    <cellStyle name="Porcentual 2 6 14 2 5" xfId="27574" xr:uid="{00000000-0005-0000-0000-0000BD930000}"/>
    <cellStyle name="Porcentual 2 6 14 2 6" xfId="27575" xr:uid="{00000000-0005-0000-0000-0000BE930000}"/>
    <cellStyle name="Porcentual 2 6 14 2 7" xfId="27576" xr:uid="{00000000-0005-0000-0000-0000BF930000}"/>
    <cellStyle name="Porcentual 2 6 14 3" xfId="27577" xr:uid="{00000000-0005-0000-0000-0000C0930000}"/>
    <cellStyle name="Porcentual 2 6 14 4" xfId="27578" xr:uid="{00000000-0005-0000-0000-0000C1930000}"/>
    <cellStyle name="Porcentual 2 6 14 5" xfId="27579" xr:uid="{00000000-0005-0000-0000-0000C2930000}"/>
    <cellStyle name="Porcentual 2 6 14 6" xfId="27580" xr:uid="{00000000-0005-0000-0000-0000C3930000}"/>
    <cellStyle name="Porcentual 2 6 14 7" xfId="27581" xr:uid="{00000000-0005-0000-0000-0000C4930000}"/>
    <cellStyle name="Porcentual 2 6 14 8" xfId="27582" xr:uid="{00000000-0005-0000-0000-0000C5930000}"/>
    <cellStyle name="Porcentual 2 6 15" xfId="27583" xr:uid="{00000000-0005-0000-0000-0000C6930000}"/>
    <cellStyle name="Porcentual 2 6 15 2" xfId="27584" xr:uid="{00000000-0005-0000-0000-0000C7930000}"/>
    <cellStyle name="Porcentual 2 6 15 2 2" xfId="27585" xr:uid="{00000000-0005-0000-0000-0000C8930000}"/>
    <cellStyle name="Porcentual 2 6 15 2 3" xfId="27586" xr:uid="{00000000-0005-0000-0000-0000C9930000}"/>
    <cellStyle name="Porcentual 2 6 15 2 4" xfId="27587" xr:uid="{00000000-0005-0000-0000-0000CA930000}"/>
    <cellStyle name="Porcentual 2 6 15 2 5" xfId="27588" xr:uid="{00000000-0005-0000-0000-0000CB930000}"/>
    <cellStyle name="Porcentual 2 6 15 2 6" xfId="27589" xr:uid="{00000000-0005-0000-0000-0000CC930000}"/>
    <cellStyle name="Porcentual 2 6 15 2 7" xfId="27590" xr:uid="{00000000-0005-0000-0000-0000CD930000}"/>
    <cellStyle name="Porcentual 2 6 15 3" xfId="27591" xr:uid="{00000000-0005-0000-0000-0000CE930000}"/>
    <cellStyle name="Porcentual 2 6 15 4" xfId="27592" xr:uid="{00000000-0005-0000-0000-0000CF930000}"/>
    <cellStyle name="Porcentual 2 6 15 5" xfId="27593" xr:uid="{00000000-0005-0000-0000-0000D0930000}"/>
    <cellStyle name="Porcentual 2 6 15 6" xfId="27594" xr:uid="{00000000-0005-0000-0000-0000D1930000}"/>
    <cellStyle name="Porcentual 2 6 15 7" xfId="27595" xr:uid="{00000000-0005-0000-0000-0000D2930000}"/>
    <cellStyle name="Porcentual 2 6 15 8" xfId="27596" xr:uid="{00000000-0005-0000-0000-0000D3930000}"/>
    <cellStyle name="Porcentual 2 6 16" xfId="27597" xr:uid="{00000000-0005-0000-0000-0000D4930000}"/>
    <cellStyle name="Porcentual 2 6 16 2" xfId="27598" xr:uid="{00000000-0005-0000-0000-0000D5930000}"/>
    <cellStyle name="Porcentual 2 6 16 3" xfId="27599" xr:uid="{00000000-0005-0000-0000-0000D6930000}"/>
    <cellStyle name="Porcentual 2 6 16 4" xfId="27600" xr:uid="{00000000-0005-0000-0000-0000D7930000}"/>
    <cellStyle name="Porcentual 2 6 16 5" xfId="27601" xr:uid="{00000000-0005-0000-0000-0000D8930000}"/>
    <cellStyle name="Porcentual 2 6 16 6" xfId="27602" xr:uid="{00000000-0005-0000-0000-0000D9930000}"/>
    <cellStyle name="Porcentual 2 6 16 7" xfId="27603" xr:uid="{00000000-0005-0000-0000-0000DA930000}"/>
    <cellStyle name="Porcentual 2 6 17" xfId="27604" xr:uid="{00000000-0005-0000-0000-0000DB930000}"/>
    <cellStyle name="Porcentual 2 6 17 2" xfId="27605" xr:uid="{00000000-0005-0000-0000-0000DC930000}"/>
    <cellStyle name="Porcentual 2 6 17 3" xfId="27606" xr:uid="{00000000-0005-0000-0000-0000DD930000}"/>
    <cellStyle name="Porcentual 2 6 17 4" xfId="27607" xr:uid="{00000000-0005-0000-0000-0000DE930000}"/>
    <cellStyle name="Porcentual 2 6 17 5" xfId="27608" xr:uid="{00000000-0005-0000-0000-0000DF930000}"/>
    <cellStyle name="Porcentual 2 6 17 6" xfId="27609" xr:uid="{00000000-0005-0000-0000-0000E0930000}"/>
    <cellStyle name="Porcentual 2 6 17 7" xfId="27610" xr:uid="{00000000-0005-0000-0000-0000E1930000}"/>
    <cellStyle name="Porcentual 2 6 18" xfId="27611" xr:uid="{00000000-0005-0000-0000-0000E2930000}"/>
    <cellStyle name="Porcentual 2 6 18 2" xfId="27612" xr:uid="{00000000-0005-0000-0000-0000E3930000}"/>
    <cellStyle name="Porcentual 2 6 18 3" xfId="27613" xr:uid="{00000000-0005-0000-0000-0000E4930000}"/>
    <cellStyle name="Porcentual 2 6 18 4" xfId="27614" xr:uid="{00000000-0005-0000-0000-0000E5930000}"/>
    <cellStyle name="Porcentual 2 6 18 5" xfId="27615" xr:uid="{00000000-0005-0000-0000-0000E6930000}"/>
    <cellStyle name="Porcentual 2 6 18 6" xfId="27616" xr:uid="{00000000-0005-0000-0000-0000E7930000}"/>
    <cellStyle name="Porcentual 2 6 18 7" xfId="27617" xr:uid="{00000000-0005-0000-0000-0000E8930000}"/>
    <cellStyle name="Porcentual 2 6 19" xfId="27618" xr:uid="{00000000-0005-0000-0000-0000E9930000}"/>
    <cellStyle name="Porcentual 2 6 19 2" xfId="27619" xr:uid="{00000000-0005-0000-0000-0000EA930000}"/>
    <cellStyle name="Porcentual 2 6 19 3" xfId="27620" xr:uid="{00000000-0005-0000-0000-0000EB930000}"/>
    <cellStyle name="Porcentual 2 6 19 4" xfId="27621" xr:uid="{00000000-0005-0000-0000-0000EC930000}"/>
    <cellStyle name="Porcentual 2 6 19 5" xfId="27622" xr:uid="{00000000-0005-0000-0000-0000ED930000}"/>
    <cellStyle name="Porcentual 2 6 19 6" xfId="27623" xr:uid="{00000000-0005-0000-0000-0000EE930000}"/>
    <cellStyle name="Porcentual 2 6 19 7" xfId="27624" xr:uid="{00000000-0005-0000-0000-0000EF930000}"/>
    <cellStyle name="Porcentual 2 6 2" xfId="27625" xr:uid="{00000000-0005-0000-0000-0000F0930000}"/>
    <cellStyle name="Porcentual 2 6 2 2" xfId="27626" xr:uid="{00000000-0005-0000-0000-0000F1930000}"/>
    <cellStyle name="Porcentual 2 6 2 2 2" xfId="27627" xr:uid="{00000000-0005-0000-0000-0000F2930000}"/>
    <cellStyle name="Porcentual 2 6 2 2 3" xfId="27628" xr:uid="{00000000-0005-0000-0000-0000F3930000}"/>
    <cellStyle name="Porcentual 2 6 2 2 4" xfId="27629" xr:uid="{00000000-0005-0000-0000-0000F4930000}"/>
    <cellStyle name="Porcentual 2 6 2 2 5" xfId="27630" xr:uid="{00000000-0005-0000-0000-0000F5930000}"/>
    <cellStyle name="Porcentual 2 6 2 2 6" xfId="27631" xr:uid="{00000000-0005-0000-0000-0000F6930000}"/>
    <cellStyle name="Porcentual 2 6 2 2 7" xfId="27632" xr:uid="{00000000-0005-0000-0000-0000F7930000}"/>
    <cellStyle name="Porcentual 2 6 2 3" xfId="27633" xr:uid="{00000000-0005-0000-0000-0000F8930000}"/>
    <cellStyle name="Porcentual 2 6 2 4" xfId="27634" xr:uid="{00000000-0005-0000-0000-0000F9930000}"/>
    <cellStyle name="Porcentual 2 6 2 5" xfId="27635" xr:uid="{00000000-0005-0000-0000-0000FA930000}"/>
    <cellStyle name="Porcentual 2 6 2 6" xfId="27636" xr:uid="{00000000-0005-0000-0000-0000FB930000}"/>
    <cellStyle name="Porcentual 2 6 2 7" xfId="27637" xr:uid="{00000000-0005-0000-0000-0000FC930000}"/>
    <cellStyle name="Porcentual 2 6 2 8" xfId="27638" xr:uid="{00000000-0005-0000-0000-0000FD930000}"/>
    <cellStyle name="Porcentual 2 6 20" xfId="27639" xr:uid="{00000000-0005-0000-0000-0000FE930000}"/>
    <cellStyle name="Porcentual 2 6 20 2" xfId="27640" xr:uid="{00000000-0005-0000-0000-0000FF930000}"/>
    <cellStyle name="Porcentual 2 6 20 3" xfId="27641" xr:uid="{00000000-0005-0000-0000-000000940000}"/>
    <cellStyle name="Porcentual 2 6 20 4" xfId="27642" xr:uid="{00000000-0005-0000-0000-000001940000}"/>
    <cellStyle name="Porcentual 2 6 20 5" xfId="27643" xr:uid="{00000000-0005-0000-0000-000002940000}"/>
    <cellStyle name="Porcentual 2 6 20 6" xfId="27644" xr:uid="{00000000-0005-0000-0000-000003940000}"/>
    <cellStyle name="Porcentual 2 6 20 7" xfId="27645" xr:uid="{00000000-0005-0000-0000-000004940000}"/>
    <cellStyle name="Porcentual 2 6 21" xfId="27646" xr:uid="{00000000-0005-0000-0000-000005940000}"/>
    <cellStyle name="Porcentual 2 6 21 2" xfId="27647" xr:uid="{00000000-0005-0000-0000-000006940000}"/>
    <cellStyle name="Porcentual 2 6 21 3" xfId="27648" xr:uid="{00000000-0005-0000-0000-000007940000}"/>
    <cellStyle name="Porcentual 2 6 21 4" xfId="27649" xr:uid="{00000000-0005-0000-0000-000008940000}"/>
    <cellStyle name="Porcentual 2 6 21 5" xfId="27650" xr:uid="{00000000-0005-0000-0000-000009940000}"/>
    <cellStyle name="Porcentual 2 6 21 6" xfId="27651" xr:uid="{00000000-0005-0000-0000-00000A940000}"/>
    <cellStyle name="Porcentual 2 6 21 7" xfId="27652" xr:uid="{00000000-0005-0000-0000-00000B940000}"/>
    <cellStyle name="Porcentual 2 6 22" xfId="27653" xr:uid="{00000000-0005-0000-0000-00000C940000}"/>
    <cellStyle name="Porcentual 2 6 22 2" xfId="27654" xr:uid="{00000000-0005-0000-0000-00000D940000}"/>
    <cellStyle name="Porcentual 2 6 22 3" xfId="27655" xr:uid="{00000000-0005-0000-0000-00000E940000}"/>
    <cellStyle name="Porcentual 2 6 22 4" xfId="27656" xr:uid="{00000000-0005-0000-0000-00000F940000}"/>
    <cellStyle name="Porcentual 2 6 22 5" xfId="27657" xr:uid="{00000000-0005-0000-0000-000010940000}"/>
    <cellStyle name="Porcentual 2 6 22 6" xfId="27658" xr:uid="{00000000-0005-0000-0000-000011940000}"/>
    <cellStyle name="Porcentual 2 6 22 7" xfId="27659" xr:uid="{00000000-0005-0000-0000-000012940000}"/>
    <cellStyle name="Porcentual 2 6 23" xfId="27660" xr:uid="{00000000-0005-0000-0000-000013940000}"/>
    <cellStyle name="Porcentual 2 6 23 2" xfId="27661" xr:uid="{00000000-0005-0000-0000-000014940000}"/>
    <cellStyle name="Porcentual 2 6 23 3" xfId="27662" xr:uid="{00000000-0005-0000-0000-000015940000}"/>
    <cellStyle name="Porcentual 2 6 23 4" xfId="27663" xr:uid="{00000000-0005-0000-0000-000016940000}"/>
    <cellStyle name="Porcentual 2 6 23 5" xfId="27664" xr:uid="{00000000-0005-0000-0000-000017940000}"/>
    <cellStyle name="Porcentual 2 6 23 6" xfId="27665" xr:uid="{00000000-0005-0000-0000-000018940000}"/>
    <cellStyle name="Porcentual 2 6 23 7" xfId="27666" xr:uid="{00000000-0005-0000-0000-000019940000}"/>
    <cellStyle name="Porcentual 2 6 24" xfId="27667" xr:uid="{00000000-0005-0000-0000-00001A940000}"/>
    <cellStyle name="Porcentual 2 6 24 2" xfId="27668" xr:uid="{00000000-0005-0000-0000-00001B940000}"/>
    <cellStyle name="Porcentual 2 6 24 3" xfId="27669" xr:uid="{00000000-0005-0000-0000-00001C940000}"/>
    <cellStyle name="Porcentual 2 6 24 4" xfId="27670" xr:uid="{00000000-0005-0000-0000-00001D940000}"/>
    <cellStyle name="Porcentual 2 6 24 5" xfId="27671" xr:uid="{00000000-0005-0000-0000-00001E940000}"/>
    <cellStyle name="Porcentual 2 6 24 6" xfId="27672" xr:uid="{00000000-0005-0000-0000-00001F940000}"/>
    <cellStyle name="Porcentual 2 6 24 7" xfId="27673" xr:uid="{00000000-0005-0000-0000-000020940000}"/>
    <cellStyle name="Porcentual 2 6 25" xfId="27674" xr:uid="{00000000-0005-0000-0000-000021940000}"/>
    <cellStyle name="Porcentual 2 6 25 2" xfId="27675" xr:uid="{00000000-0005-0000-0000-000022940000}"/>
    <cellStyle name="Porcentual 2 6 25 3" xfId="27676" xr:uid="{00000000-0005-0000-0000-000023940000}"/>
    <cellStyle name="Porcentual 2 6 25 4" xfId="27677" xr:uid="{00000000-0005-0000-0000-000024940000}"/>
    <cellStyle name="Porcentual 2 6 25 5" xfId="27678" xr:uid="{00000000-0005-0000-0000-000025940000}"/>
    <cellStyle name="Porcentual 2 6 25 6" xfId="27679" xr:uid="{00000000-0005-0000-0000-000026940000}"/>
    <cellStyle name="Porcentual 2 6 25 7" xfId="27680" xr:uid="{00000000-0005-0000-0000-000027940000}"/>
    <cellStyle name="Porcentual 2 6 26" xfId="27681" xr:uid="{00000000-0005-0000-0000-000028940000}"/>
    <cellStyle name="Porcentual 2 6 26 2" xfId="27682" xr:uid="{00000000-0005-0000-0000-000029940000}"/>
    <cellStyle name="Porcentual 2 6 26 3" xfId="27683" xr:uid="{00000000-0005-0000-0000-00002A940000}"/>
    <cellStyle name="Porcentual 2 6 26 4" xfId="27684" xr:uid="{00000000-0005-0000-0000-00002B940000}"/>
    <cellStyle name="Porcentual 2 6 26 5" xfId="27685" xr:uid="{00000000-0005-0000-0000-00002C940000}"/>
    <cellStyle name="Porcentual 2 6 26 6" xfId="27686" xr:uid="{00000000-0005-0000-0000-00002D940000}"/>
    <cellStyle name="Porcentual 2 6 26 7" xfId="27687" xr:uid="{00000000-0005-0000-0000-00002E940000}"/>
    <cellStyle name="Porcentual 2 6 27" xfId="27688" xr:uid="{00000000-0005-0000-0000-00002F940000}"/>
    <cellStyle name="Porcentual 2 6 27 2" xfId="27689" xr:uid="{00000000-0005-0000-0000-000030940000}"/>
    <cellStyle name="Porcentual 2 6 27 3" xfId="27690" xr:uid="{00000000-0005-0000-0000-000031940000}"/>
    <cellStyle name="Porcentual 2 6 27 4" xfId="27691" xr:uid="{00000000-0005-0000-0000-000032940000}"/>
    <cellStyle name="Porcentual 2 6 27 5" xfId="27692" xr:uid="{00000000-0005-0000-0000-000033940000}"/>
    <cellStyle name="Porcentual 2 6 27 6" xfId="27693" xr:uid="{00000000-0005-0000-0000-000034940000}"/>
    <cellStyle name="Porcentual 2 6 27 7" xfId="27694" xr:uid="{00000000-0005-0000-0000-000035940000}"/>
    <cellStyle name="Porcentual 2 6 28" xfId="27695" xr:uid="{00000000-0005-0000-0000-000036940000}"/>
    <cellStyle name="Porcentual 2 6 28 2" xfId="27696" xr:uid="{00000000-0005-0000-0000-000037940000}"/>
    <cellStyle name="Porcentual 2 6 28 3" xfId="27697" xr:uid="{00000000-0005-0000-0000-000038940000}"/>
    <cellStyle name="Porcentual 2 6 28 4" xfId="27698" xr:uid="{00000000-0005-0000-0000-000039940000}"/>
    <cellStyle name="Porcentual 2 6 28 5" xfId="27699" xr:uid="{00000000-0005-0000-0000-00003A940000}"/>
    <cellStyle name="Porcentual 2 6 28 6" xfId="27700" xr:uid="{00000000-0005-0000-0000-00003B940000}"/>
    <cellStyle name="Porcentual 2 6 28 7" xfId="27701" xr:uid="{00000000-0005-0000-0000-00003C940000}"/>
    <cellStyle name="Porcentual 2 6 29" xfId="27702" xr:uid="{00000000-0005-0000-0000-00003D940000}"/>
    <cellStyle name="Porcentual 2 6 29 2" xfId="27703" xr:uid="{00000000-0005-0000-0000-00003E940000}"/>
    <cellStyle name="Porcentual 2 6 29 3" xfId="27704" xr:uid="{00000000-0005-0000-0000-00003F940000}"/>
    <cellStyle name="Porcentual 2 6 29 4" xfId="27705" xr:uid="{00000000-0005-0000-0000-000040940000}"/>
    <cellStyle name="Porcentual 2 6 29 5" xfId="27706" xr:uid="{00000000-0005-0000-0000-000041940000}"/>
    <cellStyle name="Porcentual 2 6 29 6" xfId="27707" xr:uid="{00000000-0005-0000-0000-000042940000}"/>
    <cellStyle name="Porcentual 2 6 29 7" xfId="27708" xr:uid="{00000000-0005-0000-0000-000043940000}"/>
    <cellStyle name="Porcentual 2 6 3" xfId="27709" xr:uid="{00000000-0005-0000-0000-000044940000}"/>
    <cellStyle name="Porcentual 2 6 3 2" xfId="27710" xr:uid="{00000000-0005-0000-0000-000045940000}"/>
    <cellStyle name="Porcentual 2 6 3 2 2" xfId="27711" xr:uid="{00000000-0005-0000-0000-000046940000}"/>
    <cellStyle name="Porcentual 2 6 3 2 3" xfId="27712" xr:uid="{00000000-0005-0000-0000-000047940000}"/>
    <cellStyle name="Porcentual 2 6 3 2 4" xfId="27713" xr:uid="{00000000-0005-0000-0000-000048940000}"/>
    <cellStyle name="Porcentual 2 6 3 2 5" xfId="27714" xr:uid="{00000000-0005-0000-0000-000049940000}"/>
    <cellStyle name="Porcentual 2 6 3 2 6" xfId="27715" xr:uid="{00000000-0005-0000-0000-00004A940000}"/>
    <cellStyle name="Porcentual 2 6 3 2 7" xfId="27716" xr:uid="{00000000-0005-0000-0000-00004B940000}"/>
    <cellStyle name="Porcentual 2 6 3 3" xfId="27717" xr:uid="{00000000-0005-0000-0000-00004C940000}"/>
    <cellStyle name="Porcentual 2 6 3 4" xfId="27718" xr:uid="{00000000-0005-0000-0000-00004D940000}"/>
    <cellStyle name="Porcentual 2 6 3 5" xfId="27719" xr:uid="{00000000-0005-0000-0000-00004E940000}"/>
    <cellStyle name="Porcentual 2 6 3 6" xfId="27720" xr:uid="{00000000-0005-0000-0000-00004F940000}"/>
    <cellStyle name="Porcentual 2 6 3 7" xfId="27721" xr:uid="{00000000-0005-0000-0000-000050940000}"/>
    <cellStyle name="Porcentual 2 6 3 8" xfId="27722" xr:uid="{00000000-0005-0000-0000-000051940000}"/>
    <cellStyle name="Porcentual 2 6 30" xfId="27723" xr:uid="{00000000-0005-0000-0000-000052940000}"/>
    <cellStyle name="Porcentual 2 6 30 2" xfId="27724" xr:uid="{00000000-0005-0000-0000-000053940000}"/>
    <cellStyle name="Porcentual 2 6 30 3" xfId="27725" xr:uid="{00000000-0005-0000-0000-000054940000}"/>
    <cellStyle name="Porcentual 2 6 30 4" xfId="27726" xr:uid="{00000000-0005-0000-0000-000055940000}"/>
    <cellStyle name="Porcentual 2 6 30 5" xfId="27727" xr:uid="{00000000-0005-0000-0000-000056940000}"/>
    <cellStyle name="Porcentual 2 6 30 6" xfId="27728" xr:uid="{00000000-0005-0000-0000-000057940000}"/>
    <cellStyle name="Porcentual 2 6 30 7" xfId="27729" xr:uid="{00000000-0005-0000-0000-000058940000}"/>
    <cellStyle name="Porcentual 2 6 31" xfId="27730" xr:uid="{00000000-0005-0000-0000-000059940000}"/>
    <cellStyle name="Porcentual 2 6 31 2" xfId="27731" xr:uid="{00000000-0005-0000-0000-00005A940000}"/>
    <cellStyle name="Porcentual 2 6 31 3" xfId="27732" xr:uid="{00000000-0005-0000-0000-00005B940000}"/>
    <cellStyle name="Porcentual 2 6 31 4" xfId="27733" xr:uid="{00000000-0005-0000-0000-00005C940000}"/>
    <cellStyle name="Porcentual 2 6 31 5" xfId="27734" xr:uid="{00000000-0005-0000-0000-00005D940000}"/>
    <cellStyle name="Porcentual 2 6 31 6" xfId="27735" xr:uid="{00000000-0005-0000-0000-00005E940000}"/>
    <cellStyle name="Porcentual 2 6 31 7" xfId="27736" xr:uid="{00000000-0005-0000-0000-00005F940000}"/>
    <cellStyle name="Porcentual 2 6 32" xfId="27737" xr:uid="{00000000-0005-0000-0000-000060940000}"/>
    <cellStyle name="Porcentual 2 6 32 2" xfId="27738" xr:uid="{00000000-0005-0000-0000-000061940000}"/>
    <cellStyle name="Porcentual 2 6 32 3" xfId="27739" xr:uid="{00000000-0005-0000-0000-000062940000}"/>
    <cellStyle name="Porcentual 2 6 32 4" xfId="27740" xr:uid="{00000000-0005-0000-0000-000063940000}"/>
    <cellStyle name="Porcentual 2 6 32 5" xfId="27741" xr:uid="{00000000-0005-0000-0000-000064940000}"/>
    <cellStyle name="Porcentual 2 6 32 6" xfId="27742" xr:uid="{00000000-0005-0000-0000-000065940000}"/>
    <cellStyle name="Porcentual 2 6 32 7" xfId="27743" xr:uid="{00000000-0005-0000-0000-000066940000}"/>
    <cellStyle name="Porcentual 2 6 33" xfId="27744" xr:uid="{00000000-0005-0000-0000-000067940000}"/>
    <cellStyle name="Porcentual 2 6 33 2" xfId="27745" xr:uid="{00000000-0005-0000-0000-000068940000}"/>
    <cellStyle name="Porcentual 2 6 33 3" xfId="27746" xr:uid="{00000000-0005-0000-0000-000069940000}"/>
    <cellStyle name="Porcentual 2 6 33 4" xfId="27747" xr:uid="{00000000-0005-0000-0000-00006A940000}"/>
    <cellStyle name="Porcentual 2 6 33 5" xfId="27748" xr:uid="{00000000-0005-0000-0000-00006B940000}"/>
    <cellStyle name="Porcentual 2 6 33 6" xfId="27749" xr:uid="{00000000-0005-0000-0000-00006C940000}"/>
    <cellStyle name="Porcentual 2 6 33 7" xfId="27750" xr:uid="{00000000-0005-0000-0000-00006D940000}"/>
    <cellStyle name="Porcentual 2 6 34" xfId="27751" xr:uid="{00000000-0005-0000-0000-00006E940000}"/>
    <cellStyle name="Porcentual 2 6 34 2" xfId="27752" xr:uid="{00000000-0005-0000-0000-00006F940000}"/>
    <cellStyle name="Porcentual 2 6 34 3" xfId="27753" xr:uid="{00000000-0005-0000-0000-000070940000}"/>
    <cellStyle name="Porcentual 2 6 34 4" xfId="27754" xr:uid="{00000000-0005-0000-0000-000071940000}"/>
    <cellStyle name="Porcentual 2 6 34 5" xfId="27755" xr:uid="{00000000-0005-0000-0000-000072940000}"/>
    <cellStyle name="Porcentual 2 6 34 6" xfId="27756" xr:uid="{00000000-0005-0000-0000-000073940000}"/>
    <cellStyle name="Porcentual 2 6 34 7" xfId="27757" xr:uid="{00000000-0005-0000-0000-000074940000}"/>
    <cellStyle name="Porcentual 2 6 35" xfId="27758" xr:uid="{00000000-0005-0000-0000-000075940000}"/>
    <cellStyle name="Porcentual 2 6 35 2" xfId="27759" xr:uid="{00000000-0005-0000-0000-000076940000}"/>
    <cellStyle name="Porcentual 2 6 35 3" xfId="27760" xr:uid="{00000000-0005-0000-0000-000077940000}"/>
    <cellStyle name="Porcentual 2 6 35 4" xfId="27761" xr:uid="{00000000-0005-0000-0000-000078940000}"/>
    <cellStyle name="Porcentual 2 6 35 5" xfId="27762" xr:uid="{00000000-0005-0000-0000-000079940000}"/>
    <cellStyle name="Porcentual 2 6 35 6" xfId="27763" xr:uid="{00000000-0005-0000-0000-00007A940000}"/>
    <cellStyle name="Porcentual 2 6 35 7" xfId="27764" xr:uid="{00000000-0005-0000-0000-00007B940000}"/>
    <cellStyle name="Porcentual 2 6 36" xfId="27765" xr:uid="{00000000-0005-0000-0000-00007C940000}"/>
    <cellStyle name="Porcentual 2 6 37" xfId="27766" xr:uid="{00000000-0005-0000-0000-00007D940000}"/>
    <cellStyle name="Porcentual 2 6 38" xfId="27767" xr:uid="{00000000-0005-0000-0000-00007E940000}"/>
    <cellStyle name="Porcentual 2 6 39" xfId="27768" xr:uid="{00000000-0005-0000-0000-00007F940000}"/>
    <cellStyle name="Porcentual 2 6 4" xfId="27769" xr:uid="{00000000-0005-0000-0000-000080940000}"/>
    <cellStyle name="Porcentual 2 6 4 2" xfId="27770" xr:uid="{00000000-0005-0000-0000-000081940000}"/>
    <cellStyle name="Porcentual 2 6 4 2 2" xfId="27771" xr:uid="{00000000-0005-0000-0000-000082940000}"/>
    <cellStyle name="Porcentual 2 6 4 2 3" xfId="27772" xr:uid="{00000000-0005-0000-0000-000083940000}"/>
    <cellStyle name="Porcentual 2 6 4 2 4" xfId="27773" xr:uid="{00000000-0005-0000-0000-000084940000}"/>
    <cellStyle name="Porcentual 2 6 4 2 5" xfId="27774" xr:uid="{00000000-0005-0000-0000-000085940000}"/>
    <cellStyle name="Porcentual 2 6 4 2 6" xfId="27775" xr:uid="{00000000-0005-0000-0000-000086940000}"/>
    <cellStyle name="Porcentual 2 6 4 2 7" xfId="27776" xr:uid="{00000000-0005-0000-0000-000087940000}"/>
    <cellStyle name="Porcentual 2 6 4 3" xfId="27777" xr:uid="{00000000-0005-0000-0000-000088940000}"/>
    <cellStyle name="Porcentual 2 6 4 4" xfId="27778" xr:uid="{00000000-0005-0000-0000-000089940000}"/>
    <cellStyle name="Porcentual 2 6 4 5" xfId="27779" xr:uid="{00000000-0005-0000-0000-00008A940000}"/>
    <cellStyle name="Porcentual 2 6 4 6" xfId="27780" xr:uid="{00000000-0005-0000-0000-00008B940000}"/>
    <cellStyle name="Porcentual 2 6 4 7" xfId="27781" xr:uid="{00000000-0005-0000-0000-00008C940000}"/>
    <cellStyle name="Porcentual 2 6 4 8" xfId="27782" xr:uid="{00000000-0005-0000-0000-00008D940000}"/>
    <cellStyle name="Porcentual 2 6 40" xfId="27783" xr:uid="{00000000-0005-0000-0000-00008E940000}"/>
    <cellStyle name="Porcentual 2 6 41" xfId="27784" xr:uid="{00000000-0005-0000-0000-00008F940000}"/>
    <cellStyle name="Porcentual 2 6 5" xfId="27785" xr:uid="{00000000-0005-0000-0000-000090940000}"/>
    <cellStyle name="Porcentual 2 6 5 2" xfId="27786" xr:uid="{00000000-0005-0000-0000-000091940000}"/>
    <cellStyle name="Porcentual 2 6 5 2 2" xfId="27787" xr:uid="{00000000-0005-0000-0000-000092940000}"/>
    <cellStyle name="Porcentual 2 6 5 2 3" xfId="27788" xr:uid="{00000000-0005-0000-0000-000093940000}"/>
    <cellStyle name="Porcentual 2 6 5 2 4" xfId="27789" xr:uid="{00000000-0005-0000-0000-000094940000}"/>
    <cellStyle name="Porcentual 2 6 5 2 5" xfId="27790" xr:uid="{00000000-0005-0000-0000-000095940000}"/>
    <cellStyle name="Porcentual 2 6 5 2 6" xfId="27791" xr:uid="{00000000-0005-0000-0000-000096940000}"/>
    <cellStyle name="Porcentual 2 6 5 2 7" xfId="27792" xr:uid="{00000000-0005-0000-0000-000097940000}"/>
    <cellStyle name="Porcentual 2 6 5 3" xfId="27793" xr:uid="{00000000-0005-0000-0000-000098940000}"/>
    <cellStyle name="Porcentual 2 6 5 4" xfId="27794" xr:uid="{00000000-0005-0000-0000-000099940000}"/>
    <cellStyle name="Porcentual 2 6 5 5" xfId="27795" xr:uid="{00000000-0005-0000-0000-00009A940000}"/>
    <cellStyle name="Porcentual 2 6 5 6" xfId="27796" xr:uid="{00000000-0005-0000-0000-00009B940000}"/>
    <cellStyle name="Porcentual 2 6 5 7" xfId="27797" xr:uid="{00000000-0005-0000-0000-00009C940000}"/>
    <cellStyle name="Porcentual 2 6 5 8" xfId="27798" xr:uid="{00000000-0005-0000-0000-00009D940000}"/>
    <cellStyle name="Porcentual 2 6 6" xfId="27799" xr:uid="{00000000-0005-0000-0000-00009E940000}"/>
    <cellStyle name="Porcentual 2 6 6 2" xfId="27800" xr:uid="{00000000-0005-0000-0000-00009F940000}"/>
    <cellStyle name="Porcentual 2 6 6 2 2" xfId="27801" xr:uid="{00000000-0005-0000-0000-0000A0940000}"/>
    <cellStyle name="Porcentual 2 6 6 2 3" xfId="27802" xr:uid="{00000000-0005-0000-0000-0000A1940000}"/>
    <cellStyle name="Porcentual 2 6 6 2 4" xfId="27803" xr:uid="{00000000-0005-0000-0000-0000A2940000}"/>
    <cellStyle name="Porcentual 2 6 6 2 5" xfId="27804" xr:uid="{00000000-0005-0000-0000-0000A3940000}"/>
    <cellStyle name="Porcentual 2 6 6 2 6" xfId="27805" xr:uid="{00000000-0005-0000-0000-0000A4940000}"/>
    <cellStyle name="Porcentual 2 6 6 2 7" xfId="27806" xr:uid="{00000000-0005-0000-0000-0000A5940000}"/>
    <cellStyle name="Porcentual 2 6 6 3" xfId="27807" xr:uid="{00000000-0005-0000-0000-0000A6940000}"/>
    <cellStyle name="Porcentual 2 6 6 4" xfId="27808" xr:uid="{00000000-0005-0000-0000-0000A7940000}"/>
    <cellStyle name="Porcentual 2 6 6 5" xfId="27809" xr:uid="{00000000-0005-0000-0000-0000A8940000}"/>
    <cellStyle name="Porcentual 2 6 6 6" xfId="27810" xr:uid="{00000000-0005-0000-0000-0000A9940000}"/>
    <cellStyle name="Porcentual 2 6 6 7" xfId="27811" xr:uid="{00000000-0005-0000-0000-0000AA940000}"/>
    <cellStyle name="Porcentual 2 6 6 8" xfId="27812" xr:uid="{00000000-0005-0000-0000-0000AB940000}"/>
    <cellStyle name="Porcentual 2 6 7" xfId="27813" xr:uid="{00000000-0005-0000-0000-0000AC940000}"/>
    <cellStyle name="Porcentual 2 6 7 2" xfId="27814" xr:uid="{00000000-0005-0000-0000-0000AD940000}"/>
    <cellStyle name="Porcentual 2 6 7 2 2" xfId="27815" xr:uid="{00000000-0005-0000-0000-0000AE940000}"/>
    <cellStyle name="Porcentual 2 6 7 2 3" xfId="27816" xr:uid="{00000000-0005-0000-0000-0000AF940000}"/>
    <cellStyle name="Porcentual 2 6 7 2 4" xfId="27817" xr:uid="{00000000-0005-0000-0000-0000B0940000}"/>
    <cellStyle name="Porcentual 2 6 7 2 5" xfId="27818" xr:uid="{00000000-0005-0000-0000-0000B1940000}"/>
    <cellStyle name="Porcentual 2 6 7 2 6" xfId="27819" xr:uid="{00000000-0005-0000-0000-0000B2940000}"/>
    <cellStyle name="Porcentual 2 6 7 2 7" xfId="27820" xr:uid="{00000000-0005-0000-0000-0000B3940000}"/>
    <cellStyle name="Porcentual 2 6 7 3" xfId="27821" xr:uid="{00000000-0005-0000-0000-0000B4940000}"/>
    <cellStyle name="Porcentual 2 6 7 4" xfId="27822" xr:uid="{00000000-0005-0000-0000-0000B5940000}"/>
    <cellStyle name="Porcentual 2 6 7 5" xfId="27823" xr:uid="{00000000-0005-0000-0000-0000B6940000}"/>
    <cellStyle name="Porcentual 2 6 7 6" xfId="27824" xr:uid="{00000000-0005-0000-0000-0000B7940000}"/>
    <cellStyle name="Porcentual 2 6 7 7" xfId="27825" xr:uid="{00000000-0005-0000-0000-0000B8940000}"/>
    <cellStyle name="Porcentual 2 6 7 8" xfId="27826" xr:uid="{00000000-0005-0000-0000-0000B9940000}"/>
    <cellStyle name="Porcentual 2 6 8" xfId="27827" xr:uid="{00000000-0005-0000-0000-0000BA940000}"/>
    <cellStyle name="Porcentual 2 6 8 2" xfId="27828" xr:uid="{00000000-0005-0000-0000-0000BB940000}"/>
    <cellStyle name="Porcentual 2 6 8 2 2" xfId="27829" xr:uid="{00000000-0005-0000-0000-0000BC940000}"/>
    <cellStyle name="Porcentual 2 6 8 2 3" xfId="27830" xr:uid="{00000000-0005-0000-0000-0000BD940000}"/>
    <cellStyle name="Porcentual 2 6 8 2 4" xfId="27831" xr:uid="{00000000-0005-0000-0000-0000BE940000}"/>
    <cellStyle name="Porcentual 2 6 8 2 5" xfId="27832" xr:uid="{00000000-0005-0000-0000-0000BF940000}"/>
    <cellStyle name="Porcentual 2 6 8 2 6" xfId="27833" xr:uid="{00000000-0005-0000-0000-0000C0940000}"/>
    <cellStyle name="Porcentual 2 6 8 2 7" xfId="27834" xr:uid="{00000000-0005-0000-0000-0000C1940000}"/>
    <cellStyle name="Porcentual 2 6 8 3" xfId="27835" xr:uid="{00000000-0005-0000-0000-0000C2940000}"/>
    <cellStyle name="Porcentual 2 6 8 4" xfId="27836" xr:uid="{00000000-0005-0000-0000-0000C3940000}"/>
    <cellStyle name="Porcentual 2 6 8 5" xfId="27837" xr:uid="{00000000-0005-0000-0000-0000C4940000}"/>
    <cellStyle name="Porcentual 2 6 8 6" xfId="27838" xr:uid="{00000000-0005-0000-0000-0000C5940000}"/>
    <cellStyle name="Porcentual 2 6 8 7" xfId="27839" xr:uid="{00000000-0005-0000-0000-0000C6940000}"/>
    <cellStyle name="Porcentual 2 6 8 8" xfId="27840" xr:uid="{00000000-0005-0000-0000-0000C7940000}"/>
    <cellStyle name="Porcentual 2 6 9" xfId="27841" xr:uid="{00000000-0005-0000-0000-0000C8940000}"/>
    <cellStyle name="Porcentual 2 6 9 2" xfId="27842" xr:uid="{00000000-0005-0000-0000-0000C9940000}"/>
    <cellStyle name="Porcentual 2 6 9 2 2" xfId="27843" xr:uid="{00000000-0005-0000-0000-0000CA940000}"/>
    <cellStyle name="Porcentual 2 6 9 2 3" xfId="27844" xr:uid="{00000000-0005-0000-0000-0000CB940000}"/>
    <cellStyle name="Porcentual 2 6 9 2 4" xfId="27845" xr:uid="{00000000-0005-0000-0000-0000CC940000}"/>
    <cellStyle name="Porcentual 2 6 9 2 5" xfId="27846" xr:uid="{00000000-0005-0000-0000-0000CD940000}"/>
    <cellStyle name="Porcentual 2 6 9 2 6" xfId="27847" xr:uid="{00000000-0005-0000-0000-0000CE940000}"/>
    <cellStyle name="Porcentual 2 6 9 2 7" xfId="27848" xr:uid="{00000000-0005-0000-0000-0000CF940000}"/>
    <cellStyle name="Porcentual 2 6 9 3" xfId="27849" xr:uid="{00000000-0005-0000-0000-0000D0940000}"/>
    <cellStyle name="Porcentual 2 6 9 4" xfId="27850" xr:uid="{00000000-0005-0000-0000-0000D1940000}"/>
    <cellStyle name="Porcentual 2 6 9 5" xfId="27851" xr:uid="{00000000-0005-0000-0000-0000D2940000}"/>
    <cellStyle name="Porcentual 2 6 9 6" xfId="27852" xr:uid="{00000000-0005-0000-0000-0000D3940000}"/>
    <cellStyle name="Porcentual 2 6 9 7" xfId="27853" xr:uid="{00000000-0005-0000-0000-0000D4940000}"/>
    <cellStyle name="Porcentual 2 6 9 8" xfId="27854" xr:uid="{00000000-0005-0000-0000-0000D5940000}"/>
    <cellStyle name="Porcentual 2 7" xfId="27855" xr:uid="{00000000-0005-0000-0000-0000D6940000}"/>
    <cellStyle name="Porcentual 2 7 10" xfId="27856" xr:uid="{00000000-0005-0000-0000-0000D7940000}"/>
    <cellStyle name="Porcentual 2 7 10 2" xfId="27857" xr:uid="{00000000-0005-0000-0000-0000D8940000}"/>
    <cellStyle name="Porcentual 2 7 10 2 2" xfId="27858" xr:uid="{00000000-0005-0000-0000-0000D9940000}"/>
    <cellStyle name="Porcentual 2 7 10 2 3" xfId="27859" xr:uid="{00000000-0005-0000-0000-0000DA940000}"/>
    <cellStyle name="Porcentual 2 7 10 2 4" xfId="27860" xr:uid="{00000000-0005-0000-0000-0000DB940000}"/>
    <cellStyle name="Porcentual 2 7 10 2 5" xfId="27861" xr:uid="{00000000-0005-0000-0000-0000DC940000}"/>
    <cellStyle name="Porcentual 2 7 10 2 6" xfId="27862" xr:uid="{00000000-0005-0000-0000-0000DD940000}"/>
    <cellStyle name="Porcentual 2 7 10 2 7" xfId="27863" xr:uid="{00000000-0005-0000-0000-0000DE940000}"/>
    <cellStyle name="Porcentual 2 7 10 3" xfId="27864" xr:uid="{00000000-0005-0000-0000-0000DF940000}"/>
    <cellStyle name="Porcentual 2 7 10 4" xfId="27865" xr:uid="{00000000-0005-0000-0000-0000E0940000}"/>
    <cellStyle name="Porcentual 2 7 10 5" xfId="27866" xr:uid="{00000000-0005-0000-0000-0000E1940000}"/>
    <cellStyle name="Porcentual 2 7 10 6" xfId="27867" xr:uid="{00000000-0005-0000-0000-0000E2940000}"/>
    <cellStyle name="Porcentual 2 7 10 7" xfId="27868" xr:uid="{00000000-0005-0000-0000-0000E3940000}"/>
    <cellStyle name="Porcentual 2 7 10 8" xfId="27869" xr:uid="{00000000-0005-0000-0000-0000E4940000}"/>
    <cellStyle name="Porcentual 2 7 11" xfId="27870" xr:uid="{00000000-0005-0000-0000-0000E5940000}"/>
    <cellStyle name="Porcentual 2 7 11 2" xfId="27871" xr:uid="{00000000-0005-0000-0000-0000E6940000}"/>
    <cellStyle name="Porcentual 2 7 11 2 2" xfId="27872" xr:uid="{00000000-0005-0000-0000-0000E7940000}"/>
    <cellStyle name="Porcentual 2 7 11 2 3" xfId="27873" xr:uid="{00000000-0005-0000-0000-0000E8940000}"/>
    <cellStyle name="Porcentual 2 7 11 2 4" xfId="27874" xr:uid="{00000000-0005-0000-0000-0000E9940000}"/>
    <cellStyle name="Porcentual 2 7 11 2 5" xfId="27875" xr:uid="{00000000-0005-0000-0000-0000EA940000}"/>
    <cellStyle name="Porcentual 2 7 11 2 6" xfId="27876" xr:uid="{00000000-0005-0000-0000-0000EB940000}"/>
    <cellStyle name="Porcentual 2 7 11 2 7" xfId="27877" xr:uid="{00000000-0005-0000-0000-0000EC940000}"/>
    <cellStyle name="Porcentual 2 7 11 3" xfId="27878" xr:uid="{00000000-0005-0000-0000-0000ED940000}"/>
    <cellStyle name="Porcentual 2 7 11 4" xfId="27879" xr:uid="{00000000-0005-0000-0000-0000EE940000}"/>
    <cellStyle name="Porcentual 2 7 11 5" xfId="27880" xr:uid="{00000000-0005-0000-0000-0000EF940000}"/>
    <cellStyle name="Porcentual 2 7 11 6" xfId="27881" xr:uid="{00000000-0005-0000-0000-0000F0940000}"/>
    <cellStyle name="Porcentual 2 7 11 7" xfId="27882" xr:uid="{00000000-0005-0000-0000-0000F1940000}"/>
    <cellStyle name="Porcentual 2 7 11 8" xfId="27883" xr:uid="{00000000-0005-0000-0000-0000F2940000}"/>
    <cellStyle name="Porcentual 2 7 12" xfId="27884" xr:uid="{00000000-0005-0000-0000-0000F3940000}"/>
    <cellStyle name="Porcentual 2 7 12 2" xfId="27885" xr:uid="{00000000-0005-0000-0000-0000F4940000}"/>
    <cellStyle name="Porcentual 2 7 12 2 2" xfId="27886" xr:uid="{00000000-0005-0000-0000-0000F5940000}"/>
    <cellStyle name="Porcentual 2 7 12 2 3" xfId="27887" xr:uid="{00000000-0005-0000-0000-0000F6940000}"/>
    <cellStyle name="Porcentual 2 7 12 2 4" xfId="27888" xr:uid="{00000000-0005-0000-0000-0000F7940000}"/>
    <cellStyle name="Porcentual 2 7 12 2 5" xfId="27889" xr:uid="{00000000-0005-0000-0000-0000F8940000}"/>
    <cellStyle name="Porcentual 2 7 12 2 6" xfId="27890" xr:uid="{00000000-0005-0000-0000-0000F9940000}"/>
    <cellStyle name="Porcentual 2 7 12 2 7" xfId="27891" xr:uid="{00000000-0005-0000-0000-0000FA940000}"/>
    <cellStyle name="Porcentual 2 7 12 3" xfId="27892" xr:uid="{00000000-0005-0000-0000-0000FB940000}"/>
    <cellStyle name="Porcentual 2 7 12 4" xfId="27893" xr:uid="{00000000-0005-0000-0000-0000FC940000}"/>
    <cellStyle name="Porcentual 2 7 12 5" xfId="27894" xr:uid="{00000000-0005-0000-0000-0000FD940000}"/>
    <cellStyle name="Porcentual 2 7 12 6" xfId="27895" xr:uid="{00000000-0005-0000-0000-0000FE940000}"/>
    <cellStyle name="Porcentual 2 7 12 7" xfId="27896" xr:uid="{00000000-0005-0000-0000-0000FF940000}"/>
    <cellStyle name="Porcentual 2 7 12 8" xfId="27897" xr:uid="{00000000-0005-0000-0000-000000950000}"/>
    <cellStyle name="Porcentual 2 7 13" xfId="27898" xr:uid="{00000000-0005-0000-0000-000001950000}"/>
    <cellStyle name="Porcentual 2 7 13 2" xfId="27899" xr:uid="{00000000-0005-0000-0000-000002950000}"/>
    <cellStyle name="Porcentual 2 7 13 2 2" xfId="27900" xr:uid="{00000000-0005-0000-0000-000003950000}"/>
    <cellStyle name="Porcentual 2 7 13 2 3" xfId="27901" xr:uid="{00000000-0005-0000-0000-000004950000}"/>
    <cellStyle name="Porcentual 2 7 13 2 4" xfId="27902" xr:uid="{00000000-0005-0000-0000-000005950000}"/>
    <cellStyle name="Porcentual 2 7 13 2 5" xfId="27903" xr:uid="{00000000-0005-0000-0000-000006950000}"/>
    <cellStyle name="Porcentual 2 7 13 2 6" xfId="27904" xr:uid="{00000000-0005-0000-0000-000007950000}"/>
    <cellStyle name="Porcentual 2 7 13 2 7" xfId="27905" xr:uid="{00000000-0005-0000-0000-000008950000}"/>
    <cellStyle name="Porcentual 2 7 13 3" xfId="27906" xr:uid="{00000000-0005-0000-0000-000009950000}"/>
    <cellStyle name="Porcentual 2 7 13 4" xfId="27907" xr:uid="{00000000-0005-0000-0000-00000A950000}"/>
    <cellStyle name="Porcentual 2 7 13 5" xfId="27908" xr:uid="{00000000-0005-0000-0000-00000B950000}"/>
    <cellStyle name="Porcentual 2 7 13 6" xfId="27909" xr:uid="{00000000-0005-0000-0000-00000C950000}"/>
    <cellStyle name="Porcentual 2 7 13 7" xfId="27910" xr:uid="{00000000-0005-0000-0000-00000D950000}"/>
    <cellStyle name="Porcentual 2 7 13 8" xfId="27911" xr:uid="{00000000-0005-0000-0000-00000E950000}"/>
    <cellStyle name="Porcentual 2 7 14" xfId="27912" xr:uid="{00000000-0005-0000-0000-00000F950000}"/>
    <cellStyle name="Porcentual 2 7 14 2" xfId="27913" xr:uid="{00000000-0005-0000-0000-000010950000}"/>
    <cellStyle name="Porcentual 2 7 14 2 2" xfId="27914" xr:uid="{00000000-0005-0000-0000-000011950000}"/>
    <cellStyle name="Porcentual 2 7 14 2 3" xfId="27915" xr:uid="{00000000-0005-0000-0000-000012950000}"/>
    <cellStyle name="Porcentual 2 7 14 2 4" xfId="27916" xr:uid="{00000000-0005-0000-0000-000013950000}"/>
    <cellStyle name="Porcentual 2 7 14 2 5" xfId="27917" xr:uid="{00000000-0005-0000-0000-000014950000}"/>
    <cellStyle name="Porcentual 2 7 14 2 6" xfId="27918" xr:uid="{00000000-0005-0000-0000-000015950000}"/>
    <cellStyle name="Porcentual 2 7 14 2 7" xfId="27919" xr:uid="{00000000-0005-0000-0000-000016950000}"/>
    <cellStyle name="Porcentual 2 7 14 3" xfId="27920" xr:uid="{00000000-0005-0000-0000-000017950000}"/>
    <cellStyle name="Porcentual 2 7 14 4" xfId="27921" xr:uid="{00000000-0005-0000-0000-000018950000}"/>
    <cellStyle name="Porcentual 2 7 14 5" xfId="27922" xr:uid="{00000000-0005-0000-0000-000019950000}"/>
    <cellStyle name="Porcentual 2 7 14 6" xfId="27923" xr:uid="{00000000-0005-0000-0000-00001A950000}"/>
    <cellStyle name="Porcentual 2 7 14 7" xfId="27924" xr:uid="{00000000-0005-0000-0000-00001B950000}"/>
    <cellStyle name="Porcentual 2 7 14 8" xfId="27925" xr:uid="{00000000-0005-0000-0000-00001C950000}"/>
    <cellStyle name="Porcentual 2 7 15" xfId="27926" xr:uid="{00000000-0005-0000-0000-00001D950000}"/>
    <cellStyle name="Porcentual 2 7 15 2" xfId="27927" xr:uid="{00000000-0005-0000-0000-00001E950000}"/>
    <cellStyle name="Porcentual 2 7 15 2 2" xfId="27928" xr:uid="{00000000-0005-0000-0000-00001F950000}"/>
    <cellStyle name="Porcentual 2 7 15 2 3" xfId="27929" xr:uid="{00000000-0005-0000-0000-000020950000}"/>
    <cellStyle name="Porcentual 2 7 15 2 4" xfId="27930" xr:uid="{00000000-0005-0000-0000-000021950000}"/>
    <cellStyle name="Porcentual 2 7 15 2 5" xfId="27931" xr:uid="{00000000-0005-0000-0000-000022950000}"/>
    <cellStyle name="Porcentual 2 7 15 2 6" xfId="27932" xr:uid="{00000000-0005-0000-0000-000023950000}"/>
    <cellStyle name="Porcentual 2 7 15 2 7" xfId="27933" xr:uid="{00000000-0005-0000-0000-000024950000}"/>
    <cellStyle name="Porcentual 2 7 15 3" xfId="27934" xr:uid="{00000000-0005-0000-0000-000025950000}"/>
    <cellStyle name="Porcentual 2 7 15 4" xfId="27935" xr:uid="{00000000-0005-0000-0000-000026950000}"/>
    <cellStyle name="Porcentual 2 7 15 5" xfId="27936" xr:uid="{00000000-0005-0000-0000-000027950000}"/>
    <cellStyle name="Porcentual 2 7 15 6" xfId="27937" xr:uid="{00000000-0005-0000-0000-000028950000}"/>
    <cellStyle name="Porcentual 2 7 15 7" xfId="27938" xr:uid="{00000000-0005-0000-0000-000029950000}"/>
    <cellStyle name="Porcentual 2 7 15 8" xfId="27939" xr:uid="{00000000-0005-0000-0000-00002A950000}"/>
    <cellStyle name="Porcentual 2 7 16" xfId="27940" xr:uid="{00000000-0005-0000-0000-00002B950000}"/>
    <cellStyle name="Porcentual 2 7 16 2" xfId="27941" xr:uid="{00000000-0005-0000-0000-00002C950000}"/>
    <cellStyle name="Porcentual 2 7 16 3" xfId="27942" xr:uid="{00000000-0005-0000-0000-00002D950000}"/>
    <cellStyle name="Porcentual 2 7 16 4" xfId="27943" xr:uid="{00000000-0005-0000-0000-00002E950000}"/>
    <cellStyle name="Porcentual 2 7 16 5" xfId="27944" xr:uid="{00000000-0005-0000-0000-00002F950000}"/>
    <cellStyle name="Porcentual 2 7 16 6" xfId="27945" xr:uid="{00000000-0005-0000-0000-000030950000}"/>
    <cellStyle name="Porcentual 2 7 16 7" xfId="27946" xr:uid="{00000000-0005-0000-0000-000031950000}"/>
    <cellStyle name="Porcentual 2 7 17" xfId="27947" xr:uid="{00000000-0005-0000-0000-000032950000}"/>
    <cellStyle name="Porcentual 2 7 17 2" xfId="27948" xr:uid="{00000000-0005-0000-0000-000033950000}"/>
    <cellStyle name="Porcentual 2 7 17 3" xfId="27949" xr:uid="{00000000-0005-0000-0000-000034950000}"/>
    <cellStyle name="Porcentual 2 7 17 4" xfId="27950" xr:uid="{00000000-0005-0000-0000-000035950000}"/>
    <cellStyle name="Porcentual 2 7 17 5" xfId="27951" xr:uid="{00000000-0005-0000-0000-000036950000}"/>
    <cellStyle name="Porcentual 2 7 17 6" xfId="27952" xr:uid="{00000000-0005-0000-0000-000037950000}"/>
    <cellStyle name="Porcentual 2 7 17 7" xfId="27953" xr:uid="{00000000-0005-0000-0000-000038950000}"/>
    <cellStyle name="Porcentual 2 7 18" xfId="27954" xr:uid="{00000000-0005-0000-0000-000039950000}"/>
    <cellStyle name="Porcentual 2 7 18 2" xfId="27955" xr:uid="{00000000-0005-0000-0000-00003A950000}"/>
    <cellStyle name="Porcentual 2 7 18 3" xfId="27956" xr:uid="{00000000-0005-0000-0000-00003B950000}"/>
    <cellStyle name="Porcentual 2 7 18 4" xfId="27957" xr:uid="{00000000-0005-0000-0000-00003C950000}"/>
    <cellStyle name="Porcentual 2 7 18 5" xfId="27958" xr:uid="{00000000-0005-0000-0000-00003D950000}"/>
    <cellStyle name="Porcentual 2 7 18 6" xfId="27959" xr:uid="{00000000-0005-0000-0000-00003E950000}"/>
    <cellStyle name="Porcentual 2 7 18 7" xfId="27960" xr:uid="{00000000-0005-0000-0000-00003F950000}"/>
    <cellStyle name="Porcentual 2 7 19" xfId="27961" xr:uid="{00000000-0005-0000-0000-000040950000}"/>
    <cellStyle name="Porcentual 2 7 19 2" xfId="27962" xr:uid="{00000000-0005-0000-0000-000041950000}"/>
    <cellStyle name="Porcentual 2 7 19 3" xfId="27963" xr:uid="{00000000-0005-0000-0000-000042950000}"/>
    <cellStyle name="Porcentual 2 7 19 4" xfId="27964" xr:uid="{00000000-0005-0000-0000-000043950000}"/>
    <cellStyle name="Porcentual 2 7 19 5" xfId="27965" xr:uid="{00000000-0005-0000-0000-000044950000}"/>
    <cellStyle name="Porcentual 2 7 19 6" xfId="27966" xr:uid="{00000000-0005-0000-0000-000045950000}"/>
    <cellStyle name="Porcentual 2 7 19 7" xfId="27967" xr:uid="{00000000-0005-0000-0000-000046950000}"/>
    <cellStyle name="Porcentual 2 7 2" xfId="27968" xr:uid="{00000000-0005-0000-0000-000047950000}"/>
    <cellStyle name="Porcentual 2 7 2 2" xfId="27969" xr:uid="{00000000-0005-0000-0000-000048950000}"/>
    <cellStyle name="Porcentual 2 7 2 2 2" xfId="27970" xr:uid="{00000000-0005-0000-0000-000049950000}"/>
    <cellStyle name="Porcentual 2 7 2 2 3" xfId="27971" xr:uid="{00000000-0005-0000-0000-00004A950000}"/>
    <cellStyle name="Porcentual 2 7 2 2 4" xfId="27972" xr:uid="{00000000-0005-0000-0000-00004B950000}"/>
    <cellStyle name="Porcentual 2 7 2 2 5" xfId="27973" xr:uid="{00000000-0005-0000-0000-00004C950000}"/>
    <cellStyle name="Porcentual 2 7 2 2 6" xfId="27974" xr:uid="{00000000-0005-0000-0000-00004D950000}"/>
    <cellStyle name="Porcentual 2 7 2 2 7" xfId="27975" xr:uid="{00000000-0005-0000-0000-00004E950000}"/>
    <cellStyle name="Porcentual 2 7 2 3" xfId="27976" xr:uid="{00000000-0005-0000-0000-00004F950000}"/>
    <cellStyle name="Porcentual 2 7 2 4" xfId="27977" xr:uid="{00000000-0005-0000-0000-000050950000}"/>
    <cellStyle name="Porcentual 2 7 2 5" xfId="27978" xr:uid="{00000000-0005-0000-0000-000051950000}"/>
    <cellStyle name="Porcentual 2 7 2 6" xfId="27979" xr:uid="{00000000-0005-0000-0000-000052950000}"/>
    <cellStyle name="Porcentual 2 7 2 7" xfId="27980" xr:uid="{00000000-0005-0000-0000-000053950000}"/>
    <cellStyle name="Porcentual 2 7 2 8" xfId="27981" xr:uid="{00000000-0005-0000-0000-000054950000}"/>
    <cellStyle name="Porcentual 2 7 20" xfId="27982" xr:uid="{00000000-0005-0000-0000-000055950000}"/>
    <cellStyle name="Porcentual 2 7 20 2" xfId="27983" xr:uid="{00000000-0005-0000-0000-000056950000}"/>
    <cellStyle name="Porcentual 2 7 20 3" xfId="27984" xr:uid="{00000000-0005-0000-0000-000057950000}"/>
    <cellStyle name="Porcentual 2 7 20 4" xfId="27985" xr:uid="{00000000-0005-0000-0000-000058950000}"/>
    <cellStyle name="Porcentual 2 7 20 5" xfId="27986" xr:uid="{00000000-0005-0000-0000-000059950000}"/>
    <cellStyle name="Porcentual 2 7 20 6" xfId="27987" xr:uid="{00000000-0005-0000-0000-00005A950000}"/>
    <cellStyle name="Porcentual 2 7 20 7" xfId="27988" xr:uid="{00000000-0005-0000-0000-00005B950000}"/>
    <cellStyle name="Porcentual 2 7 21" xfId="27989" xr:uid="{00000000-0005-0000-0000-00005C950000}"/>
    <cellStyle name="Porcentual 2 7 21 2" xfId="27990" xr:uid="{00000000-0005-0000-0000-00005D950000}"/>
    <cellStyle name="Porcentual 2 7 21 3" xfId="27991" xr:uid="{00000000-0005-0000-0000-00005E950000}"/>
    <cellStyle name="Porcentual 2 7 21 4" xfId="27992" xr:uid="{00000000-0005-0000-0000-00005F950000}"/>
    <cellStyle name="Porcentual 2 7 21 5" xfId="27993" xr:uid="{00000000-0005-0000-0000-000060950000}"/>
    <cellStyle name="Porcentual 2 7 21 6" xfId="27994" xr:uid="{00000000-0005-0000-0000-000061950000}"/>
    <cellStyle name="Porcentual 2 7 21 7" xfId="27995" xr:uid="{00000000-0005-0000-0000-000062950000}"/>
    <cellStyle name="Porcentual 2 7 22" xfId="27996" xr:uid="{00000000-0005-0000-0000-000063950000}"/>
    <cellStyle name="Porcentual 2 7 22 2" xfId="27997" xr:uid="{00000000-0005-0000-0000-000064950000}"/>
    <cellStyle name="Porcentual 2 7 22 3" xfId="27998" xr:uid="{00000000-0005-0000-0000-000065950000}"/>
    <cellStyle name="Porcentual 2 7 22 4" xfId="27999" xr:uid="{00000000-0005-0000-0000-000066950000}"/>
    <cellStyle name="Porcentual 2 7 22 5" xfId="28000" xr:uid="{00000000-0005-0000-0000-000067950000}"/>
    <cellStyle name="Porcentual 2 7 22 6" xfId="28001" xr:uid="{00000000-0005-0000-0000-000068950000}"/>
    <cellStyle name="Porcentual 2 7 22 7" xfId="28002" xr:uid="{00000000-0005-0000-0000-000069950000}"/>
    <cellStyle name="Porcentual 2 7 23" xfId="28003" xr:uid="{00000000-0005-0000-0000-00006A950000}"/>
    <cellStyle name="Porcentual 2 7 23 2" xfId="28004" xr:uid="{00000000-0005-0000-0000-00006B950000}"/>
    <cellStyle name="Porcentual 2 7 23 3" xfId="28005" xr:uid="{00000000-0005-0000-0000-00006C950000}"/>
    <cellStyle name="Porcentual 2 7 23 4" xfId="28006" xr:uid="{00000000-0005-0000-0000-00006D950000}"/>
    <cellStyle name="Porcentual 2 7 23 5" xfId="28007" xr:uid="{00000000-0005-0000-0000-00006E950000}"/>
    <cellStyle name="Porcentual 2 7 23 6" xfId="28008" xr:uid="{00000000-0005-0000-0000-00006F950000}"/>
    <cellStyle name="Porcentual 2 7 23 7" xfId="28009" xr:uid="{00000000-0005-0000-0000-000070950000}"/>
    <cellStyle name="Porcentual 2 7 24" xfId="28010" xr:uid="{00000000-0005-0000-0000-000071950000}"/>
    <cellStyle name="Porcentual 2 7 24 2" xfId="28011" xr:uid="{00000000-0005-0000-0000-000072950000}"/>
    <cellStyle name="Porcentual 2 7 24 3" xfId="28012" xr:uid="{00000000-0005-0000-0000-000073950000}"/>
    <cellStyle name="Porcentual 2 7 24 4" xfId="28013" xr:uid="{00000000-0005-0000-0000-000074950000}"/>
    <cellStyle name="Porcentual 2 7 24 5" xfId="28014" xr:uid="{00000000-0005-0000-0000-000075950000}"/>
    <cellStyle name="Porcentual 2 7 24 6" xfId="28015" xr:uid="{00000000-0005-0000-0000-000076950000}"/>
    <cellStyle name="Porcentual 2 7 24 7" xfId="28016" xr:uid="{00000000-0005-0000-0000-000077950000}"/>
    <cellStyle name="Porcentual 2 7 25" xfId="28017" xr:uid="{00000000-0005-0000-0000-000078950000}"/>
    <cellStyle name="Porcentual 2 7 25 2" xfId="28018" xr:uid="{00000000-0005-0000-0000-000079950000}"/>
    <cellStyle name="Porcentual 2 7 25 3" xfId="28019" xr:uid="{00000000-0005-0000-0000-00007A950000}"/>
    <cellStyle name="Porcentual 2 7 25 4" xfId="28020" xr:uid="{00000000-0005-0000-0000-00007B950000}"/>
    <cellStyle name="Porcentual 2 7 25 5" xfId="28021" xr:uid="{00000000-0005-0000-0000-00007C950000}"/>
    <cellStyle name="Porcentual 2 7 25 6" xfId="28022" xr:uid="{00000000-0005-0000-0000-00007D950000}"/>
    <cellStyle name="Porcentual 2 7 25 7" xfId="28023" xr:uid="{00000000-0005-0000-0000-00007E950000}"/>
    <cellStyle name="Porcentual 2 7 26" xfId="28024" xr:uid="{00000000-0005-0000-0000-00007F950000}"/>
    <cellStyle name="Porcentual 2 7 26 2" xfId="28025" xr:uid="{00000000-0005-0000-0000-000080950000}"/>
    <cellStyle name="Porcentual 2 7 26 3" xfId="28026" xr:uid="{00000000-0005-0000-0000-000081950000}"/>
    <cellStyle name="Porcentual 2 7 26 4" xfId="28027" xr:uid="{00000000-0005-0000-0000-000082950000}"/>
    <cellStyle name="Porcentual 2 7 26 5" xfId="28028" xr:uid="{00000000-0005-0000-0000-000083950000}"/>
    <cellStyle name="Porcentual 2 7 26 6" xfId="28029" xr:uid="{00000000-0005-0000-0000-000084950000}"/>
    <cellStyle name="Porcentual 2 7 26 7" xfId="28030" xr:uid="{00000000-0005-0000-0000-000085950000}"/>
    <cellStyle name="Porcentual 2 7 27" xfId="28031" xr:uid="{00000000-0005-0000-0000-000086950000}"/>
    <cellStyle name="Porcentual 2 7 27 2" xfId="28032" xr:uid="{00000000-0005-0000-0000-000087950000}"/>
    <cellStyle name="Porcentual 2 7 27 3" xfId="28033" xr:uid="{00000000-0005-0000-0000-000088950000}"/>
    <cellStyle name="Porcentual 2 7 27 4" xfId="28034" xr:uid="{00000000-0005-0000-0000-000089950000}"/>
    <cellStyle name="Porcentual 2 7 27 5" xfId="28035" xr:uid="{00000000-0005-0000-0000-00008A950000}"/>
    <cellStyle name="Porcentual 2 7 27 6" xfId="28036" xr:uid="{00000000-0005-0000-0000-00008B950000}"/>
    <cellStyle name="Porcentual 2 7 27 7" xfId="28037" xr:uid="{00000000-0005-0000-0000-00008C950000}"/>
    <cellStyle name="Porcentual 2 7 28" xfId="28038" xr:uid="{00000000-0005-0000-0000-00008D950000}"/>
    <cellStyle name="Porcentual 2 7 28 2" xfId="28039" xr:uid="{00000000-0005-0000-0000-00008E950000}"/>
    <cellStyle name="Porcentual 2 7 28 3" xfId="28040" xr:uid="{00000000-0005-0000-0000-00008F950000}"/>
    <cellStyle name="Porcentual 2 7 28 4" xfId="28041" xr:uid="{00000000-0005-0000-0000-000090950000}"/>
    <cellStyle name="Porcentual 2 7 28 5" xfId="28042" xr:uid="{00000000-0005-0000-0000-000091950000}"/>
    <cellStyle name="Porcentual 2 7 28 6" xfId="28043" xr:uid="{00000000-0005-0000-0000-000092950000}"/>
    <cellStyle name="Porcentual 2 7 28 7" xfId="28044" xr:uid="{00000000-0005-0000-0000-000093950000}"/>
    <cellStyle name="Porcentual 2 7 29" xfId="28045" xr:uid="{00000000-0005-0000-0000-000094950000}"/>
    <cellStyle name="Porcentual 2 7 29 2" xfId="28046" xr:uid="{00000000-0005-0000-0000-000095950000}"/>
    <cellStyle name="Porcentual 2 7 29 3" xfId="28047" xr:uid="{00000000-0005-0000-0000-000096950000}"/>
    <cellStyle name="Porcentual 2 7 29 4" xfId="28048" xr:uid="{00000000-0005-0000-0000-000097950000}"/>
    <cellStyle name="Porcentual 2 7 29 5" xfId="28049" xr:uid="{00000000-0005-0000-0000-000098950000}"/>
    <cellStyle name="Porcentual 2 7 29 6" xfId="28050" xr:uid="{00000000-0005-0000-0000-000099950000}"/>
    <cellStyle name="Porcentual 2 7 29 7" xfId="28051" xr:uid="{00000000-0005-0000-0000-00009A950000}"/>
    <cellStyle name="Porcentual 2 7 3" xfId="28052" xr:uid="{00000000-0005-0000-0000-00009B950000}"/>
    <cellStyle name="Porcentual 2 7 3 2" xfId="28053" xr:uid="{00000000-0005-0000-0000-00009C950000}"/>
    <cellStyle name="Porcentual 2 7 3 2 2" xfId="28054" xr:uid="{00000000-0005-0000-0000-00009D950000}"/>
    <cellStyle name="Porcentual 2 7 3 2 3" xfId="28055" xr:uid="{00000000-0005-0000-0000-00009E950000}"/>
    <cellStyle name="Porcentual 2 7 3 2 4" xfId="28056" xr:uid="{00000000-0005-0000-0000-00009F950000}"/>
    <cellStyle name="Porcentual 2 7 3 2 5" xfId="28057" xr:uid="{00000000-0005-0000-0000-0000A0950000}"/>
    <cellStyle name="Porcentual 2 7 3 2 6" xfId="28058" xr:uid="{00000000-0005-0000-0000-0000A1950000}"/>
    <cellStyle name="Porcentual 2 7 3 2 7" xfId="28059" xr:uid="{00000000-0005-0000-0000-0000A2950000}"/>
    <cellStyle name="Porcentual 2 7 3 3" xfId="28060" xr:uid="{00000000-0005-0000-0000-0000A3950000}"/>
    <cellStyle name="Porcentual 2 7 3 4" xfId="28061" xr:uid="{00000000-0005-0000-0000-0000A4950000}"/>
    <cellStyle name="Porcentual 2 7 3 5" xfId="28062" xr:uid="{00000000-0005-0000-0000-0000A5950000}"/>
    <cellStyle name="Porcentual 2 7 3 6" xfId="28063" xr:uid="{00000000-0005-0000-0000-0000A6950000}"/>
    <cellStyle name="Porcentual 2 7 3 7" xfId="28064" xr:uid="{00000000-0005-0000-0000-0000A7950000}"/>
    <cellStyle name="Porcentual 2 7 3 8" xfId="28065" xr:uid="{00000000-0005-0000-0000-0000A8950000}"/>
    <cellStyle name="Porcentual 2 7 30" xfId="28066" xr:uid="{00000000-0005-0000-0000-0000A9950000}"/>
    <cellStyle name="Porcentual 2 7 30 2" xfId="28067" xr:uid="{00000000-0005-0000-0000-0000AA950000}"/>
    <cellStyle name="Porcentual 2 7 30 3" xfId="28068" xr:uid="{00000000-0005-0000-0000-0000AB950000}"/>
    <cellStyle name="Porcentual 2 7 30 4" xfId="28069" xr:uid="{00000000-0005-0000-0000-0000AC950000}"/>
    <cellStyle name="Porcentual 2 7 30 5" xfId="28070" xr:uid="{00000000-0005-0000-0000-0000AD950000}"/>
    <cellStyle name="Porcentual 2 7 30 6" xfId="28071" xr:uid="{00000000-0005-0000-0000-0000AE950000}"/>
    <cellStyle name="Porcentual 2 7 30 7" xfId="28072" xr:uid="{00000000-0005-0000-0000-0000AF950000}"/>
    <cellStyle name="Porcentual 2 7 31" xfId="28073" xr:uid="{00000000-0005-0000-0000-0000B0950000}"/>
    <cellStyle name="Porcentual 2 7 31 2" xfId="28074" xr:uid="{00000000-0005-0000-0000-0000B1950000}"/>
    <cellStyle name="Porcentual 2 7 31 3" xfId="28075" xr:uid="{00000000-0005-0000-0000-0000B2950000}"/>
    <cellStyle name="Porcentual 2 7 31 4" xfId="28076" xr:uid="{00000000-0005-0000-0000-0000B3950000}"/>
    <cellStyle name="Porcentual 2 7 31 5" xfId="28077" xr:uid="{00000000-0005-0000-0000-0000B4950000}"/>
    <cellStyle name="Porcentual 2 7 31 6" xfId="28078" xr:uid="{00000000-0005-0000-0000-0000B5950000}"/>
    <cellStyle name="Porcentual 2 7 31 7" xfId="28079" xr:uid="{00000000-0005-0000-0000-0000B6950000}"/>
    <cellStyle name="Porcentual 2 7 32" xfId="28080" xr:uid="{00000000-0005-0000-0000-0000B7950000}"/>
    <cellStyle name="Porcentual 2 7 32 2" xfId="28081" xr:uid="{00000000-0005-0000-0000-0000B8950000}"/>
    <cellStyle name="Porcentual 2 7 32 3" xfId="28082" xr:uid="{00000000-0005-0000-0000-0000B9950000}"/>
    <cellStyle name="Porcentual 2 7 32 4" xfId="28083" xr:uid="{00000000-0005-0000-0000-0000BA950000}"/>
    <cellStyle name="Porcentual 2 7 32 5" xfId="28084" xr:uid="{00000000-0005-0000-0000-0000BB950000}"/>
    <cellStyle name="Porcentual 2 7 32 6" xfId="28085" xr:uid="{00000000-0005-0000-0000-0000BC950000}"/>
    <cellStyle name="Porcentual 2 7 32 7" xfId="28086" xr:uid="{00000000-0005-0000-0000-0000BD950000}"/>
    <cellStyle name="Porcentual 2 7 33" xfId="28087" xr:uid="{00000000-0005-0000-0000-0000BE950000}"/>
    <cellStyle name="Porcentual 2 7 33 2" xfId="28088" xr:uid="{00000000-0005-0000-0000-0000BF950000}"/>
    <cellStyle name="Porcentual 2 7 33 3" xfId="28089" xr:uid="{00000000-0005-0000-0000-0000C0950000}"/>
    <cellStyle name="Porcentual 2 7 33 4" xfId="28090" xr:uid="{00000000-0005-0000-0000-0000C1950000}"/>
    <cellStyle name="Porcentual 2 7 33 5" xfId="28091" xr:uid="{00000000-0005-0000-0000-0000C2950000}"/>
    <cellStyle name="Porcentual 2 7 33 6" xfId="28092" xr:uid="{00000000-0005-0000-0000-0000C3950000}"/>
    <cellStyle name="Porcentual 2 7 33 7" xfId="28093" xr:uid="{00000000-0005-0000-0000-0000C4950000}"/>
    <cellStyle name="Porcentual 2 7 34" xfId="28094" xr:uid="{00000000-0005-0000-0000-0000C5950000}"/>
    <cellStyle name="Porcentual 2 7 34 2" xfId="28095" xr:uid="{00000000-0005-0000-0000-0000C6950000}"/>
    <cellStyle name="Porcentual 2 7 34 3" xfId="28096" xr:uid="{00000000-0005-0000-0000-0000C7950000}"/>
    <cellStyle name="Porcentual 2 7 34 4" xfId="28097" xr:uid="{00000000-0005-0000-0000-0000C8950000}"/>
    <cellStyle name="Porcentual 2 7 34 5" xfId="28098" xr:uid="{00000000-0005-0000-0000-0000C9950000}"/>
    <cellStyle name="Porcentual 2 7 34 6" xfId="28099" xr:uid="{00000000-0005-0000-0000-0000CA950000}"/>
    <cellStyle name="Porcentual 2 7 34 7" xfId="28100" xr:uid="{00000000-0005-0000-0000-0000CB950000}"/>
    <cellStyle name="Porcentual 2 7 35" xfId="28101" xr:uid="{00000000-0005-0000-0000-0000CC950000}"/>
    <cellStyle name="Porcentual 2 7 35 2" xfId="28102" xr:uid="{00000000-0005-0000-0000-0000CD950000}"/>
    <cellStyle name="Porcentual 2 7 35 3" xfId="28103" xr:uid="{00000000-0005-0000-0000-0000CE950000}"/>
    <cellStyle name="Porcentual 2 7 35 4" xfId="28104" xr:uid="{00000000-0005-0000-0000-0000CF950000}"/>
    <cellStyle name="Porcentual 2 7 35 5" xfId="28105" xr:uid="{00000000-0005-0000-0000-0000D0950000}"/>
    <cellStyle name="Porcentual 2 7 35 6" xfId="28106" xr:uid="{00000000-0005-0000-0000-0000D1950000}"/>
    <cellStyle name="Porcentual 2 7 35 7" xfId="28107" xr:uid="{00000000-0005-0000-0000-0000D2950000}"/>
    <cellStyle name="Porcentual 2 7 36" xfId="28108" xr:uid="{00000000-0005-0000-0000-0000D3950000}"/>
    <cellStyle name="Porcentual 2 7 37" xfId="28109" xr:uid="{00000000-0005-0000-0000-0000D4950000}"/>
    <cellStyle name="Porcentual 2 7 38" xfId="28110" xr:uid="{00000000-0005-0000-0000-0000D5950000}"/>
    <cellStyle name="Porcentual 2 7 39" xfId="28111" xr:uid="{00000000-0005-0000-0000-0000D6950000}"/>
    <cellStyle name="Porcentual 2 7 4" xfId="28112" xr:uid="{00000000-0005-0000-0000-0000D7950000}"/>
    <cellStyle name="Porcentual 2 7 4 2" xfId="28113" xr:uid="{00000000-0005-0000-0000-0000D8950000}"/>
    <cellStyle name="Porcentual 2 7 4 2 2" xfId="28114" xr:uid="{00000000-0005-0000-0000-0000D9950000}"/>
    <cellStyle name="Porcentual 2 7 4 2 3" xfId="28115" xr:uid="{00000000-0005-0000-0000-0000DA950000}"/>
    <cellStyle name="Porcentual 2 7 4 2 4" xfId="28116" xr:uid="{00000000-0005-0000-0000-0000DB950000}"/>
    <cellStyle name="Porcentual 2 7 4 2 5" xfId="28117" xr:uid="{00000000-0005-0000-0000-0000DC950000}"/>
    <cellStyle name="Porcentual 2 7 4 2 6" xfId="28118" xr:uid="{00000000-0005-0000-0000-0000DD950000}"/>
    <cellStyle name="Porcentual 2 7 4 2 7" xfId="28119" xr:uid="{00000000-0005-0000-0000-0000DE950000}"/>
    <cellStyle name="Porcentual 2 7 4 3" xfId="28120" xr:uid="{00000000-0005-0000-0000-0000DF950000}"/>
    <cellStyle name="Porcentual 2 7 4 4" xfId="28121" xr:uid="{00000000-0005-0000-0000-0000E0950000}"/>
    <cellStyle name="Porcentual 2 7 4 5" xfId="28122" xr:uid="{00000000-0005-0000-0000-0000E1950000}"/>
    <cellStyle name="Porcentual 2 7 4 6" xfId="28123" xr:uid="{00000000-0005-0000-0000-0000E2950000}"/>
    <cellStyle name="Porcentual 2 7 4 7" xfId="28124" xr:uid="{00000000-0005-0000-0000-0000E3950000}"/>
    <cellStyle name="Porcentual 2 7 4 8" xfId="28125" xr:uid="{00000000-0005-0000-0000-0000E4950000}"/>
    <cellStyle name="Porcentual 2 7 40" xfId="28126" xr:uid="{00000000-0005-0000-0000-0000E5950000}"/>
    <cellStyle name="Porcentual 2 7 41" xfId="28127" xr:uid="{00000000-0005-0000-0000-0000E6950000}"/>
    <cellStyle name="Porcentual 2 7 5" xfId="28128" xr:uid="{00000000-0005-0000-0000-0000E7950000}"/>
    <cellStyle name="Porcentual 2 7 5 2" xfId="28129" xr:uid="{00000000-0005-0000-0000-0000E8950000}"/>
    <cellStyle name="Porcentual 2 7 5 2 2" xfId="28130" xr:uid="{00000000-0005-0000-0000-0000E9950000}"/>
    <cellStyle name="Porcentual 2 7 5 2 3" xfId="28131" xr:uid="{00000000-0005-0000-0000-0000EA950000}"/>
    <cellStyle name="Porcentual 2 7 5 2 4" xfId="28132" xr:uid="{00000000-0005-0000-0000-0000EB950000}"/>
    <cellStyle name="Porcentual 2 7 5 2 5" xfId="28133" xr:uid="{00000000-0005-0000-0000-0000EC950000}"/>
    <cellStyle name="Porcentual 2 7 5 2 6" xfId="28134" xr:uid="{00000000-0005-0000-0000-0000ED950000}"/>
    <cellStyle name="Porcentual 2 7 5 2 7" xfId="28135" xr:uid="{00000000-0005-0000-0000-0000EE950000}"/>
    <cellStyle name="Porcentual 2 7 5 3" xfId="28136" xr:uid="{00000000-0005-0000-0000-0000EF950000}"/>
    <cellStyle name="Porcentual 2 7 5 4" xfId="28137" xr:uid="{00000000-0005-0000-0000-0000F0950000}"/>
    <cellStyle name="Porcentual 2 7 5 5" xfId="28138" xr:uid="{00000000-0005-0000-0000-0000F1950000}"/>
    <cellStyle name="Porcentual 2 7 5 6" xfId="28139" xr:uid="{00000000-0005-0000-0000-0000F2950000}"/>
    <cellStyle name="Porcentual 2 7 5 7" xfId="28140" xr:uid="{00000000-0005-0000-0000-0000F3950000}"/>
    <cellStyle name="Porcentual 2 7 5 8" xfId="28141" xr:uid="{00000000-0005-0000-0000-0000F4950000}"/>
    <cellStyle name="Porcentual 2 7 6" xfId="28142" xr:uid="{00000000-0005-0000-0000-0000F5950000}"/>
    <cellStyle name="Porcentual 2 7 6 2" xfId="28143" xr:uid="{00000000-0005-0000-0000-0000F6950000}"/>
    <cellStyle name="Porcentual 2 7 6 2 2" xfId="28144" xr:uid="{00000000-0005-0000-0000-0000F7950000}"/>
    <cellStyle name="Porcentual 2 7 6 2 3" xfId="28145" xr:uid="{00000000-0005-0000-0000-0000F8950000}"/>
    <cellStyle name="Porcentual 2 7 6 2 4" xfId="28146" xr:uid="{00000000-0005-0000-0000-0000F9950000}"/>
    <cellStyle name="Porcentual 2 7 6 2 5" xfId="28147" xr:uid="{00000000-0005-0000-0000-0000FA950000}"/>
    <cellStyle name="Porcentual 2 7 6 2 6" xfId="28148" xr:uid="{00000000-0005-0000-0000-0000FB950000}"/>
    <cellStyle name="Porcentual 2 7 6 2 7" xfId="28149" xr:uid="{00000000-0005-0000-0000-0000FC950000}"/>
    <cellStyle name="Porcentual 2 7 6 3" xfId="28150" xr:uid="{00000000-0005-0000-0000-0000FD950000}"/>
    <cellStyle name="Porcentual 2 7 6 4" xfId="28151" xr:uid="{00000000-0005-0000-0000-0000FE950000}"/>
    <cellStyle name="Porcentual 2 7 6 5" xfId="28152" xr:uid="{00000000-0005-0000-0000-0000FF950000}"/>
    <cellStyle name="Porcentual 2 7 6 6" xfId="28153" xr:uid="{00000000-0005-0000-0000-000000960000}"/>
    <cellStyle name="Porcentual 2 7 6 7" xfId="28154" xr:uid="{00000000-0005-0000-0000-000001960000}"/>
    <cellStyle name="Porcentual 2 7 6 8" xfId="28155" xr:uid="{00000000-0005-0000-0000-000002960000}"/>
    <cellStyle name="Porcentual 2 7 7" xfId="28156" xr:uid="{00000000-0005-0000-0000-000003960000}"/>
    <cellStyle name="Porcentual 2 7 7 2" xfId="28157" xr:uid="{00000000-0005-0000-0000-000004960000}"/>
    <cellStyle name="Porcentual 2 7 7 2 2" xfId="28158" xr:uid="{00000000-0005-0000-0000-000005960000}"/>
    <cellStyle name="Porcentual 2 7 7 2 3" xfId="28159" xr:uid="{00000000-0005-0000-0000-000006960000}"/>
    <cellStyle name="Porcentual 2 7 7 2 4" xfId="28160" xr:uid="{00000000-0005-0000-0000-000007960000}"/>
    <cellStyle name="Porcentual 2 7 7 2 5" xfId="28161" xr:uid="{00000000-0005-0000-0000-000008960000}"/>
    <cellStyle name="Porcentual 2 7 7 2 6" xfId="28162" xr:uid="{00000000-0005-0000-0000-000009960000}"/>
    <cellStyle name="Porcentual 2 7 7 2 7" xfId="28163" xr:uid="{00000000-0005-0000-0000-00000A960000}"/>
    <cellStyle name="Porcentual 2 7 7 3" xfId="28164" xr:uid="{00000000-0005-0000-0000-00000B960000}"/>
    <cellStyle name="Porcentual 2 7 7 4" xfId="28165" xr:uid="{00000000-0005-0000-0000-00000C960000}"/>
    <cellStyle name="Porcentual 2 7 7 5" xfId="28166" xr:uid="{00000000-0005-0000-0000-00000D960000}"/>
    <cellStyle name="Porcentual 2 7 7 6" xfId="28167" xr:uid="{00000000-0005-0000-0000-00000E960000}"/>
    <cellStyle name="Porcentual 2 7 7 7" xfId="28168" xr:uid="{00000000-0005-0000-0000-00000F960000}"/>
    <cellStyle name="Porcentual 2 7 7 8" xfId="28169" xr:uid="{00000000-0005-0000-0000-000010960000}"/>
    <cellStyle name="Porcentual 2 7 8" xfId="28170" xr:uid="{00000000-0005-0000-0000-000011960000}"/>
    <cellStyle name="Porcentual 2 7 8 2" xfId="28171" xr:uid="{00000000-0005-0000-0000-000012960000}"/>
    <cellStyle name="Porcentual 2 7 8 2 2" xfId="28172" xr:uid="{00000000-0005-0000-0000-000013960000}"/>
    <cellStyle name="Porcentual 2 7 8 2 3" xfId="28173" xr:uid="{00000000-0005-0000-0000-000014960000}"/>
    <cellStyle name="Porcentual 2 7 8 2 4" xfId="28174" xr:uid="{00000000-0005-0000-0000-000015960000}"/>
    <cellStyle name="Porcentual 2 7 8 2 5" xfId="28175" xr:uid="{00000000-0005-0000-0000-000016960000}"/>
    <cellStyle name="Porcentual 2 7 8 2 6" xfId="28176" xr:uid="{00000000-0005-0000-0000-000017960000}"/>
    <cellStyle name="Porcentual 2 7 8 2 7" xfId="28177" xr:uid="{00000000-0005-0000-0000-000018960000}"/>
    <cellStyle name="Porcentual 2 7 8 3" xfId="28178" xr:uid="{00000000-0005-0000-0000-000019960000}"/>
    <cellStyle name="Porcentual 2 7 8 4" xfId="28179" xr:uid="{00000000-0005-0000-0000-00001A960000}"/>
    <cellStyle name="Porcentual 2 7 8 5" xfId="28180" xr:uid="{00000000-0005-0000-0000-00001B960000}"/>
    <cellStyle name="Porcentual 2 7 8 6" xfId="28181" xr:uid="{00000000-0005-0000-0000-00001C960000}"/>
    <cellStyle name="Porcentual 2 7 8 7" xfId="28182" xr:uid="{00000000-0005-0000-0000-00001D960000}"/>
    <cellStyle name="Porcentual 2 7 8 8" xfId="28183" xr:uid="{00000000-0005-0000-0000-00001E960000}"/>
    <cellStyle name="Porcentual 2 7 9" xfId="28184" xr:uid="{00000000-0005-0000-0000-00001F960000}"/>
    <cellStyle name="Porcentual 2 7 9 2" xfId="28185" xr:uid="{00000000-0005-0000-0000-000020960000}"/>
    <cellStyle name="Porcentual 2 7 9 2 2" xfId="28186" xr:uid="{00000000-0005-0000-0000-000021960000}"/>
    <cellStyle name="Porcentual 2 7 9 2 3" xfId="28187" xr:uid="{00000000-0005-0000-0000-000022960000}"/>
    <cellStyle name="Porcentual 2 7 9 2 4" xfId="28188" xr:uid="{00000000-0005-0000-0000-000023960000}"/>
    <cellStyle name="Porcentual 2 7 9 2 5" xfId="28189" xr:uid="{00000000-0005-0000-0000-000024960000}"/>
    <cellStyle name="Porcentual 2 7 9 2 6" xfId="28190" xr:uid="{00000000-0005-0000-0000-000025960000}"/>
    <cellStyle name="Porcentual 2 7 9 2 7" xfId="28191" xr:uid="{00000000-0005-0000-0000-000026960000}"/>
    <cellStyle name="Porcentual 2 7 9 3" xfId="28192" xr:uid="{00000000-0005-0000-0000-000027960000}"/>
    <cellStyle name="Porcentual 2 7 9 4" xfId="28193" xr:uid="{00000000-0005-0000-0000-000028960000}"/>
    <cellStyle name="Porcentual 2 7 9 5" xfId="28194" xr:uid="{00000000-0005-0000-0000-000029960000}"/>
    <cellStyle name="Porcentual 2 7 9 6" xfId="28195" xr:uid="{00000000-0005-0000-0000-00002A960000}"/>
    <cellStyle name="Porcentual 2 7 9 7" xfId="28196" xr:uid="{00000000-0005-0000-0000-00002B960000}"/>
    <cellStyle name="Porcentual 2 7 9 8" xfId="28197" xr:uid="{00000000-0005-0000-0000-00002C960000}"/>
    <cellStyle name="Porcentual 2 8" xfId="28198" xr:uid="{00000000-0005-0000-0000-00002D960000}"/>
    <cellStyle name="Porcentual 2 8 10" xfId="28199" xr:uid="{00000000-0005-0000-0000-00002E960000}"/>
    <cellStyle name="Porcentual 2 8 10 2" xfId="28200" xr:uid="{00000000-0005-0000-0000-00002F960000}"/>
    <cellStyle name="Porcentual 2 8 10 2 2" xfId="28201" xr:uid="{00000000-0005-0000-0000-000030960000}"/>
    <cellStyle name="Porcentual 2 8 10 2 3" xfId="28202" xr:uid="{00000000-0005-0000-0000-000031960000}"/>
    <cellStyle name="Porcentual 2 8 10 2 4" xfId="28203" xr:uid="{00000000-0005-0000-0000-000032960000}"/>
    <cellStyle name="Porcentual 2 8 10 2 5" xfId="28204" xr:uid="{00000000-0005-0000-0000-000033960000}"/>
    <cellStyle name="Porcentual 2 8 10 2 6" xfId="28205" xr:uid="{00000000-0005-0000-0000-000034960000}"/>
    <cellStyle name="Porcentual 2 8 10 2 7" xfId="28206" xr:uid="{00000000-0005-0000-0000-000035960000}"/>
    <cellStyle name="Porcentual 2 8 10 3" xfId="28207" xr:uid="{00000000-0005-0000-0000-000036960000}"/>
    <cellStyle name="Porcentual 2 8 10 4" xfId="28208" xr:uid="{00000000-0005-0000-0000-000037960000}"/>
    <cellStyle name="Porcentual 2 8 10 5" xfId="28209" xr:uid="{00000000-0005-0000-0000-000038960000}"/>
    <cellStyle name="Porcentual 2 8 10 6" xfId="28210" xr:uid="{00000000-0005-0000-0000-000039960000}"/>
    <cellStyle name="Porcentual 2 8 10 7" xfId="28211" xr:uid="{00000000-0005-0000-0000-00003A960000}"/>
    <cellStyle name="Porcentual 2 8 10 8" xfId="28212" xr:uid="{00000000-0005-0000-0000-00003B960000}"/>
    <cellStyle name="Porcentual 2 8 11" xfId="28213" xr:uid="{00000000-0005-0000-0000-00003C960000}"/>
    <cellStyle name="Porcentual 2 8 11 2" xfId="28214" xr:uid="{00000000-0005-0000-0000-00003D960000}"/>
    <cellStyle name="Porcentual 2 8 11 2 2" xfId="28215" xr:uid="{00000000-0005-0000-0000-00003E960000}"/>
    <cellStyle name="Porcentual 2 8 11 2 3" xfId="28216" xr:uid="{00000000-0005-0000-0000-00003F960000}"/>
    <cellStyle name="Porcentual 2 8 11 2 4" xfId="28217" xr:uid="{00000000-0005-0000-0000-000040960000}"/>
    <cellStyle name="Porcentual 2 8 11 2 5" xfId="28218" xr:uid="{00000000-0005-0000-0000-000041960000}"/>
    <cellStyle name="Porcentual 2 8 11 2 6" xfId="28219" xr:uid="{00000000-0005-0000-0000-000042960000}"/>
    <cellStyle name="Porcentual 2 8 11 2 7" xfId="28220" xr:uid="{00000000-0005-0000-0000-000043960000}"/>
    <cellStyle name="Porcentual 2 8 11 3" xfId="28221" xr:uid="{00000000-0005-0000-0000-000044960000}"/>
    <cellStyle name="Porcentual 2 8 11 4" xfId="28222" xr:uid="{00000000-0005-0000-0000-000045960000}"/>
    <cellStyle name="Porcentual 2 8 11 5" xfId="28223" xr:uid="{00000000-0005-0000-0000-000046960000}"/>
    <cellStyle name="Porcentual 2 8 11 6" xfId="28224" xr:uid="{00000000-0005-0000-0000-000047960000}"/>
    <cellStyle name="Porcentual 2 8 11 7" xfId="28225" xr:uid="{00000000-0005-0000-0000-000048960000}"/>
    <cellStyle name="Porcentual 2 8 11 8" xfId="28226" xr:uid="{00000000-0005-0000-0000-000049960000}"/>
    <cellStyle name="Porcentual 2 8 12" xfId="28227" xr:uid="{00000000-0005-0000-0000-00004A960000}"/>
    <cellStyle name="Porcentual 2 8 12 2" xfId="28228" xr:uid="{00000000-0005-0000-0000-00004B960000}"/>
    <cellStyle name="Porcentual 2 8 12 2 2" xfId="28229" xr:uid="{00000000-0005-0000-0000-00004C960000}"/>
    <cellStyle name="Porcentual 2 8 12 2 3" xfId="28230" xr:uid="{00000000-0005-0000-0000-00004D960000}"/>
    <cellStyle name="Porcentual 2 8 12 2 4" xfId="28231" xr:uid="{00000000-0005-0000-0000-00004E960000}"/>
    <cellStyle name="Porcentual 2 8 12 2 5" xfId="28232" xr:uid="{00000000-0005-0000-0000-00004F960000}"/>
    <cellStyle name="Porcentual 2 8 12 2 6" xfId="28233" xr:uid="{00000000-0005-0000-0000-000050960000}"/>
    <cellStyle name="Porcentual 2 8 12 2 7" xfId="28234" xr:uid="{00000000-0005-0000-0000-000051960000}"/>
    <cellStyle name="Porcentual 2 8 12 3" xfId="28235" xr:uid="{00000000-0005-0000-0000-000052960000}"/>
    <cellStyle name="Porcentual 2 8 12 4" xfId="28236" xr:uid="{00000000-0005-0000-0000-000053960000}"/>
    <cellStyle name="Porcentual 2 8 12 5" xfId="28237" xr:uid="{00000000-0005-0000-0000-000054960000}"/>
    <cellStyle name="Porcentual 2 8 12 6" xfId="28238" xr:uid="{00000000-0005-0000-0000-000055960000}"/>
    <cellStyle name="Porcentual 2 8 12 7" xfId="28239" xr:uid="{00000000-0005-0000-0000-000056960000}"/>
    <cellStyle name="Porcentual 2 8 12 8" xfId="28240" xr:uid="{00000000-0005-0000-0000-000057960000}"/>
    <cellStyle name="Porcentual 2 8 13" xfId="28241" xr:uid="{00000000-0005-0000-0000-000058960000}"/>
    <cellStyle name="Porcentual 2 8 13 2" xfId="28242" xr:uid="{00000000-0005-0000-0000-000059960000}"/>
    <cellStyle name="Porcentual 2 8 13 2 2" xfId="28243" xr:uid="{00000000-0005-0000-0000-00005A960000}"/>
    <cellStyle name="Porcentual 2 8 13 2 3" xfId="28244" xr:uid="{00000000-0005-0000-0000-00005B960000}"/>
    <cellStyle name="Porcentual 2 8 13 2 4" xfId="28245" xr:uid="{00000000-0005-0000-0000-00005C960000}"/>
    <cellStyle name="Porcentual 2 8 13 2 5" xfId="28246" xr:uid="{00000000-0005-0000-0000-00005D960000}"/>
    <cellStyle name="Porcentual 2 8 13 2 6" xfId="28247" xr:uid="{00000000-0005-0000-0000-00005E960000}"/>
    <cellStyle name="Porcentual 2 8 13 2 7" xfId="28248" xr:uid="{00000000-0005-0000-0000-00005F960000}"/>
    <cellStyle name="Porcentual 2 8 13 3" xfId="28249" xr:uid="{00000000-0005-0000-0000-000060960000}"/>
    <cellStyle name="Porcentual 2 8 13 4" xfId="28250" xr:uid="{00000000-0005-0000-0000-000061960000}"/>
    <cellStyle name="Porcentual 2 8 13 5" xfId="28251" xr:uid="{00000000-0005-0000-0000-000062960000}"/>
    <cellStyle name="Porcentual 2 8 13 6" xfId="28252" xr:uid="{00000000-0005-0000-0000-000063960000}"/>
    <cellStyle name="Porcentual 2 8 13 7" xfId="28253" xr:uid="{00000000-0005-0000-0000-000064960000}"/>
    <cellStyle name="Porcentual 2 8 13 8" xfId="28254" xr:uid="{00000000-0005-0000-0000-000065960000}"/>
    <cellStyle name="Porcentual 2 8 14" xfId="28255" xr:uid="{00000000-0005-0000-0000-000066960000}"/>
    <cellStyle name="Porcentual 2 8 14 2" xfId="28256" xr:uid="{00000000-0005-0000-0000-000067960000}"/>
    <cellStyle name="Porcentual 2 8 14 2 2" xfId="28257" xr:uid="{00000000-0005-0000-0000-000068960000}"/>
    <cellStyle name="Porcentual 2 8 14 2 3" xfId="28258" xr:uid="{00000000-0005-0000-0000-000069960000}"/>
    <cellStyle name="Porcentual 2 8 14 2 4" xfId="28259" xr:uid="{00000000-0005-0000-0000-00006A960000}"/>
    <cellStyle name="Porcentual 2 8 14 2 5" xfId="28260" xr:uid="{00000000-0005-0000-0000-00006B960000}"/>
    <cellStyle name="Porcentual 2 8 14 2 6" xfId="28261" xr:uid="{00000000-0005-0000-0000-00006C960000}"/>
    <cellStyle name="Porcentual 2 8 14 2 7" xfId="28262" xr:uid="{00000000-0005-0000-0000-00006D960000}"/>
    <cellStyle name="Porcentual 2 8 14 3" xfId="28263" xr:uid="{00000000-0005-0000-0000-00006E960000}"/>
    <cellStyle name="Porcentual 2 8 14 4" xfId="28264" xr:uid="{00000000-0005-0000-0000-00006F960000}"/>
    <cellStyle name="Porcentual 2 8 14 5" xfId="28265" xr:uid="{00000000-0005-0000-0000-000070960000}"/>
    <cellStyle name="Porcentual 2 8 14 6" xfId="28266" xr:uid="{00000000-0005-0000-0000-000071960000}"/>
    <cellStyle name="Porcentual 2 8 14 7" xfId="28267" xr:uid="{00000000-0005-0000-0000-000072960000}"/>
    <cellStyle name="Porcentual 2 8 14 8" xfId="28268" xr:uid="{00000000-0005-0000-0000-000073960000}"/>
    <cellStyle name="Porcentual 2 8 15" xfId="28269" xr:uid="{00000000-0005-0000-0000-000074960000}"/>
    <cellStyle name="Porcentual 2 8 15 2" xfId="28270" xr:uid="{00000000-0005-0000-0000-000075960000}"/>
    <cellStyle name="Porcentual 2 8 15 2 2" xfId="28271" xr:uid="{00000000-0005-0000-0000-000076960000}"/>
    <cellStyle name="Porcentual 2 8 15 2 3" xfId="28272" xr:uid="{00000000-0005-0000-0000-000077960000}"/>
    <cellStyle name="Porcentual 2 8 15 2 4" xfId="28273" xr:uid="{00000000-0005-0000-0000-000078960000}"/>
    <cellStyle name="Porcentual 2 8 15 2 5" xfId="28274" xr:uid="{00000000-0005-0000-0000-000079960000}"/>
    <cellStyle name="Porcentual 2 8 15 2 6" xfId="28275" xr:uid="{00000000-0005-0000-0000-00007A960000}"/>
    <cellStyle name="Porcentual 2 8 15 2 7" xfId="28276" xr:uid="{00000000-0005-0000-0000-00007B960000}"/>
    <cellStyle name="Porcentual 2 8 15 3" xfId="28277" xr:uid="{00000000-0005-0000-0000-00007C960000}"/>
    <cellStyle name="Porcentual 2 8 15 4" xfId="28278" xr:uid="{00000000-0005-0000-0000-00007D960000}"/>
    <cellStyle name="Porcentual 2 8 15 5" xfId="28279" xr:uid="{00000000-0005-0000-0000-00007E960000}"/>
    <cellStyle name="Porcentual 2 8 15 6" xfId="28280" xr:uid="{00000000-0005-0000-0000-00007F960000}"/>
    <cellStyle name="Porcentual 2 8 15 7" xfId="28281" xr:uid="{00000000-0005-0000-0000-000080960000}"/>
    <cellStyle name="Porcentual 2 8 15 8" xfId="28282" xr:uid="{00000000-0005-0000-0000-000081960000}"/>
    <cellStyle name="Porcentual 2 8 16" xfId="28283" xr:uid="{00000000-0005-0000-0000-000082960000}"/>
    <cellStyle name="Porcentual 2 8 16 2" xfId="28284" xr:uid="{00000000-0005-0000-0000-000083960000}"/>
    <cellStyle name="Porcentual 2 8 16 3" xfId="28285" xr:uid="{00000000-0005-0000-0000-000084960000}"/>
    <cellStyle name="Porcentual 2 8 16 4" xfId="28286" xr:uid="{00000000-0005-0000-0000-000085960000}"/>
    <cellStyle name="Porcentual 2 8 16 5" xfId="28287" xr:uid="{00000000-0005-0000-0000-000086960000}"/>
    <cellStyle name="Porcentual 2 8 16 6" xfId="28288" xr:uid="{00000000-0005-0000-0000-000087960000}"/>
    <cellStyle name="Porcentual 2 8 16 7" xfId="28289" xr:uid="{00000000-0005-0000-0000-000088960000}"/>
    <cellStyle name="Porcentual 2 8 17" xfId="28290" xr:uid="{00000000-0005-0000-0000-000089960000}"/>
    <cellStyle name="Porcentual 2 8 17 2" xfId="28291" xr:uid="{00000000-0005-0000-0000-00008A960000}"/>
    <cellStyle name="Porcentual 2 8 17 3" xfId="28292" xr:uid="{00000000-0005-0000-0000-00008B960000}"/>
    <cellStyle name="Porcentual 2 8 17 4" xfId="28293" xr:uid="{00000000-0005-0000-0000-00008C960000}"/>
    <cellStyle name="Porcentual 2 8 17 5" xfId="28294" xr:uid="{00000000-0005-0000-0000-00008D960000}"/>
    <cellStyle name="Porcentual 2 8 17 6" xfId="28295" xr:uid="{00000000-0005-0000-0000-00008E960000}"/>
    <cellStyle name="Porcentual 2 8 17 7" xfId="28296" xr:uid="{00000000-0005-0000-0000-00008F960000}"/>
    <cellStyle name="Porcentual 2 8 18" xfId="28297" xr:uid="{00000000-0005-0000-0000-000090960000}"/>
    <cellStyle name="Porcentual 2 8 18 2" xfId="28298" xr:uid="{00000000-0005-0000-0000-000091960000}"/>
    <cellStyle name="Porcentual 2 8 18 3" xfId="28299" xr:uid="{00000000-0005-0000-0000-000092960000}"/>
    <cellStyle name="Porcentual 2 8 18 4" xfId="28300" xr:uid="{00000000-0005-0000-0000-000093960000}"/>
    <cellStyle name="Porcentual 2 8 18 5" xfId="28301" xr:uid="{00000000-0005-0000-0000-000094960000}"/>
    <cellStyle name="Porcentual 2 8 18 6" xfId="28302" xr:uid="{00000000-0005-0000-0000-000095960000}"/>
    <cellStyle name="Porcentual 2 8 18 7" xfId="28303" xr:uid="{00000000-0005-0000-0000-000096960000}"/>
    <cellStyle name="Porcentual 2 8 19" xfId="28304" xr:uid="{00000000-0005-0000-0000-000097960000}"/>
    <cellStyle name="Porcentual 2 8 19 2" xfId="28305" xr:uid="{00000000-0005-0000-0000-000098960000}"/>
    <cellStyle name="Porcentual 2 8 19 3" xfId="28306" xr:uid="{00000000-0005-0000-0000-000099960000}"/>
    <cellStyle name="Porcentual 2 8 19 4" xfId="28307" xr:uid="{00000000-0005-0000-0000-00009A960000}"/>
    <cellStyle name="Porcentual 2 8 19 5" xfId="28308" xr:uid="{00000000-0005-0000-0000-00009B960000}"/>
    <cellStyle name="Porcentual 2 8 19 6" xfId="28309" xr:uid="{00000000-0005-0000-0000-00009C960000}"/>
    <cellStyle name="Porcentual 2 8 19 7" xfId="28310" xr:uid="{00000000-0005-0000-0000-00009D960000}"/>
    <cellStyle name="Porcentual 2 8 2" xfId="28311" xr:uid="{00000000-0005-0000-0000-00009E960000}"/>
    <cellStyle name="Porcentual 2 8 2 2" xfId="28312" xr:uid="{00000000-0005-0000-0000-00009F960000}"/>
    <cellStyle name="Porcentual 2 8 2 2 2" xfId="28313" xr:uid="{00000000-0005-0000-0000-0000A0960000}"/>
    <cellStyle name="Porcentual 2 8 2 2 3" xfId="28314" xr:uid="{00000000-0005-0000-0000-0000A1960000}"/>
    <cellStyle name="Porcentual 2 8 2 2 4" xfId="28315" xr:uid="{00000000-0005-0000-0000-0000A2960000}"/>
    <cellStyle name="Porcentual 2 8 2 2 5" xfId="28316" xr:uid="{00000000-0005-0000-0000-0000A3960000}"/>
    <cellStyle name="Porcentual 2 8 2 2 6" xfId="28317" xr:uid="{00000000-0005-0000-0000-0000A4960000}"/>
    <cellStyle name="Porcentual 2 8 2 2 7" xfId="28318" xr:uid="{00000000-0005-0000-0000-0000A5960000}"/>
    <cellStyle name="Porcentual 2 8 2 3" xfId="28319" xr:uid="{00000000-0005-0000-0000-0000A6960000}"/>
    <cellStyle name="Porcentual 2 8 2 4" xfId="28320" xr:uid="{00000000-0005-0000-0000-0000A7960000}"/>
    <cellStyle name="Porcentual 2 8 2 5" xfId="28321" xr:uid="{00000000-0005-0000-0000-0000A8960000}"/>
    <cellStyle name="Porcentual 2 8 2 6" xfId="28322" xr:uid="{00000000-0005-0000-0000-0000A9960000}"/>
    <cellStyle name="Porcentual 2 8 2 7" xfId="28323" xr:uid="{00000000-0005-0000-0000-0000AA960000}"/>
    <cellStyle name="Porcentual 2 8 2 8" xfId="28324" xr:uid="{00000000-0005-0000-0000-0000AB960000}"/>
    <cellStyle name="Porcentual 2 8 20" xfId="28325" xr:uid="{00000000-0005-0000-0000-0000AC960000}"/>
    <cellStyle name="Porcentual 2 8 20 2" xfId="28326" xr:uid="{00000000-0005-0000-0000-0000AD960000}"/>
    <cellStyle name="Porcentual 2 8 20 3" xfId="28327" xr:uid="{00000000-0005-0000-0000-0000AE960000}"/>
    <cellStyle name="Porcentual 2 8 20 4" xfId="28328" xr:uid="{00000000-0005-0000-0000-0000AF960000}"/>
    <cellStyle name="Porcentual 2 8 20 5" xfId="28329" xr:uid="{00000000-0005-0000-0000-0000B0960000}"/>
    <cellStyle name="Porcentual 2 8 20 6" xfId="28330" xr:uid="{00000000-0005-0000-0000-0000B1960000}"/>
    <cellStyle name="Porcentual 2 8 20 7" xfId="28331" xr:uid="{00000000-0005-0000-0000-0000B2960000}"/>
    <cellStyle name="Porcentual 2 8 21" xfId="28332" xr:uid="{00000000-0005-0000-0000-0000B3960000}"/>
    <cellStyle name="Porcentual 2 8 21 2" xfId="28333" xr:uid="{00000000-0005-0000-0000-0000B4960000}"/>
    <cellStyle name="Porcentual 2 8 21 3" xfId="28334" xr:uid="{00000000-0005-0000-0000-0000B5960000}"/>
    <cellStyle name="Porcentual 2 8 21 4" xfId="28335" xr:uid="{00000000-0005-0000-0000-0000B6960000}"/>
    <cellStyle name="Porcentual 2 8 21 5" xfId="28336" xr:uid="{00000000-0005-0000-0000-0000B7960000}"/>
    <cellStyle name="Porcentual 2 8 21 6" xfId="28337" xr:uid="{00000000-0005-0000-0000-0000B8960000}"/>
    <cellStyle name="Porcentual 2 8 21 7" xfId="28338" xr:uid="{00000000-0005-0000-0000-0000B9960000}"/>
    <cellStyle name="Porcentual 2 8 22" xfId="28339" xr:uid="{00000000-0005-0000-0000-0000BA960000}"/>
    <cellStyle name="Porcentual 2 8 22 2" xfId="28340" xr:uid="{00000000-0005-0000-0000-0000BB960000}"/>
    <cellStyle name="Porcentual 2 8 22 3" xfId="28341" xr:uid="{00000000-0005-0000-0000-0000BC960000}"/>
    <cellStyle name="Porcentual 2 8 22 4" xfId="28342" xr:uid="{00000000-0005-0000-0000-0000BD960000}"/>
    <cellStyle name="Porcentual 2 8 22 5" xfId="28343" xr:uid="{00000000-0005-0000-0000-0000BE960000}"/>
    <cellStyle name="Porcentual 2 8 22 6" xfId="28344" xr:uid="{00000000-0005-0000-0000-0000BF960000}"/>
    <cellStyle name="Porcentual 2 8 22 7" xfId="28345" xr:uid="{00000000-0005-0000-0000-0000C0960000}"/>
    <cellStyle name="Porcentual 2 8 23" xfId="28346" xr:uid="{00000000-0005-0000-0000-0000C1960000}"/>
    <cellStyle name="Porcentual 2 8 23 2" xfId="28347" xr:uid="{00000000-0005-0000-0000-0000C2960000}"/>
    <cellStyle name="Porcentual 2 8 23 3" xfId="28348" xr:uid="{00000000-0005-0000-0000-0000C3960000}"/>
    <cellStyle name="Porcentual 2 8 23 4" xfId="28349" xr:uid="{00000000-0005-0000-0000-0000C4960000}"/>
    <cellStyle name="Porcentual 2 8 23 5" xfId="28350" xr:uid="{00000000-0005-0000-0000-0000C5960000}"/>
    <cellStyle name="Porcentual 2 8 23 6" xfId="28351" xr:uid="{00000000-0005-0000-0000-0000C6960000}"/>
    <cellStyle name="Porcentual 2 8 23 7" xfId="28352" xr:uid="{00000000-0005-0000-0000-0000C7960000}"/>
    <cellStyle name="Porcentual 2 8 24" xfId="28353" xr:uid="{00000000-0005-0000-0000-0000C8960000}"/>
    <cellStyle name="Porcentual 2 8 24 2" xfId="28354" xr:uid="{00000000-0005-0000-0000-0000C9960000}"/>
    <cellStyle name="Porcentual 2 8 24 3" xfId="28355" xr:uid="{00000000-0005-0000-0000-0000CA960000}"/>
    <cellStyle name="Porcentual 2 8 24 4" xfId="28356" xr:uid="{00000000-0005-0000-0000-0000CB960000}"/>
    <cellStyle name="Porcentual 2 8 24 5" xfId="28357" xr:uid="{00000000-0005-0000-0000-0000CC960000}"/>
    <cellStyle name="Porcentual 2 8 24 6" xfId="28358" xr:uid="{00000000-0005-0000-0000-0000CD960000}"/>
    <cellStyle name="Porcentual 2 8 24 7" xfId="28359" xr:uid="{00000000-0005-0000-0000-0000CE960000}"/>
    <cellStyle name="Porcentual 2 8 25" xfId="28360" xr:uid="{00000000-0005-0000-0000-0000CF960000}"/>
    <cellStyle name="Porcentual 2 8 25 2" xfId="28361" xr:uid="{00000000-0005-0000-0000-0000D0960000}"/>
    <cellStyle name="Porcentual 2 8 25 3" xfId="28362" xr:uid="{00000000-0005-0000-0000-0000D1960000}"/>
    <cellStyle name="Porcentual 2 8 25 4" xfId="28363" xr:uid="{00000000-0005-0000-0000-0000D2960000}"/>
    <cellStyle name="Porcentual 2 8 25 5" xfId="28364" xr:uid="{00000000-0005-0000-0000-0000D3960000}"/>
    <cellStyle name="Porcentual 2 8 25 6" xfId="28365" xr:uid="{00000000-0005-0000-0000-0000D4960000}"/>
    <cellStyle name="Porcentual 2 8 25 7" xfId="28366" xr:uid="{00000000-0005-0000-0000-0000D5960000}"/>
    <cellStyle name="Porcentual 2 8 26" xfId="28367" xr:uid="{00000000-0005-0000-0000-0000D6960000}"/>
    <cellStyle name="Porcentual 2 8 26 2" xfId="28368" xr:uid="{00000000-0005-0000-0000-0000D7960000}"/>
    <cellStyle name="Porcentual 2 8 26 3" xfId="28369" xr:uid="{00000000-0005-0000-0000-0000D8960000}"/>
    <cellStyle name="Porcentual 2 8 26 4" xfId="28370" xr:uid="{00000000-0005-0000-0000-0000D9960000}"/>
    <cellStyle name="Porcentual 2 8 26 5" xfId="28371" xr:uid="{00000000-0005-0000-0000-0000DA960000}"/>
    <cellStyle name="Porcentual 2 8 26 6" xfId="28372" xr:uid="{00000000-0005-0000-0000-0000DB960000}"/>
    <cellStyle name="Porcentual 2 8 26 7" xfId="28373" xr:uid="{00000000-0005-0000-0000-0000DC960000}"/>
    <cellStyle name="Porcentual 2 8 27" xfId="28374" xr:uid="{00000000-0005-0000-0000-0000DD960000}"/>
    <cellStyle name="Porcentual 2 8 27 2" xfId="28375" xr:uid="{00000000-0005-0000-0000-0000DE960000}"/>
    <cellStyle name="Porcentual 2 8 27 3" xfId="28376" xr:uid="{00000000-0005-0000-0000-0000DF960000}"/>
    <cellStyle name="Porcentual 2 8 27 4" xfId="28377" xr:uid="{00000000-0005-0000-0000-0000E0960000}"/>
    <cellStyle name="Porcentual 2 8 27 5" xfId="28378" xr:uid="{00000000-0005-0000-0000-0000E1960000}"/>
    <cellStyle name="Porcentual 2 8 27 6" xfId="28379" xr:uid="{00000000-0005-0000-0000-0000E2960000}"/>
    <cellStyle name="Porcentual 2 8 27 7" xfId="28380" xr:uid="{00000000-0005-0000-0000-0000E3960000}"/>
    <cellStyle name="Porcentual 2 8 28" xfId="28381" xr:uid="{00000000-0005-0000-0000-0000E4960000}"/>
    <cellStyle name="Porcentual 2 8 28 2" xfId="28382" xr:uid="{00000000-0005-0000-0000-0000E5960000}"/>
    <cellStyle name="Porcentual 2 8 28 3" xfId="28383" xr:uid="{00000000-0005-0000-0000-0000E6960000}"/>
    <cellStyle name="Porcentual 2 8 28 4" xfId="28384" xr:uid="{00000000-0005-0000-0000-0000E7960000}"/>
    <cellStyle name="Porcentual 2 8 28 5" xfId="28385" xr:uid="{00000000-0005-0000-0000-0000E8960000}"/>
    <cellStyle name="Porcentual 2 8 28 6" xfId="28386" xr:uid="{00000000-0005-0000-0000-0000E9960000}"/>
    <cellStyle name="Porcentual 2 8 28 7" xfId="28387" xr:uid="{00000000-0005-0000-0000-0000EA960000}"/>
    <cellStyle name="Porcentual 2 8 29" xfId="28388" xr:uid="{00000000-0005-0000-0000-0000EB960000}"/>
    <cellStyle name="Porcentual 2 8 29 2" xfId="28389" xr:uid="{00000000-0005-0000-0000-0000EC960000}"/>
    <cellStyle name="Porcentual 2 8 29 3" xfId="28390" xr:uid="{00000000-0005-0000-0000-0000ED960000}"/>
    <cellStyle name="Porcentual 2 8 29 4" xfId="28391" xr:uid="{00000000-0005-0000-0000-0000EE960000}"/>
    <cellStyle name="Porcentual 2 8 29 5" xfId="28392" xr:uid="{00000000-0005-0000-0000-0000EF960000}"/>
    <cellStyle name="Porcentual 2 8 29 6" xfId="28393" xr:uid="{00000000-0005-0000-0000-0000F0960000}"/>
    <cellStyle name="Porcentual 2 8 29 7" xfId="28394" xr:uid="{00000000-0005-0000-0000-0000F1960000}"/>
    <cellStyle name="Porcentual 2 8 3" xfId="28395" xr:uid="{00000000-0005-0000-0000-0000F2960000}"/>
    <cellStyle name="Porcentual 2 8 3 2" xfId="28396" xr:uid="{00000000-0005-0000-0000-0000F3960000}"/>
    <cellStyle name="Porcentual 2 8 3 2 2" xfId="28397" xr:uid="{00000000-0005-0000-0000-0000F4960000}"/>
    <cellStyle name="Porcentual 2 8 3 2 3" xfId="28398" xr:uid="{00000000-0005-0000-0000-0000F5960000}"/>
    <cellStyle name="Porcentual 2 8 3 2 4" xfId="28399" xr:uid="{00000000-0005-0000-0000-0000F6960000}"/>
    <cellStyle name="Porcentual 2 8 3 2 5" xfId="28400" xr:uid="{00000000-0005-0000-0000-0000F7960000}"/>
    <cellStyle name="Porcentual 2 8 3 2 6" xfId="28401" xr:uid="{00000000-0005-0000-0000-0000F8960000}"/>
    <cellStyle name="Porcentual 2 8 3 2 7" xfId="28402" xr:uid="{00000000-0005-0000-0000-0000F9960000}"/>
    <cellStyle name="Porcentual 2 8 3 3" xfId="28403" xr:uid="{00000000-0005-0000-0000-0000FA960000}"/>
    <cellStyle name="Porcentual 2 8 3 4" xfId="28404" xr:uid="{00000000-0005-0000-0000-0000FB960000}"/>
    <cellStyle name="Porcentual 2 8 3 5" xfId="28405" xr:uid="{00000000-0005-0000-0000-0000FC960000}"/>
    <cellStyle name="Porcentual 2 8 3 6" xfId="28406" xr:uid="{00000000-0005-0000-0000-0000FD960000}"/>
    <cellStyle name="Porcentual 2 8 3 7" xfId="28407" xr:uid="{00000000-0005-0000-0000-0000FE960000}"/>
    <cellStyle name="Porcentual 2 8 3 8" xfId="28408" xr:uid="{00000000-0005-0000-0000-0000FF960000}"/>
    <cellStyle name="Porcentual 2 8 30" xfId="28409" xr:uid="{00000000-0005-0000-0000-000000970000}"/>
    <cellStyle name="Porcentual 2 8 30 2" xfId="28410" xr:uid="{00000000-0005-0000-0000-000001970000}"/>
    <cellStyle name="Porcentual 2 8 30 3" xfId="28411" xr:uid="{00000000-0005-0000-0000-000002970000}"/>
    <cellStyle name="Porcentual 2 8 30 4" xfId="28412" xr:uid="{00000000-0005-0000-0000-000003970000}"/>
    <cellStyle name="Porcentual 2 8 30 5" xfId="28413" xr:uid="{00000000-0005-0000-0000-000004970000}"/>
    <cellStyle name="Porcentual 2 8 30 6" xfId="28414" xr:uid="{00000000-0005-0000-0000-000005970000}"/>
    <cellStyle name="Porcentual 2 8 30 7" xfId="28415" xr:uid="{00000000-0005-0000-0000-000006970000}"/>
    <cellStyle name="Porcentual 2 8 31" xfId="28416" xr:uid="{00000000-0005-0000-0000-000007970000}"/>
    <cellStyle name="Porcentual 2 8 31 2" xfId="28417" xr:uid="{00000000-0005-0000-0000-000008970000}"/>
    <cellStyle name="Porcentual 2 8 31 3" xfId="28418" xr:uid="{00000000-0005-0000-0000-000009970000}"/>
    <cellStyle name="Porcentual 2 8 31 4" xfId="28419" xr:uid="{00000000-0005-0000-0000-00000A970000}"/>
    <cellStyle name="Porcentual 2 8 31 5" xfId="28420" xr:uid="{00000000-0005-0000-0000-00000B970000}"/>
    <cellStyle name="Porcentual 2 8 31 6" xfId="28421" xr:uid="{00000000-0005-0000-0000-00000C970000}"/>
    <cellStyle name="Porcentual 2 8 31 7" xfId="28422" xr:uid="{00000000-0005-0000-0000-00000D970000}"/>
    <cellStyle name="Porcentual 2 8 32" xfId="28423" xr:uid="{00000000-0005-0000-0000-00000E970000}"/>
    <cellStyle name="Porcentual 2 8 32 2" xfId="28424" xr:uid="{00000000-0005-0000-0000-00000F970000}"/>
    <cellStyle name="Porcentual 2 8 32 3" xfId="28425" xr:uid="{00000000-0005-0000-0000-000010970000}"/>
    <cellStyle name="Porcentual 2 8 32 4" xfId="28426" xr:uid="{00000000-0005-0000-0000-000011970000}"/>
    <cellStyle name="Porcentual 2 8 32 5" xfId="28427" xr:uid="{00000000-0005-0000-0000-000012970000}"/>
    <cellStyle name="Porcentual 2 8 32 6" xfId="28428" xr:uid="{00000000-0005-0000-0000-000013970000}"/>
    <cellStyle name="Porcentual 2 8 32 7" xfId="28429" xr:uid="{00000000-0005-0000-0000-000014970000}"/>
    <cellStyle name="Porcentual 2 8 33" xfId="28430" xr:uid="{00000000-0005-0000-0000-000015970000}"/>
    <cellStyle name="Porcentual 2 8 33 2" xfId="28431" xr:uid="{00000000-0005-0000-0000-000016970000}"/>
    <cellStyle name="Porcentual 2 8 33 3" xfId="28432" xr:uid="{00000000-0005-0000-0000-000017970000}"/>
    <cellStyle name="Porcentual 2 8 33 4" xfId="28433" xr:uid="{00000000-0005-0000-0000-000018970000}"/>
    <cellStyle name="Porcentual 2 8 33 5" xfId="28434" xr:uid="{00000000-0005-0000-0000-000019970000}"/>
    <cellStyle name="Porcentual 2 8 33 6" xfId="28435" xr:uid="{00000000-0005-0000-0000-00001A970000}"/>
    <cellStyle name="Porcentual 2 8 33 7" xfId="28436" xr:uid="{00000000-0005-0000-0000-00001B970000}"/>
    <cellStyle name="Porcentual 2 8 34" xfId="28437" xr:uid="{00000000-0005-0000-0000-00001C970000}"/>
    <cellStyle name="Porcentual 2 8 34 2" xfId="28438" xr:uid="{00000000-0005-0000-0000-00001D970000}"/>
    <cellStyle name="Porcentual 2 8 34 3" xfId="28439" xr:uid="{00000000-0005-0000-0000-00001E970000}"/>
    <cellStyle name="Porcentual 2 8 34 4" xfId="28440" xr:uid="{00000000-0005-0000-0000-00001F970000}"/>
    <cellStyle name="Porcentual 2 8 34 5" xfId="28441" xr:uid="{00000000-0005-0000-0000-000020970000}"/>
    <cellStyle name="Porcentual 2 8 34 6" xfId="28442" xr:uid="{00000000-0005-0000-0000-000021970000}"/>
    <cellStyle name="Porcentual 2 8 34 7" xfId="28443" xr:uid="{00000000-0005-0000-0000-000022970000}"/>
    <cellStyle name="Porcentual 2 8 35" xfId="28444" xr:uid="{00000000-0005-0000-0000-000023970000}"/>
    <cellStyle name="Porcentual 2 8 35 2" xfId="28445" xr:uid="{00000000-0005-0000-0000-000024970000}"/>
    <cellStyle name="Porcentual 2 8 35 3" xfId="28446" xr:uid="{00000000-0005-0000-0000-000025970000}"/>
    <cellStyle name="Porcentual 2 8 35 4" xfId="28447" xr:uid="{00000000-0005-0000-0000-000026970000}"/>
    <cellStyle name="Porcentual 2 8 35 5" xfId="28448" xr:uid="{00000000-0005-0000-0000-000027970000}"/>
    <cellStyle name="Porcentual 2 8 35 6" xfId="28449" xr:uid="{00000000-0005-0000-0000-000028970000}"/>
    <cellStyle name="Porcentual 2 8 35 7" xfId="28450" xr:uid="{00000000-0005-0000-0000-000029970000}"/>
    <cellStyle name="Porcentual 2 8 36" xfId="28451" xr:uid="{00000000-0005-0000-0000-00002A970000}"/>
    <cellStyle name="Porcentual 2 8 37" xfId="28452" xr:uid="{00000000-0005-0000-0000-00002B970000}"/>
    <cellStyle name="Porcentual 2 8 38" xfId="28453" xr:uid="{00000000-0005-0000-0000-00002C970000}"/>
    <cellStyle name="Porcentual 2 8 39" xfId="28454" xr:uid="{00000000-0005-0000-0000-00002D970000}"/>
    <cellStyle name="Porcentual 2 8 4" xfId="28455" xr:uid="{00000000-0005-0000-0000-00002E970000}"/>
    <cellStyle name="Porcentual 2 8 4 2" xfId="28456" xr:uid="{00000000-0005-0000-0000-00002F970000}"/>
    <cellStyle name="Porcentual 2 8 4 2 2" xfId="28457" xr:uid="{00000000-0005-0000-0000-000030970000}"/>
    <cellStyle name="Porcentual 2 8 4 2 3" xfId="28458" xr:uid="{00000000-0005-0000-0000-000031970000}"/>
    <cellStyle name="Porcentual 2 8 4 2 4" xfId="28459" xr:uid="{00000000-0005-0000-0000-000032970000}"/>
    <cellStyle name="Porcentual 2 8 4 2 5" xfId="28460" xr:uid="{00000000-0005-0000-0000-000033970000}"/>
    <cellStyle name="Porcentual 2 8 4 2 6" xfId="28461" xr:uid="{00000000-0005-0000-0000-000034970000}"/>
    <cellStyle name="Porcentual 2 8 4 2 7" xfId="28462" xr:uid="{00000000-0005-0000-0000-000035970000}"/>
    <cellStyle name="Porcentual 2 8 4 3" xfId="28463" xr:uid="{00000000-0005-0000-0000-000036970000}"/>
    <cellStyle name="Porcentual 2 8 4 4" xfId="28464" xr:uid="{00000000-0005-0000-0000-000037970000}"/>
    <cellStyle name="Porcentual 2 8 4 5" xfId="28465" xr:uid="{00000000-0005-0000-0000-000038970000}"/>
    <cellStyle name="Porcentual 2 8 4 6" xfId="28466" xr:uid="{00000000-0005-0000-0000-000039970000}"/>
    <cellStyle name="Porcentual 2 8 4 7" xfId="28467" xr:uid="{00000000-0005-0000-0000-00003A970000}"/>
    <cellStyle name="Porcentual 2 8 4 8" xfId="28468" xr:uid="{00000000-0005-0000-0000-00003B970000}"/>
    <cellStyle name="Porcentual 2 8 40" xfId="28469" xr:uid="{00000000-0005-0000-0000-00003C970000}"/>
    <cellStyle name="Porcentual 2 8 41" xfId="28470" xr:uid="{00000000-0005-0000-0000-00003D970000}"/>
    <cellStyle name="Porcentual 2 8 5" xfId="28471" xr:uid="{00000000-0005-0000-0000-00003E970000}"/>
    <cellStyle name="Porcentual 2 8 5 2" xfId="28472" xr:uid="{00000000-0005-0000-0000-00003F970000}"/>
    <cellStyle name="Porcentual 2 8 5 2 2" xfId="28473" xr:uid="{00000000-0005-0000-0000-000040970000}"/>
    <cellStyle name="Porcentual 2 8 5 2 3" xfId="28474" xr:uid="{00000000-0005-0000-0000-000041970000}"/>
    <cellStyle name="Porcentual 2 8 5 2 4" xfId="28475" xr:uid="{00000000-0005-0000-0000-000042970000}"/>
    <cellStyle name="Porcentual 2 8 5 2 5" xfId="28476" xr:uid="{00000000-0005-0000-0000-000043970000}"/>
    <cellStyle name="Porcentual 2 8 5 2 6" xfId="28477" xr:uid="{00000000-0005-0000-0000-000044970000}"/>
    <cellStyle name="Porcentual 2 8 5 2 7" xfId="28478" xr:uid="{00000000-0005-0000-0000-000045970000}"/>
    <cellStyle name="Porcentual 2 8 5 3" xfId="28479" xr:uid="{00000000-0005-0000-0000-000046970000}"/>
    <cellStyle name="Porcentual 2 8 5 4" xfId="28480" xr:uid="{00000000-0005-0000-0000-000047970000}"/>
    <cellStyle name="Porcentual 2 8 5 5" xfId="28481" xr:uid="{00000000-0005-0000-0000-000048970000}"/>
    <cellStyle name="Porcentual 2 8 5 6" xfId="28482" xr:uid="{00000000-0005-0000-0000-000049970000}"/>
    <cellStyle name="Porcentual 2 8 5 7" xfId="28483" xr:uid="{00000000-0005-0000-0000-00004A970000}"/>
    <cellStyle name="Porcentual 2 8 5 8" xfId="28484" xr:uid="{00000000-0005-0000-0000-00004B970000}"/>
    <cellStyle name="Porcentual 2 8 6" xfId="28485" xr:uid="{00000000-0005-0000-0000-00004C970000}"/>
    <cellStyle name="Porcentual 2 8 6 2" xfId="28486" xr:uid="{00000000-0005-0000-0000-00004D970000}"/>
    <cellStyle name="Porcentual 2 8 6 2 2" xfId="28487" xr:uid="{00000000-0005-0000-0000-00004E970000}"/>
    <cellStyle name="Porcentual 2 8 6 2 3" xfId="28488" xr:uid="{00000000-0005-0000-0000-00004F970000}"/>
    <cellStyle name="Porcentual 2 8 6 2 4" xfId="28489" xr:uid="{00000000-0005-0000-0000-000050970000}"/>
    <cellStyle name="Porcentual 2 8 6 2 5" xfId="28490" xr:uid="{00000000-0005-0000-0000-000051970000}"/>
    <cellStyle name="Porcentual 2 8 6 2 6" xfId="28491" xr:uid="{00000000-0005-0000-0000-000052970000}"/>
    <cellStyle name="Porcentual 2 8 6 2 7" xfId="28492" xr:uid="{00000000-0005-0000-0000-000053970000}"/>
    <cellStyle name="Porcentual 2 8 6 3" xfId="28493" xr:uid="{00000000-0005-0000-0000-000054970000}"/>
    <cellStyle name="Porcentual 2 8 6 4" xfId="28494" xr:uid="{00000000-0005-0000-0000-000055970000}"/>
    <cellStyle name="Porcentual 2 8 6 5" xfId="28495" xr:uid="{00000000-0005-0000-0000-000056970000}"/>
    <cellStyle name="Porcentual 2 8 6 6" xfId="28496" xr:uid="{00000000-0005-0000-0000-000057970000}"/>
    <cellStyle name="Porcentual 2 8 6 7" xfId="28497" xr:uid="{00000000-0005-0000-0000-000058970000}"/>
    <cellStyle name="Porcentual 2 8 6 8" xfId="28498" xr:uid="{00000000-0005-0000-0000-000059970000}"/>
    <cellStyle name="Porcentual 2 8 7" xfId="28499" xr:uid="{00000000-0005-0000-0000-00005A970000}"/>
    <cellStyle name="Porcentual 2 8 7 2" xfId="28500" xr:uid="{00000000-0005-0000-0000-00005B970000}"/>
    <cellStyle name="Porcentual 2 8 7 2 2" xfId="28501" xr:uid="{00000000-0005-0000-0000-00005C970000}"/>
    <cellStyle name="Porcentual 2 8 7 2 3" xfId="28502" xr:uid="{00000000-0005-0000-0000-00005D970000}"/>
    <cellStyle name="Porcentual 2 8 7 2 4" xfId="28503" xr:uid="{00000000-0005-0000-0000-00005E970000}"/>
    <cellStyle name="Porcentual 2 8 7 2 5" xfId="28504" xr:uid="{00000000-0005-0000-0000-00005F970000}"/>
    <cellStyle name="Porcentual 2 8 7 2 6" xfId="28505" xr:uid="{00000000-0005-0000-0000-000060970000}"/>
    <cellStyle name="Porcentual 2 8 7 2 7" xfId="28506" xr:uid="{00000000-0005-0000-0000-000061970000}"/>
    <cellStyle name="Porcentual 2 8 7 3" xfId="28507" xr:uid="{00000000-0005-0000-0000-000062970000}"/>
    <cellStyle name="Porcentual 2 8 7 4" xfId="28508" xr:uid="{00000000-0005-0000-0000-000063970000}"/>
    <cellStyle name="Porcentual 2 8 7 5" xfId="28509" xr:uid="{00000000-0005-0000-0000-000064970000}"/>
    <cellStyle name="Porcentual 2 8 7 6" xfId="28510" xr:uid="{00000000-0005-0000-0000-000065970000}"/>
    <cellStyle name="Porcentual 2 8 7 7" xfId="28511" xr:uid="{00000000-0005-0000-0000-000066970000}"/>
    <cellStyle name="Porcentual 2 8 7 8" xfId="28512" xr:uid="{00000000-0005-0000-0000-000067970000}"/>
    <cellStyle name="Porcentual 2 8 8" xfId="28513" xr:uid="{00000000-0005-0000-0000-000068970000}"/>
    <cellStyle name="Porcentual 2 8 8 2" xfId="28514" xr:uid="{00000000-0005-0000-0000-000069970000}"/>
    <cellStyle name="Porcentual 2 8 8 2 2" xfId="28515" xr:uid="{00000000-0005-0000-0000-00006A970000}"/>
    <cellStyle name="Porcentual 2 8 8 2 3" xfId="28516" xr:uid="{00000000-0005-0000-0000-00006B970000}"/>
    <cellStyle name="Porcentual 2 8 8 2 4" xfId="28517" xr:uid="{00000000-0005-0000-0000-00006C970000}"/>
    <cellStyle name="Porcentual 2 8 8 2 5" xfId="28518" xr:uid="{00000000-0005-0000-0000-00006D970000}"/>
    <cellStyle name="Porcentual 2 8 8 2 6" xfId="28519" xr:uid="{00000000-0005-0000-0000-00006E970000}"/>
    <cellStyle name="Porcentual 2 8 8 2 7" xfId="28520" xr:uid="{00000000-0005-0000-0000-00006F970000}"/>
    <cellStyle name="Porcentual 2 8 8 3" xfId="28521" xr:uid="{00000000-0005-0000-0000-000070970000}"/>
    <cellStyle name="Porcentual 2 8 8 4" xfId="28522" xr:uid="{00000000-0005-0000-0000-000071970000}"/>
    <cellStyle name="Porcentual 2 8 8 5" xfId="28523" xr:uid="{00000000-0005-0000-0000-000072970000}"/>
    <cellStyle name="Porcentual 2 8 8 6" xfId="28524" xr:uid="{00000000-0005-0000-0000-000073970000}"/>
    <cellStyle name="Porcentual 2 8 8 7" xfId="28525" xr:uid="{00000000-0005-0000-0000-000074970000}"/>
    <cellStyle name="Porcentual 2 8 8 8" xfId="28526" xr:uid="{00000000-0005-0000-0000-000075970000}"/>
    <cellStyle name="Porcentual 2 8 9" xfId="28527" xr:uid="{00000000-0005-0000-0000-000076970000}"/>
    <cellStyle name="Porcentual 2 8 9 2" xfId="28528" xr:uid="{00000000-0005-0000-0000-000077970000}"/>
    <cellStyle name="Porcentual 2 8 9 2 2" xfId="28529" xr:uid="{00000000-0005-0000-0000-000078970000}"/>
    <cellStyle name="Porcentual 2 8 9 2 3" xfId="28530" xr:uid="{00000000-0005-0000-0000-000079970000}"/>
    <cellStyle name="Porcentual 2 8 9 2 4" xfId="28531" xr:uid="{00000000-0005-0000-0000-00007A970000}"/>
    <cellStyle name="Porcentual 2 8 9 2 5" xfId="28532" xr:uid="{00000000-0005-0000-0000-00007B970000}"/>
    <cellStyle name="Porcentual 2 8 9 2 6" xfId="28533" xr:uid="{00000000-0005-0000-0000-00007C970000}"/>
    <cellStyle name="Porcentual 2 8 9 2 7" xfId="28534" xr:uid="{00000000-0005-0000-0000-00007D970000}"/>
    <cellStyle name="Porcentual 2 8 9 3" xfId="28535" xr:uid="{00000000-0005-0000-0000-00007E970000}"/>
    <cellStyle name="Porcentual 2 8 9 4" xfId="28536" xr:uid="{00000000-0005-0000-0000-00007F970000}"/>
    <cellStyle name="Porcentual 2 8 9 5" xfId="28537" xr:uid="{00000000-0005-0000-0000-000080970000}"/>
    <cellStyle name="Porcentual 2 8 9 6" xfId="28538" xr:uid="{00000000-0005-0000-0000-000081970000}"/>
    <cellStyle name="Porcentual 2 8 9 7" xfId="28539" xr:uid="{00000000-0005-0000-0000-000082970000}"/>
    <cellStyle name="Porcentual 2 8 9 8" xfId="28540" xr:uid="{00000000-0005-0000-0000-000083970000}"/>
    <cellStyle name="Porcentual 2 9" xfId="28541" xr:uid="{00000000-0005-0000-0000-000084970000}"/>
    <cellStyle name="Porcentual 2 9 10" xfId="28542" xr:uid="{00000000-0005-0000-0000-000085970000}"/>
    <cellStyle name="Porcentual 2 9 10 2" xfId="28543" xr:uid="{00000000-0005-0000-0000-000086970000}"/>
    <cellStyle name="Porcentual 2 9 10 2 2" xfId="28544" xr:uid="{00000000-0005-0000-0000-000087970000}"/>
    <cellStyle name="Porcentual 2 9 10 2 3" xfId="28545" xr:uid="{00000000-0005-0000-0000-000088970000}"/>
    <cellStyle name="Porcentual 2 9 10 2 4" xfId="28546" xr:uid="{00000000-0005-0000-0000-000089970000}"/>
    <cellStyle name="Porcentual 2 9 10 2 5" xfId="28547" xr:uid="{00000000-0005-0000-0000-00008A970000}"/>
    <cellStyle name="Porcentual 2 9 10 2 6" xfId="28548" xr:uid="{00000000-0005-0000-0000-00008B970000}"/>
    <cellStyle name="Porcentual 2 9 10 2 7" xfId="28549" xr:uid="{00000000-0005-0000-0000-00008C970000}"/>
    <cellStyle name="Porcentual 2 9 10 3" xfId="28550" xr:uid="{00000000-0005-0000-0000-00008D970000}"/>
    <cellStyle name="Porcentual 2 9 10 4" xfId="28551" xr:uid="{00000000-0005-0000-0000-00008E970000}"/>
    <cellStyle name="Porcentual 2 9 10 5" xfId="28552" xr:uid="{00000000-0005-0000-0000-00008F970000}"/>
    <cellStyle name="Porcentual 2 9 10 6" xfId="28553" xr:uid="{00000000-0005-0000-0000-000090970000}"/>
    <cellStyle name="Porcentual 2 9 10 7" xfId="28554" xr:uid="{00000000-0005-0000-0000-000091970000}"/>
    <cellStyle name="Porcentual 2 9 10 8" xfId="28555" xr:uid="{00000000-0005-0000-0000-000092970000}"/>
    <cellStyle name="Porcentual 2 9 11" xfId="28556" xr:uid="{00000000-0005-0000-0000-000093970000}"/>
    <cellStyle name="Porcentual 2 9 11 2" xfId="28557" xr:uid="{00000000-0005-0000-0000-000094970000}"/>
    <cellStyle name="Porcentual 2 9 11 2 2" xfId="28558" xr:uid="{00000000-0005-0000-0000-000095970000}"/>
    <cellStyle name="Porcentual 2 9 11 2 3" xfId="28559" xr:uid="{00000000-0005-0000-0000-000096970000}"/>
    <cellStyle name="Porcentual 2 9 11 2 4" xfId="28560" xr:uid="{00000000-0005-0000-0000-000097970000}"/>
    <cellStyle name="Porcentual 2 9 11 2 5" xfId="28561" xr:uid="{00000000-0005-0000-0000-000098970000}"/>
    <cellStyle name="Porcentual 2 9 11 2 6" xfId="28562" xr:uid="{00000000-0005-0000-0000-000099970000}"/>
    <cellStyle name="Porcentual 2 9 11 2 7" xfId="28563" xr:uid="{00000000-0005-0000-0000-00009A970000}"/>
    <cellStyle name="Porcentual 2 9 11 3" xfId="28564" xr:uid="{00000000-0005-0000-0000-00009B970000}"/>
    <cellStyle name="Porcentual 2 9 11 4" xfId="28565" xr:uid="{00000000-0005-0000-0000-00009C970000}"/>
    <cellStyle name="Porcentual 2 9 11 5" xfId="28566" xr:uid="{00000000-0005-0000-0000-00009D970000}"/>
    <cellStyle name="Porcentual 2 9 11 6" xfId="28567" xr:uid="{00000000-0005-0000-0000-00009E970000}"/>
    <cellStyle name="Porcentual 2 9 11 7" xfId="28568" xr:uid="{00000000-0005-0000-0000-00009F970000}"/>
    <cellStyle name="Porcentual 2 9 11 8" xfId="28569" xr:uid="{00000000-0005-0000-0000-0000A0970000}"/>
    <cellStyle name="Porcentual 2 9 12" xfId="28570" xr:uid="{00000000-0005-0000-0000-0000A1970000}"/>
    <cellStyle name="Porcentual 2 9 12 2" xfId="28571" xr:uid="{00000000-0005-0000-0000-0000A2970000}"/>
    <cellStyle name="Porcentual 2 9 12 2 2" xfId="28572" xr:uid="{00000000-0005-0000-0000-0000A3970000}"/>
    <cellStyle name="Porcentual 2 9 12 2 3" xfId="28573" xr:uid="{00000000-0005-0000-0000-0000A4970000}"/>
    <cellStyle name="Porcentual 2 9 12 2 4" xfId="28574" xr:uid="{00000000-0005-0000-0000-0000A5970000}"/>
    <cellStyle name="Porcentual 2 9 12 2 5" xfId="28575" xr:uid="{00000000-0005-0000-0000-0000A6970000}"/>
    <cellStyle name="Porcentual 2 9 12 2 6" xfId="28576" xr:uid="{00000000-0005-0000-0000-0000A7970000}"/>
    <cellStyle name="Porcentual 2 9 12 2 7" xfId="28577" xr:uid="{00000000-0005-0000-0000-0000A8970000}"/>
    <cellStyle name="Porcentual 2 9 12 3" xfId="28578" xr:uid="{00000000-0005-0000-0000-0000A9970000}"/>
    <cellStyle name="Porcentual 2 9 12 4" xfId="28579" xr:uid="{00000000-0005-0000-0000-0000AA970000}"/>
    <cellStyle name="Porcentual 2 9 12 5" xfId="28580" xr:uid="{00000000-0005-0000-0000-0000AB970000}"/>
    <cellStyle name="Porcentual 2 9 12 6" xfId="28581" xr:uid="{00000000-0005-0000-0000-0000AC970000}"/>
    <cellStyle name="Porcentual 2 9 12 7" xfId="28582" xr:uid="{00000000-0005-0000-0000-0000AD970000}"/>
    <cellStyle name="Porcentual 2 9 12 8" xfId="28583" xr:uid="{00000000-0005-0000-0000-0000AE970000}"/>
    <cellStyle name="Porcentual 2 9 13" xfId="28584" xr:uid="{00000000-0005-0000-0000-0000AF970000}"/>
    <cellStyle name="Porcentual 2 9 13 2" xfId="28585" xr:uid="{00000000-0005-0000-0000-0000B0970000}"/>
    <cellStyle name="Porcentual 2 9 13 2 2" xfId="28586" xr:uid="{00000000-0005-0000-0000-0000B1970000}"/>
    <cellStyle name="Porcentual 2 9 13 2 3" xfId="28587" xr:uid="{00000000-0005-0000-0000-0000B2970000}"/>
    <cellStyle name="Porcentual 2 9 13 2 4" xfId="28588" xr:uid="{00000000-0005-0000-0000-0000B3970000}"/>
    <cellStyle name="Porcentual 2 9 13 2 5" xfId="28589" xr:uid="{00000000-0005-0000-0000-0000B4970000}"/>
    <cellStyle name="Porcentual 2 9 13 2 6" xfId="28590" xr:uid="{00000000-0005-0000-0000-0000B5970000}"/>
    <cellStyle name="Porcentual 2 9 13 2 7" xfId="28591" xr:uid="{00000000-0005-0000-0000-0000B6970000}"/>
    <cellStyle name="Porcentual 2 9 13 3" xfId="28592" xr:uid="{00000000-0005-0000-0000-0000B7970000}"/>
    <cellStyle name="Porcentual 2 9 13 4" xfId="28593" xr:uid="{00000000-0005-0000-0000-0000B8970000}"/>
    <cellStyle name="Porcentual 2 9 13 5" xfId="28594" xr:uid="{00000000-0005-0000-0000-0000B9970000}"/>
    <cellStyle name="Porcentual 2 9 13 6" xfId="28595" xr:uid="{00000000-0005-0000-0000-0000BA970000}"/>
    <cellStyle name="Porcentual 2 9 13 7" xfId="28596" xr:uid="{00000000-0005-0000-0000-0000BB970000}"/>
    <cellStyle name="Porcentual 2 9 13 8" xfId="28597" xr:uid="{00000000-0005-0000-0000-0000BC970000}"/>
    <cellStyle name="Porcentual 2 9 14" xfId="28598" xr:uid="{00000000-0005-0000-0000-0000BD970000}"/>
    <cellStyle name="Porcentual 2 9 14 2" xfId="28599" xr:uid="{00000000-0005-0000-0000-0000BE970000}"/>
    <cellStyle name="Porcentual 2 9 14 2 2" xfId="28600" xr:uid="{00000000-0005-0000-0000-0000BF970000}"/>
    <cellStyle name="Porcentual 2 9 14 2 3" xfId="28601" xr:uid="{00000000-0005-0000-0000-0000C0970000}"/>
    <cellStyle name="Porcentual 2 9 14 2 4" xfId="28602" xr:uid="{00000000-0005-0000-0000-0000C1970000}"/>
    <cellStyle name="Porcentual 2 9 14 2 5" xfId="28603" xr:uid="{00000000-0005-0000-0000-0000C2970000}"/>
    <cellStyle name="Porcentual 2 9 14 2 6" xfId="28604" xr:uid="{00000000-0005-0000-0000-0000C3970000}"/>
    <cellStyle name="Porcentual 2 9 14 2 7" xfId="28605" xr:uid="{00000000-0005-0000-0000-0000C4970000}"/>
    <cellStyle name="Porcentual 2 9 14 3" xfId="28606" xr:uid="{00000000-0005-0000-0000-0000C5970000}"/>
    <cellStyle name="Porcentual 2 9 14 4" xfId="28607" xr:uid="{00000000-0005-0000-0000-0000C6970000}"/>
    <cellStyle name="Porcentual 2 9 14 5" xfId="28608" xr:uid="{00000000-0005-0000-0000-0000C7970000}"/>
    <cellStyle name="Porcentual 2 9 14 6" xfId="28609" xr:uid="{00000000-0005-0000-0000-0000C8970000}"/>
    <cellStyle name="Porcentual 2 9 14 7" xfId="28610" xr:uid="{00000000-0005-0000-0000-0000C9970000}"/>
    <cellStyle name="Porcentual 2 9 14 8" xfId="28611" xr:uid="{00000000-0005-0000-0000-0000CA970000}"/>
    <cellStyle name="Porcentual 2 9 15" xfId="28612" xr:uid="{00000000-0005-0000-0000-0000CB970000}"/>
    <cellStyle name="Porcentual 2 9 15 2" xfId="28613" xr:uid="{00000000-0005-0000-0000-0000CC970000}"/>
    <cellStyle name="Porcentual 2 9 15 2 2" xfId="28614" xr:uid="{00000000-0005-0000-0000-0000CD970000}"/>
    <cellStyle name="Porcentual 2 9 15 2 3" xfId="28615" xr:uid="{00000000-0005-0000-0000-0000CE970000}"/>
    <cellStyle name="Porcentual 2 9 15 2 4" xfId="28616" xr:uid="{00000000-0005-0000-0000-0000CF970000}"/>
    <cellStyle name="Porcentual 2 9 15 2 5" xfId="28617" xr:uid="{00000000-0005-0000-0000-0000D0970000}"/>
    <cellStyle name="Porcentual 2 9 15 2 6" xfId="28618" xr:uid="{00000000-0005-0000-0000-0000D1970000}"/>
    <cellStyle name="Porcentual 2 9 15 2 7" xfId="28619" xr:uid="{00000000-0005-0000-0000-0000D2970000}"/>
    <cellStyle name="Porcentual 2 9 15 3" xfId="28620" xr:uid="{00000000-0005-0000-0000-0000D3970000}"/>
    <cellStyle name="Porcentual 2 9 15 4" xfId="28621" xr:uid="{00000000-0005-0000-0000-0000D4970000}"/>
    <cellStyle name="Porcentual 2 9 15 5" xfId="28622" xr:uid="{00000000-0005-0000-0000-0000D5970000}"/>
    <cellStyle name="Porcentual 2 9 15 6" xfId="28623" xr:uid="{00000000-0005-0000-0000-0000D6970000}"/>
    <cellStyle name="Porcentual 2 9 15 7" xfId="28624" xr:uid="{00000000-0005-0000-0000-0000D7970000}"/>
    <cellStyle name="Porcentual 2 9 15 8" xfId="28625" xr:uid="{00000000-0005-0000-0000-0000D8970000}"/>
    <cellStyle name="Porcentual 2 9 16" xfId="28626" xr:uid="{00000000-0005-0000-0000-0000D9970000}"/>
    <cellStyle name="Porcentual 2 9 16 2" xfId="28627" xr:uid="{00000000-0005-0000-0000-0000DA970000}"/>
    <cellStyle name="Porcentual 2 9 16 3" xfId="28628" xr:uid="{00000000-0005-0000-0000-0000DB970000}"/>
    <cellStyle name="Porcentual 2 9 16 4" xfId="28629" xr:uid="{00000000-0005-0000-0000-0000DC970000}"/>
    <cellStyle name="Porcentual 2 9 16 5" xfId="28630" xr:uid="{00000000-0005-0000-0000-0000DD970000}"/>
    <cellStyle name="Porcentual 2 9 16 6" xfId="28631" xr:uid="{00000000-0005-0000-0000-0000DE970000}"/>
    <cellStyle name="Porcentual 2 9 16 7" xfId="28632" xr:uid="{00000000-0005-0000-0000-0000DF970000}"/>
    <cellStyle name="Porcentual 2 9 17" xfId="28633" xr:uid="{00000000-0005-0000-0000-0000E0970000}"/>
    <cellStyle name="Porcentual 2 9 17 2" xfId="28634" xr:uid="{00000000-0005-0000-0000-0000E1970000}"/>
    <cellStyle name="Porcentual 2 9 17 3" xfId="28635" xr:uid="{00000000-0005-0000-0000-0000E2970000}"/>
    <cellStyle name="Porcentual 2 9 17 4" xfId="28636" xr:uid="{00000000-0005-0000-0000-0000E3970000}"/>
    <cellStyle name="Porcentual 2 9 17 5" xfId="28637" xr:uid="{00000000-0005-0000-0000-0000E4970000}"/>
    <cellStyle name="Porcentual 2 9 17 6" xfId="28638" xr:uid="{00000000-0005-0000-0000-0000E5970000}"/>
    <cellStyle name="Porcentual 2 9 17 7" xfId="28639" xr:uid="{00000000-0005-0000-0000-0000E6970000}"/>
    <cellStyle name="Porcentual 2 9 18" xfId="28640" xr:uid="{00000000-0005-0000-0000-0000E7970000}"/>
    <cellStyle name="Porcentual 2 9 18 2" xfId="28641" xr:uid="{00000000-0005-0000-0000-0000E8970000}"/>
    <cellStyle name="Porcentual 2 9 18 3" xfId="28642" xr:uid="{00000000-0005-0000-0000-0000E9970000}"/>
    <cellStyle name="Porcentual 2 9 18 4" xfId="28643" xr:uid="{00000000-0005-0000-0000-0000EA970000}"/>
    <cellStyle name="Porcentual 2 9 18 5" xfId="28644" xr:uid="{00000000-0005-0000-0000-0000EB970000}"/>
    <cellStyle name="Porcentual 2 9 18 6" xfId="28645" xr:uid="{00000000-0005-0000-0000-0000EC970000}"/>
    <cellStyle name="Porcentual 2 9 18 7" xfId="28646" xr:uid="{00000000-0005-0000-0000-0000ED970000}"/>
    <cellStyle name="Porcentual 2 9 19" xfId="28647" xr:uid="{00000000-0005-0000-0000-0000EE970000}"/>
    <cellStyle name="Porcentual 2 9 19 2" xfId="28648" xr:uid="{00000000-0005-0000-0000-0000EF970000}"/>
    <cellStyle name="Porcentual 2 9 19 3" xfId="28649" xr:uid="{00000000-0005-0000-0000-0000F0970000}"/>
    <cellStyle name="Porcentual 2 9 19 4" xfId="28650" xr:uid="{00000000-0005-0000-0000-0000F1970000}"/>
    <cellStyle name="Porcentual 2 9 19 5" xfId="28651" xr:uid="{00000000-0005-0000-0000-0000F2970000}"/>
    <cellStyle name="Porcentual 2 9 19 6" xfId="28652" xr:uid="{00000000-0005-0000-0000-0000F3970000}"/>
    <cellStyle name="Porcentual 2 9 19 7" xfId="28653" xr:uid="{00000000-0005-0000-0000-0000F4970000}"/>
    <cellStyle name="Porcentual 2 9 2" xfId="28654" xr:uid="{00000000-0005-0000-0000-0000F5970000}"/>
    <cellStyle name="Porcentual 2 9 2 2" xfId="28655" xr:uid="{00000000-0005-0000-0000-0000F6970000}"/>
    <cellStyle name="Porcentual 2 9 2 2 2" xfId="28656" xr:uid="{00000000-0005-0000-0000-0000F7970000}"/>
    <cellStyle name="Porcentual 2 9 2 2 3" xfId="28657" xr:uid="{00000000-0005-0000-0000-0000F8970000}"/>
    <cellStyle name="Porcentual 2 9 2 2 4" xfId="28658" xr:uid="{00000000-0005-0000-0000-0000F9970000}"/>
    <cellStyle name="Porcentual 2 9 2 2 5" xfId="28659" xr:uid="{00000000-0005-0000-0000-0000FA970000}"/>
    <cellStyle name="Porcentual 2 9 2 2 6" xfId="28660" xr:uid="{00000000-0005-0000-0000-0000FB970000}"/>
    <cellStyle name="Porcentual 2 9 2 2 7" xfId="28661" xr:uid="{00000000-0005-0000-0000-0000FC970000}"/>
    <cellStyle name="Porcentual 2 9 2 3" xfId="28662" xr:uid="{00000000-0005-0000-0000-0000FD970000}"/>
    <cellStyle name="Porcentual 2 9 2 4" xfId="28663" xr:uid="{00000000-0005-0000-0000-0000FE970000}"/>
    <cellStyle name="Porcentual 2 9 2 5" xfId="28664" xr:uid="{00000000-0005-0000-0000-0000FF970000}"/>
    <cellStyle name="Porcentual 2 9 2 6" xfId="28665" xr:uid="{00000000-0005-0000-0000-000000980000}"/>
    <cellStyle name="Porcentual 2 9 2 7" xfId="28666" xr:uid="{00000000-0005-0000-0000-000001980000}"/>
    <cellStyle name="Porcentual 2 9 2 8" xfId="28667" xr:uid="{00000000-0005-0000-0000-000002980000}"/>
    <cellStyle name="Porcentual 2 9 20" xfId="28668" xr:uid="{00000000-0005-0000-0000-000003980000}"/>
    <cellStyle name="Porcentual 2 9 20 2" xfId="28669" xr:uid="{00000000-0005-0000-0000-000004980000}"/>
    <cellStyle name="Porcentual 2 9 20 3" xfId="28670" xr:uid="{00000000-0005-0000-0000-000005980000}"/>
    <cellStyle name="Porcentual 2 9 20 4" xfId="28671" xr:uid="{00000000-0005-0000-0000-000006980000}"/>
    <cellStyle name="Porcentual 2 9 20 5" xfId="28672" xr:uid="{00000000-0005-0000-0000-000007980000}"/>
    <cellStyle name="Porcentual 2 9 20 6" xfId="28673" xr:uid="{00000000-0005-0000-0000-000008980000}"/>
    <cellStyle name="Porcentual 2 9 20 7" xfId="28674" xr:uid="{00000000-0005-0000-0000-000009980000}"/>
    <cellStyle name="Porcentual 2 9 21" xfId="28675" xr:uid="{00000000-0005-0000-0000-00000A980000}"/>
    <cellStyle name="Porcentual 2 9 21 2" xfId="28676" xr:uid="{00000000-0005-0000-0000-00000B980000}"/>
    <cellStyle name="Porcentual 2 9 21 3" xfId="28677" xr:uid="{00000000-0005-0000-0000-00000C980000}"/>
    <cellStyle name="Porcentual 2 9 21 4" xfId="28678" xr:uid="{00000000-0005-0000-0000-00000D980000}"/>
    <cellStyle name="Porcentual 2 9 21 5" xfId="28679" xr:uid="{00000000-0005-0000-0000-00000E980000}"/>
    <cellStyle name="Porcentual 2 9 21 6" xfId="28680" xr:uid="{00000000-0005-0000-0000-00000F980000}"/>
    <cellStyle name="Porcentual 2 9 21 7" xfId="28681" xr:uid="{00000000-0005-0000-0000-000010980000}"/>
    <cellStyle name="Porcentual 2 9 22" xfId="28682" xr:uid="{00000000-0005-0000-0000-000011980000}"/>
    <cellStyle name="Porcentual 2 9 22 2" xfId="28683" xr:uid="{00000000-0005-0000-0000-000012980000}"/>
    <cellStyle name="Porcentual 2 9 22 3" xfId="28684" xr:uid="{00000000-0005-0000-0000-000013980000}"/>
    <cellStyle name="Porcentual 2 9 22 4" xfId="28685" xr:uid="{00000000-0005-0000-0000-000014980000}"/>
    <cellStyle name="Porcentual 2 9 22 5" xfId="28686" xr:uid="{00000000-0005-0000-0000-000015980000}"/>
    <cellStyle name="Porcentual 2 9 22 6" xfId="28687" xr:uid="{00000000-0005-0000-0000-000016980000}"/>
    <cellStyle name="Porcentual 2 9 22 7" xfId="28688" xr:uid="{00000000-0005-0000-0000-000017980000}"/>
    <cellStyle name="Porcentual 2 9 23" xfId="28689" xr:uid="{00000000-0005-0000-0000-000018980000}"/>
    <cellStyle name="Porcentual 2 9 23 2" xfId="28690" xr:uid="{00000000-0005-0000-0000-000019980000}"/>
    <cellStyle name="Porcentual 2 9 23 3" xfId="28691" xr:uid="{00000000-0005-0000-0000-00001A980000}"/>
    <cellStyle name="Porcentual 2 9 23 4" xfId="28692" xr:uid="{00000000-0005-0000-0000-00001B980000}"/>
    <cellStyle name="Porcentual 2 9 23 5" xfId="28693" xr:uid="{00000000-0005-0000-0000-00001C980000}"/>
    <cellStyle name="Porcentual 2 9 23 6" xfId="28694" xr:uid="{00000000-0005-0000-0000-00001D980000}"/>
    <cellStyle name="Porcentual 2 9 23 7" xfId="28695" xr:uid="{00000000-0005-0000-0000-00001E980000}"/>
    <cellStyle name="Porcentual 2 9 24" xfId="28696" xr:uid="{00000000-0005-0000-0000-00001F980000}"/>
    <cellStyle name="Porcentual 2 9 24 2" xfId="28697" xr:uid="{00000000-0005-0000-0000-000020980000}"/>
    <cellStyle name="Porcentual 2 9 24 3" xfId="28698" xr:uid="{00000000-0005-0000-0000-000021980000}"/>
    <cellStyle name="Porcentual 2 9 24 4" xfId="28699" xr:uid="{00000000-0005-0000-0000-000022980000}"/>
    <cellStyle name="Porcentual 2 9 24 5" xfId="28700" xr:uid="{00000000-0005-0000-0000-000023980000}"/>
    <cellStyle name="Porcentual 2 9 24 6" xfId="28701" xr:uid="{00000000-0005-0000-0000-000024980000}"/>
    <cellStyle name="Porcentual 2 9 24 7" xfId="28702" xr:uid="{00000000-0005-0000-0000-000025980000}"/>
    <cellStyle name="Porcentual 2 9 25" xfId="28703" xr:uid="{00000000-0005-0000-0000-000026980000}"/>
    <cellStyle name="Porcentual 2 9 25 2" xfId="28704" xr:uid="{00000000-0005-0000-0000-000027980000}"/>
    <cellStyle name="Porcentual 2 9 25 3" xfId="28705" xr:uid="{00000000-0005-0000-0000-000028980000}"/>
    <cellStyle name="Porcentual 2 9 25 4" xfId="28706" xr:uid="{00000000-0005-0000-0000-000029980000}"/>
    <cellStyle name="Porcentual 2 9 25 5" xfId="28707" xr:uid="{00000000-0005-0000-0000-00002A980000}"/>
    <cellStyle name="Porcentual 2 9 25 6" xfId="28708" xr:uid="{00000000-0005-0000-0000-00002B980000}"/>
    <cellStyle name="Porcentual 2 9 25 7" xfId="28709" xr:uid="{00000000-0005-0000-0000-00002C980000}"/>
    <cellStyle name="Porcentual 2 9 26" xfId="28710" xr:uid="{00000000-0005-0000-0000-00002D980000}"/>
    <cellStyle name="Porcentual 2 9 26 2" xfId="28711" xr:uid="{00000000-0005-0000-0000-00002E980000}"/>
    <cellStyle name="Porcentual 2 9 26 3" xfId="28712" xr:uid="{00000000-0005-0000-0000-00002F980000}"/>
    <cellStyle name="Porcentual 2 9 26 4" xfId="28713" xr:uid="{00000000-0005-0000-0000-000030980000}"/>
    <cellStyle name="Porcentual 2 9 26 5" xfId="28714" xr:uid="{00000000-0005-0000-0000-000031980000}"/>
    <cellStyle name="Porcentual 2 9 26 6" xfId="28715" xr:uid="{00000000-0005-0000-0000-000032980000}"/>
    <cellStyle name="Porcentual 2 9 26 7" xfId="28716" xr:uid="{00000000-0005-0000-0000-000033980000}"/>
    <cellStyle name="Porcentual 2 9 27" xfId="28717" xr:uid="{00000000-0005-0000-0000-000034980000}"/>
    <cellStyle name="Porcentual 2 9 27 2" xfId="28718" xr:uid="{00000000-0005-0000-0000-000035980000}"/>
    <cellStyle name="Porcentual 2 9 27 3" xfId="28719" xr:uid="{00000000-0005-0000-0000-000036980000}"/>
    <cellStyle name="Porcentual 2 9 27 4" xfId="28720" xr:uid="{00000000-0005-0000-0000-000037980000}"/>
    <cellStyle name="Porcentual 2 9 27 5" xfId="28721" xr:uid="{00000000-0005-0000-0000-000038980000}"/>
    <cellStyle name="Porcentual 2 9 27 6" xfId="28722" xr:uid="{00000000-0005-0000-0000-000039980000}"/>
    <cellStyle name="Porcentual 2 9 27 7" xfId="28723" xr:uid="{00000000-0005-0000-0000-00003A980000}"/>
    <cellStyle name="Porcentual 2 9 28" xfId="28724" xr:uid="{00000000-0005-0000-0000-00003B980000}"/>
    <cellStyle name="Porcentual 2 9 28 2" xfId="28725" xr:uid="{00000000-0005-0000-0000-00003C980000}"/>
    <cellStyle name="Porcentual 2 9 28 3" xfId="28726" xr:uid="{00000000-0005-0000-0000-00003D980000}"/>
    <cellStyle name="Porcentual 2 9 28 4" xfId="28727" xr:uid="{00000000-0005-0000-0000-00003E980000}"/>
    <cellStyle name="Porcentual 2 9 28 5" xfId="28728" xr:uid="{00000000-0005-0000-0000-00003F980000}"/>
    <cellStyle name="Porcentual 2 9 28 6" xfId="28729" xr:uid="{00000000-0005-0000-0000-000040980000}"/>
    <cellStyle name="Porcentual 2 9 28 7" xfId="28730" xr:uid="{00000000-0005-0000-0000-000041980000}"/>
    <cellStyle name="Porcentual 2 9 29" xfId="28731" xr:uid="{00000000-0005-0000-0000-000042980000}"/>
    <cellStyle name="Porcentual 2 9 29 2" xfId="28732" xr:uid="{00000000-0005-0000-0000-000043980000}"/>
    <cellStyle name="Porcentual 2 9 29 3" xfId="28733" xr:uid="{00000000-0005-0000-0000-000044980000}"/>
    <cellStyle name="Porcentual 2 9 29 4" xfId="28734" xr:uid="{00000000-0005-0000-0000-000045980000}"/>
    <cellStyle name="Porcentual 2 9 29 5" xfId="28735" xr:uid="{00000000-0005-0000-0000-000046980000}"/>
    <cellStyle name="Porcentual 2 9 29 6" xfId="28736" xr:uid="{00000000-0005-0000-0000-000047980000}"/>
    <cellStyle name="Porcentual 2 9 29 7" xfId="28737" xr:uid="{00000000-0005-0000-0000-000048980000}"/>
    <cellStyle name="Porcentual 2 9 3" xfId="28738" xr:uid="{00000000-0005-0000-0000-000049980000}"/>
    <cellStyle name="Porcentual 2 9 3 2" xfId="28739" xr:uid="{00000000-0005-0000-0000-00004A980000}"/>
    <cellStyle name="Porcentual 2 9 3 2 2" xfId="28740" xr:uid="{00000000-0005-0000-0000-00004B980000}"/>
    <cellStyle name="Porcentual 2 9 3 2 3" xfId="28741" xr:uid="{00000000-0005-0000-0000-00004C980000}"/>
    <cellStyle name="Porcentual 2 9 3 2 4" xfId="28742" xr:uid="{00000000-0005-0000-0000-00004D980000}"/>
    <cellStyle name="Porcentual 2 9 3 2 5" xfId="28743" xr:uid="{00000000-0005-0000-0000-00004E980000}"/>
    <cellStyle name="Porcentual 2 9 3 2 6" xfId="28744" xr:uid="{00000000-0005-0000-0000-00004F980000}"/>
    <cellStyle name="Porcentual 2 9 3 2 7" xfId="28745" xr:uid="{00000000-0005-0000-0000-000050980000}"/>
    <cellStyle name="Porcentual 2 9 3 3" xfId="28746" xr:uid="{00000000-0005-0000-0000-000051980000}"/>
    <cellStyle name="Porcentual 2 9 3 4" xfId="28747" xr:uid="{00000000-0005-0000-0000-000052980000}"/>
    <cellStyle name="Porcentual 2 9 3 5" xfId="28748" xr:uid="{00000000-0005-0000-0000-000053980000}"/>
    <cellStyle name="Porcentual 2 9 3 6" xfId="28749" xr:uid="{00000000-0005-0000-0000-000054980000}"/>
    <cellStyle name="Porcentual 2 9 3 7" xfId="28750" xr:uid="{00000000-0005-0000-0000-000055980000}"/>
    <cellStyle name="Porcentual 2 9 3 8" xfId="28751" xr:uid="{00000000-0005-0000-0000-000056980000}"/>
    <cellStyle name="Porcentual 2 9 30" xfId="28752" xr:uid="{00000000-0005-0000-0000-000057980000}"/>
    <cellStyle name="Porcentual 2 9 30 2" xfId="28753" xr:uid="{00000000-0005-0000-0000-000058980000}"/>
    <cellStyle name="Porcentual 2 9 30 3" xfId="28754" xr:uid="{00000000-0005-0000-0000-000059980000}"/>
    <cellStyle name="Porcentual 2 9 30 4" xfId="28755" xr:uid="{00000000-0005-0000-0000-00005A980000}"/>
    <cellStyle name="Porcentual 2 9 30 5" xfId="28756" xr:uid="{00000000-0005-0000-0000-00005B980000}"/>
    <cellStyle name="Porcentual 2 9 30 6" xfId="28757" xr:uid="{00000000-0005-0000-0000-00005C980000}"/>
    <cellStyle name="Porcentual 2 9 30 7" xfId="28758" xr:uid="{00000000-0005-0000-0000-00005D980000}"/>
    <cellStyle name="Porcentual 2 9 31" xfId="28759" xr:uid="{00000000-0005-0000-0000-00005E980000}"/>
    <cellStyle name="Porcentual 2 9 31 2" xfId="28760" xr:uid="{00000000-0005-0000-0000-00005F980000}"/>
    <cellStyle name="Porcentual 2 9 31 3" xfId="28761" xr:uid="{00000000-0005-0000-0000-000060980000}"/>
    <cellStyle name="Porcentual 2 9 31 4" xfId="28762" xr:uid="{00000000-0005-0000-0000-000061980000}"/>
    <cellStyle name="Porcentual 2 9 31 5" xfId="28763" xr:uid="{00000000-0005-0000-0000-000062980000}"/>
    <cellStyle name="Porcentual 2 9 31 6" xfId="28764" xr:uid="{00000000-0005-0000-0000-000063980000}"/>
    <cellStyle name="Porcentual 2 9 31 7" xfId="28765" xr:uid="{00000000-0005-0000-0000-000064980000}"/>
    <cellStyle name="Porcentual 2 9 32" xfId="28766" xr:uid="{00000000-0005-0000-0000-000065980000}"/>
    <cellStyle name="Porcentual 2 9 32 2" xfId="28767" xr:uid="{00000000-0005-0000-0000-000066980000}"/>
    <cellStyle name="Porcentual 2 9 32 3" xfId="28768" xr:uid="{00000000-0005-0000-0000-000067980000}"/>
    <cellStyle name="Porcentual 2 9 32 4" xfId="28769" xr:uid="{00000000-0005-0000-0000-000068980000}"/>
    <cellStyle name="Porcentual 2 9 32 5" xfId="28770" xr:uid="{00000000-0005-0000-0000-000069980000}"/>
    <cellStyle name="Porcentual 2 9 32 6" xfId="28771" xr:uid="{00000000-0005-0000-0000-00006A980000}"/>
    <cellStyle name="Porcentual 2 9 32 7" xfId="28772" xr:uid="{00000000-0005-0000-0000-00006B980000}"/>
    <cellStyle name="Porcentual 2 9 33" xfId="28773" xr:uid="{00000000-0005-0000-0000-00006C980000}"/>
    <cellStyle name="Porcentual 2 9 33 2" xfId="28774" xr:uid="{00000000-0005-0000-0000-00006D980000}"/>
    <cellStyle name="Porcentual 2 9 33 3" xfId="28775" xr:uid="{00000000-0005-0000-0000-00006E980000}"/>
    <cellStyle name="Porcentual 2 9 33 4" xfId="28776" xr:uid="{00000000-0005-0000-0000-00006F980000}"/>
    <cellStyle name="Porcentual 2 9 33 5" xfId="28777" xr:uid="{00000000-0005-0000-0000-000070980000}"/>
    <cellStyle name="Porcentual 2 9 33 6" xfId="28778" xr:uid="{00000000-0005-0000-0000-000071980000}"/>
    <cellStyle name="Porcentual 2 9 33 7" xfId="28779" xr:uid="{00000000-0005-0000-0000-000072980000}"/>
    <cellStyle name="Porcentual 2 9 34" xfId="28780" xr:uid="{00000000-0005-0000-0000-000073980000}"/>
    <cellStyle name="Porcentual 2 9 34 2" xfId="28781" xr:uid="{00000000-0005-0000-0000-000074980000}"/>
    <cellStyle name="Porcentual 2 9 34 3" xfId="28782" xr:uid="{00000000-0005-0000-0000-000075980000}"/>
    <cellStyle name="Porcentual 2 9 34 4" xfId="28783" xr:uid="{00000000-0005-0000-0000-000076980000}"/>
    <cellStyle name="Porcentual 2 9 34 5" xfId="28784" xr:uid="{00000000-0005-0000-0000-000077980000}"/>
    <cellStyle name="Porcentual 2 9 34 6" xfId="28785" xr:uid="{00000000-0005-0000-0000-000078980000}"/>
    <cellStyle name="Porcentual 2 9 34 7" xfId="28786" xr:uid="{00000000-0005-0000-0000-000079980000}"/>
    <cellStyle name="Porcentual 2 9 35" xfId="28787" xr:uid="{00000000-0005-0000-0000-00007A980000}"/>
    <cellStyle name="Porcentual 2 9 35 2" xfId="28788" xr:uid="{00000000-0005-0000-0000-00007B980000}"/>
    <cellStyle name="Porcentual 2 9 35 3" xfId="28789" xr:uid="{00000000-0005-0000-0000-00007C980000}"/>
    <cellStyle name="Porcentual 2 9 35 4" xfId="28790" xr:uid="{00000000-0005-0000-0000-00007D980000}"/>
    <cellStyle name="Porcentual 2 9 35 5" xfId="28791" xr:uid="{00000000-0005-0000-0000-00007E980000}"/>
    <cellStyle name="Porcentual 2 9 35 6" xfId="28792" xr:uid="{00000000-0005-0000-0000-00007F980000}"/>
    <cellStyle name="Porcentual 2 9 35 7" xfId="28793" xr:uid="{00000000-0005-0000-0000-000080980000}"/>
    <cellStyle name="Porcentual 2 9 36" xfId="28794" xr:uid="{00000000-0005-0000-0000-000081980000}"/>
    <cellStyle name="Porcentual 2 9 37" xfId="28795" xr:uid="{00000000-0005-0000-0000-000082980000}"/>
    <cellStyle name="Porcentual 2 9 38" xfId="28796" xr:uid="{00000000-0005-0000-0000-000083980000}"/>
    <cellStyle name="Porcentual 2 9 39" xfId="28797" xr:uid="{00000000-0005-0000-0000-000084980000}"/>
    <cellStyle name="Porcentual 2 9 4" xfId="28798" xr:uid="{00000000-0005-0000-0000-000085980000}"/>
    <cellStyle name="Porcentual 2 9 4 2" xfId="28799" xr:uid="{00000000-0005-0000-0000-000086980000}"/>
    <cellStyle name="Porcentual 2 9 4 2 2" xfId="28800" xr:uid="{00000000-0005-0000-0000-000087980000}"/>
    <cellStyle name="Porcentual 2 9 4 2 3" xfId="28801" xr:uid="{00000000-0005-0000-0000-000088980000}"/>
    <cellStyle name="Porcentual 2 9 4 2 4" xfId="28802" xr:uid="{00000000-0005-0000-0000-000089980000}"/>
    <cellStyle name="Porcentual 2 9 4 2 5" xfId="28803" xr:uid="{00000000-0005-0000-0000-00008A980000}"/>
    <cellStyle name="Porcentual 2 9 4 2 6" xfId="28804" xr:uid="{00000000-0005-0000-0000-00008B980000}"/>
    <cellStyle name="Porcentual 2 9 4 2 7" xfId="28805" xr:uid="{00000000-0005-0000-0000-00008C980000}"/>
    <cellStyle name="Porcentual 2 9 4 3" xfId="28806" xr:uid="{00000000-0005-0000-0000-00008D980000}"/>
    <cellStyle name="Porcentual 2 9 4 4" xfId="28807" xr:uid="{00000000-0005-0000-0000-00008E980000}"/>
    <cellStyle name="Porcentual 2 9 4 5" xfId="28808" xr:uid="{00000000-0005-0000-0000-00008F980000}"/>
    <cellStyle name="Porcentual 2 9 4 6" xfId="28809" xr:uid="{00000000-0005-0000-0000-000090980000}"/>
    <cellStyle name="Porcentual 2 9 4 7" xfId="28810" xr:uid="{00000000-0005-0000-0000-000091980000}"/>
    <cellStyle name="Porcentual 2 9 4 8" xfId="28811" xr:uid="{00000000-0005-0000-0000-000092980000}"/>
    <cellStyle name="Porcentual 2 9 40" xfId="28812" xr:uid="{00000000-0005-0000-0000-000093980000}"/>
    <cellStyle name="Porcentual 2 9 41" xfId="28813" xr:uid="{00000000-0005-0000-0000-000094980000}"/>
    <cellStyle name="Porcentual 2 9 5" xfId="28814" xr:uid="{00000000-0005-0000-0000-000095980000}"/>
    <cellStyle name="Porcentual 2 9 5 2" xfId="28815" xr:uid="{00000000-0005-0000-0000-000096980000}"/>
    <cellStyle name="Porcentual 2 9 5 2 2" xfId="28816" xr:uid="{00000000-0005-0000-0000-000097980000}"/>
    <cellStyle name="Porcentual 2 9 5 2 3" xfId="28817" xr:uid="{00000000-0005-0000-0000-000098980000}"/>
    <cellStyle name="Porcentual 2 9 5 2 4" xfId="28818" xr:uid="{00000000-0005-0000-0000-000099980000}"/>
    <cellStyle name="Porcentual 2 9 5 2 5" xfId="28819" xr:uid="{00000000-0005-0000-0000-00009A980000}"/>
    <cellStyle name="Porcentual 2 9 5 2 6" xfId="28820" xr:uid="{00000000-0005-0000-0000-00009B980000}"/>
    <cellStyle name="Porcentual 2 9 5 2 7" xfId="28821" xr:uid="{00000000-0005-0000-0000-00009C980000}"/>
    <cellStyle name="Porcentual 2 9 5 3" xfId="28822" xr:uid="{00000000-0005-0000-0000-00009D980000}"/>
    <cellStyle name="Porcentual 2 9 5 4" xfId="28823" xr:uid="{00000000-0005-0000-0000-00009E980000}"/>
    <cellStyle name="Porcentual 2 9 5 5" xfId="28824" xr:uid="{00000000-0005-0000-0000-00009F980000}"/>
    <cellStyle name="Porcentual 2 9 5 6" xfId="28825" xr:uid="{00000000-0005-0000-0000-0000A0980000}"/>
    <cellStyle name="Porcentual 2 9 5 7" xfId="28826" xr:uid="{00000000-0005-0000-0000-0000A1980000}"/>
    <cellStyle name="Porcentual 2 9 5 8" xfId="28827" xr:uid="{00000000-0005-0000-0000-0000A2980000}"/>
    <cellStyle name="Porcentual 2 9 6" xfId="28828" xr:uid="{00000000-0005-0000-0000-0000A3980000}"/>
    <cellStyle name="Porcentual 2 9 6 2" xfId="28829" xr:uid="{00000000-0005-0000-0000-0000A4980000}"/>
    <cellStyle name="Porcentual 2 9 6 2 2" xfId="28830" xr:uid="{00000000-0005-0000-0000-0000A5980000}"/>
    <cellStyle name="Porcentual 2 9 6 2 3" xfId="28831" xr:uid="{00000000-0005-0000-0000-0000A6980000}"/>
    <cellStyle name="Porcentual 2 9 6 2 4" xfId="28832" xr:uid="{00000000-0005-0000-0000-0000A7980000}"/>
    <cellStyle name="Porcentual 2 9 6 2 5" xfId="28833" xr:uid="{00000000-0005-0000-0000-0000A8980000}"/>
    <cellStyle name="Porcentual 2 9 6 2 6" xfId="28834" xr:uid="{00000000-0005-0000-0000-0000A9980000}"/>
    <cellStyle name="Porcentual 2 9 6 2 7" xfId="28835" xr:uid="{00000000-0005-0000-0000-0000AA980000}"/>
    <cellStyle name="Porcentual 2 9 6 3" xfId="28836" xr:uid="{00000000-0005-0000-0000-0000AB980000}"/>
    <cellStyle name="Porcentual 2 9 6 4" xfId="28837" xr:uid="{00000000-0005-0000-0000-0000AC980000}"/>
    <cellStyle name="Porcentual 2 9 6 5" xfId="28838" xr:uid="{00000000-0005-0000-0000-0000AD980000}"/>
    <cellStyle name="Porcentual 2 9 6 6" xfId="28839" xr:uid="{00000000-0005-0000-0000-0000AE980000}"/>
    <cellStyle name="Porcentual 2 9 6 7" xfId="28840" xr:uid="{00000000-0005-0000-0000-0000AF980000}"/>
    <cellStyle name="Porcentual 2 9 6 8" xfId="28841" xr:uid="{00000000-0005-0000-0000-0000B0980000}"/>
    <cellStyle name="Porcentual 2 9 7" xfId="28842" xr:uid="{00000000-0005-0000-0000-0000B1980000}"/>
    <cellStyle name="Porcentual 2 9 7 2" xfId="28843" xr:uid="{00000000-0005-0000-0000-0000B2980000}"/>
    <cellStyle name="Porcentual 2 9 7 2 2" xfId="28844" xr:uid="{00000000-0005-0000-0000-0000B3980000}"/>
    <cellStyle name="Porcentual 2 9 7 2 3" xfId="28845" xr:uid="{00000000-0005-0000-0000-0000B4980000}"/>
    <cellStyle name="Porcentual 2 9 7 2 4" xfId="28846" xr:uid="{00000000-0005-0000-0000-0000B5980000}"/>
    <cellStyle name="Porcentual 2 9 7 2 5" xfId="28847" xr:uid="{00000000-0005-0000-0000-0000B6980000}"/>
    <cellStyle name="Porcentual 2 9 7 2 6" xfId="28848" xr:uid="{00000000-0005-0000-0000-0000B7980000}"/>
    <cellStyle name="Porcentual 2 9 7 2 7" xfId="28849" xr:uid="{00000000-0005-0000-0000-0000B8980000}"/>
    <cellStyle name="Porcentual 2 9 7 3" xfId="28850" xr:uid="{00000000-0005-0000-0000-0000B9980000}"/>
    <cellStyle name="Porcentual 2 9 7 4" xfId="28851" xr:uid="{00000000-0005-0000-0000-0000BA980000}"/>
    <cellStyle name="Porcentual 2 9 7 5" xfId="28852" xr:uid="{00000000-0005-0000-0000-0000BB980000}"/>
    <cellStyle name="Porcentual 2 9 7 6" xfId="28853" xr:uid="{00000000-0005-0000-0000-0000BC980000}"/>
    <cellStyle name="Porcentual 2 9 7 7" xfId="28854" xr:uid="{00000000-0005-0000-0000-0000BD980000}"/>
    <cellStyle name="Porcentual 2 9 7 8" xfId="28855" xr:uid="{00000000-0005-0000-0000-0000BE980000}"/>
    <cellStyle name="Porcentual 2 9 8" xfId="28856" xr:uid="{00000000-0005-0000-0000-0000BF980000}"/>
    <cellStyle name="Porcentual 2 9 8 2" xfId="28857" xr:uid="{00000000-0005-0000-0000-0000C0980000}"/>
    <cellStyle name="Porcentual 2 9 8 2 2" xfId="28858" xr:uid="{00000000-0005-0000-0000-0000C1980000}"/>
    <cellStyle name="Porcentual 2 9 8 2 3" xfId="28859" xr:uid="{00000000-0005-0000-0000-0000C2980000}"/>
    <cellStyle name="Porcentual 2 9 8 2 4" xfId="28860" xr:uid="{00000000-0005-0000-0000-0000C3980000}"/>
    <cellStyle name="Porcentual 2 9 8 2 5" xfId="28861" xr:uid="{00000000-0005-0000-0000-0000C4980000}"/>
    <cellStyle name="Porcentual 2 9 8 2 6" xfId="28862" xr:uid="{00000000-0005-0000-0000-0000C5980000}"/>
    <cellStyle name="Porcentual 2 9 8 2 7" xfId="28863" xr:uid="{00000000-0005-0000-0000-0000C6980000}"/>
    <cellStyle name="Porcentual 2 9 8 3" xfId="28864" xr:uid="{00000000-0005-0000-0000-0000C7980000}"/>
    <cellStyle name="Porcentual 2 9 8 4" xfId="28865" xr:uid="{00000000-0005-0000-0000-0000C8980000}"/>
    <cellStyle name="Porcentual 2 9 8 5" xfId="28866" xr:uid="{00000000-0005-0000-0000-0000C9980000}"/>
    <cellStyle name="Porcentual 2 9 8 6" xfId="28867" xr:uid="{00000000-0005-0000-0000-0000CA980000}"/>
    <cellStyle name="Porcentual 2 9 8 7" xfId="28868" xr:uid="{00000000-0005-0000-0000-0000CB980000}"/>
    <cellStyle name="Porcentual 2 9 8 8" xfId="28869" xr:uid="{00000000-0005-0000-0000-0000CC980000}"/>
    <cellStyle name="Porcentual 2 9 9" xfId="28870" xr:uid="{00000000-0005-0000-0000-0000CD980000}"/>
    <cellStyle name="Porcentual 2 9 9 2" xfId="28871" xr:uid="{00000000-0005-0000-0000-0000CE980000}"/>
    <cellStyle name="Porcentual 2 9 9 2 2" xfId="28872" xr:uid="{00000000-0005-0000-0000-0000CF980000}"/>
    <cellStyle name="Porcentual 2 9 9 2 3" xfId="28873" xr:uid="{00000000-0005-0000-0000-0000D0980000}"/>
    <cellStyle name="Porcentual 2 9 9 2 4" xfId="28874" xr:uid="{00000000-0005-0000-0000-0000D1980000}"/>
    <cellStyle name="Porcentual 2 9 9 2 5" xfId="28875" xr:uid="{00000000-0005-0000-0000-0000D2980000}"/>
    <cellStyle name="Porcentual 2 9 9 2 6" xfId="28876" xr:uid="{00000000-0005-0000-0000-0000D3980000}"/>
    <cellStyle name="Porcentual 2 9 9 2 7" xfId="28877" xr:uid="{00000000-0005-0000-0000-0000D4980000}"/>
    <cellStyle name="Porcentual 2 9 9 3" xfId="28878" xr:uid="{00000000-0005-0000-0000-0000D5980000}"/>
    <cellStyle name="Porcentual 2 9 9 4" xfId="28879" xr:uid="{00000000-0005-0000-0000-0000D6980000}"/>
    <cellStyle name="Porcentual 2 9 9 5" xfId="28880" xr:uid="{00000000-0005-0000-0000-0000D7980000}"/>
    <cellStyle name="Porcentual 2 9 9 6" xfId="28881" xr:uid="{00000000-0005-0000-0000-0000D8980000}"/>
    <cellStyle name="Porcentual 2 9 9 7" xfId="28882" xr:uid="{00000000-0005-0000-0000-0000D9980000}"/>
    <cellStyle name="Porcentual 2 9 9 8" xfId="28883" xr:uid="{00000000-0005-0000-0000-0000DA980000}"/>
    <cellStyle name="Porcentual 2_01-04-2012" xfId="11166" xr:uid="{00000000-0005-0000-0000-0000DB980000}"/>
    <cellStyle name="Porcentual 3" xfId="11167" xr:uid="{00000000-0005-0000-0000-0000DC980000}"/>
    <cellStyle name="Porcentual 3 2" xfId="28884" xr:uid="{00000000-0005-0000-0000-0000DD980000}"/>
    <cellStyle name="Porcentual 3 2 2" xfId="28885" xr:uid="{00000000-0005-0000-0000-0000DE980000}"/>
    <cellStyle name="Porcentual 3 3" xfId="28886" xr:uid="{00000000-0005-0000-0000-0000DF980000}"/>
    <cellStyle name="Porcentual 3 3 2" xfId="40185" xr:uid="{00000000-0005-0000-0000-0000E0980000}"/>
    <cellStyle name="Porcentual 3 4" xfId="28887" xr:uid="{00000000-0005-0000-0000-0000E1980000}"/>
    <cellStyle name="Porcentual 3 4 2" xfId="40186" xr:uid="{00000000-0005-0000-0000-0000E2980000}"/>
    <cellStyle name="Porcentual 3 5" xfId="28888" xr:uid="{00000000-0005-0000-0000-0000E3980000}"/>
    <cellStyle name="Porcentual 3 6" xfId="28889" xr:uid="{00000000-0005-0000-0000-0000E4980000}"/>
    <cellStyle name="Porcentual 4" xfId="28890" xr:uid="{00000000-0005-0000-0000-0000E5980000}"/>
    <cellStyle name="Porcentual 4 2" xfId="28891" xr:uid="{00000000-0005-0000-0000-0000E6980000}"/>
    <cellStyle name="Porcentual 4 2 2" xfId="28892" xr:uid="{00000000-0005-0000-0000-0000E7980000}"/>
    <cellStyle name="Porcentual 4 2 2 2" xfId="33933" xr:uid="{00000000-0005-0000-0000-0000E8980000}"/>
    <cellStyle name="Porcentual 4 2 3" xfId="33934" xr:uid="{00000000-0005-0000-0000-0000E9980000}"/>
    <cellStyle name="Porcentual 4 3" xfId="28893" xr:uid="{00000000-0005-0000-0000-0000EA980000}"/>
    <cellStyle name="Porcentual 4 3 2" xfId="33935" xr:uid="{00000000-0005-0000-0000-0000EB980000}"/>
    <cellStyle name="Porcentual 4 4" xfId="28894" xr:uid="{00000000-0005-0000-0000-0000EC980000}"/>
    <cellStyle name="Porcentual 4 5" xfId="40187" xr:uid="{00000000-0005-0000-0000-0000ED980000}"/>
    <cellStyle name="Porcentual 5" xfId="28895" xr:uid="{00000000-0005-0000-0000-0000EE980000}"/>
    <cellStyle name="PSChar" xfId="28896" xr:uid="{00000000-0005-0000-0000-0000EF980000}"/>
    <cellStyle name="PSHeading" xfId="28897" xr:uid="{00000000-0005-0000-0000-0000F0980000}"/>
    <cellStyle name="regstoresfromspecstores" xfId="28898" xr:uid="{00000000-0005-0000-0000-0000F1980000}"/>
    <cellStyle name="RevList" xfId="28899" xr:uid="{00000000-0005-0000-0000-0000F2980000}"/>
    <cellStyle name="RevList 2" xfId="28900" xr:uid="{00000000-0005-0000-0000-0000F3980000}"/>
    <cellStyle name="Salida 10" xfId="11168" xr:uid="{00000000-0005-0000-0000-0000F4980000}"/>
    <cellStyle name="Salida 10 2" xfId="12105" xr:uid="{00000000-0005-0000-0000-0000F5980000}"/>
    <cellStyle name="Salida 10 2 2" xfId="31955" xr:uid="{00000000-0005-0000-0000-0000F6980000}"/>
    <cellStyle name="Salida 10 2 3" xfId="33377" xr:uid="{00000000-0005-0000-0000-0000F7980000}"/>
    <cellStyle name="Salida 10 2 4" xfId="40189" xr:uid="{00000000-0005-0000-0000-0000F8980000}"/>
    <cellStyle name="Salida 10 3" xfId="12106" xr:uid="{00000000-0005-0000-0000-0000F9980000}"/>
    <cellStyle name="Salida 10 3 2" xfId="31956" xr:uid="{00000000-0005-0000-0000-0000FA980000}"/>
    <cellStyle name="Salida 10 3 3" xfId="33378" xr:uid="{00000000-0005-0000-0000-0000FB980000}"/>
    <cellStyle name="Salida 10 3 4" xfId="40190" xr:uid="{00000000-0005-0000-0000-0000FC980000}"/>
    <cellStyle name="Salida 10 4" xfId="31954" xr:uid="{00000000-0005-0000-0000-0000FD980000}"/>
    <cellStyle name="Salida 10 5" xfId="33376" xr:uid="{00000000-0005-0000-0000-0000FE980000}"/>
    <cellStyle name="Salida 10 6" xfId="40188" xr:uid="{00000000-0005-0000-0000-0000FF980000}"/>
    <cellStyle name="Salida 11" xfId="11169" xr:uid="{00000000-0005-0000-0000-000000990000}"/>
    <cellStyle name="Salida 11 2" xfId="12107" xr:uid="{00000000-0005-0000-0000-000001990000}"/>
    <cellStyle name="Salida 11 2 2" xfId="31958" xr:uid="{00000000-0005-0000-0000-000002990000}"/>
    <cellStyle name="Salida 11 2 3" xfId="33380" xr:uid="{00000000-0005-0000-0000-000003990000}"/>
    <cellStyle name="Salida 11 2 4" xfId="40192" xr:uid="{00000000-0005-0000-0000-000004990000}"/>
    <cellStyle name="Salida 11 3" xfId="12108" xr:uid="{00000000-0005-0000-0000-000005990000}"/>
    <cellStyle name="Salida 11 3 2" xfId="31959" xr:uid="{00000000-0005-0000-0000-000006990000}"/>
    <cellStyle name="Salida 11 3 3" xfId="33381" xr:uid="{00000000-0005-0000-0000-000007990000}"/>
    <cellStyle name="Salida 11 3 4" xfId="40193" xr:uid="{00000000-0005-0000-0000-000008990000}"/>
    <cellStyle name="Salida 11 4" xfId="31957" xr:uid="{00000000-0005-0000-0000-000009990000}"/>
    <cellStyle name="Salida 11 5" xfId="33379" xr:uid="{00000000-0005-0000-0000-00000A990000}"/>
    <cellStyle name="Salida 11 6" xfId="40191" xr:uid="{00000000-0005-0000-0000-00000B990000}"/>
    <cellStyle name="Salida 12" xfId="11170" xr:uid="{00000000-0005-0000-0000-00000C990000}"/>
    <cellStyle name="Salida 12 2" xfId="12109" xr:uid="{00000000-0005-0000-0000-00000D990000}"/>
    <cellStyle name="Salida 12 2 2" xfId="31961" xr:uid="{00000000-0005-0000-0000-00000E990000}"/>
    <cellStyle name="Salida 12 2 3" xfId="33383" xr:uid="{00000000-0005-0000-0000-00000F990000}"/>
    <cellStyle name="Salida 12 2 4" xfId="40195" xr:uid="{00000000-0005-0000-0000-000010990000}"/>
    <cellStyle name="Salida 12 3" xfId="12110" xr:uid="{00000000-0005-0000-0000-000011990000}"/>
    <cellStyle name="Salida 12 3 2" xfId="31962" xr:uid="{00000000-0005-0000-0000-000012990000}"/>
    <cellStyle name="Salida 12 3 3" xfId="33384" xr:uid="{00000000-0005-0000-0000-000013990000}"/>
    <cellStyle name="Salida 12 3 4" xfId="40196" xr:uid="{00000000-0005-0000-0000-000014990000}"/>
    <cellStyle name="Salida 12 4" xfId="31960" xr:uid="{00000000-0005-0000-0000-000015990000}"/>
    <cellStyle name="Salida 12 5" xfId="33382" xr:uid="{00000000-0005-0000-0000-000016990000}"/>
    <cellStyle name="Salida 12 6" xfId="40194" xr:uid="{00000000-0005-0000-0000-000017990000}"/>
    <cellStyle name="Salida 13" xfId="11171" xr:uid="{00000000-0005-0000-0000-000018990000}"/>
    <cellStyle name="Salida 13 2" xfId="12111" xr:uid="{00000000-0005-0000-0000-000019990000}"/>
    <cellStyle name="Salida 13 2 2" xfId="31964" xr:uid="{00000000-0005-0000-0000-00001A990000}"/>
    <cellStyle name="Salida 13 2 3" xfId="33386" xr:uid="{00000000-0005-0000-0000-00001B990000}"/>
    <cellStyle name="Salida 13 2 4" xfId="40198" xr:uid="{00000000-0005-0000-0000-00001C990000}"/>
    <cellStyle name="Salida 13 3" xfId="12112" xr:uid="{00000000-0005-0000-0000-00001D990000}"/>
    <cellStyle name="Salida 13 3 2" xfId="31965" xr:uid="{00000000-0005-0000-0000-00001E990000}"/>
    <cellStyle name="Salida 13 3 3" xfId="33387" xr:uid="{00000000-0005-0000-0000-00001F990000}"/>
    <cellStyle name="Salida 13 3 4" xfId="40199" xr:uid="{00000000-0005-0000-0000-000020990000}"/>
    <cellStyle name="Salida 13 4" xfId="31963" xr:uid="{00000000-0005-0000-0000-000021990000}"/>
    <cellStyle name="Salida 13 5" xfId="33385" xr:uid="{00000000-0005-0000-0000-000022990000}"/>
    <cellStyle name="Salida 13 6" xfId="40197" xr:uid="{00000000-0005-0000-0000-000023990000}"/>
    <cellStyle name="Salida 14" xfId="11172" xr:uid="{00000000-0005-0000-0000-000024990000}"/>
    <cellStyle name="Salida 14 2" xfId="12113" xr:uid="{00000000-0005-0000-0000-000025990000}"/>
    <cellStyle name="Salida 14 2 2" xfId="31967" xr:uid="{00000000-0005-0000-0000-000026990000}"/>
    <cellStyle name="Salida 14 2 3" xfId="33389" xr:uid="{00000000-0005-0000-0000-000027990000}"/>
    <cellStyle name="Salida 14 2 4" xfId="40201" xr:uid="{00000000-0005-0000-0000-000028990000}"/>
    <cellStyle name="Salida 14 3" xfId="12114" xr:uid="{00000000-0005-0000-0000-000029990000}"/>
    <cellStyle name="Salida 14 3 2" xfId="31968" xr:uid="{00000000-0005-0000-0000-00002A990000}"/>
    <cellStyle name="Salida 14 3 3" xfId="33390" xr:uid="{00000000-0005-0000-0000-00002B990000}"/>
    <cellStyle name="Salida 14 3 4" xfId="40202" xr:uid="{00000000-0005-0000-0000-00002C990000}"/>
    <cellStyle name="Salida 14 4" xfId="31966" xr:uid="{00000000-0005-0000-0000-00002D990000}"/>
    <cellStyle name="Salida 14 5" xfId="33388" xr:uid="{00000000-0005-0000-0000-00002E990000}"/>
    <cellStyle name="Salida 14 6" xfId="40200" xr:uid="{00000000-0005-0000-0000-00002F990000}"/>
    <cellStyle name="Salida 15" xfId="11173" xr:uid="{00000000-0005-0000-0000-000030990000}"/>
    <cellStyle name="Salida 15 2" xfId="12115" xr:uid="{00000000-0005-0000-0000-000031990000}"/>
    <cellStyle name="Salida 15 2 2" xfId="31970" xr:uid="{00000000-0005-0000-0000-000032990000}"/>
    <cellStyle name="Salida 15 2 3" xfId="33392" xr:uid="{00000000-0005-0000-0000-000033990000}"/>
    <cellStyle name="Salida 15 2 4" xfId="40204" xr:uid="{00000000-0005-0000-0000-000034990000}"/>
    <cellStyle name="Salida 15 3" xfId="12116" xr:uid="{00000000-0005-0000-0000-000035990000}"/>
    <cellStyle name="Salida 15 3 2" xfId="31971" xr:uid="{00000000-0005-0000-0000-000036990000}"/>
    <cellStyle name="Salida 15 3 3" xfId="33393" xr:uid="{00000000-0005-0000-0000-000037990000}"/>
    <cellStyle name="Salida 15 3 4" xfId="40205" xr:uid="{00000000-0005-0000-0000-000038990000}"/>
    <cellStyle name="Salida 15 4" xfId="31969" xr:uid="{00000000-0005-0000-0000-000039990000}"/>
    <cellStyle name="Salida 15 5" xfId="33391" xr:uid="{00000000-0005-0000-0000-00003A990000}"/>
    <cellStyle name="Salida 15 6" xfId="40203" xr:uid="{00000000-0005-0000-0000-00003B990000}"/>
    <cellStyle name="Salida 16" xfId="11174" xr:uid="{00000000-0005-0000-0000-00003C990000}"/>
    <cellStyle name="Salida 16 2" xfId="12117" xr:uid="{00000000-0005-0000-0000-00003D990000}"/>
    <cellStyle name="Salida 16 2 2" xfId="31973" xr:uid="{00000000-0005-0000-0000-00003E990000}"/>
    <cellStyle name="Salida 16 2 3" xfId="33395" xr:uid="{00000000-0005-0000-0000-00003F990000}"/>
    <cellStyle name="Salida 16 2 4" xfId="40207" xr:uid="{00000000-0005-0000-0000-000040990000}"/>
    <cellStyle name="Salida 16 3" xfId="12118" xr:uid="{00000000-0005-0000-0000-000041990000}"/>
    <cellStyle name="Salida 16 3 2" xfId="31974" xr:uid="{00000000-0005-0000-0000-000042990000}"/>
    <cellStyle name="Salida 16 3 3" xfId="33396" xr:uid="{00000000-0005-0000-0000-000043990000}"/>
    <cellStyle name="Salida 16 3 4" xfId="40208" xr:uid="{00000000-0005-0000-0000-000044990000}"/>
    <cellStyle name="Salida 16 4" xfId="31972" xr:uid="{00000000-0005-0000-0000-000045990000}"/>
    <cellStyle name="Salida 16 5" xfId="33394" xr:uid="{00000000-0005-0000-0000-000046990000}"/>
    <cellStyle name="Salida 16 6" xfId="40206" xr:uid="{00000000-0005-0000-0000-000047990000}"/>
    <cellStyle name="Salida 17" xfId="11175" xr:uid="{00000000-0005-0000-0000-000048990000}"/>
    <cellStyle name="Salida 17 2" xfId="12119" xr:uid="{00000000-0005-0000-0000-000049990000}"/>
    <cellStyle name="Salida 17 2 2" xfId="31976" xr:uid="{00000000-0005-0000-0000-00004A990000}"/>
    <cellStyle name="Salida 17 2 3" xfId="33398" xr:uid="{00000000-0005-0000-0000-00004B990000}"/>
    <cellStyle name="Salida 17 2 4" xfId="40210" xr:uid="{00000000-0005-0000-0000-00004C990000}"/>
    <cellStyle name="Salida 17 3" xfId="12120" xr:uid="{00000000-0005-0000-0000-00004D990000}"/>
    <cellStyle name="Salida 17 3 2" xfId="31977" xr:uid="{00000000-0005-0000-0000-00004E990000}"/>
    <cellStyle name="Salida 17 3 3" xfId="33399" xr:uid="{00000000-0005-0000-0000-00004F990000}"/>
    <cellStyle name="Salida 17 3 4" xfId="40211" xr:uid="{00000000-0005-0000-0000-000050990000}"/>
    <cellStyle name="Salida 17 4" xfId="31975" xr:uid="{00000000-0005-0000-0000-000051990000}"/>
    <cellStyle name="Salida 17 5" xfId="33397" xr:uid="{00000000-0005-0000-0000-000052990000}"/>
    <cellStyle name="Salida 17 6" xfId="40209" xr:uid="{00000000-0005-0000-0000-000053990000}"/>
    <cellStyle name="Salida 18" xfId="11176" xr:uid="{00000000-0005-0000-0000-000054990000}"/>
    <cellStyle name="Salida 18 2" xfId="12121" xr:uid="{00000000-0005-0000-0000-000055990000}"/>
    <cellStyle name="Salida 18 2 2" xfId="31979" xr:uid="{00000000-0005-0000-0000-000056990000}"/>
    <cellStyle name="Salida 18 2 3" xfId="33401" xr:uid="{00000000-0005-0000-0000-000057990000}"/>
    <cellStyle name="Salida 18 2 4" xfId="40213" xr:uid="{00000000-0005-0000-0000-000058990000}"/>
    <cellStyle name="Salida 18 3" xfId="12122" xr:uid="{00000000-0005-0000-0000-000059990000}"/>
    <cellStyle name="Salida 18 3 2" xfId="31980" xr:uid="{00000000-0005-0000-0000-00005A990000}"/>
    <cellStyle name="Salida 18 3 3" xfId="33402" xr:uid="{00000000-0005-0000-0000-00005B990000}"/>
    <cellStyle name="Salida 18 3 4" xfId="40214" xr:uid="{00000000-0005-0000-0000-00005C990000}"/>
    <cellStyle name="Salida 18 4" xfId="31978" xr:uid="{00000000-0005-0000-0000-00005D990000}"/>
    <cellStyle name="Salida 18 5" xfId="33400" xr:uid="{00000000-0005-0000-0000-00005E990000}"/>
    <cellStyle name="Salida 18 6" xfId="40212" xr:uid="{00000000-0005-0000-0000-00005F990000}"/>
    <cellStyle name="Salida 19" xfId="11177" xr:uid="{00000000-0005-0000-0000-000060990000}"/>
    <cellStyle name="Salida 19 2" xfId="12123" xr:uid="{00000000-0005-0000-0000-000061990000}"/>
    <cellStyle name="Salida 19 2 2" xfId="31982" xr:uid="{00000000-0005-0000-0000-000062990000}"/>
    <cellStyle name="Salida 19 2 3" xfId="33404" xr:uid="{00000000-0005-0000-0000-000063990000}"/>
    <cellStyle name="Salida 19 2 4" xfId="40216" xr:uid="{00000000-0005-0000-0000-000064990000}"/>
    <cellStyle name="Salida 19 3" xfId="12124" xr:uid="{00000000-0005-0000-0000-000065990000}"/>
    <cellStyle name="Salida 19 3 2" xfId="31983" xr:uid="{00000000-0005-0000-0000-000066990000}"/>
    <cellStyle name="Salida 19 3 3" xfId="33405" xr:uid="{00000000-0005-0000-0000-000067990000}"/>
    <cellStyle name="Salida 19 3 4" xfId="40217" xr:uid="{00000000-0005-0000-0000-000068990000}"/>
    <cellStyle name="Salida 19 4" xfId="31981" xr:uid="{00000000-0005-0000-0000-000069990000}"/>
    <cellStyle name="Salida 19 5" xfId="33403" xr:uid="{00000000-0005-0000-0000-00006A990000}"/>
    <cellStyle name="Salida 19 6" xfId="40215" xr:uid="{00000000-0005-0000-0000-00006B990000}"/>
    <cellStyle name="Salida 2" xfId="11178" xr:uid="{00000000-0005-0000-0000-00006C990000}"/>
    <cellStyle name="Salida 2 10" xfId="28901" xr:uid="{00000000-0005-0000-0000-00006D990000}"/>
    <cellStyle name="Salida 2 10 2" xfId="28902" xr:uid="{00000000-0005-0000-0000-00006E990000}"/>
    <cellStyle name="Salida 2 10 2 2" xfId="31986" xr:uid="{00000000-0005-0000-0000-00006F990000}"/>
    <cellStyle name="Salida 2 10 3" xfId="28903" xr:uid="{00000000-0005-0000-0000-000070990000}"/>
    <cellStyle name="Salida 2 10 3 2" xfId="31987" xr:uid="{00000000-0005-0000-0000-000071990000}"/>
    <cellStyle name="Salida 2 10 4" xfId="28904" xr:uid="{00000000-0005-0000-0000-000072990000}"/>
    <cellStyle name="Salida 2 10 4 2" xfId="31988" xr:uid="{00000000-0005-0000-0000-000073990000}"/>
    <cellStyle name="Salida 2 10 5" xfId="28905" xr:uid="{00000000-0005-0000-0000-000074990000}"/>
    <cellStyle name="Salida 2 10 5 2" xfId="31989" xr:uid="{00000000-0005-0000-0000-000075990000}"/>
    <cellStyle name="Salida 2 10 6" xfId="28906" xr:uid="{00000000-0005-0000-0000-000076990000}"/>
    <cellStyle name="Salida 2 10 6 2" xfId="31990" xr:uid="{00000000-0005-0000-0000-000077990000}"/>
    <cellStyle name="Salida 2 10 7" xfId="31985" xr:uid="{00000000-0005-0000-0000-000078990000}"/>
    <cellStyle name="Salida 2 11" xfId="28907" xr:uid="{00000000-0005-0000-0000-000079990000}"/>
    <cellStyle name="Salida 2 11 2" xfId="28908" xr:uid="{00000000-0005-0000-0000-00007A990000}"/>
    <cellStyle name="Salida 2 11 2 2" xfId="31992" xr:uid="{00000000-0005-0000-0000-00007B990000}"/>
    <cellStyle name="Salida 2 11 3" xfId="31991" xr:uid="{00000000-0005-0000-0000-00007C990000}"/>
    <cellStyle name="Salida 2 12" xfId="28909" xr:uid="{00000000-0005-0000-0000-00007D990000}"/>
    <cellStyle name="Salida 2 12 2" xfId="31993" xr:uid="{00000000-0005-0000-0000-00007E990000}"/>
    <cellStyle name="Salida 2 13" xfId="31984" xr:uid="{00000000-0005-0000-0000-00007F990000}"/>
    <cellStyle name="Salida 2 14" xfId="33406" xr:uid="{00000000-0005-0000-0000-000080990000}"/>
    <cellStyle name="Salida 2 15" xfId="33936" xr:uid="{00000000-0005-0000-0000-000081990000}"/>
    <cellStyle name="Salida 2 16" xfId="40218" xr:uid="{00000000-0005-0000-0000-000082990000}"/>
    <cellStyle name="Salida 2 2" xfId="12125" xr:uid="{00000000-0005-0000-0000-000083990000}"/>
    <cellStyle name="Salida 2 2 10" xfId="28910" xr:uid="{00000000-0005-0000-0000-000084990000}"/>
    <cellStyle name="Salida 2 2 10 2" xfId="28911" xr:uid="{00000000-0005-0000-0000-000085990000}"/>
    <cellStyle name="Salida 2 2 10 2 2" xfId="31996" xr:uid="{00000000-0005-0000-0000-000086990000}"/>
    <cellStyle name="Salida 2 2 10 3" xfId="31995" xr:uid="{00000000-0005-0000-0000-000087990000}"/>
    <cellStyle name="Salida 2 2 11" xfId="28912" xr:uid="{00000000-0005-0000-0000-000088990000}"/>
    <cellStyle name="Salida 2 2 11 2" xfId="31997" xr:uid="{00000000-0005-0000-0000-000089990000}"/>
    <cellStyle name="Salida 2 2 12" xfId="31994" xr:uid="{00000000-0005-0000-0000-00008A990000}"/>
    <cellStyle name="Salida 2 2 13" xfId="33407" xr:uid="{00000000-0005-0000-0000-00008B990000}"/>
    <cellStyle name="Salida 2 2 14" xfId="33937" xr:uid="{00000000-0005-0000-0000-00008C990000}"/>
    <cellStyle name="Salida 2 2 15" xfId="40219" xr:uid="{00000000-0005-0000-0000-00008D990000}"/>
    <cellStyle name="Salida 2 2 2" xfId="28913" xr:uid="{00000000-0005-0000-0000-00008E990000}"/>
    <cellStyle name="Salida 2 2 2 2" xfId="28914" xr:uid="{00000000-0005-0000-0000-00008F990000}"/>
    <cellStyle name="Salida 2 2 2 2 2" xfId="31999" xr:uid="{00000000-0005-0000-0000-000090990000}"/>
    <cellStyle name="Salida 2 2 2 3" xfId="31998" xr:uid="{00000000-0005-0000-0000-000091990000}"/>
    <cellStyle name="Salida 2 2 3" xfId="28915" xr:uid="{00000000-0005-0000-0000-000092990000}"/>
    <cellStyle name="Salida 2 2 3 2" xfId="28916" xr:uid="{00000000-0005-0000-0000-000093990000}"/>
    <cellStyle name="Salida 2 2 3 2 2" xfId="32001" xr:uid="{00000000-0005-0000-0000-000094990000}"/>
    <cellStyle name="Salida 2 2 3 3" xfId="32000" xr:uid="{00000000-0005-0000-0000-000095990000}"/>
    <cellStyle name="Salida 2 2 4" xfId="28917" xr:uid="{00000000-0005-0000-0000-000096990000}"/>
    <cellStyle name="Salida 2 2 4 2" xfId="28918" xr:uid="{00000000-0005-0000-0000-000097990000}"/>
    <cellStyle name="Salida 2 2 4 2 2" xfId="32003" xr:uid="{00000000-0005-0000-0000-000098990000}"/>
    <cellStyle name="Salida 2 2 4 3" xfId="32002" xr:uid="{00000000-0005-0000-0000-000099990000}"/>
    <cellStyle name="Salida 2 2 5" xfId="28919" xr:uid="{00000000-0005-0000-0000-00009A990000}"/>
    <cellStyle name="Salida 2 2 5 2" xfId="28920" xr:uid="{00000000-0005-0000-0000-00009B990000}"/>
    <cellStyle name="Salida 2 2 5 2 2" xfId="32005" xr:uid="{00000000-0005-0000-0000-00009C990000}"/>
    <cellStyle name="Salida 2 2 5 3" xfId="32004" xr:uid="{00000000-0005-0000-0000-00009D990000}"/>
    <cellStyle name="Salida 2 2 6" xfId="28921" xr:uid="{00000000-0005-0000-0000-00009E990000}"/>
    <cellStyle name="Salida 2 2 6 2" xfId="28922" xr:uid="{00000000-0005-0000-0000-00009F990000}"/>
    <cellStyle name="Salida 2 2 6 2 2" xfId="32007" xr:uid="{00000000-0005-0000-0000-0000A0990000}"/>
    <cellStyle name="Salida 2 2 6 3" xfId="32006" xr:uid="{00000000-0005-0000-0000-0000A1990000}"/>
    <cellStyle name="Salida 2 2 7" xfId="28923" xr:uid="{00000000-0005-0000-0000-0000A2990000}"/>
    <cellStyle name="Salida 2 2 7 2" xfId="28924" xr:uid="{00000000-0005-0000-0000-0000A3990000}"/>
    <cellStyle name="Salida 2 2 7 2 2" xfId="32009" xr:uid="{00000000-0005-0000-0000-0000A4990000}"/>
    <cellStyle name="Salida 2 2 7 3" xfId="32008" xr:uid="{00000000-0005-0000-0000-0000A5990000}"/>
    <cellStyle name="Salida 2 2 8" xfId="28925" xr:uid="{00000000-0005-0000-0000-0000A6990000}"/>
    <cellStyle name="Salida 2 2 8 2" xfId="28926" xr:uid="{00000000-0005-0000-0000-0000A7990000}"/>
    <cellStyle name="Salida 2 2 8 2 2" xfId="32011" xr:uid="{00000000-0005-0000-0000-0000A8990000}"/>
    <cellStyle name="Salida 2 2 8 3" xfId="32010" xr:uid="{00000000-0005-0000-0000-0000A9990000}"/>
    <cellStyle name="Salida 2 2 9" xfId="28927" xr:uid="{00000000-0005-0000-0000-0000AA990000}"/>
    <cellStyle name="Salida 2 2 9 2" xfId="28928" xr:uid="{00000000-0005-0000-0000-0000AB990000}"/>
    <cellStyle name="Salida 2 2 9 2 2" xfId="32013" xr:uid="{00000000-0005-0000-0000-0000AC990000}"/>
    <cellStyle name="Salida 2 2 9 3" xfId="28929" xr:uid="{00000000-0005-0000-0000-0000AD990000}"/>
    <cellStyle name="Salida 2 2 9 3 2" xfId="32014" xr:uid="{00000000-0005-0000-0000-0000AE990000}"/>
    <cellStyle name="Salida 2 2 9 4" xfId="28930" xr:uid="{00000000-0005-0000-0000-0000AF990000}"/>
    <cellStyle name="Salida 2 2 9 4 2" xfId="32015" xr:uid="{00000000-0005-0000-0000-0000B0990000}"/>
    <cellStyle name="Salida 2 2 9 5" xfId="28931" xr:uid="{00000000-0005-0000-0000-0000B1990000}"/>
    <cellStyle name="Salida 2 2 9 5 2" xfId="32016" xr:uid="{00000000-0005-0000-0000-0000B2990000}"/>
    <cellStyle name="Salida 2 2 9 6" xfId="28932" xr:uid="{00000000-0005-0000-0000-0000B3990000}"/>
    <cellStyle name="Salida 2 2 9 6 2" xfId="32017" xr:uid="{00000000-0005-0000-0000-0000B4990000}"/>
    <cellStyle name="Salida 2 2 9 7" xfId="32012" xr:uid="{00000000-0005-0000-0000-0000B5990000}"/>
    <cellStyle name="Salida 2 3" xfId="12126" xr:uid="{00000000-0005-0000-0000-0000B6990000}"/>
    <cellStyle name="Salida 2 3 2" xfId="28933" xr:uid="{00000000-0005-0000-0000-0000B7990000}"/>
    <cellStyle name="Salida 2 3 2 2" xfId="32019" xr:uid="{00000000-0005-0000-0000-0000B8990000}"/>
    <cellStyle name="Salida 2 3 3" xfId="28934" xr:uid="{00000000-0005-0000-0000-0000B9990000}"/>
    <cellStyle name="Salida 2 3 3 2" xfId="32020" xr:uid="{00000000-0005-0000-0000-0000BA990000}"/>
    <cellStyle name="Salida 2 3 4" xfId="32018" xr:uid="{00000000-0005-0000-0000-0000BB990000}"/>
    <cellStyle name="Salida 2 3 5" xfId="33408" xr:uid="{00000000-0005-0000-0000-0000BC990000}"/>
    <cellStyle name="Salida 2 3 6" xfId="40220" xr:uid="{00000000-0005-0000-0000-0000BD990000}"/>
    <cellStyle name="Salida 2 4" xfId="28935" xr:uid="{00000000-0005-0000-0000-0000BE990000}"/>
    <cellStyle name="Salida 2 4 2" xfId="28936" xr:uid="{00000000-0005-0000-0000-0000BF990000}"/>
    <cellStyle name="Salida 2 4 2 2" xfId="32022" xr:uid="{00000000-0005-0000-0000-0000C0990000}"/>
    <cellStyle name="Salida 2 4 3" xfId="32021" xr:uid="{00000000-0005-0000-0000-0000C1990000}"/>
    <cellStyle name="Salida 2 5" xfId="28937" xr:uid="{00000000-0005-0000-0000-0000C2990000}"/>
    <cellStyle name="Salida 2 5 2" xfId="28938" xr:uid="{00000000-0005-0000-0000-0000C3990000}"/>
    <cellStyle name="Salida 2 5 2 2" xfId="32024" xr:uid="{00000000-0005-0000-0000-0000C4990000}"/>
    <cellStyle name="Salida 2 5 3" xfId="32023" xr:uid="{00000000-0005-0000-0000-0000C5990000}"/>
    <cellStyle name="Salida 2 6" xfId="28939" xr:uid="{00000000-0005-0000-0000-0000C6990000}"/>
    <cellStyle name="Salida 2 6 2" xfId="28940" xr:uid="{00000000-0005-0000-0000-0000C7990000}"/>
    <cellStyle name="Salida 2 6 2 2" xfId="32026" xr:uid="{00000000-0005-0000-0000-0000C8990000}"/>
    <cellStyle name="Salida 2 6 3" xfId="32025" xr:uid="{00000000-0005-0000-0000-0000C9990000}"/>
    <cellStyle name="Salida 2 7" xfId="28941" xr:uid="{00000000-0005-0000-0000-0000CA990000}"/>
    <cellStyle name="Salida 2 7 2" xfId="28942" xr:uid="{00000000-0005-0000-0000-0000CB990000}"/>
    <cellStyle name="Salida 2 7 2 2" xfId="32028" xr:uid="{00000000-0005-0000-0000-0000CC990000}"/>
    <cellStyle name="Salida 2 7 3" xfId="32027" xr:uid="{00000000-0005-0000-0000-0000CD990000}"/>
    <cellStyle name="Salida 2 8" xfId="28943" xr:uid="{00000000-0005-0000-0000-0000CE990000}"/>
    <cellStyle name="Salida 2 8 2" xfId="28944" xr:uid="{00000000-0005-0000-0000-0000CF990000}"/>
    <cellStyle name="Salida 2 8 2 2" xfId="32030" xr:uid="{00000000-0005-0000-0000-0000D0990000}"/>
    <cellStyle name="Salida 2 8 3" xfId="32029" xr:uid="{00000000-0005-0000-0000-0000D1990000}"/>
    <cellStyle name="Salida 2 9" xfId="28945" xr:uid="{00000000-0005-0000-0000-0000D2990000}"/>
    <cellStyle name="Salida 2 9 2" xfId="28946" xr:uid="{00000000-0005-0000-0000-0000D3990000}"/>
    <cellStyle name="Salida 2 9 2 2" xfId="32032" xr:uid="{00000000-0005-0000-0000-0000D4990000}"/>
    <cellStyle name="Salida 2 9 3" xfId="32031" xr:uid="{00000000-0005-0000-0000-0000D5990000}"/>
    <cellStyle name="Salida 20" xfId="11179" xr:uid="{00000000-0005-0000-0000-0000D6990000}"/>
    <cellStyle name="Salida 20 2" xfId="12127" xr:uid="{00000000-0005-0000-0000-0000D7990000}"/>
    <cellStyle name="Salida 20 2 2" xfId="32034" xr:uid="{00000000-0005-0000-0000-0000D8990000}"/>
    <cellStyle name="Salida 20 2 3" xfId="33410" xr:uid="{00000000-0005-0000-0000-0000D9990000}"/>
    <cellStyle name="Salida 20 2 4" xfId="40222" xr:uid="{00000000-0005-0000-0000-0000DA990000}"/>
    <cellStyle name="Salida 20 3" xfId="12128" xr:uid="{00000000-0005-0000-0000-0000DB990000}"/>
    <cellStyle name="Salida 20 3 2" xfId="32035" xr:uid="{00000000-0005-0000-0000-0000DC990000}"/>
    <cellStyle name="Salida 20 3 3" xfId="33411" xr:uid="{00000000-0005-0000-0000-0000DD990000}"/>
    <cellStyle name="Salida 20 3 4" xfId="40223" xr:uid="{00000000-0005-0000-0000-0000DE990000}"/>
    <cellStyle name="Salida 20 4" xfId="32033" xr:uid="{00000000-0005-0000-0000-0000DF990000}"/>
    <cellStyle name="Salida 20 5" xfId="33409" xr:uid="{00000000-0005-0000-0000-0000E0990000}"/>
    <cellStyle name="Salida 20 6" xfId="40221" xr:uid="{00000000-0005-0000-0000-0000E1990000}"/>
    <cellStyle name="Salida 21" xfId="11180" xr:uid="{00000000-0005-0000-0000-0000E2990000}"/>
    <cellStyle name="Salida 21 2" xfId="12129" xr:uid="{00000000-0005-0000-0000-0000E3990000}"/>
    <cellStyle name="Salida 21 2 2" xfId="32037" xr:uid="{00000000-0005-0000-0000-0000E4990000}"/>
    <cellStyle name="Salida 21 2 3" xfId="33413" xr:uid="{00000000-0005-0000-0000-0000E5990000}"/>
    <cellStyle name="Salida 21 2 4" xfId="40225" xr:uid="{00000000-0005-0000-0000-0000E6990000}"/>
    <cellStyle name="Salida 21 3" xfId="12130" xr:uid="{00000000-0005-0000-0000-0000E7990000}"/>
    <cellStyle name="Salida 21 3 2" xfId="32038" xr:uid="{00000000-0005-0000-0000-0000E8990000}"/>
    <cellStyle name="Salida 21 3 3" xfId="33414" xr:uid="{00000000-0005-0000-0000-0000E9990000}"/>
    <cellStyle name="Salida 21 3 4" xfId="40226" xr:uid="{00000000-0005-0000-0000-0000EA990000}"/>
    <cellStyle name="Salida 21 4" xfId="32036" xr:uid="{00000000-0005-0000-0000-0000EB990000}"/>
    <cellStyle name="Salida 21 5" xfId="33412" xr:uid="{00000000-0005-0000-0000-0000EC990000}"/>
    <cellStyle name="Salida 21 6" xfId="40224" xr:uid="{00000000-0005-0000-0000-0000ED990000}"/>
    <cellStyle name="Salida 22" xfId="11181" xr:uid="{00000000-0005-0000-0000-0000EE990000}"/>
    <cellStyle name="Salida 22 2" xfId="12131" xr:uid="{00000000-0005-0000-0000-0000EF990000}"/>
    <cellStyle name="Salida 22 2 2" xfId="32040" xr:uid="{00000000-0005-0000-0000-0000F0990000}"/>
    <cellStyle name="Salida 22 2 3" xfId="33416" xr:uid="{00000000-0005-0000-0000-0000F1990000}"/>
    <cellStyle name="Salida 22 2 4" xfId="40228" xr:uid="{00000000-0005-0000-0000-0000F2990000}"/>
    <cellStyle name="Salida 22 3" xfId="12132" xr:uid="{00000000-0005-0000-0000-0000F3990000}"/>
    <cellStyle name="Salida 22 3 2" xfId="32041" xr:uid="{00000000-0005-0000-0000-0000F4990000}"/>
    <cellStyle name="Salida 22 3 3" xfId="33417" xr:uid="{00000000-0005-0000-0000-0000F5990000}"/>
    <cellStyle name="Salida 22 3 4" xfId="40229" xr:uid="{00000000-0005-0000-0000-0000F6990000}"/>
    <cellStyle name="Salida 22 4" xfId="32039" xr:uid="{00000000-0005-0000-0000-0000F7990000}"/>
    <cellStyle name="Salida 22 5" xfId="33415" xr:uid="{00000000-0005-0000-0000-0000F8990000}"/>
    <cellStyle name="Salida 22 6" xfId="40227" xr:uid="{00000000-0005-0000-0000-0000F9990000}"/>
    <cellStyle name="Salida 23" xfId="11182" xr:uid="{00000000-0005-0000-0000-0000FA990000}"/>
    <cellStyle name="Salida 23 2" xfId="12133" xr:uid="{00000000-0005-0000-0000-0000FB990000}"/>
    <cellStyle name="Salida 23 2 2" xfId="32043" xr:uid="{00000000-0005-0000-0000-0000FC990000}"/>
    <cellStyle name="Salida 23 2 3" xfId="33419" xr:uid="{00000000-0005-0000-0000-0000FD990000}"/>
    <cellStyle name="Salida 23 2 4" xfId="40231" xr:uid="{00000000-0005-0000-0000-0000FE990000}"/>
    <cellStyle name="Salida 23 3" xfId="12134" xr:uid="{00000000-0005-0000-0000-0000FF990000}"/>
    <cellStyle name="Salida 23 3 2" xfId="32044" xr:uid="{00000000-0005-0000-0000-0000009A0000}"/>
    <cellStyle name="Salida 23 3 3" xfId="33420" xr:uid="{00000000-0005-0000-0000-0000019A0000}"/>
    <cellStyle name="Salida 23 3 4" xfId="40232" xr:uid="{00000000-0005-0000-0000-0000029A0000}"/>
    <cellStyle name="Salida 23 4" xfId="32042" xr:uid="{00000000-0005-0000-0000-0000039A0000}"/>
    <cellStyle name="Salida 23 5" xfId="33418" xr:uid="{00000000-0005-0000-0000-0000049A0000}"/>
    <cellStyle name="Salida 23 6" xfId="40230" xr:uid="{00000000-0005-0000-0000-0000059A0000}"/>
    <cellStyle name="Salida 24" xfId="11183" xr:uid="{00000000-0005-0000-0000-0000069A0000}"/>
    <cellStyle name="Salida 24 2" xfId="12135" xr:uid="{00000000-0005-0000-0000-0000079A0000}"/>
    <cellStyle name="Salida 24 2 2" xfId="32046" xr:uid="{00000000-0005-0000-0000-0000089A0000}"/>
    <cellStyle name="Salida 24 2 3" xfId="33422" xr:uid="{00000000-0005-0000-0000-0000099A0000}"/>
    <cellStyle name="Salida 24 2 4" xfId="40234" xr:uid="{00000000-0005-0000-0000-00000A9A0000}"/>
    <cellStyle name="Salida 24 3" xfId="12136" xr:uid="{00000000-0005-0000-0000-00000B9A0000}"/>
    <cellStyle name="Salida 24 3 2" xfId="32047" xr:uid="{00000000-0005-0000-0000-00000C9A0000}"/>
    <cellStyle name="Salida 24 3 3" xfId="33423" xr:uid="{00000000-0005-0000-0000-00000D9A0000}"/>
    <cellStyle name="Salida 24 3 4" xfId="40235" xr:uid="{00000000-0005-0000-0000-00000E9A0000}"/>
    <cellStyle name="Salida 24 4" xfId="32045" xr:uid="{00000000-0005-0000-0000-00000F9A0000}"/>
    <cellStyle name="Salida 24 5" xfId="33421" xr:uid="{00000000-0005-0000-0000-0000109A0000}"/>
    <cellStyle name="Salida 24 6" xfId="40233" xr:uid="{00000000-0005-0000-0000-0000119A0000}"/>
    <cellStyle name="Salida 25" xfId="11184" xr:uid="{00000000-0005-0000-0000-0000129A0000}"/>
    <cellStyle name="Salida 25 2" xfId="12137" xr:uid="{00000000-0005-0000-0000-0000139A0000}"/>
    <cellStyle name="Salida 25 2 2" xfId="32049" xr:uid="{00000000-0005-0000-0000-0000149A0000}"/>
    <cellStyle name="Salida 25 2 3" xfId="33425" xr:uid="{00000000-0005-0000-0000-0000159A0000}"/>
    <cellStyle name="Salida 25 2 4" xfId="40237" xr:uid="{00000000-0005-0000-0000-0000169A0000}"/>
    <cellStyle name="Salida 25 3" xfId="12138" xr:uid="{00000000-0005-0000-0000-0000179A0000}"/>
    <cellStyle name="Salida 25 3 2" xfId="32050" xr:uid="{00000000-0005-0000-0000-0000189A0000}"/>
    <cellStyle name="Salida 25 3 3" xfId="33426" xr:uid="{00000000-0005-0000-0000-0000199A0000}"/>
    <cellStyle name="Salida 25 3 4" xfId="40238" xr:uid="{00000000-0005-0000-0000-00001A9A0000}"/>
    <cellStyle name="Salida 25 4" xfId="32048" xr:uid="{00000000-0005-0000-0000-00001B9A0000}"/>
    <cellStyle name="Salida 25 5" xfId="33424" xr:uid="{00000000-0005-0000-0000-00001C9A0000}"/>
    <cellStyle name="Salida 25 6" xfId="40236" xr:uid="{00000000-0005-0000-0000-00001D9A0000}"/>
    <cellStyle name="Salida 26" xfId="11185" xr:uid="{00000000-0005-0000-0000-00001E9A0000}"/>
    <cellStyle name="Salida 26 2" xfId="12139" xr:uid="{00000000-0005-0000-0000-00001F9A0000}"/>
    <cellStyle name="Salida 26 2 2" xfId="32052" xr:uid="{00000000-0005-0000-0000-0000209A0000}"/>
    <cellStyle name="Salida 26 2 3" xfId="33428" xr:uid="{00000000-0005-0000-0000-0000219A0000}"/>
    <cellStyle name="Salida 26 2 4" xfId="40240" xr:uid="{00000000-0005-0000-0000-0000229A0000}"/>
    <cellStyle name="Salida 26 3" xfId="12140" xr:uid="{00000000-0005-0000-0000-0000239A0000}"/>
    <cellStyle name="Salida 26 3 2" xfId="32053" xr:uid="{00000000-0005-0000-0000-0000249A0000}"/>
    <cellStyle name="Salida 26 3 3" xfId="33429" xr:uid="{00000000-0005-0000-0000-0000259A0000}"/>
    <cellStyle name="Salida 26 3 4" xfId="40241" xr:uid="{00000000-0005-0000-0000-0000269A0000}"/>
    <cellStyle name="Salida 26 4" xfId="32051" xr:uid="{00000000-0005-0000-0000-0000279A0000}"/>
    <cellStyle name="Salida 26 5" xfId="33427" xr:uid="{00000000-0005-0000-0000-0000289A0000}"/>
    <cellStyle name="Salida 26 6" xfId="40239" xr:uid="{00000000-0005-0000-0000-0000299A0000}"/>
    <cellStyle name="Salida 27" xfId="11186" xr:uid="{00000000-0005-0000-0000-00002A9A0000}"/>
    <cellStyle name="Salida 27 2" xfId="12141" xr:uid="{00000000-0005-0000-0000-00002B9A0000}"/>
    <cellStyle name="Salida 27 2 2" xfId="32055" xr:uid="{00000000-0005-0000-0000-00002C9A0000}"/>
    <cellStyle name="Salida 27 2 3" xfId="33431" xr:uid="{00000000-0005-0000-0000-00002D9A0000}"/>
    <cellStyle name="Salida 27 2 4" xfId="40243" xr:uid="{00000000-0005-0000-0000-00002E9A0000}"/>
    <cellStyle name="Salida 27 3" xfId="12142" xr:uid="{00000000-0005-0000-0000-00002F9A0000}"/>
    <cellStyle name="Salida 27 3 2" xfId="32056" xr:uid="{00000000-0005-0000-0000-0000309A0000}"/>
    <cellStyle name="Salida 27 3 3" xfId="33432" xr:uid="{00000000-0005-0000-0000-0000319A0000}"/>
    <cellStyle name="Salida 27 3 4" xfId="40244" xr:uid="{00000000-0005-0000-0000-0000329A0000}"/>
    <cellStyle name="Salida 27 4" xfId="32054" xr:uid="{00000000-0005-0000-0000-0000339A0000}"/>
    <cellStyle name="Salida 27 5" xfId="33430" xr:uid="{00000000-0005-0000-0000-0000349A0000}"/>
    <cellStyle name="Salida 27 6" xfId="40242" xr:uid="{00000000-0005-0000-0000-0000359A0000}"/>
    <cellStyle name="Salida 28" xfId="11187" xr:uid="{00000000-0005-0000-0000-0000369A0000}"/>
    <cellStyle name="Salida 28 2" xfId="12143" xr:uid="{00000000-0005-0000-0000-0000379A0000}"/>
    <cellStyle name="Salida 28 2 2" xfId="32058" xr:uid="{00000000-0005-0000-0000-0000389A0000}"/>
    <cellStyle name="Salida 28 2 3" xfId="33434" xr:uid="{00000000-0005-0000-0000-0000399A0000}"/>
    <cellStyle name="Salida 28 2 4" xfId="40246" xr:uid="{00000000-0005-0000-0000-00003A9A0000}"/>
    <cellStyle name="Salida 28 3" xfId="12144" xr:uid="{00000000-0005-0000-0000-00003B9A0000}"/>
    <cellStyle name="Salida 28 3 2" xfId="32059" xr:uid="{00000000-0005-0000-0000-00003C9A0000}"/>
    <cellStyle name="Salida 28 3 3" xfId="33435" xr:uid="{00000000-0005-0000-0000-00003D9A0000}"/>
    <cellStyle name="Salida 28 3 4" xfId="40247" xr:uid="{00000000-0005-0000-0000-00003E9A0000}"/>
    <cellStyle name="Salida 28 4" xfId="32057" xr:uid="{00000000-0005-0000-0000-00003F9A0000}"/>
    <cellStyle name="Salida 28 5" xfId="33433" xr:uid="{00000000-0005-0000-0000-0000409A0000}"/>
    <cellStyle name="Salida 28 6" xfId="40245" xr:uid="{00000000-0005-0000-0000-0000419A0000}"/>
    <cellStyle name="Salida 29" xfId="11188" xr:uid="{00000000-0005-0000-0000-0000429A0000}"/>
    <cellStyle name="Salida 29 2" xfId="12145" xr:uid="{00000000-0005-0000-0000-0000439A0000}"/>
    <cellStyle name="Salida 29 2 2" xfId="32061" xr:uid="{00000000-0005-0000-0000-0000449A0000}"/>
    <cellStyle name="Salida 29 2 3" xfId="33437" xr:uid="{00000000-0005-0000-0000-0000459A0000}"/>
    <cellStyle name="Salida 29 2 4" xfId="40249" xr:uid="{00000000-0005-0000-0000-0000469A0000}"/>
    <cellStyle name="Salida 29 3" xfId="12146" xr:uid="{00000000-0005-0000-0000-0000479A0000}"/>
    <cellStyle name="Salida 29 3 2" xfId="32062" xr:uid="{00000000-0005-0000-0000-0000489A0000}"/>
    <cellStyle name="Salida 29 3 3" xfId="33438" xr:uid="{00000000-0005-0000-0000-0000499A0000}"/>
    <cellStyle name="Salida 29 3 4" xfId="40250" xr:uid="{00000000-0005-0000-0000-00004A9A0000}"/>
    <cellStyle name="Salida 29 4" xfId="32060" xr:uid="{00000000-0005-0000-0000-00004B9A0000}"/>
    <cellStyle name="Salida 29 5" xfId="33436" xr:uid="{00000000-0005-0000-0000-00004C9A0000}"/>
    <cellStyle name="Salida 29 6" xfId="40248" xr:uid="{00000000-0005-0000-0000-00004D9A0000}"/>
    <cellStyle name="Salida 3" xfId="11189" xr:uid="{00000000-0005-0000-0000-00004E9A0000}"/>
    <cellStyle name="Salida 3 10" xfId="28947" xr:uid="{00000000-0005-0000-0000-00004F9A0000}"/>
    <cellStyle name="Salida 3 10 2" xfId="28948" xr:uid="{00000000-0005-0000-0000-0000509A0000}"/>
    <cellStyle name="Salida 3 10 2 2" xfId="32065" xr:uid="{00000000-0005-0000-0000-0000519A0000}"/>
    <cellStyle name="Salida 3 10 3" xfId="28949" xr:uid="{00000000-0005-0000-0000-0000529A0000}"/>
    <cellStyle name="Salida 3 10 3 2" xfId="32066" xr:uid="{00000000-0005-0000-0000-0000539A0000}"/>
    <cellStyle name="Salida 3 10 4" xfId="28950" xr:uid="{00000000-0005-0000-0000-0000549A0000}"/>
    <cellStyle name="Salida 3 10 4 2" xfId="32067" xr:uid="{00000000-0005-0000-0000-0000559A0000}"/>
    <cellStyle name="Salida 3 10 5" xfId="28951" xr:uid="{00000000-0005-0000-0000-0000569A0000}"/>
    <cellStyle name="Salida 3 10 5 2" xfId="32068" xr:uid="{00000000-0005-0000-0000-0000579A0000}"/>
    <cellStyle name="Salida 3 10 6" xfId="28952" xr:uid="{00000000-0005-0000-0000-0000589A0000}"/>
    <cellStyle name="Salida 3 10 6 2" xfId="32069" xr:uid="{00000000-0005-0000-0000-0000599A0000}"/>
    <cellStyle name="Salida 3 10 7" xfId="32064" xr:uid="{00000000-0005-0000-0000-00005A9A0000}"/>
    <cellStyle name="Salida 3 11" xfId="28953" xr:uid="{00000000-0005-0000-0000-00005B9A0000}"/>
    <cellStyle name="Salida 3 11 2" xfId="28954" xr:uid="{00000000-0005-0000-0000-00005C9A0000}"/>
    <cellStyle name="Salida 3 11 2 2" xfId="32071" xr:uid="{00000000-0005-0000-0000-00005D9A0000}"/>
    <cellStyle name="Salida 3 11 3" xfId="32070" xr:uid="{00000000-0005-0000-0000-00005E9A0000}"/>
    <cellStyle name="Salida 3 12" xfId="28955" xr:uid="{00000000-0005-0000-0000-00005F9A0000}"/>
    <cellStyle name="Salida 3 12 2" xfId="32072" xr:uid="{00000000-0005-0000-0000-0000609A0000}"/>
    <cellStyle name="Salida 3 13" xfId="32063" xr:uid="{00000000-0005-0000-0000-0000619A0000}"/>
    <cellStyle name="Salida 3 14" xfId="33439" xr:uid="{00000000-0005-0000-0000-0000629A0000}"/>
    <cellStyle name="Salida 3 15" xfId="33938" xr:uid="{00000000-0005-0000-0000-0000639A0000}"/>
    <cellStyle name="Salida 3 16" xfId="40251" xr:uid="{00000000-0005-0000-0000-0000649A0000}"/>
    <cellStyle name="Salida 3 2" xfId="12147" xr:uid="{00000000-0005-0000-0000-0000659A0000}"/>
    <cellStyle name="Salida 3 2 10" xfId="28956" xr:uid="{00000000-0005-0000-0000-0000669A0000}"/>
    <cellStyle name="Salida 3 2 10 2" xfId="28957" xr:uid="{00000000-0005-0000-0000-0000679A0000}"/>
    <cellStyle name="Salida 3 2 10 2 2" xfId="32075" xr:uid="{00000000-0005-0000-0000-0000689A0000}"/>
    <cellStyle name="Salida 3 2 10 3" xfId="32074" xr:uid="{00000000-0005-0000-0000-0000699A0000}"/>
    <cellStyle name="Salida 3 2 11" xfId="28958" xr:uid="{00000000-0005-0000-0000-00006A9A0000}"/>
    <cellStyle name="Salida 3 2 11 2" xfId="32076" xr:uid="{00000000-0005-0000-0000-00006B9A0000}"/>
    <cellStyle name="Salida 3 2 12" xfId="32073" xr:uid="{00000000-0005-0000-0000-00006C9A0000}"/>
    <cellStyle name="Salida 3 2 13" xfId="33440" xr:uid="{00000000-0005-0000-0000-00006D9A0000}"/>
    <cellStyle name="Salida 3 2 14" xfId="33939" xr:uid="{00000000-0005-0000-0000-00006E9A0000}"/>
    <cellStyle name="Salida 3 2 15" xfId="40252" xr:uid="{00000000-0005-0000-0000-00006F9A0000}"/>
    <cellStyle name="Salida 3 2 2" xfId="28959" xr:uid="{00000000-0005-0000-0000-0000709A0000}"/>
    <cellStyle name="Salida 3 2 2 2" xfId="28960" xr:uid="{00000000-0005-0000-0000-0000719A0000}"/>
    <cellStyle name="Salida 3 2 2 2 2" xfId="32078" xr:uid="{00000000-0005-0000-0000-0000729A0000}"/>
    <cellStyle name="Salida 3 2 2 3" xfId="32077" xr:uid="{00000000-0005-0000-0000-0000739A0000}"/>
    <cellStyle name="Salida 3 2 3" xfId="28961" xr:uid="{00000000-0005-0000-0000-0000749A0000}"/>
    <cellStyle name="Salida 3 2 3 2" xfId="28962" xr:uid="{00000000-0005-0000-0000-0000759A0000}"/>
    <cellStyle name="Salida 3 2 3 2 2" xfId="32080" xr:uid="{00000000-0005-0000-0000-0000769A0000}"/>
    <cellStyle name="Salida 3 2 3 3" xfId="32079" xr:uid="{00000000-0005-0000-0000-0000779A0000}"/>
    <cellStyle name="Salida 3 2 4" xfId="28963" xr:uid="{00000000-0005-0000-0000-0000789A0000}"/>
    <cellStyle name="Salida 3 2 4 2" xfId="28964" xr:uid="{00000000-0005-0000-0000-0000799A0000}"/>
    <cellStyle name="Salida 3 2 4 2 2" xfId="32082" xr:uid="{00000000-0005-0000-0000-00007A9A0000}"/>
    <cellStyle name="Salida 3 2 4 3" xfId="32081" xr:uid="{00000000-0005-0000-0000-00007B9A0000}"/>
    <cellStyle name="Salida 3 2 5" xfId="28965" xr:uid="{00000000-0005-0000-0000-00007C9A0000}"/>
    <cellStyle name="Salida 3 2 5 2" xfId="28966" xr:uid="{00000000-0005-0000-0000-00007D9A0000}"/>
    <cellStyle name="Salida 3 2 5 2 2" xfId="32084" xr:uid="{00000000-0005-0000-0000-00007E9A0000}"/>
    <cellStyle name="Salida 3 2 5 3" xfId="32083" xr:uid="{00000000-0005-0000-0000-00007F9A0000}"/>
    <cellStyle name="Salida 3 2 6" xfId="28967" xr:uid="{00000000-0005-0000-0000-0000809A0000}"/>
    <cellStyle name="Salida 3 2 6 2" xfId="28968" xr:uid="{00000000-0005-0000-0000-0000819A0000}"/>
    <cellStyle name="Salida 3 2 6 2 2" xfId="32086" xr:uid="{00000000-0005-0000-0000-0000829A0000}"/>
    <cellStyle name="Salida 3 2 6 3" xfId="32085" xr:uid="{00000000-0005-0000-0000-0000839A0000}"/>
    <cellStyle name="Salida 3 2 7" xfId="28969" xr:uid="{00000000-0005-0000-0000-0000849A0000}"/>
    <cellStyle name="Salida 3 2 7 2" xfId="28970" xr:uid="{00000000-0005-0000-0000-0000859A0000}"/>
    <cellStyle name="Salida 3 2 7 2 2" xfId="32088" xr:uid="{00000000-0005-0000-0000-0000869A0000}"/>
    <cellStyle name="Salida 3 2 7 3" xfId="32087" xr:uid="{00000000-0005-0000-0000-0000879A0000}"/>
    <cellStyle name="Salida 3 2 8" xfId="28971" xr:uid="{00000000-0005-0000-0000-0000889A0000}"/>
    <cellStyle name="Salida 3 2 8 2" xfId="28972" xr:uid="{00000000-0005-0000-0000-0000899A0000}"/>
    <cellStyle name="Salida 3 2 8 2 2" xfId="32090" xr:uid="{00000000-0005-0000-0000-00008A9A0000}"/>
    <cellStyle name="Salida 3 2 8 3" xfId="32089" xr:uid="{00000000-0005-0000-0000-00008B9A0000}"/>
    <cellStyle name="Salida 3 2 9" xfId="28973" xr:uid="{00000000-0005-0000-0000-00008C9A0000}"/>
    <cellStyle name="Salida 3 2 9 2" xfId="28974" xr:uid="{00000000-0005-0000-0000-00008D9A0000}"/>
    <cellStyle name="Salida 3 2 9 2 2" xfId="32092" xr:uid="{00000000-0005-0000-0000-00008E9A0000}"/>
    <cellStyle name="Salida 3 2 9 3" xfId="28975" xr:uid="{00000000-0005-0000-0000-00008F9A0000}"/>
    <cellStyle name="Salida 3 2 9 3 2" xfId="32093" xr:uid="{00000000-0005-0000-0000-0000909A0000}"/>
    <cellStyle name="Salida 3 2 9 4" xfId="28976" xr:uid="{00000000-0005-0000-0000-0000919A0000}"/>
    <cellStyle name="Salida 3 2 9 4 2" xfId="32094" xr:uid="{00000000-0005-0000-0000-0000929A0000}"/>
    <cellStyle name="Salida 3 2 9 5" xfId="28977" xr:uid="{00000000-0005-0000-0000-0000939A0000}"/>
    <cellStyle name="Salida 3 2 9 5 2" xfId="32095" xr:uid="{00000000-0005-0000-0000-0000949A0000}"/>
    <cellStyle name="Salida 3 2 9 6" xfId="28978" xr:uid="{00000000-0005-0000-0000-0000959A0000}"/>
    <cellStyle name="Salida 3 2 9 6 2" xfId="32096" xr:uid="{00000000-0005-0000-0000-0000969A0000}"/>
    <cellStyle name="Salida 3 2 9 7" xfId="32091" xr:uid="{00000000-0005-0000-0000-0000979A0000}"/>
    <cellStyle name="Salida 3 3" xfId="12148" xr:uid="{00000000-0005-0000-0000-0000989A0000}"/>
    <cellStyle name="Salida 3 3 2" xfId="28979" xr:uid="{00000000-0005-0000-0000-0000999A0000}"/>
    <cellStyle name="Salida 3 3 2 2" xfId="32098" xr:uid="{00000000-0005-0000-0000-00009A9A0000}"/>
    <cellStyle name="Salida 3 3 3" xfId="28980" xr:uid="{00000000-0005-0000-0000-00009B9A0000}"/>
    <cellStyle name="Salida 3 3 3 2" xfId="32099" xr:uid="{00000000-0005-0000-0000-00009C9A0000}"/>
    <cellStyle name="Salida 3 3 4" xfId="32097" xr:uid="{00000000-0005-0000-0000-00009D9A0000}"/>
    <cellStyle name="Salida 3 3 5" xfId="33441" xr:uid="{00000000-0005-0000-0000-00009E9A0000}"/>
    <cellStyle name="Salida 3 3 6" xfId="40253" xr:uid="{00000000-0005-0000-0000-00009F9A0000}"/>
    <cellStyle name="Salida 3 4" xfId="28981" xr:uid="{00000000-0005-0000-0000-0000A09A0000}"/>
    <cellStyle name="Salida 3 4 2" xfId="28982" xr:uid="{00000000-0005-0000-0000-0000A19A0000}"/>
    <cellStyle name="Salida 3 4 2 2" xfId="32101" xr:uid="{00000000-0005-0000-0000-0000A29A0000}"/>
    <cellStyle name="Salida 3 4 3" xfId="32100" xr:uid="{00000000-0005-0000-0000-0000A39A0000}"/>
    <cellStyle name="Salida 3 5" xfId="28983" xr:uid="{00000000-0005-0000-0000-0000A49A0000}"/>
    <cellStyle name="Salida 3 5 2" xfId="28984" xr:uid="{00000000-0005-0000-0000-0000A59A0000}"/>
    <cellStyle name="Salida 3 5 2 2" xfId="32103" xr:uid="{00000000-0005-0000-0000-0000A69A0000}"/>
    <cellStyle name="Salida 3 5 3" xfId="32102" xr:uid="{00000000-0005-0000-0000-0000A79A0000}"/>
    <cellStyle name="Salida 3 6" xfId="28985" xr:uid="{00000000-0005-0000-0000-0000A89A0000}"/>
    <cellStyle name="Salida 3 6 2" xfId="28986" xr:uid="{00000000-0005-0000-0000-0000A99A0000}"/>
    <cellStyle name="Salida 3 6 2 2" xfId="32105" xr:uid="{00000000-0005-0000-0000-0000AA9A0000}"/>
    <cellStyle name="Salida 3 6 3" xfId="32104" xr:uid="{00000000-0005-0000-0000-0000AB9A0000}"/>
    <cellStyle name="Salida 3 7" xfId="28987" xr:uid="{00000000-0005-0000-0000-0000AC9A0000}"/>
    <cellStyle name="Salida 3 7 2" xfId="28988" xr:uid="{00000000-0005-0000-0000-0000AD9A0000}"/>
    <cellStyle name="Salida 3 7 2 2" xfId="32107" xr:uid="{00000000-0005-0000-0000-0000AE9A0000}"/>
    <cellStyle name="Salida 3 7 3" xfId="32106" xr:uid="{00000000-0005-0000-0000-0000AF9A0000}"/>
    <cellStyle name="Salida 3 8" xfId="28989" xr:uid="{00000000-0005-0000-0000-0000B09A0000}"/>
    <cellStyle name="Salida 3 8 2" xfId="28990" xr:uid="{00000000-0005-0000-0000-0000B19A0000}"/>
    <cellStyle name="Salida 3 8 2 2" xfId="32109" xr:uid="{00000000-0005-0000-0000-0000B29A0000}"/>
    <cellStyle name="Salida 3 8 3" xfId="32108" xr:uid="{00000000-0005-0000-0000-0000B39A0000}"/>
    <cellStyle name="Salida 3 9" xfId="28991" xr:uid="{00000000-0005-0000-0000-0000B49A0000}"/>
    <cellStyle name="Salida 3 9 2" xfId="28992" xr:uid="{00000000-0005-0000-0000-0000B59A0000}"/>
    <cellStyle name="Salida 3 9 2 2" xfId="32111" xr:uid="{00000000-0005-0000-0000-0000B69A0000}"/>
    <cellStyle name="Salida 3 9 3" xfId="32110" xr:uid="{00000000-0005-0000-0000-0000B79A0000}"/>
    <cellStyle name="Salida 30" xfId="11190" xr:uid="{00000000-0005-0000-0000-0000B89A0000}"/>
    <cellStyle name="Salida 30 2" xfId="12149" xr:uid="{00000000-0005-0000-0000-0000B99A0000}"/>
    <cellStyle name="Salida 30 2 2" xfId="32113" xr:uid="{00000000-0005-0000-0000-0000BA9A0000}"/>
    <cellStyle name="Salida 30 2 3" xfId="33443" xr:uid="{00000000-0005-0000-0000-0000BB9A0000}"/>
    <cellStyle name="Salida 30 2 4" xfId="40255" xr:uid="{00000000-0005-0000-0000-0000BC9A0000}"/>
    <cellStyle name="Salida 30 3" xfId="12150" xr:uid="{00000000-0005-0000-0000-0000BD9A0000}"/>
    <cellStyle name="Salida 30 3 2" xfId="32114" xr:uid="{00000000-0005-0000-0000-0000BE9A0000}"/>
    <cellStyle name="Salida 30 3 3" xfId="33444" xr:uid="{00000000-0005-0000-0000-0000BF9A0000}"/>
    <cellStyle name="Salida 30 3 4" xfId="40256" xr:uid="{00000000-0005-0000-0000-0000C09A0000}"/>
    <cellStyle name="Salida 30 4" xfId="32112" xr:uid="{00000000-0005-0000-0000-0000C19A0000}"/>
    <cellStyle name="Salida 30 5" xfId="33442" xr:uid="{00000000-0005-0000-0000-0000C29A0000}"/>
    <cellStyle name="Salida 30 6" xfId="40254" xr:uid="{00000000-0005-0000-0000-0000C39A0000}"/>
    <cellStyle name="Salida 31" xfId="11191" xr:uid="{00000000-0005-0000-0000-0000C49A0000}"/>
    <cellStyle name="Salida 31 2" xfId="12151" xr:uid="{00000000-0005-0000-0000-0000C59A0000}"/>
    <cellStyle name="Salida 31 2 2" xfId="32116" xr:uid="{00000000-0005-0000-0000-0000C69A0000}"/>
    <cellStyle name="Salida 31 2 3" xfId="33446" xr:uid="{00000000-0005-0000-0000-0000C79A0000}"/>
    <cellStyle name="Salida 31 2 4" xfId="40258" xr:uid="{00000000-0005-0000-0000-0000C89A0000}"/>
    <cellStyle name="Salida 31 3" xfId="12152" xr:uid="{00000000-0005-0000-0000-0000C99A0000}"/>
    <cellStyle name="Salida 31 3 2" xfId="32117" xr:uid="{00000000-0005-0000-0000-0000CA9A0000}"/>
    <cellStyle name="Salida 31 3 3" xfId="33447" xr:uid="{00000000-0005-0000-0000-0000CB9A0000}"/>
    <cellStyle name="Salida 31 3 4" xfId="40259" xr:uid="{00000000-0005-0000-0000-0000CC9A0000}"/>
    <cellStyle name="Salida 31 4" xfId="32115" xr:uid="{00000000-0005-0000-0000-0000CD9A0000}"/>
    <cellStyle name="Salida 31 5" xfId="33445" xr:uid="{00000000-0005-0000-0000-0000CE9A0000}"/>
    <cellStyle name="Salida 31 6" xfId="40257" xr:uid="{00000000-0005-0000-0000-0000CF9A0000}"/>
    <cellStyle name="Salida 32" xfId="11192" xr:uid="{00000000-0005-0000-0000-0000D09A0000}"/>
    <cellStyle name="Salida 32 2" xfId="12153" xr:uid="{00000000-0005-0000-0000-0000D19A0000}"/>
    <cellStyle name="Salida 32 2 2" xfId="32119" xr:uid="{00000000-0005-0000-0000-0000D29A0000}"/>
    <cellStyle name="Salida 32 2 3" xfId="33449" xr:uid="{00000000-0005-0000-0000-0000D39A0000}"/>
    <cellStyle name="Salida 32 2 4" xfId="40261" xr:uid="{00000000-0005-0000-0000-0000D49A0000}"/>
    <cellStyle name="Salida 32 3" xfId="12154" xr:uid="{00000000-0005-0000-0000-0000D59A0000}"/>
    <cellStyle name="Salida 32 3 2" xfId="32120" xr:uid="{00000000-0005-0000-0000-0000D69A0000}"/>
    <cellStyle name="Salida 32 3 3" xfId="33450" xr:uid="{00000000-0005-0000-0000-0000D79A0000}"/>
    <cellStyle name="Salida 32 3 4" xfId="40262" xr:uid="{00000000-0005-0000-0000-0000D89A0000}"/>
    <cellStyle name="Salida 32 4" xfId="32118" xr:uid="{00000000-0005-0000-0000-0000D99A0000}"/>
    <cellStyle name="Salida 32 5" xfId="33448" xr:uid="{00000000-0005-0000-0000-0000DA9A0000}"/>
    <cellStyle name="Salida 32 6" xfId="40260" xr:uid="{00000000-0005-0000-0000-0000DB9A0000}"/>
    <cellStyle name="Salida 33" xfId="11193" xr:uid="{00000000-0005-0000-0000-0000DC9A0000}"/>
    <cellStyle name="Salida 33 2" xfId="12155" xr:uid="{00000000-0005-0000-0000-0000DD9A0000}"/>
    <cellStyle name="Salida 33 2 2" xfId="32122" xr:uid="{00000000-0005-0000-0000-0000DE9A0000}"/>
    <cellStyle name="Salida 33 2 3" xfId="33452" xr:uid="{00000000-0005-0000-0000-0000DF9A0000}"/>
    <cellStyle name="Salida 33 2 4" xfId="40264" xr:uid="{00000000-0005-0000-0000-0000E09A0000}"/>
    <cellStyle name="Salida 33 3" xfId="12156" xr:uid="{00000000-0005-0000-0000-0000E19A0000}"/>
    <cellStyle name="Salida 33 3 2" xfId="32123" xr:uid="{00000000-0005-0000-0000-0000E29A0000}"/>
    <cellStyle name="Salida 33 3 3" xfId="33453" xr:uid="{00000000-0005-0000-0000-0000E39A0000}"/>
    <cellStyle name="Salida 33 3 4" xfId="40265" xr:uid="{00000000-0005-0000-0000-0000E49A0000}"/>
    <cellStyle name="Salida 33 4" xfId="32121" xr:uid="{00000000-0005-0000-0000-0000E59A0000}"/>
    <cellStyle name="Salida 33 5" xfId="33451" xr:uid="{00000000-0005-0000-0000-0000E69A0000}"/>
    <cellStyle name="Salida 33 6" xfId="40263" xr:uid="{00000000-0005-0000-0000-0000E79A0000}"/>
    <cellStyle name="Salida 34" xfId="11194" xr:uid="{00000000-0005-0000-0000-0000E89A0000}"/>
    <cellStyle name="Salida 34 2" xfId="12157" xr:uid="{00000000-0005-0000-0000-0000E99A0000}"/>
    <cellStyle name="Salida 34 2 2" xfId="32125" xr:uid="{00000000-0005-0000-0000-0000EA9A0000}"/>
    <cellStyle name="Salida 34 2 3" xfId="33455" xr:uid="{00000000-0005-0000-0000-0000EB9A0000}"/>
    <cellStyle name="Salida 34 2 4" xfId="40267" xr:uid="{00000000-0005-0000-0000-0000EC9A0000}"/>
    <cellStyle name="Salida 34 3" xfId="12158" xr:uid="{00000000-0005-0000-0000-0000ED9A0000}"/>
    <cellStyle name="Salida 34 3 2" xfId="32126" xr:uid="{00000000-0005-0000-0000-0000EE9A0000}"/>
    <cellStyle name="Salida 34 3 3" xfId="33456" xr:uid="{00000000-0005-0000-0000-0000EF9A0000}"/>
    <cellStyle name="Salida 34 3 4" xfId="40268" xr:uid="{00000000-0005-0000-0000-0000F09A0000}"/>
    <cellStyle name="Salida 34 4" xfId="32124" xr:uid="{00000000-0005-0000-0000-0000F19A0000}"/>
    <cellStyle name="Salida 34 5" xfId="33454" xr:uid="{00000000-0005-0000-0000-0000F29A0000}"/>
    <cellStyle name="Salida 34 6" xfId="40266" xr:uid="{00000000-0005-0000-0000-0000F39A0000}"/>
    <cellStyle name="Salida 35" xfId="11195" xr:uid="{00000000-0005-0000-0000-0000F49A0000}"/>
    <cellStyle name="Salida 35 2" xfId="12159" xr:uid="{00000000-0005-0000-0000-0000F59A0000}"/>
    <cellStyle name="Salida 35 2 2" xfId="32128" xr:uid="{00000000-0005-0000-0000-0000F69A0000}"/>
    <cellStyle name="Salida 35 2 3" xfId="33458" xr:uid="{00000000-0005-0000-0000-0000F79A0000}"/>
    <cellStyle name="Salida 35 2 4" xfId="40270" xr:uid="{00000000-0005-0000-0000-0000F89A0000}"/>
    <cellStyle name="Salida 35 3" xfId="12160" xr:uid="{00000000-0005-0000-0000-0000F99A0000}"/>
    <cellStyle name="Salida 35 3 2" xfId="32129" xr:uid="{00000000-0005-0000-0000-0000FA9A0000}"/>
    <cellStyle name="Salida 35 3 3" xfId="33459" xr:uid="{00000000-0005-0000-0000-0000FB9A0000}"/>
    <cellStyle name="Salida 35 3 4" xfId="40271" xr:uid="{00000000-0005-0000-0000-0000FC9A0000}"/>
    <cellStyle name="Salida 35 4" xfId="32127" xr:uid="{00000000-0005-0000-0000-0000FD9A0000}"/>
    <cellStyle name="Salida 35 5" xfId="33457" xr:uid="{00000000-0005-0000-0000-0000FE9A0000}"/>
    <cellStyle name="Salida 35 6" xfId="40269" xr:uid="{00000000-0005-0000-0000-0000FF9A0000}"/>
    <cellStyle name="Salida 36" xfId="11196" xr:uid="{00000000-0005-0000-0000-0000009B0000}"/>
    <cellStyle name="Salida 36 2" xfId="12161" xr:uid="{00000000-0005-0000-0000-0000019B0000}"/>
    <cellStyle name="Salida 36 2 2" xfId="32131" xr:uid="{00000000-0005-0000-0000-0000029B0000}"/>
    <cellStyle name="Salida 36 2 3" xfId="33461" xr:uid="{00000000-0005-0000-0000-0000039B0000}"/>
    <cellStyle name="Salida 36 2 4" xfId="40273" xr:uid="{00000000-0005-0000-0000-0000049B0000}"/>
    <cellStyle name="Salida 36 3" xfId="12162" xr:uid="{00000000-0005-0000-0000-0000059B0000}"/>
    <cellStyle name="Salida 36 3 2" xfId="32132" xr:uid="{00000000-0005-0000-0000-0000069B0000}"/>
    <cellStyle name="Salida 36 3 3" xfId="33462" xr:uid="{00000000-0005-0000-0000-0000079B0000}"/>
    <cellStyle name="Salida 36 3 4" xfId="40274" xr:uid="{00000000-0005-0000-0000-0000089B0000}"/>
    <cellStyle name="Salida 36 4" xfId="32130" xr:uid="{00000000-0005-0000-0000-0000099B0000}"/>
    <cellStyle name="Salida 36 5" xfId="33460" xr:uid="{00000000-0005-0000-0000-00000A9B0000}"/>
    <cellStyle name="Salida 36 6" xfId="40272" xr:uid="{00000000-0005-0000-0000-00000B9B0000}"/>
    <cellStyle name="Salida 37" xfId="11197" xr:uid="{00000000-0005-0000-0000-00000C9B0000}"/>
    <cellStyle name="Salida 37 2" xfId="12163" xr:uid="{00000000-0005-0000-0000-00000D9B0000}"/>
    <cellStyle name="Salida 37 2 2" xfId="32134" xr:uid="{00000000-0005-0000-0000-00000E9B0000}"/>
    <cellStyle name="Salida 37 2 3" xfId="33464" xr:uid="{00000000-0005-0000-0000-00000F9B0000}"/>
    <cellStyle name="Salida 37 2 4" xfId="40276" xr:uid="{00000000-0005-0000-0000-0000109B0000}"/>
    <cellStyle name="Salida 37 3" xfId="12164" xr:uid="{00000000-0005-0000-0000-0000119B0000}"/>
    <cellStyle name="Salida 37 3 2" xfId="32135" xr:uid="{00000000-0005-0000-0000-0000129B0000}"/>
    <cellStyle name="Salida 37 3 3" xfId="33465" xr:uid="{00000000-0005-0000-0000-0000139B0000}"/>
    <cellStyle name="Salida 37 3 4" xfId="40277" xr:uid="{00000000-0005-0000-0000-0000149B0000}"/>
    <cellStyle name="Salida 37 4" xfId="32133" xr:uid="{00000000-0005-0000-0000-0000159B0000}"/>
    <cellStyle name="Salida 37 5" xfId="33463" xr:uid="{00000000-0005-0000-0000-0000169B0000}"/>
    <cellStyle name="Salida 37 6" xfId="40275" xr:uid="{00000000-0005-0000-0000-0000179B0000}"/>
    <cellStyle name="Salida 38" xfId="11198" xr:uid="{00000000-0005-0000-0000-0000189B0000}"/>
    <cellStyle name="Salida 38 2" xfId="12165" xr:uid="{00000000-0005-0000-0000-0000199B0000}"/>
    <cellStyle name="Salida 38 2 2" xfId="32137" xr:uid="{00000000-0005-0000-0000-00001A9B0000}"/>
    <cellStyle name="Salida 38 2 3" xfId="33467" xr:uid="{00000000-0005-0000-0000-00001B9B0000}"/>
    <cellStyle name="Salida 38 2 4" xfId="40279" xr:uid="{00000000-0005-0000-0000-00001C9B0000}"/>
    <cellStyle name="Salida 38 3" xfId="12166" xr:uid="{00000000-0005-0000-0000-00001D9B0000}"/>
    <cellStyle name="Salida 38 3 2" xfId="32138" xr:uid="{00000000-0005-0000-0000-00001E9B0000}"/>
    <cellStyle name="Salida 38 3 3" xfId="33468" xr:uid="{00000000-0005-0000-0000-00001F9B0000}"/>
    <cellStyle name="Salida 38 3 4" xfId="40280" xr:uid="{00000000-0005-0000-0000-0000209B0000}"/>
    <cellStyle name="Salida 38 4" xfId="32136" xr:uid="{00000000-0005-0000-0000-0000219B0000}"/>
    <cellStyle name="Salida 38 5" xfId="33466" xr:uid="{00000000-0005-0000-0000-0000229B0000}"/>
    <cellStyle name="Salida 38 6" xfId="40278" xr:uid="{00000000-0005-0000-0000-0000239B0000}"/>
    <cellStyle name="Salida 39" xfId="11199" xr:uid="{00000000-0005-0000-0000-0000249B0000}"/>
    <cellStyle name="Salida 39 2" xfId="12167" xr:uid="{00000000-0005-0000-0000-0000259B0000}"/>
    <cellStyle name="Salida 39 2 2" xfId="32140" xr:uid="{00000000-0005-0000-0000-0000269B0000}"/>
    <cellStyle name="Salida 39 2 3" xfId="33470" xr:uid="{00000000-0005-0000-0000-0000279B0000}"/>
    <cellStyle name="Salida 39 2 4" xfId="40282" xr:uid="{00000000-0005-0000-0000-0000289B0000}"/>
    <cellStyle name="Salida 39 3" xfId="12168" xr:uid="{00000000-0005-0000-0000-0000299B0000}"/>
    <cellStyle name="Salida 39 3 2" xfId="32141" xr:uid="{00000000-0005-0000-0000-00002A9B0000}"/>
    <cellStyle name="Salida 39 3 3" xfId="33471" xr:uid="{00000000-0005-0000-0000-00002B9B0000}"/>
    <cellStyle name="Salida 39 3 4" xfId="40283" xr:uid="{00000000-0005-0000-0000-00002C9B0000}"/>
    <cellStyle name="Salida 39 4" xfId="32139" xr:uid="{00000000-0005-0000-0000-00002D9B0000}"/>
    <cellStyle name="Salida 39 5" xfId="33469" xr:uid="{00000000-0005-0000-0000-00002E9B0000}"/>
    <cellStyle name="Salida 39 6" xfId="40281" xr:uid="{00000000-0005-0000-0000-00002F9B0000}"/>
    <cellStyle name="Salida 4" xfId="11200" xr:uid="{00000000-0005-0000-0000-0000309B0000}"/>
    <cellStyle name="Salida 4 10" xfId="28993" xr:uid="{00000000-0005-0000-0000-0000319B0000}"/>
    <cellStyle name="Salida 4 10 2" xfId="28994" xr:uid="{00000000-0005-0000-0000-0000329B0000}"/>
    <cellStyle name="Salida 4 10 2 2" xfId="32144" xr:uid="{00000000-0005-0000-0000-0000339B0000}"/>
    <cellStyle name="Salida 4 10 3" xfId="28995" xr:uid="{00000000-0005-0000-0000-0000349B0000}"/>
    <cellStyle name="Salida 4 10 3 2" xfId="32145" xr:uid="{00000000-0005-0000-0000-0000359B0000}"/>
    <cellStyle name="Salida 4 10 4" xfId="28996" xr:uid="{00000000-0005-0000-0000-0000369B0000}"/>
    <cellStyle name="Salida 4 10 4 2" xfId="32146" xr:uid="{00000000-0005-0000-0000-0000379B0000}"/>
    <cellStyle name="Salida 4 10 5" xfId="28997" xr:uid="{00000000-0005-0000-0000-0000389B0000}"/>
    <cellStyle name="Salida 4 10 5 2" xfId="32147" xr:uid="{00000000-0005-0000-0000-0000399B0000}"/>
    <cellStyle name="Salida 4 10 6" xfId="28998" xr:uid="{00000000-0005-0000-0000-00003A9B0000}"/>
    <cellStyle name="Salida 4 10 6 2" xfId="32148" xr:uid="{00000000-0005-0000-0000-00003B9B0000}"/>
    <cellStyle name="Salida 4 10 7" xfId="32143" xr:uid="{00000000-0005-0000-0000-00003C9B0000}"/>
    <cellStyle name="Salida 4 11" xfId="28999" xr:uid="{00000000-0005-0000-0000-00003D9B0000}"/>
    <cellStyle name="Salida 4 11 2" xfId="29000" xr:uid="{00000000-0005-0000-0000-00003E9B0000}"/>
    <cellStyle name="Salida 4 11 2 2" xfId="32150" xr:uid="{00000000-0005-0000-0000-00003F9B0000}"/>
    <cellStyle name="Salida 4 11 3" xfId="32149" xr:uid="{00000000-0005-0000-0000-0000409B0000}"/>
    <cellStyle name="Salida 4 12" xfId="29001" xr:uid="{00000000-0005-0000-0000-0000419B0000}"/>
    <cellStyle name="Salida 4 12 2" xfId="32151" xr:uid="{00000000-0005-0000-0000-0000429B0000}"/>
    <cellStyle name="Salida 4 13" xfId="32142" xr:uid="{00000000-0005-0000-0000-0000439B0000}"/>
    <cellStyle name="Salida 4 14" xfId="33472" xr:uid="{00000000-0005-0000-0000-0000449B0000}"/>
    <cellStyle name="Salida 4 15" xfId="33940" xr:uid="{00000000-0005-0000-0000-0000459B0000}"/>
    <cellStyle name="Salida 4 16" xfId="40284" xr:uid="{00000000-0005-0000-0000-0000469B0000}"/>
    <cellStyle name="Salida 4 2" xfId="12169" xr:uid="{00000000-0005-0000-0000-0000479B0000}"/>
    <cellStyle name="Salida 4 2 10" xfId="29002" xr:uid="{00000000-0005-0000-0000-0000489B0000}"/>
    <cellStyle name="Salida 4 2 10 2" xfId="29003" xr:uid="{00000000-0005-0000-0000-0000499B0000}"/>
    <cellStyle name="Salida 4 2 10 2 2" xfId="32154" xr:uid="{00000000-0005-0000-0000-00004A9B0000}"/>
    <cellStyle name="Salida 4 2 10 3" xfId="32153" xr:uid="{00000000-0005-0000-0000-00004B9B0000}"/>
    <cellStyle name="Salida 4 2 11" xfId="29004" xr:uid="{00000000-0005-0000-0000-00004C9B0000}"/>
    <cellStyle name="Salida 4 2 11 2" xfId="32155" xr:uid="{00000000-0005-0000-0000-00004D9B0000}"/>
    <cellStyle name="Salida 4 2 12" xfId="32152" xr:uid="{00000000-0005-0000-0000-00004E9B0000}"/>
    <cellStyle name="Salida 4 2 13" xfId="33473" xr:uid="{00000000-0005-0000-0000-00004F9B0000}"/>
    <cellStyle name="Salida 4 2 14" xfId="33941" xr:uid="{00000000-0005-0000-0000-0000509B0000}"/>
    <cellStyle name="Salida 4 2 15" xfId="40285" xr:uid="{00000000-0005-0000-0000-0000519B0000}"/>
    <cellStyle name="Salida 4 2 2" xfId="29005" xr:uid="{00000000-0005-0000-0000-0000529B0000}"/>
    <cellStyle name="Salida 4 2 2 2" xfId="29006" xr:uid="{00000000-0005-0000-0000-0000539B0000}"/>
    <cellStyle name="Salida 4 2 2 2 2" xfId="32157" xr:uid="{00000000-0005-0000-0000-0000549B0000}"/>
    <cellStyle name="Salida 4 2 2 3" xfId="32156" xr:uid="{00000000-0005-0000-0000-0000559B0000}"/>
    <cellStyle name="Salida 4 2 3" xfId="29007" xr:uid="{00000000-0005-0000-0000-0000569B0000}"/>
    <cellStyle name="Salida 4 2 3 2" xfId="29008" xr:uid="{00000000-0005-0000-0000-0000579B0000}"/>
    <cellStyle name="Salida 4 2 3 2 2" xfId="32159" xr:uid="{00000000-0005-0000-0000-0000589B0000}"/>
    <cellStyle name="Salida 4 2 3 3" xfId="32158" xr:uid="{00000000-0005-0000-0000-0000599B0000}"/>
    <cellStyle name="Salida 4 2 4" xfId="29009" xr:uid="{00000000-0005-0000-0000-00005A9B0000}"/>
    <cellStyle name="Salida 4 2 4 2" xfId="29010" xr:uid="{00000000-0005-0000-0000-00005B9B0000}"/>
    <cellStyle name="Salida 4 2 4 2 2" xfId="32161" xr:uid="{00000000-0005-0000-0000-00005C9B0000}"/>
    <cellStyle name="Salida 4 2 4 3" xfId="32160" xr:uid="{00000000-0005-0000-0000-00005D9B0000}"/>
    <cellStyle name="Salida 4 2 5" xfId="29011" xr:uid="{00000000-0005-0000-0000-00005E9B0000}"/>
    <cellStyle name="Salida 4 2 5 2" xfId="29012" xr:uid="{00000000-0005-0000-0000-00005F9B0000}"/>
    <cellStyle name="Salida 4 2 5 2 2" xfId="32163" xr:uid="{00000000-0005-0000-0000-0000609B0000}"/>
    <cellStyle name="Salida 4 2 5 3" xfId="32162" xr:uid="{00000000-0005-0000-0000-0000619B0000}"/>
    <cellStyle name="Salida 4 2 6" xfId="29013" xr:uid="{00000000-0005-0000-0000-0000629B0000}"/>
    <cellStyle name="Salida 4 2 6 2" xfId="29014" xr:uid="{00000000-0005-0000-0000-0000639B0000}"/>
    <cellStyle name="Salida 4 2 6 2 2" xfId="32165" xr:uid="{00000000-0005-0000-0000-0000649B0000}"/>
    <cellStyle name="Salida 4 2 6 3" xfId="32164" xr:uid="{00000000-0005-0000-0000-0000659B0000}"/>
    <cellStyle name="Salida 4 2 7" xfId="29015" xr:uid="{00000000-0005-0000-0000-0000669B0000}"/>
    <cellStyle name="Salida 4 2 7 2" xfId="29016" xr:uid="{00000000-0005-0000-0000-0000679B0000}"/>
    <cellStyle name="Salida 4 2 7 2 2" xfId="32167" xr:uid="{00000000-0005-0000-0000-0000689B0000}"/>
    <cellStyle name="Salida 4 2 7 3" xfId="32166" xr:uid="{00000000-0005-0000-0000-0000699B0000}"/>
    <cellStyle name="Salida 4 2 8" xfId="29017" xr:uid="{00000000-0005-0000-0000-00006A9B0000}"/>
    <cellStyle name="Salida 4 2 8 2" xfId="29018" xr:uid="{00000000-0005-0000-0000-00006B9B0000}"/>
    <cellStyle name="Salida 4 2 8 2 2" xfId="32169" xr:uid="{00000000-0005-0000-0000-00006C9B0000}"/>
    <cellStyle name="Salida 4 2 8 3" xfId="32168" xr:uid="{00000000-0005-0000-0000-00006D9B0000}"/>
    <cellStyle name="Salida 4 2 9" xfId="29019" xr:uid="{00000000-0005-0000-0000-00006E9B0000}"/>
    <cellStyle name="Salida 4 2 9 2" xfId="29020" xr:uid="{00000000-0005-0000-0000-00006F9B0000}"/>
    <cellStyle name="Salida 4 2 9 2 2" xfId="32171" xr:uid="{00000000-0005-0000-0000-0000709B0000}"/>
    <cellStyle name="Salida 4 2 9 3" xfId="29021" xr:uid="{00000000-0005-0000-0000-0000719B0000}"/>
    <cellStyle name="Salida 4 2 9 3 2" xfId="32172" xr:uid="{00000000-0005-0000-0000-0000729B0000}"/>
    <cellStyle name="Salida 4 2 9 4" xfId="29022" xr:uid="{00000000-0005-0000-0000-0000739B0000}"/>
    <cellStyle name="Salida 4 2 9 4 2" xfId="32173" xr:uid="{00000000-0005-0000-0000-0000749B0000}"/>
    <cellStyle name="Salida 4 2 9 5" xfId="29023" xr:uid="{00000000-0005-0000-0000-0000759B0000}"/>
    <cellStyle name="Salida 4 2 9 5 2" xfId="32174" xr:uid="{00000000-0005-0000-0000-0000769B0000}"/>
    <cellStyle name="Salida 4 2 9 6" xfId="29024" xr:uid="{00000000-0005-0000-0000-0000779B0000}"/>
    <cellStyle name="Salida 4 2 9 6 2" xfId="32175" xr:uid="{00000000-0005-0000-0000-0000789B0000}"/>
    <cellStyle name="Salida 4 2 9 7" xfId="32170" xr:uid="{00000000-0005-0000-0000-0000799B0000}"/>
    <cellStyle name="Salida 4 3" xfId="12170" xr:uid="{00000000-0005-0000-0000-00007A9B0000}"/>
    <cellStyle name="Salida 4 3 2" xfId="29025" xr:uid="{00000000-0005-0000-0000-00007B9B0000}"/>
    <cellStyle name="Salida 4 3 2 2" xfId="32177" xr:uid="{00000000-0005-0000-0000-00007C9B0000}"/>
    <cellStyle name="Salida 4 3 3" xfId="29026" xr:uid="{00000000-0005-0000-0000-00007D9B0000}"/>
    <cellStyle name="Salida 4 3 3 2" xfId="32178" xr:uid="{00000000-0005-0000-0000-00007E9B0000}"/>
    <cellStyle name="Salida 4 3 4" xfId="32176" xr:uid="{00000000-0005-0000-0000-00007F9B0000}"/>
    <cellStyle name="Salida 4 3 5" xfId="33474" xr:uid="{00000000-0005-0000-0000-0000809B0000}"/>
    <cellStyle name="Salida 4 3 6" xfId="40286" xr:uid="{00000000-0005-0000-0000-0000819B0000}"/>
    <cellStyle name="Salida 4 4" xfId="29027" xr:uid="{00000000-0005-0000-0000-0000829B0000}"/>
    <cellStyle name="Salida 4 4 2" xfId="29028" xr:uid="{00000000-0005-0000-0000-0000839B0000}"/>
    <cellStyle name="Salida 4 4 2 2" xfId="32180" xr:uid="{00000000-0005-0000-0000-0000849B0000}"/>
    <cellStyle name="Salida 4 4 3" xfId="32179" xr:uid="{00000000-0005-0000-0000-0000859B0000}"/>
    <cellStyle name="Salida 4 5" xfId="29029" xr:uid="{00000000-0005-0000-0000-0000869B0000}"/>
    <cellStyle name="Salida 4 5 2" xfId="29030" xr:uid="{00000000-0005-0000-0000-0000879B0000}"/>
    <cellStyle name="Salida 4 5 2 2" xfId="32182" xr:uid="{00000000-0005-0000-0000-0000889B0000}"/>
    <cellStyle name="Salida 4 5 3" xfId="32181" xr:uid="{00000000-0005-0000-0000-0000899B0000}"/>
    <cellStyle name="Salida 4 6" xfId="29031" xr:uid="{00000000-0005-0000-0000-00008A9B0000}"/>
    <cellStyle name="Salida 4 6 2" xfId="29032" xr:uid="{00000000-0005-0000-0000-00008B9B0000}"/>
    <cellStyle name="Salida 4 6 2 2" xfId="32184" xr:uid="{00000000-0005-0000-0000-00008C9B0000}"/>
    <cellStyle name="Salida 4 6 3" xfId="32183" xr:uid="{00000000-0005-0000-0000-00008D9B0000}"/>
    <cellStyle name="Salida 4 7" xfId="29033" xr:uid="{00000000-0005-0000-0000-00008E9B0000}"/>
    <cellStyle name="Salida 4 7 2" xfId="29034" xr:uid="{00000000-0005-0000-0000-00008F9B0000}"/>
    <cellStyle name="Salida 4 7 2 2" xfId="32186" xr:uid="{00000000-0005-0000-0000-0000909B0000}"/>
    <cellStyle name="Salida 4 7 3" xfId="32185" xr:uid="{00000000-0005-0000-0000-0000919B0000}"/>
    <cellStyle name="Salida 4 8" xfId="29035" xr:uid="{00000000-0005-0000-0000-0000929B0000}"/>
    <cellStyle name="Salida 4 8 2" xfId="29036" xr:uid="{00000000-0005-0000-0000-0000939B0000}"/>
    <cellStyle name="Salida 4 8 2 2" xfId="32188" xr:uid="{00000000-0005-0000-0000-0000949B0000}"/>
    <cellStyle name="Salida 4 8 3" xfId="32187" xr:uid="{00000000-0005-0000-0000-0000959B0000}"/>
    <cellStyle name="Salida 4 9" xfId="29037" xr:uid="{00000000-0005-0000-0000-0000969B0000}"/>
    <cellStyle name="Salida 4 9 2" xfId="29038" xr:uid="{00000000-0005-0000-0000-0000979B0000}"/>
    <cellStyle name="Salida 4 9 2 2" xfId="32190" xr:uid="{00000000-0005-0000-0000-0000989B0000}"/>
    <cellStyle name="Salida 4 9 3" xfId="32189" xr:uid="{00000000-0005-0000-0000-0000999B0000}"/>
    <cellStyle name="Salida 40" xfId="11201" xr:uid="{00000000-0005-0000-0000-00009A9B0000}"/>
    <cellStyle name="Salida 40 2" xfId="12171" xr:uid="{00000000-0005-0000-0000-00009B9B0000}"/>
    <cellStyle name="Salida 40 2 2" xfId="32192" xr:uid="{00000000-0005-0000-0000-00009C9B0000}"/>
    <cellStyle name="Salida 40 2 3" xfId="33476" xr:uid="{00000000-0005-0000-0000-00009D9B0000}"/>
    <cellStyle name="Salida 40 2 4" xfId="40288" xr:uid="{00000000-0005-0000-0000-00009E9B0000}"/>
    <cellStyle name="Salida 40 3" xfId="12172" xr:uid="{00000000-0005-0000-0000-00009F9B0000}"/>
    <cellStyle name="Salida 40 3 2" xfId="32193" xr:uid="{00000000-0005-0000-0000-0000A09B0000}"/>
    <cellStyle name="Salida 40 3 3" xfId="33477" xr:uid="{00000000-0005-0000-0000-0000A19B0000}"/>
    <cellStyle name="Salida 40 3 4" xfId="40289" xr:uid="{00000000-0005-0000-0000-0000A29B0000}"/>
    <cellStyle name="Salida 40 4" xfId="32191" xr:uid="{00000000-0005-0000-0000-0000A39B0000}"/>
    <cellStyle name="Salida 40 5" xfId="33475" xr:uid="{00000000-0005-0000-0000-0000A49B0000}"/>
    <cellStyle name="Salida 40 6" xfId="40287" xr:uid="{00000000-0005-0000-0000-0000A59B0000}"/>
    <cellStyle name="Salida 41" xfId="11202" xr:uid="{00000000-0005-0000-0000-0000A69B0000}"/>
    <cellStyle name="Salida 41 2" xfId="12173" xr:uid="{00000000-0005-0000-0000-0000A79B0000}"/>
    <cellStyle name="Salida 41 2 2" xfId="32195" xr:uid="{00000000-0005-0000-0000-0000A89B0000}"/>
    <cellStyle name="Salida 41 2 3" xfId="33479" xr:uid="{00000000-0005-0000-0000-0000A99B0000}"/>
    <cellStyle name="Salida 41 2 4" xfId="40291" xr:uid="{00000000-0005-0000-0000-0000AA9B0000}"/>
    <cellStyle name="Salida 41 3" xfId="12174" xr:uid="{00000000-0005-0000-0000-0000AB9B0000}"/>
    <cellStyle name="Salida 41 3 2" xfId="32196" xr:uid="{00000000-0005-0000-0000-0000AC9B0000}"/>
    <cellStyle name="Salida 41 3 3" xfId="33480" xr:uid="{00000000-0005-0000-0000-0000AD9B0000}"/>
    <cellStyle name="Salida 41 3 4" xfId="40292" xr:uid="{00000000-0005-0000-0000-0000AE9B0000}"/>
    <cellStyle name="Salida 41 4" xfId="32194" xr:uid="{00000000-0005-0000-0000-0000AF9B0000}"/>
    <cellStyle name="Salida 41 5" xfId="33478" xr:uid="{00000000-0005-0000-0000-0000B09B0000}"/>
    <cellStyle name="Salida 41 6" xfId="40290" xr:uid="{00000000-0005-0000-0000-0000B19B0000}"/>
    <cellStyle name="Salida 42" xfId="11203" xr:uid="{00000000-0005-0000-0000-0000B29B0000}"/>
    <cellStyle name="Salida 42 2" xfId="12175" xr:uid="{00000000-0005-0000-0000-0000B39B0000}"/>
    <cellStyle name="Salida 42 2 2" xfId="32198" xr:uid="{00000000-0005-0000-0000-0000B49B0000}"/>
    <cellStyle name="Salida 42 2 3" xfId="33482" xr:uid="{00000000-0005-0000-0000-0000B59B0000}"/>
    <cellStyle name="Salida 42 2 4" xfId="40294" xr:uid="{00000000-0005-0000-0000-0000B69B0000}"/>
    <cellStyle name="Salida 42 3" xfId="12176" xr:uid="{00000000-0005-0000-0000-0000B79B0000}"/>
    <cellStyle name="Salida 42 3 2" xfId="32199" xr:uid="{00000000-0005-0000-0000-0000B89B0000}"/>
    <cellStyle name="Salida 42 3 3" xfId="33483" xr:uid="{00000000-0005-0000-0000-0000B99B0000}"/>
    <cellStyle name="Salida 42 3 4" xfId="40295" xr:uid="{00000000-0005-0000-0000-0000BA9B0000}"/>
    <cellStyle name="Salida 42 4" xfId="32197" xr:uid="{00000000-0005-0000-0000-0000BB9B0000}"/>
    <cellStyle name="Salida 42 5" xfId="33481" xr:uid="{00000000-0005-0000-0000-0000BC9B0000}"/>
    <cellStyle name="Salida 42 6" xfId="40293" xr:uid="{00000000-0005-0000-0000-0000BD9B0000}"/>
    <cellStyle name="Salida 43" xfId="11204" xr:uid="{00000000-0005-0000-0000-0000BE9B0000}"/>
    <cellStyle name="Salida 43 2" xfId="12177" xr:uid="{00000000-0005-0000-0000-0000BF9B0000}"/>
    <cellStyle name="Salida 43 2 2" xfId="32201" xr:uid="{00000000-0005-0000-0000-0000C09B0000}"/>
    <cellStyle name="Salida 43 2 3" xfId="33485" xr:uid="{00000000-0005-0000-0000-0000C19B0000}"/>
    <cellStyle name="Salida 43 2 4" xfId="40297" xr:uid="{00000000-0005-0000-0000-0000C29B0000}"/>
    <cellStyle name="Salida 43 3" xfId="12178" xr:uid="{00000000-0005-0000-0000-0000C39B0000}"/>
    <cellStyle name="Salida 43 3 2" xfId="32202" xr:uid="{00000000-0005-0000-0000-0000C49B0000}"/>
    <cellStyle name="Salida 43 3 3" xfId="33486" xr:uid="{00000000-0005-0000-0000-0000C59B0000}"/>
    <cellStyle name="Salida 43 3 4" xfId="40298" xr:uid="{00000000-0005-0000-0000-0000C69B0000}"/>
    <cellStyle name="Salida 43 4" xfId="32200" xr:uid="{00000000-0005-0000-0000-0000C79B0000}"/>
    <cellStyle name="Salida 43 5" xfId="33484" xr:uid="{00000000-0005-0000-0000-0000C89B0000}"/>
    <cellStyle name="Salida 43 6" xfId="40296" xr:uid="{00000000-0005-0000-0000-0000C99B0000}"/>
    <cellStyle name="Salida 44" xfId="11205" xr:uid="{00000000-0005-0000-0000-0000CA9B0000}"/>
    <cellStyle name="Salida 44 2" xfId="12179" xr:uid="{00000000-0005-0000-0000-0000CB9B0000}"/>
    <cellStyle name="Salida 44 2 2" xfId="32204" xr:uid="{00000000-0005-0000-0000-0000CC9B0000}"/>
    <cellStyle name="Salida 44 2 3" xfId="33488" xr:uid="{00000000-0005-0000-0000-0000CD9B0000}"/>
    <cellStyle name="Salida 44 2 4" xfId="40300" xr:uid="{00000000-0005-0000-0000-0000CE9B0000}"/>
    <cellStyle name="Salida 44 3" xfId="12180" xr:uid="{00000000-0005-0000-0000-0000CF9B0000}"/>
    <cellStyle name="Salida 44 3 2" xfId="32205" xr:uid="{00000000-0005-0000-0000-0000D09B0000}"/>
    <cellStyle name="Salida 44 3 3" xfId="33489" xr:uid="{00000000-0005-0000-0000-0000D19B0000}"/>
    <cellStyle name="Salida 44 3 4" xfId="40301" xr:uid="{00000000-0005-0000-0000-0000D29B0000}"/>
    <cellStyle name="Salida 44 4" xfId="32203" xr:uid="{00000000-0005-0000-0000-0000D39B0000}"/>
    <cellStyle name="Salida 44 5" xfId="33487" xr:uid="{00000000-0005-0000-0000-0000D49B0000}"/>
    <cellStyle name="Salida 44 6" xfId="40299" xr:uid="{00000000-0005-0000-0000-0000D59B0000}"/>
    <cellStyle name="Salida 45" xfId="11206" xr:uid="{00000000-0005-0000-0000-0000D69B0000}"/>
    <cellStyle name="Salida 45 2" xfId="12181" xr:uid="{00000000-0005-0000-0000-0000D79B0000}"/>
    <cellStyle name="Salida 45 2 2" xfId="32207" xr:uid="{00000000-0005-0000-0000-0000D89B0000}"/>
    <cellStyle name="Salida 45 2 3" xfId="33491" xr:uid="{00000000-0005-0000-0000-0000D99B0000}"/>
    <cellStyle name="Salida 45 2 4" xfId="40303" xr:uid="{00000000-0005-0000-0000-0000DA9B0000}"/>
    <cellStyle name="Salida 45 3" xfId="12182" xr:uid="{00000000-0005-0000-0000-0000DB9B0000}"/>
    <cellStyle name="Salida 45 3 2" xfId="32208" xr:uid="{00000000-0005-0000-0000-0000DC9B0000}"/>
    <cellStyle name="Salida 45 3 3" xfId="33492" xr:uid="{00000000-0005-0000-0000-0000DD9B0000}"/>
    <cellStyle name="Salida 45 3 4" xfId="40304" xr:uid="{00000000-0005-0000-0000-0000DE9B0000}"/>
    <cellStyle name="Salida 45 4" xfId="32206" xr:uid="{00000000-0005-0000-0000-0000DF9B0000}"/>
    <cellStyle name="Salida 45 5" xfId="33490" xr:uid="{00000000-0005-0000-0000-0000E09B0000}"/>
    <cellStyle name="Salida 45 6" xfId="40302" xr:uid="{00000000-0005-0000-0000-0000E19B0000}"/>
    <cellStyle name="Salida 46" xfId="11207" xr:uid="{00000000-0005-0000-0000-0000E29B0000}"/>
    <cellStyle name="Salida 46 2" xfId="12183" xr:uid="{00000000-0005-0000-0000-0000E39B0000}"/>
    <cellStyle name="Salida 46 2 2" xfId="32210" xr:uid="{00000000-0005-0000-0000-0000E49B0000}"/>
    <cellStyle name="Salida 46 2 3" xfId="33494" xr:uid="{00000000-0005-0000-0000-0000E59B0000}"/>
    <cellStyle name="Salida 46 2 4" xfId="40306" xr:uid="{00000000-0005-0000-0000-0000E69B0000}"/>
    <cellStyle name="Salida 46 3" xfId="12184" xr:uid="{00000000-0005-0000-0000-0000E79B0000}"/>
    <cellStyle name="Salida 46 3 2" xfId="32211" xr:uid="{00000000-0005-0000-0000-0000E89B0000}"/>
    <cellStyle name="Salida 46 3 3" xfId="33495" xr:uid="{00000000-0005-0000-0000-0000E99B0000}"/>
    <cellStyle name="Salida 46 3 4" xfId="40307" xr:uid="{00000000-0005-0000-0000-0000EA9B0000}"/>
    <cellStyle name="Salida 46 4" xfId="32209" xr:uid="{00000000-0005-0000-0000-0000EB9B0000}"/>
    <cellStyle name="Salida 46 5" xfId="33493" xr:uid="{00000000-0005-0000-0000-0000EC9B0000}"/>
    <cellStyle name="Salida 46 6" xfId="40305" xr:uid="{00000000-0005-0000-0000-0000ED9B0000}"/>
    <cellStyle name="Salida 47" xfId="11208" xr:uid="{00000000-0005-0000-0000-0000EE9B0000}"/>
    <cellStyle name="Salida 47 2" xfId="12185" xr:uid="{00000000-0005-0000-0000-0000EF9B0000}"/>
    <cellStyle name="Salida 47 2 2" xfId="32213" xr:uid="{00000000-0005-0000-0000-0000F09B0000}"/>
    <cellStyle name="Salida 47 2 3" xfId="33497" xr:uid="{00000000-0005-0000-0000-0000F19B0000}"/>
    <cellStyle name="Salida 47 2 4" xfId="40309" xr:uid="{00000000-0005-0000-0000-0000F29B0000}"/>
    <cellStyle name="Salida 47 3" xfId="12186" xr:uid="{00000000-0005-0000-0000-0000F39B0000}"/>
    <cellStyle name="Salida 47 3 2" xfId="32214" xr:uid="{00000000-0005-0000-0000-0000F49B0000}"/>
    <cellStyle name="Salida 47 3 3" xfId="33498" xr:uid="{00000000-0005-0000-0000-0000F59B0000}"/>
    <cellStyle name="Salida 47 3 4" xfId="40310" xr:uid="{00000000-0005-0000-0000-0000F69B0000}"/>
    <cellStyle name="Salida 47 4" xfId="32212" xr:uid="{00000000-0005-0000-0000-0000F79B0000}"/>
    <cellStyle name="Salida 47 5" xfId="33496" xr:uid="{00000000-0005-0000-0000-0000F89B0000}"/>
    <cellStyle name="Salida 47 6" xfId="40308" xr:uid="{00000000-0005-0000-0000-0000F99B0000}"/>
    <cellStyle name="Salida 48" xfId="11209" xr:uid="{00000000-0005-0000-0000-0000FA9B0000}"/>
    <cellStyle name="Salida 48 2" xfId="12187" xr:uid="{00000000-0005-0000-0000-0000FB9B0000}"/>
    <cellStyle name="Salida 48 2 2" xfId="32216" xr:uid="{00000000-0005-0000-0000-0000FC9B0000}"/>
    <cellStyle name="Salida 48 2 3" xfId="33500" xr:uid="{00000000-0005-0000-0000-0000FD9B0000}"/>
    <cellStyle name="Salida 48 2 4" xfId="40312" xr:uid="{00000000-0005-0000-0000-0000FE9B0000}"/>
    <cellStyle name="Salida 48 3" xfId="12188" xr:uid="{00000000-0005-0000-0000-0000FF9B0000}"/>
    <cellStyle name="Salida 48 3 2" xfId="32217" xr:uid="{00000000-0005-0000-0000-0000009C0000}"/>
    <cellStyle name="Salida 48 3 3" xfId="33501" xr:uid="{00000000-0005-0000-0000-0000019C0000}"/>
    <cellStyle name="Salida 48 3 4" xfId="40313" xr:uid="{00000000-0005-0000-0000-0000029C0000}"/>
    <cellStyle name="Salida 48 4" xfId="32215" xr:uid="{00000000-0005-0000-0000-0000039C0000}"/>
    <cellStyle name="Salida 48 5" xfId="33499" xr:uid="{00000000-0005-0000-0000-0000049C0000}"/>
    <cellStyle name="Salida 48 6" xfId="40311" xr:uid="{00000000-0005-0000-0000-0000059C0000}"/>
    <cellStyle name="Salida 49" xfId="11210" xr:uid="{00000000-0005-0000-0000-0000069C0000}"/>
    <cellStyle name="Salida 49 2" xfId="12189" xr:uid="{00000000-0005-0000-0000-0000079C0000}"/>
    <cellStyle name="Salida 49 2 2" xfId="32219" xr:uid="{00000000-0005-0000-0000-0000089C0000}"/>
    <cellStyle name="Salida 49 2 3" xfId="33503" xr:uid="{00000000-0005-0000-0000-0000099C0000}"/>
    <cellStyle name="Salida 49 2 4" xfId="40315" xr:uid="{00000000-0005-0000-0000-00000A9C0000}"/>
    <cellStyle name="Salida 49 3" xfId="12190" xr:uid="{00000000-0005-0000-0000-00000B9C0000}"/>
    <cellStyle name="Salida 49 3 2" xfId="32220" xr:uid="{00000000-0005-0000-0000-00000C9C0000}"/>
    <cellStyle name="Salida 49 3 3" xfId="33504" xr:uid="{00000000-0005-0000-0000-00000D9C0000}"/>
    <cellStyle name="Salida 49 3 4" xfId="40316" xr:uid="{00000000-0005-0000-0000-00000E9C0000}"/>
    <cellStyle name="Salida 49 4" xfId="32218" xr:uid="{00000000-0005-0000-0000-00000F9C0000}"/>
    <cellStyle name="Salida 49 5" xfId="33502" xr:uid="{00000000-0005-0000-0000-0000109C0000}"/>
    <cellStyle name="Salida 49 6" xfId="40314" xr:uid="{00000000-0005-0000-0000-0000119C0000}"/>
    <cellStyle name="Salida 5" xfId="11211" xr:uid="{00000000-0005-0000-0000-0000129C0000}"/>
    <cellStyle name="Salida 5 2" xfId="12191" xr:uid="{00000000-0005-0000-0000-0000139C0000}"/>
    <cellStyle name="Salida 5 2 10" xfId="29039" xr:uid="{00000000-0005-0000-0000-0000149C0000}"/>
    <cellStyle name="Salida 5 2 10 2" xfId="29040" xr:uid="{00000000-0005-0000-0000-0000159C0000}"/>
    <cellStyle name="Salida 5 2 10 2 2" xfId="32224" xr:uid="{00000000-0005-0000-0000-0000169C0000}"/>
    <cellStyle name="Salida 5 2 10 3" xfId="32223" xr:uid="{00000000-0005-0000-0000-0000179C0000}"/>
    <cellStyle name="Salida 5 2 11" xfId="29041" xr:uid="{00000000-0005-0000-0000-0000189C0000}"/>
    <cellStyle name="Salida 5 2 11 2" xfId="32225" xr:uid="{00000000-0005-0000-0000-0000199C0000}"/>
    <cellStyle name="Salida 5 2 12" xfId="32222" xr:uid="{00000000-0005-0000-0000-00001A9C0000}"/>
    <cellStyle name="Salida 5 2 13" xfId="33506" xr:uid="{00000000-0005-0000-0000-00001B9C0000}"/>
    <cellStyle name="Salida 5 2 14" xfId="33942" xr:uid="{00000000-0005-0000-0000-00001C9C0000}"/>
    <cellStyle name="Salida 5 2 15" xfId="40318" xr:uid="{00000000-0005-0000-0000-00001D9C0000}"/>
    <cellStyle name="Salida 5 2 2" xfId="29042" xr:uid="{00000000-0005-0000-0000-00001E9C0000}"/>
    <cellStyle name="Salida 5 2 2 2" xfId="29043" xr:uid="{00000000-0005-0000-0000-00001F9C0000}"/>
    <cellStyle name="Salida 5 2 2 2 2" xfId="32227" xr:uid="{00000000-0005-0000-0000-0000209C0000}"/>
    <cellStyle name="Salida 5 2 2 3" xfId="32226" xr:uid="{00000000-0005-0000-0000-0000219C0000}"/>
    <cellStyle name="Salida 5 2 3" xfId="29044" xr:uid="{00000000-0005-0000-0000-0000229C0000}"/>
    <cellStyle name="Salida 5 2 3 2" xfId="29045" xr:uid="{00000000-0005-0000-0000-0000239C0000}"/>
    <cellStyle name="Salida 5 2 3 2 2" xfId="32229" xr:uid="{00000000-0005-0000-0000-0000249C0000}"/>
    <cellStyle name="Salida 5 2 3 3" xfId="32228" xr:uid="{00000000-0005-0000-0000-0000259C0000}"/>
    <cellStyle name="Salida 5 2 4" xfId="29046" xr:uid="{00000000-0005-0000-0000-0000269C0000}"/>
    <cellStyle name="Salida 5 2 4 2" xfId="29047" xr:uid="{00000000-0005-0000-0000-0000279C0000}"/>
    <cellStyle name="Salida 5 2 4 2 2" xfId="32231" xr:uid="{00000000-0005-0000-0000-0000289C0000}"/>
    <cellStyle name="Salida 5 2 4 3" xfId="32230" xr:uid="{00000000-0005-0000-0000-0000299C0000}"/>
    <cellStyle name="Salida 5 2 5" xfId="29048" xr:uid="{00000000-0005-0000-0000-00002A9C0000}"/>
    <cellStyle name="Salida 5 2 5 2" xfId="29049" xr:uid="{00000000-0005-0000-0000-00002B9C0000}"/>
    <cellStyle name="Salida 5 2 5 2 2" xfId="32233" xr:uid="{00000000-0005-0000-0000-00002C9C0000}"/>
    <cellStyle name="Salida 5 2 5 3" xfId="32232" xr:uid="{00000000-0005-0000-0000-00002D9C0000}"/>
    <cellStyle name="Salida 5 2 6" xfId="29050" xr:uid="{00000000-0005-0000-0000-00002E9C0000}"/>
    <cellStyle name="Salida 5 2 6 2" xfId="29051" xr:uid="{00000000-0005-0000-0000-00002F9C0000}"/>
    <cellStyle name="Salida 5 2 6 2 2" xfId="32235" xr:uid="{00000000-0005-0000-0000-0000309C0000}"/>
    <cellStyle name="Salida 5 2 6 3" xfId="32234" xr:uid="{00000000-0005-0000-0000-0000319C0000}"/>
    <cellStyle name="Salida 5 2 7" xfId="29052" xr:uid="{00000000-0005-0000-0000-0000329C0000}"/>
    <cellStyle name="Salida 5 2 7 2" xfId="29053" xr:uid="{00000000-0005-0000-0000-0000339C0000}"/>
    <cellStyle name="Salida 5 2 7 2 2" xfId="32237" xr:uid="{00000000-0005-0000-0000-0000349C0000}"/>
    <cellStyle name="Salida 5 2 7 3" xfId="32236" xr:uid="{00000000-0005-0000-0000-0000359C0000}"/>
    <cellStyle name="Salida 5 2 8" xfId="29054" xr:uid="{00000000-0005-0000-0000-0000369C0000}"/>
    <cellStyle name="Salida 5 2 8 2" xfId="29055" xr:uid="{00000000-0005-0000-0000-0000379C0000}"/>
    <cellStyle name="Salida 5 2 8 2 2" xfId="32239" xr:uid="{00000000-0005-0000-0000-0000389C0000}"/>
    <cellStyle name="Salida 5 2 8 3" xfId="32238" xr:uid="{00000000-0005-0000-0000-0000399C0000}"/>
    <cellStyle name="Salida 5 2 9" xfId="29056" xr:uid="{00000000-0005-0000-0000-00003A9C0000}"/>
    <cellStyle name="Salida 5 2 9 2" xfId="29057" xr:uid="{00000000-0005-0000-0000-00003B9C0000}"/>
    <cellStyle name="Salida 5 2 9 2 2" xfId="32241" xr:uid="{00000000-0005-0000-0000-00003C9C0000}"/>
    <cellStyle name="Salida 5 2 9 3" xfId="29058" xr:uid="{00000000-0005-0000-0000-00003D9C0000}"/>
    <cellStyle name="Salida 5 2 9 3 2" xfId="32242" xr:uid="{00000000-0005-0000-0000-00003E9C0000}"/>
    <cellStyle name="Salida 5 2 9 4" xfId="29059" xr:uid="{00000000-0005-0000-0000-00003F9C0000}"/>
    <cellStyle name="Salida 5 2 9 4 2" xfId="32243" xr:uid="{00000000-0005-0000-0000-0000409C0000}"/>
    <cellStyle name="Salida 5 2 9 5" xfId="29060" xr:uid="{00000000-0005-0000-0000-0000419C0000}"/>
    <cellStyle name="Salida 5 2 9 5 2" xfId="32244" xr:uid="{00000000-0005-0000-0000-0000429C0000}"/>
    <cellStyle name="Salida 5 2 9 6" xfId="29061" xr:uid="{00000000-0005-0000-0000-0000439C0000}"/>
    <cellStyle name="Salida 5 2 9 6 2" xfId="32245" xr:uid="{00000000-0005-0000-0000-0000449C0000}"/>
    <cellStyle name="Salida 5 2 9 7" xfId="32240" xr:uid="{00000000-0005-0000-0000-0000459C0000}"/>
    <cellStyle name="Salida 5 3" xfId="12192" xr:uid="{00000000-0005-0000-0000-0000469C0000}"/>
    <cellStyle name="Salida 5 3 2" xfId="32246" xr:uid="{00000000-0005-0000-0000-0000479C0000}"/>
    <cellStyle name="Salida 5 3 3" xfId="33507" xr:uid="{00000000-0005-0000-0000-0000489C0000}"/>
    <cellStyle name="Salida 5 3 4" xfId="40319" xr:uid="{00000000-0005-0000-0000-0000499C0000}"/>
    <cellStyle name="Salida 5 4" xfId="32221" xr:uid="{00000000-0005-0000-0000-00004A9C0000}"/>
    <cellStyle name="Salida 5 5" xfId="33505" xr:uid="{00000000-0005-0000-0000-00004B9C0000}"/>
    <cellStyle name="Salida 5 6" xfId="40317" xr:uid="{00000000-0005-0000-0000-00004C9C0000}"/>
    <cellStyle name="Salida 50" xfId="11212" xr:uid="{00000000-0005-0000-0000-00004D9C0000}"/>
    <cellStyle name="Salida 50 2" xfId="12193" xr:uid="{00000000-0005-0000-0000-00004E9C0000}"/>
    <cellStyle name="Salida 50 2 2" xfId="32248" xr:uid="{00000000-0005-0000-0000-00004F9C0000}"/>
    <cellStyle name="Salida 50 2 3" xfId="33509" xr:uid="{00000000-0005-0000-0000-0000509C0000}"/>
    <cellStyle name="Salida 50 2 4" xfId="40321" xr:uid="{00000000-0005-0000-0000-0000519C0000}"/>
    <cellStyle name="Salida 50 3" xfId="12194" xr:uid="{00000000-0005-0000-0000-0000529C0000}"/>
    <cellStyle name="Salida 50 3 2" xfId="32249" xr:uid="{00000000-0005-0000-0000-0000539C0000}"/>
    <cellStyle name="Salida 50 3 3" xfId="33510" xr:uid="{00000000-0005-0000-0000-0000549C0000}"/>
    <cellStyle name="Salida 50 3 4" xfId="40322" xr:uid="{00000000-0005-0000-0000-0000559C0000}"/>
    <cellStyle name="Salida 50 4" xfId="32247" xr:uid="{00000000-0005-0000-0000-0000569C0000}"/>
    <cellStyle name="Salida 50 5" xfId="33508" xr:uid="{00000000-0005-0000-0000-0000579C0000}"/>
    <cellStyle name="Salida 50 6" xfId="40320" xr:uid="{00000000-0005-0000-0000-0000589C0000}"/>
    <cellStyle name="Salida 6" xfId="11213" xr:uid="{00000000-0005-0000-0000-0000599C0000}"/>
    <cellStyle name="Salida 6 2" xfId="12195" xr:uid="{00000000-0005-0000-0000-00005A9C0000}"/>
    <cellStyle name="Salida 6 2 10" xfId="29062" xr:uid="{00000000-0005-0000-0000-00005B9C0000}"/>
    <cellStyle name="Salida 6 2 10 2" xfId="29063" xr:uid="{00000000-0005-0000-0000-00005C9C0000}"/>
    <cellStyle name="Salida 6 2 10 2 2" xfId="32253" xr:uid="{00000000-0005-0000-0000-00005D9C0000}"/>
    <cellStyle name="Salida 6 2 10 3" xfId="32252" xr:uid="{00000000-0005-0000-0000-00005E9C0000}"/>
    <cellStyle name="Salida 6 2 11" xfId="29064" xr:uid="{00000000-0005-0000-0000-00005F9C0000}"/>
    <cellStyle name="Salida 6 2 11 2" xfId="32254" xr:uid="{00000000-0005-0000-0000-0000609C0000}"/>
    <cellStyle name="Salida 6 2 12" xfId="32251" xr:uid="{00000000-0005-0000-0000-0000619C0000}"/>
    <cellStyle name="Salida 6 2 13" xfId="33512" xr:uid="{00000000-0005-0000-0000-0000629C0000}"/>
    <cellStyle name="Salida 6 2 14" xfId="33943" xr:uid="{00000000-0005-0000-0000-0000639C0000}"/>
    <cellStyle name="Salida 6 2 15" xfId="40324" xr:uid="{00000000-0005-0000-0000-0000649C0000}"/>
    <cellStyle name="Salida 6 2 2" xfId="29065" xr:uid="{00000000-0005-0000-0000-0000659C0000}"/>
    <cellStyle name="Salida 6 2 2 2" xfId="29066" xr:uid="{00000000-0005-0000-0000-0000669C0000}"/>
    <cellStyle name="Salida 6 2 2 2 2" xfId="32256" xr:uid="{00000000-0005-0000-0000-0000679C0000}"/>
    <cellStyle name="Salida 6 2 2 3" xfId="32255" xr:uid="{00000000-0005-0000-0000-0000689C0000}"/>
    <cellStyle name="Salida 6 2 3" xfId="29067" xr:uid="{00000000-0005-0000-0000-0000699C0000}"/>
    <cellStyle name="Salida 6 2 3 2" xfId="29068" xr:uid="{00000000-0005-0000-0000-00006A9C0000}"/>
    <cellStyle name="Salida 6 2 3 2 2" xfId="32258" xr:uid="{00000000-0005-0000-0000-00006B9C0000}"/>
    <cellStyle name="Salida 6 2 3 3" xfId="32257" xr:uid="{00000000-0005-0000-0000-00006C9C0000}"/>
    <cellStyle name="Salida 6 2 4" xfId="29069" xr:uid="{00000000-0005-0000-0000-00006D9C0000}"/>
    <cellStyle name="Salida 6 2 4 2" xfId="29070" xr:uid="{00000000-0005-0000-0000-00006E9C0000}"/>
    <cellStyle name="Salida 6 2 4 2 2" xfId="32260" xr:uid="{00000000-0005-0000-0000-00006F9C0000}"/>
    <cellStyle name="Salida 6 2 4 3" xfId="32259" xr:uid="{00000000-0005-0000-0000-0000709C0000}"/>
    <cellStyle name="Salida 6 2 5" xfId="29071" xr:uid="{00000000-0005-0000-0000-0000719C0000}"/>
    <cellStyle name="Salida 6 2 5 2" xfId="29072" xr:uid="{00000000-0005-0000-0000-0000729C0000}"/>
    <cellStyle name="Salida 6 2 5 2 2" xfId="32262" xr:uid="{00000000-0005-0000-0000-0000739C0000}"/>
    <cellStyle name="Salida 6 2 5 3" xfId="32261" xr:uid="{00000000-0005-0000-0000-0000749C0000}"/>
    <cellStyle name="Salida 6 2 6" xfId="29073" xr:uid="{00000000-0005-0000-0000-0000759C0000}"/>
    <cellStyle name="Salida 6 2 6 2" xfId="29074" xr:uid="{00000000-0005-0000-0000-0000769C0000}"/>
    <cellStyle name="Salida 6 2 6 2 2" xfId="32264" xr:uid="{00000000-0005-0000-0000-0000779C0000}"/>
    <cellStyle name="Salida 6 2 6 3" xfId="32263" xr:uid="{00000000-0005-0000-0000-0000789C0000}"/>
    <cellStyle name="Salida 6 2 7" xfId="29075" xr:uid="{00000000-0005-0000-0000-0000799C0000}"/>
    <cellStyle name="Salida 6 2 7 2" xfId="29076" xr:uid="{00000000-0005-0000-0000-00007A9C0000}"/>
    <cellStyle name="Salida 6 2 7 2 2" xfId="32266" xr:uid="{00000000-0005-0000-0000-00007B9C0000}"/>
    <cellStyle name="Salida 6 2 7 3" xfId="32265" xr:uid="{00000000-0005-0000-0000-00007C9C0000}"/>
    <cellStyle name="Salida 6 2 8" xfId="29077" xr:uid="{00000000-0005-0000-0000-00007D9C0000}"/>
    <cellStyle name="Salida 6 2 8 2" xfId="29078" xr:uid="{00000000-0005-0000-0000-00007E9C0000}"/>
    <cellStyle name="Salida 6 2 8 2 2" xfId="32268" xr:uid="{00000000-0005-0000-0000-00007F9C0000}"/>
    <cellStyle name="Salida 6 2 8 3" xfId="32267" xr:uid="{00000000-0005-0000-0000-0000809C0000}"/>
    <cellStyle name="Salida 6 2 9" xfId="29079" xr:uid="{00000000-0005-0000-0000-0000819C0000}"/>
    <cellStyle name="Salida 6 2 9 2" xfId="29080" xr:uid="{00000000-0005-0000-0000-0000829C0000}"/>
    <cellStyle name="Salida 6 2 9 2 2" xfId="32270" xr:uid="{00000000-0005-0000-0000-0000839C0000}"/>
    <cellStyle name="Salida 6 2 9 3" xfId="29081" xr:uid="{00000000-0005-0000-0000-0000849C0000}"/>
    <cellStyle name="Salida 6 2 9 3 2" xfId="32271" xr:uid="{00000000-0005-0000-0000-0000859C0000}"/>
    <cellStyle name="Salida 6 2 9 4" xfId="29082" xr:uid="{00000000-0005-0000-0000-0000869C0000}"/>
    <cellStyle name="Salida 6 2 9 4 2" xfId="32272" xr:uid="{00000000-0005-0000-0000-0000879C0000}"/>
    <cellStyle name="Salida 6 2 9 5" xfId="29083" xr:uid="{00000000-0005-0000-0000-0000889C0000}"/>
    <cellStyle name="Salida 6 2 9 5 2" xfId="32273" xr:uid="{00000000-0005-0000-0000-0000899C0000}"/>
    <cellStyle name="Salida 6 2 9 6" xfId="29084" xr:uid="{00000000-0005-0000-0000-00008A9C0000}"/>
    <cellStyle name="Salida 6 2 9 6 2" xfId="32274" xr:uid="{00000000-0005-0000-0000-00008B9C0000}"/>
    <cellStyle name="Salida 6 2 9 7" xfId="32269" xr:uid="{00000000-0005-0000-0000-00008C9C0000}"/>
    <cellStyle name="Salida 6 3" xfId="12196" xr:uid="{00000000-0005-0000-0000-00008D9C0000}"/>
    <cellStyle name="Salida 6 3 2" xfId="32275" xr:uid="{00000000-0005-0000-0000-00008E9C0000}"/>
    <cellStyle name="Salida 6 3 3" xfId="33513" xr:uid="{00000000-0005-0000-0000-00008F9C0000}"/>
    <cellStyle name="Salida 6 3 4" xfId="40325" xr:uid="{00000000-0005-0000-0000-0000909C0000}"/>
    <cellStyle name="Salida 6 4" xfId="32250" xr:uid="{00000000-0005-0000-0000-0000919C0000}"/>
    <cellStyle name="Salida 6 5" xfId="33511" xr:uid="{00000000-0005-0000-0000-0000929C0000}"/>
    <cellStyle name="Salida 6 6" xfId="40323" xr:uid="{00000000-0005-0000-0000-0000939C0000}"/>
    <cellStyle name="Salida 7" xfId="11214" xr:uid="{00000000-0005-0000-0000-0000949C0000}"/>
    <cellStyle name="Salida 7 2" xfId="12197" xr:uid="{00000000-0005-0000-0000-0000959C0000}"/>
    <cellStyle name="Salida 7 2 10" xfId="29085" xr:uid="{00000000-0005-0000-0000-0000969C0000}"/>
    <cellStyle name="Salida 7 2 10 2" xfId="29086" xr:uid="{00000000-0005-0000-0000-0000979C0000}"/>
    <cellStyle name="Salida 7 2 10 2 2" xfId="32279" xr:uid="{00000000-0005-0000-0000-0000989C0000}"/>
    <cellStyle name="Salida 7 2 10 3" xfId="32278" xr:uid="{00000000-0005-0000-0000-0000999C0000}"/>
    <cellStyle name="Salida 7 2 11" xfId="29087" xr:uid="{00000000-0005-0000-0000-00009A9C0000}"/>
    <cellStyle name="Salida 7 2 11 2" xfId="32280" xr:uid="{00000000-0005-0000-0000-00009B9C0000}"/>
    <cellStyle name="Salida 7 2 12" xfId="32277" xr:uid="{00000000-0005-0000-0000-00009C9C0000}"/>
    <cellStyle name="Salida 7 2 13" xfId="33515" xr:uid="{00000000-0005-0000-0000-00009D9C0000}"/>
    <cellStyle name="Salida 7 2 14" xfId="33944" xr:uid="{00000000-0005-0000-0000-00009E9C0000}"/>
    <cellStyle name="Salida 7 2 15" xfId="40327" xr:uid="{00000000-0005-0000-0000-00009F9C0000}"/>
    <cellStyle name="Salida 7 2 2" xfId="29088" xr:uid="{00000000-0005-0000-0000-0000A09C0000}"/>
    <cellStyle name="Salida 7 2 2 2" xfId="29089" xr:uid="{00000000-0005-0000-0000-0000A19C0000}"/>
    <cellStyle name="Salida 7 2 2 2 2" xfId="32282" xr:uid="{00000000-0005-0000-0000-0000A29C0000}"/>
    <cellStyle name="Salida 7 2 2 3" xfId="32281" xr:uid="{00000000-0005-0000-0000-0000A39C0000}"/>
    <cellStyle name="Salida 7 2 3" xfId="29090" xr:uid="{00000000-0005-0000-0000-0000A49C0000}"/>
    <cellStyle name="Salida 7 2 3 2" xfId="29091" xr:uid="{00000000-0005-0000-0000-0000A59C0000}"/>
    <cellStyle name="Salida 7 2 3 2 2" xfId="32284" xr:uid="{00000000-0005-0000-0000-0000A69C0000}"/>
    <cellStyle name="Salida 7 2 3 3" xfId="32283" xr:uid="{00000000-0005-0000-0000-0000A79C0000}"/>
    <cellStyle name="Salida 7 2 4" xfId="29092" xr:uid="{00000000-0005-0000-0000-0000A89C0000}"/>
    <cellStyle name="Salida 7 2 4 2" xfId="29093" xr:uid="{00000000-0005-0000-0000-0000A99C0000}"/>
    <cellStyle name="Salida 7 2 4 2 2" xfId="32286" xr:uid="{00000000-0005-0000-0000-0000AA9C0000}"/>
    <cellStyle name="Salida 7 2 4 3" xfId="32285" xr:uid="{00000000-0005-0000-0000-0000AB9C0000}"/>
    <cellStyle name="Salida 7 2 5" xfId="29094" xr:uid="{00000000-0005-0000-0000-0000AC9C0000}"/>
    <cellStyle name="Salida 7 2 5 2" xfId="29095" xr:uid="{00000000-0005-0000-0000-0000AD9C0000}"/>
    <cellStyle name="Salida 7 2 5 2 2" xfId="32288" xr:uid="{00000000-0005-0000-0000-0000AE9C0000}"/>
    <cellStyle name="Salida 7 2 5 3" xfId="32287" xr:uid="{00000000-0005-0000-0000-0000AF9C0000}"/>
    <cellStyle name="Salida 7 2 6" xfId="29096" xr:uid="{00000000-0005-0000-0000-0000B09C0000}"/>
    <cellStyle name="Salida 7 2 6 2" xfId="29097" xr:uid="{00000000-0005-0000-0000-0000B19C0000}"/>
    <cellStyle name="Salida 7 2 6 2 2" xfId="32290" xr:uid="{00000000-0005-0000-0000-0000B29C0000}"/>
    <cellStyle name="Salida 7 2 6 3" xfId="32289" xr:uid="{00000000-0005-0000-0000-0000B39C0000}"/>
    <cellStyle name="Salida 7 2 7" xfId="29098" xr:uid="{00000000-0005-0000-0000-0000B49C0000}"/>
    <cellStyle name="Salida 7 2 7 2" xfId="29099" xr:uid="{00000000-0005-0000-0000-0000B59C0000}"/>
    <cellStyle name="Salida 7 2 7 2 2" xfId="32292" xr:uid="{00000000-0005-0000-0000-0000B69C0000}"/>
    <cellStyle name="Salida 7 2 7 3" xfId="32291" xr:uid="{00000000-0005-0000-0000-0000B79C0000}"/>
    <cellStyle name="Salida 7 2 8" xfId="29100" xr:uid="{00000000-0005-0000-0000-0000B89C0000}"/>
    <cellStyle name="Salida 7 2 8 2" xfId="29101" xr:uid="{00000000-0005-0000-0000-0000B99C0000}"/>
    <cellStyle name="Salida 7 2 8 2 2" xfId="32294" xr:uid="{00000000-0005-0000-0000-0000BA9C0000}"/>
    <cellStyle name="Salida 7 2 8 3" xfId="32293" xr:uid="{00000000-0005-0000-0000-0000BB9C0000}"/>
    <cellStyle name="Salida 7 2 9" xfId="29102" xr:uid="{00000000-0005-0000-0000-0000BC9C0000}"/>
    <cellStyle name="Salida 7 2 9 2" xfId="29103" xr:uid="{00000000-0005-0000-0000-0000BD9C0000}"/>
    <cellStyle name="Salida 7 2 9 2 2" xfId="32296" xr:uid="{00000000-0005-0000-0000-0000BE9C0000}"/>
    <cellStyle name="Salida 7 2 9 3" xfId="29104" xr:uid="{00000000-0005-0000-0000-0000BF9C0000}"/>
    <cellStyle name="Salida 7 2 9 3 2" xfId="32297" xr:uid="{00000000-0005-0000-0000-0000C09C0000}"/>
    <cellStyle name="Salida 7 2 9 4" xfId="29105" xr:uid="{00000000-0005-0000-0000-0000C19C0000}"/>
    <cellStyle name="Salida 7 2 9 4 2" xfId="32298" xr:uid="{00000000-0005-0000-0000-0000C29C0000}"/>
    <cellStyle name="Salida 7 2 9 5" xfId="29106" xr:uid="{00000000-0005-0000-0000-0000C39C0000}"/>
    <cellStyle name="Salida 7 2 9 5 2" xfId="32299" xr:uid="{00000000-0005-0000-0000-0000C49C0000}"/>
    <cellStyle name="Salida 7 2 9 6" xfId="29107" xr:uid="{00000000-0005-0000-0000-0000C59C0000}"/>
    <cellStyle name="Salida 7 2 9 6 2" xfId="32300" xr:uid="{00000000-0005-0000-0000-0000C69C0000}"/>
    <cellStyle name="Salida 7 2 9 7" xfId="32295" xr:uid="{00000000-0005-0000-0000-0000C79C0000}"/>
    <cellStyle name="Salida 7 3" xfId="12198" xr:uid="{00000000-0005-0000-0000-0000C89C0000}"/>
    <cellStyle name="Salida 7 3 2" xfId="32301" xr:uid="{00000000-0005-0000-0000-0000C99C0000}"/>
    <cellStyle name="Salida 7 3 3" xfId="33516" xr:uid="{00000000-0005-0000-0000-0000CA9C0000}"/>
    <cellStyle name="Salida 7 3 4" xfId="40328" xr:uid="{00000000-0005-0000-0000-0000CB9C0000}"/>
    <cellStyle name="Salida 7 4" xfId="32276" xr:uid="{00000000-0005-0000-0000-0000CC9C0000}"/>
    <cellStyle name="Salida 7 5" xfId="33514" xr:uid="{00000000-0005-0000-0000-0000CD9C0000}"/>
    <cellStyle name="Salida 7 6" xfId="40326" xr:uid="{00000000-0005-0000-0000-0000CE9C0000}"/>
    <cellStyle name="Salida 8" xfId="11215" xr:uid="{00000000-0005-0000-0000-0000CF9C0000}"/>
    <cellStyle name="Salida 8 2" xfId="12199" xr:uid="{00000000-0005-0000-0000-0000D09C0000}"/>
    <cellStyle name="Salida 8 2 10" xfId="29108" xr:uid="{00000000-0005-0000-0000-0000D19C0000}"/>
    <cellStyle name="Salida 8 2 10 2" xfId="29109" xr:uid="{00000000-0005-0000-0000-0000D29C0000}"/>
    <cellStyle name="Salida 8 2 10 2 2" xfId="32305" xr:uid="{00000000-0005-0000-0000-0000D39C0000}"/>
    <cellStyle name="Salida 8 2 10 3" xfId="32304" xr:uid="{00000000-0005-0000-0000-0000D49C0000}"/>
    <cellStyle name="Salida 8 2 11" xfId="29110" xr:uid="{00000000-0005-0000-0000-0000D59C0000}"/>
    <cellStyle name="Salida 8 2 11 2" xfId="32306" xr:uid="{00000000-0005-0000-0000-0000D69C0000}"/>
    <cellStyle name="Salida 8 2 12" xfId="32303" xr:uid="{00000000-0005-0000-0000-0000D79C0000}"/>
    <cellStyle name="Salida 8 2 13" xfId="33518" xr:uid="{00000000-0005-0000-0000-0000D89C0000}"/>
    <cellStyle name="Salida 8 2 14" xfId="33945" xr:uid="{00000000-0005-0000-0000-0000D99C0000}"/>
    <cellStyle name="Salida 8 2 15" xfId="40330" xr:uid="{00000000-0005-0000-0000-0000DA9C0000}"/>
    <cellStyle name="Salida 8 2 2" xfId="29111" xr:uid="{00000000-0005-0000-0000-0000DB9C0000}"/>
    <cellStyle name="Salida 8 2 2 2" xfId="29112" xr:uid="{00000000-0005-0000-0000-0000DC9C0000}"/>
    <cellStyle name="Salida 8 2 2 2 2" xfId="32308" xr:uid="{00000000-0005-0000-0000-0000DD9C0000}"/>
    <cellStyle name="Salida 8 2 2 3" xfId="32307" xr:uid="{00000000-0005-0000-0000-0000DE9C0000}"/>
    <cellStyle name="Salida 8 2 3" xfId="29113" xr:uid="{00000000-0005-0000-0000-0000DF9C0000}"/>
    <cellStyle name="Salida 8 2 3 2" xfId="29114" xr:uid="{00000000-0005-0000-0000-0000E09C0000}"/>
    <cellStyle name="Salida 8 2 3 2 2" xfId="32310" xr:uid="{00000000-0005-0000-0000-0000E19C0000}"/>
    <cellStyle name="Salida 8 2 3 3" xfId="32309" xr:uid="{00000000-0005-0000-0000-0000E29C0000}"/>
    <cellStyle name="Salida 8 2 4" xfId="29115" xr:uid="{00000000-0005-0000-0000-0000E39C0000}"/>
    <cellStyle name="Salida 8 2 4 2" xfId="29116" xr:uid="{00000000-0005-0000-0000-0000E49C0000}"/>
    <cellStyle name="Salida 8 2 4 2 2" xfId="32312" xr:uid="{00000000-0005-0000-0000-0000E59C0000}"/>
    <cellStyle name="Salida 8 2 4 3" xfId="32311" xr:uid="{00000000-0005-0000-0000-0000E69C0000}"/>
    <cellStyle name="Salida 8 2 5" xfId="29117" xr:uid="{00000000-0005-0000-0000-0000E79C0000}"/>
    <cellStyle name="Salida 8 2 5 2" xfId="29118" xr:uid="{00000000-0005-0000-0000-0000E89C0000}"/>
    <cellStyle name="Salida 8 2 5 2 2" xfId="32314" xr:uid="{00000000-0005-0000-0000-0000E99C0000}"/>
    <cellStyle name="Salida 8 2 5 3" xfId="32313" xr:uid="{00000000-0005-0000-0000-0000EA9C0000}"/>
    <cellStyle name="Salida 8 2 6" xfId="29119" xr:uid="{00000000-0005-0000-0000-0000EB9C0000}"/>
    <cellStyle name="Salida 8 2 6 2" xfId="29120" xr:uid="{00000000-0005-0000-0000-0000EC9C0000}"/>
    <cellStyle name="Salida 8 2 6 2 2" xfId="32316" xr:uid="{00000000-0005-0000-0000-0000ED9C0000}"/>
    <cellStyle name="Salida 8 2 6 3" xfId="32315" xr:uid="{00000000-0005-0000-0000-0000EE9C0000}"/>
    <cellStyle name="Salida 8 2 7" xfId="29121" xr:uid="{00000000-0005-0000-0000-0000EF9C0000}"/>
    <cellStyle name="Salida 8 2 7 2" xfId="29122" xr:uid="{00000000-0005-0000-0000-0000F09C0000}"/>
    <cellStyle name="Salida 8 2 7 2 2" xfId="32318" xr:uid="{00000000-0005-0000-0000-0000F19C0000}"/>
    <cellStyle name="Salida 8 2 7 3" xfId="32317" xr:uid="{00000000-0005-0000-0000-0000F29C0000}"/>
    <cellStyle name="Salida 8 2 8" xfId="29123" xr:uid="{00000000-0005-0000-0000-0000F39C0000}"/>
    <cellStyle name="Salida 8 2 8 2" xfId="29124" xr:uid="{00000000-0005-0000-0000-0000F49C0000}"/>
    <cellStyle name="Salida 8 2 8 2 2" xfId="32320" xr:uid="{00000000-0005-0000-0000-0000F59C0000}"/>
    <cellStyle name="Salida 8 2 8 3" xfId="32319" xr:uid="{00000000-0005-0000-0000-0000F69C0000}"/>
    <cellStyle name="Salida 8 2 9" xfId="29125" xr:uid="{00000000-0005-0000-0000-0000F79C0000}"/>
    <cellStyle name="Salida 8 2 9 2" xfId="29126" xr:uid="{00000000-0005-0000-0000-0000F89C0000}"/>
    <cellStyle name="Salida 8 2 9 2 2" xfId="32322" xr:uid="{00000000-0005-0000-0000-0000F99C0000}"/>
    <cellStyle name="Salida 8 2 9 3" xfId="29127" xr:uid="{00000000-0005-0000-0000-0000FA9C0000}"/>
    <cellStyle name="Salida 8 2 9 3 2" xfId="32323" xr:uid="{00000000-0005-0000-0000-0000FB9C0000}"/>
    <cellStyle name="Salida 8 2 9 4" xfId="29128" xr:uid="{00000000-0005-0000-0000-0000FC9C0000}"/>
    <cellStyle name="Salida 8 2 9 4 2" xfId="32324" xr:uid="{00000000-0005-0000-0000-0000FD9C0000}"/>
    <cellStyle name="Salida 8 2 9 5" xfId="29129" xr:uid="{00000000-0005-0000-0000-0000FE9C0000}"/>
    <cellStyle name="Salida 8 2 9 5 2" xfId="32325" xr:uid="{00000000-0005-0000-0000-0000FF9C0000}"/>
    <cellStyle name="Salida 8 2 9 6" xfId="29130" xr:uid="{00000000-0005-0000-0000-0000009D0000}"/>
    <cellStyle name="Salida 8 2 9 6 2" xfId="32326" xr:uid="{00000000-0005-0000-0000-0000019D0000}"/>
    <cellStyle name="Salida 8 2 9 7" xfId="32321" xr:uid="{00000000-0005-0000-0000-0000029D0000}"/>
    <cellStyle name="Salida 8 3" xfId="12200" xr:uid="{00000000-0005-0000-0000-0000039D0000}"/>
    <cellStyle name="Salida 8 3 2" xfId="32327" xr:uid="{00000000-0005-0000-0000-0000049D0000}"/>
    <cellStyle name="Salida 8 3 3" xfId="33519" xr:uid="{00000000-0005-0000-0000-0000059D0000}"/>
    <cellStyle name="Salida 8 3 4" xfId="40331" xr:uid="{00000000-0005-0000-0000-0000069D0000}"/>
    <cellStyle name="Salida 8 4" xfId="32302" xr:uid="{00000000-0005-0000-0000-0000079D0000}"/>
    <cellStyle name="Salida 8 5" xfId="33517" xr:uid="{00000000-0005-0000-0000-0000089D0000}"/>
    <cellStyle name="Salida 8 6" xfId="40329" xr:uid="{00000000-0005-0000-0000-0000099D0000}"/>
    <cellStyle name="Salida 9" xfId="11216" xr:uid="{00000000-0005-0000-0000-00000A9D0000}"/>
    <cellStyle name="Salida 9 2" xfId="12201" xr:uid="{00000000-0005-0000-0000-00000B9D0000}"/>
    <cellStyle name="Salida 9 2 10" xfId="29131" xr:uid="{00000000-0005-0000-0000-00000C9D0000}"/>
    <cellStyle name="Salida 9 2 10 2" xfId="29132" xr:uid="{00000000-0005-0000-0000-00000D9D0000}"/>
    <cellStyle name="Salida 9 2 10 2 2" xfId="32331" xr:uid="{00000000-0005-0000-0000-00000E9D0000}"/>
    <cellStyle name="Salida 9 2 10 3" xfId="32330" xr:uid="{00000000-0005-0000-0000-00000F9D0000}"/>
    <cellStyle name="Salida 9 2 11" xfId="29133" xr:uid="{00000000-0005-0000-0000-0000109D0000}"/>
    <cellStyle name="Salida 9 2 11 2" xfId="32332" xr:uid="{00000000-0005-0000-0000-0000119D0000}"/>
    <cellStyle name="Salida 9 2 12" xfId="32329" xr:uid="{00000000-0005-0000-0000-0000129D0000}"/>
    <cellStyle name="Salida 9 2 13" xfId="33521" xr:uid="{00000000-0005-0000-0000-0000139D0000}"/>
    <cellStyle name="Salida 9 2 14" xfId="33946" xr:uid="{00000000-0005-0000-0000-0000149D0000}"/>
    <cellStyle name="Salida 9 2 15" xfId="40333" xr:uid="{00000000-0005-0000-0000-0000159D0000}"/>
    <cellStyle name="Salida 9 2 2" xfId="29134" xr:uid="{00000000-0005-0000-0000-0000169D0000}"/>
    <cellStyle name="Salida 9 2 2 2" xfId="29135" xr:uid="{00000000-0005-0000-0000-0000179D0000}"/>
    <cellStyle name="Salida 9 2 2 2 2" xfId="32334" xr:uid="{00000000-0005-0000-0000-0000189D0000}"/>
    <cellStyle name="Salida 9 2 2 3" xfId="32333" xr:uid="{00000000-0005-0000-0000-0000199D0000}"/>
    <cellStyle name="Salida 9 2 3" xfId="29136" xr:uid="{00000000-0005-0000-0000-00001A9D0000}"/>
    <cellStyle name="Salida 9 2 3 2" xfId="29137" xr:uid="{00000000-0005-0000-0000-00001B9D0000}"/>
    <cellStyle name="Salida 9 2 3 2 2" xfId="32336" xr:uid="{00000000-0005-0000-0000-00001C9D0000}"/>
    <cellStyle name="Salida 9 2 3 3" xfId="32335" xr:uid="{00000000-0005-0000-0000-00001D9D0000}"/>
    <cellStyle name="Salida 9 2 4" xfId="29138" xr:uid="{00000000-0005-0000-0000-00001E9D0000}"/>
    <cellStyle name="Salida 9 2 4 2" xfId="29139" xr:uid="{00000000-0005-0000-0000-00001F9D0000}"/>
    <cellStyle name="Salida 9 2 4 2 2" xfId="32338" xr:uid="{00000000-0005-0000-0000-0000209D0000}"/>
    <cellStyle name="Salida 9 2 4 3" xfId="32337" xr:uid="{00000000-0005-0000-0000-0000219D0000}"/>
    <cellStyle name="Salida 9 2 5" xfId="29140" xr:uid="{00000000-0005-0000-0000-0000229D0000}"/>
    <cellStyle name="Salida 9 2 5 2" xfId="29141" xr:uid="{00000000-0005-0000-0000-0000239D0000}"/>
    <cellStyle name="Salida 9 2 5 2 2" xfId="32340" xr:uid="{00000000-0005-0000-0000-0000249D0000}"/>
    <cellStyle name="Salida 9 2 5 3" xfId="32339" xr:uid="{00000000-0005-0000-0000-0000259D0000}"/>
    <cellStyle name="Salida 9 2 6" xfId="29142" xr:uid="{00000000-0005-0000-0000-0000269D0000}"/>
    <cellStyle name="Salida 9 2 6 2" xfId="29143" xr:uid="{00000000-0005-0000-0000-0000279D0000}"/>
    <cellStyle name="Salida 9 2 6 2 2" xfId="32342" xr:uid="{00000000-0005-0000-0000-0000289D0000}"/>
    <cellStyle name="Salida 9 2 6 3" xfId="32341" xr:uid="{00000000-0005-0000-0000-0000299D0000}"/>
    <cellStyle name="Salida 9 2 7" xfId="29144" xr:uid="{00000000-0005-0000-0000-00002A9D0000}"/>
    <cellStyle name="Salida 9 2 7 2" xfId="29145" xr:uid="{00000000-0005-0000-0000-00002B9D0000}"/>
    <cellStyle name="Salida 9 2 7 2 2" xfId="32344" xr:uid="{00000000-0005-0000-0000-00002C9D0000}"/>
    <cellStyle name="Salida 9 2 7 3" xfId="32343" xr:uid="{00000000-0005-0000-0000-00002D9D0000}"/>
    <cellStyle name="Salida 9 2 8" xfId="29146" xr:uid="{00000000-0005-0000-0000-00002E9D0000}"/>
    <cellStyle name="Salida 9 2 8 2" xfId="29147" xr:uid="{00000000-0005-0000-0000-00002F9D0000}"/>
    <cellStyle name="Salida 9 2 8 2 2" xfId="32346" xr:uid="{00000000-0005-0000-0000-0000309D0000}"/>
    <cellStyle name="Salida 9 2 8 3" xfId="32345" xr:uid="{00000000-0005-0000-0000-0000319D0000}"/>
    <cellStyle name="Salida 9 2 9" xfId="29148" xr:uid="{00000000-0005-0000-0000-0000329D0000}"/>
    <cellStyle name="Salida 9 2 9 2" xfId="29149" xr:uid="{00000000-0005-0000-0000-0000339D0000}"/>
    <cellStyle name="Salida 9 2 9 2 2" xfId="32348" xr:uid="{00000000-0005-0000-0000-0000349D0000}"/>
    <cellStyle name="Salida 9 2 9 3" xfId="29150" xr:uid="{00000000-0005-0000-0000-0000359D0000}"/>
    <cellStyle name="Salida 9 2 9 3 2" xfId="32349" xr:uid="{00000000-0005-0000-0000-0000369D0000}"/>
    <cellStyle name="Salida 9 2 9 4" xfId="29151" xr:uid="{00000000-0005-0000-0000-0000379D0000}"/>
    <cellStyle name="Salida 9 2 9 4 2" xfId="32350" xr:uid="{00000000-0005-0000-0000-0000389D0000}"/>
    <cellStyle name="Salida 9 2 9 5" xfId="29152" xr:uid="{00000000-0005-0000-0000-0000399D0000}"/>
    <cellStyle name="Salida 9 2 9 5 2" xfId="32351" xr:uid="{00000000-0005-0000-0000-00003A9D0000}"/>
    <cellStyle name="Salida 9 2 9 6" xfId="29153" xr:uid="{00000000-0005-0000-0000-00003B9D0000}"/>
    <cellStyle name="Salida 9 2 9 6 2" xfId="32352" xr:uid="{00000000-0005-0000-0000-00003C9D0000}"/>
    <cellStyle name="Salida 9 2 9 7" xfId="32347" xr:uid="{00000000-0005-0000-0000-00003D9D0000}"/>
    <cellStyle name="Salida 9 3" xfId="12202" xr:uid="{00000000-0005-0000-0000-00003E9D0000}"/>
    <cellStyle name="Salida 9 3 2" xfId="32353" xr:uid="{00000000-0005-0000-0000-00003F9D0000}"/>
    <cellStyle name="Salida 9 3 3" xfId="33522" xr:uid="{00000000-0005-0000-0000-0000409D0000}"/>
    <cellStyle name="Salida 9 3 4" xfId="40334" xr:uid="{00000000-0005-0000-0000-0000419D0000}"/>
    <cellStyle name="Salida 9 4" xfId="32328" xr:uid="{00000000-0005-0000-0000-0000429D0000}"/>
    <cellStyle name="Salida 9 5" xfId="33520" xr:uid="{00000000-0005-0000-0000-0000439D0000}"/>
    <cellStyle name="Salida 9 6" xfId="40332" xr:uid="{00000000-0005-0000-0000-0000449D0000}"/>
    <cellStyle name="SAPHierarchyCell4" xfId="40957" xr:uid="{00000000-0005-0000-0000-0000459D0000}"/>
    <cellStyle name="SHADEDSTORES" xfId="29154" xr:uid="{00000000-0005-0000-0000-0000469D0000}"/>
    <cellStyle name="SHADEDSTORES 10" xfId="29155" xr:uid="{00000000-0005-0000-0000-0000479D0000}"/>
    <cellStyle name="SHADEDSTORES 10 2" xfId="32355" xr:uid="{00000000-0005-0000-0000-0000489D0000}"/>
    <cellStyle name="SHADEDSTORES 11" xfId="32354" xr:uid="{00000000-0005-0000-0000-0000499D0000}"/>
    <cellStyle name="SHADEDSTORES 12" xfId="40353" xr:uid="{00000000-0005-0000-0000-00004A9D0000}"/>
    <cellStyle name="SHADEDSTORES 2" xfId="29156" xr:uid="{00000000-0005-0000-0000-00004B9D0000}"/>
    <cellStyle name="SHADEDSTORES 2 2" xfId="29157" xr:uid="{00000000-0005-0000-0000-00004C9D0000}"/>
    <cellStyle name="SHADEDSTORES 2 2 2" xfId="32357" xr:uid="{00000000-0005-0000-0000-00004D9D0000}"/>
    <cellStyle name="SHADEDSTORES 2 3" xfId="29158" xr:uid="{00000000-0005-0000-0000-00004E9D0000}"/>
    <cellStyle name="SHADEDSTORES 2 3 2" xfId="32358" xr:uid="{00000000-0005-0000-0000-00004F9D0000}"/>
    <cellStyle name="SHADEDSTORES 2 4" xfId="29159" xr:uid="{00000000-0005-0000-0000-0000509D0000}"/>
    <cellStyle name="SHADEDSTORES 2 4 2" xfId="32359" xr:uid="{00000000-0005-0000-0000-0000519D0000}"/>
    <cellStyle name="SHADEDSTORES 2 5" xfId="29160" xr:uid="{00000000-0005-0000-0000-0000529D0000}"/>
    <cellStyle name="SHADEDSTORES 2 5 2" xfId="32360" xr:uid="{00000000-0005-0000-0000-0000539D0000}"/>
    <cellStyle name="SHADEDSTORES 2 6" xfId="29161" xr:uid="{00000000-0005-0000-0000-0000549D0000}"/>
    <cellStyle name="SHADEDSTORES 2 6 2" xfId="32361" xr:uid="{00000000-0005-0000-0000-0000559D0000}"/>
    <cellStyle name="SHADEDSTORES 2 7" xfId="32356" xr:uid="{00000000-0005-0000-0000-0000569D0000}"/>
    <cellStyle name="SHADEDSTORES 3" xfId="29162" xr:uid="{00000000-0005-0000-0000-0000579D0000}"/>
    <cellStyle name="SHADEDSTORES 3 2" xfId="29163" xr:uid="{00000000-0005-0000-0000-0000589D0000}"/>
    <cellStyle name="SHADEDSTORES 3 2 2" xfId="32363" xr:uid="{00000000-0005-0000-0000-0000599D0000}"/>
    <cellStyle name="SHADEDSTORES 3 3" xfId="29164" xr:uid="{00000000-0005-0000-0000-00005A9D0000}"/>
    <cellStyle name="SHADEDSTORES 3 3 2" xfId="32364" xr:uid="{00000000-0005-0000-0000-00005B9D0000}"/>
    <cellStyle name="SHADEDSTORES 3 4" xfId="29165" xr:uid="{00000000-0005-0000-0000-00005C9D0000}"/>
    <cellStyle name="SHADEDSTORES 3 4 2" xfId="32365" xr:uid="{00000000-0005-0000-0000-00005D9D0000}"/>
    <cellStyle name="SHADEDSTORES 3 5" xfId="29166" xr:uid="{00000000-0005-0000-0000-00005E9D0000}"/>
    <cellStyle name="SHADEDSTORES 3 5 2" xfId="32366" xr:uid="{00000000-0005-0000-0000-00005F9D0000}"/>
    <cellStyle name="SHADEDSTORES 3 6" xfId="29167" xr:uid="{00000000-0005-0000-0000-0000609D0000}"/>
    <cellStyle name="SHADEDSTORES 3 6 2" xfId="32367" xr:uid="{00000000-0005-0000-0000-0000619D0000}"/>
    <cellStyle name="SHADEDSTORES 3 7" xfId="32362" xr:uid="{00000000-0005-0000-0000-0000629D0000}"/>
    <cellStyle name="SHADEDSTORES 4" xfId="29168" xr:uid="{00000000-0005-0000-0000-0000639D0000}"/>
    <cellStyle name="SHADEDSTORES 4 2" xfId="29169" xr:uid="{00000000-0005-0000-0000-0000649D0000}"/>
    <cellStyle name="SHADEDSTORES 4 2 2" xfId="32369" xr:uid="{00000000-0005-0000-0000-0000659D0000}"/>
    <cellStyle name="SHADEDSTORES 4 3" xfId="29170" xr:uid="{00000000-0005-0000-0000-0000669D0000}"/>
    <cellStyle name="SHADEDSTORES 4 3 2" xfId="32370" xr:uid="{00000000-0005-0000-0000-0000679D0000}"/>
    <cellStyle name="SHADEDSTORES 4 4" xfId="29171" xr:uid="{00000000-0005-0000-0000-0000689D0000}"/>
    <cellStyle name="SHADEDSTORES 4 4 2" xfId="32371" xr:uid="{00000000-0005-0000-0000-0000699D0000}"/>
    <cellStyle name="SHADEDSTORES 4 5" xfId="29172" xr:uid="{00000000-0005-0000-0000-00006A9D0000}"/>
    <cellStyle name="SHADEDSTORES 4 5 2" xfId="32372" xr:uid="{00000000-0005-0000-0000-00006B9D0000}"/>
    <cellStyle name="SHADEDSTORES 4 6" xfId="29173" xr:uid="{00000000-0005-0000-0000-00006C9D0000}"/>
    <cellStyle name="SHADEDSTORES 4 6 2" xfId="32373" xr:uid="{00000000-0005-0000-0000-00006D9D0000}"/>
    <cellStyle name="SHADEDSTORES 4 7" xfId="32368" xr:uid="{00000000-0005-0000-0000-00006E9D0000}"/>
    <cellStyle name="SHADEDSTORES 5" xfId="29174" xr:uid="{00000000-0005-0000-0000-00006F9D0000}"/>
    <cellStyle name="SHADEDSTORES 5 2" xfId="29175" xr:uid="{00000000-0005-0000-0000-0000709D0000}"/>
    <cellStyle name="SHADEDSTORES 5 2 2" xfId="32375" xr:uid="{00000000-0005-0000-0000-0000719D0000}"/>
    <cellStyle name="SHADEDSTORES 5 3" xfId="29176" xr:uid="{00000000-0005-0000-0000-0000729D0000}"/>
    <cellStyle name="SHADEDSTORES 5 3 2" xfId="32376" xr:uid="{00000000-0005-0000-0000-0000739D0000}"/>
    <cellStyle name="SHADEDSTORES 5 4" xfId="29177" xr:uid="{00000000-0005-0000-0000-0000749D0000}"/>
    <cellStyle name="SHADEDSTORES 5 4 2" xfId="32377" xr:uid="{00000000-0005-0000-0000-0000759D0000}"/>
    <cellStyle name="SHADEDSTORES 5 5" xfId="29178" xr:uid="{00000000-0005-0000-0000-0000769D0000}"/>
    <cellStyle name="SHADEDSTORES 5 5 2" xfId="32378" xr:uid="{00000000-0005-0000-0000-0000779D0000}"/>
    <cellStyle name="SHADEDSTORES 5 6" xfId="29179" xr:uid="{00000000-0005-0000-0000-0000789D0000}"/>
    <cellStyle name="SHADEDSTORES 5 6 2" xfId="32379" xr:uid="{00000000-0005-0000-0000-0000799D0000}"/>
    <cellStyle name="SHADEDSTORES 5 7" xfId="32374" xr:uid="{00000000-0005-0000-0000-00007A9D0000}"/>
    <cellStyle name="SHADEDSTORES 6" xfId="29180" xr:uid="{00000000-0005-0000-0000-00007B9D0000}"/>
    <cellStyle name="SHADEDSTORES 6 2" xfId="29181" xr:uid="{00000000-0005-0000-0000-00007C9D0000}"/>
    <cellStyle name="SHADEDSTORES 6 2 2" xfId="32381" xr:uid="{00000000-0005-0000-0000-00007D9D0000}"/>
    <cellStyle name="SHADEDSTORES 6 3" xfId="29182" xr:uid="{00000000-0005-0000-0000-00007E9D0000}"/>
    <cellStyle name="SHADEDSTORES 6 3 2" xfId="32382" xr:uid="{00000000-0005-0000-0000-00007F9D0000}"/>
    <cellStyle name="SHADEDSTORES 6 4" xfId="29183" xr:uid="{00000000-0005-0000-0000-0000809D0000}"/>
    <cellStyle name="SHADEDSTORES 6 4 2" xfId="32383" xr:uid="{00000000-0005-0000-0000-0000819D0000}"/>
    <cellStyle name="SHADEDSTORES 6 5" xfId="29184" xr:uid="{00000000-0005-0000-0000-0000829D0000}"/>
    <cellStyle name="SHADEDSTORES 6 5 2" xfId="32384" xr:uid="{00000000-0005-0000-0000-0000839D0000}"/>
    <cellStyle name="SHADEDSTORES 6 6" xfId="29185" xr:uid="{00000000-0005-0000-0000-0000849D0000}"/>
    <cellStyle name="SHADEDSTORES 6 6 2" xfId="32385" xr:uid="{00000000-0005-0000-0000-0000859D0000}"/>
    <cellStyle name="SHADEDSTORES 6 7" xfId="32380" xr:uid="{00000000-0005-0000-0000-0000869D0000}"/>
    <cellStyle name="SHADEDSTORES 7" xfId="29186" xr:uid="{00000000-0005-0000-0000-0000879D0000}"/>
    <cellStyle name="SHADEDSTORES 7 2" xfId="29187" xr:uid="{00000000-0005-0000-0000-0000889D0000}"/>
    <cellStyle name="SHADEDSTORES 7 2 2" xfId="32387" xr:uid="{00000000-0005-0000-0000-0000899D0000}"/>
    <cellStyle name="SHADEDSTORES 7 3" xfId="29188" xr:uid="{00000000-0005-0000-0000-00008A9D0000}"/>
    <cellStyle name="SHADEDSTORES 7 3 2" xfId="32388" xr:uid="{00000000-0005-0000-0000-00008B9D0000}"/>
    <cellStyle name="SHADEDSTORES 7 4" xfId="29189" xr:uid="{00000000-0005-0000-0000-00008C9D0000}"/>
    <cellStyle name="SHADEDSTORES 7 4 2" xfId="32389" xr:uid="{00000000-0005-0000-0000-00008D9D0000}"/>
    <cellStyle name="SHADEDSTORES 7 5" xfId="29190" xr:uid="{00000000-0005-0000-0000-00008E9D0000}"/>
    <cellStyle name="SHADEDSTORES 7 5 2" xfId="32390" xr:uid="{00000000-0005-0000-0000-00008F9D0000}"/>
    <cellStyle name="SHADEDSTORES 7 6" xfId="29191" xr:uid="{00000000-0005-0000-0000-0000909D0000}"/>
    <cellStyle name="SHADEDSTORES 7 6 2" xfId="32391" xr:uid="{00000000-0005-0000-0000-0000919D0000}"/>
    <cellStyle name="SHADEDSTORES 7 7" xfId="32386" xr:uid="{00000000-0005-0000-0000-0000929D0000}"/>
    <cellStyle name="SHADEDSTORES 8" xfId="29192" xr:uid="{00000000-0005-0000-0000-0000939D0000}"/>
    <cellStyle name="SHADEDSTORES 8 2" xfId="29193" xr:uid="{00000000-0005-0000-0000-0000949D0000}"/>
    <cellStyle name="SHADEDSTORES 8 2 2" xfId="32393" xr:uid="{00000000-0005-0000-0000-0000959D0000}"/>
    <cellStyle name="SHADEDSTORES 8 3" xfId="29194" xr:uid="{00000000-0005-0000-0000-0000969D0000}"/>
    <cellStyle name="SHADEDSTORES 8 3 2" xfId="32394" xr:uid="{00000000-0005-0000-0000-0000979D0000}"/>
    <cellStyle name="SHADEDSTORES 8 4" xfId="29195" xr:uid="{00000000-0005-0000-0000-0000989D0000}"/>
    <cellStyle name="SHADEDSTORES 8 4 2" xfId="32395" xr:uid="{00000000-0005-0000-0000-0000999D0000}"/>
    <cellStyle name="SHADEDSTORES 8 5" xfId="29196" xr:uid="{00000000-0005-0000-0000-00009A9D0000}"/>
    <cellStyle name="SHADEDSTORES 8 5 2" xfId="32396" xr:uid="{00000000-0005-0000-0000-00009B9D0000}"/>
    <cellStyle name="SHADEDSTORES 8 6" xfId="29197" xr:uid="{00000000-0005-0000-0000-00009C9D0000}"/>
    <cellStyle name="SHADEDSTORES 8 6 2" xfId="32397" xr:uid="{00000000-0005-0000-0000-00009D9D0000}"/>
    <cellStyle name="SHADEDSTORES 8 7" xfId="32392" xr:uid="{00000000-0005-0000-0000-00009E9D0000}"/>
    <cellStyle name="SHADEDSTORES 9" xfId="29198" xr:uid="{00000000-0005-0000-0000-00009F9D0000}"/>
    <cellStyle name="SHADEDSTORES 9 2" xfId="29199" xr:uid="{00000000-0005-0000-0000-0000A09D0000}"/>
    <cellStyle name="SHADEDSTORES 9 2 2" xfId="32399" xr:uid="{00000000-0005-0000-0000-0000A19D0000}"/>
    <cellStyle name="SHADEDSTORES 9 3" xfId="29200" xr:uid="{00000000-0005-0000-0000-0000A29D0000}"/>
    <cellStyle name="SHADEDSTORES 9 3 2" xfId="32400" xr:uid="{00000000-0005-0000-0000-0000A39D0000}"/>
    <cellStyle name="SHADEDSTORES 9 4" xfId="29201" xr:uid="{00000000-0005-0000-0000-0000A49D0000}"/>
    <cellStyle name="SHADEDSTORES 9 4 2" xfId="32401" xr:uid="{00000000-0005-0000-0000-0000A59D0000}"/>
    <cellStyle name="SHADEDSTORES 9 5" xfId="29202" xr:uid="{00000000-0005-0000-0000-0000A69D0000}"/>
    <cellStyle name="SHADEDSTORES 9 5 2" xfId="32402" xr:uid="{00000000-0005-0000-0000-0000A79D0000}"/>
    <cellStyle name="SHADEDSTORES 9 6" xfId="29203" xr:uid="{00000000-0005-0000-0000-0000A89D0000}"/>
    <cellStyle name="SHADEDSTORES 9 6 2" xfId="32403" xr:uid="{00000000-0005-0000-0000-0000A99D0000}"/>
    <cellStyle name="SHADEDSTORES 9 7" xfId="32398" xr:uid="{00000000-0005-0000-0000-0000AA9D0000}"/>
    <cellStyle name="Shell" xfId="20" xr:uid="{00000000-0005-0000-0000-0000AB9D0000}"/>
    <cellStyle name="Shell 2" xfId="29204" xr:uid="{00000000-0005-0000-0000-0000AC9D0000}"/>
    <cellStyle name="Shell 3" xfId="40335" xr:uid="{00000000-0005-0000-0000-0000AD9D0000}"/>
    <cellStyle name="Sledovaný hypertextový odkaz" xfId="29205" xr:uid="{00000000-0005-0000-0000-0000AE9D0000}"/>
    <cellStyle name="specstores" xfId="29206" xr:uid="{00000000-0005-0000-0000-0000AF9D0000}"/>
    <cellStyle name="Standard_BS14" xfId="29207" xr:uid="{00000000-0005-0000-0000-0000B09D0000}"/>
    <cellStyle name="Style 1" xfId="40336" xr:uid="{00000000-0005-0000-0000-0000B19D0000}"/>
    <cellStyle name="Style 1 2" xfId="40337" xr:uid="{00000000-0005-0000-0000-0000B29D0000}"/>
    <cellStyle name="Subtotal" xfId="29208" xr:uid="{00000000-0005-0000-0000-0000B39D0000}"/>
    <cellStyle name="Subtotal 2" xfId="29209" xr:uid="{00000000-0005-0000-0000-0000B49D0000}"/>
    <cellStyle name="Text" xfId="29210" xr:uid="{00000000-0005-0000-0000-0000B59D0000}"/>
    <cellStyle name="Texto de advertencia 10" xfId="11217" xr:uid="{00000000-0005-0000-0000-0000B69D0000}"/>
    <cellStyle name="Texto de advertencia 11" xfId="11218" xr:uid="{00000000-0005-0000-0000-0000B79D0000}"/>
    <cellStyle name="Texto de advertencia 12" xfId="11219" xr:uid="{00000000-0005-0000-0000-0000B89D0000}"/>
    <cellStyle name="Texto de advertencia 13" xfId="11220" xr:uid="{00000000-0005-0000-0000-0000B99D0000}"/>
    <cellStyle name="Texto de advertencia 14" xfId="11221" xr:uid="{00000000-0005-0000-0000-0000BA9D0000}"/>
    <cellStyle name="Texto de advertencia 15" xfId="11222" xr:uid="{00000000-0005-0000-0000-0000BB9D0000}"/>
    <cellStyle name="Texto de advertencia 16" xfId="11223" xr:uid="{00000000-0005-0000-0000-0000BC9D0000}"/>
    <cellStyle name="Texto de advertencia 17" xfId="11224" xr:uid="{00000000-0005-0000-0000-0000BD9D0000}"/>
    <cellStyle name="Texto de advertencia 18" xfId="11225" xr:uid="{00000000-0005-0000-0000-0000BE9D0000}"/>
    <cellStyle name="Texto de advertencia 19" xfId="11226" xr:uid="{00000000-0005-0000-0000-0000BF9D0000}"/>
    <cellStyle name="Texto de advertencia 2" xfId="11227" xr:uid="{00000000-0005-0000-0000-0000C09D0000}"/>
    <cellStyle name="Texto de advertencia 2 2" xfId="29211" xr:uid="{00000000-0005-0000-0000-0000C19D0000}"/>
    <cellStyle name="Texto de advertencia 2 3" xfId="29212" xr:uid="{00000000-0005-0000-0000-0000C29D0000}"/>
    <cellStyle name="Texto de advertencia 20" xfId="11228" xr:uid="{00000000-0005-0000-0000-0000C39D0000}"/>
    <cellStyle name="Texto de advertencia 21" xfId="11229" xr:uid="{00000000-0005-0000-0000-0000C49D0000}"/>
    <cellStyle name="Texto de advertencia 22" xfId="11230" xr:uid="{00000000-0005-0000-0000-0000C59D0000}"/>
    <cellStyle name="Texto de advertencia 23" xfId="11231" xr:uid="{00000000-0005-0000-0000-0000C69D0000}"/>
    <cellStyle name="Texto de advertencia 24" xfId="11232" xr:uid="{00000000-0005-0000-0000-0000C79D0000}"/>
    <cellStyle name="Texto de advertencia 25" xfId="11233" xr:uid="{00000000-0005-0000-0000-0000C89D0000}"/>
    <cellStyle name="Texto de advertencia 26" xfId="11234" xr:uid="{00000000-0005-0000-0000-0000C99D0000}"/>
    <cellStyle name="Texto de advertencia 27" xfId="11235" xr:uid="{00000000-0005-0000-0000-0000CA9D0000}"/>
    <cellStyle name="Texto de advertencia 28" xfId="11236" xr:uid="{00000000-0005-0000-0000-0000CB9D0000}"/>
    <cellStyle name="Texto de advertencia 29" xfId="11237" xr:uid="{00000000-0005-0000-0000-0000CC9D0000}"/>
    <cellStyle name="Texto de advertencia 3" xfId="11238" xr:uid="{00000000-0005-0000-0000-0000CD9D0000}"/>
    <cellStyle name="Texto de advertencia 3 2" xfId="29213" xr:uid="{00000000-0005-0000-0000-0000CE9D0000}"/>
    <cellStyle name="Texto de advertencia 3 3" xfId="29214" xr:uid="{00000000-0005-0000-0000-0000CF9D0000}"/>
    <cellStyle name="Texto de advertencia 30" xfId="11239" xr:uid="{00000000-0005-0000-0000-0000D09D0000}"/>
    <cellStyle name="Texto de advertencia 31" xfId="11240" xr:uid="{00000000-0005-0000-0000-0000D19D0000}"/>
    <cellStyle name="Texto de advertencia 32" xfId="11241" xr:uid="{00000000-0005-0000-0000-0000D29D0000}"/>
    <cellStyle name="Texto de advertencia 33" xfId="11242" xr:uid="{00000000-0005-0000-0000-0000D39D0000}"/>
    <cellStyle name="Texto de advertencia 34" xfId="11243" xr:uid="{00000000-0005-0000-0000-0000D49D0000}"/>
    <cellStyle name="Texto de advertencia 35" xfId="11244" xr:uid="{00000000-0005-0000-0000-0000D59D0000}"/>
    <cellStyle name="Texto de advertencia 36" xfId="11245" xr:uid="{00000000-0005-0000-0000-0000D69D0000}"/>
    <cellStyle name="Texto de advertencia 37" xfId="11246" xr:uid="{00000000-0005-0000-0000-0000D79D0000}"/>
    <cellStyle name="Texto de advertencia 38" xfId="11247" xr:uid="{00000000-0005-0000-0000-0000D89D0000}"/>
    <cellStyle name="Texto de advertencia 39" xfId="11248" xr:uid="{00000000-0005-0000-0000-0000D99D0000}"/>
    <cellStyle name="Texto de advertencia 4" xfId="11249" xr:uid="{00000000-0005-0000-0000-0000DA9D0000}"/>
    <cellStyle name="Texto de advertencia 4 2" xfId="29215" xr:uid="{00000000-0005-0000-0000-0000DB9D0000}"/>
    <cellStyle name="Texto de advertencia 4 3" xfId="29216" xr:uid="{00000000-0005-0000-0000-0000DC9D0000}"/>
    <cellStyle name="Texto de advertencia 40" xfId="11250" xr:uid="{00000000-0005-0000-0000-0000DD9D0000}"/>
    <cellStyle name="Texto de advertencia 41" xfId="11251" xr:uid="{00000000-0005-0000-0000-0000DE9D0000}"/>
    <cellStyle name="Texto de advertencia 42" xfId="11252" xr:uid="{00000000-0005-0000-0000-0000DF9D0000}"/>
    <cellStyle name="Texto de advertencia 43" xfId="11253" xr:uid="{00000000-0005-0000-0000-0000E09D0000}"/>
    <cellStyle name="Texto de advertencia 44" xfId="11254" xr:uid="{00000000-0005-0000-0000-0000E19D0000}"/>
    <cellStyle name="Texto de advertencia 45" xfId="11255" xr:uid="{00000000-0005-0000-0000-0000E29D0000}"/>
    <cellStyle name="Texto de advertencia 46" xfId="11256" xr:uid="{00000000-0005-0000-0000-0000E39D0000}"/>
    <cellStyle name="Texto de advertencia 47" xfId="11257" xr:uid="{00000000-0005-0000-0000-0000E49D0000}"/>
    <cellStyle name="Texto de advertencia 48" xfId="11258" xr:uid="{00000000-0005-0000-0000-0000E59D0000}"/>
    <cellStyle name="Texto de advertencia 49" xfId="11259" xr:uid="{00000000-0005-0000-0000-0000E69D0000}"/>
    <cellStyle name="Texto de advertencia 5" xfId="11260" xr:uid="{00000000-0005-0000-0000-0000E79D0000}"/>
    <cellStyle name="Texto de advertencia 5 2" xfId="29217" xr:uid="{00000000-0005-0000-0000-0000E89D0000}"/>
    <cellStyle name="Texto de advertencia 50" xfId="11261" xr:uid="{00000000-0005-0000-0000-0000E99D0000}"/>
    <cellStyle name="Texto de advertencia 6" xfId="11262" xr:uid="{00000000-0005-0000-0000-0000EA9D0000}"/>
    <cellStyle name="Texto de advertencia 6 2" xfId="29218" xr:uid="{00000000-0005-0000-0000-0000EB9D0000}"/>
    <cellStyle name="Texto de advertencia 7" xfId="11263" xr:uid="{00000000-0005-0000-0000-0000EC9D0000}"/>
    <cellStyle name="Texto de advertencia 7 2" xfId="29219" xr:uid="{00000000-0005-0000-0000-0000ED9D0000}"/>
    <cellStyle name="Texto de advertencia 8" xfId="11264" xr:uid="{00000000-0005-0000-0000-0000EE9D0000}"/>
    <cellStyle name="Texto de advertencia 8 2" xfId="29220" xr:uid="{00000000-0005-0000-0000-0000EF9D0000}"/>
    <cellStyle name="Texto de advertencia 9" xfId="11265" xr:uid="{00000000-0005-0000-0000-0000F09D0000}"/>
    <cellStyle name="Texto de advertencia 9 2" xfId="29221" xr:uid="{00000000-0005-0000-0000-0000F19D0000}"/>
    <cellStyle name="Texto explicativo 10" xfId="11266" xr:uid="{00000000-0005-0000-0000-0000F29D0000}"/>
    <cellStyle name="Texto explicativo 11" xfId="11267" xr:uid="{00000000-0005-0000-0000-0000F39D0000}"/>
    <cellStyle name="Texto explicativo 12" xfId="11268" xr:uid="{00000000-0005-0000-0000-0000F49D0000}"/>
    <cellStyle name="Texto explicativo 13" xfId="11269" xr:uid="{00000000-0005-0000-0000-0000F59D0000}"/>
    <cellStyle name="Texto explicativo 14" xfId="11270" xr:uid="{00000000-0005-0000-0000-0000F69D0000}"/>
    <cellStyle name="Texto explicativo 15" xfId="11271" xr:uid="{00000000-0005-0000-0000-0000F79D0000}"/>
    <cellStyle name="Texto explicativo 16" xfId="11272" xr:uid="{00000000-0005-0000-0000-0000F89D0000}"/>
    <cellStyle name="Texto explicativo 17" xfId="11273" xr:uid="{00000000-0005-0000-0000-0000F99D0000}"/>
    <cellStyle name="Texto explicativo 18" xfId="11274" xr:uid="{00000000-0005-0000-0000-0000FA9D0000}"/>
    <cellStyle name="Texto explicativo 19" xfId="11275" xr:uid="{00000000-0005-0000-0000-0000FB9D0000}"/>
    <cellStyle name="Texto explicativo 2" xfId="11276" xr:uid="{00000000-0005-0000-0000-0000FC9D0000}"/>
    <cellStyle name="Texto explicativo 2 2" xfId="29222" xr:uid="{00000000-0005-0000-0000-0000FD9D0000}"/>
    <cellStyle name="Texto explicativo 2 3" xfId="29223" xr:uid="{00000000-0005-0000-0000-0000FE9D0000}"/>
    <cellStyle name="Texto explicativo 20" xfId="11277" xr:uid="{00000000-0005-0000-0000-0000FF9D0000}"/>
    <cellStyle name="Texto explicativo 21" xfId="11278" xr:uid="{00000000-0005-0000-0000-0000009E0000}"/>
    <cellStyle name="Texto explicativo 22" xfId="11279" xr:uid="{00000000-0005-0000-0000-0000019E0000}"/>
    <cellStyle name="Texto explicativo 23" xfId="11280" xr:uid="{00000000-0005-0000-0000-0000029E0000}"/>
    <cellStyle name="Texto explicativo 24" xfId="11281" xr:uid="{00000000-0005-0000-0000-0000039E0000}"/>
    <cellStyle name="Texto explicativo 25" xfId="11282" xr:uid="{00000000-0005-0000-0000-0000049E0000}"/>
    <cellStyle name="Texto explicativo 26" xfId="11283" xr:uid="{00000000-0005-0000-0000-0000059E0000}"/>
    <cellStyle name="Texto explicativo 27" xfId="11284" xr:uid="{00000000-0005-0000-0000-0000069E0000}"/>
    <cellStyle name="Texto explicativo 28" xfId="11285" xr:uid="{00000000-0005-0000-0000-0000079E0000}"/>
    <cellStyle name="Texto explicativo 29" xfId="11286" xr:uid="{00000000-0005-0000-0000-0000089E0000}"/>
    <cellStyle name="Texto explicativo 3" xfId="11287" xr:uid="{00000000-0005-0000-0000-0000099E0000}"/>
    <cellStyle name="Texto explicativo 3 2" xfId="29224" xr:uid="{00000000-0005-0000-0000-00000A9E0000}"/>
    <cellStyle name="Texto explicativo 3 3" xfId="29225" xr:uid="{00000000-0005-0000-0000-00000B9E0000}"/>
    <cellStyle name="Texto explicativo 30" xfId="11288" xr:uid="{00000000-0005-0000-0000-00000C9E0000}"/>
    <cellStyle name="Texto explicativo 31" xfId="11289" xr:uid="{00000000-0005-0000-0000-00000D9E0000}"/>
    <cellStyle name="Texto explicativo 32" xfId="11290" xr:uid="{00000000-0005-0000-0000-00000E9E0000}"/>
    <cellStyle name="Texto explicativo 33" xfId="11291" xr:uid="{00000000-0005-0000-0000-00000F9E0000}"/>
    <cellStyle name="Texto explicativo 34" xfId="11292" xr:uid="{00000000-0005-0000-0000-0000109E0000}"/>
    <cellStyle name="Texto explicativo 35" xfId="11293" xr:uid="{00000000-0005-0000-0000-0000119E0000}"/>
    <cellStyle name="Texto explicativo 36" xfId="11294" xr:uid="{00000000-0005-0000-0000-0000129E0000}"/>
    <cellStyle name="Texto explicativo 37" xfId="11295" xr:uid="{00000000-0005-0000-0000-0000139E0000}"/>
    <cellStyle name="Texto explicativo 38" xfId="11296" xr:uid="{00000000-0005-0000-0000-0000149E0000}"/>
    <cellStyle name="Texto explicativo 39" xfId="11297" xr:uid="{00000000-0005-0000-0000-0000159E0000}"/>
    <cellStyle name="Texto explicativo 4" xfId="11298" xr:uid="{00000000-0005-0000-0000-0000169E0000}"/>
    <cellStyle name="Texto explicativo 4 2" xfId="29226" xr:uid="{00000000-0005-0000-0000-0000179E0000}"/>
    <cellStyle name="Texto explicativo 4 3" xfId="29227" xr:uid="{00000000-0005-0000-0000-0000189E0000}"/>
    <cellStyle name="Texto explicativo 40" xfId="11299" xr:uid="{00000000-0005-0000-0000-0000199E0000}"/>
    <cellStyle name="Texto explicativo 41" xfId="11300" xr:uid="{00000000-0005-0000-0000-00001A9E0000}"/>
    <cellStyle name="Texto explicativo 42" xfId="11301" xr:uid="{00000000-0005-0000-0000-00001B9E0000}"/>
    <cellStyle name="Texto explicativo 43" xfId="11302" xr:uid="{00000000-0005-0000-0000-00001C9E0000}"/>
    <cellStyle name="Texto explicativo 44" xfId="11303" xr:uid="{00000000-0005-0000-0000-00001D9E0000}"/>
    <cellStyle name="Texto explicativo 45" xfId="11304" xr:uid="{00000000-0005-0000-0000-00001E9E0000}"/>
    <cellStyle name="Texto explicativo 46" xfId="11305" xr:uid="{00000000-0005-0000-0000-00001F9E0000}"/>
    <cellStyle name="Texto explicativo 47" xfId="11306" xr:uid="{00000000-0005-0000-0000-0000209E0000}"/>
    <cellStyle name="Texto explicativo 48" xfId="11307" xr:uid="{00000000-0005-0000-0000-0000219E0000}"/>
    <cellStyle name="Texto explicativo 49" xfId="11308" xr:uid="{00000000-0005-0000-0000-0000229E0000}"/>
    <cellStyle name="Texto explicativo 5" xfId="11309" xr:uid="{00000000-0005-0000-0000-0000239E0000}"/>
    <cellStyle name="Texto explicativo 5 2" xfId="29228" xr:uid="{00000000-0005-0000-0000-0000249E0000}"/>
    <cellStyle name="Texto explicativo 50" xfId="11310" xr:uid="{00000000-0005-0000-0000-0000259E0000}"/>
    <cellStyle name="Texto explicativo 6" xfId="11311" xr:uid="{00000000-0005-0000-0000-0000269E0000}"/>
    <cellStyle name="Texto explicativo 6 2" xfId="29229" xr:uid="{00000000-0005-0000-0000-0000279E0000}"/>
    <cellStyle name="Texto explicativo 7" xfId="11312" xr:uid="{00000000-0005-0000-0000-0000289E0000}"/>
    <cellStyle name="Texto explicativo 7 2" xfId="29230" xr:uid="{00000000-0005-0000-0000-0000299E0000}"/>
    <cellStyle name="Texto explicativo 8" xfId="11313" xr:uid="{00000000-0005-0000-0000-00002A9E0000}"/>
    <cellStyle name="Texto explicativo 8 2" xfId="29231" xr:uid="{00000000-0005-0000-0000-00002B9E0000}"/>
    <cellStyle name="Texto explicativo 9" xfId="11314" xr:uid="{00000000-0005-0000-0000-00002C9E0000}"/>
    <cellStyle name="Texto explicativo 9 2" xfId="29232" xr:uid="{00000000-0005-0000-0000-00002D9E0000}"/>
    <cellStyle name="Title" xfId="29233" xr:uid="{00000000-0005-0000-0000-00002E9E0000}"/>
    <cellStyle name="Title 2" xfId="33947" xr:uid="{00000000-0005-0000-0000-00002F9E0000}"/>
    <cellStyle name="Title_CARGUE MASIVO INYECCION" xfId="33948" xr:uid="{00000000-0005-0000-0000-0000309E0000}"/>
    <cellStyle name="Título 1 10" xfId="11315" xr:uid="{00000000-0005-0000-0000-0000319E0000}"/>
    <cellStyle name="Título 1 11" xfId="11316" xr:uid="{00000000-0005-0000-0000-0000329E0000}"/>
    <cellStyle name="Título 1 12" xfId="11317" xr:uid="{00000000-0005-0000-0000-0000339E0000}"/>
    <cellStyle name="Título 1 13" xfId="11318" xr:uid="{00000000-0005-0000-0000-0000349E0000}"/>
    <cellStyle name="Título 1 14" xfId="11319" xr:uid="{00000000-0005-0000-0000-0000359E0000}"/>
    <cellStyle name="Título 1 15" xfId="11320" xr:uid="{00000000-0005-0000-0000-0000369E0000}"/>
    <cellStyle name="Título 1 16" xfId="11321" xr:uid="{00000000-0005-0000-0000-0000379E0000}"/>
    <cellStyle name="Título 1 17" xfId="11322" xr:uid="{00000000-0005-0000-0000-0000389E0000}"/>
    <cellStyle name="Título 1 18" xfId="11323" xr:uid="{00000000-0005-0000-0000-0000399E0000}"/>
    <cellStyle name="Título 1 19" xfId="11324" xr:uid="{00000000-0005-0000-0000-00003A9E0000}"/>
    <cellStyle name="Título 1 2" xfId="11325" xr:uid="{00000000-0005-0000-0000-00003B9E0000}"/>
    <cellStyle name="Título 1 2 2" xfId="29234" xr:uid="{00000000-0005-0000-0000-00003C9E0000}"/>
    <cellStyle name="Título 1 2 3" xfId="29235" xr:uid="{00000000-0005-0000-0000-00003D9E0000}"/>
    <cellStyle name="Título 1 20" xfId="11326" xr:uid="{00000000-0005-0000-0000-00003E9E0000}"/>
    <cellStyle name="Título 1 21" xfId="11327" xr:uid="{00000000-0005-0000-0000-00003F9E0000}"/>
    <cellStyle name="Título 1 22" xfId="11328" xr:uid="{00000000-0005-0000-0000-0000409E0000}"/>
    <cellStyle name="Título 1 23" xfId="11329" xr:uid="{00000000-0005-0000-0000-0000419E0000}"/>
    <cellStyle name="Título 1 24" xfId="11330" xr:uid="{00000000-0005-0000-0000-0000429E0000}"/>
    <cellStyle name="Título 1 25" xfId="11331" xr:uid="{00000000-0005-0000-0000-0000439E0000}"/>
    <cellStyle name="Título 1 26" xfId="11332" xr:uid="{00000000-0005-0000-0000-0000449E0000}"/>
    <cellStyle name="Título 1 27" xfId="11333" xr:uid="{00000000-0005-0000-0000-0000459E0000}"/>
    <cellStyle name="Título 1 28" xfId="11334" xr:uid="{00000000-0005-0000-0000-0000469E0000}"/>
    <cellStyle name="Título 1 29" xfId="11335" xr:uid="{00000000-0005-0000-0000-0000479E0000}"/>
    <cellStyle name="Título 1 3" xfId="11336" xr:uid="{00000000-0005-0000-0000-0000489E0000}"/>
    <cellStyle name="Título 1 3 2" xfId="29236" xr:uid="{00000000-0005-0000-0000-0000499E0000}"/>
    <cellStyle name="Título 1 3 3" xfId="29237" xr:uid="{00000000-0005-0000-0000-00004A9E0000}"/>
    <cellStyle name="Título 1 30" xfId="11337" xr:uid="{00000000-0005-0000-0000-00004B9E0000}"/>
    <cellStyle name="Título 1 31" xfId="11338" xr:uid="{00000000-0005-0000-0000-00004C9E0000}"/>
    <cellStyle name="Título 1 32" xfId="11339" xr:uid="{00000000-0005-0000-0000-00004D9E0000}"/>
    <cellStyle name="Título 1 33" xfId="11340" xr:uid="{00000000-0005-0000-0000-00004E9E0000}"/>
    <cellStyle name="Título 1 34" xfId="11341" xr:uid="{00000000-0005-0000-0000-00004F9E0000}"/>
    <cellStyle name="Título 1 35" xfId="11342" xr:uid="{00000000-0005-0000-0000-0000509E0000}"/>
    <cellStyle name="Título 1 36" xfId="11343" xr:uid="{00000000-0005-0000-0000-0000519E0000}"/>
    <cellStyle name="Título 1 37" xfId="11344" xr:uid="{00000000-0005-0000-0000-0000529E0000}"/>
    <cellStyle name="Título 1 38" xfId="11345" xr:uid="{00000000-0005-0000-0000-0000539E0000}"/>
    <cellStyle name="Título 1 39" xfId="11346" xr:uid="{00000000-0005-0000-0000-0000549E0000}"/>
    <cellStyle name="Título 1 4" xfId="11347" xr:uid="{00000000-0005-0000-0000-0000559E0000}"/>
    <cellStyle name="Título 1 4 2" xfId="29238" xr:uid="{00000000-0005-0000-0000-0000569E0000}"/>
    <cellStyle name="Título 1 4 3" xfId="29239" xr:uid="{00000000-0005-0000-0000-0000579E0000}"/>
    <cellStyle name="Título 1 40" xfId="11348" xr:uid="{00000000-0005-0000-0000-0000589E0000}"/>
    <cellStyle name="Título 1 41" xfId="11349" xr:uid="{00000000-0005-0000-0000-0000599E0000}"/>
    <cellStyle name="Título 1 42" xfId="11350" xr:uid="{00000000-0005-0000-0000-00005A9E0000}"/>
    <cellStyle name="Título 1 43" xfId="11351" xr:uid="{00000000-0005-0000-0000-00005B9E0000}"/>
    <cellStyle name="Título 1 44" xfId="11352" xr:uid="{00000000-0005-0000-0000-00005C9E0000}"/>
    <cellStyle name="Título 1 45" xfId="11353" xr:uid="{00000000-0005-0000-0000-00005D9E0000}"/>
    <cellStyle name="Título 1 46" xfId="11354" xr:uid="{00000000-0005-0000-0000-00005E9E0000}"/>
    <cellStyle name="Título 1 47" xfId="11355" xr:uid="{00000000-0005-0000-0000-00005F9E0000}"/>
    <cellStyle name="Título 1 48" xfId="11356" xr:uid="{00000000-0005-0000-0000-0000609E0000}"/>
    <cellStyle name="Título 1 49" xfId="11357" xr:uid="{00000000-0005-0000-0000-0000619E0000}"/>
    <cellStyle name="Título 1 5" xfId="11358" xr:uid="{00000000-0005-0000-0000-0000629E0000}"/>
    <cellStyle name="Título 1 5 2" xfId="29240" xr:uid="{00000000-0005-0000-0000-0000639E0000}"/>
    <cellStyle name="Título 1 50" xfId="11359" xr:uid="{00000000-0005-0000-0000-0000649E0000}"/>
    <cellStyle name="Título 1 6" xfId="11360" xr:uid="{00000000-0005-0000-0000-0000659E0000}"/>
    <cellStyle name="Título 1 6 2" xfId="29241" xr:uid="{00000000-0005-0000-0000-0000669E0000}"/>
    <cellStyle name="Título 1 7" xfId="11361" xr:uid="{00000000-0005-0000-0000-0000679E0000}"/>
    <cellStyle name="Título 1 7 2" xfId="29242" xr:uid="{00000000-0005-0000-0000-0000689E0000}"/>
    <cellStyle name="Título 1 8" xfId="11362" xr:uid="{00000000-0005-0000-0000-0000699E0000}"/>
    <cellStyle name="Título 1 8 2" xfId="29243" xr:uid="{00000000-0005-0000-0000-00006A9E0000}"/>
    <cellStyle name="Título 1 9" xfId="11363" xr:uid="{00000000-0005-0000-0000-00006B9E0000}"/>
    <cellStyle name="Título 1 9 2" xfId="29244" xr:uid="{00000000-0005-0000-0000-00006C9E0000}"/>
    <cellStyle name="Título 10" xfId="11364" xr:uid="{00000000-0005-0000-0000-00006D9E0000}"/>
    <cellStyle name="Título 10 2" xfId="29245" xr:uid="{00000000-0005-0000-0000-00006E9E0000}"/>
    <cellStyle name="Título 11" xfId="11365" xr:uid="{00000000-0005-0000-0000-00006F9E0000}"/>
    <cellStyle name="Título 11 2" xfId="29246" xr:uid="{00000000-0005-0000-0000-0000709E0000}"/>
    <cellStyle name="Título 12" xfId="11366" xr:uid="{00000000-0005-0000-0000-0000719E0000}"/>
    <cellStyle name="Título 13" xfId="11367" xr:uid="{00000000-0005-0000-0000-0000729E0000}"/>
    <cellStyle name="Título 14" xfId="11368" xr:uid="{00000000-0005-0000-0000-0000739E0000}"/>
    <cellStyle name="Título 15" xfId="11369" xr:uid="{00000000-0005-0000-0000-0000749E0000}"/>
    <cellStyle name="Título 16" xfId="11370" xr:uid="{00000000-0005-0000-0000-0000759E0000}"/>
    <cellStyle name="Título 17" xfId="11371" xr:uid="{00000000-0005-0000-0000-0000769E0000}"/>
    <cellStyle name="Título 18" xfId="11372" xr:uid="{00000000-0005-0000-0000-0000779E0000}"/>
    <cellStyle name="Título 19" xfId="11373" xr:uid="{00000000-0005-0000-0000-0000789E0000}"/>
    <cellStyle name="Título 2 10" xfId="11374" xr:uid="{00000000-0005-0000-0000-0000799E0000}"/>
    <cellStyle name="Título 2 11" xfId="11375" xr:uid="{00000000-0005-0000-0000-00007A9E0000}"/>
    <cellStyle name="Título 2 12" xfId="11376" xr:uid="{00000000-0005-0000-0000-00007B9E0000}"/>
    <cellStyle name="Título 2 13" xfId="11377" xr:uid="{00000000-0005-0000-0000-00007C9E0000}"/>
    <cellStyle name="Título 2 14" xfId="11378" xr:uid="{00000000-0005-0000-0000-00007D9E0000}"/>
    <cellStyle name="Título 2 15" xfId="11379" xr:uid="{00000000-0005-0000-0000-00007E9E0000}"/>
    <cellStyle name="Título 2 16" xfId="11380" xr:uid="{00000000-0005-0000-0000-00007F9E0000}"/>
    <cellStyle name="Título 2 17" xfId="11381" xr:uid="{00000000-0005-0000-0000-0000809E0000}"/>
    <cellStyle name="Título 2 18" xfId="11382" xr:uid="{00000000-0005-0000-0000-0000819E0000}"/>
    <cellStyle name="Título 2 19" xfId="11383" xr:uid="{00000000-0005-0000-0000-0000829E0000}"/>
    <cellStyle name="Título 2 2" xfId="11384" xr:uid="{00000000-0005-0000-0000-0000839E0000}"/>
    <cellStyle name="Título 2 2 2" xfId="29247" xr:uid="{00000000-0005-0000-0000-0000849E0000}"/>
    <cellStyle name="Título 2 2 3" xfId="29248" xr:uid="{00000000-0005-0000-0000-0000859E0000}"/>
    <cellStyle name="Título 2 20" xfId="11385" xr:uid="{00000000-0005-0000-0000-0000869E0000}"/>
    <cellStyle name="Título 2 21" xfId="11386" xr:uid="{00000000-0005-0000-0000-0000879E0000}"/>
    <cellStyle name="Título 2 22" xfId="11387" xr:uid="{00000000-0005-0000-0000-0000889E0000}"/>
    <cellStyle name="Título 2 23" xfId="11388" xr:uid="{00000000-0005-0000-0000-0000899E0000}"/>
    <cellStyle name="Título 2 24" xfId="11389" xr:uid="{00000000-0005-0000-0000-00008A9E0000}"/>
    <cellStyle name="Título 2 25" xfId="11390" xr:uid="{00000000-0005-0000-0000-00008B9E0000}"/>
    <cellStyle name="Título 2 26" xfId="11391" xr:uid="{00000000-0005-0000-0000-00008C9E0000}"/>
    <cellStyle name="Título 2 27" xfId="11392" xr:uid="{00000000-0005-0000-0000-00008D9E0000}"/>
    <cellStyle name="Título 2 28" xfId="11393" xr:uid="{00000000-0005-0000-0000-00008E9E0000}"/>
    <cellStyle name="Título 2 29" xfId="11394" xr:uid="{00000000-0005-0000-0000-00008F9E0000}"/>
    <cellStyle name="Título 2 3" xfId="11395" xr:uid="{00000000-0005-0000-0000-0000909E0000}"/>
    <cellStyle name="Título 2 3 2" xfId="29249" xr:uid="{00000000-0005-0000-0000-0000919E0000}"/>
    <cellStyle name="Título 2 3 3" xfId="29250" xr:uid="{00000000-0005-0000-0000-0000929E0000}"/>
    <cellStyle name="Título 2 30" xfId="11396" xr:uid="{00000000-0005-0000-0000-0000939E0000}"/>
    <cellStyle name="Título 2 31" xfId="11397" xr:uid="{00000000-0005-0000-0000-0000949E0000}"/>
    <cellStyle name="Título 2 32" xfId="11398" xr:uid="{00000000-0005-0000-0000-0000959E0000}"/>
    <cellStyle name="Título 2 33" xfId="11399" xr:uid="{00000000-0005-0000-0000-0000969E0000}"/>
    <cellStyle name="Título 2 34" xfId="11400" xr:uid="{00000000-0005-0000-0000-0000979E0000}"/>
    <cellStyle name="Título 2 35" xfId="11401" xr:uid="{00000000-0005-0000-0000-0000989E0000}"/>
    <cellStyle name="Título 2 36" xfId="11402" xr:uid="{00000000-0005-0000-0000-0000999E0000}"/>
    <cellStyle name="Título 2 37" xfId="11403" xr:uid="{00000000-0005-0000-0000-00009A9E0000}"/>
    <cellStyle name="Título 2 38" xfId="11404" xr:uid="{00000000-0005-0000-0000-00009B9E0000}"/>
    <cellStyle name="Título 2 39" xfId="11405" xr:uid="{00000000-0005-0000-0000-00009C9E0000}"/>
    <cellStyle name="Título 2 4" xfId="11406" xr:uid="{00000000-0005-0000-0000-00009D9E0000}"/>
    <cellStyle name="Título 2 4 2" xfId="29251" xr:uid="{00000000-0005-0000-0000-00009E9E0000}"/>
    <cellStyle name="Título 2 4 3" xfId="29252" xr:uid="{00000000-0005-0000-0000-00009F9E0000}"/>
    <cellStyle name="Título 2 40" xfId="11407" xr:uid="{00000000-0005-0000-0000-0000A09E0000}"/>
    <cellStyle name="Título 2 41" xfId="11408" xr:uid="{00000000-0005-0000-0000-0000A19E0000}"/>
    <cellStyle name="Título 2 42" xfId="11409" xr:uid="{00000000-0005-0000-0000-0000A29E0000}"/>
    <cellStyle name="Título 2 43" xfId="11410" xr:uid="{00000000-0005-0000-0000-0000A39E0000}"/>
    <cellStyle name="Título 2 44" xfId="11411" xr:uid="{00000000-0005-0000-0000-0000A49E0000}"/>
    <cellStyle name="Título 2 45" xfId="11412" xr:uid="{00000000-0005-0000-0000-0000A59E0000}"/>
    <cellStyle name="Título 2 46" xfId="11413" xr:uid="{00000000-0005-0000-0000-0000A69E0000}"/>
    <cellStyle name="Título 2 47" xfId="11414" xr:uid="{00000000-0005-0000-0000-0000A79E0000}"/>
    <cellStyle name="Título 2 48" xfId="11415" xr:uid="{00000000-0005-0000-0000-0000A89E0000}"/>
    <cellStyle name="Título 2 49" xfId="11416" xr:uid="{00000000-0005-0000-0000-0000A99E0000}"/>
    <cellStyle name="Título 2 5" xfId="11417" xr:uid="{00000000-0005-0000-0000-0000AA9E0000}"/>
    <cellStyle name="Título 2 5 2" xfId="29253" xr:uid="{00000000-0005-0000-0000-0000AB9E0000}"/>
    <cellStyle name="Título 2 50" xfId="11418" xr:uid="{00000000-0005-0000-0000-0000AC9E0000}"/>
    <cellStyle name="Título 2 6" xfId="11419" xr:uid="{00000000-0005-0000-0000-0000AD9E0000}"/>
    <cellStyle name="Título 2 6 2" xfId="29254" xr:uid="{00000000-0005-0000-0000-0000AE9E0000}"/>
    <cellStyle name="Título 2 7" xfId="11420" xr:uid="{00000000-0005-0000-0000-0000AF9E0000}"/>
    <cellStyle name="Título 2 7 2" xfId="29255" xr:uid="{00000000-0005-0000-0000-0000B09E0000}"/>
    <cellStyle name="Título 2 8" xfId="11421" xr:uid="{00000000-0005-0000-0000-0000B19E0000}"/>
    <cellStyle name="Título 2 8 2" xfId="29256" xr:uid="{00000000-0005-0000-0000-0000B29E0000}"/>
    <cellStyle name="Título 2 9" xfId="11422" xr:uid="{00000000-0005-0000-0000-0000B39E0000}"/>
    <cellStyle name="Título 2 9 2" xfId="29257" xr:uid="{00000000-0005-0000-0000-0000B49E0000}"/>
    <cellStyle name="Título 20" xfId="11423" xr:uid="{00000000-0005-0000-0000-0000B59E0000}"/>
    <cellStyle name="Título 21" xfId="11424" xr:uid="{00000000-0005-0000-0000-0000B69E0000}"/>
    <cellStyle name="Título 22" xfId="11425" xr:uid="{00000000-0005-0000-0000-0000B79E0000}"/>
    <cellStyle name="Título 23" xfId="11426" xr:uid="{00000000-0005-0000-0000-0000B89E0000}"/>
    <cellStyle name="Título 24" xfId="11427" xr:uid="{00000000-0005-0000-0000-0000B99E0000}"/>
    <cellStyle name="Título 25" xfId="11428" xr:uid="{00000000-0005-0000-0000-0000BA9E0000}"/>
    <cellStyle name="Título 26" xfId="11429" xr:uid="{00000000-0005-0000-0000-0000BB9E0000}"/>
    <cellStyle name="Título 27" xfId="11430" xr:uid="{00000000-0005-0000-0000-0000BC9E0000}"/>
    <cellStyle name="Título 28" xfId="11431" xr:uid="{00000000-0005-0000-0000-0000BD9E0000}"/>
    <cellStyle name="Título 29" xfId="11432" xr:uid="{00000000-0005-0000-0000-0000BE9E0000}"/>
    <cellStyle name="Título 3 10" xfId="11433" xr:uid="{00000000-0005-0000-0000-0000BF9E0000}"/>
    <cellStyle name="Título 3 11" xfId="11434" xr:uid="{00000000-0005-0000-0000-0000C09E0000}"/>
    <cellStyle name="Título 3 12" xfId="11435" xr:uid="{00000000-0005-0000-0000-0000C19E0000}"/>
    <cellStyle name="Título 3 13" xfId="11436" xr:uid="{00000000-0005-0000-0000-0000C29E0000}"/>
    <cellStyle name="Título 3 14" xfId="11437" xr:uid="{00000000-0005-0000-0000-0000C39E0000}"/>
    <cellStyle name="Título 3 15" xfId="11438" xr:uid="{00000000-0005-0000-0000-0000C49E0000}"/>
    <cellStyle name="Título 3 16" xfId="11439" xr:uid="{00000000-0005-0000-0000-0000C59E0000}"/>
    <cellStyle name="Título 3 17" xfId="11440" xr:uid="{00000000-0005-0000-0000-0000C69E0000}"/>
    <cellStyle name="Título 3 18" xfId="11441" xr:uid="{00000000-0005-0000-0000-0000C79E0000}"/>
    <cellStyle name="Título 3 19" xfId="11442" xr:uid="{00000000-0005-0000-0000-0000C89E0000}"/>
    <cellStyle name="Título 3 2" xfId="11443" xr:uid="{00000000-0005-0000-0000-0000C99E0000}"/>
    <cellStyle name="Título 3 2 2" xfId="29258" xr:uid="{00000000-0005-0000-0000-0000CA9E0000}"/>
    <cellStyle name="Título 3 2 3" xfId="29259" xr:uid="{00000000-0005-0000-0000-0000CB9E0000}"/>
    <cellStyle name="Título 3 20" xfId="11444" xr:uid="{00000000-0005-0000-0000-0000CC9E0000}"/>
    <cellStyle name="Título 3 21" xfId="11445" xr:uid="{00000000-0005-0000-0000-0000CD9E0000}"/>
    <cellStyle name="Título 3 22" xfId="11446" xr:uid="{00000000-0005-0000-0000-0000CE9E0000}"/>
    <cellStyle name="Título 3 23" xfId="11447" xr:uid="{00000000-0005-0000-0000-0000CF9E0000}"/>
    <cellStyle name="Título 3 24" xfId="11448" xr:uid="{00000000-0005-0000-0000-0000D09E0000}"/>
    <cellStyle name="Título 3 25" xfId="11449" xr:uid="{00000000-0005-0000-0000-0000D19E0000}"/>
    <cellStyle name="Título 3 26" xfId="11450" xr:uid="{00000000-0005-0000-0000-0000D29E0000}"/>
    <cellStyle name="Título 3 27" xfId="11451" xr:uid="{00000000-0005-0000-0000-0000D39E0000}"/>
    <cellStyle name="Título 3 28" xfId="11452" xr:uid="{00000000-0005-0000-0000-0000D49E0000}"/>
    <cellStyle name="Título 3 29" xfId="11453" xr:uid="{00000000-0005-0000-0000-0000D59E0000}"/>
    <cellStyle name="Título 3 3" xfId="11454" xr:uid="{00000000-0005-0000-0000-0000D69E0000}"/>
    <cellStyle name="Título 3 3 2" xfId="29260" xr:uid="{00000000-0005-0000-0000-0000D79E0000}"/>
    <cellStyle name="Título 3 3 3" xfId="29261" xr:uid="{00000000-0005-0000-0000-0000D89E0000}"/>
    <cellStyle name="Título 3 30" xfId="11455" xr:uid="{00000000-0005-0000-0000-0000D99E0000}"/>
    <cellStyle name="Título 3 31" xfId="11456" xr:uid="{00000000-0005-0000-0000-0000DA9E0000}"/>
    <cellStyle name="Título 3 32" xfId="11457" xr:uid="{00000000-0005-0000-0000-0000DB9E0000}"/>
    <cellStyle name="Título 3 33" xfId="11458" xr:uid="{00000000-0005-0000-0000-0000DC9E0000}"/>
    <cellStyle name="Título 3 34" xfId="11459" xr:uid="{00000000-0005-0000-0000-0000DD9E0000}"/>
    <cellStyle name="Título 3 35" xfId="11460" xr:uid="{00000000-0005-0000-0000-0000DE9E0000}"/>
    <cellStyle name="Título 3 36" xfId="11461" xr:uid="{00000000-0005-0000-0000-0000DF9E0000}"/>
    <cellStyle name="Título 3 37" xfId="11462" xr:uid="{00000000-0005-0000-0000-0000E09E0000}"/>
    <cellStyle name="Título 3 38" xfId="11463" xr:uid="{00000000-0005-0000-0000-0000E19E0000}"/>
    <cellStyle name="Título 3 39" xfId="11464" xr:uid="{00000000-0005-0000-0000-0000E29E0000}"/>
    <cellStyle name="Título 3 4" xfId="11465" xr:uid="{00000000-0005-0000-0000-0000E39E0000}"/>
    <cellStyle name="Título 3 4 2" xfId="29262" xr:uid="{00000000-0005-0000-0000-0000E49E0000}"/>
    <cellStyle name="Título 3 4 3" xfId="29263" xr:uid="{00000000-0005-0000-0000-0000E59E0000}"/>
    <cellStyle name="Título 3 40" xfId="11466" xr:uid="{00000000-0005-0000-0000-0000E69E0000}"/>
    <cellStyle name="Título 3 41" xfId="11467" xr:uid="{00000000-0005-0000-0000-0000E79E0000}"/>
    <cellStyle name="Título 3 42" xfId="11468" xr:uid="{00000000-0005-0000-0000-0000E89E0000}"/>
    <cellStyle name="Título 3 43" xfId="11469" xr:uid="{00000000-0005-0000-0000-0000E99E0000}"/>
    <cellStyle name="Título 3 44" xfId="11470" xr:uid="{00000000-0005-0000-0000-0000EA9E0000}"/>
    <cellStyle name="Título 3 45" xfId="11471" xr:uid="{00000000-0005-0000-0000-0000EB9E0000}"/>
    <cellStyle name="Título 3 46" xfId="11472" xr:uid="{00000000-0005-0000-0000-0000EC9E0000}"/>
    <cellStyle name="Título 3 47" xfId="11473" xr:uid="{00000000-0005-0000-0000-0000ED9E0000}"/>
    <cellStyle name="Título 3 48" xfId="11474" xr:uid="{00000000-0005-0000-0000-0000EE9E0000}"/>
    <cellStyle name="Título 3 49" xfId="11475" xr:uid="{00000000-0005-0000-0000-0000EF9E0000}"/>
    <cellStyle name="Título 3 5" xfId="11476" xr:uid="{00000000-0005-0000-0000-0000F09E0000}"/>
    <cellStyle name="Título 3 5 2" xfId="29264" xr:uid="{00000000-0005-0000-0000-0000F19E0000}"/>
    <cellStyle name="Título 3 50" xfId="11477" xr:uid="{00000000-0005-0000-0000-0000F29E0000}"/>
    <cellStyle name="Título 3 6" xfId="11478" xr:uid="{00000000-0005-0000-0000-0000F39E0000}"/>
    <cellStyle name="Título 3 6 2" xfId="29265" xr:uid="{00000000-0005-0000-0000-0000F49E0000}"/>
    <cellStyle name="Título 3 7" xfId="11479" xr:uid="{00000000-0005-0000-0000-0000F59E0000}"/>
    <cellStyle name="Título 3 7 2" xfId="29266" xr:uid="{00000000-0005-0000-0000-0000F69E0000}"/>
    <cellStyle name="Título 3 8" xfId="11480" xr:uid="{00000000-0005-0000-0000-0000F79E0000}"/>
    <cellStyle name="Título 3 8 2" xfId="29267" xr:uid="{00000000-0005-0000-0000-0000F89E0000}"/>
    <cellStyle name="Título 3 9" xfId="11481" xr:uid="{00000000-0005-0000-0000-0000F99E0000}"/>
    <cellStyle name="Título 3 9 2" xfId="29268" xr:uid="{00000000-0005-0000-0000-0000FA9E0000}"/>
    <cellStyle name="Título 30" xfId="11482" xr:uid="{00000000-0005-0000-0000-0000FB9E0000}"/>
    <cellStyle name="Título 31" xfId="11483" xr:uid="{00000000-0005-0000-0000-0000FC9E0000}"/>
    <cellStyle name="Título 32" xfId="11484" xr:uid="{00000000-0005-0000-0000-0000FD9E0000}"/>
    <cellStyle name="Título 33" xfId="11485" xr:uid="{00000000-0005-0000-0000-0000FE9E0000}"/>
    <cellStyle name="Título 34" xfId="11486" xr:uid="{00000000-0005-0000-0000-0000FF9E0000}"/>
    <cellStyle name="Título 35" xfId="11487" xr:uid="{00000000-0005-0000-0000-0000009F0000}"/>
    <cellStyle name="Título 36" xfId="11488" xr:uid="{00000000-0005-0000-0000-0000019F0000}"/>
    <cellStyle name="Título 37" xfId="11489" xr:uid="{00000000-0005-0000-0000-0000029F0000}"/>
    <cellStyle name="Título 38" xfId="11490" xr:uid="{00000000-0005-0000-0000-0000039F0000}"/>
    <cellStyle name="Título 39" xfId="11491" xr:uid="{00000000-0005-0000-0000-0000049F0000}"/>
    <cellStyle name="Título 4" xfId="11492" xr:uid="{00000000-0005-0000-0000-0000059F0000}"/>
    <cellStyle name="Título 4 2" xfId="29269" xr:uid="{00000000-0005-0000-0000-0000069F0000}"/>
    <cellStyle name="Título 4 3" xfId="29270" xr:uid="{00000000-0005-0000-0000-0000079F0000}"/>
    <cellStyle name="Título 4 4" xfId="29271" xr:uid="{00000000-0005-0000-0000-0000089F0000}"/>
    <cellStyle name="Título 40" xfId="11493" xr:uid="{00000000-0005-0000-0000-0000099F0000}"/>
    <cellStyle name="Título 41" xfId="11494" xr:uid="{00000000-0005-0000-0000-00000A9F0000}"/>
    <cellStyle name="Título 42" xfId="11495" xr:uid="{00000000-0005-0000-0000-00000B9F0000}"/>
    <cellStyle name="Título 43" xfId="11496" xr:uid="{00000000-0005-0000-0000-00000C9F0000}"/>
    <cellStyle name="Título 44" xfId="11497" xr:uid="{00000000-0005-0000-0000-00000D9F0000}"/>
    <cellStyle name="Título 45" xfId="11498" xr:uid="{00000000-0005-0000-0000-00000E9F0000}"/>
    <cellStyle name="Título 46" xfId="11499" xr:uid="{00000000-0005-0000-0000-00000F9F0000}"/>
    <cellStyle name="Título 47" xfId="11500" xr:uid="{00000000-0005-0000-0000-0000109F0000}"/>
    <cellStyle name="Título 48" xfId="11501" xr:uid="{00000000-0005-0000-0000-0000119F0000}"/>
    <cellStyle name="Título 49" xfId="11502" xr:uid="{00000000-0005-0000-0000-0000129F0000}"/>
    <cellStyle name="Título 5" xfId="11503" xr:uid="{00000000-0005-0000-0000-0000139F0000}"/>
    <cellStyle name="Título 5 2" xfId="29272" xr:uid="{00000000-0005-0000-0000-0000149F0000}"/>
    <cellStyle name="Título 5 3" xfId="29273" xr:uid="{00000000-0005-0000-0000-0000159F0000}"/>
    <cellStyle name="Título 50" xfId="11504" xr:uid="{00000000-0005-0000-0000-0000169F0000}"/>
    <cellStyle name="Título 51" xfId="11505" xr:uid="{00000000-0005-0000-0000-0000179F0000}"/>
    <cellStyle name="Título 52" xfId="11506" xr:uid="{00000000-0005-0000-0000-0000189F0000}"/>
    <cellStyle name="Título 6" xfId="11507" xr:uid="{00000000-0005-0000-0000-0000199F0000}"/>
    <cellStyle name="Título 6 2" xfId="29274" xr:uid="{00000000-0005-0000-0000-00001A9F0000}"/>
    <cellStyle name="Título 6 3" xfId="29275" xr:uid="{00000000-0005-0000-0000-00001B9F0000}"/>
    <cellStyle name="Título 7" xfId="11508" xr:uid="{00000000-0005-0000-0000-00001C9F0000}"/>
    <cellStyle name="Título 7 2" xfId="29276" xr:uid="{00000000-0005-0000-0000-00001D9F0000}"/>
    <cellStyle name="Título 8" xfId="11509" xr:uid="{00000000-0005-0000-0000-00001E9F0000}"/>
    <cellStyle name="Título 8 2" xfId="29277" xr:uid="{00000000-0005-0000-0000-00001F9F0000}"/>
    <cellStyle name="Título 9" xfId="11510" xr:uid="{00000000-0005-0000-0000-0000209F0000}"/>
    <cellStyle name="Título 9 2" xfId="29278" xr:uid="{00000000-0005-0000-0000-0000219F0000}"/>
    <cellStyle name="Total 2" xfId="29279" xr:uid="{00000000-0005-0000-0000-0000229F0000}"/>
    <cellStyle name="Total 2 10" xfId="29280" xr:uid="{00000000-0005-0000-0000-0000239F0000}"/>
    <cellStyle name="Total 2 10 2" xfId="29281" xr:uid="{00000000-0005-0000-0000-0000249F0000}"/>
    <cellStyle name="Total 2 10 2 2" xfId="32406" xr:uid="{00000000-0005-0000-0000-0000259F0000}"/>
    <cellStyle name="Total 2 10 3" xfId="29282" xr:uid="{00000000-0005-0000-0000-0000269F0000}"/>
    <cellStyle name="Total 2 10 3 2" xfId="32407" xr:uid="{00000000-0005-0000-0000-0000279F0000}"/>
    <cellStyle name="Total 2 10 4" xfId="29283" xr:uid="{00000000-0005-0000-0000-0000289F0000}"/>
    <cellStyle name="Total 2 10 4 2" xfId="32408" xr:uid="{00000000-0005-0000-0000-0000299F0000}"/>
    <cellStyle name="Total 2 10 5" xfId="29284" xr:uid="{00000000-0005-0000-0000-00002A9F0000}"/>
    <cellStyle name="Total 2 10 5 2" xfId="32409" xr:uid="{00000000-0005-0000-0000-00002B9F0000}"/>
    <cellStyle name="Total 2 10 6" xfId="29285" xr:uid="{00000000-0005-0000-0000-00002C9F0000}"/>
    <cellStyle name="Total 2 10 6 2" xfId="32410" xr:uid="{00000000-0005-0000-0000-00002D9F0000}"/>
    <cellStyle name="Total 2 10 7" xfId="32405" xr:uid="{00000000-0005-0000-0000-00002E9F0000}"/>
    <cellStyle name="Total 2 11" xfId="29286" xr:uid="{00000000-0005-0000-0000-00002F9F0000}"/>
    <cellStyle name="Total 2 11 2" xfId="29287" xr:uid="{00000000-0005-0000-0000-0000309F0000}"/>
    <cellStyle name="Total 2 11 2 2" xfId="32412" xr:uid="{00000000-0005-0000-0000-0000319F0000}"/>
    <cellStyle name="Total 2 11 3" xfId="32411" xr:uid="{00000000-0005-0000-0000-0000329F0000}"/>
    <cellStyle name="Total 2 12" xfId="32404" xr:uid="{00000000-0005-0000-0000-0000339F0000}"/>
    <cellStyle name="Total 2 13" xfId="40338" xr:uid="{00000000-0005-0000-0000-0000349F0000}"/>
    <cellStyle name="Total 2 2" xfId="29288" xr:uid="{00000000-0005-0000-0000-0000359F0000}"/>
    <cellStyle name="Total 2 2 2" xfId="40339" xr:uid="{00000000-0005-0000-0000-0000369F0000}"/>
    <cellStyle name="Total 2 3" xfId="29289" xr:uid="{00000000-0005-0000-0000-0000379F0000}"/>
    <cellStyle name="Total 2 3 2" xfId="29290" xr:uid="{00000000-0005-0000-0000-0000389F0000}"/>
    <cellStyle name="Total 2 3 2 2" xfId="32414" xr:uid="{00000000-0005-0000-0000-0000399F0000}"/>
    <cellStyle name="Total 2 3 3" xfId="29291" xr:uid="{00000000-0005-0000-0000-00003A9F0000}"/>
    <cellStyle name="Total 2 3 3 2" xfId="32415" xr:uid="{00000000-0005-0000-0000-00003B9F0000}"/>
    <cellStyle name="Total 2 3 4" xfId="32413" xr:uid="{00000000-0005-0000-0000-00003C9F0000}"/>
    <cellStyle name="Total 2 3 5" xfId="40340" xr:uid="{00000000-0005-0000-0000-00003D9F0000}"/>
    <cellStyle name="Total 2 4" xfId="29292" xr:uid="{00000000-0005-0000-0000-00003E9F0000}"/>
    <cellStyle name="Total 2 4 2" xfId="29293" xr:uid="{00000000-0005-0000-0000-00003F9F0000}"/>
    <cellStyle name="Total 2 4 2 2" xfId="32417" xr:uid="{00000000-0005-0000-0000-0000409F0000}"/>
    <cellStyle name="Total 2 4 3" xfId="29294" xr:uid="{00000000-0005-0000-0000-0000419F0000}"/>
    <cellStyle name="Total 2 4 3 2" xfId="32418" xr:uid="{00000000-0005-0000-0000-0000429F0000}"/>
    <cellStyle name="Total 2 4 4" xfId="29295" xr:uid="{00000000-0005-0000-0000-0000439F0000}"/>
    <cellStyle name="Total 2 4 4 2" xfId="32419" xr:uid="{00000000-0005-0000-0000-0000449F0000}"/>
    <cellStyle name="Total 2 4 5" xfId="32416" xr:uid="{00000000-0005-0000-0000-0000459F0000}"/>
    <cellStyle name="Total 2 5" xfId="29296" xr:uid="{00000000-0005-0000-0000-0000469F0000}"/>
    <cellStyle name="Total 2 5 2" xfId="29297" xr:uid="{00000000-0005-0000-0000-0000479F0000}"/>
    <cellStyle name="Total 2 5 2 2" xfId="32421" xr:uid="{00000000-0005-0000-0000-0000489F0000}"/>
    <cellStyle name="Total 2 5 3" xfId="29298" xr:uid="{00000000-0005-0000-0000-0000499F0000}"/>
    <cellStyle name="Total 2 5 3 2" xfId="32422" xr:uid="{00000000-0005-0000-0000-00004A9F0000}"/>
    <cellStyle name="Total 2 5 4" xfId="29299" xr:uid="{00000000-0005-0000-0000-00004B9F0000}"/>
    <cellStyle name="Total 2 5 4 2" xfId="32423" xr:uid="{00000000-0005-0000-0000-00004C9F0000}"/>
    <cellStyle name="Total 2 5 5" xfId="32420" xr:uid="{00000000-0005-0000-0000-00004D9F0000}"/>
    <cellStyle name="Total 2 6" xfId="29300" xr:uid="{00000000-0005-0000-0000-00004E9F0000}"/>
    <cellStyle name="Total 2 6 2" xfId="29301" xr:uid="{00000000-0005-0000-0000-00004F9F0000}"/>
    <cellStyle name="Total 2 6 2 2" xfId="32425" xr:uid="{00000000-0005-0000-0000-0000509F0000}"/>
    <cellStyle name="Total 2 6 3" xfId="29302" xr:uid="{00000000-0005-0000-0000-0000519F0000}"/>
    <cellStyle name="Total 2 6 3 2" xfId="32426" xr:uid="{00000000-0005-0000-0000-0000529F0000}"/>
    <cellStyle name="Total 2 6 4" xfId="29303" xr:uid="{00000000-0005-0000-0000-0000539F0000}"/>
    <cellStyle name="Total 2 6 4 2" xfId="32427" xr:uid="{00000000-0005-0000-0000-0000549F0000}"/>
    <cellStyle name="Total 2 6 5" xfId="32424" xr:uid="{00000000-0005-0000-0000-0000559F0000}"/>
    <cellStyle name="Total 2 7" xfId="29304" xr:uid="{00000000-0005-0000-0000-0000569F0000}"/>
    <cellStyle name="Total 2 7 2" xfId="29305" xr:uid="{00000000-0005-0000-0000-0000579F0000}"/>
    <cellStyle name="Total 2 7 2 2" xfId="32429" xr:uid="{00000000-0005-0000-0000-0000589F0000}"/>
    <cellStyle name="Total 2 7 3" xfId="29306" xr:uid="{00000000-0005-0000-0000-0000599F0000}"/>
    <cellStyle name="Total 2 7 3 2" xfId="32430" xr:uid="{00000000-0005-0000-0000-00005A9F0000}"/>
    <cellStyle name="Total 2 7 4" xfId="29307" xr:uid="{00000000-0005-0000-0000-00005B9F0000}"/>
    <cellStyle name="Total 2 7 4 2" xfId="32431" xr:uid="{00000000-0005-0000-0000-00005C9F0000}"/>
    <cellStyle name="Total 2 7 5" xfId="32428" xr:uid="{00000000-0005-0000-0000-00005D9F0000}"/>
    <cellStyle name="Total 2 8" xfId="29308" xr:uid="{00000000-0005-0000-0000-00005E9F0000}"/>
    <cellStyle name="Total 2 8 2" xfId="29309" xr:uid="{00000000-0005-0000-0000-00005F9F0000}"/>
    <cellStyle name="Total 2 8 2 2" xfId="32433" xr:uid="{00000000-0005-0000-0000-0000609F0000}"/>
    <cellStyle name="Total 2 8 3" xfId="29310" xr:uid="{00000000-0005-0000-0000-0000619F0000}"/>
    <cellStyle name="Total 2 8 3 2" xfId="32434" xr:uid="{00000000-0005-0000-0000-0000629F0000}"/>
    <cellStyle name="Total 2 8 4" xfId="29311" xr:uid="{00000000-0005-0000-0000-0000639F0000}"/>
    <cellStyle name="Total 2 8 4 2" xfId="32435" xr:uid="{00000000-0005-0000-0000-0000649F0000}"/>
    <cellStyle name="Total 2 8 5" xfId="32432" xr:uid="{00000000-0005-0000-0000-0000659F0000}"/>
    <cellStyle name="Total 2 9" xfId="29312" xr:uid="{00000000-0005-0000-0000-0000669F0000}"/>
    <cellStyle name="Total 2 9 2" xfId="29313" xr:uid="{00000000-0005-0000-0000-0000679F0000}"/>
    <cellStyle name="Total 2 9 2 2" xfId="32437" xr:uid="{00000000-0005-0000-0000-0000689F0000}"/>
    <cellStyle name="Total 2 9 3" xfId="29314" xr:uid="{00000000-0005-0000-0000-0000699F0000}"/>
    <cellStyle name="Total 2 9 3 2" xfId="32438" xr:uid="{00000000-0005-0000-0000-00006A9F0000}"/>
    <cellStyle name="Total 2 9 4" xfId="29315" xr:uid="{00000000-0005-0000-0000-00006B9F0000}"/>
    <cellStyle name="Total 2 9 4 2" xfId="32439" xr:uid="{00000000-0005-0000-0000-00006C9F0000}"/>
    <cellStyle name="Total 2 9 5" xfId="32436" xr:uid="{00000000-0005-0000-0000-00006D9F0000}"/>
    <cellStyle name="Total 3" xfId="29316" xr:uid="{00000000-0005-0000-0000-00006E9F0000}"/>
    <cellStyle name="Total 3 10" xfId="29317" xr:uid="{00000000-0005-0000-0000-00006F9F0000}"/>
    <cellStyle name="Total 3 10 2" xfId="29318" xr:uid="{00000000-0005-0000-0000-0000709F0000}"/>
    <cellStyle name="Total 3 10 2 2" xfId="32442" xr:uid="{00000000-0005-0000-0000-0000719F0000}"/>
    <cellStyle name="Total 3 10 3" xfId="29319" xr:uid="{00000000-0005-0000-0000-0000729F0000}"/>
    <cellStyle name="Total 3 10 3 2" xfId="32443" xr:uid="{00000000-0005-0000-0000-0000739F0000}"/>
    <cellStyle name="Total 3 10 4" xfId="29320" xr:uid="{00000000-0005-0000-0000-0000749F0000}"/>
    <cellStyle name="Total 3 10 4 2" xfId="32444" xr:uid="{00000000-0005-0000-0000-0000759F0000}"/>
    <cellStyle name="Total 3 10 5" xfId="29321" xr:uid="{00000000-0005-0000-0000-0000769F0000}"/>
    <cellStyle name="Total 3 10 5 2" xfId="32445" xr:uid="{00000000-0005-0000-0000-0000779F0000}"/>
    <cellStyle name="Total 3 10 6" xfId="29322" xr:uid="{00000000-0005-0000-0000-0000789F0000}"/>
    <cellStyle name="Total 3 10 6 2" xfId="32446" xr:uid="{00000000-0005-0000-0000-0000799F0000}"/>
    <cellStyle name="Total 3 10 7" xfId="32441" xr:uid="{00000000-0005-0000-0000-00007A9F0000}"/>
    <cellStyle name="Total 3 11" xfId="29323" xr:uid="{00000000-0005-0000-0000-00007B9F0000}"/>
    <cellStyle name="Total 3 11 2" xfId="29324" xr:uid="{00000000-0005-0000-0000-00007C9F0000}"/>
    <cellStyle name="Total 3 11 2 2" xfId="32448" xr:uid="{00000000-0005-0000-0000-00007D9F0000}"/>
    <cellStyle name="Total 3 11 3" xfId="32447" xr:uid="{00000000-0005-0000-0000-00007E9F0000}"/>
    <cellStyle name="Total 3 12" xfId="32440" xr:uid="{00000000-0005-0000-0000-00007F9F0000}"/>
    <cellStyle name="Total 3 13" xfId="40341" xr:uid="{00000000-0005-0000-0000-0000809F0000}"/>
    <cellStyle name="Total 3 2" xfId="29325" xr:uid="{00000000-0005-0000-0000-0000819F0000}"/>
    <cellStyle name="Total 3 2 2" xfId="40342" xr:uid="{00000000-0005-0000-0000-0000829F0000}"/>
    <cellStyle name="Total 3 3" xfId="29326" xr:uid="{00000000-0005-0000-0000-0000839F0000}"/>
    <cellStyle name="Total 3 3 2" xfId="29327" xr:uid="{00000000-0005-0000-0000-0000849F0000}"/>
    <cellStyle name="Total 3 3 2 2" xfId="32450" xr:uid="{00000000-0005-0000-0000-0000859F0000}"/>
    <cellStyle name="Total 3 3 3" xfId="29328" xr:uid="{00000000-0005-0000-0000-0000869F0000}"/>
    <cellStyle name="Total 3 3 3 2" xfId="32451" xr:uid="{00000000-0005-0000-0000-0000879F0000}"/>
    <cellStyle name="Total 3 3 4" xfId="32449" xr:uid="{00000000-0005-0000-0000-0000889F0000}"/>
    <cellStyle name="Total 3 4" xfId="29329" xr:uid="{00000000-0005-0000-0000-0000899F0000}"/>
    <cellStyle name="Total 3 4 2" xfId="29330" xr:uid="{00000000-0005-0000-0000-00008A9F0000}"/>
    <cellStyle name="Total 3 4 2 2" xfId="32453" xr:uid="{00000000-0005-0000-0000-00008B9F0000}"/>
    <cellStyle name="Total 3 4 3" xfId="29331" xr:uid="{00000000-0005-0000-0000-00008C9F0000}"/>
    <cellStyle name="Total 3 4 3 2" xfId="32454" xr:uid="{00000000-0005-0000-0000-00008D9F0000}"/>
    <cellStyle name="Total 3 4 4" xfId="29332" xr:uid="{00000000-0005-0000-0000-00008E9F0000}"/>
    <cellStyle name="Total 3 4 4 2" xfId="32455" xr:uid="{00000000-0005-0000-0000-00008F9F0000}"/>
    <cellStyle name="Total 3 4 5" xfId="32452" xr:uid="{00000000-0005-0000-0000-0000909F0000}"/>
    <cellStyle name="Total 3 5" xfId="29333" xr:uid="{00000000-0005-0000-0000-0000919F0000}"/>
    <cellStyle name="Total 3 5 2" xfId="29334" xr:uid="{00000000-0005-0000-0000-0000929F0000}"/>
    <cellStyle name="Total 3 5 2 2" xfId="32457" xr:uid="{00000000-0005-0000-0000-0000939F0000}"/>
    <cellStyle name="Total 3 5 3" xfId="29335" xr:uid="{00000000-0005-0000-0000-0000949F0000}"/>
    <cellStyle name="Total 3 5 3 2" xfId="32458" xr:uid="{00000000-0005-0000-0000-0000959F0000}"/>
    <cellStyle name="Total 3 5 4" xfId="29336" xr:uid="{00000000-0005-0000-0000-0000969F0000}"/>
    <cellStyle name="Total 3 5 4 2" xfId="32459" xr:uid="{00000000-0005-0000-0000-0000979F0000}"/>
    <cellStyle name="Total 3 5 5" xfId="32456" xr:uid="{00000000-0005-0000-0000-0000989F0000}"/>
    <cellStyle name="Total 3 6" xfId="29337" xr:uid="{00000000-0005-0000-0000-0000999F0000}"/>
    <cellStyle name="Total 3 6 2" xfId="29338" xr:uid="{00000000-0005-0000-0000-00009A9F0000}"/>
    <cellStyle name="Total 3 6 2 2" xfId="32461" xr:uid="{00000000-0005-0000-0000-00009B9F0000}"/>
    <cellStyle name="Total 3 6 3" xfId="29339" xr:uid="{00000000-0005-0000-0000-00009C9F0000}"/>
    <cellStyle name="Total 3 6 3 2" xfId="32462" xr:uid="{00000000-0005-0000-0000-00009D9F0000}"/>
    <cellStyle name="Total 3 6 4" xfId="29340" xr:uid="{00000000-0005-0000-0000-00009E9F0000}"/>
    <cellStyle name="Total 3 6 4 2" xfId="32463" xr:uid="{00000000-0005-0000-0000-00009F9F0000}"/>
    <cellStyle name="Total 3 6 5" xfId="32460" xr:uid="{00000000-0005-0000-0000-0000A09F0000}"/>
    <cellStyle name="Total 3 7" xfId="29341" xr:uid="{00000000-0005-0000-0000-0000A19F0000}"/>
    <cellStyle name="Total 3 7 2" xfId="29342" xr:uid="{00000000-0005-0000-0000-0000A29F0000}"/>
    <cellStyle name="Total 3 7 2 2" xfId="32465" xr:uid="{00000000-0005-0000-0000-0000A39F0000}"/>
    <cellStyle name="Total 3 7 3" xfId="29343" xr:uid="{00000000-0005-0000-0000-0000A49F0000}"/>
    <cellStyle name="Total 3 7 3 2" xfId="32466" xr:uid="{00000000-0005-0000-0000-0000A59F0000}"/>
    <cellStyle name="Total 3 7 4" xfId="29344" xr:uid="{00000000-0005-0000-0000-0000A69F0000}"/>
    <cellStyle name="Total 3 7 4 2" xfId="32467" xr:uid="{00000000-0005-0000-0000-0000A79F0000}"/>
    <cellStyle name="Total 3 7 5" xfId="32464" xr:uid="{00000000-0005-0000-0000-0000A89F0000}"/>
    <cellStyle name="Total 3 8" xfId="29345" xr:uid="{00000000-0005-0000-0000-0000A99F0000}"/>
    <cellStyle name="Total 3 8 2" xfId="29346" xr:uid="{00000000-0005-0000-0000-0000AA9F0000}"/>
    <cellStyle name="Total 3 8 2 2" xfId="32469" xr:uid="{00000000-0005-0000-0000-0000AB9F0000}"/>
    <cellStyle name="Total 3 8 3" xfId="29347" xr:uid="{00000000-0005-0000-0000-0000AC9F0000}"/>
    <cellStyle name="Total 3 8 3 2" xfId="32470" xr:uid="{00000000-0005-0000-0000-0000AD9F0000}"/>
    <cellStyle name="Total 3 8 4" xfId="29348" xr:uid="{00000000-0005-0000-0000-0000AE9F0000}"/>
    <cellStyle name="Total 3 8 4 2" xfId="32471" xr:uid="{00000000-0005-0000-0000-0000AF9F0000}"/>
    <cellStyle name="Total 3 8 5" xfId="32468" xr:uid="{00000000-0005-0000-0000-0000B09F0000}"/>
    <cellStyle name="Total 3 9" xfId="29349" xr:uid="{00000000-0005-0000-0000-0000B19F0000}"/>
    <cellStyle name="Total 3 9 2" xfId="29350" xr:uid="{00000000-0005-0000-0000-0000B29F0000}"/>
    <cellStyle name="Total 3 9 2 2" xfId="32473" xr:uid="{00000000-0005-0000-0000-0000B39F0000}"/>
    <cellStyle name="Total 3 9 3" xfId="29351" xr:uid="{00000000-0005-0000-0000-0000B49F0000}"/>
    <cellStyle name="Total 3 9 3 2" xfId="32474" xr:uid="{00000000-0005-0000-0000-0000B59F0000}"/>
    <cellStyle name="Total 3 9 4" xfId="29352" xr:uid="{00000000-0005-0000-0000-0000B69F0000}"/>
    <cellStyle name="Total 3 9 4 2" xfId="32475" xr:uid="{00000000-0005-0000-0000-0000B79F0000}"/>
    <cellStyle name="Total 3 9 5" xfId="32472" xr:uid="{00000000-0005-0000-0000-0000B89F0000}"/>
    <cellStyle name="Total 4" xfId="29353" xr:uid="{00000000-0005-0000-0000-0000B99F0000}"/>
    <cellStyle name="Total 4 10" xfId="29354" xr:uid="{00000000-0005-0000-0000-0000BA9F0000}"/>
    <cellStyle name="Total 4 10 2" xfId="29355" xr:uid="{00000000-0005-0000-0000-0000BB9F0000}"/>
    <cellStyle name="Total 4 10 2 2" xfId="32478" xr:uid="{00000000-0005-0000-0000-0000BC9F0000}"/>
    <cellStyle name="Total 4 10 3" xfId="29356" xr:uid="{00000000-0005-0000-0000-0000BD9F0000}"/>
    <cellStyle name="Total 4 10 3 2" xfId="32479" xr:uid="{00000000-0005-0000-0000-0000BE9F0000}"/>
    <cellStyle name="Total 4 10 4" xfId="29357" xr:uid="{00000000-0005-0000-0000-0000BF9F0000}"/>
    <cellStyle name="Total 4 10 4 2" xfId="32480" xr:uid="{00000000-0005-0000-0000-0000C09F0000}"/>
    <cellStyle name="Total 4 10 5" xfId="29358" xr:uid="{00000000-0005-0000-0000-0000C19F0000}"/>
    <cellStyle name="Total 4 10 5 2" xfId="32481" xr:uid="{00000000-0005-0000-0000-0000C29F0000}"/>
    <cellStyle name="Total 4 10 6" xfId="29359" xr:uid="{00000000-0005-0000-0000-0000C39F0000}"/>
    <cellStyle name="Total 4 10 6 2" xfId="32482" xr:uid="{00000000-0005-0000-0000-0000C49F0000}"/>
    <cellStyle name="Total 4 10 7" xfId="32477" xr:uid="{00000000-0005-0000-0000-0000C59F0000}"/>
    <cellStyle name="Total 4 11" xfId="29360" xr:uid="{00000000-0005-0000-0000-0000C69F0000}"/>
    <cellStyle name="Total 4 11 2" xfId="29361" xr:uid="{00000000-0005-0000-0000-0000C79F0000}"/>
    <cellStyle name="Total 4 11 2 2" xfId="32484" xr:uid="{00000000-0005-0000-0000-0000C89F0000}"/>
    <cellStyle name="Total 4 11 3" xfId="32483" xr:uid="{00000000-0005-0000-0000-0000C99F0000}"/>
    <cellStyle name="Total 4 12" xfId="32476" xr:uid="{00000000-0005-0000-0000-0000CA9F0000}"/>
    <cellStyle name="Total 4 2" xfId="29362" xr:uid="{00000000-0005-0000-0000-0000CB9F0000}"/>
    <cellStyle name="Total 4 2 2" xfId="40343" xr:uid="{00000000-0005-0000-0000-0000CC9F0000}"/>
    <cellStyle name="Total 4 3" xfId="29363" xr:uid="{00000000-0005-0000-0000-0000CD9F0000}"/>
    <cellStyle name="Total 4 3 2" xfId="29364" xr:uid="{00000000-0005-0000-0000-0000CE9F0000}"/>
    <cellStyle name="Total 4 3 2 2" xfId="32486" xr:uid="{00000000-0005-0000-0000-0000CF9F0000}"/>
    <cellStyle name="Total 4 3 3" xfId="29365" xr:uid="{00000000-0005-0000-0000-0000D09F0000}"/>
    <cellStyle name="Total 4 3 3 2" xfId="32487" xr:uid="{00000000-0005-0000-0000-0000D19F0000}"/>
    <cellStyle name="Total 4 3 4" xfId="32485" xr:uid="{00000000-0005-0000-0000-0000D29F0000}"/>
    <cellStyle name="Total 4 4" xfId="29366" xr:uid="{00000000-0005-0000-0000-0000D39F0000}"/>
    <cellStyle name="Total 4 4 2" xfId="29367" xr:uid="{00000000-0005-0000-0000-0000D49F0000}"/>
    <cellStyle name="Total 4 4 2 2" xfId="32489" xr:uid="{00000000-0005-0000-0000-0000D59F0000}"/>
    <cellStyle name="Total 4 4 3" xfId="29368" xr:uid="{00000000-0005-0000-0000-0000D69F0000}"/>
    <cellStyle name="Total 4 4 3 2" xfId="32490" xr:uid="{00000000-0005-0000-0000-0000D79F0000}"/>
    <cellStyle name="Total 4 4 4" xfId="29369" xr:uid="{00000000-0005-0000-0000-0000D89F0000}"/>
    <cellStyle name="Total 4 4 4 2" xfId="32491" xr:uid="{00000000-0005-0000-0000-0000D99F0000}"/>
    <cellStyle name="Total 4 4 5" xfId="32488" xr:uid="{00000000-0005-0000-0000-0000DA9F0000}"/>
    <cellStyle name="Total 4 5" xfId="29370" xr:uid="{00000000-0005-0000-0000-0000DB9F0000}"/>
    <cellStyle name="Total 4 5 2" xfId="29371" xr:uid="{00000000-0005-0000-0000-0000DC9F0000}"/>
    <cellStyle name="Total 4 5 2 2" xfId="32493" xr:uid="{00000000-0005-0000-0000-0000DD9F0000}"/>
    <cellStyle name="Total 4 5 3" xfId="29372" xr:uid="{00000000-0005-0000-0000-0000DE9F0000}"/>
    <cellStyle name="Total 4 5 3 2" xfId="32494" xr:uid="{00000000-0005-0000-0000-0000DF9F0000}"/>
    <cellStyle name="Total 4 5 4" xfId="29373" xr:uid="{00000000-0005-0000-0000-0000E09F0000}"/>
    <cellStyle name="Total 4 5 4 2" xfId="32495" xr:uid="{00000000-0005-0000-0000-0000E19F0000}"/>
    <cellStyle name="Total 4 5 5" xfId="32492" xr:uid="{00000000-0005-0000-0000-0000E29F0000}"/>
    <cellStyle name="Total 4 6" xfId="29374" xr:uid="{00000000-0005-0000-0000-0000E39F0000}"/>
    <cellStyle name="Total 4 6 2" xfId="29375" xr:uid="{00000000-0005-0000-0000-0000E49F0000}"/>
    <cellStyle name="Total 4 6 2 2" xfId="32497" xr:uid="{00000000-0005-0000-0000-0000E59F0000}"/>
    <cellStyle name="Total 4 6 3" xfId="29376" xr:uid="{00000000-0005-0000-0000-0000E69F0000}"/>
    <cellStyle name="Total 4 6 3 2" xfId="32498" xr:uid="{00000000-0005-0000-0000-0000E79F0000}"/>
    <cellStyle name="Total 4 6 4" xfId="29377" xr:uid="{00000000-0005-0000-0000-0000E89F0000}"/>
    <cellStyle name="Total 4 6 4 2" xfId="32499" xr:uid="{00000000-0005-0000-0000-0000E99F0000}"/>
    <cellStyle name="Total 4 6 5" xfId="32496" xr:uid="{00000000-0005-0000-0000-0000EA9F0000}"/>
    <cellStyle name="Total 4 7" xfId="29378" xr:uid="{00000000-0005-0000-0000-0000EB9F0000}"/>
    <cellStyle name="Total 4 7 2" xfId="29379" xr:uid="{00000000-0005-0000-0000-0000EC9F0000}"/>
    <cellStyle name="Total 4 7 2 2" xfId="32501" xr:uid="{00000000-0005-0000-0000-0000ED9F0000}"/>
    <cellStyle name="Total 4 7 3" xfId="29380" xr:uid="{00000000-0005-0000-0000-0000EE9F0000}"/>
    <cellStyle name="Total 4 7 3 2" xfId="32502" xr:uid="{00000000-0005-0000-0000-0000EF9F0000}"/>
    <cellStyle name="Total 4 7 4" xfId="29381" xr:uid="{00000000-0005-0000-0000-0000F09F0000}"/>
    <cellStyle name="Total 4 7 4 2" xfId="32503" xr:uid="{00000000-0005-0000-0000-0000F19F0000}"/>
    <cellStyle name="Total 4 7 5" xfId="32500" xr:uid="{00000000-0005-0000-0000-0000F29F0000}"/>
    <cellStyle name="Total 4 8" xfId="29382" xr:uid="{00000000-0005-0000-0000-0000F39F0000}"/>
    <cellStyle name="Total 4 8 2" xfId="29383" xr:uid="{00000000-0005-0000-0000-0000F49F0000}"/>
    <cellStyle name="Total 4 8 2 2" xfId="32505" xr:uid="{00000000-0005-0000-0000-0000F59F0000}"/>
    <cellStyle name="Total 4 8 3" xfId="29384" xr:uid="{00000000-0005-0000-0000-0000F69F0000}"/>
    <cellStyle name="Total 4 8 3 2" xfId="32506" xr:uid="{00000000-0005-0000-0000-0000F79F0000}"/>
    <cellStyle name="Total 4 8 4" xfId="29385" xr:uid="{00000000-0005-0000-0000-0000F89F0000}"/>
    <cellStyle name="Total 4 8 4 2" xfId="32507" xr:uid="{00000000-0005-0000-0000-0000F99F0000}"/>
    <cellStyle name="Total 4 8 5" xfId="32504" xr:uid="{00000000-0005-0000-0000-0000FA9F0000}"/>
    <cellStyle name="Total 4 9" xfId="29386" xr:uid="{00000000-0005-0000-0000-0000FB9F0000}"/>
    <cellStyle name="Total 4 9 2" xfId="29387" xr:uid="{00000000-0005-0000-0000-0000FC9F0000}"/>
    <cellStyle name="Total 4 9 2 2" xfId="32509" xr:uid="{00000000-0005-0000-0000-0000FD9F0000}"/>
    <cellStyle name="Total 4 9 3" xfId="29388" xr:uid="{00000000-0005-0000-0000-0000FE9F0000}"/>
    <cellStyle name="Total 4 9 3 2" xfId="32510" xr:uid="{00000000-0005-0000-0000-0000FF9F0000}"/>
    <cellStyle name="Total 4 9 4" xfId="29389" xr:uid="{00000000-0005-0000-0000-000000A00000}"/>
    <cellStyle name="Total 4 9 4 2" xfId="32511" xr:uid="{00000000-0005-0000-0000-000001A00000}"/>
    <cellStyle name="Total 4 9 5" xfId="32508" xr:uid="{00000000-0005-0000-0000-000002A00000}"/>
    <cellStyle name="Total 5 2" xfId="29390" xr:uid="{00000000-0005-0000-0000-000003A00000}"/>
    <cellStyle name="Total 5 2 2" xfId="40344" xr:uid="{00000000-0005-0000-0000-000004A00000}"/>
    <cellStyle name="Total 6 2" xfId="29391" xr:uid="{00000000-0005-0000-0000-000005A00000}"/>
    <cellStyle name="Total 6 2 2" xfId="40345" xr:uid="{00000000-0005-0000-0000-000006A00000}"/>
    <cellStyle name="Total 7 2" xfId="29392" xr:uid="{00000000-0005-0000-0000-000007A00000}"/>
    <cellStyle name="Total 7 2 2" xfId="40346" xr:uid="{00000000-0005-0000-0000-000008A00000}"/>
    <cellStyle name="Total 8 2" xfId="29393" xr:uid="{00000000-0005-0000-0000-000009A00000}"/>
    <cellStyle name="Total 8 2 2" xfId="40347" xr:uid="{00000000-0005-0000-0000-00000AA00000}"/>
    <cellStyle name="Total 9 2" xfId="29394" xr:uid="{00000000-0005-0000-0000-00000BA00000}"/>
    <cellStyle name="Total 9 2 2" xfId="40348" xr:uid="{00000000-0005-0000-0000-00000CA00000}"/>
    <cellStyle name="Unp Comma [0]" xfId="29395" xr:uid="{00000000-0005-0000-0000-00000DA00000}"/>
    <cellStyle name="Unp Comma [0] 2" xfId="29396" xr:uid="{00000000-0005-0000-0000-00000EA00000}"/>
    <cellStyle name="Unp Comma [0] 2 2" xfId="32513" xr:uid="{00000000-0005-0000-0000-00000FA00000}"/>
    <cellStyle name="Unp Comma [0] 3" xfId="29397" xr:uid="{00000000-0005-0000-0000-000010A00000}"/>
    <cellStyle name="Unp Comma [0] 3 2" xfId="32514" xr:uid="{00000000-0005-0000-0000-000011A00000}"/>
    <cellStyle name="Unp Comma [0] 4" xfId="29398" xr:uid="{00000000-0005-0000-0000-000012A00000}"/>
    <cellStyle name="Unp Comma [0] 4 2" xfId="32515" xr:uid="{00000000-0005-0000-0000-000013A00000}"/>
    <cellStyle name="Unp Comma [0] 5" xfId="29399" xr:uid="{00000000-0005-0000-0000-000014A00000}"/>
    <cellStyle name="Unp Comma [0] 5 2" xfId="32516" xr:uid="{00000000-0005-0000-0000-000015A00000}"/>
    <cellStyle name="Unp Comma [0] 6" xfId="29400" xr:uid="{00000000-0005-0000-0000-000016A00000}"/>
    <cellStyle name="Unp Comma [0] 6 2" xfId="32517" xr:uid="{00000000-0005-0000-0000-000017A00000}"/>
    <cellStyle name="Unp Comma [0] 7" xfId="32512" xr:uid="{00000000-0005-0000-0000-000018A00000}"/>
    <cellStyle name="Unprot" xfId="29401" xr:uid="{00000000-0005-0000-0000-000019A00000}"/>
    <cellStyle name="Unprot$" xfId="29402" xr:uid="{00000000-0005-0000-0000-00001AA00000}"/>
    <cellStyle name="Unprot_CurrencySKorea" xfId="29403" xr:uid="{00000000-0005-0000-0000-00001BA00000}"/>
    <cellStyle name="Unprotect" xfId="29404" xr:uid="{00000000-0005-0000-0000-00001CA00000}"/>
    <cellStyle name="Unprotected" xfId="29405" xr:uid="{00000000-0005-0000-0000-00001DA00000}"/>
    <cellStyle name="Unprotected 2" xfId="29406" xr:uid="{00000000-0005-0000-0000-00001EA00000}"/>
    <cellStyle name="Unprotected 2 2" xfId="32519" xr:uid="{00000000-0005-0000-0000-00001FA00000}"/>
    <cellStyle name="Unprotected 3" xfId="29407" xr:uid="{00000000-0005-0000-0000-000020A00000}"/>
    <cellStyle name="Unprotected 3 2" xfId="32520" xr:uid="{00000000-0005-0000-0000-000021A00000}"/>
    <cellStyle name="Unprotected 4" xfId="29408" xr:uid="{00000000-0005-0000-0000-000022A00000}"/>
    <cellStyle name="Unprotected 4 2" xfId="32521" xr:uid="{00000000-0005-0000-0000-000023A00000}"/>
    <cellStyle name="Unprotected 5" xfId="29409" xr:uid="{00000000-0005-0000-0000-000024A00000}"/>
    <cellStyle name="Unprotected 5 2" xfId="32522" xr:uid="{00000000-0005-0000-0000-000025A00000}"/>
    <cellStyle name="Unprotected 6" xfId="29410" xr:uid="{00000000-0005-0000-0000-000026A00000}"/>
    <cellStyle name="Unprotected 6 2" xfId="32523" xr:uid="{00000000-0005-0000-0000-000027A00000}"/>
    <cellStyle name="Unprotected 7" xfId="32518" xr:uid="{00000000-0005-0000-0000-000028A00000}"/>
    <cellStyle name="Warning Text" xfId="29411" xr:uid="{00000000-0005-0000-0000-000029A00000}"/>
    <cellStyle name="Warning Text 2" xfId="40350" xr:uid="{00000000-0005-0000-0000-00002AA00000}"/>
    <cellStyle name="Warning Text 3" xfId="40349" xr:uid="{00000000-0005-0000-0000-00002BA00000}"/>
    <cellStyle name="x" xfId="29412" xr:uid="{00000000-0005-0000-0000-00002CA00000}"/>
    <cellStyle name="x 2" xfId="29413" xr:uid="{00000000-0005-0000-0000-00002DA00000}"/>
    <cellStyle name="x 3" xfId="40351" xr:uid="{00000000-0005-0000-0000-00002EA00000}"/>
    <cellStyle name="ДАТА" xfId="29414" xr:uid="{00000000-0005-0000-0000-00002FA00000}"/>
    <cellStyle name="ДЕНЕЖНЫЙ_BOPENGC" xfId="29415" xr:uid="{00000000-0005-0000-0000-000030A00000}"/>
    <cellStyle name="ЗАГОЛОВОК1" xfId="29416" xr:uid="{00000000-0005-0000-0000-000031A00000}"/>
    <cellStyle name="ЗАГОЛОВОК2" xfId="29417" xr:uid="{00000000-0005-0000-0000-000032A00000}"/>
    <cellStyle name="ИТОГОВЫЙ" xfId="29418" xr:uid="{00000000-0005-0000-0000-000033A00000}"/>
    <cellStyle name="Обычный_BOPENGC" xfId="29419" xr:uid="{00000000-0005-0000-0000-000034A00000}"/>
    <cellStyle name="ПРОЦЕНТНЫЙ_BOPENGC" xfId="29420" xr:uid="{00000000-0005-0000-0000-000035A00000}"/>
    <cellStyle name="ТЕКСТ" xfId="29421" xr:uid="{00000000-0005-0000-0000-000036A00000}"/>
    <cellStyle name="ФИКСИРОВАННЫЙ" xfId="29422" xr:uid="{00000000-0005-0000-0000-000037A00000}"/>
    <cellStyle name="ФИНАНСОВЫЙ_BOPENGC" xfId="29423" xr:uid="{00000000-0005-0000-0000-000038A00000}"/>
    <cellStyle name="砀琀爀愀挀挀椀渀䈀愀猀攀 搀攀 搀愀琀漀猀䌀爀椀琀攀爀椀漀猀섀爀攀愀开搀攀开椀洀瀀爀攀猀椀渀吀琀甀氀漀猀开愀开椀洀瀀爀椀洀椀爀䜀爀愀戀愀挀椀渀䘀椀挀栀愀开搀攀开搀愀琀漀猀䄀甀琀漀开愀挀琀椀瘀愀爀䄀甀琀漀开搀攀猀愀挀琀椀瘀愀爀吀琀甀氀漀开栀漀樀愀开䘀椀氀琀攀爀䐀愀琀愀戀愀猀攀㌀㐀圀䬀㼀 匀攀琀琀椀渀最猀䰀漀愀搀开䌀栀愀爀琀开圀渀搀䄀䘀䔀䴀漀渀漀猀瀀愀挀攀䜀爀椀搀氀椀渀攀猀䤀搀⸀ 搀攀氀 瀀爀漀搀甀挀琀漀㨀 唀猀甀愀爀椀漀 搀攀猀挀漀渀漀挀椀搀漀嘀攀爀猀椀渀 渀漀 椀渀猀琀愀氀愀搀愀⨀⸀⨀䴀" xfId="11511" xr:uid="{00000000-0005-0000-0000-000039A00000}"/>
  </cellStyles>
  <dxfs count="88">
    <dxf>
      <font>
        <strike val="0"/>
        <outline val="0"/>
        <shadow val="0"/>
        <u val="none"/>
        <vertAlign val="baseline"/>
        <sz val="11"/>
        <color auto="1"/>
        <name val="Calibri"/>
        <scheme val="minor"/>
      </font>
      <numFmt numFmtId="180" formatCode="0.0000000"/>
      <border diagonalUp="0" diagonalDown="0">
        <left/>
        <right style="double">
          <color indexed="64"/>
        </right>
        <top/>
        <bottom/>
        <vertical/>
        <horizontal/>
      </border>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b val="0"/>
        <i val="0"/>
        <strike val="0"/>
        <condense val="0"/>
        <extend val="0"/>
        <outline val="0"/>
        <shadow val="0"/>
        <u val="none"/>
        <vertAlign val="baseline"/>
        <sz val="11"/>
        <color auto="1"/>
        <name val="Calibri"/>
        <scheme val="minor"/>
      </font>
      <numFmt numFmtId="180" formatCode="0.0000000"/>
    </dxf>
    <dxf>
      <font>
        <b val="0"/>
        <i val="0"/>
        <strike val="0"/>
        <condense val="0"/>
        <extend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dxf>
    <dxf>
      <font>
        <b val="0"/>
        <i val="0"/>
        <strike val="0"/>
        <condense val="0"/>
        <extend val="0"/>
        <outline val="0"/>
        <shadow val="0"/>
        <u val="none"/>
        <vertAlign val="baseline"/>
        <sz val="10"/>
        <color theme="0"/>
        <name val="Calibri"/>
        <scheme val="minor"/>
      </font>
      <alignment horizontal="center" vertical="center" textRotation="0" wrapText="1" relativeIndent="0" justifyLastLine="0" shrinkToFit="0" readingOrder="0"/>
    </dxf>
    <dxf>
      <font>
        <strike val="0"/>
        <outline val="0"/>
        <shadow val="0"/>
        <u val="none"/>
        <vertAlign val="baseline"/>
        <sz val="11"/>
        <color auto="1"/>
        <name val="Calibri"/>
        <scheme val="minor"/>
      </font>
      <numFmt numFmtId="180" formatCode="0.0000000"/>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numFmt numFmtId="180" formatCode="0.0000000"/>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numFmt numFmtId="179" formatCode="0.000000"/>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numFmt numFmtId="0" formatCode="General"/>
      <border diagonalUp="0" diagonalDown="0">
        <left/>
        <right/>
        <top style="double">
          <color auto="1"/>
        </top>
        <bottom style="double">
          <color auto="1"/>
        </bottom>
        <vertical/>
        <horizontal style="double">
          <color auto="1"/>
        </horizontal>
      </border>
    </dxf>
    <dxf>
      <font>
        <b val="0"/>
        <i val="0"/>
        <strike val="0"/>
        <condense val="0"/>
        <extend val="0"/>
        <outline val="0"/>
        <shadow val="0"/>
        <u val="none"/>
        <vertAlign val="baseline"/>
        <sz val="11"/>
        <color auto="1"/>
        <name val="Calibri"/>
        <scheme val="minor"/>
      </font>
      <numFmt numFmtId="178" formatCode="_(* #,##0_);_(* \(#,##0\);_(* &quot;-&quot;??_);_(@_)"/>
      <border diagonalUp="0" diagonalDown="0">
        <left/>
        <right/>
        <top style="double">
          <color auto="1"/>
        </top>
        <bottom style="double">
          <color auto="1"/>
        </bottom>
        <vertical/>
        <horizontal style="double">
          <color auto="1"/>
        </horizontal>
      </border>
    </dxf>
    <dxf>
      <font>
        <b val="0"/>
        <i val="0"/>
        <strike val="0"/>
        <condense val="0"/>
        <extend val="0"/>
        <outline val="0"/>
        <shadow val="0"/>
        <u val="none"/>
        <vertAlign val="baseline"/>
        <sz val="11"/>
        <color auto="1"/>
        <name val="Calibri"/>
        <scheme val="minor"/>
      </font>
      <numFmt numFmtId="181" formatCode="_(* #,##0.0_);_(* \(#,##0.0\);_(* &quot;-&quot;??_);_(@_)"/>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dxf>
    <dxf>
      <font>
        <b val="0"/>
        <i val="0"/>
        <strike val="0"/>
        <condense val="0"/>
        <extend val="0"/>
        <outline val="0"/>
        <shadow val="0"/>
        <u val="none"/>
        <vertAlign val="baseline"/>
        <sz val="10"/>
        <color theme="0"/>
        <name val="Calibri"/>
        <scheme val="minor"/>
      </font>
      <alignment horizontal="center" vertical="center" textRotation="0" wrapText="1" relativeIndent="0" justifyLastLine="0" shrinkToFit="0" readingOrder="0"/>
    </dxf>
    <dxf>
      <numFmt numFmtId="13" formatCode="0%"/>
    </dxf>
    <dxf>
      <numFmt numFmtId="13"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84" formatCode="0.000"/>
    </dxf>
    <dxf>
      <numFmt numFmtId="13" formatCode="0%"/>
    </dxf>
    <dxf>
      <numFmt numFmtId="13" formatCode="0%"/>
    </dxf>
    <dxf>
      <numFmt numFmtId="13" formatCode="0%"/>
    </dxf>
    <dxf>
      <numFmt numFmtId="184" formatCode="0.000"/>
    </dxf>
    <dxf>
      <numFmt numFmtId="13" formatCode="0%"/>
    </dxf>
    <dxf>
      <fill>
        <patternFill patternType="solid">
          <bgColor theme="0"/>
        </patternFill>
      </fill>
    </dxf>
    <dxf>
      <numFmt numFmtId="202" formatCode="_(&quot;$&quot;\ * #,##0_);_(&quot;$&quot;\ * \(#,##0\);_(&quot;$&quot;\ * &quot;-&quot;??_);_(@_)"/>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3" formatCode="0%"/>
    </dxf>
    <dxf>
      <alignment horizontal="center" vertical="center" readingOrder="0"/>
    </dxf>
    <dxf>
      <fill>
        <patternFill patternType="solid">
          <bgColor theme="0"/>
        </patternFill>
      </fill>
    </dxf>
    <dxf>
      <numFmt numFmtId="2" formatCode="0.00"/>
    </dxf>
    <dxf>
      <numFmt numFmtId="13" formatCode="0%"/>
    </dxf>
    <dxf>
      <numFmt numFmtId="13" formatCode="0%"/>
    </dxf>
    <dxf>
      <numFmt numFmtId="3" formatCode="#,##0"/>
    </dxf>
    <dxf>
      <numFmt numFmtId="13" formatCode="0%"/>
    </dxf>
    <dxf>
      <numFmt numFmtId="13" formatCode="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numFmt numFmtId="13"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00FA71"/>
      <color rgb="FFBCBCBC"/>
      <color rgb="FFFFFFFF"/>
      <color rgb="FFE7E200"/>
      <color rgb="FFE3E3E3"/>
      <color rgb="FFFFECEC"/>
      <color rgb="FFFF0066"/>
      <color rgb="FFF1F5F9"/>
      <color rgb="FFCC99FF"/>
      <color rgb="FFE5ED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externalLink" Target="externalLinks/externalLink8.xml"/><Relationship Id="rId50" Type="http://schemas.openxmlformats.org/officeDocument/2006/relationships/externalLink" Target="externalLinks/externalLink11.xml"/><Relationship Id="rId55" Type="http://schemas.microsoft.com/office/2007/relationships/slicerCache" Target="slicerCaches/slicerCache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3" Type="http://schemas.microsoft.com/office/2007/relationships/slicerCache" Target="slicerCaches/slicerCache1.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externalLink" Target="externalLinks/externalLink9.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7.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2.xml"/><Relationship Id="rId54"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0.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5.xml"/><Relationship Id="rId52" Type="http://schemas.openxmlformats.org/officeDocument/2006/relationships/pivotCacheDefinition" Target="pivotCache/pivotCacheDefinition2.xml"/><Relationship Id="rId6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_rels/chart17.xml.rels><?xml version="1.0" encoding="UTF-8" standalone="yes"?>
<Relationships xmlns="http://schemas.openxmlformats.org/package/2006/relationships"><Relationship Id="rId2" Type="http://schemas.openxmlformats.org/officeDocument/2006/relationships/chartUserShapes" Target="../drawings/drawing9.xml"/><Relationship Id="rId1" Type="http://schemas.openxmlformats.org/officeDocument/2006/relationships/themeOverride" Target="../theme/themeOverride1.xml"/></Relationships>
</file>

<file path=xl/charts/_rels/chart36.xml.rels><?xml version="1.0" encoding="UTF-8" standalone="yes"?>
<Relationships xmlns="http://schemas.openxmlformats.org/package/2006/relationships"><Relationship Id="rId1" Type="http://schemas.openxmlformats.org/officeDocument/2006/relationships/image" Target="../media/image15.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700" b="0" i="0" u="none" strike="noStrike" baseline="0">
                <a:solidFill>
                  <a:srgbClr val="000000"/>
                </a:solidFill>
                <a:latin typeface="Arial"/>
                <a:ea typeface="Arial"/>
                <a:cs typeface="Arial"/>
              </a:defRPr>
            </a:pPr>
            <a:r>
              <a:rPr lang="es-CO" sz="800" b="1"/>
              <a:t>GENERACIÓN ELECTRICA</a:t>
            </a:r>
            <a:endParaRPr lang="es-CO" sz="800"/>
          </a:p>
        </c:rich>
      </c:tx>
      <c:layout>
        <c:manualLayout>
          <c:xMode val="edge"/>
          <c:yMode val="edge"/>
          <c:x val="0.34408563157861538"/>
          <c:y val="4.02810724608791E-2"/>
        </c:manualLayout>
      </c:layout>
      <c:overlay val="0"/>
      <c:spPr>
        <a:solidFill>
          <a:srgbClr val="E3E3E3"/>
        </a:solidFill>
        <a:ln w="25400">
          <a:noFill/>
        </a:ln>
      </c:spPr>
    </c:title>
    <c:autoTitleDeleted val="0"/>
    <c:plotArea>
      <c:layout>
        <c:manualLayout>
          <c:layoutTarget val="inner"/>
          <c:xMode val="edge"/>
          <c:yMode val="edge"/>
          <c:x val="7.2342809212381565E-2"/>
          <c:y val="0.14520048455481527"/>
          <c:w val="0.89899350506017883"/>
          <c:h val="0.62063929923996786"/>
        </c:manualLayout>
      </c:layout>
      <c:lineChart>
        <c:grouping val="standard"/>
        <c:varyColors val="0"/>
        <c:ser>
          <c:idx val="9"/>
          <c:order val="4"/>
          <c:tx>
            <c:strRef>
              <c:f>'GRAFICAS RPTE GCIAL'!$X$124</c:f>
              <c:strCache>
                <c:ptCount val="1"/>
                <c:pt idx="0">
                  <c:v>TOTAL MW</c:v>
                </c:pt>
              </c:strCache>
            </c:strRef>
          </c:tx>
          <c:spPr>
            <a:ln w="19050">
              <a:solidFill>
                <a:srgbClr val="00B0F0"/>
              </a:solidFill>
            </a:ln>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'GRAFICAS RPTE GCIAL'!$X$126:$X$156</c15:sqref>
                  </c15:fullRef>
                </c:ext>
              </c:extLst>
              <c:f>'GRAFICAS RPTE GCIAL'!$X$126:$X$155</c:f>
              <c:numCache>
                <c:formatCode>0.0</c:formatCode>
                <c:ptCount val="30"/>
                <c:pt idx="0">
                  <c:v>444</c:v>
                </c:pt>
                <c:pt idx="1">
                  <c:v>442</c:v>
                </c:pt>
                <c:pt idx="2">
                  <c:v>438</c:v>
                </c:pt>
                <c:pt idx="3">
                  <c:v>448</c:v>
                </c:pt>
                <c:pt idx="4">
                  <c:v>-634378</c:v>
                </c:pt>
                <c:pt idx="5">
                  <c:v>-1067.998</c:v>
                </c:pt>
                <c:pt idx="6">
                  <c:v>-822.90899999999999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0356-4310-80B5-5D3A7C64D615}"/>
            </c:ext>
          </c:extLst>
        </c:ser>
        <c:ser>
          <c:idx val="0"/>
          <c:order val="0"/>
          <c:tx>
            <c:strRef>
              <c:f>'GRAFICAS RPTE GCIAL'!$C$124:$H$124</c:f>
              <c:strCache>
                <c:ptCount val="1"/>
                <c:pt idx="0">
                  <c:v>GT-8001  </c:v>
                </c:pt>
              </c:strCache>
            </c:strRef>
          </c:tx>
          <c:spPr>
            <a:ln w="19050">
              <a:solidFill>
                <a:srgbClr val="2BBD13"/>
              </a:solidFill>
            </a:ln>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'GRAFICAS RPTE GCIAL'!$C$126:$C$156</c15:sqref>
                  </c15:fullRef>
                </c:ext>
              </c:extLst>
              <c:f>'GRAFICAS RPTE GCIAL'!$C$126:$C$155</c:f>
              <c:numCache>
                <c:formatCode>0.0</c:formatCode>
                <c:ptCount val="30"/>
                <c:pt idx="0">
                  <c:v>296</c:v>
                </c:pt>
                <c:pt idx="1">
                  <c:v>292</c:v>
                </c:pt>
                <c:pt idx="2">
                  <c:v>290</c:v>
                </c:pt>
                <c:pt idx="3">
                  <c:v>298</c:v>
                </c:pt>
                <c:pt idx="4">
                  <c:v>-593044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0356-4310-80B5-5D3A7C64D615}"/>
            </c:ext>
          </c:extLst>
        </c:ser>
        <c:ser>
          <c:idx val="1"/>
          <c:order val="1"/>
          <c:tx>
            <c:strRef>
              <c:f>'GRAFICAS RPTE GCIAL'!$I$124:$N$124</c:f>
              <c:strCache>
                <c:ptCount val="1"/>
                <c:pt idx="0">
                  <c:v>GT-8002  </c:v>
                </c:pt>
              </c:strCache>
            </c:strRef>
          </c:tx>
          <c:spPr>
            <a:ln w="19050">
              <a:solidFill>
                <a:srgbClr val="C50B90"/>
              </a:solidFill>
            </a:ln>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'GRAFICAS RPTE GCIAL'!$I$126:$I$156</c15:sqref>
                  </c15:fullRef>
                </c:ext>
              </c:extLst>
              <c:f>'GRAFICAS RPTE GCIAL'!$I$126:$I$155</c:f>
              <c:numCache>
                <c:formatCode>0.0</c:formatCode>
                <c:ptCount val="30"/>
                <c:pt idx="0">
                  <c:v>148</c:v>
                </c:pt>
                <c:pt idx="1">
                  <c:v>150</c:v>
                </c:pt>
                <c:pt idx="2">
                  <c:v>148</c:v>
                </c:pt>
                <c:pt idx="3">
                  <c:v>150</c:v>
                </c:pt>
                <c:pt idx="4">
                  <c:v>-41334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0356-4310-80B5-5D3A7C64D615}"/>
            </c:ext>
          </c:extLst>
        </c:ser>
        <c:dLbls>
          <c:showLegendKey val="0"/>
          <c:showVal val="0"/>
          <c:showCatName val="0"/>
          <c:showSerName val="0"/>
          <c:showPercent val="0"/>
          <c:showBubbleSize val="0"/>
        </c:dLbls>
        <c:marker val="1"/>
        <c:smooth val="0"/>
        <c:axId val="104868480"/>
        <c:axId val="104878848"/>
        <c:extLst>
          <c:ext xmlns:c15="http://schemas.microsoft.com/office/drawing/2012/chart" uri="{02D57815-91ED-43cb-92C2-25804820EDAC}">
            <c15:filteredLineSeries>
              <c15:ser>
                <c:idx val="2"/>
                <c:order val="2"/>
                <c:tx>
                  <c:strRef>
                    <c:extLst>
                      <c:ext uri="{02D57815-91ED-43cb-92C2-25804820EDAC}">
                        <c15:formulaRef>
                          <c15:sqref>'GRAFICAS RPTE GCIAL'!$R$124:$T$124</c15:sqref>
                        </c15:formulaRef>
                      </c:ext>
                    </c:extLst>
                    <c:strCache>
                      <c:ptCount val="1"/>
                      <c:pt idx="0">
                        <c:v>G-8005  </c:v>
                      </c:pt>
                    </c:strCache>
                  </c:strRef>
                </c:tx>
                <c:spPr>
                  <a:ln w="12700">
                    <a:solidFill>
                      <a:srgbClr val="CC3300"/>
                    </a:solidFill>
                  </a:ln>
                </c:spPr>
                <c:marker>
                  <c:symbol val="none"/>
                </c:marker>
                <c:val>
                  <c:numRef>
                    <c:extLst>
                      <c:ext uri="{02D57815-91ED-43cb-92C2-25804820EDAC}">
                        <c15:fullRef>
                          <c15:sqref>'GRAFICAS RPTE GCIAL'!$R$126:$R$156</c15:sqref>
                        </c15:fullRef>
                        <c15:formulaRef>
                          <c15:sqref>'GRAFICAS RPTE GCIAL'!$R$126:$R$155</c15:sqref>
                        </c15:formulaRef>
                      </c:ext>
                    </c:extLst>
                    <c:numCache>
                      <c:formatCode>0.0</c:formatCode>
                      <c:ptCount val="30"/>
                      <c:pt idx="0">
                        <c:v>0</c:v>
                      </c:pt>
                      <c:pt idx="1">
                        <c:v>0</c:v>
                      </c:pt>
                      <c:pt idx="2">
                        <c:v>0</c:v>
                      </c:pt>
                      <c:pt idx="3">
                        <c:v>0</c:v>
                      </c:pt>
                      <c:pt idx="4">
                        <c:v>0</c:v>
                      </c:pt>
                      <c:pt idx="5">
                        <c:v>-1067.998</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0356-4310-80B5-5D3A7C64D615}"/>
                  </c:ext>
                </c:extLst>
              </c15:ser>
            </c15:filteredLineSeries>
          </c:ext>
        </c:extLst>
      </c:lineChart>
      <c:lineChart>
        <c:grouping val="standard"/>
        <c:varyColors val="0"/>
        <c:dLbls>
          <c:showLegendKey val="0"/>
          <c:showVal val="0"/>
          <c:showCatName val="0"/>
          <c:showSerName val="0"/>
          <c:showPercent val="0"/>
          <c:showBubbleSize val="0"/>
        </c:dLbls>
        <c:marker val="1"/>
        <c:smooth val="0"/>
        <c:axId val="601888168"/>
        <c:axId val="601885216"/>
        <c:extLst>
          <c:ext xmlns:c15="http://schemas.microsoft.com/office/drawing/2012/chart" uri="{02D57815-91ED-43cb-92C2-25804820EDAC}">
            <c15:filteredLineSeries>
              <c15:ser>
                <c:idx val="4"/>
                <c:order val="3"/>
                <c:tx>
                  <c:strRef>
                    <c:extLst>
                      <c:ext uri="{02D57815-91ED-43cb-92C2-25804820EDAC}">
                        <c15:formulaRef>
                          <c15:sqref>'GRAFICAS RPTE GCIAL'!$U$124:$W$124</c15:sqref>
                        </c15:formulaRef>
                      </c:ext>
                    </c:extLst>
                    <c:strCache>
                      <c:ptCount val="1"/>
                      <c:pt idx="0">
                        <c:v>G-8006</c:v>
                      </c:pt>
                    </c:strCache>
                  </c:strRef>
                </c:tx>
                <c:spPr>
                  <a:ln w="19050">
                    <a:solidFill>
                      <a:srgbClr val="FF9933"/>
                    </a:solidFill>
                  </a:ln>
                </c:spPr>
                <c:marker>
                  <c:symbol val="none"/>
                </c:marker>
                <c:val>
                  <c:numRef>
                    <c:extLst>
                      <c:ext uri="{02D57815-91ED-43cb-92C2-25804820EDAC}">
                        <c15:fullRef>
                          <c15:sqref>'GRAFICAS RPTE GCIAL'!$U$126:$U$156</c15:sqref>
                        </c15:fullRef>
                        <c15:formulaRef>
                          <c15:sqref>'GRAFICAS RPTE GCIAL'!$U$126:$U$155</c15:sqref>
                        </c15:formulaRef>
                      </c:ext>
                    </c:extLst>
                    <c:numCache>
                      <c:formatCode>0.0</c:formatCode>
                      <c:ptCount val="30"/>
                      <c:pt idx="0">
                        <c:v>0</c:v>
                      </c:pt>
                      <c:pt idx="1">
                        <c:v>0</c:v>
                      </c:pt>
                      <c:pt idx="2">
                        <c:v>0</c:v>
                      </c:pt>
                      <c:pt idx="3">
                        <c:v>0</c:v>
                      </c:pt>
                      <c:pt idx="4">
                        <c:v>0</c:v>
                      </c:pt>
                      <c:pt idx="5">
                        <c:v>0</c:v>
                      </c:pt>
                      <c:pt idx="6">
                        <c:v>-822.90899999999999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4-0356-4310-80B5-5D3A7C64D615}"/>
                  </c:ext>
                </c:extLst>
              </c15:ser>
            </c15:filteredLineSeries>
          </c:ext>
        </c:extLst>
      </c:lineChart>
      <c:dateAx>
        <c:axId val="104868480"/>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s-MX"/>
          </a:p>
        </c:txPr>
        <c:crossAx val="104878848"/>
        <c:crosses val="autoZero"/>
        <c:auto val="0"/>
        <c:lblOffset val="100"/>
        <c:baseTimeUnit val="days"/>
        <c:majorUnit val="1"/>
        <c:majorTimeUnit val="days"/>
        <c:minorUnit val="1"/>
        <c:minorTimeUnit val="days"/>
      </c:dateAx>
      <c:valAx>
        <c:axId val="104878848"/>
        <c:scaling>
          <c:orientation val="minMax"/>
          <c:max val="500"/>
          <c:min val="0"/>
        </c:scaling>
        <c:delete val="0"/>
        <c:axPos val="l"/>
        <c:title>
          <c:tx>
            <c:rich>
              <a:bodyPr rot="0" vert="horz"/>
              <a:lstStyle/>
              <a:p>
                <a:pPr>
                  <a:defRPr sz="800" b="0" i="0" u="none" strike="noStrike" baseline="0">
                    <a:solidFill>
                      <a:srgbClr val="000000"/>
                    </a:solidFill>
                    <a:latin typeface="Arial"/>
                    <a:ea typeface="Arial"/>
                    <a:cs typeface="Arial"/>
                  </a:defRPr>
                </a:pPr>
                <a:r>
                  <a:rPr lang="es-CO"/>
                  <a:t>MW</a:t>
                </a:r>
              </a:p>
            </c:rich>
          </c:tx>
          <c:layout>
            <c:manualLayout>
              <c:xMode val="edge"/>
              <c:yMode val="edge"/>
              <c:x val="1.392106621156107E-2"/>
              <c:y val="3.3666676090799444E-2"/>
            </c:manualLayout>
          </c:layout>
          <c:overlay val="0"/>
          <c:spPr>
            <a:noFill/>
            <a:ln w="19050">
              <a:solidFill>
                <a:schemeClr val="tx2">
                  <a:lumMod val="60000"/>
                  <a:lumOff val="40000"/>
                </a:schemeClr>
              </a:solidFill>
            </a:ln>
          </c:spPr>
        </c:title>
        <c:numFmt formatCode="0" sourceLinked="0"/>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s-MX"/>
          </a:p>
        </c:txPr>
        <c:crossAx val="104868480"/>
        <c:crosses val="autoZero"/>
        <c:crossBetween val="between"/>
        <c:majorUnit val="50"/>
        <c:minorUnit val="1"/>
      </c:valAx>
      <c:valAx>
        <c:axId val="601885216"/>
        <c:scaling>
          <c:orientation val="minMax"/>
          <c:max val="1"/>
          <c:min val="0"/>
        </c:scaling>
        <c:delete val="1"/>
        <c:axPos val="r"/>
        <c:numFmt formatCode="0.0" sourceLinked="1"/>
        <c:majorTickMark val="out"/>
        <c:minorTickMark val="none"/>
        <c:tickLblPos val="nextTo"/>
        <c:crossAx val="601888168"/>
        <c:crosses val="max"/>
        <c:crossBetween val="between"/>
        <c:minorUnit val="0.2"/>
      </c:valAx>
      <c:dateAx>
        <c:axId val="601888168"/>
        <c:scaling>
          <c:orientation val="minMax"/>
        </c:scaling>
        <c:delete val="1"/>
        <c:axPos val="b"/>
        <c:majorTickMark val="out"/>
        <c:minorTickMark val="none"/>
        <c:tickLblPos val="nextTo"/>
        <c:crossAx val="601885216"/>
        <c:crosses val="autoZero"/>
        <c:auto val="0"/>
        <c:lblOffset val="100"/>
        <c:baseTimeUnit val="days"/>
      </c:dateAx>
      <c:spPr>
        <a:solidFill>
          <a:schemeClr val="bg1">
            <a:lumMod val="85000"/>
          </a:schemeClr>
        </a:solidFill>
        <a:ln w="25400">
          <a:noFill/>
        </a:ln>
      </c:spPr>
    </c:plotArea>
    <c:legend>
      <c:legendPos val="b"/>
      <c:legendEntry>
        <c:idx val="0"/>
        <c:txPr>
          <a:bodyPr/>
          <a:lstStyle/>
          <a:p>
            <a:pPr>
              <a:defRPr sz="800" b="1" i="0" u="none" strike="noStrike" baseline="0">
                <a:solidFill>
                  <a:srgbClr val="000000"/>
                </a:solidFill>
                <a:latin typeface="Arial"/>
                <a:ea typeface="Arial"/>
                <a:cs typeface="Arial"/>
              </a:defRPr>
            </a:pPr>
            <a:endParaRPr lang="es-MX"/>
          </a:p>
        </c:txPr>
      </c:legendEntry>
      <c:legendEntry>
        <c:idx val="1"/>
        <c:txPr>
          <a:bodyPr/>
          <a:lstStyle/>
          <a:p>
            <a:pPr>
              <a:defRPr sz="800" b="1" i="0" u="none" strike="noStrike" baseline="0">
                <a:solidFill>
                  <a:srgbClr val="000000"/>
                </a:solidFill>
                <a:latin typeface="Arial"/>
                <a:ea typeface="Arial"/>
                <a:cs typeface="Arial"/>
              </a:defRPr>
            </a:pPr>
            <a:endParaRPr lang="es-MX"/>
          </a:p>
        </c:txPr>
      </c:legendEntry>
      <c:legendEntry>
        <c:idx val="2"/>
        <c:txPr>
          <a:bodyPr/>
          <a:lstStyle/>
          <a:p>
            <a:pPr>
              <a:defRPr sz="800" b="1" i="0" u="none" strike="noStrike" baseline="0">
                <a:solidFill>
                  <a:srgbClr val="000000"/>
                </a:solidFill>
                <a:latin typeface="Arial"/>
                <a:ea typeface="Arial"/>
                <a:cs typeface="Arial"/>
              </a:defRPr>
            </a:pPr>
            <a:endParaRPr lang="es-MX"/>
          </a:p>
        </c:txPr>
      </c:legendEntry>
      <c:layout>
        <c:manualLayout>
          <c:xMode val="edge"/>
          <c:yMode val="edge"/>
          <c:x val="2.3934605533086895E-2"/>
          <c:y val="0.84181587377759337"/>
          <c:w val="0.94070581195752967"/>
          <c:h val="9.9213265513996618E-2"/>
        </c:manualLayout>
      </c:layout>
      <c:overlay val="0"/>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s-MX"/>
        </a:p>
      </c:txPr>
    </c:legend>
    <c:plotVisOnly val="1"/>
    <c:dispBlanksAs val="gap"/>
    <c:showDLblsOverMax val="0"/>
  </c:chart>
  <c:spPr>
    <a:solidFill>
      <a:schemeClr val="bg1">
        <a:lumMod val="65000"/>
      </a:schemeClr>
    </a:solidFill>
    <a:ln w="6350">
      <a:solidFill>
        <a:schemeClr val="tx1"/>
      </a:solidFill>
    </a:ln>
    <a:effectLst>
      <a:innerShdw blurRad="63500" dist="50800" dir="2700000">
        <a:prstClr val="black">
          <a:alpha val="50000"/>
        </a:prstClr>
      </a:innerShdw>
    </a:effectLst>
    <a:scene3d>
      <a:camera prst="orthographicFront"/>
      <a:lightRig rig="threePt" dir="t"/>
    </a:scene3d>
    <a:sp3d>
      <a:bevelB w="152400" h="50800" prst="softRound"/>
    </a:sp3d>
  </c:spPr>
  <c:txPr>
    <a:bodyPr/>
    <a:lstStyle/>
    <a:p>
      <a:pPr>
        <a:defRPr sz="1200" b="0" i="0" u="none" strike="noStrike" baseline="0">
          <a:solidFill>
            <a:srgbClr val="000000"/>
          </a:solidFill>
          <a:latin typeface="Arial"/>
          <a:ea typeface="Arial"/>
          <a:cs typeface="Arial"/>
        </a:defRPr>
      </a:pPr>
      <a:endParaRPr lang="es-MX"/>
    </a:p>
  </c:txPr>
  <c:printSettings>
    <c:headerFooter alignWithMargins="0"/>
    <c:pageMargins b="1" l="0.75000000000001465" r="0.75000000000001465" t="1" header="0.5" footer="0.5"/>
    <c:pageSetup orientation="landscape"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s-CO" sz="800" b="1"/>
              <a:t>DEMANDA CARGAS REPRESENTATIVAS</a:t>
            </a:r>
          </a:p>
        </c:rich>
      </c:tx>
      <c:overlay val="0"/>
      <c:spPr>
        <a:solidFill>
          <a:srgbClr val="E3E3E3"/>
        </a:solidFill>
        <a:ln w="25400">
          <a:noFill/>
        </a:ln>
      </c:spPr>
    </c:title>
    <c:autoTitleDeleted val="0"/>
    <c:plotArea>
      <c:layout>
        <c:manualLayout>
          <c:layoutTarget val="inner"/>
          <c:xMode val="edge"/>
          <c:yMode val="edge"/>
          <c:x val="7.1746605804979866E-2"/>
          <c:y val="0.1369526817458967"/>
          <c:w val="0.89447853589661008"/>
          <c:h val="0.57136810671845673"/>
        </c:manualLayout>
      </c:layout>
      <c:lineChart>
        <c:grouping val="standard"/>
        <c:varyColors val="0"/>
        <c:ser>
          <c:idx val="0"/>
          <c:order val="1"/>
          <c:tx>
            <c:strRef>
              <c:f>'GRAFICAS RPTE GCIAL'!$AA$124</c:f>
              <c:strCache>
                <c:ptCount val="1"/>
                <c:pt idx="0">
                  <c:v>KM-2501 </c:v>
                </c:pt>
              </c:strCache>
            </c:strRef>
          </c:tx>
          <c:spPr>
            <a:ln w="19050"/>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'GRAFICAS RPTE GCIAL'!$AA$126:$AA$156</c15:sqref>
                  </c15:fullRef>
                </c:ext>
              </c:extLst>
              <c:f>'GRAFICAS RPTE GCIAL'!$AA$126:$AA$155</c:f>
              <c:numCache>
                <c:formatCode>0.0</c:formatCode>
                <c:ptCount val="30"/>
                <c:pt idx="0">
                  <c:v>145</c:v>
                </c:pt>
                <c:pt idx="1">
                  <c:v>147</c:v>
                </c:pt>
                <c:pt idx="2">
                  <c:v>145</c:v>
                </c:pt>
                <c:pt idx="3">
                  <c:v>152</c:v>
                </c:pt>
                <c:pt idx="4">
                  <c:v>-464667</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C-23B6-49AB-97BB-697CF18D63D1}"/>
            </c:ext>
          </c:extLst>
        </c:ser>
        <c:ser>
          <c:idx val="2"/>
          <c:order val="2"/>
          <c:tx>
            <c:strRef>
              <c:f>'GRAFICAS RPTE GCIAL'!$AB$124</c:f>
              <c:strCache>
                <c:ptCount val="1"/>
                <c:pt idx="0">
                  <c:v>SE CRUDO OCENSA</c:v>
                </c:pt>
              </c:strCache>
            </c:strRef>
          </c:tx>
          <c:spPr>
            <a:ln w="19050" cap="flat" cmpd="sng"/>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'GRAFICAS RPTE GCIAL'!$AB$126:$AB$156</c15:sqref>
                  </c15:fullRef>
                </c:ext>
              </c:extLst>
              <c:f>'GRAFICAS RPTE GCIAL'!$AB$126:$AB$155</c:f>
              <c:numCache>
                <c:formatCode>0.0</c:formatCode>
                <c:ptCount val="30"/>
                <c:pt idx="0">
                  <c:v>12.599999999998545</c:v>
                </c:pt>
                <c:pt idx="1">
                  <c:v>9.6999999999970896</c:v>
                </c:pt>
                <c:pt idx="2">
                  <c:v>9.8000000000047294</c:v>
                </c:pt>
                <c:pt idx="3">
                  <c:v>10.69999999999709</c:v>
                </c:pt>
                <c:pt idx="4">
                  <c:v>-59846.5</c:v>
                </c:pt>
                <c:pt idx="5">
                  <c:v>-14963.1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23B6-49AB-97BB-697CF18D63D1}"/>
            </c:ext>
          </c:extLst>
        </c:ser>
        <c:ser>
          <c:idx val="3"/>
          <c:order val="3"/>
          <c:tx>
            <c:strRef>
              <c:f>'GRAFICAS RPTE GCIAL'!$AC$124</c:f>
              <c:strCache>
                <c:ptCount val="1"/>
                <c:pt idx="0">
                  <c:v>SE REINYECCION</c:v>
                </c:pt>
              </c:strCache>
            </c:strRef>
          </c:tx>
          <c:spPr>
            <a:ln w="19050">
              <a:solidFill>
                <a:srgbClr val="26DE26"/>
              </a:solidFill>
            </a:ln>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'GRAFICAS RPTE GCIAL'!$AC$126:$AC$156</c15:sqref>
                  </c15:fullRef>
                </c:ext>
              </c:extLst>
              <c:f>'GRAFICAS RPTE GCIAL'!$AC$126:$AC$155</c:f>
              <c:numCache>
                <c:formatCode>0.0</c:formatCode>
                <c:ptCount val="30"/>
                <c:pt idx="0">
                  <c:v>36.69999999999709</c:v>
                </c:pt>
                <c:pt idx="1">
                  <c:v>35.599999999991269</c:v>
                </c:pt>
                <c:pt idx="2">
                  <c:v>35</c:v>
                </c:pt>
                <c:pt idx="3">
                  <c:v>37.30000000000291</c:v>
                </c:pt>
                <c:pt idx="4">
                  <c:v>-67065.7</c:v>
                </c:pt>
                <c:pt idx="5">
                  <c:v>-46196.1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23B6-49AB-97BB-697CF18D63D1}"/>
            </c:ext>
          </c:extLst>
        </c:ser>
        <c:dLbls>
          <c:showLegendKey val="0"/>
          <c:showVal val="0"/>
          <c:showCatName val="0"/>
          <c:showSerName val="0"/>
          <c:showPercent val="0"/>
          <c:showBubbleSize val="0"/>
        </c:dLbls>
        <c:marker val="1"/>
        <c:smooth val="0"/>
        <c:axId val="109078016"/>
        <c:axId val="109079936"/>
        <c:extLst>
          <c:ext xmlns:c15="http://schemas.microsoft.com/office/drawing/2012/chart" uri="{02D57815-91ED-43cb-92C2-25804820EDAC}">
            <c15:filteredLineSeries>
              <c15:ser>
                <c:idx val="4"/>
                <c:order val="4"/>
                <c:tx>
                  <c:strRef>
                    <c:extLst>
                      <c:ext uri="{02D57815-91ED-43cb-92C2-25804820EDAC}">
                        <c15:formulaRef>
                          <c15:sqref>'GRAFICAS RPTE GCIAL'!$AD$124</c15:sqref>
                        </c15:formulaRef>
                      </c:ext>
                    </c:extLst>
                    <c:strCache>
                      <c:ptCount val="1"/>
                      <c:pt idx="0">
                        <c:v>S/E TREN 1</c:v>
                      </c:pt>
                    </c:strCache>
                  </c:strRef>
                </c:tx>
                <c:spPr>
                  <a:ln w="19050"/>
                </c:spPr>
                <c:val>
                  <c:numRef>
                    <c:extLst>
                      <c:ext uri="{02D57815-91ED-43cb-92C2-25804820EDAC}">
                        <c15:fullRef>
                          <c15:sqref>'GRAFICAS RPTE GCIAL'!$AD$126:$AD$156</c15:sqref>
                        </c15:fullRef>
                        <c15:formulaRef>
                          <c15:sqref>'GRAFICAS RPTE GCIAL'!$AD$126:$AD$155</c15:sqref>
                        </c15:formulaRef>
                      </c:ext>
                    </c:extLst>
                    <c:numCache>
                      <c:formatCode>0.0</c:formatCode>
                      <c:ptCount val="30"/>
                      <c:pt idx="0">
                        <c:v>5.4000000000087311</c:v>
                      </c:pt>
                      <c:pt idx="1">
                        <c:v>5.5</c:v>
                      </c:pt>
                      <c:pt idx="2">
                        <c:v>5.6999999999970896</c:v>
                      </c:pt>
                      <c:pt idx="3">
                        <c:v>7.5</c:v>
                      </c:pt>
                      <c:pt idx="4">
                        <c:v>-82690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23B6-49AB-97BB-697CF18D63D1}"/>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'GRAFICAS RPTE GCIAL'!$AE$124</c15:sqref>
                        </c15:formulaRef>
                      </c:ext>
                    </c:extLst>
                    <c:strCache>
                      <c:ptCount val="1"/>
                      <c:pt idx="0">
                        <c:v>SE TREN 2</c:v>
                      </c:pt>
                    </c:strCache>
                  </c:strRef>
                </c:tx>
                <c:spPr>
                  <a:ln w="9525"/>
                </c:spPr>
                <c:marker>
                  <c:spPr>
                    <a:solidFill>
                      <a:srgbClr val="E3E3E3"/>
                    </a:solidFill>
                  </c:spPr>
                </c:marker>
                <c:val>
                  <c:numRef>
                    <c:extLst>
                      <c:ext xmlns:c15="http://schemas.microsoft.com/office/drawing/2012/chart" uri="{02D57815-91ED-43cb-92C2-25804820EDAC}">
                        <c15:fullRef>
                          <c15:sqref>'GRAFICAS RPTE GCIAL'!$AE$126:$AE$156</c15:sqref>
                        </c15:fullRef>
                        <c15:formulaRef>
                          <c15:sqref>'GRAFICAS RPTE GCIAL'!$AE$126:$AE$155</c15:sqref>
                        </c15:formulaRef>
                      </c:ext>
                    </c:extLst>
                    <c:numCache>
                      <c:formatCode>0.0</c:formatCode>
                      <c:ptCount val="30"/>
                      <c:pt idx="0">
                        <c:v>13</c:v>
                      </c:pt>
                      <c:pt idx="1">
                        <c:v>13</c:v>
                      </c:pt>
                      <c:pt idx="2">
                        <c:v>13</c:v>
                      </c:pt>
                      <c:pt idx="3">
                        <c:v>12.899999999994179</c:v>
                      </c:pt>
                      <c:pt idx="4">
                        <c:v>-138128.5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23B6-49AB-97BB-697CF18D63D1}"/>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'GRAFICAS RPTE GCIAL'!$AF$124</c15:sqref>
                        </c15:formulaRef>
                      </c:ext>
                    </c:extLst>
                    <c:strCache>
                      <c:ptCount val="1"/>
                      <c:pt idx="0">
                        <c:v>SE PRINCIPAL</c:v>
                      </c:pt>
                    </c:strCache>
                  </c:strRef>
                </c:tx>
                <c:spPr>
                  <a:ln w="19050"/>
                </c:spPr>
                <c:marker>
                  <c:symbol val="none"/>
                </c:marker>
                <c:val>
                  <c:numRef>
                    <c:extLst>
                      <c:ext xmlns:c15="http://schemas.microsoft.com/office/drawing/2012/chart" uri="{02D57815-91ED-43cb-92C2-25804820EDAC}">
                        <c15:fullRef>
                          <c15:sqref>'GRAFICAS RPTE GCIAL'!$AF$126:$AF$156</c15:sqref>
                        </c15:fullRef>
                        <c15:formulaRef>
                          <c15:sqref>'GRAFICAS RPTE GCIAL'!$AF$126:$AF$155</c15:sqref>
                        </c15:formulaRef>
                      </c:ext>
                    </c:extLst>
                    <c:numCache>
                      <c:formatCode>0.0</c:formatCode>
                      <c:ptCount val="30"/>
                      <c:pt idx="0">
                        <c:v>34.999999999996362</c:v>
                      </c:pt>
                      <c:pt idx="1">
                        <c:v>32.700000000011698</c:v>
                      </c:pt>
                      <c:pt idx="2">
                        <c:v>36.399999999999636</c:v>
                      </c:pt>
                      <c:pt idx="3">
                        <c:v>32.600000000005878</c:v>
                      </c:pt>
                      <c:pt idx="4">
                        <c:v>237466.79999999993</c:v>
                      </c:pt>
                      <c:pt idx="5">
                        <c:v>60091.201999999997</c:v>
                      </c:pt>
                      <c:pt idx="6">
                        <c:v>-822.90899999999999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4-23B6-49AB-97BB-697CF18D63D1}"/>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'GRAFICAS RPTE GCIAL'!$AG$124</c15:sqref>
                        </c15:formulaRef>
                      </c:ext>
                    </c:extLst>
                    <c:strCache>
                      <c:ptCount val="1"/>
                      <c:pt idx="0">
                        <c:v>SE PLANTA DE GAS Y JT</c:v>
                      </c:pt>
                    </c:strCache>
                  </c:strRef>
                </c:tx>
                <c:spPr>
                  <a:ln w="19050"/>
                </c:spPr>
                <c:val>
                  <c:numRef>
                    <c:extLst>
                      <c:ext xmlns:c15="http://schemas.microsoft.com/office/drawing/2012/chart" uri="{02D57815-91ED-43cb-92C2-25804820EDAC}">
                        <c15:fullRef>
                          <c15:sqref>'GRAFICAS RPTE GCIAL'!$AG$126:$AG$156</c15:sqref>
                        </c15:fullRef>
                        <c15:formulaRef>
                          <c15:sqref>'GRAFICAS RPTE GCIAL'!$AG$126:$AG$155</c15:sqref>
                        </c15:formulaRef>
                      </c:ext>
                    </c:extLst>
                    <c:numCache>
                      <c:formatCode>0.0</c:formatCode>
                      <c:ptCount val="30"/>
                      <c:pt idx="0">
                        <c:v>11.255999999998364</c:v>
                      </c:pt>
                      <c:pt idx="1">
                        <c:v>9.0070000000001045</c:v>
                      </c:pt>
                      <c:pt idx="2">
                        <c:v>10.273999999999633</c:v>
                      </c:pt>
                      <c:pt idx="3">
                        <c:v>11.238999999999727</c:v>
                      </c:pt>
                      <c:pt idx="4">
                        <c:v>-28926.668999999962</c:v>
                      </c:pt>
                      <c:pt idx="5">
                        <c:v>0</c:v>
                      </c:pt>
                      <c:pt idx="6">
                        <c:v>3120.6680000000001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23B6-49AB-97BB-697CF18D63D1}"/>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'GRAFICAS RPTE GCIAL'!$AH$124</c15:sqref>
                        </c15:formulaRef>
                      </c:ext>
                    </c:extLst>
                    <c:strCache>
                      <c:ptCount val="1"/>
                      <c:pt idx="0">
                        <c:v>SE GAS VENTAS</c:v>
                      </c:pt>
                    </c:strCache>
                  </c:strRef>
                </c:tx>
                <c:spPr>
                  <a:ln w="19050">
                    <a:solidFill>
                      <a:srgbClr val="4F81BD">
                        <a:tint val="77000"/>
                        <a:shade val="95000"/>
                        <a:satMod val="105000"/>
                      </a:srgbClr>
                    </a:solidFill>
                  </a:ln>
                </c:spPr>
                <c:marker>
                  <c:symbol val="none"/>
                </c:marker>
                <c:val>
                  <c:numRef>
                    <c:extLst>
                      <c:ext xmlns:c15="http://schemas.microsoft.com/office/drawing/2012/chart" uri="{02D57815-91ED-43cb-92C2-25804820EDAC}">
                        <c15:fullRef>
                          <c15:sqref>'GRAFICAS RPTE GCIAL'!$AH$126:$AH$156</c15:sqref>
                        </c15:fullRef>
                        <c15:formulaRef>
                          <c15:sqref>'GRAFICAS RPTE GCIAL'!$AH$126:$AH$155</c15:sqref>
                        </c15:formulaRef>
                      </c:ext>
                    </c:extLst>
                    <c:numCache>
                      <c:formatCode>0.0</c:formatCode>
                      <c:ptCount val="30"/>
                      <c:pt idx="0">
                        <c:v>4.3469999999998183</c:v>
                      </c:pt>
                      <c:pt idx="1">
                        <c:v>4.8100000000002732</c:v>
                      </c:pt>
                      <c:pt idx="2">
                        <c:v>4.6340000000000128</c:v>
                      </c:pt>
                      <c:pt idx="3">
                        <c:v>4.7370000000002728</c:v>
                      </c:pt>
                      <c:pt idx="4">
                        <c:v>-5886.3280000000004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6-23B6-49AB-97BB-697CF18D63D1}"/>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'GRAFICAS RPTE GCIAL'!$AI$124</c15:sqref>
                        </c15:formulaRef>
                      </c:ext>
                    </c:extLst>
                    <c:strCache>
                      <c:ptCount val="1"/>
                      <c:pt idx="0">
                        <c:v>KM-2601A</c:v>
                      </c:pt>
                    </c:strCache>
                  </c:strRef>
                </c:tx>
                <c:spPr>
                  <a:ln w="19050"/>
                </c:spPr>
                <c:marker>
                  <c:symbol val="none"/>
                </c:marker>
                <c:val>
                  <c:numRef>
                    <c:extLst>
                      <c:ext xmlns:c15="http://schemas.microsoft.com/office/drawing/2012/chart" uri="{02D57815-91ED-43cb-92C2-25804820EDAC}">
                        <c15:fullRef>
                          <c15:sqref>'GRAFICAS RPTE GCIAL'!$AI$126:$AI$156</c15:sqref>
                        </c15:fullRef>
                        <c15:formulaRef>
                          <c15:sqref>'GRAFICAS RPTE GCIAL'!$AI$126:$AI$155</c15:sqref>
                        </c15:formulaRef>
                      </c:ext>
                    </c:extLst>
                    <c:numCache>
                      <c:formatCode>0.0</c:formatCode>
                      <c:ptCount val="30"/>
                      <c:pt idx="0">
                        <c:v>2.5</c:v>
                      </c:pt>
                      <c:pt idx="1">
                        <c:v>2.2000000000000002</c:v>
                      </c:pt>
                      <c:pt idx="2">
                        <c:v>2.2000000000000002</c:v>
                      </c:pt>
                      <c:pt idx="3">
                        <c:v>2</c:v>
                      </c:pt>
                      <c:pt idx="4">
                        <c:v>-2637.2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23B6-49AB-97BB-697CF18D63D1}"/>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'GRAFICAS RPTE GCIAL'!$AJ$124</c15:sqref>
                        </c15:formulaRef>
                      </c:ext>
                    </c:extLst>
                    <c:strCache>
                      <c:ptCount val="1"/>
                      <c:pt idx="0">
                        <c:v>KM-2601B</c:v>
                      </c:pt>
                    </c:strCache>
                  </c:strRef>
                </c:tx>
                <c:spPr>
                  <a:ln w="19050"/>
                </c:spPr>
                <c:marker>
                  <c:symbol val="none"/>
                </c:marker>
                <c:val>
                  <c:numRef>
                    <c:extLst>
                      <c:ext xmlns:c15="http://schemas.microsoft.com/office/drawing/2012/chart" uri="{02D57815-91ED-43cb-92C2-25804820EDAC}">
                        <c15:fullRef>
                          <c15:sqref>'GRAFICAS RPTE GCIAL'!$AJ$126:$AJ$156</c15:sqref>
                        </c15:fullRef>
                        <c15:formulaRef>
                          <c15:sqref>'GRAFICAS RPTE GCIAL'!$AJ$126:$AJ$155</c15:sqref>
                        </c15:formulaRef>
                      </c:ext>
                    </c:extLst>
                    <c:numCache>
                      <c:formatCode>0.0</c:formatCode>
                      <c:ptCount val="30"/>
                      <c:pt idx="0">
                        <c:v>4.5439999999999996</c:v>
                      </c:pt>
                      <c:pt idx="1">
                        <c:v>4.6929999999999996</c:v>
                      </c:pt>
                      <c:pt idx="2">
                        <c:v>4.3460000000000001</c:v>
                      </c:pt>
                      <c:pt idx="3">
                        <c:v>5.0609999999999999</c:v>
                      </c:pt>
                      <c:pt idx="4">
                        <c:v>-3345.1309999999999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8-23B6-49AB-97BB-697CF18D63D1}"/>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'GRAFICAS RPTE GCIAL'!$AK$124</c15:sqref>
                        </c15:formulaRef>
                      </c:ext>
                    </c:extLst>
                    <c:strCache>
                      <c:ptCount val="1"/>
                      <c:pt idx="0">
                        <c:v>KM-2601C</c:v>
                      </c:pt>
                    </c:strCache>
                  </c:strRef>
                </c:tx>
                <c:spPr>
                  <a:ln w="19050"/>
                </c:spPr>
                <c:marker>
                  <c:symbol val="none"/>
                </c:marker>
                <c:val>
                  <c:numRef>
                    <c:extLst>
                      <c:ext xmlns:c15="http://schemas.microsoft.com/office/drawing/2012/chart" uri="{02D57815-91ED-43cb-92C2-25804820EDAC}">
                        <c15:fullRef>
                          <c15:sqref>'GRAFICAS RPTE GCIAL'!$AK$126:$AK$156</c15:sqref>
                        </c15:fullRef>
                        <c15:formulaRef>
                          <c15:sqref>'GRAFICAS RPTE GCIAL'!$AK$126:$AK$155</c15:sqref>
                        </c15:formulaRef>
                      </c:ext>
                    </c:extLst>
                    <c:numCache>
                      <c:formatCode>0.0</c:formatCode>
                      <c:ptCount val="30"/>
                      <c:pt idx="0">
                        <c:v>0</c:v>
                      </c:pt>
                      <c:pt idx="1">
                        <c:v>0</c:v>
                      </c:pt>
                      <c:pt idx="2">
                        <c:v>0</c:v>
                      </c:pt>
                      <c:pt idx="3">
                        <c:v>0</c:v>
                      </c:pt>
                      <c:pt idx="4">
                        <c:v>0</c:v>
                      </c:pt>
                      <c:pt idx="5">
                        <c:v>0</c:v>
                      </c:pt>
                      <c:pt idx="6">
                        <c:v>-3120.6680000000001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9-23B6-49AB-97BB-697CF18D63D1}"/>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'GRAFICAS RPTE GCIAL'!$AL$124</c15:sqref>
                        </c15:formulaRef>
                      </c:ext>
                    </c:extLst>
                    <c:strCache>
                      <c:ptCount val="1"/>
                      <c:pt idx="0">
                        <c:v>LLENADERO Y GLP</c:v>
                      </c:pt>
                    </c:strCache>
                  </c:strRef>
                </c:tx>
                <c:spPr>
                  <a:ln w="19050"/>
                </c:spPr>
                <c:marker>
                  <c:symbol val="none"/>
                </c:marker>
                <c:val>
                  <c:numRef>
                    <c:extLst>
                      <c:ext xmlns:c15="http://schemas.microsoft.com/office/drawing/2012/chart" uri="{02D57815-91ED-43cb-92C2-25804820EDAC}">
                        <c15:fullRef>
                          <c15:sqref>'GRAFICAS RPTE GCIAL'!$AL$126:$AL$156</c15:sqref>
                        </c15:fullRef>
                        <c15:formulaRef>
                          <c15:sqref>'GRAFICAS RPTE GCIAL'!$AL$126:$AL$155</c15:sqref>
                        </c15:formulaRef>
                      </c:ext>
                    </c:extLst>
                    <c:numCache>
                      <c:formatCode>0.0</c:formatCode>
                      <c:ptCount val="30"/>
                      <c:pt idx="0">
                        <c:v>3.0917999999999273</c:v>
                      </c:pt>
                      <c:pt idx="1">
                        <c:v>3.3140000000001093</c:v>
                      </c:pt>
                      <c:pt idx="2">
                        <c:v>3.2996000000000052</c:v>
                      </c:pt>
                      <c:pt idx="3">
                        <c:v>3.3578000000001094</c:v>
                      </c:pt>
                      <c:pt idx="4">
                        <c:v>-4223.0032000000001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A-23B6-49AB-97BB-697CF18D63D1}"/>
                  </c:ext>
                </c:extLst>
              </c15:ser>
            </c15:filteredLineSeries>
          </c:ext>
        </c:extLst>
      </c:lineChart>
      <c:lineChart>
        <c:grouping val="standard"/>
        <c:varyColors val="0"/>
        <c:ser>
          <c:idx val="1"/>
          <c:order val="0"/>
          <c:tx>
            <c:strRef>
              <c:f>'GRAFICAS RPTE GCIAL'!$Z$124</c:f>
              <c:strCache>
                <c:ptCount val="1"/>
                <c:pt idx="0">
                  <c:v>KM-2101 </c:v>
                </c:pt>
              </c:strCache>
            </c:strRef>
          </c:tx>
          <c:spPr>
            <a:ln w="19050">
              <a:solidFill>
                <a:srgbClr val="000000"/>
              </a:solidFill>
            </a:ln>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'GRAFICAS RPTE GCIAL'!$Z$126:$Z$156</c15:sqref>
                  </c15:fullRef>
                </c:ext>
              </c:extLst>
              <c:f>'GRAFICAS RPTE GCIAL'!$Z$126:$Z$155</c:f>
              <c:numCache>
                <c:formatCode>0.0</c:formatCode>
                <c:ptCount val="30"/>
                <c:pt idx="0">
                  <c:v>166</c:v>
                </c:pt>
                <c:pt idx="1">
                  <c:v>170</c:v>
                </c:pt>
                <c:pt idx="2">
                  <c:v>164</c:v>
                </c:pt>
                <c:pt idx="3">
                  <c:v>164</c:v>
                </c:pt>
                <c:pt idx="4">
                  <c:v>-7966</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B-23B6-49AB-97BB-697CF18D63D1}"/>
            </c:ext>
          </c:extLst>
        </c:ser>
        <c:dLbls>
          <c:showLegendKey val="0"/>
          <c:showVal val="0"/>
          <c:showCatName val="0"/>
          <c:showSerName val="0"/>
          <c:showPercent val="0"/>
          <c:showBubbleSize val="0"/>
        </c:dLbls>
        <c:marker val="1"/>
        <c:smooth val="0"/>
        <c:axId val="712452752"/>
        <c:axId val="616765256"/>
      </c:lineChart>
      <c:dateAx>
        <c:axId val="109078016"/>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s-MX"/>
          </a:p>
        </c:txPr>
        <c:crossAx val="109079936"/>
        <c:crosses val="autoZero"/>
        <c:auto val="1"/>
        <c:lblOffset val="100"/>
        <c:baseTimeUnit val="days"/>
        <c:majorUnit val="1"/>
        <c:majorTimeUnit val="days"/>
        <c:minorUnit val="1"/>
        <c:minorTimeUnit val="days"/>
      </c:dateAx>
      <c:valAx>
        <c:axId val="109079936"/>
        <c:scaling>
          <c:orientation val="minMax"/>
          <c:max val="210"/>
          <c:min val="0"/>
        </c:scaling>
        <c:delete val="0"/>
        <c:axPos val="l"/>
        <c:title>
          <c:tx>
            <c:rich>
              <a:bodyPr rot="0" vert="horz"/>
              <a:lstStyle/>
              <a:p>
                <a:pPr>
                  <a:defRPr sz="800" b="0" i="0" u="none" strike="noStrike" baseline="0">
                    <a:solidFill>
                      <a:srgbClr val="000000"/>
                    </a:solidFill>
                    <a:latin typeface="Arial"/>
                    <a:ea typeface="Arial"/>
                    <a:cs typeface="Arial"/>
                  </a:defRPr>
                </a:pPr>
                <a:r>
                  <a:rPr lang="es-CO"/>
                  <a:t>MW</a:t>
                </a:r>
              </a:p>
            </c:rich>
          </c:tx>
          <c:layout>
            <c:manualLayout>
              <c:xMode val="edge"/>
              <c:yMode val="edge"/>
              <c:x val="1.1725708057567888E-2"/>
              <c:y val="2.5760913242661203E-2"/>
            </c:manualLayout>
          </c:layout>
          <c:overlay val="0"/>
          <c:spPr>
            <a:noFill/>
            <a:ln w="19050">
              <a:solidFill>
                <a:schemeClr val="tx2">
                  <a:lumMod val="60000"/>
                  <a:lumOff val="40000"/>
                </a:schemeClr>
              </a:solidFill>
            </a:ln>
          </c:spPr>
        </c:title>
        <c:numFmt formatCode="0" sourceLinked="0"/>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s-MX"/>
          </a:p>
        </c:txPr>
        <c:crossAx val="109078016"/>
        <c:crosses val="autoZero"/>
        <c:crossBetween val="between"/>
        <c:majorUnit val="30"/>
        <c:minorUnit val="1"/>
      </c:valAx>
      <c:valAx>
        <c:axId val="616765256"/>
        <c:scaling>
          <c:orientation val="minMax"/>
          <c:max val="250"/>
          <c:min val="0"/>
        </c:scaling>
        <c:delete val="1"/>
        <c:axPos val="r"/>
        <c:numFmt formatCode="#,##0.0" sourceLinked="0"/>
        <c:majorTickMark val="out"/>
        <c:minorTickMark val="none"/>
        <c:tickLblPos val="nextTo"/>
        <c:crossAx val="712452752"/>
        <c:crosses val="max"/>
        <c:crossBetween val="between"/>
        <c:majorUnit val="40"/>
        <c:minorUnit val="8"/>
      </c:valAx>
      <c:dateAx>
        <c:axId val="712452752"/>
        <c:scaling>
          <c:orientation val="minMax"/>
        </c:scaling>
        <c:delete val="1"/>
        <c:axPos val="b"/>
        <c:majorTickMark val="out"/>
        <c:minorTickMark val="none"/>
        <c:tickLblPos val="nextTo"/>
        <c:crossAx val="616765256"/>
        <c:crosses val="autoZero"/>
        <c:auto val="0"/>
        <c:lblOffset val="100"/>
        <c:baseTimeUnit val="days"/>
      </c:dateAx>
      <c:spPr>
        <a:solidFill>
          <a:sysClr val="window" lastClr="FFFFFF">
            <a:lumMod val="85000"/>
          </a:sysClr>
        </a:solidFill>
        <a:ln w="25400">
          <a:noFill/>
        </a:ln>
      </c:spPr>
    </c:plotArea>
    <c:legend>
      <c:legendPos val="b"/>
      <c:layout>
        <c:manualLayout>
          <c:xMode val="edge"/>
          <c:yMode val="edge"/>
          <c:x val="3.2987814901805357E-2"/>
          <c:y val="0.83079126138644455"/>
          <c:w val="0.9366079893349426"/>
          <c:h val="0.10258562154235611"/>
        </c:manualLayout>
      </c:layout>
      <c:overlay val="0"/>
      <c:spPr>
        <a:solidFill>
          <a:srgbClr val="FFFFFF"/>
        </a:solidFill>
        <a:ln w="3175" cap="rnd">
          <a:solidFill>
            <a:srgbClr val="000000"/>
          </a:solidFill>
          <a:prstDash val="solid"/>
          <a:round/>
        </a:ln>
      </c:spPr>
      <c:txPr>
        <a:bodyPr anchor="b" anchorCtr="1"/>
        <a:lstStyle/>
        <a:p>
          <a:pPr>
            <a:defRPr sz="800" b="1" i="0" u="none" strike="noStrike" baseline="0">
              <a:ln>
                <a:noFill/>
              </a:ln>
              <a:solidFill>
                <a:srgbClr val="000000"/>
              </a:solidFill>
              <a:latin typeface="Arial"/>
              <a:ea typeface="Arial"/>
              <a:cs typeface="Arial"/>
            </a:defRPr>
          </a:pPr>
          <a:endParaRPr lang="es-MX"/>
        </a:p>
      </c:txPr>
    </c:legend>
    <c:plotVisOnly val="1"/>
    <c:dispBlanksAs val="gap"/>
    <c:showDLblsOverMax val="0"/>
  </c:chart>
  <c:spPr>
    <a:solidFill>
      <a:srgbClr val="BCBCBC"/>
    </a:solidFill>
    <a:ln w="0">
      <a:solidFill>
        <a:schemeClr val="tx1"/>
      </a:solidFill>
    </a:ln>
    <a:effectLst>
      <a:innerShdw blurRad="63500" dist="50800" dir="5400000">
        <a:prstClr val="black">
          <a:alpha val="50000"/>
        </a:prstClr>
      </a:innerShdw>
    </a:effectLst>
  </c:spPr>
  <c:txPr>
    <a:bodyPr/>
    <a:lstStyle/>
    <a:p>
      <a:pPr>
        <a:defRPr sz="1200" b="0" i="0" u="none" strike="noStrike" baseline="0">
          <a:solidFill>
            <a:srgbClr val="000000"/>
          </a:solidFill>
          <a:latin typeface="Arial"/>
          <a:ea typeface="Arial"/>
          <a:cs typeface="Arial"/>
        </a:defRPr>
      </a:pPr>
      <a:endParaRPr lang="es-MX"/>
    </a:p>
  </c:txPr>
  <c:printSettings>
    <c:headerFooter alignWithMargins="0"/>
    <c:pageMargins b="1" l="0.75000000000001465" r="0.75000000000001465" t="1" header="0.5" footer="0.5"/>
    <c:pageSetup orientation="landscape"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ACTIVA DIARIA JUNIO 2023</a:t>
            </a:r>
          </a:p>
        </c:rich>
      </c:tx>
      <c:overlay val="0"/>
    </c:title>
    <c:autoTitleDeleted val="0"/>
    <c:plotArea>
      <c:layout>
        <c:manualLayout>
          <c:layoutTarget val="inner"/>
          <c:xMode val="edge"/>
          <c:yMode val="edge"/>
          <c:x val="0.11611336031185063"/>
          <c:y val="0.10809662603484792"/>
          <c:w val="0.87350380749679135"/>
          <c:h val="0.54622395816580671"/>
        </c:manualLayout>
      </c:layout>
      <c:lineChart>
        <c:grouping val="standard"/>
        <c:varyColors val="0"/>
        <c:ser>
          <c:idx val="0"/>
          <c:order val="0"/>
          <c:tx>
            <c:strRef>
              <c:f>'GRAFICAS RPTE GCIAL'!$C$125</c:f>
              <c:strCache>
                <c:ptCount val="1"/>
                <c:pt idx="0">
                  <c:v>US-GT 8001 Mwh</c:v>
                </c:pt>
              </c:strCache>
            </c:strRef>
          </c:tx>
          <c:spPr>
            <a:ln>
              <a:solidFill>
                <a:schemeClr val="tx2">
                  <a:lumMod val="75000"/>
                </a:schemeClr>
              </a:solidFill>
            </a:ln>
          </c:spPr>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GCIAL'!$C$126:$C$156</c:f>
              <c:numCache>
                <c:formatCode>0.0</c:formatCode>
                <c:ptCount val="31"/>
                <c:pt idx="0">
                  <c:v>296</c:v>
                </c:pt>
                <c:pt idx="1">
                  <c:v>292</c:v>
                </c:pt>
                <c:pt idx="2">
                  <c:v>290</c:v>
                </c:pt>
                <c:pt idx="3">
                  <c:v>298</c:v>
                </c:pt>
                <c:pt idx="4">
                  <c:v>-593044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84B1-4BA4-8E4B-F2BF8D88FB00}"/>
            </c:ext>
          </c:extLst>
        </c:ser>
        <c:ser>
          <c:idx val="1"/>
          <c:order val="1"/>
          <c:tx>
            <c:strRef>
              <c:f>'GRAFICAS RPTE GCIAL'!$I$125</c:f>
              <c:strCache>
                <c:ptCount val="1"/>
                <c:pt idx="0">
                  <c:v>US-GT 8002 Mwh</c:v>
                </c:pt>
              </c:strCache>
            </c:strRef>
          </c:tx>
          <c:spPr>
            <a:ln>
              <a:solidFill>
                <a:srgbClr val="A43D3A"/>
              </a:solidFill>
            </a:ln>
          </c:spPr>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GCIAL'!$I$126:$I$156</c:f>
              <c:numCache>
                <c:formatCode>0.0</c:formatCode>
                <c:ptCount val="31"/>
                <c:pt idx="0">
                  <c:v>148</c:v>
                </c:pt>
                <c:pt idx="1">
                  <c:v>150</c:v>
                </c:pt>
                <c:pt idx="2">
                  <c:v>148</c:v>
                </c:pt>
                <c:pt idx="3">
                  <c:v>150</c:v>
                </c:pt>
                <c:pt idx="4">
                  <c:v>-41334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84B1-4BA4-8E4B-F2BF8D88FB00}"/>
            </c:ext>
          </c:extLst>
        </c:ser>
        <c:ser>
          <c:idx val="2"/>
          <c:order val="2"/>
          <c:tx>
            <c:strRef>
              <c:f>'GRAFICAS RPTE GCIAL'!$R$125</c:f>
              <c:strCache>
                <c:ptCount val="1"/>
                <c:pt idx="0">
                  <c:v>G-8005   Mwh</c:v>
                </c:pt>
              </c:strCache>
            </c:strRef>
          </c:tx>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GCIAL'!$R$126:$R$156</c:f>
              <c:numCache>
                <c:formatCode>0.0</c:formatCode>
                <c:ptCount val="31"/>
                <c:pt idx="0">
                  <c:v>0</c:v>
                </c:pt>
                <c:pt idx="1">
                  <c:v>0</c:v>
                </c:pt>
                <c:pt idx="2">
                  <c:v>0</c:v>
                </c:pt>
                <c:pt idx="3">
                  <c:v>0</c:v>
                </c:pt>
                <c:pt idx="4">
                  <c:v>0</c:v>
                </c:pt>
                <c:pt idx="5">
                  <c:v>-1067.998</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84B1-4BA4-8E4B-F2BF8D88FB00}"/>
            </c:ext>
          </c:extLst>
        </c:ser>
        <c:ser>
          <c:idx val="5"/>
          <c:order val="3"/>
          <c:tx>
            <c:strRef>
              <c:f>'GRAFICAS RPTE GCIAL'!$U$125</c:f>
              <c:strCache>
                <c:ptCount val="1"/>
                <c:pt idx="0">
                  <c:v>G-8006    Mwh</c:v>
                </c:pt>
              </c:strCache>
            </c:strRef>
          </c:tx>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f>'GRAFICAS RPTE GCIAL'!$U$126:$U$156</c:f>
              <c:numCache>
                <c:formatCode>0.0</c:formatCode>
                <c:ptCount val="31"/>
                <c:pt idx="0">
                  <c:v>0</c:v>
                </c:pt>
                <c:pt idx="1">
                  <c:v>0</c:v>
                </c:pt>
                <c:pt idx="2">
                  <c:v>0</c:v>
                </c:pt>
                <c:pt idx="3">
                  <c:v>0</c:v>
                </c:pt>
                <c:pt idx="4">
                  <c:v>0</c:v>
                </c:pt>
                <c:pt idx="5">
                  <c:v>0</c:v>
                </c:pt>
                <c:pt idx="6">
                  <c:v>-822.90899999999999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84B1-4BA4-8E4B-F2BF8D88FB00}"/>
            </c:ext>
          </c:extLst>
        </c:ser>
        <c:ser>
          <c:idx val="3"/>
          <c:order val="4"/>
          <c:tx>
            <c:strRef>
              <c:f>'GRAFICAS RPTE GCIAL'!$X$124</c:f>
              <c:strCache>
                <c:ptCount val="1"/>
                <c:pt idx="0">
                  <c:v>TOTAL MW</c:v>
                </c:pt>
              </c:strCache>
            </c:strRef>
          </c:tx>
          <c:spPr>
            <a:ln>
              <a:solidFill>
                <a:srgbClr val="FF00FF"/>
              </a:solidFill>
            </a:ln>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f>'GRAFICAS RPTE GCIAL'!$X$126:$X$156</c:f>
              <c:numCache>
                <c:formatCode>0.0</c:formatCode>
                <c:ptCount val="31"/>
                <c:pt idx="0">
                  <c:v>444</c:v>
                </c:pt>
                <c:pt idx="1">
                  <c:v>442</c:v>
                </c:pt>
                <c:pt idx="2">
                  <c:v>438</c:v>
                </c:pt>
                <c:pt idx="3">
                  <c:v>448</c:v>
                </c:pt>
                <c:pt idx="4">
                  <c:v>-634378</c:v>
                </c:pt>
                <c:pt idx="5">
                  <c:v>-1067.998</c:v>
                </c:pt>
                <c:pt idx="6">
                  <c:v>-822.90899999999999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84B1-4BA4-8E4B-F2BF8D88FB00}"/>
            </c:ext>
          </c:extLst>
        </c:ser>
        <c:ser>
          <c:idx val="4"/>
          <c:order val="5"/>
          <c:tx>
            <c:strRef>
              <c:f>'GRAFICAS RPTE GCIAL'!$P$124</c:f>
              <c:strCache>
                <c:ptCount val="1"/>
                <c:pt idx="0">
                  <c:v>PROM</c:v>
                </c:pt>
              </c:strCache>
            </c:strRef>
          </c:tx>
          <c:spPr>
            <a:ln>
              <a:solidFill>
                <a:srgbClr val="FF0000"/>
              </a:solidFill>
              <a:prstDash val="sysDash"/>
            </a:ln>
          </c:spPr>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f>'GRAFICAS RPTE GCIAL'!$P$126:$P$156</c:f>
              <c:numCache>
                <c:formatCode>0.0</c:formatCode>
                <c:ptCount val="31"/>
                <c:pt idx="0">
                  <c:v>222</c:v>
                </c:pt>
                <c:pt idx="1">
                  <c:v>221</c:v>
                </c:pt>
                <c:pt idx="2">
                  <c:v>219</c:v>
                </c:pt>
                <c:pt idx="3">
                  <c:v>224</c:v>
                </c:pt>
                <c:pt idx="4">
                  <c:v>-317189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84B1-4BA4-8E4B-F2BF8D88FB00}"/>
            </c:ext>
          </c:extLst>
        </c:ser>
        <c:dLbls>
          <c:showLegendKey val="0"/>
          <c:showVal val="0"/>
          <c:showCatName val="0"/>
          <c:showSerName val="0"/>
          <c:showPercent val="0"/>
          <c:showBubbleSize val="0"/>
        </c:dLbls>
        <c:smooth val="0"/>
        <c:axId val="112980736"/>
        <c:axId val="112982272"/>
      </c:lineChart>
      <c:catAx>
        <c:axId val="112980736"/>
        <c:scaling>
          <c:orientation val="minMax"/>
        </c:scaling>
        <c:delete val="0"/>
        <c:axPos val="b"/>
        <c:numFmt formatCode="General" sourceLinked="1"/>
        <c:majorTickMark val="none"/>
        <c:minorTickMark val="none"/>
        <c:tickLblPos val="nextTo"/>
        <c:crossAx val="112982272"/>
        <c:crosses val="autoZero"/>
        <c:auto val="1"/>
        <c:lblAlgn val="ctr"/>
        <c:lblOffset val="100"/>
        <c:noMultiLvlLbl val="0"/>
      </c:catAx>
      <c:valAx>
        <c:axId val="112982272"/>
        <c:scaling>
          <c:orientation val="minMax"/>
        </c:scaling>
        <c:delete val="0"/>
        <c:axPos val="l"/>
        <c:title>
          <c:tx>
            <c:rich>
              <a:bodyPr/>
              <a:lstStyle/>
              <a:p>
                <a:pPr>
                  <a:defRPr/>
                </a:pPr>
                <a:r>
                  <a:rPr lang="es-ES"/>
                  <a:t>MWH</a:t>
                </a:r>
              </a:p>
            </c:rich>
          </c:tx>
          <c:overlay val="0"/>
        </c:title>
        <c:numFmt formatCode="0.0" sourceLinked="1"/>
        <c:majorTickMark val="none"/>
        <c:minorTickMark val="none"/>
        <c:tickLblPos val="nextTo"/>
        <c:crossAx val="112980736"/>
        <c:crosses val="autoZero"/>
        <c:crossBetween val="between"/>
      </c:valAx>
      <c:dTable>
        <c:showHorzBorder val="1"/>
        <c:showVertBorder val="1"/>
        <c:showOutline val="1"/>
        <c:showKeys val="1"/>
        <c:txPr>
          <a:bodyPr/>
          <a:lstStyle/>
          <a:p>
            <a:pPr rtl="0">
              <a:defRPr sz="800"/>
            </a:pPr>
            <a:endParaRPr lang="es-MX"/>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400"/>
              <a:t>GENERACION ACTIVA AÑO  2023</a:t>
            </a:r>
          </a:p>
        </c:rich>
      </c:tx>
      <c:layout>
        <c:manualLayout>
          <c:xMode val="edge"/>
          <c:yMode val="edge"/>
          <c:x val="0.38084574205452082"/>
          <c:y val="2.8368794326241127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GCIAL'!$C$157:$C$158</c:f>
              <c:strCache>
                <c:ptCount val="2"/>
                <c:pt idx="0">
                  <c:v>US-GT 8001  Mwh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GCIAL'!$C$159:$C$170</c:f>
              <c:numCache>
                <c:formatCode>#,##0_);\(#,##0\)</c:formatCode>
                <c:ptCount val="12"/>
                <c:pt idx="0">
                  <c:v>5613.8399999999674</c:v>
                </c:pt>
                <c:pt idx="1">
                  <c:v>8128.1600000000326</c:v>
                </c:pt>
                <c:pt idx="2">
                  <c:v>9022.8399999999674</c:v>
                </c:pt>
                <c:pt idx="3">
                  <c:v>9357.1500000000233</c:v>
                </c:pt>
                <c:pt idx="4">
                  <c:v>6850.8499999999767</c:v>
                </c:pt>
                <c:pt idx="5">
                  <c:v>1176</c:v>
                </c:pt>
                <c:pt idx="6">
                  <c:v>0</c:v>
                </c:pt>
                <c:pt idx="7">
                  <c:v>0</c:v>
                </c:pt>
                <c:pt idx="8">
                  <c:v>0</c:v>
                </c:pt>
                <c:pt idx="9">
                  <c:v>0</c:v>
                </c:pt>
                <c:pt idx="10">
                  <c:v>0</c:v>
                </c:pt>
                <c:pt idx="11">
                  <c:v>0</c:v>
                </c:pt>
              </c:numCache>
            </c:numRef>
          </c:val>
          <c:extLst>
            <c:ext xmlns:c16="http://schemas.microsoft.com/office/drawing/2014/chart" uri="{C3380CC4-5D6E-409C-BE32-E72D297353CC}">
              <c16:uniqueId val="{00000000-D8BD-4FD5-9DCC-0A0C86CCF038}"/>
            </c:ext>
          </c:extLst>
        </c:ser>
        <c:ser>
          <c:idx val="1"/>
          <c:order val="1"/>
          <c:tx>
            <c:strRef>
              <c:f>'GRAFICAS RPTE GCIAL'!$E$157:$E$158</c:f>
              <c:strCache>
                <c:ptCount val="2"/>
                <c:pt idx="0">
                  <c:v>US-GT 8002 Mwh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GCIAL'!$E$159:$E$170</c:f>
              <c:numCache>
                <c:formatCode>#,##0_);\(#,##0\)</c:formatCode>
                <c:ptCount val="12"/>
                <c:pt idx="0">
                  <c:v>7936.4000000000015</c:v>
                </c:pt>
                <c:pt idx="1">
                  <c:v>4107.9799999999996</c:v>
                </c:pt>
                <c:pt idx="2">
                  <c:v>4705.4199999999983</c:v>
                </c:pt>
                <c:pt idx="3">
                  <c:v>3766.1000000000022</c:v>
                </c:pt>
                <c:pt idx="4">
                  <c:v>6271.0999999999985</c:v>
                </c:pt>
                <c:pt idx="5">
                  <c:v>596</c:v>
                </c:pt>
                <c:pt idx="6">
                  <c:v>0</c:v>
                </c:pt>
                <c:pt idx="7">
                  <c:v>0</c:v>
                </c:pt>
                <c:pt idx="8">
                  <c:v>0</c:v>
                </c:pt>
                <c:pt idx="9">
                  <c:v>0</c:v>
                </c:pt>
                <c:pt idx="10">
                  <c:v>0</c:v>
                </c:pt>
                <c:pt idx="11">
                  <c:v>0</c:v>
                </c:pt>
              </c:numCache>
            </c:numRef>
          </c:val>
          <c:extLst>
            <c:ext xmlns:c16="http://schemas.microsoft.com/office/drawing/2014/chart" uri="{C3380CC4-5D6E-409C-BE32-E72D297353CC}">
              <c16:uniqueId val="{00000001-D8BD-4FD5-9DCC-0A0C86CCF038}"/>
            </c:ext>
          </c:extLst>
        </c:ser>
        <c:ser>
          <c:idx val="3"/>
          <c:order val="2"/>
          <c:tx>
            <c:strRef>
              <c:f>'GRAFICAS RPTE GCIAL'!$M$157:$M$158</c:f>
              <c:strCache>
                <c:ptCount val="2"/>
                <c:pt idx="0">
                  <c:v>GEN TOTAL Mwh</c:v>
                </c:pt>
              </c:strCache>
            </c:strRef>
          </c:tx>
          <c:spPr>
            <a:solidFill>
              <a:srgbClr val="92D050"/>
            </a:solidFill>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GCIAL'!$M$159:$M$170</c:f>
              <c:numCache>
                <c:formatCode>#,##0_);\(#,##0\)</c:formatCode>
                <c:ptCount val="12"/>
                <c:pt idx="0">
                  <c:v>13554.626999999968</c:v>
                </c:pt>
                <c:pt idx="1">
                  <c:v>12240.734000000031</c:v>
                </c:pt>
                <c:pt idx="2">
                  <c:v>13729.963999999965</c:v>
                </c:pt>
                <c:pt idx="3">
                  <c:v>13154.943000000025</c:v>
                </c:pt>
                <c:pt idx="4">
                  <c:v>13126.246999999976</c:v>
                </c:pt>
                <c:pt idx="5">
                  <c:v>1772</c:v>
                </c:pt>
                <c:pt idx="6">
                  <c:v>0</c:v>
                </c:pt>
                <c:pt idx="7">
                  <c:v>0</c:v>
                </c:pt>
                <c:pt idx="8">
                  <c:v>0</c:v>
                </c:pt>
                <c:pt idx="9">
                  <c:v>0</c:v>
                </c:pt>
                <c:pt idx="10">
                  <c:v>0</c:v>
                </c:pt>
                <c:pt idx="11">
                  <c:v>0</c:v>
                </c:pt>
              </c:numCache>
            </c:numRef>
          </c:val>
          <c:extLst>
            <c:ext xmlns:c16="http://schemas.microsoft.com/office/drawing/2014/chart" uri="{C3380CC4-5D6E-409C-BE32-E72D297353CC}">
              <c16:uniqueId val="{00000002-D8BD-4FD5-9DCC-0A0C86CCF038}"/>
            </c:ext>
          </c:extLst>
        </c:ser>
        <c:ser>
          <c:idx val="2"/>
          <c:order val="3"/>
          <c:tx>
            <c:strRef>
              <c:f>'GRAFICAS RPTE GCIAL'!$N$157:$N$158</c:f>
              <c:strCache>
                <c:ptCount val="2"/>
                <c:pt idx="0">
                  <c:v>PROMEDIO</c:v>
                </c:pt>
              </c:strCache>
            </c:strRef>
          </c:tx>
          <c:spPr>
            <a:gradFill>
              <a:gsLst>
                <a:gs pos="0">
                  <a:srgbClr val="FF3399"/>
                </a:gs>
                <a:gs pos="25000">
                  <a:srgbClr val="FF6633"/>
                </a:gs>
                <a:gs pos="50000">
                  <a:srgbClr val="FFFF00"/>
                </a:gs>
                <a:gs pos="75000">
                  <a:srgbClr val="01A78F"/>
                </a:gs>
                <a:gs pos="100000">
                  <a:srgbClr val="3366FF"/>
                </a:gs>
              </a:gsLst>
              <a:lin ang="5400000" scaled="0"/>
            </a:gradFill>
            <a:ln>
              <a:solidFill>
                <a:srgbClr val="FF0000"/>
              </a:solidFill>
            </a:ln>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GCIAL'!$N$159:$N$170</c:f>
              <c:numCache>
                <c:formatCode>#,##0_);\(#,##0\)</c:formatCode>
                <c:ptCount val="12"/>
                <c:pt idx="0">
                  <c:v>6777.3134999999838</c:v>
                </c:pt>
                <c:pt idx="1">
                  <c:v>6120.3670000000157</c:v>
                </c:pt>
                <c:pt idx="2">
                  <c:v>6864.9819999999827</c:v>
                </c:pt>
                <c:pt idx="3">
                  <c:v>6577.4715000000124</c:v>
                </c:pt>
                <c:pt idx="4">
                  <c:v>6563.1234999999879</c:v>
                </c:pt>
                <c:pt idx="5">
                  <c:v>886</c:v>
                </c:pt>
                <c:pt idx="6">
                  <c:v>0</c:v>
                </c:pt>
                <c:pt idx="7">
                  <c:v>0</c:v>
                </c:pt>
                <c:pt idx="8">
                  <c:v>0</c:v>
                </c:pt>
                <c:pt idx="9">
                  <c:v>0</c:v>
                </c:pt>
                <c:pt idx="10">
                  <c:v>0</c:v>
                </c:pt>
                <c:pt idx="11">
                  <c:v>0</c:v>
                </c:pt>
              </c:numCache>
            </c:numRef>
          </c:val>
          <c:extLst>
            <c:ext xmlns:c16="http://schemas.microsoft.com/office/drawing/2014/chart" uri="{C3380CC4-5D6E-409C-BE32-E72D297353CC}">
              <c16:uniqueId val="{00000003-D8BD-4FD5-9DCC-0A0C86CCF038}"/>
            </c:ext>
          </c:extLst>
        </c:ser>
        <c:dLbls>
          <c:showLegendKey val="0"/>
          <c:showVal val="0"/>
          <c:showCatName val="0"/>
          <c:showSerName val="0"/>
          <c:showPercent val="0"/>
          <c:showBubbleSize val="0"/>
        </c:dLbls>
        <c:gapWidth val="150"/>
        <c:shape val="cylinder"/>
        <c:axId val="113224320"/>
        <c:axId val="112992640"/>
        <c:axId val="0"/>
      </c:bar3DChart>
      <c:dateAx>
        <c:axId val="113224320"/>
        <c:scaling>
          <c:orientation val="minMax"/>
        </c:scaling>
        <c:delete val="1"/>
        <c:axPos val="b"/>
        <c:numFmt formatCode="mmm" sourceLinked="1"/>
        <c:majorTickMark val="none"/>
        <c:minorTickMark val="none"/>
        <c:tickLblPos val="none"/>
        <c:crossAx val="112992640"/>
        <c:crosses val="autoZero"/>
        <c:auto val="1"/>
        <c:lblOffset val="100"/>
        <c:baseTimeUnit val="months"/>
      </c:dateAx>
      <c:valAx>
        <c:axId val="112992640"/>
        <c:scaling>
          <c:orientation val="minMax"/>
        </c:scaling>
        <c:delete val="0"/>
        <c:axPos val="l"/>
        <c:majorGridlines/>
        <c:title>
          <c:tx>
            <c:rich>
              <a:bodyPr/>
              <a:lstStyle/>
              <a:p>
                <a:pPr>
                  <a:defRPr/>
                </a:pPr>
                <a:r>
                  <a:rPr lang="es-ES" sz="1200"/>
                  <a:t>MWH</a:t>
                </a:r>
              </a:p>
            </c:rich>
          </c:tx>
          <c:layout>
            <c:manualLayout>
              <c:xMode val="edge"/>
              <c:yMode val="edge"/>
              <c:x val="4.5904471454092113E-2"/>
              <c:y val="0.34811637906970361"/>
            </c:manualLayout>
          </c:layout>
          <c:overlay val="0"/>
        </c:title>
        <c:numFmt formatCode="#,##0_);\(#,##0\)" sourceLinked="1"/>
        <c:majorTickMark val="none"/>
        <c:minorTickMark val="none"/>
        <c:tickLblPos val="nextTo"/>
        <c:crossAx val="113224320"/>
        <c:crosses val="autoZero"/>
        <c:crossBetween val="between"/>
      </c:valAx>
      <c:dTable>
        <c:showHorzBorder val="1"/>
        <c:showVertBorder val="1"/>
        <c:showOutline val="1"/>
        <c:showKeys val="1"/>
      </c:dTable>
    </c:plotArea>
    <c:plotVisOnly val="1"/>
    <c:dispBlanksAs val="gap"/>
    <c:showDLblsOverMax val="0"/>
  </c:chart>
  <c:spPr>
    <a:effectLst>
      <a:innerShdw blurRad="431800">
        <a:srgbClr val="4F81BD">
          <a:lumMod val="60000"/>
          <a:lumOff val="40000"/>
        </a:srgbClr>
      </a:innerShdw>
    </a:effectLst>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DEMANDA</a:t>
            </a:r>
            <a:r>
              <a:rPr lang="es-ES" sz="1200" baseline="0"/>
              <a:t> JUNIO 2023</a:t>
            </a:r>
            <a:endParaRPr lang="es-ES" sz="1200"/>
          </a:p>
        </c:rich>
      </c:tx>
      <c:layout>
        <c:manualLayout>
          <c:xMode val="edge"/>
          <c:yMode val="edge"/>
          <c:x val="0.42842319179291594"/>
          <c:y val="2.3148148148148147E-2"/>
        </c:manualLayout>
      </c:layout>
      <c:overlay val="0"/>
    </c:title>
    <c:autoTitleDeleted val="0"/>
    <c:plotArea>
      <c:layout>
        <c:manualLayout>
          <c:layoutTarget val="inner"/>
          <c:xMode val="edge"/>
          <c:yMode val="edge"/>
          <c:x val="6.9490074381268224E-2"/>
          <c:y val="0.14235901315138572"/>
          <c:w val="0.7280232550317326"/>
          <c:h val="0.72312882764654418"/>
        </c:manualLayout>
      </c:layout>
      <c:lineChart>
        <c:grouping val="standard"/>
        <c:varyColors val="0"/>
        <c:ser>
          <c:idx val="0"/>
          <c:order val="0"/>
          <c:tx>
            <c:strRef>
              <c:f>'GRAFICAS RPTE GCIAL'!$Z$124</c:f>
              <c:strCache>
                <c:ptCount val="1"/>
                <c:pt idx="0">
                  <c:v>KM-2101 </c:v>
                </c:pt>
              </c:strCache>
            </c:strRef>
          </c:tx>
          <c:marker>
            <c:symbol val="none"/>
          </c:marker>
          <c:val>
            <c:numRef>
              <c:f>'GRAFICAS RPTE GCIAL'!$Z$126:$Z$156</c:f>
              <c:numCache>
                <c:formatCode>0.0</c:formatCode>
                <c:ptCount val="31"/>
                <c:pt idx="0">
                  <c:v>166</c:v>
                </c:pt>
                <c:pt idx="1">
                  <c:v>170</c:v>
                </c:pt>
                <c:pt idx="2">
                  <c:v>164</c:v>
                </c:pt>
                <c:pt idx="3">
                  <c:v>164</c:v>
                </c:pt>
                <c:pt idx="4">
                  <c:v>-7966</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2B51-4A78-989D-D54BA0E9454A}"/>
            </c:ext>
          </c:extLst>
        </c:ser>
        <c:ser>
          <c:idx val="8"/>
          <c:order val="1"/>
          <c:tx>
            <c:strRef>
              <c:f>'GRAFICAS RPTE GCIAL'!$AA$124</c:f>
              <c:strCache>
                <c:ptCount val="1"/>
                <c:pt idx="0">
                  <c:v>KM-2501 </c:v>
                </c:pt>
              </c:strCache>
            </c:strRef>
          </c:tx>
          <c:marker>
            <c:symbol val="none"/>
          </c:marker>
          <c:val>
            <c:numRef>
              <c:f>'GRAFICAS RPTE GCIAL'!$AA$126:$AA$156</c:f>
              <c:numCache>
                <c:formatCode>0.0</c:formatCode>
                <c:ptCount val="31"/>
                <c:pt idx="0">
                  <c:v>145</c:v>
                </c:pt>
                <c:pt idx="1">
                  <c:v>147</c:v>
                </c:pt>
                <c:pt idx="2">
                  <c:v>145</c:v>
                </c:pt>
                <c:pt idx="3">
                  <c:v>152</c:v>
                </c:pt>
                <c:pt idx="4">
                  <c:v>-464667</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2B51-4A78-989D-D54BA0E9454A}"/>
            </c:ext>
          </c:extLst>
        </c:ser>
        <c:ser>
          <c:idx val="2"/>
          <c:order val="2"/>
          <c:tx>
            <c:strRef>
              <c:f>'GRAFICAS RPTE GCIAL'!$AB$124</c:f>
              <c:strCache>
                <c:ptCount val="1"/>
                <c:pt idx="0">
                  <c:v>SE CRUDO OCENSA</c:v>
                </c:pt>
              </c:strCache>
            </c:strRef>
          </c:tx>
          <c:marker>
            <c:symbol val="none"/>
          </c:marker>
          <c:val>
            <c:numRef>
              <c:f>'GRAFICAS RPTE GCIAL'!$AB$126:$AB$156</c:f>
              <c:numCache>
                <c:formatCode>0.0</c:formatCode>
                <c:ptCount val="31"/>
                <c:pt idx="0">
                  <c:v>12.599999999998545</c:v>
                </c:pt>
                <c:pt idx="1">
                  <c:v>9.6999999999970896</c:v>
                </c:pt>
                <c:pt idx="2">
                  <c:v>9.8000000000047294</c:v>
                </c:pt>
                <c:pt idx="3">
                  <c:v>10.69999999999709</c:v>
                </c:pt>
                <c:pt idx="4">
                  <c:v>-59846.5</c:v>
                </c:pt>
                <c:pt idx="5">
                  <c:v>-14963.1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2B51-4A78-989D-D54BA0E9454A}"/>
            </c:ext>
          </c:extLst>
        </c:ser>
        <c:ser>
          <c:idx val="1"/>
          <c:order val="3"/>
          <c:tx>
            <c:strRef>
              <c:f>'GRAFICAS RPTE GCIAL'!$AC$124</c:f>
              <c:strCache>
                <c:ptCount val="1"/>
                <c:pt idx="0">
                  <c:v>SE REINYECCION</c:v>
                </c:pt>
              </c:strCache>
            </c:strRef>
          </c:tx>
          <c:marker>
            <c:symbol val="none"/>
          </c:marker>
          <c:val>
            <c:numRef>
              <c:f>'GRAFICAS RPTE GCIAL'!$AC$126:$AC$156</c:f>
              <c:numCache>
                <c:formatCode>0.0</c:formatCode>
                <c:ptCount val="31"/>
                <c:pt idx="0">
                  <c:v>36.69999999999709</c:v>
                </c:pt>
                <c:pt idx="1">
                  <c:v>35.599999999991269</c:v>
                </c:pt>
                <c:pt idx="2">
                  <c:v>35</c:v>
                </c:pt>
                <c:pt idx="3">
                  <c:v>37.30000000000291</c:v>
                </c:pt>
                <c:pt idx="4">
                  <c:v>-67065.7</c:v>
                </c:pt>
                <c:pt idx="5">
                  <c:v>-46196.1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2B51-4A78-989D-D54BA0E9454A}"/>
            </c:ext>
          </c:extLst>
        </c:ser>
        <c:ser>
          <c:idx val="5"/>
          <c:order val="4"/>
          <c:tx>
            <c:strRef>
              <c:f>'GRAFICAS RPTE GCIAL'!$AD$124</c:f>
              <c:strCache>
                <c:ptCount val="1"/>
                <c:pt idx="0">
                  <c:v>S/E TREN 1</c:v>
                </c:pt>
              </c:strCache>
            </c:strRef>
          </c:tx>
          <c:marker>
            <c:symbol val="none"/>
          </c:marker>
          <c:val>
            <c:numRef>
              <c:f>'GRAFICAS RPTE GCIAL'!$AD$126:$AD$156</c:f>
              <c:numCache>
                <c:formatCode>0.0</c:formatCode>
                <c:ptCount val="31"/>
                <c:pt idx="0">
                  <c:v>5.4000000000087311</c:v>
                </c:pt>
                <c:pt idx="1">
                  <c:v>5.5</c:v>
                </c:pt>
                <c:pt idx="2">
                  <c:v>5.6999999999970896</c:v>
                </c:pt>
                <c:pt idx="3">
                  <c:v>7.5</c:v>
                </c:pt>
                <c:pt idx="4">
                  <c:v>-82690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2B51-4A78-989D-D54BA0E9454A}"/>
            </c:ext>
          </c:extLst>
        </c:ser>
        <c:ser>
          <c:idx val="6"/>
          <c:order val="5"/>
          <c:tx>
            <c:strRef>
              <c:f>'GRAFICAS RPTE GCIAL'!$AE$124</c:f>
              <c:strCache>
                <c:ptCount val="1"/>
                <c:pt idx="0">
                  <c:v>SE TREN 2</c:v>
                </c:pt>
              </c:strCache>
            </c:strRef>
          </c:tx>
          <c:marker>
            <c:symbol val="none"/>
          </c:marker>
          <c:val>
            <c:numRef>
              <c:f>'GRAFICAS RPTE GCIAL'!$AE$126:$AE$156</c:f>
              <c:numCache>
                <c:formatCode>0.0</c:formatCode>
                <c:ptCount val="31"/>
                <c:pt idx="0">
                  <c:v>13</c:v>
                </c:pt>
                <c:pt idx="1">
                  <c:v>13</c:v>
                </c:pt>
                <c:pt idx="2">
                  <c:v>13</c:v>
                </c:pt>
                <c:pt idx="3">
                  <c:v>12.899999999994179</c:v>
                </c:pt>
                <c:pt idx="4">
                  <c:v>-138128.5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2B51-4A78-989D-D54BA0E9454A}"/>
            </c:ext>
          </c:extLst>
        </c:ser>
        <c:ser>
          <c:idx val="3"/>
          <c:order val="6"/>
          <c:tx>
            <c:strRef>
              <c:f>'GRAFICAS RPTE GCIAL'!$AF$124</c:f>
              <c:strCache>
                <c:ptCount val="1"/>
                <c:pt idx="0">
                  <c:v>SE PRINCIPAL</c:v>
                </c:pt>
              </c:strCache>
            </c:strRef>
          </c:tx>
          <c:marker>
            <c:symbol val="none"/>
          </c:marker>
          <c:val>
            <c:numRef>
              <c:f>'GRAFICAS RPTE GCIAL'!$AF$126:$AF$156</c:f>
              <c:numCache>
                <c:formatCode>0.0</c:formatCode>
                <c:ptCount val="31"/>
                <c:pt idx="0">
                  <c:v>34.999999999996362</c:v>
                </c:pt>
                <c:pt idx="1">
                  <c:v>32.700000000011698</c:v>
                </c:pt>
                <c:pt idx="2">
                  <c:v>36.399999999999636</c:v>
                </c:pt>
                <c:pt idx="3">
                  <c:v>32.600000000005878</c:v>
                </c:pt>
                <c:pt idx="4">
                  <c:v>237466.79999999993</c:v>
                </c:pt>
                <c:pt idx="5">
                  <c:v>60091.201999999997</c:v>
                </c:pt>
                <c:pt idx="6">
                  <c:v>-822.90899999999999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6-2B51-4A78-989D-D54BA0E9454A}"/>
            </c:ext>
          </c:extLst>
        </c:ser>
        <c:ser>
          <c:idx val="4"/>
          <c:order val="7"/>
          <c:tx>
            <c:strRef>
              <c:f>'GRAFICAS RPTE GCIAL'!$AG$124</c:f>
              <c:strCache>
                <c:ptCount val="1"/>
                <c:pt idx="0">
                  <c:v>SE PLANTA DE GAS Y JT</c:v>
                </c:pt>
              </c:strCache>
            </c:strRef>
          </c:tx>
          <c:marker>
            <c:symbol val="none"/>
          </c:marker>
          <c:val>
            <c:numRef>
              <c:f>'GRAFICAS RPTE GCIAL'!$AG$126:$AG$156</c:f>
              <c:numCache>
                <c:formatCode>0.0</c:formatCode>
                <c:ptCount val="31"/>
                <c:pt idx="0">
                  <c:v>11.255999999998364</c:v>
                </c:pt>
                <c:pt idx="1">
                  <c:v>9.0070000000001045</c:v>
                </c:pt>
                <c:pt idx="2">
                  <c:v>10.273999999999633</c:v>
                </c:pt>
                <c:pt idx="3">
                  <c:v>11.238999999999727</c:v>
                </c:pt>
                <c:pt idx="4">
                  <c:v>-28926.668999999962</c:v>
                </c:pt>
                <c:pt idx="5">
                  <c:v>0</c:v>
                </c:pt>
                <c:pt idx="6">
                  <c:v>3120.6680000000001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2B51-4A78-989D-D54BA0E9454A}"/>
            </c:ext>
          </c:extLst>
        </c:ser>
        <c:ser>
          <c:idx val="7"/>
          <c:order val="8"/>
          <c:tx>
            <c:strRef>
              <c:f>'GRAFICAS RPTE GCIAL'!$AH$124</c:f>
              <c:strCache>
                <c:ptCount val="1"/>
                <c:pt idx="0">
                  <c:v>SE GAS VENTAS</c:v>
                </c:pt>
              </c:strCache>
            </c:strRef>
          </c:tx>
          <c:marker>
            <c:symbol val="none"/>
          </c:marker>
          <c:val>
            <c:numRef>
              <c:f>'GRAFICAS RPTE GCIAL'!$AH$126:$AH$156</c:f>
              <c:numCache>
                <c:formatCode>0.0</c:formatCode>
                <c:ptCount val="31"/>
                <c:pt idx="0">
                  <c:v>4.3469999999998183</c:v>
                </c:pt>
                <c:pt idx="1">
                  <c:v>4.8100000000002732</c:v>
                </c:pt>
                <c:pt idx="2">
                  <c:v>4.6340000000000128</c:v>
                </c:pt>
                <c:pt idx="3">
                  <c:v>4.7370000000002728</c:v>
                </c:pt>
                <c:pt idx="4">
                  <c:v>-5886.3280000000004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8-2B51-4A78-989D-D54BA0E9454A}"/>
            </c:ext>
          </c:extLst>
        </c:ser>
        <c:dLbls>
          <c:showLegendKey val="0"/>
          <c:showVal val="0"/>
          <c:showCatName val="0"/>
          <c:showSerName val="0"/>
          <c:showPercent val="0"/>
          <c:showBubbleSize val="0"/>
        </c:dLbls>
        <c:smooth val="0"/>
        <c:axId val="113066368"/>
        <c:axId val="113067904"/>
      </c:lineChart>
      <c:catAx>
        <c:axId val="113066368"/>
        <c:scaling>
          <c:orientation val="minMax"/>
        </c:scaling>
        <c:delete val="0"/>
        <c:axPos val="b"/>
        <c:numFmt formatCode="General" sourceLinked="0"/>
        <c:majorTickMark val="none"/>
        <c:minorTickMark val="none"/>
        <c:tickLblPos val="nextTo"/>
        <c:crossAx val="113067904"/>
        <c:crosses val="autoZero"/>
        <c:auto val="0"/>
        <c:lblAlgn val="ctr"/>
        <c:lblOffset val="100"/>
        <c:noMultiLvlLbl val="0"/>
      </c:catAx>
      <c:valAx>
        <c:axId val="113067904"/>
        <c:scaling>
          <c:orientation val="minMax"/>
        </c:scaling>
        <c:delete val="0"/>
        <c:axPos val="l"/>
        <c:majorGridlines/>
        <c:title>
          <c:tx>
            <c:rich>
              <a:bodyPr/>
              <a:lstStyle/>
              <a:p>
                <a:pPr>
                  <a:defRPr/>
                </a:pPr>
                <a:r>
                  <a:rPr lang="es-ES"/>
                  <a:t>MWH</a:t>
                </a:r>
              </a:p>
            </c:rich>
          </c:tx>
          <c:overlay val="0"/>
        </c:title>
        <c:numFmt formatCode="0.0" sourceLinked="1"/>
        <c:majorTickMark val="none"/>
        <c:minorTickMark val="none"/>
        <c:tickLblPos val="nextTo"/>
        <c:crossAx val="113066368"/>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1"/>
    </c:view3D>
    <c:floor>
      <c:thickness val="0"/>
    </c:floor>
    <c:sideWall>
      <c:thickness val="0"/>
    </c:sideWall>
    <c:backWall>
      <c:thickness val="0"/>
    </c:backWall>
    <c:plotArea>
      <c:layout/>
      <c:bar3DChart>
        <c:barDir val="col"/>
        <c:grouping val="clustered"/>
        <c:varyColors val="0"/>
        <c:ser>
          <c:idx val="2"/>
          <c:order val="0"/>
          <c:tx>
            <c:strRef>
              <c:f>'GRAFICAS RPTE GCIAL'!$Z$157:$Z$158</c:f>
              <c:strCache>
                <c:ptCount val="2"/>
                <c:pt idx="0">
                  <c:v>P/PAL</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GCIAL'!$Z$159:$Z$170</c:f>
              <c:numCache>
                <c:formatCode>#,##0</c:formatCode>
                <c:ptCount val="12"/>
                <c:pt idx="0">
                  <c:v>1030.8669999999649</c:v>
                </c:pt>
                <c:pt idx="1">
                  <c:v>928.88400000008437</c:v>
                </c:pt>
                <c:pt idx="2">
                  <c:v>1083.1139999999343</c:v>
                </c:pt>
                <c:pt idx="3">
                  <c:v>1024.5729999999701</c:v>
                </c:pt>
                <c:pt idx="4">
                  <c:v>1060.5669999999473</c:v>
                </c:pt>
                <c:pt idx="5">
                  <c:v>-686.20899999998642</c:v>
                </c:pt>
                <c:pt idx="6">
                  <c:v>0</c:v>
                </c:pt>
                <c:pt idx="7">
                  <c:v>0</c:v>
                </c:pt>
                <c:pt idx="8">
                  <c:v>0</c:v>
                </c:pt>
                <c:pt idx="9">
                  <c:v>0</c:v>
                </c:pt>
                <c:pt idx="10">
                  <c:v>0</c:v>
                </c:pt>
                <c:pt idx="11">
                  <c:v>0</c:v>
                </c:pt>
              </c:numCache>
            </c:numRef>
          </c:val>
          <c:extLst>
            <c:ext xmlns:c16="http://schemas.microsoft.com/office/drawing/2014/chart" uri="{C3380CC4-5D6E-409C-BE32-E72D297353CC}">
              <c16:uniqueId val="{00000000-9967-4746-B6A9-CD45A85BA517}"/>
            </c:ext>
          </c:extLst>
        </c:ser>
        <c:ser>
          <c:idx val="8"/>
          <c:order val="1"/>
          <c:tx>
            <c:strRef>
              <c:f>'GRAFICAS RPTE GCIAL'!$X$157:$X$158</c:f>
              <c:strCache>
                <c:ptCount val="2"/>
                <c:pt idx="0">
                  <c:v>TREN 1</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GCIAL'!$X$159:$X$170</c:f>
              <c:numCache>
                <c:formatCode>#,##0</c:formatCode>
                <c:ptCount val="12"/>
                <c:pt idx="0">
                  <c:v>257.33999999999651</c:v>
                </c:pt>
                <c:pt idx="1">
                  <c:v>247.08999999999651</c:v>
                </c:pt>
                <c:pt idx="2">
                  <c:v>237.61000000000058</c:v>
                </c:pt>
                <c:pt idx="3">
                  <c:v>211.93000000000757</c:v>
                </c:pt>
                <c:pt idx="4">
                  <c:v>206.06999999999243</c:v>
                </c:pt>
                <c:pt idx="5">
                  <c:v>24.100000000005821</c:v>
                </c:pt>
                <c:pt idx="6">
                  <c:v>0</c:v>
                </c:pt>
                <c:pt idx="7">
                  <c:v>0</c:v>
                </c:pt>
                <c:pt idx="8">
                  <c:v>0</c:v>
                </c:pt>
                <c:pt idx="9">
                  <c:v>0</c:v>
                </c:pt>
                <c:pt idx="10">
                  <c:v>0</c:v>
                </c:pt>
                <c:pt idx="11">
                  <c:v>0</c:v>
                </c:pt>
              </c:numCache>
            </c:numRef>
          </c:val>
          <c:extLst>
            <c:ext xmlns:c16="http://schemas.microsoft.com/office/drawing/2014/chart" uri="{C3380CC4-5D6E-409C-BE32-E72D297353CC}">
              <c16:uniqueId val="{00000001-9967-4746-B6A9-CD45A85BA517}"/>
            </c:ext>
          </c:extLst>
        </c:ser>
        <c:ser>
          <c:idx val="9"/>
          <c:order val="2"/>
          <c:tx>
            <c:strRef>
              <c:f>'GRAFICAS RPTE GCIAL'!$Y$157:$Y$158</c:f>
              <c:strCache>
                <c:ptCount val="2"/>
                <c:pt idx="0">
                  <c:v>TREN 2</c:v>
                </c:pt>
              </c:strCache>
            </c:strRef>
          </c:tx>
          <c:invertIfNegative val="0"/>
          <c:val>
            <c:numRef>
              <c:f>'GRAFICAS RPTE GCIAL'!$Y$159:$Y$170</c:f>
              <c:numCache>
                <c:formatCode>#,##0</c:formatCode>
                <c:ptCount val="12"/>
                <c:pt idx="0">
                  <c:v>470.33999999999651</c:v>
                </c:pt>
                <c:pt idx="1">
                  <c:v>413.5</c:v>
                </c:pt>
                <c:pt idx="2">
                  <c:v>455.60000000000582</c:v>
                </c:pt>
                <c:pt idx="3">
                  <c:v>421.5</c:v>
                </c:pt>
                <c:pt idx="4">
                  <c:v>394.5</c:v>
                </c:pt>
                <c:pt idx="5">
                  <c:v>51.899999999994179</c:v>
                </c:pt>
                <c:pt idx="6">
                  <c:v>0</c:v>
                </c:pt>
                <c:pt idx="7">
                  <c:v>0</c:v>
                </c:pt>
                <c:pt idx="8">
                  <c:v>0</c:v>
                </c:pt>
                <c:pt idx="9">
                  <c:v>0</c:v>
                </c:pt>
                <c:pt idx="10">
                  <c:v>0</c:v>
                </c:pt>
                <c:pt idx="11">
                  <c:v>0</c:v>
                </c:pt>
              </c:numCache>
            </c:numRef>
          </c:val>
          <c:extLst>
            <c:ext xmlns:c16="http://schemas.microsoft.com/office/drawing/2014/chart" uri="{C3380CC4-5D6E-409C-BE32-E72D297353CC}">
              <c16:uniqueId val="{00000002-9967-4746-B6A9-CD45A85BA517}"/>
            </c:ext>
          </c:extLst>
        </c:ser>
        <c:ser>
          <c:idx val="0"/>
          <c:order val="3"/>
          <c:tx>
            <c:strRef>
              <c:f>'GRAFICAS RPTE GCIAL'!$W$157:$W$158</c:f>
              <c:strCache>
                <c:ptCount val="2"/>
                <c:pt idx="0">
                  <c:v>REINYECCION</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GCIAL'!$W$159:$W$170</c:f>
              <c:numCache>
                <c:formatCode>#,##0</c:formatCode>
                <c:ptCount val="12"/>
                <c:pt idx="0">
                  <c:v>1265.5800000000017</c:v>
                </c:pt>
                <c:pt idx="1">
                  <c:v>1097.3600000000079</c:v>
                </c:pt>
                <c:pt idx="2">
                  <c:v>1212.5399999999936</c:v>
                </c:pt>
                <c:pt idx="3">
                  <c:v>1161.3899999999994</c:v>
                </c:pt>
                <c:pt idx="4">
                  <c:v>1128.5100000000093</c:v>
                </c:pt>
                <c:pt idx="5">
                  <c:v>144.59999999999127</c:v>
                </c:pt>
                <c:pt idx="6">
                  <c:v>0</c:v>
                </c:pt>
                <c:pt idx="7">
                  <c:v>0</c:v>
                </c:pt>
                <c:pt idx="8">
                  <c:v>0</c:v>
                </c:pt>
                <c:pt idx="9">
                  <c:v>0</c:v>
                </c:pt>
                <c:pt idx="10">
                  <c:v>0</c:v>
                </c:pt>
                <c:pt idx="11">
                  <c:v>0</c:v>
                </c:pt>
              </c:numCache>
            </c:numRef>
          </c:val>
          <c:extLst>
            <c:ext xmlns:c16="http://schemas.microsoft.com/office/drawing/2014/chart" uri="{C3380CC4-5D6E-409C-BE32-E72D297353CC}">
              <c16:uniqueId val="{00000003-9967-4746-B6A9-CD45A85BA517}"/>
            </c:ext>
          </c:extLst>
        </c:ser>
        <c:ser>
          <c:idx val="3"/>
          <c:order val="4"/>
          <c:tx>
            <c:strRef>
              <c:f>'GRAFICAS RPTE GCIAL'!$V$157:$V$158</c:f>
              <c:strCache>
                <c:ptCount val="2"/>
                <c:pt idx="0">
                  <c:v>CRUDO OCENSA</c:v>
                </c:pt>
              </c:strCache>
            </c:strRef>
          </c:tx>
          <c:invertIfNegative val="0"/>
          <c:val>
            <c:numRef>
              <c:f>'GRAFICAS RPTE GCIAL'!$V$159:$V$170</c:f>
              <c:numCache>
                <c:formatCode>#,##0</c:formatCode>
                <c:ptCount val="12"/>
                <c:pt idx="0">
                  <c:v>320.69999999999709</c:v>
                </c:pt>
                <c:pt idx="1">
                  <c:v>280.5</c:v>
                </c:pt>
                <c:pt idx="2">
                  <c:v>300.79999999999927</c:v>
                </c:pt>
                <c:pt idx="3">
                  <c:v>314.19999999999891</c:v>
                </c:pt>
                <c:pt idx="4">
                  <c:v>340.70000000000437</c:v>
                </c:pt>
                <c:pt idx="5">
                  <c:v>42.799999999997453</c:v>
                </c:pt>
                <c:pt idx="6">
                  <c:v>0</c:v>
                </c:pt>
                <c:pt idx="7">
                  <c:v>0</c:v>
                </c:pt>
                <c:pt idx="8">
                  <c:v>0</c:v>
                </c:pt>
                <c:pt idx="9">
                  <c:v>0</c:v>
                </c:pt>
                <c:pt idx="10">
                  <c:v>0</c:v>
                </c:pt>
                <c:pt idx="11">
                  <c:v>0</c:v>
                </c:pt>
              </c:numCache>
            </c:numRef>
          </c:val>
          <c:extLst>
            <c:ext xmlns:c16="http://schemas.microsoft.com/office/drawing/2014/chart" uri="{C3380CC4-5D6E-409C-BE32-E72D297353CC}">
              <c16:uniqueId val="{00000004-9967-4746-B6A9-CD45A85BA517}"/>
            </c:ext>
          </c:extLst>
        </c:ser>
        <c:ser>
          <c:idx val="1"/>
          <c:order val="5"/>
          <c:tx>
            <c:strRef>
              <c:f>'GRAFICAS RPTE GCIAL'!$AA$157:$AA$158</c:f>
              <c:strCache>
                <c:ptCount val="2"/>
                <c:pt idx="0">
                  <c:v>GAS Y JT</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GCIAL'!$AA$159:$AA$170</c:f>
              <c:numCache>
                <c:formatCode>#,##0</c:formatCode>
                <c:ptCount val="12"/>
                <c:pt idx="0">
                  <c:v>276.9375000000353</c:v>
                </c:pt>
                <c:pt idx="1">
                  <c:v>264.84499999996621</c:v>
                </c:pt>
                <c:pt idx="2">
                  <c:v>311.30750000000984</c:v>
                </c:pt>
                <c:pt idx="3">
                  <c:v>251.22449999996763</c:v>
                </c:pt>
                <c:pt idx="4">
                  <c:v>283.9545000000341</c:v>
                </c:pt>
                <c:pt idx="5">
                  <c:v>3162.4439999999981</c:v>
                </c:pt>
                <c:pt idx="6">
                  <c:v>0</c:v>
                </c:pt>
                <c:pt idx="7">
                  <c:v>0</c:v>
                </c:pt>
                <c:pt idx="8">
                  <c:v>0</c:v>
                </c:pt>
                <c:pt idx="9">
                  <c:v>0</c:v>
                </c:pt>
                <c:pt idx="10">
                  <c:v>0</c:v>
                </c:pt>
                <c:pt idx="11">
                  <c:v>0</c:v>
                </c:pt>
              </c:numCache>
            </c:numRef>
          </c:val>
          <c:extLst>
            <c:ext xmlns:c16="http://schemas.microsoft.com/office/drawing/2014/chart" uri="{C3380CC4-5D6E-409C-BE32-E72D297353CC}">
              <c16:uniqueId val="{00000005-9967-4746-B6A9-CD45A85BA517}"/>
            </c:ext>
          </c:extLst>
        </c:ser>
        <c:ser>
          <c:idx val="5"/>
          <c:order val="6"/>
          <c:tx>
            <c:strRef>
              <c:f>'GRAFICAS RPTE GCIAL'!$AB$157:$AB$158</c:f>
              <c:strCache>
                <c:ptCount val="2"/>
                <c:pt idx="0">
                  <c:v>GAS VENTAS</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GCIAL'!$AB$159:$AB$170</c:f>
              <c:numCache>
                <c:formatCode>#,##0</c:formatCode>
                <c:ptCount val="12"/>
                <c:pt idx="0">
                  <c:v>87.141999999999967</c:v>
                </c:pt>
                <c:pt idx="1">
                  <c:v>86.488000000000483</c:v>
                </c:pt>
                <c:pt idx="2">
                  <c:v>82.56799999999977</c:v>
                </c:pt>
                <c:pt idx="3">
                  <c:v>98.091000000000065</c:v>
                </c:pt>
                <c:pt idx="4">
                  <c:v>99.264000000000195</c:v>
                </c:pt>
                <c:pt idx="5">
                  <c:v>18.528000000000379</c:v>
                </c:pt>
                <c:pt idx="6">
                  <c:v>0</c:v>
                </c:pt>
                <c:pt idx="7">
                  <c:v>0</c:v>
                </c:pt>
                <c:pt idx="8">
                  <c:v>0</c:v>
                </c:pt>
                <c:pt idx="9">
                  <c:v>0</c:v>
                </c:pt>
                <c:pt idx="10">
                  <c:v>0</c:v>
                </c:pt>
                <c:pt idx="11">
                  <c:v>0</c:v>
                </c:pt>
              </c:numCache>
            </c:numRef>
          </c:val>
          <c:extLst>
            <c:ext xmlns:c16="http://schemas.microsoft.com/office/drawing/2014/chart" uri="{C3380CC4-5D6E-409C-BE32-E72D297353CC}">
              <c16:uniqueId val="{00000006-9967-4746-B6A9-CD45A85BA517}"/>
            </c:ext>
          </c:extLst>
        </c:ser>
        <c:dLbls>
          <c:showLegendKey val="0"/>
          <c:showVal val="0"/>
          <c:showCatName val="0"/>
          <c:showSerName val="0"/>
          <c:showPercent val="0"/>
          <c:showBubbleSize val="0"/>
        </c:dLbls>
        <c:gapWidth val="300"/>
        <c:shape val="cylinder"/>
        <c:axId val="113114496"/>
        <c:axId val="114177536"/>
        <c:axId val="0"/>
      </c:bar3DChart>
      <c:dateAx>
        <c:axId val="113114496"/>
        <c:scaling>
          <c:orientation val="minMax"/>
        </c:scaling>
        <c:delete val="0"/>
        <c:axPos val="b"/>
        <c:title>
          <c:tx>
            <c:rich>
              <a:bodyPr/>
              <a:lstStyle/>
              <a:p>
                <a:pPr>
                  <a:defRPr/>
                </a:pPr>
                <a:r>
                  <a:rPr lang="es-ES" sz="1000"/>
                  <a:t>DEMANDA 2023</a:t>
                </a:r>
              </a:p>
            </c:rich>
          </c:tx>
          <c:overlay val="0"/>
        </c:title>
        <c:numFmt formatCode="mmm" sourceLinked="1"/>
        <c:majorTickMark val="none"/>
        <c:minorTickMark val="none"/>
        <c:tickLblPos val="nextTo"/>
        <c:crossAx val="114177536"/>
        <c:crosses val="autoZero"/>
        <c:auto val="1"/>
        <c:lblOffset val="100"/>
        <c:baseTimeUnit val="months"/>
      </c:dateAx>
      <c:valAx>
        <c:axId val="114177536"/>
        <c:scaling>
          <c:orientation val="minMax"/>
        </c:scaling>
        <c:delete val="0"/>
        <c:axPos val="l"/>
        <c:majorGridlines/>
        <c:minorGridlines/>
        <c:title>
          <c:tx>
            <c:rich>
              <a:bodyPr/>
              <a:lstStyle/>
              <a:p>
                <a:pPr>
                  <a:defRPr/>
                </a:pPr>
                <a:r>
                  <a:rPr lang="es-ES"/>
                  <a:t>MWH</a:t>
                </a:r>
              </a:p>
            </c:rich>
          </c:tx>
          <c:overlay val="0"/>
        </c:title>
        <c:numFmt formatCode="#,##0" sourceLinked="1"/>
        <c:majorTickMark val="out"/>
        <c:minorTickMark val="none"/>
        <c:tickLblPos val="nextTo"/>
        <c:crossAx val="113114496"/>
        <c:crosses val="autoZero"/>
        <c:crossBetween val="between"/>
      </c:valAx>
    </c:plotArea>
    <c:legend>
      <c:legendPos val="r"/>
      <c:overlay val="0"/>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CONSUMO</a:t>
            </a:r>
            <a:r>
              <a:rPr lang="es-ES" sz="1200" baseline="0"/>
              <a:t> DE GAS JUNIO 2023</a:t>
            </a:r>
            <a:endParaRPr lang="es-ES" sz="1200"/>
          </a:p>
        </c:rich>
      </c:tx>
      <c:layout>
        <c:manualLayout>
          <c:xMode val="edge"/>
          <c:yMode val="edge"/>
          <c:x val="0.33230555555558638"/>
          <c:y val="0"/>
        </c:manualLayout>
      </c:layout>
      <c:overlay val="0"/>
    </c:title>
    <c:autoTitleDeleted val="0"/>
    <c:plotArea>
      <c:layout>
        <c:manualLayout>
          <c:layoutTarget val="inner"/>
          <c:xMode val="edge"/>
          <c:yMode val="edge"/>
          <c:x val="0.13890119952440078"/>
          <c:y val="5.5808315027714037E-2"/>
          <c:w val="0.84531708087703394"/>
          <c:h val="0.64247769028881097"/>
        </c:manualLayout>
      </c:layout>
      <c:lineChart>
        <c:grouping val="standard"/>
        <c:varyColors val="0"/>
        <c:ser>
          <c:idx val="0"/>
          <c:order val="0"/>
          <c:tx>
            <c:strRef>
              <c:f>'GRAFICAS RPTE GCIAL'!$C$124:$H$124</c:f>
              <c:strCache>
                <c:ptCount val="1"/>
                <c:pt idx="0">
                  <c:v>GT-8001  </c:v>
                </c:pt>
              </c:strCache>
            </c:strRef>
          </c:tx>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GCIAL'!$E$126:$E$156</c:f>
              <c:numCache>
                <c:formatCode>0.0</c:formatCode>
                <c:ptCount val="31"/>
                <c:pt idx="0">
                  <c:v>4.7912563330741911</c:v>
                </c:pt>
                <c:pt idx="1">
                  <c:v>4.7592972037983134</c:v>
                </c:pt>
                <c:pt idx="2">
                  <c:v>4.7433176391603737</c:v>
                </c:pt>
                <c:pt idx="3">
                  <c:v>4.807235897712129</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4999-4DBE-AD60-4C54A490CE7D}"/>
            </c:ext>
          </c:extLst>
        </c:ser>
        <c:ser>
          <c:idx val="1"/>
          <c:order val="1"/>
          <c:tx>
            <c:strRef>
              <c:f>'GRAFICAS RPTE GCIAL'!$I$124:$N$124</c:f>
              <c:strCache>
                <c:ptCount val="1"/>
                <c:pt idx="0">
                  <c:v>GT-8002  </c:v>
                </c:pt>
              </c:strCache>
            </c:strRef>
          </c:tx>
          <c:spPr>
            <a:ln>
              <a:solidFill>
                <a:schemeClr val="accent4">
                  <a:lumMod val="75000"/>
                </a:schemeClr>
              </a:solidFill>
            </a:ln>
          </c:spPr>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GCIAL'!$K$126:$K$156</c:f>
              <c:numCache>
                <c:formatCode>0.0</c:formatCode>
                <c:ptCount val="31"/>
                <c:pt idx="0">
                  <c:v>3.6087685498667268</c:v>
                </c:pt>
                <c:pt idx="1">
                  <c:v>3.6247481145046652</c:v>
                </c:pt>
                <c:pt idx="2">
                  <c:v>3.6087685498667268</c:v>
                </c:pt>
                <c:pt idx="3">
                  <c:v>3.6247481145046652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4999-4DBE-AD60-4C54A490CE7D}"/>
            </c:ext>
          </c:extLst>
        </c:ser>
        <c:ser>
          <c:idx val="3"/>
          <c:order val="2"/>
          <c:tx>
            <c:strRef>
              <c:f>'GRAFICAS RPTE GCIAL'!$O$124</c:f>
              <c:strCache>
                <c:ptCount val="1"/>
                <c:pt idx="0">
                  <c:v>TOTALES GAS</c:v>
                </c:pt>
              </c:strCache>
            </c:strRef>
          </c:tx>
          <c:spPr>
            <a:ln>
              <a:solidFill>
                <a:srgbClr val="FF0000"/>
              </a:solidFill>
              <a:prstDash val="sysDash"/>
            </a:ln>
          </c:spPr>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GCIAL'!$O$126:$O$156</c:f>
              <c:numCache>
                <c:formatCode>0.0</c:formatCode>
                <c:ptCount val="31"/>
                <c:pt idx="0">
                  <c:v>8.4000248829409188</c:v>
                </c:pt>
                <c:pt idx="1">
                  <c:v>8.3840453183029791</c:v>
                </c:pt>
                <c:pt idx="2">
                  <c:v>8.3520861890271014</c:v>
                </c:pt>
                <c:pt idx="3">
                  <c:v>8.4319840122167946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4999-4DBE-AD60-4C54A490CE7D}"/>
            </c:ext>
          </c:extLst>
        </c:ser>
        <c:dLbls>
          <c:showLegendKey val="0"/>
          <c:showVal val="0"/>
          <c:showCatName val="0"/>
          <c:showSerName val="0"/>
          <c:showPercent val="0"/>
          <c:showBubbleSize val="0"/>
        </c:dLbls>
        <c:smooth val="0"/>
        <c:axId val="114191360"/>
        <c:axId val="114217728"/>
      </c:lineChart>
      <c:catAx>
        <c:axId val="114191360"/>
        <c:scaling>
          <c:orientation val="minMax"/>
        </c:scaling>
        <c:delete val="0"/>
        <c:axPos val="b"/>
        <c:numFmt formatCode="General" sourceLinked="1"/>
        <c:majorTickMark val="none"/>
        <c:minorTickMark val="none"/>
        <c:tickLblPos val="nextTo"/>
        <c:crossAx val="114217728"/>
        <c:crosses val="autoZero"/>
        <c:auto val="1"/>
        <c:lblAlgn val="ctr"/>
        <c:lblOffset val="100"/>
        <c:noMultiLvlLbl val="0"/>
      </c:catAx>
      <c:valAx>
        <c:axId val="114217728"/>
        <c:scaling>
          <c:orientation val="minMax"/>
        </c:scaling>
        <c:delete val="0"/>
        <c:axPos val="l"/>
        <c:majorGridlines/>
        <c:title>
          <c:tx>
            <c:rich>
              <a:bodyPr/>
              <a:lstStyle/>
              <a:p>
                <a:pPr>
                  <a:defRPr/>
                </a:pPr>
                <a:r>
                  <a:rPr lang="en-US"/>
                  <a:t>mmsfcd</a:t>
                </a:r>
              </a:p>
            </c:rich>
          </c:tx>
          <c:layout>
            <c:manualLayout>
              <c:xMode val="edge"/>
              <c:yMode val="edge"/>
              <c:x val="1.2919896640826873E-2"/>
              <c:y val="0.33002187226603114"/>
            </c:manualLayout>
          </c:layout>
          <c:overlay val="0"/>
        </c:title>
        <c:numFmt formatCode="0.0" sourceLinked="1"/>
        <c:majorTickMark val="none"/>
        <c:minorTickMark val="none"/>
        <c:tickLblPos val="nextTo"/>
        <c:crossAx val="114191360"/>
        <c:crosses val="autoZero"/>
        <c:crossBetween val="between"/>
      </c:valAx>
      <c:dTable>
        <c:showHorzBorder val="1"/>
        <c:showVertBorder val="1"/>
        <c:showOutline val="1"/>
        <c:showKeys val="1"/>
      </c:dTable>
      <c:spPr>
        <a:effectLst>
          <a:outerShdw blurRad="660400" dist="50800" dir="5400000" algn="ctr" rotWithShape="0">
            <a:srgbClr val="EEECE1">
              <a:lumMod val="90000"/>
            </a:srgbClr>
          </a:outerShdw>
        </a:effectLst>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1"/>
    </c:view3D>
    <c:floor>
      <c:thickness val="0"/>
    </c:floor>
    <c:sideWall>
      <c:thickness val="0"/>
    </c:sideWall>
    <c:backWall>
      <c:thickness val="0"/>
    </c:backWall>
    <c:plotArea>
      <c:layout>
        <c:manualLayout>
          <c:layoutTarget val="inner"/>
          <c:xMode val="edge"/>
          <c:yMode val="edge"/>
          <c:x val="0.16649128601820579"/>
          <c:y val="0.14277530526075544"/>
          <c:w val="0.78701745121404321"/>
          <c:h val="0.60593033207805547"/>
        </c:manualLayout>
      </c:layout>
      <c:bar3DChart>
        <c:barDir val="col"/>
        <c:grouping val="clustered"/>
        <c:varyColors val="0"/>
        <c:ser>
          <c:idx val="0"/>
          <c:order val="0"/>
          <c:tx>
            <c:strRef>
              <c:f>'GRAFICAS RPTE GCIAL'!$Q$157:$Q$158</c:f>
              <c:strCache>
                <c:ptCount val="2"/>
                <c:pt idx="0">
                  <c:v>CONSUMO GAS  8001</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GCIAL'!$Q$159:$Q$170</c:f>
              <c:numCache>
                <c:formatCode>#,##0</c:formatCode>
                <c:ptCount val="12"/>
                <c:pt idx="0">
                  <c:v>111.44138153932562</c:v>
                </c:pt>
                <c:pt idx="1">
                  <c:v>135.61939776059879</c:v>
                </c:pt>
                <c:pt idx="2">
                  <c:v>150.34417391895238</c:v>
                </c:pt>
                <c:pt idx="3">
                  <c:v>154.463473048483</c:v>
                </c:pt>
                <c:pt idx="4">
                  <c:v>139.16309963284951</c:v>
                </c:pt>
                <c:pt idx="5">
                  <c:v>19.101107073745005</c:v>
                </c:pt>
                <c:pt idx="6">
                  <c:v>0</c:v>
                </c:pt>
                <c:pt idx="7">
                  <c:v>0</c:v>
                </c:pt>
                <c:pt idx="8">
                  <c:v>0</c:v>
                </c:pt>
                <c:pt idx="9">
                  <c:v>0</c:v>
                </c:pt>
                <c:pt idx="10">
                  <c:v>0</c:v>
                </c:pt>
                <c:pt idx="11">
                  <c:v>0</c:v>
                </c:pt>
              </c:numCache>
            </c:numRef>
          </c:val>
          <c:extLst>
            <c:ext xmlns:c16="http://schemas.microsoft.com/office/drawing/2014/chart" uri="{C3380CC4-5D6E-409C-BE32-E72D297353CC}">
              <c16:uniqueId val="{00000000-D4F9-4DB5-AA9C-ED41D856B5A4}"/>
            </c:ext>
          </c:extLst>
        </c:ser>
        <c:ser>
          <c:idx val="1"/>
          <c:order val="1"/>
          <c:tx>
            <c:strRef>
              <c:f>'GRAFICAS RPTE GCIAL'!$R$157:$R$158</c:f>
              <c:strCache>
                <c:ptCount val="2"/>
                <c:pt idx="0">
                  <c:v>CONSUMO GAS  8002</c:v>
                </c:pt>
              </c:strCache>
            </c:strRef>
          </c:tx>
          <c:spPr>
            <a:ln>
              <a:solidFill>
                <a:schemeClr val="accent4">
                  <a:lumMod val="75000"/>
                </a:schemeClr>
              </a:solidFill>
            </a:ln>
          </c:spPr>
          <c:invertIfNegative val="0"/>
          <c:dPt>
            <c:idx val="1"/>
            <c:invertIfNegative val="0"/>
            <c:bubble3D val="0"/>
            <c:spPr>
              <a:ln>
                <a:solidFill>
                  <a:schemeClr val="accent4">
                    <a:lumMod val="50000"/>
                  </a:schemeClr>
                </a:solidFill>
              </a:ln>
            </c:spPr>
            <c:extLst>
              <c:ext xmlns:c16="http://schemas.microsoft.com/office/drawing/2014/chart" uri="{C3380CC4-5D6E-409C-BE32-E72D297353CC}">
                <c16:uniqueId val="{00000002-D4F9-4DB5-AA9C-ED41D856B5A4}"/>
              </c:ext>
            </c:extLst>
          </c:dPt>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GCIAL'!$R$159:$R$170</c:f>
              <c:numCache>
                <c:formatCode>#,##0</c:formatCode>
                <c:ptCount val="12"/>
                <c:pt idx="0">
                  <c:v>128.66486019101129</c:v>
                </c:pt>
                <c:pt idx="1">
                  <c:v>102.83230648877804</c:v>
                </c:pt>
                <c:pt idx="2">
                  <c:v>115.13728264713214</c:v>
                </c:pt>
                <c:pt idx="3">
                  <c:v>100.07923481234741</c:v>
                </c:pt>
                <c:pt idx="4">
                  <c:v>134.2026791999287</c:v>
                </c:pt>
                <c:pt idx="5">
                  <c:v>14.467033328742783</c:v>
                </c:pt>
                <c:pt idx="6">
                  <c:v>0</c:v>
                </c:pt>
                <c:pt idx="7">
                  <c:v>0</c:v>
                </c:pt>
                <c:pt idx="8">
                  <c:v>0</c:v>
                </c:pt>
                <c:pt idx="9">
                  <c:v>0</c:v>
                </c:pt>
                <c:pt idx="10">
                  <c:v>0</c:v>
                </c:pt>
                <c:pt idx="11">
                  <c:v>0</c:v>
                </c:pt>
              </c:numCache>
            </c:numRef>
          </c:val>
          <c:extLst>
            <c:ext xmlns:c16="http://schemas.microsoft.com/office/drawing/2014/chart" uri="{C3380CC4-5D6E-409C-BE32-E72D297353CC}">
              <c16:uniqueId val="{00000003-D4F9-4DB5-AA9C-ED41D856B5A4}"/>
            </c:ext>
          </c:extLst>
        </c:ser>
        <c:ser>
          <c:idx val="3"/>
          <c:order val="2"/>
          <c:tx>
            <c:strRef>
              <c:f>'GRAFICAS RPTE GCIAL'!$S$157:$S$158</c:f>
              <c:strCache>
                <c:ptCount val="2"/>
                <c:pt idx="0">
                  <c:v>CONSUMO TOTAL  GAS</c:v>
                </c:pt>
              </c:strCache>
            </c:strRef>
          </c:tx>
          <c:spPr>
            <a:ln>
              <a:solidFill>
                <a:schemeClr val="accent3">
                  <a:lumMod val="50000"/>
                </a:schemeClr>
              </a:solidFill>
            </a:ln>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GCIAL'!$S$159:$S$170</c:f>
              <c:numCache>
                <c:formatCode>#,##0</c:formatCode>
                <c:ptCount val="12"/>
                <c:pt idx="0">
                  <c:v>240.1062417303369</c:v>
                </c:pt>
                <c:pt idx="1">
                  <c:v>238.45170424937683</c:v>
                </c:pt>
                <c:pt idx="2">
                  <c:v>265.48145656608449</c:v>
                </c:pt>
                <c:pt idx="3">
                  <c:v>254.5427078608304</c:v>
                </c:pt>
                <c:pt idx="4">
                  <c:v>273.36577883277823</c:v>
                </c:pt>
                <c:pt idx="5">
                  <c:v>33.568140402487785</c:v>
                </c:pt>
                <c:pt idx="6">
                  <c:v>0</c:v>
                </c:pt>
                <c:pt idx="7">
                  <c:v>0</c:v>
                </c:pt>
                <c:pt idx="8">
                  <c:v>0</c:v>
                </c:pt>
                <c:pt idx="9">
                  <c:v>0</c:v>
                </c:pt>
                <c:pt idx="10">
                  <c:v>0</c:v>
                </c:pt>
                <c:pt idx="11">
                  <c:v>0</c:v>
                </c:pt>
              </c:numCache>
            </c:numRef>
          </c:val>
          <c:extLst>
            <c:ext xmlns:c16="http://schemas.microsoft.com/office/drawing/2014/chart" uri="{C3380CC4-5D6E-409C-BE32-E72D297353CC}">
              <c16:uniqueId val="{00000004-D4F9-4DB5-AA9C-ED41D856B5A4}"/>
            </c:ext>
          </c:extLst>
        </c:ser>
        <c:dLbls>
          <c:showLegendKey val="0"/>
          <c:showVal val="0"/>
          <c:showCatName val="0"/>
          <c:showSerName val="0"/>
          <c:showPercent val="0"/>
          <c:showBubbleSize val="0"/>
        </c:dLbls>
        <c:gapWidth val="150"/>
        <c:shape val="cylinder"/>
        <c:axId val="114311936"/>
        <c:axId val="114313472"/>
        <c:axId val="0"/>
      </c:bar3DChart>
      <c:catAx>
        <c:axId val="114311936"/>
        <c:scaling>
          <c:orientation val="minMax"/>
        </c:scaling>
        <c:delete val="0"/>
        <c:axPos val="b"/>
        <c:numFmt formatCode="mmm" sourceLinked="1"/>
        <c:majorTickMark val="none"/>
        <c:minorTickMark val="none"/>
        <c:tickLblPos val="nextTo"/>
        <c:crossAx val="114313472"/>
        <c:crosses val="autoZero"/>
        <c:auto val="0"/>
        <c:lblAlgn val="ctr"/>
        <c:lblOffset val="100"/>
        <c:noMultiLvlLbl val="0"/>
      </c:catAx>
      <c:valAx>
        <c:axId val="114313472"/>
        <c:scaling>
          <c:orientation val="minMax"/>
        </c:scaling>
        <c:delete val="0"/>
        <c:axPos val="l"/>
        <c:majorGridlines/>
        <c:title>
          <c:tx>
            <c:rich>
              <a:bodyPr/>
              <a:lstStyle/>
              <a:p>
                <a:pPr>
                  <a:defRPr/>
                </a:pPr>
                <a:r>
                  <a:rPr lang="es-ES"/>
                  <a:t>mmsfcm</a:t>
                </a:r>
              </a:p>
            </c:rich>
          </c:tx>
          <c:overlay val="0"/>
        </c:title>
        <c:numFmt formatCode="#,##0" sourceLinked="1"/>
        <c:majorTickMark val="none"/>
        <c:minorTickMark val="none"/>
        <c:tickLblPos val="nextTo"/>
        <c:crossAx val="114311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CONSUMO COMBUSTIBLE</a:t>
            </a:r>
            <a:r>
              <a:rPr lang="es-ES" sz="1200" baseline="0"/>
              <a:t> DIESEL JUNIO 2023</a:t>
            </a:r>
            <a:endParaRPr lang="es-ES" sz="1200"/>
          </a:p>
        </c:rich>
      </c:tx>
      <c:layout>
        <c:manualLayout>
          <c:xMode val="edge"/>
          <c:yMode val="edge"/>
          <c:x val="0.39251803286964571"/>
          <c:y val="1.4145157719900816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GCIAL'!$C$124:$H$124</c:f>
              <c:strCache>
                <c:ptCount val="1"/>
                <c:pt idx="0">
                  <c:v>GT-8001  </c:v>
                </c:pt>
              </c:strCache>
            </c:strRef>
          </c:tx>
          <c:invertIfNegative val="0"/>
          <c:val>
            <c:numRef>
              <c:f>'GRAFICAS RPTE GCIAL'!$H$126:$H$156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9185-407E-988F-0A422A0F7C9A}"/>
            </c:ext>
          </c:extLst>
        </c:ser>
        <c:ser>
          <c:idx val="1"/>
          <c:order val="1"/>
          <c:tx>
            <c:strRef>
              <c:f>'GRAFICAS RPTE GCIAL'!$I$124:$N$124</c:f>
              <c:strCache>
                <c:ptCount val="1"/>
                <c:pt idx="0">
                  <c:v>GT-8002  </c:v>
                </c:pt>
              </c:strCache>
            </c:strRef>
          </c:tx>
          <c:invertIfNegative val="0"/>
          <c:val>
            <c:numRef>
              <c:f>'GRAFICAS RPTE GCIAL'!$N$126:$N$156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185-407E-988F-0A422A0F7C9A}"/>
            </c:ext>
          </c:extLst>
        </c:ser>
        <c:ser>
          <c:idx val="2"/>
          <c:order val="2"/>
          <c:tx>
            <c:strRef>
              <c:f>'GRAFICAS RPTE GCIAL'!$R$124:$T$124</c:f>
              <c:strCache>
                <c:ptCount val="1"/>
                <c:pt idx="0">
                  <c:v>G-8005  </c:v>
                </c:pt>
              </c:strCache>
            </c:strRef>
          </c:tx>
          <c:invertIfNegative val="0"/>
          <c:val>
            <c:numRef>
              <c:f>'GRAFICAS RPTE GCIAL'!$T$126:$T$156</c:f>
              <c:numCache>
                <c:formatCode>0.0</c:formatCode>
                <c:ptCount val="31"/>
                <c:pt idx="0">
                  <c:v>0</c:v>
                </c:pt>
                <c:pt idx="1">
                  <c:v>0</c:v>
                </c:pt>
                <c:pt idx="2">
                  <c:v>0</c:v>
                </c:pt>
                <c:pt idx="3">
                  <c:v>0</c:v>
                </c:pt>
                <c:pt idx="4">
                  <c:v>0</c:v>
                </c:pt>
                <c:pt idx="5">
                  <c:v>-128159.76000000001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9185-407E-988F-0A422A0F7C9A}"/>
            </c:ext>
          </c:extLst>
        </c:ser>
        <c:ser>
          <c:idx val="3"/>
          <c:order val="3"/>
          <c:tx>
            <c:strRef>
              <c:f>'GRAFICAS RPTE GCIAL'!$U$124:$W$124</c:f>
              <c:strCache>
                <c:ptCount val="1"/>
                <c:pt idx="0">
                  <c:v>G-8006</c:v>
                </c:pt>
              </c:strCache>
            </c:strRef>
          </c:tx>
          <c:invertIfNegative val="0"/>
          <c:val>
            <c:numRef>
              <c:f>'GRAFICAS RPTE GCIAL'!$W$126:$W$156</c:f>
              <c:numCache>
                <c:formatCode>0.0</c:formatCode>
                <c:ptCount val="31"/>
                <c:pt idx="0">
                  <c:v>0</c:v>
                </c:pt>
                <c:pt idx="1">
                  <c:v>0</c:v>
                </c:pt>
                <c:pt idx="2">
                  <c:v>0</c:v>
                </c:pt>
                <c:pt idx="3">
                  <c:v>0</c:v>
                </c:pt>
                <c:pt idx="4">
                  <c:v>0</c:v>
                </c:pt>
                <c:pt idx="5">
                  <c:v>0</c:v>
                </c:pt>
                <c:pt idx="6">
                  <c:v>-98749.08</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9185-407E-988F-0A422A0F7C9A}"/>
            </c:ext>
          </c:extLst>
        </c:ser>
        <c:dLbls>
          <c:showLegendKey val="0"/>
          <c:showVal val="0"/>
          <c:showCatName val="0"/>
          <c:showSerName val="0"/>
          <c:showPercent val="0"/>
          <c:showBubbleSize val="0"/>
        </c:dLbls>
        <c:gapWidth val="150"/>
        <c:shape val="cylinder"/>
        <c:axId val="114350720"/>
        <c:axId val="114360704"/>
        <c:axId val="0"/>
      </c:bar3DChart>
      <c:catAx>
        <c:axId val="114350720"/>
        <c:scaling>
          <c:orientation val="minMax"/>
        </c:scaling>
        <c:delete val="0"/>
        <c:axPos val="b"/>
        <c:numFmt formatCode="General" sourceLinked="0"/>
        <c:majorTickMark val="none"/>
        <c:minorTickMark val="none"/>
        <c:tickLblPos val="nextTo"/>
        <c:crossAx val="114360704"/>
        <c:crosses val="autoZero"/>
        <c:auto val="1"/>
        <c:lblAlgn val="ctr"/>
        <c:lblOffset val="100"/>
        <c:noMultiLvlLbl val="0"/>
      </c:catAx>
      <c:valAx>
        <c:axId val="114360704"/>
        <c:scaling>
          <c:orientation val="minMax"/>
        </c:scaling>
        <c:delete val="0"/>
        <c:axPos val="l"/>
        <c:majorGridlines/>
        <c:title>
          <c:tx>
            <c:rich>
              <a:bodyPr/>
              <a:lstStyle/>
              <a:p>
                <a:pPr>
                  <a:defRPr/>
                </a:pPr>
                <a:r>
                  <a:rPr lang="es-ES"/>
                  <a:t>GALONES</a:t>
                </a:r>
              </a:p>
            </c:rich>
          </c:tx>
          <c:overlay val="0"/>
        </c:title>
        <c:numFmt formatCode="0.0" sourceLinked="1"/>
        <c:majorTickMark val="none"/>
        <c:minorTickMark val="none"/>
        <c:tickLblPos val="nextTo"/>
        <c:crossAx val="114350720"/>
        <c:crosses val="autoZero"/>
        <c:crossBetween val="between"/>
      </c:valAx>
      <c:dTable>
        <c:showHorzBorder val="1"/>
        <c:showVertBorder val="1"/>
        <c:showOutline val="1"/>
        <c:showKeys val="1"/>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CONSUMO COMBUSTIBLE DIESEL 2023</a:t>
            </a:r>
          </a:p>
        </c:rich>
      </c:tx>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6.891409351876264E-2"/>
          <c:y val="0.10361265414977537"/>
          <c:w val="0.89520503909771432"/>
          <c:h val="0.54494699724849338"/>
        </c:manualLayout>
      </c:layout>
      <c:bar3DChart>
        <c:barDir val="col"/>
        <c:grouping val="clustered"/>
        <c:varyColors val="0"/>
        <c:ser>
          <c:idx val="0"/>
          <c:order val="0"/>
          <c:tx>
            <c:v>US-GT-8001</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GCIAL'!$AC$159:$AC$170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8AE-40E4-852C-C97CFC5322A4}"/>
            </c:ext>
          </c:extLst>
        </c:ser>
        <c:ser>
          <c:idx val="1"/>
          <c:order val="1"/>
          <c:tx>
            <c:v>US-GT-8002</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GCIAL'!$AD$159:$AD$170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B8AE-40E4-852C-C97CFC5322A4}"/>
            </c:ext>
          </c:extLst>
        </c:ser>
        <c:ser>
          <c:idx val="2"/>
          <c:order val="2"/>
          <c:tx>
            <c:v>US-G-8005</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GCIAL'!$AE$159:$AE$170</c:f>
              <c:numCache>
                <c:formatCode>#,##0.0</c:formatCode>
                <c:ptCount val="12"/>
                <c:pt idx="0">
                  <c:v>219.59999999999127</c:v>
                </c:pt>
                <c:pt idx="1">
                  <c:v>138.3600000000024</c:v>
                </c:pt>
                <c:pt idx="2">
                  <c:v>77.51999999999498</c:v>
                </c:pt>
                <c:pt idx="3">
                  <c:v>623.04000000000087</c:v>
                </c:pt>
                <c:pt idx="4">
                  <c:v>177.2400000000107</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8AE-40E4-852C-C97CFC5322A4}"/>
            </c:ext>
          </c:extLst>
        </c:ser>
        <c:ser>
          <c:idx val="3"/>
          <c:order val="3"/>
          <c:tx>
            <c:v>US-G-8006</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GCIAL'!$AF$159:$AF$170</c:f>
              <c:numCache>
                <c:formatCode>#,##0.0</c:formatCode>
                <c:ptCount val="12"/>
                <c:pt idx="0">
                  <c:v>306.84000000000196</c:v>
                </c:pt>
                <c:pt idx="1">
                  <c:v>412.91999999999007</c:v>
                </c:pt>
                <c:pt idx="2">
                  <c:v>126.95999999999913</c:v>
                </c:pt>
                <c:pt idx="3">
                  <c:v>3180.1200000000108</c:v>
                </c:pt>
                <c:pt idx="4">
                  <c:v>338.39999999999236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B8AE-40E4-852C-C97CFC5322A4}"/>
            </c:ext>
          </c:extLst>
        </c:ser>
        <c:ser>
          <c:idx val="4"/>
          <c:order val="4"/>
          <c:tx>
            <c:v>TOTAL DIESEL </c:v>
          </c:tx>
          <c:invertIfNegative val="0"/>
          <c:val>
            <c:numRef>
              <c:f>'GRAFICAS RPTE GCIAL'!$AG$159:$AG$170</c:f>
              <c:numCache>
                <c:formatCode>#,##0.0_);\(#,##0.0\)</c:formatCode>
                <c:ptCount val="12"/>
                <c:pt idx="0">
                  <c:v>526.43999999999323</c:v>
                </c:pt>
                <c:pt idx="1">
                  <c:v>551.27999999999247</c:v>
                </c:pt>
                <c:pt idx="2">
                  <c:v>204.47999999999411</c:v>
                </c:pt>
                <c:pt idx="3">
                  <c:v>3803.1600000000117</c:v>
                </c:pt>
                <c:pt idx="4">
                  <c:v>515.64000000000306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B8AE-40E4-852C-C97CFC5322A4}"/>
            </c:ext>
          </c:extLst>
        </c:ser>
        <c:dLbls>
          <c:showLegendKey val="0"/>
          <c:showVal val="0"/>
          <c:showCatName val="0"/>
          <c:showSerName val="0"/>
          <c:showPercent val="0"/>
          <c:showBubbleSize val="0"/>
        </c:dLbls>
        <c:gapWidth val="150"/>
        <c:shape val="cylinder"/>
        <c:axId val="114407296"/>
        <c:axId val="114408832"/>
        <c:axId val="0"/>
      </c:bar3DChart>
      <c:dateAx>
        <c:axId val="114407296"/>
        <c:scaling>
          <c:orientation val="minMax"/>
        </c:scaling>
        <c:delete val="1"/>
        <c:axPos val="b"/>
        <c:numFmt formatCode="mmm" sourceLinked="1"/>
        <c:majorTickMark val="none"/>
        <c:minorTickMark val="none"/>
        <c:tickLblPos val="none"/>
        <c:crossAx val="114408832"/>
        <c:crosses val="autoZero"/>
        <c:auto val="1"/>
        <c:lblOffset val="100"/>
        <c:baseTimeUnit val="months"/>
      </c:dateAx>
      <c:valAx>
        <c:axId val="114408832"/>
        <c:scaling>
          <c:orientation val="minMax"/>
        </c:scaling>
        <c:delete val="0"/>
        <c:axPos val="l"/>
        <c:majorGridlines/>
        <c:title>
          <c:tx>
            <c:rich>
              <a:bodyPr/>
              <a:lstStyle/>
              <a:p>
                <a:pPr>
                  <a:defRPr/>
                </a:pPr>
                <a:r>
                  <a:rPr lang="es-ES"/>
                  <a:t>GALONES</a:t>
                </a:r>
              </a:p>
            </c:rich>
          </c:tx>
          <c:layout>
            <c:manualLayout>
              <c:xMode val="edge"/>
              <c:yMode val="edge"/>
              <c:x val="1.5626428524690615E-2"/>
              <c:y val="0.29471283401778142"/>
            </c:manualLayout>
          </c:layout>
          <c:overlay val="0"/>
        </c:title>
        <c:numFmt formatCode="#,##0.0" sourceLinked="1"/>
        <c:majorTickMark val="none"/>
        <c:minorTickMark val="none"/>
        <c:tickLblPos val="nextTo"/>
        <c:crossAx val="1144072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DEMANDA CARGAS MENOS REPRESENTATIVAS</a:t>
            </a:r>
            <a:r>
              <a:rPr lang="es-ES" sz="1200" baseline="0"/>
              <a:t> JUNIO 2023</a:t>
            </a:r>
            <a:endParaRPr lang="es-ES" sz="1200"/>
          </a:p>
        </c:rich>
      </c:tx>
      <c:layout>
        <c:manualLayout>
          <c:xMode val="edge"/>
          <c:yMode val="edge"/>
          <c:x val="0.18472817933721572"/>
          <c:y val="4.1666666666666664E-2"/>
        </c:manualLayout>
      </c:layout>
      <c:overlay val="0"/>
    </c:title>
    <c:autoTitleDeleted val="0"/>
    <c:plotArea>
      <c:layout/>
      <c:lineChart>
        <c:grouping val="standard"/>
        <c:varyColors val="0"/>
        <c:ser>
          <c:idx val="2"/>
          <c:order val="0"/>
          <c:tx>
            <c:strRef>
              <c:f>'GRAFICAS RPTE GCIAL'!$AB$124</c:f>
              <c:strCache>
                <c:ptCount val="1"/>
                <c:pt idx="0">
                  <c:v>SE CRUDO OCENSA</c:v>
                </c:pt>
              </c:strCache>
            </c:strRef>
          </c:tx>
          <c:marker>
            <c:symbol val="none"/>
          </c:marker>
          <c:val>
            <c:numRef>
              <c:f>'GRAFICAS RPTE GCIAL'!$AB$126:$AB$156</c:f>
              <c:numCache>
                <c:formatCode>0.0</c:formatCode>
                <c:ptCount val="31"/>
                <c:pt idx="0">
                  <c:v>12.599999999998545</c:v>
                </c:pt>
                <c:pt idx="1">
                  <c:v>9.6999999999970896</c:v>
                </c:pt>
                <c:pt idx="2">
                  <c:v>9.8000000000047294</c:v>
                </c:pt>
                <c:pt idx="3">
                  <c:v>10.69999999999709</c:v>
                </c:pt>
                <c:pt idx="4">
                  <c:v>-59846.5</c:v>
                </c:pt>
                <c:pt idx="5">
                  <c:v>-14963.1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8B9F-4DD8-B1B1-B280E2A7C11A}"/>
            </c:ext>
          </c:extLst>
        </c:ser>
        <c:ser>
          <c:idx val="5"/>
          <c:order val="1"/>
          <c:tx>
            <c:strRef>
              <c:f>'GRAFICAS RPTE GCIAL'!$AD$124</c:f>
              <c:strCache>
                <c:ptCount val="1"/>
                <c:pt idx="0">
                  <c:v>S/E TREN 1</c:v>
                </c:pt>
              </c:strCache>
            </c:strRef>
          </c:tx>
          <c:marker>
            <c:symbol val="none"/>
          </c:marker>
          <c:val>
            <c:numRef>
              <c:f>'GRAFICAS RPTE GCIAL'!$AD$126:$AD$156</c:f>
              <c:numCache>
                <c:formatCode>0.0</c:formatCode>
                <c:ptCount val="31"/>
                <c:pt idx="0">
                  <c:v>5.4000000000087311</c:v>
                </c:pt>
                <c:pt idx="1">
                  <c:v>5.5</c:v>
                </c:pt>
                <c:pt idx="2">
                  <c:v>5.6999999999970896</c:v>
                </c:pt>
                <c:pt idx="3">
                  <c:v>7.5</c:v>
                </c:pt>
                <c:pt idx="4">
                  <c:v>-82690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8B9F-4DD8-B1B1-B280E2A7C11A}"/>
            </c:ext>
          </c:extLst>
        </c:ser>
        <c:ser>
          <c:idx val="6"/>
          <c:order val="2"/>
          <c:tx>
            <c:strRef>
              <c:f>'GRAFICAS RPTE GCIAL'!$AE$124</c:f>
              <c:strCache>
                <c:ptCount val="1"/>
                <c:pt idx="0">
                  <c:v>SE TREN 2</c:v>
                </c:pt>
              </c:strCache>
            </c:strRef>
          </c:tx>
          <c:marker>
            <c:symbol val="none"/>
          </c:marker>
          <c:val>
            <c:numRef>
              <c:f>'GRAFICAS RPTE GCIAL'!$AE$126:$AE$156</c:f>
              <c:numCache>
                <c:formatCode>0.0</c:formatCode>
                <c:ptCount val="31"/>
                <c:pt idx="0">
                  <c:v>13</c:v>
                </c:pt>
                <c:pt idx="1">
                  <c:v>13</c:v>
                </c:pt>
                <c:pt idx="2">
                  <c:v>13</c:v>
                </c:pt>
                <c:pt idx="3">
                  <c:v>12.899999999994179</c:v>
                </c:pt>
                <c:pt idx="4">
                  <c:v>-138128.5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8B9F-4DD8-B1B1-B280E2A7C11A}"/>
            </c:ext>
          </c:extLst>
        </c:ser>
        <c:ser>
          <c:idx val="3"/>
          <c:order val="3"/>
          <c:tx>
            <c:strRef>
              <c:f>'GRAFICAS RPTE GCIAL'!$AF$124</c:f>
              <c:strCache>
                <c:ptCount val="1"/>
                <c:pt idx="0">
                  <c:v>SE PRINCIPAL</c:v>
                </c:pt>
              </c:strCache>
            </c:strRef>
          </c:tx>
          <c:marker>
            <c:symbol val="none"/>
          </c:marker>
          <c:val>
            <c:numRef>
              <c:f>'GRAFICAS RPTE GCIAL'!$AF$126:$AF$156</c:f>
              <c:numCache>
                <c:formatCode>0.0</c:formatCode>
                <c:ptCount val="31"/>
                <c:pt idx="0">
                  <c:v>34.999999999996362</c:v>
                </c:pt>
                <c:pt idx="1">
                  <c:v>32.700000000011698</c:v>
                </c:pt>
                <c:pt idx="2">
                  <c:v>36.399999999999636</c:v>
                </c:pt>
                <c:pt idx="3">
                  <c:v>32.600000000005878</c:v>
                </c:pt>
                <c:pt idx="4">
                  <c:v>237466.79999999993</c:v>
                </c:pt>
                <c:pt idx="5">
                  <c:v>60091.201999999997</c:v>
                </c:pt>
                <c:pt idx="6">
                  <c:v>-822.90899999999999</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8B9F-4DD8-B1B1-B280E2A7C11A}"/>
            </c:ext>
          </c:extLst>
        </c:ser>
        <c:ser>
          <c:idx val="4"/>
          <c:order val="4"/>
          <c:tx>
            <c:strRef>
              <c:f>'GRAFICAS RPTE GCIAL'!$AG$124</c:f>
              <c:strCache>
                <c:ptCount val="1"/>
                <c:pt idx="0">
                  <c:v>SE PLANTA DE GAS Y JT</c:v>
                </c:pt>
              </c:strCache>
            </c:strRef>
          </c:tx>
          <c:marker>
            <c:symbol val="none"/>
          </c:marker>
          <c:val>
            <c:numRef>
              <c:f>'GRAFICAS RPTE GCIAL'!$AG$126:$AG$156</c:f>
              <c:numCache>
                <c:formatCode>0.0</c:formatCode>
                <c:ptCount val="31"/>
                <c:pt idx="0">
                  <c:v>11.255999999998364</c:v>
                </c:pt>
                <c:pt idx="1">
                  <c:v>9.0070000000001045</c:v>
                </c:pt>
                <c:pt idx="2">
                  <c:v>10.273999999999633</c:v>
                </c:pt>
                <c:pt idx="3">
                  <c:v>11.238999999999727</c:v>
                </c:pt>
                <c:pt idx="4">
                  <c:v>-28926.668999999962</c:v>
                </c:pt>
                <c:pt idx="5">
                  <c:v>0</c:v>
                </c:pt>
                <c:pt idx="6">
                  <c:v>3120.6680000000001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8B9F-4DD8-B1B1-B280E2A7C11A}"/>
            </c:ext>
          </c:extLst>
        </c:ser>
        <c:ser>
          <c:idx val="7"/>
          <c:order val="5"/>
          <c:tx>
            <c:strRef>
              <c:f>'GRAFICAS RPTE GCIAL'!$AH$124</c:f>
              <c:strCache>
                <c:ptCount val="1"/>
                <c:pt idx="0">
                  <c:v>SE GAS VENTAS</c:v>
                </c:pt>
              </c:strCache>
            </c:strRef>
          </c:tx>
          <c:marker>
            <c:symbol val="none"/>
          </c:marker>
          <c:val>
            <c:numRef>
              <c:f>'GRAFICAS RPTE GCIAL'!$AH$126:$AH$156</c:f>
              <c:numCache>
                <c:formatCode>0.0</c:formatCode>
                <c:ptCount val="31"/>
                <c:pt idx="0">
                  <c:v>4.3469999999998183</c:v>
                </c:pt>
                <c:pt idx="1">
                  <c:v>4.8100000000002732</c:v>
                </c:pt>
                <c:pt idx="2">
                  <c:v>4.6340000000000128</c:v>
                </c:pt>
                <c:pt idx="3">
                  <c:v>4.7370000000002728</c:v>
                </c:pt>
                <c:pt idx="4">
                  <c:v>-5886.3280000000004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8B9F-4DD8-B1B1-B280E2A7C11A}"/>
            </c:ext>
          </c:extLst>
        </c:ser>
        <c:dLbls>
          <c:showLegendKey val="0"/>
          <c:showVal val="0"/>
          <c:showCatName val="0"/>
          <c:showSerName val="0"/>
          <c:showPercent val="0"/>
          <c:showBubbleSize val="0"/>
        </c:dLbls>
        <c:smooth val="0"/>
        <c:axId val="114755840"/>
        <c:axId val="114765824"/>
      </c:lineChart>
      <c:catAx>
        <c:axId val="114755840"/>
        <c:scaling>
          <c:orientation val="minMax"/>
        </c:scaling>
        <c:delete val="0"/>
        <c:axPos val="b"/>
        <c:numFmt formatCode="General" sourceLinked="0"/>
        <c:majorTickMark val="none"/>
        <c:minorTickMark val="none"/>
        <c:tickLblPos val="nextTo"/>
        <c:crossAx val="114765824"/>
        <c:crosses val="autoZero"/>
        <c:auto val="1"/>
        <c:lblAlgn val="ctr"/>
        <c:lblOffset val="100"/>
        <c:noMultiLvlLbl val="0"/>
      </c:catAx>
      <c:valAx>
        <c:axId val="114765824"/>
        <c:scaling>
          <c:orientation val="minMax"/>
        </c:scaling>
        <c:delete val="0"/>
        <c:axPos val="l"/>
        <c:majorGridlines/>
        <c:title>
          <c:tx>
            <c:rich>
              <a:bodyPr/>
              <a:lstStyle/>
              <a:p>
                <a:pPr>
                  <a:defRPr/>
                </a:pPr>
                <a:r>
                  <a:rPr lang="es-ES"/>
                  <a:t>MWH</a:t>
                </a:r>
              </a:p>
            </c:rich>
          </c:tx>
          <c:overlay val="0"/>
        </c:title>
        <c:numFmt formatCode="0.0" sourceLinked="1"/>
        <c:majorTickMark val="none"/>
        <c:minorTickMark val="none"/>
        <c:tickLblPos val="nextTo"/>
        <c:crossAx val="114755840"/>
        <c:crosses val="autoZero"/>
        <c:crossBetween val="between"/>
      </c:valAx>
    </c:plotArea>
    <c:legend>
      <c:legendPos val="b"/>
      <c:layout>
        <c:manualLayout>
          <c:xMode val="edge"/>
          <c:yMode val="edge"/>
          <c:x val="3.0183907671925216E-2"/>
          <c:y val="0.81558798166791935"/>
          <c:w val="0.95080218011339157"/>
          <c:h val="0.1572031258089914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400"/>
              <a:t>GENERACION  REACTIVA  AÑO 2023</a:t>
            </a:r>
          </a:p>
        </c:rich>
      </c:tx>
      <c:layout>
        <c:manualLayout>
          <c:xMode val="edge"/>
          <c:yMode val="edge"/>
          <c:x val="0.38084574205452082"/>
          <c:y val="2.8368794326241127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GCIAL'!$D$157:$D$158</c:f>
              <c:strCache>
                <c:ptCount val="2"/>
                <c:pt idx="0">
                  <c:v>US-GT 8001  Mvarh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GCIAL'!$D$159:$D$170</c:f>
              <c:numCache>
                <c:formatCode>#,##0_);\(#,##0\)</c:formatCode>
                <c:ptCount val="12"/>
                <c:pt idx="0">
                  <c:v>2797.0299999999697</c:v>
                </c:pt>
                <c:pt idx="1">
                  <c:v>4099.9000000000233</c:v>
                </c:pt>
                <c:pt idx="2">
                  <c:v>4590.2999999999884</c:v>
                </c:pt>
                <c:pt idx="3">
                  <c:v>4815.3800000000047</c:v>
                </c:pt>
                <c:pt idx="4">
                  <c:v>3382.6199999999953</c:v>
                </c:pt>
                <c:pt idx="5">
                  <c:v>587</c:v>
                </c:pt>
                <c:pt idx="6">
                  <c:v>0</c:v>
                </c:pt>
                <c:pt idx="7">
                  <c:v>0</c:v>
                </c:pt>
                <c:pt idx="8">
                  <c:v>0</c:v>
                </c:pt>
                <c:pt idx="9">
                  <c:v>0</c:v>
                </c:pt>
                <c:pt idx="10">
                  <c:v>0</c:v>
                </c:pt>
                <c:pt idx="11">
                  <c:v>0</c:v>
                </c:pt>
              </c:numCache>
            </c:numRef>
          </c:val>
          <c:extLst>
            <c:ext xmlns:c16="http://schemas.microsoft.com/office/drawing/2014/chart" uri="{C3380CC4-5D6E-409C-BE32-E72D297353CC}">
              <c16:uniqueId val="{00000000-7B49-44FD-85FF-E667EBCDEBB9}"/>
            </c:ext>
          </c:extLst>
        </c:ser>
        <c:ser>
          <c:idx val="1"/>
          <c:order val="1"/>
          <c:tx>
            <c:strRef>
              <c:f>'GRAFICAS RPTE GCIAL'!$F$157:$F$158</c:f>
              <c:strCache>
                <c:ptCount val="2"/>
                <c:pt idx="0">
                  <c:v>US-GT 8002 Mvarh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GCIAL'!$F$159:$F$170</c:f>
              <c:numCache>
                <c:formatCode>#,##0_);\(#,##0\)</c:formatCode>
                <c:ptCount val="12"/>
                <c:pt idx="0">
                  <c:v>4111.8</c:v>
                </c:pt>
                <c:pt idx="1">
                  <c:v>2143.3099999999995</c:v>
                </c:pt>
                <c:pt idx="2">
                  <c:v>2416.7900000000009</c:v>
                </c:pt>
                <c:pt idx="3">
                  <c:v>1913.9600000000009</c:v>
                </c:pt>
                <c:pt idx="4">
                  <c:v>3176.9399999999987</c:v>
                </c:pt>
                <c:pt idx="5">
                  <c:v>299</c:v>
                </c:pt>
                <c:pt idx="6">
                  <c:v>0</c:v>
                </c:pt>
                <c:pt idx="7">
                  <c:v>0</c:v>
                </c:pt>
                <c:pt idx="8">
                  <c:v>0</c:v>
                </c:pt>
                <c:pt idx="9">
                  <c:v>0</c:v>
                </c:pt>
                <c:pt idx="10">
                  <c:v>0</c:v>
                </c:pt>
                <c:pt idx="11">
                  <c:v>0</c:v>
                </c:pt>
              </c:numCache>
            </c:numRef>
          </c:val>
          <c:extLst>
            <c:ext xmlns:c16="http://schemas.microsoft.com/office/drawing/2014/chart" uri="{C3380CC4-5D6E-409C-BE32-E72D297353CC}">
              <c16:uniqueId val="{00000001-7B49-44FD-85FF-E667EBCDEBB9}"/>
            </c:ext>
          </c:extLst>
        </c:ser>
        <c:ser>
          <c:idx val="3"/>
          <c:order val="2"/>
          <c:tx>
            <c:strRef>
              <c:f>'GRAFICAS RPTE GCIAL'!$O$157:$O$158</c:f>
              <c:strCache>
                <c:ptCount val="2"/>
                <c:pt idx="0">
                  <c:v>GEN TOTAL Mvarh</c:v>
                </c:pt>
              </c:strCache>
            </c:strRef>
          </c:tx>
          <c:invertIfNegative val="0"/>
          <c:val>
            <c:numRef>
              <c:f>'GRAFICAS RPTE GCIAL'!$O$159:$O$170</c:f>
              <c:numCache>
                <c:formatCode>#,##0_);\(#,##0\)</c:formatCode>
                <c:ptCount val="12"/>
                <c:pt idx="0">
                  <c:v>6910.6339999999691</c:v>
                </c:pt>
                <c:pt idx="1">
                  <c:v>6244.9320000000225</c:v>
                </c:pt>
                <c:pt idx="2">
                  <c:v>7007.6859999999897</c:v>
                </c:pt>
                <c:pt idx="3">
                  <c:v>6742.4160000000047</c:v>
                </c:pt>
                <c:pt idx="4">
                  <c:v>6561.3809999999939</c:v>
                </c:pt>
                <c:pt idx="5">
                  <c:v>886</c:v>
                </c:pt>
                <c:pt idx="6">
                  <c:v>0</c:v>
                </c:pt>
                <c:pt idx="7">
                  <c:v>0</c:v>
                </c:pt>
                <c:pt idx="8">
                  <c:v>0</c:v>
                </c:pt>
                <c:pt idx="9">
                  <c:v>0</c:v>
                </c:pt>
                <c:pt idx="10">
                  <c:v>0</c:v>
                </c:pt>
                <c:pt idx="11">
                  <c:v>0</c:v>
                </c:pt>
              </c:numCache>
            </c:numRef>
          </c:val>
          <c:extLst>
            <c:ext xmlns:c16="http://schemas.microsoft.com/office/drawing/2014/chart" uri="{C3380CC4-5D6E-409C-BE32-E72D297353CC}">
              <c16:uniqueId val="{00000002-7B49-44FD-85FF-E667EBCDEBB9}"/>
            </c:ext>
          </c:extLst>
        </c:ser>
        <c:ser>
          <c:idx val="2"/>
          <c:order val="3"/>
          <c:tx>
            <c:strRef>
              <c:f>'GRAFICAS RPTE GCIAL'!$P$157:$P$158</c:f>
              <c:strCache>
                <c:ptCount val="2"/>
                <c:pt idx="0">
                  <c:v>PROMEDIO</c:v>
                </c:pt>
              </c:strCache>
            </c:strRef>
          </c:tx>
          <c:spPr>
            <a:gradFill>
              <a:gsLst>
                <a:gs pos="0">
                  <a:srgbClr val="FF3399"/>
                </a:gs>
                <a:gs pos="25000">
                  <a:srgbClr val="FF6633"/>
                </a:gs>
                <a:gs pos="50000">
                  <a:srgbClr val="FFFF00"/>
                </a:gs>
                <a:gs pos="75000">
                  <a:srgbClr val="01A78F"/>
                </a:gs>
                <a:gs pos="100000">
                  <a:srgbClr val="3366FF"/>
                </a:gs>
              </a:gsLst>
              <a:lin ang="5400000" scaled="0"/>
            </a:gradFill>
            <a:ln>
              <a:solidFill>
                <a:srgbClr val="FF0000"/>
              </a:solidFill>
            </a:ln>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GCIAL'!$P$159:$P$170</c:f>
              <c:numCache>
                <c:formatCode>#,##0_);\(#,##0\)</c:formatCode>
                <c:ptCount val="12"/>
                <c:pt idx="0">
                  <c:v>3455.3169999999845</c:v>
                </c:pt>
                <c:pt idx="1">
                  <c:v>3122.4660000000113</c:v>
                </c:pt>
                <c:pt idx="2">
                  <c:v>3503.8429999999948</c:v>
                </c:pt>
                <c:pt idx="3">
                  <c:v>3371.2080000000024</c:v>
                </c:pt>
                <c:pt idx="4">
                  <c:v>3280.690499999997</c:v>
                </c:pt>
                <c:pt idx="5">
                  <c:v>443</c:v>
                </c:pt>
                <c:pt idx="6">
                  <c:v>0</c:v>
                </c:pt>
                <c:pt idx="7">
                  <c:v>0</c:v>
                </c:pt>
                <c:pt idx="8">
                  <c:v>0</c:v>
                </c:pt>
                <c:pt idx="9">
                  <c:v>0</c:v>
                </c:pt>
                <c:pt idx="10">
                  <c:v>0</c:v>
                </c:pt>
                <c:pt idx="11">
                  <c:v>0</c:v>
                </c:pt>
              </c:numCache>
            </c:numRef>
          </c:val>
          <c:extLst>
            <c:ext xmlns:c16="http://schemas.microsoft.com/office/drawing/2014/chart" uri="{C3380CC4-5D6E-409C-BE32-E72D297353CC}">
              <c16:uniqueId val="{00000003-7B49-44FD-85FF-E667EBCDEBB9}"/>
            </c:ext>
          </c:extLst>
        </c:ser>
        <c:dLbls>
          <c:showLegendKey val="0"/>
          <c:showVal val="0"/>
          <c:showCatName val="0"/>
          <c:showSerName val="0"/>
          <c:showPercent val="0"/>
          <c:showBubbleSize val="0"/>
        </c:dLbls>
        <c:gapWidth val="150"/>
        <c:shape val="cylinder"/>
        <c:axId val="114850432"/>
        <c:axId val="114860416"/>
        <c:axId val="0"/>
      </c:bar3DChart>
      <c:dateAx>
        <c:axId val="114850432"/>
        <c:scaling>
          <c:orientation val="minMax"/>
        </c:scaling>
        <c:delete val="1"/>
        <c:axPos val="b"/>
        <c:numFmt formatCode="mmm" sourceLinked="1"/>
        <c:majorTickMark val="none"/>
        <c:minorTickMark val="none"/>
        <c:tickLblPos val="none"/>
        <c:crossAx val="114860416"/>
        <c:crosses val="autoZero"/>
        <c:auto val="1"/>
        <c:lblOffset val="100"/>
        <c:baseTimeUnit val="months"/>
      </c:dateAx>
      <c:valAx>
        <c:axId val="114860416"/>
        <c:scaling>
          <c:orientation val="minMax"/>
        </c:scaling>
        <c:delete val="0"/>
        <c:axPos val="l"/>
        <c:majorGridlines/>
        <c:title>
          <c:tx>
            <c:rich>
              <a:bodyPr/>
              <a:lstStyle/>
              <a:p>
                <a:pPr>
                  <a:defRPr/>
                </a:pPr>
                <a:r>
                  <a:rPr lang="es-ES" sz="1200"/>
                  <a:t>MVAR</a:t>
                </a:r>
              </a:p>
            </c:rich>
          </c:tx>
          <c:layout>
            <c:manualLayout>
              <c:xMode val="edge"/>
              <c:yMode val="edge"/>
              <c:x val="4.5904471454092113E-2"/>
              <c:y val="0.34811637906970361"/>
            </c:manualLayout>
          </c:layout>
          <c:overlay val="0"/>
        </c:title>
        <c:numFmt formatCode="#,##0_);\(#,##0\)" sourceLinked="1"/>
        <c:majorTickMark val="none"/>
        <c:minorTickMark val="none"/>
        <c:tickLblPos val="nextTo"/>
        <c:crossAx val="114850432"/>
        <c:crosses val="autoZero"/>
        <c:crossBetween val="between"/>
      </c:valAx>
      <c:dTable>
        <c:showHorzBorder val="1"/>
        <c:showVertBorder val="1"/>
        <c:showOutline val="1"/>
        <c:showKeys val="1"/>
      </c:dTable>
    </c:plotArea>
    <c:plotVisOnly val="1"/>
    <c:dispBlanksAs val="gap"/>
    <c:showDLblsOverMax val="0"/>
  </c:chart>
  <c:spPr>
    <a:effectLst>
      <a:innerShdw blurRad="431800">
        <a:srgbClr val="4F81BD">
          <a:lumMod val="60000"/>
          <a:lumOff val="40000"/>
        </a:srgbClr>
      </a:innerShdw>
    </a:effectLst>
  </c:spPr>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REACTIVA DIARIA JUNIO 2023</a:t>
            </a:r>
          </a:p>
        </c:rich>
      </c:tx>
      <c:layout>
        <c:manualLayout>
          <c:xMode val="edge"/>
          <c:yMode val="edge"/>
          <c:x val="0.25905096451415616"/>
          <c:y val="1.9202980544507822E-2"/>
        </c:manualLayout>
      </c:layout>
      <c:overlay val="0"/>
    </c:title>
    <c:autoTitleDeleted val="0"/>
    <c:plotArea>
      <c:layout/>
      <c:lineChart>
        <c:grouping val="standard"/>
        <c:varyColors val="0"/>
        <c:ser>
          <c:idx val="6"/>
          <c:order val="0"/>
          <c:tx>
            <c:strRef>
              <c:f>'GRAFICAS RPTE GCIAL'!$D$125</c:f>
              <c:strCache>
                <c:ptCount val="1"/>
                <c:pt idx="0">
                  <c:v>US-GT 8001 Mvarh</c:v>
                </c:pt>
              </c:strCache>
            </c:strRef>
          </c:tx>
          <c:spPr>
            <a:ln>
              <a:solidFill>
                <a:srgbClr val="7030A0"/>
              </a:solidFill>
            </a:ln>
          </c:spPr>
          <c:marker>
            <c:symbol val="none"/>
          </c:marker>
          <c:val>
            <c:numRef>
              <c:f>'GRAFICAS RPTE GCIAL'!$D$126:$D$156</c:f>
              <c:numCache>
                <c:formatCode>0.0</c:formatCode>
                <c:ptCount val="31"/>
                <c:pt idx="0">
                  <c:v>147</c:v>
                </c:pt>
                <c:pt idx="1">
                  <c:v>143</c:v>
                </c:pt>
                <c:pt idx="2">
                  <c:v>145</c:v>
                </c:pt>
                <c:pt idx="3">
                  <c:v>152</c:v>
                </c:pt>
                <c:pt idx="4">
                  <c:v>-302126</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24FF-45B9-9B02-4B900584293D}"/>
            </c:ext>
          </c:extLst>
        </c:ser>
        <c:ser>
          <c:idx val="7"/>
          <c:order val="1"/>
          <c:tx>
            <c:strRef>
              <c:f>'GRAFICAS RPTE GCIAL'!$J$125</c:f>
              <c:strCache>
                <c:ptCount val="1"/>
                <c:pt idx="0">
                  <c:v>US-GT 8002 Mvarh</c:v>
                </c:pt>
              </c:strCache>
            </c:strRef>
          </c:tx>
          <c:spPr>
            <a:ln>
              <a:solidFill>
                <a:srgbClr val="E86E0A"/>
              </a:solidFill>
            </a:ln>
          </c:spPr>
          <c:marker>
            <c:symbol val="none"/>
          </c:marker>
          <c:val>
            <c:numRef>
              <c:f>'GRAFICAS RPTE GCIAL'!$J$126:$J$156</c:f>
              <c:numCache>
                <c:formatCode>0.0</c:formatCode>
                <c:ptCount val="31"/>
                <c:pt idx="0">
                  <c:v>74</c:v>
                </c:pt>
                <c:pt idx="1">
                  <c:v>76</c:v>
                </c:pt>
                <c:pt idx="2">
                  <c:v>75</c:v>
                </c:pt>
                <c:pt idx="3">
                  <c:v>74</c:v>
                </c:pt>
                <c:pt idx="4">
                  <c:v>-21329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24FF-45B9-9B02-4B900584293D}"/>
            </c:ext>
          </c:extLst>
        </c:ser>
        <c:ser>
          <c:idx val="2"/>
          <c:order val="2"/>
          <c:tx>
            <c:strRef>
              <c:f>'GRAFICAS RPTE GCIAL'!$S$125</c:f>
              <c:strCache>
                <c:ptCount val="1"/>
                <c:pt idx="0">
                  <c:v>G-8005   Mvarh</c:v>
                </c:pt>
              </c:strCache>
            </c:strRef>
          </c:tx>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GCIAL'!$S$126:$S$156</c:f>
              <c:numCache>
                <c:formatCode>0.0</c:formatCode>
                <c:ptCount val="31"/>
                <c:pt idx="0">
                  <c:v>0</c:v>
                </c:pt>
                <c:pt idx="1">
                  <c:v>0</c:v>
                </c:pt>
                <c:pt idx="2">
                  <c:v>0</c:v>
                </c:pt>
                <c:pt idx="3">
                  <c:v>0</c:v>
                </c:pt>
                <c:pt idx="4">
                  <c:v>0</c:v>
                </c:pt>
                <c:pt idx="5">
                  <c:v>0</c:v>
                </c:pt>
                <c:pt idx="6">
                  <c:v>-349.35500000000002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24FF-45B9-9B02-4B900584293D}"/>
            </c:ext>
          </c:extLst>
        </c:ser>
        <c:ser>
          <c:idx val="5"/>
          <c:order val="3"/>
          <c:tx>
            <c:strRef>
              <c:f>'GRAFICAS RPTE GCIAL'!$V$125</c:f>
              <c:strCache>
                <c:ptCount val="1"/>
                <c:pt idx="0">
                  <c:v>G-8006    Mvarh</c:v>
                </c:pt>
              </c:strCache>
            </c:strRef>
          </c:tx>
          <c:marker>
            <c:symbol val="none"/>
          </c:marker>
          <c:val>
            <c:numRef>
              <c:f>'GRAFICAS RPTE GCIAL'!$V$126:$V$156</c:f>
              <c:numCache>
                <c:formatCode>0.0</c:formatCode>
                <c:ptCount val="31"/>
                <c:pt idx="0">
                  <c:v>0</c:v>
                </c:pt>
                <c:pt idx="1">
                  <c:v>0</c:v>
                </c:pt>
                <c:pt idx="2">
                  <c:v>0</c:v>
                </c:pt>
                <c:pt idx="3">
                  <c:v>0</c:v>
                </c:pt>
                <c:pt idx="4">
                  <c:v>0</c:v>
                </c:pt>
                <c:pt idx="5">
                  <c:v>0</c:v>
                </c:pt>
                <c:pt idx="6">
                  <c:v>-349.35500000000002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24FF-45B9-9B02-4B900584293D}"/>
            </c:ext>
          </c:extLst>
        </c:ser>
        <c:ser>
          <c:idx val="8"/>
          <c:order val="4"/>
          <c:tx>
            <c:strRef>
              <c:f>'GRAFICAS RPTE GCIAL'!$Y$124</c:f>
              <c:strCache>
                <c:ptCount val="1"/>
                <c:pt idx="0">
                  <c:v>Gene Total Mvarh</c:v>
                </c:pt>
              </c:strCache>
            </c:strRef>
          </c:tx>
          <c:spPr>
            <a:ln>
              <a:solidFill>
                <a:srgbClr val="17E730"/>
              </a:solidFill>
            </a:ln>
          </c:spPr>
          <c:marker>
            <c:symbol val="none"/>
          </c:marker>
          <c:val>
            <c:numRef>
              <c:f>'GRAFICAS RPTE GCIAL'!$Y$126:$Y$156</c:f>
              <c:numCache>
                <c:formatCode>0.0</c:formatCode>
                <c:ptCount val="31"/>
                <c:pt idx="0">
                  <c:v>221</c:v>
                </c:pt>
                <c:pt idx="1">
                  <c:v>219</c:v>
                </c:pt>
                <c:pt idx="2">
                  <c:v>220</c:v>
                </c:pt>
                <c:pt idx="3">
                  <c:v>226</c:v>
                </c:pt>
                <c:pt idx="4">
                  <c:v>-323455</c:v>
                </c:pt>
                <c:pt idx="5">
                  <c:v>-589.774</c:v>
                </c:pt>
                <c:pt idx="6">
                  <c:v>-349.35500000000002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24FF-45B9-9B02-4B900584293D}"/>
            </c:ext>
          </c:extLst>
        </c:ser>
        <c:ser>
          <c:idx val="4"/>
          <c:order val="5"/>
          <c:tx>
            <c:strRef>
              <c:f>'GRAFICAS RPTE GCIAL'!$Q$124</c:f>
              <c:strCache>
                <c:ptCount val="1"/>
                <c:pt idx="0">
                  <c:v>PROM</c:v>
                </c:pt>
              </c:strCache>
            </c:strRef>
          </c:tx>
          <c:spPr>
            <a:ln>
              <a:solidFill>
                <a:srgbClr val="FF0000"/>
              </a:solidFill>
              <a:prstDash val="sysDash"/>
            </a:ln>
          </c:spPr>
          <c:marker>
            <c:symbol val="none"/>
          </c:marker>
          <c:val>
            <c:numRef>
              <c:f>'GRAFICAS RPTE GCIAL'!$Q$126:$Q$156</c:f>
              <c:numCache>
                <c:formatCode>0.0</c:formatCode>
                <c:ptCount val="31"/>
                <c:pt idx="0">
                  <c:v>110.5</c:v>
                </c:pt>
                <c:pt idx="1">
                  <c:v>109.5</c:v>
                </c:pt>
                <c:pt idx="2">
                  <c:v>110</c:v>
                </c:pt>
                <c:pt idx="3">
                  <c:v>113</c:v>
                </c:pt>
                <c:pt idx="4">
                  <c:v>-161727.5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24FF-45B9-9B02-4B900584293D}"/>
            </c:ext>
          </c:extLst>
        </c:ser>
        <c:dLbls>
          <c:showLegendKey val="0"/>
          <c:showVal val="0"/>
          <c:showCatName val="0"/>
          <c:showSerName val="0"/>
          <c:showPercent val="0"/>
          <c:showBubbleSize val="0"/>
        </c:dLbls>
        <c:smooth val="0"/>
        <c:axId val="114898816"/>
        <c:axId val="114900352"/>
      </c:lineChart>
      <c:catAx>
        <c:axId val="114898816"/>
        <c:scaling>
          <c:orientation val="minMax"/>
        </c:scaling>
        <c:delete val="0"/>
        <c:axPos val="b"/>
        <c:numFmt formatCode="General" sourceLinked="1"/>
        <c:majorTickMark val="none"/>
        <c:minorTickMark val="none"/>
        <c:tickLblPos val="nextTo"/>
        <c:crossAx val="114900352"/>
        <c:crosses val="autoZero"/>
        <c:auto val="1"/>
        <c:lblAlgn val="ctr"/>
        <c:lblOffset val="100"/>
        <c:noMultiLvlLbl val="0"/>
      </c:catAx>
      <c:valAx>
        <c:axId val="114900352"/>
        <c:scaling>
          <c:orientation val="minMax"/>
        </c:scaling>
        <c:delete val="0"/>
        <c:axPos val="l"/>
        <c:title>
          <c:tx>
            <c:rich>
              <a:bodyPr/>
              <a:lstStyle/>
              <a:p>
                <a:pPr>
                  <a:defRPr/>
                </a:pPr>
                <a:r>
                  <a:rPr lang="es-ES"/>
                  <a:t>MVARH</a:t>
                </a:r>
              </a:p>
            </c:rich>
          </c:tx>
          <c:overlay val="0"/>
        </c:title>
        <c:numFmt formatCode="0.0" sourceLinked="1"/>
        <c:majorTickMark val="none"/>
        <c:minorTickMark val="none"/>
        <c:tickLblPos val="nextTo"/>
        <c:crossAx val="114898816"/>
        <c:crosses val="autoZero"/>
        <c:crossBetween val="between"/>
      </c:valAx>
      <c:dTable>
        <c:showHorzBorder val="1"/>
        <c:showVertBorder val="1"/>
        <c:showOutline val="1"/>
        <c:showKeys val="1"/>
        <c:txPr>
          <a:bodyPr/>
          <a:lstStyle/>
          <a:p>
            <a:pPr rtl="0">
              <a:defRPr sz="800"/>
            </a:pPr>
            <a:endParaRPr lang="es-MX"/>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HEAT RATE G-1 y G-2 JUNIO </a:t>
            </a:r>
            <a:r>
              <a:rPr lang="es-ES" sz="1200" baseline="0"/>
              <a:t>2023</a:t>
            </a:r>
            <a:endParaRPr lang="es-ES" sz="1200"/>
          </a:p>
        </c:rich>
      </c:tx>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5.9796290799362772E-2"/>
          <c:y val="0.12757424795219369"/>
          <c:w val="0.93217337237262032"/>
          <c:h val="0.68768107940961753"/>
        </c:manualLayout>
      </c:layout>
      <c:bar3DChart>
        <c:barDir val="col"/>
        <c:grouping val="clustered"/>
        <c:varyColors val="0"/>
        <c:ser>
          <c:idx val="0"/>
          <c:order val="0"/>
          <c:tx>
            <c:strRef>
              <c:f>'GRAFICAS RPTE GCIAL'!$C$124:$H$124</c:f>
              <c:strCache>
                <c:ptCount val="1"/>
                <c:pt idx="0">
                  <c:v>GT-8001  </c:v>
                </c:pt>
              </c:strCache>
            </c:strRef>
          </c:tx>
          <c:spPr>
            <a:solidFill>
              <a:schemeClr val="bg2">
                <a:lumMod val="25000"/>
              </a:schemeClr>
            </a:solidFill>
          </c:spPr>
          <c:invertIfNegative val="0"/>
          <c:val>
            <c:numRef>
              <c:f>'GRAFICAS RPTE GCIAL'!$F$126:$F$156</c:f>
              <c:numCache>
                <c:formatCode>0.0</c:formatCode>
                <c:ptCount val="31"/>
                <c:pt idx="0">
                  <c:v>14574.483791554057</c:v>
                </c:pt>
                <c:pt idx="1">
                  <c:v>14675.586309246579</c:v>
                </c:pt>
                <c:pt idx="2">
                  <c:v>14727.183456206896</c:v>
                </c:pt>
                <c:pt idx="3">
                  <c:v>14524.950343288594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2FDA-4F74-8A61-299501C9E33A}"/>
            </c:ext>
          </c:extLst>
        </c:ser>
        <c:ser>
          <c:idx val="1"/>
          <c:order val="1"/>
          <c:tx>
            <c:strRef>
              <c:f>'GRAFICAS RPTE GCIAL'!$I$124:$N$124</c:f>
              <c:strCache>
                <c:ptCount val="1"/>
                <c:pt idx="0">
                  <c:v>GT-8002  </c:v>
                </c:pt>
              </c:strCache>
            </c:strRef>
          </c:tx>
          <c:spPr>
            <a:solidFill>
              <a:schemeClr val="accent6">
                <a:lumMod val="75000"/>
              </a:schemeClr>
            </a:solidFill>
          </c:spPr>
          <c:invertIfNegative val="0"/>
          <c:val>
            <c:numRef>
              <c:f>'GRAFICAS RPTE GCIAL'!$L$126:$L$156</c:f>
              <c:numCache>
                <c:formatCode>0.0</c:formatCode>
                <c:ptCount val="31"/>
                <c:pt idx="0">
                  <c:v>21954.967583108111</c:v>
                </c:pt>
                <c:pt idx="1">
                  <c:v>21758.154682000004</c:v>
                </c:pt>
                <c:pt idx="2">
                  <c:v>21954.967583108111</c:v>
                </c:pt>
                <c:pt idx="3">
                  <c:v>21758.154682000004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2FDA-4F74-8A61-299501C9E33A}"/>
            </c:ext>
          </c:extLst>
        </c:ser>
        <c:dLbls>
          <c:showLegendKey val="0"/>
          <c:showVal val="0"/>
          <c:showCatName val="0"/>
          <c:showSerName val="0"/>
          <c:showPercent val="0"/>
          <c:showBubbleSize val="0"/>
        </c:dLbls>
        <c:gapWidth val="150"/>
        <c:shape val="cylinder"/>
        <c:axId val="114931584"/>
        <c:axId val="114933120"/>
        <c:axId val="0"/>
      </c:bar3DChart>
      <c:catAx>
        <c:axId val="114931584"/>
        <c:scaling>
          <c:orientation val="minMax"/>
        </c:scaling>
        <c:delete val="0"/>
        <c:axPos val="b"/>
        <c:numFmt formatCode="General" sourceLinked="0"/>
        <c:majorTickMark val="none"/>
        <c:minorTickMark val="none"/>
        <c:tickLblPos val="nextTo"/>
        <c:crossAx val="114933120"/>
        <c:crosses val="autoZero"/>
        <c:auto val="1"/>
        <c:lblAlgn val="ctr"/>
        <c:lblOffset val="100"/>
        <c:noMultiLvlLbl val="0"/>
      </c:catAx>
      <c:valAx>
        <c:axId val="114933120"/>
        <c:scaling>
          <c:orientation val="minMax"/>
        </c:scaling>
        <c:delete val="0"/>
        <c:axPos val="l"/>
        <c:majorGridlines/>
        <c:title>
          <c:tx>
            <c:rich>
              <a:bodyPr/>
              <a:lstStyle/>
              <a:p>
                <a:pPr>
                  <a:defRPr/>
                </a:pPr>
                <a:r>
                  <a:rPr lang="es-ES"/>
                  <a:t>BTU/KW-h</a:t>
                </a:r>
              </a:p>
            </c:rich>
          </c:tx>
          <c:overlay val="0"/>
        </c:title>
        <c:numFmt formatCode="0.0" sourceLinked="1"/>
        <c:majorTickMark val="none"/>
        <c:minorTickMark val="none"/>
        <c:tickLblPos val="nextTo"/>
        <c:crossAx val="114931584"/>
        <c:crosses val="autoZero"/>
        <c:crossBetween val="between"/>
      </c:valAx>
      <c:dTable>
        <c:showHorzBorder val="1"/>
        <c:showVertBorder val="1"/>
        <c:showOutline val="1"/>
        <c:showKeys val="1"/>
        <c:txPr>
          <a:bodyPr/>
          <a:lstStyle/>
          <a:p>
            <a:pPr rtl="0">
              <a:defRPr sz="900" baseline="0"/>
            </a:pPr>
            <a:endParaRPr lang="es-MX"/>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EFICIENCIA TÉRMICA G-1 y G-2</a:t>
            </a:r>
            <a:r>
              <a:rPr lang="es-ES" sz="1200" baseline="0"/>
              <a:t> JUNIO 2023</a:t>
            </a:r>
            <a:endParaRPr lang="es-ES" sz="1200"/>
          </a:p>
        </c:rich>
      </c:tx>
      <c:layout>
        <c:manualLayout>
          <c:xMode val="edge"/>
          <c:yMode val="edge"/>
          <c:x val="0.32689513494357508"/>
          <c:y val="2.1680210633773442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GCIAL'!$C$124:$H$124</c:f>
              <c:strCache>
                <c:ptCount val="1"/>
                <c:pt idx="0">
                  <c:v>GT-8001  </c:v>
                </c:pt>
              </c:strCache>
            </c:strRef>
          </c:tx>
          <c:spPr>
            <a:solidFill>
              <a:srgbClr val="92D050"/>
            </a:solidFill>
            <a:ln>
              <a:solidFill>
                <a:srgbClr val="92D050"/>
              </a:solidFill>
            </a:ln>
          </c:spPr>
          <c:invertIfNegative val="0"/>
          <c:val>
            <c:numRef>
              <c:f>'GRAFICAS RPTE GCIAL'!$G$126:$G$156</c:f>
              <c:numCache>
                <c:formatCode>0.00</c:formatCode>
                <c:ptCount val="31"/>
                <c:pt idx="0">
                  <c:v>23.43678204218428</c:v>
                </c:pt>
                <c:pt idx="1">
                  <c:v>23.275322212154681</c:v>
                </c:pt>
                <c:pt idx="2">
                  <c:v>23.193776394225512</c:v>
                </c:pt>
                <c:pt idx="3">
                  <c:v>23.516706902742023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18F6-4FE6-A228-487DED20D2EF}"/>
            </c:ext>
          </c:extLst>
        </c:ser>
        <c:ser>
          <c:idx val="1"/>
          <c:order val="1"/>
          <c:tx>
            <c:strRef>
              <c:f>'GRAFICAS RPTE GCIAL'!$I$124:$N$124</c:f>
              <c:strCache>
                <c:ptCount val="1"/>
                <c:pt idx="0">
                  <c:v>GT-8002  </c:v>
                </c:pt>
              </c:strCache>
            </c:strRef>
          </c:tx>
          <c:spPr>
            <a:solidFill>
              <a:schemeClr val="accent1">
                <a:lumMod val="75000"/>
              </a:schemeClr>
            </a:solidFill>
          </c:spPr>
          <c:invertIfNegative val="0"/>
          <c:val>
            <c:numRef>
              <c:f>'GRAFICAS RPTE GCIAL'!$M$126:$M$156</c:f>
              <c:numCache>
                <c:formatCode>0.00</c:formatCode>
                <c:ptCount val="31"/>
                <c:pt idx="0">
                  <c:v>15.558164625248947</c:v>
                </c:pt>
                <c:pt idx="1">
                  <c:v>15.698895655088805</c:v>
                </c:pt>
                <c:pt idx="2">
                  <c:v>15.558164625248947</c:v>
                </c:pt>
                <c:pt idx="3">
                  <c:v>15.698895655088805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18F6-4FE6-A228-487DED20D2EF}"/>
            </c:ext>
          </c:extLst>
        </c:ser>
        <c:dLbls>
          <c:showLegendKey val="0"/>
          <c:showVal val="0"/>
          <c:showCatName val="0"/>
          <c:showSerName val="0"/>
          <c:showPercent val="0"/>
          <c:showBubbleSize val="0"/>
        </c:dLbls>
        <c:gapWidth val="150"/>
        <c:shape val="cylinder"/>
        <c:axId val="115046656"/>
        <c:axId val="115048448"/>
        <c:axId val="0"/>
      </c:bar3DChart>
      <c:catAx>
        <c:axId val="115046656"/>
        <c:scaling>
          <c:orientation val="minMax"/>
        </c:scaling>
        <c:delete val="0"/>
        <c:axPos val="b"/>
        <c:numFmt formatCode="General" sourceLinked="0"/>
        <c:majorTickMark val="none"/>
        <c:minorTickMark val="none"/>
        <c:tickLblPos val="nextTo"/>
        <c:crossAx val="115048448"/>
        <c:crosses val="autoZero"/>
        <c:auto val="1"/>
        <c:lblAlgn val="ctr"/>
        <c:lblOffset val="100"/>
        <c:noMultiLvlLbl val="0"/>
      </c:catAx>
      <c:valAx>
        <c:axId val="115048448"/>
        <c:scaling>
          <c:orientation val="minMax"/>
        </c:scaling>
        <c:delete val="0"/>
        <c:axPos val="l"/>
        <c:majorGridlines/>
        <c:numFmt formatCode="0.00" sourceLinked="1"/>
        <c:majorTickMark val="none"/>
        <c:minorTickMark val="none"/>
        <c:tickLblPos val="nextTo"/>
        <c:crossAx val="115046656"/>
        <c:crosses val="autoZero"/>
        <c:crossBetween val="between"/>
      </c:valAx>
      <c:dTable>
        <c:showHorzBorder val="1"/>
        <c:showVertBorder val="1"/>
        <c:showOutline val="1"/>
        <c:showKeys val="1"/>
        <c:txPr>
          <a:bodyPr/>
          <a:lstStyle/>
          <a:p>
            <a:pPr rtl="0">
              <a:defRPr sz="900" baseline="0"/>
            </a:pPr>
            <a:endParaRPr lang="es-MX"/>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5"/>
    </mc:Choice>
    <mc:Fallback>
      <c:style val="45"/>
    </mc:Fallback>
  </mc:AlternateContent>
  <c:chart>
    <c:title>
      <c:tx>
        <c:rich>
          <a:bodyPr/>
          <a:lstStyle/>
          <a:p>
            <a:pPr>
              <a:defRPr/>
            </a:pPr>
            <a:r>
              <a:rPr lang="en-US"/>
              <a:t>a</a:t>
            </a:r>
          </a:p>
        </c:rich>
      </c:tx>
      <c:layout>
        <c:manualLayout>
          <c:xMode val="edge"/>
          <c:yMode val="edge"/>
          <c:x val="0.51931203206604992"/>
          <c:y val="2.8335297550372621E-2"/>
        </c:manualLayout>
      </c:layout>
      <c:overlay val="0"/>
    </c:title>
    <c:autoTitleDeleted val="0"/>
    <c:plotArea>
      <c:layout/>
      <c:barChart>
        <c:barDir val="col"/>
        <c:grouping val="clustered"/>
        <c:varyColors val="0"/>
        <c:ser>
          <c:idx val="1"/>
          <c:order val="0"/>
          <c:tx>
            <c:strRef>
              <c:f>'GRAFICAS RPTE GCIAL'!$B$177</c:f>
              <c:strCache>
                <c:ptCount val="1"/>
                <c:pt idx="0">
                  <c:v>enero</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'GRAFICAS RPTE GCIAL'!$C$177:$O$177</c:f>
            </c:numRef>
          </c:val>
          <c:extLst>
            <c:ext xmlns:c15="http://schemas.microsoft.com/office/drawing/2012/chart" uri="{02D57815-91ED-43cb-92C2-25804820EDAC}">
              <c15:filteredCategoryTitle>
                <c15:cat>
                  <c:multiLvlStrRef>
                    <c:extLst>
                      <c:ext uri="{02D57815-91ED-43cb-92C2-25804820EDAC}">
                        <c15:formulaRef>
                          <c15:sqref>'GRAFICAS RPTE GCIAL'!$C$175:$O$175</c15:sqref>
                        </c15:formulaRef>
                      </c:ext>
                    </c:extLst>
                  </c:multiLvlStrRef>
                </c15:cat>
              </c15:filteredCategoryTitle>
            </c:ext>
            <c:ext xmlns:c16="http://schemas.microsoft.com/office/drawing/2014/chart" uri="{C3380CC4-5D6E-409C-BE32-E72D297353CC}">
              <c16:uniqueId val="{00000000-1598-48CA-8A1B-6A93B4D0315F}"/>
            </c:ext>
          </c:extLst>
        </c:ser>
        <c:dLbls>
          <c:showLegendKey val="0"/>
          <c:showVal val="1"/>
          <c:showCatName val="0"/>
          <c:showSerName val="0"/>
          <c:showPercent val="0"/>
          <c:showBubbleSize val="0"/>
        </c:dLbls>
        <c:gapWidth val="75"/>
        <c:overlap val="40"/>
        <c:axId val="116195712"/>
        <c:axId val="116198400"/>
      </c:barChart>
      <c:catAx>
        <c:axId val="116195712"/>
        <c:scaling>
          <c:orientation val="minMax"/>
        </c:scaling>
        <c:delete val="0"/>
        <c:axPos val="b"/>
        <c:numFmt formatCode="General" sourceLinked="0"/>
        <c:majorTickMark val="none"/>
        <c:minorTickMark val="none"/>
        <c:tickLblPos val="nextTo"/>
        <c:crossAx val="116198400"/>
        <c:crosses val="autoZero"/>
        <c:auto val="1"/>
        <c:lblAlgn val="ctr"/>
        <c:lblOffset val="100"/>
        <c:noMultiLvlLbl val="0"/>
      </c:catAx>
      <c:valAx>
        <c:axId val="116198400"/>
        <c:scaling>
          <c:orientation val="minMax"/>
          <c:max val="16000"/>
          <c:min val="0"/>
        </c:scaling>
        <c:delete val="0"/>
        <c:axPos val="l"/>
        <c:majorGridlines/>
        <c:numFmt formatCode="#,##0_);\(#,##0\)" sourceLinked="1"/>
        <c:majorTickMark val="none"/>
        <c:minorTickMark val="none"/>
        <c:tickLblPos val="nextTo"/>
        <c:crossAx val="1161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0291666666666667"/>
          <c:y val="0.25281839770028747"/>
          <c:w val="0.46027865266841644"/>
          <c:h val="0.64257592800899876"/>
        </c:manualLayout>
      </c:layout>
      <c:barChart>
        <c:barDir val="bar"/>
        <c:grouping val="clustered"/>
        <c:varyColors val="0"/>
        <c:ser>
          <c:idx val="0"/>
          <c:order val="0"/>
          <c:tx>
            <c:v>Porcentaje</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'GRAFICAS RPTE GCIAL'!$AK$85:$AN$87</c:f>
              <c:strCache>
                <c:ptCount val="4"/>
                <c:pt idx="0">
                  <c:v> GT-8001</c:v>
                </c:pt>
                <c:pt idx="1">
                  <c:v>GT-8002</c:v>
                </c:pt>
                <c:pt idx="2">
                  <c:v>G-8005</c:v>
                </c:pt>
                <c:pt idx="3">
                  <c:v>G-8006</c:v>
                </c:pt>
              </c:strCache>
            </c:strRef>
          </c:cat>
          <c:val>
            <c:numRef>
              <c:f>'GRAFICAS RPTE GCIAL'!$AK$90:$AN$90</c:f>
              <c:numCache>
                <c:formatCode>#,##0.00_);\(#,##0.00\)</c:formatCode>
                <c:ptCount val="4"/>
                <c:pt idx="0">
                  <c:v>0</c:v>
                </c:pt>
                <c:pt idx="1">
                  <c:v>0</c:v>
                </c:pt>
                <c:pt idx="2">
                  <c:v>37.910798122064364</c:v>
                </c:pt>
                <c:pt idx="3">
                  <c:v>62.089201877935636</c:v>
                </c:pt>
              </c:numCache>
            </c:numRef>
          </c:val>
          <c:extLst>
            <c:ext xmlns:c16="http://schemas.microsoft.com/office/drawing/2014/chart" uri="{C3380CC4-5D6E-409C-BE32-E72D297353CC}">
              <c16:uniqueId val="{00000000-A310-4ED6-BF39-72752AF8FE1C}"/>
            </c:ext>
          </c:extLst>
        </c:ser>
        <c:ser>
          <c:idx val="1"/>
          <c:order val="1"/>
          <c:tx>
            <c:v>Galones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'GRAFICAS RPTE GCIAL'!$AK$85:$AN$87</c:f>
              <c:strCache>
                <c:ptCount val="4"/>
                <c:pt idx="0">
                  <c:v> GT-8001</c:v>
                </c:pt>
                <c:pt idx="1">
                  <c:v>GT-8002</c:v>
                </c:pt>
                <c:pt idx="2">
                  <c:v>G-8005</c:v>
                </c:pt>
                <c:pt idx="3">
                  <c:v>G-8006</c:v>
                </c:pt>
              </c:strCache>
            </c:strRef>
          </c:cat>
          <c:val>
            <c:numRef>
              <c:f>'GRAFICAS RPTE GCIAL'!$AG$90:$AJ$90</c:f>
              <c:numCache>
                <c:formatCode>#,##0_);\(#,##0\)</c:formatCode>
                <c:ptCount val="4"/>
                <c:pt idx="0">
                  <c:v>0</c:v>
                </c:pt>
                <c:pt idx="1">
                  <c:v>0</c:v>
                </c:pt>
                <c:pt idx="2">
                  <c:v>77.51999999999498</c:v>
                </c:pt>
                <c:pt idx="3">
                  <c:v>126.95999999999913</c:v>
                </c:pt>
              </c:numCache>
            </c:numRef>
          </c:val>
          <c:extLst>
            <c:ext xmlns:c16="http://schemas.microsoft.com/office/drawing/2014/chart" uri="{C3380CC4-5D6E-409C-BE32-E72D297353CC}">
              <c16:uniqueId val="{00000000-FBE0-456E-98DC-976719EFF7E7}"/>
            </c:ext>
          </c:extLst>
        </c:ser>
        <c:dLbls>
          <c:showLegendKey val="0"/>
          <c:showVal val="0"/>
          <c:showCatName val="0"/>
          <c:showSerName val="0"/>
          <c:showPercent val="0"/>
          <c:showBubbleSize val="0"/>
        </c:dLbls>
        <c:gapWidth val="100"/>
        <c:axId val="682775584"/>
        <c:axId val="676902096"/>
      </c:barChart>
      <c:valAx>
        <c:axId val="676902096"/>
        <c:scaling>
          <c:orientation val="minMax"/>
        </c:scaling>
        <c:delete val="0"/>
        <c:axPos val="b"/>
        <c:numFmt formatCode="#,##0.00_);\(#,##0.00\)" sourceLinked="1"/>
        <c:majorTickMark val="out"/>
        <c:minorTickMark val="none"/>
        <c:tickLblPos val="nextTo"/>
        <c:crossAx val="682775584"/>
        <c:crosses val="autoZero"/>
        <c:crossBetween val="between"/>
      </c:valAx>
      <c:catAx>
        <c:axId val="682775584"/>
        <c:scaling>
          <c:orientation val="minMax"/>
        </c:scaling>
        <c:delete val="0"/>
        <c:axPos val="l"/>
        <c:numFmt formatCode="General" sourceLinked="1"/>
        <c:majorTickMark val="out"/>
        <c:minorTickMark val="none"/>
        <c:tickLblPos val="nextTo"/>
        <c:spPr>
          <a:ln>
            <a:solidFill>
              <a:srgbClr val="4F81BD">
                <a:alpha val="99000"/>
              </a:srgbClr>
            </a:solidFill>
          </a:ln>
        </c:spPr>
        <c:crossAx val="676902096"/>
        <c:crosses val="autoZero"/>
        <c:auto val="1"/>
        <c:lblAlgn val="ctr"/>
        <c:lblOffset val="100"/>
        <c:noMultiLvlLbl val="0"/>
      </c:catAx>
      <c:dTable>
        <c:showHorzBorder val="1"/>
        <c:showVertBorder val="1"/>
        <c:showOutline val="1"/>
        <c:showKeys val="1"/>
      </c:dTable>
      <c:spPr>
        <a:ln>
          <a:noFill/>
        </a:ln>
      </c:spPr>
    </c:plotArea>
    <c:legend>
      <c:legendPos val="r"/>
      <c:overlay val="0"/>
    </c:legend>
    <c:plotVisOnly val="1"/>
    <c:dispBlanksAs val="gap"/>
    <c:showDLblsOverMax val="0"/>
  </c:chart>
  <c:txPr>
    <a:bodyPr/>
    <a:lstStyle/>
    <a:p>
      <a:pPr>
        <a:defRPr baseline="0"/>
      </a:pPr>
      <a:endParaRPr lang="es-MX"/>
    </a:p>
  </c:txPr>
  <c:printSettings>
    <c:headerFooter/>
    <c:pageMargins b="0.75000000000001465" l="0.70000000000000062" r="0.70000000000000062" t="0.75000000000001465" header="0.30000000000000032" footer="0.30000000000000032"/>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CURVA DE DURACIÓN DE CARGA - POTENCIA ACTIVA (kW)</a:t>
            </a:r>
          </a:p>
        </c:rich>
      </c:tx>
      <c:overlay val="0"/>
    </c:title>
    <c:autoTitleDeleted val="0"/>
    <c:plotArea>
      <c:layout>
        <c:manualLayout>
          <c:layoutTarget val="inner"/>
          <c:xMode val="edge"/>
          <c:yMode val="edge"/>
          <c:x val="0.10635335187062013"/>
          <c:y val="8.3162079987526311E-2"/>
          <c:w val="0.89144642810737762"/>
          <c:h val="0.71169460253111927"/>
        </c:manualLayout>
      </c:layout>
      <c:lineChart>
        <c:grouping val="standard"/>
        <c:varyColors val="0"/>
        <c:ser>
          <c:idx val="0"/>
          <c:order val="0"/>
          <c:tx>
            <c:strRef>
              <c:f>'CURVA DURACION'!$Z$7</c:f>
              <c:strCache>
                <c:ptCount val="1"/>
                <c:pt idx="0">
                  <c:v>Prom </c:v>
                </c:pt>
              </c:strCache>
            </c:strRef>
          </c:tx>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'CURVA DURACION'!$Z$8:$Z$38</c15:sqref>
                  </c15:fullRef>
                </c:ext>
              </c:extLst>
              <c:f>'CURVA DURACION'!$Z$8:$Z$37</c:f>
              <c:numCache>
                <c:formatCode>#,##0</c:formatCode>
                <c:ptCount val="30"/>
                <c:pt idx="0">
                  <c:v>18660.291666666668</c:v>
                </c:pt>
                <c:pt idx="1">
                  <c:v>18499.416666666668</c:v>
                </c:pt>
                <c:pt idx="2">
                  <c:v>18317.291666666668</c:v>
                </c:pt>
                <c:pt idx="3">
                  <c:v>18651.958333333332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060D-428D-B25C-D1EB8E70CC90}"/>
            </c:ext>
          </c:extLst>
        </c:ser>
        <c:ser>
          <c:idx val="1"/>
          <c:order val="1"/>
          <c:tx>
            <c:strRef>
              <c:f>'CURVA DURACION'!$AC$7</c:f>
              <c:strCache>
                <c:ptCount val="1"/>
                <c:pt idx="0">
                  <c:v>Max </c:v>
                </c:pt>
              </c:strCache>
            </c:strRef>
          </c:tx>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'CURVA DURACION'!$AC$8:$AC$38</c15:sqref>
                  </c15:fullRef>
                </c:ext>
              </c:extLst>
              <c:f>'CURVA DURACION'!$AC$8:$AC$37</c:f>
              <c:numCache>
                <c:formatCode>#,##0</c:formatCode>
                <c:ptCount val="30"/>
                <c:pt idx="0">
                  <c:v>19875</c:v>
                </c:pt>
                <c:pt idx="1">
                  <c:v>20413</c:v>
                </c:pt>
                <c:pt idx="2">
                  <c:v>20039</c:v>
                </c:pt>
                <c:pt idx="3">
                  <c:v>20030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1-060D-428D-B25C-D1EB8E70CC90}"/>
            </c:ext>
          </c:extLst>
        </c:ser>
        <c:ser>
          <c:idx val="2"/>
          <c:order val="2"/>
          <c:tx>
            <c:strRef>
              <c:f>'CURVA DURACION'!$AA$7</c:f>
              <c:strCache>
                <c:ptCount val="1"/>
                <c:pt idx="0">
                  <c:v>Min</c:v>
                </c:pt>
              </c:strCache>
            </c:strRef>
          </c:tx>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'CURVA DURACION'!$AA$8:$AA$38</c15:sqref>
                  </c15:fullRef>
                </c:ext>
              </c:extLst>
              <c:f>'CURVA DURACION'!$AA$8:$AA$37</c:f>
              <c:numCache>
                <c:formatCode>#,##0</c:formatCode>
                <c:ptCount val="30"/>
                <c:pt idx="0">
                  <c:v>17670</c:v>
                </c:pt>
                <c:pt idx="1">
                  <c:v>17507</c:v>
                </c:pt>
                <c:pt idx="2">
                  <c:v>16934</c:v>
                </c:pt>
                <c:pt idx="3">
                  <c:v>17709</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060D-428D-B25C-D1EB8E70CC90}"/>
            </c:ext>
          </c:extLst>
        </c:ser>
        <c:ser>
          <c:idx val="4"/>
          <c:order val="3"/>
          <c:tx>
            <c:strRef>
              <c:f>'CURVA DURACION'!$AC$7</c:f>
              <c:strCache>
                <c:ptCount val="1"/>
                <c:pt idx="0">
                  <c:v>Max </c:v>
                </c:pt>
              </c:strCache>
            </c:strRef>
          </c:tx>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'CURVA DURACION'!$AC$8:$AC$38</c15:sqref>
                  </c15:fullRef>
                </c:ext>
              </c:extLst>
              <c:f>'CURVA DURACION'!$AC$8:$AC$37</c:f>
              <c:numCache>
                <c:formatCode>#,##0</c:formatCode>
                <c:ptCount val="30"/>
                <c:pt idx="0">
                  <c:v>19875</c:v>
                </c:pt>
                <c:pt idx="1">
                  <c:v>20413</c:v>
                </c:pt>
                <c:pt idx="2">
                  <c:v>20039</c:v>
                </c:pt>
                <c:pt idx="3">
                  <c:v>20030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060D-428D-B25C-D1EB8E70CC90}"/>
            </c:ext>
          </c:extLst>
        </c:ser>
        <c:dLbls>
          <c:showLegendKey val="0"/>
          <c:showVal val="0"/>
          <c:showCatName val="0"/>
          <c:showSerName val="0"/>
          <c:showPercent val="0"/>
          <c:showBubbleSize val="0"/>
        </c:dLbls>
        <c:smooth val="0"/>
        <c:axId val="111504768"/>
        <c:axId val="111510656"/>
        <c:extLst/>
      </c:lineChart>
      <c:dateAx>
        <c:axId val="111504768"/>
        <c:scaling>
          <c:orientation val="minMax"/>
        </c:scaling>
        <c:delete val="0"/>
        <c:axPos val="b"/>
        <c:numFmt formatCode="General" sourceLinked="0"/>
        <c:majorTickMark val="none"/>
        <c:minorTickMark val="none"/>
        <c:tickLblPos val="nextTo"/>
        <c:crossAx val="111510656"/>
        <c:crosses val="autoZero"/>
        <c:auto val="0"/>
        <c:lblOffset val="100"/>
        <c:baseTimeUnit val="days"/>
      </c:dateAx>
      <c:valAx>
        <c:axId val="111510656"/>
        <c:scaling>
          <c:orientation val="minMax"/>
        </c:scaling>
        <c:delete val="0"/>
        <c:axPos val="l"/>
        <c:majorGridlines/>
        <c:title>
          <c:tx>
            <c:rich>
              <a:bodyPr/>
              <a:lstStyle/>
              <a:p>
                <a:pPr>
                  <a:defRPr sz="1600"/>
                </a:pPr>
                <a:r>
                  <a:rPr lang="en-US" sz="1600"/>
                  <a:t>Kw</a:t>
                </a:r>
              </a:p>
            </c:rich>
          </c:tx>
          <c:overlay val="0"/>
        </c:title>
        <c:numFmt formatCode="#,##0" sourceLinked="1"/>
        <c:majorTickMark val="none"/>
        <c:minorTickMark val="none"/>
        <c:tickLblPos val="nextTo"/>
        <c:crossAx val="111504768"/>
        <c:crosses val="autoZero"/>
        <c:crossBetween val="midCat"/>
      </c:valAx>
      <c:dTable>
        <c:showHorzBorder val="1"/>
        <c:showVertBorder val="1"/>
        <c:showOutline val="1"/>
        <c:showKeys val="1"/>
      </c:dTable>
    </c:plotArea>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VARIABLES ELECTRICAS GT-8001</a:t>
            </a:r>
          </a:p>
        </c:rich>
      </c:tx>
      <c:overlay val="0"/>
    </c:title>
    <c:autoTitleDeleted val="0"/>
    <c:plotArea>
      <c:layout>
        <c:manualLayout>
          <c:layoutTarget val="inner"/>
          <c:xMode val="edge"/>
          <c:yMode val="edge"/>
          <c:x val="6.4518493243502256E-2"/>
          <c:y val="0.13819249308861692"/>
          <c:w val="0.87081393290333686"/>
          <c:h val="0.69601498927678285"/>
        </c:manualLayout>
      </c:layout>
      <c:lineChart>
        <c:grouping val="standard"/>
        <c:varyColors val="0"/>
        <c:ser>
          <c:idx val="16"/>
          <c:order val="0"/>
          <c:tx>
            <c:strRef>
              <c:f>'US-GT-8001-2'!$C$3</c:f>
              <c:strCache>
                <c:ptCount val="1"/>
                <c:pt idx="0">
                  <c:v>MWATTS</c:v>
                </c:pt>
              </c:strCache>
            </c:strRef>
          </c:tx>
          <c:spPr>
            <a:ln w="19050">
              <a:solidFill>
                <a:srgbClr val="F92BF9"/>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'US-GT-8001-2'!$C$6:$C$36</c:f>
              <c:numCache>
                <c:formatCode>0.0</c:formatCode>
                <c:ptCount val="30"/>
                <c:pt idx="0">
                  <c:v>13.3</c:v>
                </c:pt>
                <c:pt idx="1">
                  <c:v>13.2</c:v>
                </c:pt>
                <c:pt idx="2">
                  <c:v>13.5</c:v>
                </c:pt>
                <c:pt idx="3">
                  <c:v>13.3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2-349F-4952-985F-8AB9328E31D4}"/>
            </c:ext>
          </c:extLst>
        </c:ser>
        <c:ser>
          <c:idx val="17"/>
          <c:order val="1"/>
          <c:tx>
            <c:strRef>
              <c:f>'US-GT-8001-2'!$E$3</c:f>
              <c:strCache>
                <c:ptCount val="1"/>
                <c:pt idx="0">
                  <c:v>MVARS</c:v>
                </c:pt>
              </c:strCache>
            </c:strRef>
          </c:tx>
          <c:spPr>
            <a:ln w="19050">
              <a:solidFill>
                <a:srgbClr val="FFC000"/>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'US-GT-8001-2'!$E$6:$E$36</c:f>
              <c:numCache>
                <c:formatCode>0.0</c:formatCode>
                <c:ptCount val="30"/>
                <c:pt idx="0">
                  <c:v>6.8</c:v>
                </c:pt>
                <c:pt idx="1">
                  <c:v>6.7</c:v>
                </c:pt>
                <c:pt idx="2">
                  <c:v>7.2</c:v>
                </c:pt>
                <c:pt idx="3">
                  <c:v>7.1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3-349F-4952-985F-8AB9328E31D4}"/>
            </c:ext>
          </c:extLst>
        </c:ser>
        <c:ser>
          <c:idx val="18"/>
          <c:order val="2"/>
          <c:tx>
            <c:strRef>
              <c:f>'US-GT-8001-2'!$F$3</c:f>
              <c:strCache>
                <c:ptCount val="1"/>
                <c:pt idx="0">
                  <c:v>VOLT</c:v>
                </c:pt>
              </c:strCache>
            </c:strRef>
          </c:tx>
          <c:spPr>
            <a:ln w="19050">
              <a:solidFill>
                <a:srgbClr val="00B6F6"/>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'US-GT-8001-2'!$F$6:$F$36</c:f>
              <c:numCache>
                <c:formatCode>0.0</c:formatCode>
                <c:ptCount val="30"/>
                <c:pt idx="0">
                  <c:v>13.82</c:v>
                </c:pt>
                <c:pt idx="1">
                  <c:v>13.82</c:v>
                </c:pt>
                <c:pt idx="2">
                  <c:v>13.82</c:v>
                </c:pt>
                <c:pt idx="3">
                  <c:v>13.82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4-349F-4952-985F-8AB9328E31D4}"/>
            </c:ext>
          </c:extLst>
        </c:ser>
        <c:ser>
          <c:idx val="19"/>
          <c:order val="4"/>
          <c:tx>
            <c:strRef>
              <c:f>'US-GT-8001-2'!$D$3</c:f>
              <c:strCache>
                <c:ptCount val="1"/>
                <c:pt idx="0">
                  <c:v>MW-MAX</c:v>
                </c:pt>
              </c:strCache>
            </c:strRef>
          </c:tx>
          <c:spPr>
            <a:ln w="19050">
              <a:solidFill>
                <a:srgbClr val="FF0000"/>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'US-GT-8001-2'!$D$6:$D$35</c:f>
            </c:numRef>
          </c:val>
          <c:smooth val="0"/>
          <c:extLst>
            <c:ext xmlns:c16="http://schemas.microsoft.com/office/drawing/2014/chart" uri="{C3380CC4-5D6E-409C-BE32-E72D297353CC}">
              <c16:uniqueId val="{00000025-349F-4952-985F-8AB9328E31D4}"/>
            </c:ext>
          </c:extLst>
        </c:ser>
        <c:ser>
          <c:idx val="14"/>
          <c:order val="15"/>
          <c:tx>
            <c:strRef>
              <c:f>'US-GT-8001-2'!$D$38</c:f>
              <c:strCache>
                <c:ptCount val="1"/>
                <c:pt idx="0">
                  <c:v>MW-MAX</c:v>
                </c:pt>
              </c:strCache>
            </c:strRef>
          </c:tx>
          <c:spPr>
            <a:ln w="19050">
              <a:solidFill>
                <a:srgbClr val="FF0000"/>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'US-GT-8001-2'!$D$41:$D$70</c:f>
            </c:numRef>
          </c:val>
          <c:smooth val="0"/>
          <c:extLst>
            <c:ext xmlns:c16="http://schemas.microsoft.com/office/drawing/2014/chart" uri="{C3380CC4-5D6E-409C-BE32-E72D297353CC}">
              <c16:uniqueId val="{00000009-349F-4952-985F-8AB9328E31D4}"/>
            </c:ext>
          </c:extLst>
        </c:ser>
        <c:ser>
          <c:idx val="9"/>
          <c:order val="20"/>
          <c:tx>
            <c:strRef>
              <c:f>'US-GT-8001-2'!$D$3</c:f>
              <c:strCache>
                <c:ptCount val="1"/>
                <c:pt idx="0">
                  <c:v>MW-MAX</c:v>
                </c:pt>
              </c:strCache>
              <c:extLst xmlns:c15="http://schemas.microsoft.com/office/drawing/2012/chart"/>
            </c:strRef>
          </c:tx>
          <c:spPr>
            <a:ln w="19050">
              <a:solidFill>
                <a:srgbClr val="FF0000"/>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'US-GT-8001-2'!$D$6:$D$35</c:f>
            </c:numRef>
          </c:val>
          <c:smooth val="0"/>
          <c:extLst xmlns:c15="http://schemas.microsoft.com/office/drawing/2012/chart">
            <c:ext xmlns:c16="http://schemas.microsoft.com/office/drawing/2014/chart" uri="{C3380CC4-5D6E-409C-BE32-E72D297353CC}">
              <c16:uniqueId val="{00000013-349F-4952-985F-8AB9328E31D4}"/>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2"/>
                <c:order val="3"/>
                <c:tx>
                  <c:strRef>
                    <c:extLst>
                      <c:ext uri="{02D57815-91ED-43cb-92C2-25804820EDAC}">
                        <c15:formulaRef>
                          <c15:sqref>'US-GT-8001-2'!$H$3</c15:sqref>
                        </c15:formulaRef>
                      </c:ext>
                    </c:extLst>
                    <c:strCache>
                      <c:ptCount val="1"/>
                      <c:pt idx="0">
                        <c:v>FRECUENCIA</c:v>
                      </c:pt>
                    </c:strCache>
                  </c:strRef>
                </c:tx>
                <c:spPr>
                  <a:ln w="19050"/>
                </c:spPr>
                <c:marker>
                  <c:symbol val="none"/>
                </c:marker>
                <c:cat>
                  <c:numRef>
                    <c:extLst>
                      <c:ex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c:ext uri="{02D57815-91ED-43cb-92C2-25804820EDAC}">
                        <c15:formulaRef>
                          <c15:sqref>'US-GT-8001-2'!$H$6:$H$35</c15:sqref>
                        </c15:formulaRef>
                      </c:ext>
                    </c:extLst>
                    <c:numCache>
                      <c:formatCode>0.0</c:formatCode>
                      <c:ptCount val="30"/>
                      <c:pt idx="0">
                        <c:v>60</c:v>
                      </c:pt>
                      <c:pt idx="1">
                        <c:v>60</c:v>
                      </c:pt>
                      <c:pt idx="2">
                        <c:v>60</c:v>
                      </c:pt>
                      <c:pt idx="3">
                        <c:v>60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1-349F-4952-985F-8AB9328E31D4}"/>
                  </c:ext>
                </c:extLst>
              </c15:ser>
            </c15:filteredLineSeries>
            <c15:filteredLineSeries>
              <c15:ser>
                <c:idx val="20"/>
                <c:order val="5"/>
                <c:tx>
                  <c:strRef>
                    <c:extLst xmlns:c15="http://schemas.microsoft.com/office/drawing/2012/chart">
                      <c:ext xmlns:c15="http://schemas.microsoft.com/office/drawing/2012/chart" uri="{02D57815-91ED-43cb-92C2-25804820EDAC}">
                        <c15:formulaRef>
                          <c15:sqref>'US-GT-8001-2'!$H$3</c15:sqref>
                        </c15:formulaRef>
                      </c:ext>
                    </c:extLst>
                    <c:strCache>
                      <c:ptCount val="1"/>
                      <c:pt idx="0">
                        <c:v>FRECUENCIA</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'US-GT-8001-2'!$H$6:$H$35</c15:sqref>
                        </c15:formulaRef>
                      </c:ext>
                    </c:extLst>
                    <c:numCache>
                      <c:formatCode>0.0</c:formatCode>
                      <c:ptCount val="30"/>
                      <c:pt idx="0">
                        <c:v>60</c:v>
                      </c:pt>
                      <c:pt idx="1">
                        <c:v>60</c:v>
                      </c:pt>
                      <c:pt idx="2">
                        <c:v>60</c:v>
                      </c:pt>
                      <c:pt idx="3">
                        <c:v>60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6-349F-4952-985F-8AB9328E31D4}"/>
                  </c:ext>
                </c:extLst>
              </c15:ser>
            </c15:filteredLineSeries>
            <c15:filteredLineSeries>
              <c15:ser>
                <c:idx val="21"/>
                <c:order val="6"/>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4</c:v>
                      </c:pt>
                      <c:pt idx="1">
                        <c:v>4.3</c:v>
                      </c:pt>
                      <c:pt idx="2">
                        <c:v>4</c:v>
                      </c:pt>
                      <c:pt idx="3">
                        <c:v>4.2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27-349F-4952-985F-8AB9328E31D4}"/>
                  </c:ext>
                </c:extLst>
              </c15:ser>
            </c15:filteredLineSeries>
            <c15:filteredLineSeries>
              <c15:ser>
                <c:idx val="22"/>
                <c:order val="7"/>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'US-GT-8001-2'!$J$6:$J$35</c15:sqref>
                        </c15:formulaRef>
                      </c:ext>
                    </c:extLst>
                    <c:numCache>
                      <c:formatCode>0.0</c:formatCode>
                      <c:ptCount val="30"/>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8-349F-4952-985F-8AB9328E31D4}"/>
                  </c:ext>
                </c:extLst>
              </c15:ser>
            </c15:filteredLineSeries>
            <c15:filteredLineSeries>
              <c15:ser>
                <c:idx val="23"/>
                <c:order val="8"/>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'US-GT-8001-2'!$K$6:$K$35</c15:sqref>
                        </c15:formulaRef>
                      </c:ext>
                    </c:extLst>
                    <c:numCache>
                      <c:formatCode>0.0</c:formatCode>
                      <c:ptCount val="30"/>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9-349F-4952-985F-8AB9328E31D4}"/>
                  </c:ext>
                </c:extLst>
              </c15:ser>
            </c15:filteredLineSeries>
            <c15:filteredLineSeries>
              <c15:ser>
                <c:idx val="24"/>
                <c:order val="9"/>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A-349F-4952-985F-8AB9328E31D4}"/>
                  </c:ext>
                </c:extLst>
              </c15:ser>
            </c15:filteredLineSeries>
            <c15:filteredLineSeries>
              <c15:ser>
                <c:idx val="25"/>
                <c:order val="10"/>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2B-349F-4952-985F-8AB9328E31D4}"/>
                  </c:ext>
                </c:extLst>
              </c15:ser>
            </c15:filteredLineSeries>
            <c15:filteredLineSeries>
              <c15:ser>
                <c:idx val="26"/>
                <c:order val="11"/>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2C-349F-4952-985F-8AB9328E31D4}"/>
                  </c:ext>
                </c:extLst>
              </c15:ser>
            </c15:filteredLineSeries>
            <c15:filteredLineSeries>
              <c15:ser>
                <c:idx val="11"/>
                <c:order val="12"/>
                <c:tx>
                  <c:strRef>
                    <c:extLst xmlns:c15="http://schemas.microsoft.com/office/drawing/2012/chart">
                      <c:ext xmlns:c15="http://schemas.microsoft.com/office/drawing/2012/chart" uri="{02D57815-91ED-43cb-92C2-25804820EDAC}">
                        <c15:formulaRef>
                          <c15:sqref>'US-GT-8001-2'!$C$38</c15:sqref>
                        </c15:formulaRef>
                      </c:ext>
                    </c:extLst>
                    <c:strCache>
                      <c:ptCount val="1"/>
                      <c:pt idx="0">
                        <c:v>MWATTS</c:v>
                      </c:pt>
                    </c:strCache>
                  </c:strRef>
                </c:tx>
                <c:spPr>
                  <a:ln w="19050">
                    <a:solidFill>
                      <a:srgbClr val="F92BF9"/>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'US-GT-8001-2'!$C$41:$C$70</c15:sqref>
                        </c15:formulaRef>
                      </c:ext>
                    </c:extLst>
                    <c:numCache>
                      <c:formatCode>0.0</c:formatCode>
                      <c:ptCount val="30"/>
                      <c:pt idx="0">
                        <c:v>6.2</c:v>
                      </c:pt>
                      <c:pt idx="1">
                        <c:v>6.2</c:v>
                      </c:pt>
                      <c:pt idx="2">
                        <c:v>6.2</c:v>
                      </c:pt>
                      <c:pt idx="3">
                        <c:v>6.2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349F-4952-985F-8AB9328E31D4}"/>
                  </c:ext>
                </c:extLst>
              </c15:ser>
            </c15:filteredLineSeries>
            <c15:filteredLineSeries>
              <c15:ser>
                <c:idx val="12"/>
                <c:order val="13"/>
                <c:tx>
                  <c:strRef>
                    <c:extLst xmlns:c15="http://schemas.microsoft.com/office/drawing/2012/chart">
                      <c:ext xmlns:c15="http://schemas.microsoft.com/office/drawing/2012/chart" uri="{02D57815-91ED-43cb-92C2-25804820EDAC}">
                        <c15:formulaRef>
                          <c15:sqref>'US-GT-8001-2'!$E$38</c15:sqref>
                        </c15:formulaRef>
                      </c:ext>
                    </c:extLst>
                    <c:strCache>
                      <c:ptCount val="1"/>
                      <c:pt idx="0">
                        <c:v>MVARS</c:v>
                      </c:pt>
                    </c:strCache>
                  </c:strRef>
                </c:tx>
                <c:spPr>
                  <a:ln w="19050">
                    <a:solidFill>
                      <a:srgbClr val="FFC000"/>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'US-GT-8001-2'!$E$41:$E$70</c15:sqref>
                        </c15:formulaRef>
                      </c:ext>
                    </c:extLst>
                    <c:numCache>
                      <c:formatCode>0.0</c:formatCode>
                      <c:ptCount val="30"/>
                      <c:pt idx="0">
                        <c:v>3.4</c:v>
                      </c:pt>
                      <c:pt idx="1">
                        <c:v>3.5</c:v>
                      </c:pt>
                      <c:pt idx="2">
                        <c:v>3.2</c:v>
                      </c:pt>
                      <c:pt idx="3">
                        <c:v>3.3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349F-4952-985F-8AB9328E31D4}"/>
                  </c:ext>
                </c:extLst>
              </c15:ser>
            </c15:filteredLineSeries>
            <c15:filteredLineSeries>
              <c15:ser>
                <c:idx val="13"/>
                <c:order val="14"/>
                <c:tx>
                  <c:strRef>
                    <c:extLst xmlns:c15="http://schemas.microsoft.com/office/drawing/2012/chart">
                      <c:ext xmlns:c15="http://schemas.microsoft.com/office/drawing/2012/chart" uri="{02D57815-91ED-43cb-92C2-25804820EDAC}">
                        <c15:formulaRef>
                          <c15:sqref>'US-GT-8001-2'!$F$38</c15:sqref>
                        </c15:formulaRef>
                      </c:ext>
                    </c:extLst>
                    <c:strCache>
                      <c:ptCount val="1"/>
                      <c:pt idx="0">
                        <c:v>VOLT</c:v>
                      </c:pt>
                    </c:strCache>
                  </c:strRef>
                </c:tx>
                <c:spPr>
                  <a:ln w="19050">
                    <a:solidFill>
                      <a:srgbClr val="00B6F6"/>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'US-GT-8001-2'!$F$41:$F$70</c15:sqref>
                        </c15:formulaRef>
                      </c:ext>
                    </c:extLst>
                    <c:numCache>
                      <c:formatCode>0.0</c:formatCode>
                      <c:ptCount val="30"/>
                      <c:pt idx="0">
                        <c:v>13.8</c:v>
                      </c:pt>
                      <c:pt idx="1">
                        <c:v>13.81</c:v>
                      </c:pt>
                      <c:pt idx="2">
                        <c:v>13.81</c:v>
                      </c:pt>
                      <c:pt idx="3">
                        <c:v>13.81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349F-4952-985F-8AB9328E31D4}"/>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'US-GT-8001-2'!$H$38</c15:sqref>
                        </c15:formulaRef>
                      </c:ext>
                    </c:extLst>
                    <c:strCache>
                      <c:ptCount val="1"/>
                      <c:pt idx="0">
                        <c:v>FRECUENCIA</c:v>
                      </c:pt>
                    </c:strCache>
                  </c:strRef>
                </c:tx>
                <c:spPr>
                  <a:ln>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'US-GT-8001-2'!$H$41:$H$70</c15:sqref>
                        </c15:formulaRef>
                      </c:ext>
                    </c:extLst>
                    <c:numCache>
                      <c:formatCode>0.0</c:formatCode>
                      <c:ptCount val="30"/>
                      <c:pt idx="0">
                        <c:v>60</c:v>
                      </c:pt>
                      <c:pt idx="1">
                        <c:v>60</c:v>
                      </c:pt>
                      <c:pt idx="2">
                        <c:v>60</c:v>
                      </c:pt>
                      <c:pt idx="3">
                        <c:v>60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B-349F-4952-985F-8AB9328E31D4}"/>
                  </c:ext>
                </c:extLst>
              </c15:ser>
            </c15:filteredLineSeries>
            <c15:filteredLineSeries>
              <c15:ser>
                <c:idx val="3"/>
                <c:order val="17"/>
                <c:tx>
                  <c:strRef>
                    <c:extLst xmlns:c15="http://schemas.microsoft.com/office/drawing/2012/chart">
                      <c:ext xmlns:c15="http://schemas.microsoft.com/office/drawing/2012/chart" uri="{02D57815-91ED-43cb-92C2-25804820EDAC}">
                        <c15:formulaRef>
                          <c15:sqref>'US-GT-8001-2'!$C$3</c15:sqref>
                        </c15:formulaRef>
                      </c:ext>
                    </c:extLst>
                    <c:strCache>
                      <c:ptCount val="1"/>
                      <c:pt idx="0">
                        <c:v>MWATTS</c:v>
                      </c:pt>
                    </c:strCache>
                  </c:strRef>
                </c:tx>
                <c:spPr>
                  <a:ln w="19050">
                    <a:solidFill>
                      <a:srgbClr val="F92BF9"/>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'US-GT-8001-2'!$C$6:$C$35</c15:sqref>
                        </c15:formulaRef>
                      </c:ext>
                    </c:extLst>
                    <c:numCache>
                      <c:formatCode>0.0</c:formatCode>
                      <c:ptCount val="30"/>
                      <c:pt idx="0">
                        <c:v>13.3</c:v>
                      </c:pt>
                      <c:pt idx="1">
                        <c:v>13.2</c:v>
                      </c:pt>
                      <c:pt idx="2">
                        <c:v>13.5</c:v>
                      </c:pt>
                      <c:pt idx="3">
                        <c:v>13.3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D-349F-4952-985F-8AB9328E31D4}"/>
                  </c:ext>
                </c:extLst>
              </c15:ser>
            </c15:filteredLineSeries>
            <c15:filteredLineSeries>
              <c15:ser>
                <c:idx val="4"/>
                <c:order val="18"/>
                <c:tx>
                  <c:strRef>
                    <c:extLst xmlns:c15="http://schemas.microsoft.com/office/drawing/2012/chart">
                      <c:ext xmlns:c15="http://schemas.microsoft.com/office/drawing/2012/chart" uri="{02D57815-91ED-43cb-92C2-25804820EDAC}">
                        <c15:formulaRef>
                          <c15:sqref>'US-GT-8001-2'!$E$3</c15:sqref>
                        </c15:formulaRef>
                      </c:ext>
                    </c:extLst>
                    <c:strCache>
                      <c:ptCount val="1"/>
                      <c:pt idx="0">
                        <c:v>MVARS</c:v>
                      </c:pt>
                    </c:strCache>
                  </c:strRef>
                </c:tx>
                <c:spPr>
                  <a:ln w="19050">
                    <a:solidFill>
                      <a:srgbClr val="FFC000"/>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'US-GT-8001-2'!$E$6:$E$35</c15:sqref>
                        </c15:formulaRef>
                      </c:ext>
                    </c:extLst>
                    <c:numCache>
                      <c:formatCode>0.0</c:formatCode>
                      <c:ptCount val="30"/>
                      <c:pt idx="0">
                        <c:v>6.8</c:v>
                      </c:pt>
                      <c:pt idx="1">
                        <c:v>6.7</c:v>
                      </c:pt>
                      <c:pt idx="2">
                        <c:v>7.2</c:v>
                      </c:pt>
                      <c:pt idx="3">
                        <c:v>7.1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F-349F-4952-985F-8AB9328E31D4}"/>
                  </c:ext>
                </c:extLst>
              </c15:ser>
            </c15:filteredLineSeries>
            <c15:filteredLineSeries>
              <c15:ser>
                <c:idx val="8"/>
                <c:order val="19"/>
                <c:tx>
                  <c:strRef>
                    <c:extLst xmlns:c15="http://schemas.microsoft.com/office/drawing/2012/chart">
                      <c:ext xmlns:c15="http://schemas.microsoft.com/office/drawing/2012/chart" uri="{02D57815-91ED-43cb-92C2-25804820EDAC}">
                        <c15:formulaRef>
                          <c15:sqref>'US-GT-8001-2'!$F$3</c15:sqref>
                        </c15:formulaRef>
                      </c:ext>
                    </c:extLst>
                    <c:strCache>
                      <c:ptCount val="1"/>
                      <c:pt idx="0">
                        <c:v>VOLT</c:v>
                      </c:pt>
                    </c:strCache>
                  </c:strRef>
                </c:tx>
                <c:spPr>
                  <a:ln w="19050">
                    <a:solidFill>
                      <a:srgbClr val="00B6F6"/>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'US-GT-8001-2'!$F$6:$F$35</c15:sqref>
                        </c15:formulaRef>
                      </c:ext>
                    </c:extLst>
                    <c:numCache>
                      <c:formatCode>0.0</c:formatCode>
                      <c:ptCount val="30"/>
                      <c:pt idx="0">
                        <c:v>13.82</c:v>
                      </c:pt>
                      <c:pt idx="1">
                        <c:v>13.82</c:v>
                      </c:pt>
                      <c:pt idx="2">
                        <c:v>13.82</c:v>
                      </c:pt>
                      <c:pt idx="3">
                        <c:v>13.82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11-349F-4952-985F-8AB9328E31D4}"/>
                  </c:ext>
                </c:extLst>
              </c15:ser>
            </c15:filteredLineSeries>
            <c15:filteredLineSeries>
              <c15:ser>
                <c:idx val="10"/>
                <c:order val="21"/>
                <c:tx>
                  <c:strRef>
                    <c:extLst xmlns:c15="http://schemas.microsoft.com/office/drawing/2012/chart">
                      <c:ext xmlns:c15="http://schemas.microsoft.com/office/drawing/2012/chart" uri="{02D57815-91ED-43cb-92C2-25804820EDAC}">
                        <c15:formulaRef>
                          <c15:sqref>'US-GT-8001-2'!$H$3</c15:sqref>
                        </c15:formulaRef>
                      </c:ext>
                    </c:extLst>
                    <c:strCache>
                      <c:ptCount val="1"/>
                      <c:pt idx="0">
                        <c:v>FRECUENCIA</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'US-GT-8001-2'!$H$6:$H$34</c15:sqref>
                        </c15:formulaRef>
                      </c:ext>
                    </c:extLst>
                    <c:numCache>
                      <c:formatCode>0.0</c:formatCode>
                      <c:ptCount val="29"/>
                      <c:pt idx="0">
                        <c:v>60</c:v>
                      </c:pt>
                      <c:pt idx="1">
                        <c:v>60</c:v>
                      </c:pt>
                      <c:pt idx="2">
                        <c:v>60</c:v>
                      </c:pt>
                      <c:pt idx="3">
                        <c:v>60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5-349F-4952-985F-8AB9328E31D4}"/>
                  </c:ext>
                </c:extLst>
              </c15:ser>
            </c15:filteredLineSeries>
            <c15:filteredLineSeries>
              <c15:ser>
                <c:idx val="0"/>
                <c:order val="22"/>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4</c:v>
                      </c:pt>
                      <c:pt idx="1">
                        <c:v>4.3</c:v>
                      </c:pt>
                      <c:pt idx="2">
                        <c:v>4</c:v>
                      </c:pt>
                      <c:pt idx="3">
                        <c:v>4.2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7-349F-4952-985F-8AB9328E31D4}"/>
                  </c:ext>
                </c:extLst>
              </c15:ser>
            </c15:filteredLineSeries>
            <c15:filteredLineSeries>
              <c15:ser>
                <c:idx val="5"/>
                <c:order val="23"/>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'US-GT-8001-2'!$J$6:$J$34</c15:sqref>
                        </c15:formulaRef>
                      </c:ext>
                    </c:extLst>
                    <c:numCache>
                      <c:formatCode>0.0</c:formatCode>
                      <c:ptCount val="29"/>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9-349F-4952-985F-8AB9328E31D4}"/>
                  </c:ext>
                </c:extLst>
              </c15:ser>
            </c15:filteredLineSeries>
            <c15:filteredLineSeries>
              <c15:ser>
                <c:idx val="6"/>
                <c:order val="24"/>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'US-GT-8001-2'!$K$6:$K$34</c15:sqref>
                        </c15:formulaRef>
                      </c:ext>
                    </c:extLst>
                    <c:numCache>
                      <c:formatCode>0.0</c:formatCode>
                      <c:ptCount val="29"/>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B-349F-4952-985F-8AB9328E31D4}"/>
                  </c:ext>
                </c:extLst>
              </c15:ser>
            </c15:filteredLineSeries>
            <c15:filteredLineSeries>
              <c15:ser>
                <c:idx val="7"/>
                <c:order val="25"/>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'US-GT-8001-2'!$L$6:$L$34</c15:sqref>
                        </c15:formulaRef>
                      </c:ext>
                    </c:extLst>
                    <c:numCache>
                      <c:formatCode>0.0</c:formatCode>
                      <c:ptCount val="29"/>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D-349F-4952-985F-8AB9328E31D4}"/>
                  </c:ext>
                </c:extLst>
              </c15:ser>
            </c15:filteredLineSeries>
            <c15:filteredLineSeries>
              <c15:ser>
                <c:idx val="1"/>
                <c:order val="26"/>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1F-349F-4952-985F-8AB9328E31D4}"/>
                  </c:ext>
                </c:extLst>
              </c15:ser>
            </c15:filteredLineSeries>
          </c:ext>
        </c:extLst>
      </c:lineChart>
      <c:dateAx>
        <c:axId val="110782336"/>
        <c:scaling>
          <c:orientation val="minMax"/>
          <c:min val="44986"/>
        </c:scaling>
        <c:delete val="0"/>
        <c:axPos val="b"/>
        <c:numFmt formatCode="dd" sourceLinked="1"/>
        <c:majorTickMark val="out"/>
        <c:minorTickMark val="none"/>
        <c:tickLblPos val="nextTo"/>
        <c:crossAx val="110783872"/>
        <c:crosses val="autoZero"/>
        <c:auto val="1"/>
        <c:lblOffset val="100"/>
        <c:baseTimeUnit val="days"/>
      </c:dateAx>
      <c:valAx>
        <c:axId val="110783872"/>
        <c:scaling>
          <c:orientation val="minMax"/>
          <c:max val="20"/>
          <c:min val="0"/>
        </c:scaling>
        <c:delete val="0"/>
        <c:axPos val="l"/>
        <c:majorGridlines/>
        <c:numFmt formatCode="0.0" sourceLinked="1"/>
        <c:majorTickMark val="out"/>
        <c:minorTickMark val="none"/>
        <c:tickLblPos val="nextTo"/>
        <c:crossAx val="110782336"/>
        <c:crosses val="autoZero"/>
        <c:crossBetween val="between"/>
      </c:valAx>
    </c:plotArea>
    <c:legend>
      <c:legendPos val="b"/>
      <c:layout>
        <c:manualLayout>
          <c:xMode val="edge"/>
          <c:yMode val="edge"/>
          <c:x val="7.9318999879603724E-2"/>
          <c:y val="0.93031644175431316"/>
          <c:w val="0.81381710180964217"/>
          <c:h val="6.9683563868584167E-2"/>
        </c:manualLayout>
      </c:layout>
      <c:overlay val="0"/>
    </c:legend>
    <c:plotVisOnly val="1"/>
    <c:dispBlanksAs val="gap"/>
    <c:showDLblsOverMax val="0"/>
  </c:chart>
  <c:txPr>
    <a:bodyPr/>
    <a:lstStyle/>
    <a:p>
      <a:pPr>
        <a:defRPr baseline="0">
          <a:solidFill>
            <a:sysClr val="windowText" lastClr="000000"/>
          </a:solidFill>
        </a:defRPr>
      </a:pPr>
      <a:endParaRPr lang="es-MX"/>
    </a:p>
  </c:tx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VIBRACIONES GT-8002</a:t>
            </a:r>
          </a:p>
        </c:rich>
      </c:tx>
      <c:overlay val="0"/>
    </c:title>
    <c:autoTitleDeleted val="0"/>
    <c:plotArea>
      <c:layout>
        <c:manualLayout>
          <c:layoutTarget val="inner"/>
          <c:xMode val="edge"/>
          <c:yMode val="edge"/>
          <c:x val="5.8279357285308128E-2"/>
          <c:y val="0.13112210531205723"/>
          <c:w val="0.92033125122113191"/>
          <c:h val="0.68566311878477781"/>
        </c:manualLayout>
      </c:layout>
      <c:lineChart>
        <c:grouping val="standard"/>
        <c:varyColors val="0"/>
        <c:ser>
          <c:idx val="6"/>
          <c:order val="2"/>
          <c:tx>
            <c:strRef>
              <c:f>'US-GT-8001-2'!$K$39</c:f>
              <c:strCache>
                <c:ptCount val="1"/>
                <c:pt idx="0">
                  <c:v>Turbina</c:v>
                </c:pt>
              </c:strCache>
            </c:strRef>
          </c:tx>
          <c:spPr>
            <a:ln>
              <a:solidFill>
                <a:srgbClr val="25C6FF"/>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'US-GT-8001-2'!$K$41:$K$71</c:f>
              <c:numCache>
                <c:formatCode>0.0</c:formatCode>
                <c:ptCount val="30"/>
                <c:pt idx="0">
                  <c:v>1.3</c:v>
                </c:pt>
                <c:pt idx="1">
                  <c:v>1.3</c:v>
                </c:pt>
                <c:pt idx="2">
                  <c:v>1.5</c:v>
                </c:pt>
                <c:pt idx="3">
                  <c:v>1.5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445F-405F-99F9-9BF769B1757F}"/>
            </c:ext>
          </c:extLst>
        </c:ser>
        <c:ser>
          <c:idx val="7"/>
          <c:order val="3"/>
          <c:tx>
            <c:strRef>
              <c:f>'US-GT-8001-2'!$L$39</c:f>
              <c:strCache>
                <c:ptCount val="1"/>
                <c:pt idx="0">
                  <c:v>Turbina</c:v>
                </c:pt>
              </c:strCache>
            </c:strRef>
          </c:tx>
          <c:spPr>
            <a:ln w="19050"/>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'US-GT-8001-2'!$L$41:$L$71</c:f>
              <c:numCache>
                <c:formatCode>0.0</c:formatCode>
                <c:ptCount val="30"/>
                <c:pt idx="0">
                  <c:v>1.4</c:v>
                </c:pt>
                <c:pt idx="1">
                  <c:v>1.3</c:v>
                </c:pt>
                <c:pt idx="2">
                  <c:v>1.4</c:v>
                </c:pt>
                <c:pt idx="3">
                  <c:v>1.3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445F-405F-99F9-9BF769B1757F}"/>
            </c:ext>
          </c:extLst>
        </c:ser>
        <c:ser>
          <c:idx val="1"/>
          <c:order val="4"/>
          <c:tx>
            <c:strRef>
              <c:f>'US-GT-8001-2'!$AC$38</c:f>
              <c:strCache>
                <c:ptCount val="1"/>
                <c:pt idx="0">
                  <c:v>Alarma Vib</c:v>
                </c:pt>
              </c:strCache>
            </c:strRef>
          </c:tx>
          <c:spPr>
            <a:ln w="19050"/>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'US-GT-8001-2'!$AC$41:$AC$71</c:f>
              <c:numCache>
                <c:formatCode>0</c:formatCode>
                <c:ptCount val="30"/>
                <c:pt idx="0" formatCode="General">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numCache>
            </c:numRef>
          </c:val>
          <c:smooth val="0"/>
          <c:extLst>
            <c:ext xmlns:c16="http://schemas.microsoft.com/office/drawing/2014/chart" uri="{C3380CC4-5D6E-409C-BE32-E72D297353CC}">
              <c16:uniqueId val="{00000004-445F-405F-99F9-9BF769B1757F}"/>
            </c:ext>
          </c:extLst>
        </c:ser>
        <c:ser>
          <c:idx val="2"/>
          <c:order val="5"/>
          <c:tx>
            <c:strRef>
              <c:f>'US-GT-8001-2'!$AD$38</c:f>
              <c:strCache>
                <c:ptCount val="1"/>
                <c:pt idx="0">
                  <c:v>Trip Vib</c:v>
                </c:pt>
              </c:strCache>
            </c:strRef>
          </c:tx>
          <c:spPr>
            <a:ln w="19050"/>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'US-GT-8001-2'!$AD$41:$AD$71</c:f>
              <c:numCache>
                <c:formatCode>0</c:formatCode>
                <c:ptCount val="30"/>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numCache>
            </c:numRef>
          </c:val>
          <c:smooth val="0"/>
          <c:extLst>
            <c:ext xmlns:c16="http://schemas.microsoft.com/office/drawing/2014/chart" uri="{C3380CC4-5D6E-409C-BE32-E72D297353CC}">
              <c16:uniqueId val="{00000005-445F-405F-99F9-9BF769B1757F}"/>
            </c:ext>
          </c:extLst>
        </c:ser>
        <c:dLbls>
          <c:showLegendKey val="0"/>
          <c:showVal val="0"/>
          <c:showCatName val="0"/>
          <c:showSerName val="0"/>
          <c:showPercent val="0"/>
          <c:showBubbleSize val="0"/>
        </c:dLbls>
        <c:smooth val="0"/>
        <c:axId val="110721280"/>
        <c:axId val="110743552"/>
        <c:extLst>
          <c:ext xmlns:c15="http://schemas.microsoft.com/office/drawing/2012/chart" uri="{02D57815-91ED-43cb-92C2-25804820EDAC}">
            <c15:filteredLineSeries>
              <c15:ser>
                <c:idx val="0"/>
                <c:order val="0"/>
                <c:tx>
                  <c:strRef>
                    <c:extLst>
                      <c:ext uri="{02D57815-91ED-43cb-92C2-25804820EDAC}">
                        <c15:formulaRef>
                          <c15:sqref>'US-GT-8001-2'!$I$39</c15:sqref>
                        </c15:formulaRef>
                      </c:ext>
                    </c:extLst>
                    <c:strCache>
                      <c:ptCount val="1"/>
                      <c:pt idx="0">
                        <c:v>Compresor</c:v>
                      </c:pt>
                    </c:strCache>
                  </c:strRef>
                </c:tx>
                <c:spPr>
                  <a:ln w="19050"/>
                </c:spPr>
                <c:marker>
                  <c:symbol val="none"/>
                </c:marker>
                <c:cat>
                  <c:numRef>
                    <c:extLst>
                      <c:ex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c:ext uri="{02D57815-91ED-43cb-92C2-25804820EDAC}">
                        <c15:formulaRef>
                          <c15:sqref>'US-GT-8001-2'!$I$41:$I$70</c15:sqref>
                        </c15:formulaRef>
                      </c:ext>
                    </c:extLst>
                    <c:numCache>
                      <c:formatCode>0.0</c:formatCode>
                      <c:ptCount val="30"/>
                      <c:pt idx="0">
                        <c:v>3</c:v>
                      </c:pt>
                      <c:pt idx="1">
                        <c:v>3</c:v>
                      </c:pt>
                      <c:pt idx="2">
                        <c:v>2.9</c:v>
                      </c:pt>
                      <c:pt idx="3">
                        <c:v>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445F-405F-99F9-9BF769B1757F}"/>
                  </c:ext>
                </c:extLst>
              </c15:ser>
            </c15:filteredLineSeries>
            <c15:filteredLineSeries>
              <c15:ser>
                <c:idx val="5"/>
                <c:order val="1"/>
                <c:tx>
                  <c:strRef>
                    <c:extLst xmlns:c15="http://schemas.microsoft.com/office/drawing/2012/chart">
                      <c:ext xmlns:c15="http://schemas.microsoft.com/office/drawing/2012/chart" uri="{02D57815-91ED-43cb-92C2-25804820EDAC}">
                        <c15:formulaRef>
                          <c15:sqref>'US-GT-8001-2'!$J$39</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'US-GT-8001-2'!$J$41:$J$70</c15:sqref>
                        </c15:formulaRef>
                      </c:ext>
                    </c:extLst>
                    <c:numCache>
                      <c:formatCode>0.0</c:formatCode>
                      <c:ptCount val="30"/>
                      <c:pt idx="0">
                        <c:v>3.3</c:v>
                      </c:pt>
                      <c:pt idx="1">
                        <c:v>3.3</c:v>
                      </c:pt>
                      <c:pt idx="2">
                        <c:v>3.2</c:v>
                      </c:pt>
                      <c:pt idx="3">
                        <c:v>3.2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445F-405F-99F9-9BF769B1757F}"/>
                  </c:ext>
                </c:extLst>
              </c15:ser>
            </c15:filteredLineSeries>
          </c:ext>
        </c:extLst>
      </c:lineChart>
      <c:dateAx>
        <c:axId val="110721280"/>
        <c:scaling>
          <c:orientation val="minMax"/>
          <c:max val="44926"/>
          <c:min val="44896"/>
        </c:scaling>
        <c:delete val="0"/>
        <c:axPos val="b"/>
        <c:majorGridlines>
          <c:spPr>
            <a:ln>
              <a:noFill/>
            </a:ln>
          </c:spPr>
        </c:majorGridlines>
        <c:minorGridlines>
          <c:spPr>
            <a:ln>
              <a:noFill/>
            </a:ln>
          </c:spPr>
        </c:minorGridlines>
        <c:numFmt formatCode="dd" sourceLinked="1"/>
        <c:majorTickMark val="out"/>
        <c:minorTickMark val="none"/>
        <c:tickLblPos val="nextTo"/>
        <c:spPr>
          <a:ln>
            <a:noFill/>
          </a:ln>
        </c:spPr>
        <c:txPr>
          <a:bodyPr/>
          <a:lstStyle/>
          <a:p>
            <a:pPr>
              <a:defRPr>
                <a:ln>
                  <a:noFill/>
                </a:ln>
                <a:solidFill>
                  <a:schemeClr val="tx1"/>
                </a:solidFill>
              </a:defRPr>
            </a:pPr>
            <a:endParaRPr lang="es-MX"/>
          </a:p>
        </c:txPr>
        <c:crossAx val="110743552"/>
        <c:crosses val="autoZero"/>
        <c:auto val="0"/>
        <c:lblOffset val="100"/>
        <c:baseTimeUnit val="days"/>
      </c:dateAx>
      <c:valAx>
        <c:axId val="110743552"/>
        <c:scaling>
          <c:orientation val="minMax"/>
          <c:max val="27"/>
          <c:min val="0"/>
        </c:scaling>
        <c:delete val="0"/>
        <c:axPos val="l"/>
        <c:majorGridlines/>
        <c:title>
          <c:tx>
            <c:rich>
              <a:bodyPr rot="0" vert="horz"/>
              <a:lstStyle/>
              <a:p>
                <a:pPr>
                  <a:defRPr/>
                </a:pPr>
                <a:r>
                  <a:rPr lang="es-ES"/>
                  <a:t>mm/s</a:t>
                </a:r>
              </a:p>
            </c:rich>
          </c:tx>
          <c:layout>
            <c:manualLayout>
              <c:xMode val="edge"/>
              <c:yMode val="edge"/>
              <c:x val="9.3267095655992713E-3"/>
              <c:y val="4.6358464647269032E-2"/>
            </c:manualLayout>
          </c:layout>
          <c:overlay val="0"/>
        </c:title>
        <c:numFmt formatCode="0.0" sourceLinked="1"/>
        <c:majorTickMark val="out"/>
        <c:minorTickMark val="none"/>
        <c:tickLblPos val="nextTo"/>
        <c:crossAx val="110721280"/>
        <c:crossesAt val="1"/>
        <c:crossBetween val="between"/>
      </c:valAx>
      <c:spPr>
        <a:ln>
          <a:noFill/>
        </a:ln>
      </c:spPr>
    </c:plotArea>
    <c:legend>
      <c:legendPos val="b"/>
      <c:layout>
        <c:manualLayout>
          <c:xMode val="edge"/>
          <c:yMode val="edge"/>
          <c:x val="0.1401929509450765"/>
          <c:y val="0.92461072427557511"/>
          <c:w val="0.7228492220800522"/>
          <c:h val="7.1438659054937834E-2"/>
        </c:manualLayout>
      </c:layout>
      <c:overlay val="0"/>
    </c:legend>
    <c:plotVisOnly val="1"/>
    <c:dispBlanksAs val="gap"/>
    <c:showDLblsOverMax val="0"/>
  </c:chart>
  <c:spPr>
    <a:ln>
      <a:solidFill>
        <a:srgbClr val="FFC000"/>
      </a:solidFill>
    </a:ln>
  </c:sp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VIBRACIONES</a:t>
            </a:r>
            <a:r>
              <a:rPr lang="en-US" baseline="0"/>
              <a:t> GT-8001</a:t>
            </a:r>
            <a:endParaRPr lang="en-US"/>
          </a:p>
        </c:rich>
      </c:tx>
      <c:overlay val="0"/>
    </c:title>
    <c:autoTitleDeleted val="0"/>
    <c:plotArea>
      <c:layout>
        <c:manualLayout>
          <c:layoutTarget val="inner"/>
          <c:xMode val="edge"/>
          <c:yMode val="edge"/>
          <c:x val="6.1490210473470842E-2"/>
          <c:y val="0.14999191358551012"/>
          <c:w val="0.87081393290333686"/>
          <c:h val="0.66848310091086705"/>
        </c:manualLayout>
      </c:layout>
      <c:lineChart>
        <c:grouping val="standard"/>
        <c:varyColors val="0"/>
        <c:ser>
          <c:idx val="6"/>
          <c:order val="2"/>
          <c:tx>
            <c:strRef>
              <c:f>'US-GT-8001-2'!$K$4</c:f>
              <c:strCache>
                <c:ptCount val="1"/>
                <c:pt idx="0">
                  <c:v>Turbina</c:v>
                </c:pt>
              </c:strCache>
            </c:strRef>
          </c:tx>
          <c:spPr>
            <a:ln>
              <a:solidFill>
                <a:srgbClr val="25C6FF"/>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'US-GT-8001-2'!$K$6:$K$36</c:f>
              <c:numCache>
                <c:formatCode>0.0</c:formatCode>
                <c:ptCount val="30"/>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F16F-412C-86BE-442796945CAF}"/>
            </c:ext>
          </c:extLst>
        </c:ser>
        <c:ser>
          <c:idx val="7"/>
          <c:order val="3"/>
          <c:tx>
            <c:strRef>
              <c:f>'US-GT-8001-2'!$L$4</c:f>
              <c:strCache>
                <c:ptCount val="1"/>
                <c:pt idx="0">
                  <c:v>Turbina</c:v>
                </c:pt>
              </c:strCache>
            </c:strRef>
          </c:tx>
          <c:spPr>
            <a:ln w="19050"/>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'US-GT-8001-2'!$L$6:$L$36</c:f>
              <c:numCache>
                <c:formatCode>0.0</c:formatCode>
                <c:ptCount val="30"/>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F16F-412C-86BE-442796945CAF}"/>
            </c:ext>
          </c:extLst>
        </c:ser>
        <c:ser>
          <c:idx val="1"/>
          <c:order val="4"/>
          <c:tx>
            <c:strRef>
              <c:f>'US-GT-8001-2'!$AC$3</c:f>
              <c:strCache>
                <c:ptCount val="1"/>
                <c:pt idx="0">
                  <c:v>Alarma Vib</c:v>
                </c:pt>
              </c:strCache>
            </c:strRef>
          </c:tx>
          <c:spPr>
            <a:ln w="19050"/>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'US-GT-8001-2'!$AC$6:$AC$36</c:f>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c:ext xmlns:c16="http://schemas.microsoft.com/office/drawing/2014/chart" uri="{C3380CC4-5D6E-409C-BE32-E72D297353CC}">
              <c16:uniqueId val="{00000004-F16F-412C-86BE-442796945CAF}"/>
            </c:ext>
          </c:extLst>
        </c:ser>
        <c:ser>
          <c:idx val="2"/>
          <c:order val="5"/>
          <c:tx>
            <c:strRef>
              <c:f>'US-GT-8001-2'!$AD$3</c:f>
              <c:strCache>
                <c:ptCount val="1"/>
                <c:pt idx="0">
                  <c:v>Trip Vib</c:v>
                </c:pt>
              </c:strCache>
            </c:strRef>
          </c:tx>
          <c:spPr>
            <a:ln w="19050"/>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'US-GT-8001-2'!$AD$6:$AD$36</c:f>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c:ext xmlns:c16="http://schemas.microsoft.com/office/drawing/2014/chart" uri="{C3380CC4-5D6E-409C-BE32-E72D297353CC}">
              <c16:uniqueId val="{00000005-F16F-412C-86BE-442796945CAF}"/>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0"/>
                <c:order val="0"/>
                <c:tx>
                  <c:strRef>
                    <c:extLst>
                      <c:ext uri="{02D57815-91ED-43cb-92C2-25804820EDAC}">
                        <c15:formulaRef>
                          <c15:sqref>'US-GT-8001-2'!$I$4</c15:sqref>
                        </c15:formulaRef>
                      </c:ext>
                    </c:extLst>
                    <c:strCache>
                      <c:ptCount val="1"/>
                      <c:pt idx="0">
                        <c:v>Compresor</c:v>
                      </c:pt>
                    </c:strCache>
                  </c:strRef>
                </c:tx>
                <c:spPr>
                  <a:ln w="19050"/>
                </c:spPr>
                <c:marker>
                  <c:symbol val="none"/>
                </c:marker>
                <c:cat>
                  <c:numRef>
                    <c:extLst>
                      <c:ex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c:ext uri="{02D57815-91ED-43cb-92C2-25804820EDAC}">
                        <c15:formulaRef>
                          <c15:sqref>'US-GT-8001-2'!$I$6:$I$35</c15:sqref>
                        </c15:formulaRef>
                      </c:ext>
                    </c:extLst>
                    <c:numCache>
                      <c:formatCode>0.0</c:formatCode>
                      <c:ptCount val="30"/>
                      <c:pt idx="0">
                        <c:v>4</c:v>
                      </c:pt>
                      <c:pt idx="1">
                        <c:v>4.3</c:v>
                      </c:pt>
                      <c:pt idx="2">
                        <c:v>4</c:v>
                      </c:pt>
                      <c:pt idx="3">
                        <c:v>4.2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F16F-412C-86BE-442796945CAF}"/>
                  </c:ext>
                </c:extLst>
              </c15:ser>
            </c15:filteredLineSeries>
            <c15:filteredLineSeries>
              <c15:ser>
                <c:idx val="5"/>
                <c:order val="1"/>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'US-GT-8001-2'!$J$6:$J$35</c15:sqref>
                        </c15:formulaRef>
                      </c:ext>
                    </c:extLst>
                    <c:numCache>
                      <c:formatCode>0.0</c:formatCode>
                      <c:ptCount val="30"/>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F16F-412C-86BE-442796945CAF}"/>
                  </c:ext>
                </c:extLst>
              </c15:ser>
            </c15:filteredLineSeries>
          </c:ext>
        </c:extLst>
      </c:lineChart>
      <c:dateAx>
        <c:axId val="110782336"/>
        <c:scaling>
          <c:orientation val="minMax"/>
          <c:max val="44926"/>
          <c:min val="44896"/>
        </c:scaling>
        <c:delete val="0"/>
        <c:axPos val="b"/>
        <c:majorGridlines>
          <c:spPr>
            <a:ln>
              <a:noFill/>
            </a:ln>
          </c:spPr>
        </c:majorGridlines>
        <c:minorGridlines/>
        <c:numFmt formatCode="dd" sourceLinked="1"/>
        <c:majorTickMark val="out"/>
        <c:minorTickMark val="none"/>
        <c:tickLblPos val="nextTo"/>
        <c:crossAx val="110783872"/>
        <c:crosses val="autoZero"/>
        <c:auto val="0"/>
        <c:lblOffset val="100"/>
        <c:baseTimeUnit val="days"/>
      </c:dateAx>
      <c:valAx>
        <c:axId val="110783872"/>
        <c:scaling>
          <c:orientation val="minMax"/>
          <c:max val="27"/>
          <c:min val="0"/>
        </c:scaling>
        <c:delete val="0"/>
        <c:axPos val="l"/>
        <c:majorGridlines/>
        <c:title>
          <c:tx>
            <c:rich>
              <a:bodyPr rot="0" vert="horz"/>
              <a:lstStyle/>
              <a:p>
                <a:pPr>
                  <a:defRPr/>
                </a:pPr>
                <a:r>
                  <a:rPr lang="es-ES"/>
                  <a:t>mm/s</a:t>
                </a:r>
              </a:p>
            </c:rich>
          </c:tx>
          <c:layout>
            <c:manualLayout>
              <c:xMode val="edge"/>
              <c:yMode val="edge"/>
              <c:x val="8.6252585051498944E-3"/>
              <c:y val="5.1232973394330895E-2"/>
            </c:manualLayout>
          </c:layout>
          <c:overlay val="0"/>
        </c:title>
        <c:numFmt formatCode="0.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spPr>
    <a:ln>
      <a:solidFill>
        <a:schemeClr val="accent1"/>
      </a:solidFill>
      <a:prstDash val="solid"/>
    </a:ln>
  </c:sp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chemeClr val="tx1"/>
                </a:solidFill>
                <a:latin typeface="+mn-lt"/>
                <a:ea typeface="+mn-ea"/>
                <a:cs typeface="+mn-cs"/>
              </a:defRPr>
            </a:pPr>
            <a:r>
              <a:rPr lang="en-US" b="1">
                <a:solidFill>
                  <a:schemeClr val="tx1"/>
                </a:solidFill>
              </a:rPr>
              <a:t>COMPRE</a:t>
            </a:r>
            <a:r>
              <a:rPr lang="en-US" sz="1800" b="1" i="0" baseline="0">
                <a:solidFill>
                  <a:schemeClr val="tx1"/>
                </a:solidFill>
                <a:effectLst/>
              </a:rPr>
              <a:t>COMPRESOR AXIAL GT</a:t>
            </a:r>
            <a:r>
              <a:rPr lang="en-US" b="1">
                <a:solidFill>
                  <a:schemeClr val="tx1"/>
                </a:solidFill>
              </a:rPr>
              <a:t>-8002</a:t>
            </a:r>
          </a:p>
        </c:rich>
      </c:tx>
      <c:layout>
        <c:manualLayout>
          <c:xMode val="edge"/>
          <c:yMode val="edge"/>
          <c:x val="0.29810579972680812"/>
          <c:y val="4.9493879135216773E-2"/>
        </c:manualLayout>
      </c:layout>
      <c:overlay val="0"/>
      <c:spPr>
        <a:noFill/>
      </c:spPr>
    </c:title>
    <c:autoTitleDeleted val="0"/>
    <c:plotArea>
      <c:layout>
        <c:manualLayout>
          <c:layoutTarget val="inner"/>
          <c:xMode val="edge"/>
          <c:yMode val="edge"/>
          <c:x val="5.6631842223481804E-2"/>
          <c:y val="0.14999194114820155"/>
          <c:w val="0.87081393290333686"/>
          <c:h val="0.66848310091086705"/>
        </c:manualLayout>
      </c:layout>
      <c:lineChart>
        <c:grouping val="standard"/>
        <c:varyColors val="0"/>
        <c:ser>
          <c:idx val="8"/>
          <c:order val="0"/>
          <c:tx>
            <c:strRef>
              <c:f>'US-GT-8001-2'!$N$39</c:f>
              <c:strCache>
                <c:ptCount val="1"/>
                <c:pt idx="0">
                  <c:v>CTD</c:v>
                </c:pt>
              </c:strCache>
            </c:strRef>
          </c:tx>
          <c:spPr>
            <a:ln w="19050">
              <a:solidFill>
                <a:srgbClr val="00B0F0"/>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'US-GT-8001-2'!$N$41:$N$71</c:f>
              <c:numCache>
                <c:formatCode>0.0</c:formatCode>
                <c:ptCount val="30"/>
                <c:pt idx="0">
                  <c:v>278</c:v>
                </c:pt>
                <c:pt idx="1">
                  <c:v>283</c:v>
                </c:pt>
                <c:pt idx="2">
                  <c:v>280</c:v>
                </c:pt>
                <c:pt idx="3">
                  <c:v>283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0-549F-499F-AF6F-93B85D0D4C85}"/>
            </c:ext>
          </c:extLst>
        </c:ser>
        <c:ser>
          <c:idx val="4"/>
          <c:order val="3"/>
          <c:tx>
            <c:strRef>
              <c:f>'US-GT-8001-2'!$M$39</c:f>
              <c:strCache>
                <c:ptCount val="1"/>
                <c:pt idx="0">
                  <c:v>CPD</c:v>
                </c:pt>
              </c:strCache>
            </c:strRef>
          </c:tx>
          <c:spPr>
            <a:ln w="19050">
              <a:solidFill>
                <a:srgbClr val="FF0000"/>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'US-GT-8001-2'!$M$41:$M$71</c:f>
              <c:numCache>
                <c:formatCode>0.0</c:formatCode>
                <c:ptCount val="30"/>
                <c:pt idx="0">
                  <c:v>5.71</c:v>
                </c:pt>
                <c:pt idx="1">
                  <c:v>5.65</c:v>
                </c:pt>
                <c:pt idx="2">
                  <c:v>5.69</c:v>
                </c:pt>
                <c:pt idx="3">
                  <c:v>5.64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549F-499F-AF6F-93B85D0D4C85}"/>
            </c:ext>
          </c:extLst>
        </c:ser>
        <c:ser>
          <c:idx val="0"/>
          <c:order val="4"/>
          <c:tx>
            <c:strRef>
              <c:f>'US-GT-8001-2'!$I$39</c:f>
              <c:strCache>
                <c:ptCount val="1"/>
                <c:pt idx="0">
                  <c:v>Compresor</c:v>
                </c:pt>
              </c:strCache>
            </c:strRef>
          </c:tx>
          <c:spPr>
            <a:ln w="19050"/>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'US-GT-8001-2'!$I$41:$I$71</c:f>
              <c:numCache>
                <c:formatCode>0.0</c:formatCode>
                <c:ptCount val="30"/>
                <c:pt idx="0">
                  <c:v>3</c:v>
                </c:pt>
                <c:pt idx="1">
                  <c:v>3</c:v>
                </c:pt>
                <c:pt idx="2">
                  <c:v>2.9</c:v>
                </c:pt>
                <c:pt idx="3">
                  <c:v>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549F-499F-AF6F-93B85D0D4C85}"/>
            </c:ext>
          </c:extLst>
        </c:ser>
        <c:ser>
          <c:idx val="5"/>
          <c:order val="5"/>
          <c:tx>
            <c:strRef>
              <c:f>'US-GT-8001-2'!$J$4</c:f>
              <c:strCache>
                <c:ptCount val="1"/>
                <c:pt idx="0">
                  <c:v>Compresor</c:v>
                </c:pt>
              </c:strCache>
              <c:extLst xmlns:c15="http://schemas.microsoft.com/office/drawing/2012/chart"/>
            </c:strRef>
          </c:tx>
          <c:spPr>
            <a:ln w="19050">
              <a:solidFill>
                <a:srgbClr val="2BE92B"/>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'US-GT-8001-2'!$J$6:$J$36</c:f>
              <c:numCache>
                <c:formatCode>0.0</c:formatCode>
                <c:ptCount val="30"/>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549F-499F-AF6F-93B85D0D4C85}"/>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9"/>
                <c:order val="1"/>
                <c:tx>
                  <c:strRef>
                    <c:extLst>
                      <c:ext uri="{02D57815-91ED-43cb-92C2-25804820EDAC}">
                        <c15:formulaRef>
                          <c15:sqref>'US-GT-8001-2'!$M$39</c15:sqref>
                        </c15:formulaRef>
                      </c:ext>
                    </c:extLst>
                    <c:strCache>
                      <c:ptCount val="1"/>
                      <c:pt idx="0">
                        <c:v>CPD</c:v>
                      </c:pt>
                    </c:strCache>
                  </c:strRef>
                </c:tx>
                <c:spPr>
                  <a:ln w="19050">
                    <a:solidFill>
                      <a:srgbClr val="FF0000"/>
                    </a:solidFill>
                  </a:ln>
                </c:spPr>
                <c:marker>
                  <c:symbol val="none"/>
                </c:marker>
                <c:cat>
                  <c:numRef>
                    <c:extLst>
                      <c:ex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c:ext uri="{02D57815-91ED-43cb-92C2-25804820EDAC}">
                        <c15:formulaRef>
                          <c15:sqref>'US-GT-8001-2'!$M$41:$M$70</c15:sqref>
                        </c15:formulaRef>
                      </c:ext>
                    </c:extLst>
                    <c:numCache>
                      <c:formatCode>0.0</c:formatCode>
                      <c:ptCount val="30"/>
                      <c:pt idx="0">
                        <c:v>5.71</c:v>
                      </c:pt>
                      <c:pt idx="1">
                        <c:v>5.65</c:v>
                      </c:pt>
                      <c:pt idx="2">
                        <c:v>5.69</c:v>
                      </c:pt>
                      <c:pt idx="3">
                        <c:v>5.64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1-549F-499F-AF6F-93B85D0D4C85}"/>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'US-GT-8001-2'!$N$4</c15:sqref>
                        </c15:formulaRef>
                      </c:ext>
                    </c:extLst>
                    <c:strCache>
                      <c:ptCount val="1"/>
                      <c:pt idx="0">
                        <c:v>CTD</c:v>
                      </c:pt>
                    </c:strCache>
                  </c:strRef>
                </c:tx>
                <c:spPr>
                  <a:ln w="19050">
                    <a:solidFill>
                      <a:srgbClr val="00B0F0"/>
                    </a:solidFill>
                  </a:ln>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'US-GT-8001-2'!$N$6:$N$35</c15:sqref>
                        </c15:formulaRef>
                      </c:ext>
                    </c:extLst>
                    <c:numCache>
                      <c:formatCode>0.0</c:formatCode>
                      <c:ptCount val="30"/>
                      <c:pt idx="0">
                        <c:v>318</c:v>
                      </c:pt>
                      <c:pt idx="1">
                        <c:v>320</c:v>
                      </c:pt>
                      <c:pt idx="2">
                        <c:v>320</c:v>
                      </c:pt>
                      <c:pt idx="3">
                        <c:v>324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549F-499F-AF6F-93B85D0D4C85}"/>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'US-GT-8001-2'!$K$6:$K$35</c15:sqref>
                        </c15:formulaRef>
                      </c:ext>
                    </c:extLst>
                    <c:numCache>
                      <c:formatCode>0.0</c:formatCode>
                      <c:ptCount val="30"/>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9-549F-499F-AF6F-93B85D0D4C85}"/>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B-549F-499F-AF6F-93B85D0D4C85}"/>
                  </c:ext>
                </c:extLst>
              </c15:ser>
            </c15:filteredLineSeries>
            <c15:filteredLineSeries>
              <c15:ser>
                <c:idx val="1"/>
                <c:order val="8"/>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0D-549F-499F-AF6F-93B85D0D4C85}"/>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0F-549F-499F-AF6F-93B85D0D4C85}"/>
                  </c:ext>
                </c:extLst>
              </c15:ser>
            </c15:filteredLineSeries>
          </c:ext>
        </c:extLst>
      </c:lineChart>
      <c:dateAx>
        <c:axId val="110782336"/>
        <c:scaling>
          <c:orientation val="minMax"/>
          <c:max val="44926"/>
          <c:min val="44896"/>
        </c:scaling>
        <c:delete val="0"/>
        <c:axPos val="b"/>
        <c:numFmt formatCode="dd" sourceLinked="1"/>
        <c:majorTickMark val="out"/>
        <c:minorTickMark val="none"/>
        <c:tickLblPos val="nextTo"/>
        <c:txPr>
          <a:bodyPr/>
          <a:lstStyle/>
          <a:p>
            <a:pPr>
              <a:defRPr>
                <a:solidFill>
                  <a:schemeClr val="tx1"/>
                </a:solidFill>
              </a:defRPr>
            </a:pPr>
            <a:endParaRPr lang="es-MX"/>
          </a:p>
        </c:txPr>
        <c:crossAx val="110783872"/>
        <c:crosses val="autoZero"/>
        <c:auto val="0"/>
        <c:lblOffset val="100"/>
        <c:baseTimeUnit val="days"/>
      </c:dateAx>
      <c:valAx>
        <c:axId val="110783872"/>
        <c:scaling>
          <c:orientation val="minMax"/>
          <c:max val="380"/>
          <c:min val="0"/>
        </c:scaling>
        <c:delete val="0"/>
        <c:axPos val="l"/>
        <c:majorGridlines>
          <c:spPr>
            <a:ln>
              <a:solidFill>
                <a:schemeClr val="accent1"/>
              </a:solidFill>
            </a:ln>
          </c:spPr>
        </c:majorGridlines>
        <c:numFmt formatCode="0.0" sourceLinked="1"/>
        <c:majorTickMark val="out"/>
        <c:minorTickMark val="none"/>
        <c:tickLblPos val="nextTo"/>
        <c:txPr>
          <a:bodyPr/>
          <a:lstStyle/>
          <a:p>
            <a:pPr>
              <a:defRPr>
                <a:solidFill>
                  <a:schemeClr val="tx1"/>
                </a:solidFill>
              </a:defRPr>
            </a:pPr>
            <a:endParaRPr lang="es-MX"/>
          </a:p>
        </c:txPr>
        <c:crossAx val="110782336"/>
        <c:crosses val="autoZero"/>
        <c:crossBetween val="between"/>
      </c:valAx>
    </c:plotArea>
    <c:legend>
      <c:legendPos val="b"/>
      <c:layout>
        <c:manualLayout>
          <c:xMode val="edge"/>
          <c:yMode val="edge"/>
          <c:x val="4.4046133859949467E-2"/>
          <c:y val="0.87701439544821702"/>
          <c:w val="0.87377084695869234"/>
          <c:h val="7.698960917556541E-2"/>
        </c:manualLayout>
      </c:layout>
      <c:overlay val="0"/>
      <c:txPr>
        <a:bodyPr/>
        <a:lstStyle/>
        <a:p>
          <a:pPr>
            <a:defRPr>
              <a:solidFill>
                <a:schemeClr val="tx1"/>
              </a:solidFill>
            </a:defRPr>
          </a:pPr>
          <a:endParaRPr lang="es-MX"/>
        </a:p>
      </c:txPr>
    </c:legend>
    <c:plotVisOnly val="1"/>
    <c:dispBlanksAs val="gap"/>
    <c:showDLblsOverMax val="0"/>
  </c:chart>
  <c:txPr>
    <a:bodyPr/>
    <a:lstStyle/>
    <a:p>
      <a:pPr>
        <a:defRPr>
          <a:noFill/>
        </a:defRPr>
      </a:pPr>
      <a:endParaRPr lang="es-MX"/>
    </a:p>
  </c:txPr>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WHEEL-SPACE GT-8002</a:t>
            </a:r>
            <a:endParaRPr lang="en-US"/>
          </a:p>
        </c:rich>
      </c:tx>
      <c:overlay val="0"/>
    </c:title>
    <c:autoTitleDeleted val="0"/>
    <c:plotArea>
      <c:layout>
        <c:manualLayout>
          <c:layoutTarget val="inner"/>
          <c:xMode val="edge"/>
          <c:yMode val="edge"/>
          <c:x val="6.1490210473470842E-2"/>
          <c:y val="0.14999191358551012"/>
          <c:w val="0.87081393290333686"/>
          <c:h val="0.66848310091086705"/>
        </c:manualLayout>
      </c:layout>
      <c:lineChart>
        <c:grouping val="standard"/>
        <c:varyColors val="0"/>
        <c:ser>
          <c:idx val="10"/>
          <c:order val="0"/>
          <c:tx>
            <c:strRef>
              <c:f>'US-GT-8001-2'!$X$39</c:f>
              <c:strCache>
                <c:ptCount val="1"/>
                <c:pt idx="0">
                  <c:v>TTWS1AO2</c:v>
                </c:pt>
              </c:strCache>
            </c:strRef>
          </c:tx>
          <c:spPr>
            <a:ln w="19050">
              <a:solidFill>
                <a:srgbClr val="002060"/>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'US-GT-8001-2'!$X$41:$X$70</c:f>
              <c:numCache>
                <c:formatCode>0</c:formatCode>
                <c:ptCount val="30"/>
                <c:pt idx="0">
                  <c:v>297</c:v>
                </c:pt>
                <c:pt idx="1">
                  <c:v>302</c:v>
                </c:pt>
                <c:pt idx="2">
                  <c:v>299</c:v>
                </c:pt>
                <c:pt idx="3">
                  <c:v>304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4-BFF4-4E61-882C-B38AAD00470C}"/>
            </c:ext>
          </c:extLst>
        </c:ser>
        <c:ser>
          <c:idx val="11"/>
          <c:order val="1"/>
          <c:tx>
            <c:strRef>
              <c:f>'US-GT-8001-2'!$Y$39</c:f>
              <c:strCache>
                <c:ptCount val="1"/>
                <c:pt idx="0">
                  <c:v>TTWS1AO3</c:v>
                </c:pt>
              </c:strCache>
            </c:strRef>
          </c:tx>
          <c:spPr>
            <a:ln w="19050">
              <a:solidFill>
                <a:srgbClr val="2BE92B"/>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'US-GT-8001-2'!$Y$41:$Y$70</c:f>
              <c:numCache>
                <c:formatCode>0</c:formatCode>
                <c:ptCount val="30"/>
                <c:pt idx="0">
                  <c:v>277</c:v>
                </c:pt>
                <c:pt idx="1">
                  <c:v>282</c:v>
                </c:pt>
                <c:pt idx="2">
                  <c:v>279</c:v>
                </c:pt>
                <c:pt idx="3">
                  <c:v>284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5-BFF4-4E61-882C-B38AAD00470C}"/>
            </c:ext>
          </c:extLst>
        </c:ser>
        <c:ser>
          <c:idx val="12"/>
          <c:order val="2"/>
          <c:tx>
            <c:strRef>
              <c:f>'US-GT-8001-2'!$Z$39</c:f>
              <c:strCache>
                <c:ptCount val="1"/>
                <c:pt idx="0">
                  <c:v>TTWS1FO2</c:v>
                </c:pt>
              </c:strCache>
            </c:strRef>
          </c:tx>
          <c:spPr>
            <a:ln w="19050">
              <a:solidFill>
                <a:srgbClr val="00B0F0"/>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'US-GT-8001-2'!$Z$41:$Z$70</c:f>
              <c:numCache>
                <c:formatCode>0</c:formatCode>
                <c:ptCount val="30"/>
                <c:pt idx="0">
                  <c:v>326</c:v>
                </c:pt>
                <c:pt idx="1">
                  <c:v>330</c:v>
                </c:pt>
                <c:pt idx="2">
                  <c:v>328</c:v>
                </c:pt>
                <c:pt idx="3">
                  <c:v>332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6-BFF4-4E61-882C-B38AAD00470C}"/>
            </c:ext>
          </c:extLst>
        </c:ser>
        <c:ser>
          <c:idx val="13"/>
          <c:order val="3"/>
          <c:tx>
            <c:strRef>
              <c:f>'US-GT-8001-2'!$AF$38</c:f>
              <c:strCache>
                <c:ptCount val="1"/>
                <c:pt idx="0">
                  <c:v>ALARMA</c:v>
                </c:pt>
              </c:strCache>
              <c:extLst xmlns:c15="http://schemas.microsoft.com/office/drawing/2012/chart"/>
            </c:strRef>
          </c:tx>
          <c:spPr>
            <a:ln w="19050"/>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'US-GT-8001-2'!$AF$41:$AF$70</c:f>
              <c:numCache>
                <c:formatCode>0</c:formatCode>
                <c:ptCount val="30"/>
                <c:pt idx="0" formatCode="General">
                  <c:v>427</c:v>
                </c:pt>
                <c:pt idx="1">
                  <c:v>427</c:v>
                </c:pt>
                <c:pt idx="2">
                  <c:v>427</c:v>
                </c:pt>
                <c:pt idx="3">
                  <c:v>427</c:v>
                </c:pt>
                <c:pt idx="4">
                  <c:v>427</c:v>
                </c:pt>
                <c:pt idx="5">
                  <c:v>427</c:v>
                </c:pt>
                <c:pt idx="6">
                  <c:v>427</c:v>
                </c:pt>
                <c:pt idx="7">
                  <c:v>427</c:v>
                </c:pt>
                <c:pt idx="8">
                  <c:v>427</c:v>
                </c:pt>
                <c:pt idx="9">
                  <c:v>427</c:v>
                </c:pt>
                <c:pt idx="10">
                  <c:v>427</c:v>
                </c:pt>
                <c:pt idx="11">
                  <c:v>427</c:v>
                </c:pt>
                <c:pt idx="12">
                  <c:v>427</c:v>
                </c:pt>
                <c:pt idx="13">
                  <c:v>427</c:v>
                </c:pt>
                <c:pt idx="14">
                  <c:v>427</c:v>
                </c:pt>
                <c:pt idx="15">
                  <c:v>427</c:v>
                </c:pt>
                <c:pt idx="16">
                  <c:v>427</c:v>
                </c:pt>
                <c:pt idx="17">
                  <c:v>427</c:v>
                </c:pt>
                <c:pt idx="18">
                  <c:v>427</c:v>
                </c:pt>
                <c:pt idx="19">
                  <c:v>427</c:v>
                </c:pt>
                <c:pt idx="20">
                  <c:v>427</c:v>
                </c:pt>
                <c:pt idx="21">
                  <c:v>427</c:v>
                </c:pt>
                <c:pt idx="22">
                  <c:v>427</c:v>
                </c:pt>
                <c:pt idx="23">
                  <c:v>427</c:v>
                </c:pt>
                <c:pt idx="24">
                  <c:v>427</c:v>
                </c:pt>
                <c:pt idx="25">
                  <c:v>427</c:v>
                </c:pt>
                <c:pt idx="26">
                  <c:v>427</c:v>
                </c:pt>
                <c:pt idx="27">
                  <c:v>427</c:v>
                </c:pt>
                <c:pt idx="28">
                  <c:v>427</c:v>
                </c:pt>
                <c:pt idx="29">
                  <c:v>427</c:v>
                </c:pt>
              </c:numCache>
            </c:numRef>
          </c:val>
          <c:smooth val="0"/>
          <c:extLst xmlns:c15="http://schemas.microsoft.com/office/drawing/2012/chart">
            <c:ext xmlns:c16="http://schemas.microsoft.com/office/drawing/2014/chart" uri="{C3380CC4-5D6E-409C-BE32-E72D297353CC}">
              <c16:uniqueId val="{00000017-BFF4-4E61-882C-B38AAD00470C}"/>
            </c:ext>
          </c:extLst>
        </c:ser>
        <c:ser>
          <c:idx val="14"/>
          <c:order val="4"/>
          <c:tx>
            <c:strRef>
              <c:f>'US-GT-8001-2'!$AA$39</c:f>
              <c:strCache>
                <c:ptCount val="1"/>
                <c:pt idx="0">
                  <c:v>TTWS1FO3</c:v>
                </c:pt>
              </c:strCache>
            </c:strRef>
          </c:tx>
          <c:spPr>
            <a:ln w="19050">
              <a:solidFill>
                <a:srgbClr val="990033"/>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'US-GT-8001-2'!$AA$41:$AA$70</c:f>
              <c:numCache>
                <c:formatCode>0</c:formatCode>
                <c:ptCount val="30"/>
                <c:pt idx="0">
                  <c:v>331</c:v>
                </c:pt>
                <c:pt idx="1">
                  <c:v>335</c:v>
                </c:pt>
                <c:pt idx="2">
                  <c:v>332</c:v>
                </c:pt>
                <c:pt idx="3">
                  <c:v>337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8-BFF4-4E61-882C-B38AAD00470C}"/>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8"/>
                <c:order val="5"/>
                <c:tx>
                  <c:strRef>
                    <c:extLst>
                      <c:ext uri="{02D57815-91ED-43cb-92C2-25804820EDAC}">
                        <c15:formulaRef>
                          <c15:sqref>'US-GT-8001-2'!$N$39</c15:sqref>
                        </c15:formulaRef>
                      </c:ext>
                    </c:extLst>
                    <c:strCache>
                      <c:ptCount val="1"/>
                      <c:pt idx="0">
                        <c:v>CTD</c:v>
                      </c:pt>
                    </c:strCache>
                  </c:strRef>
                </c:tx>
                <c:spPr>
                  <a:ln w="19050">
                    <a:solidFill>
                      <a:srgbClr val="00B0F0"/>
                    </a:solidFill>
                  </a:ln>
                </c:spPr>
                <c:marker>
                  <c:symbol val="none"/>
                </c:marker>
                <c:cat>
                  <c:strRef>
                    <c:extLst>
                      <c:ex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c:ext uri="{02D57815-91ED-43cb-92C2-25804820EDAC}">
                        <c15:formulaRef>
                          <c15:sqref>'US-GT-8001-2'!$N$41:$N$69</c15:sqref>
                        </c15:formulaRef>
                      </c:ext>
                    </c:extLst>
                    <c:numCache>
                      <c:formatCode>0.0</c:formatCode>
                      <c:ptCount val="29"/>
                      <c:pt idx="0">
                        <c:v>278</c:v>
                      </c:pt>
                      <c:pt idx="1">
                        <c:v>283</c:v>
                      </c:pt>
                      <c:pt idx="2">
                        <c:v>280</c:v>
                      </c:pt>
                      <c:pt idx="3">
                        <c:v>283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1-BFF4-4E61-882C-B38AAD00470C}"/>
                  </c:ext>
                </c:extLst>
              </c15:ser>
            </c15:filteredLineSeries>
            <c15:filteredLineSeries>
              <c15:ser>
                <c:idx val="9"/>
                <c:order val="6"/>
                <c:tx>
                  <c:strRef>
                    <c:extLst xmlns:c15="http://schemas.microsoft.com/office/drawing/2012/chart">
                      <c:ext xmlns:c15="http://schemas.microsoft.com/office/drawing/2012/chart" uri="{02D57815-91ED-43cb-92C2-25804820EDAC}">
                        <c15:formulaRef>
                          <c15:sqref>'US-GT-8001-2'!$M$39</c15:sqref>
                        </c15:formulaRef>
                      </c:ext>
                    </c:extLst>
                    <c:strCache>
                      <c:ptCount val="1"/>
                      <c:pt idx="0">
                        <c:v>CPD</c:v>
                      </c:pt>
                    </c:strCache>
                  </c:strRef>
                </c:tx>
                <c:spPr>
                  <a:ln w="19050">
                    <a:solidFill>
                      <a:srgbClr val="FF0000"/>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'US-GT-8001-2'!$M$41:$M$69</c15:sqref>
                        </c15:formulaRef>
                      </c:ext>
                    </c:extLst>
                    <c:numCache>
                      <c:formatCode>0.0</c:formatCode>
                      <c:ptCount val="29"/>
                      <c:pt idx="0">
                        <c:v>5.71</c:v>
                      </c:pt>
                      <c:pt idx="1">
                        <c:v>5.65</c:v>
                      </c:pt>
                      <c:pt idx="2">
                        <c:v>5.69</c:v>
                      </c:pt>
                      <c:pt idx="3">
                        <c:v>5.64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3-BFF4-4E61-882C-B38AAD00470C}"/>
                  </c:ext>
                </c:extLst>
              </c15:ser>
            </c15:filteredLineSeries>
            <c15:filteredLineSeries>
              <c15:ser>
                <c:idx val="3"/>
                <c:order val="7"/>
                <c:tx>
                  <c:strRef>
                    <c:extLst xmlns:c15="http://schemas.microsoft.com/office/drawing/2012/chart">
                      <c:ext xmlns:c15="http://schemas.microsoft.com/office/drawing/2012/chart" uri="{02D57815-91ED-43cb-92C2-25804820EDAC}">
                        <c15:formulaRef>
                          <c15:sqref>'US-GT-8001-2'!$N$4</c15:sqref>
                        </c15:formulaRef>
                      </c:ext>
                    </c:extLst>
                    <c:strCache>
                      <c:ptCount val="1"/>
                      <c:pt idx="0">
                        <c:v>CTD</c:v>
                      </c:pt>
                    </c:strCache>
                  </c:strRef>
                </c:tx>
                <c:spPr>
                  <a:ln w="19050">
                    <a:solidFill>
                      <a:srgbClr val="00B0F0"/>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'US-GT-8001-2'!$N$6:$N$34</c15:sqref>
                        </c15:formulaRef>
                      </c:ext>
                    </c:extLst>
                    <c:numCache>
                      <c:formatCode>0.0</c:formatCode>
                      <c:ptCount val="29"/>
                      <c:pt idx="0">
                        <c:v>318</c:v>
                      </c:pt>
                      <c:pt idx="1">
                        <c:v>320</c:v>
                      </c:pt>
                      <c:pt idx="2">
                        <c:v>320</c:v>
                      </c:pt>
                      <c:pt idx="3">
                        <c:v>324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5-BFF4-4E61-882C-B38AAD00470C}"/>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'US-GT-8001-2'!$M$4</c15:sqref>
                        </c15:formulaRef>
                      </c:ext>
                    </c:extLst>
                    <c:strCache>
                      <c:ptCount val="1"/>
                      <c:pt idx="0">
                        <c:v>CPD</c:v>
                      </c:pt>
                    </c:strCache>
                  </c:strRef>
                </c:tx>
                <c:spPr>
                  <a:ln w="19050">
                    <a:solidFill>
                      <a:srgbClr val="FF0000"/>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'US-GT-8001-2'!$M$6:$M$34</c15:sqref>
                        </c15:formulaRef>
                      </c:ext>
                    </c:extLst>
                    <c:numCache>
                      <c:formatCode>0.0</c:formatCode>
                      <c:ptCount val="29"/>
                      <c:pt idx="0">
                        <c:v>7.71</c:v>
                      </c:pt>
                      <c:pt idx="1">
                        <c:v>7.64</c:v>
                      </c:pt>
                      <c:pt idx="2">
                        <c:v>7.68</c:v>
                      </c:pt>
                      <c:pt idx="3">
                        <c:v>7.59</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7-BFF4-4E61-882C-B38AAD00470C}"/>
                  </c:ext>
                </c:extLst>
              </c15:ser>
            </c15:filteredLineSeries>
            <c15:filteredLineSeries>
              <c15:ser>
                <c:idx val="0"/>
                <c:order val="9"/>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4</c:v>
                      </c:pt>
                      <c:pt idx="1">
                        <c:v>4.3</c:v>
                      </c:pt>
                      <c:pt idx="2">
                        <c:v>4</c:v>
                      </c:pt>
                      <c:pt idx="3">
                        <c:v>4.2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9-BFF4-4E61-882C-B38AAD00470C}"/>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'US-GT-8001-2'!$J$6:$J$34</c15:sqref>
                        </c15:formulaRef>
                      </c:ext>
                    </c:extLst>
                    <c:numCache>
                      <c:formatCode>0.0</c:formatCode>
                      <c:ptCount val="29"/>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B-BFF4-4E61-882C-B38AAD00470C}"/>
                  </c:ext>
                </c:extLst>
              </c15:ser>
            </c15:filteredLineSeries>
            <c15:filteredLineSeries>
              <c15:ser>
                <c:idx val="6"/>
                <c:order val="11"/>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'US-GT-8001-2'!$K$6:$K$34</c15:sqref>
                        </c15:formulaRef>
                      </c:ext>
                    </c:extLst>
                    <c:numCache>
                      <c:formatCode>0.0</c:formatCode>
                      <c:ptCount val="29"/>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D-BFF4-4E61-882C-B38AAD00470C}"/>
                  </c:ext>
                </c:extLst>
              </c15:ser>
            </c15:filteredLineSeries>
            <c15:filteredLineSeries>
              <c15:ser>
                <c:idx val="7"/>
                <c:order val="12"/>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'US-GT-8001-2'!$L$6:$L$34</c15:sqref>
                        </c15:formulaRef>
                      </c:ext>
                    </c:extLst>
                    <c:numCache>
                      <c:formatCode>0.0</c:formatCode>
                      <c:ptCount val="29"/>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F-BFF4-4E61-882C-B38AAD00470C}"/>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'US-GT-8001-2'!$AC$6:$AC$34</c15:sqref>
                        </c15:formulaRef>
                      </c:ext>
                    </c:extLst>
                    <c:numCache>
                      <c:formatCode>General</c:formatCode>
                      <c:ptCount val="29"/>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numCache>
                  </c:numRef>
                </c:val>
                <c:smooth val="0"/>
                <c:extLst xmlns:c15="http://schemas.microsoft.com/office/drawing/2012/chart">
                  <c:ext xmlns:c16="http://schemas.microsoft.com/office/drawing/2014/chart" uri="{C3380CC4-5D6E-409C-BE32-E72D297353CC}">
                    <c16:uniqueId val="{00000011-BFF4-4E61-882C-B38AAD00470C}"/>
                  </c:ext>
                </c:extLst>
              </c15:ser>
            </c15:filteredLineSeries>
            <c15:filteredLineSeries>
              <c15:ser>
                <c:idx val="2"/>
                <c:order val="14"/>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'US-GT-8001-2'!$AD$6:$AD$34</c15:sqref>
                        </c15:formulaRef>
                      </c:ext>
                    </c:extLst>
                    <c:numCache>
                      <c:formatCode>General</c:formatCode>
                      <c:ptCount val="29"/>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numCache>
                  </c:numRef>
                </c:val>
                <c:smooth val="0"/>
                <c:extLst xmlns:c15="http://schemas.microsoft.com/office/drawing/2012/chart">
                  <c:ext xmlns:c16="http://schemas.microsoft.com/office/drawing/2014/chart" uri="{C3380CC4-5D6E-409C-BE32-E72D297353CC}">
                    <c16:uniqueId val="{00000013-BFF4-4E61-882C-B38AAD00470C}"/>
                  </c:ext>
                </c:extLst>
              </c15:ser>
            </c15:filteredLineSeries>
          </c:ext>
        </c:extLst>
      </c:lineChart>
      <c:catAx>
        <c:axId val="110782336"/>
        <c:scaling>
          <c:orientation val="minMax"/>
          <c:max val="31"/>
          <c:min val="1"/>
        </c:scaling>
        <c:delete val="0"/>
        <c:axPos val="b"/>
        <c:numFmt formatCode="m/d/yyyy" sourceLinked="0"/>
        <c:majorTickMark val="out"/>
        <c:minorTickMark val="none"/>
        <c:tickLblPos val="nextTo"/>
        <c:crossAx val="110783872"/>
        <c:crosses val="autoZero"/>
        <c:auto val="1"/>
        <c:lblAlgn val="ctr"/>
        <c:lblOffset val="100"/>
        <c:noMultiLvlLbl val="1"/>
      </c:catAx>
      <c:valAx>
        <c:axId val="110783872"/>
        <c:scaling>
          <c:orientation val="minMax"/>
          <c:max val="380"/>
          <c:min val="0"/>
        </c:scaling>
        <c:delete val="0"/>
        <c:axPos val="l"/>
        <c:majorGridlines/>
        <c:title>
          <c:tx>
            <c:rich>
              <a:bodyPr rot="0" vert="horz"/>
              <a:lstStyle/>
              <a:p>
                <a:pPr>
                  <a:defRPr sz="1200"/>
                </a:pPr>
                <a:r>
                  <a:rPr lang="es-ES" sz="1200"/>
                  <a:t>°C</a:t>
                </a:r>
              </a:p>
            </c:rich>
          </c:tx>
          <c:layout>
            <c:manualLayout>
              <c:xMode val="edge"/>
              <c:yMode val="edge"/>
              <c:x val="2.1543360404143508E-2"/>
              <c:y val="6.8619485151930629E-2"/>
            </c:manualLayout>
          </c:layout>
          <c:overlay val="0"/>
        </c:title>
        <c:numFmt formatCode="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spPr>
    <a:noFill/>
  </c:spPr>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WHEEL-SPACE GT-8001</a:t>
            </a:r>
            <a:endParaRPr lang="en-US"/>
          </a:p>
        </c:rich>
      </c:tx>
      <c:overlay val="0"/>
    </c:title>
    <c:autoTitleDeleted val="0"/>
    <c:plotArea>
      <c:layout>
        <c:manualLayout>
          <c:layoutTarget val="inner"/>
          <c:xMode val="edge"/>
          <c:yMode val="edge"/>
          <c:x val="6.1490210473470842E-2"/>
          <c:y val="0.14999191358551012"/>
          <c:w val="0.87081393290333686"/>
          <c:h val="0.66848310091086705"/>
        </c:manualLayout>
      </c:layout>
      <c:lineChart>
        <c:grouping val="standard"/>
        <c:varyColors val="0"/>
        <c:ser>
          <c:idx val="8"/>
          <c:order val="0"/>
          <c:tx>
            <c:strRef>
              <c:f>'US-GT-8001-2'!$X$4</c:f>
              <c:strCache>
                <c:ptCount val="1"/>
                <c:pt idx="0">
                  <c:v>TTWS1AO2</c:v>
                </c:pt>
              </c:strCache>
            </c:strRef>
          </c:tx>
          <c:spPr>
            <a:ln w="19050">
              <a:solidFill>
                <a:srgbClr val="002060"/>
              </a:solidFill>
            </a:ln>
          </c:spPr>
          <c:marker>
            <c:symbol val="none"/>
          </c:marker>
          <c:cat>
            <c:numRef>
              <c:f>'US-GT-8001-2'!$A$6:$A$35</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'US-GT-8001-2'!$X$6:$X$35</c:f>
              <c:numCache>
                <c:formatCode>0</c:formatCode>
                <c:ptCount val="30"/>
                <c:pt idx="0">
                  <c:v>322</c:v>
                </c:pt>
                <c:pt idx="1">
                  <c:v>325</c:v>
                </c:pt>
                <c:pt idx="2">
                  <c:v>326</c:v>
                </c:pt>
                <c:pt idx="3">
                  <c:v>330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0-5887-44CB-A75D-B772F03EC25B}"/>
            </c:ext>
          </c:extLst>
        </c:ser>
        <c:ser>
          <c:idx val="9"/>
          <c:order val="1"/>
          <c:tx>
            <c:strRef>
              <c:f>'US-GT-8001-2'!$Y$4</c:f>
              <c:strCache>
                <c:ptCount val="1"/>
                <c:pt idx="0">
                  <c:v>TTWS1AO3</c:v>
                </c:pt>
              </c:strCache>
            </c:strRef>
          </c:tx>
          <c:spPr>
            <a:ln w="19050">
              <a:solidFill>
                <a:srgbClr val="2BE92B"/>
              </a:solidFill>
            </a:ln>
          </c:spPr>
          <c:marker>
            <c:symbol val="none"/>
          </c:marker>
          <c:cat>
            <c:numRef>
              <c:f>'US-GT-8001-2'!$A$6:$A$35</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'US-GT-8001-2'!$Y$6:$Y$35</c:f>
              <c:numCache>
                <c:formatCode>0</c:formatCode>
                <c:ptCount val="30"/>
                <c:pt idx="0">
                  <c:v>309</c:v>
                </c:pt>
                <c:pt idx="1">
                  <c:v>312</c:v>
                </c:pt>
                <c:pt idx="2">
                  <c:v>312</c:v>
                </c:pt>
                <c:pt idx="3">
                  <c:v>317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1-5887-44CB-A75D-B772F03EC25B}"/>
            </c:ext>
          </c:extLst>
        </c:ser>
        <c:ser>
          <c:idx val="10"/>
          <c:order val="2"/>
          <c:tx>
            <c:strRef>
              <c:f>'US-GT-8001-2'!$Z$4</c:f>
              <c:strCache>
                <c:ptCount val="1"/>
                <c:pt idx="0">
                  <c:v>TTWS1FO2</c:v>
                </c:pt>
              </c:strCache>
            </c:strRef>
          </c:tx>
          <c:spPr>
            <a:ln w="19050">
              <a:solidFill>
                <a:srgbClr val="00B0F0"/>
              </a:solidFill>
            </a:ln>
          </c:spPr>
          <c:marker>
            <c:symbol val="none"/>
          </c:marker>
          <c:cat>
            <c:numRef>
              <c:f>'US-GT-8001-2'!$A$6:$A$35</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'US-GT-8001-2'!$Z$6:$Z$35</c:f>
              <c:numCache>
                <c:formatCode>0</c:formatCode>
                <c:ptCount val="30"/>
                <c:pt idx="0">
                  <c:v>369</c:v>
                </c:pt>
                <c:pt idx="1">
                  <c:v>371</c:v>
                </c:pt>
                <c:pt idx="2">
                  <c:v>371</c:v>
                </c:pt>
                <c:pt idx="3">
                  <c:v>375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2-5887-44CB-A75D-B772F03EC25B}"/>
            </c:ext>
          </c:extLst>
        </c:ser>
        <c:ser>
          <c:idx val="11"/>
          <c:order val="3"/>
          <c:tx>
            <c:strRef>
              <c:f>'US-GT-8001-2'!$AA$4</c:f>
              <c:strCache>
                <c:ptCount val="1"/>
                <c:pt idx="0">
                  <c:v>TTWS1FO3</c:v>
                </c:pt>
              </c:strCache>
            </c:strRef>
          </c:tx>
          <c:spPr>
            <a:ln w="19050">
              <a:solidFill>
                <a:srgbClr val="990033"/>
              </a:solidFill>
            </a:ln>
          </c:spPr>
          <c:marker>
            <c:symbol val="none"/>
          </c:marker>
          <c:cat>
            <c:numRef>
              <c:f>'US-GT-8001-2'!$A$6:$A$35</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'US-GT-8001-2'!$AA$6:$AA$35</c:f>
              <c:numCache>
                <c:formatCode>0</c:formatCode>
                <c:ptCount val="30"/>
                <c:pt idx="0">
                  <c:v>370</c:v>
                </c:pt>
                <c:pt idx="1">
                  <c:v>373</c:v>
                </c:pt>
                <c:pt idx="2">
                  <c:v>373</c:v>
                </c:pt>
                <c:pt idx="3">
                  <c:v>377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3-5887-44CB-A75D-B772F03EC25B}"/>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12"/>
                <c:order val="4"/>
                <c:tx>
                  <c:strRef>
                    <c:extLst>
                      <c:ext uri="{02D57815-91ED-43cb-92C2-25804820EDAC}">
                        <c15:formulaRef>
                          <c15:sqref>'US-GT-8001-2'!$AF$3</c15:sqref>
                        </c15:formulaRef>
                      </c:ext>
                    </c:extLst>
                    <c:strCache>
                      <c:ptCount val="1"/>
                      <c:pt idx="0">
                        <c:v>ALARMA</c:v>
                      </c:pt>
                    </c:strCache>
                  </c:strRef>
                </c:tx>
                <c:spPr>
                  <a:ln w="19050"/>
                </c:spPr>
                <c:marker>
                  <c:symbol val="none"/>
                </c:marker>
                <c:cat>
                  <c:numRef>
                    <c:extLst>
                      <c:ex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c:ext uri="{02D57815-91ED-43cb-92C2-25804820EDAC}">
                        <c15:formulaRef>
                          <c15:sqref>'US-GT-8001-2'!$AF$6:$AF$35</c15:sqref>
                        </c15:formulaRef>
                      </c:ext>
                    </c:extLst>
                    <c:numCache>
                      <c:formatCode>General</c:formatCode>
                      <c:ptCount val="30"/>
                      <c:pt idx="0">
                        <c:v>427</c:v>
                      </c:pt>
                      <c:pt idx="1">
                        <c:v>427</c:v>
                      </c:pt>
                      <c:pt idx="2" formatCode="0">
                        <c:v>427</c:v>
                      </c:pt>
                      <c:pt idx="3" formatCode="0">
                        <c:v>427</c:v>
                      </c:pt>
                      <c:pt idx="4" formatCode="0">
                        <c:v>427</c:v>
                      </c:pt>
                      <c:pt idx="5" formatCode="0">
                        <c:v>427</c:v>
                      </c:pt>
                      <c:pt idx="6" formatCode="0">
                        <c:v>427</c:v>
                      </c:pt>
                      <c:pt idx="7" formatCode="0">
                        <c:v>427</c:v>
                      </c:pt>
                      <c:pt idx="8" formatCode="0">
                        <c:v>427</c:v>
                      </c:pt>
                      <c:pt idx="9" formatCode="0">
                        <c:v>427</c:v>
                      </c:pt>
                      <c:pt idx="10" formatCode="0">
                        <c:v>427</c:v>
                      </c:pt>
                      <c:pt idx="11" formatCode="0">
                        <c:v>427</c:v>
                      </c:pt>
                      <c:pt idx="12" formatCode="0">
                        <c:v>427</c:v>
                      </c:pt>
                      <c:pt idx="13" formatCode="0">
                        <c:v>427</c:v>
                      </c:pt>
                      <c:pt idx="14" formatCode="0">
                        <c:v>427</c:v>
                      </c:pt>
                      <c:pt idx="15" formatCode="0">
                        <c:v>427</c:v>
                      </c:pt>
                      <c:pt idx="16" formatCode="0">
                        <c:v>427</c:v>
                      </c:pt>
                      <c:pt idx="17" formatCode="0">
                        <c:v>427</c:v>
                      </c:pt>
                      <c:pt idx="18" formatCode="0">
                        <c:v>427</c:v>
                      </c:pt>
                      <c:pt idx="19" formatCode="0">
                        <c:v>427</c:v>
                      </c:pt>
                      <c:pt idx="20" formatCode="0">
                        <c:v>427</c:v>
                      </c:pt>
                      <c:pt idx="21" formatCode="0">
                        <c:v>427</c:v>
                      </c:pt>
                      <c:pt idx="22" formatCode="0">
                        <c:v>427</c:v>
                      </c:pt>
                      <c:pt idx="23" formatCode="0">
                        <c:v>427</c:v>
                      </c:pt>
                      <c:pt idx="24" formatCode="0">
                        <c:v>427</c:v>
                      </c:pt>
                      <c:pt idx="25" formatCode="0">
                        <c:v>427</c:v>
                      </c:pt>
                      <c:pt idx="26" formatCode="0">
                        <c:v>427</c:v>
                      </c:pt>
                      <c:pt idx="27" formatCode="0">
                        <c:v>427</c:v>
                      </c:pt>
                      <c:pt idx="28" formatCode="0">
                        <c:v>427</c:v>
                      </c:pt>
                      <c:pt idx="29" formatCode="0">
                        <c:v>427</c:v>
                      </c:pt>
                    </c:numCache>
                  </c:numRef>
                </c:val>
                <c:smooth val="0"/>
                <c:extLst>
                  <c:ext xmlns:c16="http://schemas.microsoft.com/office/drawing/2014/chart" uri="{C3380CC4-5D6E-409C-BE32-E72D297353CC}">
                    <c16:uniqueId val="{00000014-5887-44CB-A75D-B772F03EC25B}"/>
                  </c:ext>
                </c:extLst>
              </c15:ser>
            </c15:filteredLineSeries>
            <c15:filteredLineSeries>
              <c15:ser>
                <c:idx val="3"/>
                <c:order val="5"/>
                <c:tx>
                  <c:strRef>
                    <c:extLst xmlns:c15="http://schemas.microsoft.com/office/drawing/2012/chart">
                      <c:ext xmlns:c15="http://schemas.microsoft.com/office/drawing/2012/chart" uri="{02D57815-91ED-43cb-92C2-25804820EDAC}">
                        <c15:formulaRef>
                          <c15:sqref>'US-GT-8001-2'!$N$4</c15:sqref>
                        </c15:formulaRef>
                      </c:ext>
                    </c:extLst>
                    <c:strCache>
                      <c:ptCount val="1"/>
                      <c:pt idx="0">
                        <c:v>CTD</c:v>
                      </c:pt>
                    </c:strCache>
                  </c:strRef>
                </c:tx>
                <c:spPr>
                  <a:ln w="19050">
                    <a:solidFill>
                      <a:srgbClr val="00B0F0"/>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'US-GT-8001-2'!$N$6:$N$35</c15:sqref>
                        </c15:formulaRef>
                      </c:ext>
                    </c:extLst>
                    <c:numCache>
                      <c:formatCode>0.0</c:formatCode>
                      <c:ptCount val="30"/>
                      <c:pt idx="0">
                        <c:v>318</c:v>
                      </c:pt>
                      <c:pt idx="1">
                        <c:v>320</c:v>
                      </c:pt>
                      <c:pt idx="2">
                        <c:v>320</c:v>
                      </c:pt>
                      <c:pt idx="3">
                        <c:v>324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5887-44CB-A75D-B772F03EC25B}"/>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'US-GT-8001-2'!$M$4</c15:sqref>
                        </c15:formulaRef>
                      </c:ext>
                    </c:extLst>
                    <c:strCache>
                      <c:ptCount val="1"/>
                      <c:pt idx="0">
                        <c:v>CPD</c:v>
                      </c:pt>
                    </c:strCache>
                  </c:strRef>
                </c:tx>
                <c:spPr>
                  <a:ln w="19050">
                    <a:solidFill>
                      <a:srgbClr val="FF0000"/>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'US-GT-8001-2'!$M$6:$M$35</c15:sqref>
                        </c15:formulaRef>
                      </c:ext>
                    </c:extLst>
                    <c:numCache>
                      <c:formatCode>0.0</c:formatCode>
                      <c:ptCount val="30"/>
                      <c:pt idx="0">
                        <c:v>7.71</c:v>
                      </c:pt>
                      <c:pt idx="1">
                        <c:v>7.64</c:v>
                      </c:pt>
                      <c:pt idx="2">
                        <c:v>7.68</c:v>
                      </c:pt>
                      <c:pt idx="3">
                        <c:v>7.59</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5887-44CB-A75D-B772F03EC25B}"/>
                  </c:ext>
                </c:extLst>
              </c15:ser>
            </c15:filteredLineSeries>
            <c15:filteredLineSeries>
              <c15:ser>
                <c:idx val="0"/>
                <c:order val="7"/>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'US-GT-8001-2'!$I$6:$I$35</c15:sqref>
                        </c15:formulaRef>
                      </c:ext>
                    </c:extLst>
                    <c:numCache>
                      <c:formatCode>0.0</c:formatCode>
                      <c:ptCount val="30"/>
                      <c:pt idx="0">
                        <c:v>4</c:v>
                      </c:pt>
                      <c:pt idx="1">
                        <c:v>4.3</c:v>
                      </c:pt>
                      <c:pt idx="2">
                        <c:v>4</c:v>
                      </c:pt>
                      <c:pt idx="3">
                        <c:v>4.2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5887-44CB-A75D-B772F03EC25B}"/>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'US-GT-8001-2'!$K$6:$K$35</c15:sqref>
                        </c15:formulaRef>
                      </c:ext>
                    </c:extLst>
                    <c:numCache>
                      <c:formatCode>0.0</c:formatCode>
                      <c:ptCount val="30"/>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9-5887-44CB-A75D-B772F03EC25B}"/>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B-5887-44CB-A75D-B772F03EC25B}"/>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'US-GT-8001-2'!$J$6:$J$35</c15:sqref>
                        </c15:formulaRef>
                      </c:ext>
                    </c:extLst>
                    <c:numCache>
                      <c:formatCode>0.0</c:formatCode>
                      <c:ptCount val="30"/>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5887-44CB-A75D-B772F03EC25B}"/>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0D-5887-44CB-A75D-B772F03EC25B}"/>
                  </c:ext>
                </c:extLst>
              </c15:ser>
            </c15:filteredLineSeries>
            <c15:filteredLineSeries>
              <c15:ser>
                <c:idx val="2"/>
                <c:order val="12"/>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0F-5887-44CB-A75D-B772F03EC25B}"/>
                  </c:ext>
                </c:extLst>
              </c15:ser>
            </c15:filteredLineSeries>
          </c:ext>
        </c:extLst>
      </c:lineChart>
      <c:dateAx>
        <c:axId val="110782336"/>
        <c:scaling>
          <c:orientation val="minMax"/>
          <c:max val="44926"/>
          <c:min val="44896"/>
        </c:scaling>
        <c:delete val="0"/>
        <c:axPos val="b"/>
        <c:numFmt formatCode="dd" sourceLinked="1"/>
        <c:majorTickMark val="out"/>
        <c:minorTickMark val="none"/>
        <c:tickLblPos val="nextTo"/>
        <c:crossAx val="110783872"/>
        <c:crosses val="autoZero"/>
        <c:auto val="0"/>
        <c:lblOffset val="100"/>
        <c:baseTimeUnit val="days"/>
      </c:dateAx>
      <c:valAx>
        <c:axId val="110783872"/>
        <c:scaling>
          <c:orientation val="minMax"/>
          <c:max val="380"/>
          <c:min val="0"/>
        </c:scaling>
        <c:delete val="0"/>
        <c:axPos val="l"/>
        <c:majorGridlines/>
        <c:title>
          <c:tx>
            <c:rich>
              <a:bodyPr rot="0" vert="horz"/>
              <a:lstStyle/>
              <a:p>
                <a:pPr>
                  <a:defRPr sz="1200"/>
                </a:pPr>
                <a:r>
                  <a:rPr lang="es-ES" sz="1200"/>
                  <a:t>°C</a:t>
                </a:r>
              </a:p>
            </c:rich>
          </c:tx>
          <c:layout>
            <c:manualLayout>
              <c:xMode val="edge"/>
              <c:yMode val="edge"/>
              <c:x val="1.7402941042711208E-2"/>
              <c:y val="5.123291406755974E-2"/>
            </c:manualLayout>
          </c:layout>
          <c:overlay val="0"/>
        </c:title>
        <c:numFmt formatCode="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a:lstStyle/>
          <a:p>
            <a:pPr>
              <a:defRPr/>
            </a:pPr>
            <a:r>
              <a:rPr lang="es-ES"/>
              <a:t>TEMP MEDIA EXHOSTO </a:t>
            </a:r>
            <a:r>
              <a:rPr lang="es-ES" sz="1800" b="1" i="0" u="none" strike="noStrike" baseline="0">
                <a:effectLst/>
              </a:rPr>
              <a:t>(TTXM) </a:t>
            </a:r>
            <a:r>
              <a:rPr lang="es-ES"/>
              <a:t> US-GT-8002</a:t>
            </a:r>
          </a:p>
        </c:rich>
      </c:tx>
      <c:layout>
        <c:manualLayout>
          <c:xMode val="edge"/>
          <c:yMode val="edge"/>
          <c:x val="0.29202352162926443"/>
          <c:y val="3.7599026806921891E-3"/>
        </c:manualLayout>
      </c:layout>
      <c:overlay val="0"/>
    </c:title>
    <c:autoTitleDeleted val="0"/>
    <c:plotArea>
      <c:layout>
        <c:manualLayout>
          <c:layoutTarget val="inner"/>
          <c:xMode val="edge"/>
          <c:yMode val="edge"/>
          <c:x val="6.0875431892914222E-2"/>
          <c:y val="0.11414777262431237"/>
          <c:w val="0.91223378742891692"/>
          <c:h val="0.71802028652668415"/>
        </c:manualLayout>
      </c:layout>
      <c:lineChart>
        <c:grouping val="standard"/>
        <c:varyColors val="0"/>
        <c:ser>
          <c:idx val="8"/>
          <c:order val="0"/>
          <c:tx>
            <c:strRef>
              <c:f>'US-GT-8001-2'!$AB$38</c:f>
              <c:strCache>
                <c:ptCount val="1"/>
                <c:pt idx="0">
                  <c:v>EXHAUST_TEMP</c:v>
                </c:pt>
              </c:strCache>
            </c:strRef>
          </c:tx>
          <c:spPr>
            <a:ln w="19050">
              <a:solidFill>
                <a:schemeClr val="accent1"/>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'US-GT-8001-2'!$AB$41:$AB$71</c:f>
              <c:numCache>
                <c:formatCode>0</c:formatCode>
                <c:ptCount val="30"/>
                <c:pt idx="0">
                  <c:v>359</c:v>
                </c:pt>
                <c:pt idx="1">
                  <c:v>366</c:v>
                </c:pt>
                <c:pt idx="2">
                  <c:v>362</c:v>
                </c:pt>
                <c:pt idx="3">
                  <c:v>367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14C2-4A9B-9505-2A38B34FB8E1}"/>
            </c:ext>
          </c:extLst>
        </c:ser>
        <c:ser>
          <c:idx val="0"/>
          <c:order val="1"/>
          <c:tx>
            <c:strRef>
              <c:f>'US-GT-8001-2'!$AE$38</c:f>
              <c:strCache>
                <c:ptCount val="1"/>
                <c:pt idx="0">
                  <c:v>TEMP MAX</c:v>
                </c:pt>
              </c:strCache>
            </c:strRef>
          </c:tx>
          <c:spPr>
            <a:ln w="19050">
              <a:solidFill>
                <a:srgbClr val="FF0000"/>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'US-GT-8001-2'!$AE$41:$AE$71</c:f>
              <c:numCache>
                <c:formatCode>0</c:formatCode>
                <c:ptCount val="30"/>
                <c:pt idx="0" formatCode="General">
                  <c:v>550</c:v>
                </c:pt>
                <c:pt idx="1">
                  <c:v>550</c:v>
                </c:pt>
                <c:pt idx="2">
                  <c:v>550</c:v>
                </c:pt>
                <c:pt idx="3">
                  <c:v>550</c:v>
                </c:pt>
                <c:pt idx="4">
                  <c:v>550</c:v>
                </c:pt>
                <c:pt idx="5">
                  <c:v>550</c:v>
                </c:pt>
                <c:pt idx="6">
                  <c:v>550</c:v>
                </c:pt>
                <c:pt idx="7">
                  <c:v>550</c:v>
                </c:pt>
                <c:pt idx="8">
                  <c:v>550</c:v>
                </c:pt>
                <c:pt idx="9">
                  <c:v>550</c:v>
                </c:pt>
                <c:pt idx="10">
                  <c:v>550</c:v>
                </c:pt>
                <c:pt idx="11">
                  <c:v>550</c:v>
                </c:pt>
                <c:pt idx="12">
                  <c:v>550</c:v>
                </c:pt>
                <c:pt idx="13">
                  <c:v>550</c:v>
                </c:pt>
                <c:pt idx="14">
                  <c:v>550</c:v>
                </c:pt>
                <c:pt idx="15">
                  <c:v>550</c:v>
                </c:pt>
                <c:pt idx="16">
                  <c:v>550</c:v>
                </c:pt>
                <c:pt idx="17">
                  <c:v>550</c:v>
                </c:pt>
                <c:pt idx="18">
                  <c:v>550</c:v>
                </c:pt>
                <c:pt idx="19">
                  <c:v>550</c:v>
                </c:pt>
                <c:pt idx="20">
                  <c:v>550</c:v>
                </c:pt>
                <c:pt idx="21">
                  <c:v>550</c:v>
                </c:pt>
                <c:pt idx="22">
                  <c:v>550</c:v>
                </c:pt>
                <c:pt idx="23">
                  <c:v>550</c:v>
                </c:pt>
                <c:pt idx="24">
                  <c:v>550</c:v>
                </c:pt>
                <c:pt idx="25">
                  <c:v>550</c:v>
                </c:pt>
                <c:pt idx="26">
                  <c:v>550</c:v>
                </c:pt>
                <c:pt idx="27">
                  <c:v>550</c:v>
                </c:pt>
                <c:pt idx="28">
                  <c:v>550</c:v>
                </c:pt>
                <c:pt idx="29">
                  <c:v>550</c:v>
                </c:pt>
              </c:numCache>
            </c:numRef>
          </c:val>
          <c:smooth val="0"/>
          <c:extLst>
            <c:ext xmlns:c16="http://schemas.microsoft.com/office/drawing/2014/chart" uri="{C3380CC4-5D6E-409C-BE32-E72D297353CC}">
              <c16:uniqueId val="{00000001-14C2-4A9B-9505-2A38B34FB8E1}"/>
            </c:ext>
          </c:extLst>
        </c:ser>
        <c:ser>
          <c:idx val="1"/>
          <c:order val="2"/>
          <c:tx>
            <c:strRef>
              <c:f>'US-GT-8001-2'!$AG$38</c:f>
              <c:strCache>
                <c:ptCount val="1"/>
                <c:pt idx="0">
                  <c:v>TMP_CTRL_REF</c:v>
                </c:pt>
              </c:strCache>
            </c:strRef>
          </c:tx>
          <c:spPr>
            <a:ln w="19050">
              <a:solidFill>
                <a:srgbClr val="7030A0"/>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'US-GT-8001-2'!$AG$41:$AG$71</c:f>
              <c:numCache>
                <c:formatCode>0</c:formatCode>
                <c:ptCount val="30"/>
                <c:pt idx="0">
                  <c:v>537</c:v>
                </c:pt>
                <c:pt idx="1">
                  <c:v>537</c:v>
                </c:pt>
                <c:pt idx="2">
                  <c:v>537</c:v>
                </c:pt>
                <c:pt idx="3">
                  <c:v>537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8BF6-436F-8FB0-69F17DD56F3A}"/>
            </c:ext>
          </c:extLst>
        </c:ser>
        <c:dLbls>
          <c:showLegendKey val="0"/>
          <c:showVal val="0"/>
          <c:showCatName val="0"/>
          <c:showSerName val="0"/>
          <c:showPercent val="0"/>
          <c:showBubbleSize val="0"/>
        </c:dLbls>
        <c:smooth val="0"/>
        <c:axId val="111179648"/>
        <c:axId val="111181184"/>
      </c:lineChart>
      <c:dateAx>
        <c:axId val="111179648"/>
        <c:scaling>
          <c:orientation val="minMax"/>
          <c:max val="44926"/>
          <c:min val="44896"/>
        </c:scaling>
        <c:delete val="0"/>
        <c:axPos val="b"/>
        <c:numFmt formatCode="dd" sourceLinked="1"/>
        <c:majorTickMark val="out"/>
        <c:minorTickMark val="none"/>
        <c:tickLblPos val="nextTo"/>
        <c:txPr>
          <a:bodyPr rot="0" vert="horz"/>
          <a:lstStyle/>
          <a:p>
            <a:pPr>
              <a:defRPr/>
            </a:pPr>
            <a:endParaRPr lang="es-MX"/>
          </a:p>
        </c:txPr>
        <c:crossAx val="111181184"/>
        <c:crosses val="autoZero"/>
        <c:auto val="1"/>
        <c:lblOffset val="100"/>
        <c:baseTimeUnit val="days"/>
        <c:minorUnit val="1"/>
      </c:dateAx>
      <c:valAx>
        <c:axId val="111181184"/>
        <c:scaling>
          <c:orientation val="minMax"/>
        </c:scaling>
        <c:delete val="0"/>
        <c:axPos val="l"/>
        <c:majorGridlines/>
        <c:title>
          <c:tx>
            <c:rich>
              <a:bodyPr rot="0" vert="horz"/>
              <a:lstStyle/>
              <a:p>
                <a:pPr>
                  <a:defRPr/>
                </a:pPr>
                <a:r>
                  <a:rPr lang="en-US"/>
                  <a:t>Temp</a:t>
                </a:r>
                <a:r>
                  <a:rPr lang="en-US" baseline="0"/>
                  <a:t> °C</a:t>
                </a:r>
                <a:endParaRPr lang="en-US"/>
              </a:p>
            </c:rich>
          </c:tx>
          <c:layout>
            <c:manualLayout>
              <c:xMode val="edge"/>
              <c:yMode val="edge"/>
              <c:x val="1.6151440058645071E-2"/>
              <c:y val="3.1410761154855645E-2"/>
            </c:manualLayout>
          </c:layout>
          <c:overlay val="0"/>
        </c:title>
        <c:numFmt formatCode="0" sourceLinked="1"/>
        <c:majorTickMark val="out"/>
        <c:minorTickMark val="none"/>
        <c:tickLblPos val="nextTo"/>
        <c:crossAx val="111179648"/>
        <c:crosses val="autoZero"/>
        <c:crossBetween val="between"/>
      </c:valAx>
    </c:plotArea>
    <c:legend>
      <c:legendPos val="b"/>
      <c:layout>
        <c:manualLayout>
          <c:xMode val="edge"/>
          <c:yMode val="edge"/>
          <c:x val="0.26055607476992215"/>
          <c:y val="0.93721210629921259"/>
          <c:w val="0.47921970004543762"/>
          <c:h val="6.2788019731252948E-2"/>
        </c:manualLayout>
      </c:layout>
      <c:overlay val="0"/>
    </c:legend>
    <c:plotVisOnly val="1"/>
    <c:dispBlanksAs val="gap"/>
    <c:showDLblsOverMax val="0"/>
  </c:chart>
  <c:spPr>
    <a:ln>
      <a:solidFill>
        <a:schemeClr val="accent1">
          <a:alpha val="98000"/>
        </a:schemeClr>
      </a:solidFill>
    </a:ln>
  </c:spPr>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a:lstStyle/>
          <a:p>
            <a:pPr>
              <a:defRPr/>
            </a:pPr>
            <a:r>
              <a:rPr lang="es-ES"/>
              <a:t>TEMP MEDIA EXHOSTO (TTXM) US-GT-8001</a:t>
            </a:r>
          </a:p>
        </c:rich>
      </c:tx>
      <c:layout>
        <c:manualLayout>
          <c:xMode val="edge"/>
          <c:yMode val="edge"/>
          <c:x val="0.25144743490976912"/>
          <c:y val="1.4611872146118721E-2"/>
        </c:manualLayout>
      </c:layout>
      <c:overlay val="0"/>
    </c:title>
    <c:autoTitleDeleted val="0"/>
    <c:plotArea>
      <c:layout>
        <c:manualLayout>
          <c:layoutTarget val="inner"/>
          <c:xMode val="edge"/>
          <c:yMode val="edge"/>
          <c:x val="6.5080040263572475E-2"/>
          <c:y val="9.7365869401897689E-2"/>
          <c:w val="0.90708595587916874"/>
          <c:h val="0.70211251364145344"/>
        </c:manualLayout>
      </c:layout>
      <c:lineChart>
        <c:grouping val="standard"/>
        <c:varyColors val="0"/>
        <c:ser>
          <c:idx val="8"/>
          <c:order val="0"/>
          <c:tx>
            <c:strRef>
              <c:f>'US-GT-8001-2'!$AB$3</c:f>
              <c:strCache>
                <c:ptCount val="1"/>
                <c:pt idx="0">
                  <c:v>EXHAUST_TEMP</c:v>
                </c:pt>
              </c:strCache>
            </c:strRef>
          </c:tx>
          <c:spPr>
            <a:ln w="19050">
              <a:solidFill>
                <a:schemeClr val="accent1"/>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'US-GT-8001-2'!$AB$6:$AB$36</c:f>
              <c:numCache>
                <c:formatCode>0</c:formatCode>
                <c:ptCount val="30"/>
                <c:pt idx="0">
                  <c:v>389</c:v>
                </c:pt>
                <c:pt idx="1">
                  <c:v>392</c:v>
                </c:pt>
                <c:pt idx="2">
                  <c:v>396</c:v>
                </c:pt>
                <c:pt idx="3">
                  <c:v>402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561B-4FC7-ABA7-CCAE3C500B57}"/>
            </c:ext>
          </c:extLst>
        </c:ser>
        <c:ser>
          <c:idx val="0"/>
          <c:order val="1"/>
          <c:tx>
            <c:strRef>
              <c:f>'US-GT-8001-2'!$AE$3</c:f>
              <c:strCache>
                <c:ptCount val="1"/>
                <c:pt idx="0">
                  <c:v>TEMP MAX</c:v>
                </c:pt>
              </c:strCache>
            </c:strRef>
          </c:tx>
          <c:spPr>
            <a:ln w="19050">
              <a:solidFill>
                <a:srgbClr val="FF0000"/>
              </a:solidFill>
            </a:ln>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'US-GT-8001-2'!$AE$6:$AE$36</c:f>
              <c:numCache>
                <c:formatCode>General</c:formatCode>
                <c:ptCount val="30"/>
                <c:pt idx="0">
                  <c:v>550</c:v>
                </c:pt>
                <c:pt idx="1">
                  <c:v>550</c:v>
                </c:pt>
                <c:pt idx="2" formatCode="0">
                  <c:v>550</c:v>
                </c:pt>
                <c:pt idx="3" formatCode="0">
                  <c:v>550</c:v>
                </c:pt>
                <c:pt idx="4" formatCode="0">
                  <c:v>550</c:v>
                </c:pt>
                <c:pt idx="5" formatCode="0">
                  <c:v>550</c:v>
                </c:pt>
                <c:pt idx="6" formatCode="0">
                  <c:v>550</c:v>
                </c:pt>
                <c:pt idx="7" formatCode="0">
                  <c:v>550</c:v>
                </c:pt>
                <c:pt idx="8" formatCode="0">
                  <c:v>550</c:v>
                </c:pt>
                <c:pt idx="9" formatCode="0">
                  <c:v>550</c:v>
                </c:pt>
                <c:pt idx="10" formatCode="0">
                  <c:v>550</c:v>
                </c:pt>
                <c:pt idx="11" formatCode="0">
                  <c:v>550</c:v>
                </c:pt>
                <c:pt idx="12" formatCode="0">
                  <c:v>550</c:v>
                </c:pt>
                <c:pt idx="13" formatCode="0">
                  <c:v>550</c:v>
                </c:pt>
                <c:pt idx="14" formatCode="0">
                  <c:v>550</c:v>
                </c:pt>
                <c:pt idx="15" formatCode="0">
                  <c:v>550</c:v>
                </c:pt>
                <c:pt idx="16" formatCode="0">
                  <c:v>550</c:v>
                </c:pt>
                <c:pt idx="17" formatCode="0">
                  <c:v>550</c:v>
                </c:pt>
                <c:pt idx="18" formatCode="0">
                  <c:v>550</c:v>
                </c:pt>
                <c:pt idx="19" formatCode="0">
                  <c:v>550</c:v>
                </c:pt>
                <c:pt idx="20" formatCode="0">
                  <c:v>550</c:v>
                </c:pt>
                <c:pt idx="21" formatCode="0">
                  <c:v>550</c:v>
                </c:pt>
                <c:pt idx="22" formatCode="0">
                  <c:v>550</c:v>
                </c:pt>
                <c:pt idx="23" formatCode="0">
                  <c:v>550</c:v>
                </c:pt>
                <c:pt idx="24" formatCode="0">
                  <c:v>550</c:v>
                </c:pt>
                <c:pt idx="25" formatCode="0">
                  <c:v>550</c:v>
                </c:pt>
                <c:pt idx="26" formatCode="0">
                  <c:v>550</c:v>
                </c:pt>
                <c:pt idx="27" formatCode="0">
                  <c:v>550</c:v>
                </c:pt>
                <c:pt idx="28" formatCode="0">
                  <c:v>550</c:v>
                </c:pt>
                <c:pt idx="29" formatCode="0">
                  <c:v>550</c:v>
                </c:pt>
              </c:numCache>
            </c:numRef>
          </c:val>
          <c:smooth val="0"/>
          <c:extLst>
            <c:ext xmlns:c16="http://schemas.microsoft.com/office/drawing/2014/chart" uri="{C3380CC4-5D6E-409C-BE32-E72D297353CC}">
              <c16:uniqueId val="{00000001-561B-4FC7-ABA7-CCAE3C500B57}"/>
            </c:ext>
          </c:extLst>
        </c:ser>
        <c:ser>
          <c:idx val="1"/>
          <c:order val="2"/>
          <c:tx>
            <c:strRef>
              <c:f>'US-GT-8001-2'!$AG$3</c:f>
              <c:strCache>
                <c:ptCount val="1"/>
                <c:pt idx="0">
                  <c:v>TMP_CTRL_REF</c:v>
                </c:pt>
              </c:strCache>
            </c:strRef>
          </c:tx>
          <c:spPr>
            <a:ln w="19050"/>
          </c:spPr>
          <c:marker>
            <c:symbol val="none"/>
          </c:marker>
          <c:cat>
            <c:numRef>
              <c:f>'US-GT-8001-2'!$A$6:$A$36</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'US-GT-8001-2'!$AG$6:$AG$36</c:f>
              <c:numCache>
                <c:formatCode>0</c:formatCode>
                <c:ptCount val="30"/>
                <c:pt idx="0">
                  <c:v>515</c:v>
                </c:pt>
                <c:pt idx="1">
                  <c:v>516</c:v>
                </c:pt>
                <c:pt idx="2">
                  <c:v>515</c:v>
                </c:pt>
                <c:pt idx="3">
                  <c:v>517</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155D-4B7A-A5FF-C3D3D3E3891A}"/>
            </c:ext>
          </c:extLst>
        </c:ser>
        <c:dLbls>
          <c:showLegendKey val="0"/>
          <c:showVal val="0"/>
          <c:showCatName val="0"/>
          <c:showSerName val="0"/>
          <c:showPercent val="0"/>
          <c:showBubbleSize val="0"/>
        </c:dLbls>
        <c:smooth val="0"/>
        <c:axId val="111208320"/>
        <c:axId val="111209856"/>
      </c:lineChart>
      <c:dateAx>
        <c:axId val="111208320"/>
        <c:scaling>
          <c:orientation val="minMax"/>
          <c:max val="44926"/>
          <c:min val="44896"/>
        </c:scaling>
        <c:delete val="0"/>
        <c:axPos val="b"/>
        <c:title>
          <c:tx>
            <c:rich>
              <a:bodyPr/>
              <a:lstStyle/>
              <a:p>
                <a:pPr>
                  <a:defRPr b="1"/>
                </a:pPr>
                <a:r>
                  <a:rPr lang="es-CO" b="1"/>
                  <a:t>Temp</a:t>
                </a:r>
                <a:r>
                  <a:rPr lang="es-CO" b="1" baseline="0"/>
                  <a:t> °C</a:t>
                </a:r>
                <a:endParaRPr lang="es-CO" b="1"/>
              </a:p>
            </c:rich>
          </c:tx>
          <c:layout>
            <c:manualLayout>
              <c:xMode val="edge"/>
              <c:yMode val="edge"/>
              <c:x val="1.6759698719029041E-2"/>
              <c:y val="3.049064912389654E-2"/>
            </c:manualLayout>
          </c:layout>
          <c:overlay val="0"/>
        </c:title>
        <c:numFmt formatCode="dd" sourceLinked="1"/>
        <c:majorTickMark val="out"/>
        <c:minorTickMark val="none"/>
        <c:tickLblPos val="nextTo"/>
        <c:txPr>
          <a:bodyPr rot="0" vert="horz"/>
          <a:lstStyle/>
          <a:p>
            <a:pPr>
              <a:defRPr/>
            </a:pPr>
            <a:endParaRPr lang="es-MX"/>
          </a:p>
        </c:txPr>
        <c:crossAx val="111209856"/>
        <c:crosses val="autoZero"/>
        <c:auto val="1"/>
        <c:lblOffset val="100"/>
        <c:baseTimeUnit val="days"/>
      </c:dateAx>
      <c:valAx>
        <c:axId val="111209856"/>
        <c:scaling>
          <c:orientation val="minMax"/>
        </c:scaling>
        <c:delete val="0"/>
        <c:axPos val="l"/>
        <c:majorGridlines/>
        <c:numFmt formatCode="0" sourceLinked="1"/>
        <c:majorTickMark val="out"/>
        <c:minorTickMark val="none"/>
        <c:tickLblPos val="nextTo"/>
        <c:crossAx val="111208320"/>
        <c:crosses val="autoZero"/>
        <c:crossBetween val="between"/>
      </c:valAx>
    </c:plotArea>
    <c:legend>
      <c:legendPos val="b"/>
      <c:layout>
        <c:manualLayout>
          <c:xMode val="edge"/>
          <c:yMode val="edge"/>
          <c:x val="0.2402661332703297"/>
          <c:y val="0.93369672241252855"/>
          <c:w val="0.51917526432969119"/>
          <c:h val="6.4788424055219951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VARIABLES</a:t>
            </a:r>
            <a:r>
              <a:rPr lang="en-US" baseline="0"/>
              <a:t> ELECTRICA</a:t>
            </a:r>
            <a:r>
              <a:rPr lang="en-US"/>
              <a:t>S</a:t>
            </a:r>
            <a:r>
              <a:rPr lang="en-US" baseline="0"/>
              <a:t> GT-8002</a:t>
            </a:r>
            <a:endParaRPr lang="en-US"/>
          </a:p>
        </c:rich>
      </c:tx>
      <c:overlay val="0"/>
    </c:title>
    <c:autoTitleDeleted val="0"/>
    <c:plotArea>
      <c:layout>
        <c:manualLayout>
          <c:layoutTarget val="inner"/>
          <c:xMode val="edge"/>
          <c:yMode val="edge"/>
          <c:x val="6.7946833799127124E-2"/>
          <c:y val="0.13819246045571737"/>
          <c:w val="0.87081393290333686"/>
          <c:h val="0.69601498927678285"/>
        </c:manualLayout>
      </c:layout>
      <c:lineChart>
        <c:grouping val="standard"/>
        <c:varyColors val="0"/>
        <c:ser>
          <c:idx val="11"/>
          <c:order val="0"/>
          <c:tx>
            <c:strRef>
              <c:f>'US-GT-8001-2'!$C$38</c:f>
              <c:strCache>
                <c:ptCount val="1"/>
                <c:pt idx="0">
                  <c:v>MWATTS</c:v>
                </c:pt>
              </c:strCache>
            </c:strRef>
          </c:tx>
          <c:spPr>
            <a:ln w="19050">
              <a:solidFill>
                <a:srgbClr val="F92BF9"/>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'US-GT-8001-2'!$C$41:$C$71</c:f>
              <c:numCache>
                <c:formatCode>0.0</c:formatCode>
                <c:ptCount val="30"/>
                <c:pt idx="0">
                  <c:v>6.2</c:v>
                </c:pt>
                <c:pt idx="1">
                  <c:v>6.2</c:v>
                </c:pt>
                <c:pt idx="2">
                  <c:v>6.2</c:v>
                </c:pt>
                <c:pt idx="3">
                  <c:v>6.2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6-6275-4DA4-8CA5-FEE5F0B93FBA}"/>
            </c:ext>
          </c:extLst>
        </c:ser>
        <c:ser>
          <c:idx val="12"/>
          <c:order val="1"/>
          <c:tx>
            <c:strRef>
              <c:f>'US-GT-8001-2'!$E$38</c:f>
              <c:strCache>
                <c:ptCount val="1"/>
                <c:pt idx="0">
                  <c:v>MVARS</c:v>
                </c:pt>
              </c:strCache>
            </c:strRef>
          </c:tx>
          <c:spPr>
            <a:ln w="19050">
              <a:solidFill>
                <a:srgbClr val="FFC000"/>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'US-GT-8001-2'!$E$41:$E$71</c:f>
              <c:numCache>
                <c:formatCode>0.0</c:formatCode>
                <c:ptCount val="30"/>
                <c:pt idx="0">
                  <c:v>3.4</c:v>
                </c:pt>
                <c:pt idx="1">
                  <c:v>3.5</c:v>
                </c:pt>
                <c:pt idx="2">
                  <c:v>3.2</c:v>
                </c:pt>
                <c:pt idx="3">
                  <c:v>3.3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7-6275-4DA4-8CA5-FEE5F0B93FBA}"/>
            </c:ext>
          </c:extLst>
        </c:ser>
        <c:ser>
          <c:idx val="13"/>
          <c:order val="2"/>
          <c:tx>
            <c:strRef>
              <c:f>'US-GT-8001-2'!$F$38</c:f>
              <c:strCache>
                <c:ptCount val="1"/>
                <c:pt idx="0">
                  <c:v>VOLT</c:v>
                </c:pt>
              </c:strCache>
            </c:strRef>
          </c:tx>
          <c:spPr>
            <a:ln w="19050">
              <a:solidFill>
                <a:srgbClr val="00B6F6"/>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'US-GT-8001-2'!$F$41:$F$71</c:f>
              <c:numCache>
                <c:formatCode>0.0</c:formatCode>
                <c:ptCount val="30"/>
                <c:pt idx="0">
                  <c:v>13.8</c:v>
                </c:pt>
                <c:pt idx="1">
                  <c:v>13.81</c:v>
                </c:pt>
                <c:pt idx="2">
                  <c:v>13.81</c:v>
                </c:pt>
                <c:pt idx="3">
                  <c:v>13.81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8-6275-4DA4-8CA5-FEE5F0B93FBA}"/>
            </c:ext>
          </c:extLst>
        </c:ser>
        <c:ser>
          <c:idx val="14"/>
          <c:order val="3"/>
          <c:tx>
            <c:strRef>
              <c:f>'US-GT-8001-2'!$D$38</c:f>
              <c:strCache>
                <c:ptCount val="1"/>
                <c:pt idx="0">
                  <c:v>MW-MAX</c:v>
                </c:pt>
              </c:strCache>
            </c:strRef>
          </c:tx>
          <c:spPr>
            <a:ln w="19050">
              <a:solidFill>
                <a:srgbClr val="FF0000"/>
              </a:solidFill>
            </a:ln>
          </c:spP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'US-GT-8001-2'!$D$41:$D$70</c:f>
            </c:numRef>
          </c:val>
          <c:smooth val="0"/>
          <c:extLst>
            <c:ext xmlns:c16="http://schemas.microsoft.com/office/drawing/2014/chart" uri="{C3380CC4-5D6E-409C-BE32-E72D297353CC}">
              <c16:uniqueId val="{00000019-6275-4DA4-8CA5-FEE5F0B93FBA}"/>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15"/>
                <c:order val="4"/>
                <c:tx>
                  <c:strRef>
                    <c:extLst>
                      <c:ext uri="{02D57815-91ED-43cb-92C2-25804820EDAC}">
                        <c15:formulaRef>
                          <c15:sqref>'US-GT-8001-2'!$H$38</c15:sqref>
                        </c15:formulaRef>
                      </c:ext>
                    </c:extLst>
                    <c:strCache>
                      <c:ptCount val="1"/>
                      <c:pt idx="0">
                        <c:v>FRECUENCIA</c:v>
                      </c:pt>
                    </c:strCache>
                  </c:strRef>
                </c:tx>
                <c:spPr>
                  <a:ln>
                    <a:solidFill>
                      <a:srgbClr val="2BE92B"/>
                    </a:solidFill>
                  </a:ln>
                </c:spPr>
                <c:marker>
                  <c:symbol val="none"/>
                </c:marker>
                <c:cat>
                  <c:strRef>
                    <c:extLst>
                      <c:ex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c:ext uri="{02D57815-91ED-43cb-92C2-25804820EDAC}">
                        <c15:formulaRef>
                          <c15:sqref>'US-GT-8001-2'!$H$41:$H$70</c15:sqref>
                        </c15:formulaRef>
                      </c:ext>
                    </c:extLst>
                    <c:numCache>
                      <c:formatCode>0.0</c:formatCode>
                      <c:ptCount val="30"/>
                      <c:pt idx="0">
                        <c:v>60</c:v>
                      </c:pt>
                      <c:pt idx="1">
                        <c:v>60</c:v>
                      </c:pt>
                      <c:pt idx="2">
                        <c:v>60</c:v>
                      </c:pt>
                      <c:pt idx="3">
                        <c:v>60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A-6275-4DA4-8CA5-FEE5F0B93FBA}"/>
                  </c:ext>
                </c:extLst>
              </c15:ser>
            </c15:filteredLineSeries>
            <c15:filteredLineSeries>
              <c15:ser>
                <c:idx val="3"/>
                <c:order val="5"/>
                <c:tx>
                  <c:strRef>
                    <c:extLst xmlns:c15="http://schemas.microsoft.com/office/drawing/2012/chart">
                      <c:ext xmlns:c15="http://schemas.microsoft.com/office/drawing/2012/chart" uri="{02D57815-91ED-43cb-92C2-25804820EDAC}">
                        <c15:formulaRef>
                          <c15:sqref>'US-GT-8001-2'!$C$3</c15:sqref>
                        </c15:formulaRef>
                      </c:ext>
                    </c:extLst>
                    <c:strCache>
                      <c:ptCount val="1"/>
                      <c:pt idx="0">
                        <c:v>MWATTS</c:v>
                      </c:pt>
                    </c:strCache>
                  </c:strRef>
                </c:tx>
                <c:spPr>
                  <a:ln w="19050">
                    <a:solidFill>
                      <a:srgbClr val="F92BF9"/>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'US-GT-8001-2'!$C$6:$C$35</c15:sqref>
                        </c15:formulaRef>
                      </c:ext>
                    </c:extLst>
                    <c:numCache>
                      <c:formatCode>0.0</c:formatCode>
                      <c:ptCount val="30"/>
                      <c:pt idx="0">
                        <c:v>13.3</c:v>
                      </c:pt>
                      <c:pt idx="1">
                        <c:v>13.2</c:v>
                      </c:pt>
                      <c:pt idx="2">
                        <c:v>13.5</c:v>
                      </c:pt>
                      <c:pt idx="3">
                        <c:v>13.3</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6275-4DA4-8CA5-FEE5F0B93F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'US-GT-8001-2'!$E$3</c15:sqref>
                        </c15:formulaRef>
                      </c:ext>
                    </c:extLst>
                    <c:strCache>
                      <c:ptCount val="1"/>
                      <c:pt idx="0">
                        <c:v>MVARS</c:v>
                      </c:pt>
                    </c:strCache>
                  </c:strRef>
                </c:tx>
                <c:spPr>
                  <a:ln w="19050">
                    <a:solidFill>
                      <a:srgbClr val="FFC000"/>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'US-GT-8001-2'!$E$6:$E$35</c15:sqref>
                        </c15:formulaRef>
                      </c:ext>
                    </c:extLst>
                    <c:numCache>
                      <c:formatCode>0.0</c:formatCode>
                      <c:ptCount val="30"/>
                      <c:pt idx="0">
                        <c:v>6.8</c:v>
                      </c:pt>
                      <c:pt idx="1">
                        <c:v>6.7</c:v>
                      </c:pt>
                      <c:pt idx="2">
                        <c:v>7.2</c:v>
                      </c:pt>
                      <c:pt idx="3">
                        <c:v>7.1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6275-4DA4-8CA5-FEE5F0B93FBA}"/>
                  </c:ext>
                </c:extLst>
              </c15:ser>
            </c15:filteredLineSeries>
            <c15:filteredLineSeries>
              <c15:ser>
                <c:idx val="8"/>
                <c:order val="7"/>
                <c:tx>
                  <c:strRef>
                    <c:extLst xmlns:c15="http://schemas.microsoft.com/office/drawing/2012/chart">
                      <c:ext xmlns:c15="http://schemas.microsoft.com/office/drawing/2012/chart" uri="{02D57815-91ED-43cb-92C2-25804820EDAC}">
                        <c15:formulaRef>
                          <c15:sqref>'US-GT-8001-2'!$F$3</c15:sqref>
                        </c15:formulaRef>
                      </c:ext>
                    </c:extLst>
                    <c:strCache>
                      <c:ptCount val="1"/>
                      <c:pt idx="0">
                        <c:v>VOLT</c:v>
                      </c:pt>
                    </c:strCache>
                  </c:strRef>
                </c:tx>
                <c:spPr>
                  <a:ln w="19050">
                    <a:solidFill>
                      <a:srgbClr val="00B6F6"/>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'US-GT-8001-2'!$F$6:$F$35</c15:sqref>
                        </c15:formulaRef>
                      </c:ext>
                    </c:extLst>
                    <c:numCache>
                      <c:formatCode>0.0</c:formatCode>
                      <c:ptCount val="30"/>
                      <c:pt idx="0">
                        <c:v>13.82</c:v>
                      </c:pt>
                      <c:pt idx="1">
                        <c:v>13.82</c:v>
                      </c:pt>
                      <c:pt idx="2">
                        <c:v>13.82</c:v>
                      </c:pt>
                      <c:pt idx="3">
                        <c:v>13.82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6275-4DA4-8CA5-FEE5F0B93FBA}"/>
                  </c:ext>
                </c:extLst>
              </c15:ser>
            </c15:filteredLineSeries>
            <c15:filteredLineSeries>
              <c15:ser>
                <c:idx val="9"/>
                <c:order val="8"/>
                <c:tx>
                  <c:strRef>
                    <c:extLst xmlns:c15="http://schemas.microsoft.com/office/drawing/2012/chart">
                      <c:ext xmlns:c15="http://schemas.microsoft.com/office/drawing/2012/chart" uri="{02D57815-91ED-43cb-92C2-25804820EDAC}">
                        <c15:formulaRef>
                          <c15:sqref>'US-GT-8001-2'!$D$3</c15:sqref>
                        </c15:formulaRef>
                      </c:ext>
                    </c:extLst>
                    <c:strCache>
                      <c:ptCount val="1"/>
                      <c:pt idx="0">
                        <c:v>MW-MAX</c:v>
                      </c:pt>
                    </c:strCache>
                  </c:strRef>
                </c:tx>
                <c:spPr>
                  <a:ln w="19050">
                    <a:solidFill>
                      <a:srgbClr val="FF0000"/>
                    </a:solidFill>
                  </a:ln>
                </c:spP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'US-GT-8001-2'!$D$6:$D$35</c15:sqref>
                        </c15:formulaRef>
                      </c:ext>
                    </c:extLst>
                  </c:numRef>
                </c:val>
                <c:smooth val="0"/>
                <c:extLst xmlns:c15="http://schemas.microsoft.com/office/drawing/2012/chart">
                  <c:ext xmlns:c16="http://schemas.microsoft.com/office/drawing/2014/chart" uri="{C3380CC4-5D6E-409C-BE32-E72D297353CC}">
                    <c16:uniqueId val="{00000007-6275-4DA4-8CA5-FEE5F0B93FBA}"/>
                  </c:ext>
                </c:extLst>
              </c15:ser>
            </c15:filteredLineSeries>
            <c15:filteredLineSeries>
              <c15:ser>
                <c:idx val="10"/>
                <c:order val="9"/>
                <c:tx>
                  <c:strRef>
                    <c:extLst xmlns:c15="http://schemas.microsoft.com/office/drawing/2012/chart">
                      <c:ext xmlns:c15="http://schemas.microsoft.com/office/drawing/2012/chart" uri="{02D57815-91ED-43cb-92C2-25804820EDAC}">
                        <c15:formulaRef>
                          <c15:sqref>'US-GT-8001-2'!$H$3</c15:sqref>
                        </c15:formulaRef>
                      </c:ext>
                    </c:extLst>
                    <c:strCache>
                      <c:ptCount val="1"/>
                      <c:pt idx="0">
                        <c:v>FRECUENCIA</c:v>
                      </c:pt>
                    </c:strCache>
                  </c:strRef>
                </c:tx>
                <c:spPr>
                  <a:ln w="19050">
                    <a:solidFill>
                      <a:srgbClr val="2BE92B"/>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'US-GT-8001-2'!$H$6:$H$34</c15:sqref>
                        </c15:formulaRef>
                      </c:ext>
                    </c:extLst>
                    <c:numCache>
                      <c:formatCode>0.0</c:formatCode>
                      <c:ptCount val="29"/>
                      <c:pt idx="0">
                        <c:v>60</c:v>
                      </c:pt>
                      <c:pt idx="1">
                        <c:v>60</c:v>
                      </c:pt>
                      <c:pt idx="2">
                        <c:v>60</c:v>
                      </c:pt>
                      <c:pt idx="3">
                        <c:v>60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9-6275-4DA4-8CA5-FEE5F0B93FBA}"/>
                  </c:ext>
                </c:extLst>
              </c15:ser>
            </c15:filteredLineSeries>
            <c15:filteredLineSeries>
              <c15:ser>
                <c:idx val="0"/>
                <c:order val="10"/>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4</c:v>
                      </c:pt>
                      <c:pt idx="1">
                        <c:v>4.3</c:v>
                      </c:pt>
                      <c:pt idx="2">
                        <c:v>4</c:v>
                      </c:pt>
                      <c:pt idx="3">
                        <c:v>4.2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B-6275-4DA4-8CA5-FEE5F0B93FBA}"/>
                  </c:ext>
                </c:extLst>
              </c15:ser>
            </c15:filteredLineSeries>
            <c15:filteredLineSeries>
              <c15:ser>
                <c:idx val="5"/>
                <c:order val="11"/>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'US-GT-8001-2'!$J$6:$J$34</c15:sqref>
                        </c15:formulaRef>
                      </c:ext>
                    </c:extLst>
                    <c:numCache>
                      <c:formatCode>0.0</c:formatCode>
                      <c:ptCount val="29"/>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D-6275-4DA4-8CA5-FEE5F0B93FBA}"/>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'US-GT-8001-2'!$K$6:$K$34</c15:sqref>
                        </c15:formulaRef>
                      </c:ext>
                    </c:extLst>
                    <c:numCache>
                      <c:formatCode>0.0</c:formatCode>
                      <c:ptCount val="29"/>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F-6275-4DA4-8CA5-FEE5F0B93FBA}"/>
                  </c:ext>
                </c:extLst>
              </c15:ser>
            </c15:filteredLineSeries>
            <c15:filteredLineSeries>
              <c15:ser>
                <c:idx val="7"/>
                <c:order val="13"/>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'US-GT-8001-2'!$L$6:$L$34</c15:sqref>
                        </c15:formulaRef>
                      </c:ext>
                    </c:extLst>
                    <c:numCache>
                      <c:formatCode>0.0</c:formatCode>
                      <c:ptCount val="29"/>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1-6275-4DA4-8CA5-FEE5F0B93FBA}"/>
                  </c:ext>
                </c:extLst>
              </c15:ser>
            </c15:filteredLineSeries>
            <c15:filteredLineSeries>
              <c15:ser>
                <c:idx val="1"/>
                <c:order val="14"/>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13-6275-4DA4-8CA5-FEE5F0B93FBA}"/>
                  </c:ext>
                </c:extLst>
              </c15:ser>
            </c15:filteredLineSeries>
            <c15:filteredLineSeries>
              <c15:ser>
                <c:idx val="2"/>
                <c:order val="15"/>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15-6275-4DA4-8CA5-FEE5F0B93FBA}"/>
                  </c:ext>
                </c:extLst>
              </c15:ser>
            </c15:filteredLineSeries>
          </c:ext>
        </c:extLst>
      </c:lineChart>
      <c:dateAx>
        <c:axId val="110782336"/>
        <c:scaling>
          <c:orientation val="minMax"/>
          <c:max val="31"/>
        </c:scaling>
        <c:delete val="0"/>
        <c:axPos val="b"/>
        <c:numFmt formatCode="General" sourceLinked="1"/>
        <c:majorTickMark val="out"/>
        <c:minorTickMark val="none"/>
        <c:tickLblPos val="nextTo"/>
        <c:crossAx val="110783872"/>
        <c:crosses val="autoZero"/>
        <c:auto val="0"/>
        <c:lblOffset val="100"/>
        <c:baseTimeUnit val="days"/>
      </c:dateAx>
      <c:valAx>
        <c:axId val="110783872"/>
        <c:scaling>
          <c:orientation val="minMax"/>
          <c:max val="20"/>
          <c:min val="0"/>
        </c:scaling>
        <c:delete val="0"/>
        <c:axPos val="l"/>
        <c:majorGridlines/>
        <c:numFmt formatCode="0.0" sourceLinked="1"/>
        <c:majorTickMark val="out"/>
        <c:minorTickMark val="none"/>
        <c:tickLblPos val="nextTo"/>
        <c:crossAx val="110782336"/>
        <c:crosses val="autoZero"/>
        <c:crossBetween val="between"/>
      </c:valAx>
    </c:plotArea>
    <c:legend>
      <c:legendPos val="b"/>
      <c:layout>
        <c:manualLayout>
          <c:xMode val="edge"/>
          <c:yMode val="edge"/>
          <c:x val="0.25081879848717537"/>
          <c:y val="0.93031653517135149"/>
          <c:w val="0.45909087321199454"/>
          <c:h val="6.9683620599576432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COMPRESOR AXIAL GT-8001</a:t>
            </a:r>
            <a:endParaRPr lang="en-US"/>
          </a:p>
        </c:rich>
      </c:tx>
      <c:overlay val="0"/>
    </c:title>
    <c:autoTitleDeleted val="0"/>
    <c:plotArea>
      <c:layout>
        <c:manualLayout>
          <c:layoutTarget val="inner"/>
          <c:xMode val="edge"/>
          <c:yMode val="edge"/>
          <c:x val="6.1490210473470842E-2"/>
          <c:y val="0.14999191358551012"/>
          <c:w val="0.87081393290333686"/>
          <c:h val="0.66848310091086705"/>
        </c:manualLayout>
      </c:layout>
      <c:lineChart>
        <c:grouping val="standard"/>
        <c:varyColors val="0"/>
        <c:ser>
          <c:idx val="3"/>
          <c:order val="0"/>
          <c:tx>
            <c:strRef>
              <c:f>'US-GT-8001-2'!$N$4</c:f>
              <c:strCache>
                <c:ptCount val="1"/>
                <c:pt idx="0">
                  <c:v>CTD</c:v>
                </c:pt>
              </c:strCache>
              <c:extLst xmlns:c15="http://schemas.microsoft.com/office/drawing/2012/chart"/>
            </c:strRef>
          </c:tx>
          <c:spPr>
            <a:ln w="19050">
              <a:solidFill>
                <a:srgbClr val="00B0F0"/>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'US-GT-8001-2'!$N$6:$N$36</c:f>
              <c:numCache>
                <c:formatCode>0.0</c:formatCode>
                <c:ptCount val="30"/>
                <c:pt idx="0">
                  <c:v>318</c:v>
                </c:pt>
                <c:pt idx="1">
                  <c:v>320</c:v>
                </c:pt>
                <c:pt idx="2">
                  <c:v>320</c:v>
                </c:pt>
                <c:pt idx="3">
                  <c:v>324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C-3A03-4FAB-AD91-215D527B0EBE}"/>
            </c:ext>
          </c:extLst>
        </c:ser>
        <c:ser>
          <c:idx val="4"/>
          <c:order val="1"/>
          <c:tx>
            <c:strRef>
              <c:f>'US-GT-8001-2'!$M$4</c:f>
              <c:strCache>
                <c:ptCount val="1"/>
                <c:pt idx="0">
                  <c:v>CPD</c:v>
                </c:pt>
              </c:strCache>
              <c:extLst xmlns:c15="http://schemas.microsoft.com/office/drawing/2012/chart"/>
            </c:strRef>
          </c:tx>
          <c:spPr>
            <a:ln w="19050">
              <a:solidFill>
                <a:srgbClr val="FF0000"/>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'US-GT-8001-2'!$M$6:$M$36</c:f>
              <c:numCache>
                <c:formatCode>0.0</c:formatCode>
                <c:ptCount val="30"/>
                <c:pt idx="0">
                  <c:v>7.71</c:v>
                </c:pt>
                <c:pt idx="1">
                  <c:v>7.64</c:v>
                </c:pt>
                <c:pt idx="2">
                  <c:v>7.68</c:v>
                </c:pt>
                <c:pt idx="3">
                  <c:v>7.59</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D-3A03-4FAB-AD91-215D527B0EBE}"/>
            </c:ext>
          </c:extLst>
        </c:ser>
        <c:ser>
          <c:idx val="0"/>
          <c:order val="2"/>
          <c:tx>
            <c:strRef>
              <c:f>'US-GT-8001-2'!$I$4</c:f>
              <c:strCache>
                <c:ptCount val="1"/>
                <c:pt idx="0">
                  <c:v>Compresor</c:v>
                </c:pt>
              </c:strCache>
              <c:extLst xmlns:c15="http://schemas.microsoft.com/office/drawing/2012/chart"/>
            </c:strRef>
          </c:tx>
          <c:spPr>
            <a:ln w="19050"/>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'US-GT-8001-2'!$I$6:$I$35</c:f>
              <c:numCache>
                <c:formatCode>0.0</c:formatCode>
                <c:ptCount val="30"/>
                <c:pt idx="0">
                  <c:v>4</c:v>
                </c:pt>
                <c:pt idx="1">
                  <c:v>4.3</c:v>
                </c:pt>
                <c:pt idx="2">
                  <c:v>4</c:v>
                </c:pt>
                <c:pt idx="3">
                  <c:v>4.2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3A03-4FAB-AD91-215D527B0EBE}"/>
            </c:ext>
          </c:extLst>
        </c:ser>
        <c:ser>
          <c:idx val="5"/>
          <c:order val="3"/>
          <c:tx>
            <c:strRef>
              <c:f>'US-GT-8001-2'!$J$4</c:f>
              <c:strCache>
                <c:ptCount val="1"/>
                <c:pt idx="0">
                  <c:v>Compresor</c:v>
                </c:pt>
              </c:strCache>
              <c:extLst xmlns:c15="http://schemas.microsoft.com/office/drawing/2012/chart"/>
            </c:strRef>
          </c:tx>
          <c:spPr>
            <a:ln w="19050">
              <a:solidFill>
                <a:srgbClr val="2BE92B"/>
              </a:solidFill>
            </a:ln>
          </c:spPr>
          <c:marker>
            <c:symbol val="none"/>
          </c:marker>
          <c:cat>
            <c:numRef>
              <c:f>'US-GT-8001-2'!$A$41:$A$71</c:f>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f>'US-GT-8001-2'!$J$6:$J$36</c:f>
              <c:numCache>
                <c:formatCode>0.0</c:formatCode>
                <c:ptCount val="30"/>
                <c:pt idx="0">
                  <c:v>4.7</c:v>
                </c:pt>
                <c:pt idx="1">
                  <c:v>4.8</c:v>
                </c:pt>
                <c:pt idx="2">
                  <c:v>4.7</c:v>
                </c:pt>
                <c:pt idx="3">
                  <c:v>4.8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3A03-4FAB-AD91-215D527B0EBE}"/>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6"/>
                <c:order val="4"/>
                <c:tx>
                  <c:strRef>
                    <c:extLst>
                      <c:ex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c:ex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c:ext uri="{02D57815-91ED-43cb-92C2-25804820EDAC}">
                        <c15:formulaRef>
                          <c15:sqref>'US-GT-8001-2'!$K$6:$K$35</c15:sqref>
                        </c15:formulaRef>
                      </c:ext>
                    </c:extLst>
                    <c:numCache>
                      <c:formatCode>0.0</c:formatCode>
                      <c:ptCount val="30"/>
                      <c:pt idx="0">
                        <c:v>1.8</c:v>
                      </c:pt>
                      <c:pt idx="1">
                        <c:v>1.8</c:v>
                      </c:pt>
                      <c:pt idx="2">
                        <c:v>1.9</c:v>
                      </c:pt>
                      <c:pt idx="3">
                        <c:v>1.8</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5-3A03-4FAB-AD91-215D527B0EBE}"/>
                  </c:ext>
                </c:extLst>
              </c15:ser>
            </c15:filteredLineSeries>
            <c15:filteredLineSeries>
              <c15:ser>
                <c:idx val="7"/>
                <c:order val="5"/>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2</c:v>
                      </c:pt>
                      <c:pt idx="1">
                        <c:v>2</c:v>
                      </c:pt>
                      <c:pt idx="2">
                        <c:v>2</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3A03-4FAB-AD91-215D527B0EBE}"/>
                  </c:ext>
                </c:extLst>
              </c15:ser>
            </c15:filteredLineSeries>
            <c15:filteredLineSeries>
              <c15:ser>
                <c:idx val="1"/>
                <c:order val="6"/>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09-3A03-4FAB-AD91-215D527B0EBE}"/>
                  </c:ext>
                </c:extLst>
              </c15:ser>
            </c15:filteredLineSeries>
            <c15:filteredLineSeries>
              <c15:ser>
                <c:idx val="2"/>
                <c:order val="7"/>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45078</c:v>
                      </c:pt>
                      <c:pt idx="1">
                        <c:v>45079</c:v>
                      </c:pt>
                      <c:pt idx="2">
                        <c:v>45080</c:v>
                      </c:pt>
                      <c:pt idx="3">
                        <c:v>45081</c:v>
                      </c:pt>
                      <c:pt idx="4">
                        <c:v>45082</c:v>
                      </c:pt>
                      <c:pt idx="5">
                        <c:v>45083</c:v>
                      </c:pt>
                      <c:pt idx="6">
                        <c:v>45084</c:v>
                      </c:pt>
                      <c:pt idx="7">
                        <c:v>45085</c:v>
                      </c:pt>
                      <c:pt idx="8">
                        <c:v>45086</c:v>
                      </c:pt>
                      <c:pt idx="9">
                        <c:v>45087</c:v>
                      </c:pt>
                      <c:pt idx="10">
                        <c:v>45088</c:v>
                      </c:pt>
                      <c:pt idx="11">
                        <c:v>45089</c:v>
                      </c:pt>
                      <c:pt idx="12">
                        <c:v>45090</c:v>
                      </c:pt>
                      <c:pt idx="13">
                        <c:v>45091</c:v>
                      </c:pt>
                      <c:pt idx="14">
                        <c:v>45092</c:v>
                      </c:pt>
                      <c:pt idx="15">
                        <c:v>45093</c:v>
                      </c:pt>
                      <c:pt idx="16">
                        <c:v>45094</c:v>
                      </c:pt>
                      <c:pt idx="17">
                        <c:v>45095</c:v>
                      </c:pt>
                      <c:pt idx="18">
                        <c:v>45096</c:v>
                      </c:pt>
                      <c:pt idx="19">
                        <c:v>45097</c:v>
                      </c:pt>
                      <c:pt idx="20">
                        <c:v>45098</c:v>
                      </c:pt>
                      <c:pt idx="21">
                        <c:v>45099</c:v>
                      </c:pt>
                      <c:pt idx="22">
                        <c:v>45100</c:v>
                      </c:pt>
                      <c:pt idx="23">
                        <c:v>45101</c:v>
                      </c:pt>
                      <c:pt idx="24">
                        <c:v>45102</c:v>
                      </c:pt>
                      <c:pt idx="25">
                        <c:v>45103</c:v>
                      </c:pt>
                      <c:pt idx="26">
                        <c:v>45104</c:v>
                      </c:pt>
                      <c:pt idx="27">
                        <c:v>45105</c:v>
                      </c:pt>
                      <c:pt idx="28">
                        <c:v>45106</c:v>
                      </c:pt>
                      <c:pt idx="29">
                        <c:v>45107</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0B-3A03-4FAB-AD91-215D527B0EBE}"/>
                  </c:ext>
                </c:extLst>
              </c15:ser>
            </c15:filteredLineSeries>
          </c:ext>
        </c:extLst>
      </c:lineChart>
      <c:dateAx>
        <c:axId val="110782336"/>
        <c:scaling>
          <c:orientation val="minMax"/>
          <c:max val="44926"/>
          <c:min val="44896"/>
        </c:scaling>
        <c:delete val="0"/>
        <c:axPos val="b"/>
        <c:numFmt formatCode="dd" sourceLinked="1"/>
        <c:majorTickMark val="out"/>
        <c:minorTickMark val="none"/>
        <c:tickLblPos val="nextTo"/>
        <c:crossAx val="110783872"/>
        <c:crosses val="autoZero"/>
        <c:auto val="0"/>
        <c:lblOffset val="100"/>
        <c:baseTimeUnit val="days"/>
      </c:dateAx>
      <c:valAx>
        <c:axId val="110783872"/>
        <c:scaling>
          <c:orientation val="minMax"/>
          <c:max val="380"/>
          <c:min val="0"/>
        </c:scaling>
        <c:delete val="0"/>
        <c:axPos val="l"/>
        <c:majorGridlines/>
        <c:numFmt formatCode="0.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GTA28 A GAS</a:t>
            </a:r>
          </a:p>
        </c:rich>
      </c:tx>
      <c:overlay val="0"/>
    </c:title>
    <c:autoTitleDeleted val="0"/>
    <c:plotArea>
      <c:layout/>
      <c:lineChart>
        <c:grouping val="standard"/>
        <c:varyColors val="0"/>
        <c:ser>
          <c:idx val="0"/>
          <c:order val="0"/>
          <c:tx>
            <c:strRef>
              <c:f>'FAC  NW'!$C$9</c:f>
              <c:strCache>
                <c:ptCount val="1"/>
                <c:pt idx="0">
                  <c:v>Mwh</c:v>
                </c:pt>
              </c:strCache>
            </c:strRef>
          </c:tx>
          <c:marker>
            <c:symbol val="none"/>
          </c:marker>
          <c:cat>
            <c:numRef>
              <c:extLst>
                <c:ext xmlns:c16="http://schemas.microsoft.com/office/drawing/2014/chart" uri="{F5D05F6E-A05E-4728-AFD3-386EB277150F}">
                  <c16:filteredLitCache>
                    <c:numCache>
                      <c:formatCode>General</c:formatCode>
                      <c:ptCount val="1"/>
                      <c:pt idx="30">
                        <c:v>31</c:v>
                      </c:pt>
                    </c:numCache>
                  </c16:filteredLitCache>
                </c:ext>
              </c:extLst>
              <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extLst>
                <c:ext xmlns:c15="http://schemas.microsoft.com/office/drawing/2012/chart" uri="{02D57815-91ED-43cb-92C2-25804820EDAC}">
                  <c15:fullRef>
                    <c15:sqref>'FAC  NW'!$C$10:$C$40</c15:sqref>
                  </c15:fullRef>
                </c:ext>
              </c:extLst>
              <c:f>'FAC  NW'!$C$10:$C$39</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BE4E-44CF-BB57-FB3DD76CFF04}"/>
            </c:ext>
          </c:extLst>
        </c:ser>
        <c:dLbls>
          <c:showLegendKey val="0"/>
          <c:showVal val="0"/>
          <c:showCatName val="0"/>
          <c:showSerName val="0"/>
          <c:showPercent val="0"/>
          <c:showBubbleSize val="0"/>
        </c:dLbls>
        <c:smooth val="0"/>
        <c:axId val="110269952"/>
        <c:axId val="110271488"/>
      </c:lineChart>
      <c:catAx>
        <c:axId val="110269952"/>
        <c:scaling>
          <c:orientation val="minMax"/>
        </c:scaling>
        <c:delete val="0"/>
        <c:axPos val="b"/>
        <c:numFmt formatCode="General" sourceLinked="1"/>
        <c:majorTickMark val="none"/>
        <c:minorTickMark val="none"/>
        <c:tickLblPos val="nextTo"/>
        <c:crossAx val="110271488"/>
        <c:crosses val="autoZero"/>
        <c:auto val="1"/>
        <c:lblAlgn val="ctr"/>
        <c:lblOffset val="100"/>
        <c:noMultiLvlLbl val="0"/>
      </c:catAx>
      <c:valAx>
        <c:axId val="110271488"/>
        <c:scaling>
          <c:orientation val="minMax"/>
        </c:scaling>
        <c:delete val="0"/>
        <c:axPos val="l"/>
        <c:title>
          <c:tx>
            <c:rich>
              <a:bodyPr/>
              <a:lstStyle/>
              <a:p>
                <a:pPr>
                  <a:defRPr/>
                </a:pPr>
                <a:r>
                  <a:rPr lang="es-ES"/>
                  <a:t>MWH</a:t>
                </a:r>
              </a:p>
            </c:rich>
          </c:tx>
          <c:overlay val="0"/>
        </c:title>
        <c:numFmt formatCode="0.00" sourceLinked="1"/>
        <c:majorTickMark val="none"/>
        <c:minorTickMark val="none"/>
        <c:tickLblPos val="nextTo"/>
        <c:crossAx val="110269952"/>
        <c:crosses val="autoZero"/>
        <c:crossBetween val="between"/>
      </c:valAx>
      <c:dTable>
        <c:showHorzBorder val="1"/>
        <c:showVertBorder val="1"/>
        <c:showOutline val="1"/>
        <c:showKeys val="1"/>
        <c:txPr>
          <a:bodyPr/>
          <a:lstStyle/>
          <a:p>
            <a:pPr rtl="0">
              <a:defRPr sz="800"/>
            </a:pPr>
            <a:endParaRPr lang="es-MX"/>
          </a:p>
        </c:txPr>
      </c:dTable>
      <c:spPr>
        <a:ln>
          <a:gradFill>
            <a:gsLst>
              <a:gs pos="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a:ln>
      </c:spPr>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G-0102 A DIESEL</a:t>
            </a:r>
          </a:p>
        </c:rich>
      </c:tx>
      <c:overlay val="0"/>
    </c:title>
    <c:autoTitleDeleted val="0"/>
    <c:plotArea>
      <c:layout/>
      <c:lineChart>
        <c:grouping val="standard"/>
        <c:varyColors val="0"/>
        <c:ser>
          <c:idx val="0"/>
          <c:order val="0"/>
          <c:tx>
            <c:strRef>
              <c:f>'FAC  NW'!$F$8:$H$8</c:f>
              <c:strCache>
                <c:ptCount val="1"/>
                <c:pt idx="0">
                  <c:v>DIESEL  [GEN. 0102]</c:v>
                </c:pt>
              </c:strCache>
            </c:strRef>
          </c:tx>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'FAC  NW'!$F$10:$F$40</c15:sqref>
                  </c15:fullRef>
                </c:ext>
              </c:extLst>
              <c:f>'FAC  NW'!$F$10:$F$39</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320E-4F8A-A479-B74C4C234C11}"/>
            </c:ext>
          </c:extLst>
        </c:ser>
        <c:dLbls>
          <c:showLegendKey val="0"/>
          <c:showVal val="0"/>
          <c:showCatName val="0"/>
          <c:showSerName val="0"/>
          <c:showPercent val="0"/>
          <c:showBubbleSize val="0"/>
        </c:dLbls>
        <c:smooth val="0"/>
        <c:axId val="110314240"/>
        <c:axId val="110315776"/>
      </c:lineChart>
      <c:catAx>
        <c:axId val="110314240"/>
        <c:scaling>
          <c:orientation val="minMax"/>
        </c:scaling>
        <c:delete val="0"/>
        <c:axPos val="b"/>
        <c:numFmt formatCode="General" sourceLinked="1"/>
        <c:majorTickMark val="none"/>
        <c:minorTickMark val="none"/>
        <c:tickLblPos val="nextTo"/>
        <c:crossAx val="110315776"/>
        <c:crosses val="autoZero"/>
        <c:auto val="1"/>
        <c:lblAlgn val="ctr"/>
        <c:lblOffset val="100"/>
        <c:noMultiLvlLbl val="0"/>
      </c:catAx>
      <c:valAx>
        <c:axId val="110315776"/>
        <c:scaling>
          <c:orientation val="minMax"/>
        </c:scaling>
        <c:delete val="0"/>
        <c:axPos val="l"/>
        <c:title>
          <c:tx>
            <c:rich>
              <a:bodyPr/>
              <a:lstStyle/>
              <a:p>
                <a:pPr>
                  <a:defRPr/>
                </a:pPr>
                <a:r>
                  <a:rPr lang="es-ES"/>
                  <a:t>MWH</a:t>
                </a:r>
              </a:p>
            </c:rich>
          </c:tx>
          <c:overlay val="0"/>
        </c:title>
        <c:numFmt formatCode="0.00" sourceLinked="1"/>
        <c:majorTickMark val="none"/>
        <c:minorTickMark val="none"/>
        <c:tickLblPos val="nextTo"/>
        <c:crossAx val="110314240"/>
        <c:crosses val="autoZero"/>
        <c:crossBetween val="between"/>
      </c:valAx>
      <c:dTable>
        <c:showHorzBorder val="1"/>
        <c:showVertBorder val="1"/>
        <c:showOutline val="1"/>
        <c:showKeys val="1"/>
        <c:txPr>
          <a:bodyPr/>
          <a:lstStyle/>
          <a:p>
            <a:pPr rtl="0">
              <a:defRPr sz="800"/>
            </a:pPr>
            <a:endParaRPr lang="es-MX"/>
          </a:p>
        </c:txPr>
      </c:dTable>
      <c:spPr>
        <a:ln>
          <a:gradFill>
            <a:gsLst>
              <a:gs pos="0">
                <a:schemeClr val="accent1">
                  <a:tint val="66000"/>
                  <a:satMod val="160000"/>
                </a:schemeClr>
              </a:gs>
              <a:gs pos="94000">
                <a:schemeClr val="accent1">
                  <a:tint val="44500"/>
                  <a:satMod val="160000"/>
                </a:schemeClr>
              </a:gs>
              <a:gs pos="100000">
                <a:schemeClr val="accent1">
                  <a:tint val="23500"/>
                  <a:satMod val="160000"/>
                </a:schemeClr>
              </a:gs>
            </a:gsLst>
            <a:lin ang="5400000" scaled="0"/>
          </a:gradFill>
        </a:ln>
      </c:spPr>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b="1"/>
              <a:t>INTENSIDAD ENERGÉTICA GDP</a:t>
            </a:r>
          </a:p>
        </c:rich>
      </c:tx>
      <c:overlay val="0"/>
      <c:spPr>
        <a:noFill/>
        <a:ln>
          <a:noFill/>
        </a:ln>
        <a:effectLst/>
      </c:spPr>
    </c:title>
    <c:autoTitleDeleted val="0"/>
    <c:plotArea>
      <c:layout>
        <c:manualLayout>
          <c:layoutTarget val="inner"/>
          <c:xMode val="edge"/>
          <c:yMode val="edge"/>
          <c:x val="0.15705336832895889"/>
          <c:y val="0.16041666666666668"/>
          <c:w val="0.81008508311461058"/>
          <c:h val="0.65247270017173775"/>
        </c:manualLayout>
      </c:layout>
      <c:lineChart>
        <c:grouping val="standard"/>
        <c:varyColors val="0"/>
        <c:ser>
          <c:idx val="0"/>
          <c:order val="0"/>
          <c:tx>
            <c:strRef>
              <c:f>INDICADORES!$H$6</c:f>
              <c:strCache>
                <c:ptCount val="1"/>
                <c:pt idx="0">
                  <c:v>IE_GDP</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F4FC-430D-8C71-6DB660068B12}"/>
                </c:ext>
              </c:extLst>
            </c:dLbl>
            <c:dLbl>
              <c:idx val="1"/>
              <c:delete val="1"/>
              <c:extLst>
                <c:ext xmlns:c15="http://schemas.microsoft.com/office/drawing/2012/chart" uri="{CE6537A1-D6FC-4f65-9D91-7224C49458BB}"/>
                <c:ext xmlns:c16="http://schemas.microsoft.com/office/drawing/2014/chart" uri="{C3380CC4-5D6E-409C-BE32-E72D297353CC}">
                  <c16:uniqueId val="{00000001-F4FC-430D-8C71-6DB660068B12}"/>
                </c:ext>
              </c:extLst>
            </c:dLbl>
            <c:dLbl>
              <c:idx val="2"/>
              <c:delete val="1"/>
              <c:extLst>
                <c:ext xmlns:c15="http://schemas.microsoft.com/office/drawing/2012/chart" uri="{CE6537A1-D6FC-4f65-9D91-7224C49458BB}"/>
                <c:ext xmlns:c16="http://schemas.microsoft.com/office/drawing/2014/chart" uri="{C3380CC4-5D6E-409C-BE32-E72D297353CC}">
                  <c16:uniqueId val="{00000002-F4FC-430D-8C71-6DB660068B12}"/>
                </c:ext>
              </c:extLst>
            </c:dLbl>
            <c:dLbl>
              <c:idx val="3"/>
              <c:delete val="1"/>
              <c:extLst>
                <c:ext xmlns:c15="http://schemas.microsoft.com/office/drawing/2012/chart" uri="{CE6537A1-D6FC-4f65-9D91-7224C49458BB}"/>
                <c:ext xmlns:c16="http://schemas.microsoft.com/office/drawing/2014/chart" uri="{C3380CC4-5D6E-409C-BE32-E72D297353CC}">
                  <c16:uniqueId val="{00000003-F4FC-430D-8C71-6DB660068B12}"/>
                </c:ext>
              </c:extLst>
            </c:dLbl>
            <c:dLbl>
              <c:idx val="4"/>
              <c:layout>
                <c:manualLayout>
                  <c:x val="-3.6111111111111212E-2"/>
                  <c:y val="4.68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4FC-430D-8C71-6DB660068B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INDICADORES!$B$7:$B$11</c:f>
              <c:strCache>
                <c:ptCount val="5"/>
                <c:pt idx="0">
                  <c:v>ENE</c:v>
                </c:pt>
                <c:pt idx="1">
                  <c:v>FEB</c:v>
                </c:pt>
                <c:pt idx="2">
                  <c:v>MAR</c:v>
                </c:pt>
                <c:pt idx="3">
                  <c:v>ABR</c:v>
                </c:pt>
                <c:pt idx="4">
                  <c:v>MAY</c:v>
                </c:pt>
              </c:strCache>
            </c:strRef>
          </c:cat>
          <c:val>
            <c:numRef>
              <c:f>INDICADORES!$H$7:$H$11</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F4FC-430D-8C71-6DB660068B12}"/>
            </c:ext>
          </c:extLst>
        </c:ser>
        <c:ser>
          <c:idx val="1"/>
          <c:order val="1"/>
          <c:tx>
            <c:strRef>
              <c:f>INDICADORES!$J$6</c:f>
              <c:strCache>
                <c:ptCount val="1"/>
                <c:pt idx="0">
                  <c:v>IE_META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F4FC-430D-8C71-6DB660068B12}"/>
                </c:ext>
              </c:extLst>
            </c:dLbl>
            <c:dLbl>
              <c:idx val="1"/>
              <c:delete val="1"/>
              <c:extLst>
                <c:ext xmlns:c15="http://schemas.microsoft.com/office/drawing/2012/chart" uri="{CE6537A1-D6FC-4f65-9D91-7224C49458BB}"/>
                <c:ext xmlns:c16="http://schemas.microsoft.com/office/drawing/2014/chart" uri="{C3380CC4-5D6E-409C-BE32-E72D297353CC}">
                  <c16:uniqueId val="{00000007-F4FC-430D-8C71-6DB660068B12}"/>
                </c:ext>
              </c:extLst>
            </c:dLbl>
            <c:dLbl>
              <c:idx val="2"/>
              <c:delete val="1"/>
              <c:extLst>
                <c:ext xmlns:c15="http://schemas.microsoft.com/office/drawing/2012/chart" uri="{CE6537A1-D6FC-4f65-9D91-7224C49458BB}"/>
                <c:ext xmlns:c16="http://schemas.microsoft.com/office/drawing/2014/chart" uri="{C3380CC4-5D6E-409C-BE32-E72D297353CC}">
                  <c16:uniqueId val="{00000008-F4FC-430D-8C71-6DB660068B12}"/>
                </c:ext>
              </c:extLst>
            </c:dLbl>
            <c:dLbl>
              <c:idx val="3"/>
              <c:delete val="1"/>
              <c:extLst>
                <c:ext xmlns:c15="http://schemas.microsoft.com/office/drawing/2012/chart" uri="{CE6537A1-D6FC-4f65-9D91-7224C49458BB}"/>
                <c:ext xmlns:c16="http://schemas.microsoft.com/office/drawing/2014/chart" uri="{C3380CC4-5D6E-409C-BE32-E72D297353CC}">
                  <c16:uniqueId val="{00000009-F4FC-430D-8C71-6DB660068B12}"/>
                </c:ext>
              </c:extLst>
            </c:dLbl>
            <c:dLbl>
              <c:idx val="4"/>
              <c:layout>
                <c:manualLayout>
                  <c:x val="-3.6111111111111212E-2"/>
                  <c:y val="-3.1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4FC-430D-8C71-6DB660068B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INDICADORES!$B$7:$B$11</c:f>
              <c:strCache>
                <c:ptCount val="5"/>
                <c:pt idx="0">
                  <c:v>ENE</c:v>
                </c:pt>
                <c:pt idx="1">
                  <c:v>FEB</c:v>
                </c:pt>
                <c:pt idx="2">
                  <c:v>MAR</c:v>
                </c:pt>
                <c:pt idx="3">
                  <c:v>ABR</c:v>
                </c:pt>
                <c:pt idx="4">
                  <c:v>MAY</c:v>
                </c:pt>
              </c:strCache>
            </c:strRef>
          </c:cat>
          <c:val>
            <c:numRef>
              <c:f>INDICADORES!$J$7:$J$11</c:f>
              <c:numCache>
                <c:formatCode>General</c:formatCode>
                <c:ptCount val="5"/>
                <c:pt idx="0">
                  <c:v>13</c:v>
                </c:pt>
                <c:pt idx="1">
                  <c:v>13</c:v>
                </c:pt>
                <c:pt idx="2">
                  <c:v>13</c:v>
                </c:pt>
                <c:pt idx="3">
                  <c:v>13</c:v>
                </c:pt>
                <c:pt idx="4">
                  <c:v>13</c:v>
                </c:pt>
              </c:numCache>
            </c:numRef>
          </c:val>
          <c:smooth val="0"/>
          <c:extLst>
            <c:ext xmlns:c16="http://schemas.microsoft.com/office/drawing/2014/chart" uri="{C3380CC4-5D6E-409C-BE32-E72D297353CC}">
              <c16:uniqueId val="{0000000B-F4FC-430D-8C71-6DB660068B12}"/>
            </c:ext>
          </c:extLst>
        </c:ser>
        <c:dLbls>
          <c:showLegendKey val="0"/>
          <c:showVal val="0"/>
          <c:showCatName val="0"/>
          <c:showSerName val="0"/>
          <c:showPercent val="0"/>
          <c:showBubbleSize val="0"/>
        </c:dLbls>
        <c:marker val="1"/>
        <c:smooth val="0"/>
        <c:axId val="113575424"/>
        <c:axId val="113576960"/>
        <c:extLst>
          <c:ext xmlns:c15="http://schemas.microsoft.com/office/drawing/2012/chart" uri="{02D57815-91ED-43cb-92C2-25804820EDAC}">
            <c15:filteredLineSeries>
              <c15:ser>
                <c:idx val="2"/>
                <c:order val="2"/>
                <c:tx>
                  <c:v>IE_CPF CUPIAGUA</c:v>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extLst>
                      <c:ext uri="{02D57815-91ED-43cb-92C2-25804820EDAC}">
                        <c15:formulaRef>
                          <c15:sqref>INDICADORES!$I$7:$I$11</c15:sqref>
                        </c15:formulaRef>
                      </c:ext>
                    </c:extLst>
                    <c:numCache>
                      <c:formatCode>0.00</c:formatCode>
                      <c:ptCount val="5"/>
                      <c:pt idx="0">
                        <c:v>9.5288164118080214</c:v>
                      </c:pt>
                      <c:pt idx="1">
                        <c:v>11.083624940121577</c:v>
                      </c:pt>
                      <c:pt idx="2">
                        <c:v>10.937902659853474</c:v>
                      </c:pt>
                      <c:pt idx="3">
                        <c:v>11.621563291070965</c:v>
                      </c:pt>
                      <c:pt idx="4">
                        <c:v>11.798352662098205</c:v>
                      </c:pt>
                    </c:numCache>
                  </c:numRef>
                </c:val>
                <c:smooth val="0"/>
                <c:extLst>
                  <c:ext xmlns:c16="http://schemas.microsoft.com/office/drawing/2014/chart" uri="{C3380CC4-5D6E-409C-BE32-E72D297353CC}">
                    <c16:uniqueId val="{0000000C-F4FC-430D-8C71-6DB660068B12}"/>
                  </c:ext>
                </c:extLst>
              </c15:ser>
            </c15:filteredLineSeries>
          </c:ext>
        </c:extLst>
      </c:lineChart>
      <c:catAx>
        <c:axId val="11357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3576960"/>
        <c:crosses val="autoZero"/>
        <c:auto val="1"/>
        <c:lblAlgn val="ctr"/>
        <c:lblOffset val="100"/>
        <c:noMultiLvlLbl val="0"/>
      </c:catAx>
      <c:valAx>
        <c:axId val="113576960"/>
        <c:scaling>
          <c:orientation val="minMax"/>
          <c:min val="9"/>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KWh/BEPD</a:t>
                </a:r>
              </a:p>
            </c:rich>
          </c:tx>
          <c:overlay val="0"/>
          <c:spPr>
            <a:noFill/>
            <a:ln>
              <a:noFill/>
            </a:ln>
            <a:effectLst/>
          </c:sp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3575424"/>
        <c:crosses val="autoZero"/>
        <c:crossBetween val="between"/>
      </c:valAx>
      <c:spPr>
        <a:noFill/>
        <a:ln>
          <a:noFill/>
        </a:ln>
        <a:effectLst/>
      </c:spPr>
    </c:plotArea>
    <c:legend>
      <c:legendPos val="r"/>
      <c:layout>
        <c:manualLayout>
          <c:xMode val="edge"/>
          <c:yMode val="edge"/>
          <c:x val="0.13658289588801401"/>
          <c:y val="0.91947808993011682"/>
          <c:w val="0.77175043744531924"/>
          <c:h val="7.7547389909594616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HEAT</a:t>
            </a:r>
            <a:r>
              <a:rPr lang="es-CO" baseline="0"/>
              <a:t>  RATE - GT1</a:t>
            </a:r>
            <a:endParaRPr lang="es-CO"/>
          </a:p>
        </c:rich>
      </c:tx>
      <c:overlay val="0"/>
      <c:spPr>
        <a:noFill/>
        <a:ln>
          <a:noFill/>
        </a:ln>
        <a:effectLst/>
      </c:spPr>
    </c:title>
    <c:autoTitleDeleted val="0"/>
    <c:plotArea>
      <c:layout/>
      <c:lineChart>
        <c:grouping val="standard"/>
        <c:varyColors val="0"/>
        <c:ser>
          <c:idx val="1"/>
          <c:order val="0"/>
          <c:tx>
            <c:strRef>
              <c:f>INDICADORES!$J$24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'[11]Heat rate'!$B$21:$B$25</c:f>
              <c:strCache>
                <c:ptCount val="5"/>
                <c:pt idx="0">
                  <c:v>ENE</c:v>
                </c:pt>
                <c:pt idx="1">
                  <c:v>FEB.</c:v>
                </c:pt>
                <c:pt idx="2">
                  <c:v>MAR.</c:v>
                </c:pt>
                <c:pt idx="3">
                  <c:v>ABR.</c:v>
                </c:pt>
                <c:pt idx="4">
                  <c:v>MAY.</c:v>
                </c:pt>
              </c:strCache>
            </c:strRef>
          </c:cat>
          <c:val>
            <c:numRef>
              <c:f>INDICADORES!$J$26:$J$31</c:f>
              <c:numCache>
                <c:formatCode>General</c:formatCode>
                <c:ptCount val="6"/>
                <c:pt idx="0">
                  <c:v>17800</c:v>
                </c:pt>
                <c:pt idx="1">
                  <c:v>17800</c:v>
                </c:pt>
                <c:pt idx="2">
                  <c:v>17800</c:v>
                </c:pt>
                <c:pt idx="3">
                  <c:v>17800</c:v>
                </c:pt>
                <c:pt idx="4">
                  <c:v>17800</c:v>
                </c:pt>
                <c:pt idx="5">
                  <c:v>17800</c:v>
                </c:pt>
              </c:numCache>
            </c:numRef>
          </c:val>
          <c:smooth val="0"/>
          <c:extLst>
            <c:ext xmlns:c16="http://schemas.microsoft.com/office/drawing/2014/chart" uri="{C3380CC4-5D6E-409C-BE32-E72D297353CC}">
              <c16:uniqueId val="{00000000-64CC-4477-9A8C-B4736C4C6077}"/>
            </c:ext>
          </c:extLst>
        </c:ser>
        <c:ser>
          <c:idx val="0"/>
          <c:order val="1"/>
          <c:tx>
            <c:strRef>
              <c:f>INDICADORES!$E$25</c:f>
              <c:strCache>
                <c:ptCount val="1"/>
                <c:pt idx="0">
                  <c:v>Heat rate GT1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'[11]Heat rate'!$B$21:$B$25</c:f>
              <c:strCache>
                <c:ptCount val="5"/>
                <c:pt idx="0">
                  <c:v>ENE</c:v>
                </c:pt>
                <c:pt idx="1">
                  <c:v>FEB.</c:v>
                </c:pt>
                <c:pt idx="2">
                  <c:v>MAR.</c:v>
                </c:pt>
                <c:pt idx="3">
                  <c:v>ABR.</c:v>
                </c:pt>
                <c:pt idx="4">
                  <c:v>MAY.</c:v>
                </c:pt>
              </c:strCache>
            </c:strRef>
          </c:cat>
          <c:val>
            <c:numRef>
              <c:f>INDICADORES!$E$26:$E$31</c:f>
              <c:numCache>
                <c:formatCode>0</c:formatCode>
                <c:ptCount val="6"/>
                <c:pt idx="0">
                  <c:v>19257.635456532502</c:v>
                </c:pt>
                <c:pt idx="1">
                  <c:v>14719.620763419984</c:v>
                </c:pt>
                <c:pt idx="2">
                  <c:v>14663.107519215522</c:v>
                </c:pt>
                <c:pt idx="3">
                  <c:v>14198.130111091508</c:v>
                </c:pt>
                <c:pt idx="4">
                  <c:v>17079.389297868187</c:v>
                </c:pt>
                <c:pt idx="5">
                  <c:v>14624.691164285716</c:v>
                </c:pt>
              </c:numCache>
            </c:numRef>
          </c:val>
          <c:smooth val="0"/>
          <c:extLst>
            <c:ext xmlns:c16="http://schemas.microsoft.com/office/drawing/2014/chart" uri="{C3380CC4-5D6E-409C-BE32-E72D297353CC}">
              <c16:uniqueId val="{00000001-64CC-4477-9A8C-B4736C4C6077}"/>
            </c:ext>
          </c:extLst>
        </c:ser>
        <c:dLbls>
          <c:showLegendKey val="0"/>
          <c:showVal val="0"/>
          <c:showCatName val="0"/>
          <c:showSerName val="0"/>
          <c:showPercent val="0"/>
          <c:showBubbleSize val="0"/>
        </c:dLbls>
        <c:marker val="1"/>
        <c:smooth val="0"/>
        <c:axId val="113627136"/>
        <c:axId val="113629056"/>
      </c:lineChart>
      <c:catAx>
        <c:axId val="11362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3629056"/>
        <c:crosses val="autoZero"/>
        <c:auto val="1"/>
        <c:lblAlgn val="ctr"/>
        <c:lblOffset val="100"/>
        <c:noMultiLvlLbl val="0"/>
      </c:catAx>
      <c:valAx>
        <c:axId val="113629056"/>
        <c:scaling>
          <c:orientation val="minMax"/>
          <c:min val="1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3627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HEAT</a:t>
            </a:r>
            <a:r>
              <a:rPr lang="es-CO" baseline="0"/>
              <a:t>  RATE - GT2</a:t>
            </a:r>
            <a:endParaRPr lang="es-CO"/>
          </a:p>
        </c:rich>
      </c:tx>
      <c:overlay val="0"/>
      <c:spPr>
        <a:noFill/>
        <a:ln>
          <a:noFill/>
        </a:ln>
        <a:effectLst/>
      </c:spPr>
    </c:title>
    <c:autoTitleDeleted val="0"/>
    <c:plotArea>
      <c:layout/>
      <c:lineChart>
        <c:grouping val="standard"/>
        <c:varyColors val="0"/>
        <c:ser>
          <c:idx val="1"/>
          <c:order val="0"/>
          <c:tx>
            <c:strRef>
              <c:f>INDICADORES!$J$24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INDICADORES!$B$26:$B$31</c:f>
              <c:strCache>
                <c:ptCount val="6"/>
                <c:pt idx="0">
                  <c:v>ENE</c:v>
                </c:pt>
                <c:pt idx="1">
                  <c:v>FEB</c:v>
                </c:pt>
                <c:pt idx="2">
                  <c:v>MAR</c:v>
                </c:pt>
                <c:pt idx="3">
                  <c:v>ABR</c:v>
                </c:pt>
                <c:pt idx="4">
                  <c:v>MAY</c:v>
                </c:pt>
                <c:pt idx="5">
                  <c:v>JUN</c:v>
                </c:pt>
              </c:strCache>
            </c:strRef>
          </c:cat>
          <c:val>
            <c:numRef>
              <c:f>INDICADORES!$H$26:$H$31</c:f>
              <c:numCache>
                <c:formatCode>0</c:formatCode>
                <c:ptCount val="6"/>
                <c:pt idx="0">
                  <c:v>15727.254280442019</c:v>
                </c:pt>
                <c:pt idx="1">
                  <c:v>22086.208766542994</c:v>
                </c:pt>
                <c:pt idx="2">
                  <c:v>21532.787451380816</c:v>
                </c:pt>
                <c:pt idx="3">
                  <c:v>22856.044678075454</c:v>
                </c:pt>
                <c:pt idx="4">
                  <c:v>17993.272738642354</c:v>
                </c:pt>
                <c:pt idx="5">
                  <c:v>21855.900686577184</c:v>
                </c:pt>
              </c:numCache>
            </c:numRef>
          </c:val>
          <c:smooth val="0"/>
          <c:extLst>
            <c:ext xmlns:c16="http://schemas.microsoft.com/office/drawing/2014/chart" uri="{C3380CC4-5D6E-409C-BE32-E72D297353CC}">
              <c16:uniqueId val="{00000000-EC17-40C8-A95C-4A3047EF4B20}"/>
            </c:ext>
          </c:extLst>
        </c:ser>
        <c:ser>
          <c:idx val="0"/>
          <c:order val="1"/>
          <c:tx>
            <c:strRef>
              <c:f>INDICADORES!$H$25</c:f>
              <c:strCache>
                <c:ptCount val="1"/>
                <c:pt idx="0">
                  <c:v>Heat rate GT2</c:v>
                </c:pt>
              </c:strCache>
            </c:strRef>
          </c:tx>
          <c:cat>
            <c:strRef>
              <c:f>INDICADORES!$B$26:$B$31</c:f>
              <c:strCache>
                <c:ptCount val="6"/>
                <c:pt idx="0">
                  <c:v>ENE</c:v>
                </c:pt>
                <c:pt idx="1">
                  <c:v>FEB</c:v>
                </c:pt>
                <c:pt idx="2">
                  <c:v>MAR</c:v>
                </c:pt>
                <c:pt idx="3">
                  <c:v>ABR</c:v>
                </c:pt>
                <c:pt idx="4">
                  <c:v>MAY</c:v>
                </c:pt>
                <c:pt idx="5">
                  <c:v>JUN</c:v>
                </c:pt>
              </c:strCache>
            </c:strRef>
          </c:cat>
          <c:val>
            <c:numRef>
              <c:f>INDICADORES!$J$26:$J$31</c:f>
              <c:numCache>
                <c:formatCode>General</c:formatCode>
                <c:ptCount val="6"/>
                <c:pt idx="0">
                  <c:v>17800</c:v>
                </c:pt>
                <c:pt idx="1">
                  <c:v>17800</c:v>
                </c:pt>
                <c:pt idx="2">
                  <c:v>17800</c:v>
                </c:pt>
                <c:pt idx="3">
                  <c:v>17800</c:v>
                </c:pt>
                <c:pt idx="4">
                  <c:v>17800</c:v>
                </c:pt>
                <c:pt idx="5">
                  <c:v>17800</c:v>
                </c:pt>
              </c:numCache>
            </c:numRef>
          </c:val>
          <c:smooth val="0"/>
          <c:extLst>
            <c:ext xmlns:c16="http://schemas.microsoft.com/office/drawing/2014/chart" uri="{C3380CC4-5D6E-409C-BE32-E72D297353CC}">
              <c16:uniqueId val="{00000001-EC17-40C8-A95C-4A3047EF4B20}"/>
            </c:ext>
          </c:extLst>
        </c:ser>
        <c:dLbls>
          <c:showLegendKey val="0"/>
          <c:showVal val="0"/>
          <c:showCatName val="0"/>
          <c:showSerName val="0"/>
          <c:showPercent val="0"/>
          <c:showBubbleSize val="0"/>
        </c:dLbls>
        <c:marker val="1"/>
        <c:smooth val="0"/>
        <c:axId val="116230400"/>
        <c:axId val="115568640"/>
      </c:lineChart>
      <c:catAx>
        <c:axId val="11623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5568640"/>
        <c:crosses val="autoZero"/>
        <c:auto val="1"/>
        <c:lblAlgn val="ctr"/>
        <c:lblOffset val="100"/>
        <c:noMultiLvlLbl val="0"/>
      </c:catAx>
      <c:valAx>
        <c:axId val="115568640"/>
        <c:scaling>
          <c:orientation val="minMax"/>
          <c:max val="22000"/>
          <c:min val="12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6230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0877635393615"/>
          <c:y val="7.4666666666666673E-2"/>
          <c:w val="0.85995871431103788"/>
          <c:h val="0.69027527559055113"/>
        </c:manualLayout>
      </c:layout>
      <c:lineChart>
        <c:grouping val="standard"/>
        <c:varyColors val="0"/>
        <c:ser>
          <c:idx val="0"/>
          <c:order val="0"/>
          <c:tx>
            <c:strRef>
              <c:f>INDICADORES!$F$48</c:f>
              <c:strCache>
                <c:ptCount val="1"/>
                <c:pt idx="0">
                  <c:v>Factor de producción G1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INDICADORES!$F$49:$F$54</c:f>
              <c:numCache>
                <c:formatCode>0.00%</c:formatCode>
                <c:ptCount val="6"/>
                <c:pt idx="0">
                  <c:v>0.36102793640993774</c:v>
                </c:pt>
                <c:pt idx="1">
                  <c:v>0.57873091820460476</c:v>
                </c:pt>
                <c:pt idx="2">
                  <c:v>0.58026187168801568</c:v>
                </c:pt>
                <c:pt idx="3">
                  <c:v>0.62355226506377526</c:v>
                </c:pt>
                <c:pt idx="4">
                  <c:v>0.45200202155090308</c:v>
                </c:pt>
                <c:pt idx="5">
                  <c:v>0.5861244019138756</c:v>
                </c:pt>
              </c:numCache>
            </c:numRef>
          </c:val>
          <c:smooth val="0"/>
          <c:extLst>
            <c:ext xmlns:c16="http://schemas.microsoft.com/office/drawing/2014/chart" uri="{C3380CC4-5D6E-409C-BE32-E72D297353CC}">
              <c16:uniqueId val="{00000000-8009-4D76-9488-EAB64675F33E}"/>
            </c:ext>
          </c:extLst>
        </c:ser>
        <c:ser>
          <c:idx val="1"/>
          <c:order val="1"/>
          <c:tx>
            <c:strRef>
              <c:f>INDICADORES!$J$48</c:f>
              <c:strCache>
                <c:ptCount val="1"/>
                <c:pt idx="0">
                  <c:v>Factor de producción G2</c:v>
                </c:pt>
              </c:strCache>
            </c:strRef>
          </c:tx>
          <c:val>
            <c:numRef>
              <c:f>INDICADORES!$J$49:$J$54</c:f>
              <c:numCache>
                <c:formatCode>0.00%</c:formatCode>
                <c:ptCount val="6"/>
                <c:pt idx="0">
                  <c:v>0.51039255029068287</c:v>
                </c:pt>
                <c:pt idx="1">
                  <c:v>0.29385487969598273</c:v>
                </c:pt>
                <c:pt idx="2">
                  <c:v>0.3026071410197046</c:v>
                </c:pt>
                <c:pt idx="3">
                  <c:v>0.28516564685679002</c:v>
                </c:pt>
                <c:pt idx="4">
                  <c:v>0.40329654782116575</c:v>
                </c:pt>
                <c:pt idx="5">
                  <c:v>0.2970494417862839</c:v>
                </c:pt>
              </c:numCache>
            </c:numRef>
          </c:val>
          <c:smooth val="0"/>
          <c:extLst>
            <c:ext xmlns:c16="http://schemas.microsoft.com/office/drawing/2014/chart" uri="{C3380CC4-5D6E-409C-BE32-E72D297353CC}">
              <c16:uniqueId val="{00000001-8009-4D76-9488-EAB64675F33E}"/>
            </c:ext>
          </c:extLst>
        </c:ser>
        <c:ser>
          <c:idx val="2"/>
          <c:order val="2"/>
          <c:tx>
            <c:strRef>
              <c:f>INDICADORES!$M$48</c:f>
              <c:strCache>
                <c:ptCount val="1"/>
                <c:pt idx="0">
                  <c:v>Factor de producción Sistema</c:v>
                </c:pt>
              </c:strCache>
            </c:strRef>
          </c:tx>
          <c:val>
            <c:numRef>
              <c:f>INDICADORES!$M$49:$M$54</c:f>
              <c:numCache>
                <c:formatCode>0.00%</c:formatCode>
                <c:ptCount val="6"/>
                <c:pt idx="0">
                  <c:v>0.43571024335031028</c:v>
                </c:pt>
                <c:pt idx="1">
                  <c:v>0.43767742267806103</c:v>
                </c:pt>
                <c:pt idx="2">
                  <c:v>0.44143450635386011</c:v>
                </c:pt>
                <c:pt idx="3">
                  <c:v>0.49684024257366699</c:v>
                </c:pt>
                <c:pt idx="4">
                  <c:v>0.42193850645675696</c:v>
                </c:pt>
                <c:pt idx="5">
                  <c:v>0.44158692185007975</c:v>
                </c:pt>
              </c:numCache>
            </c:numRef>
          </c:val>
          <c:smooth val="0"/>
          <c:extLst>
            <c:ext xmlns:c16="http://schemas.microsoft.com/office/drawing/2014/chart" uri="{C3380CC4-5D6E-409C-BE32-E72D297353CC}">
              <c16:uniqueId val="{00000002-8009-4D76-9488-EAB64675F33E}"/>
            </c:ext>
          </c:extLst>
        </c:ser>
        <c:dLbls>
          <c:showLegendKey val="0"/>
          <c:showVal val="0"/>
          <c:showCatName val="0"/>
          <c:showSerName val="0"/>
          <c:showPercent val="0"/>
          <c:showBubbleSize val="0"/>
        </c:dLbls>
        <c:marker val="1"/>
        <c:smooth val="0"/>
        <c:axId val="115278976"/>
        <c:axId val="115280512"/>
      </c:lineChart>
      <c:catAx>
        <c:axId val="11527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5280512"/>
        <c:crosses val="autoZero"/>
        <c:auto val="1"/>
        <c:lblAlgn val="ctr"/>
        <c:lblOffset val="100"/>
        <c:noMultiLvlLbl val="0"/>
      </c:catAx>
      <c:valAx>
        <c:axId val="115280512"/>
        <c:scaling>
          <c:orientation val="minMax"/>
          <c:min val="0.2"/>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5278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a:pPr>
            <a:r>
              <a:rPr lang="es-CO"/>
              <a:t>Costos Fijos Vs Variables</a:t>
            </a:r>
          </a:p>
        </c:rich>
      </c:tx>
      <c:overlay val="1"/>
    </c:title>
    <c:autoTitleDeleted val="0"/>
    <c:plotArea>
      <c:layout>
        <c:manualLayout>
          <c:layoutTarget val="inner"/>
          <c:xMode val="edge"/>
          <c:yMode val="edge"/>
          <c:x val="0.12549024902713621"/>
          <c:y val="0.20042716535433072"/>
          <c:w val="0.6491676878722894"/>
          <c:h val="0.75331233595800529"/>
        </c:manualLayout>
      </c:layout>
      <c:barChart>
        <c:barDir val="col"/>
        <c:grouping val="clustered"/>
        <c:varyColors val="0"/>
        <c:ser>
          <c:idx val="1"/>
          <c:order val="1"/>
          <c:tx>
            <c:strRef>
              <c:f>'Resultados Mes &amp; Acum'!$C$19:$D$19</c:f>
              <c:strCache>
                <c:ptCount val="2"/>
                <c:pt idx="0">
                  <c:v>TOTAL COSTOS VARIABLES</c:v>
                </c:pt>
              </c:strCache>
            </c:strRef>
          </c:tx>
          <c:invertIfNegative val="0"/>
          <c:dLbls>
            <c:spPr>
              <a:gradFill>
                <a:gsLst>
                  <a:gs pos="0">
                    <a:srgbClr val="5E9EFF"/>
                  </a:gs>
                  <a:gs pos="39999">
                    <a:srgbClr val="85C2FF"/>
                  </a:gs>
                  <a:gs pos="70000">
                    <a:srgbClr val="C4D6EB"/>
                  </a:gs>
                  <a:gs pos="100000">
                    <a:srgbClr val="FFEBFA"/>
                  </a:gs>
                </a:gsLst>
                <a:lin ang="5400000" scaled="0"/>
              </a:gradFill>
              <a:ln w="12700" cap="flat" cmpd="sng" algn="ctr">
                <a:solidFill>
                  <a:schemeClr val="accent1">
                    <a:lumMod val="75000"/>
                  </a:schemeClr>
                </a:solidFill>
                <a:prstDash val="solid"/>
              </a:ln>
              <a:effectLst/>
            </c:spPr>
            <c:txPr>
              <a:bodyPr/>
              <a:lstStyle/>
              <a:p>
                <a:pPr>
                  <a:defRPr sz="700" baseline="0">
                    <a:solidFill>
                      <a:schemeClr val="dk1"/>
                    </a:solidFill>
                    <a:latin typeface="+mn-lt"/>
                    <a:ea typeface="+mn-ea"/>
                    <a:cs typeface="+mn-cs"/>
                  </a:defRPr>
                </a:pPr>
                <a:endParaRPr lang="es-MX"/>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'Resultados Mes &amp; Acum'!$E$13:$P$13</c:f>
              <c:numCache>
                <c:formatCode>mmm\-yy</c:formatCode>
                <c:ptCount val="12"/>
                <c:pt idx="0">
                  <c:v>44592</c:v>
                </c:pt>
                <c:pt idx="1">
                  <c:v>44620</c:v>
                </c:pt>
                <c:pt idx="2">
                  <c:v>44651</c:v>
                </c:pt>
                <c:pt idx="3">
                  <c:v>44681</c:v>
                </c:pt>
                <c:pt idx="4">
                  <c:v>44712</c:v>
                </c:pt>
                <c:pt idx="5">
                  <c:v>44742</c:v>
                </c:pt>
                <c:pt idx="6">
                  <c:v>44773</c:v>
                </c:pt>
                <c:pt idx="7">
                  <c:v>44804</c:v>
                </c:pt>
                <c:pt idx="8">
                  <c:v>44834</c:v>
                </c:pt>
                <c:pt idx="9">
                  <c:v>44865</c:v>
                </c:pt>
                <c:pt idx="10">
                  <c:v>44895</c:v>
                </c:pt>
                <c:pt idx="11">
                  <c:v>44926</c:v>
                </c:pt>
              </c:numCache>
            </c:numRef>
          </c:cat>
          <c:val>
            <c:numRef>
              <c:f>'Resultados Mes &amp; Acum'!$E$19:$P$19</c:f>
              <c:numCache>
                <c:formatCode>_("$"\ * #,##0_);_("$"\ * \(#,##0\);_("$"\ * "-"??_);_(@_)</c:formatCode>
                <c:ptCount val="12"/>
                <c:pt idx="0">
                  <c:v>947591.99999998778</c:v>
                </c:pt>
                <c:pt idx="1">
                  <c:v>992303.9999999865</c:v>
                </c:pt>
                <c:pt idx="2">
                  <c:v>368063.99999998941</c:v>
                </c:pt>
                <c:pt idx="3">
                  <c:v>6845688.0000000214</c:v>
                </c:pt>
                <c:pt idx="4">
                  <c:v>928152.00000000547</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09D0-4287-BDF8-1285D363F5C3}"/>
            </c:ext>
          </c:extLst>
        </c:ser>
        <c:ser>
          <c:idx val="2"/>
          <c:order val="2"/>
          <c:tx>
            <c:strRef>
              <c:f>'Resultados Mes &amp; Acum'!$C$28:$D$28</c:f>
              <c:strCache>
                <c:ptCount val="2"/>
                <c:pt idx="0">
                  <c:v>COSTO TOTAL DE GENERACION</c:v>
                </c:pt>
                <c:pt idx="1">
                  <c:v>COP/mes</c:v>
                </c:pt>
              </c:strCache>
            </c:strRef>
          </c:tx>
          <c:invertIfNegative val="0"/>
          <c:dLbls>
            <c:spPr>
              <a:gradFill>
                <a:gsLst>
                  <a:gs pos="0">
                    <a:srgbClr val="FFEFD1"/>
                  </a:gs>
                  <a:gs pos="51000">
                    <a:srgbClr val="F0EBD5"/>
                  </a:gs>
                  <a:gs pos="100000">
                    <a:srgbClr val="D1C39F"/>
                  </a:gs>
                </a:gsLst>
                <a:lin ang="5400000" scaled="0"/>
              </a:gradFill>
              <a:ln w="12700" cap="flat" cmpd="sng" algn="ctr">
                <a:gradFill>
                  <a:gsLst>
                    <a:gs pos="0">
                      <a:srgbClr val="000082"/>
                    </a:gs>
                    <a:gs pos="30000">
                      <a:srgbClr val="66008F"/>
                    </a:gs>
                    <a:gs pos="64999">
                      <a:srgbClr val="BA0066"/>
                    </a:gs>
                    <a:gs pos="89999">
                      <a:srgbClr val="FF0000"/>
                    </a:gs>
                    <a:gs pos="100000">
                      <a:srgbClr val="FF8200"/>
                    </a:gs>
                  </a:gsLst>
                  <a:lin ang="5400000" scaled="0"/>
                </a:gradFill>
                <a:prstDash val="solid"/>
              </a:ln>
              <a:effectLst/>
            </c:spPr>
            <c:txPr>
              <a:bodyPr/>
              <a:lstStyle/>
              <a:p>
                <a:pPr>
                  <a:defRPr sz="700" baseline="0">
                    <a:solidFill>
                      <a:schemeClr val="dk1"/>
                    </a:solidFill>
                    <a:latin typeface="+mn-lt"/>
                    <a:ea typeface="+mn-ea"/>
                    <a:cs typeface="+mn-cs"/>
                  </a:defRPr>
                </a:pPr>
                <a:endParaRPr lang="es-MX"/>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'Resultados Mes &amp; Acum'!$E$13:$P$13</c:f>
              <c:numCache>
                <c:formatCode>mmm\-yy</c:formatCode>
                <c:ptCount val="12"/>
                <c:pt idx="0">
                  <c:v>44592</c:v>
                </c:pt>
                <c:pt idx="1">
                  <c:v>44620</c:v>
                </c:pt>
                <c:pt idx="2">
                  <c:v>44651</c:v>
                </c:pt>
                <c:pt idx="3">
                  <c:v>44681</c:v>
                </c:pt>
                <c:pt idx="4">
                  <c:v>44712</c:v>
                </c:pt>
                <c:pt idx="5">
                  <c:v>44742</c:v>
                </c:pt>
                <c:pt idx="6">
                  <c:v>44773</c:v>
                </c:pt>
                <c:pt idx="7">
                  <c:v>44804</c:v>
                </c:pt>
                <c:pt idx="8">
                  <c:v>44834</c:v>
                </c:pt>
                <c:pt idx="9">
                  <c:v>44865</c:v>
                </c:pt>
                <c:pt idx="10">
                  <c:v>44895</c:v>
                </c:pt>
                <c:pt idx="11">
                  <c:v>44926</c:v>
                </c:pt>
              </c:numCache>
            </c:numRef>
          </c:cat>
          <c:val>
            <c:numRef>
              <c:f>'Resultados Mes &amp; Acum'!$E$28:$P$28</c:f>
              <c:numCache>
                <c:formatCode>_("$"\ * #,##0_);_("$"\ * \(#,##0\);_("$"\ * "-"??_);_(@_)</c:formatCode>
                <c:ptCount val="12"/>
                <c:pt idx="0">
                  <c:v>72403881.354944423</c:v>
                </c:pt>
                <c:pt idx="1">
                  <c:v>30480755.444444425</c:v>
                </c:pt>
                <c:pt idx="2">
                  <c:v>29856543.444444429</c:v>
                </c:pt>
                <c:pt idx="3">
                  <c:v>36334198.444444463</c:v>
                </c:pt>
                <c:pt idx="4">
                  <c:v>30416692.444444444</c:v>
                </c:pt>
                <c:pt idx="5">
                  <c:v>29488571.44444444</c:v>
                </c:pt>
                <c:pt idx="6">
                  <c:v>29488601.44444444</c:v>
                </c:pt>
                <c:pt idx="7">
                  <c:v>29488632.44444444</c:v>
                </c:pt>
                <c:pt idx="8">
                  <c:v>29488663.44444444</c:v>
                </c:pt>
                <c:pt idx="9">
                  <c:v>29488693.44444444</c:v>
                </c:pt>
                <c:pt idx="10">
                  <c:v>29488724.44444444</c:v>
                </c:pt>
                <c:pt idx="11">
                  <c:v>29488754.44444444</c:v>
                </c:pt>
              </c:numCache>
            </c:numRef>
          </c:val>
          <c:extLst>
            <c:ext xmlns:c16="http://schemas.microsoft.com/office/drawing/2014/chart" uri="{C3380CC4-5D6E-409C-BE32-E72D297353CC}">
              <c16:uniqueId val="{00000001-09D0-4287-BDF8-1285D363F5C3}"/>
            </c:ext>
          </c:extLst>
        </c:ser>
        <c:dLbls>
          <c:showLegendKey val="0"/>
          <c:showVal val="0"/>
          <c:showCatName val="0"/>
          <c:showSerName val="0"/>
          <c:showPercent val="0"/>
          <c:showBubbleSize val="0"/>
        </c:dLbls>
        <c:gapWidth val="150"/>
        <c:axId val="111629056"/>
        <c:axId val="111630592"/>
      </c:barChart>
      <c:lineChart>
        <c:grouping val="standard"/>
        <c:varyColors val="0"/>
        <c:ser>
          <c:idx val="0"/>
          <c:order val="0"/>
          <c:tx>
            <c:strRef>
              <c:f>'Resultados Mes &amp; Acum'!$C$14:$D$14</c:f>
              <c:strCache>
                <c:ptCount val="2"/>
                <c:pt idx="0">
                  <c:v>TOTAL COSTOS FIJOS</c:v>
                </c:pt>
              </c:strCache>
            </c:strRef>
          </c:tx>
          <c:cat>
            <c:numRef>
              <c:f>'Resultados Mes &amp; Acum'!$E$13:$P$13</c:f>
              <c:numCache>
                <c:formatCode>mmm\-yy</c:formatCode>
                <c:ptCount val="12"/>
                <c:pt idx="0">
                  <c:v>44592</c:v>
                </c:pt>
                <c:pt idx="1">
                  <c:v>44620</c:v>
                </c:pt>
                <c:pt idx="2">
                  <c:v>44651</c:v>
                </c:pt>
                <c:pt idx="3">
                  <c:v>44681</c:v>
                </c:pt>
                <c:pt idx="4">
                  <c:v>44712</c:v>
                </c:pt>
                <c:pt idx="5">
                  <c:v>44742</c:v>
                </c:pt>
                <c:pt idx="6">
                  <c:v>44773</c:v>
                </c:pt>
                <c:pt idx="7">
                  <c:v>44804</c:v>
                </c:pt>
                <c:pt idx="8">
                  <c:v>44834</c:v>
                </c:pt>
                <c:pt idx="9">
                  <c:v>44865</c:v>
                </c:pt>
                <c:pt idx="10">
                  <c:v>44895</c:v>
                </c:pt>
                <c:pt idx="11">
                  <c:v>44926</c:v>
                </c:pt>
              </c:numCache>
            </c:numRef>
          </c:cat>
          <c:val>
            <c:numRef>
              <c:f>'Resultados Mes &amp; Acum'!$E$14:$P$14</c:f>
              <c:numCache>
                <c:formatCode>_("$"\ * #,##0_);_("$"\ * \(#,##0\);_("$"\ * "-"??_);_(@_)</c:formatCode>
                <c:ptCount val="12"/>
                <c:pt idx="0">
                  <c:v>71456289.354944438</c:v>
                </c:pt>
                <c:pt idx="1">
                  <c:v>29488451.44444444</c:v>
                </c:pt>
                <c:pt idx="2">
                  <c:v>29488479.44444444</c:v>
                </c:pt>
                <c:pt idx="3">
                  <c:v>29488510.44444444</c:v>
                </c:pt>
                <c:pt idx="4">
                  <c:v>29488540.44444444</c:v>
                </c:pt>
                <c:pt idx="5">
                  <c:v>29488571.44444444</c:v>
                </c:pt>
                <c:pt idx="6">
                  <c:v>29488601.44444444</c:v>
                </c:pt>
                <c:pt idx="7">
                  <c:v>29488632.44444444</c:v>
                </c:pt>
                <c:pt idx="8">
                  <c:v>29488663.44444444</c:v>
                </c:pt>
                <c:pt idx="9">
                  <c:v>29488693.44444444</c:v>
                </c:pt>
                <c:pt idx="10">
                  <c:v>29488724.44444444</c:v>
                </c:pt>
                <c:pt idx="11">
                  <c:v>29488754.44444444</c:v>
                </c:pt>
              </c:numCache>
            </c:numRef>
          </c:val>
          <c:smooth val="0"/>
          <c:extLst>
            <c:ext xmlns:c16="http://schemas.microsoft.com/office/drawing/2014/chart" uri="{C3380CC4-5D6E-409C-BE32-E72D297353CC}">
              <c16:uniqueId val="{00000002-09D0-4287-BDF8-1285D363F5C3}"/>
            </c:ext>
          </c:extLst>
        </c:ser>
        <c:dLbls>
          <c:showLegendKey val="0"/>
          <c:showVal val="0"/>
          <c:showCatName val="0"/>
          <c:showSerName val="0"/>
          <c:showPercent val="0"/>
          <c:showBubbleSize val="0"/>
        </c:dLbls>
        <c:marker val="1"/>
        <c:smooth val="0"/>
        <c:axId val="111629056"/>
        <c:axId val="111630592"/>
      </c:lineChart>
      <c:dateAx>
        <c:axId val="111629056"/>
        <c:scaling>
          <c:orientation val="minMax"/>
        </c:scaling>
        <c:delete val="0"/>
        <c:axPos val="b"/>
        <c:numFmt formatCode="mmm\-yy" sourceLinked="1"/>
        <c:majorTickMark val="out"/>
        <c:minorTickMark val="none"/>
        <c:tickLblPos val="nextTo"/>
        <c:txPr>
          <a:bodyPr rot="0" vert="horz"/>
          <a:lstStyle/>
          <a:p>
            <a:pPr>
              <a:defRPr/>
            </a:pPr>
            <a:endParaRPr lang="es-MX"/>
          </a:p>
        </c:txPr>
        <c:crossAx val="111630592"/>
        <c:crosses val="autoZero"/>
        <c:auto val="1"/>
        <c:lblOffset val="100"/>
        <c:baseTimeUnit val="months"/>
      </c:dateAx>
      <c:valAx>
        <c:axId val="111630592"/>
        <c:scaling>
          <c:orientation val="minMax"/>
          <c:max val="420000000"/>
        </c:scaling>
        <c:delete val="0"/>
        <c:axPos val="l"/>
        <c:majorGridlines/>
        <c:title>
          <c:overlay val="0"/>
        </c:title>
        <c:numFmt formatCode="_(&quot;$&quot;\ * #,##0_);_(&quot;$&quot;\ * \(#,##0\);_(&quot;$&quot;\ * &quot;-&quot;??_);_(@_)" sourceLinked="1"/>
        <c:majorTickMark val="out"/>
        <c:minorTickMark val="none"/>
        <c:tickLblPos val="nextTo"/>
        <c:crossAx val="111629056"/>
        <c:crosses val="autoZero"/>
        <c:crossBetween val="between"/>
      </c:valAx>
    </c:plotArea>
    <c:legend>
      <c:legendPos val="r"/>
      <c:legendEntry>
        <c:idx val="0"/>
        <c:txPr>
          <a:bodyPr/>
          <a:lstStyle/>
          <a:p>
            <a:pPr>
              <a:defRPr sz="800" baseline="0"/>
            </a:pPr>
            <a:endParaRPr lang="es-MX"/>
          </a:p>
        </c:txPr>
      </c:legendEntry>
      <c:legendEntry>
        <c:idx val="1"/>
        <c:txPr>
          <a:bodyPr/>
          <a:lstStyle/>
          <a:p>
            <a:pPr>
              <a:defRPr sz="800" baseline="0"/>
            </a:pPr>
            <a:endParaRPr lang="es-MX"/>
          </a:p>
        </c:txPr>
      </c:legendEntry>
      <c:legendEntry>
        <c:idx val="2"/>
        <c:txPr>
          <a:bodyPr/>
          <a:lstStyle/>
          <a:p>
            <a:pPr>
              <a:defRPr sz="800" baseline="0"/>
            </a:pPr>
            <a:endParaRPr lang="es-MX"/>
          </a:p>
        </c:txPr>
      </c:legendEntry>
      <c:layout>
        <c:manualLayout>
          <c:xMode val="edge"/>
          <c:yMode val="edge"/>
          <c:x val="0.76571456330058452"/>
          <c:y val="0.38698162729658792"/>
          <c:w val="0.1849539819822604"/>
          <c:h val="0.18008417051316861"/>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4"/>
    </mc:Choice>
    <mc:Fallback>
      <c:style val="44"/>
    </mc:Fallback>
  </mc:AlternateContent>
  <c:chart>
    <c:title>
      <c:tx>
        <c:rich>
          <a:bodyPr/>
          <a:lstStyle/>
          <a:p>
            <a:pPr>
              <a:defRPr/>
            </a:pPr>
            <a:r>
              <a:rPr lang="es-CO"/>
              <a:t>Costo Total de Generación  COP/kWh </a:t>
            </a:r>
          </a:p>
        </c:rich>
      </c:tx>
      <c:overlay val="0"/>
    </c:title>
    <c:autoTitleDeleted val="0"/>
    <c:plotArea>
      <c:layout>
        <c:manualLayout>
          <c:layoutTarget val="inner"/>
          <c:xMode val="edge"/>
          <c:yMode val="edge"/>
          <c:x val="8.2862100561129678E-2"/>
          <c:y val="0.19480351414406533"/>
          <c:w val="0.71038867933223682"/>
          <c:h val="0.68921660834062404"/>
        </c:manualLayout>
      </c:layout>
      <c:barChart>
        <c:barDir val="col"/>
        <c:grouping val="clustered"/>
        <c:varyColors val="0"/>
        <c:ser>
          <c:idx val="0"/>
          <c:order val="0"/>
          <c:tx>
            <c:strRef>
              <c:f>'Resultados Mes &amp; Acum'!$C$42:$D$42</c:f>
              <c:strCache>
                <c:ptCount val="2"/>
                <c:pt idx="0">
                  <c:v>Costo Total de Generación  COP/kWh</c:v>
                </c:pt>
                <c:pt idx="1">
                  <c:v>COP/kWh</c:v>
                </c:pt>
              </c:strCache>
            </c:strRef>
          </c:tx>
          <c:invertIfNegative val="0"/>
          <c:dLbls>
            <c:spPr>
              <a:blipFill>
                <a:blip xmlns:r="http://schemas.openxmlformats.org/officeDocument/2006/relationships" r:embed="rId1"/>
                <a:tile tx="0" ty="0" sx="100000" sy="100000" flip="none" algn="tl"/>
              </a:blipFill>
              <a:ln w="25400" cap="flat" cmpd="sng" algn="ctr">
                <a:solidFill>
                  <a:schemeClr val="bg1"/>
                </a:solidFill>
                <a:prstDash val="solid"/>
              </a:ln>
              <a:effectLst/>
            </c:spPr>
            <c:txPr>
              <a:bodyPr/>
              <a:lstStyle/>
              <a:p>
                <a:pPr>
                  <a:defRPr>
                    <a:solidFill>
                      <a:schemeClr val="dk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'Resultados Mes &amp; Acum'!$E$31:$P$31</c:f>
              <c:numCache>
                <c:formatCode>mmm\-yy</c:formatCode>
                <c:ptCount val="12"/>
                <c:pt idx="0">
                  <c:v>44592</c:v>
                </c:pt>
                <c:pt idx="1">
                  <c:v>44620</c:v>
                </c:pt>
                <c:pt idx="2">
                  <c:v>44651</c:v>
                </c:pt>
                <c:pt idx="3">
                  <c:v>44681</c:v>
                </c:pt>
                <c:pt idx="4">
                  <c:v>44712</c:v>
                </c:pt>
                <c:pt idx="5">
                  <c:v>44742</c:v>
                </c:pt>
                <c:pt idx="6">
                  <c:v>44773</c:v>
                </c:pt>
                <c:pt idx="7">
                  <c:v>44804</c:v>
                </c:pt>
                <c:pt idx="8">
                  <c:v>44834</c:v>
                </c:pt>
                <c:pt idx="9">
                  <c:v>44865</c:v>
                </c:pt>
                <c:pt idx="10">
                  <c:v>44895</c:v>
                </c:pt>
                <c:pt idx="11">
                  <c:v>44926</c:v>
                </c:pt>
              </c:numCache>
            </c:numRef>
          </c:cat>
          <c:val>
            <c:numRef>
              <c:f>'Resultados Mes &amp; Acum'!$E$42:$P$42</c:f>
              <c:numCache>
                <c:formatCode>_("$"* #,##0.00_);_("$"* \(#,##0.00\);_("$"* "-"??_);_(@_)</c:formatCode>
                <c:ptCount val="12"/>
                <c:pt idx="0">
                  <c:v>5.3770427846289426</c:v>
                </c:pt>
                <c:pt idx="1">
                  <c:v>2.4901084726164582</c:v>
                </c:pt>
                <c:pt idx="2">
                  <c:v>2.1887823752009155</c:v>
                </c:pt>
                <c:pt idx="3">
                  <c:v>2.7802536835209843</c:v>
                </c:pt>
                <c:pt idx="4">
                  <c:v>2.3331066280047188</c:v>
                </c:pt>
                <c:pt idx="5">
                  <c:v>17.493161049548227</c:v>
                </c:pt>
                <c:pt idx="6">
                  <c:v>-330.38598895797929</c:v>
                </c:pt>
                <c:pt idx="7">
                  <c:v>-330.38633627745719</c:v>
                </c:pt>
                <c:pt idx="8">
                  <c:v>-341.7786676453922</c:v>
                </c:pt>
                <c:pt idx="9">
                  <c:v>-330.38701971255887</c:v>
                </c:pt>
                <c:pt idx="10">
                  <c:v>-341.7793746458558</c:v>
                </c:pt>
                <c:pt idx="11">
                  <c:v>-330.38770314766055</c:v>
                </c:pt>
              </c:numCache>
            </c:numRef>
          </c:val>
          <c:extLst>
            <c:ext xmlns:c16="http://schemas.microsoft.com/office/drawing/2014/chart" uri="{C3380CC4-5D6E-409C-BE32-E72D297353CC}">
              <c16:uniqueId val="{00000000-94CE-4DEF-987B-DD4C1730FAD2}"/>
            </c:ext>
          </c:extLst>
        </c:ser>
        <c:dLbls>
          <c:showLegendKey val="0"/>
          <c:showVal val="0"/>
          <c:showCatName val="0"/>
          <c:showSerName val="0"/>
          <c:showPercent val="0"/>
          <c:showBubbleSize val="0"/>
        </c:dLbls>
        <c:gapWidth val="150"/>
        <c:axId val="111702400"/>
        <c:axId val="111703936"/>
      </c:barChart>
      <c:dateAx>
        <c:axId val="111702400"/>
        <c:scaling>
          <c:orientation val="minMax"/>
        </c:scaling>
        <c:delete val="0"/>
        <c:axPos val="b"/>
        <c:numFmt formatCode="mmm\-yy" sourceLinked="1"/>
        <c:majorTickMark val="out"/>
        <c:minorTickMark val="none"/>
        <c:tickLblPos val="nextTo"/>
        <c:crossAx val="111703936"/>
        <c:crosses val="autoZero"/>
        <c:auto val="1"/>
        <c:lblOffset val="100"/>
        <c:baseTimeUnit val="months"/>
      </c:dateAx>
      <c:valAx>
        <c:axId val="111703936"/>
        <c:scaling>
          <c:orientation val="minMax"/>
        </c:scaling>
        <c:delete val="0"/>
        <c:axPos val="l"/>
        <c:majorGridlines/>
        <c:numFmt formatCode="_(&quot;$&quot;* #,##0.00_);_(&quot;$&quot;* \(#,##0.00\);_(&quot;$&quot;* &quot;-&quot;??_);_(@_)" sourceLinked="1"/>
        <c:majorTickMark val="out"/>
        <c:minorTickMark val="none"/>
        <c:tickLblPos val="nextTo"/>
        <c:crossAx val="111702400"/>
        <c:crosses val="autoZero"/>
        <c:crossBetween val="between"/>
      </c:valAx>
    </c:plotArea>
    <c:legend>
      <c:legendPos val="r"/>
      <c:layout>
        <c:manualLayout>
          <c:xMode val="edge"/>
          <c:yMode val="edge"/>
          <c:x val="0.78338641363488437"/>
          <c:y val="0.45557669874599011"/>
          <c:w val="0.18866454863274965"/>
          <c:h val="0.13965660542432196"/>
        </c:manualLayout>
      </c:layout>
      <c:overlay val="0"/>
    </c:legend>
    <c:plotVisOnly val="0"/>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8"/>
    </mc:Choice>
    <mc:Fallback>
      <c:style val="48"/>
    </mc:Fallback>
  </mc:AlternateContent>
  <c:pivotSource>
    <c:name>[Ecopetrol Bal-Energia y Consumo Total 2023.xlsm]grafica1!Tabla dinámica7</c:name>
    <c:fmtId val="1"/>
  </c:pivotSource>
  <c:chart>
    <c:title>
      <c:overlay val="0"/>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marker>
          <c:symbol val="none"/>
        </c:marker>
        <c:dLbl>
          <c:idx val="0"/>
          <c:spPr>
            <a:noFill/>
            <a:ln>
              <a:noFill/>
            </a:ln>
            <a:effectLst/>
          </c:spPr>
          <c:txPr>
            <a:bodyPr wrap="square" lIns="38100" tIns="19050" rIns="38100" bIns="19050" anchor="ctr">
              <a:spAutoFit/>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a:noFill/>
            <a:ln>
              <a:noFill/>
            </a:ln>
            <a:effectLst/>
          </c:spPr>
          <c:txPr>
            <a:bodyPr wrap="square" lIns="38100" tIns="19050" rIns="38100" bIns="19050" anchor="ctr">
              <a:spAutoFit/>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spPr/>
          <c:txPr>
            <a:bodyPr rot="0" vert="horz" anchor="ctr" anchorCtr="0"/>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740497143739379E-2"/>
          <c:y val="0.19480351414406533"/>
          <c:w val="0.87841865060985036"/>
          <c:h val="0.58378225657572613"/>
        </c:manualLayout>
      </c:layout>
      <c:barChart>
        <c:barDir val="col"/>
        <c:grouping val="clustered"/>
        <c:varyColors val="0"/>
        <c:ser>
          <c:idx val="0"/>
          <c:order val="0"/>
          <c:tx>
            <c:strRef>
              <c:f>grafica1!$B$3:$B$4</c:f>
              <c:strCache>
                <c:ptCount val="1"/>
                <c:pt idx="0">
                  <c:v>Confiabilidad Mensual </c:v>
                </c:pt>
              </c:strCache>
            </c:strRef>
          </c:tx>
          <c:invertIfNegative val="0"/>
          <c:dLbls>
            <c:spPr>
              <a:noFill/>
              <a:ln>
                <a:noFill/>
              </a:ln>
              <a:effectLst/>
            </c:spPr>
            <c:txPr>
              <a:bodyPr wrap="square" lIns="38100" tIns="19050" rIns="38100" bIns="19050" anchor="ctr">
                <a:spAutoFit/>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grafica1!$A$5:$A$16</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grafica1!$B$5:$B$16</c:f>
              <c:numCache>
                <c:formatCode>0.00</c:formatCode>
                <c:ptCount val="12"/>
                <c:pt idx="0">
                  <c:v>1</c:v>
                </c:pt>
                <c:pt idx="1">
                  <c:v>1</c:v>
                </c:pt>
                <c:pt idx="2">
                  <c:v>1</c:v>
                </c:pt>
                <c:pt idx="3">
                  <c:v>1</c:v>
                </c:pt>
                <c:pt idx="4">
                  <c:v>1</c:v>
                </c:pt>
                <c:pt idx="5">
                  <c:v>1</c:v>
                </c:pt>
                <c:pt idx="6">
                  <c:v>1</c:v>
                </c:pt>
                <c:pt idx="7">
                  <c:v>1</c:v>
                </c:pt>
                <c:pt idx="8">
                  <c:v>1</c:v>
                </c:pt>
                <c:pt idx="9">
                  <c:v>1</c:v>
                </c:pt>
                <c:pt idx="10">
                  <c:v>1</c:v>
                </c:pt>
                <c:pt idx="11">
                  <c:v>0</c:v>
                </c:pt>
              </c:numCache>
            </c:numRef>
          </c:val>
          <c:extLst>
            <c:ext xmlns:c16="http://schemas.microsoft.com/office/drawing/2014/chart" uri="{C3380CC4-5D6E-409C-BE32-E72D297353CC}">
              <c16:uniqueId val="{00000000-0914-4EC6-9D54-7B5B2AFCF702}"/>
            </c:ext>
          </c:extLst>
        </c:ser>
        <c:dLbls>
          <c:showLegendKey val="0"/>
          <c:showVal val="0"/>
          <c:showCatName val="0"/>
          <c:showSerName val="0"/>
          <c:showPercent val="0"/>
          <c:showBubbleSize val="0"/>
        </c:dLbls>
        <c:gapWidth val="150"/>
        <c:overlap val="-76"/>
        <c:axId val="115892992"/>
        <c:axId val="115894528"/>
      </c:barChart>
      <c:catAx>
        <c:axId val="115892992"/>
        <c:scaling>
          <c:orientation val="minMax"/>
        </c:scaling>
        <c:delete val="0"/>
        <c:axPos val="b"/>
        <c:numFmt formatCode="General" sourceLinked="0"/>
        <c:majorTickMark val="none"/>
        <c:minorTickMark val="none"/>
        <c:tickLblPos val="nextTo"/>
        <c:crossAx val="115894528"/>
        <c:crosses val="autoZero"/>
        <c:auto val="1"/>
        <c:lblAlgn val="ctr"/>
        <c:lblOffset val="100"/>
        <c:noMultiLvlLbl val="0"/>
      </c:catAx>
      <c:valAx>
        <c:axId val="115894528"/>
        <c:scaling>
          <c:orientation val="minMax"/>
        </c:scaling>
        <c:delete val="0"/>
        <c:axPos val="l"/>
        <c:majorGridlines/>
        <c:numFmt formatCode="#,##0.00" sourceLinked="0"/>
        <c:majorTickMark val="none"/>
        <c:minorTickMark val="none"/>
        <c:tickLblPos val="nextTo"/>
        <c:crossAx val="11589299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pivotSource>
    <c:name>[Ecopetrol Bal-Energia y Consumo Total 2023.xlsm]Grafica costos variables!Tabla dinámica10</c:name>
    <c:fmtId val="1"/>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pivotFmt>
      <c:pivotFmt>
        <c:idx val="10"/>
      </c:pivotFmt>
      <c:pivotFmt>
        <c:idx val="11"/>
        <c:dLbl>
          <c:idx val="0"/>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1"/>
          <c:showCatName val="0"/>
          <c:showSerName val="0"/>
          <c:showPercent val="0"/>
          <c:showBubbleSize val="0"/>
          <c:extLst>
            <c:ext xmlns:c15="http://schemas.microsoft.com/office/drawing/2012/chart" uri="{CE6537A1-D6FC-4f65-9D91-7224C49458BB}"/>
          </c:extLst>
        </c:dLbl>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dLbl>
          <c:idx val="0"/>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1"/>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dLbl>
          <c:idx val="0"/>
          <c:showLegendKey val="0"/>
          <c:showVal val="1"/>
          <c:showCatName val="0"/>
          <c:showSerName val="0"/>
          <c:showPercent val="0"/>
          <c:showBubbleSize val="0"/>
          <c:extLst>
            <c:ext xmlns:c15="http://schemas.microsoft.com/office/drawing/2012/chart" uri="{CE6537A1-D6FC-4f65-9D91-7224C49458BB}"/>
          </c:extLst>
        </c:dLbl>
      </c:pivotFmt>
      <c:pivotFmt>
        <c:idx val="29"/>
        <c:dLbl>
          <c:idx val="0"/>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2"/>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3"/>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'Grafica costos variables'!$B$3</c:f>
              <c:strCache>
                <c:ptCount val="1"/>
                <c:pt idx="0">
                  <c:v>Suma de ene-16</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'Grafica costos variables'!$A$4:$A$8</c:f>
              <c:multiLvlStrCache>
                <c:ptCount val="1"/>
                <c:lvl>
                  <c:pt idx="0">
                    <c:v>0</c:v>
                  </c:pt>
                </c:lvl>
                <c:lvl>
                  <c:pt idx="0">
                    <c:v>0</c:v>
                  </c:pt>
                </c:lvl>
                <c:lvl>
                  <c:pt idx="0">
                    <c:v>COP/mes</c:v>
                  </c:pt>
                </c:lvl>
                <c:lvl>
                  <c:pt idx="0">
                    <c:v>Costo Consumo de aceite Lubricante  (DTE-832) </c:v>
                  </c:pt>
                </c:lvl>
              </c:multiLvlStrCache>
            </c:multiLvlStrRef>
          </c:cat>
          <c:val>
            <c:numRef>
              <c:f>'Grafica costos variables'!$B$4:$B$8</c:f>
              <c:numCache>
                <c:formatCode>_("$"\ * #,##0_);_("$"\ * \(#,##0\);_("$"\ * "-"??_);_(@_)</c:formatCode>
                <c:ptCount val="1"/>
                <c:pt idx="0">
                  <c:v>7069425</c:v>
                </c:pt>
              </c:numCache>
            </c:numRef>
          </c:val>
          <c:extLst>
            <c:ext xmlns:c16="http://schemas.microsoft.com/office/drawing/2014/chart" uri="{C3380CC4-5D6E-409C-BE32-E72D297353CC}">
              <c16:uniqueId val="{00000000-5755-4061-B255-D3A40CD8E587}"/>
            </c:ext>
          </c:extLst>
        </c:ser>
        <c:ser>
          <c:idx val="1"/>
          <c:order val="1"/>
          <c:tx>
            <c:strRef>
              <c:f>'Grafica costos variables'!$C$3</c:f>
              <c:strCache>
                <c:ptCount val="1"/>
                <c:pt idx="0">
                  <c:v>Suma de feb-16</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'Grafica costos variables'!$A$4:$A$8</c:f>
              <c:multiLvlStrCache>
                <c:ptCount val="1"/>
                <c:lvl>
                  <c:pt idx="0">
                    <c:v>0</c:v>
                  </c:pt>
                </c:lvl>
                <c:lvl>
                  <c:pt idx="0">
                    <c:v>0</c:v>
                  </c:pt>
                </c:lvl>
                <c:lvl>
                  <c:pt idx="0">
                    <c:v>COP/mes</c:v>
                  </c:pt>
                </c:lvl>
                <c:lvl>
                  <c:pt idx="0">
                    <c:v>Costo Consumo de aceite Lubricante  (DTE-832) </c:v>
                  </c:pt>
                </c:lvl>
              </c:multiLvlStrCache>
            </c:multiLvlStrRef>
          </c:cat>
          <c:val>
            <c:numRef>
              <c:f>'Grafica costos variables'!$C$4:$C$8</c:f>
              <c:numCache>
                <c:formatCode>_("$"\ * #,##0_);_("$"\ * \(#,##0\);_("$"\ * "-"??_);_(@_)</c:formatCode>
                <c:ptCount val="1"/>
                <c:pt idx="0">
                  <c:v>11782375</c:v>
                </c:pt>
              </c:numCache>
            </c:numRef>
          </c:val>
          <c:extLst>
            <c:ext xmlns:c16="http://schemas.microsoft.com/office/drawing/2014/chart" uri="{C3380CC4-5D6E-409C-BE32-E72D297353CC}">
              <c16:uniqueId val="{00000001-5755-4061-B255-D3A40CD8E587}"/>
            </c:ext>
          </c:extLst>
        </c:ser>
        <c:ser>
          <c:idx val="2"/>
          <c:order val="2"/>
          <c:tx>
            <c:strRef>
              <c:f>'Grafica costos variables'!$D$3</c:f>
              <c:strCache>
                <c:ptCount val="1"/>
                <c:pt idx="0">
                  <c:v>Suma de mar-16</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'Grafica costos variables'!$A$4:$A$8</c:f>
              <c:multiLvlStrCache>
                <c:ptCount val="1"/>
                <c:lvl>
                  <c:pt idx="0">
                    <c:v>0</c:v>
                  </c:pt>
                </c:lvl>
                <c:lvl>
                  <c:pt idx="0">
                    <c:v>0</c:v>
                  </c:pt>
                </c:lvl>
                <c:lvl>
                  <c:pt idx="0">
                    <c:v>COP/mes</c:v>
                  </c:pt>
                </c:lvl>
                <c:lvl>
                  <c:pt idx="0">
                    <c:v>Costo Consumo de aceite Lubricante  (DTE-832) </c:v>
                  </c:pt>
                </c:lvl>
              </c:multiLvlStrCache>
            </c:multiLvlStrRef>
          </c:cat>
          <c:val>
            <c:numRef>
              <c:f>'Grafica costos variables'!$D$4:$D$8</c:f>
              <c:numCache>
                <c:formatCode>_("$"\ * #,##0_);_("$"\ * \(#,##0\);_("$"\ * "-"??_);_(@_)</c:formatCode>
                <c:ptCount val="1"/>
                <c:pt idx="0">
                  <c:v>7069425</c:v>
                </c:pt>
              </c:numCache>
            </c:numRef>
          </c:val>
          <c:extLst>
            <c:ext xmlns:c16="http://schemas.microsoft.com/office/drawing/2014/chart" uri="{C3380CC4-5D6E-409C-BE32-E72D297353CC}">
              <c16:uniqueId val="{00000002-5755-4061-B255-D3A40CD8E587}"/>
            </c:ext>
          </c:extLst>
        </c:ser>
        <c:dLbls>
          <c:showLegendKey val="0"/>
          <c:showVal val="1"/>
          <c:showCatName val="0"/>
          <c:showSerName val="0"/>
          <c:showPercent val="0"/>
          <c:showBubbleSize val="0"/>
        </c:dLbls>
        <c:gapWidth val="126"/>
        <c:axId val="116060928"/>
        <c:axId val="116062464"/>
      </c:barChart>
      <c:catAx>
        <c:axId val="116060928"/>
        <c:scaling>
          <c:orientation val="minMax"/>
        </c:scaling>
        <c:delete val="0"/>
        <c:axPos val="b"/>
        <c:majorGridlines/>
        <c:numFmt formatCode="General" sourceLinked="0"/>
        <c:majorTickMark val="out"/>
        <c:minorTickMark val="none"/>
        <c:tickLblPos val="nextTo"/>
        <c:crossAx val="116062464"/>
        <c:crosses val="autoZero"/>
        <c:auto val="1"/>
        <c:lblAlgn val="ctr"/>
        <c:lblOffset val="100"/>
        <c:noMultiLvlLbl val="0"/>
      </c:catAx>
      <c:valAx>
        <c:axId val="116062464"/>
        <c:scaling>
          <c:orientation val="minMax"/>
        </c:scaling>
        <c:delete val="0"/>
        <c:axPos val="l"/>
        <c:majorGridlines/>
        <c:title>
          <c:tx>
            <c:rich>
              <a:bodyPr rot="-5400000" vert="horz"/>
              <a:lstStyle/>
              <a:p>
                <a:pPr>
                  <a:defRPr/>
                </a:pPr>
                <a:r>
                  <a:rPr lang="en-US"/>
                  <a:t>Costo</a:t>
                </a:r>
              </a:p>
            </c:rich>
          </c:tx>
          <c:overlay val="0"/>
        </c:title>
        <c:numFmt formatCode="_(&quot;$&quot;\ * #,##0_);_(&quot;$&quot;\ * \(#,##0\);_(&quot;$&quot;\ * &quot;-&quot;??_);_(@_)" sourceLinked="1"/>
        <c:majorTickMark val="out"/>
        <c:minorTickMark val="none"/>
        <c:tickLblPos val="nextTo"/>
        <c:crossAx val="116060928"/>
        <c:crosses val="autoZero"/>
        <c:crossBetween val="between"/>
      </c:valAx>
    </c:plotArea>
    <c:legend>
      <c:legendPos val="r"/>
      <c:overlay val="0"/>
    </c:legend>
    <c:plotVisOnly val="1"/>
    <c:dispBlanksAs val="gap"/>
    <c:showDLblsOverMax val="0"/>
  </c:chart>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pivotSource>
    <c:name>[Ecopetrol Bal-Energia y Consumo Total 2023.xlsm]metricas!Tabla dinámica16</c:name>
    <c:fmtId val="1"/>
  </c:pivotSource>
  <c:chart>
    <c:title>
      <c:tx>
        <c:rich>
          <a:bodyPr/>
          <a:lstStyle/>
          <a:p>
            <a:pPr>
              <a:defRPr/>
            </a:pPr>
            <a:r>
              <a:rPr lang="es-CO"/>
              <a:t>Metricas de desempeño técnico </a:t>
            </a:r>
          </a:p>
        </c:rich>
      </c:tx>
      <c:overlay val="0"/>
    </c:title>
    <c:autoTitleDeleted val="0"/>
    <c:pivotFmts>
      <c:pivotFmt>
        <c:idx val="0"/>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6"/>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8"/>
        <c:marker>
          <c:symbol val="none"/>
        </c:marker>
        <c:dLbl>
          <c:idx val="0"/>
          <c:spPr/>
          <c:txPr>
            <a:bodyPr/>
            <a:lstStyle/>
            <a:p>
              <a:pPr>
                <a:defRPr sz="700" baseline="0"/>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26"/>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27"/>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29"/>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2"/>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3"/>
        <c:marker>
          <c:symbol val="none"/>
        </c:marker>
        <c:dLbl>
          <c:idx val="0"/>
          <c:spPr/>
          <c:txPr>
            <a:bodyPr/>
            <a:lstStyle/>
            <a:p>
              <a:pPr>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dLbl>
          <c:idx val="0"/>
          <c:spPr/>
          <c:txPr>
            <a:bodyPr/>
            <a:lstStyle/>
            <a:p>
              <a:pPr>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marker>
          <c:symbol val="none"/>
        </c:marker>
        <c:dLbl>
          <c:idx val="0"/>
          <c:delete val="1"/>
          <c:extLst>
            <c:ext xmlns:c15="http://schemas.microsoft.com/office/drawing/2012/chart" uri="{CE6537A1-D6FC-4f65-9D91-7224C49458BB}"/>
          </c:extLst>
        </c:dLbl>
      </c:pivotFmt>
      <c:pivotFmt>
        <c:idx val="36"/>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6.1336279213963535E-2"/>
          <c:y val="0.12750775471247913"/>
          <c:w val="0.78404399368609601"/>
          <c:h val="0.79657814364113577"/>
        </c:manualLayout>
      </c:layout>
      <c:barChart>
        <c:barDir val="col"/>
        <c:grouping val="clustered"/>
        <c:varyColors val="0"/>
        <c:ser>
          <c:idx val="0"/>
          <c:order val="0"/>
          <c:tx>
            <c:strRef>
              <c:f>metricas!$B$2</c:f>
              <c:strCache>
                <c:ptCount val="1"/>
                <c:pt idx="0">
                  <c:v>Enero</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metricas!$B$3:$B$4</c:f>
              <c:numCache>
                <c:formatCode>0.00</c:formatCode>
                <c:ptCount val="1"/>
                <c:pt idx="0">
                  <c:v>-92.23</c:v>
                </c:pt>
              </c:numCache>
            </c:numRef>
          </c:val>
          <c:extLst>
            <c:ext xmlns:c16="http://schemas.microsoft.com/office/drawing/2014/chart" uri="{C3380CC4-5D6E-409C-BE32-E72D297353CC}">
              <c16:uniqueId val="{00000000-9269-4185-8291-009F69E5D5F8}"/>
            </c:ext>
          </c:extLst>
        </c:ser>
        <c:ser>
          <c:idx val="1"/>
          <c:order val="1"/>
          <c:tx>
            <c:strRef>
              <c:f>metricas!$C$2</c:f>
              <c:strCache>
                <c:ptCount val="1"/>
                <c:pt idx="0">
                  <c:v>Febrero</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metricas!$C$3:$C$4</c:f>
              <c:numCache>
                <c:formatCode>0.00</c:formatCode>
                <c:ptCount val="1"/>
                <c:pt idx="0">
                  <c:v>-86.28</c:v>
                </c:pt>
              </c:numCache>
            </c:numRef>
          </c:val>
          <c:extLst>
            <c:ext xmlns:c16="http://schemas.microsoft.com/office/drawing/2014/chart" uri="{C3380CC4-5D6E-409C-BE32-E72D297353CC}">
              <c16:uniqueId val="{00000001-9269-4185-8291-009F69E5D5F8}"/>
            </c:ext>
          </c:extLst>
        </c:ser>
        <c:ser>
          <c:idx val="2"/>
          <c:order val="2"/>
          <c:tx>
            <c:strRef>
              <c:f>metricas!$D$2</c:f>
              <c:strCache>
                <c:ptCount val="1"/>
                <c:pt idx="0">
                  <c:v>Marzo</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metricas!$D$3:$D$4</c:f>
              <c:numCache>
                <c:formatCode>0.00</c:formatCode>
                <c:ptCount val="1"/>
                <c:pt idx="0">
                  <c:v>-92.23</c:v>
                </c:pt>
              </c:numCache>
            </c:numRef>
          </c:val>
          <c:extLst>
            <c:ext xmlns:c16="http://schemas.microsoft.com/office/drawing/2014/chart" uri="{C3380CC4-5D6E-409C-BE32-E72D297353CC}">
              <c16:uniqueId val="{00000002-9269-4185-8291-009F69E5D5F8}"/>
            </c:ext>
          </c:extLst>
        </c:ser>
        <c:ser>
          <c:idx val="3"/>
          <c:order val="3"/>
          <c:tx>
            <c:strRef>
              <c:f>metricas!$E$2</c:f>
              <c:strCache>
                <c:ptCount val="1"/>
                <c:pt idx="0">
                  <c:v>Abril</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metricas!$E$3:$E$4</c:f>
              <c:numCache>
                <c:formatCode>0.00</c:formatCode>
                <c:ptCount val="1"/>
                <c:pt idx="0">
                  <c:v>-89.254999999999995</c:v>
                </c:pt>
              </c:numCache>
            </c:numRef>
          </c:val>
          <c:extLst>
            <c:ext xmlns:c16="http://schemas.microsoft.com/office/drawing/2014/chart" uri="{C3380CC4-5D6E-409C-BE32-E72D297353CC}">
              <c16:uniqueId val="{00000003-9269-4185-8291-009F69E5D5F8}"/>
            </c:ext>
          </c:extLst>
        </c:ser>
        <c:ser>
          <c:idx val="4"/>
          <c:order val="4"/>
          <c:tx>
            <c:strRef>
              <c:f>metricas!$F$2</c:f>
              <c:strCache>
                <c:ptCount val="1"/>
                <c:pt idx="0">
                  <c:v>Mayo</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metricas!$F$3:$F$4</c:f>
              <c:numCache>
                <c:formatCode>0.00</c:formatCode>
                <c:ptCount val="1"/>
                <c:pt idx="0">
                  <c:v>-92.23</c:v>
                </c:pt>
              </c:numCache>
            </c:numRef>
          </c:val>
          <c:extLst>
            <c:ext xmlns:c16="http://schemas.microsoft.com/office/drawing/2014/chart" uri="{C3380CC4-5D6E-409C-BE32-E72D297353CC}">
              <c16:uniqueId val="{00000004-9269-4185-8291-009F69E5D5F8}"/>
            </c:ext>
          </c:extLst>
        </c:ser>
        <c:ser>
          <c:idx val="5"/>
          <c:order val="5"/>
          <c:tx>
            <c:strRef>
              <c:f>metricas!$G$2</c:f>
              <c:strCache>
                <c:ptCount val="1"/>
                <c:pt idx="0">
                  <c:v>Junio</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metricas!$G$3:$G$4</c:f>
              <c:numCache>
                <c:formatCode>0.00</c:formatCode>
                <c:ptCount val="1"/>
                <c:pt idx="0">
                  <c:v>-89.254999999999995</c:v>
                </c:pt>
              </c:numCache>
            </c:numRef>
          </c:val>
          <c:extLst>
            <c:ext xmlns:c16="http://schemas.microsoft.com/office/drawing/2014/chart" uri="{C3380CC4-5D6E-409C-BE32-E72D297353CC}">
              <c16:uniqueId val="{00000005-9269-4185-8291-009F69E5D5F8}"/>
            </c:ext>
          </c:extLst>
        </c:ser>
        <c:ser>
          <c:idx val="6"/>
          <c:order val="6"/>
          <c:tx>
            <c:strRef>
              <c:f>metricas!$H$2</c:f>
              <c:strCache>
                <c:ptCount val="1"/>
                <c:pt idx="0">
                  <c:v>Julio</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metricas!$H$3:$H$4</c:f>
              <c:numCache>
                <c:formatCode>0.00</c:formatCode>
                <c:ptCount val="1"/>
                <c:pt idx="0">
                  <c:v>-92.23</c:v>
                </c:pt>
              </c:numCache>
            </c:numRef>
          </c:val>
          <c:extLst>
            <c:ext xmlns:c16="http://schemas.microsoft.com/office/drawing/2014/chart" uri="{C3380CC4-5D6E-409C-BE32-E72D297353CC}">
              <c16:uniqueId val="{00000006-9269-4185-8291-009F69E5D5F8}"/>
            </c:ext>
          </c:extLst>
        </c:ser>
        <c:ser>
          <c:idx val="7"/>
          <c:order val="7"/>
          <c:tx>
            <c:strRef>
              <c:f>metricas!$I$2</c:f>
              <c:strCache>
                <c:ptCount val="1"/>
                <c:pt idx="0">
                  <c:v>Agosto</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metricas!$I$3:$I$4</c:f>
              <c:numCache>
                <c:formatCode>0.00</c:formatCode>
                <c:ptCount val="1"/>
                <c:pt idx="0">
                  <c:v>-92.23</c:v>
                </c:pt>
              </c:numCache>
            </c:numRef>
          </c:val>
          <c:extLst>
            <c:ext xmlns:c16="http://schemas.microsoft.com/office/drawing/2014/chart" uri="{C3380CC4-5D6E-409C-BE32-E72D297353CC}">
              <c16:uniqueId val="{00000007-9269-4185-8291-009F69E5D5F8}"/>
            </c:ext>
          </c:extLst>
        </c:ser>
        <c:ser>
          <c:idx val="8"/>
          <c:order val="8"/>
          <c:tx>
            <c:strRef>
              <c:f>metricas!$J$2</c:f>
              <c:strCache>
                <c:ptCount val="1"/>
                <c:pt idx="0">
                  <c:v>Septiembre</c:v>
                </c:pt>
              </c:strCache>
            </c:strRef>
          </c:tx>
          <c:invertIfNegative val="0"/>
          <c:dLbls>
            <c:spPr/>
            <c:txPr>
              <a:bodyPr/>
              <a:lstStyle/>
              <a:p>
                <a:pPr>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metricas!$J$3:$J$4</c:f>
              <c:numCache>
                <c:formatCode>0.00</c:formatCode>
                <c:ptCount val="1"/>
                <c:pt idx="0">
                  <c:v>-89.254999999999995</c:v>
                </c:pt>
              </c:numCache>
            </c:numRef>
          </c:val>
          <c:extLst>
            <c:ext xmlns:c16="http://schemas.microsoft.com/office/drawing/2014/chart" uri="{C3380CC4-5D6E-409C-BE32-E72D297353CC}">
              <c16:uniqueId val="{00000008-9269-4185-8291-009F69E5D5F8}"/>
            </c:ext>
          </c:extLst>
        </c:ser>
        <c:ser>
          <c:idx val="9"/>
          <c:order val="9"/>
          <c:tx>
            <c:strRef>
              <c:f>metricas!$K$2</c:f>
              <c:strCache>
                <c:ptCount val="1"/>
                <c:pt idx="0">
                  <c:v>Octubre</c:v>
                </c:pt>
              </c:strCache>
            </c:strRef>
          </c:tx>
          <c:invertIfNegative val="0"/>
          <c:dLbls>
            <c:spPr/>
            <c:txPr>
              <a:bodyPr/>
              <a:lstStyle/>
              <a:p>
                <a:pPr>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metricas!$K$3:$K$4</c:f>
              <c:numCache>
                <c:formatCode>0.00</c:formatCode>
                <c:ptCount val="1"/>
                <c:pt idx="0">
                  <c:v>-92.23</c:v>
                </c:pt>
              </c:numCache>
            </c:numRef>
          </c:val>
          <c:extLst>
            <c:ext xmlns:c16="http://schemas.microsoft.com/office/drawing/2014/chart" uri="{C3380CC4-5D6E-409C-BE32-E72D297353CC}">
              <c16:uniqueId val="{00000009-9269-4185-8291-009F69E5D5F8}"/>
            </c:ext>
          </c:extLst>
        </c:ser>
        <c:ser>
          <c:idx val="10"/>
          <c:order val="10"/>
          <c:tx>
            <c:strRef>
              <c:f>metricas!$L$2</c:f>
              <c:strCache>
                <c:ptCount val="1"/>
                <c:pt idx="0">
                  <c:v>Noviembre</c:v>
                </c:pt>
              </c:strCache>
            </c:strRef>
          </c:tx>
          <c:invertIfNegative val="0"/>
          <c:cat>
            <c:strRef>
              <c:f>metricas!$A$3:$A$4</c:f>
              <c:strCache>
                <c:ptCount val="1"/>
                <c:pt idx="0">
                  <c:v>MW (mes)</c:v>
                </c:pt>
              </c:strCache>
            </c:strRef>
          </c:cat>
          <c:val>
            <c:numRef>
              <c:f>metricas!$L$3:$L$4</c:f>
              <c:numCache>
                <c:formatCode>0.00</c:formatCode>
                <c:ptCount val="1"/>
                <c:pt idx="0">
                  <c:v>-89.254999999999995</c:v>
                </c:pt>
              </c:numCache>
            </c:numRef>
          </c:val>
          <c:extLst>
            <c:ext xmlns:c16="http://schemas.microsoft.com/office/drawing/2014/chart" uri="{C3380CC4-5D6E-409C-BE32-E72D297353CC}">
              <c16:uniqueId val="{0000000A-9269-4185-8291-009F69E5D5F8}"/>
            </c:ext>
          </c:extLst>
        </c:ser>
        <c:ser>
          <c:idx val="11"/>
          <c:order val="11"/>
          <c:tx>
            <c:strRef>
              <c:f>metricas!$M$2</c:f>
              <c:strCache>
                <c:ptCount val="1"/>
                <c:pt idx="0">
                  <c:v>Diciembre</c:v>
                </c:pt>
              </c:strCache>
            </c:strRef>
          </c:tx>
          <c:invertIfNegative val="0"/>
          <c:cat>
            <c:strRef>
              <c:f>metricas!$A$3:$A$4</c:f>
              <c:strCache>
                <c:ptCount val="1"/>
                <c:pt idx="0">
                  <c:v>MW (mes)</c:v>
                </c:pt>
              </c:strCache>
            </c:strRef>
          </c:cat>
          <c:val>
            <c:numRef>
              <c:f>metricas!$M$3:$M$4</c:f>
              <c:numCache>
                <c:formatCode>0.000</c:formatCode>
                <c:ptCount val="1"/>
                <c:pt idx="0">
                  <c:v>0</c:v>
                </c:pt>
              </c:numCache>
            </c:numRef>
          </c:val>
          <c:extLst>
            <c:ext xmlns:c16="http://schemas.microsoft.com/office/drawing/2014/chart" uri="{C3380CC4-5D6E-409C-BE32-E72D297353CC}">
              <c16:uniqueId val="{0000000B-9269-4185-8291-009F69E5D5F8}"/>
            </c:ext>
          </c:extLst>
        </c:ser>
        <c:dLbls>
          <c:showLegendKey val="0"/>
          <c:showVal val="0"/>
          <c:showCatName val="0"/>
          <c:showSerName val="0"/>
          <c:showPercent val="0"/>
          <c:showBubbleSize val="0"/>
        </c:dLbls>
        <c:gapWidth val="150"/>
        <c:axId val="117638272"/>
        <c:axId val="117639808"/>
      </c:barChart>
      <c:catAx>
        <c:axId val="117638272"/>
        <c:scaling>
          <c:orientation val="minMax"/>
        </c:scaling>
        <c:delete val="0"/>
        <c:axPos val="b"/>
        <c:numFmt formatCode="General" sourceLinked="0"/>
        <c:majorTickMark val="out"/>
        <c:minorTickMark val="none"/>
        <c:tickLblPos val="nextTo"/>
        <c:crossAx val="117639808"/>
        <c:crosses val="autoZero"/>
        <c:auto val="1"/>
        <c:lblAlgn val="ctr"/>
        <c:lblOffset val="100"/>
        <c:noMultiLvlLbl val="0"/>
      </c:catAx>
      <c:valAx>
        <c:axId val="117639808"/>
        <c:scaling>
          <c:orientation val="minMax"/>
        </c:scaling>
        <c:delete val="0"/>
        <c:axPos val="l"/>
        <c:majorGridlines/>
        <c:numFmt formatCode="0.00" sourceLinked="1"/>
        <c:majorTickMark val="out"/>
        <c:minorTickMark val="none"/>
        <c:tickLblPos val="nextTo"/>
        <c:crossAx val="117638272"/>
        <c:crosses val="autoZero"/>
        <c:crossBetween val="between"/>
      </c:valAx>
    </c:plotArea>
    <c:legend>
      <c:legendPos val="r"/>
      <c:layout>
        <c:manualLayout>
          <c:xMode val="edge"/>
          <c:yMode val="edge"/>
          <c:x val="0.86172960645493324"/>
          <c:y val="0.20825769506084468"/>
          <c:w val="0.1197184882293106"/>
          <c:h val="0.65756048675733714"/>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trlProps/ctrlProp1.xml><?xml version="1.0" encoding="utf-8"?>
<formControlPr xmlns="http://schemas.microsoft.com/office/spreadsheetml/2009/9/main" objectType="Scroll" dx="16" fmlaLink="$B$172" max="12" min="1" page="1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cid:image001.png@01D8E67E.5B83ED30" TargetMode="External"/><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9.png"/><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hyperlink" Target="#grafica1!B2"/><Relationship Id="rId2" Type="http://schemas.openxmlformats.org/officeDocument/2006/relationships/hyperlink" Target="#'Grafica totales'!B2"/><Relationship Id="rId1" Type="http://schemas.openxmlformats.org/officeDocument/2006/relationships/hyperlink" Target="#'Datos Mes2'!B2"/><Relationship Id="rId5" Type="http://schemas.openxmlformats.org/officeDocument/2006/relationships/hyperlink" Target="#metricas!B2"/><Relationship Id="rId4" Type="http://schemas.openxmlformats.org/officeDocument/2006/relationships/hyperlink" Target="#'Grafica costos variables'!B2"/></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1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jpeg"/></Relationships>
</file>

<file path=xl/drawings/_rels/drawing21.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image" Target="../media/image5.jpeg"/></Relationships>
</file>

<file path=xl/drawings/_rels/drawing22.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7.xml.rels><?xml version="1.0" encoding="UTF-8" standalone="yes"?>
<Relationships xmlns="http://schemas.openxmlformats.org/package/2006/relationships"><Relationship Id="rId3" Type="http://schemas.openxmlformats.org/officeDocument/2006/relationships/hyperlink" Target="#'Resultados Mes &amp; Acum'!B73"/><Relationship Id="rId2" Type="http://schemas.openxmlformats.org/officeDocument/2006/relationships/hyperlink" Target="#'Resultados Mes &amp; Acum'!B5"/><Relationship Id="rId1" Type="http://schemas.openxmlformats.org/officeDocument/2006/relationships/hyperlink" Target="#'Datos Mes'!B2"/><Relationship Id="rId4" Type="http://schemas.openxmlformats.org/officeDocument/2006/relationships/hyperlink" Target="#'Resultados Mes &amp; Acum'!B141"/></Relationships>
</file>

<file path=xl/drawings/_rels/drawing28.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29.xml.rels><?xml version="1.0" encoding="UTF-8" standalone="yes"?>
<Relationships xmlns="http://schemas.openxmlformats.org/package/2006/relationships"><Relationship Id="rId3" Type="http://schemas.openxmlformats.org/officeDocument/2006/relationships/hyperlink" Target="#'Grafica totales'!A1"/><Relationship Id="rId2" Type="http://schemas.openxmlformats.org/officeDocument/2006/relationships/hyperlink" Target="#'Resultados Mes &amp; Acum'!B141"/><Relationship Id="rId1" Type="http://schemas.openxmlformats.org/officeDocument/2006/relationships/hyperlink" Target="#'Datos Mes'!B2"/></Relationships>
</file>

<file path=xl/drawings/_rels/drawing30.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12</xdr:col>
      <xdr:colOff>395112</xdr:colOff>
      <xdr:row>10</xdr:row>
      <xdr:rowOff>108390</xdr:rowOff>
    </xdr:from>
    <xdr:to>
      <xdr:col>16</xdr:col>
      <xdr:colOff>15617</xdr:colOff>
      <xdr:row>12</xdr:row>
      <xdr:rowOff>186972</xdr:rowOff>
    </xdr:to>
    <xdr:sp macro="[0]!CONSUMOANUAL" textlink="">
      <xdr:nvSpPr>
        <xdr:cNvPr id="20" name="19 CuadroTexto">
          <a:extLst>
            <a:ext uri="{FF2B5EF4-FFF2-40B4-BE49-F238E27FC236}">
              <a16:creationId xmlns:a16="http://schemas.microsoft.com/office/drawing/2014/main" id="{00000000-0008-0000-0000-000014000000}"/>
            </a:ext>
          </a:extLst>
        </xdr:cNvPr>
        <xdr:cNvSpPr txBox="1"/>
      </xdr:nvSpPr>
      <xdr:spPr>
        <a:xfrm>
          <a:off x="5834945" y="2154501"/>
          <a:ext cx="1454950" cy="487804"/>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50" b="1" i="1">
              <a:solidFill>
                <a:schemeClr val="bg1"/>
              </a:solidFill>
              <a:effectLst/>
              <a:latin typeface="+mn-lt"/>
              <a:ea typeface="+mn-ea"/>
              <a:cs typeface="+mn-cs"/>
            </a:rPr>
            <a:t>7 - CONSUMO</a:t>
          </a:r>
          <a:r>
            <a:rPr lang="es-CO" sz="1050" b="1" i="1" baseline="0">
              <a:solidFill>
                <a:schemeClr val="bg1"/>
              </a:solidFill>
              <a:effectLst/>
              <a:latin typeface="+mn-lt"/>
              <a:ea typeface="+mn-ea"/>
              <a:cs typeface="+mn-cs"/>
            </a:rPr>
            <a:t>  ENERGIA ANUAL</a:t>
          </a:r>
          <a:endParaRPr lang="es-CO" sz="1050" b="1" i="1">
            <a:solidFill>
              <a:schemeClr val="bg1"/>
            </a:solidFill>
            <a:effectLst/>
          </a:endParaRPr>
        </a:p>
      </xdr:txBody>
    </xdr:sp>
    <xdr:clientData/>
  </xdr:twoCellAnchor>
  <xdr:twoCellAnchor>
    <xdr:from>
      <xdr:col>7</xdr:col>
      <xdr:colOff>437444</xdr:colOff>
      <xdr:row>7</xdr:row>
      <xdr:rowOff>159102</xdr:rowOff>
    </xdr:from>
    <xdr:to>
      <xdr:col>11</xdr:col>
      <xdr:colOff>46838</xdr:colOff>
      <xdr:row>10</xdr:row>
      <xdr:rowOff>63852</xdr:rowOff>
    </xdr:to>
    <xdr:sp macro="[0]!OCENSADIARIO" textlink="">
      <xdr:nvSpPr>
        <xdr:cNvPr id="27" name="26 CuadroTexto">
          <a:extLst>
            <a:ext uri="{FF2B5EF4-FFF2-40B4-BE49-F238E27FC236}">
              <a16:creationId xmlns:a16="http://schemas.microsoft.com/office/drawing/2014/main" id="{00000000-0008-0000-0000-00001B000000}"/>
            </a:ext>
          </a:extLst>
        </xdr:cNvPr>
        <xdr:cNvSpPr txBox="1"/>
      </xdr:nvSpPr>
      <xdr:spPr>
        <a:xfrm>
          <a:off x="3584222" y="1591380"/>
          <a:ext cx="1443838" cy="518583"/>
        </a:xfrm>
        <a:prstGeom prst="rect">
          <a:avLst/>
        </a:prstGeom>
        <a:solidFill>
          <a:schemeClr val="accent3">
            <a:lumMod val="50000"/>
          </a:schemeClr>
        </a:solidFill>
        <a:ln w="9525" cap="rnd" cmpd="sng">
          <a:solidFill>
            <a:sysClr val="window" lastClr="FFFFFF">
              <a:shade val="50000"/>
              <a:alpha val="91000"/>
            </a:sysClr>
          </a:solidFill>
        </a:ln>
        <a:effectLst>
          <a:innerShdw blurRad="63500" dist="50800" dir="8100000">
            <a:schemeClr val="tx1">
              <a:alpha val="50000"/>
            </a:schemeClr>
          </a:innerShdw>
        </a:effectLst>
      </xdr:spPr>
      <xdr:txBody>
        <a:bodyPr vertOverflow="clip" horzOverflow="clip" wrap="square" rtlCol="0" anchor="ctr"/>
        <a:lstStyle/>
        <a:p>
          <a:pPr eaLnBrk="1" fontAlgn="auto" latinLnBrk="0" hangingPunct="1"/>
          <a:r>
            <a:rPr lang="es-CO" sz="1100" b="1" i="1" baseline="0">
              <a:solidFill>
                <a:schemeClr val="bg1"/>
              </a:solidFill>
              <a:effectLst/>
              <a:latin typeface="+mn-lt"/>
              <a:ea typeface="+mn-ea"/>
              <a:cs typeface="+mn-cs"/>
            </a:rPr>
            <a:t>1 - OCENSA DIA </a:t>
          </a:r>
          <a:endParaRPr lang="es-CO" sz="1100">
            <a:solidFill>
              <a:schemeClr val="bg1"/>
            </a:solidFill>
            <a:effectLst/>
          </a:endParaRPr>
        </a:p>
      </xdr:txBody>
    </xdr:sp>
    <xdr:clientData/>
  </xdr:twoCellAnchor>
  <xdr:twoCellAnchor>
    <xdr:from>
      <xdr:col>8</xdr:col>
      <xdr:colOff>9525</xdr:colOff>
      <xdr:row>15</xdr:row>
      <xdr:rowOff>168968</xdr:rowOff>
    </xdr:from>
    <xdr:to>
      <xdr:col>11</xdr:col>
      <xdr:colOff>49389</xdr:colOff>
      <xdr:row>18</xdr:row>
      <xdr:rowOff>121356</xdr:rowOff>
    </xdr:to>
    <xdr:sp macro="[0]!INFORMEDIARIO" textlink="">
      <xdr:nvSpPr>
        <xdr:cNvPr id="29" name="28 CuadroTexto">
          <a:extLst>
            <a:ext uri="{FF2B5EF4-FFF2-40B4-BE49-F238E27FC236}">
              <a16:creationId xmlns:a16="http://schemas.microsoft.com/office/drawing/2014/main" id="{00000000-0008-0000-0000-00001D000000}"/>
            </a:ext>
          </a:extLst>
        </xdr:cNvPr>
        <xdr:cNvSpPr txBox="1"/>
      </xdr:nvSpPr>
      <xdr:spPr>
        <a:xfrm>
          <a:off x="3614914" y="3294579"/>
          <a:ext cx="1415697" cy="566221"/>
        </a:xfrm>
        <a:prstGeom prst="rect">
          <a:avLst/>
        </a:prstGeom>
        <a:solidFill>
          <a:schemeClr val="accent3">
            <a:lumMod val="50000"/>
          </a:schemeClr>
        </a:solidFill>
        <a:ln w="9525" cap="rnd" cmpd="sng">
          <a:solidFill>
            <a:sysClr val="window" lastClr="FFFFFF">
              <a:shade val="50000"/>
              <a:alpha val="91000"/>
            </a:sysClr>
          </a:solidFill>
        </a:ln>
        <a:effectLst>
          <a:innerShdw blurRad="63500" dist="50800" dir="8100000">
            <a:prstClr val="black">
              <a:alpha val="50000"/>
            </a:prstClr>
          </a:innerShdw>
        </a:effectLst>
      </xdr:spPr>
      <xdr:txBody>
        <a:bodyPr vertOverflow="clip" horzOverflow="clip" wrap="square" rtlCol="0" anchor="ctr"/>
        <a:lstStyle/>
        <a:p>
          <a:r>
            <a:rPr lang="en-US" sz="1050" b="1" i="1">
              <a:solidFill>
                <a:schemeClr val="bg1"/>
              </a:solidFill>
              <a:effectLst/>
              <a:latin typeface="+mn-lt"/>
              <a:ea typeface="+mn-ea"/>
              <a:cs typeface="+mn-cs"/>
            </a:rPr>
            <a:t>4 - INFORME DIA          GDP</a:t>
          </a:r>
          <a:endParaRPr lang="es-CO" sz="1100">
            <a:solidFill>
              <a:schemeClr val="bg1"/>
            </a:solidFill>
            <a:effectLst/>
          </a:endParaRPr>
        </a:p>
      </xdr:txBody>
    </xdr:sp>
    <xdr:clientData/>
  </xdr:twoCellAnchor>
  <xdr:twoCellAnchor>
    <xdr:from>
      <xdr:col>7</xdr:col>
      <xdr:colOff>444500</xdr:colOff>
      <xdr:row>10</xdr:row>
      <xdr:rowOff>91987</xdr:rowOff>
    </xdr:from>
    <xdr:to>
      <xdr:col>11</xdr:col>
      <xdr:colOff>44545</xdr:colOff>
      <xdr:row>12</xdr:row>
      <xdr:rowOff>175331</xdr:rowOff>
    </xdr:to>
    <xdr:sp macro="[0]!REPORTEDIAECO" textlink="">
      <xdr:nvSpPr>
        <xdr:cNvPr id="30" name="29 CuadroTexto">
          <a:extLst>
            <a:ext uri="{FF2B5EF4-FFF2-40B4-BE49-F238E27FC236}">
              <a16:creationId xmlns:a16="http://schemas.microsoft.com/office/drawing/2014/main" id="{00000000-0008-0000-0000-00001E000000}"/>
            </a:ext>
          </a:extLst>
        </xdr:cNvPr>
        <xdr:cNvSpPr txBox="1"/>
      </xdr:nvSpPr>
      <xdr:spPr>
        <a:xfrm>
          <a:off x="3591278" y="2138098"/>
          <a:ext cx="1434489" cy="49256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50" b="1" i="1">
              <a:solidFill>
                <a:schemeClr val="bg1"/>
              </a:solidFill>
              <a:effectLst/>
              <a:latin typeface="+mn-lt"/>
              <a:ea typeface="+mn-ea"/>
              <a:cs typeface="+mn-cs"/>
            </a:rPr>
            <a:t>2 - REPORTE</a:t>
          </a:r>
          <a:r>
            <a:rPr lang="es-CO" sz="1050" b="1" i="1" baseline="0">
              <a:solidFill>
                <a:schemeClr val="bg1"/>
              </a:solidFill>
              <a:effectLst/>
              <a:latin typeface="+mn-lt"/>
              <a:ea typeface="+mn-ea"/>
              <a:cs typeface="+mn-cs"/>
            </a:rPr>
            <a:t> DIARIO Y ECO</a:t>
          </a:r>
          <a:endParaRPr lang="es-CO" sz="1050" b="1" i="1">
            <a:solidFill>
              <a:schemeClr val="bg1"/>
            </a:solidFill>
            <a:effectLst/>
          </a:endParaRPr>
        </a:p>
      </xdr:txBody>
    </xdr:sp>
    <xdr:clientData/>
  </xdr:twoCellAnchor>
  <xdr:twoCellAnchor>
    <xdr:from>
      <xdr:col>8</xdr:col>
      <xdr:colOff>16758</xdr:colOff>
      <xdr:row>18</xdr:row>
      <xdr:rowOff>149667</xdr:rowOff>
    </xdr:from>
    <xdr:to>
      <xdr:col>11</xdr:col>
      <xdr:colOff>56445</xdr:colOff>
      <xdr:row>21</xdr:row>
      <xdr:rowOff>94898</xdr:rowOff>
    </xdr:to>
    <xdr:sp macro="[0]!COSTOKWHCUP" textlink="">
      <xdr:nvSpPr>
        <xdr:cNvPr id="23" name="22 CuadroTexto">
          <a:extLst>
            <a:ext uri="{FF2B5EF4-FFF2-40B4-BE49-F238E27FC236}">
              <a16:creationId xmlns:a16="http://schemas.microsoft.com/office/drawing/2014/main" id="{00000000-0008-0000-0000-000017000000}"/>
            </a:ext>
          </a:extLst>
        </xdr:cNvPr>
        <xdr:cNvSpPr txBox="1"/>
      </xdr:nvSpPr>
      <xdr:spPr>
        <a:xfrm>
          <a:off x="3622147" y="3889111"/>
          <a:ext cx="1415520" cy="559065"/>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n-US" sz="1050" b="1" i="1">
              <a:solidFill>
                <a:schemeClr val="bg1"/>
              </a:solidFill>
              <a:effectLst/>
              <a:latin typeface="+mn-lt"/>
              <a:ea typeface="+mn-ea"/>
              <a:cs typeface="+mn-cs"/>
            </a:rPr>
            <a:t>5 - COSTO</a:t>
          </a:r>
          <a:r>
            <a:rPr lang="en-US" sz="1050" b="1" i="1" baseline="0">
              <a:solidFill>
                <a:schemeClr val="bg1"/>
              </a:solidFill>
              <a:effectLst/>
              <a:latin typeface="+mn-lt"/>
              <a:ea typeface="+mn-ea"/>
              <a:cs typeface="+mn-cs"/>
            </a:rPr>
            <a:t> DEL KWH</a:t>
          </a:r>
          <a:endParaRPr lang="es-CO" sz="1050">
            <a:solidFill>
              <a:schemeClr val="bg1"/>
            </a:solidFill>
            <a:effectLst/>
          </a:endParaRPr>
        </a:p>
      </xdr:txBody>
    </xdr:sp>
    <xdr:clientData/>
  </xdr:twoCellAnchor>
  <xdr:twoCellAnchor>
    <xdr:from>
      <xdr:col>12</xdr:col>
      <xdr:colOff>399614</xdr:colOff>
      <xdr:row>7</xdr:row>
      <xdr:rowOff>142866</xdr:rowOff>
    </xdr:from>
    <xdr:to>
      <xdr:col>16</xdr:col>
      <xdr:colOff>2040</xdr:colOff>
      <xdr:row>10</xdr:row>
      <xdr:rowOff>47616</xdr:rowOff>
    </xdr:to>
    <xdr:sp macro="[0]!MENSUALSUPWGPSN" textlink="">
      <xdr:nvSpPr>
        <xdr:cNvPr id="24" name="23 CuadroTexto">
          <a:extLst>
            <a:ext uri="{FF2B5EF4-FFF2-40B4-BE49-F238E27FC236}">
              <a16:creationId xmlns:a16="http://schemas.microsoft.com/office/drawing/2014/main" id="{00000000-0008-0000-0000-000018000000}"/>
            </a:ext>
          </a:extLst>
        </xdr:cNvPr>
        <xdr:cNvSpPr txBox="1"/>
      </xdr:nvSpPr>
      <xdr:spPr>
        <a:xfrm>
          <a:off x="5839447" y="1575144"/>
          <a:ext cx="1436871" cy="518583"/>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n-US" sz="1050" b="1" i="1">
              <a:solidFill>
                <a:schemeClr val="bg1"/>
              </a:solidFill>
              <a:effectLst/>
              <a:latin typeface="+mn-lt"/>
              <a:ea typeface="+mn-ea"/>
              <a:cs typeface="+mn-cs"/>
            </a:rPr>
            <a:t>6 - </a:t>
          </a:r>
          <a:r>
            <a:rPr lang="es-CO" sz="1050" b="1" i="1">
              <a:solidFill>
                <a:schemeClr val="bg1"/>
              </a:solidFill>
              <a:effectLst/>
              <a:latin typeface="+mn-lt"/>
              <a:ea typeface="+mn-ea"/>
              <a:cs typeface="+mn-cs"/>
            </a:rPr>
            <a:t>GERENCIAL SUP</a:t>
          </a:r>
          <a:r>
            <a:rPr lang="es-CO" sz="1050" b="1" i="1" baseline="0">
              <a:solidFill>
                <a:schemeClr val="bg1"/>
              </a:solidFill>
              <a:effectLst/>
              <a:latin typeface="+mn-lt"/>
              <a:ea typeface="+mn-ea"/>
              <a:cs typeface="+mn-cs"/>
            </a:rPr>
            <a:t>  STORK</a:t>
          </a:r>
          <a:endParaRPr lang="es-CO" sz="1050">
            <a:solidFill>
              <a:schemeClr val="bg1"/>
            </a:solidFill>
            <a:effectLst/>
          </a:endParaRPr>
        </a:p>
      </xdr:txBody>
    </xdr:sp>
    <xdr:clientData/>
  </xdr:twoCellAnchor>
  <xdr:twoCellAnchor>
    <xdr:from>
      <xdr:col>12</xdr:col>
      <xdr:colOff>392732</xdr:colOff>
      <xdr:row>13</xdr:row>
      <xdr:rowOff>38797</xdr:rowOff>
    </xdr:from>
    <xdr:to>
      <xdr:col>16</xdr:col>
      <xdr:colOff>15619</xdr:colOff>
      <xdr:row>15</xdr:row>
      <xdr:rowOff>106994</xdr:rowOff>
    </xdr:to>
    <xdr:sp macro="[0]!SEGUIMIENTO_ENERGIA" textlink="">
      <xdr:nvSpPr>
        <xdr:cNvPr id="21" name="20 CuadroTexto">
          <a:extLst>
            <a:ext uri="{FF2B5EF4-FFF2-40B4-BE49-F238E27FC236}">
              <a16:creationId xmlns:a16="http://schemas.microsoft.com/office/drawing/2014/main" id="{00000000-0008-0000-0000-000015000000}"/>
            </a:ext>
          </a:extLst>
        </xdr:cNvPr>
        <xdr:cNvSpPr txBox="1"/>
      </xdr:nvSpPr>
      <xdr:spPr>
        <a:xfrm>
          <a:off x="5832565" y="2698741"/>
          <a:ext cx="1457332" cy="477420"/>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s-CO" sz="1050" b="1" i="1">
              <a:solidFill>
                <a:schemeClr val="bg1"/>
              </a:solidFill>
              <a:effectLst/>
              <a:latin typeface="+mn-lt"/>
              <a:ea typeface="+mn-ea"/>
              <a:cs typeface="+mn-cs"/>
            </a:rPr>
            <a:t>8 - </a:t>
          </a:r>
          <a:r>
            <a:rPr lang="en-US" sz="1050" b="1" i="1">
              <a:solidFill>
                <a:schemeClr val="bg1"/>
              </a:solidFill>
              <a:effectLst/>
              <a:latin typeface="+mn-lt"/>
              <a:ea typeface="+mn-ea"/>
              <a:cs typeface="+mn-cs"/>
            </a:rPr>
            <a:t>SEGUIMIENTO CONSUMO ENERGIA </a:t>
          </a:r>
          <a:endParaRPr lang="es-CO" sz="1050" b="1" i="1">
            <a:solidFill>
              <a:schemeClr val="bg1"/>
            </a:solidFill>
            <a:effectLst/>
          </a:endParaRPr>
        </a:p>
      </xdr:txBody>
    </xdr:sp>
    <xdr:clientData/>
  </xdr:twoCellAnchor>
  <xdr:twoCellAnchor>
    <xdr:from>
      <xdr:col>12</xdr:col>
      <xdr:colOff>402351</xdr:colOff>
      <xdr:row>15</xdr:row>
      <xdr:rowOff>171519</xdr:rowOff>
    </xdr:from>
    <xdr:to>
      <xdr:col>16</xdr:col>
      <xdr:colOff>25238</xdr:colOff>
      <xdr:row>18</xdr:row>
      <xdr:rowOff>71525</xdr:rowOff>
    </xdr:to>
    <xdr:sp macro="[0]!Indisponibilidad" textlink="">
      <xdr:nvSpPr>
        <xdr:cNvPr id="26" name="25 CuadroTexto">
          <a:extLst>
            <a:ext uri="{FF2B5EF4-FFF2-40B4-BE49-F238E27FC236}">
              <a16:creationId xmlns:a16="http://schemas.microsoft.com/office/drawing/2014/main" id="{00000000-0008-0000-0000-00001A000000}"/>
            </a:ext>
          </a:extLst>
        </xdr:cNvPr>
        <xdr:cNvSpPr txBox="1"/>
      </xdr:nvSpPr>
      <xdr:spPr>
        <a:xfrm>
          <a:off x="5842184" y="3240686"/>
          <a:ext cx="1457332" cy="513839"/>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50" b="1" i="1">
              <a:solidFill>
                <a:schemeClr val="bg1"/>
              </a:solidFill>
              <a:effectLst/>
              <a:latin typeface="+mn-lt"/>
              <a:ea typeface="+mn-ea"/>
              <a:cs typeface="+mn-cs"/>
            </a:rPr>
            <a:t>9 - </a:t>
          </a:r>
          <a:r>
            <a:rPr lang="en-US" sz="1050" b="1" i="1">
              <a:solidFill>
                <a:schemeClr val="bg1"/>
              </a:solidFill>
              <a:effectLst/>
              <a:latin typeface="+mn-lt"/>
              <a:ea typeface="+mn-ea"/>
              <a:cs typeface="+mn-cs"/>
            </a:rPr>
            <a:t>REGISTRO DE INDISPONIBILIDAD</a:t>
          </a:r>
          <a:endParaRPr lang="es-CO" sz="1050" b="1" i="1">
            <a:solidFill>
              <a:schemeClr val="bg1"/>
            </a:solidFill>
            <a:effectLst/>
          </a:endParaRPr>
        </a:p>
      </xdr:txBody>
    </xdr:sp>
    <xdr:clientData/>
  </xdr:twoCellAnchor>
  <xdr:twoCellAnchor>
    <xdr:from>
      <xdr:col>12</xdr:col>
      <xdr:colOff>402705</xdr:colOff>
      <xdr:row>18</xdr:row>
      <xdr:rowOff>142407</xdr:rowOff>
    </xdr:from>
    <xdr:to>
      <xdr:col>16</xdr:col>
      <xdr:colOff>23210</xdr:colOff>
      <xdr:row>21</xdr:row>
      <xdr:rowOff>82903</xdr:rowOff>
    </xdr:to>
    <xdr:sp macro="[0]!CURVA_DURACION" textlink="">
      <xdr:nvSpPr>
        <xdr:cNvPr id="31" name="30 CuadroTexto">
          <a:extLst>
            <a:ext uri="{FF2B5EF4-FFF2-40B4-BE49-F238E27FC236}">
              <a16:creationId xmlns:a16="http://schemas.microsoft.com/office/drawing/2014/main" id="{00000000-0008-0000-0000-00001F000000}"/>
            </a:ext>
          </a:extLst>
        </xdr:cNvPr>
        <xdr:cNvSpPr txBox="1"/>
      </xdr:nvSpPr>
      <xdr:spPr>
        <a:xfrm>
          <a:off x="5842538" y="3952407"/>
          <a:ext cx="1454950" cy="57549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CO" sz="1050" b="1" i="1">
              <a:solidFill>
                <a:schemeClr val="bg1"/>
              </a:solidFill>
              <a:effectLst/>
              <a:latin typeface="+mn-lt"/>
              <a:ea typeface="+mn-ea"/>
              <a:cs typeface="+mn-cs"/>
            </a:rPr>
            <a:t>10 - </a:t>
          </a:r>
          <a:r>
            <a:rPr lang="en-US" sz="1050" b="1" i="1">
              <a:solidFill>
                <a:schemeClr val="bg1"/>
              </a:solidFill>
              <a:effectLst/>
              <a:latin typeface="+mn-lt"/>
              <a:ea typeface="+mn-ea"/>
              <a:cs typeface="+mn-cs"/>
            </a:rPr>
            <a:t>CURVA</a:t>
          </a:r>
          <a:r>
            <a:rPr lang="en-US" sz="1050" b="1" i="1" baseline="0">
              <a:solidFill>
                <a:schemeClr val="bg1"/>
              </a:solidFill>
              <a:effectLst/>
              <a:latin typeface="+mn-lt"/>
              <a:ea typeface="+mn-ea"/>
              <a:cs typeface="+mn-cs"/>
            </a:rPr>
            <a:t> DURACION</a:t>
          </a:r>
          <a:endParaRPr lang="es-CO" sz="1050" b="1" i="1">
            <a:solidFill>
              <a:schemeClr val="bg1"/>
            </a:solidFill>
            <a:effectLst/>
          </a:endParaRPr>
        </a:p>
      </xdr:txBody>
    </xdr:sp>
    <xdr:clientData/>
  </xdr:twoCellAnchor>
  <xdr:twoCellAnchor>
    <xdr:from>
      <xdr:col>17</xdr:col>
      <xdr:colOff>452191</xdr:colOff>
      <xdr:row>10</xdr:row>
      <xdr:rowOff>87054</xdr:rowOff>
    </xdr:from>
    <xdr:to>
      <xdr:col>21</xdr:col>
      <xdr:colOff>282223</xdr:colOff>
      <xdr:row>12</xdr:row>
      <xdr:rowOff>151343</xdr:rowOff>
    </xdr:to>
    <xdr:sp macro="[0]!GASECOPETROL" textlink="">
      <xdr:nvSpPr>
        <xdr:cNvPr id="33" name="32 CuadroTexto">
          <a:extLst>
            <a:ext uri="{FF2B5EF4-FFF2-40B4-BE49-F238E27FC236}">
              <a16:creationId xmlns:a16="http://schemas.microsoft.com/office/drawing/2014/main" id="{00000000-0008-0000-0000-000021000000}"/>
            </a:ext>
          </a:extLst>
        </xdr:cNvPr>
        <xdr:cNvSpPr txBox="1"/>
      </xdr:nvSpPr>
      <xdr:spPr>
        <a:xfrm>
          <a:off x="8185080" y="2133165"/>
          <a:ext cx="1692699" cy="473511"/>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n-US" sz="1050" b="1" i="1">
              <a:solidFill>
                <a:schemeClr val="bg1"/>
              </a:solidFill>
              <a:effectLst/>
              <a:latin typeface="+mn-lt"/>
              <a:ea typeface="+mn-ea"/>
              <a:cs typeface="+mn-cs"/>
            </a:rPr>
            <a:t>1 1 - </a:t>
          </a:r>
          <a:r>
            <a:rPr lang="es-CO" sz="1050" b="1" i="1">
              <a:solidFill>
                <a:schemeClr val="bg1"/>
              </a:solidFill>
              <a:effectLst/>
              <a:latin typeface="+mn-lt"/>
              <a:ea typeface="+mn-ea"/>
              <a:cs typeface="+mn-cs"/>
            </a:rPr>
            <a:t>GAS ECOPETROL MENSUAL</a:t>
          </a:r>
          <a:endParaRPr lang="es-CO" sz="1050" b="1" i="1">
            <a:solidFill>
              <a:schemeClr val="bg1"/>
            </a:solidFill>
            <a:effectLst/>
          </a:endParaRPr>
        </a:p>
      </xdr:txBody>
    </xdr:sp>
    <xdr:clientData/>
  </xdr:twoCellAnchor>
  <xdr:twoCellAnchor>
    <xdr:from>
      <xdr:col>17</xdr:col>
      <xdr:colOff>449357</xdr:colOff>
      <xdr:row>12</xdr:row>
      <xdr:rowOff>201862</xdr:rowOff>
    </xdr:from>
    <xdr:to>
      <xdr:col>21</xdr:col>
      <xdr:colOff>289277</xdr:colOff>
      <xdr:row>15</xdr:row>
      <xdr:rowOff>56797</xdr:rowOff>
    </xdr:to>
    <xdr:sp macro="[0]!TOTALGASPORAREASMENSUAL" textlink="">
      <xdr:nvSpPr>
        <xdr:cNvPr id="18" name="17 CuadroTexto">
          <a:extLst>
            <a:ext uri="{FF2B5EF4-FFF2-40B4-BE49-F238E27FC236}">
              <a16:creationId xmlns:a16="http://schemas.microsoft.com/office/drawing/2014/main" id="{00000000-0008-0000-0000-000012000000}"/>
            </a:ext>
          </a:extLst>
        </xdr:cNvPr>
        <xdr:cNvSpPr txBox="1"/>
      </xdr:nvSpPr>
      <xdr:spPr>
        <a:xfrm>
          <a:off x="8182246" y="2657195"/>
          <a:ext cx="1702587" cy="468769"/>
        </a:xfrm>
        <a:prstGeom prst="rect">
          <a:avLst/>
        </a:prstGeom>
        <a:solidFill>
          <a:schemeClr val="accent3">
            <a:lumMod val="50000"/>
          </a:schemeClr>
        </a:solidFill>
        <a:ln w="9525" cap="rnd" cmpd="sng">
          <a:solidFill>
            <a:sysClr val="window" lastClr="FFFFFF">
              <a:shade val="50000"/>
            </a:sysClr>
          </a:solidFill>
        </a:ln>
        <a:effectLst>
          <a:glow>
            <a:srgbClr val="1765C3">
              <a:alpha val="40000"/>
            </a:srgbClr>
          </a:glow>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CO" sz="1050" b="1" i="1">
              <a:solidFill>
                <a:schemeClr val="bg1"/>
              </a:solidFill>
              <a:effectLst/>
              <a:latin typeface="+mn-lt"/>
              <a:ea typeface="+mn-ea"/>
              <a:cs typeface="+mn-cs"/>
            </a:rPr>
            <a:t>12 - CONSUMO</a:t>
          </a:r>
          <a:r>
            <a:rPr lang="es-CO" sz="1050" b="1" i="1" baseline="0">
              <a:solidFill>
                <a:schemeClr val="bg1"/>
              </a:solidFill>
              <a:effectLst/>
              <a:latin typeface="+mn-lt"/>
              <a:ea typeface="+mn-ea"/>
              <a:cs typeface="+mn-cs"/>
            </a:rPr>
            <a:t> DE GAS</a:t>
          </a:r>
          <a:r>
            <a:rPr lang="es-CO" sz="1050" b="1" i="1">
              <a:solidFill>
                <a:schemeClr val="bg1"/>
              </a:solidFill>
              <a:effectLst/>
              <a:latin typeface="+mn-lt"/>
              <a:ea typeface="+mn-ea"/>
              <a:cs typeface="+mn-cs"/>
            </a:rPr>
            <a:t> POR AREAS</a:t>
          </a:r>
          <a:endParaRPr lang="es-CO" sz="1050" b="1" i="1">
            <a:solidFill>
              <a:schemeClr val="bg1"/>
            </a:solidFill>
            <a:effectLst/>
          </a:endParaRPr>
        </a:p>
        <a:p>
          <a:pPr algn="ctr"/>
          <a:endParaRPr lang="es-CO">
            <a:solidFill>
              <a:schemeClr val="bg1"/>
            </a:solidFill>
            <a:effectLst/>
          </a:endParaRPr>
        </a:p>
      </xdr:txBody>
    </xdr:sp>
    <xdr:clientData/>
  </xdr:twoCellAnchor>
  <xdr:twoCellAnchor>
    <xdr:from>
      <xdr:col>17</xdr:col>
      <xdr:colOff>440267</xdr:colOff>
      <xdr:row>18</xdr:row>
      <xdr:rowOff>26987</xdr:rowOff>
    </xdr:from>
    <xdr:to>
      <xdr:col>22</xdr:col>
      <xdr:colOff>245973</xdr:colOff>
      <xdr:row>21</xdr:row>
      <xdr:rowOff>107950</xdr:rowOff>
    </xdr:to>
    <xdr:sp macro="[0]!TOTALANUALMENSUAL" textlink="">
      <xdr:nvSpPr>
        <xdr:cNvPr id="19" name="18 CuadroTexto">
          <a:extLst>
            <a:ext uri="{FF2B5EF4-FFF2-40B4-BE49-F238E27FC236}">
              <a16:creationId xmlns:a16="http://schemas.microsoft.com/office/drawing/2014/main" id="{00000000-0008-0000-0000-000013000000}"/>
            </a:ext>
          </a:extLst>
        </xdr:cNvPr>
        <xdr:cNvSpPr txBox="1"/>
      </xdr:nvSpPr>
      <xdr:spPr>
        <a:xfrm>
          <a:off x="8173156" y="3709987"/>
          <a:ext cx="2310428" cy="69479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050" b="1" i="1">
              <a:solidFill>
                <a:schemeClr val="bg1"/>
              </a:solidFill>
              <a:effectLst/>
              <a:latin typeface="+mn-lt"/>
              <a:ea typeface="+mn-ea"/>
              <a:cs typeface="+mn-cs"/>
            </a:rPr>
            <a:t>14</a:t>
          </a:r>
          <a:r>
            <a:rPr lang="en-US" sz="1050" b="1" i="1" baseline="0">
              <a:solidFill>
                <a:schemeClr val="bg1"/>
              </a:solidFill>
              <a:effectLst/>
              <a:latin typeface="+mn-lt"/>
              <a:ea typeface="+mn-ea"/>
              <a:cs typeface="+mn-cs"/>
            </a:rPr>
            <a:t> </a:t>
          </a:r>
          <a:r>
            <a:rPr lang="en-US" sz="1050" b="1" i="1">
              <a:solidFill>
                <a:schemeClr val="bg1"/>
              </a:solidFill>
              <a:effectLst/>
              <a:latin typeface="+mn-lt"/>
              <a:ea typeface="+mn-ea"/>
              <a:cs typeface="+mn-cs"/>
            </a:rPr>
            <a:t>- </a:t>
          </a:r>
          <a:r>
            <a:rPr lang="es-CO" sz="1050" b="1" i="1">
              <a:solidFill>
                <a:schemeClr val="bg1"/>
              </a:solidFill>
              <a:effectLst/>
              <a:latin typeface="+mn-lt"/>
              <a:ea typeface="+mn-ea"/>
              <a:cs typeface="+mn-cs"/>
            </a:rPr>
            <a:t>BALANCE DE ENERGIA Y CONSUMOS DE COMBUSTIBLES</a:t>
          </a:r>
        </a:p>
        <a:p>
          <a:pPr marL="0" marR="0" indent="0" algn="ctr" defTabSz="914400" eaLnBrk="1" fontAlgn="auto" latinLnBrk="0" hangingPunct="1">
            <a:lnSpc>
              <a:spcPct val="100000"/>
            </a:lnSpc>
            <a:spcBef>
              <a:spcPts val="0"/>
            </a:spcBef>
            <a:spcAft>
              <a:spcPts val="0"/>
            </a:spcAft>
            <a:buClrTx/>
            <a:buSzTx/>
            <a:buFontTx/>
            <a:buNone/>
            <a:tabLst/>
            <a:defRPr/>
          </a:pPr>
          <a:r>
            <a:rPr lang="es-CO" sz="1050" b="1" i="1">
              <a:solidFill>
                <a:schemeClr val="bg1"/>
              </a:solidFill>
              <a:effectLst/>
              <a:latin typeface="+mn-lt"/>
              <a:ea typeface="+mn-ea"/>
              <a:cs typeface="+mn-cs"/>
            </a:rPr>
            <a:t>(ENERGIA - CONSUMOS) </a:t>
          </a:r>
          <a:endParaRPr lang="es-CO" sz="1100">
            <a:solidFill>
              <a:schemeClr val="bg1"/>
            </a:solidFill>
            <a:effectLst/>
          </a:endParaRPr>
        </a:p>
      </xdr:txBody>
    </xdr:sp>
    <xdr:clientData/>
  </xdr:twoCellAnchor>
  <xdr:twoCellAnchor>
    <xdr:from>
      <xdr:col>17</xdr:col>
      <xdr:colOff>448386</xdr:colOff>
      <xdr:row>15</xdr:row>
      <xdr:rowOff>118258</xdr:rowOff>
    </xdr:from>
    <xdr:to>
      <xdr:col>22</xdr:col>
      <xdr:colOff>246945</xdr:colOff>
      <xdr:row>17</xdr:row>
      <xdr:rowOff>165971</xdr:rowOff>
    </xdr:to>
    <xdr:sp macro="[0]!ESTADISTICOS" textlink="">
      <xdr:nvSpPr>
        <xdr:cNvPr id="34" name="33 CuadroTexto">
          <a:extLst>
            <a:ext uri="{FF2B5EF4-FFF2-40B4-BE49-F238E27FC236}">
              <a16:creationId xmlns:a16="http://schemas.microsoft.com/office/drawing/2014/main" id="{00000000-0008-0000-0000-000022000000}"/>
            </a:ext>
          </a:extLst>
        </xdr:cNvPr>
        <xdr:cNvSpPr txBox="1"/>
      </xdr:nvSpPr>
      <xdr:spPr>
        <a:xfrm>
          <a:off x="8181275" y="3208591"/>
          <a:ext cx="2303281" cy="45693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000" b="1" i="1">
              <a:solidFill>
                <a:schemeClr val="bg1"/>
              </a:solidFill>
              <a:effectLst/>
              <a:latin typeface="+mn-lt"/>
              <a:ea typeface="+mn-ea"/>
              <a:cs typeface="+mn-cs"/>
            </a:rPr>
            <a:t>13</a:t>
          </a:r>
          <a:r>
            <a:rPr lang="en-US" sz="1000" b="1" i="1" baseline="0">
              <a:solidFill>
                <a:schemeClr val="bg1"/>
              </a:solidFill>
              <a:effectLst/>
              <a:latin typeface="+mn-lt"/>
              <a:ea typeface="+mn-ea"/>
              <a:cs typeface="+mn-cs"/>
            </a:rPr>
            <a:t> </a:t>
          </a:r>
          <a:r>
            <a:rPr lang="en-US" sz="1000" b="1" i="1">
              <a:solidFill>
                <a:schemeClr val="bg1"/>
              </a:solidFill>
              <a:effectLst/>
              <a:latin typeface="+mn-lt"/>
              <a:ea typeface="+mn-ea"/>
              <a:cs typeface="+mn-cs"/>
            </a:rPr>
            <a:t>- </a:t>
          </a:r>
          <a:r>
            <a:rPr lang="es-CO" sz="1000" b="1" i="1">
              <a:solidFill>
                <a:schemeClr val="bg1"/>
              </a:solidFill>
              <a:effectLst/>
              <a:latin typeface="+mn-lt"/>
              <a:ea typeface="+mn-ea"/>
              <a:cs typeface="+mn-cs"/>
            </a:rPr>
            <a:t>ESTADISTICOS</a:t>
          </a:r>
          <a:r>
            <a:rPr lang="es-CO" sz="1000" b="1" i="1" baseline="0">
              <a:solidFill>
                <a:schemeClr val="bg1"/>
              </a:solidFill>
              <a:effectLst/>
              <a:latin typeface="+mn-lt"/>
              <a:ea typeface="+mn-ea"/>
              <a:cs typeface="+mn-cs"/>
            </a:rPr>
            <a:t> DE ENERGIA</a:t>
          </a:r>
          <a:endParaRPr lang="es-CO" sz="1000" b="1">
            <a:solidFill>
              <a:schemeClr val="bg1"/>
            </a:solidFill>
            <a:effectLst/>
          </a:endParaRPr>
        </a:p>
      </xdr:txBody>
    </xdr:sp>
    <xdr:clientData/>
  </xdr:twoCellAnchor>
  <xdr:twoCellAnchor>
    <xdr:from>
      <xdr:col>7</xdr:col>
      <xdr:colOff>448029</xdr:colOff>
      <xdr:row>13</xdr:row>
      <xdr:rowOff>7055</xdr:rowOff>
    </xdr:from>
    <xdr:to>
      <xdr:col>11</xdr:col>
      <xdr:colOff>42334</xdr:colOff>
      <xdr:row>15</xdr:row>
      <xdr:rowOff>120737</xdr:rowOff>
    </xdr:to>
    <xdr:sp macro="[0]!PRODUCCIONVSENERGIAGDP" textlink="">
      <xdr:nvSpPr>
        <xdr:cNvPr id="22" name="27 CuadroTexto">
          <a:extLst>
            <a:ext uri="{FF2B5EF4-FFF2-40B4-BE49-F238E27FC236}">
              <a16:creationId xmlns:a16="http://schemas.microsoft.com/office/drawing/2014/main" id="{00000000-0008-0000-0000-000016000000}"/>
            </a:ext>
          </a:extLst>
        </xdr:cNvPr>
        <xdr:cNvSpPr txBox="1"/>
      </xdr:nvSpPr>
      <xdr:spPr>
        <a:xfrm>
          <a:off x="3594807" y="2758722"/>
          <a:ext cx="1428749" cy="537015"/>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00" b="1" i="1" baseline="0">
              <a:solidFill>
                <a:schemeClr val="bg1"/>
              </a:solidFill>
              <a:effectLst/>
              <a:latin typeface="+mn-lt"/>
              <a:ea typeface="+mn-ea"/>
              <a:cs typeface="+mn-cs"/>
            </a:rPr>
            <a:t>3</a:t>
          </a:r>
          <a:r>
            <a:rPr lang="es-CO" sz="1050" b="1" i="1" baseline="0">
              <a:solidFill>
                <a:schemeClr val="bg1"/>
              </a:solidFill>
              <a:effectLst/>
              <a:latin typeface="+mn-lt"/>
              <a:ea typeface="+mn-ea"/>
              <a:cs typeface="+mn-cs"/>
            </a:rPr>
            <a:t> -</a:t>
          </a:r>
          <a:r>
            <a:rPr lang="es-CO" sz="1000" b="1" i="1" baseline="0">
              <a:solidFill>
                <a:schemeClr val="bg1"/>
              </a:solidFill>
              <a:effectLst/>
              <a:latin typeface="+mn-lt"/>
              <a:ea typeface="+mn-ea"/>
              <a:cs typeface="+mn-cs"/>
            </a:rPr>
            <a:t> PRODUCCION    VS    ENERGIA</a:t>
          </a:r>
          <a:endParaRPr lang="es-CO" sz="1050">
            <a:solidFill>
              <a:schemeClr val="bg1"/>
            </a:solidFill>
            <a:effectLst/>
          </a:endParaRPr>
        </a:p>
      </xdr:txBody>
    </xdr:sp>
    <xdr:clientData/>
  </xdr:twoCellAnchor>
  <xdr:twoCellAnchor editAs="oneCell">
    <xdr:from>
      <xdr:col>1</xdr:col>
      <xdr:colOff>366890</xdr:colOff>
      <xdr:row>0</xdr:row>
      <xdr:rowOff>28222</xdr:rowOff>
    </xdr:from>
    <xdr:to>
      <xdr:col>5</xdr:col>
      <xdr:colOff>352777</xdr:colOff>
      <xdr:row>3</xdr:row>
      <xdr:rowOff>84938</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43279" y="28222"/>
          <a:ext cx="2039054" cy="712883"/>
        </a:xfrm>
        <a:prstGeom prst="rect">
          <a:avLst/>
        </a:prstGeom>
      </xdr:spPr>
    </xdr:pic>
    <xdr:clientData/>
  </xdr:twoCellAnchor>
  <xdr:twoCellAnchor editAs="oneCell">
    <xdr:from>
      <xdr:col>18</xdr:col>
      <xdr:colOff>134056</xdr:colOff>
      <xdr:row>0</xdr:row>
      <xdr:rowOff>126999</xdr:rowOff>
    </xdr:from>
    <xdr:to>
      <xdr:col>22</xdr:col>
      <xdr:colOff>240020</xdr:colOff>
      <xdr:row>3</xdr:row>
      <xdr:rowOff>153643</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8325556" y="126999"/>
          <a:ext cx="2152075" cy="6828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180771</xdr:colOff>
      <xdr:row>1</xdr:row>
      <xdr:rowOff>91492</xdr:rowOff>
    </xdr:from>
    <xdr:to>
      <xdr:col>5</xdr:col>
      <xdr:colOff>195987</xdr:colOff>
      <xdr:row>1</xdr:row>
      <xdr:rowOff>804786</xdr:rowOff>
    </xdr:to>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964722" y="209085"/>
          <a:ext cx="2108364" cy="713294"/>
        </a:xfrm>
        <a:prstGeom prst="rect">
          <a:avLst/>
        </a:prstGeom>
      </xdr:spPr>
    </xdr:pic>
    <xdr:clientData/>
  </xdr:twoCellAnchor>
  <xdr:twoCellAnchor editAs="oneCell">
    <xdr:from>
      <xdr:col>23</xdr:col>
      <xdr:colOff>78394</xdr:colOff>
      <xdr:row>1</xdr:row>
      <xdr:rowOff>117593</xdr:rowOff>
    </xdr:from>
    <xdr:to>
      <xdr:col>26</xdr:col>
      <xdr:colOff>164629</xdr:colOff>
      <xdr:row>1</xdr:row>
      <xdr:rowOff>806559</xdr:rowOff>
    </xdr:to>
    <xdr:pic>
      <xdr:nvPicPr>
        <xdr:cNvPr id="8" name="Imagen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tretch>
          <a:fillRect/>
        </a:stretch>
      </xdr:blipFill>
      <xdr:spPr>
        <a:xfrm>
          <a:off x="15608456" y="235186"/>
          <a:ext cx="2179383" cy="6889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7</xdr:col>
      <xdr:colOff>11586</xdr:colOff>
      <xdr:row>3</xdr:row>
      <xdr:rowOff>184150</xdr:rowOff>
    </xdr:from>
    <xdr:to>
      <xdr:col>11</xdr:col>
      <xdr:colOff>869950</xdr:colOff>
      <xdr:row>18</xdr:row>
      <xdr:rowOff>0</xdr:rowOff>
    </xdr:to>
    <xdr:graphicFrame macro="">
      <xdr:nvGraphicFramePr>
        <xdr:cNvPr id="2" name="Chart 4">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660400</xdr:colOff>
      <xdr:row>18</xdr:row>
      <xdr:rowOff>6349</xdr:rowOff>
    </xdr:from>
    <xdr:to>
      <xdr:col>12</xdr:col>
      <xdr:colOff>0</xdr:colOff>
      <xdr:row>33</xdr:row>
      <xdr:rowOff>0</xdr:rowOff>
    </xdr:to>
    <xdr:graphicFrame macro="">
      <xdr:nvGraphicFramePr>
        <xdr:cNvPr id="3" name="Chart 4">
          <a:extLst>
            <a:ext uri="{FF2B5EF4-FFF2-40B4-BE49-F238E27FC236}">
              <a16:creationId xmlns:a16="http://schemas.microsoft.com/office/drawing/2014/main" id="{00000000-0008-0000-04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157595</xdr:colOff>
      <xdr:row>0</xdr:row>
      <xdr:rowOff>0</xdr:rowOff>
    </xdr:from>
    <xdr:to>
      <xdr:col>2</xdr:col>
      <xdr:colOff>695325</xdr:colOff>
      <xdr:row>3</xdr:row>
      <xdr:rowOff>137391</xdr:rowOff>
    </xdr:to>
    <xdr:pic>
      <xdr:nvPicPr>
        <xdr:cNvPr id="4" name="Picture 3" descr="P1_ECOPETROLRef_positivo_2p_cmyk.jpg">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l="7545" t="32997" r="8418" b="25589"/>
        <a:stretch>
          <a:fillRect/>
        </a:stretch>
      </xdr:blipFill>
      <xdr:spPr bwMode="auto">
        <a:xfrm>
          <a:off x="246495" y="28574"/>
          <a:ext cx="2283980" cy="708891"/>
        </a:xfrm>
        <a:prstGeom prst="rect">
          <a:avLst/>
        </a:prstGeom>
        <a:noFill/>
        <a:ln w="9525">
          <a:noFill/>
          <a:miter lim="800000"/>
          <a:headEnd/>
          <a:tailEnd/>
        </a:ln>
      </xdr:spPr>
    </xdr:pic>
    <xdr:clientData/>
  </xdr:twoCellAnchor>
  <xdr:twoCellAnchor>
    <xdr:from>
      <xdr:col>9</xdr:col>
      <xdr:colOff>457200</xdr:colOff>
      <xdr:row>0</xdr:row>
      <xdr:rowOff>63500</xdr:rowOff>
    </xdr:from>
    <xdr:to>
      <xdr:col>11</xdr:col>
      <xdr:colOff>590550</xdr:colOff>
      <xdr:row>3</xdr:row>
      <xdr:rowOff>50800</xdr:rowOff>
    </xdr:to>
    <xdr:pic>
      <xdr:nvPicPr>
        <xdr:cNvPr id="8" name="Imagen 2" descr="cid:image004.png@01D7D7B8.2430C810">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4" r:link="rId5" cstate="print">
          <a:extLst>
            <a:ext uri="{28A0092B-C50C-407E-A947-70E740481C1C}">
              <a14:useLocalDpi xmlns:a14="http://schemas.microsoft.com/office/drawing/2010/main" val="0"/>
            </a:ext>
          </a:extLst>
        </a:blip>
        <a:srcRect/>
        <a:stretch>
          <a:fillRect/>
        </a:stretch>
      </xdr:blipFill>
      <xdr:spPr bwMode="auto">
        <a:xfrm>
          <a:off x="7620000" y="63500"/>
          <a:ext cx="1885950" cy="55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190500</xdr:colOff>
      <xdr:row>1</xdr:row>
      <xdr:rowOff>99786</xdr:rowOff>
    </xdr:from>
    <xdr:to>
      <xdr:col>19</xdr:col>
      <xdr:colOff>598324</xdr:colOff>
      <xdr:row>1</xdr:row>
      <xdr:rowOff>707572</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13879286" y="326572"/>
          <a:ext cx="2213040" cy="607786"/>
        </a:xfrm>
        <a:prstGeom prst="rect">
          <a:avLst/>
        </a:prstGeom>
      </xdr:spPr>
    </xdr:pic>
    <xdr:clientData/>
  </xdr:twoCellAnchor>
  <xdr:twoCellAnchor editAs="oneCell">
    <xdr:from>
      <xdr:col>1</xdr:col>
      <xdr:colOff>539750</xdr:colOff>
      <xdr:row>1</xdr:row>
      <xdr:rowOff>77736</xdr:rowOff>
    </xdr:from>
    <xdr:to>
      <xdr:col>4</xdr:col>
      <xdr:colOff>302292</xdr:colOff>
      <xdr:row>2</xdr:row>
      <xdr:rowOff>429</xdr:rowOff>
    </xdr:to>
    <xdr:pic>
      <xdr:nvPicPr>
        <xdr:cNvPr id="5" name="1 Imagen">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687917" y="310569"/>
          <a:ext cx="2122625" cy="66160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36286</xdr:colOff>
      <xdr:row>0</xdr:row>
      <xdr:rowOff>18143</xdr:rowOff>
    </xdr:from>
    <xdr:to>
      <xdr:col>6</xdr:col>
      <xdr:colOff>260123</xdr:colOff>
      <xdr:row>4</xdr:row>
      <xdr:rowOff>88447</xdr:rowOff>
    </xdr:to>
    <xdr:pic>
      <xdr:nvPicPr>
        <xdr:cNvPr id="4" name="2 Imagen" descr="P1_ECOPETROLRef_positivo_2p_cmyk.jp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217715" y="18143"/>
          <a:ext cx="2527979" cy="941161"/>
        </a:xfrm>
        <a:prstGeom prst="rect">
          <a:avLst/>
        </a:prstGeom>
        <a:noFill/>
        <a:ln w="9525">
          <a:noFill/>
          <a:miter lim="800000"/>
          <a:headEnd/>
          <a:tailEnd/>
        </a:ln>
      </xdr:spPr>
    </xdr:pic>
    <xdr:clientData/>
  </xdr:twoCellAnchor>
  <xdr:twoCellAnchor>
    <xdr:from>
      <xdr:col>28</xdr:col>
      <xdr:colOff>208644</xdr:colOff>
      <xdr:row>0</xdr:row>
      <xdr:rowOff>117929</xdr:rowOff>
    </xdr:from>
    <xdr:to>
      <xdr:col>33</xdr:col>
      <xdr:colOff>235857</xdr:colOff>
      <xdr:row>4</xdr:row>
      <xdr:rowOff>14855</xdr:rowOff>
    </xdr:to>
    <xdr:pic>
      <xdr:nvPicPr>
        <xdr:cNvPr id="5" name="Imagen 2" descr="MASA-STORK-FLOUR">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672787" y="117929"/>
          <a:ext cx="2295070" cy="767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373060</xdr:colOff>
      <xdr:row>0</xdr:row>
      <xdr:rowOff>15875</xdr:rowOff>
    </xdr:from>
    <xdr:to>
      <xdr:col>20</xdr:col>
      <xdr:colOff>204348</xdr:colOff>
      <xdr:row>4</xdr:row>
      <xdr:rowOff>95249</xdr:rowOff>
    </xdr:to>
    <xdr:pic>
      <xdr:nvPicPr>
        <xdr:cNvPr id="2" name="Picture 22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072310" y="15875"/>
          <a:ext cx="2601476" cy="809624"/>
        </a:xfrm>
        <a:prstGeom prst="rect">
          <a:avLst/>
        </a:prstGeom>
        <a:noFill/>
        <a:ln w="9525">
          <a:noFill/>
          <a:miter lim="800000"/>
          <a:headEnd/>
          <a:tailEnd/>
        </a:ln>
      </xdr:spPr>
    </xdr:pic>
    <xdr:clientData/>
  </xdr:twoCellAnchor>
  <xdr:twoCellAnchor editAs="oneCell">
    <xdr:from>
      <xdr:col>23</xdr:col>
      <xdr:colOff>87312</xdr:colOff>
      <xdr:row>0</xdr:row>
      <xdr:rowOff>125229</xdr:rowOff>
    </xdr:from>
    <xdr:to>
      <xdr:col>27</xdr:col>
      <xdr:colOff>252477</xdr:colOff>
      <xdr:row>4</xdr:row>
      <xdr:rowOff>79375</xdr:rowOff>
    </xdr:to>
    <xdr:pic>
      <xdr:nvPicPr>
        <xdr:cNvPr id="3" name="Imagen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0937875" y="125229"/>
          <a:ext cx="2149540" cy="68439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318407</xdr:colOff>
      <xdr:row>1</xdr:row>
      <xdr:rowOff>160565</xdr:rowOff>
    </xdr:from>
    <xdr:to>
      <xdr:col>7</xdr:col>
      <xdr:colOff>824593</xdr:colOff>
      <xdr:row>6</xdr:row>
      <xdr:rowOff>27215</xdr:rowOff>
    </xdr:to>
    <xdr:pic>
      <xdr:nvPicPr>
        <xdr:cNvPr id="2" name="Picture 222">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14057" y="265340"/>
          <a:ext cx="3935186" cy="8286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662940</xdr:colOff>
          <xdr:row>4</xdr:row>
          <xdr:rowOff>106680</xdr:rowOff>
        </xdr:from>
        <xdr:to>
          <xdr:col>9</xdr:col>
          <xdr:colOff>510540</xdr:colOff>
          <xdr:row>7</xdr:row>
          <xdr:rowOff>175260</xdr:rowOff>
        </xdr:to>
        <xdr:sp macro="" textlink="">
          <xdr:nvSpPr>
            <xdr:cNvPr id="34817" name="Indisponibilidad"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27214</xdr:colOff>
      <xdr:row>5</xdr:row>
      <xdr:rowOff>40968</xdr:rowOff>
    </xdr:from>
    <xdr:to>
      <xdr:col>14</xdr:col>
      <xdr:colOff>46264</xdr:colOff>
      <xdr:row>25</xdr:row>
      <xdr:rowOff>117167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27</xdr:row>
      <xdr:rowOff>0</xdr:rowOff>
    </xdr:from>
    <xdr:to>
      <xdr:col>14</xdr:col>
      <xdr:colOff>9525</xdr:colOff>
      <xdr:row>43</xdr:row>
      <xdr:rowOff>85725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25809</xdr:colOff>
      <xdr:row>44</xdr:row>
      <xdr:rowOff>163871</xdr:rowOff>
    </xdr:from>
    <xdr:to>
      <xdr:col>13</xdr:col>
      <xdr:colOff>898071</xdr:colOff>
      <xdr:row>59</xdr:row>
      <xdr:rowOff>45474</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13606</xdr:colOff>
      <xdr:row>45</xdr:row>
      <xdr:rowOff>0</xdr:rowOff>
    </xdr:from>
    <xdr:to>
      <xdr:col>29</xdr:col>
      <xdr:colOff>9525</xdr:colOff>
      <xdr:row>59</xdr:row>
      <xdr:rowOff>40821</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61</xdr:row>
      <xdr:rowOff>0</xdr:rowOff>
    </xdr:from>
    <xdr:to>
      <xdr:col>14</xdr:col>
      <xdr:colOff>0</xdr:colOff>
      <xdr:row>79</xdr:row>
      <xdr:rowOff>47625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13607</xdr:colOff>
      <xdr:row>60</xdr:row>
      <xdr:rowOff>190498</xdr:rowOff>
    </xdr:from>
    <xdr:to>
      <xdr:col>28</xdr:col>
      <xdr:colOff>559254</xdr:colOff>
      <xdr:row>79</xdr:row>
      <xdr:rowOff>27214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600075</xdr:colOff>
      <xdr:row>81</xdr:row>
      <xdr:rowOff>0</xdr:rowOff>
    </xdr:from>
    <xdr:to>
      <xdr:col>14</xdr:col>
      <xdr:colOff>0</xdr:colOff>
      <xdr:row>99</xdr:row>
      <xdr:rowOff>47626</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13607</xdr:colOff>
      <xdr:row>81</xdr:row>
      <xdr:rowOff>0</xdr:rowOff>
    </xdr:from>
    <xdr:to>
      <xdr:col>29</xdr:col>
      <xdr:colOff>9525</xdr:colOff>
      <xdr:row>99</xdr:row>
      <xdr:rowOff>47625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1360</xdr:colOff>
      <xdr:row>45</xdr:row>
      <xdr:rowOff>9071</xdr:rowOff>
    </xdr:from>
    <xdr:to>
      <xdr:col>42</xdr:col>
      <xdr:colOff>46265</xdr:colOff>
      <xdr:row>59</xdr:row>
      <xdr:rowOff>85271</xdr:rowOff>
    </xdr:to>
    <xdr:graphicFrame macro="">
      <xdr:nvGraphicFramePr>
        <xdr:cNvPr id="11" name="Chart 3">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xdr:colOff>
      <xdr:row>27</xdr:row>
      <xdr:rowOff>0</xdr:rowOff>
    </xdr:from>
    <xdr:to>
      <xdr:col>29</xdr:col>
      <xdr:colOff>1</xdr:colOff>
      <xdr:row>43</xdr:row>
      <xdr:rowOff>85725</xdr:rowOff>
    </xdr:to>
    <xdr:graphicFrame macro="">
      <xdr:nvGraphicFramePr>
        <xdr:cNvPr id="13" name="Chart 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1138903</xdr:colOff>
      <xdr:row>5</xdr:row>
      <xdr:rowOff>9979</xdr:rowOff>
    </xdr:from>
    <xdr:to>
      <xdr:col>28</xdr:col>
      <xdr:colOff>663576</xdr:colOff>
      <xdr:row>25</xdr:row>
      <xdr:rowOff>86178</xdr:rowOff>
    </xdr:to>
    <xdr:graphicFrame macro="">
      <xdr:nvGraphicFramePr>
        <xdr:cNvPr id="14" name="Chart 1">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101</xdr:row>
      <xdr:rowOff>0</xdr:rowOff>
    </xdr:from>
    <xdr:to>
      <xdr:col>14</xdr:col>
      <xdr:colOff>9525</xdr:colOff>
      <xdr:row>119</xdr:row>
      <xdr:rowOff>76201</xdr:rowOff>
    </xdr:to>
    <xdr:graphicFrame macro="">
      <xdr:nvGraphicFramePr>
        <xdr:cNvPr id="16" name="Chart 7">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0</xdr:colOff>
      <xdr:row>100</xdr:row>
      <xdr:rowOff>204106</xdr:rowOff>
    </xdr:from>
    <xdr:to>
      <xdr:col>29</xdr:col>
      <xdr:colOff>127907</xdr:colOff>
      <xdr:row>119</xdr:row>
      <xdr:rowOff>35379</xdr:rowOff>
    </xdr:to>
    <xdr:graphicFrame macro="">
      <xdr:nvGraphicFramePr>
        <xdr:cNvPr id="18" name="Chart 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9524</xdr:colOff>
      <xdr:row>179</xdr:row>
      <xdr:rowOff>109537</xdr:rowOff>
    </xdr:from>
    <xdr:to>
      <xdr:col>15</xdr:col>
      <xdr:colOff>590550</xdr:colOff>
      <xdr:row>200</xdr:row>
      <xdr:rowOff>142875</xdr:rowOff>
    </xdr:to>
    <xdr:graphicFrame macro="">
      <xdr:nvGraphicFramePr>
        <xdr:cNvPr id="15" name="14 Gráfico">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243840</xdr:colOff>
          <xdr:row>174</xdr:row>
          <xdr:rowOff>0</xdr:rowOff>
        </xdr:from>
        <xdr:to>
          <xdr:col>14</xdr:col>
          <xdr:colOff>609600</xdr:colOff>
          <xdr:row>264</xdr:row>
          <xdr:rowOff>38100</xdr:rowOff>
        </xdr:to>
        <xdr:sp macro="" textlink="">
          <xdr:nvSpPr>
            <xdr:cNvPr id="50193" name="Scroll Bar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31</xdr:col>
      <xdr:colOff>4000</xdr:colOff>
      <xdr:row>60</xdr:row>
      <xdr:rowOff>174731</xdr:rowOff>
    </xdr:from>
    <xdr:to>
      <xdr:col>38</xdr:col>
      <xdr:colOff>261976</xdr:colOff>
      <xdr:row>77</xdr:row>
      <xdr:rowOff>136631</xdr:rowOff>
    </xdr:to>
    <xdr:graphicFrame macro="">
      <xdr:nvGraphicFramePr>
        <xdr:cNvPr id="22" name="9 Gráfico" title="Porcentaje diesel Noviembre">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0.24791</cdr:x>
      <cdr:y>0.04464</cdr:y>
    </cdr:from>
    <cdr:to>
      <cdr:x>0.91422</cdr:x>
      <cdr:y>0.14498</cdr:y>
    </cdr:to>
    <cdr:sp macro="" textlink="">
      <cdr:nvSpPr>
        <cdr:cNvPr id="2" name="1 CuadroTexto"/>
        <cdr:cNvSpPr txBox="1"/>
      </cdr:nvSpPr>
      <cdr:spPr>
        <a:xfrm xmlns:a="http://schemas.openxmlformats.org/drawingml/2006/main">
          <a:off x="1136480" y="142866"/>
          <a:ext cx="3054519" cy="32113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1600" b="1"/>
            <a:t>PORCENTAJE DIESEL</a:t>
          </a:r>
          <a:r>
            <a:rPr lang="es-CO" sz="1600" b="1" baseline="0"/>
            <a:t> JUNIO</a:t>
          </a:r>
          <a:endParaRPr lang="es-CO" sz="1600" b="1"/>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533400</xdr:colOff>
      <xdr:row>0</xdr:row>
      <xdr:rowOff>45384</xdr:rowOff>
    </xdr:from>
    <xdr:to>
      <xdr:col>15</xdr:col>
      <xdr:colOff>627529</xdr:colOff>
      <xdr:row>25</xdr:row>
      <xdr:rowOff>100853</xdr:rowOff>
    </xdr:to>
    <xdr:graphicFrame macro="">
      <xdr:nvGraphicFramePr>
        <xdr:cNvPr id="2" name="1 Gráfico">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142875</xdr:colOff>
      <xdr:row>0</xdr:row>
      <xdr:rowOff>130969</xdr:rowOff>
    </xdr:from>
    <xdr:to>
      <xdr:col>4</xdr:col>
      <xdr:colOff>690562</xdr:colOff>
      <xdr:row>4</xdr:row>
      <xdr:rowOff>143212</xdr:rowOff>
    </xdr:to>
    <xdr:pic>
      <xdr:nvPicPr>
        <xdr:cNvPr id="4" name="2 Imagen" descr="P1_ECOPETROLRef_positivo_2p_cmyk.jpg">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206500" y="130969"/>
          <a:ext cx="2500312" cy="671056"/>
        </a:xfrm>
        <a:prstGeom prst="rect">
          <a:avLst/>
        </a:prstGeom>
        <a:noFill/>
        <a:ln w="9525">
          <a:noFill/>
          <a:miter lim="800000"/>
          <a:headEnd/>
          <a:tailEnd/>
        </a:ln>
      </xdr:spPr>
    </xdr:pic>
    <xdr:clientData/>
  </xdr:twoCellAnchor>
  <xdr:twoCellAnchor>
    <xdr:from>
      <xdr:col>8</xdr:col>
      <xdr:colOff>761999</xdr:colOff>
      <xdr:row>0</xdr:row>
      <xdr:rowOff>127000</xdr:rowOff>
    </xdr:from>
    <xdr:to>
      <xdr:col>10</xdr:col>
      <xdr:colOff>850445</xdr:colOff>
      <xdr:row>5</xdr:row>
      <xdr:rowOff>69283</xdr:rowOff>
    </xdr:to>
    <xdr:pic>
      <xdr:nvPicPr>
        <xdr:cNvPr id="5" name="Imagen 2" descr="MASA-STORK-FLOUR">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77187" y="127000"/>
          <a:ext cx="2041071" cy="767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761999</xdr:colOff>
      <xdr:row>0</xdr:row>
      <xdr:rowOff>127000</xdr:rowOff>
    </xdr:from>
    <xdr:to>
      <xdr:col>11</xdr:col>
      <xdr:colOff>12445</xdr:colOff>
      <xdr:row>4</xdr:row>
      <xdr:rowOff>157153</xdr:rowOff>
    </xdr:to>
    <xdr:pic>
      <xdr:nvPicPr>
        <xdr:cNvPr id="6" name="Imagen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a:stretch>
          <a:fillRect/>
        </a:stretch>
      </xdr:blipFill>
      <xdr:spPr>
        <a:xfrm>
          <a:off x="7977187" y="127000"/>
          <a:ext cx="2179383" cy="68896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256289</xdr:colOff>
      <xdr:row>5</xdr:row>
      <xdr:rowOff>11076</xdr:rowOff>
    </xdr:from>
    <xdr:to>
      <xdr:col>0</xdr:col>
      <xdr:colOff>1638919</xdr:colOff>
      <xdr:row>7</xdr:row>
      <xdr:rowOff>91179</xdr:rowOff>
    </xdr:to>
    <xdr:sp macro="" textlink="">
      <xdr:nvSpPr>
        <xdr:cNvPr id="2" name="1 CuadroTexto">
          <a:hlinkClick xmlns:r="http://schemas.openxmlformats.org/officeDocument/2006/relationships" r:id="rId1"/>
          <a:extLst>
            <a:ext uri="{FF2B5EF4-FFF2-40B4-BE49-F238E27FC236}">
              <a16:creationId xmlns:a16="http://schemas.microsoft.com/office/drawing/2014/main" id="{00000000-0008-0000-0E00-000002000000}"/>
            </a:ext>
          </a:extLst>
        </xdr:cNvPr>
        <xdr:cNvSpPr txBox="1"/>
      </xdr:nvSpPr>
      <xdr:spPr>
        <a:xfrm>
          <a:off x="256289" y="1068351"/>
          <a:ext cx="1382630" cy="461103"/>
        </a:xfrm>
        <a:prstGeom prst="rect">
          <a:avLst/>
        </a:prstGeom>
        <a:solidFill>
          <a:srgbClr val="7030A0"/>
        </a:solidFill>
        <a:ln w="9525" cmpd="sng">
          <a:solidFill>
            <a:schemeClr val="bg1"/>
          </a:solidFill>
        </a:ln>
        <a:effectLst>
          <a:innerShdw blurRad="63500" dist="50800" dir="8100000">
            <a:prstClr val="black">
              <a:alpha val="50000"/>
            </a:prstClr>
          </a:inn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O" sz="1400" b="1" i="0" u="none" strike="noStrike" kern="0" cap="none" spc="0" normalizeH="0" baseline="0" noProof="0">
              <a:ln>
                <a:noFill/>
              </a:ln>
              <a:solidFill>
                <a:schemeClr val="bg1"/>
              </a:solidFill>
              <a:effectLst/>
              <a:uLnTx/>
              <a:uFillTx/>
              <a:latin typeface="Calibri"/>
              <a:ea typeface="+mn-ea"/>
              <a:cs typeface="+mn-cs"/>
            </a:rPr>
            <a:t>Datos Mes2</a:t>
          </a:r>
        </a:p>
      </xdr:txBody>
    </xdr:sp>
    <xdr:clientData/>
  </xdr:twoCellAnchor>
  <xdr:twoCellAnchor>
    <xdr:from>
      <xdr:col>0</xdr:col>
      <xdr:colOff>256289</xdr:colOff>
      <xdr:row>8</xdr:row>
      <xdr:rowOff>48788</xdr:rowOff>
    </xdr:from>
    <xdr:to>
      <xdr:col>0</xdr:col>
      <xdr:colOff>1638919</xdr:colOff>
      <xdr:row>10</xdr:row>
      <xdr:rowOff>128891</xdr:rowOff>
    </xdr:to>
    <xdr:sp macro="" textlink="">
      <xdr:nvSpPr>
        <xdr:cNvPr id="7" name="6 CuadroTexto">
          <a:hlinkClick xmlns:r="http://schemas.openxmlformats.org/officeDocument/2006/relationships" r:id="rId2"/>
          <a:extLst>
            <a:ext uri="{FF2B5EF4-FFF2-40B4-BE49-F238E27FC236}">
              <a16:creationId xmlns:a16="http://schemas.microsoft.com/office/drawing/2014/main" id="{00000000-0008-0000-0E00-000007000000}"/>
            </a:ext>
          </a:extLst>
        </xdr:cNvPr>
        <xdr:cNvSpPr txBox="1"/>
      </xdr:nvSpPr>
      <xdr:spPr>
        <a:xfrm>
          <a:off x="256289" y="1677563"/>
          <a:ext cx="1382630" cy="461103"/>
        </a:xfrm>
        <a:prstGeom prst="rect">
          <a:avLst/>
        </a:prstGeom>
        <a:solidFill>
          <a:schemeClr val="accent1">
            <a:lumMod val="75000"/>
          </a:schemeClr>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s-CO" sz="1400" b="1">
              <a:solidFill>
                <a:schemeClr val="bg1"/>
              </a:solidFill>
              <a:effectLst/>
              <a:latin typeface="Arial Narrow" panose="020B0606020202030204" pitchFamily="34" charset="0"/>
              <a:ea typeface="+mn-ea"/>
              <a:cs typeface="+mn-cs"/>
            </a:rPr>
            <a:t>Grafica totales</a:t>
          </a:r>
          <a:endParaRPr lang="es-CO" sz="1400">
            <a:solidFill>
              <a:schemeClr val="bg1"/>
            </a:solidFill>
            <a:effectLst/>
            <a:latin typeface="Arial Narrow" panose="020B0606020202030204" pitchFamily="34" charset="0"/>
          </a:endParaRPr>
        </a:p>
      </xdr:txBody>
    </xdr:sp>
    <xdr:clientData/>
  </xdr:twoCellAnchor>
  <xdr:twoCellAnchor>
    <xdr:from>
      <xdr:col>0</xdr:col>
      <xdr:colOff>256289</xdr:colOff>
      <xdr:row>11</xdr:row>
      <xdr:rowOff>76975</xdr:rowOff>
    </xdr:from>
    <xdr:to>
      <xdr:col>0</xdr:col>
      <xdr:colOff>1638919</xdr:colOff>
      <xdr:row>13</xdr:row>
      <xdr:rowOff>128503</xdr:rowOff>
    </xdr:to>
    <xdr:sp macro="" textlink="">
      <xdr:nvSpPr>
        <xdr:cNvPr id="8" name="7 CuadroTexto">
          <a:hlinkClick xmlns:r="http://schemas.openxmlformats.org/officeDocument/2006/relationships" r:id="rId3"/>
          <a:extLst>
            <a:ext uri="{FF2B5EF4-FFF2-40B4-BE49-F238E27FC236}">
              <a16:creationId xmlns:a16="http://schemas.microsoft.com/office/drawing/2014/main" id="{00000000-0008-0000-0E00-000008000000}"/>
            </a:ext>
          </a:extLst>
        </xdr:cNvPr>
        <xdr:cNvSpPr txBox="1"/>
      </xdr:nvSpPr>
      <xdr:spPr>
        <a:xfrm>
          <a:off x="256289" y="2286775"/>
          <a:ext cx="1382630" cy="461103"/>
        </a:xfrm>
        <a:prstGeom prst="rect">
          <a:avLst/>
        </a:prstGeom>
        <a:solidFill>
          <a:srgbClr val="00B050"/>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400" b="1">
              <a:solidFill>
                <a:schemeClr val="bg1"/>
              </a:solidFill>
              <a:effectLst/>
              <a:latin typeface="+mn-lt"/>
              <a:ea typeface="+mn-ea"/>
              <a:cs typeface="+mn-cs"/>
            </a:rPr>
            <a:t>grafica1</a:t>
          </a:r>
          <a:endParaRPr lang="es-CO" sz="1400">
            <a:solidFill>
              <a:schemeClr val="bg1"/>
            </a:solidFill>
            <a:effectLst/>
            <a:latin typeface="+mn-lt"/>
          </a:endParaRPr>
        </a:p>
      </xdr:txBody>
    </xdr:sp>
    <xdr:clientData/>
  </xdr:twoCellAnchor>
  <xdr:twoCellAnchor>
    <xdr:from>
      <xdr:col>0</xdr:col>
      <xdr:colOff>256289</xdr:colOff>
      <xdr:row>14</xdr:row>
      <xdr:rowOff>86112</xdr:rowOff>
    </xdr:from>
    <xdr:to>
      <xdr:col>0</xdr:col>
      <xdr:colOff>1638919</xdr:colOff>
      <xdr:row>16</xdr:row>
      <xdr:rowOff>166215</xdr:rowOff>
    </xdr:to>
    <xdr:sp macro="" textlink="">
      <xdr:nvSpPr>
        <xdr:cNvPr id="9" name="8 CuadroTexto">
          <a:hlinkClick xmlns:r="http://schemas.openxmlformats.org/officeDocument/2006/relationships" r:id="rId4"/>
          <a:extLst>
            <a:ext uri="{FF2B5EF4-FFF2-40B4-BE49-F238E27FC236}">
              <a16:creationId xmlns:a16="http://schemas.microsoft.com/office/drawing/2014/main" id="{00000000-0008-0000-0E00-000009000000}"/>
            </a:ext>
          </a:extLst>
        </xdr:cNvPr>
        <xdr:cNvSpPr txBox="1"/>
      </xdr:nvSpPr>
      <xdr:spPr>
        <a:xfrm>
          <a:off x="256289" y="2895987"/>
          <a:ext cx="1382630" cy="461103"/>
        </a:xfrm>
        <a:prstGeom prst="rect">
          <a:avLst/>
        </a:prstGeom>
        <a:solidFill>
          <a:srgbClr val="FFFF99"/>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s-CO" sz="1400" b="1">
              <a:solidFill>
                <a:schemeClr val="tx2"/>
              </a:solidFill>
              <a:effectLst/>
              <a:latin typeface="+mn-lt"/>
              <a:ea typeface="+mn-ea"/>
              <a:cs typeface="+mn-cs"/>
            </a:rPr>
            <a:t>Grafica costos variables</a:t>
          </a:r>
          <a:endParaRPr lang="es-CO" sz="1400">
            <a:solidFill>
              <a:schemeClr val="tx2"/>
            </a:solidFill>
            <a:effectLst/>
            <a:latin typeface="+mn-lt"/>
          </a:endParaRPr>
        </a:p>
      </xdr:txBody>
    </xdr:sp>
    <xdr:clientData/>
  </xdr:twoCellAnchor>
  <xdr:twoCellAnchor>
    <xdr:from>
      <xdr:col>0</xdr:col>
      <xdr:colOff>256289</xdr:colOff>
      <xdr:row>17</xdr:row>
      <xdr:rowOff>123825</xdr:rowOff>
    </xdr:from>
    <xdr:to>
      <xdr:col>0</xdr:col>
      <xdr:colOff>1638919</xdr:colOff>
      <xdr:row>20</xdr:row>
      <xdr:rowOff>13428</xdr:rowOff>
    </xdr:to>
    <xdr:sp macro="" textlink="">
      <xdr:nvSpPr>
        <xdr:cNvPr id="10" name="9 CuadroTexto">
          <a:hlinkClick xmlns:r="http://schemas.openxmlformats.org/officeDocument/2006/relationships" r:id="rId5"/>
          <a:extLst>
            <a:ext uri="{FF2B5EF4-FFF2-40B4-BE49-F238E27FC236}">
              <a16:creationId xmlns:a16="http://schemas.microsoft.com/office/drawing/2014/main" id="{00000000-0008-0000-0E00-00000A000000}"/>
            </a:ext>
          </a:extLst>
        </xdr:cNvPr>
        <xdr:cNvSpPr txBox="1"/>
      </xdr:nvSpPr>
      <xdr:spPr>
        <a:xfrm>
          <a:off x="256289" y="3505200"/>
          <a:ext cx="1382630" cy="461103"/>
        </a:xfrm>
        <a:prstGeom prst="rect">
          <a:avLst/>
        </a:prstGeom>
        <a:solidFill>
          <a:srgbClr val="EEB84C"/>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400" b="1">
              <a:solidFill>
                <a:schemeClr val="tx2"/>
              </a:solidFill>
              <a:effectLst/>
              <a:latin typeface="+mn-lt"/>
              <a:ea typeface="+mn-ea"/>
              <a:cs typeface="+mn-cs"/>
            </a:rPr>
            <a:t>metricas</a:t>
          </a:r>
          <a:endParaRPr lang="es-CO" sz="1400">
            <a:solidFill>
              <a:schemeClr val="tx2"/>
            </a:solidFill>
            <a:effectLst/>
            <a:latin typeface="+mn-l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757670</xdr:colOff>
      <xdr:row>0</xdr:row>
      <xdr:rowOff>209550</xdr:rowOff>
    </xdr:from>
    <xdr:to>
      <xdr:col>4</xdr:col>
      <xdr:colOff>1606550</xdr:colOff>
      <xdr:row>2</xdr:row>
      <xdr:rowOff>19050</xdr:rowOff>
    </xdr:to>
    <xdr:pic>
      <xdr:nvPicPr>
        <xdr:cNvPr id="2" name="Picture 3" descr="P1_ECOPETROLRef_positivo_2p_cmyk.jpg">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310120" y="209550"/>
          <a:ext cx="2195080" cy="742950"/>
        </a:xfrm>
        <a:prstGeom prst="rect">
          <a:avLst/>
        </a:prstGeom>
        <a:noFill/>
        <a:ln w="9525">
          <a:noFill/>
          <a:miter lim="800000"/>
          <a:headEnd/>
          <a:tailEnd/>
        </a:ln>
      </xdr:spPr>
    </xdr:pic>
    <xdr:clientData/>
  </xdr:twoCellAnchor>
  <xdr:twoCellAnchor editAs="oneCell">
    <xdr:from>
      <xdr:col>37</xdr:col>
      <xdr:colOff>127000</xdr:colOff>
      <xdr:row>1</xdr:row>
      <xdr:rowOff>44450</xdr:rowOff>
    </xdr:from>
    <xdr:to>
      <xdr:col>40</xdr:col>
      <xdr:colOff>268033</xdr:colOff>
      <xdr:row>1</xdr:row>
      <xdr:rowOff>654050</xdr:rowOff>
    </xdr:to>
    <xdr:pic>
      <xdr:nvPicPr>
        <xdr:cNvPr id="5" name="Imagen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a:stretch>
          <a:fillRect/>
        </a:stretch>
      </xdr:blipFill>
      <xdr:spPr>
        <a:xfrm>
          <a:off x="25914350" y="292100"/>
          <a:ext cx="2179383" cy="6096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388471</xdr:colOff>
      <xdr:row>1</xdr:row>
      <xdr:rowOff>37353</xdr:rowOff>
    </xdr:from>
    <xdr:to>
      <xdr:col>3</xdr:col>
      <xdr:colOff>597647</xdr:colOff>
      <xdr:row>1</xdr:row>
      <xdr:rowOff>765737</xdr:rowOff>
    </xdr:to>
    <xdr:pic>
      <xdr:nvPicPr>
        <xdr:cNvPr id="4" name="Picture 2" descr="P1_ECOPETROLRef_positivo_2p_cmyk.jpg">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806824" y="224118"/>
          <a:ext cx="1882588" cy="728384"/>
        </a:xfrm>
        <a:prstGeom prst="rect">
          <a:avLst/>
        </a:prstGeom>
        <a:noFill/>
        <a:ln w="9525">
          <a:noFill/>
          <a:miter lim="800000"/>
          <a:headEnd/>
          <a:tailEnd/>
        </a:ln>
      </xdr:spPr>
    </xdr:pic>
    <xdr:clientData/>
  </xdr:twoCellAnchor>
  <xdr:twoCellAnchor editAs="oneCell">
    <xdr:from>
      <xdr:col>12</xdr:col>
      <xdr:colOff>112058</xdr:colOff>
      <xdr:row>1</xdr:row>
      <xdr:rowOff>82177</xdr:rowOff>
    </xdr:from>
    <xdr:to>
      <xdr:col>14</xdr:col>
      <xdr:colOff>778087</xdr:colOff>
      <xdr:row>1</xdr:row>
      <xdr:rowOff>694764</xdr:rowOff>
    </xdr:to>
    <xdr:pic>
      <xdr:nvPicPr>
        <xdr:cNvPr id="2" name="Imagen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2"/>
        <a:stretch>
          <a:fillRect/>
        </a:stretch>
      </xdr:blipFill>
      <xdr:spPr>
        <a:xfrm>
          <a:off x="8120529" y="268942"/>
          <a:ext cx="2077970" cy="61258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0</xdr:colOff>
      <xdr:row>3</xdr:row>
      <xdr:rowOff>85725</xdr:rowOff>
    </xdr:from>
    <xdr:to>
      <xdr:col>8</xdr:col>
      <xdr:colOff>76200</xdr:colOff>
      <xdr:row>7</xdr:row>
      <xdr:rowOff>0</xdr:rowOff>
    </xdr:to>
    <xdr:pic>
      <xdr:nvPicPr>
        <xdr:cNvPr id="2" name="2 Imagen" descr="P1_ECOPETROLRef_positivo_2p_cmyk.jpg">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619125" y="409575"/>
          <a:ext cx="2247900" cy="86677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535781</xdr:colOff>
      <xdr:row>4</xdr:row>
      <xdr:rowOff>79376</xdr:rowOff>
    </xdr:from>
    <xdr:to>
      <xdr:col>4</xdr:col>
      <xdr:colOff>341313</xdr:colOff>
      <xdr:row>5</xdr:row>
      <xdr:rowOff>11117</xdr:rowOff>
    </xdr:to>
    <xdr:pic>
      <xdr:nvPicPr>
        <xdr:cNvPr id="3" name="4 Imagen" descr="http://bogevairisp/medios/documentos/Manual%20Intranet/descargas/ECO_logosimbolo_p1/06_ECO_Logosimbolo_p1_Eslogan_Derecha/ECO_logo_1_Eslogan_Derecha_PNG/Eco_logo_1_Eslogan_Der_Color.png">
          <a:extLst>
            <a:ext uri="{FF2B5EF4-FFF2-40B4-BE49-F238E27FC236}">
              <a16:creationId xmlns:a16="http://schemas.microsoft.com/office/drawing/2014/main" id="{00000000-0008-0000-13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671" t="29034" r="3915" b="30306"/>
        <a:stretch/>
      </xdr:blipFill>
      <xdr:spPr bwMode="auto">
        <a:xfrm>
          <a:off x="535781" y="730251"/>
          <a:ext cx="2107407" cy="4238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296365</xdr:colOff>
      <xdr:row>1</xdr:row>
      <xdr:rowOff>157349</xdr:rowOff>
    </xdr:from>
    <xdr:to>
      <xdr:col>11</xdr:col>
      <xdr:colOff>157993</xdr:colOff>
      <xdr:row>18</xdr:row>
      <xdr:rowOff>136618</xdr:rowOff>
    </xdr:to>
    <xdr:graphicFrame macro="">
      <xdr:nvGraphicFramePr>
        <xdr:cNvPr id="18" name="Chart 2">
          <a:extLst>
            <a:ext uri="{FF2B5EF4-FFF2-40B4-BE49-F238E27FC236}">
              <a16:creationId xmlns:a16="http://schemas.microsoft.com/office/drawing/2014/main" id="{00000000-0008-0000-1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20</xdr:row>
      <xdr:rowOff>44979</xdr:rowOff>
    </xdr:from>
    <xdr:to>
      <xdr:col>22</xdr:col>
      <xdr:colOff>231322</xdr:colOff>
      <xdr:row>37</xdr:row>
      <xdr:rowOff>21167</xdr:rowOff>
    </xdr:to>
    <xdr:graphicFrame macro="">
      <xdr:nvGraphicFramePr>
        <xdr:cNvPr id="19" name="Chart 2">
          <a:extLst>
            <a:ext uri="{FF2B5EF4-FFF2-40B4-BE49-F238E27FC236}">
              <a16:creationId xmlns:a16="http://schemas.microsoft.com/office/drawing/2014/main" id="{00000000-0008-0000-1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290286</xdr:colOff>
      <xdr:row>19</xdr:row>
      <xdr:rowOff>146846</xdr:rowOff>
    </xdr:from>
    <xdr:to>
      <xdr:col>11</xdr:col>
      <xdr:colOff>181429</xdr:colOff>
      <xdr:row>36</xdr:row>
      <xdr:rowOff>120652</xdr:rowOff>
    </xdr:to>
    <xdr:graphicFrame macro="">
      <xdr:nvGraphicFramePr>
        <xdr:cNvPr id="20" name="Chart 2">
          <a:extLst>
            <a:ext uri="{FF2B5EF4-FFF2-40B4-BE49-F238E27FC236}">
              <a16:creationId xmlns:a16="http://schemas.microsoft.com/office/drawing/2014/main" id="{00000000-0008-0000-1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513671</xdr:colOff>
      <xdr:row>38</xdr:row>
      <xdr:rowOff>132442</xdr:rowOff>
    </xdr:from>
    <xdr:to>
      <xdr:col>22</xdr:col>
      <xdr:colOff>214314</xdr:colOff>
      <xdr:row>56</xdr:row>
      <xdr:rowOff>180067</xdr:rowOff>
    </xdr:to>
    <xdr:graphicFrame macro="">
      <xdr:nvGraphicFramePr>
        <xdr:cNvPr id="21" name="Chart 5">
          <a:extLst>
            <a:ext uri="{FF2B5EF4-FFF2-40B4-BE49-F238E27FC236}">
              <a16:creationId xmlns:a16="http://schemas.microsoft.com/office/drawing/2014/main" id="{00000000-0008-0000-1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57</xdr:row>
      <xdr:rowOff>166687</xdr:rowOff>
    </xdr:from>
    <xdr:to>
      <xdr:col>22</xdr:col>
      <xdr:colOff>244929</xdr:colOff>
      <xdr:row>73</xdr:row>
      <xdr:rowOff>40481</xdr:rowOff>
    </xdr:to>
    <xdr:graphicFrame macro="">
      <xdr:nvGraphicFramePr>
        <xdr:cNvPr id="23" name="Chart 3">
          <a:extLst>
            <a:ext uri="{FF2B5EF4-FFF2-40B4-BE49-F238E27FC236}">
              <a16:creationId xmlns:a16="http://schemas.microsoft.com/office/drawing/2014/main" id="{00000000-0008-0000-1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58</xdr:row>
      <xdr:rowOff>1</xdr:rowOff>
    </xdr:from>
    <xdr:to>
      <xdr:col>11</xdr:col>
      <xdr:colOff>66675</xdr:colOff>
      <xdr:row>73</xdr:row>
      <xdr:rowOff>0</xdr:rowOff>
    </xdr:to>
    <xdr:graphicFrame macro="">
      <xdr:nvGraphicFramePr>
        <xdr:cNvPr id="24" name="Chart 3">
          <a:extLst>
            <a:ext uri="{FF2B5EF4-FFF2-40B4-BE49-F238E27FC236}">
              <a16:creationId xmlns:a16="http://schemas.microsoft.com/office/drawing/2014/main" id="{00000000-0008-0000-1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476250</xdr:colOff>
      <xdr:row>74</xdr:row>
      <xdr:rowOff>136071</xdr:rowOff>
    </xdr:from>
    <xdr:to>
      <xdr:col>22</xdr:col>
      <xdr:colOff>221116</xdr:colOff>
      <xdr:row>93</xdr:row>
      <xdr:rowOff>66675</xdr:rowOff>
    </xdr:to>
    <xdr:graphicFrame macro="">
      <xdr:nvGraphicFramePr>
        <xdr:cNvPr id="25" name="Chart 5">
          <a:extLst>
            <a:ext uri="{FF2B5EF4-FFF2-40B4-BE49-F238E27FC236}">
              <a16:creationId xmlns:a16="http://schemas.microsoft.com/office/drawing/2014/main" id="{00000000-0008-0000-1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36398</xdr:colOff>
      <xdr:row>74</xdr:row>
      <xdr:rowOff>110558</xdr:rowOff>
    </xdr:from>
    <xdr:to>
      <xdr:col>11</xdr:col>
      <xdr:colOff>119062</xdr:colOff>
      <xdr:row>93</xdr:row>
      <xdr:rowOff>35719</xdr:rowOff>
    </xdr:to>
    <xdr:graphicFrame macro="">
      <xdr:nvGraphicFramePr>
        <xdr:cNvPr id="26" name="Chart 5">
          <a:extLst>
            <a:ext uri="{FF2B5EF4-FFF2-40B4-BE49-F238E27FC236}">
              <a16:creationId xmlns:a16="http://schemas.microsoft.com/office/drawing/2014/main" id="{00000000-0008-0000-1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507999</xdr:colOff>
      <xdr:row>1</xdr:row>
      <xdr:rowOff>129134</xdr:rowOff>
    </xdr:from>
    <xdr:to>
      <xdr:col>22</xdr:col>
      <xdr:colOff>238859</xdr:colOff>
      <xdr:row>18</xdr:row>
      <xdr:rowOff>119610</xdr:rowOff>
    </xdr:to>
    <xdr:graphicFrame macro="">
      <xdr:nvGraphicFramePr>
        <xdr:cNvPr id="12" name="Chart 2">
          <a:extLst>
            <a:ext uri="{FF2B5EF4-FFF2-40B4-BE49-F238E27FC236}">
              <a16:creationId xmlns:a16="http://schemas.microsoft.com/office/drawing/2014/main" id="{00000000-0008-0000-1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345281</xdr:colOff>
      <xdr:row>38</xdr:row>
      <xdr:rowOff>102393</xdr:rowOff>
    </xdr:from>
    <xdr:to>
      <xdr:col>11</xdr:col>
      <xdr:colOff>83343</xdr:colOff>
      <xdr:row>56</xdr:row>
      <xdr:rowOff>150018</xdr:rowOff>
    </xdr:to>
    <xdr:graphicFrame macro="">
      <xdr:nvGraphicFramePr>
        <xdr:cNvPr id="13" name="Chart 5">
          <a:extLst>
            <a:ext uri="{FF2B5EF4-FFF2-40B4-BE49-F238E27FC236}">
              <a16:creationId xmlns:a16="http://schemas.microsoft.com/office/drawing/2014/main" id="{00000000-0008-0000-1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827520</xdr:colOff>
      <xdr:row>1</xdr:row>
      <xdr:rowOff>63500</xdr:rowOff>
    </xdr:from>
    <xdr:to>
      <xdr:col>4</xdr:col>
      <xdr:colOff>162213</xdr:colOff>
      <xdr:row>4</xdr:row>
      <xdr:rowOff>163513</xdr:rowOff>
    </xdr:to>
    <xdr:pic>
      <xdr:nvPicPr>
        <xdr:cNvPr id="2" name="Picture 3" descr="P1_ECOPETROLRef_positivo_2p_cmyk.jpg">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898958" y="119063"/>
          <a:ext cx="2096943" cy="742950"/>
        </a:xfrm>
        <a:prstGeom prst="rect">
          <a:avLst/>
        </a:prstGeom>
        <a:noFill/>
        <a:ln w="9525">
          <a:noFill/>
          <a:miter lim="800000"/>
          <a:headEnd/>
          <a:tailEnd/>
        </a:ln>
      </xdr:spPr>
    </xdr:pic>
    <xdr:clientData/>
  </xdr:twoCellAnchor>
  <xdr:twoCellAnchor>
    <xdr:from>
      <xdr:col>7</xdr:col>
      <xdr:colOff>7936</xdr:colOff>
      <xdr:row>1</xdr:row>
      <xdr:rowOff>111125</xdr:rowOff>
    </xdr:from>
    <xdr:to>
      <xdr:col>8</xdr:col>
      <xdr:colOff>317498</xdr:colOff>
      <xdr:row>4</xdr:row>
      <xdr:rowOff>39688</xdr:rowOff>
    </xdr:to>
    <xdr:sp macro="" textlink="">
      <xdr:nvSpPr>
        <xdr:cNvPr id="6" name="Rectángulo 5">
          <a:extLst>
            <a:ext uri="{FF2B5EF4-FFF2-40B4-BE49-F238E27FC236}">
              <a16:creationId xmlns:a16="http://schemas.microsoft.com/office/drawing/2014/main" id="{00000000-0008-0000-1600-000006000000}"/>
            </a:ext>
          </a:extLst>
        </xdr:cNvPr>
        <xdr:cNvSpPr/>
      </xdr:nvSpPr>
      <xdr:spPr>
        <a:xfrm>
          <a:off x="5810249" y="166688"/>
          <a:ext cx="1389062" cy="571500"/>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rtlCol="0" anchor="ctr"/>
        <a:lstStyle/>
        <a:p>
          <a:pPr algn="ctr"/>
          <a:r>
            <a:rPr lang="es-CO" sz="1400"/>
            <a:t>Reemplazar</a:t>
          </a:r>
          <a:r>
            <a:rPr lang="es-CO" sz="1400" baseline="0"/>
            <a:t> por CZ</a:t>
          </a:r>
          <a:endParaRPr lang="es-CO" sz="1400"/>
        </a:p>
      </xdr:txBody>
    </xdr:sp>
    <xdr:clientData/>
  </xdr:twoCellAnchor>
  <xdr:twoCellAnchor>
    <xdr:from>
      <xdr:col>8</xdr:col>
      <xdr:colOff>202407</xdr:colOff>
      <xdr:row>4</xdr:row>
      <xdr:rowOff>63500</xdr:rowOff>
    </xdr:from>
    <xdr:to>
      <xdr:col>8</xdr:col>
      <xdr:colOff>206375</xdr:colOff>
      <xdr:row>7</xdr:row>
      <xdr:rowOff>138906</xdr:rowOff>
    </xdr:to>
    <xdr:cxnSp macro="">
      <xdr:nvCxnSpPr>
        <xdr:cNvPr id="8" name="Conector recto de flecha 7">
          <a:extLst>
            <a:ext uri="{FF2B5EF4-FFF2-40B4-BE49-F238E27FC236}">
              <a16:creationId xmlns:a16="http://schemas.microsoft.com/office/drawing/2014/main" id="{00000000-0008-0000-1600-000008000000}"/>
            </a:ext>
          </a:extLst>
        </xdr:cNvPr>
        <xdr:cNvCxnSpPr/>
      </xdr:nvCxnSpPr>
      <xdr:spPr>
        <a:xfrm flipH="1">
          <a:off x="7084220" y="762000"/>
          <a:ext cx="3968" cy="1083469"/>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563561</xdr:colOff>
      <xdr:row>1</xdr:row>
      <xdr:rowOff>120650</xdr:rowOff>
    </xdr:from>
    <xdr:to>
      <xdr:col>13</xdr:col>
      <xdr:colOff>31748</xdr:colOff>
      <xdr:row>4</xdr:row>
      <xdr:rowOff>39688</xdr:rowOff>
    </xdr:to>
    <xdr:sp macro="" textlink="">
      <xdr:nvSpPr>
        <xdr:cNvPr id="11" name="Rectángulo 10">
          <a:extLst>
            <a:ext uri="{FF2B5EF4-FFF2-40B4-BE49-F238E27FC236}">
              <a16:creationId xmlns:a16="http://schemas.microsoft.com/office/drawing/2014/main" id="{00000000-0008-0000-1600-00000B000000}"/>
            </a:ext>
          </a:extLst>
        </xdr:cNvPr>
        <xdr:cNvSpPr/>
      </xdr:nvSpPr>
      <xdr:spPr>
        <a:xfrm>
          <a:off x="10731499" y="176213"/>
          <a:ext cx="1373187" cy="561975"/>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rtlCol="0" anchor="ctr"/>
        <a:lstStyle/>
        <a:p>
          <a:pPr algn="ctr"/>
          <a:r>
            <a:rPr lang="es-CO" sz="1400"/>
            <a:t>Reemplazar</a:t>
          </a:r>
          <a:r>
            <a:rPr lang="es-CO" sz="1400" baseline="0"/>
            <a:t> por DA</a:t>
          </a:r>
          <a:endParaRPr lang="es-CO" sz="1400"/>
        </a:p>
      </xdr:txBody>
    </xdr:sp>
    <xdr:clientData/>
  </xdr:twoCellAnchor>
  <xdr:twoCellAnchor>
    <xdr:from>
      <xdr:col>11</xdr:col>
      <xdr:colOff>656431</xdr:colOff>
      <xdr:row>4</xdr:row>
      <xdr:rowOff>79375</xdr:rowOff>
    </xdr:from>
    <xdr:to>
      <xdr:col>11</xdr:col>
      <xdr:colOff>658812</xdr:colOff>
      <xdr:row>7</xdr:row>
      <xdr:rowOff>144463</xdr:rowOff>
    </xdr:to>
    <xdr:cxnSp macro="">
      <xdr:nvCxnSpPr>
        <xdr:cNvPr id="12" name="Conector recto de flecha 11">
          <a:extLst>
            <a:ext uri="{FF2B5EF4-FFF2-40B4-BE49-F238E27FC236}">
              <a16:creationId xmlns:a16="http://schemas.microsoft.com/office/drawing/2014/main" id="{00000000-0008-0000-1600-00000C000000}"/>
            </a:ext>
          </a:extLst>
        </xdr:cNvPr>
        <xdr:cNvCxnSpPr/>
      </xdr:nvCxnSpPr>
      <xdr:spPr>
        <a:xfrm flipH="1">
          <a:off x="10824369" y="777875"/>
          <a:ext cx="2381" cy="1073151"/>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15</xdr:col>
      <xdr:colOff>87312</xdr:colOff>
      <xdr:row>1</xdr:row>
      <xdr:rowOff>47625</xdr:rowOff>
    </xdr:from>
    <xdr:to>
      <xdr:col>17</xdr:col>
      <xdr:colOff>758570</xdr:colOff>
      <xdr:row>4</xdr:row>
      <xdr:rowOff>93654</xdr:rowOff>
    </xdr:to>
    <xdr:pic>
      <xdr:nvPicPr>
        <xdr:cNvPr id="13" name="Imagen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14541500" y="103188"/>
          <a:ext cx="2179383" cy="68896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667869</xdr:colOff>
      <xdr:row>0</xdr:row>
      <xdr:rowOff>178594</xdr:rowOff>
    </xdr:from>
    <xdr:to>
      <xdr:col>5</xdr:col>
      <xdr:colOff>592628</xdr:colOff>
      <xdr:row>3</xdr:row>
      <xdr:rowOff>178593</xdr:rowOff>
    </xdr:to>
    <xdr:pic>
      <xdr:nvPicPr>
        <xdr:cNvPr id="2" name="2 Imagen" descr="P1_ECOPETROLRef_positivo_2p_cmyk.jpg">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560838" y="178594"/>
          <a:ext cx="2425071" cy="785812"/>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627062</xdr:colOff>
      <xdr:row>1</xdr:row>
      <xdr:rowOff>75405</xdr:rowOff>
    </xdr:from>
    <xdr:to>
      <xdr:col>2</xdr:col>
      <xdr:colOff>1476375</xdr:colOff>
      <xdr:row>1</xdr:row>
      <xdr:rowOff>653311</xdr:rowOff>
    </xdr:to>
    <xdr:pic>
      <xdr:nvPicPr>
        <xdr:cNvPr id="4" name="Picture 3" descr="P1_ECOPETROLRef_positivo_2p_cmyk.jpg">
          <a:extLst>
            <a:ext uri="{FF2B5EF4-FFF2-40B4-BE49-F238E27FC236}">
              <a16:creationId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698500" y="265905"/>
          <a:ext cx="1762125" cy="577906"/>
        </a:xfrm>
        <a:prstGeom prst="rect">
          <a:avLst/>
        </a:prstGeom>
        <a:noFill/>
        <a:ln w="9525">
          <a:noFill/>
          <a:miter lim="800000"/>
          <a:headEnd/>
          <a:tailEnd/>
        </a:ln>
      </xdr:spPr>
    </xdr:pic>
    <xdr:clientData/>
  </xdr:twoCellAnchor>
  <xdr:twoCellAnchor editAs="oneCell">
    <xdr:from>
      <xdr:col>25</xdr:col>
      <xdr:colOff>150813</xdr:colOff>
      <xdr:row>1</xdr:row>
      <xdr:rowOff>47625</xdr:rowOff>
    </xdr:from>
    <xdr:to>
      <xdr:col>28</xdr:col>
      <xdr:colOff>4508</xdr:colOff>
      <xdr:row>1</xdr:row>
      <xdr:rowOff>736591</xdr:rowOff>
    </xdr:to>
    <xdr:pic>
      <xdr:nvPicPr>
        <xdr:cNvPr id="5" name="Imagen 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2"/>
        <a:stretch>
          <a:fillRect/>
        </a:stretch>
      </xdr:blipFill>
      <xdr:spPr>
        <a:xfrm>
          <a:off x="27289126" y="238125"/>
          <a:ext cx="2179383" cy="68896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2380</xdr:colOff>
      <xdr:row>0</xdr:row>
      <xdr:rowOff>238126</xdr:rowOff>
    </xdr:from>
    <xdr:to>
      <xdr:col>3</xdr:col>
      <xdr:colOff>964406</xdr:colOff>
      <xdr:row>4</xdr:row>
      <xdr:rowOff>130970</xdr:rowOff>
    </xdr:to>
    <xdr:pic>
      <xdr:nvPicPr>
        <xdr:cNvPr id="2" name="2 Imagen" descr="P1_ECOPETROLRef_positivo_2p_cmyk.jpg">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297655" y="238126"/>
          <a:ext cx="2828926" cy="950119"/>
        </a:xfrm>
        <a:prstGeom prst="rect">
          <a:avLst/>
        </a:prstGeom>
        <a:noFill/>
        <a:ln w="9525">
          <a:noFill/>
          <a:miter lim="800000"/>
          <a:headEnd/>
          <a:tailEnd/>
        </a:ln>
      </xdr:spPr>
    </xdr:pic>
    <xdr:clientData/>
  </xdr:twoCellAnchor>
  <xdr:twoCellAnchor>
    <xdr:from>
      <xdr:col>10</xdr:col>
      <xdr:colOff>47626</xdr:colOff>
      <xdr:row>7</xdr:row>
      <xdr:rowOff>11905</xdr:rowOff>
    </xdr:from>
    <xdr:to>
      <xdr:col>27</xdr:col>
      <xdr:colOff>59531</xdr:colOff>
      <xdr:row>21</xdr:row>
      <xdr:rowOff>178593</xdr:rowOff>
    </xdr:to>
    <xdr:graphicFrame macro="">
      <xdr:nvGraphicFramePr>
        <xdr:cNvPr id="3" name="2 Gráfico">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35719</xdr:colOff>
      <xdr:row>23</xdr:row>
      <xdr:rowOff>35719</xdr:rowOff>
    </xdr:from>
    <xdr:to>
      <xdr:col>27</xdr:col>
      <xdr:colOff>107157</xdr:colOff>
      <xdr:row>39</xdr:row>
      <xdr:rowOff>190501</xdr:rowOff>
    </xdr:to>
    <xdr:graphicFrame macro="">
      <xdr:nvGraphicFramePr>
        <xdr:cNvPr id="4" name="3 Gráfico">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10</xdr:col>
      <xdr:colOff>95250</xdr:colOff>
      <xdr:row>4</xdr:row>
      <xdr:rowOff>28575</xdr:rowOff>
    </xdr:from>
    <xdr:to>
      <xdr:col>16</xdr:col>
      <xdr:colOff>95250</xdr:colOff>
      <xdr:row>16</xdr:row>
      <xdr:rowOff>19050</xdr:rowOff>
    </xdr:to>
    <xdr:graphicFrame macro="">
      <xdr:nvGraphicFramePr>
        <xdr:cNvPr id="2" name="Gráfico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25</xdr:row>
      <xdr:rowOff>0</xdr:rowOff>
    </xdr:from>
    <xdr:to>
      <xdr:col>16</xdr:col>
      <xdr:colOff>38100</xdr:colOff>
      <xdr:row>37</xdr:row>
      <xdr:rowOff>171450</xdr:rowOff>
    </xdr:to>
    <xdr:graphicFrame macro="">
      <xdr:nvGraphicFramePr>
        <xdr:cNvPr id="3" name="Gráfico 3">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25</xdr:row>
      <xdr:rowOff>0</xdr:rowOff>
    </xdr:from>
    <xdr:to>
      <xdr:col>22</xdr:col>
      <xdr:colOff>38100</xdr:colOff>
      <xdr:row>37</xdr:row>
      <xdr:rowOff>171450</xdr:rowOff>
    </xdr:to>
    <xdr:graphicFrame macro="">
      <xdr:nvGraphicFramePr>
        <xdr:cNvPr id="4" name="Gráfico 4">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47</xdr:row>
      <xdr:rowOff>571500</xdr:rowOff>
    </xdr:from>
    <xdr:to>
      <xdr:col>19</xdr:col>
      <xdr:colOff>561975</xdr:colOff>
      <xdr:row>59</xdr:row>
      <xdr:rowOff>85725</xdr:rowOff>
    </xdr:to>
    <xdr:graphicFrame macro="">
      <xdr:nvGraphicFramePr>
        <xdr:cNvPr id="5" name="Gráfico 1">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0</xdr:col>
      <xdr:colOff>352425</xdr:colOff>
      <xdr:row>0</xdr:row>
      <xdr:rowOff>180975</xdr:rowOff>
    </xdr:from>
    <xdr:to>
      <xdr:col>12</xdr:col>
      <xdr:colOff>657224</xdr:colOff>
      <xdr:row>18</xdr:row>
      <xdr:rowOff>47625</xdr:rowOff>
    </xdr:to>
    <xdr:graphicFrame macro="">
      <xdr:nvGraphicFramePr>
        <xdr:cNvPr id="2" name="1 Gráfico">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381000</xdr:colOff>
      <xdr:row>18</xdr:row>
      <xdr:rowOff>123826</xdr:rowOff>
    </xdr:from>
    <xdr:to>
      <xdr:col>13</xdr:col>
      <xdr:colOff>0</xdr:colOff>
      <xdr:row>35</xdr:row>
      <xdr:rowOff>0</xdr:rowOff>
    </xdr:to>
    <xdr:graphicFrame macro="">
      <xdr:nvGraphicFramePr>
        <xdr:cNvPr id="3" name="2 Gráfico">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0</xdr:col>
      <xdr:colOff>209550</xdr:colOff>
      <xdr:row>16</xdr:row>
      <xdr:rowOff>47624</xdr:rowOff>
    </xdr:from>
    <xdr:to>
      <xdr:col>4</xdr:col>
      <xdr:colOff>1647825</xdr:colOff>
      <xdr:row>32</xdr:row>
      <xdr:rowOff>114299</xdr:rowOff>
    </xdr:to>
    <xdr:graphicFrame macro="">
      <xdr:nvGraphicFramePr>
        <xdr:cNvPr id="2" name="1 Gráfico">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47624</xdr:colOff>
      <xdr:row>6</xdr:row>
      <xdr:rowOff>85726</xdr:rowOff>
    </xdr:from>
    <xdr:to>
      <xdr:col>4</xdr:col>
      <xdr:colOff>609600</xdr:colOff>
      <xdr:row>14</xdr:row>
      <xdr:rowOff>9526</xdr:rowOff>
    </xdr:to>
    <mc:AlternateContent xmlns:mc="http://schemas.openxmlformats.org/markup-compatibility/2006" xmlns:a14="http://schemas.microsoft.com/office/drawing/2010/main">
      <mc:Choice Requires="a14">
        <xdr:graphicFrame macro="">
          <xdr:nvGraphicFramePr>
            <xdr:cNvPr id="3" name="Concepto">
              <a:extLst>
                <a:ext uri="{FF2B5EF4-FFF2-40B4-BE49-F238E27FC236}">
                  <a16:creationId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3629024" y="1228726"/>
              <a:ext cx="2743201" cy="14478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25.xml><?xml version="1.0" encoding="utf-8"?>
<xdr:wsDr xmlns:xdr="http://schemas.openxmlformats.org/drawingml/2006/spreadsheetDrawing" xmlns:a="http://schemas.openxmlformats.org/drawingml/2006/main">
  <xdr:twoCellAnchor editAs="oneCell">
    <xdr:from>
      <xdr:col>8</xdr:col>
      <xdr:colOff>439208</xdr:colOff>
      <xdr:row>0</xdr:row>
      <xdr:rowOff>66675</xdr:rowOff>
    </xdr:from>
    <xdr:to>
      <xdr:col>12</xdr:col>
      <xdr:colOff>111125</xdr:colOff>
      <xdr:row>13</xdr:row>
      <xdr:rowOff>114300</xdr:rowOff>
    </xdr:to>
    <mc:AlternateContent xmlns:mc="http://schemas.openxmlformats.org/markup-compatibility/2006" xmlns:a14="http://schemas.microsoft.com/office/drawing/2010/main">
      <mc:Choice Requires="a14">
        <xdr:graphicFrame macro="">
          <xdr:nvGraphicFramePr>
            <xdr:cNvPr id="2" name="Concepto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8556625" y="66675"/>
              <a:ext cx="2762249"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twoCellAnchor>
    <xdr:from>
      <xdr:col>0</xdr:col>
      <xdr:colOff>207431</xdr:colOff>
      <xdr:row>10</xdr:row>
      <xdr:rowOff>148166</xdr:rowOff>
    </xdr:from>
    <xdr:to>
      <xdr:col>8</xdr:col>
      <xdr:colOff>359833</xdr:colOff>
      <xdr:row>28</xdr:row>
      <xdr:rowOff>79373</xdr:rowOff>
    </xdr:to>
    <xdr:graphicFrame macro="">
      <xdr:nvGraphicFramePr>
        <xdr:cNvPr id="3" name="2 Gráfico">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19051</xdr:colOff>
      <xdr:row>4</xdr:row>
      <xdr:rowOff>47625</xdr:rowOff>
    </xdr:from>
    <xdr:to>
      <xdr:col>13</xdr:col>
      <xdr:colOff>666750</xdr:colOff>
      <xdr:row>26</xdr:row>
      <xdr:rowOff>47625</xdr:rowOff>
    </xdr:to>
    <xdr:graphicFrame macro="">
      <xdr:nvGraphicFramePr>
        <xdr:cNvPr id="2" name="1 Gráfico">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57150</xdr:colOff>
      <xdr:row>5</xdr:row>
      <xdr:rowOff>9525</xdr:rowOff>
    </xdr:from>
    <xdr:to>
      <xdr:col>16</xdr:col>
      <xdr:colOff>752476</xdr:colOff>
      <xdr:row>14</xdr:row>
      <xdr:rowOff>0</xdr:rowOff>
    </xdr:to>
    <mc:AlternateContent xmlns:mc="http://schemas.openxmlformats.org/markup-compatibility/2006" xmlns:a14="http://schemas.microsoft.com/office/drawing/2010/main">
      <mc:Choice Requires="a14">
        <xdr:graphicFrame macro="">
          <xdr:nvGraphicFramePr>
            <xdr:cNvPr id="3" name="Concepto 2">
              <a:extLst>
                <a:ext uri="{FF2B5EF4-FFF2-40B4-BE49-F238E27FC236}">
                  <a16:creationId xmlns:a16="http://schemas.microsoft.com/office/drawing/2014/main" id="{00000000-0008-0000-2100-000003000000}"/>
                </a:ext>
              </a:extLst>
            </xdr:cNvPr>
            <xdr:cNvGraphicFramePr/>
          </xdr:nvGraphicFramePr>
          <xdr:xfrm>
            <a:off x="0" y="0"/>
            <a:ext cx="0" cy="0"/>
          </xdr:xfrm>
          <a:graphic>
            <a:graphicData uri="http://schemas.microsoft.com/office/drawing/2010/slicer">
              <sle:slicer xmlns:sle="http://schemas.microsoft.com/office/drawing/2010/slicer" name="Concepto 2"/>
            </a:graphicData>
          </a:graphic>
        </xdr:graphicFrame>
      </mc:Choice>
      <mc:Fallback xmlns="">
        <xdr:sp macro="" textlink="">
          <xdr:nvSpPr>
            <xdr:cNvPr id="0" name=""/>
            <xdr:cNvSpPr>
              <a:spLocks noTextEdit="1"/>
            </xdr:cNvSpPr>
          </xdr:nvSpPr>
          <xdr:spPr>
            <a:xfrm>
              <a:off x="8086725" y="962025"/>
              <a:ext cx="2219326" cy="17049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27.xml><?xml version="1.0" encoding="utf-8"?>
<xdr:wsDr xmlns:xdr="http://schemas.openxmlformats.org/drawingml/2006/spreadsheetDrawing" xmlns:a="http://schemas.openxmlformats.org/drawingml/2006/main">
  <xdr:twoCellAnchor>
    <xdr:from>
      <xdr:col>0</xdr:col>
      <xdr:colOff>314011</xdr:colOff>
      <xdr:row>5</xdr:row>
      <xdr:rowOff>104670</xdr:rowOff>
    </xdr:from>
    <xdr:to>
      <xdr:col>0</xdr:col>
      <xdr:colOff>1696641</xdr:colOff>
      <xdr:row>6</xdr:row>
      <xdr:rowOff>355879</xdr:rowOff>
    </xdr:to>
    <xdr:sp macro="" textlink="">
      <xdr:nvSpPr>
        <xdr:cNvPr id="2" name="1 CuadroTexto">
          <a:hlinkClick xmlns:r="http://schemas.openxmlformats.org/officeDocument/2006/relationships" r:id="rId1"/>
          <a:extLst>
            <a:ext uri="{FF2B5EF4-FFF2-40B4-BE49-F238E27FC236}">
              <a16:creationId xmlns:a16="http://schemas.microsoft.com/office/drawing/2014/main" id="{00000000-0008-0000-2200-000002000000}"/>
            </a:ext>
          </a:extLst>
        </xdr:cNvPr>
        <xdr:cNvSpPr txBox="1"/>
      </xdr:nvSpPr>
      <xdr:spPr>
        <a:xfrm>
          <a:off x="314011" y="1466745"/>
          <a:ext cx="1382630" cy="470284"/>
        </a:xfrm>
        <a:prstGeom prst="rect">
          <a:avLst/>
        </a:prstGeom>
        <a:solidFill>
          <a:srgbClr val="FFFF99"/>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Datos Mes</a:t>
          </a:r>
        </a:p>
      </xdr:txBody>
    </xdr:sp>
    <xdr:clientData/>
  </xdr:twoCellAnchor>
  <xdr:twoCellAnchor>
    <xdr:from>
      <xdr:col>0</xdr:col>
      <xdr:colOff>294960</xdr:colOff>
      <xdr:row>6</xdr:row>
      <xdr:rowOff>504719</xdr:rowOff>
    </xdr:from>
    <xdr:to>
      <xdr:col>0</xdr:col>
      <xdr:colOff>1696641</xdr:colOff>
      <xdr:row>6</xdr:row>
      <xdr:rowOff>1057274</xdr:rowOff>
    </xdr:to>
    <xdr:sp macro="" textlink="">
      <xdr:nvSpPr>
        <xdr:cNvPr id="3" name="2 CuadroTexto">
          <a:hlinkClick xmlns:r="http://schemas.openxmlformats.org/officeDocument/2006/relationships" r:id="rId2"/>
          <a:extLst>
            <a:ext uri="{FF2B5EF4-FFF2-40B4-BE49-F238E27FC236}">
              <a16:creationId xmlns:a16="http://schemas.microsoft.com/office/drawing/2014/main" id="{00000000-0008-0000-2200-000003000000}"/>
            </a:ext>
          </a:extLst>
        </xdr:cNvPr>
        <xdr:cNvSpPr txBox="1"/>
      </xdr:nvSpPr>
      <xdr:spPr>
        <a:xfrm>
          <a:off x="294960" y="2085869"/>
          <a:ext cx="1401681" cy="552555"/>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CPF- Cupiagua</a:t>
          </a:r>
        </a:p>
      </xdr:txBody>
    </xdr:sp>
    <xdr:clientData/>
  </xdr:twoCellAnchor>
  <xdr:twoCellAnchor>
    <xdr:from>
      <xdr:col>0</xdr:col>
      <xdr:colOff>285436</xdr:colOff>
      <xdr:row>7</xdr:row>
      <xdr:rowOff>37994</xdr:rowOff>
    </xdr:from>
    <xdr:to>
      <xdr:col>0</xdr:col>
      <xdr:colOff>1702594</xdr:colOff>
      <xdr:row>7</xdr:row>
      <xdr:rowOff>590549</xdr:rowOff>
    </xdr:to>
    <xdr:sp macro="" textlink="">
      <xdr:nvSpPr>
        <xdr:cNvPr id="4" name="3 CuadroTexto">
          <a:hlinkClick xmlns:r="http://schemas.openxmlformats.org/officeDocument/2006/relationships" r:id="rId3"/>
          <a:extLst>
            <a:ext uri="{FF2B5EF4-FFF2-40B4-BE49-F238E27FC236}">
              <a16:creationId xmlns:a16="http://schemas.microsoft.com/office/drawing/2014/main" id="{00000000-0008-0000-2200-000004000000}"/>
            </a:ext>
          </a:extLst>
        </xdr:cNvPr>
        <xdr:cNvSpPr txBox="1"/>
      </xdr:nvSpPr>
      <xdr:spPr>
        <a:xfrm>
          <a:off x="285436" y="2771669"/>
          <a:ext cx="1417158" cy="552555"/>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Facilidad NW</a:t>
          </a:r>
        </a:p>
      </xdr:txBody>
    </xdr:sp>
    <xdr:clientData/>
  </xdr:twoCellAnchor>
  <xdr:twoCellAnchor>
    <xdr:from>
      <xdr:col>0</xdr:col>
      <xdr:colOff>275911</xdr:colOff>
      <xdr:row>7</xdr:row>
      <xdr:rowOff>733319</xdr:rowOff>
    </xdr:from>
    <xdr:to>
      <xdr:col>0</xdr:col>
      <xdr:colOff>1704975</xdr:colOff>
      <xdr:row>7</xdr:row>
      <xdr:rowOff>1285874</xdr:rowOff>
    </xdr:to>
    <xdr:sp macro="" textlink="">
      <xdr:nvSpPr>
        <xdr:cNvPr id="5" name="4 CuadroTexto">
          <a:hlinkClick xmlns:r="http://schemas.openxmlformats.org/officeDocument/2006/relationships" r:id="rId4"/>
          <a:extLst>
            <a:ext uri="{FF2B5EF4-FFF2-40B4-BE49-F238E27FC236}">
              <a16:creationId xmlns:a16="http://schemas.microsoft.com/office/drawing/2014/main" id="{00000000-0008-0000-2200-000005000000}"/>
            </a:ext>
          </a:extLst>
        </xdr:cNvPr>
        <xdr:cNvSpPr txBox="1"/>
      </xdr:nvSpPr>
      <xdr:spPr>
        <a:xfrm>
          <a:off x="275911" y="3466994"/>
          <a:ext cx="1429064" cy="552555"/>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a:t>
          </a:r>
        </a:p>
        <a:p>
          <a:pPr algn="ctr"/>
          <a:r>
            <a:rPr lang="es-CO" sz="1400" b="1">
              <a:solidFill>
                <a:schemeClr val="tx2"/>
              </a:solidFill>
            </a:rPr>
            <a:t>Total de Plantas</a:t>
          </a:r>
        </a:p>
      </xdr:txBody>
    </xdr:sp>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171450</xdr:colOff>
      <xdr:row>0</xdr:row>
      <xdr:rowOff>66676</xdr:rowOff>
    </xdr:from>
    <xdr:to>
      <xdr:col>1</xdr:col>
      <xdr:colOff>428625</xdr:colOff>
      <xdr:row>2</xdr:row>
      <xdr:rowOff>166115</xdr:rowOff>
    </xdr:to>
    <xdr:pic>
      <xdr:nvPicPr>
        <xdr:cNvPr id="2" name="1 Imagen">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66676"/>
          <a:ext cx="1019175" cy="480439"/>
        </a:xfrm>
        <a:prstGeom prst="rect">
          <a:avLst/>
        </a:prstGeom>
      </xdr:spPr>
    </xdr:pic>
    <xdr:clientData/>
  </xdr:twoCellAnchor>
  <xdr:twoCellAnchor editAs="oneCell">
    <xdr:from>
      <xdr:col>2</xdr:col>
      <xdr:colOff>2619375</xdr:colOff>
      <xdr:row>0</xdr:row>
      <xdr:rowOff>28575</xdr:rowOff>
    </xdr:from>
    <xdr:to>
      <xdr:col>2</xdr:col>
      <xdr:colOff>3667125</xdr:colOff>
      <xdr:row>2</xdr:row>
      <xdr:rowOff>154273</xdr:rowOff>
    </xdr:to>
    <xdr:pic>
      <xdr:nvPicPr>
        <xdr:cNvPr id="3" name="2 Imagen">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stretch>
          <a:fillRect/>
        </a:stretch>
      </xdr:blipFill>
      <xdr:spPr>
        <a:xfrm>
          <a:off x="6219825" y="28575"/>
          <a:ext cx="1047750" cy="506698"/>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320739</xdr:colOff>
      <xdr:row>4</xdr:row>
      <xdr:rowOff>174949</xdr:rowOff>
    </xdr:from>
    <xdr:to>
      <xdr:col>0</xdr:col>
      <xdr:colOff>1703369</xdr:colOff>
      <xdr:row>7</xdr:row>
      <xdr:rowOff>82241</xdr:rowOff>
    </xdr:to>
    <xdr:sp macro="" textlink="">
      <xdr:nvSpPr>
        <xdr:cNvPr id="2" name="1 CuadroTexto">
          <a:hlinkClick xmlns:r="http://schemas.openxmlformats.org/officeDocument/2006/relationships" r:id="rId1"/>
          <a:extLst>
            <a:ext uri="{FF2B5EF4-FFF2-40B4-BE49-F238E27FC236}">
              <a16:creationId xmlns:a16="http://schemas.microsoft.com/office/drawing/2014/main" id="{00000000-0008-0000-2400-000002000000}"/>
            </a:ext>
          </a:extLst>
        </xdr:cNvPr>
        <xdr:cNvSpPr txBox="1"/>
      </xdr:nvSpPr>
      <xdr:spPr>
        <a:xfrm>
          <a:off x="320739" y="1013149"/>
          <a:ext cx="1382630" cy="383542"/>
        </a:xfrm>
        <a:prstGeom prst="rect">
          <a:avLst/>
        </a:prstGeom>
        <a:solidFill>
          <a:srgbClr val="FFFF99"/>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O" sz="1400" b="1" i="0" u="none" strike="noStrike" kern="0" cap="none" spc="0" normalizeH="0" baseline="0" noProof="0">
              <a:ln>
                <a:noFill/>
              </a:ln>
              <a:solidFill>
                <a:srgbClr val="1F497D"/>
              </a:solidFill>
              <a:effectLst/>
              <a:uLnTx/>
              <a:uFillTx/>
              <a:latin typeface="Calibri"/>
              <a:ea typeface="+mn-ea"/>
              <a:cs typeface="+mn-cs"/>
            </a:rPr>
            <a:t>Datos Mes</a:t>
          </a:r>
        </a:p>
      </xdr:txBody>
    </xdr:sp>
    <xdr:clientData/>
  </xdr:twoCellAnchor>
  <xdr:twoCellAnchor>
    <xdr:from>
      <xdr:col>0</xdr:col>
      <xdr:colOff>359369</xdr:colOff>
      <xdr:row>9</xdr:row>
      <xdr:rowOff>27670</xdr:rowOff>
    </xdr:from>
    <xdr:to>
      <xdr:col>0</xdr:col>
      <xdr:colOff>1788433</xdr:colOff>
      <xdr:row>12</xdr:row>
      <xdr:rowOff>26446</xdr:rowOff>
    </xdr:to>
    <xdr:sp macro="" textlink="">
      <xdr:nvSpPr>
        <xdr:cNvPr id="4" name="3 CuadroTexto">
          <a:hlinkClick xmlns:r="http://schemas.openxmlformats.org/officeDocument/2006/relationships" r:id="rId2"/>
          <a:extLst>
            <a:ext uri="{FF2B5EF4-FFF2-40B4-BE49-F238E27FC236}">
              <a16:creationId xmlns:a16="http://schemas.microsoft.com/office/drawing/2014/main" id="{00000000-0008-0000-2400-000004000000}"/>
            </a:ext>
          </a:extLst>
        </xdr:cNvPr>
        <xdr:cNvSpPr txBox="1"/>
      </xdr:nvSpPr>
      <xdr:spPr>
        <a:xfrm>
          <a:off x="359369" y="1723329"/>
          <a:ext cx="1429064" cy="563996"/>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a:t>
          </a:r>
        </a:p>
        <a:p>
          <a:pPr algn="ctr"/>
          <a:r>
            <a:rPr lang="es-CO" sz="1400" b="1">
              <a:solidFill>
                <a:schemeClr val="tx2"/>
              </a:solidFill>
            </a:rPr>
            <a:t>Total de Plantas</a:t>
          </a:r>
        </a:p>
      </xdr:txBody>
    </xdr:sp>
    <xdr:clientData/>
  </xdr:twoCellAnchor>
  <xdr:twoCellAnchor>
    <xdr:from>
      <xdr:col>0</xdr:col>
      <xdr:colOff>399371</xdr:colOff>
      <xdr:row>13</xdr:row>
      <xdr:rowOff>35619</xdr:rowOff>
    </xdr:from>
    <xdr:to>
      <xdr:col>0</xdr:col>
      <xdr:colOff>1801052</xdr:colOff>
      <xdr:row>16</xdr:row>
      <xdr:rowOff>8008</xdr:rowOff>
    </xdr:to>
    <xdr:sp macro="" textlink="">
      <xdr:nvSpPr>
        <xdr:cNvPr id="8" name="7 CuadroTexto">
          <a:hlinkClick xmlns:r="http://schemas.openxmlformats.org/officeDocument/2006/relationships" r:id="rId3"/>
          <a:extLst>
            <a:ext uri="{FF2B5EF4-FFF2-40B4-BE49-F238E27FC236}">
              <a16:creationId xmlns:a16="http://schemas.microsoft.com/office/drawing/2014/main" id="{00000000-0008-0000-2400-000008000000}"/>
            </a:ext>
          </a:extLst>
        </xdr:cNvPr>
        <xdr:cNvSpPr txBox="1"/>
      </xdr:nvSpPr>
      <xdr:spPr>
        <a:xfrm>
          <a:off x="399371" y="2484905"/>
          <a:ext cx="1401681" cy="537608"/>
        </a:xfrm>
        <a:prstGeom prst="rect">
          <a:avLst/>
        </a:prstGeom>
        <a:solidFill>
          <a:srgbClr val="FFC000"/>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Gráficos </a:t>
          </a:r>
        </a:p>
        <a:p>
          <a:pPr algn="ctr"/>
          <a:r>
            <a:rPr lang="es-CO" sz="1400" b="1">
              <a:solidFill>
                <a:schemeClr val="tx2"/>
              </a:solidFill>
            </a:rPr>
            <a:t>Total de Plantas</a:t>
          </a:r>
        </a:p>
      </xdr:txBody>
    </xdr:sp>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257175</xdr:colOff>
      <xdr:row>0</xdr:row>
      <xdr:rowOff>114300</xdr:rowOff>
    </xdr:from>
    <xdr:to>
      <xdr:col>2</xdr:col>
      <xdr:colOff>228601</xdr:colOff>
      <xdr:row>2</xdr:row>
      <xdr:rowOff>18768</xdr:rowOff>
    </xdr:to>
    <xdr:pic>
      <xdr:nvPicPr>
        <xdr:cNvPr id="2" name="2 Imagen" descr="P1_ECOPETROLRef_positivo_2p_cmyk.jpg">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781175" y="114300"/>
          <a:ext cx="1209676" cy="466443"/>
        </a:xfrm>
        <a:prstGeom prst="rect">
          <a:avLst/>
        </a:prstGeom>
        <a:noFill/>
        <a:ln w="9525">
          <a:noFill/>
          <a:miter lim="800000"/>
          <a:headEnd/>
          <a:tailEnd/>
        </a:ln>
      </xdr:spPr>
    </xdr:pic>
    <xdr:clientData/>
  </xdr:twoCellAnchor>
  <xdr:oneCellAnchor>
    <xdr:from>
      <xdr:col>16</xdr:col>
      <xdr:colOff>609600</xdr:colOff>
      <xdr:row>0</xdr:row>
      <xdr:rowOff>219076</xdr:rowOff>
    </xdr:from>
    <xdr:ext cx="881168" cy="335354"/>
    <xdr:pic>
      <xdr:nvPicPr>
        <xdr:cNvPr id="3" name="Picture 3">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639425" y="219076"/>
          <a:ext cx="881168" cy="33535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ENERACION\TODOS%20REPORTES%20GENERACI&#211;N\1a%20%20%20HISTORICO%20GENERACION\GENERACION%202018\GEN%202018\Favor%20Estadisticos%20%20Yenn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Admin\AppData\Local\Microsoft\Windows\INetCache\Content.Outlook\NPU8VOC1\Favor%20Estadisticos%20%20Yenn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GENERACION\TODOS%20REPORTES%20GENERACI&#211;N\1a%20%20%20HISTORICO%20GENERACION\GENERACION%202018\GEN%202018\para%20arreglar%20con%20los%20gordos%20(CECOS)\NVO-Ecopetrol%20Bal-Energia%20y%20Consumo%20Total%2020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REPORTES%20DIARIOS\ARCHIVOS%20DIARIOS%20CUS-NW%20Y%20XL\Cus%20PRODUCCION%20VS%20ENERGI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REPORTES%20DIARIOS\ARCHIVOS%20DIARIOS%20CUS-NW%20Y%20XL\Cus%20INFORME%20DIARI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REPORTES%20DIARIOS\ARCHIVOS%20DIARIOS%20CUS-NW%20Y%20XL\Cus%20DIARIOS%20PARA%20MANTO_ECOPETROL.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TURBOS\GEN%202019\Ecopetrol%20Bal-Energia%20y%20Consumo%20Total%20201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GENERACION%202019\GEN%202019\Ecopetrol%20Bal-Energia%20y%20Consumo%20Total%202019%20con%20archivo%20George%20xa%20estadisticos.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Users\Admin\AppData\Local\Microsoft\Windows\INetCache\Content.Outlook\WY240698\ESTADISTICOS%20DE%20ENERGIA%20MARZO%202017\ESTADISTICOS%20NP&amp;YN_Mayo_2017.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Users\Admin\AppData\Local\Microsoft\Windows\INetCache\Content.Outlook\NPU8VOC1\Ecopetrol%20Bal-Energia%20y%20Consumo%20Total%202017.xlsm%2023032017.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GENERACION\TODOS%20REPORTES%20GENERACI&#211;N\1a%20%20%20HISTORICO%20GENERACION\GENERACION%202018\GEN%202018\Users\Personal\Downloads\ARREGLO-Ecopetrol%20Bal-Energia%20y%20Consumo%20Total%20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CONTADORES"/>
      <sheetName val="ESTADISTICOS"/>
      <sheetName val="DATOSAÑO"/>
      <sheetName val="REPORTE DIA"/>
      <sheetName val="DATOSCECOS"/>
      <sheetName val="INFORME DIA GDP"/>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sheetData sheetId="1"/>
      <sheetData sheetId="2"/>
      <sheetData sheetId="3">
        <row r="378">
          <cell r="B378" t="str">
            <v>ENE</v>
          </cell>
          <cell r="C378">
            <v>6388.8000000000466</v>
          </cell>
          <cell r="D378">
            <v>117.92981999097549</v>
          </cell>
          <cell r="E378">
            <v>744</v>
          </cell>
          <cell r="F378">
            <v>0</v>
          </cell>
          <cell r="G378">
            <v>0</v>
          </cell>
          <cell r="H378">
            <v>0</v>
          </cell>
          <cell r="I378">
            <v>6388.8000000000466</v>
          </cell>
          <cell r="J378">
            <v>9221.3999999999942</v>
          </cell>
          <cell r="K378">
            <v>139.06853824823651</v>
          </cell>
          <cell r="L378">
            <v>744</v>
          </cell>
          <cell r="M378">
            <v>0</v>
          </cell>
          <cell r="N378">
            <v>0</v>
          </cell>
          <cell r="O378">
            <v>0</v>
          </cell>
          <cell r="P378">
            <v>9221.3999999999942</v>
          </cell>
          <cell r="Q378">
            <v>0.69200000000000017</v>
          </cell>
          <cell r="R378">
            <v>83.04000000000002</v>
          </cell>
          <cell r="S378">
            <v>2.4499999999998181</v>
          </cell>
          <cell r="T378">
            <v>0.26199999999998624</v>
          </cell>
          <cell r="U378">
            <v>31.439999999998349</v>
          </cell>
          <cell r="V378">
            <v>1.6999999999999886</v>
          </cell>
          <cell r="W378">
            <v>15610.200000000041</v>
          </cell>
          <cell r="X378">
            <v>0.95399999999998641</v>
          </cell>
          <cell r="Y378">
            <v>15611.15400000004</v>
          </cell>
          <cell r="Z378">
            <v>256.998358239212</v>
          </cell>
          <cell r="AA378">
            <v>114.47999999999837</v>
          </cell>
          <cell r="AB378">
            <v>1488</v>
          </cell>
          <cell r="AC378">
            <v>4.1499999999998067</v>
          </cell>
          <cell r="AD378">
            <v>0</v>
          </cell>
          <cell r="AE378">
            <v>7325.0999999999767</v>
          </cell>
          <cell r="AF378">
            <v>740</v>
          </cell>
          <cell r="AG378">
            <v>3953.2000000000116</v>
          </cell>
          <cell r="AH378">
            <v>723.79999999999927</v>
          </cell>
          <cell r="AI378">
            <v>634.10000000000218</v>
          </cell>
          <cell r="AJ378">
            <v>1427.8999999999833</v>
          </cell>
          <cell r="AK378">
            <v>408.69999999999709</v>
          </cell>
          <cell r="AL378">
            <v>641.29999999998836</v>
          </cell>
          <cell r="AM378">
            <v>1013.2920000000931</v>
          </cell>
          <cell r="AN378">
            <v>184.16199999998832</v>
          </cell>
          <cell r="AO378">
            <v>23.400000000000034</v>
          </cell>
          <cell r="AP378">
            <v>3463.2999999999884</v>
          </cell>
          <cell r="AQ378">
            <v>4704.2999999999956</v>
          </cell>
          <cell r="AR378">
            <v>0.52799999999999958</v>
          </cell>
          <cell r="AS378">
            <v>0.19200000000000017</v>
          </cell>
          <cell r="AT378">
            <v>302.40000000000873</v>
          </cell>
          <cell r="AU378">
            <v>536.10000000000218</v>
          </cell>
          <cell r="AV378">
            <v>3213.7000000000116</v>
          </cell>
          <cell r="AW378">
            <v>1752.9000000000015</v>
          </cell>
          <cell r="AX378">
            <v>240.90000000000055</v>
          </cell>
          <cell r="AY378">
            <v>1165.100000000024</v>
          </cell>
          <cell r="AZ378">
            <v>299.80000000000291</v>
          </cell>
          <cell r="BA378">
            <v>494.30000000000291</v>
          </cell>
          <cell r="BB378">
            <v>791.02799999993886</v>
          </cell>
          <cell r="BC378">
            <v>210.59200000000146</v>
          </cell>
          <cell r="BD378">
            <v>0</v>
          </cell>
          <cell r="BE378">
            <v>8168.3199999999833</v>
          </cell>
          <cell r="BF378">
            <v>0</v>
          </cell>
          <cell r="BG378">
            <v>0</v>
          </cell>
          <cell r="BH378">
            <v>253522</v>
          </cell>
          <cell r="BI378">
            <v>22.907199999999996</v>
          </cell>
          <cell r="BJ378">
            <v>6.7900000000000002E-2</v>
          </cell>
          <cell r="BK378">
            <v>22.975099999999998</v>
          </cell>
          <cell r="BL378">
            <v>367.09099999999989</v>
          </cell>
          <cell r="BM378">
            <v>711.7</v>
          </cell>
          <cell r="BN378">
            <v>9.1999999999999993</v>
          </cell>
          <cell r="BO378">
            <v>1.0540000000000007</v>
          </cell>
          <cell r="BP378">
            <v>57.809999999999995</v>
          </cell>
          <cell r="BQ378">
            <v>0</v>
          </cell>
          <cell r="BR378">
            <v>0</v>
          </cell>
          <cell r="BS378">
            <v>0</v>
          </cell>
          <cell r="BT378">
            <v>0</v>
          </cell>
          <cell r="BU378">
            <v>0</v>
          </cell>
          <cell r="BV378">
            <v>0</v>
          </cell>
          <cell r="BW378">
            <v>0</v>
          </cell>
          <cell r="BX378">
            <v>0</v>
          </cell>
          <cell r="BY378">
            <v>0</v>
          </cell>
          <cell r="BZ378">
            <v>711.7</v>
          </cell>
          <cell r="CA378">
            <v>9.1999999999999993</v>
          </cell>
          <cell r="CB378">
            <v>1.0540000000000007</v>
          </cell>
          <cell r="CC378">
            <v>57.809999999999995</v>
          </cell>
          <cell r="CD378">
            <v>0</v>
          </cell>
          <cell r="CE378">
            <v>0</v>
          </cell>
          <cell r="CF378">
            <v>0</v>
          </cell>
        </row>
        <row r="379">
          <cell r="B379" t="str">
            <v>FEB</v>
          </cell>
          <cell r="C379">
            <v>6495.2999999999884</v>
          </cell>
          <cell r="D379">
            <v>110.32376059754597</v>
          </cell>
          <cell r="E379">
            <v>620.90000000001737</v>
          </cell>
          <cell r="F379">
            <v>2</v>
          </cell>
          <cell r="G379">
            <v>385.5</v>
          </cell>
          <cell r="H379">
            <v>0.90000000000009095</v>
          </cell>
          <cell r="I379">
            <v>6497.2999999999884</v>
          </cell>
          <cell r="J379">
            <v>7389.6000000000058</v>
          </cell>
          <cell r="K379">
            <v>119.13584383098167</v>
          </cell>
          <cell r="L379">
            <v>696</v>
          </cell>
          <cell r="M379">
            <v>0</v>
          </cell>
          <cell r="N379">
            <v>0</v>
          </cell>
          <cell r="O379">
            <v>0</v>
          </cell>
          <cell r="P379">
            <v>7389.6000000000058</v>
          </cell>
          <cell r="Q379">
            <v>48.205999999999996</v>
          </cell>
          <cell r="R379">
            <v>5784.7199999999993</v>
          </cell>
          <cell r="S379">
            <v>49.550000000000182</v>
          </cell>
          <cell r="T379">
            <v>10.424000000000007</v>
          </cell>
          <cell r="U379">
            <v>1250.8800000000008</v>
          </cell>
          <cell r="V379">
            <v>53.199999999999989</v>
          </cell>
          <cell r="W379">
            <v>13884.899999999994</v>
          </cell>
          <cell r="X379">
            <v>60.63</v>
          </cell>
          <cell r="Y379">
            <v>13945.529999999995</v>
          </cell>
          <cell r="Z379">
            <v>229.45960442852765</v>
          </cell>
          <cell r="AA379">
            <v>7421.1</v>
          </cell>
          <cell r="AB379">
            <v>1316.9000000000174</v>
          </cell>
          <cell r="AC379">
            <v>103.65000000000026</v>
          </cell>
          <cell r="AD379">
            <v>0</v>
          </cell>
          <cell r="AE379">
            <v>6326.2000000000116</v>
          </cell>
          <cell r="AF379">
            <v>684</v>
          </cell>
          <cell r="AG379">
            <v>3673.8999999999942</v>
          </cell>
          <cell r="AH379">
            <v>658.09999999999854</v>
          </cell>
          <cell r="AI379">
            <v>512.79999999999927</v>
          </cell>
          <cell r="AJ379">
            <v>1270.3000000000211</v>
          </cell>
          <cell r="AK379">
            <v>344.80000000000291</v>
          </cell>
          <cell r="AL379">
            <v>580.90000000000873</v>
          </cell>
          <cell r="AM379">
            <v>1034.1059999999507</v>
          </cell>
          <cell r="AN379">
            <v>173.2240000000059</v>
          </cell>
          <cell r="AO379">
            <v>29.299999999999955</v>
          </cell>
          <cell r="AP379">
            <v>3538.5</v>
          </cell>
          <cell r="AQ379">
            <v>3822.1000000000058</v>
          </cell>
          <cell r="AR379">
            <v>37.497</v>
          </cell>
          <cell r="AS379">
            <v>6.9250000000000043</v>
          </cell>
          <cell r="AT379">
            <v>277.19999999999709</v>
          </cell>
          <cell r="AU379">
            <v>526.79999999999927</v>
          </cell>
          <cell r="AV379">
            <v>2820.5</v>
          </cell>
          <cell r="AW379">
            <v>1617</v>
          </cell>
          <cell r="AX379">
            <v>199.90000000000055</v>
          </cell>
          <cell r="AY379">
            <v>1046.899999999976</v>
          </cell>
          <cell r="AZ379">
            <v>310.40000000000146</v>
          </cell>
          <cell r="BA379">
            <v>455.90000000000873</v>
          </cell>
          <cell r="BB379">
            <v>804.89700000002051</v>
          </cell>
          <cell r="BC379">
            <v>200.02499999999858</v>
          </cell>
          <cell r="BD379">
            <v>0</v>
          </cell>
          <cell r="BE379">
            <v>7405.0220000000054</v>
          </cell>
          <cell r="BF379">
            <v>391325.53616741288</v>
          </cell>
          <cell r="BG379">
            <v>944616.2596491226</v>
          </cell>
          <cell r="BH379">
            <v>264365</v>
          </cell>
          <cell r="BI379">
            <v>21.382760000000005</v>
          </cell>
          <cell r="BJ379">
            <v>0.25901000000000002</v>
          </cell>
          <cell r="BK379">
            <v>21.641770000000001</v>
          </cell>
          <cell r="BL379">
            <v>323.84872000000001</v>
          </cell>
          <cell r="BM379">
            <v>688</v>
          </cell>
          <cell r="BN379">
            <v>18.100000000000183</v>
          </cell>
          <cell r="BO379">
            <v>0.94367266666666672</v>
          </cell>
          <cell r="BP379">
            <v>108.60000000000109</v>
          </cell>
          <cell r="BQ379">
            <v>0</v>
          </cell>
          <cell r="BR379">
            <v>0</v>
          </cell>
          <cell r="BS379">
            <v>0</v>
          </cell>
          <cell r="BT379">
            <v>0</v>
          </cell>
          <cell r="BU379">
            <v>0</v>
          </cell>
          <cell r="BV379">
            <v>0</v>
          </cell>
          <cell r="BW379">
            <v>0</v>
          </cell>
          <cell r="BX379">
            <v>0</v>
          </cell>
          <cell r="BY379">
            <v>0</v>
          </cell>
          <cell r="BZ379">
            <v>688</v>
          </cell>
          <cell r="CA379">
            <v>18.100000000000183</v>
          </cell>
          <cell r="CB379">
            <v>0.94367266666666672</v>
          </cell>
          <cell r="CC379">
            <v>108.60000000000109</v>
          </cell>
          <cell r="CD379">
            <v>0</v>
          </cell>
          <cell r="CE379">
            <v>0</v>
          </cell>
          <cell r="CF379">
            <v>0</v>
          </cell>
        </row>
        <row r="380">
          <cell r="B380" t="str">
            <v>MAR</v>
          </cell>
          <cell r="C380">
            <v>6690.2</v>
          </cell>
          <cell r="D380">
            <v>117.25973488997975</v>
          </cell>
          <cell r="E380">
            <v>727</v>
          </cell>
          <cell r="F380">
            <v>0</v>
          </cell>
          <cell r="G380">
            <v>0</v>
          </cell>
          <cell r="H380">
            <v>0</v>
          </cell>
          <cell r="I380">
            <v>6690.2</v>
          </cell>
          <cell r="J380">
            <v>6984.389999999994</v>
          </cell>
          <cell r="K380">
            <v>119.40184304787441</v>
          </cell>
          <cell r="L380">
            <v>704.5000000000116</v>
          </cell>
          <cell r="M380">
            <v>0.01</v>
          </cell>
          <cell r="N380">
            <v>188</v>
          </cell>
          <cell r="O380">
            <v>0.19999999999998863</v>
          </cell>
          <cell r="P380">
            <v>6984.3999999999942</v>
          </cell>
          <cell r="Q380">
            <v>5.9879999999999995</v>
          </cell>
          <cell r="R380">
            <v>718.56</v>
          </cell>
          <cell r="S380">
            <v>16.5</v>
          </cell>
          <cell r="T380">
            <v>3.1110000000000042</v>
          </cell>
          <cell r="U380">
            <v>373.3200000000005</v>
          </cell>
          <cell r="V380">
            <v>17.199999999999989</v>
          </cell>
          <cell r="W380">
            <v>13674.589999999989</v>
          </cell>
          <cell r="X380">
            <v>9.1090000000000035</v>
          </cell>
          <cell r="Y380">
            <v>13683.69899999999</v>
          </cell>
          <cell r="Z380">
            <v>236.66157793785419</v>
          </cell>
          <cell r="AA380">
            <v>1279.8800000000001</v>
          </cell>
          <cell r="AB380">
            <v>1431.5000000000116</v>
          </cell>
          <cell r="AC380">
            <v>33.899999999999977</v>
          </cell>
          <cell r="AD380">
            <v>0</v>
          </cell>
          <cell r="AE380">
            <v>6532.5999999999767</v>
          </cell>
          <cell r="AF380">
            <v>706</v>
          </cell>
          <cell r="AG380">
            <v>2994.1999999999971</v>
          </cell>
          <cell r="AH380">
            <v>536.70000000000073</v>
          </cell>
          <cell r="AI380">
            <v>456.89999999999782</v>
          </cell>
          <cell r="AJ380">
            <v>1441.899999999976</v>
          </cell>
          <cell r="AK380">
            <v>352.40000000000146</v>
          </cell>
          <cell r="AL380">
            <v>559.30000000000291</v>
          </cell>
          <cell r="AM380">
            <v>1161.7880000000362</v>
          </cell>
          <cell r="AN380">
            <v>154.10100000000583</v>
          </cell>
          <cell r="AO380">
            <v>30.509999999999998</v>
          </cell>
          <cell r="AP380">
            <v>3637.9</v>
          </cell>
          <cell r="AQ380">
            <v>3590.0999999999985</v>
          </cell>
          <cell r="AR380">
            <v>4.7539999999999978</v>
          </cell>
          <cell r="AS380">
            <v>2.0349999999999966</v>
          </cell>
          <cell r="AT380">
            <v>319.69999999999709</v>
          </cell>
          <cell r="AU380">
            <v>541.20000000000073</v>
          </cell>
          <cell r="AV380">
            <v>2923.2999999999884</v>
          </cell>
          <cell r="AW380">
            <v>1321.8000000000029</v>
          </cell>
          <cell r="AX380">
            <v>181.39999999999964</v>
          </cell>
          <cell r="AY380">
            <v>1172.3000000000065</v>
          </cell>
          <cell r="AZ380">
            <v>258.69999999999709</v>
          </cell>
          <cell r="BA380">
            <v>442.09999999999127</v>
          </cell>
          <cell r="BB380">
            <v>752.75400000001582</v>
          </cell>
          <cell r="BC380">
            <v>182.33499999999853</v>
          </cell>
          <cell r="BD380">
            <v>9.9999999999999978E-2</v>
          </cell>
          <cell r="BE380">
            <v>7234.7889999999979</v>
          </cell>
          <cell r="BF380">
            <v>392285.06999999989</v>
          </cell>
          <cell r="BG380">
            <v>974338.11052631552</v>
          </cell>
          <cell r="BH380">
            <v>285229</v>
          </cell>
          <cell r="BI380">
            <v>22.890579999999996</v>
          </cell>
          <cell r="BJ380">
            <v>0.28409999999999147</v>
          </cell>
          <cell r="BK380">
            <v>23.174679999999988</v>
          </cell>
          <cell r="BL380">
            <v>370.66403999999972</v>
          </cell>
          <cell r="BM380">
            <v>735.5</v>
          </cell>
          <cell r="BN380">
            <v>9.3000000000002725</v>
          </cell>
          <cell r="BO380">
            <v>1.0441878000000002</v>
          </cell>
          <cell r="BP380">
            <v>55.800000000001631</v>
          </cell>
          <cell r="BQ380">
            <v>0</v>
          </cell>
          <cell r="BR380">
            <v>0</v>
          </cell>
          <cell r="BS380">
            <v>0</v>
          </cell>
          <cell r="BT380">
            <v>0</v>
          </cell>
          <cell r="BU380">
            <v>0</v>
          </cell>
          <cell r="BV380">
            <v>0</v>
          </cell>
          <cell r="BW380">
            <v>0</v>
          </cell>
          <cell r="BX380">
            <v>0</v>
          </cell>
          <cell r="BY380">
            <v>0</v>
          </cell>
          <cell r="BZ380">
            <v>735.5</v>
          </cell>
          <cell r="CA380">
            <v>9.3000000000002725</v>
          </cell>
          <cell r="CB380">
            <v>1.0441878000000002</v>
          </cell>
          <cell r="CC380">
            <v>55.800000000001631</v>
          </cell>
          <cell r="CD380">
            <v>0</v>
          </cell>
          <cell r="CE380">
            <v>0</v>
          </cell>
          <cell r="CF380">
            <v>0</v>
          </cell>
        </row>
        <row r="381">
          <cell r="B381" t="str">
            <v>ABR</v>
          </cell>
          <cell r="C381">
            <v>5635.4</v>
          </cell>
          <cell r="D381">
            <v>107.15127643333332</v>
          </cell>
          <cell r="E381">
            <v>719.8</v>
          </cell>
          <cell r="F381">
            <v>0.4</v>
          </cell>
          <cell r="G381">
            <v>193</v>
          </cell>
          <cell r="H381">
            <v>0.20000000000004547</v>
          </cell>
          <cell r="I381">
            <v>5635.8</v>
          </cell>
          <cell r="J381">
            <v>8924.8000000000065</v>
          </cell>
          <cell r="K381">
            <v>131.05424976666674</v>
          </cell>
          <cell r="L381">
            <v>719.9</v>
          </cell>
          <cell r="M381">
            <v>0.3</v>
          </cell>
          <cell r="N381">
            <v>145</v>
          </cell>
          <cell r="O381">
            <v>0.10000000000002274</v>
          </cell>
          <cell r="P381">
            <v>8925.1000000000058</v>
          </cell>
          <cell r="Q381">
            <v>2.1999999999999957</v>
          </cell>
          <cell r="R381">
            <v>263.99999999999949</v>
          </cell>
          <cell r="S381">
            <v>3.6999999999998181</v>
          </cell>
          <cell r="T381">
            <v>0.33699999999998909</v>
          </cell>
          <cell r="U381">
            <v>40.43999999999869</v>
          </cell>
          <cell r="V381">
            <v>2.2000000000000455</v>
          </cell>
          <cell r="W381">
            <v>14560.200000000006</v>
          </cell>
          <cell r="X381">
            <v>3.236999999999985</v>
          </cell>
          <cell r="Y381">
            <v>14563.437000000005</v>
          </cell>
          <cell r="Z381">
            <v>238.20552620000018</v>
          </cell>
          <cell r="AA381">
            <v>642.43999999999812</v>
          </cell>
          <cell r="AB381">
            <v>1439.6999999999998</v>
          </cell>
          <cell r="AC381">
            <v>6.1999999999999318</v>
          </cell>
          <cell r="AD381">
            <v>0</v>
          </cell>
          <cell r="AE381">
            <v>6982.6000000000349</v>
          </cell>
          <cell r="AF381">
            <v>718</v>
          </cell>
          <cell r="AG381">
            <v>3702.8000000000029</v>
          </cell>
          <cell r="AH381">
            <v>675.40000000000146</v>
          </cell>
          <cell r="AI381">
            <v>419.60000000000582</v>
          </cell>
          <cell r="AJ381">
            <v>1484.9000000000124</v>
          </cell>
          <cell r="AK381">
            <v>280.5</v>
          </cell>
          <cell r="AL381">
            <v>467.89999999999418</v>
          </cell>
          <cell r="AM381">
            <v>1020.5999999999588</v>
          </cell>
          <cell r="AN381">
            <v>182.33699999999703</v>
          </cell>
          <cell r="AO381">
            <v>22.200000000000045</v>
          </cell>
          <cell r="AP381">
            <v>2844.1</v>
          </cell>
          <cell r="AQ381">
            <v>4625.5999999999985</v>
          </cell>
          <cell r="AR381">
            <v>1.3000000000000043</v>
          </cell>
          <cell r="AS381">
            <v>0.21600000000000108</v>
          </cell>
          <cell r="AT381">
            <v>286</v>
          </cell>
          <cell r="AU381">
            <v>487.59999999999854</v>
          </cell>
          <cell r="AV381">
            <v>3076.3999999999942</v>
          </cell>
          <cell r="AW381">
            <v>1653.1999999999971</v>
          </cell>
          <cell r="AX381">
            <v>165.59999999999854</v>
          </cell>
          <cell r="AY381">
            <v>1186.900000000016</v>
          </cell>
          <cell r="AZ381">
            <v>196.69999999999709</v>
          </cell>
          <cell r="BA381">
            <v>364.40000000000873</v>
          </cell>
          <cell r="BB381">
            <v>627.49999999998408</v>
          </cell>
          <cell r="BC381">
            <v>200.51600000000292</v>
          </cell>
          <cell r="BD381">
            <v>0</v>
          </cell>
          <cell r="BE381">
            <v>7471.2159999999985</v>
          </cell>
          <cell r="BF381">
            <v>363656.47000000003</v>
          </cell>
          <cell r="BG381">
            <v>948320.13333333319</v>
          </cell>
          <cell r="BH381">
            <v>283498</v>
          </cell>
          <cell r="BI381">
            <v>22.24906</v>
          </cell>
          <cell r="BJ381">
            <v>0</v>
          </cell>
          <cell r="BK381">
            <v>22.24906</v>
          </cell>
          <cell r="BL381">
            <v>344.85833999999994</v>
          </cell>
          <cell r="BM381">
            <v>720</v>
          </cell>
          <cell r="BN381">
            <v>2.5</v>
          </cell>
          <cell r="BO381">
            <v>1.02221312</v>
          </cell>
          <cell r="BP381">
            <v>15</v>
          </cell>
          <cell r="BQ381">
            <v>0</v>
          </cell>
          <cell r="BR381">
            <v>0</v>
          </cell>
          <cell r="BS381">
            <v>0</v>
          </cell>
          <cell r="BT381">
            <v>0</v>
          </cell>
          <cell r="BU381">
            <v>0</v>
          </cell>
          <cell r="BV381">
            <v>0</v>
          </cell>
          <cell r="BW381">
            <v>0</v>
          </cell>
          <cell r="BX381">
            <v>0</v>
          </cell>
          <cell r="BY381">
            <v>0</v>
          </cell>
          <cell r="BZ381">
            <v>720</v>
          </cell>
          <cell r="CA381">
            <v>2.5</v>
          </cell>
          <cell r="CB381">
            <v>1.02221312</v>
          </cell>
          <cell r="CC381">
            <v>15</v>
          </cell>
          <cell r="CD381">
            <v>0</v>
          </cell>
          <cell r="CE381">
            <v>0</v>
          </cell>
          <cell r="CF381">
            <v>0</v>
          </cell>
        </row>
        <row r="382">
          <cell r="B382" t="str">
            <v>MAY</v>
          </cell>
          <cell r="C382">
            <v>5198.1000000000004</v>
          </cell>
          <cell r="D382">
            <v>104.54763710600002</v>
          </cell>
          <cell r="E382">
            <v>741.09999999998831</v>
          </cell>
          <cell r="F382">
            <v>4.5999999999999996</v>
          </cell>
          <cell r="G382">
            <v>1911</v>
          </cell>
          <cell r="H382">
            <v>2.2000000000000455</v>
          </cell>
          <cell r="I382">
            <v>5202.7000000000007</v>
          </cell>
          <cell r="J382">
            <v>9407.9999999999945</v>
          </cell>
          <cell r="K382">
            <v>137.46529142028567</v>
          </cell>
          <cell r="L382">
            <v>743.8</v>
          </cell>
          <cell r="M382">
            <v>0.4</v>
          </cell>
          <cell r="N382">
            <v>179.5</v>
          </cell>
          <cell r="O382">
            <v>0.19999999999998863</v>
          </cell>
          <cell r="P382">
            <v>9408.3999999999942</v>
          </cell>
          <cell r="Q382">
            <v>8.9000000000000057</v>
          </cell>
          <cell r="R382">
            <v>1068.0000000000007</v>
          </cell>
          <cell r="S382">
            <v>12.400000000000546</v>
          </cell>
          <cell r="T382">
            <v>1.1850000000000023</v>
          </cell>
          <cell r="U382">
            <v>142.20000000000027</v>
          </cell>
          <cell r="V382">
            <v>6.8999999999999773</v>
          </cell>
          <cell r="W382">
            <v>14606.099999999995</v>
          </cell>
          <cell r="X382">
            <v>15.085000000000008</v>
          </cell>
          <cell r="Y382">
            <v>14621.184999999994</v>
          </cell>
          <cell r="Z382">
            <v>242.01292852628563</v>
          </cell>
          <cell r="AA382">
            <v>3300.7000000000012</v>
          </cell>
          <cell r="AB382">
            <v>1484.8999999999883</v>
          </cell>
          <cell r="AC382">
            <v>21.700000000000557</v>
          </cell>
          <cell r="AD382">
            <v>0</v>
          </cell>
          <cell r="AE382">
            <v>6800.2000000000116</v>
          </cell>
          <cell r="AF382">
            <v>728</v>
          </cell>
          <cell r="AG382">
            <v>3888.3999999999942</v>
          </cell>
          <cell r="AH382">
            <v>738.59999999999854</v>
          </cell>
          <cell r="AI382">
            <v>508.09999999999854</v>
          </cell>
          <cell r="AJ382">
            <v>1460.6999999999935</v>
          </cell>
          <cell r="AK382">
            <v>241.19999999999709</v>
          </cell>
          <cell r="AL382">
            <v>480</v>
          </cell>
          <cell r="AM382">
            <v>1037.700000000003</v>
          </cell>
          <cell r="AN382">
            <v>203.68499999999716</v>
          </cell>
          <cell r="AO382">
            <v>1.1999999999999318</v>
          </cell>
          <cell r="AP382">
            <v>2759.3999999999996</v>
          </cell>
          <cell r="AQ382">
            <v>4758.3000000000029</v>
          </cell>
          <cell r="AR382">
            <v>6.8999999999999986</v>
          </cell>
          <cell r="AS382">
            <v>0.81199999999999761</v>
          </cell>
          <cell r="AT382">
            <v>281.5</v>
          </cell>
          <cell r="AU382">
            <v>491.40000000000146</v>
          </cell>
          <cell r="AV382">
            <v>3028.8000000000175</v>
          </cell>
          <cell r="AW382">
            <v>1746.0999999999985</v>
          </cell>
          <cell r="AX382">
            <v>193.40000000000146</v>
          </cell>
          <cell r="AY382">
            <v>1167.099999999984</v>
          </cell>
          <cell r="AZ382">
            <v>169.10000000000582</v>
          </cell>
          <cell r="BA382">
            <v>369.29999999998836</v>
          </cell>
          <cell r="BB382">
            <v>659.80000000000689</v>
          </cell>
          <cell r="BC382">
            <v>192.31200000000001</v>
          </cell>
          <cell r="BD382">
            <v>0</v>
          </cell>
          <cell r="BE382">
            <v>7525.412000000003</v>
          </cell>
          <cell r="BF382">
            <v>362963.24000000005</v>
          </cell>
          <cell r="BG382">
            <v>795372.99122807023</v>
          </cell>
          <cell r="BH382">
            <v>283244</v>
          </cell>
          <cell r="BI382">
            <v>19.852969999999999</v>
          </cell>
          <cell r="BJ382">
            <v>0.45113899999999785</v>
          </cell>
          <cell r="BK382">
            <v>20.304108999999993</v>
          </cell>
          <cell r="BL382">
            <v>318.50881099999987</v>
          </cell>
          <cell r="BM382">
            <v>648.5</v>
          </cell>
          <cell r="BN382">
            <v>17.399999999999817</v>
          </cell>
          <cell r="BO382">
            <v>0.91687769333333369</v>
          </cell>
          <cell r="BP382">
            <v>97.399999999998911</v>
          </cell>
          <cell r="BQ382">
            <v>0</v>
          </cell>
          <cell r="BR382">
            <v>0</v>
          </cell>
          <cell r="BS382">
            <v>0</v>
          </cell>
          <cell r="BT382">
            <v>0</v>
          </cell>
          <cell r="BU382">
            <v>0</v>
          </cell>
          <cell r="BV382">
            <v>0</v>
          </cell>
          <cell r="BW382">
            <v>0</v>
          </cell>
          <cell r="BX382">
            <v>0</v>
          </cell>
          <cell r="BY382">
            <v>0</v>
          </cell>
          <cell r="BZ382">
            <v>648.5</v>
          </cell>
          <cell r="CA382">
            <v>17.399999999999817</v>
          </cell>
          <cell r="CB382">
            <v>0.91687769333333369</v>
          </cell>
          <cell r="CC382">
            <v>97.399999999998911</v>
          </cell>
          <cell r="CD382">
            <v>0</v>
          </cell>
          <cell r="CE382">
            <v>0</v>
          </cell>
          <cell r="CF382">
            <v>0</v>
          </cell>
        </row>
        <row r="383">
          <cell r="B383" t="str">
            <v>JUN</v>
          </cell>
          <cell r="C383">
            <v>5099.2999999999993</v>
          </cell>
          <cell r="D383">
            <v>103.04078931436835</v>
          </cell>
          <cell r="E383">
            <v>720</v>
          </cell>
          <cell r="F383">
            <v>0</v>
          </cell>
          <cell r="G383">
            <v>0</v>
          </cell>
          <cell r="H383">
            <v>0</v>
          </cell>
          <cell r="I383">
            <v>5099.2999999999993</v>
          </cell>
          <cell r="J383">
            <v>9088.7000000000116</v>
          </cell>
          <cell r="K383">
            <v>134.57061597782072</v>
          </cell>
          <cell r="L383">
            <v>720</v>
          </cell>
          <cell r="M383">
            <v>0</v>
          </cell>
          <cell r="N383">
            <v>0</v>
          </cell>
          <cell r="O383">
            <v>0</v>
          </cell>
          <cell r="P383">
            <v>9088.7000000000116</v>
          </cell>
          <cell r="Q383">
            <v>0</v>
          </cell>
          <cell r="R383">
            <v>0</v>
          </cell>
          <cell r="S383">
            <v>0</v>
          </cell>
          <cell r="T383">
            <v>0.20499999999999829</v>
          </cell>
          <cell r="U383">
            <v>24.599999999999795</v>
          </cell>
          <cell r="V383">
            <v>1.2000000000000455</v>
          </cell>
          <cell r="W383">
            <v>14188.000000000011</v>
          </cell>
          <cell r="X383">
            <v>0.20499999999999829</v>
          </cell>
          <cell r="Y383">
            <v>14188.205000000011</v>
          </cell>
          <cell r="Z383">
            <v>237.61140529218903</v>
          </cell>
          <cell r="AA383">
            <v>24.599999999999795</v>
          </cell>
          <cell r="AB383">
            <v>1440</v>
          </cell>
          <cell r="AC383">
            <v>1.2000000000000455</v>
          </cell>
          <cell r="AD383">
            <v>0</v>
          </cell>
          <cell r="AE383">
            <v>6619.3999999999651</v>
          </cell>
          <cell r="AF383">
            <v>718</v>
          </cell>
          <cell r="AG383">
            <v>3855.1000000000058</v>
          </cell>
          <cell r="AH383">
            <v>718.79999999999927</v>
          </cell>
          <cell r="AI383">
            <v>419.59999999999854</v>
          </cell>
          <cell r="AJ383">
            <v>1441.4000000000196</v>
          </cell>
          <cell r="AK383">
            <v>265.59999999999854</v>
          </cell>
          <cell r="AL383">
            <v>446.60000000000582</v>
          </cell>
          <cell r="AM383">
            <v>943.10000000000582</v>
          </cell>
          <cell r="AN383">
            <v>172.20500000001158</v>
          </cell>
          <cell r="AO383">
            <v>25.200000000000045</v>
          </cell>
          <cell r="AP383">
            <v>2786.8999999999996</v>
          </cell>
          <cell r="AQ383">
            <v>4515.5999999999985</v>
          </cell>
          <cell r="AR383">
            <v>0</v>
          </cell>
          <cell r="AS383">
            <v>0.14500000000000313</v>
          </cell>
          <cell r="AT383">
            <v>274.90000000000873</v>
          </cell>
          <cell r="AU383">
            <v>474.89999999999782</v>
          </cell>
          <cell r="AV383">
            <v>2953.8999999999942</v>
          </cell>
          <cell r="AW383">
            <v>1718.9000000000015</v>
          </cell>
          <cell r="AX383">
            <v>168.30000000000018</v>
          </cell>
          <cell r="AY383">
            <v>1145.0000000000036</v>
          </cell>
          <cell r="AZ383">
            <v>191.19999999999709</v>
          </cell>
          <cell r="BA383">
            <v>345.80000000000291</v>
          </cell>
          <cell r="BB383">
            <v>596.59999999999582</v>
          </cell>
          <cell r="BC383">
            <v>182.94500000000292</v>
          </cell>
          <cell r="BD383">
            <v>0</v>
          </cell>
          <cell r="BE383">
            <v>7302.6449999999977</v>
          </cell>
          <cell r="BF383">
            <v>345573.82000000007</v>
          </cell>
          <cell r="BG383">
            <v>867009.14210526319</v>
          </cell>
          <cell r="BH383">
            <v>296154</v>
          </cell>
          <cell r="BI383">
            <v>20.530260000000002</v>
          </cell>
          <cell r="BJ383">
            <v>2.0147826666666875</v>
          </cell>
          <cell r="BK383">
            <v>22.545042666666689</v>
          </cell>
          <cell r="BL383">
            <v>349.3295210000004</v>
          </cell>
          <cell r="BM383">
            <v>656.5</v>
          </cell>
          <cell r="BN383">
            <v>64.800000000000182</v>
          </cell>
          <cell r="BO383">
            <v>0.93343517333333348</v>
          </cell>
          <cell r="BP383">
            <v>388.80000000000109</v>
          </cell>
          <cell r="BQ383">
            <v>0</v>
          </cell>
          <cell r="BR383">
            <v>0</v>
          </cell>
          <cell r="BS383">
            <v>0</v>
          </cell>
          <cell r="BT383">
            <v>0</v>
          </cell>
          <cell r="BU383">
            <v>0</v>
          </cell>
          <cell r="BV383">
            <v>0</v>
          </cell>
          <cell r="BW383">
            <v>0</v>
          </cell>
          <cell r="BX383">
            <v>0</v>
          </cell>
          <cell r="BY383">
            <v>0</v>
          </cell>
          <cell r="BZ383">
            <v>656.5</v>
          </cell>
          <cell r="CA383">
            <v>64.800000000000182</v>
          </cell>
          <cell r="CB383">
            <v>0.93343517333333348</v>
          </cell>
          <cell r="CC383">
            <v>388.80000000000109</v>
          </cell>
          <cell r="CD383">
            <v>0</v>
          </cell>
          <cell r="CE383">
            <v>0</v>
          </cell>
          <cell r="CF383">
            <v>0</v>
          </cell>
        </row>
        <row r="384">
          <cell r="B384" t="str">
            <v>JUL</v>
          </cell>
          <cell r="C384">
            <v>7005</v>
          </cell>
          <cell r="D384">
            <v>120.08477253545239</v>
          </cell>
          <cell r="E384">
            <v>744</v>
          </cell>
          <cell r="F384">
            <v>0</v>
          </cell>
          <cell r="G384">
            <v>0</v>
          </cell>
          <cell r="H384">
            <v>0</v>
          </cell>
          <cell r="I384">
            <v>7005</v>
          </cell>
          <cell r="J384">
            <v>7678.5</v>
          </cell>
          <cell r="K384">
            <v>123.72341251900976</v>
          </cell>
          <cell r="L384">
            <v>744</v>
          </cell>
          <cell r="M384">
            <v>0</v>
          </cell>
          <cell r="N384">
            <v>0</v>
          </cell>
          <cell r="O384">
            <v>0</v>
          </cell>
          <cell r="P384">
            <v>7678.5</v>
          </cell>
          <cell r="Q384">
            <v>0</v>
          </cell>
          <cell r="R384">
            <v>0</v>
          </cell>
          <cell r="S384">
            <v>0</v>
          </cell>
          <cell r="T384">
            <v>0.17200000000001125</v>
          </cell>
          <cell r="U384">
            <v>20.640000000001351</v>
          </cell>
          <cell r="V384">
            <v>1</v>
          </cell>
          <cell r="W384">
            <v>14683.5</v>
          </cell>
          <cell r="X384">
            <v>0.17200000000001125</v>
          </cell>
          <cell r="Y384">
            <v>14683.672</v>
          </cell>
          <cell r="Z384">
            <v>243.80818505446214</v>
          </cell>
          <cell r="AA384">
            <v>20.640000000001351</v>
          </cell>
          <cell r="AB384">
            <v>1488</v>
          </cell>
          <cell r="AC384">
            <v>1</v>
          </cell>
          <cell r="AD384">
            <v>0</v>
          </cell>
          <cell r="AE384">
            <v>6891.7000000000116</v>
          </cell>
          <cell r="AF384">
            <v>738</v>
          </cell>
          <cell r="AG384">
            <v>3975</v>
          </cell>
          <cell r="AH384">
            <v>741.79999999999927</v>
          </cell>
          <cell r="AI384">
            <v>407.19999999999891</v>
          </cell>
          <cell r="AJ384">
            <v>1545.7999999999993</v>
          </cell>
          <cell r="AK384">
            <v>258.30000000000291</v>
          </cell>
          <cell r="AL384">
            <v>442.79999999998836</v>
          </cell>
          <cell r="AM384">
            <v>953.30000000000473</v>
          </cell>
          <cell r="AN384">
            <v>199.57199999999418</v>
          </cell>
          <cell r="AO384">
            <v>10</v>
          </cell>
          <cell r="AP384">
            <v>3652.5</v>
          </cell>
          <cell r="AQ384">
            <v>3838.5</v>
          </cell>
          <cell r="AR384">
            <v>0</v>
          </cell>
          <cell r="AS384">
            <v>0.11699999999999733</v>
          </cell>
          <cell r="AT384">
            <v>271.39999999999418</v>
          </cell>
          <cell r="AU384">
            <v>488.70000000000073</v>
          </cell>
          <cell r="AV384">
            <v>3064.8999999999942</v>
          </cell>
          <cell r="AW384">
            <v>1769.5999999999985</v>
          </cell>
          <cell r="AX384">
            <v>157.59999999999945</v>
          </cell>
          <cell r="AY384">
            <v>1222.9000000000124</v>
          </cell>
          <cell r="AZ384">
            <v>190</v>
          </cell>
          <cell r="BA384">
            <v>341.5</v>
          </cell>
          <cell r="BB384">
            <v>561.099999999994</v>
          </cell>
          <cell r="BC384">
            <v>188.81700000000438</v>
          </cell>
          <cell r="BD384">
            <v>0</v>
          </cell>
          <cell r="BE384">
            <v>7491.1169999999993</v>
          </cell>
          <cell r="BF384">
            <v>351405.83000000007</v>
          </cell>
          <cell r="BG384">
            <v>894988.03508771909</v>
          </cell>
          <cell r="BH384">
            <v>280693</v>
          </cell>
          <cell r="BI384">
            <v>21.851279999999999</v>
          </cell>
          <cell r="BJ384">
            <v>0.36962133000000003</v>
          </cell>
          <cell r="BK384">
            <v>22.22090133</v>
          </cell>
          <cell r="BL384">
            <v>357.3029866</v>
          </cell>
          <cell r="BM384">
            <v>665</v>
          </cell>
          <cell r="BN384">
            <v>6.6000000000002732</v>
          </cell>
          <cell r="BO384">
            <v>1.0425347200000004</v>
          </cell>
          <cell r="BP384">
            <v>40.20000000000109</v>
          </cell>
          <cell r="BQ384">
            <v>12744.800000000001</v>
          </cell>
          <cell r="BR384">
            <v>80.899999999999991</v>
          </cell>
          <cell r="BS384">
            <v>2430.5499999999993</v>
          </cell>
          <cell r="BT384">
            <v>75.248000000000005</v>
          </cell>
          <cell r="BU384">
            <v>74.27600000000001</v>
          </cell>
          <cell r="BV384">
            <v>0</v>
          </cell>
          <cell r="BW384">
            <v>0</v>
          </cell>
          <cell r="BX384">
            <v>75.248000000000005</v>
          </cell>
          <cell r="BY384">
            <v>74.27600000000001</v>
          </cell>
          <cell r="BZ384">
            <v>401.59999999999945</v>
          </cell>
          <cell r="CA384">
            <v>6.6000000000002732</v>
          </cell>
          <cell r="CB384">
            <v>1.0425347200000004</v>
          </cell>
          <cell r="CC384">
            <v>40.20000000000109</v>
          </cell>
          <cell r="CD384">
            <v>37519.913861674693</v>
          </cell>
          <cell r="CE384">
            <v>2528.5226172145881</v>
          </cell>
          <cell r="CF384">
            <v>37325.902624999995</v>
          </cell>
        </row>
        <row r="385">
          <cell r="B385" t="str">
            <v>AGO</v>
          </cell>
          <cell r="C385">
            <v>7166.8</v>
          </cell>
          <cell r="D385">
            <v>128.32771048264976</v>
          </cell>
          <cell r="E385">
            <v>686</v>
          </cell>
          <cell r="F385">
            <v>3.2</v>
          </cell>
          <cell r="G385">
            <v>779</v>
          </cell>
          <cell r="H385">
            <v>1</v>
          </cell>
          <cell r="I385">
            <v>7170</v>
          </cell>
          <cell r="J385">
            <v>6223.8999999999942</v>
          </cell>
          <cell r="K385">
            <v>125.1309415996845</v>
          </cell>
          <cell r="L385">
            <v>701.89999999997667</v>
          </cell>
          <cell r="M385">
            <v>0</v>
          </cell>
          <cell r="N385">
            <v>215.5</v>
          </cell>
          <cell r="O385">
            <v>0.19999999999998863</v>
          </cell>
          <cell r="P385">
            <v>6223.8999999999942</v>
          </cell>
          <cell r="Q385">
            <v>0</v>
          </cell>
          <cell r="R385">
            <v>0</v>
          </cell>
          <cell r="S385">
            <v>0</v>
          </cell>
          <cell r="T385">
            <v>9.9999999999056399E-4</v>
          </cell>
          <cell r="U385">
            <v>0.11999999999886768</v>
          </cell>
          <cell r="V385">
            <v>0.19999999999993179</v>
          </cell>
          <cell r="W385">
            <v>13390.699999999993</v>
          </cell>
          <cell r="X385">
            <v>3.2009999999999907</v>
          </cell>
          <cell r="Y385">
            <v>13393.900999999994</v>
          </cell>
          <cell r="Z385">
            <v>253.4586520823342</v>
          </cell>
          <cell r="AA385">
            <v>994.61999999999887</v>
          </cell>
          <cell r="AB385">
            <v>1387.8999999999767</v>
          </cell>
          <cell r="AC385">
            <v>1.3999999999999204</v>
          </cell>
          <cell r="AD385">
            <v>0</v>
          </cell>
          <cell r="AE385">
            <v>6325</v>
          </cell>
          <cell r="AF385">
            <v>703</v>
          </cell>
          <cell r="AG385">
            <v>3199</v>
          </cell>
          <cell r="AH385">
            <v>563.40000000000146</v>
          </cell>
          <cell r="AI385">
            <v>421.99999999999818</v>
          </cell>
          <cell r="AJ385">
            <v>1531.0999999999985</v>
          </cell>
          <cell r="AK385">
            <v>284.59999999999854</v>
          </cell>
          <cell r="AL385">
            <v>476.80000000000291</v>
          </cell>
          <cell r="AM385">
            <v>1000.0000000000018</v>
          </cell>
          <cell r="AN385">
            <v>139.40099999999416</v>
          </cell>
          <cell r="AO385">
            <v>16</v>
          </cell>
          <cell r="AP385">
            <v>3784.7000000000007</v>
          </cell>
          <cell r="AQ385">
            <v>3232.9999999999927</v>
          </cell>
          <cell r="AR385">
            <v>0</v>
          </cell>
          <cell r="AS385">
            <v>0</v>
          </cell>
          <cell r="AT385">
            <v>289.80000000000291</v>
          </cell>
          <cell r="AU385">
            <v>488.70000000000073</v>
          </cell>
          <cell r="AV385">
            <v>2855.1000000000058</v>
          </cell>
          <cell r="AW385">
            <v>1415.4000000000015</v>
          </cell>
          <cell r="AX385">
            <v>168.5</v>
          </cell>
          <cell r="AY385">
            <v>1235.1999999999789</v>
          </cell>
          <cell r="AZ385">
            <v>204.10000000000582</v>
          </cell>
          <cell r="BA385">
            <v>368.19999999999709</v>
          </cell>
          <cell r="BB385">
            <v>609.30000000001314</v>
          </cell>
          <cell r="BC385">
            <v>161.79999999999126</v>
          </cell>
          <cell r="BD385">
            <v>9.9999999999999978E-2</v>
          </cell>
          <cell r="BE385">
            <v>7017.6999999999935</v>
          </cell>
          <cell r="BF385">
            <v>336953.58</v>
          </cell>
          <cell r="BG385">
            <v>749321.32649122807</v>
          </cell>
          <cell r="BH385">
            <v>290000</v>
          </cell>
          <cell r="BI385">
            <v>22.017999999999997</v>
          </cell>
          <cell r="BJ385">
            <v>0.94889999999999997</v>
          </cell>
          <cell r="BK385">
            <v>22.966899999999999</v>
          </cell>
          <cell r="BL385">
            <v>367.88453999999996</v>
          </cell>
          <cell r="BM385">
            <v>710.6</v>
          </cell>
          <cell r="BN385">
            <v>29.900000000000361</v>
          </cell>
          <cell r="BO385">
            <v>1.0093007999999999</v>
          </cell>
          <cell r="BP385">
            <v>178.80000000000271</v>
          </cell>
          <cell r="BQ385">
            <v>12594.699999999997</v>
          </cell>
          <cell r="BR385">
            <v>77.239999999999995</v>
          </cell>
          <cell r="BS385">
            <v>2333.5200000000004</v>
          </cell>
          <cell r="BT385">
            <v>79.285999999999987</v>
          </cell>
          <cell r="BU385">
            <v>71.196999999999974</v>
          </cell>
          <cell r="BV385">
            <v>0</v>
          </cell>
          <cell r="BW385">
            <v>0</v>
          </cell>
          <cell r="BX385">
            <v>79.285999999999987</v>
          </cell>
          <cell r="BY385">
            <v>71.196999999999974</v>
          </cell>
          <cell r="BZ385">
            <v>710.6</v>
          </cell>
          <cell r="CA385">
            <v>29.900000000000361</v>
          </cell>
          <cell r="CB385">
            <v>1.0093007999999999</v>
          </cell>
          <cell r="CC385">
            <v>178.80000000000271</v>
          </cell>
          <cell r="CD385">
            <v>55199.391108207856</v>
          </cell>
          <cell r="CE385">
            <v>3691.2465099518358</v>
          </cell>
          <cell r="CF385">
            <v>53053.56354166667</v>
          </cell>
        </row>
        <row r="386">
          <cell r="B386" t="str">
            <v>SEP</v>
          </cell>
          <cell r="C386">
            <v>6777</v>
          </cell>
          <cell r="D386">
            <v>121.97729001928931</v>
          </cell>
          <cell r="E386">
            <v>719.5</v>
          </cell>
          <cell r="F386">
            <v>0</v>
          </cell>
          <cell r="G386">
            <v>0</v>
          </cell>
          <cell r="H386">
            <v>0</v>
          </cell>
          <cell r="I386">
            <v>6777</v>
          </cell>
          <cell r="J386">
            <v>7320.5</v>
          </cell>
          <cell r="K386">
            <v>128.75882184670053</v>
          </cell>
          <cell r="L386">
            <v>720</v>
          </cell>
          <cell r="M386">
            <v>0</v>
          </cell>
          <cell r="N386">
            <v>0</v>
          </cell>
          <cell r="O386">
            <v>0</v>
          </cell>
          <cell r="P386">
            <v>7320.5</v>
          </cell>
          <cell r="Q386">
            <v>9.9999999999994316E-2</v>
          </cell>
          <cell r="R386">
            <v>11.999999999999318</v>
          </cell>
          <cell r="S386">
            <v>0.1999999999998181</v>
          </cell>
          <cell r="T386">
            <v>0</v>
          </cell>
          <cell r="U386">
            <v>0</v>
          </cell>
          <cell r="V386">
            <v>0.73000000000001819</v>
          </cell>
          <cell r="W386">
            <v>14097.5</v>
          </cell>
          <cell r="X386">
            <v>9.9999999999994316E-2</v>
          </cell>
          <cell r="Y386">
            <v>14097.6</v>
          </cell>
          <cell r="Z386">
            <v>250.73611186598987</v>
          </cell>
          <cell r="AA386">
            <v>11.999999999999318</v>
          </cell>
          <cell r="AB386">
            <v>1439.5</v>
          </cell>
          <cell r="AC386">
            <v>0.92999999999983629</v>
          </cell>
          <cell r="AD386">
            <v>0</v>
          </cell>
          <cell r="AE386">
            <v>6497.5</v>
          </cell>
          <cell r="AF386">
            <v>716</v>
          </cell>
          <cell r="AG386">
            <v>3940.5</v>
          </cell>
          <cell r="AH386">
            <v>711</v>
          </cell>
          <cell r="AI386">
            <v>403.600000000004</v>
          </cell>
          <cell r="AJ386">
            <v>1356.7999999999956</v>
          </cell>
          <cell r="AK386">
            <v>250</v>
          </cell>
          <cell r="AL386">
            <v>448.69999999999709</v>
          </cell>
          <cell r="AM386">
            <v>930.49999999997783</v>
          </cell>
          <cell r="AN386">
            <v>127.5</v>
          </cell>
          <cell r="AO386">
            <v>28</v>
          </cell>
          <cell r="AP386">
            <v>3498.5</v>
          </cell>
          <cell r="AQ386">
            <v>3684.1000000000058</v>
          </cell>
          <cell r="AR386">
            <v>3.9999999999999147E-2</v>
          </cell>
          <cell r="AS386">
            <v>0</v>
          </cell>
          <cell r="AT386">
            <v>289.39999999999418</v>
          </cell>
          <cell r="AU386">
            <v>476.29999999999927</v>
          </cell>
          <cell r="AV386">
            <v>2912</v>
          </cell>
          <cell r="AW386">
            <v>1771</v>
          </cell>
          <cell r="AX386">
            <v>162.5</v>
          </cell>
          <cell r="AY386">
            <v>1103.2000000000116</v>
          </cell>
          <cell r="AZ386">
            <v>173</v>
          </cell>
          <cell r="BA386">
            <v>341.40000000000873</v>
          </cell>
          <cell r="BB386">
            <v>602.53999999997814</v>
          </cell>
          <cell r="BC386">
            <v>234.29999999999563</v>
          </cell>
          <cell r="BD386">
            <v>0</v>
          </cell>
          <cell r="BE386">
            <v>7182.6400000000058</v>
          </cell>
          <cell r="BF386">
            <v>323951.93</v>
          </cell>
          <cell r="BG386">
            <v>912370.48947368423</v>
          </cell>
          <cell r="BH386">
            <v>263146</v>
          </cell>
          <cell r="BI386">
            <v>22.532860000000003</v>
          </cell>
          <cell r="BJ386">
            <v>5.1100000000000007E-2</v>
          </cell>
          <cell r="BK386">
            <v>22.583960000000001</v>
          </cell>
          <cell r="BL386">
            <v>349.21341999999999</v>
          </cell>
          <cell r="BM386">
            <v>718.5</v>
          </cell>
          <cell r="BN386">
            <v>3.2999999999997272</v>
          </cell>
          <cell r="BO386">
            <v>1.02351572</v>
          </cell>
          <cell r="BP386">
            <v>19.799999999998363</v>
          </cell>
          <cell r="BQ386">
            <v>12569.19</v>
          </cell>
          <cell r="BR386">
            <v>72.040000000000006</v>
          </cell>
          <cell r="BS386">
            <v>2785.9299999999994</v>
          </cell>
          <cell r="BT386">
            <v>78.634000000000015</v>
          </cell>
          <cell r="BU386">
            <v>69.127999999999986</v>
          </cell>
          <cell r="BV386">
            <v>0</v>
          </cell>
          <cell r="BW386">
            <v>0</v>
          </cell>
          <cell r="BX386">
            <v>78.634000000000015</v>
          </cell>
          <cell r="BY386">
            <v>69.127999999999986</v>
          </cell>
          <cell r="BZ386">
            <v>718.5</v>
          </cell>
          <cell r="CA386">
            <v>3.2999999999997272</v>
          </cell>
          <cell r="CB386">
            <v>1.02351572</v>
          </cell>
          <cell r="CC386">
            <v>19.799999999998363</v>
          </cell>
          <cell r="CD386">
            <v>30879.11091947</v>
          </cell>
          <cell r="CE386">
            <v>3676.5129781059495</v>
          </cell>
          <cell r="CF386">
            <v>27232.008399999999</v>
          </cell>
        </row>
        <row r="387">
          <cell r="B387" t="str">
            <v>OCT</v>
          </cell>
          <cell r="C387">
            <v>7438.0999999999985</v>
          </cell>
          <cell r="D387">
            <v>122.53613163116012</v>
          </cell>
          <cell r="E387">
            <v>744</v>
          </cell>
          <cell r="F387">
            <v>0</v>
          </cell>
          <cell r="G387">
            <v>0</v>
          </cell>
          <cell r="H387">
            <v>0</v>
          </cell>
          <cell r="I387">
            <v>7438.0999999999985</v>
          </cell>
          <cell r="J387">
            <v>7105.1000000000058</v>
          </cell>
          <cell r="K387">
            <v>121.69100331860027</v>
          </cell>
          <cell r="L387">
            <v>744</v>
          </cell>
          <cell r="M387">
            <v>0</v>
          </cell>
          <cell r="N387">
            <v>0</v>
          </cell>
          <cell r="O387">
            <v>0</v>
          </cell>
          <cell r="P387">
            <v>7105.1000000000058</v>
          </cell>
          <cell r="Q387">
            <v>1.1000000000000085</v>
          </cell>
          <cell r="R387">
            <v>132.00000000000102</v>
          </cell>
          <cell r="S387">
            <v>2</v>
          </cell>
          <cell r="T387">
            <v>2.0000000000095497E-3</v>
          </cell>
          <cell r="U387">
            <v>0.24000000000114596</v>
          </cell>
          <cell r="V387">
            <v>0.10000000000002274</v>
          </cell>
          <cell r="W387">
            <v>14543.200000000004</v>
          </cell>
          <cell r="X387">
            <v>1.1020000000000181</v>
          </cell>
          <cell r="Y387">
            <v>14544.302000000005</v>
          </cell>
          <cell r="Z387">
            <v>244.22713494976034</v>
          </cell>
          <cell r="AA387">
            <v>132.24000000000217</v>
          </cell>
          <cell r="AB387">
            <v>1488</v>
          </cell>
          <cell r="AC387">
            <v>2.1000000000000227</v>
          </cell>
          <cell r="AD387">
            <v>0</v>
          </cell>
          <cell r="AE387">
            <v>6659.5</v>
          </cell>
          <cell r="AF387">
            <v>741</v>
          </cell>
          <cell r="AG387">
            <v>4134.7999999999884</v>
          </cell>
          <cell r="AH387">
            <v>732.40000000000146</v>
          </cell>
          <cell r="AI387">
            <v>413.19999999999891</v>
          </cell>
          <cell r="AJ387">
            <v>1358.099999999984</v>
          </cell>
          <cell r="AK387">
            <v>252.5</v>
          </cell>
          <cell r="AL387">
            <v>488.20000000001164</v>
          </cell>
          <cell r="AM387">
            <v>1020.200000000004</v>
          </cell>
          <cell r="AN387">
            <v>176.08200000001742</v>
          </cell>
          <cell r="AO387">
            <v>41.720000000000041</v>
          </cell>
          <cell r="AP387">
            <v>3888.5999999999985</v>
          </cell>
          <cell r="AQ387">
            <v>3520.6000000000058</v>
          </cell>
          <cell r="AR387">
            <v>0.65999999999999659</v>
          </cell>
          <cell r="AS387">
            <v>2.0000000000024443E-3</v>
          </cell>
          <cell r="AT387">
            <v>300.19999999999709</v>
          </cell>
          <cell r="AU387">
            <v>501.29999999999927</v>
          </cell>
          <cell r="AV387">
            <v>4904.4000000000233</v>
          </cell>
          <cell r="AW387">
            <v>1822</v>
          </cell>
          <cell r="AX387">
            <v>164.70000000000073</v>
          </cell>
          <cell r="AY387">
            <v>1112.8000000000029</v>
          </cell>
          <cell r="AZ387">
            <v>180.59999999999854</v>
          </cell>
          <cell r="BA387">
            <v>370.30000000000291</v>
          </cell>
          <cell r="BB387">
            <v>-1487.2500000000289</v>
          </cell>
          <cell r="BC387">
            <v>240.30200000000875</v>
          </cell>
          <cell r="BD387">
            <v>0.10999999999999999</v>
          </cell>
          <cell r="BE387">
            <v>7409.8620000000046</v>
          </cell>
          <cell r="BF387">
            <v>330331.02999999991</v>
          </cell>
          <cell r="BG387">
            <v>946499.15789473685</v>
          </cell>
          <cell r="BH387">
            <v>286117</v>
          </cell>
          <cell r="BI387">
            <v>23.012699999999995</v>
          </cell>
          <cell r="BJ387">
            <v>1.04E-2</v>
          </cell>
          <cell r="BK387">
            <v>23.023099999999996</v>
          </cell>
          <cell r="BL387">
            <v>366.10785999999996</v>
          </cell>
          <cell r="BM387">
            <v>737</v>
          </cell>
          <cell r="BN387">
            <v>5.8000000000006366</v>
          </cell>
          <cell r="BO387">
            <v>1.0489641600000004</v>
          </cell>
          <cell r="BP387">
            <v>36.000000000003823</v>
          </cell>
          <cell r="BQ387">
            <v>11996.800000000003</v>
          </cell>
          <cell r="BR387">
            <v>79.75</v>
          </cell>
          <cell r="BS387">
            <v>2691.7099999999987</v>
          </cell>
          <cell r="BT387">
            <v>73.823999999999984</v>
          </cell>
          <cell r="BU387">
            <v>59.630000000000017</v>
          </cell>
          <cell r="BV387">
            <v>0</v>
          </cell>
          <cell r="BW387">
            <v>0</v>
          </cell>
          <cell r="BX387">
            <v>73.823999999999984</v>
          </cell>
          <cell r="BY387">
            <v>59.630000000000017</v>
          </cell>
          <cell r="BZ387">
            <v>737</v>
          </cell>
          <cell r="CA387">
            <v>5.8000000000006366</v>
          </cell>
          <cell r="CB387">
            <v>1.0489641600000004</v>
          </cell>
          <cell r="CC387">
            <v>36.000000000003823</v>
          </cell>
          <cell r="CD387">
            <v>31079.702869184002</v>
          </cell>
          <cell r="CE387">
            <v>3821.5168905831679</v>
          </cell>
          <cell r="CF387">
            <v>27449.064958333332</v>
          </cell>
        </row>
        <row r="388">
          <cell r="B388" t="str">
            <v>NOV</v>
          </cell>
          <cell r="C388">
            <v>5101.0999999999985</v>
          </cell>
          <cell r="D388">
            <v>90.12724911332694</v>
          </cell>
          <cell r="E388">
            <v>576</v>
          </cell>
          <cell r="F388">
            <v>0</v>
          </cell>
          <cell r="G388">
            <v>0</v>
          </cell>
          <cell r="H388">
            <v>0</v>
          </cell>
          <cell r="I388">
            <v>5101.0999999999985</v>
          </cell>
          <cell r="J388">
            <v>5867.6999999999825</v>
          </cell>
          <cell r="K388">
            <v>97.37638242109287</v>
          </cell>
          <cell r="L388">
            <v>576</v>
          </cell>
          <cell r="M388">
            <v>0</v>
          </cell>
          <cell r="N388">
            <v>0</v>
          </cell>
          <cell r="O388">
            <v>0</v>
          </cell>
          <cell r="P388">
            <v>5867.6999999999825</v>
          </cell>
          <cell r="Q388">
            <v>0.29999999999999716</v>
          </cell>
          <cell r="R388">
            <v>35.999999999999659</v>
          </cell>
          <cell r="S388">
            <v>0.6999999999998181</v>
          </cell>
          <cell r="T388">
            <v>0</v>
          </cell>
          <cell r="U388">
            <v>0</v>
          </cell>
          <cell r="V388">
            <v>0.18999999999994088</v>
          </cell>
          <cell r="W388">
            <v>10968.799999999981</v>
          </cell>
          <cell r="X388">
            <v>0.29999999999999716</v>
          </cell>
          <cell r="Y388">
            <v>10969.09999999998</v>
          </cell>
          <cell r="Z388">
            <v>187.50363153441981</v>
          </cell>
          <cell r="AA388">
            <v>35.999999999999659</v>
          </cell>
          <cell r="AB388">
            <v>1152</v>
          </cell>
          <cell r="AC388">
            <v>0.88999999999975898</v>
          </cell>
          <cell r="AD388">
            <v>0</v>
          </cell>
          <cell r="AE388">
            <v>5005.9000000000233</v>
          </cell>
          <cell r="AF388">
            <v>567</v>
          </cell>
          <cell r="AG388">
            <v>3037.2000000000116</v>
          </cell>
          <cell r="AH388">
            <v>569.29999999999927</v>
          </cell>
          <cell r="AI388">
            <v>305.90000000000146</v>
          </cell>
          <cell r="AJ388">
            <v>1106.4000000000087</v>
          </cell>
          <cell r="AK388">
            <v>183.19999999999709</v>
          </cell>
          <cell r="AL388">
            <v>366.79999999998836</v>
          </cell>
          <cell r="AM388">
            <v>792.69999999997958</v>
          </cell>
          <cell r="AN388">
            <v>159.84999999997092</v>
          </cell>
          <cell r="AO388">
            <v>11.149999999999977</v>
          </cell>
          <cell r="AP388">
            <v>2562.2000000000007</v>
          </cell>
          <cell r="AQ388">
            <v>3063.1999999999971</v>
          </cell>
          <cell r="AR388">
            <v>0.20000000000000284</v>
          </cell>
          <cell r="AS388">
            <v>0</v>
          </cell>
          <cell r="AT388">
            <v>226.10000000000582</v>
          </cell>
          <cell r="AU388">
            <v>394.79999999999927</v>
          </cell>
          <cell r="AV388">
            <v>2268.8999999999942</v>
          </cell>
          <cell r="AW388">
            <v>1350.6999999999971</v>
          </cell>
          <cell r="AX388">
            <v>71.099999999998545</v>
          </cell>
          <cell r="AY388">
            <v>530</v>
          </cell>
          <cell r="AZ388">
            <v>79.299999999995634</v>
          </cell>
          <cell r="BA388">
            <v>159.59999999999127</v>
          </cell>
          <cell r="BB388">
            <v>1062.600000000027</v>
          </cell>
          <cell r="BC388">
            <v>126.29999999998836</v>
          </cell>
          <cell r="BD388">
            <v>0</v>
          </cell>
          <cell r="BE388">
            <v>5625.5999999999976</v>
          </cell>
          <cell r="BF388">
            <v>220762.51</v>
          </cell>
          <cell r="BG388">
            <v>484659.6736842104</v>
          </cell>
          <cell r="BH388">
            <v>181890</v>
          </cell>
          <cell r="BI388">
            <v>17.586419999999997</v>
          </cell>
          <cell r="BJ388">
            <v>0.30347999999999464</v>
          </cell>
          <cell r="BK388">
            <v>17.889899999999994</v>
          </cell>
          <cell r="BL388">
            <v>330.21731999999992</v>
          </cell>
          <cell r="BM388">
            <v>565.9</v>
          </cell>
          <cell r="BN388">
            <v>10.899999999999636</v>
          </cell>
          <cell r="BO388">
            <v>0.80441948000000008</v>
          </cell>
          <cell r="BP388">
            <v>65.399999999997817</v>
          </cell>
          <cell r="BQ388">
            <v>11260.800000000001</v>
          </cell>
          <cell r="BR388">
            <v>167.34</v>
          </cell>
          <cell r="BS388">
            <v>2314.6799999999998</v>
          </cell>
          <cell r="BT388">
            <v>50.627000000000002</v>
          </cell>
          <cell r="BU388">
            <v>39.478999999999999</v>
          </cell>
          <cell r="BV388">
            <v>0</v>
          </cell>
          <cell r="BW388">
            <v>0</v>
          </cell>
          <cell r="BX388">
            <v>50.627000000000002</v>
          </cell>
          <cell r="BY388">
            <v>39.478999999999999</v>
          </cell>
          <cell r="BZ388">
            <v>565.9</v>
          </cell>
          <cell r="CA388">
            <v>10.899999999999636</v>
          </cell>
          <cell r="CB388">
            <v>0.80441948000000008</v>
          </cell>
          <cell r="CC388">
            <v>65.399999999997817</v>
          </cell>
          <cell r="CD388">
            <v>21617.543065844002</v>
          </cell>
          <cell r="CE388">
            <v>2846.7713385391389</v>
          </cell>
          <cell r="CF388">
            <v>19047.950041666663</v>
          </cell>
        </row>
        <row r="389">
          <cell r="B389" t="str">
            <v>DIC</v>
          </cell>
          <cell r="C389">
            <v>0</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17.889899999999994</v>
          </cell>
          <cell r="BM389">
            <v>0</v>
          </cell>
          <cell r="BN389">
            <v>0</v>
          </cell>
          <cell r="BO389">
            <v>0</v>
          </cell>
          <cell r="BP389">
            <v>0</v>
          </cell>
          <cell r="BQ389">
            <v>0</v>
          </cell>
          <cell r="BR389">
            <v>0</v>
          </cell>
          <cell r="BS389">
            <v>0</v>
          </cell>
          <cell r="BT389">
            <v>0</v>
          </cell>
          <cell r="BU389">
            <v>0</v>
          </cell>
          <cell r="BV389">
            <v>0</v>
          </cell>
          <cell r="BW389">
            <v>0</v>
          </cell>
          <cell r="BX389">
            <v>0</v>
          </cell>
          <cell r="BY389">
            <v>0</v>
          </cell>
          <cell r="BZ389">
            <v>0</v>
          </cell>
          <cell r="CA389">
            <v>0</v>
          </cell>
          <cell r="CB389">
            <v>0</v>
          </cell>
          <cell r="CC389">
            <v>0</v>
          </cell>
          <cell r="CD389">
            <v>0</v>
          </cell>
          <cell r="CE389">
            <v>0</v>
          </cell>
          <cell r="CF389">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CONTADORES"/>
      <sheetName val="ESTADISTICOS"/>
      <sheetName val="DATOSAÑO"/>
      <sheetName val="REPORTE DIA"/>
      <sheetName val="DATOSCECOS"/>
      <sheetName val="INFORME DIA GDP"/>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sheetData sheetId="1"/>
      <sheetData sheetId="2"/>
      <sheetData sheetId="3">
        <row r="378">
          <cell r="B378" t="str">
            <v>ENE</v>
          </cell>
          <cell r="C378">
            <v>6388.8000000000466</v>
          </cell>
          <cell r="D378">
            <v>117.92981999097549</v>
          </cell>
          <cell r="E378">
            <v>744</v>
          </cell>
          <cell r="F378">
            <v>0</v>
          </cell>
          <cell r="G378">
            <v>0</v>
          </cell>
          <cell r="H378">
            <v>0</v>
          </cell>
          <cell r="I378">
            <v>6388.8000000000466</v>
          </cell>
          <cell r="J378">
            <v>9221.3999999999942</v>
          </cell>
          <cell r="K378">
            <v>139.06853824823651</v>
          </cell>
          <cell r="L378">
            <v>744</v>
          </cell>
          <cell r="M378">
            <v>0</v>
          </cell>
          <cell r="N378">
            <v>0</v>
          </cell>
          <cell r="O378">
            <v>0</v>
          </cell>
          <cell r="P378">
            <v>9221.3999999999942</v>
          </cell>
          <cell r="Q378">
            <v>0.69200000000000017</v>
          </cell>
          <cell r="R378">
            <v>83.04000000000002</v>
          </cell>
          <cell r="S378">
            <v>2.4499999999998181</v>
          </cell>
          <cell r="T378">
            <v>0.26199999999998624</v>
          </cell>
          <cell r="U378">
            <v>31.439999999998349</v>
          </cell>
          <cell r="V378">
            <v>1.6999999999999886</v>
          </cell>
          <cell r="W378">
            <v>15610.200000000041</v>
          </cell>
          <cell r="X378">
            <v>0.95399999999998641</v>
          </cell>
          <cell r="Y378">
            <v>15611.15400000004</v>
          </cell>
          <cell r="Z378">
            <v>256.998358239212</v>
          </cell>
          <cell r="AA378">
            <v>114.47999999999837</v>
          </cell>
          <cell r="AB378">
            <v>1488</v>
          </cell>
          <cell r="AC378">
            <v>4.1499999999998067</v>
          </cell>
          <cell r="AD378">
            <v>0</v>
          </cell>
          <cell r="AE378">
            <v>7325.0999999999767</v>
          </cell>
          <cell r="AF378">
            <v>740</v>
          </cell>
          <cell r="AG378">
            <v>3953.2000000000116</v>
          </cell>
          <cell r="AH378">
            <v>723.79999999999927</v>
          </cell>
          <cell r="AI378">
            <v>634.10000000000218</v>
          </cell>
          <cell r="AJ378">
            <v>1427.8999999999833</v>
          </cell>
          <cell r="AK378">
            <v>408.69999999999709</v>
          </cell>
          <cell r="AL378">
            <v>641.29999999998836</v>
          </cell>
          <cell r="AM378">
            <v>1013.2920000000931</v>
          </cell>
          <cell r="AN378">
            <v>184.16199999998832</v>
          </cell>
          <cell r="AO378">
            <v>23.400000000000034</v>
          </cell>
          <cell r="AP378">
            <v>3463.2999999999884</v>
          </cell>
          <cell r="AQ378">
            <v>4704.2999999999956</v>
          </cell>
          <cell r="AR378">
            <v>0.52799999999999958</v>
          </cell>
          <cell r="AS378">
            <v>0.19200000000000017</v>
          </cell>
          <cell r="AT378">
            <v>302.40000000000873</v>
          </cell>
          <cell r="AU378">
            <v>536.10000000000218</v>
          </cell>
          <cell r="AV378">
            <v>3213.7000000000116</v>
          </cell>
          <cell r="AW378">
            <v>1752.9000000000015</v>
          </cell>
          <cell r="AX378">
            <v>240.90000000000055</v>
          </cell>
          <cell r="AY378">
            <v>1165.100000000024</v>
          </cell>
          <cell r="AZ378">
            <v>299.80000000000291</v>
          </cell>
          <cell r="BA378">
            <v>494.30000000000291</v>
          </cell>
          <cell r="BB378">
            <v>791.02799999993886</v>
          </cell>
          <cell r="BC378">
            <v>210.59200000000146</v>
          </cell>
          <cell r="BD378">
            <v>0</v>
          </cell>
          <cell r="BE378">
            <v>8168.3199999999833</v>
          </cell>
          <cell r="BF378">
            <v>0</v>
          </cell>
          <cell r="BG378">
            <v>0</v>
          </cell>
          <cell r="BH378">
            <v>253522</v>
          </cell>
          <cell r="BI378">
            <v>22.907199999999996</v>
          </cell>
          <cell r="BJ378">
            <v>6.7900000000000002E-2</v>
          </cell>
          <cell r="BK378">
            <v>22.975099999999998</v>
          </cell>
          <cell r="BL378">
            <v>367.09099999999989</v>
          </cell>
          <cell r="BM378">
            <v>711.7</v>
          </cell>
          <cell r="BN378">
            <v>9.1999999999999993</v>
          </cell>
          <cell r="BO378">
            <v>1.0540000000000007</v>
          </cell>
          <cell r="BP378">
            <v>57.809999999999995</v>
          </cell>
          <cell r="BQ378">
            <v>0</v>
          </cell>
          <cell r="BR378">
            <v>0</v>
          </cell>
          <cell r="BS378">
            <v>0</v>
          </cell>
          <cell r="BT378">
            <v>0</v>
          </cell>
          <cell r="BU378">
            <v>0</v>
          </cell>
          <cell r="BV378">
            <v>0</v>
          </cell>
          <cell r="BW378">
            <v>0</v>
          </cell>
          <cell r="BX378">
            <v>0</v>
          </cell>
          <cell r="BY378">
            <v>0</v>
          </cell>
          <cell r="BZ378">
            <v>711.7</v>
          </cell>
          <cell r="CA378">
            <v>9.1999999999999993</v>
          </cell>
          <cell r="CB378">
            <v>1.0540000000000007</v>
          </cell>
          <cell r="CC378">
            <v>57.809999999999995</v>
          </cell>
          <cell r="CD378">
            <v>0</v>
          </cell>
          <cell r="CE378">
            <v>0</v>
          </cell>
          <cell r="CF378">
            <v>0</v>
          </cell>
        </row>
        <row r="379">
          <cell r="B379" t="str">
            <v>FEB</v>
          </cell>
          <cell r="C379">
            <v>6495.2999999999884</v>
          </cell>
          <cell r="D379">
            <v>110.32376059754597</v>
          </cell>
          <cell r="E379">
            <v>620.90000000001737</v>
          </cell>
          <cell r="F379">
            <v>2</v>
          </cell>
          <cell r="G379">
            <v>385.5</v>
          </cell>
          <cell r="H379">
            <v>0.90000000000009095</v>
          </cell>
          <cell r="I379">
            <v>6497.2999999999884</v>
          </cell>
          <cell r="J379">
            <v>7389.6000000000058</v>
          </cell>
          <cell r="K379">
            <v>119.13584383098167</v>
          </cell>
          <cell r="L379">
            <v>696</v>
          </cell>
          <cell r="M379">
            <v>0</v>
          </cell>
          <cell r="N379">
            <v>0</v>
          </cell>
          <cell r="O379">
            <v>0</v>
          </cell>
          <cell r="P379">
            <v>7389.6000000000058</v>
          </cell>
          <cell r="Q379">
            <v>48.205999999999996</v>
          </cell>
          <cell r="R379">
            <v>5784.7199999999993</v>
          </cell>
          <cell r="S379">
            <v>49.550000000000182</v>
          </cell>
          <cell r="T379">
            <v>10.424000000000007</v>
          </cell>
          <cell r="U379">
            <v>1250.8800000000008</v>
          </cell>
          <cell r="V379">
            <v>53.199999999999989</v>
          </cell>
          <cell r="W379">
            <v>13884.899999999994</v>
          </cell>
          <cell r="X379">
            <v>60.63</v>
          </cell>
          <cell r="Y379">
            <v>13945.529999999995</v>
          </cell>
          <cell r="Z379">
            <v>229.45960442852765</v>
          </cell>
          <cell r="AA379">
            <v>7421.1</v>
          </cell>
          <cell r="AB379">
            <v>1316.9000000000174</v>
          </cell>
          <cell r="AC379">
            <v>103.65000000000026</v>
          </cell>
          <cell r="AD379">
            <v>0</v>
          </cell>
          <cell r="AE379">
            <v>6326.2000000000116</v>
          </cell>
          <cell r="AF379">
            <v>684</v>
          </cell>
          <cell r="AG379">
            <v>3673.8999999999942</v>
          </cell>
          <cell r="AH379">
            <v>658.09999999999854</v>
          </cell>
          <cell r="AI379">
            <v>512.79999999999927</v>
          </cell>
          <cell r="AJ379">
            <v>1270.3000000000211</v>
          </cell>
          <cell r="AK379">
            <v>344.80000000000291</v>
          </cell>
          <cell r="AL379">
            <v>580.90000000000873</v>
          </cell>
          <cell r="AM379">
            <v>1034.1059999999507</v>
          </cell>
          <cell r="AN379">
            <v>173.2240000000059</v>
          </cell>
          <cell r="AO379">
            <v>29.299999999999955</v>
          </cell>
          <cell r="AP379">
            <v>3538.5</v>
          </cell>
          <cell r="AQ379">
            <v>3822.1000000000058</v>
          </cell>
          <cell r="AR379">
            <v>37.497</v>
          </cell>
          <cell r="AS379">
            <v>6.9250000000000043</v>
          </cell>
          <cell r="AT379">
            <v>277.19999999999709</v>
          </cell>
          <cell r="AU379">
            <v>526.79999999999927</v>
          </cell>
          <cell r="AV379">
            <v>2820.5</v>
          </cell>
          <cell r="AW379">
            <v>1617</v>
          </cell>
          <cell r="AX379">
            <v>199.90000000000055</v>
          </cell>
          <cell r="AY379">
            <v>1046.899999999976</v>
          </cell>
          <cell r="AZ379">
            <v>310.40000000000146</v>
          </cell>
          <cell r="BA379">
            <v>455.90000000000873</v>
          </cell>
          <cell r="BB379">
            <v>804.89700000002051</v>
          </cell>
          <cell r="BC379">
            <v>200.02499999999858</v>
          </cell>
          <cell r="BD379">
            <v>0</v>
          </cell>
          <cell r="BE379">
            <v>7405.0220000000054</v>
          </cell>
          <cell r="BF379">
            <v>391325.53616741288</v>
          </cell>
          <cell r="BG379">
            <v>944616.2596491226</v>
          </cell>
          <cell r="BH379">
            <v>264365</v>
          </cell>
          <cell r="BI379">
            <v>21.382760000000005</v>
          </cell>
          <cell r="BJ379">
            <v>0.25901000000000002</v>
          </cell>
          <cell r="BK379">
            <v>21.641770000000001</v>
          </cell>
          <cell r="BL379">
            <v>323.84872000000001</v>
          </cell>
          <cell r="BM379">
            <v>688</v>
          </cell>
          <cell r="BN379">
            <v>18.100000000000183</v>
          </cell>
          <cell r="BO379">
            <v>0.94367266666666672</v>
          </cell>
          <cell r="BP379">
            <v>108.60000000000109</v>
          </cell>
          <cell r="BQ379">
            <v>0</v>
          </cell>
          <cell r="BR379">
            <v>0</v>
          </cell>
          <cell r="BS379">
            <v>0</v>
          </cell>
          <cell r="BT379">
            <v>0</v>
          </cell>
          <cell r="BU379">
            <v>0</v>
          </cell>
          <cell r="BV379">
            <v>0</v>
          </cell>
          <cell r="BW379">
            <v>0</v>
          </cell>
          <cell r="BX379">
            <v>0</v>
          </cell>
          <cell r="BY379">
            <v>0</v>
          </cell>
          <cell r="BZ379">
            <v>688</v>
          </cell>
          <cell r="CA379">
            <v>18.100000000000183</v>
          </cell>
          <cell r="CB379">
            <v>0.94367266666666672</v>
          </cell>
          <cell r="CC379">
            <v>108.60000000000109</v>
          </cell>
          <cell r="CD379">
            <v>0</v>
          </cell>
          <cell r="CE379">
            <v>0</v>
          </cell>
          <cell r="CF379">
            <v>0</v>
          </cell>
        </row>
        <row r="380">
          <cell r="B380" t="str">
            <v>MAR</v>
          </cell>
          <cell r="C380">
            <v>6690.2</v>
          </cell>
          <cell r="D380">
            <v>117.25973488997975</v>
          </cell>
          <cell r="E380">
            <v>727</v>
          </cell>
          <cell r="F380">
            <v>0</v>
          </cell>
          <cell r="G380">
            <v>0</v>
          </cell>
          <cell r="H380">
            <v>0</v>
          </cell>
          <cell r="I380">
            <v>6690.2</v>
          </cell>
          <cell r="J380">
            <v>6984.389999999994</v>
          </cell>
          <cell r="K380">
            <v>119.40184304787441</v>
          </cell>
          <cell r="L380">
            <v>704.5000000000116</v>
          </cell>
          <cell r="M380">
            <v>0.01</v>
          </cell>
          <cell r="N380">
            <v>188</v>
          </cell>
          <cell r="O380">
            <v>0.19999999999998863</v>
          </cell>
          <cell r="P380">
            <v>6984.3999999999942</v>
          </cell>
          <cell r="Q380">
            <v>5.9879999999999995</v>
          </cell>
          <cell r="R380">
            <v>718.56</v>
          </cell>
          <cell r="S380">
            <v>16.5</v>
          </cell>
          <cell r="T380">
            <v>3.1110000000000042</v>
          </cell>
          <cell r="U380">
            <v>373.3200000000005</v>
          </cell>
          <cell r="V380">
            <v>17.199999999999989</v>
          </cell>
          <cell r="W380">
            <v>13674.589999999989</v>
          </cell>
          <cell r="X380">
            <v>9.1090000000000035</v>
          </cell>
          <cell r="Y380">
            <v>13683.69899999999</v>
          </cell>
          <cell r="Z380">
            <v>236.66157793785419</v>
          </cell>
          <cell r="AA380">
            <v>1279.8800000000001</v>
          </cell>
          <cell r="AB380">
            <v>1431.5000000000116</v>
          </cell>
          <cell r="AC380">
            <v>33.899999999999977</v>
          </cell>
          <cell r="AD380">
            <v>0</v>
          </cell>
          <cell r="AE380">
            <v>6532.5999999999767</v>
          </cell>
          <cell r="AF380">
            <v>706</v>
          </cell>
          <cell r="AG380">
            <v>2994.1999999999971</v>
          </cell>
          <cell r="AH380">
            <v>536.70000000000073</v>
          </cell>
          <cell r="AI380">
            <v>456.89999999999782</v>
          </cell>
          <cell r="AJ380">
            <v>1441.899999999976</v>
          </cell>
          <cell r="AK380">
            <v>352.40000000000146</v>
          </cell>
          <cell r="AL380">
            <v>559.30000000000291</v>
          </cell>
          <cell r="AM380">
            <v>1161.7880000000362</v>
          </cell>
          <cell r="AN380">
            <v>154.10100000000583</v>
          </cell>
          <cell r="AO380">
            <v>30.509999999999998</v>
          </cell>
          <cell r="AP380">
            <v>3637.9</v>
          </cell>
          <cell r="AQ380">
            <v>3590.0999999999985</v>
          </cell>
          <cell r="AR380">
            <v>4.7539999999999978</v>
          </cell>
          <cell r="AS380">
            <v>2.0349999999999966</v>
          </cell>
          <cell r="AT380">
            <v>319.69999999999709</v>
          </cell>
          <cell r="AU380">
            <v>541.20000000000073</v>
          </cell>
          <cell r="AV380">
            <v>2923.2999999999884</v>
          </cell>
          <cell r="AW380">
            <v>1321.8000000000029</v>
          </cell>
          <cell r="AX380">
            <v>181.39999999999964</v>
          </cell>
          <cell r="AY380">
            <v>1172.3000000000065</v>
          </cell>
          <cell r="AZ380">
            <v>258.69999999999709</v>
          </cell>
          <cell r="BA380">
            <v>442.09999999999127</v>
          </cell>
          <cell r="BB380">
            <v>752.75400000001582</v>
          </cell>
          <cell r="BC380">
            <v>182.33499999999853</v>
          </cell>
          <cell r="BD380">
            <v>9.9999999999999978E-2</v>
          </cell>
          <cell r="BE380">
            <v>7234.7889999999979</v>
          </cell>
          <cell r="BF380">
            <v>392285.06999999989</v>
          </cell>
          <cell r="BG380">
            <v>974338.11052631552</v>
          </cell>
          <cell r="BH380">
            <v>285229</v>
          </cell>
          <cell r="BI380">
            <v>22.890579999999996</v>
          </cell>
          <cell r="BJ380">
            <v>0.28409999999999147</v>
          </cell>
          <cell r="BK380">
            <v>23.174679999999988</v>
          </cell>
          <cell r="BL380">
            <v>370.66403999999972</v>
          </cell>
          <cell r="BM380">
            <v>735.5</v>
          </cell>
          <cell r="BN380">
            <v>9.3000000000002725</v>
          </cell>
          <cell r="BO380">
            <v>1.0441878000000002</v>
          </cell>
          <cell r="BP380">
            <v>55.800000000001631</v>
          </cell>
          <cell r="BQ380">
            <v>0</v>
          </cell>
          <cell r="BR380">
            <v>0</v>
          </cell>
          <cell r="BS380">
            <v>0</v>
          </cell>
          <cell r="BT380">
            <v>0</v>
          </cell>
          <cell r="BU380">
            <v>0</v>
          </cell>
          <cell r="BV380">
            <v>0</v>
          </cell>
          <cell r="BW380">
            <v>0</v>
          </cell>
          <cell r="BX380">
            <v>0</v>
          </cell>
          <cell r="BY380">
            <v>0</v>
          </cell>
          <cell r="BZ380">
            <v>735.5</v>
          </cell>
          <cell r="CA380">
            <v>9.3000000000002725</v>
          </cell>
          <cell r="CB380">
            <v>1.0441878000000002</v>
          </cell>
          <cell r="CC380">
            <v>55.800000000001631</v>
          </cell>
          <cell r="CD380">
            <v>0</v>
          </cell>
          <cell r="CE380">
            <v>0</v>
          </cell>
          <cell r="CF380">
            <v>0</v>
          </cell>
        </row>
        <row r="381">
          <cell r="B381" t="str">
            <v>ABR</v>
          </cell>
          <cell r="C381">
            <v>5635.4</v>
          </cell>
          <cell r="D381">
            <v>107.15127643333332</v>
          </cell>
          <cell r="E381">
            <v>719.8</v>
          </cell>
          <cell r="F381">
            <v>0.4</v>
          </cell>
          <cell r="G381">
            <v>193</v>
          </cell>
          <cell r="H381">
            <v>0.20000000000004547</v>
          </cell>
          <cell r="I381">
            <v>5635.8</v>
          </cell>
          <cell r="J381">
            <v>8924.8000000000065</v>
          </cell>
          <cell r="K381">
            <v>131.05424976666674</v>
          </cell>
          <cell r="L381">
            <v>719.9</v>
          </cell>
          <cell r="M381">
            <v>0.3</v>
          </cell>
          <cell r="N381">
            <v>145</v>
          </cell>
          <cell r="O381">
            <v>0.10000000000002274</v>
          </cell>
          <cell r="P381">
            <v>8925.1000000000058</v>
          </cell>
          <cell r="Q381">
            <v>2.1999999999999957</v>
          </cell>
          <cell r="R381">
            <v>263.99999999999949</v>
          </cell>
          <cell r="S381">
            <v>3.6999999999998181</v>
          </cell>
          <cell r="T381">
            <v>0.33699999999998909</v>
          </cell>
          <cell r="U381">
            <v>40.43999999999869</v>
          </cell>
          <cell r="V381">
            <v>2.2000000000000455</v>
          </cell>
          <cell r="W381">
            <v>14560.200000000006</v>
          </cell>
          <cell r="X381">
            <v>3.236999999999985</v>
          </cell>
          <cell r="Y381">
            <v>14563.437000000005</v>
          </cell>
          <cell r="Z381">
            <v>238.20552620000018</v>
          </cell>
          <cell r="AA381">
            <v>642.43999999999812</v>
          </cell>
          <cell r="AB381">
            <v>1439.6999999999998</v>
          </cell>
          <cell r="AC381">
            <v>6.1999999999999318</v>
          </cell>
          <cell r="AD381">
            <v>0</v>
          </cell>
          <cell r="AE381">
            <v>6982.6000000000349</v>
          </cell>
          <cell r="AF381">
            <v>718</v>
          </cell>
          <cell r="AG381">
            <v>3702.8000000000029</v>
          </cell>
          <cell r="AH381">
            <v>675.40000000000146</v>
          </cell>
          <cell r="AI381">
            <v>419.60000000000582</v>
          </cell>
          <cell r="AJ381">
            <v>1484.9000000000124</v>
          </cell>
          <cell r="AK381">
            <v>280.5</v>
          </cell>
          <cell r="AL381">
            <v>467.89999999999418</v>
          </cell>
          <cell r="AM381">
            <v>1020.5999999999588</v>
          </cell>
          <cell r="AN381">
            <v>182.33699999999703</v>
          </cell>
          <cell r="AO381">
            <v>22.200000000000045</v>
          </cell>
          <cell r="AP381">
            <v>2844.1</v>
          </cell>
          <cell r="AQ381">
            <v>4625.5999999999985</v>
          </cell>
          <cell r="AR381">
            <v>1.3000000000000043</v>
          </cell>
          <cell r="AS381">
            <v>0.21600000000000108</v>
          </cell>
          <cell r="AT381">
            <v>286</v>
          </cell>
          <cell r="AU381">
            <v>487.59999999999854</v>
          </cell>
          <cell r="AV381">
            <v>3076.3999999999942</v>
          </cell>
          <cell r="AW381">
            <v>1653.1999999999971</v>
          </cell>
          <cell r="AX381">
            <v>165.59999999999854</v>
          </cell>
          <cell r="AY381">
            <v>1186.900000000016</v>
          </cell>
          <cell r="AZ381">
            <v>196.69999999999709</v>
          </cell>
          <cell r="BA381">
            <v>364.40000000000873</v>
          </cell>
          <cell r="BB381">
            <v>627.49999999998408</v>
          </cell>
          <cell r="BC381">
            <v>200.51600000000292</v>
          </cell>
          <cell r="BD381">
            <v>0</v>
          </cell>
          <cell r="BE381">
            <v>7471.2159999999985</v>
          </cell>
          <cell r="BF381">
            <v>363656.47000000003</v>
          </cell>
          <cell r="BG381">
            <v>948320.13333333319</v>
          </cell>
          <cell r="BH381">
            <v>283498</v>
          </cell>
          <cell r="BI381">
            <v>22.24906</v>
          </cell>
          <cell r="BJ381">
            <v>0</v>
          </cell>
          <cell r="BK381">
            <v>22.24906</v>
          </cell>
          <cell r="BL381">
            <v>344.85833999999994</v>
          </cell>
          <cell r="BM381">
            <v>720</v>
          </cell>
          <cell r="BN381">
            <v>2.5</v>
          </cell>
          <cell r="BO381">
            <v>1.02221312</v>
          </cell>
          <cell r="BP381">
            <v>15</v>
          </cell>
          <cell r="BQ381">
            <v>0</v>
          </cell>
          <cell r="BR381">
            <v>0</v>
          </cell>
          <cell r="BS381">
            <v>0</v>
          </cell>
          <cell r="BT381">
            <v>0</v>
          </cell>
          <cell r="BU381">
            <v>0</v>
          </cell>
          <cell r="BV381">
            <v>0</v>
          </cell>
          <cell r="BW381">
            <v>0</v>
          </cell>
          <cell r="BX381">
            <v>0</v>
          </cell>
          <cell r="BY381">
            <v>0</v>
          </cell>
          <cell r="BZ381">
            <v>720</v>
          </cell>
          <cell r="CA381">
            <v>2.5</v>
          </cell>
          <cell r="CB381">
            <v>1.02221312</v>
          </cell>
          <cell r="CC381">
            <v>15</v>
          </cell>
          <cell r="CD381">
            <v>0</v>
          </cell>
          <cell r="CE381">
            <v>0</v>
          </cell>
          <cell r="CF381">
            <v>0</v>
          </cell>
        </row>
        <row r="382">
          <cell r="B382" t="str">
            <v>MAY</v>
          </cell>
          <cell r="C382">
            <v>5198.1000000000004</v>
          </cell>
          <cell r="D382">
            <v>104.54763710600002</v>
          </cell>
          <cell r="E382">
            <v>741.09999999998831</v>
          </cell>
          <cell r="F382">
            <v>4.5999999999999996</v>
          </cell>
          <cell r="G382">
            <v>1911</v>
          </cell>
          <cell r="H382">
            <v>2.2000000000000455</v>
          </cell>
          <cell r="I382">
            <v>5202.7000000000007</v>
          </cell>
          <cell r="J382">
            <v>9407.9999999999945</v>
          </cell>
          <cell r="K382">
            <v>137.46529142028567</v>
          </cell>
          <cell r="L382">
            <v>743.8</v>
          </cell>
          <cell r="M382">
            <v>0.4</v>
          </cell>
          <cell r="N382">
            <v>179.5</v>
          </cell>
          <cell r="O382">
            <v>0.19999999999998863</v>
          </cell>
          <cell r="P382">
            <v>9408.3999999999942</v>
          </cell>
          <cell r="Q382">
            <v>8.9000000000000057</v>
          </cell>
          <cell r="R382">
            <v>1068.0000000000007</v>
          </cell>
          <cell r="S382">
            <v>12.400000000000546</v>
          </cell>
          <cell r="T382">
            <v>1.1850000000000023</v>
          </cell>
          <cell r="U382">
            <v>142.20000000000027</v>
          </cell>
          <cell r="V382">
            <v>6.8999999999999773</v>
          </cell>
          <cell r="W382">
            <v>14606.099999999995</v>
          </cell>
          <cell r="X382">
            <v>15.085000000000008</v>
          </cell>
          <cell r="Y382">
            <v>14621.184999999994</v>
          </cell>
          <cell r="Z382">
            <v>242.01292852628563</v>
          </cell>
          <cell r="AA382">
            <v>3300.7000000000012</v>
          </cell>
          <cell r="AB382">
            <v>1484.8999999999883</v>
          </cell>
          <cell r="AC382">
            <v>21.700000000000557</v>
          </cell>
          <cell r="AD382">
            <v>0</v>
          </cell>
          <cell r="AE382">
            <v>6800.2000000000116</v>
          </cell>
          <cell r="AF382">
            <v>728</v>
          </cell>
          <cell r="AG382">
            <v>3888.3999999999942</v>
          </cell>
          <cell r="AH382">
            <v>738.59999999999854</v>
          </cell>
          <cell r="AI382">
            <v>508.09999999999854</v>
          </cell>
          <cell r="AJ382">
            <v>1460.6999999999935</v>
          </cell>
          <cell r="AK382">
            <v>241.19999999999709</v>
          </cell>
          <cell r="AL382">
            <v>480</v>
          </cell>
          <cell r="AM382">
            <v>1037.700000000003</v>
          </cell>
          <cell r="AN382">
            <v>203.68499999999716</v>
          </cell>
          <cell r="AO382">
            <v>1.1999999999999318</v>
          </cell>
          <cell r="AP382">
            <v>2759.3999999999996</v>
          </cell>
          <cell r="AQ382">
            <v>4758.3000000000029</v>
          </cell>
          <cell r="AR382">
            <v>6.8999999999999986</v>
          </cell>
          <cell r="AS382">
            <v>0.81199999999999761</v>
          </cell>
          <cell r="AT382">
            <v>281.5</v>
          </cell>
          <cell r="AU382">
            <v>491.40000000000146</v>
          </cell>
          <cell r="AV382">
            <v>3028.8000000000175</v>
          </cell>
          <cell r="AW382">
            <v>1746.0999999999985</v>
          </cell>
          <cell r="AX382">
            <v>193.40000000000146</v>
          </cell>
          <cell r="AY382">
            <v>1167.099999999984</v>
          </cell>
          <cell r="AZ382">
            <v>169.10000000000582</v>
          </cell>
          <cell r="BA382">
            <v>369.29999999998836</v>
          </cell>
          <cell r="BB382">
            <v>659.80000000000689</v>
          </cell>
          <cell r="BC382">
            <v>192.31200000000001</v>
          </cell>
          <cell r="BD382">
            <v>0</v>
          </cell>
          <cell r="BE382">
            <v>7525.412000000003</v>
          </cell>
          <cell r="BF382">
            <v>362963.24000000005</v>
          </cell>
          <cell r="BG382">
            <v>795372.99122807023</v>
          </cell>
          <cell r="BH382">
            <v>283244</v>
          </cell>
          <cell r="BI382">
            <v>19.852969999999999</v>
          </cell>
          <cell r="BJ382">
            <v>0.45113899999999785</v>
          </cell>
          <cell r="BK382">
            <v>20.304108999999993</v>
          </cell>
          <cell r="BL382">
            <v>318.50881099999987</v>
          </cell>
          <cell r="BM382">
            <v>648.5</v>
          </cell>
          <cell r="BN382">
            <v>17.399999999999817</v>
          </cell>
          <cell r="BO382">
            <v>0.91687769333333369</v>
          </cell>
          <cell r="BP382">
            <v>97.399999999998911</v>
          </cell>
          <cell r="BQ382">
            <v>0</v>
          </cell>
          <cell r="BR382">
            <v>0</v>
          </cell>
          <cell r="BS382">
            <v>0</v>
          </cell>
          <cell r="BT382">
            <v>0</v>
          </cell>
          <cell r="BU382">
            <v>0</v>
          </cell>
          <cell r="BV382">
            <v>0</v>
          </cell>
          <cell r="BW382">
            <v>0</v>
          </cell>
          <cell r="BX382">
            <v>0</v>
          </cell>
          <cell r="BY382">
            <v>0</v>
          </cell>
          <cell r="BZ382">
            <v>648.5</v>
          </cell>
          <cell r="CA382">
            <v>17.399999999999817</v>
          </cell>
          <cell r="CB382">
            <v>0.91687769333333369</v>
          </cell>
          <cell r="CC382">
            <v>97.399999999998911</v>
          </cell>
          <cell r="CD382">
            <v>0</v>
          </cell>
          <cell r="CE382">
            <v>0</v>
          </cell>
          <cell r="CF382">
            <v>0</v>
          </cell>
        </row>
        <row r="383">
          <cell r="B383" t="str">
            <v>JUN</v>
          </cell>
          <cell r="C383">
            <v>5099.2999999999993</v>
          </cell>
          <cell r="D383">
            <v>103.04078931436835</v>
          </cell>
          <cell r="E383">
            <v>720</v>
          </cell>
          <cell r="F383">
            <v>0</v>
          </cell>
          <cell r="G383">
            <v>0</v>
          </cell>
          <cell r="H383">
            <v>0</v>
          </cell>
          <cell r="I383">
            <v>5099.2999999999993</v>
          </cell>
          <cell r="J383">
            <v>9088.7000000000116</v>
          </cell>
          <cell r="K383">
            <v>134.57061597782072</v>
          </cell>
          <cell r="L383">
            <v>720</v>
          </cell>
          <cell r="M383">
            <v>0</v>
          </cell>
          <cell r="N383">
            <v>0</v>
          </cell>
          <cell r="O383">
            <v>0</v>
          </cell>
          <cell r="P383">
            <v>9088.7000000000116</v>
          </cell>
          <cell r="Q383">
            <v>0</v>
          </cell>
          <cell r="R383">
            <v>0</v>
          </cell>
          <cell r="S383">
            <v>0</v>
          </cell>
          <cell r="T383">
            <v>0.20499999999999829</v>
          </cell>
          <cell r="U383">
            <v>24.599999999999795</v>
          </cell>
          <cell r="V383">
            <v>1.2000000000000455</v>
          </cell>
          <cell r="W383">
            <v>14188.000000000011</v>
          </cell>
          <cell r="X383">
            <v>0.20499999999999829</v>
          </cell>
          <cell r="Y383">
            <v>14188.205000000011</v>
          </cell>
          <cell r="Z383">
            <v>237.61140529218903</v>
          </cell>
          <cell r="AA383">
            <v>24.599999999999795</v>
          </cell>
          <cell r="AB383">
            <v>1440</v>
          </cell>
          <cell r="AC383">
            <v>1.2000000000000455</v>
          </cell>
          <cell r="AD383">
            <v>0</v>
          </cell>
          <cell r="AE383">
            <v>6619.3999999999651</v>
          </cell>
          <cell r="AF383">
            <v>718</v>
          </cell>
          <cell r="AG383">
            <v>3855.1000000000058</v>
          </cell>
          <cell r="AH383">
            <v>718.79999999999927</v>
          </cell>
          <cell r="AI383">
            <v>419.59999999999854</v>
          </cell>
          <cell r="AJ383">
            <v>1441.4000000000196</v>
          </cell>
          <cell r="AK383">
            <v>265.59999999999854</v>
          </cell>
          <cell r="AL383">
            <v>446.60000000000582</v>
          </cell>
          <cell r="AM383">
            <v>943.10000000000582</v>
          </cell>
          <cell r="AN383">
            <v>172.20500000001158</v>
          </cell>
          <cell r="AO383">
            <v>25.200000000000045</v>
          </cell>
          <cell r="AP383">
            <v>2786.8999999999996</v>
          </cell>
          <cell r="AQ383">
            <v>4515.5999999999985</v>
          </cell>
          <cell r="AR383">
            <v>0</v>
          </cell>
          <cell r="AS383">
            <v>0.14500000000000313</v>
          </cell>
          <cell r="AT383">
            <v>274.90000000000873</v>
          </cell>
          <cell r="AU383">
            <v>474.89999999999782</v>
          </cell>
          <cell r="AV383">
            <v>2953.8999999999942</v>
          </cell>
          <cell r="AW383">
            <v>1718.9000000000015</v>
          </cell>
          <cell r="AX383">
            <v>168.30000000000018</v>
          </cell>
          <cell r="AY383">
            <v>1145.0000000000036</v>
          </cell>
          <cell r="AZ383">
            <v>191.19999999999709</v>
          </cell>
          <cell r="BA383">
            <v>345.80000000000291</v>
          </cell>
          <cell r="BB383">
            <v>596.59999999999582</v>
          </cell>
          <cell r="BC383">
            <v>182.94500000000292</v>
          </cell>
          <cell r="BD383">
            <v>0</v>
          </cell>
          <cell r="BE383">
            <v>7302.6449999999977</v>
          </cell>
          <cell r="BF383">
            <v>345573.82000000007</v>
          </cell>
          <cell r="BG383">
            <v>867009.14210526319</v>
          </cell>
          <cell r="BH383">
            <v>296154</v>
          </cell>
          <cell r="BI383">
            <v>20.530260000000002</v>
          </cell>
          <cell r="BJ383">
            <v>2.0147826666666875</v>
          </cell>
          <cell r="BK383">
            <v>22.545042666666689</v>
          </cell>
          <cell r="BL383">
            <v>349.3295210000004</v>
          </cell>
          <cell r="BM383">
            <v>656.5</v>
          </cell>
          <cell r="BN383">
            <v>64.800000000000182</v>
          </cell>
          <cell r="BO383">
            <v>0.93343517333333348</v>
          </cell>
          <cell r="BP383">
            <v>388.80000000000109</v>
          </cell>
          <cell r="BQ383">
            <v>0</v>
          </cell>
          <cell r="BR383">
            <v>0</v>
          </cell>
          <cell r="BS383">
            <v>0</v>
          </cell>
          <cell r="BT383">
            <v>0</v>
          </cell>
          <cell r="BU383">
            <v>0</v>
          </cell>
          <cell r="BV383">
            <v>0</v>
          </cell>
          <cell r="BW383">
            <v>0</v>
          </cell>
          <cell r="BX383">
            <v>0</v>
          </cell>
          <cell r="BY383">
            <v>0</v>
          </cell>
          <cell r="BZ383">
            <v>656.5</v>
          </cell>
          <cell r="CA383">
            <v>64.800000000000182</v>
          </cell>
          <cell r="CB383">
            <v>0.93343517333333348</v>
          </cell>
          <cell r="CC383">
            <v>388.80000000000109</v>
          </cell>
          <cell r="CD383">
            <v>0</v>
          </cell>
          <cell r="CE383">
            <v>0</v>
          </cell>
          <cell r="CF383">
            <v>0</v>
          </cell>
        </row>
        <row r="384">
          <cell r="B384" t="str">
            <v>JUL</v>
          </cell>
          <cell r="C384">
            <v>7005</v>
          </cell>
          <cell r="D384">
            <v>120.08477253545239</v>
          </cell>
          <cell r="E384">
            <v>744</v>
          </cell>
          <cell r="F384">
            <v>0</v>
          </cell>
          <cell r="G384">
            <v>0</v>
          </cell>
          <cell r="H384">
            <v>0</v>
          </cell>
          <cell r="I384">
            <v>7005</v>
          </cell>
          <cell r="J384">
            <v>7678.5</v>
          </cell>
          <cell r="K384">
            <v>123.72341251900976</v>
          </cell>
          <cell r="L384">
            <v>744</v>
          </cell>
          <cell r="M384">
            <v>0</v>
          </cell>
          <cell r="N384">
            <v>0</v>
          </cell>
          <cell r="O384">
            <v>0</v>
          </cell>
          <cell r="P384">
            <v>7678.5</v>
          </cell>
          <cell r="Q384">
            <v>0</v>
          </cell>
          <cell r="R384">
            <v>0</v>
          </cell>
          <cell r="S384">
            <v>0</v>
          </cell>
          <cell r="T384">
            <v>0.17200000000001125</v>
          </cell>
          <cell r="U384">
            <v>20.640000000001351</v>
          </cell>
          <cell r="V384">
            <v>1</v>
          </cell>
          <cell r="W384">
            <v>14683.5</v>
          </cell>
          <cell r="X384">
            <v>0.17200000000001125</v>
          </cell>
          <cell r="Y384">
            <v>14683.672</v>
          </cell>
          <cell r="Z384">
            <v>243.80818505446214</v>
          </cell>
          <cell r="AA384">
            <v>20.640000000001351</v>
          </cell>
          <cell r="AB384">
            <v>1488</v>
          </cell>
          <cell r="AC384">
            <v>1</v>
          </cell>
          <cell r="AD384">
            <v>0</v>
          </cell>
          <cell r="AE384">
            <v>6891.7000000000116</v>
          </cell>
          <cell r="AF384">
            <v>738</v>
          </cell>
          <cell r="AG384">
            <v>3975</v>
          </cell>
          <cell r="AH384">
            <v>741.79999999999927</v>
          </cell>
          <cell r="AI384">
            <v>407.19999999999891</v>
          </cell>
          <cell r="AJ384">
            <v>1545.7999999999993</v>
          </cell>
          <cell r="AK384">
            <v>258.30000000000291</v>
          </cell>
          <cell r="AL384">
            <v>442.79999999998836</v>
          </cell>
          <cell r="AM384">
            <v>953.30000000000473</v>
          </cell>
          <cell r="AN384">
            <v>199.57199999999418</v>
          </cell>
          <cell r="AO384">
            <v>10</v>
          </cell>
          <cell r="AP384">
            <v>3652.5</v>
          </cell>
          <cell r="AQ384">
            <v>3838.5</v>
          </cell>
          <cell r="AR384">
            <v>0</v>
          </cell>
          <cell r="AS384">
            <v>0.11699999999999733</v>
          </cell>
          <cell r="AT384">
            <v>271.39999999999418</v>
          </cell>
          <cell r="AU384">
            <v>488.70000000000073</v>
          </cell>
          <cell r="AV384">
            <v>3064.8999999999942</v>
          </cell>
          <cell r="AW384">
            <v>1769.5999999999985</v>
          </cell>
          <cell r="AX384">
            <v>157.59999999999945</v>
          </cell>
          <cell r="AY384">
            <v>1222.9000000000124</v>
          </cell>
          <cell r="AZ384">
            <v>190</v>
          </cell>
          <cell r="BA384">
            <v>341.5</v>
          </cell>
          <cell r="BB384">
            <v>561.099999999994</v>
          </cell>
          <cell r="BC384">
            <v>188.81700000000438</v>
          </cell>
          <cell r="BD384">
            <v>0</v>
          </cell>
          <cell r="BE384">
            <v>7491.1169999999993</v>
          </cell>
          <cell r="BF384">
            <v>351405.83000000007</v>
          </cell>
          <cell r="BG384">
            <v>894988.03508771909</v>
          </cell>
          <cell r="BH384">
            <v>280693</v>
          </cell>
          <cell r="BI384">
            <v>21.851279999999999</v>
          </cell>
          <cell r="BJ384">
            <v>0.36962133000000003</v>
          </cell>
          <cell r="BK384">
            <v>22.22090133</v>
          </cell>
          <cell r="BL384">
            <v>357.3029866</v>
          </cell>
          <cell r="BM384">
            <v>665</v>
          </cell>
          <cell r="BN384">
            <v>6.6000000000002732</v>
          </cell>
          <cell r="BO384">
            <v>1.0425347200000004</v>
          </cell>
          <cell r="BP384">
            <v>40.20000000000109</v>
          </cell>
          <cell r="BQ384">
            <v>12744.800000000001</v>
          </cell>
          <cell r="BR384">
            <v>80.899999999999991</v>
          </cell>
          <cell r="BS384">
            <v>2430.5499999999993</v>
          </cell>
          <cell r="BT384">
            <v>75.248000000000005</v>
          </cell>
          <cell r="BU384">
            <v>74.27600000000001</v>
          </cell>
          <cell r="BV384">
            <v>0</v>
          </cell>
          <cell r="BW384">
            <v>0</v>
          </cell>
          <cell r="BX384">
            <v>75.248000000000005</v>
          </cell>
          <cell r="BY384">
            <v>74.27600000000001</v>
          </cell>
          <cell r="BZ384">
            <v>401.59999999999945</v>
          </cell>
          <cell r="CA384">
            <v>6.6000000000002732</v>
          </cell>
          <cell r="CB384">
            <v>1.0425347200000004</v>
          </cell>
          <cell r="CC384">
            <v>40.20000000000109</v>
          </cell>
          <cell r="CD384">
            <v>37519.913861674693</v>
          </cell>
          <cell r="CE384">
            <v>2528.5226172145881</v>
          </cell>
          <cell r="CF384">
            <v>37325.902624999995</v>
          </cell>
        </row>
        <row r="385">
          <cell r="B385" t="str">
            <v>AGO</v>
          </cell>
          <cell r="C385">
            <v>7166.8</v>
          </cell>
          <cell r="D385">
            <v>128.32771048264976</v>
          </cell>
          <cell r="E385">
            <v>686</v>
          </cell>
          <cell r="F385">
            <v>3.2</v>
          </cell>
          <cell r="G385">
            <v>779</v>
          </cell>
          <cell r="H385">
            <v>1</v>
          </cell>
          <cell r="I385">
            <v>7170</v>
          </cell>
          <cell r="J385">
            <v>6223.8999999999942</v>
          </cell>
          <cell r="K385">
            <v>125.1309415996845</v>
          </cell>
          <cell r="L385">
            <v>701.89999999997667</v>
          </cell>
          <cell r="M385">
            <v>0</v>
          </cell>
          <cell r="N385">
            <v>215.5</v>
          </cell>
          <cell r="O385">
            <v>0.19999999999998863</v>
          </cell>
          <cell r="P385">
            <v>6223.8999999999942</v>
          </cell>
          <cell r="Q385">
            <v>0</v>
          </cell>
          <cell r="R385">
            <v>0</v>
          </cell>
          <cell r="S385">
            <v>0</v>
          </cell>
          <cell r="T385">
            <v>9.9999999999056399E-4</v>
          </cell>
          <cell r="U385">
            <v>0.11999999999886768</v>
          </cell>
          <cell r="V385">
            <v>0.19999999999993179</v>
          </cell>
          <cell r="W385">
            <v>13390.699999999993</v>
          </cell>
          <cell r="X385">
            <v>3.2009999999999907</v>
          </cell>
          <cell r="Y385">
            <v>13393.900999999994</v>
          </cell>
          <cell r="Z385">
            <v>253.4586520823342</v>
          </cell>
          <cell r="AA385">
            <v>994.61999999999887</v>
          </cell>
          <cell r="AB385">
            <v>1387.8999999999767</v>
          </cell>
          <cell r="AC385">
            <v>1.3999999999999204</v>
          </cell>
          <cell r="AD385">
            <v>0</v>
          </cell>
          <cell r="AE385">
            <v>6325</v>
          </cell>
          <cell r="AF385">
            <v>703</v>
          </cell>
          <cell r="AG385">
            <v>3199</v>
          </cell>
          <cell r="AH385">
            <v>563.40000000000146</v>
          </cell>
          <cell r="AI385">
            <v>421.99999999999818</v>
          </cell>
          <cell r="AJ385">
            <v>1531.0999999999985</v>
          </cell>
          <cell r="AK385">
            <v>284.59999999999854</v>
          </cell>
          <cell r="AL385">
            <v>476.80000000000291</v>
          </cell>
          <cell r="AM385">
            <v>1000.0000000000018</v>
          </cell>
          <cell r="AN385">
            <v>139.40099999999416</v>
          </cell>
          <cell r="AO385">
            <v>16</v>
          </cell>
          <cell r="AP385">
            <v>3784.7000000000007</v>
          </cell>
          <cell r="AQ385">
            <v>3232.9999999999927</v>
          </cell>
          <cell r="AR385">
            <v>0</v>
          </cell>
          <cell r="AS385">
            <v>0</v>
          </cell>
          <cell r="AT385">
            <v>289.80000000000291</v>
          </cell>
          <cell r="AU385">
            <v>488.70000000000073</v>
          </cell>
          <cell r="AV385">
            <v>2855.1000000000058</v>
          </cell>
          <cell r="AW385">
            <v>1415.4000000000015</v>
          </cell>
          <cell r="AX385">
            <v>168.5</v>
          </cell>
          <cell r="AY385">
            <v>1235.1999999999789</v>
          </cell>
          <cell r="AZ385">
            <v>204.10000000000582</v>
          </cell>
          <cell r="BA385">
            <v>368.19999999999709</v>
          </cell>
          <cell r="BB385">
            <v>609.30000000001314</v>
          </cell>
          <cell r="BC385">
            <v>161.79999999999126</v>
          </cell>
          <cell r="BD385">
            <v>9.9999999999999978E-2</v>
          </cell>
          <cell r="BE385">
            <v>7017.6999999999935</v>
          </cell>
          <cell r="BF385">
            <v>336953.58</v>
          </cell>
          <cell r="BG385">
            <v>749321.32649122807</v>
          </cell>
          <cell r="BH385">
            <v>290000</v>
          </cell>
          <cell r="BI385">
            <v>22.017999999999997</v>
          </cell>
          <cell r="BJ385">
            <v>0.94889999999999997</v>
          </cell>
          <cell r="BK385">
            <v>22.966899999999999</v>
          </cell>
          <cell r="BL385">
            <v>367.88453999999996</v>
          </cell>
          <cell r="BM385">
            <v>710.6</v>
          </cell>
          <cell r="BN385">
            <v>29.900000000000361</v>
          </cell>
          <cell r="BO385">
            <v>1.0093007999999999</v>
          </cell>
          <cell r="BP385">
            <v>178.80000000000271</v>
          </cell>
          <cell r="BQ385">
            <v>12594.699999999997</v>
          </cell>
          <cell r="BR385">
            <v>77.239999999999995</v>
          </cell>
          <cell r="BS385">
            <v>2333.5200000000004</v>
          </cell>
          <cell r="BT385">
            <v>79.285999999999987</v>
          </cell>
          <cell r="BU385">
            <v>71.196999999999974</v>
          </cell>
          <cell r="BV385">
            <v>0</v>
          </cell>
          <cell r="BW385">
            <v>0</v>
          </cell>
          <cell r="BX385">
            <v>79.285999999999987</v>
          </cell>
          <cell r="BY385">
            <v>71.196999999999974</v>
          </cell>
          <cell r="BZ385">
            <v>710.6</v>
          </cell>
          <cell r="CA385">
            <v>29.900000000000361</v>
          </cell>
          <cell r="CB385">
            <v>1.0093007999999999</v>
          </cell>
          <cell r="CC385">
            <v>178.80000000000271</v>
          </cell>
          <cell r="CD385">
            <v>55199.391108207856</v>
          </cell>
          <cell r="CE385">
            <v>3691.2465099518358</v>
          </cell>
          <cell r="CF385">
            <v>53053.56354166667</v>
          </cell>
        </row>
        <row r="386">
          <cell r="B386" t="str">
            <v>SEP</v>
          </cell>
          <cell r="C386">
            <v>6777</v>
          </cell>
          <cell r="D386">
            <v>121.97729001928931</v>
          </cell>
          <cell r="E386">
            <v>719.5</v>
          </cell>
          <cell r="F386">
            <v>0</v>
          </cell>
          <cell r="G386">
            <v>0</v>
          </cell>
          <cell r="H386">
            <v>0</v>
          </cell>
          <cell r="I386">
            <v>6777</v>
          </cell>
          <cell r="J386">
            <v>7320.5</v>
          </cell>
          <cell r="K386">
            <v>128.75882184670053</v>
          </cell>
          <cell r="L386">
            <v>720</v>
          </cell>
          <cell r="M386">
            <v>0</v>
          </cell>
          <cell r="N386">
            <v>0</v>
          </cell>
          <cell r="O386">
            <v>0</v>
          </cell>
          <cell r="P386">
            <v>7320.5</v>
          </cell>
          <cell r="Q386">
            <v>9.9999999999994316E-2</v>
          </cell>
          <cell r="R386">
            <v>11.999999999999318</v>
          </cell>
          <cell r="S386">
            <v>0.1999999999998181</v>
          </cell>
          <cell r="T386">
            <v>0</v>
          </cell>
          <cell r="U386">
            <v>0</v>
          </cell>
          <cell r="V386">
            <v>0.73000000000001819</v>
          </cell>
          <cell r="W386">
            <v>14097.5</v>
          </cell>
          <cell r="X386">
            <v>9.9999999999994316E-2</v>
          </cell>
          <cell r="Y386">
            <v>14097.6</v>
          </cell>
          <cell r="Z386">
            <v>250.73611186598987</v>
          </cell>
          <cell r="AA386">
            <v>11.999999999999318</v>
          </cell>
          <cell r="AB386">
            <v>1439.5</v>
          </cell>
          <cell r="AC386">
            <v>0.92999999999983629</v>
          </cell>
          <cell r="AD386">
            <v>0</v>
          </cell>
          <cell r="AE386">
            <v>6497.5</v>
          </cell>
          <cell r="AF386">
            <v>716</v>
          </cell>
          <cell r="AG386">
            <v>3940.5</v>
          </cell>
          <cell r="AH386">
            <v>711</v>
          </cell>
          <cell r="AI386">
            <v>403.600000000004</v>
          </cell>
          <cell r="AJ386">
            <v>1356.7999999999956</v>
          </cell>
          <cell r="AK386">
            <v>250</v>
          </cell>
          <cell r="AL386">
            <v>448.69999999999709</v>
          </cell>
          <cell r="AM386">
            <v>930.49999999997783</v>
          </cell>
          <cell r="AN386">
            <v>127.5</v>
          </cell>
          <cell r="AO386">
            <v>28</v>
          </cell>
          <cell r="AP386">
            <v>3498.5</v>
          </cell>
          <cell r="AQ386">
            <v>3684.1000000000058</v>
          </cell>
          <cell r="AR386">
            <v>3.9999999999999147E-2</v>
          </cell>
          <cell r="AS386">
            <v>0</v>
          </cell>
          <cell r="AT386">
            <v>289.39999999999418</v>
          </cell>
          <cell r="AU386">
            <v>476.29999999999927</v>
          </cell>
          <cell r="AV386">
            <v>2912</v>
          </cell>
          <cell r="AW386">
            <v>1771</v>
          </cell>
          <cell r="AX386">
            <v>162.5</v>
          </cell>
          <cell r="AY386">
            <v>1103.2000000000116</v>
          </cell>
          <cell r="AZ386">
            <v>173</v>
          </cell>
          <cell r="BA386">
            <v>341.40000000000873</v>
          </cell>
          <cell r="BB386">
            <v>602.53999999997814</v>
          </cell>
          <cell r="BC386">
            <v>234.29999999999563</v>
          </cell>
          <cell r="BD386">
            <v>0</v>
          </cell>
          <cell r="BE386">
            <v>7182.6400000000058</v>
          </cell>
          <cell r="BF386">
            <v>323951.93</v>
          </cell>
          <cell r="BG386">
            <v>912370.48947368423</v>
          </cell>
          <cell r="BH386">
            <v>263146</v>
          </cell>
          <cell r="BI386">
            <v>22.532860000000003</v>
          </cell>
          <cell r="BJ386">
            <v>5.1100000000000007E-2</v>
          </cell>
          <cell r="BK386">
            <v>22.583960000000001</v>
          </cell>
          <cell r="BL386">
            <v>349.21341999999999</v>
          </cell>
          <cell r="BM386">
            <v>718.5</v>
          </cell>
          <cell r="BN386">
            <v>3.2999999999997272</v>
          </cell>
          <cell r="BO386">
            <v>1.02351572</v>
          </cell>
          <cell r="BP386">
            <v>19.799999999998363</v>
          </cell>
          <cell r="BQ386">
            <v>12569.19</v>
          </cell>
          <cell r="BR386">
            <v>72.040000000000006</v>
          </cell>
          <cell r="BS386">
            <v>2785.9299999999994</v>
          </cell>
          <cell r="BT386">
            <v>78.634000000000015</v>
          </cell>
          <cell r="BU386">
            <v>69.127999999999986</v>
          </cell>
          <cell r="BV386">
            <v>0</v>
          </cell>
          <cell r="BW386">
            <v>0</v>
          </cell>
          <cell r="BX386">
            <v>78.634000000000015</v>
          </cell>
          <cell r="BY386">
            <v>69.127999999999986</v>
          </cell>
          <cell r="BZ386">
            <v>718.5</v>
          </cell>
          <cell r="CA386">
            <v>3.2999999999997272</v>
          </cell>
          <cell r="CB386">
            <v>1.02351572</v>
          </cell>
          <cell r="CC386">
            <v>19.799999999998363</v>
          </cell>
          <cell r="CD386">
            <v>30879.11091947</v>
          </cell>
          <cell r="CE386">
            <v>3676.5129781059495</v>
          </cell>
          <cell r="CF386">
            <v>27232.008399999999</v>
          </cell>
        </row>
        <row r="387">
          <cell r="B387" t="str">
            <v>OCT</v>
          </cell>
          <cell r="C387">
            <v>7438.0999999999985</v>
          </cell>
          <cell r="D387">
            <v>122.53613163116012</v>
          </cell>
          <cell r="E387">
            <v>744</v>
          </cell>
          <cell r="F387">
            <v>0</v>
          </cell>
          <cell r="G387">
            <v>0</v>
          </cell>
          <cell r="H387">
            <v>0</v>
          </cell>
          <cell r="I387">
            <v>7438.0999999999985</v>
          </cell>
          <cell r="J387">
            <v>7105.1000000000058</v>
          </cell>
          <cell r="K387">
            <v>121.69100331860027</v>
          </cell>
          <cell r="L387">
            <v>744</v>
          </cell>
          <cell r="M387">
            <v>0</v>
          </cell>
          <cell r="N387">
            <v>0</v>
          </cell>
          <cell r="O387">
            <v>0</v>
          </cell>
          <cell r="P387">
            <v>7105.1000000000058</v>
          </cell>
          <cell r="Q387">
            <v>1.1000000000000085</v>
          </cell>
          <cell r="R387">
            <v>132.00000000000102</v>
          </cell>
          <cell r="S387">
            <v>2</v>
          </cell>
          <cell r="T387">
            <v>2.0000000000095497E-3</v>
          </cell>
          <cell r="U387">
            <v>0.24000000000114596</v>
          </cell>
          <cell r="V387">
            <v>0.10000000000002274</v>
          </cell>
          <cell r="W387">
            <v>14543.200000000004</v>
          </cell>
          <cell r="X387">
            <v>1.1020000000000181</v>
          </cell>
          <cell r="Y387">
            <v>14544.302000000005</v>
          </cell>
          <cell r="Z387">
            <v>244.22713494976034</v>
          </cell>
          <cell r="AA387">
            <v>132.24000000000217</v>
          </cell>
          <cell r="AB387">
            <v>1488</v>
          </cell>
          <cell r="AC387">
            <v>2.1000000000000227</v>
          </cell>
          <cell r="AD387">
            <v>0</v>
          </cell>
          <cell r="AE387">
            <v>6659.5</v>
          </cell>
          <cell r="AF387">
            <v>741</v>
          </cell>
          <cell r="AG387">
            <v>4134.7999999999884</v>
          </cell>
          <cell r="AH387">
            <v>732.40000000000146</v>
          </cell>
          <cell r="AI387">
            <v>413.19999999999891</v>
          </cell>
          <cell r="AJ387">
            <v>1358.099999999984</v>
          </cell>
          <cell r="AK387">
            <v>252.5</v>
          </cell>
          <cell r="AL387">
            <v>488.20000000001164</v>
          </cell>
          <cell r="AM387">
            <v>1020.200000000004</v>
          </cell>
          <cell r="AN387">
            <v>176.08200000001742</v>
          </cell>
          <cell r="AO387">
            <v>41.720000000000041</v>
          </cell>
          <cell r="AP387">
            <v>3888.5999999999985</v>
          </cell>
          <cell r="AQ387">
            <v>3520.6000000000058</v>
          </cell>
          <cell r="AR387">
            <v>0.65999999999999659</v>
          </cell>
          <cell r="AS387">
            <v>2.0000000000024443E-3</v>
          </cell>
          <cell r="AT387">
            <v>300.19999999999709</v>
          </cell>
          <cell r="AU387">
            <v>501.29999999999927</v>
          </cell>
          <cell r="AV387">
            <v>4904.4000000000233</v>
          </cell>
          <cell r="AW387">
            <v>1822</v>
          </cell>
          <cell r="AX387">
            <v>164.70000000000073</v>
          </cell>
          <cell r="AY387">
            <v>1112.8000000000029</v>
          </cell>
          <cell r="AZ387">
            <v>180.59999999999854</v>
          </cell>
          <cell r="BA387">
            <v>370.30000000000291</v>
          </cell>
          <cell r="BB387">
            <v>-1487.2500000000289</v>
          </cell>
          <cell r="BC387">
            <v>240.30200000000875</v>
          </cell>
          <cell r="BD387">
            <v>0.10999999999999999</v>
          </cell>
          <cell r="BE387">
            <v>7409.8620000000046</v>
          </cell>
          <cell r="BF387">
            <v>330331.02999999991</v>
          </cell>
          <cell r="BG387">
            <v>946499.15789473685</v>
          </cell>
          <cell r="BH387">
            <v>286117</v>
          </cell>
          <cell r="BI387">
            <v>23.012699999999995</v>
          </cell>
          <cell r="BJ387">
            <v>1.04E-2</v>
          </cell>
          <cell r="BK387">
            <v>23.023099999999996</v>
          </cell>
          <cell r="BL387">
            <v>366.10785999999996</v>
          </cell>
          <cell r="BM387">
            <v>737</v>
          </cell>
          <cell r="BN387">
            <v>5.8000000000006366</v>
          </cell>
          <cell r="BO387">
            <v>1.0489641600000004</v>
          </cell>
          <cell r="BP387">
            <v>36.000000000003823</v>
          </cell>
          <cell r="BQ387">
            <v>11996.800000000003</v>
          </cell>
          <cell r="BR387">
            <v>79.75</v>
          </cell>
          <cell r="BS387">
            <v>2691.7099999999987</v>
          </cell>
          <cell r="BT387">
            <v>73.823999999999984</v>
          </cell>
          <cell r="BU387">
            <v>59.630000000000017</v>
          </cell>
          <cell r="BV387">
            <v>0</v>
          </cell>
          <cell r="BW387">
            <v>0</v>
          </cell>
          <cell r="BX387">
            <v>73.823999999999984</v>
          </cell>
          <cell r="BY387">
            <v>59.630000000000017</v>
          </cell>
          <cell r="BZ387">
            <v>737</v>
          </cell>
          <cell r="CA387">
            <v>5.8000000000006366</v>
          </cell>
          <cell r="CB387">
            <v>1.0489641600000004</v>
          </cell>
          <cell r="CC387">
            <v>36.000000000003823</v>
          </cell>
          <cell r="CD387">
            <v>31079.702869184002</v>
          </cell>
          <cell r="CE387">
            <v>3821.5168905831679</v>
          </cell>
          <cell r="CF387">
            <v>27449.064958333332</v>
          </cell>
        </row>
        <row r="388">
          <cell r="B388" t="str">
            <v>NOV</v>
          </cell>
          <cell r="C388">
            <v>5101.0999999999985</v>
          </cell>
          <cell r="D388">
            <v>90.12724911332694</v>
          </cell>
          <cell r="E388">
            <v>576</v>
          </cell>
          <cell r="F388">
            <v>0</v>
          </cell>
          <cell r="G388">
            <v>0</v>
          </cell>
          <cell r="H388">
            <v>0</v>
          </cell>
          <cell r="I388">
            <v>5101.0999999999985</v>
          </cell>
          <cell r="J388">
            <v>5867.6999999999825</v>
          </cell>
          <cell r="K388">
            <v>97.37638242109287</v>
          </cell>
          <cell r="L388">
            <v>576</v>
          </cell>
          <cell r="M388">
            <v>0</v>
          </cell>
          <cell r="N388">
            <v>0</v>
          </cell>
          <cell r="O388">
            <v>0</v>
          </cell>
          <cell r="P388">
            <v>5867.6999999999825</v>
          </cell>
          <cell r="Q388">
            <v>0.29999999999999716</v>
          </cell>
          <cell r="R388">
            <v>35.999999999999659</v>
          </cell>
          <cell r="S388">
            <v>0.6999999999998181</v>
          </cell>
          <cell r="T388">
            <v>0</v>
          </cell>
          <cell r="U388">
            <v>0</v>
          </cell>
          <cell r="V388">
            <v>0.18999999999994088</v>
          </cell>
          <cell r="W388">
            <v>10968.799999999981</v>
          </cell>
          <cell r="X388">
            <v>0.29999999999999716</v>
          </cell>
          <cell r="Y388">
            <v>10969.09999999998</v>
          </cell>
          <cell r="Z388">
            <v>187.50363153441981</v>
          </cell>
          <cell r="AA388">
            <v>35.999999999999659</v>
          </cell>
          <cell r="AB388">
            <v>1152</v>
          </cell>
          <cell r="AC388">
            <v>0.88999999999975898</v>
          </cell>
          <cell r="AD388">
            <v>0</v>
          </cell>
          <cell r="AE388">
            <v>5005.9000000000233</v>
          </cell>
          <cell r="AF388">
            <v>567</v>
          </cell>
          <cell r="AG388">
            <v>3037.2000000000116</v>
          </cell>
          <cell r="AH388">
            <v>569.29999999999927</v>
          </cell>
          <cell r="AI388">
            <v>305.90000000000146</v>
          </cell>
          <cell r="AJ388">
            <v>1106.4000000000087</v>
          </cell>
          <cell r="AK388">
            <v>183.19999999999709</v>
          </cell>
          <cell r="AL388">
            <v>366.79999999998836</v>
          </cell>
          <cell r="AM388">
            <v>792.69999999997958</v>
          </cell>
          <cell r="AN388">
            <v>159.84999999997092</v>
          </cell>
          <cell r="AO388">
            <v>11.149999999999977</v>
          </cell>
          <cell r="AP388">
            <v>2562.2000000000007</v>
          </cell>
          <cell r="AQ388">
            <v>3063.1999999999971</v>
          </cell>
          <cell r="AR388">
            <v>0.20000000000000284</v>
          </cell>
          <cell r="AS388">
            <v>0</v>
          </cell>
          <cell r="AT388">
            <v>226.10000000000582</v>
          </cell>
          <cell r="AU388">
            <v>394.79999999999927</v>
          </cell>
          <cell r="AV388">
            <v>2268.8999999999942</v>
          </cell>
          <cell r="AW388">
            <v>1350.6999999999971</v>
          </cell>
          <cell r="AX388">
            <v>71.099999999998545</v>
          </cell>
          <cell r="AY388">
            <v>530</v>
          </cell>
          <cell r="AZ388">
            <v>79.299999999995634</v>
          </cell>
          <cell r="BA388">
            <v>159.59999999999127</v>
          </cell>
          <cell r="BB388">
            <v>1062.600000000027</v>
          </cell>
          <cell r="BC388">
            <v>126.29999999998836</v>
          </cell>
          <cell r="BD388">
            <v>0</v>
          </cell>
          <cell r="BE388">
            <v>5625.5999999999976</v>
          </cell>
          <cell r="BF388">
            <v>220762.51</v>
          </cell>
          <cell r="BG388">
            <v>484659.6736842104</v>
          </cell>
          <cell r="BH388">
            <v>181890</v>
          </cell>
          <cell r="BI388">
            <v>17.586419999999997</v>
          </cell>
          <cell r="BJ388">
            <v>0.30347999999999464</v>
          </cell>
          <cell r="BK388">
            <v>17.889899999999994</v>
          </cell>
          <cell r="BL388">
            <v>330.21731999999992</v>
          </cell>
          <cell r="BM388">
            <v>565.9</v>
          </cell>
          <cell r="BN388">
            <v>10.899999999999636</v>
          </cell>
          <cell r="BO388">
            <v>0.80441948000000008</v>
          </cell>
          <cell r="BP388">
            <v>65.399999999997817</v>
          </cell>
          <cell r="BQ388">
            <v>11260.800000000001</v>
          </cell>
          <cell r="BR388">
            <v>167.34</v>
          </cell>
          <cell r="BS388">
            <v>2314.6799999999998</v>
          </cell>
          <cell r="BT388">
            <v>50.627000000000002</v>
          </cell>
          <cell r="BU388">
            <v>39.478999999999999</v>
          </cell>
          <cell r="BV388">
            <v>0</v>
          </cell>
          <cell r="BW388">
            <v>0</v>
          </cell>
          <cell r="BX388">
            <v>50.627000000000002</v>
          </cell>
          <cell r="BY388">
            <v>39.478999999999999</v>
          </cell>
          <cell r="BZ388">
            <v>565.9</v>
          </cell>
          <cell r="CA388">
            <v>10.899999999999636</v>
          </cell>
          <cell r="CB388">
            <v>0.80441948000000008</v>
          </cell>
          <cell r="CC388">
            <v>65.399999999997817</v>
          </cell>
          <cell r="CD388">
            <v>21617.543065844002</v>
          </cell>
          <cell r="CE388">
            <v>2846.7713385391389</v>
          </cell>
          <cell r="CF388">
            <v>19047.950041666663</v>
          </cell>
        </row>
        <row r="389">
          <cell r="B389" t="str">
            <v>DIC</v>
          </cell>
          <cell r="C389">
            <v>0</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17.889899999999994</v>
          </cell>
          <cell r="BM389">
            <v>0</v>
          </cell>
          <cell r="BN389">
            <v>0</v>
          </cell>
          <cell r="BO389">
            <v>0</v>
          </cell>
          <cell r="BP389">
            <v>0</v>
          </cell>
          <cell r="BQ389">
            <v>0</v>
          </cell>
          <cell r="BR389">
            <v>0</v>
          </cell>
          <cell r="BS389">
            <v>0</v>
          </cell>
          <cell r="BT389">
            <v>0</v>
          </cell>
          <cell r="BU389">
            <v>0</v>
          </cell>
          <cell r="BV389">
            <v>0</v>
          </cell>
          <cell r="BW389">
            <v>0</v>
          </cell>
          <cell r="BX389">
            <v>0</v>
          </cell>
          <cell r="BY389">
            <v>0</v>
          </cell>
          <cell r="BZ389">
            <v>0</v>
          </cell>
          <cell r="CA389">
            <v>0</v>
          </cell>
          <cell r="CB389">
            <v>0</v>
          </cell>
          <cell r="CC389">
            <v>0</v>
          </cell>
          <cell r="CD389">
            <v>0</v>
          </cell>
          <cell r="CE389">
            <v>0</v>
          </cell>
          <cell r="CF389">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CONTADORES"/>
      <sheetName val="DATOSAÑO"/>
      <sheetName val="REPORTE DIA"/>
      <sheetName val="DATOSCECOS"/>
      <sheetName val="INFORME DIARIO"/>
      <sheetName val="PRODUCCION VS ENERGIA"/>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sheetData sheetId="1"/>
      <sheetData sheetId="2">
        <row r="378">
          <cell r="B378" t="str">
            <v>ENE</v>
          </cell>
          <cell r="C378">
            <v>6388.8000000000466</v>
          </cell>
          <cell r="D378">
            <v>117.92981999097549</v>
          </cell>
          <cell r="E378">
            <v>744</v>
          </cell>
          <cell r="F378">
            <v>0</v>
          </cell>
          <cell r="G378">
            <v>0</v>
          </cell>
          <cell r="H378">
            <v>0</v>
          </cell>
          <cell r="I378">
            <v>6388.8000000000466</v>
          </cell>
          <cell r="J378">
            <v>9221.3999999999942</v>
          </cell>
          <cell r="K378">
            <v>139.06853824823651</v>
          </cell>
          <cell r="L378">
            <v>744</v>
          </cell>
          <cell r="M378">
            <v>0</v>
          </cell>
          <cell r="N378">
            <v>0</v>
          </cell>
          <cell r="O378">
            <v>0</v>
          </cell>
          <cell r="P378">
            <v>9221.3999999999942</v>
          </cell>
          <cell r="Q378">
            <v>0.69200000000000017</v>
          </cell>
          <cell r="R378">
            <v>83.04000000000002</v>
          </cell>
          <cell r="S378">
            <v>2.4499999999998181</v>
          </cell>
          <cell r="T378">
            <v>0.26199999999998624</v>
          </cell>
          <cell r="U378">
            <v>31.439999999998349</v>
          </cell>
          <cell r="V378">
            <v>1.6999999999999886</v>
          </cell>
          <cell r="W378">
            <v>15610.200000000041</v>
          </cell>
          <cell r="X378">
            <v>0.95399999999998641</v>
          </cell>
          <cell r="Y378">
            <v>15611.15400000004</v>
          </cell>
          <cell r="Z378">
            <v>256.998358239212</v>
          </cell>
          <cell r="AA378">
            <v>114.47999999999837</v>
          </cell>
          <cell r="AB378">
            <v>1488</v>
          </cell>
          <cell r="AC378">
            <v>4.1499999999998067</v>
          </cell>
          <cell r="AD378">
            <v>0</v>
          </cell>
          <cell r="AE378">
            <v>7325.0999999999767</v>
          </cell>
          <cell r="AF378">
            <v>740</v>
          </cell>
          <cell r="AG378">
            <v>3953.2000000000116</v>
          </cell>
          <cell r="AH378">
            <v>723.79999999999927</v>
          </cell>
          <cell r="AI378">
            <v>634.10000000000218</v>
          </cell>
          <cell r="AJ378">
            <v>1427.8999999999833</v>
          </cell>
          <cell r="AK378">
            <v>408.69999999999709</v>
          </cell>
          <cell r="AL378">
            <v>641.29999999998836</v>
          </cell>
          <cell r="AM378">
            <v>1013.2920000000931</v>
          </cell>
          <cell r="AN378">
            <v>184.16199999998832</v>
          </cell>
          <cell r="AO378">
            <v>23.400000000000034</v>
          </cell>
          <cell r="AP378">
            <v>3463.2999999999884</v>
          </cell>
          <cell r="AQ378">
            <v>4704.2999999999956</v>
          </cell>
          <cell r="AR378">
            <v>0.52799999999999958</v>
          </cell>
          <cell r="AS378">
            <v>0.19200000000000017</v>
          </cell>
          <cell r="AT378">
            <v>302.40000000000873</v>
          </cell>
          <cell r="AU378">
            <v>536.10000000000218</v>
          </cell>
          <cell r="AV378">
            <v>3213.7000000000116</v>
          </cell>
          <cell r="AW378">
            <v>1752.9000000000015</v>
          </cell>
          <cell r="AX378">
            <v>240.90000000000055</v>
          </cell>
          <cell r="AY378">
            <v>1165.100000000024</v>
          </cell>
          <cell r="AZ378">
            <v>299.80000000000291</v>
          </cell>
          <cell r="BA378">
            <v>494.30000000000291</v>
          </cell>
          <cell r="BB378">
            <v>791.02799999993886</v>
          </cell>
          <cell r="BC378">
            <v>210.59200000000146</v>
          </cell>
          <cell r="BD378">
            <v>0</v>
          </cell>
          <cell r="BE378">
            <v>8168.3199999999833</v>
          </cell>
          <cell r="BF378">
            <v>0</v>
          </cell>
          <cell r="BG378">
            <v>0</v>
          </cell>
          <cell r="BH378">
            <v>253522</v>
          </cell>
          <cell r="BI378">
            <v>22.907199999999996</v>
          </cell>
          <cell r="BJ378">
            <v>6.7900000000000002E-2</v>
          </cell>
          <cell r="BK378">
            <v>22.975099999999998</v>
          </cell>
          <cell r="BL378">
            <v>367.09099999999989</v>
          </cell>
          <cell r="BM378">
            <v>711.7</v>
          </cell>
          <cell r="BN378">
            <v>9.1999999999999993</v>
          </cell>
          <cell r="BO378">
            <v>1.0540000000000007</v>
          </cell>
          <cell r="BP378">
            <v>57.809999999999995</v>
          </cell>
          <cell r="BQ378">
            <v>0</v>
          </cell>
          <cell r="BR378">
            <v>0</v>
          </cell>
          <cell r="BS378">
            <v>0</v>
          </cell>
          <cell r="BT378">
            <v>0</v>
          </cell>
          <cell r="BU378">
            <v>0</v>
          </cell>
          <cell r="BV378">
            <v>0</v>
          </cell>
          <cell r="BW378">
            <v>0</v>
          </cell>
          <cell r="BX378">
            <v>0</v>
          </cell>
          <cell r="BY378">
            <v>0</v>
          </cell>
          <cell r="BZ378">
            <v>711.7</v>
          </cell>
          <cell r="CA378">
            <v>9.1999999999999993</v>
          </cell>
          <cell r="CB378">
            <v>1.0540000000000007</v>
          </cell>
          <cell r="CC378">
            <v>57.809999999999995</v>
          </cell>
          <cell r="CD378">
            <v>0</v>
          </cell>
          <cell r="CE378">
            <v>0</v>
          </cell>
          <cell r="CF378">
            <v>0</v>
          </cell>
        </row>
        <row r="379">
          <cell r="B379" t="str">
            <v>FEB</v>
          </cell>
          <cell r="C379">
            <v>6495.2999999999884</v>
          </cell>
          <cell r="D379">
            <v>110.32376059754597</v>
          </cell>
          <cell r="E379">
            <v>620.90000000001737</v>
          </cell>
          <cell r="F379">
            <v>2</v>
          </cell>
          <cell r="G379">
            <v>385.5</v>
          </cell>
          <cell r="H379">
            <v>0.90000000000009095</v>
          </cell>
          <cell r="I379">
            <v>6497.2999999999884</v>
          </cell>
          <cell r="J379">
            <v>7389.6000000000058</v>
          </cell>
          <cell r="K379">
            <v>119.13584383098167</v>
          </cell>
          <cell r="L379">
            <v>696</v>
          </cell>
          <cell r="M379">
            <v>0</v>
          </cell>
          <cell r="N379">
            <v>0</v>
          </cell>
          <cell r="O379">
            <v>0</v>
          </cell>
          <cell r="P379">
            <v>7389.6000000000058</v>
          </cell>
          <cell r="Q379">
            <v>48.205999999999996</v>
          </cell>
          <cell r="R379">
            <v>5784.7199999999993</v>
          </cell>
          <cell r="S379">
            <v>49.550000000000182</v>
          </cell>
          <cell r="T379">
            <v>10.424000000000007</v>
          </cell>
          <cell r="U379">
            <v>1250.8800000000008</v>
          </cell>
          <cell r="V379">
            <v>53.199999999999989</v>
          </cell>
          <cell r="W379">
            <v>13884.899999999994</v>
          </cell>
          <cell r="X379">
            <v>60.63</v>
          </cell>
          <cell r="Y379">
            <v>13945.529999999995</v>
          </cell>
          <cell r="Z379">
            <v>229.45960442852765</v>
          </cell>
          <cell r="AA379">
            <v>7421.1</v>
          </cell>
          <cell r="AB379">
            <v>1316.9000000000174</v>
          </cell>
          <cell r="AC379">
            <v>103.65000000000026</v>
          </cell>
          <cell r="AD379">
            <v>0</v>
          </cell>
          <cell r="AE379">
            <v>6326.2000000000116</v>
          </cell>
          <cell r="AF379">
            <v>684</v>
          </cell>
          <cell r="AG379">
            <v>3673.8999999999942</v>
          </cell>
          <cell r="AH379">
            <v>658.09999999999854</v>
          </cell>
          <cell r="AI379">
            <v>512.79999999999927</v>
          </cell>
          <cell r="AJ379">
            <v>1270.3000000000211</v>
          </cell>
          <cell r="AK379">
            <v>344.80000000000291</v>
          </cell>
          <cell r="AL379">
            <v>580.90000000000873</v>
          </cell>
          <cell r="AM379">
            <v>1034.1059999999507</v>
          </cell>
          <cell r="AN379">
            <v>173.2240000000059</v>
          </cell>
          <cell r="AO379">
            <v>29.299999999999955</v>
          </cell>
          <cell r="AP379">
            <v>3538.5</v>
          </cell>
          <cell r="AQ379">
            <v>3822.1000000000058</v>
          </cell>
          <cell r="AR379">
            <v>37.497</v>
          </cell>
          <cell r="AS379">
            <v>6.9250000000000043</v>
          </cell>
          <cell r="AT379">
            <v>277.19999999999709</v>
          </cell>
          <cell r="AU379">
            <v>526.79999999999927</v>
          </cell>
          <cell r="AV379">
            <v>2820.5</v>
          </cell>
          <cell r="AW379">
            <v>1617</v>
          </cell>
          <cell r="AX379">
            <v>199.90000000000055</v>
          </cell>
          <cell r="AY379">
            <v>1046.899999999976</v>
          </cell>
          <cell r="AZ379">
            <v>310.40000000000146</v>
          </cell>
          <cell r="BA379">
            <v>455.90000000000873</v>
          </cell>
          <cell r="BB379">
            <v>804.89700000002051</v>
          </cell>
          <cell r="BC379">
            <v>200.02499999999858</v>
          </cell>
          <cell r="BD379">
            <v>0</v>
          </cell>
          <cell r="BE379">
            <v>7405.0220000000054</v>
          </cell>
          <cell r="BF379">
            <v>391325.53616741288</v>
          </cell>
          <cell r="BG379">
            <v>944616.2596491226</v>
          </cell>
          <cell r="BH379">
            <v>264365</v>
          </cell>
          <cell r="BI379">
            <v>21.382760000000005</v>
          </cell>
          <cell r="BJ379">
            <v>0.25901000000000002</v>
          </cell>
          <cell r="BK379">
            <v>21.641770000000001</v>
          </cell>
          <cell r="BL379">
            <v>323.84872000000001</v>
          </cell>
          <cell r="BM379">
            <v>688</v>
          </cell>
          <cell r="BN379">
            <v>18.100000000000183</v>
          </cell>
          <cell r="BO379">
            <v>0.94367266666666672</v>
          </cell>
          <cell r="BP379">
            <v>108.60000000000109</v>
          </cell>
          <cell r="BQ379">
            <v>0</v>
          </cell>
          <cell r="BR379">
            <v>0</v>
          </cell>
          <cell r="BS379">
            <v>0</v>
          </cell>
          <cell r="BT379">
            <v>0</v>
          </cell>
          <cell r="BU379">
            <v>0</v>
          </cell>
          <cell r="BV379">
            <v>0</v>
          </cell>
          <cell r="BW379">
            <v>0</v>
          </cell>
          <cell r="BX379">
            <v>0</v>
          </cell>
          <cell r="BY379">
            <v>0</v>
          </cell>
          <cell r="BZ379">
            <v>688</v>
          </cell>
          <cell r="CA379">
            <v>18.100000000000183</v>
          </cell>
          <cell r="CB379">
            <v>0.94367266666666672</v>
          </cell>
          <cell r="CC379">
            <v>108.60000000000109</v>
          </cell>
          <cell r="CD379">
            <v>0</v>
          </cell>
          <cell r="CE379">
            <v>0</v>
          </cell>
          <cell r="CF379">
            <v>0</v>
          </cell>
        </row>
        <row r="380">
          <cell r="B380" t="str">
            <v>MAR</v>
          </cell>
          <cell r="C380">
            <v>6690.2</v>
          </cell>
          <cell r="D380">
            <v>117.25973488997975</v>
          </cell>
          <cell r="E380">
            <v>727</v>
          </cell>
          <cell r="F380">
            <v>0</v>
          </cell>
          <cell r="G380">
            <v>0</v>
          </cell>
          <cell r="H380">
            <v>0</v>
          </cell>
          <cell r="I380">
            <v>6690.2</v>
          </cell>
          <cell r="J380">
            <v>6984.389999999994</v>
          </cell>
          <cell r="K380">
            <v>119.40184304787441</v>
          </cell>
          <cell r="L380">
            <v>704.5000000000116</v>
          </cell>
          <cell r="M380">
            <v>0.01</v>
          </cell>
          <cell r="N380">
            <v>188</v>
          </cell>
          <cell r="O380">
            <v>0.19999999999998863</v>
          </cell>
          <cell r="P380">
            <v>6984.3999999999942</v>
          </cell>
          <cell r="Q380">
            <v>5.9879999999999995</v>
          </cell>
          <cell r="R380">
            <v>718.56</v>
          </cell>
          <cell r="S380">
            <v>16.5</v>
          </cell>
          <cell r="T380">
            <v>3.1110000000000042</v>
          </cell>
          <cell r="U380">
            <v>373.3200000000005</v>
          </cell>
          <cell r="V380">
            <v>17.199999999999989</v>
          </cell>
          <cell r="W380">
            <v>13674.589999999989</v>
          </cell>
          <cell r="X380">
            <v>9.1090000000000035</v>
          </cell>
          <cell r="Y380">
            <v>13683.69899999999</v>
          </cell>
          <cell r="Z380">
            <v>236.66157793785419</v>
          </cell>
          <cell r="AA380">
            <v>1279.8800000000001</v>
          </cell>
          <cell r="AB380">
            <v>1431.5000000000116</v>
          </cell>
          <cell r="AC380">
            <v>33.899999999999977</v>
          </cell>
          <cell r="AD380">
            <v>0</v>
          </cell>
          <cell r="AE380">
            <v>6532.5999999999767</v>
          </cell>
          <cell r="AF380">
            <v>706</v>
          </cell>
          <cell r="AG380">
            <v>2994.1999999999971</v>
          </cell>
          <cell r="AH380">
            <v>536.70000000000073</v>
          </cell>
          <cell r="AI380">
            <v>456.89999999999782</v>
          </cell>
          <cell r="AJ380">
            <v>1441.899999999976</v>
          </cell>
          <cell r="AK380">
            <v>352.40000000000146</v>
          </cell>
          <cell r="AL380">
            <v>559.30000000000291</v>
          </cell>
          <cell r="AM380">
            <v>1161.7880000000362</v>
          </cell>
          <cell r="AN380">
            <v>154.10100000000583</v>
          </cell>
          <cell r="AO380">
            <v>30.509999999999998</v>
          </cell>
          <cell r="AP380">
            <v>3637.9</v>
          </cell>
          <cell r="AQ380">
            <v>3590.0999999999985</v>
          </cell>
          <cell r="AR380">
            <v>4.7539999999999978</v>
          </cell>
          <cell r="AS380">
            <v>2.0349999999999966</v>
          </cell>
          <cell r="AT380">
            <v>319.69999999999709</v>
          </cell>
          <cell r="AU380">
            <v>541.20000000000073</v>
          </cell>
          <cell r="AV380">
            <v>2923.2999999999884</v>
          </cell>
          <cell r="AW380">
            <v>1321.8000000000029</v>
          </cell>
          <cell r="AX380">
            <v>181.39999999999964</v>
          </cell>
          <cell r="AY380">
            <v>1172.3000000000065</v>
          </cell>
          <cell r="AZ380">
            <v>258.69999999999709</v>
          </cell>
          <cell r="BA380">
            <v>442.09999999999127</v>
          </cell>
          <cell r="BB380">
            <v>752.75400000001582</v>
          </cell>
          <cell r="BC380">
            <v>182.33499999999853</v>
          </cell>
          <cell r="BD380">
            <v>9.9999999999999978E-2</v>
          </cell>
          <cell r="BE380">
            <v>7234.7889999999979</v>
          </cell>
          <cell r="BF380">
            <v>392285.06999999989</v>
          </cell>
          <cell r="BG380">
            <v>974338.11052631552</v>
          </cell>
          <cell r="BH380">
            <v>285229</v>
          </cell>
          <cell r="BI380">
            <v>22.890579999999996</v>
          </cell>
          <cell r="BJ380">
            <v>0.28409999999999147</v>
          </cell>
          <cell r="BK380">
            <v>23.174679999999988</v>
          </cell>
          <cell r="BL380">
            <v>370.66403999999972</v>
          </cell>
          <cell r="BM380">
            <v>735.5</v>
          </cell>
          <cell r="BN380">
            <v>9.3000000000002725</v>
          </cell>
          <cell r="BO380">
            <v>1.0441878000000002</v>
          </cell>
          <cell r="BP380">
            <v>55.800000000001631</v>
          </cell>
          <cell r="BQ380">
            <v>0</v>
          </cell>
          <cell r="BR380">
            <v>0</v>
          </cell>
          <cell r="BS380">
            <v>0</v>
          </cell>
          <cell r="BT380">
            <v>0</v>
          </cell>
          <cell r="BU380">
            <v>0</v>
          </cell>
          <cell r="BV380">
            <v>0</v>
          </cell>
          <cell r="BW380">
            <v>0</v>
          </cell>
          <cell r="BX380">
            <v>0</v>
          </cell>
          <cell r="BY380">
            <v>0</v>
          </cell>
          <cell r="BZ380">
            <v>735.5</v>
          </cell>
          <cell r="CA380">
            <v>9.3000000000002725</v>
          </cell>
          <cell r="CB380">
            <v>1.0441878000000002</v>
          </cell>
          <cell r="CC380">
            <v>55.800000000001631</v>
          </cell>
          <cell r="CD380">
            <v>0</v>
          </cell>
          <cell r="CE380">
            <v>0</v>
          </cell>
          <cell r="CF380">
            <v>0</v>
          </cell>
        </row>
        <row r="381">
          <cell r="B381" t="str">
            <v>ABR</v>
          </cell>
          <cell r="C381">
            <v>5635.4</v>
          </cell>
          <cell r="D381">
            <v>107.15127643333332</v>
          </cell>
          <cell r="E381">
            <v>719.8</v>
          </cell>
          <cell r="F381">
            <v>0.4</v>
          </cell>
          <cell r="G381">
            <v>193</v>
          </cell>
          <cell r="H381">
            <v>0.20000000000004547</v>
          </cell>
          <cell r="I381">
            <v>5635.8</v>
          </cell>
          <cell r="J381">
            <v>8924.8000000000065</v>
          </cell>
          <cell r="K381">
            <v>131.05424976666674</v>
          </cell>
          <cell r="L381">
            <v>719.9</v>
          </cell>
          <cell r="M381">
            <v>0.3</v>
          </cell>
          <cell r="N381">
            <v>145</v>
          </cell>
          <cell r="O381">
            <v>0.10000000000002274</v>
          </cell>
          <cell r="P381">
            <v>8925.1000000000058</v>
          </cell>
          <cell r="Q381">
            <v>2.1999999999999957</v>
          </cell>
          <cell r="R381">
            <v>263.99999999999949</v>
          </cell>
          <cell r="S381">
            <v>3.6999999999998181</v>
          </cell>
          <cell r="T381">
            <v>0.33699999999998909</v>
          </cell>
          <cell r="U381">
            <v>40.43999999999869</v>
          </cell>
          <cell r="V381">
            <v>2.2000000000000455</v>
          </cell>
          <cell r="W381">
            <v>14560.200000000006</v>
          </cell>
          <cell r="X381">
            <v>3.236999999999985</v>
          </cell>
          <cell r="Y381">
            <v>14563.437000000005</v>
          </cell>
          <cell r="Z381">
            <v>238.20552620000018</v>
          </cell>
          <cell r="AA381">
            <v>642.43999999999812</v>
          </cell>
          <cell r="AB381">
            <v>1439.6999999999998</v>
          </cell>
          <cell r="AC381">
            <v>6.1999999999999318</v>
          </cell>
          <cell r="AD381">
            <v>0</v>
          </cell>
          <cell r="AE381">
            <v>6982.6000000000349</v>
          </cell>
          <cell r="AF381">
            <v>718</v>
          </cell>
          <cell r="AG381">
            <v>3702.8000000000029</v>
          </cell>
          <cell r="AH381">
            <v>675.40000000000146</v>
          </cell>
          <cell r="AI381">
            <v>419.60000000000582</v>
          </cell>
          <cell r="AJ381">
            <v>1484.9000000000124</v>
          </cell>
          <cell r="AK381">
            <v>280.5</v>
          </cell>
          <cell r="AL381">
            <v>467.89999999999418</v>
          </cell>
          <cell r="AM381">
            <v>1020.5999999999588</v>
          </cell>
          <cell r="AN381">
            <v>182.33699999999703</v>
          </cell>
          <cell r="AO381">
            <v>22.200000000000045</v>
          </cell>
          <cell r="AP381">
            <v>2844.1</v>
          </cell>
          <cell r="AQ381">
            <v>4625.5999999999985</v>
          </cell>
          <cell r="AR381">
            <v>1.3000000000000043</v>
          </cell>
          <cell r="AS381">
            <v>0.21600000000000108</v>
          </cell>
          <cell r="AT381">
            <v>286</v>
          </cell>
          <cell r="AU381">
            <v>487.59999999999854</v>
          </cell>
          <cell r="AV381">
            <v>3076.3999999999942</v>
          </cell>
          <cell r="AW381">
            <v>1653.1999999999971</v>
          </cell>
          <cell r="AX381">
            <v>165.59999999999854</v>
          </cell>
          <cell r="AY381">
            <v>1186.900000000016</v>
          </cell>
          <cell r="AZ381">
            <v>196.69999999999709</v>
          </cell>
          <cell r="BA381">
            <v>364.40000000000873</v>
          </cell>
          <cell r="BB381">
            <v>627.49999999998408</v>
          </cell>
          <cell r="BC381">
            <v>200.51600000000292</v>
          </cell>
          <cell r="BD381">
            <v>0</v>
          </cell>
          <cell r="BE381">
            <v>7471.2159999999985</v>
          </cell>
          <cell r="BF381">
            <v>363656.47000000003</v>
          </cell>
          <cell r="BG381">
            <v>948320.13333333319</v>
          </cell>
          <cell r="BH381">
            <v>283498</v>
          </cell>
          <cell r="BI381">
            <v>22.24906</v>
          </cell>
          <cell r="BJ381">
            <v>0</v>
          </cell>
          <cell r="BK381">
            <v>22.24906</v>
          </cell>
          <cell r="BL381">
            <v>344.85833999999994</v>
          </cell>
          <cell r="BM381">
            <v>720</v>
          </cell>
          <cell r="BN381">
            <v>2.5</v>
          </cell>
          <cell r="BO381">
            <v>1.02221312</v>
          </cell>
          <cell r="BP381">
            <v>15</v>
          </cell>
          <cell r="BQ381">
            <v>0</v>
          </cell>
          <cell r="BR381">
            <v>0</v>
          </cell>
          <cell r="BS381">
            <v>0</v>
          </cell>
          <cell r="BT381">
            <v>0</v>
          </cell>
          <cell r="BU381">
            <v>0</v>
          </cell>
          <cell r="BV381">
            <v>0</v>
          </cell>
          <cell r="BW381">
            <v>0</v>
          </cell>
          <cell r="BX381">
            <v>0</v>
          </cell>
          <cell r="BY381">
            <v>0</v>
          </cell>
          <cell r="BZ381">
            <v>720</v>
          </cell>
          <cell r="CA381">
            <v>2.5</v>
          </cell>
          <cell r="CB381">
            <v>1.02221312</v>
          </cell>
          <cell r="CC381">
            <v>15</v>
          </cell>
          <cell r="CD381">
            <v>0</v>
          </cell>
          <cell r="CE381">
            <v>0</v>
          </cell>
          <cell r="CF381">
            <v>0</v>
          </cell>
        </row>
        <row r="382">
          <cell r="B382" t="str">
            <v>MAY</v>
          </cell>
          <cell r="C382">
            <v>5198.1000000000004</v>
          </cell>
          <cell r="D382">
            <v>104.54763710600002</v>
          </cell>
          <cell r="E382">
            <v>741.09999999998831</v>
          </cell>
          <cell r="F382">
            <v>4.5999999999999996</v>
          </cell>
          <cell r="G382">
            <v>1911</v>
          </cell>
          <cell r="H382">
            <v>2.2000000000000455</v>
          </cell>
          <cell r="I382">
            <v>5202.7000000000007</v>
          </cell>
          <cell r="J382">
            <v>9407.9999999999945</v>
          </cell>
          <cell r="K382">
            <v>137.46529142028567</v>
          </cell>
          <cell r="L382">
            <v>743.8</v>
          </cell>
          <cell r="M382">
            <v>0.4</v>
          </cell>
          <cell r="N382">
            <v>179.5</v>
          </cell>
          <cell r="O382">
            <v>0.19999999999998863</v>
          </cell>
          <cell r="P382">
            <v>9408.3999999999942</v>
          </cell>
          <cell r="Q382">
            <v>8.9000000000000057</v>
          </cell>
          <cell r="R382">
            <v>1068.0000000000007</v>
          </cell>
          <cell r="S382">
            <v>12.400000000000546</v>
          </cell>
          <cell r="T382">
            <v>1.1850000000000023</v>
          </cell>
          <cell r="U382">
            <v>142.20000000000027</v>
          </cell>
          <cell r="V382">
            <v>6.8999999999999773</v>
          </cell>
          <cell r="W382">
            <v>14606.099999999995</v>
          </cell>
          <cell r="X382">
            <v>15.085000000000008</v>
          </cell>
          <cell r="Y382">
            <v>14621.184999999994</v>
          </cell>
          <cell r="Z382">
            <v>242.01292852628563</v>
          </cell>
          <cell r="AA382">
            <v>3300.7000000000012</v>
          </cell>
          <cell r="AB382">
            <v>1484.8999999999883</v>
          </cell>
          <cell r="AC382">
            <v>21.700000000000557</v>
          </cell>
          <cell r="AD382">
            <v>0</v>
          </cell>
          <cell r="AE382">
            <v>6800.2000000000116</v>
          </cell>
          <cell r="AF382">
            <v>728</v>
          </cell>
          <cell r="AG382">
            <v>3888.3999999999942</v>
          </cell>
          <cell r="AH382">
            <v>738.59999999999854</v>
          </cell>
          <cell r="AI382">
            <v>508.09999999999854</v>
          </cell>
          <cell r="AJ382">
            <v>1460.6999999999935</v>
          </cell>
          <cell r="AK382">
            <v>241.19999999999709</v>
          </cell>
          <cell r="AL382">
            <v>480</v>
          </cell>
          <cell r="AM382">
            <v>1037.700000000003</v>
          </cell>
          <cell r="AN382">
            <v>203.68499999999716</v>
          </cell>
          <cell r="AO382">
            <v>1.1999999999999318</v>
          </cell>
          <cell r="AP382">
            <v>2759.3999999999996</v>
          </cell>
          <cell r="AQ382">
            <v>4758.3000000000029</v>
          </cell>
          <cell r="AR382">
            <v>6.8999999999999986</v>
          </cell>
          <cell r="AS382">
            <v>0.81199999999999761</v>
          </cell>
          <cell r="AT382">
            <v>281.5</v>
          </cell>
          <cell r="AU382">
            <v>491.40000000000146</v>
          </cell>
          <cell r="AV382">
            <v>3028.8000000000175</v>
          </cell>
          <cell r="AW382">
            <v>1746.0999999999985</v>
          </cell>
          <cell r="AX382">
            <v>193.40000000000146</v>
          </cell>
          <cell r="AY382">
            <v>1167.099999999984</v>
          </cell>
          <cell r="AZ382">
            <v>169.10000000000582</v>
          </cell>
          <cell r="BA382">
            <v>369.29999999998836</v>
          </cell>
          <cell r="BB382">
            <v>659.80000000000689</v>
          </cell>
          <cell r="BC382">
            <v>192.31200000000001</v>
          </cell>
          <cell r="BD382">
            <v>0</v>
          </cell>
          <cell r="BE382">
            <v>7525.412000000003</v>
          </cell>
          <cell r="BF382">
            <v>362963.24000000005</v>
          </cell>
          <cell r="BG382">
            <v>795372.99122807023</v>
          </cell>
          <cell r="BH382">
            <v>283244</v>
          </cell>
          <cell r="BI382">
            <v>19.852969999999999</v>
          </cell>
          <cell r="BJ382">
            <v>0.45113899999999785</v>
          </cell>
          <cell r="BK382">
            <v>20.304108999999993</v>
          </cell>
          <cell r="BL382">
            <v>318.50881099999987</v>
          </cell>
          <cell r="BM382">
            <v>648.5</v>
          </cell>
          <cell r="BN382">
            <v>17.399999999999817</v>
          </cell>
          <cell r="BO382">
            <v>0.91687769333333369</v>
          </cell>
          <cell r="BP382">
            <v>97.399999999998911</v>
          </cell>
          <cell r="BQ382">
            <v>0</v>
          </cell>
          <cell r="BR382">
            <v>0</v>
          </cell>
          <cell r="BS382">
            <v>0</v>
          </cell>
          <cell r="BT382">
            <v>0</v>
          </cell>
          <cell r="BU382">
            <v>0</v>
          </cell>
          <cell r="BV382">
            <v>0</v>
          </cell>
          <cell r="BW382">
            <v>0</v>
          </cell>
          <cell r="BX382">
            <v>0</v>
          </cell>
          <cell r="BY382">
            <v>0</v>
          </cell>
          <cell r="BZ382">
            <v>648.5</v>
          </cell>
          <cell r="CA382">
            <v>17.399999999999817</v>
          </cell>
          <cell r="CB382">
            <v>0.91687769333333369</v>
          </cell>
          <cell r="CC382">
            <v>97.399999999998911</v>
          </cell>
          <cell r="CD382">
            <v>0</v>
          </cell>
          <cell r="CE382">
            <v>0</v>
          </cell>
          <cell r="CF382">
            <v>0</v>
          </cell>
        </row>
        <row r="383">
          <cell r="B383" t="str">
            <v>JUN</v>
          </cell>
          <cell r="C383">
            <v>5099.2999999999993</v>
          </cell>
          <cell r="D383">
            <v>103.04078931436835</v>
          </cell>
          <cell r="E383">
            <v>720</v>
          </cell>
          <cell r="F383">
            <v>0</v>
          </cell>
          <cell r="G383">
            <v>0</v>
          </cell>
          <cell r="H383">
            <v>0</v>
          </cell>
          <cell r="I383">
            <v>5099.2999999999993</v>
          </cell>
          <cell r="J383">
            <v>9088.7000000000116</v>
          </cell>
          <cell r="K383">
            <v>134.57061597782072</v>
          </cell>
          <cell r="L383">
            <v>720</v>
          </cell>
          <cell r="M383">
            <v>0</v>
          </cell>
          <cell r="N383">
            <v>0</v>
          </cell>
          <cell r="O383">
            <v>0</v>
          </cell>
          <cell r="P383">
            <v>9088.7000000000116</v>
          </cell>
          <cell r="Q383">
            <v>0</v>
          </cell>
          <cell r="R383">
            <v>0</v>
          </cell>
          <cell r="S383">
            <v>0</v>
          </cell>
          <cell r="T383">
            <v>0.20499999999999829</v>
          </cell>
          <cell r="U383">
            <v>24.599999999999795</v>
          </cell>
          <cell r="V383">
            <v>1.2000000000000455</v>
          </cell>
          <cell r="W383">
            <v>14188.000000000011</v>
          </cell>
          <cell r="X383">
            <v>0.20499999999999829</v>
          </cell>
          <cell r="Y383">
            <v>14188.205000000011</v>
          </cell>
          <cell r="Z383">
            <v>237.61140529218903</v>
          </cell>
          <cell r="AA383">
            <v>24.599999999999795</v>
          </cell>
          <cell r="AB383">
            <v>1440</v>
          </cell>
          <cell r="AC383">
            <v>1.2000000000000455</v>
          </cell>
          <cell r="AD383">
            <v>0</v>
          </cell>
          <cell r="AE383">
            <v>6619.3999999999651</v>
          </cell>
          <cell r="AF383">
            <v>718</v>
          </cell>
          <cell r="AG383">
            <v>3855.1000000000058</v>
          </cell>
          <cell r="AH383">
            <v>718.79999999999927</v>
          </cell>
          <cell r="AI383">
            <v>419.59999999999854</v>
          </cell>
          <cell r="AJ383">
            <v>1441.4000000000196</v>
          </cell>
          <cell r="AK383">
            <v>265.59999999999854</v>
          </cell>
          <cell r="AL383">
            <v>446.60000000000582</v>
          </cell>
          <cell r="AM383">
            <v>943.10000000000582</v>
          </cell>
          <cell r="AN383">
            <v>172.20500000001158</v>
          </cell>
          <cell r="AO383">
            <v>25.200000000000045</v>
          </cell>
          <cell r="AP383">
            <v>2786.8999999999996</v>
          </cell>
          <cell r="AQ383">
            <v>4515.5999999999985</v>
          </cell>
          <cell r="AR383">
            <v>0</v>
          </cell>
          <cell r="AS383">
            <v>0.14500000000000313</v>
          </cell>
          <cell r="AT383">
            <v>274.90000000000873</v>
          </cell>
          <cell r="AU383">
            <v>474.89999999999782</v>
          </cell>
          <cell r="AV383">
            <v>2953.8999999999942</v>
          </cell>
          <cell r="AW383">
            <v>1718.9000000000015</v>
          </cell>
          <cell r="AX383">
            <v>168.30000000000018</v>
          </cell>
          <cell r="AY383">
            <v>1145.0000000000036</v>
          </cell>
          <cell r="AZ383">
            <v>191.19999999999709</v>
          </cell>
          <cell r="BA383">
            <v>345.80000000000291</v>
          </cell>
          <cell r="BB383">
            <v>596.59999999999582</v>
          </cell>
          <cell r="BC383">
            <v>182.94500000000292</v>
          </cell>
          <cell r="BD383">
            <v>0</v>
          </cell>
          <cell r="BE383">
            <v>7302.6449999999977</v>
          </cell>
          <cell r="BF383">
            <v>345573.82000000007</v>
          </cell>
          <cell r="BG383">
            <v>867009.14210526319</v>
          </cell>
          <cell r="BH383">
            <v>296154</v>
          </cell>
          <cell r="BI383">
            <v>20.530260000000002</v>
          </cell>
          <cell r="BJ383">
            <v>2.0147826666666875</v>
          </cell>
          <cell r="BK383">
            <v>22.545042666666689</v>
          </cell>
          <cell r="BL383">
            <v>349.3295210000004</v>
          </cell>
          <cell r="BM383">
            <v>656.5</v>
          </cell>
          <cell r="BN383">
            <v>64.800000000000182</v>
          </cell>
          <cell r="BO383">
            <v>0.93343517333333348</v>
          </cell>
          <cell r="BP383">
            <v>388.80000000000109</v>
          </cell>
          <cell r="BQ383">
            <v>0</v>
          </cell>
          <cell r="BR383">
            <v>0</v>
          </cell>
          <cell r="BS383">
            <v>0</v>
          </cell>
          <cell r="BT383">
            <v>0</v>
          </cell>
          <cell r="BU383">
            <v>0</v>
          </cell>
          <cell r="BV383">
            <v>0</v>
          </cell>
          <cell r="BW383">
            <v>0</v>
          </cell>
          <cell r="BX383">
            <v>0</v>
          </cell>
          <cell r="BY383">
            <v>0</v>
          </cell>
          <cell r="BZ383">
            <v>656.5</v>
          </cell>
          <cell r="CA383">
            <v>64.800000000000182</v>
          </cell>
          <cell r="CB383">
            <v>0.93343517333333348</v>
          </cell>
          <cell r="CC383">
            <v>388.80000000000109</v>
          </cell>
          <cell r="CD383">
            <v>83</v>
          </cell>
          <cell r="CE383">
            <v>84</v>
          </cell>
          <cell r="CF383">
            <v>85</v>
          </cell>
        </row>
        <row r="384">
          <cell r="B384" t="str">
            <v>JUL</v>
          </cell>
          <cell r="C384">
            <v>7005</v>
          </cell>
          <cell r="D384">
            <v>120.06002498938061</v>
          </cell>
          <cell r="E384">
            <v>744</v>
          </cell>
          <cell r="F384">
            <v>0</v>
          </cell>
          <cell r="G384">
            <v>0</v>
          </cell>
          <cell r="H384">
            <v>0</v>
          </cell>
          <cell r="I384">
            <v>7005</v>
          </cell>
          <cell r="J384">
            <v>7678.5</v>
          </cell>
          <cell r="K384">
            <v>123.82991535121148</v>
          </cell>
          <cell r="L384">
            <v>744</v>
          </cell>
          <cell r="M384">
            <v>0</v>
          </cell>
          <cell r="N384">
            <v>0</v>
          </cell>
          <cell r="O384">
            <v>0</v>
          </cell>
          <cell r="P384">
            <v>7678.5</v>
          </cell>
          <cell r="Q384">
            <v>0</v>
          </cell>
          <cell r="R384">
            <v>0</v>
          </cell>
          <cell r="S384">
            <v>0</v>
          </cell>
          <cell r="T384">
            <v>0.17200000000001125</v>
          </cell>
          <cell r="U384">
            <v>20.640000000001351</v>
          </cell>
          <cell r="V384">
            <v>1</v>
          </cell>
          <cell r="W384">
            <v>14683.5</v>
          </cell>
          <cell r="X384">
            <v>0.17200000000001125</v>
          </cell>
          <cell r="Y384">
            <v>14683.672</v>
          </cell>
          <cell r="Z384">
            <v>243.88994034059212</v>
          </cell>
          <cell r="AA384">
            <v>20.640000000001351</v>
          </cell>
          <cell r="AB384">
            <v>1488</v>
          </cell>
          <cell r="AC384">
            <v>1</v>
          </cell>
          <cell r="AD384">
            <v>0</v>
          </cell>
          <cell r="AE384">
            <v>6891.7000000000116</v>
          </cell>
          <cell r="AF384">
            <v>738</v>
          </cell>
          <cell r="AG384">
            <v>3975</v>
          </cell>
          <cell r="AH384">
            <v>741.79999999999927</v>
          </cell>
          <cell r="AI384">
            <v>407.19999999999891</v>
          </cell>
          <cell r="AJ384">
            <v>1545.7999999999993</v>
          </cell>
          <cell r="AK384">
            <v>258.30000000000291</v>
          </cell>
          <cell r="AL384">
            <v>442.79999999998836</v>
          </cell>
          <cell r="AM384">
            <v>953.30000000000473</v>
          </cell>
          <cell r="AN384">
            <v>199.57199999999418</v>
          </cell>
          <cell r="AO384">
            <v>10</v>
          </cell>
          <cell r="AP384">
            <v>3652.5</v>
          </cell>
          <cell r="AQ384">
            <v>3838.5</v>
          </cell>
          <cell r="AR384">
            <v>0</v>
          </cell>
          <cell r="AS384">
            <v>0.11699999999999733</v>
          </cell>
          <cell r="AT384">
            <v>271.39999999999418</v>
          </cell>
          <cell r="AU384">
            <v>488.70000000000073</v>
          </cell>
          <cell r="AV384">
            <v>3064.8999999999942</v>
          </cell>
          <cell r="AW384">
            <v>1769.5999999999985</v>
          </cell>
          <cell r="AX384">
            <v>157.59999999999945</v>
          </cell>
          <cell r="AY384">
            <v>1222.9000000000124</v>
          </cell>
          <cell r="AZ384">
            <v>190</v>
          </cell>
          <cell r="BA384">
            <v>341.5</v>
          </cell>
          <cell r="BB384">
            <v>561.099999999994</v>
          </cell>
          <cell r="BC384">
            <v>188.81700000000438</v>
          </cell>
          <cell r="BD384">
            <v>0</v>
          </cell>
          <cell r="BE384">
            <v>7491.1169999999993</v>
          </cell>
          <cell r="BF384">
            <v>351405.83000000007</v>
          </cell>
          <cell r="BG384">
            <v>894988.03508771909</v>
          </cell>
          <cell r="BH384">
            <v>280693</v>
          </cell>
          <cell r="BI384">
            <v>21.851313999999999</v>
          </cell>
          <cell r="BJ384">
            <v>0.36962133000000003</v>
          </cell>
          <cell r="BK384">
            <v>22.22093533</v>
          </cell>
          <cell r="BL384">
            <v>357.30329259999996</v>
          </cell>
          <cell r="BM384">
            <v>665</v>
          </cell>
          <cell r="BN384">
            <v>7.0401472000001801</v>
          </cell>
          <cell r="BO384">
            <v>0.56569120000000017</v>
          </cell>
          <cell r="BP384">
            <v>40.20000000000109</v>
          </cell>
          <cell r="BQ384">
            <v>31912.457000000002</v>
          </cell>
          <cell r="BR384">
            <v>80.899999999999991</v>
          </cell>
          <cell r="BS384">
            <v>2430.5499999999993</v>
          </cell>
          <cell r="BT384">
            <v>75.248000000000005</v>
          </cell>
          <cell r="BU384">
            <v>74.27600000000001</v>
          </cell>
          <cell r="BV384">
            <v>0</v>
          </cell>
          <cell r="BW384">
            <v>0</v>
          </cell>
          <cell r="BX384">
            <v>75.248000000000005</v>
          </cell>
          <cell r="BY384">
            <v>74.27600000000001</v>
          </cell>
          <cell r="BZ384">
            <v>401.59999999999945</v>
          </cell>
          <cell r="CA384">
            <v>7.0401472000001801</v>
          </cell>
          <cell r="CB384">
            <v>0.56569120000000017</v>
          </cell>
          <cell r="CC384">
            <v>40.20000000000109</v>
          </cell>
          <cell r="CD384">
            <v>37519.913861674693</v>
          </cell>
          <cell r="CE384">
            <v>2528.5226172145881</v>
          </cell>
          <cell r="CF384">
            <v>37325.902624999995</v>
          </cell>
        </row>
        <row r="385">
          <cell r="B385" t="str">
            <v>AGO</v>
          </cell>
          <cell r="C385">
            <v>1449.2999999999993</v>
          </cell>
          <cell r="D385">
            <v>29.183194006498542</v>
          </cell>
          <cell r="E385">
            <v>182.89999999999418</v>
          </cell>
          <cell r="F385">
            <v>2</v>
          </cell>
          <cell r="G385">
            <v>311</v>
          </cell>
          <cell r="H385">
            <v>0.5</v>
          </cell>
          <cell r="I385">
            <v>1451.2999999999993</v>
          </cell>
          <cell r="J385">
            <v>2257.2999999999884</v>
          </cell>
          <cell r="K385">
            <v>36.940104968962103</v>
          </cell>
          <cell r="L385">
            <v>197.89999999997673</v>
          </cell>
          <cell r="M385">
            <v>0</v>
          </cell>
          <cell r="N385">
            <v>215.5</v>
          </cell>
          <cell r="O385">
            <v>0.19999999999998863</v>
          </cell>
          <cell r="P385">
            <v>2257.2999999999884</v>
          </cell>
          <cell r="Q385">
            <v>0</v>
          </cell>
          <cell r="R385">
            <v>0</v>
          </cell>
          <cell r="S385">
            <v>0</v>
          </cell>
          <cell r="T385">
            <v>9.9999999999056399E-4</v>
          </cell>
          <cell r="U385">
            <v>0.11999999999886768</v>
          </cell>
          <cell r="V385">
            <v>0.19999999999993179</v>
          </cell>
          <cell r="W385">
            <v>3706.5999999999876</v>
          </cell>
          <cell r="X385">
            <v>2.0009999999999906</v>
          </cell>
          <cell r="Y385">
            <v>3708.6009999999878</v>
          </cell>
          <cell r="Z385">
            <v>66.123298975460642</v>
          </cell>
          <cell r="AA385">
            <v>526.61999999999887</v>
          </cell>
          <cell r="AB385">
            <v>380.79999999997091</v>
          </cell>
          <cell r="AC385">
            <v>0.89999999999992042</v>
          </cell>
          <cell r="AD385">
            <v>0</v>
          </cell>
          <cell r="AE385">
            <v>2052.4000000000233</v>
          </cell>
          <cell r="AF385">
            <v>239</v>
          </cell>
          <cell r="AG385">
            <v>425.29999999998836</v>
          </cell>
          <cell r="AH385">
            <v>72.900000000001455</v>
          </cell>
          <cell r="AI385">
            <v>131.69999999999709</v>
          </cell>
          <cell r="AJ385">
            <v>496.69999999998254</v>
          </cell>
          <cell r="AK385">
            <v>97.900000000001455</v>
          </cell>
          <cell r="AL385">
            <v>160.60000000000582</v>
          </cell>
          <cell r="AM385">
            <v>324.89999999998327</v>
          </cell>
          <cell r="AN385">
            <v>18.901000000005808</v>
          </cell>
          <cell r="AO385">
            <v>0.19999999999998863</v>
          </cell>
          <cell r="AP385">
            <v>816.10000000000218</v>
          </cell>
          <cell r="AQ385">
            <v>1194.4000000000015</v>
          </cell>
          <cell r="AR385">
            <v>0</v>
          </cell>
          <cell r="AS385">
            <v>0</v>
          </cell>
          <cell r="AT385">
            <v>93</v>
          </cell>
          <cell r="AU385">
            <v>151.20000000000073</v>
          </cell>
          <cell r="AV385">
            <v>942.39999999999418</v>
          </cell>
          <cell r="AW385">
            <v>188.09999999999854</v>
          </cell>
          <cell r="AX385">
            <v>47.100000000000364</v>
          </cell>
          <cell r="AY385">
            <v>359.69999999998981</v>
          </cell>
          <cell r="AZ385">
            <v>267.30000000000291</v>
          </cell>
          <cell r="BA385">
            <v>115.80000000000291</v>
          </cell>
          <cell r="BB385">
            <v>-58558.217999999972</v>
          </cell>
          <cell r="BC385">
            <v>58995.417999999991</v>
          </cell>
          <cell r="BD385">
            <v>9.9999999999999978E-2</v>
          </cell>
          <cell r="BE385">
            <v>2010.5000000000036</v>
          </cell>
          <cell r="BF385">
            <v>106426.86</v>
          </cell>
          <cell r="BG385">
            <v>103664.97368421055</v>
          </cell>
          <cell r="BH385">
            <v>92026</v>
          </cell>
          <cell r="BI385">
            <v>7.5117600000000007</v>
          </cell>
          <cell r="BJ385">
            <v>4.0000000000009093E-4</v>
          </cell>
          <cell r="BK385">
            <v>7.5121600000000006</v>
          </cell>
          <cell r="BL385">
            <v>199.04399999999993</v>
          </cell>
          <cell r="BM385">
            <v>240</v>
          </cell>
          <cell r="BN385">
            <v>0.34172543999999999</v>
          </cell>
          <cell r="BO385">
            <v>0</v>
          </cell>
          <cell r="BP385">
            <v>1.8000000000010914</v>
          </cell>
          <cell r="BQ385">
            <v>4197.7</v>
          </cell>
          <cell r="BR385">
            <v>25.3</v>
          </cell>
          <cell r="BS385">
            <v>777.62</v>
          </cell>
          <cell r="BT385">
            <v>26.725999999999999</v>
          </cell>
          <cell r="BU385">
            <v>24.211000000000002</v>
          </cell>
          <cell r="BV385">
            <v>0</v>
          </cell>
          <cell r="BW385">
            <v>0</v>
          </cell>
          <cell r="BX385">
            <v>26.725999999999999</v>
          </cell>
          <cell r="BY385">
            <v>24.211000000000002</v>
          </cell>
          <cell r="BZ385">
            <v>240</v>
          </cell>
          <cell r="CA385">
            <v>0.34172543999999999</v>
          </cell>
          <cell r="CB385">
            <v>0</v>
          </cell>
          <cell r="CC385">
            <v>1.8000000000010914</v>
          </cell>
          <cell r="CD385">
            <v>18210.391108207856</v>
          </cell>
          <cell r="CE385">
            <v>1220.8295099518364</v>
          </cell>
          <cell r="CF385">
            <v>17987.56354166667</v>
          </cell>
        </row>
        <row r="386">
          <cell r="B386" t="str">
            <v>SEP</v>
          </cell>
          <cell r="C386">
            <v>0</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cell r="BM386">
            <v>0</v>
          </cell>
          <cell r="BN386">
            <v>0</v>
          </cell>
          <cell r="BO386">
            <v>0</v>
          </cell>
          <cell r="BP386">
            <v>0</v>
          </cell>
          <cell r="BQ386">
            <v>0</v>
          </cell>
          <cell r="BR386">
            <v>0</v>
          </cell>
          <cell r="BS386">
            <v>0</v>
          </cell>
          <cell r="BT386">
            <v>0</v>
          </cell>
          <cell r="BU386">
            <v>0</v>
          </cell>
          <cell r="BV386">
            <v>0</v>
          </cell>
          <cell r="BW386">
            <v>0</v>
          </cell>
          <cell r="BX386">
            <v>0</v>
          </cell>
          <cell r="BY386">
            <v>0</v>
          </cell>
          <cell r="BZ386">
            <v>0</v>
          </cell>
          <cell r="CA386">
            <v>0</v>
          </cell>
          <cell r="CB386">
            <v>0</v>
          </cell>
          <cell r="CC386">
            <v>0</v>
          </cell>
          <cell r="CD386">
            <v>0</v>
          </cell>
          <cell r="CE386">
            <v>0</v>
          </cell>
          <cell r="CF386">
            <v>0</v>
          </cell>
        </row>
        <row r="387">
          <cell r="B387" t="str">
            <v>OCT</v>
          </cell>
          <cell r="C387">
            <v>0</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cell r="BM387">
            <v>0</v>
          </cell>
          <cell r="BN387">
            <v>0</v>
          </cell>
          <cell r="BO387">
            <v>0</v>
          </cell>
          <cell r="BP387">
            <v>0</v>
          </cell>
          <cell r="BQ387">
            <v>0</v>
          </cell>
          <cell r="BR387">
            <v>0</v>
          </cell>
          <cell r="BS387">
            <v>0</v>
          </cell>
          <cell r="BT387">
            <v>0</v>
          </cell>
          <cell r="BU387">
            <v>0</v>
          </cell>
          <cell r="BV387">
            <v>0</v>
          </cell>
          <cell r="BW387">
            <v>0</v>
          </cell>
          <cell r="BX387">
            <v>0</v>
          </cell>
          <cell r="BY387">
            <v>0</v>
          </cell>
          <cell r="BZ387">
            <v>0</v>
          </cell>
          <cell r="CA387">
            <v>0</v>
          </cell>
          <cell r="CB387">
            <v>0</v>
          </cell>
          <cell r="CC387">
            <v>0</v>
          </cell>
          <cell r="CD387">
            <v>0</v>
          </cell>
          <cell r="CE387">
            <v>0</v>
          </cell>
          <cell r="CF387">
            <v>0</v>
          </cell>
        </row>
        <row r="388">
          <cell r="B388" t="str">
            <v>NOV</v>
          </cell>
          <cell r="C388">
            <v>0</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cell r="BM388">
            <v>0</v>
          </cell>
          <cell r="BN388">
            <v>0</v>
          </cell>
          <cell r="BO388">
            <v>0</v>
          </cell>
          <cell r="BP388">
            <v>0</v>
          </cell>
          <cell r="BQ388">
            <v>0</v>
          </cell>
          <cell r="BR388">
            <v>0</v>
          </cell>
          <cell r="BS388">
            <v>0</v>
          </cell>
          <cell r="BT388">
            <v>0</v>
          </cell>
          <cell r="BU388">
            <v>0</v>
          </cell>
          <cell r="BV388">
            <v>0</v>
          </cell>
          <cell r="BW388">
            <v>0</v>
          </cell>
          <cell r="BX388">
            <v>0</v>
          </cell>
          <cell r="BY388">
            <v>0</v>
          </cell>
          <cell r="BZ388">
            <v>0</v>
          </cell>
          <cell r="CA388">
            <v>0</v>
          </cell>
          <cell r="CB388">
            <v>0</v>
          </cell>
          <cell r="CC388">
            <v>0</v>
          </cell>
          <cell r="CD388">
            <v>0</v>
          </cell>
          <cell r="CE388">
            <v>0</v>
          </cell>
          <cell r="CF388">
            <v>0</v>
          </cell>
        </row>
        <row r="389">
          <cell r="B389" t="str">
            <v>DIC</v>
          </cell>
          <cell r="C389">
            <v>0</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cell r="BM389">
            <v>0</v>
          </cell>
          <cell r="BN389">
            <v>0</v>
          </cell>
          <cell r="BO389">
            <v>0</v>
          </cell>
          <cell r="BP389">
            <v>0</v>
          </cell>
          <cell r="BQ389">
            <v>0</v>
          </cell>
          <cell r="BR389">
            <v>0</v>
          </cell>
          <cell r="BS389">
            <v>0</v>
          </cell>
          <cell r="BT389">
            <v>0</v>
          </cell>
          <cell r="BU389">
            <v>0</v>
          </cell>
          <cell r="BV389">
            <v>0</v>
          </cell>
          <cell r="BW389">
            <v>0</v>
          </cell>
          <cell r="BX389">
            <v>0</v>
          </cell>
          <cell r="BY389">
            <v>0</v>
          </cell>
          <cell r="BZ389">
            <v>0</v>
          </cell>
          <cell r="CA389">
            <v>0</v>
          </cell>
          <cell r="CB389">
            <v>0</v>
          </cell>
          <cell r="CC389">
            <v>0</v>
          </cell>
          <cell r="CD389">
            <v>0</v>
          </cell>
          <cell r="CE389">
            <v>0</v>
          </cell>
          <cell r="CF389">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DUCCION VS ENERGIA"/>
    </sheetNames>
    <sheetDataSet>
      <sheetData sheetId="0">
        <row r="12">
          <cell r="B12">
            <v>45078</v>
          </cell>
          <cell r="C12">
            <v>1759</v>
          </cell>
          <cell r="D12">
            <v>27296</v>
          </cell>
          <cell r="E12">
            <v>29055</v>
          </cell>
          <cell r="F12">
            <v>10497</v>
          </cell>
          <cell r="G12">
            <v>395</v>
          </cell>
          <cell r="H12">
            <v>16.458333333333332</v>
          </cell>
          <cell r="I12">
            <v>152</v>
          </cell>
        </row>
        <row r="13">
          <cell r="B13">
            <v>45079</v>
          </cell>
          <cell r="C13">
            <v>2247</v>
          </cell>
          <cell r="D13">
            <v>30000</v>
          </cell>
          <cell r="E13">
            <v>32247</v>
          </cell>
          <cell r="F13">
            <v>9725</v>
          </cell>
          <cell r="G13">
            <v>438</v>
          </cell>
          <cell r="H13">
            <v>18.25</v>
          </cell>
          <cell r="I13">
            <v>177</v>
          </cell>
        </row>
        <row r="14">
          <cell r="B14">
            <v>45080</v>
          </cell>
          <cell r="C14">
            <v>1655</v>
          </cell>
          <cell r="D14">
            <v>28894</v>
          </cell>
          <cell r="E14">
            <v>30549</v>
          </cell>
          <cell r="F14">
            <v>12306</v>
          </cell>
          <cell r="G14">
            <v>459.29599999999999</v>
          </cell>
          <cell r="H14">
            <v>19.137333333333334</v>
          </cell>
          <cell r="I14">
            <v>202.06379999999999</v>
          </cell>
        </row>
        <row r="15">
          <cell r="B15">
            <v>45081</v>
          </cell>
          <cell r="C15">
            <v>0</v>
          </cell>
          <cell r="D15">
            <v>0</v>
          </cell>
          <cell r="E15">
            <v>0</v>
          </cell>
          <cell r="F15">
            <v>0</v>
          </cell>
          <cell r="G15">
            <v>399</v>
          </cell>
          <cell r="H15">
            <v>16.625</v>
          </cell>
          <cell r="I15">
            <v>156</v>
          </cell>
        </row>
        <row r="16">
          <cell r="B16">
            <v>45082</v>
          </cell>
          <cell r="C16" t="str">
            <v xml:space="preserve"> </v>
          </cell>
          <cell r="D16" t="str">
            <v xml:space="preserve"> </v>
          </cell>
          <cell r="E16" t="str">
            <v xml:space="preserve"> </v>
          </cell>
          <cell r="F16" t="str">
            <v xml:space="preserve"> </v>
          </cell>
          <cell r="G16" t="str">
            <v xml:space="preserve"> </v>
          </cell>
          <cell r="H16" t="str">
            <v xml:space="preserve"> </v>
          </cell>
          <cell r="I16" t="str">
            <v xml:space="preserve"> </v>
          </cell>
        </row>
        <row r="17">
          <cell r="B17">
            <v>45083</v>
          </cell>
          <cell r="C17" t="str">
            <v xml:space="preserve"> </v>
          </cell>
          <cell r="D17" t="str">
            <v xml:space="preserve"> </v>
          </cell>
          <cell r="E17" t="str">
            <v xml:space="preserve"> </v>
          </cell>
          <cell r="F17" t="str">
            <v xml:space="preserve"> </v>
          </cell>
          <cell r="G17" t="str">
            <v xml:space="preserve"> </v>
          </cell>
          <cell r="H17" t="str">
            <v xml:space="preserve"> </v>
          </cell>
          <cell r="I17" t="str">
            <v xml:space="preserve"> </v>
          </cell>
        </row>
        <row r="18">
          <cell r="B18">
            <v>45084</v>
          </cell>
          <cell r="C18" t="str">
            <v xml:space="preserve"> </v>
          </cell>
          <cell r="D18" t="str">
            <v xml:space="preserve"> </v>
          </cell>
          <cell r="E18" t="str">
            <v xml:space="preserve"> </v>
          </cell>
          <cell r="F18" t="str">
            <v xml:space="preserve"> </v>
          </cell>
          <cell r="G18" t="str">
            <v xml:space="preserve"> </v>
          </cell>
          <cell r="H18" t="str">
            <v xml:space="preserve"> </v>
          </cell>
          <cell r="I18" t="str">
            <v xml:space="preserve"> </v>
          </cell>
        </row>
        <row r="19">
          <cell r="B19">
            <v>45085</v>
          </cell>
          <cell r="C19" t="str">
            <v xml:space="preserve"> </v>
          </cell>
          <cell r="D19" t="str">
            <v xml:space="preserve"> </v>
          </cell>
          <cell r="E19" t="str">
            <v xml:space="preserve"> </v>
          </cell>
          <cell r="F19" t="str">
            <v xml:space="preserve"> </v>
          </cell>
          <cell r="G19" t="str">
            <v xml:space="preserve"> </v>
          </cell>
          <cell r="H19" t="str">
            <v xml:space="preserve"> </v>
          </cell>
          <cell r="I19" t="str">
            <v xml:space="preserve"> </v>
          </cell>
        </row>
        <row r="20">
          <cell r="B20">
            <v>45086</v>
          </cell>
          <cell r="C20" t="str">
            <v xml:space="preserve"> </v>
          </cell>
          <cell r="D20" t="str">
            <v xml:space="preserve"> </v>
          </cell>
          <cell r="E20" t="str">
            <v xml:space="preserve"> </v>
          </cell>
          <cell r="F20" t="str">
            <v xml:space="preserve"> </v>
          </cell>
          <cell r="G20" t="str">
            <v xml:space="preserve"> </v>
          </cell>
          <cell r="H20" t="str">
            <v xml:space="preserve"> </v>
          </cell>
          <cell r="I20" t="str">
            <v xml:space="preserve"> </v>
          </cell>
        </row>
        <row r="21">
          <cell r="B21">
            <v>45087</v>
          </cell>
          <cell r="C21" t="str">
            <v xml:space="preserve"> </v>
          </cell>
          <cell r="D21" t="str">
            <v xml:space="preserve"> </v>
          </cell>
          <cell r="E21" t="str">
            <v xml:space="preserve"> </v>
          </cell>
          <cell r="F21" t="str">
            <v xml:space="preserve"> </v>
          </cell>
          <cell r="G21" t="str">
            <v xml:space="preserve"> </v>
          </cell>
          <cell r="H21" t="str">
            <v xml:space="preserve"> </v>
          </cell>
          <cell r="I21" t="str">
            <v xml:space="preserve"> </v>
          </cell>
        </row>
        <row r="22">
          <cell r="B22">
            <v>45088</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row>
        <row r="23">
          <cell r="B23">
            <v>45089</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row>
        <row r="24">
          <cell r="B24">
            <v>45090</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row>
        <row r="25">
          <cell r="B25">
            <v>45091</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row>
        <row r="26">
          <cell r="B26">
            <v>45092</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row>
        <row r="27">
          <cell r="B27">
            <v>45093</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row>
        <row r="28">
          <cell r="B28">
            <v>45094</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row>
        <row r="29">
          <cell r="B29">
            <v>45095</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row>
        <row r="30">
          <cell r="B30">
            <v>45096</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row>
        <row r="31">
          <cell r="B31">
            <v>45097</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row>
        <row r="32">
          <cell r="B32">
            <v>45098</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row>
        <row r="33">
          <cell r="B33">
            <v>45099</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row>
        <row r="34">
          <cell r="B34">
            <v>45100</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row>
        <row r="35">
          <cell r="B35">
            <v>45101</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row>
        <row r="36">
          <cell r="B36">
            <v>45102</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row>
        <row r="37">
          <cell r="B37">
            <v>45103</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row>
        <row r="38">
          <cell r="B38">
            <v>45104</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row>
        <row r="39">
          <cell r="B39">
            <v>45105</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row>
        <row r="40">
          <cell r="B40">
            <v>45106</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row>
        <row r="41">
          <cell r="B41">
            <v>45107</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E DIARIO"/>
    </sheetNames>
    <sheetDataSet>
      <sheetData sheetId="0">
        <row r="11">
          <cell r="B11" t="str">
            <v>U1-GTB-80001</v>
          </cell>
          <cell r="C11" t="str">
            <v>3.0</v>
          </cell>
          <cell r="D11">
            <v>129</v>
          </cell>
        </row>
        <row r="12">
          <cell r="B12" t="str">
            <v>U1-GTB-80002</v>
          </cell>
          <cell r="C12" t="str">
            <v>3.1</v>
          </cell>
          <cell r="D12">
            <v>158</v>
          </cell>
        </row>
        <row r="13">
          <cell r="B13" t="str">
            <v>U1-GTB-80003</v>
          </cell>
          <cell r="C13" t="str">
            <v>6.1</v>
          </cell>
          <cell r="D13">
            <v>278</v>
          </cell>
          <cell r="M13">
            <v>399</v>
          </cell>
        </row>
        <row r="14">
          <cell r="B14" t="str">
            <v>G-80005</v>
          </cell>
          <cell r="C14">
            <v>0</v>
          </cell>
          <cell r="D14">
            <v>0</v>
          </cell>
          <cell r="M14">
            <v>1691.296</v>
          </cell>
        </row>
        <row r="15">
          <cell r="B15" t="str">
            <v>G-7108</v>
          </cell>
          <cell r="C15">
            <v>0</v>
          </cell>
          <cell r="D15">
            <v>0</v>
          </cell>
          <cell r="M15">
            <v>72331.569000000003</v>
          </cell>
        </row>
        <row r="32">
          <cell r="E32">
            <v>52</v>
          </cell>
          <cell r="F32">
            <v>106.64640056913082</v>
          </cell>
        </row>
        <row r="33">
          <cell r="E33">
            <v>0</v>
          </cell>
          <cell r="F33">
            <v>0</v>
          </cell>
        </row>
        <row r="34">
          <cell r="E34">
            <v>103.40000000000146</v>
          </cell>
          <cell r="F34">
            <v>212.06226574708236</v>
          </cell>
        </row>
        <row r="35">
          <cell r="E35">
            <v>102</v>
          </cell>
          <cell r="F35">
            <v>209.19101650098739</v>
          </cell>
        </row>
        <row r="36">
          <cell r="E36">
            <v>0</v>
          </cell>
          <cell r="F36">
            <v>0</v>
          </cell>
        </row>
        <row r="37">
          <cell r="E37">
            <v>0</v>
          </cell>
          <cell r="F37">
            <v>0</v>
          </cell>
        </row>
        <row r="38">
          <cell r="E38">
            <v>0</v>
          </cell>
          <cell r="F38">
            <v>0</v>
          </cell>
        </row>
        <row r="39">
          <cell r="E39">
            <v>2.1000000000003638</v>
          </cell>
          <cell r="F39">
            <v>4.3068738691387223</v>
          </cell>
        </row>
        <row r="40">
          <cell r="E40">
            <v>0</v>
          </cell>
          <cell r="F40">
            <v>0</v>
          </cell>
        </row>
        <row r="41">
          <cell r="E41">
            <v>45.19999999999709</v>
          </cell>
          <cell r="F41">
            <v>92.700332802392367</v>
          </cell>
        </row>
        <row r="42">
          <cell r="E42">
            <v>94.300000000001091</v>
          </cell>
          <cell r="F42">
            <v>193.39914564748372</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E DIARIO CUS-CUP"/>
    </sheetNames>
    <sheetDataSet>
      <sheetData sheetId="0">
        <row r="8">
          <cell r="F8" t="str">
            <v>3.0</v>
          </cell>
        </row>
        <row r="16">
          <cell r="H16">
            <v>2.2004501099690881</v>
          </cell>
          <cell r="I16">
            <v>0</v>
          </cell>
        </row>
        <row r="17">
          <cell r="H17">
            <v>2.206936199613601</v>
          </cell>
        </row>
        <row r="18">
          <cell r="H18">
            <v>2.894461701931994</v>
          </cell>
        </row>
        <row r="19">
          <cell r="I19">
            <v>0</v>
          </cell>
        </row>
        <row r="20">
          <cell r="I20">
            <v>0</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CONTADORES"/>
      <sheetName val="DATOSAÑO"/>
      <sheetName val="REPORTE DIA"/>
      <sheetName val="INFORME DIA GDP"/>
      <sheetName val="PRODUCCION VS ENERGIA GDP"/>
      <sheetName val="ESTADISTICOS JENNY"/>
      <sheetName val="Autog. Directa (Cup)"/>
      <sheetName val="ESTADISTICOS"/>
      <sheetName val="OCENSA"/>
      <sheetName val="DATOSCECOS"/>
      <sheetName val="ESTADISTICOS DE ENERGIA"/>
      <sheetName val="GRAFICAS DIA-MES"/>
      <sheetName val="DATA DE LAS 12"/>
      <sheetName val="US-GT-8001-2"/>
      <sheetName val="GRAFICAS CURVA DURACION"/>
      <sheetName val="CURVA DURACION"/>
      <sheetName val="FAC  NW"/>
      <sheetName val="FORMATO"/>
      <sheetName val="CONSUMO DE GAS POR AREAS"/>
      <sheetName val="CONSUMO ENERGIA ANUAL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 val="INFORME SEMANAL CUS-CUP"/>
      <sheetName val="Disponibilidad"/>
      <sheetName val="Consumo"/>
      <sheetName val="CONTADORES DE ENERGIA"/>
      <sheetName val="HH G8001-2-5-6-D2-KM2501"/>
    </sheetNames>
    <sheetDataSet>
      <sheetData sheetId="0">
        <row r="16">
          <cell r="D16">
            <v>43739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CONTADORES"/>
      <sheetName val="DATOSAÑO"/>
      <sheetName val="REPORTE DIA"/>
      <sheetName val="INFORME DIA GDP"/>
      <sheetName val="ESTADISTICOS JENNY"/>
      <sheetName val="Autog. Directa (Cup)"/>
      <sheetName val="ESTADISTICOS"/>
      <sheetName val="PRODUCCION VS ENERGIA GDP"/>
      <sheetName val="OCENSA"/>
      <sheetName val="DATOSCECOS"/>
      <sheetName val="ESTADISTICOS DE ENERGIA"/>
      <sheetName val="GRAFICAS DIA-MES"/>
      <sheetName val="DATA DE LAS 12"/>
      <sheetName val="US-GT-8001-2"/>
      <sheetName val="GRAFICAS CURVA DURACION"/>
      <sheetName val="CURVA DURACION"/>
      <sheetName val="FAC  NW"/>
      <sheetName val="FORMATO"/>
      <sheetName val="CONSUMO DE GAS POR AREAS"/>
      <sheetName val="CONSUMO ENERGIA ANUAL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 val="INFORME SEMANAL CUS-CUP"/>
      <sheetName val="Disponibilidad"/>
      <sheetName val="Consumo"/>
      <sheetName val="CONTADORES DE ENERGIA"/>
      <sheetName val="HH G8001-2-5-6-D2-KM2501"/>
      <sheetName val="Hoja1"/>
    </sheetNames>
    <sheetDataSet>
      <sheetData sheetId="0" refreshError="1"/>
      <sheetData sheetId="1" refreshError="1"/>
      <sheetData sheetId="2" refreshError="1">
        <row r="12">
          <cell r="B12">
            <v>43466</v>
          </cell>
          <cell r="C12">
            <v>261</v>
          </cell>
          <cell r="D12">
            <v>4.3591127828093157</v>
          </cell>
          <cell r="E12">
            <v>24</v>
          </cell>
          <cell r="F12">
            <v>0</v>
          </cell>
          <cell r="G12">
            <v>0</v>
          </cell>
          <cell r="H12">
            <v>0</v>
          </cell>
          <cell r="I12">
            <v>261</v>
          </cell>
          <cell r="J12">
            <v>177</v>
          </cell>
          <cell r="K12">
            <v>3.7106569399077163</v>
          </cell>
          <cell r="L12">
            <v>24</v>
          </cell>
          <cell r="M12">
            <v>0</v>
          </cell>
          <cell r="N12">
            <v>0</v>
          </cell>
          <cell r="O12">
            <v>0</v>
          </cell>
          <cell r="P12">
            <v>177</v>
          </cell>
          <cell r="Q12">
            <v>0</v>
          </cell>
          <cell r="R12">
            <v>0</v>
          </cell>
          <cell r="S12">
            <v>0</v>
          </cell>
          <cell r="T12">
            <v>0</v>
          </cell>
          <cell r="U12">
            <v>0</v>
          </cell>
          <cell r="V12">
            <v>0</v>
          </cell>
          <cell r="W12">
            <v>438</v>
          </cell>
          <cell r="X12">
            <v>0</v>
          </cell>
          <cell r="Y12">
            <v>438</v>
          </cell>
          <cell r="Z12">
            <v>8.069769722717032</v>
          </cell>
          <cell r="AA12">
            <v>0</v>
          </cell>
          <cell r="AB12">
            <v>48</v>
          </cell>
          <cell r="AC12">
            <v>0</v>
          </cell>
          <cell r="AD12">
            <v>0</v>
          </cell>
          <cell r="AE12">
            <v>200.89999999996508</v>
          </cell>
          <cell r="AF12">
            <v>24</v>
          </cell>
          <cell r="AG12">
            <v>112.10000000000582</v>
          </cell>
          <cell r="AH12">
            <v>19.799999999995634</v>
          </cell>
          <cell r="AI12">
            <v>8.7000000000043656</v>
          </cell>
          <cell r="AJ12">
            <v>51.69999999999709</v>
          </cell>
          <cell r="AK12">
            <v>28.400000000008731</v>
          </cell>
          <cell r="AL12">
            <v>0</v>
          </cell>
          <cell r="AM12">
            <v>30.000000000007276</v>
          </cell>
          <cell r="AN12">
            <v>4.400000000011687</v>
          </cell>
          <cell r="AO12">
            <v>1.7999999999999545</v>
          </cell>
          <cell r="AP12">
            <v>129.39999999999418</v>
          </cell>
          <cell r="AQ12">
            <v>103.89999999999418</v>
          </cell>
          <cell r="AR12">
            <v>0</v>
          </cell>
          <cell r="AS12">
            <v>0</v>
          </cell>
          <cell r="AT12">
            <v>18.80000000000291</v>
          </cell>
          <cell r="AU12">
            <v>4.5999999999985448</v>
          </cell>
          <cell r="AV12">
            <v>94.299999999988358</v>
          </cell>
          <cell r="AW12">
            <v>50.100000000005821</v>
          </cell>
          <cell r="AX12">
            <v>3.5</v>
          </cell>
          <cell r="AY12">
            <v>42.200000000001182</v>
          </cell>
          <cell r="AZ12">
            <v>22.599999999998545</v>
          </cell>
          <cell r="BA12">
            <v>0</v>
          </cell>
          <cell r="BB12">
            <v>14.399999999997362</v>
          </cell>
          <cell r="BC12">
            <v>6.1999999999970896</v>
          </cell>
          <cell r="BD12">
            <v>0</v>
          </cell>
          <cell r="BE12">
            <v>233.29999999998836</v>
          </cell>
          <cell r="BF12">
            <v>12953.731152</v>
          </cell>
          <cell r="BG12">
            <v>27773.671603909388</v>
          </cell>
          <cell r="BH12">
            <v>4717</v>
          </cell>
          <cell r="BI12">
            <v>0</v>
          </cell>
          <cell r="BJ12">
            <v>0</v>
          </cell>
          <cell r="BK12">
            <v>0</v>
          </cell>
          <cell r="BL12">
            <v>0</v>
          </cell>
          <cell r="BM12">
            <v>0</v>
          </cell>
          <cell r="BN12">
            <v>0</v>
          </cell>
          <cell r="BO12">
            <v>0</v>
          </cell>
          <cell r="BP12">
            <v>0</v>
          </cell>
          <cell r="BQ12">
            <v>0</v>
          </cell>
          <cell r="BR12">
            <v>0</v>
          </cell>
          <cell r="BS12">
            <v>0</v>
          </cell>
        </row>
        <row r="13">
          <cell r="B13">
            <v>43467</v>
          </cell>
          <cell r="C13">
            <v>271.90000000002328</v>
          </cell>
          <cell r="D13">
            <v>4.4432576481383936</v>
          </cell>
          <cell r="E13">
            <v>24</v>
          </cell>
          <cell r="F13">
            <v>0</v>
          </cell>
          <cell r="G13">
            <v>0</v>
          </cell>
          <cell r="H13">
            <v>0</v>
          </cell>
          <cell r="I13">
            <v>271.90000000002328</v>
          </cell>
          <cell r="J13">
            <v>185.89999999996508</v>
          </cell>
          <cell r="K13">
            <v>3.7793623804053542</v>
          </cell>
          <cell r="L13">
            <v>24</v>
          </cell>
          <cell r="M13">
            <v>0</v>
          </cell>
          <cell r="N13">
            <v>0</v>
          </cell>
          <cell r="O13">
            <v>0</v>
          </cell>
          <cell r="P13">
            <v>185.89999999996508</v>
          </cell>
          <cell r="Q13">
            <v>0.39600000000007185</v>
          </cell>
          <cell r="R13">
            <v>47.520000000008622</v>
          </cell>
          <cell r="S13">
            <v>0.5999999999994543</v>
          </cell>
          <cell r="T13">
            <v>0.41199999999997772</v>
          </cell>
          <cell r="U13">
            <v>49.439999999997326</v>
          </cell>
          <cell r="V13">
            <v>0.59999999999990905</v>
          </cell>
          <cell r="W13">
            <v>457.79999999998836</v>
          </cell>
          <cell r="X13">
            <v>0.80800000000004957</v>
          </cell>
          <cell r="Y13">
            <v>458.60799999998841</v>
          </cell>
          <cell r="Z13">
            <v>8.2226200285437478</v>
          </cell>
          <cell r="AA13">
            <v>96.960000000005948</v>
          </cell>
          <cell r="AB13">
            <v>48</v>
          </cell>
          <cell r="AC13">
            <v>1.1999999999993634</v>
          </cell>
          <cell r="AD13">
            <v>1.1999998092651367</v>
          </cell>
          <cell r="AE13">
            <v>201.29999999998836</v>
          </cell>
          <cell r="AF13">
            <v>24</v>
          </cell>
          <cell r="AG13">
            <v>130.39999999999418</v>
          </cell>
          <cell r="AH13">
            <v>24</v>
          </cell>
          <cell r="AI13">
            <v>9.5999999999985448</v>
          </cell>
          <cell r="AJ13">
            <v>51.400000000001455</v>
          </cell>
          <cell r="AK13">
            <v>28.19999999999709</v>
          </cell>
          <cell r="AL13">
            <v>0</v>
          </cell>
          <cell r="AM13">
            <v>31.595999999997161</v>
          </cell>
          <cell r="AN13">
            <v>5.812000000011551</v>
          </cell>
          <cell r="AO13">
            <v>0.30000000000006821</v>
          </cell>
          <cell r="AP13">
            <v>133.10000000000582</v>
          </cell>
          <cell r="AQ13">
            <v>108.10000000000582</v>
          </cell>
          <cell r="AR13">
            <v>0.18000000000000682</v>
          </cell>
          <cell r="AS13">
            <v>0.15800000000001546</v>
          </cell>
          <cell r="AT13">
            <v>18.599999999991269</v>
          </cell>
          <cell r="AU13">
            <v>5.2000000000007276</v>
          </cell>
          <cell r="AV13">
            <v>93.900000000023283</v>
          </cell>
          <cell r="AW13">
            <v>57.599999999991269</v>
          </cell>
          <cell r="AX13">
            <v>3.7999999999992724</v>
          </cell>
          <cell r="AY13">
            <v>41.800000000000182</v>
          </cell>
          <cell r="AZ13">
            <v>22.400000000001455</v>
          </cell>
          <cell r="BA13">
            <v>0</v>
          </cell>
          <cell r="BB13">
            <v>14.879999999981635</v>
          </cell>
          <cell r="BC13">
            <v>7.1580000000145674</v>
          </cell>
          <cell r="BD13">
            <v>0</v>
          </cell>
          <cell r="BE13">
            <v>241.53800000001166</v>
          </cell>
          <cell r="BF13">
            <v>12356.073984000002</v>
          </cell>
          <cell r="BG13">
            <v>27103.360660188548</v>
          </cell>
          <cell r="BH13">
            <v>6457</v>
          </cell>
          <cell r="BI13">
            <v>0</v>
          </cell>
          <cell r="BJ13">
            <v>0</v>
          </cell>
          <cell r="BK13">
            <v>0</v>
          </cell>
          <cell r="BL13">
            <v>0</v>
          </cell>
          <cell r="BM13">
            <v>0</v>
          </cell>
          <cell r="BN13">
            <v>0</v>
          </cell>
          <cell r="BO13">
            <v>0</v>
          </cell>
          <cell r="BP13">
            <v>0</v>
          </cell>
          <cell r="BQ13">
            <v>0</v>
          </cell>
          <cell r="BR13">
            <v>0</v>
          </cell>
          <cell r="BS13">
            <v>0</v>
          </cell>
        </row>
        <row r="14">
          <cell r="B14">
            <v>43468</v>
          </cell>
          <cell r="C14">
            <v>269.59999999997672</v>
          </cell>
          <cell r="D14">
            <v>4.4255023095823951</v>
          </cell>
          <cell r="E14">
            <v>24</v>
          </cell>
          <cell r="F14">
            <v>0</v>
          </cell>
          <cell r="G14">
            <v>0</v>
          </cell>
          <cell r="H14">
            <v>0</v>
          </cell>
          <cell r="I14">
            <v>269.59999999997672</v>
          </cell>
          <cell r="J14">
            <v>191.90000000002328</v>
          </cell>
          <cell r="K14">
            <v>3.825680654898775</v>
          </cell>
          <cell r="L14">
            <v>24</v>
          </cell>
          <cell r="M14">
            <v>0</v>
          </cell>
          <cell r="N14">
            <v>0</v>
          </cell>
          <cell r="O14">
            <v>0</v>
          </cell>
          <cell r="P14">
            <v>191.90000000002328</v>
          </cell>
          <cell r="Q14">
            <v>0</v>
          </cell>
          <cell r="R14">
            <v>0</v>
          </cell>
          <cell r="S14">
            <v>0</v>
          </cell>
          <cell r="T14">
            <v>0</v>
          </cell>
          <cell r="U14">
            <v>0</v>
          </cell>
          <cell r="V14">
            <v>0</v>
          </cell>
          <cell r="W14">
            <v>461.5</v>
          </cell>
          <cell r="X14">
            <v>0</v>
          </cell>
          <cell r="Y14">
            <v>461.5</v>
          </cell>
          <cell r="Z14">
            <v>8.2511829644811705</v>
          </cell>
          <cell r="AA14">
            <v>0</v>
          </cell>
          <cell r="AB14">
            <v>48</v>
          </cell>
          <cell r="AC14">
            <v>0</v>
          </cell>
          <cell r="AD14">
            <v>0</v>
          </cell>
          <cell r="AE14">
            <v>198.40000000002328</v>
          </cell>
          <cell r="AF14">
            <v>24</v>
          </cell>
          <cell r="AG14">
            <v>133.60000000000582</v>
          </cell>
          <cell r="AH14">
            <v>24</v>
          </cell>
          <cell r="AI14">
            <v>12.099999999998545</v>
          </cell>
          <cell r="AJ14">
            <v>50.399999999998727</v>
          </cell>
          <cell r="AK14">
            <v>29.099999999991269</v>
          </cell>
          <cell r="AL14">
            <v>0</v>
          </cell>
          <cell r="AM14">
            <v>32.40000000001146</v>
          </cell>
          <cell r="AN14">
            <v>5.4999999999708962</v>
          </cell>
          <cell r="AO14">
            <v>0</v>
          </cell>
          <cell r="AP14">
            <v>133.69999999999709</v>
          </cell>
          <cell r="AQ14">
            <v>109.69999999998254</v>
          </cell>
          <cell r="AR14">
            <v>0</v>
          </cell>
          <cell r="AS14">
            <v>0</v>
          </cell>
          <cell r="AT14">
            <v>19.700000000011642</v>
          </cell>
          <cell r="AU14">
            <v>5.5</v>
          </cell>
          <cell r="AV14">
            <v>93.099999999976717</v>
          </cell>
          <cell r="AW14">
            <v>58.80000000000291</v>
          </cell>
          <cell r="AX14">
            <v>4.7999999999992724</v>
          </cell>
          <cell r="AY14">
            <v>41.299999999996999</v>
          </cell>
          <cell r="AZ14">
            <v>22.799999999995634</v>
          </cell>
          <cell r="BA14">
            <v>0</v>
          </cell>
          <cell r="BB14">
            <v>15.700000000013915</v>
          </cell>
          <cell r="BC14">
            <v>6.8999999999941792</v>
          </cell>
          <cell r="BD14">
            <v>0</v>
          </cell>
          <cell r="BE14">
            <v>243.39999999997963</v>
          </cell>
          <cell r="BF14">
            <v>12197.038208</v>
          </cell>
          <cell r="BG14">
            <v>29122.756326726321</v>
          </cell>
          <cell r="BH14">
            <v>7847</v>
          </cell>
          <cell r="BI14">
            <v>0</v>
          </cell>
          <cell r="BJ14">
            <v>0</v>
          </cell>
          <cell r="BK14">
            <v>0</v>
          </cell>
          <cell r="BL14">
            <v>0</v>
          </cell>
          <cell r="BM14">
            <v>0</v>
          </cell>
          <cell r="BN14">
            <v>0</v>
          </cell>
          <cell r="BO14">
            <v>0</v>
          </cell>
          <cell r="BP14">
            <v>0</v>
          </cell>
          <cell r="BQ14">
            <v>0</v>
          </cell>
          <cell r="BR14">
            <v>0</v>
          </cell>
          <cell r="BS14">
            <v>0</v>
          </cell>
        </row>
        <row r="15">
          <cell r="B15">
            <v>43469</v>
          </cell>
          <cell r="C15">
            <v>269.40000000002328</v>
          </cell>
          <cell r="D15">
            <v>4.4239583670996545</v>
          </cell>
          <cell r="E15">
            <v>24</v>
          </cell>
          <cell r="F15">
            <v>0</v>
          </cell>
          <cell r="G15">
            <v>0</v>
          </cell>
          <cell r="H15">
            <v>0</v>
          </cell>
          <cell r="I15">
            <v>269.40000000002328</v>
          </cell>
          <cell r="J15">
            <v>190.59999999997672</v>
          </cell>
          <cell r="K15">
            <v>3.8156450287582717</v>
          </cell>
          <cell r="L15">
            <v>24</v>
          </cell>
          <cell r="M15">
            <v>0</v>
          </cell>
          <cell r="N15">
            <v>0</v>
          </cell>
          <cell r="O15">
            <v>0</v>
          </cell>
          <cell r="P15">
            <v>190.59999999997672</v>
          </cell>
          <cell r="Q15">
            <v>0</v>
          </cell>
          <cell r="R15">
            <v>0</v>
          </cell>
          <cell r="S15">
            <v>0</v>
          </cell>
          <cell r="T15">
            <v>0</v>
          </cell>
          <cell r="U15">
            <v>0</v>
          </cell>
          <cell r="V15">
            <v>0</v>
          </cell>
          <cell r="W15">
            <v>460</v>
          </cell>
          <cell r="X15">
            <v>0</v>
          </cell>
          <cell r="Y15">
            <v>460</v>
          </cell>
          <cell r="Z15">
            <v>8.2396033958579267</v>
          </cell>
          <cell r="AA15">
            <v>0</v>
          </cell>
          <cell r="AB15">
            <v>48</v>
          </cell>
          <cell r="AC15">
            <v>0</v>
          </cell>
          <cell r="AD15">
            <v>0</v>
          </cell>
          <cell r="AE15">
            <v>197.09999999997672</v>
          </cell>
          <cell r="AF15">
            <v>24</v>
          </cell>
          <cell r="AG15">
            <v>132.19999999998254</v>
          </cell>
          <cell r="AH15">
            <v>24</v>
          </cell>
          <cell r="AI15">
            <v>12.900000000001455</v>
          </cell>
          <cell r="AJ15">
            <v>49.900000000004184</v>
          </cell>
          <cell r="AK15">
            <v>29.900000000008731</v>
          </cell>
          <cell r="AL15">
            <v>0</v>
          </cell>
          <cell r="AM15">
            <v>31.999999999997272</v>
          </cell>
          <cell r="AN15">
            <v>6.0000000000291038</v>
          </cell>
          <cell r="AO15">
            <v>0</v>
          </cell>
          <cell r="AP15">
            <v>134.09999999999127</v>
          </cell>
          <cell r="AQ15">
            <v>108.5</v>
          </cell>
          <cell r="AR15">
            <v>0</v>
          </cell>
          <cell r="AS15">
            <v>0</v>
          </cell>
          <cell r="AT15">
            <v>20</v>
          </cell>
          <cell r="AU15">
            <v>5.0999999999985448</v>
          </cell>
          <cell r="AV15">
            <v>92.700000000011642</v>
          </cell>
          <cell r="AW15">
            <v>58.19999999999709</v>
          </cell>
          <cell r="AX15">
            <v>5.1000000000021828</v>
          </cell>
          <cell r="AY15">
            <v>40.900000000002819</v>
          </cell>
          <cell r="AZ15">
            <v>23.400000000001455</v>
          </cell>
          <cell r="BA15">
            <v>0</v>
          </cell>
          <cell r="BB15">
            <v>15.399999999967349</v>
          </cell>
          <cell r="BC15">
            <v>6.9000000000087311</v>
          </cell>
          <cell r="BD15">
            <v>0</v>
          </cell>
          <cell r="BE15">
            <v>242.59999999999127</v>
          </cell>
          <cell r="BF15">
            <v>11979.102368000002</v>
          </cell>
          <cell r="BG15">
            <v>31174.190906095046</v>
          </cell>
          <cell r="BH15">
            <v>7919</v>
          </cell>
          <cell r="BI15">
            <v>0</v>
          </cell>
          <cell r="BJ15">
            <v>0</v>
          </cell>
          <cell r="BK15">
            <v>0</v>
          </cell>
          <cell r="BL15">
            <v>0</v>
          </cell>
          <cell r="BM15">
            <v>0</v>
          </cell>
          <cell r="BN15">
            <v>0</v>
          </cell>
          <cell r="BO15">
            <v>0</v>
          </cell>
          <cell r="BP15">
            <v>0</v>
          </cell>
          <cell r="BQ15">
            <v>0</v>
          </cell>
          <cell r="BR15">
            <v>0</v>
          </cell>
          <cell r="BS15">
            <v>0</v>
          </cell>
        </row>
        <row r="16">
          <cell r="B16">
            <v>43470</v>
          </cell>
          <cell r="C16">
            <v>266.30499999999302</v>
          </cell>
          <cell r="D16">
            <v>4.4000658571734643</v>
          </cell>
          <cell r="E16">
            <v>24</v>
          </cell>
          <cell r="F16">
            <v>0</v>
          </cell>
          <cell r="G16">
            <v>0</v>
          </cell>
          <cell r="H16">
            <v>0</v>
          </cell>
          <cell r="I16">
            <v>266.30499999999302</v>
          </cell>
          <cell r="J16">
            <v>196.74700000003213</v>
          </cell>
          <cell r="K16">
            <v>3.8630981009767487</v>
          </cell>
          <cell r="L16">
            <v>24</v>
          </cell>
          <cell r="M16">
            <v>0</v>
          </cell>
          <cell r="N16">
            <v>0</v>
          </cell>
          <cell r="O16">
            <v>0</v>
          </cell>
          <cell r="P16">
            <v>196.74700000003213</v>
          </cell>
          <cell r="Q16">
            <v>0</v>
          </cell>
          <cell r="R16">
            <v>0</v>
          </cell>
          <cell r="S16">
            <v>0</v>
          </cell>
          <cell r="T16">
            <v>0</v>
          </cell>
          <cell r="U16">
            <v>0</v>
          </cell>
          <cell r="V16">
            <v>0</v>
          </cell>
          <cell r="W16">
            <v>463.05200000002515</v>
          </cell>
          <cell r="X16">
            <v>0</v>
          </cell>
          <cell r="Y16">
            <v>463.05200000002515</v>
          </cell>
          <cell r="Z16">
            <v>8.2631639581502121</v>
          </cell>
          <cell r="AA16">
            <v>0</v>
          </cell>
          <cell r="AB16">
            <v>48</v>
          </cell>
          <cell r="AC16">
            <v>0</v>
          </cell>
          <cell r="AD16">
            <v>0</v>
          </cell>
          <cell r="AE16">
            <v>196.35100000002421</v>
          </cell>
          <cell r="AF16">
            <v>24</v>
          </cell>
          <cell r="AG16">
            <v>134.57700000001932</v>
          </cell>
          <cell r="AH16">
            <v>24</v>
          </cell>
          <cell r="AI16">
            <v>10.799999999995634</v>
          </cell>
          <cell r="AJ16">
            <v>52.449999999999818</v>
          </cell>
          <cell r="AK16">
            <v>30.19999999999709</v>
          </cell>
          <cell r="AL16">
            <v>0</v>
          </cell>
          <cell r="AM16">
            <v>32.35100000001421</v>
          </cell>
          <cell r="AN16">
            <v>6.3229999999748543</v>
          </cell>
          <cell r="AO16">
            <v>0</v>
          </cell>
          <cell r="AP16">
            <v>139.4950000000099</v>
          </cell>
          <cell r="AQ16">
            <v>106.65800000002491</v>
          </cell>
          <cell r="AR16">
            <v>0</v>
          </cell>
          <cell r="AS16">
            <v>0</v>
          </cell>
          <cell r="AT16">
            <v>19.889999999999418</v>
          </cell>
          <cell r="AU16">
            <v>5.3600000000005821</v>
          </cell>
          <cell r="AV16">
            <v>93.204999999987194</v>
          </cell>
          <cell r="AW16">
            <v>59.25800000000163</v>
          </cell>
          <cell r="AX16">
            <v>4.3999999999978172</v>
          </cell>
          <cell r="AY16">
            <v>42.829999999998563</v>
          </cell>
          <cell r="AZ16">
            <v>23.790000000000873</v>
          </cell>
          <cell r="BA16">
            <v>0</v>
          </cell>
          <cell r="BB16">
            <v>15.628000000062002</v>
          </cell>
          <cell r="BC16">
            <v>7.0419999999867287</v>
          </cell>
          <cell r="BD16">
            <v>0</v>
          </cell>
          <cell r="BE16">
            <v>246.15300000003481</v>
          </cell>
          <cell r="BF16">
            <v>12451.093904000001</v>
          </cell>
          <cell r="BG16">
            <v>32098.593533731739</v>
          </cell>
          <cell r="BH16">
            <v>6659</v>
          </cell>
          <cell r="BI16">
            <v>0</v>
          </cell>
          <cell r="BJ16">
            <v>0</v>
          </cell>
          <cell r="BK16">
            <v>0</v>
          </cell>
          <cell r="BL16">
            <v>0</v>
          </cell>
          <cell r="BM16">
            <v>0</v>
          </cell>
          <cell r="BN16">
            <v>0</v>
          </cell>
          <cell r="BO16">
            <v>0</v>
          </cell>
          <cell r="BP16">
            <v>0</v>
          </cell>
          <cell r="BQ16">
            <v>0</v>
          </cell>
          <cell r="BR16">
            <v>0</v>
          </cell>
          <cell r="BS16">
            <v>0</v>
          </cell>
        </row>
        <row r="17">
          <cell r="B17">
            <v>43471</v>
          </cell>
          <cell r="C17">
            <v>258.44000000000233</v>
          </cell>
          <cell r="D17">
            <v>4.3393503190256659</v>
          </cell>
          <cell r="E17">
            <v>24</v>
          </cell>
          <cell r="F17">
            <v>0</v>
          </cell>
          <cell r="G17">
            <v>0</v>
          </cell>
          <cell r="H17">
            <v>0</v>
          </cell>
          <cell r="I17">
            <v>258.44000000000233</v>
          </cell>
          <cell r="J17">
            <v>193.6929999999702</v>
          </cell>
          <cell r="K17">
            <v>3.839522099259348</v>
          </cell>
          <cell r="L17">
            <v>24</v>
          </cell>
          <cell r="M17">
            <v>0</v>
          </cell>
          <cell r="N17">
            <v>0</v>
          </cell>
          <cell r="O17">
            <v>0</v>
          </cell>
          <cell r="P17">
            <v>193.6929999999702</v>
          </cell>
          <cell r="Q17">
            <v>0</v>
          </cell>
          <cell r="R17">
            <v>0</v>
          </cell>
          <cell r="S17">
            <v>0</v>
          </cell>
          <cell r="T17">
            <v>0</v>
          </cell>
          <cell r="U17">
            <v>0</v>
          </cell>
          <cell r="V17">
            <v>0</v>
          </cell>
          <cell r="W17">
            <v>452.13299999997253</v>
          </cell>
          <cell r="X17">
            <v>0</v>
          </cell>
          <cell r="Y17">
            <v>452.13299999997253</v>
          </cell>
          <cell r="Z17">
            <v>8.1788724182850139</v>
          </cell>
          <cell r="AA17">
            <v>0</v>
          </cell>
          <cell r="AB17">
            <v>48</v>
          </cell>
          <cell r="AC17">
            <v>0</v>
          </cell>
          <cell r="AD17">
            <v>0</v>
          </cell>
          <cell r="AE17">
            <v>190.60300000000279</v>
          </cell>
          <cell r="AF17">
            <v>24</v>
          </cell>
          <cell r="AG17">
            <v>132.0339999999851</v>
          </cell>
          <cell r="AH17">
            <v>24</v>
          </cell>
          <cell r="AI17">
            <v>12.30000000000291</v>
          </cell>
          <cell r="AJ17">
            <v>51.35999999999558</v>
          </cell>
          <cell r="AK17">
            <v>30.419999999998254</v>
          </cell>
          <cell r="AL17">
            <v>0</v>
          </cell>
          <cell r="AM17">
            <v>30.549999999978809</v>
          </cell>
          <cell r="AN17">
            <v>4.7660000000091713</v>
          </cell>
          <cell r="AO17">
            <v>9.9999999999909051E-2</v>
          </cell>
          <cell r="AP17">
            <v>129.98099999999977</v>
          </cell>
          <cell r="AQ17">
            <v>110.54699999999139</v>
          </cell>
          <cell r="AR17">
            <v>0</v>
          </cell>
          <cell r="AS17">
            <v>0</v>
          </cell>
          <cell r="AT17">
            <v>18.629999999990105</v>
          </cell>
          <cell r="AU17">
            <v>5.0600000000013097</v>
          </cell>
          <cell r="AV17">
            <v>90.460000000020955</v>
          </cell>
          <cell r="AW17">
            <v>58.165999999997439</v>
          </cell>
          <cell r="AX17">
            <v>4.9000000000014552</v>
          </cell>
          <cell r="AY17">
            <v>41.690000000000509</v>
          </cell>
          <cell r="AZ17">
            <v>23.839999999996508</v>
          </cell>
          <cell r="BA17">
            <v>0</v>
          </cell>
          <cell r="BB17">
            <v>14.937999999960084</v>
          </cell>
          <cell r="BC17">
            <v>6.5340000000142027</v>
          </cell>
          <cell r="BD17">
            <v>0</v>
          </cell>
          <cell r="BE17">
            <v>240.52799999999115</v>
          </cell>
          <cell r="BF17">
            <v>12227.195392000001</v>
          </cell>
          <cell r="BG17">
            <v>28606.217904119771</v>
          </cell>
          <cell r="BH17">
            <v>6143</v>
          </cell>
          <cell r="BI17">
            <v>0</v>
          </cell>
          <cell r="BJ17">
            <v>0</v>
          </cell>
          <cell r="BK17">
            <v>0</v>
          </cell>
          <cell r="BL17">
            <v>0</v>
          </cell>
          <cell r="BM17">
            <v>0</v>
          </cell>
          <cell r="BN17">
            <v>0</v>
          </cell>
          <cell r="BO17">
            <v>0</v>
          </cell>
          <cell r="BP17">
            <v>0</v>
          </cell>
          <cell r="BQ17">
            <v>0</v>
          </cell>
          <cell r="BR17">
            <v>0</v>
          </cell>
          <cell r="BS17">
            <v>0</v>
          </cell>
        </row>
        <row r="18">
          <cell r="B18">
            <v>43472</v>
          </cell>
          <cell r="C18">
            <v>265.85000000000582</v>
          </cell>
          <cell r="D18">
            <v>4.3965533880245129</v>
          </cell>
          <cell r="E18">
            <v>24</v>
          </cell>
          <cell r="F18">
            <v>0</v>
          </cell>
          <cell r="G18">
            <v>0</v>
          </cell>
          <cell r="H18">
            <v>0</v>
          </cell>
          <cell r="I18">
            <v>265.85000000000582</v>
          </cell>
          <cell r="J18">
            <v>201.11900000000605</v>
          </cell>
          <cell r="K18">
            <v>3.8968486836570921</v>
          </cell>
          <cell r="L18">
            <v>24</v>
          </cell>
          <cell r="M18">
            <v>0</v>
          </cell>
          <cell r="N18">
            <v>0</v>
          </cell>
          <cell r="O18">
            <v>0</v>
          </cell>
          <cell r="P18">
            <v>201.11900000000605</v>
          </cell>
          <cell r="Q18">
            <v>0</v>
          </cell>
          <cell r="R18">
            <v>0</v>
          </cell>
          <cell r="S18">
            <v>0</v>
          </cell>
          <cell r="T18">
            <v>0</v>
          </cell>
          <cell r="U18">
            <v>0</v>
          </cell>
          <cell r="V18">
            <v>0</v>
          </cell>
          <cell r="W18">
            <v>466.96900000001187</v>
          </cell>
          <cell r="X18">
            <v>0</v>
          </cell>
          <cell r="Y18">
            <v>466.96900000001187</v>
          </cell>
          <cell r="Z18">
            <v>8.293402071681605</v>
          </cell>
          <cell r="AA18">
            <v>0</v>
          </cell>
          <cell r="AB18">
            <v>48</v>
          </cell>
          <cell r="AC18">
            <v>0</v>
          </cell>
          <cell r="AD18">
            <v>0</v>
          </cell>
          <cell r="AE18">
            <v>198.87599999998929</v>
          </cell>
          <cell r="AF18">
            <v>24</v>
          </cell>
          <cell r="AG18">
            <v>134.24600000001374</v>
          </cell>
          <cell r="AH18">
            <v>24</v>
          </cell>
          <cell r="AI18">
            <v>11.80000000000291</v>
          </cell>
          <cell r="AJ18">
            <v>53.390000000006694</v>
          </cell>
          <cell r="AK18">
            <v>31.240000000005239</v>
          </cell>
          <cell r="AL18">
            <v>0</v>
          </cell>
          <cell r="AM18">
            <v>31.163000000007742</v>
          </cell>
          <cell r="AN18">
            <v>6.253999999986263</v>
          </cell>
          <cell r="AO18">
            <v>0</v>
          </cell>
          <cell r="AP18">
            <v>128.4939999999915</v>
          </cell>
          <cell r="AQ18">
            <v>119.74100000000908</v>
          </cell>
          <cell r="AR18">
            <v>0</v>
          </cell>
          <cell r="AS18">
            <v>0</v>
          </cell>
          <cell r="AT18">
            <v>19.270000000004075</v>
          </cell>
          <cell r="AU18">
            <v>4.7999999999992724</v>
          </cell>
          <cell r="AV18">
            <v>93.933999999979278</v>
          </cell>
          <cell r="AW18">
            <v>59.154000000009546</v>
          </cell>
          <cell r="AX18">
            <v>4.5999999999985448</v>
          </cell>
          <cell r="AY18">
            <v>43.409999999995307</v>
          </cell>
          <cell r="AZ18">
            <v>24.569999999999709</v>
          </cell>
          <cell r="BA18">
            <v>0</v>
          </cell>
          <cell r="BB18">
            <v>15.421000000039385</v>
          </cell>
          <cell r="BC18">
            <v>7.1459999999788124</v>
          </cell>
          <cell r="BD18">
            <v>0</v>
          </cell>
          <cell r="BE18">
            <v>248.23500000000058</v>
          </cell>
          <cell r="BF18">
            <v>12511.521792000001</v>
          </cell>
          <cell r="BG18">
            <v>28926.087907395129</v>
          </cell>
          <cell r="BH18">
            <v>6183</v>
          </cell>
          <cell r="BI18">
            <v>0</v>
          </cell>
          <cell r="BJ18">
            <v>0</v>
          </cell>
          <cell r="BK18">
            <v>0</v>
          </cell>
          <cell r="BL18">
            <v>0</v>
          </cell>
          <cell r="BM18">
            <v>0</v>
          </cell>
          <cell r="BN18">
            <v>0</v>
          </cell>
          <cell r="BO18">
            <v>0</v>
          </cell>
          <cell r="BP18">
            <v>0</v>
          </cell>
          <cell r="BQ18">
            <v>0</v>
          </cell>
          <cell r="BR18">
            <v>0</v>
          </cell>
          <cell r="BS18">
            <v>0</v>
          </cell>
        </row>
        <row r="19">
          <cell r="B19">
            <v>43473</v>
          </cell>
          <cell r="C19">
            <v>265.97399999998743</v>
          </cell>
          <cell r="D19">
            <v>4.3975106323638915</v>
          </cell>
          <cell r="E19">
            <v>24</v>
          </cell>
          <cell r="F19">
            <v>0</v>
          </cell>
          <cell r="G19">
            <v>0</v>
          </cell>
          <cell r="H19">
            <v>0</v>
          </cell>
          <cell r="I19">
            <v>265.97399999998743</v>
          </cell>
          <cell r="J19">
            <v>191.62900000001537</v>
          </cell>
          <cell r="K19">
            <v>3.823588612834115</v>
          </cell>
          <cell r="L19">
            <v>24</v>
          </cell>
          <cell r="M19">
            <v>0</v>
          </cell>
          <cell r="N19">
            <v>0</v>
          </cell>
          <cell r="O19">
            <v>0</v>
          </cell>
          <cell r="P19">
            <v>191.62900000001537</v>
          </cell>
          <cell r="Q19">
            <v>0.27499999999997726</v>
          </cell>
          <cell r="R19">
            <v>32.999999999997272</v>
          </cell>
          <cell r="S19">
            <v>0.8000000000001819</v>
          </cell>
          <cell r="T19">
            <v>0.1290000000000191</v>
          </cell>
          <cell r="U19">
            <v>15.480000000002292</v>
          </cell>
          <cell r="V19">
            <v>0.16000000000008185</v>
          </cell>
          <cell r="W19">
            <v>457.60300000000279</v>
          </cell>
          <cell r="X19">
            <v>0.40399999999999636</v>
          </cell>
          <cell r="Y19">
            <v>458.00700000000279</v>
          </cell>
          <cell r="Z19">
            <v>8.2210992451980065</v>
          </cell>
          <cell r="AA19">
            <v>48.479999999999563</v>
          </cell>
          <cell r="AB19">
            <v>48</v>
          </cell>
          <cell r="AC19">
            <v>0.96000000000026375</v>
          </cell>
          <cell r="AD19">
            <v>0.95999956130981445</v>
          </cell>
          <cell r="AE19">
            <v>195.53200000000652</v>
          </cell>
          <cell r="AF19">
            <v>24</v>
          </cell>
          <cell r="AG19">
            <v>132.0339999999851</v>
          </cell>
          <cell r="AH19">
            <v>24</v>
          </cell>
          <cell r="AI19">
            <v>11.19999999999709</v>
          </cell>
          <cell r="AJ19">
            <v>51.859999999999673</v>
          </cell>
          <cell r="AK19">
            <v>29.529999999998836</v>
          </cell>
          <cell r="AL19">
            <v>0</v>
          </cell>
          <cell r="AM19">
            <v>31.756000000000654</v>
          </cell>
          <cell r="AN19">
            <v>6.0950000000149203</v>
          </cell>
          <cell r="AO19">
            <v>0</v>
          </cell>
          <cell r="AP19">
            <v>138.85900000001129</v>
          </cell>
          <cell r="AQ19">
            <v>103.03299999999581</v>
          </cell>
          <cell r="AR19">
            <v>0.15300000000002001</v>
          </cell>
          <cell r="AS19">
            <v>5.0000000000011369E-2</v>
          </cell>
          <cell r="AT19">
            <v>19.419999999998254</v>
          </cell>
          <cell r="AU19">
            <v>4.7599999999983993</v>
          </cell>
          <cell r="AV19">
            <v>91.875</v>
          </cell>
          <cell r="AW19">
            <v>58.012999999991735</v>
          </cell>
          <cell r="AX19">
            <v>4.5</v>
          </cell>
          <cell r="AY19">
            <v>42.150000000005093</v>
          </cell>
          <cell r="AZ19">
            <v>23.340000000003783</v>
          </cell>
          <cell r="BA19">
            <v>0</v>
          </cell>
          <cell r="BB19">
            <v>15.379999999995334</v>
          </cell>
          <cell r="BC19">
            <v>6.8370000000111872</v>
          </cell>
          <cell r="BD19">
            <v>0</v>
          </cell>
          <cell r="BE19">
            <v>242.09500000000713</v>
          </cell>
          <cell r="BF19">
            <v>12833</v>
          </cell>
          <cell r="BG19">
            <v>32128</v>
          </cell>
          <cell r="BH19">
            <v>6791</v>
          </cell>
          <cell r="BI19">
            <v>0</v>
          </cell>
          <cell r="BJ19">
            <v>0</v>
          </cell>
          <cell r="BK19">
            <v>0</v>
          </cell>
          <cell r="BL19">
            <v>0</v>
          </cell>
          <cell r="BM19">
            <v>0</v>
          </cell>
          <cell r="BN19">
            <v>0</v>
          </cell>
          <cell r="BO19">
            <v>0</v>
          </cell>
          <cell r="BP19">
            <v>0</v>
          </cell>
          <cell r="BQ19">
            <v>0</v>
          </cell>
          <cell r="BR19">
            <v>0</v>
          </cell>
          <cell r="BS19">
            <v>0</v>
          </cell>
        </row>
        <row r="20">
          <cell r="B20">
            <v>43474</v>
          </cell>
          <cell r="C20">
            <v>368.98999999999069</v>
          </cell>
          <cell r="D20">
            <v>5.1927645265585731</v>
          </cell>
          <cell r="E20">
            <v>24</v>
          </cell>
          <cell r="F20">
            <v>0</v>
          </cell>
          <cell r="G20">
            <v>0</v>
          </cell>
          <cell r="H20">
            <v>0</v>
          </cell>
          <cell r="I20">
            <v>368.98999999999069</v>
          </cell>
          <cell r="J20">
            <v>79.037000000011176</v>
          </cell>
          <cell r="K20">
            <v>2.9544107525486432</v>
          </cell>
          <cell r="L20">
            <v>13.200000000011642</v>
          </cell>
          <cell r="M20">
            <v>0</v>
          </cell>
          <cell r="N20">
            <v>0</v>
          </cell>
          <cell r="O20">
            <v>0</v>
          </cell>
          <cell r="P20">
            <v>79.037000000011176</v>
          </cell>
          <cell r="Q20">
            <v>0</v>
          </cell>
          <cell r="R20">
            <v>0</v>
          </cell>
          <cell r="S20">
            <v>0</v>
          </cell>
          <cell r="T20">
            <v>5.1949999999999932</v>
          </cell>
          <cell r="U20">
            <v>623.39999999999918</v>
          </cell>
          <cell r="V20">
            <v>6.5599999999999454</v>
          </cell>
          <cell r="W20">
            <v>448.02700000000186</v>
          </cell>
          <cell r="X20">
            <v>5.1949999999999932</v>
          </cell>
          <cell r="Y20">
            <v>453.22200000000186</v>
          </cell>
          <cell r="Z20">
            <v>8.1471752791072163</v>
          </cell>
          <cell r="AA20">
            <v>623.39999999999918</v>
          </cell>
          <cell r="AB20">
            <v>37.200000000011642</v>
          </cell>
          <cell r="AC20">
            <v>6.5599999999999454</v>
          </cell>
          <cell r="AD20">
            <v>6.55999755859375</v>
          </cell>
          <cell r="AE20">
            <v>194.96799999999348</v>
          </cell>
          <cell r="AF20">
            <v>24</v>
          </cell>
          <cell r="AG20">
            <v>134.28600000002189</v>
          </cell>
          <cell r="AH20">
            <v>24</v>
          </cell>
          <cell r="AI20">
            <v>10.5</v>
          </cell>
          <cell r="AJ20">
            <v>49.539999999998599</v>
          </cell>
          <cell r="AK20">
            <v>27.080000000001746</v>
          </cell>
          <cell r="AL20">
            <v>0</v>
          </cell>
          <cell r="AM20">
            <v>31.839000000002216</v>
          </cell>
          <cell r="AN20">
            <v>5.0089999999839279</v>
          </cell>
          <cell r="AO20">
            <v>0</v>
          </cell>
          <cell r="AP20">
            <v>189.51799999999639</v>
          </cell>
          <cell r="AQ20">
            <v>46.024999999994179</v>
          </cell>
          <cell r="AR20">
            <v>0</v>
          </cell>
          <cell r="AS20">
            <v>1.9919999999999902</v>
          </cell>
          <cell r="AT20">
            <v>19.380000000004657</v>
          </cell>
          <cell r="AU20">
            <v>4.7200000000011642</v>
          </cell>
          <cell r="AV20">
            <v>91.792000000015832</v>
          </cell>
          <cell r="AW20">
            <v>58.899000000004889</v>
          </cell>
          <cell r="AX20">
            <v>4.2000000000007276</v>
          </cell>
          <cell r="AY20">
            <v>40.509999999994761</v>
          </cell>
          <cell r="AZ20">
            <v>21.379999999997381</v>
          </cell>
          <cell r="BA20">
            <v>0</v>
          </cell>
          <cell r="BB20">
            <v>14.260999999973137</v>
          </cell>
          <cell r="BC20">
            <v>6.4930000000038319</v>
          </cell>
          <cell r="BD20">
            <v>0</v>
          </cell>
          <cell r="BE20">
            <v>237.53499999999056</v>
          </cell>
          <cell r="BF20">
            <v>12665</v>
          </cell>
          <cell r="BG20">
            <v>33714</v>
          </cell>
          <cell r="BH20">
            <v>7023</v>
          </cell>
          <cell r="BI20">
            <v>0</v>
          </cell>
          <cell r="BJ20">
            <v>0</v>
          </cell>
          <cell r="BK20">
            <v>0</v>
          </cell>
          <cell r="BL20">
            <v>0</v>
          </cell>
          <cell r="BM20">
            <v>0</v>
          </cell>
          <cell r="BN20">
            <v>0</v>
          </cell>
          <cell r="BO20">
            <v>0</v>
          </cell>
          <cell r="BP20">
            <v>0</v>
          </cell>
          <cell r="BQ20">
            <v>0</v>
          </cell>
          <cell r="BR20">
            <v>0</v>
          </cell>
          <cell r="BS20">
            <v>0</v>
          </cell>
        </row>
        <row r="21">
          <cell r="B21">
            <v>43475</v>
          </cell>
          <cell r="C21">
            <v>252.88200000001234</v>
          </cell>
          <cell r="D21">
            <v>4.2964441574204209</v>
          </cell>
          <cell r="E21">
            <v>24</v>
          </cell>
          <cell r="F21">
            <v>0</v>
          </cell>
          <cell r="G21">
            <v>0</v>
          </cell>
          <cell r="H21">
            <v>0</v>
          </cell>
          <cell r="I21">
            <v>252.88200000001234</v>
          </cell>
          <cell r="J21">
            <v>200.67399999999907</v>
          </cell>
          <cell r="K21">
            <v>3.8934134116321433</v>
          </cell>
          <cell r="L21">
            <v>24</v>
          </cell>
          <cell r="M21">
            <v>0</v>
          </cell>
          <cell r="N21">
            <v>0</v>
          </cell>
          <cell r="O21">
            <v>0</v>
          </cell>
          <cell r="P21">
            <v>200.67399999999907</v>
          </cell>
          <cell r="Q21">
            <v>0</v>
          </cell>
          <cell r="R21">
            <v>0</v>
          </cell>
          <cell r="S21">
            <v>0</v>
          </cell>
          <cell r="T21">
            <v>0</v>
          </cell>
          <cell r="U21">
            <v>0</v>
          </cell>
          <cell r="V21">
            <v>0</v>
          </cell>
          <cell r="W21">
            <v>453.55600000001141</v>
          </cell>
          <cell r="X21">
            <v>0</v>
          </cell>
          <cell r="Y21">
            <v>453.55600000001141</v>
          </cell>
          <cell r="Z21">
            <v>8.1898575690525632</v>
          </cell>
          <cell r="AA21">
            <v>0</v>
          </cell>
          <cell r="AB21">
            <v>48</v>
          </cell>
          <cell r="AC21">
            <v>0</v>
          </cell>
          <cell r="AD21">
            <v>0</v>
          </cell>
          <cell r="AE21">
            <v>197.13900000002468</v>
          </cell>
          <cell r="AF21">
            <v>24</v>
          </cell>
          <cell r="AG21">
            <v>137.79399999999441</v>
          </cell>
          <cell r="AH21">
            <v>24</v>
          </cell>
          <cell r="AI21">
            <v>6</v>
          </cell>
          <cell r="AJ21">
            <v>49.090000000000146</v>
          </cell>
          <cell r="AK21">
            <v>26.580000000001746</v>
          </cell>
          <cell r="AL21">
            <v>0</v>
          </cell>
          <cell r="AM21">
            <v>31.846999999990658</v>
          </cell>
          <cell r="AN21">
            <v>5.1059999999997672</v>
          </cell>
          <cell r="AO21">
            <v>0</v>
          </cell>
          <cell r="AP21">
            <v>128.85899999999674</v>
          </cell>
          <cell r="AQ21">
            <v>110.92600000000675</v>
          </cell>
          <cell r="AR21">
            <v>0</v>
          </cell>
          <cell r="AS21">
            <v>0</v>
          </cell>
          <cell r="AT21">
            <v>19.190000000002328</v>
          </cell>
          <cell r="AU21">
            <v>5.430000000000291</v>
          </cell>
          <cell r="AV21">
            <v>92.908999999985099</v>
          </cell>
          <cell r="AW21">
            <v>60.255999999993946</v>
          </cell>
          <cell r="AX21">
            <v>2.5</v>
          </cell>
          <cell r="AY21">
            <v>40.289999999999509</v>
          </cell>
          <cell r="AZ21">
            <v>21.190000000002328</v>
          </cell>
          <cell r="BA21">
            <v>0</v>
          </cell>
          <cell r="BB21">
            <v>15.396000000016556</v>
          </cell>
          <cell r="BC21">
            <v>7.2440000000060536</v>
          </cell>
          <cell r="BD21">
            <v>0</v>
          </cell>
          <cell r="BE21">
            <v>239.78500000000349</v>
          </cell>
          <cell r="BF21">
            <v>13256</v>
          </cell>
          <cell r="BG21">
            <v>37073</v>
          </cell>
          <cell r="BH21">
            <v>3597</v>
          </cell>
          <cell r="BI21">
            <v>0</v>
          </cell>
          <cell r="BJ21">
            <v>0</v>
          </cell>
          <cell r="BK21">
            <v>0</v>
          </cell>
          <cell r="BL21">
            <v>0</v>
          </cell>
          <cell r="BM21">
            <v>0</v>
          </cell>
          <cell r="BN21">
            <v>0</v>
          </cell>
          <cell r="BO21">
            <v>0</v>
          </cell>
          <cell r="BP21">
            <v>0</v>
          </cell>
          <cell r="BQ21">
            <v>0</v>
          </cell>
          <cell r="BR21">
            <v>0</v>
          </cell>
          <cell r="BS21">
            <v>0</v>
          </cell>
        </row>
        <row r="22">
          <cell r="B22">
            <v>43476</v>
          </cell>
          <cell r="C22">
            <v>254.33900000000722</v>
          </cell>
          <cell r="D22">
            <v>4.3076917784097581</v>
          </cell>
          <cell r="E22">
            <v>24</v>
          </cell>
          <cell r="F22">
            <v>0</v>
          </cell>
          <cell r="G22">
            <v>0</v>
          </cell>
          <cell r="H22">
            <v>0</v>
          </cell>
          <cell r="I22">
            <v>254.33900000000722</v>
          </cell>
          <cell r="J22">
            <v>194.42499999998836</v>
          </cell>
          <cell r="K22">
            <v>3.8451729287476306</v>
          </cell>
          <cell r="L22">
            <v>24</v>
          </cell>
          <cell r="M22">
            <v>0</v>
          </cell>
          <cell r="N22">
            <v>0</v>
          </cell>
          <cell r="O22">
            <v>0</v>
          </cell>
          <cell r="P22">
            <v>194.42499999998836</v>
          </cell>
          <cell r="Q22">
            <v>0</v>
          </cell>
          <cell r="R22">
            <v>0</v>
          </cell>
          <cell r="S22">
            <v>0</v>
          </cell>
          <cell r="T22">
            <v>0</v>
          </cell>
          <cell r="U22">
            <v>0</v>
          </cell>
          <cell r="V22">
            <v>0</v>
          </cell>
          <cell r="W22">
            <v>448.76399999999558</v>
          </cell>
          <cell r="X22">
            <v>0</v>
          </cell>
          <cell r="Y22">
            <v>448.76399999999558</v>
          </cell>
          <cell r="Z22">
            <v>8.1528647071573879</v>
          </cell>
          <cell r="AA22">
            <v>0</v>
          </cell>
          <cell r="AB22">
            <v>48</v>
          </cell>
          <cell r="AC22">
            <v>0</v>
          </cell>
          <cell r="AE22">
            <v>190.93400000000838</v>
          </cell>
          <cell r="AF22">
            <v>23.100000000005821</v>
          </cell>
          <cell r="AG22">
            <v>135.26199999998789</v>
          </cell>
          <cell r="AH22">
            <v>24</v>
          </cell>
          <cell r="AI22">
            <v>9.6999999999970896</v>
          </cell>
          <cell r="AJ22">
            <v>48.929999999998927</v>
          </cell>
          <cell r="AK22">
            <v>25.879999999990105</v>
          </cell>
          <cell r="AL22">
            <v>0</v>
          </cell>
          <cell r="AM22">
            <v>32.119999999989432</v>
          </cell>
          <cell r="AN22">
            <v>5.9380000000237487</v>
          </cell>
          <cell r="AO22">
            <v>0</v>
          </cell>
          <cell r="AP22">
            <v>131.40899999999965</v>
          </cell>
          <cell r="AQ22">
            <v>104.64999999999418</v>
          </cell>
          <cell r="AR22">
            <v>0</v>
          </cell>
          <cell r="AS22">
            <v>0</v>
          </cell>
          <cell r="AT22">
            <v>19.349999999991269</v>
          </cell>
          <cell r="AU22">
            <v>5.4000000000014552</v>
          </cell>
          <cell r="AV22">
            <v>89.578000000008615</v>
          </cell>
          <cell r="AW22">
            <v>59.210000000006403</v>
          </cell>
          <cell r="AX22">
            <v>4</v>
          </cell>
          <cell r="AY22">
            <v>40.050000000003365</v>
          </cell>
          <cell r="AZ22">
            <v>20.040000000000873</v>
          </cell>
          <cell r="BA22">
            <v>0</v>
          </cell>
          <cell r="BB22">
            <v>15.790999999989708</v>
          </cell>
          <cell r="BC22">
            <v>7.389999999984866</v>
          </cell>
          <cell r="BD22">
            <v>0</v>
          </cell>
          <cell r="BE22">
            <v>236.05899999999383</v>
          </cell>
          <cell r="BF22">
            <v>13572</v>
          </cell>
          <cell r="BG22">
            <v>37146</v>
          </cell>
          <cell r="BH22">
            <v>6226</v>
          </cell>
          <cell r="BI22">
            <v>0</v>
          </cell>
          <cell r="BJ22">
            <v>0</v>
          </cell>
          <cell r="BK22">
            <v>0</v>
          </cell>
          <cell r="BL22">
            <v>0</v>
          </cell>
          <cell r="BM22">
            <v>0</v>
          </cell>
          <cell r="BN22">
            <v>0</v>
          </cell>
          <cell r="BO22">
            <v>0</v>
          </cell>
          <cell r="BP22">
            <v>0</v>
          </cell>
          <cell r="BQ22">
            <v>0</v>
          </cell>
          <cell r="BR22">
            <v>0</v>
          </cell>
          <cell r="BS22">
            <v>0</v>
          </cell>
        </row>
        <row r="23">
          <cell r="B23">
            <v>43477</v>
          </cell>
          <cell r="C23">
            <v>255.44899999999325</v>
          </cell>
          <cell r="D23">
            <v>4.3162606591908501</v>
          </cell>
          <cell r="E23">
            <v>24</v>
          </cell>
          <cell r="F23">
            <v>0</v>
          </cell>
          <cell r="G23">
            <v>0</v>
          </cell>
          <cell r="H23">
            <v>0</v>
          </cell>
          <cell r="I23">
            <v>255.44899999999325</v>
          </cell>
          <cell r="J23">
            <v>194.7050000000163</v>
          </cell>
          <cell r="K23">
            <v>3.8473344482241849</v>
          </cell>
          <cell r="L23">
            <v>24</v>
          </cell>
          <cell r="M23">
            <v>0</v>
          </cell>
          <cell r="N23">
            <v>0</v>
          </cell>
          <cell r="O23">
            <v>0</v>
          </cell>
          <cell r="P23">
            <v>194.7050000000163</v>
          </cell>
          <cell r="Q23">
            <v>0</v>
          </cell>
          <cell r="R23">
            <v>0</v>
          </cell>
          <cell r="S23">
            <v>0</v>
          </cell>
          <cell r="T23">
            <v>0</v>
          </cell>
          <cell r="U23">
            <v>0</v>
          </cell>
          <cell r="V23">
            <v>0</v>
          </cell>
          <cell r="W23">
            <v>450.15400000000955</v>
          </cell>
          <cell r="X23">
            <v>0</v>
          </cell>
          <cell r="Y23">
            <v>450.15400000000955</v>
          </cell>
          <cell r="Z23">
            <v>8.1635951074150341</v>
          </cell>
          <cell r="AA23">
            <v>0</v>
          </cell>
          <cell r="AB23">
            <v>48</v>
          </cell>
          <cell r="AC23">
            <v>0</v>
          </cell>
          <cell r="AD23">
            <v>0</v>
          </cell>
          <cell r="AE23">
            <v>194.78999999997905</v>
          </cell>
          <cell r="AF23">
            <v>24</v>
          </cell>
          <cell r="AG23">
            <v>134.06599999999162</v>
          </cell>
          <cell r="AH23">
            <v>24</v>
          </cell>
          <cell r="AI23">
            <v>9.6000000000058208</v>
          </cell>
          <cell r="AJ23">
            <v>48.659999999997581</v>
          </cell>
          <cell r="AK23">
            <v>25.889999999999418</v>
          </cell>
          <cell r="AL23">
            <v>0</v>
          </cell>
          <cell r="AM23">
            <v>32.214000000027681</v>
          </cell>
          <cell r="AN23">
            <v>4.9340000000083819</v>
          </cell>
          <cell r="AO23">
            <v>0</v>
          </cell>
          <cell r="AP23">
            <v>130.66599999999744</v>
          </cell>
          <cell r="AQ23">
            <v>106.41000000000349</v>
          </cell>
          <cell r="AR23">
            <v>0</v>
          </cell>
          <cell r="AS23">
            <v>0</v>
          </cell>
          <cell r="AT23">
            <v>-601.08999999999651</v>
          </cell>
          <cell r="AU23">
            <v>4.7799999999988358</v>
          </cell>
          <cell r="AV23">
            <v>91.703999999997905</v>
          </cell>
          <cell r="AW23">
            <v>58.789000000004307</v>
          </cell>
          <cell r="AX23">
            <v>4</v>
          </cell>
          <cell r="AY23">
            <v>39.789999999999509</v>
          </cell>
          <cell r="AZ23">
            <v>19.939999999995052</v>
          </cell>
          <cell r="BA23">
            <v>0</v>
          </cell>
          <cell r="BB23">
            <v>16.342000000005555</v>
          </cell>
          <cell r="BC23">
            <v>6.510999999998603</v>
          </cell>
          <cell r="BD23">
            <v>0</v>
          </cell>
          <cell r="BE23">
            <v>237.07600000000093</v>
          </cell>
          <cell r="BF23">
            <v>12966</v>
          </cell>
          <cell r="BG23">
            <v>37517</v>
          </cell>
          <cell r="BH23">
            <v>6871</v>
          </cell>
          <cell r="BI23">
            <v>0</v>
          </cell>
          <cell r="BJ23">
            <v>0</v>
          </cell>
          <cell r="BK23">
            <v>0</v>
          </cell>
          <cell r="BL23">
            <v>0</v>
          </cell>
          <cell r="BM23">
            <v>0</v>
          </cell>
          <cell r="BN23">
            <v>0</v>
          </cell>
          <cell r="BO23">
            <v>0</v>
          </cell>
          <cell r="BP23">
            <v>0</v>
          </cell>
          <cell r="BQ23">
            <v>0</v>
          </cell>
          <cell r="BR23">
            <v>0</v>
          </cell>
          <cell r="BS23">
            <v>0</v>
          </cell>
        </row>
        <row r="24">
          <cell r="B24">
            <v>43478</v>
          </cell>
          <cell r="C24">
            <v>184.82699999999022</v>
          </cell>
          <cell r="D24">
            <v>3.7710791289837218</v>
          </cell>
          <cell r="E24">
            <v>24</v>
          </cell>
          <cell r="F24">
            <v>0</v>
          </cell>
          <cell r="G24">
            <v>0</v>
          </cell>
          <cell r="H24">
            <v>0</v>
          </cell>
          <cell r="I24">
            <v>184.82699999999022</v>
          </cell>
          <cell r="J24">
            <v>126.25</v>
          </cell>
          <cell r="K24">
            <v>3.3188815348213332</v>
          </cell>
          <cell r="L24">
            <v>24</v>
          </cell>
          <cell r="M24">
            <v>0</v>
          </cell>
          <cell r="N24">
            <v>0</v>
          </cell>
          <cell r="O24">
            <v>0</v>
          </cell>
          <cell r="P24">
            <v>126.25</v>
          </cell>
          <cell r="Q24">
            <v>0</v>
          </cell>
          <cell r="R24">
            <v>0</v>
          </cell>
          <cell r="S24">
            <v>0</v>
          </cell>
          <cell r="T24">
            <v>0</v>
          </cell>
          <cell r="U24">
            <v>0</v>
          </cell>
          <cell r="V24">
            <v>0</v>
          </cell>
          <cell r="W24">
            <v>311.07699999999022</v>
          </cell>
          <cell r="X24">
            <v>0</v>
          </cell>
          <cell r="Y24">
            <v>311.07699999999022</v>
          </cell>
          <cell r="Z24">
            <v>7.089960663805055</v>
          </cell>
          <cell r="AA24">
            <v>0</v>
          </cell>
          <cell r="AB24">
            <v>48</v>
          </cell>
          <cell r="AC24">
            <v>0</v>
          </cell>
          <cell r="AD24">
            <v>0</v>
          </cell>
          <cell r="AE24">
            <v>60.369999999995343</v>
          </cell>
          <cell r="AF24">
            <v>7.3999999999941792</v>
          </cell>
          <cell r="AG24">
            <v>133.04300000000512</v>
          </cell>
          <cell r="AH24">
            <v>24</v>
          </cell>
          <cell r="AI24">
            <v>11.799999999995634</v>
          </cell>
          <cell r="AJ24">
            <v>49.430000000002565</v>
          </cell>
          <cell r="AK24">
            <v>21.070000000006985</v>
          </cell>
          <cell r="AL24">
            <v>0</v>
          </cell>
          <cell r="AM24">
            <v>29.406999999989694</v>
          </cell>
          <cell r="AN24">
            <v>5.9569999999948777</v>
          </cell>
          <cell r="AO24">
            <v>0</v>
          </cell>
          <cell r="AP24">
            <v>100.18700000000536</v>
          </cell>
          <cell r="AQ24">
            <v>72.403999999980442</v>
          </cell>
          <cell r="AR24">
            <v>0</v>
          </cell>
          <cell r="AS24">
            <v>0</v>
          </cell>
          <cell r="AT24">
            <v>639.7100000000064</v>
          </cell>
          <cell r="AU24">
            <v>4.9599999999991269</v>
          </cell>
          <cell r="AV24">
            <v>28.709000000002561</v>
          </cell>
          <cell r="AW24">
            <v>58.507999999987078</v>
          </cell>
          <cell r="AX24">
            <v>4.5</v>
          </cell>
          <cell r="AY24">
            <v>40.500000000001819</v>
          </cell>
          <cell r="AZ24">
            <v>15.67000000000553</v>
          </cell>
          <cell r="BA24">
            <v>0</v>
          </cell>
          <cell r="BB24">
            <v>17.411999999972977</v>
          </cell>
          <cell r="BC24">
            <v>7.2920000000158325</v>
          </cell>
          <cell r="BD24">
            <v>0</v>
          </cell>
          <cell r="BE24">
            <v>172.5909999999858</v>
          </cell>
          <cell r="BF24">
            <v>12216</v>
          </cell>
          <cell r="BG24">
            <v>36869</v>
          </cell>
          <cell r="BH24">
            <v>8221</v>
          </cell>
          <cell r="BI24">
            <v>0</v>
          </cell>
          <cell r="BJ24">
            <v>0</v>
          </cell>
          <cell r="BK24">
            <v>0</v>
          </cell>
          <cell r="BL24">
            <v>0</v>
          </cell>
          <cell r="BM24">
            <v>0</v>
          </cell>
          <cell r="BN24">
            <v>0</v>
          </cell>
          <cell r="BO24">
            <v>0</v>
          </cell>
          <cell r="BP24">
            <v>0</v>
          </cell>
          <cell r="BQ24">
            <v>0</v>
          </cell>
          <cell r="BR24">
            <v>0</v>
          </cell>
          <cell r="BS24">
            <v>0</v>
          </cell>
        </row>
        <row r="25">
          <cell r="B25">
            <v>43479</v>
          </cell>
          <cell r="C25">
            <v>216.67000000001281</v>
          </cell>
          <cell r="D25">
            <v>4.0168979314305115</v>
          </cell>
          <cell r="E25">
            <v>24</v>
          </cell>
          <cell r="F25">
            <v>0</v>
          </cell>
          <cell r="G25">
            <v>0</v>
          </cell>
          <cell r="H25">
            <v>0</v>
          </cell>
          <cell r="I25">
            <v>216.67000000001281</v>
          </cell>
          <cell r="J25">
            <v>172.74399999994785</v>
          </cell>
          <cell r="K25">
            <v>3.6778018438669662</v>
          </cell>
          <cell r="L25">
            <v>24</v>
          </cell>
          <cell r="M25">
            <v>0</v>
          </cell>
          <cell r="N25">
            <v>0</v>
          </cell>
          <cell r="O25">
            <v>0</v>
          </cell>
          <cell r="P25">
            <v>172.74399999994785</v>
          </cell>
          <cell r="Q25">
            <v>0</v>
          </cell>
          <cell r="R25">
            <v>0</v>
          </cell>
          <cell r="S25">
            <v>0</v>
          </cell>
          <cell r="T25">
            <v>0</v>
          </cell>
          <cell r="U25">
            <v>0</v>
          </cell>
          <cell r="V25">
            <v>0</v>
          </cell>
          <cell r="W25">
            <v>389.41399999996065</v>
          </cell>
          <cell r="X25">
            <v>0</v>
          </cell>
          <cell r="Y25">
            <v>389.41399999996065</v>
          </cell>
          <cell r="Z25">
            <v>7.6946997752974777</v>
          </cell>
          <cell r="AA25">
            <v>0</v>
          </cell>
          <cell r="AB25">
            <v>48</v>
          </cell>
          <cell r="AC25">
            <v>0</v>
          </cell>
          <cell r="AD25">
            <v>0</v>
          </cell>
          <cell r="AE25">
            <v>120.21100000001024</v>
          </cell>
          <cell r="AF25">
            <v>15.30000000000291</v>
          </cell>
          <cell r="AG25">
            <v>140.40700000000652</v>
          </cell>
          <cell r="AH25">
            <v>24</v>
          </cell>
          <cell r="AI25">
            <v>9</v>
          </cell>
          <cell r="AJ25">
            <v>47.179999999999836</v>
          </cell>
          <cell r="AK25">
            <v>26.309999999997672</v>
          </cell>
          <cell r="AL25">
            <v>0</v>
          </cell>
          <cell r="AM25">
            <v>41.112999999947078</v>
          </cell>
          <cell r="AN25">
            <v>5.1929999999993015</v>
          </cell>
          <cell r="AO25">
            <v>0</v>
          </cell>
          <cell r="AP25">
            <v>109.54299999999057</v>
          </cell>
          <cell r="AQ25">
            <v>99.146000000007916</v>
          </cell>
          <cell r="AR25">
            <v>0</v>
          </cell>
          <cell r="AS25">
            <v>0</v>
          </cell>
          <cell r="AT25">
            <v>20.089999999996508</v>
          </cell>
          <cell r="AU25">
            <v>5.1700000000018917</v>
          </cell>
          <cell r="AV25">
            <v>56.263000000006286</v>
          </cell>
          <cell r="AW25">
            <v>61.181000000011409</v>
          </cell>
          <cell r="AX25">
            <v>4.2000000000007276</v>
          </cell>
          <cell r="AY25">
            <v>39.009999999998399</v>
          </cell>
          <cell r="AZ25">
            <v>20.489999999997963</v>
          </cell>
          <cell r="BA25">
            <v>0</v>
          </cell>
          <cell r="BB25">
            <v>20.525999999998021</v>
          </cell>
          <cell r="BC25">
            <v>7.0189999999856809</v>
          </cell>
          <cell r="BD25">
            <v>0</v>
          </cell>
          <cell r="BE25">
            <v>208.68899999999849</v>
          </cell>
          <cell r="BF25">
            <v>13022</v>
          </cell>
          <cell r="BG25">
            <v>36591</v>
          </cell>
          <cell r="BH25">
            <v>5762</v>
          </cell>
          <cell r="BI25">
            <v>0</v>
          </cell>
          <cell r="BJ25">
            <v>0</v>
          </cell>
          <cell r="BK25">
            <v>0</v>
          </cell>
          <cell r="BL25">
            <v>0</v>
          </cell>
          <cell r="BM25">
            <v>0</v>
          </cell>
          <cell r="BN25">
            <v>0</v>
          </cell>
          <cell r="BO25">
            <v>0</v>
          </cell>
          <cell r="BP25">
            <v>0</v>
          </cell>
          <cell r="BQ25">
            <v>0</v>
          </cell>
          <cell r="BR25">
            <v>0</v>
          </cell>
          <cell r="BS25">
            <v>0</v>
          </cell>
        </row>
        <row r="26">
          <cell r="B26">
            <v>43480</v>
          </cell>
          <cell r="C26">
            <v>183.81200000000536</v>
          </cell>
          <cell r="D26">
            <v>3.7632436208821112</v>
          </cell>
          <cell r="E26">
            <v>24</v>
          </cell>
          <cell r="F26">
            <v>0</v>
          </cell>
          <cell r="G26">
            <v>0</v>
          </cell>
          <cell r="H26">
            <v>0</v>
          </cell>
          <cell r="I26">
            <v>183.81200000000536</v>
          </cell>
          <cell r="J26">
            <v>274.15100000001257</v>
          </cell>
          <cell r="K26">
            <v>4.4606347207855901</v>
          </cell>
          <cell r="L26">
            <v>24</v>
          </cell>
          <cell r="M26">
            <v>0</v>
          </cell>
          <cell r="N26">
            <v>0</v>
          </cell>
          <cell r="O26">
            <v>0</v>
          </cell>
          <cell r="P26">
            <v>274.15100000001257</v>
          </cell>
          <cell r="Q26">
            <v>0</v>
          </cell>
          <cell r="R26">
            <v>0</v>
          </cell>
          <cell r="S26">
            <v>0</v>
          </cell>
          <cell r="T26">
            <v>0.23699999999996635</v>
          </cell>
          <cell r="U26">
            <v>28.439999999995962</v>
          </cell>
          <cell r="V26">
            <v>0.68000000000006366</v>
          </cell>
          <cell r="W26">
            <v>457.96300000001793</v>
          </cell>
          <cell r="X26">
            <v>0.23699999999996635</v>
          </cell>
          <cell r="Y26">
            <v>458.20000000001789</v>
          </cell>
          <cell r="Z26">
            <v>8.2238783416677013</v>
          </cell>
          <cell r="AA26">
            <v>28.439999999995962</v>
          </cell>
          <cell r="AB26">
            <v>48</v>
          </cell>
          <cell r="AC26">
            <v>0.68000000000006366</v>
          </cell>
          <cell r="AD26">
            <v>0.67999982833862305</v>
          </cell>
          <cell r="AE26">
            <v>180.80799999996088</v>
          </cell>
          <cell r="AF26">
            <v>24</v>
          </cell>
          <cell r="AG26">
            <v>135.76800000001094</v>
          </cell>
          <cell r="AH26">
            <v>24</v>
          </cell>
          <cell r="AI26">
            <v>13.900000000003274</v>
          </cell>
          <cell r="AJ26">
            <v>47.299999999998818</v>
          </cell>
          <cell r="AK26">
            <v>28.869999999995343</v>
          </cell>
          <cell r="AL26">
            <v>0</v>
          </cell>
          <cell r="AM26">
            <v>44.685000000065429</v>
          </cell>
          <cell r="AN26">
            <v>6.8689999999832025</v>
          </cell>
          <cell r="AO26">
            <v>0</v>
          </cell>
          <cell r="AP26">
            <v>94.045000000012806</v>
          </cell>
          <cell r="AQ26">
            <v>148.22400000001653</v>
          </cell>
          <cell r="AR26">
            <v>0</v>
          </cell>
          <cell r="AS26">
            <v>7.9000000000007731E-2</v>
          </cell>
          <cell r="AT26">
            <v>19.899999999994179</v>
          </cell>
          <cell r="AU26">
            <v>5.3299999999981083</v>
          </cell>
          <cell r="AV26">
            <v>85.323000000003958</v>
          </cell>
          <cell r="AW26">
            <v>59.220999999990454</v>
          </cell>
          <cell r="AX26">
            <v>6.5999999999985448</v>
          </cell>
          <cell r="AY26">
            <v>38.989999999998872</v>
          </cell>
          <cell r="AZ26">
            <v>22.5</v>
          </cell>
          <cell r="BA26">
            <v>0</v>
          </cell>
          <cell r="BB26">
            <v>22.056000000025051</v>
          </cell>
          <cell r="BC26">
            <v>7.6580000000124642</v>
          </cell>
          <cell r="BD26">
            <v>0</v>
          </cell>
          <cell r="BE26">
            <v>242.34800000002934</v>
          </cell>
          <cell r="BF26">
            <v>13182.276976000001</v>
          </cell>
          <cell r="BG26">
            <v>32860.876653989922</v>
          </cell>
          <cell r="BH26">
            <v>8234</v>
          </cell>
          <cell r="BI26">
            <v>0</v>
          </cell>
          <cell r="BJ26">
            <v>0</v>
          </cell>
          <cell r="BK26">
            <v>0</v>
          </cell>
          <cell r="BL26">
            <v>0</v>
          </cell>
          <cell r="BM26">
            <v>0</v>
          </cell>
          <cell r="BN26">
            <v>0</v>
          </cell>
          <cell r="BO26">
            <v>0</v>
          </cell>
          <cell r="BP26">
            <v>0</v>
          </cell>
          <cell r="BQ26">
            <v>0</v>
          </cell>
          <cell r="BR26">
            <v>0</v>
          </cell>
          <cell r="BS26">
            <v>0</v>
          </cell>
        </row>
        <row r="27">
          <cell r="B27">
            <v>43481</v>
          </cell>
          <cell r="C27">
            <v>235.6929999999993</v>
          </cell>
          <cell r="D27">
            <v>4.1637500207103724</v>
          </cell>
          <cell r="E27">
            <v>24</v>
          </cell>
          <cell r="F27">
            <v>0</v>
          </cell>
          <cell r="G27">
            <v>0</v>
          </cell>
          <cell r="H27">
            <v>0</v>
          </cell>
          <cell r="I27">
            <v>235.6929999999993</v>
          </cell>
          <cell r="J27">
            <v>230.49599999998463</v>
          </cell>
          <cell r="K27">
            <v>4.1236306752869307</v>
          </cell>
          <cell r="L27">
            <v>24</v>
          </cell>
          <cell r="M27">
            <v>0</v>
          </cell>
          <cell r="N27">
            <v>0</v>
          </cell>
          <cell r="O27">
            <v>0</v>
          </cell>
          <cell r="P27">
            <v>230.49599999998463</v>
          </cell>
          <cell r="Q27">
            <v>0.22199999999997999</v>
          </cell>
          <cell r="R27">
            <v>26.639999999997599</v>
          </cell>
          <cell r="S27">
            <v>0.6000000000003638</v>
          </cell>
          <cell r="T27">
            <v>0</v>
          </cell>
          <cell r="U27">
            <v>0</v>
          </cell>
          <cell r="V27">
            <v>0</v>
          </cell>
          <cell r="W27">
            <v>466.18899999998393</v>
          </cell>
          <cell r="X27">
            <v>0.22199999999997999</v>
          </cell>
          <cell r="Y27">
            <v>466.41099999998391</v>
          </cell>
          <cell r="Z27">
            <v>8.2873806959973031</v>
          </cell>
          <cell r="AA27">
            <v>26.639999999997599</v>
          </cell>
          <cell r="AB27">
            <v>48</v>
          </cell>
          <cell r="AC27">
            <v>0.6000000000003638</v>
          </cell>
          <cell r="AD27">
            <v>0.59999990463256836</v>
          </cell>
          <cell r="AE27">
            <v>185.16800000000512</v>
          </cell>
          <cell r="AF27">
            <v>24</v>
          </cell>
          <cell r="AG27">
            <v>140.70799999998417</v>
          </cell>
          <cell r="AH27">
            <v>24</v>
          </cell>
          <cell r="AI27">
            <v>10.000000000001819</v>
          </cell>
          <cell r="AJ27">
            <v>47.259999999997945</v>
          </cell>
          <cell r="AK27">
            <v>29.889999999999418</v>
          </cell>
          <cell r="AL27">
            <v>0</v>
          </cell>
          <cell r="AM27">
            <v>47.592999999979611</v>
          </cell>
          <cell r="AN27">
            <v>4.592000000015787</v>
          </cell>
          <cell r="AO27">
            <v>1.2000000000000455</v>
          </cell>
          <cell r="AP27">
            <v>121.03099999998813</v>
          </cell>
          <cell r="AQ27">
            <v>123.74499999999534</v>
          </cell>
          <cell r="AR27">
            <v>0.12700000000000955</v>
          </cell>
          <cell r="AS27">
            <v>0</v>
          </cell>
          <cell r="AT27">
            <v>20.029999999998836</v>
          </cell>
          <cell r="AU27">
            <v>5.6199999999989814</v>
          </cell>
          <cell r="AV27">
            <v>87.237999999983003</v>
          </cell>
          <cell r="AW27">
            <v>61.240000000005239</v>
          </cell>
          <cell r="AX27">
            <v>4.1000000000003638</v>
          </cell>
          <cell r="AY27">
            <v>38.810000000004493</v>
          </cell>
          <cell r="AZ27">
            <v>23.470000000001164</v>
          </cell>
          <cell r="BA27">
            <v>0</v>
          </cell>
          <cell r="BB27">
            <v>22.984999999991544</v>
          </cell>
          <cell r="BC27">
            <v>7.0599999999976717</v>
          </cell>
          <cell r="BD27">
            <v>0</v>
          </cell>
          <cell r="BE27">
            <v>244.90299999998348</v>
          </cell>
          <cell r="BF27">
            <v>13001.183408000001</v>
          </cell>
          <cell r="BG27">
            <v>37122.3910619167</v>
          </cell>
          <cell r="BH27">
            <v>6120</v>
          </cell>
          <cell r="BI27">
            <v>0</v>
          </cell>
          <cell r="BJ27">
            <v>0</v>
          </cell>
          <cell r="BK27">
            <v>0</v>
          </cell>
          <cell r="BL27">
            <v>0</v>
          </cell>
          <cell r="BM27">
            <v>0</v>
          </cell>
          <cell r="BN27">
            <v>0</v>
          </cell>
          <cell r="BO27">
            <v>0</v>
          </cell>
          <cell r="BP27">
            <v>0</v>
          </cell>
          <cell r="BQ27">
            <v>0</v>
          </cell>
          <cell r="BR27">
            <v>0</v>
          </cell>
          <cell r="BS27">
            <v>0</v>
          </cell>
        </row>
        <row r="28">
          <cell r="B28">
            <v>43482</v>
          </cell>
          <cell r="C28">
            <v>284.56899999998859</v>
          </cell>
          <cell r="D28">
            <v>4.5410586847300349</v>
          </cell>
          <cell r="E28">
            <v>24</v>
          </cell>
          <cell r="F28">
            <v>0</v>
          </cell>
          <cell r="G28">
            <v>0</v>
          </cell>
          <cell r="H28">
            <v>0</v>
          </cell>
          <cell r="I28">
            <v>284.56899999998859</v>
          </cell>
          <cell r="J28">
            <v>163.03000000002794</v>
          </cell>
          <cell r="K28">
            <v>3.6028125574634635</v>
          </cell>
          <cell r="L28">
            <v>24</v>
          </cell>
          <cell r="M28">
            <v>0</v>
          </cell>
          <cell r="N28">
            <v>0</v>
          </cell>
          <cell r="O28">
            <v>0</v>
          </cell>
          <cell r="P28">
            <v>163.03000000002794</v>
          </cell>
          <cell r="Q28">
            <v>0</v>
          </cell>
          <cell r="R28">
            <v>0</v>
          </cell>
          <cell r="S28">
            <v>0</v>
          </cell>
          <cell r="T28">
            <v>0</v>
          </cell>
          <cell r="U28">
            <v>0</v>
          </cell>
          <cell r="V28">
            <v>0</v>
          </cell>
          <cell r="W28">
            <v>447.59900000001653</v>
          </cell>
          <cell r="X28">
            <v>0</v>
          </cell>
          <cell r="Y28">
            <v>447.59900000001653</v>
          </cell>
          <cell r="Z28">
            <v>8.143871242193498</v>
          </cell>
          <cell r="AA28">
            <v>0</v>
          </cell>
          <cell r="AB28">
            <v>48</v>
          </cell>
          <cell r="AC28">
            <v>0</v>
          </cell>
          <cell r="AD28">
            <v>0</v>
          </cell>
          <cell r="AE28">
            <v>176.25</v>
          </cell>
          <cell r="AF28">
            <v>24</v>
          </cell>
          <cell r="AG28">
            <v>134.47500000000582</v>
          </cell>
          <cell r="AH28">
            <v>24</v>
          </cell>
          <cell r="AI28">
            <v>10.299999999997453</v>
          </cell>
          <cell r="AJ28">
            <v>46.550000000005639</v>
          </cell>
          <cell r="AK28">
            <v>28.740000000005239</v>
          </cell>
          <cell r="AL28">
            <v>0</v>
          </cell>
          <cell r="AM28">
            <v>45.7590000000082</v>
          </cell>
          <cell r="AN28">
            <v>4.5249999999941792</v>
          </cell>
          <cell r="AO28">
            <v>1</v>
          </cell>
          <cell r="AP28">
            <v>145.51300000000629</v>
          </cell>
          <cell r="AQ28">
            <v>89.690999999991618</v>
          </cell>
          <cell r="AR28">
            <v>0</v>
          </cell>
          <cell r="AS28">
            <v>0</v>
          </cell>
          <cell r="AT28">
            <v>19.730000000010477</v>
          </cell>
          <cell r="AU28">
            <v>5.3100000000013097</v>
          </cell>
          <cell r="AV28">
            <v>83.710000000020955</v>
          </cell>
          <cell r="AW28">
            <v>58.705000000001746</v>
          </cell>
          <cell r="AX28">
            <v>4.3000000000020009</v>
          </cell>
          <cell r="AY28">
            <v>38.169999999995525</v>
          </cell>
          <cell r="AZ28">
            <v>22.479999999995925</v>
          </cell>
          <cell r="BA28">
            <v>0</v>
          </cell>
          <cell r="BB28">
            <v>20.843999999986409</v>
          </cell>
          <cell r="BC28">
            <v>6.9949999999953434</v>
          </cell>
          <cell r="BD28">
            <v>0</v>
          </cell>
          <cell r="BE28">
            <v>235.2039999999979</v>
          </cell>
          <cell r="BF28">
            <v>13677.738207999999</v>
          </cell>
          <cell r="BG28">
            <v>36033.912306492894</v>
          </cell>
          <cell r="BH28">
            <v>6760</v>
          </cell>
          <cell r="BI28">
            <v>0</v>
          </cell>
          <cell r="BJ28">
            <v>0</v>
          </cell>
          <cell r="BK28">
            <v>0</v>
          </cell>
          <cell r="BL28">
            <v>0</v>
          </cell>
          <cell r="BM28">
            <v>0</v>
          </cell>
          <cell r="BN28">
            <v>0</v>
          </cell>
          <cell r="BO28">
            <v>0</v>
          </cell>
          <cell r="BP28">
            <v>0</v>
          </cell>
          <cell r="BQ28">
            <v>0</v>
          </cell>
          <cell r="BR28">
            <v>0</v>
          </cell>
          <cell r="BS28">
            <v>0</v>
          </cell>
        </row>
        <row r="29">
          <cell r="B29">
            <v>43483</v>
          </cell>
          <cell r="C29">
            <v>231</v>
          </cell>
          <cell r="D29">
            <v>4.1275214103444586</v>
          </cell>
          <cell r="E29">
            <v>24</v>
          </cell>
          <cell r="F29">
            <v>0</v>
          </cell>
          <cell r="G29">
            <v>0</v>
          </cell>
          <cell r="H29">
            <v>0</v>
          </cell>
          <cell r="I29">
            <v>231</v>
          </cell>
          <cell r="J29">
            <v>213.5</v>
          </cell>
          <cell r="K29">
            <v>3.9924264430732923</v>
          </cell>
          <cell r="L29">
            <v>24</v>
          </cell>
          <cell r="M29">
            <v>0</v>
          </cell>
          <cell r="N29">
            <v>0</v>
          </cell>
          <cell r="O29">
            <v>0</v>
          </cell>
          <cell r="P29">
            <v>213.5</v>
          </cell>
          <cell r="Q29">
            <v>0</v>
          </cell>
          <cell r="R29">
            <v>0</v>
          </cell>
          <cell r="S29">
            <v>0</v>
          </cell>
          <cell r="T29">
            <v>0</v>
          </cell>
          <cell r="U29">
            <v>0</v>
          </cell>
          <cell r="V29">
            <v>0</v>
          </cell>
          <cell r="W29">
            <v>444.5</v>
          </cell>
          <cell r="X29">
            <v>0</v>
          </cell>
          <cell r="Y29">
            <v>444.5</v>
          </cell>
          <cell r="Z29">
            <v>8.1199478534177505</v>
          </cell>
          <cell r="AA29">
            <v>0</v>
          </cell>
          <cell r="AB29">
            <v>48</v>
          </cell>
          <cell r="AC29">
            <v>0</v>
          </cell>
          <cell r="AD29">
            <v>0</v>
          </cell>
          <cell r="AE29">
            <v>177.40000000002328</v>
          </cell>
          <cell r="AF29">
            <v>24</v>
          </cell>
          <cell r="AG29">
            <v>132.29999999998836</v>
          </cell>
          <cell r="AH29">
            <v>24</v>
          </cell>
          <cell r="AI29">
            <v>5.4000000000014552</v>
          </cell>
          <cell r="AJ29">
            <v>48.999999999996817</v>
          </cell>
          <cell r="AK29">
            <v>28.5</v>
          </cell>
          <cell r="AL29">
            <v>0</v>
          </cell>
          <cell r="AM29">
            <v>46.199999999978445</v>
          </cell>
          <cell r="AN29">
            <v>3.900000000011687</v>
          </cell>
          <cell r="AO29">
            <v>1.7999999999999545</v>
          </cell>
          <cell r="AP29">
            <v>118</v>
          </cell>
          <cell r="AQ29">
            <v>119</v>
          </cell>
          <cell r="AR29">
            <v>0</v>
          </cell>
          <cell r="AS29">
            <v>0</v>
          </cell>
          <cell r="AT29">
            <v>20.5</v>
          </cell>
          <cell r="AU29">
            <v>5.2999999999992724</v>
          </cell>
          <cell r="AV29">
            <v>83.799999999988358</v>
          </cell>
          <cell r="AW29">
            <v>58.19999999999709</v>
          </cell>
          <cell r="AX29">
            <v>2.2999999999974534</v>
          </cell>
          <cell r="AY29">
            <v>40.000000000001364</v>
          </cell>
          <cell r="AZ29">
            <v>22.700000000004366</v>
          </cell>
          <cell r="BA29">
            <v>0</v>
          </cell>
          <cell r="BB29">
            <v>23.000000000011369</v>
          </cell>
          <cell r="BC29">
            <v>7</v>
          </cell>
          <cell r="BD29">
            <v>0</v>
          </cell>
          <cell r="BE29">
            <v>237</v>
          </cell>
          <cell r="BF29">
            <v>13227.002560000001</v>
          </cell>
          <cell r="BG29">
            <v>37236.935486373994</v>
          </cell>
          <cell r="BH29">
            <v>3648</v>
          </cell>
          <cell r="BI29">
            <v>0</v>
          </cell>
          <cell r="BJ29">
            <v>0</v>
          </cell>
          <cell r="BK29">
            <v>0</v>
          </cell>
          <cell r="BL29">
            <v>0</v>
          </cell>
          <cell r="BM29">
            <v>0</v>
          </cell>
          <cell r="BN29">
            <v>0</v>
          </cell>
          <cell r="BO29">
            <v>0</v>
          </cell>
          <cell r="BP29">
            <v>0</v>
          </cell>
          <cell r="BQ29">
            <v>0</v>
          </cell>
          <cell r="BR29">
            <v>0</v>
          </cell>
          <cell r="BS29">
            <v>0</v>
          </cell>
        </row>
        <row r="30">
          <cell r="B30">
            <v>43484</v>
          </cell>
          <cell r="C30">
            <v>162</v>
          </cell>
          <cell r="D30">
            <v>3.5948612536752877</v>
          </cell>
          <cell r="E30">
            <v>24</v>
          </cell>
          <cell r="F30">
            <v>0</v>
          </cell>
          <cell r="G30">
            <v>0</v>
          </cell>
          <cell r="H30">
            <v>0</v>
          </cell>
          <cell r="I30">
            <v>162</v>
          </cell>
          <cell r="J30">
            <v>283</v>
          </cell>
          <cell r="K30">
            <v>4.5289464559502104</v>
          </cell>
          <cell r="L30">
            <v>24</v>
          </cell>
          <cell r="M30">
            <v>0</v>
          </cell>
          <cell r="N30">
            <v>0</v>
          </cell>
          <cell r="O30">
            <v>0</v>
          </cell>
          <cell r="P30">
            <v>283</v>
          </cell>
          <cell r="Q30">
            <v>0</v>
          </cell>
          <cell r="R30">
            <v>0</v>
          </cell>
          <cell r="S30">
            <v>0</v>
          </cell>
          <cell r="T30">
            <v>0</v>
          </cell>
          <cell r="U30">
            <v>0</v>
          </cell>
          <cell r="V30">
            <v>0</v>
          </cell>
          <cell r="W30">
            <v>445</v>
          </cell>
          <cell r="X30">
            <v>0</v>
          </cell>
          <cell r="Y30">
            <v>445</v>
          </cell>
          <cell r="Z30">
            <v>8.123807709625499</v>
          </cell>
          <cell r="AA30">
            <v>0</v>
          </cell>
          <cell r="AB30">
            <v>48</v>
          </cell>
          <cell r="AC30">
            <v>0</v>
          </cell>
          <cell r="AD30">
            <v>0</v>
          </cell>
          <cell r="AE30">
            <v>180</v>
          </cell>
          <cell r="AF30">
            <v>24</v>
          </cell>
          <cell r="AG30">
            <v>130.70000000001164</v>
          </cell>
          <cell r="AH30">
            <v>24</v>
          </cell>
          <cell r="AI30">
            <v>5.7000000000007276</v>
          </cell>
          <cell r="AJ30">
            <v>49.000000000003183</v>
          </cell>
          <cell r="AK30">
            <v>27.399999999994179</v>
          </cell>
          <cell r="AL30">
            <v>0</v>
          </cell>
          <cell r="AM30">
            <v>46.199999999990268</v>
          </cell>
          <cell r="AN30">
            <v>4.2999999999999545</v>
          </cell>
          <cell r="AO30">
            <v>1.7000000000000455</v>
          </cell>
          <cell r="AP30">
            <v>81</v>
          </cell>
          <cell r="AQ30">
            <v>157</v>
          </cell>
          <cell r="AR30">
            <v>0</v>
          </cell>
          <cell r="AS30">
            <v>0</v>
          </cell>
          <cell r="AT30">
            <v>20</v>
          </cell>
          <cell r="AU30">
            <v>5.2999999999992724</v>
          </cell>
          <cell r="AV30">
            <v>86</v>
          </cell>
          <cell r="AW30">
            <v>57.5</v>
          </cell>
          <cell r="AX30">
            <v>2.3000000000001819</v>
          </cell>
          <cell r="AY30">
            <v>40.100000000003092</v>
          </cell>
          <cell r="AZ30">
            <v>22.099999999998545</v>
          </cell>
          <cell r="BA30">
            <v>0</v>
          </cell>
          <cell r="BB30">
            <v>22.499999999998181</v>
          </cell>
          <cell r="BC30">
            <v>7.5</v>
          </cell>
          <cell r="BD30">
            <v>0</v>
          </cell>
          <cell r="BE30">
            <v>238</v>
          </cell>
          <cell r="BF30">
            <v>12342.791456000001</v>
          </cell>
          <cell r="BG30">
            <v>35158.501887627041</v>
          </cell>
          <cell r="BH30">
            <v>3663</v>
          </cell>
          <cell r="BI30">
            <v>0</v>
          </cell>
          <cell r="BJ30">
            <v>0</v>
          </cell>
          <cell r="BK30">
            <v>0</v>
          </cell>
          <cell r="BL30">
            <v>0</v>
          </cell>
          <cell r="BM30">
            <v>0</v>
          </cell>
          <cell r="BN30">
            <v>0</v>
          </cell>
          <cell r="BO30">
            <v>0</v>
          </cell>
          <cell r="BP30">
            <v>0</v>
          </cell>
          <cell r="BQ30">
            <v>0</v>
          </cell>
          <cell r="BR30">
            <v>0</v>
          </cell>
          <cell r="BS30">
            <v>0</v>
          </cell>
        </row>
        <row r="31">
          <cell r="B31">
            <v>43485</v>
          </cell>
          <cell r="C31">
            <v>160.5</v>
          </cell>
          <cell r="D31">
            <v>3.5832816850520448</v>
          </cell>
          <cell r="E31">
            <v>24</v>
          </cell>
          <cell r="F31">
            <v>0</v>
          </cell>
          <cell r="G31">
            <v>0</v>
          </cell>
          <cell r="H31">
            <v>0</v>
          </cell>
          <cell r="I31">
            <v>160.5</v>
          </cell>
          <cell r="J31">
            <v>286</v>
          </cell>
          <cell r="K31">
            <v>4.5521055931966963</v>
          </cell>
          <cell r="L31">
            <v>24</v>
          </cell>
          <cell r="M31">
            <v>0</v>
          </cell>
          <cell r="N31">
            <v>0</v>
          </cell>
          <cell r="O31">
            <v>0</v>
          </cell>
          <cell r="P31">
            <v>286</v>
          </cell>
          <cell r="Q31">
            <v>0</v>
          </cell>
          <cell r="R31">
            <v>0</v>
          </cell>
          <cell r="S31">
            <v>0</v>
          </cell>
          <cell r="T31">
            <v>0</v>
          </cell>
          <cell r="U31">
            <v>0</v>
          </cell>
          <cell r="V31">
            <v>0</v>
          </cell>
          <cell r="W31">
            <v>446.5</v>
          </cell>
          <cell r="X31">
            <v>0</v>
          </cell>
          <cell r="Y31">
            <v>446.5</v>
          </cell>
          <cell r="Z31">
            <v>8.1353872782487411</v>
          </cell>
          <cell r="AA31">
            <v>0</v>
          </cell>
          <cell r="AB31">
            <v>48</v>
          </cell>
          <cell r="AC31">
            <v>0</v>
          </cell>
          <cell r="AD31">
            <v>0</v>
          </cell>
          <cell r="AE31">
            <v>177.5</v>
          </cell>
          <cell r="AF31">
            <v>24</v>
          </cell>
          <cell r="AG31">
            <v>130</v>
          </cell>
          <cell r="AH31">
            <v>24</v>
          </cell>
          <cell r="AI31">
            <v>10.299999999997453</v>
          </cell>
          <cell r="AJ31">
            <v>48.899999999998272</v>
          </cell>
          <cell r="AK31">
            <v>28.5</v>
          </cell>
          <cell r="AL31">
            <v>0</v>
          </cell>
          <cell r="AM31">
            <v>44.800000000004275</v>
          </cell>
          <cell r="AN31">
            <v>4.7999999999999545</v>
          </cell>
          <cell r="AO31">
            <v>1.7000000000000455</v>
          </cell>
          <cell r="AP31">
            <v>85</v>
          </cell>
          <cell r="AQ31">
            <v>155.5</v>
          </cell>
          <cell r="AR31">
            <v>0</v>
          </cell>
          <cell r="AS31">
            <v>0</v>
          </cell>
          <cell r="AT31">
            <v>19.599999999991269</v>
          </cell>
          <cell r="AU31">
            <v>5.2000000000007276</v>
          </cell>
          <cell r="AV31">
            <v>84.200000000011642</v>
          </cell>
          <cell r="AW31">
            <v>58</v>
          </cell>
          <cell r="AX31">
            <v>4.3999999999996362</v>
          </cell>
          <cell r="AY31">
            <v>40.199999999994361</v>
          </cell>
          <cell r="AZ31">
            <v>22.19999999999709</v>
          </cell>
          <cell r="BA31">
            <v>0</v>
          </cell>
          <cell r="BB31">
            <v>24.999999999997272</v>
          </cell>
          <cell r="BC31">
            <v>6.5</v>
          </cell>
          <cell r="BD31">
            <v>0</v>
          </cell>
          <cell r="BE31">
            <v>240.5</v>
          </cell>
          <cell r="BF31">
            <v>12412.751584</v>
          </cell>
          <cell r="BG31">
            <v>36056.443087608466</v>
          </cell>
          <cell r="BH31">
            <v>7132</v>
          </cell>
          <cell r="BI31">
            <v>0</v>
          </cell>
          <cell r="BJ31">
            <v>0</v>
          </cell>
          <cell r="BK31">
            <v>0</v>
          </cell>
          <cell r="BL31">
            <v>0</v>
          </cell>
          <cell r="BM31">
            <v>0</v>
          </cell>
          <cell r="BN31">
            <v>0</v>
          </cell>
          <cell r="BO31">
            <v>0</v>
          </cell>
          <cell r="BP31">
            <v>0</v>
          </cell>
          <cell r="BQ31">
            <v>0</v>
          </cell>
          <cell r="BR31">
            <v>0</v>
          </cell>
          <cell r="BS31">
            <v>0</v>
          </cell>
        </row>
        <row r="32">
          <cell r="B32">
            <v>43486</v>
          </cell>
          <cell r="C32">
            <v>166.5</v>
          </cell>
          <cell r="D32">
            <v>3.6295999595450166</v>
          </cell>
          <cell r="E32">
            <v>24</v>
          </cell>
          <cell r="F32">
            <v>0</v>
          </cell>
          <cell r="G32">
            <v>0</v>
          </cell>
          <cell r="H32">
            <v>0</v>
          </cell>
          <cell r="I32">
            <v>166.5</v>
          </cell>
          <cell r="J32">
            <v>292</v>
          </cell>
          <cell r="K32">
            <v>4.598423867689668</v>
          </cell>
          <cell r="L32">
            <v>24</v>
          </cell>
          <cell r="M32">
            <v>0</v>
          </cell>
          <cell r="N32">
            <v>0</v>
          </cell>
          <cell r="O32">
            <v>0</v>
          </cell>
          <cell r="P32">
            <v>292</v>
          </cell>
          <cell r="Q32">
            <v>0</v>
          </cell>
          <cell r="R32">
            <v>0</v>
          </cell>
          <cell r="S32">
            <v>0</v>
          </cell>
          <cell r="T32">
            <v>8.4000000000003183E-2</v>
          </cell>
          <cell r="U32">
            <v>10.080000000000382</v>
          </cell>
          <cell r="V32">
            <v>0.20000000000004547</v>
          </cell>
          <cell r="W32">
            <v>458.5</v>
          </cell>
          <cell r="X32">
            <v>8.4000000000003183E-2</v>
          </cell>
          <cell r="Y32">
            <v>458.584</v>
          </cell>
          <cell r="Z32">
            <v>8.2280238272346846</v>
          </cell>
          <cell r="AA32">
            <v>10.080000000000382</v>
          </cell>
          <cell r="AB32">
            <v>48</v>
          </cell>
          <cell r="AC32">
            <v>0.20000000000004547</v>
          </cell>
          <cell r="AD32">
            <v>0.19999992847442627</v>
          </cell>
          <cell r="AE32">
            <v>177.5</v>
          </cell>
          <cell r="AF32">
            <v>24</v>
          </cell>
          <cell r="AG32">
            <v>135</v>
          </cell>
          <cell r="AH32">
            <v>24</v>
          </cell>
          <cell r="AI32">
            <v>15.799999999995634</v>
          </cell>
          <cell r="AJ32">
            <v>48.799999999996999</v>
          </cell>
          <cell r="AK32">
            <v>29.5</v>
          </cell>
          <cell r="AL32">
            <v>0</v>
          </cell>
          <cell r="AM32">
            <v>46.600000000019008</v>
          </cell>
          <cell r="AN32">
            <v>4.4839999999883844</v>
          </cell>
          <cell r="AO32">
            <v>0.89999999999997726</v>
          </cell>
          <cell r="AP32">
            <v>89</v>
          </cell>
          <cell r="AQ32">
            <v>157.5</v>
          </cell>
          <cell r="AR32">
            <v>0</v>
          </cell>
          <cell r="AS32">
            <v>0</v>
          </cell>
          <cell r="AT32">
            <v>20.100000000005821</v>
          </cell>
          <cell r="AU32">
            <v>5.2999999999992724</v>
          </cell>
          <cell r="AV32">
            <v>85.799999999988358</v>
          </cell>
          <cell r="AW32">
            <v>59</v>
          </cell>
          <cell r="AX32">
            <v>6.5999999999994543</v>
          </cell>
          <cell r="AY32">
            <v>40.099999999999909</v>
          </cell>
          <cell r="AZ32">
            <v>23.900000000001455</v>
          </cell>
          <cell r="BA32">
            <v>0</v>
          </cell>
          <cell r="BB32">
            <v>23.600000000010823</v>
          </cell>
          <cell r="BC32">
            <v>7.5</v>
          </cell>
          <cell r="BD32">
            <v>0</v>
          </cell>
          <cell r="BE32">
            <v>246.5</v>
          </cell>
          <cell r="BF32">
            <v>12037</v>
          </cell>
          <cell r="BG32">
            <v>29777</v>
          </cell>
          <cell r="BH32">
            <v>9810</v>
          </cell>
          <cell r="BI32">
            <v>0</v>
          </cell>
          <cell r="BJ32">
            <v>0</v>
          </cell>
          <cell r="BK32">
            <v>0</v>
          </cell>
          <cell r="BL32">
            <v>0</v>
          </cell>
          <cell r="BM32">
            <v>0</v>
          </cell>
          <cell r="BN32">
            <v>0</v>
          </cell>
          <cell r="BO32">
            <v>0</v>
          </cell>
          <cell r="BP32">
            <v>0</v>
          </cell>
          <cell r="BQ32">
            <v>0</v>
          </cell>
          <cell r="BR32">
            <v>0</v>
          </cell>
          <cell r="BS32">
            <v>0</v>
          </cell>
        </row>
        <row r="33">
          <cell r="B33">
            <v>43487</v>
          </cell>
          <cell r="C33">
            <v>170.5</v>
          </cell>
          <cell r="D33">
            <v>3.6604788092069973</v>
          </cell>
          <cell r="E33">
            <v>24</v>
          </cell>
          <cell r="F33">
            <v>0</v>
          </cell>
          <cell r="G33">
            <v>0</v>
          </cell>
          <cell r="H33">
            <v>0</v>
          </cell>
          <cell r="I33">
            <v>170.5</v>
          </cell>
          <cell r="J33">
            <v>292.40000000002328</v>
          </cell>
          <cell r="K33">
            <v>4.6015117526560463</v>
          </cell>
          <cell r="L33">
            <v>24</v>
          </cell>
          <cell r="M33">
            <v>0</v>
          </cell>
          <cell r="N33">
            <v>0</v>
          </cell>
          <cell r="O33">
            <v>0</v>
          </cell>
          <cell r="P33">
            <v>292.40000000002328</v>
          </cell>
          <cell r="Q33">
            <v>0</v>
          </cell>
          <cell r="R33">
            <v>0</v>
          </cell>
          <cell r="S33">
            <v>0</v>
          </cell>
          <cell r="T33">
            <v>0</v>
          </cell>
          <cell r="U33">
            <v>0</v>
          </cell>
          <cell r="V33">
            <v>0</v>
          </cell>
          <cell r="W33">
            <v>462.90000000002328</v>
          </cell>
          <cell r="X33">
            <v>0</v>
          </cell>
          <cell r="Y33">
            <v>462.90000000002328</v>
          </cell>
          <cell r="Z33">
            <v>8.261990561863044</v>
          </cell>
          <cell r="AA33">
            <v>0</v>
          </cell>
          <cell r="AB33">
            <v>48</v>
          </cell>
          <cell r="AC33">
            <v>0</v>
          </cell>
          <cell r="AD33">
            <v>0</v>
          </cell>
          <cell r="AE33">
            <v>183</v>
          </cell>
          <cell r="AF33">
            <v>24</v>
          </cell>
          <cell r="AG33">
            <v>138</v>
          </cell>
          <cell r="AH33">
            <v>24</v>
          </cell>
          <cell r="AI33">
            <v>7.8000000000047294</v>
          </cell>
          <cell r="AJ33">
            <v>49.900000000003274</v>
          </cell>
          <cell r="AK33">
            <v>28.400000000008731</v>
          </cell>
          <cell r="AL33">
            <v>0</v>
          </cell>
          <cell r="AM33">
            <v>46.800000000006548</v>
          </cell>
          <cell r="AN33">
            <v>7.8000000000000682</v>
          </cell>
          <cell r="AO33">
            <v>1.1999999999999318</v>
          </cell>
          <cell r="AP33">
            <v>82.5</v>
          </cell>
          <cell r="AQ33">
            <v>164.79999999998836</v>
          </cell>
          <cell r="AR33">
            <v>0</v>
          </cell>
          <cell r="AS33">
            <v>0</v>
          </cell>
          <cell r="AT33">
            <v>20.5</v>
          </cell>
          <cell r="AU33">
            <v>5.4000000000014552</v>
          </cell>
          <cell r="AV33">
            <v>86</v>
          </cell>
          <cell r="AW33">
            <v>60</v>
          </cell>
          <cell r="AX33">
            <v>3.500000000003638</v>
          </cell>
          <cell r="AY33">
            <v>40.900000000005548</v>
          </cell>
          <cell r="AZ33">
            <v>21.599999999998545</v>
          </cell>
          <cell r="BA33">
            <v>0</v>
          </cell>
          <cell r="BB33">
            <v>26.699999999974807</v>
          </cell>
          <cell r="BC33">
            <v>8.6000000000058208</v>
          </cell>
          <cell r="BD33">
            <v>0</v>
          </cell>
          <cell r="BE33">
            <v>247.29999999998836</v>
          </cell>
          <cell r="BF33">
            <v>12138.289903999997</v>
          </cell>
          <cell r="BG33">
            <v>36070.720120083737</v>
          </cell>
          <cell r="BH33">
            <v>5064</v>
          </cell>
          <cell r="BI33">
            <v>0</v>
          </cell>
          <cell r="BJ33">
            <v>0</v>
          </cell>
          <cell r="BK33">
            <v>0</v>
          </cell>
          <cell r="BL33">
            <v>0</v>
          </cell>
          <cell r="BM33">
            <v>0</v>
          </cell>
          <cell r="BN33">
            <v>0</v>
          </cell>
          <cell r="BO33">
            <v>0</v>
          </cell>
          <cell r="BP33">
            <v>0</v>
          </cell>
          <cell r="BQ33">
            <v>0</v>
          </cell>
          <cell r="BR33">
            <v>0</v>
          </cell>
          <cell r="BS33">
            <v>0</v>
          </cell>
        </row>
        <row r="34">
          <cell r="B34">
            <v>43488</v>
          </cell>
          <cell r="C34">
            <v>170.5</v>
          </cell>
          <cell r="D34">
            <v>3.6604788092069973</v>
          </cell>
          <cell r="E34">
            <v>24</v>
          </cell>
          <cell r="F34">
            <v>0</v>
          </cell>
          <cell r="G34">
            <v>0</v>
          </cell>
          <cell r="H34">
            <v>0</v>
          </cell>
          <cell r="I34">
            <v>170.5</v>
          </cell>
          <cell r="J34">
            <v>280.19999999995343</v>
          </cell>
          <cell r="K34">
            <v>4.5073312611864651</v>
          </cell>
          <cell r="L34">
            <v>24</v>
          </cell>
          <cell r="M34">
            <v>0</v>
          </cell>
          <cell r="N34">
            <v>0</v>
          </cell>
          <cell r="O34">
            <v>0</v>
          </cell>
          <cell r="P34">
            <v>280.19999999995343</v>
          </cell>
          <cell r="Q34">
            <v>0.51300000000003365</v>
          </cell>
          <cell r="R34">
            <v>61.560000000004038</v>
          </cell>
          <cell r="S34">
            <v>0.7999999999992724</v>
          </cell>
          <cell r="T34">
            <v>0.6470000000000482</v>
          </cell>
          <cell r="U34">
            <v>77.640000000005784</v>
          </cell>
          <cell r="V34">
            <v>0.75</v>
          </cell>
          <cell r="W34">
            <v>450.69999999995343</v>
          </cell>
          <cell r="X34">
            <v>1.1600000000000819</v>
          </cell>
          <cell r="Y34">
            <v>451.85999999995352</v>
          </cell>
          <cell r="Z34">
            <v>8.1678100703934629</v>
          </cell>
          <cell r="AA34">
            <v>139.20000000000982</v>
          </cell>
          <cell r="AB34">
            <v>48</v>
          </cell>
          <cell r="AC34">
            <v>1.5499999999992724</v>
          </cell>
          <cell r="AD34">
            <v>1.5499992370605469</v>
          </cell>
          <cell r="AE34">
            <v>178</v>
          </cell>
          <cell r="AF34">
            <v>24</v>
          </cell>
          <cell r="AG34">
            <v>136</v>
          </cell>
          <cell r="AH34">
            <v>24</v>
          </cell>
          <cell r="AI34">
            <v>9.4000000000014552</v>
          </cell>
          <cell r="AJ34">
            <v>49.400000000001455</v>
          </cell>
          <cell r="AK34">
            <v>27.899999999994179</v>
          </cell>
          <cell r="AL34">
            <v>0</v>
          </cell>
          <cell r="AM34">
            <v>45.612999999962199</v>
          </cell>
          <cell r="AN34">
            <v>4.846999999994182</v>
          </cell>
          <cell r="AO34">
            <v>0.70000000000004547</v>
          </cell>
          <cell r="AP34">
            <v>79.69999999999709</v>
          </cell>
          <cell r="AQ34">
            <v>161.5</v>
          </cell>
          <cell r="AR34">
            <v>0.28499999999996817</v>
          </cell>
          <cell r="AS34">
            <v>0.29399999999998272</v>
          </cell>
          <cell r="AT34">
            <v>19.5</v>
          </cell>
          <cell r="AU34">
            <v>5.2000000000007276</v>
          </cell>
          <cell r="AV34">
            <v>84</v>
          </cell>
          <cell r="AW34">
            <v>59</v>
          </cell>
          <cell r="AX34">
            <v>3.7999999999992724</v>
          </cell>
          <cell r="AY34">
            <v>40.399999999998727</v>
          </cell>
          <cell r="AZ34">
            <v>22</v>
          </cell>
          <cell r="BA34">
            <v>0</v>
          </cell>
          <cell r="BB34">
            <v>25.585000000001969</v>
          </cell>
          <cell r="BC34">
            <v>6.9939999999970723</v>
          </cell>
          <cell r="BD34">
            <v>0</v>
          </cell>
          <cell r="BE34">
            <v>241.77899999999704</v>
          </cell>
          <cell r="BF34">
            <v>12360</v>
          </cell>
          <cell r="BG34">
            <v>30435</v>
          </cell>
          <cell r="BH34">
            <v>6441</v>
          </cell>
          <cell r="BI34">
            <v>0</v>
          </cell>
          <cell r="BJ34">
            <v>0</v>
          </cell>
          <cell r="BK34">
            <v>0</v>
          </cell>
          <cell r="BL34">
            <v>0</v>
          </cell>
          <cell r="BM34">
            <v>0</v>
          </cell>
          <cell r="BN34">
            <v>0</v>
          </cell>
          <cell r="BO34">
            <v>0</v>
          </cell>
          <cell r="BP34">
            <v>0</v>
          </cell>
          <cell r="BQ34">
            <v>0</v>
          </cell>
          <cell r="BR34">
            <v>0</v>
          </cell>
          <cell r="BS34">
            <v>0</v>
          </cell>
        </row>
        <row r="35">
          <cell r="B35">
            <v>43489</v>
          </cell>
          <cell r="C35">
            <v>165.5</v>
          </cell>
          <cell r="D35">
            <v>3.6218802471295213</v>
          </cell>
          <cell r="E35">
            <v>24</v>
          </cell>
          <cell r="F35">
            <v>0</v>
          </cell>
          <cell r="G35">
            <v>0</v>
          </cell>
          <cell r="H35">
            <v>0</v>
          </cell>
          <cell r="I35">
            <v>165.5</v>
          </cell>
          <cell r="J35">
            <v>299.20000000001164</v>
          </cell>
          <cell r="K35">
            <v>4.6540057970813233</v>
          </cell>
          <cell r="L35">
            <v>24</v>
          </cell>
          <cell r="M35">
            <v>0</v>
          </cell>
          <cell r="N35">
            <v>0</v>
          </cell>
          <cell r="O35">
            <v>0</v>
          </cell>
          <cell r="P35">
            <v>299.20000000001164</v>
          </cell>
          <cell r="Q35">
            <v>0</v>
          </cell>
          <cell r="R35">
            <v>0</v>
          </cell>
          <cell r="S35">
            <v>0</v>
          </cell>
          <cell r="T35">
            <v>0</v>
          </cell>
          <cell r="U35">
            <v>0</v>
          </cell>
          <cell r="V35">
            <v>0</v>
          </cell>
          <cell r="W35">
            <v>464.70000000001164</v>
          </cell>
          <cell r="X35">
            <v>0</v>
          </cell>
          <cell r="Y35">
            <v>464.70000000001164</v>
          </cell>
          <cell r="Z35">
            <v>8.2758860442108446</v>
          </cell>
          <cell r="AA35">
            <v>0</v>
          </cell>
          <cell r="AB35">
            <v>48</v>
          </cell>
          <cell r="AC35">
            <v>0</v>
          </cell>
          <cell r="AD35">
            <v>0</v>
          </cell>
          <cell r="AE35">
            <v>175</v>
          </cell>
          <cell r="AF35">
            <v>24</v>
          </cell>
          <cell r="AG35">
            <v>138</v>
          </cell>
          <cell r="AH35">
            <v>24</v>
          </cell>
          <cell r="AI35">
            <v>12.999999999998181</v>
          </cell>
          <cell r="AJ35">
            <v>50.099999999996726</v>
          </cell>
          <cell r="AK35">
            <v>29.100000000005821</v>
          </cell>
          <cell r="AL35">
            <v>0</v>
          </cell>
          <cell r="AM35">
            <v>52.000000000010914</v>
          </cell>
          <cell r="AN35">
            <v>6.7000000000000455</v>
          </cell>
          <cell r="AO35">
            <v>0.79999999999995453</v>
          </cell>
          <cell r="AP35">
            <v>79.100000000005821</v>
          </cell>
          <cell r="AQ35">
            <v>168.70000000001164</v>
          </cell>
          <cell r="AR35">
            <v>0</v>
          </cell>
          <cell r="AS35">
            <v>0</v>
          </cell>
          <cell r="AT35">
            <v>20.399999999994179</v>
          </cell>
          <cell r="AU35">
            <v>5</v>
          </cell>
          <cell r="AV35">
            <v>86</v>
          </cell>
          <cell r="AW35">
            <v>60</v>
          </cell>
          <cell r="AX35">
            <v>5.1999999999998181</v>
          </cell>
          <cell r="AY35">
            <v>41.400000000000091</v>
          </cell>
          <cell r="AZ35">
            <v>23</v>
          </cell>
          <cell r="BA35">
            <v>0</v>
          </cell>
          <cell r="BB35">
            <v>24.500000000020464</v>
          </cell>
          <cell r="BC35">
            <v>7.6999999999970896</v>
          </cell>
          <cell r="BD35">
            <v>0</v>
          </cell>
          <cell r="BE35">
            <v>247.80000000001746</v>
          </cell>
          <cell r="BF35">
            <v>13109.151312</v>
          </cell>
          <cell r="BG35">
            <v>36894.977542845132</v>
          </cell>
          <cell r="BH35">
            <v>6903</v>
          </cell>
          <cell r="BI35">
            <v>0</v>
          </cell>
          <cell r="BJ35">
            <v>0</v>
          </cell>
          <cell r="BK35">
            <v>0</v>
          </cell>
          <cell r="BL35">
            <v>0</v>
          </cell>
          <cell r="BM35">
            <v>0</v>
          </cell>
          <cell r="BN35">
            <v>0</v>
          </cell>
          <cell r="BO35">
            <v>0</v>
          </cell>
          <cell r="BP35">
            <v>0</v>
          </cell>
          <cell r="BQ35">
            <v>0</v>
          </cell>
          <cell r="BR35">
            <v>0</v>
          </cell>
          <cell r="BS35">
            <v>0</v>
          </cell>
        </row>
        <row r="36">
          <cell r="B36">
            <v>43490</v>
          </cell>
          <cell r="C36">
            <v>164.79999999998836</v>
          </cell>
          <cell r="D36">
            <v>3.6164764484385845</v>
          </cell>
          <cell r="E36">
            <v>24</v>
          </cell>
          <cell r="F36">
            <v>0</v>
          </cell>
          <cell r="G36">
            <v>0</v>
          </cell>
          <cell r="H36">
            <v>0</v>
          </cell>
          <cell r="I36">
            <v>164.79999999998836</v>
          </cell>
          <cell r="J36">
            <v>288.20000000001164</v>
          </cell>
          <cell r="K36">
            <v>4.569088960510876</v>
          </cell>
          <cell r="L36">
            <v>24</v>
          </cell>
          <cell r="M36">
            <v>0</v>
          </cell>
          <cell r="N36">
            <v>0</v>
          </cell>
          <cell r="O36">
            <v>0</v>
          </cell>
          <cell r="P36">
            <v>288.20000000001164</v>
          </cell>
          <cell r="Q36">
            <v>0</v>
          </cell>
          <cell r="R36">
            <v>0</v>
          </cell>
          <cell r="S36">
            <v>0</v>
          </cell>
          <cell r="T36">
            <v>0</v>
          </cell>
          <cell r="U36">
            <v>0</v>
          </cell>
          <cell r="V36">
            <v>0</v>
          </cell>
          <cell r="W36">
            <v>453</v>
          </cell>
          <cell r="X36">
            <v>0</v>
          </cell>
          <cell r="Y36">
            <v>453</v>
          </cell>
          <cell r="Z36">
            <v>8.1855654089494614</v>
          </cell>
          <cell r="AA36">
            <v>0</v>
          </cell>
          <cell r="AB36">
            <v>48</v>
          </cell>
          <cell r="AC36">
            <v>0</v>
          </cell>
          <cell r="AD36">
            <v>0</v>
          </cell>
          <cell r="AE36">
            <v>185</v>
          </cell>
          <cell r="AF36">
            <v>24</v>
          </cell>
          <cell r="AG36">
            <v>138</v>
          </cell>
          <cell r="AH36">
            <v>24</v>
          </cell>
          <cell r="AI36">
            <v>9</v>
          </cell>
          <cell r="AJ36">
            <v>48.300000000000182</v>
          </cell>
          <cell r="AK36">
            <v>22.099999999991269</v>
          </cell>
          <cell r="AL36">
            <v>5.4600000000064028</v>
          </cell>
          <cell r="AM36">
            <v>40.039999999996326</v>
          </cell>
          <cell r="AN36">
            <v>4.3000000000057526</v>
          </cell>
          <cell r="AO36">
            <v>0.80000000000006821</v>
          </cell>
          <cell r="AP36">
            <v>84</v>
          </cell>
          <cell r="AQ36">
            <v>157.70000000001164</v>
          </cell>
          <cell r="AR36">
            <v>0</v>
          </cell>
          <cell r="AS36">
            <v>0</v>
          </cell>
          <cell r="AT36">
            <v>20.19999999999709</v>
          </cell>
          <cell r="AU36">
            <v>5.0999999999985448</v>
          </cell>
          <cell r="AV36">
            <v>84</v>
          </cell>
          <cell r="AW36">
            <v>60</v>
          </cell>
          <cell r="AX36">
            <v>3.5999999999985448</v>
          </cell>
          <cell r="AY36">
            <v>40.100000000001273</v>
          </cell>
          <cell r="AZ36">
            <v>17.600000000005821</v>
          </cell>
          <cell r="BA36">
            <v>4.1900000000023283</v>
          </cell>
          <cell r="BB36">
            <v>25.310000000009495</v>
          </cell>
          <cell r="BC36">
            <v>6.8999999999941792</v>
          </cell>
          <cell r="BD36">
            <v>0</v>
          </cell>
          <cell r="BE36">
            <v>241.70000000001164</v>
          </cell>
          <cell r="BF36">
            <v>14053.71248</v>
          </cell>
          <cell r="BG36">
            <v>37033.53995591159</v>
          </cell>
          <cell r="BH36">
            <v>5628</v>
          </cell>
          <cell r="BI36">
            <v>0</v>
          </cell>
          <cell r="BJ36">
            <v>0</v>
          </cell>
          <cell r="BK36">
            <v>0</v>
          </cell>
          <cell r="BL36">
            <v>0</v>
          </cell>
          <cell r="BM36">
            <v>0</v>
          </cell>
          <cell r="BN36">
            <v>0</v>
          </cell>
          <cell r="BO36">
            <v>0</v>
          </cell>
          <cell r="BP36">
            <v>0</v>
          </cell>
          <cell r="BQ36">
            <v>0</v>
          </cell>
          <cell r="BR36">
            <v>0</v>
          </cell>
          <cell r="BS36">
            <v>0</v>
          </cell>
        </row>
        <row r="37">
          <cell r="B37">
            <v>43491</v>
          </cell>
          <cell r="C37">
            <v>170.16599999999744</v>
          </cell>
          <cell r="D37">
            <v>3.6579004252602019</v>
          </cell>
          <cell r="E37">
            <v>24</v>
          </cell>
          <cell r="F37">
            <v>0</v>
          </cell>
          <cell r="G37">
            <v>0</v>
          </cell>
          <cell r="H37">
            <v>0</v>
          </cell>
          <cell r="I37">
            <v>170.16599999999744</v>
          </cell>
          <cell r="J37">
            <v>289.39299999998184</v>
          </cell>
          <cell r="K37">
            <v>4.5782985774223315</v>
          </cell>
          <cell r="L37">
            <v>24</v>
          </cell>
          <cell r="M37">
            <v>0</v>
          </cell>
          <cell r="N37">
            <v>0</v>
          </cell>
          <cell r="O37">
            <v>0</v>
          </cell>
          <cell r="P37">
            <v>289.39299999998184</v>
          </cell>
          <cell r="Q37">
            <v>0</v>
          </cell>
          <cell r="R37">
            <v>0</v>
          </cell>
          <cell r="S37">
            <v>0</v>
          </cell>
          <cell r="T37">
            <v>0</v>
          </cell>
          <cell r="U37">
            <v>0</v>
          </cell>
          <cell r="V37">
            <v>0</v>
          </cell>
          <cell r="W37">
            <v>459.55899999997928</v>
          </cell>
          <cell r="X37">
            <v>0</v>
          </cell>
          <cell r="Y37">
            <v>459.55899999997928</v>
          </cell>
          <cell r="Z37">
            <v>8.2361990026825325</v>
          </cell>
          <cell r="AA37">
            <v>0</v>
          </cell>
          <cell r="AB37">
            <v>48</v>
          </cell>
          <cell r="AC37">
            <v>0</v>
          </cell>
          <cell r="AD37">
            <v>0</v>
          </cell>
          <cell r="AE37">
            <v>183.50199999997858</v>
          </cell>
          <cell r="AF37">
            <v>24</v>
          </cell>
          <cell r="AG37">
            <v>139.35699999998906</v>
          </cell>
          <cell r="AH37">
            <v>24</v>
          </cell>
          <cell r="AI37">
            <v>7.2999999999956344</v>
          </cell>
          <cell r="AJ37">
            <v>48.989999999997053</v>
          </cell>
          <cell r="AK37">
            <v>10.520000000004075</v>
          </cell>
          <cell r="AL37">
            <v>17.599999999991269</v>
          </cell>
          <cell r="AM37">
            <v>46.647000000012667</v>
          </cell>
          <cell r="AN37">
            <v>4.9430000000110113</v>
          </cell>
          <cell r="AO37">
            <v>0.69999999999993179</v>
          </cell>
          <cell r="AP37">
            <v>86.160999999992782</v>
          </cell>
          <cell r="AQ37">
            <v>158.80799999998999</v>
          </cell>
          <cell r="AR37">
            <v>0</v>
          </cell>
          <cell r="AS37">
            <v>0</v>
          </cell>
          <cell r="AT37">
            <v>20.070000000006985</v>
          </cell>
          <cell r="AU37">
            <v>5.3600000000005821</v>
          </cell>
          <cell r="AV37">
            <v>87.404999999998836</v>
          </cell>
          <cell r="AW37">
            <v>61.789000000004307</v>
          </cell>
          <cell r="AX37">
            <v>3.1000000000012733</v>
          </cell>
          <cell r="AY37">
            <v>40.909999999998945</v>
          </cell>
          <cell r="AZ37">
            <v>8.0999999999985448</v>
          </cell>
          <cell r="BA37">
            <v>14.080000000001746</v>
          </cell>
          <cell r="BB37">
            <v>23.573999999980515</v>
          </cell>
          <cell r="BC37">
            <v>6.010999999998603</v>
          </cell>
          <cell r="BD37">
            <v>0</v>
          </cell>
          <cell r="BE37">
            <v>244.96899999998277</v>
          </cell>
          <cell r="BF37">
            <v>12751.905167999999</v>
          </cell>
          <cell r="BG37">
            <v>36991.215563562982</v>
          </cell>
          <cell r="BH37">
            <v>5163</v>
          </cell>
          <cell r="BI37">
            <v>0</v>
          </cell>
          <cell r="BJ37">
            <v>0</v>
          </cell>
          <cell r="BK37">
            <v>0</v>
          </cell>
          <cell r="BL37">
            <v>0</v>
          </cell>
          <cell r="BM37">
            <v>0</v>
          </cell>
          <cell r="BN37">
            <v>0</v>
          </cell>
          <cell r="BO37">
            <v>0</v>
          </cell>
          <cell r="BP37">
            <v>0</v>
          </cell>
          <cell r="BQ37">
            <v>0</v>
          </cell>
          <cell r="BR37">
            <v>0</v>
          </cell>
          <cell r="BS37">
            <v>0</v>
          </cell>
        </row>
        <row r="38">
          <cell r="B38">
            <v>43492</v>
          </cell>
          <cell r="C38">
            <v>166.05400000000373</v>
          </cell>
          <cell r="D38">
            <v>3.6261569678077343</v>
          </cell>
          <cell r="E38">
            <v>24</v>
          </cell>
          <cell r="F38">
            <v>0</v>
          </cell>
          <cell r="G38">
            <v>0</v>
          </cell>
          <cell r="H38">
            <v>0</v>
          </cell>
          <cell r="I38">
            <v>166.05400000000373</v>
          </cell>
          <cell r="J38">
            <v>294.09799999999814</v>
          </cell>
          <cell r="K38">
            <v>4.6146198243373622</v>
          </cell>
          <cell r="L38">
            <v>24</v>
          </cell>
          <cell r="M38">
            <v>0</v>
          </cell>
          <cell r="N38">
            <v>0</v>
          </cell>
          <cell r="O38">
            <v>0</v>
          </cell>
          <cell r="P38">
            <v>294.09799999999814</v>
          </cell>
          <cell r="Q38">
            <v>0</v>
          </cell>
          <cell r="R38">
            <v>0</v>
          </cell>
          <cell r="S38">
            <v>0</v>
          </cell>
          <cell r="T38">
            <v>0</v>
          </cell>
          <cell r="U38">
            <v>0</v>
          </cell>
          <cell r="V38">
            <v>0</v>
          </cell>
          <cell r="W38">
            <v>460.15200000000186</v>
          </cell>
          <cell r="X38">
            <v>0</v>
          </cell>
          <cell r="Y38">
            <v>460.15200000000186</v>
          </cell>
          <cell r="Z38">
            <v>8.2407767921450965</v>
          </cell>
          <cell r="AA38">
            <v>0</v>
          </cell>
          <cell r="AB38">
            <v>48</v>
          </cell>
          <cell r="AC38">
            <v>0</v>
          </cell>
          <cell r="AD38">
            <v>0</v>
          </cell>
          <cell r="AE38">
            <v>180.80600000004051</v>
          </cell>
          <cell r="AF38">
            <v>24</v>
          </cell>
          <cell r="AG38">
            <v>138.75900000002002</v>
          </cell>
          <cell r="AH38">
            <v>24</v>
          </cell>
          <cell r="AI38">
            <v>10.400000000003274</v>
          </cell>
          <cell r="AJ38">
            <v>48.580000000001746</v>
          </cell>
          <cell r="AK38">
            <v>10.529999999998836</v>
          </cell>
          <cell r="AL38">
            <v>18.559999999997672</v>
          </cell>
          <cell r="AM38">
            <v>46.575999999948181</v>
          </cell>
          <cell r="AN38">
            <v>4.9409999999916181</v>
          </cell>
          <cell r="AO38">
            <v>1</v>
          </cell>
          <cell r="AP38">
            <v>86.821000000010827</v>
          </cell>
          <cell r="AQ38">
            <v>158.57199999998556</v>
          </cell>
          <cell r="AR38">
            <v>0</v>
          </cell>
          <cell r="AS38">
            <v>0</v>
          </cell>
          <cell r="AT38">
            <v>19.850000000005821</v>
          </cell>
          <cell r="AU38">
            <v>5.4099999999998545</v>
          </cell>
          <cell r="AV38">
            <v>85.304999999993015</v>
          </cell>
          <cell r="AW38">
            <v>60.718999999997322</v>
          </cell>
          <cell r="AX38">
            <v>4.1999999999989086</v>
          </cell>
          <cell r="AY38">
            <v>40.31000000000131</v>
          </cell>
          <cell r="AZ38">
            <v>8.0999999999985448</v>
          </cell>
          <cell r="BA38">
            <v>14.889999999999418</v>
          </cell>
          <cell r="BB38">
            <v>25.187999999996464</v>
          </cell>
          <cell r="BC38">
            <v>6.6810000000114087</v>
          </cell>
          <cell r="BD38">
            <v>0</v>
          </cell>
          <cell r="BE38">
            <v>245.39299999999639</v>
          </cell>
          <cell r="BF38">
            <v>11564.047295999999</v>
          </cell>
          <cell r="BG38">
            <v>36763.056627716411</v>
          </cell>
          <cell r="BH38">
            <v>5234</v>
          </cell>
          <cell r="BI38">
            <v>0</v>
          </cell>
          <cell r="BJ38">
            <v>0</v>
          </cell>
          <cell r="BK38">
            <v>0</v>
          </cell>
          <cell r="BL38">
            <v>0</v>
          </cell>
          <cell r="BM38">
            <v>0</v>
          </cell>
          <cell r="BN38">
            <v>0</v>
          </cell>
          <cell r="BO38">
            <v>0</v>
          </cell>
          <cell r="BP38">
            <v>0</v>
          </cell>
          <cell r="BQ38">
            <v>0</v>
          </cell>
          <cell r="BR38">
            <v>0</v>
          </cell>
          <cell r="BS38">
            <v>0</v>
          </cell>
        </row>
        <row r="39">
          <cell r="B39">
            <v>43493</v>
          </cell>
          <cell r="C39">
            <v>167.46300000001793</v>
          </cell>
          <cell r="D39">
            <v>3.6370340426012766</v>
          </cell>
          <cell r="E39">
            <v>24</v>
          </cell>
          <cell r="F39">
            <v>0</v>
          </cell>
          <cell r="G39">
            <v>0</v>
          </cell>
          <cell r="H39">
            <v>0</v>
          </cell>
          <cell r="I39">
            <v>167.46300000001793</v>
          </cell>
          <cell r="J39">
            <v>291.34700000000885</v>
          </cell>
          <cell r="K39">
            <v>4.5933828954824181</v>
          </cell>
          <cell r="L39">
            <v>24</v>
          </cell>
          <cell r="M39">
            <v>0</v>
          </cell>
          <cell r="N39">
            <v>0</v>
          </cell>
          <cell r="O39">
            <v>0</v>
          </cell>
          <cell r="P39">
            <v>291.34700000000885</v>
          </cell>
          <cell r="Q39">
            <v>0</v>
          </cell>
          <cell r="R39">
            <v>0</v>
          </cell>
          <cell r="S39">
            <v>0</v>
          </cell>
          <cell r="T39">
            <v>0</v>
          </cell>
          <cell r="U39">
            <v>0</v>
          </cell>
          <cell r="V39">
            <v>0</v>
          </cell>
          <cell r="W39">
            <v>458.81000000002678</v>
          </cell>
          <cell r="X39">
            <v>0</v>
          </cell>
          <cell r="Y39">
            <v>458.81000000002678</v>
          </cell>
          <cell r="Z39">
            <v>8.2304169380836942</v>
          </cell>
          <cell r="AA39">
            <v>0</v>
          </cell>
          <cell r="AB39">
            <v>48</v>
          </cell>
          <cell r="AC39">
            <v>0</v>
          </cell>
          <cell r="AD39">
            <v>0</v>
          </cell>
          <cell r="AE39">
            <v>179.04300000000512</v>
          </cell>
          <cell r="AF39">
            <v>24</v>
          </cell>
          <cell r="AG39">
            <v>138.81399999998393</v>
          </cell>
          <cell r="AH39">
            <v>24</v>
          </cell>
          <cell r="AI39">
            <v>12.299999999997453</v>
          </cell>
          <cell r="AJ39">
            <v>47.550000000001091</v>
          </cell>
          <cell r="AK39">
            <v>10.070000000006985</v>
          </cell>
          <cell r="AL39">
            <v>17.880000000004657</v>
          </cell>
          <cell r="AM39">
            <v>47.167000000023108</v>
          </cell>
          <cell r="AN39">
            <v>4.4860000000044238</v>
          </cell>
          <cell r="AO39">
            <v>1.5</v>
          </cell>
          <cell r="AP39">
            <v>86.097999999998137</v>
          </cell>
          <cell r="AQ39">
            <v>157.19700000001467</v>
          </cell>
          <cell r="AR39">
            <v>0</v>
          </cell>
          <cell r="AS39">
            <v>0</v>
          </cell>
          <cell r="AT39">
            <v>20.259999999994761</v>
          </cell>
          <cell r="AU39">
            <v>5.25</v>
          </cell>
          <cell r="AV39">
            <v>84.418999999994412</v>
          </cell>
          <cell r="AW39">
            <v>60.463000000003376</v>
          </cell>
          <cell r="AX39">
            <v>5.0000000000009095</v>
          </cell>
          <cell r="AY39">
            <v>39.579999999998108</v>
          </cell>
          <cell r="AZ39">
            <v>7.8300000000017462</v>
          </cell>
          <cell r="BA39">
            <v>14.089999999996508</v>
          </cell>
          <cell r="BB39">
            <v>24.776000000029853</v>
          </cell>
          <cell r="BC39">
            <v>7.1369999999878928</v>
          </cell>
          <cell r="BD39">
            <v>0</v>
          </cell>
          <cell r="BE39">
            <v>243.29500000001281</v>
          </cell>
          <cell r="BF39">
            <v>12354.979616000001</v>
          </cell>
          <cell r="BG39">
            <v>36148.196908102269</v>
          </cell>
          <cell r="BH39">
            <v>8776</v>
          </cell>
          <cell r="BI39">
            <v>0</v>
          </cell>
          <cell r="BJ39">
            <v>0</v>
          </cell>
          <cell r="BK39">
            <v>0</v>
          </cell>
          <cell r="BL39">
            <v>0</v>
          </cell>
          <cell r="BM39">
            <v>0</v>
          </cell>
          <cell r="BN39">
            <v>0</v>
          </cell>
          <cell r="BO39">
            <v>0</v>
          </cell>
          <cell r="BP39">
            <v>0</v>
          </cell>
          <cell r="BQ39">
            <v>0</v>
          </cell>
          <cell r="BR39">
            <v>0</v>
          </cell>
          <cell r="BS39">
            <v>0</v>
          </cell>
        </row>
        <row r="40">
          <cell r="B40">
            <v>43494</v>
          </cell>
          <cell r="C40">
            <v>169.81699999998091</v>
          </cell>
          <cell r="D40">
            <v>3.6552062456270669</v>
          </cell>
          <cell r="E40">
            <v>24</v>
          </cell>
          <cell r="F40">
            <v>0</v>
          </cell>
          <cell r="G40">
            <v>0</v>
          </cell>
          <cell r="H40">
            <v>0</v>
          </cell>
          <cell r="I40">
            <v>169.81699999998091</v>
          </cell>
          <cell r="J40">
            <v>287.96199999999953</v>
          </cell>
          <cell r="K40">
            <v>4.5672516689558948</v>
          </cell>
          <cell r="L40">
            <v>24</v>
          </cell>
          <cell r="M40">
            <v>0</v>
          </cell>
          <cell r="N40">
            <v>0</v>
          </cell>
          <cell r="O40">
            <v>0</v>
          </cell>
          <cell r="P40">
            <v>287.96199999999953</v>
          </cell>
          <cell r="Q40">
            <v>0.20699999999999363</v>
          </cell>
          <cell r="R40">
            <v>24.839999999999236</v>
          </cell>
          <cell r="S40">
            <v>0.5</v>
          </cell>
          <cell r="T40">
            <v>0.2529999999999859</v>
          </cell>
          <cell r="U40">
            <v>30.359999999998308</v>
          </cell>
          <cell r="V40">
            <v>0.34999999999990905</v>
          </cell>
          <cell r="W40">
            <v>457.77899999998044</v>
          </cell>
          <cell r="X40">
            <v>0.45999999999997954</v>
          </cell>
          <cell r="Y40">
            <v>458.23899999998042</v>
          </cell>
          <cell r="Z40">
            <v>8.2224579145829608</v>
          </cell>
          <cell r="AA40">
            <v>55.199999999997544</v>
          </cell>
          <cell r="AB40">
            <v>48</v>
          </cell>
          <cell r="AC40">
            <v>0.84999999999990905</v>
          </cell>
          <cell r="AD40">
            <v>0.84999990463256836</v>
          </cell>
          <cell r="AE40">
            <v>178.44899999996414</v>
          </cell>
          <cell r="AF40">
            <v>24</v>
          </cell>
          <cell r="AG40">
            <v>138.07000000000698</v>
          </cell>
          <cell r="AH40">
            <v>24</v>
          </cell>
          <cell r="AI40">
            <v>11.300000000006548</v>
          </cell>
          <cell r="AJ40">
            <v>47.780000000003383</v>
          </cell>
          <cell r="AK40">
            <v>11.179999999993015</v>
          </cell>
          <cell r="AL40">
            <v>18.960000000006403</v>
          </cell>
          <cell r="AM40">
            <v>46.917000000012763</v>
          </cell>
          <cell r="AN40">
            <v>3.3829999999871347</v>
          </cell>
          <cell r="AO40">
            <v>2.2000000000000455</v>
          </cell>
          <cell r="AP40">
            <v>86.619999999995343</v>
          </cell>
          <cell r="AQ40">
            <v>158.22299999999814</v>
          </cell>
          <cell r="AR40">
            <v>0.12000000000000455</v>
          </cell>
          <cell r="AS40">
            <v>0.10599999999999454</v>
          </cell>
          <cell r="AT40">
            <v>20.220000000001164</v>
          </cell>
          <cell r="AU40">
            <v>5.4799999999995634</v>
          </cell>
          <cell r="AV40">
            <v>84.471000000019558</v>
          </cell>
          <cell r="AW40">
            <v>61.028999999994994</v>
          </cell>
          <cell r="AX40">
            <v>4.6999999999998181</v>
          </cell>
          <cell r="AY40">
            <v>39.800000000001546</v>
          </cell>
          <cell r="AZ40">
            <v>8.6699999999982538</v>
          </cell>
          <cell r="BA40">
            <v>14.940000000002328</v>
          </cell>
          <cell r="BB40">
            <v>25.181999999974892</v>
          </cell>
          <cell r="BC40">
            <v>6.27700000000209</v>
          </cell>
          <cell r="BD40">
            <v>0</v>
          </cell>
          <cell r="BE40">
            <v>245.06899999999348</v>
          </cell>
          <cell r="BF40">
            <v>12694</v>
          </cell>
          <cell r="BG40">
            <v>29034</v>
          </cell>
          <cell r="BH40">
            <v>7435</v>
          </cell>
          <cell r="BI40">
            <v>0</v>
          </cell>
          <cell r="BJ40">
            <v>0</v>
          </cell>
          <cell r="BK40">
            <v>0</v>
          </cell>
          <cell r="BL40">
            <v>0</v>
          </cell>
          <cell r="BM40">
            <v>0</v>
          </cell>
          <cell r="BN40">
            <v>0</v>
          </cell>
          <cell r="BO40">
            <v>0</v>
          </cell>
          <cell r="BP40">
            <v>0</v>
          </cell>
          <cell r="BQ40">
            <v>0</v>
          </cell>
          <cell r="BR40">
            <v>0</v>
          </cell>
          <cell r="BS40">
            <v>0</v>
          </cell>
        </row>
        <row r="41">
          <cell r="B41">
            <v>43495</v>
          </cell>
          <cell r="C41">
            <v>168.35900000002584</v>
          </cell>
          <cell r="D41">
            <v>3.6439509049256213</v>
          </cell>
          <cell r="E41">
            <v>24</v>
          </cell>
          <cell r="F41">
            <v>0</v>
          </cell>
          <cell r="G41">
            <v>0</v>
          </cell>
          <cell r="H41">
            <v>0</v>
          </cell>
          <cell r="I41">
            <v>168.35900000002584</v>
          </cell>
          <cell r="J41">
            <v>288.27199999999721</v>
          </cell>
          <cell r="K41">
            <v>4.5696447798046798</v>
          </cell>
          <cell r="L41">
            <v>24</v>
          </cell>
          <cell r="M41">
            <v>0</v>
          </cell>
          <cell r="N41">
            <v>0</v>
          </cell>
          <cell r="O41">
            <v>0</v>
          </cell>
          <cell r="P41">
            <v>288.27199999999721</v>
          </cell>
          <cell r="Q41">
            <v>0</v>
          </cell>
          <cell r="R41">
            <v>0</v>
          </cell>
          <cell r="S41">
            <v>0</v>
          </cell>
          <cell r="T41">
            <v>0</v>
          </cell>
          <cell r="U41">
            <v>0</v>
          </cell>
          <cell r="V41">
            <v>0</v>
          </cell>
          <cell r="W41">
            <v>456.63100000002305</v>
          </cell>
          <cell r="X41">
            <v>0</v>
          </cell>
          <cell r="Y41">
            <v>456.63100000002305</v>
          </cell>
          <cell r="Z41">
            <v>8.2135956847303007</v>
          </cell>
          <cell r="AA41">
            <v>0</v>
          </cell>
          <cell r="AB41">
            <v>48</v>
          </cell>
          <cell r="AC41">
            <v>0</v>
          </cell>
          <cell r="AD41">
            <v>0</v>
          </cell>
          <cell r="AE41">
            <v>179.86900000000605</v>
          </cell>
          <cell r="AF41">
            <v>24</v>
          </cell>
          <cell r="AG41">
            <v>133.97099999999045</v>
          </cell>
          <cell r="AH41">
            <v>24</v>
          </cell>
          <cell r="AI41">
            <v>10.199999999998909</v>
          </cell>
          <cell r="AJ41">
            <v>47.899999999995998</v>
          </cell>
          <cell r="AK41">
            <v>11.720000000001164</v>
          </cell>
          <cell r="AL41">
            <v>18.689999999987776</v>
          </cell>
          <cell r="AM41">
            <v>47.35200000003897</v>
          </cell>
          <cell r="AN41">
            <v>5.029000000003748</v>
          </cell>
          <cell r="AO41">
            <v>1.8999999999999773</v>
          </cell>
          <cell r="AP41">
            <v>86.013999999995576</v>
          </cell>
          <cell r="AQ41">
            <v>158.01699999999255</v>
          </cell>
          <cell r="AR41">
            <v>0</v>
          </cell>
          <cell r="AS41">
            <v>0</v>
          </cell>
          <cell r="AT41">
            <v>20.289999999993597</v>
          </cell>
          <cell r="AU41">
            <v>5.5800000000017462</v>
          </cell>
          <cell r="AV41">
            <v>84.870999999984633</v>
          </cell>
          <cell r="AW41">
            <v>58.024000000004889</v>
          </cell>
          <cell r="AX41">
            <v>4.3999999999987267</v>
          </cell>
          <cell r="AY41">
            <v>39.519999999994525</v>
          </cell>
          <cell r="AZ41">
            <v>9.1299999999973807</v>
          </cell>
          <cell r="BA41">
            <v>14.75</v>
          </cell>
          <cell r="BB41">
            <v>24.960000000004129</v>
          </cell>
          <cell r="BC41">
            <v>8.3760000000038417</v>
          </cell>
          <cell r="BD41">
            <v>0</v>
          </cell>
          <cell r="BE41">
            <v>244.03099999998813</v>
          </cell>
          <cell r="BF41">
            <v>11968</v>
          </cell>
          <cell r="BG41">
            <v>31392</v>
          </cell>
          <cell r="BH41">
            <v>6696</v>
          </cell>
          <cell r="BI41">
            <v>0</v>
          </cell>
          <cell r="BJ41">
            <v>0</v>
          </cell>
          <cell r="BK41">
            <v>0</v>
          </cell>
          <cell r="BL41">
            <v>0</v>
          </cell>
          <cell r="BM41">
            <v>0</v>
          </cell>
          <cell r="BN41">
            <v>0</v>
          </cell>
          <cell r="BO41">
            <v>0</v>
          </cell>
          <cell r="BP41">
            <v>0</v>
          </cell>
          <cell r="BQ41">
            <v>0</v>
          </cell>
          <cell r="BR41">
            <v>0</v>
          </cell>
          <cell r="BS41">
            <v>0</v>
          </cell>
        </row>
        <row r="42">
          <cell r="B42">
            <v>43496</v>
          </cell>
          <cell r="C42">
            <v>168.87599999998929</v>
          </cell>
          <cell r="D42">
            <v>3.6479419962441502</v>
          </cell>
          <cell r="E42">
            <v>24</v>
          </cell>
          <cell r="F42">
            <v>0</v>
          </cell>
          <cell r="G42">
            <v>0</v>
          </cell>
          <cell r="H42">
            <v>0</v>
          </cell>
          <cell r="I42">
            <v>168.87599999998929</v>
          </cell>
          <cell r="J42">
            <v>292.28299999999581</v>
          </cell>
          <cell r="K42">
            <v>4.6006085463032207</v>
          </cell>
          <cell r="L42">
            <v>24</v>
          </cell>
          <cell r="M42">
            <v>0</v>
          </cell>
          <cell r="N42">
            <v>0</v>
          </cell>
          <cell r="O42">
            <v>0</v>
          </cell>
          <cell r="P42">
            <v>292.28299999999581</v>
          </cell>
          <cell r="Q42">
            <v>0</v>
          </cell>
          <cell r="R42">
            <v>0</v>
          </cell>
          <cell r="S42">
            <v>0</v>
          </cell>
          <cell r="T42">
            <v>0</v>
          </cell>
          <cell r="U42">
            <v>0</v>
          </cell>
          <cell r="V42">
            <v>0</v>
          </cell>
          <cell r="W42">
            <v>461.1589999999851</v>
          </cell>
          <cell r="X42">
            <v>0</v>
          </cell>
          <cell r="Y42">
            <v>461.1589999999851</v>
          </cell>
          <cell r="Z42">
            <v>8.2485505425473704</v>
          </cell>
          <cell r="AA42">
            <v>0</v>
          </cell>
          <cell r="AB42">
            <v>48</v>
          </cell>
          <cell r="AC42">
            <v>0</v>
          </cell>
          <cell r="AD42">
            <v>0</v>
          </cell>
          <cell r="AE42">
            <v>183.05400000000373</v>
          </cell>
          <cell r="AF42">
            <v>24</v>
          </cell>
          <cell r="AG42">
            <v>136.46800000002258</v>
          </cell>
          <cell r="AH42">
            <v>24</v>
          </cell>
          <cell r="AI42">
            <v>9.2999999999992724</v>
          </cell>
          <cell r="AJ42">
            <v>48.950000000004366</v>
          </cell>
          <cell r="AK42">
            <v>10.889999999999418</v>
          </cell>
          <cell r="AL42">
            <v>18.270000000004075</v>
          </cell>
          <cell r="AM42">
            <v>47.694999999974243</v>
          </cell>
          <cell r="AN42">
            <v>5.33199999997737</v>
          </cell>
          <cell r="AO42">
            <v>1.2000000000000455</v>
          </cell>
          <cell r="AP42">
            <v>86.653000000005704</v>
          </cell>
          <cell r="AQ42">
            <v>159.30999999999767</v>
          </cell>
          <cell r="AR42">
            <v>0</v>
          </cell>
          <cell r="AS42">
            <v>0</v>
          </cell>
          <cell r="AT42">
            <v>20.370000000009895</v>
          </cell>
          <cell r="AU42">
            <v>5.5900000000001455</v>
          </cell>
          <cell r="AV42">
            <v>86.224000000016531</v>
          </cell>
          <cell r="AW42">
            <v>59.780999999988126</v>
          </cell>
          <cell r="AX42">
            <v>3.8000000000020009</v>
          </cell>
          <cell r="AY42">
            <v>40.510000000004766</v>
          </cell>
          <cell r="AZ42">
            <v>8.4800000000032014</v>
          </cell>
          <cell r="BA42">
            <v>14.55000000000291</v>
          </cell>
          <cell r="BB42">
            <v>25.098999999971056</v>
          </cell>
          <cell r="BC42">
            <v>7.5190000000147847</v>
          </cell>
          <cell r="BD42">
            <v>0</v>
          </cell>
          <cell r="BE42">
            <v>245.96300000000338</v>
          </cell>
          <cell r="BF42">
            <v>12052</v>
          </cell>
          <cell r="BG42">
            <v>36673</v>
          </cell>
          <cell r="BH42">
            <v>5521</v>
          </cell>
          <cell r="BI42">
            <v>0</v>
          </cell>
          <cell r="BJ42">
            <v>0</v>
          </cell>
          <cell r="BK42">
            <v>0</v>
          </cell>
          <cell r="BL42">
            <v>0</v>
          </cell>
          <cell r="BM42">
            <v>0</v>
          </cell>
          <cell r="BN42">
            <v>0</v>
          </cell>
          <cell r="BO42">
            <v>0</v>
          </cell>
          <cell r="BP42">
            <v>0</v>
          </cell>
          <cell r="BQ42">
            <v>0</v>
          </cell>
          <cell r="BR42">
            <v>0</v>
          </cell>
          <cell r="BS42">
            <v>0</v>
          </cell>
        </row>
        <row r="43">
          <cell r="B43">
            <v>43497</v>
          </cell>
          <cell r="C43">
            <v>133.3059999999823</v>
          </cell>
          <cell r="D43">
            <v>3.5698689147170937</v>
          </cell>
          <cell r="E43">
            <v>24</v>
          </cell>
          <cell r="F43">
            <v>0</v>
          </cell>
          <cell r="G43">
            <v>0</v>
          </cell>
          <cell r="H43">
            <v>0</v>
          </cell>
          <cell r="I43">
            <v>133.3059999999823</v>
          </cell>
          <cell r="J43">
            <v>232.57400000002235</v>
          </cell>
          <cell r="K43">
            <v>4.3808318854192159</v>
          </cell>
          <cell r="L43">
            <v>24</v>
          </cell>
          <cell r="M43">
            <v>0</v>
          </cell>
          <cell r="N43">
            <v>0</v>
          </cell>
          <cell r="O43">
            <v>0</v>
          </cell>
          <cell r="P43">
            <v>232.57400000002235</v>
          </cell>
          <cell r="Q43">
            <v>0</v>
          </cell>
          <cell r="R43">
            <v>0</v>
          </cell>
          <cell r="S43">
            <v>0</v>
          </cell>
          <cell r="T43">
            <v>0</v>
          </cell>
          <cell r="U43">
            <v>0</v>
          </cell>
          <cell r="V43">
            <v>0</v>
          </cell>
          <cell r="W43">
            <v>365.88000000000466</v>
          </cell>
          <cell r="X43">
            <v>0</v>
          </cell>
          <cell r="Y43">
            <v>365.88000000000466</v>
          </cell>
          <cell r="Z43">
            <v>7.9507008001363095</v>
          </cell>
          <cell r="AA43">
            <v>0</v>
          </cell>
          <cell r="AB43">
            <v>48</v>
          </cell>
          <cell r="AC43">
            <v>0</v>
          </cell>
          <cell r="AD43">
            <v>0</v>
          </cell>
          <cell r="AE43">
            <v>152.12800000002608</v>
          </cell>
          <cell r="AF43">
            <v>21.30000000000291</v>
          </cell>
          <cell r="AG43">
            <v>79.217999999993481</v>
          </cell>
          <cell r="AH43">
            <v>13.05000000000291</v>
          </cell>
          <cell r="AI43">
            <v>8.1999999999989086</v>
          </cell>
          <cell r="AJ43">
            <v>48.829999999999018</v>
          </cell>
          <cell r="AK43">
            <v>10.040000000008149</v>
          </cell>
          <cell r="AL43">
            <v>17.940000000002328</v>
          </cell>
          <cell r="AM43">
            <v>45.541999999958534</v>
          </cell>
          <cell r="AN43">
            <v>3.782000000018229</v>
          </cell>
          <cell r="AO43">
            <v>0.19999999999993179</v>
          </cell>
          <cell r="AP43">
            <v>70.076000000000931</v>
          </cell>
          <cell r="AQ43">
            <v>135.09799999999814</v>
          </cell>
          <cell r="AR43">
            <v>0</v>
          </cell>
          <cell r="AS43">
            <v>0</v>
          </cell>
          <cell r="AT43">
            <v>20.360000000000582</v>
          </cell>
          <cell r="AU43">
            <v>5.6100000000005821</v>
          </cell>
          <cell r="AV43">
            <v>73.964000000007218</v>
          </cell>
          <cell r="AW43">
            <v>34.868000000002212</v>
          </cell>
          <cell r="AX43">
            <v>3.5</v>
          </cell>
          <cell r="AY43">
            <v>40.399999999994634</v>
          </cell>
          <cell r="AZ43">
            <v>7.7799999999988358</v>
          </cell>
          <cell r="BA43">
            <v>14.389999999999418</v>
          </cell>
          <cell r="BB43">
            <v>25.740000000004784</v>
          </cell>
          <cell r="BC43">
            <v>4.5319999999919673</v>
          </cell>
          <cell r="BD43">
            <v>0</v>
          </cell>
          <cell r="BE43">
            <v>205.17399999999907</v>
          </cell>
          <cell r="BF43">
            <v>11734</v>
          </cell>
          <cell r="BG43">
            <v>23175</v>
          </cell>
          <cell r="BH43">
            <v>5676</v>
          </cell>
          <cell r="BI43">
            <v>0</v>
          </cell>
          <cell r="BJ43">
            <v>0</v>
          </cell>
          <cell r="BK43">
            <v>0</v>
          </cell>
          <cell r="BL43">
            <v>0</v>
          </cell>
          <cell r="BM43">
            <v>0</v>
          </cell>
          <cell r="BN43">
            <v>0</v>
          </cell>
          <cell r="BO43">
            <v>0</v>
          </cell>
          <cell r="BP43">
            <v>0</v>
          </cell>
          <cell r="BQ43">
            <v>0</v>
          </cell>
          <cell r="BR43">
            <v>0</v>
          </cell>
          <cell r="BS43">
            <v>0</v>
          </cell>
        </row>
        <row r="44">
          <cell r="B44">
            <v>43498</v>
          </cell>
          <cell r="C44">
            <v>164.85400000002119</v>
          </cell>
          <cell r="D44">
            <v>3.8275980902795279</v>
          </cell>
          <cell r="E44">
            <v>24</v>
          </cell>
          <cell r="F44">
            <v>0</v>
          </cell>
          <cell r="G44">
            <v>0</v>
          </cell>
          <cell r="H44">
            <v>0</v>
          </cell>
          <cell r="I44">
            <v>164.85400000002119</v>
          </cell>
          <cell r="J44">
            <v>287.80200000002515</v>
          </cell>
          <cell r="K44">
            <v>4.8320131618216919</v>
          </cell>
          <cell r="L44">
            <v>24</v>
          </cell>
          <cell r="M44">
            <v>0</v>
          </cell>
          <cell r="N44">
            <v>0</v>
          </cell>
          <cell r="O44">
            <v>0</v>
          </cell>
          <cell r="P44">
            <v>287.80200000002515</v>
          </cell>
          <cell r="Q44">
            <v>0</v>
          </cell>
          <cell r="R44">
            <v>0</v>
          </cell>
          <cell r="S44">
            <v>0</v>
          </cell>
          <cell r="T44">
            <v>0</v>
          </cell>
          <cell r="U44">
            <v>0</v>
          </cell>
          <cell r="V44">
            <v>0</v>
          </cell>
          <cell r="W44">
            <v>452.65600000004633</v>
          </cell>
          <cell r="X44">
            <v>0</v>
          </cell>
          <cell r="Y44">
            <v>452.65600000004633</v>
          </cell>
          <cell r="Z44">
            <v>8.6596112521012198</v>
          </cell>
          <cell r="AA44">
            <v>0</v>
          </cell>
          <cell r="AB44">
            <v>48</v>
          </cell>
          <cell r="AC44">
            <v>0</v>
          </cell>
          <cell r="AD44">
            <v>0</v>
          </cell>
          <cell r="AE44">
            <v>178.28099999995902</v>
          </cell>
          <cell r="AF44">
            <v>24</v>
          </cell>
          <cell r="AG44">
            <v>134.04199999998673</v>
          </cell>
          <cell r="AH44">
            <v>24</v>
          </cell>
          <cell r="AI44">
            <v>12.999999999996362</v>
          </cell>
          <cell r="AJ44">
            <v>47.339999999993779</v>
          </cell>
          <cell r="AK44">
            <v>10.129999999990105</v>
          </cell>
          <cell r="AL44">
            <v>18.429999999993015</v>
          </cell>
          <cell r="AM44">
            <v>45.37500000010823</v>
          </cell>
          <cell r="AN44">
            <v>5.9580000000190694</v>
          </cell>
          <cell r="AO44">
            <v>0.10000000000002274</v>
          </cell>
          <cell r="AP44">
            <v>82.252999999996973</v>
          </cell>
          <cell r="AQ44">
            <v>158.4550000000163</v>
          </cell>
          <cell r="AR44">
            <v>0</v>
          </cell>
          <cell r="AS44">
            <v>0</v>
          </cell>
          <cell r="AT44">
            <v>19.129999999990105</v>
          </cell>
          <cell r="AU44">
            <v>5.2799999999988358</v>
          </cell>
          <cell r="AV44">
            <v>84.069999999977881</v>
          </cell>
          <cell r="AW44">
            <v>58.597000000008848</v>
          </cell>
          <cell r="AX44">
            <v>5.2999999999983629</v>
          </cell>
          <cell r="AY44">
            <v>39.130000000004657</v>
          </cell>
          <cell r="AZ44">
            <v>7.8499999999985448</v>
          </cell>
          <cell r="BA44">
            <v>14.430000000007567</v>
          </cell>
          <cell r="BB44">
            <v>24.428000000026259</v>
          </cell>
          <cell r="BC44">
            <v>6.9029999999911524</v>
          </cell>
          <cell r="BD44">
            <v>0</v>
          </cell>
          <cell r="BE44">
            <v>240.70800000001327</v>
          </cell>
          <cell r="BF44">
            <v>13317</v>
          </cell>
          <cell r="BG44">
            <v>36308</v>
          </cell>
          <cell r="BH44">
            <v>7951</v>
          </cell>
          <cell r="BI44">
            <v>0</v>
          </cell>
          <cell r="BJ44">
            <v>0</v>
          </cell>
          <cell r="BK44">
            <v>0</v>
          </cell>
          <cell r="BL44">
            <v>0</v>
          </cell>
          <cell r="BM44">
            <v>0</v>
          </cell>
          <cell r="BN44">
            <v>0</v>
          </cell>
          <cell r="BO44">
            <v>0</v>
          </cell>
          <cell r="BP44">
            <v>0</v>
          </cell>
          <cell r="BQ44">
            <v>0</v>
          </cell>
          <cell r="BR44">
            <v>0</v>
          </cell>
          <cell r="BS44">
            <v>0</v>
          </cell>
        </row>
        <row r="45">
          <cell r="B45">
            <v>43499</v>
          </cell>
          <cell r="C45">
            <v>168.62399999998161</v>
          </cell>
          <cell r="D45">
            <v>3.8583968411308969</v>
          </cell>
          <cell r="E45">
            <v>24</v>
          </cell>
          <cell r="F45">
            <v>0</v>
          </cell>
          <cell r="G45">
            <v>0</v>
          </cell>
          <cell r="H45">
            <v>0</v>
          </cell>
          <cell r="I45">
            <v>168.62399999998161</v>
          </cell>
          <cell r="J45">
            <v>271.24099999997998</v>
          </cell>
          <cell r="K45">
            <v>4.6967192326820992</v>
          </cell>
          <cell r="L45">
            <v>24</v>
          </cell>
          <cell r="M45">
            <v>0</v>
          </cell>
          <cell r="N45">
            <v>0</v>
          </cell>
          <cell r="O45">
            <v>0</v>
          </cell>
          <cell r="P45">
            <v>271.24099999997998</v>
          </cell>
          <cell r="Q45">
            <v>0</v>
          </cell>
          <cell r="R45">
            <v>0</v>
          </cell>
          <cell r="S45">
            <v>0</v>
          </cell>
          <cell r="T45">
            <v>0</v>
          </cell>
          <cell r="U45">
            <v>0</v>
          </cell>
          <cell r="V45">
            <v>0</v>
          </cell>
          <cell r="W45">
            <v>439.86499999996158</v>
          </cell>
          <cell r="X45">
            <v>0</v>
          </cell>
          <cell r="Y45">
            <v>439.86499999996158</v>
          </cell>
          <cell r="Z45">
            <v>8.5551160738129965</v>
          </cell>
          <cell r="AA45">
            <v>0</v>
          </cell>
          <cell r="AB45">
            <v>48</v>
          </cell>
          <cell r="AC45">
            <v>0</v>
          </cell>
          <cell r="AD45">
            <v>0</v>
          </cell>
          <cell r="AE45">
            <v>161.98300000000745</v>
          </cell>
          <cell r="AF45">
            <v>22</v>
          </cell>
          <cell r="AG45">
            <v>137.61100000000442</v>
          </cell>
          <cell r="AH45">
            <v>24.05000000000291</v>
          </cell>
          <cell r="AI45">
            <v>10.700000000000728</v>
          </cell>
          <cell r="AJ45">
            <v>49.190000000001419</v>
          </cell>
          <cell r="AK45">
            <v>10.669999999998254</v>
          </cell>
          <cell r="AL45">
            <v>18.380000000004657</v>
          </cell>
          <cell r="AM45">
            <v>45.141999999960717</v>
          </cell>
          <cell r="AN45">
            <v>6.0889999999839119</v>
          </cell>
          <cell r="AO45">
            <v>0.10000000000002274</v>
          </cell>
          <cell r="AP45">
            <v>88.327000000004773</v>
          </cell>
          <cell r="AQ45">
            <v>149.43899999998393</v>
          </cell>
          <cell r="AR45">
            <v>0</v>
          </cell>
          <cell r="AS45">
            <v>0</v>
          </cell>
          <cell r="AT45">
            <v>19.820000000006985</v>
          </cell>
          <cell r="AU45">
            <v>5.1399999999994179</v>
          </cell>
          <cell r="AV45">
            <v>77.817000000010012</v>
          </cell>
          <cell r="AW45">
            <v>60.224000000001979</v>
          </cell>
          <cell r="AX45">
            <v>4.4000000000005457</v>
          </cell>
          <cell r="AY45">
            <v>40.749999999998181</v>
          </cell>
          <cell r="AZ45">
            <v>8.2700000000040745</v>
          </cell>
          <cell r="BA45">
            <v>14.679999999993015</v>
          </cell>
          <cell r="BB45">
            <v>16.34899999998288</v>
          </cell>
          <cell r="BC45">
            <v>15.275999999998021</v>
          </cell>
          <cell r="BD45">
            <v>0</v>
          </cell>
          <cell r="BE45">
            <v>237.76599999998871</v>
          </cell>
          <cell r="BF45">
            <v>11266</v>
          </cell>
          <cell r="BG45">
            <v>33207</v>
          </cell>
          <cell r="BH45">
            <v>6224</v>
          </cell>
          <cell r="BI45">
            <v>0</v>
          </cell>
          <cell r="BJ45">
            <v>0</v>
          </cell>
          <cell r="BK45">
            <v>0</v>
          </cell>
          <cell r="BL45">
            <v>0</v>
          </cell>
          <cell r="BM45">
            <v>0</v>
          </cell>
          <cell r="BN45">
            <v>0</v>
          </cell>
          <cell r="BO45">
            <v>0</v>
          </cell>
          <cell r="BP45">
            <v>0</v>
          </cell>
          <cell r="BQ45">
            <v>0</v>
          </cell>
          <cell r="BR45">
            <v>0</v>
          </cell>
          <cell r="BS45">
            <v>0</v>
          </cell>
        </row>
        <row r="46">
          <cell r="B46">
            <v>43500</v>
          </cell>
          <cell r="C46">
            <v>172.64900000000489</v>
          </cell>
          <cell r="D46">
            <v>3.8912787966159836</v>
          </cell>
          <cell r="E46">
            <v>24</v>
          </cell>
          <cell r="F46">
            <v>0</v>
          </cell>
          <cell r="G46">
            <v>0</v>
          </cell>
          <cell r="H46">
            <v>0</v>
          </cell>
          <cell r="I46">
            <v>172.64900000000489</v>
          </cell>
          <cell r="J46">
            <v>288.70299999997951</v>
          </cell>
          <cell r="K46">
            <v>4.8393738181919748</v>
          </cell>
          <cell r="L46">
            <v>24</v>
          </cell>
          <cell r="M46">
            <v>0</v>
          </cell>
          <cell r="N46">
            <v>0</v>
          </cell>
          <cell r="O46">
            <v>0</v>
          </cell>
          <cell r="P46">
            <v>288.70299999997951</v>
          </cell>
          <cell r="Q46">
            <v>0.30399999999997362</v>
          </cell>
          <cell r="R46">
            <v>36.479999999996835</v>
          </cell>
          <cell r="S46">
            <v>0.7000000000007276</v>
          </cell>
          <cell r="T46">
            <v>0.125</v>
          </cell>
          <cell r="U46">
            <v>15</v>
          </cell>
          <cell r="V46">
            <v>0.20000000000004547</v>
          </cell>
          <cell r="W46">
            <v>461.3519999999844</v>
          </cell>
          <cell r="X46">
            <v>0.42899999999997362</v>
          </cell>
          <cell r="Y46">
            <v>461.78099999998437</v>
          </cell>
          <cell r="Z46">
            <v>8.7306526148079584</v>
          </cell>
          <cell r="AA46">
            <v>51.479999999996835</v>
          </cell>
          <cell r="AB46">
            <v>48</v>
          </cell>
          <cell r="AC46">
            <v>0.90000000000077307</v>
          </cell>
          <cell r="AD46">
            <v>0.89999961853027344</v>
          </cell>
          <cell r="AE46">
            <v>183.51199999998789</v>
          </cell>
          <cell r="AF46">
            <v>24</v>
          </cell>
          <cell r="AG46">
            <v>138.67600000000675</v>
          </cell>
          <cell r="AH46">
            <v>24</v>
          </cell>
          <cell r="AI46">
            <v>5.9000000000014552</v>
          </cell>
          <cell r="AJ46">
            <v>47.86000000000422</v>
          </cell>
          <cell r="AK46">
            <v>11.480000000010477</v>
          </cell>
          <cell r="AL46">
            <v>18.619999999995343</v>
          </cell>
          <cell r="AM46">
            <v>47.783999999984985</v>
          </cell>
          <cell r="AN46">
            <v>7.7489999999932024</v>
          </cell>
          <cell r="AO46">
            <v>0.20000000000004547</v>
          </cell>
          <cell r="AP46">
            <v>89.385999999998603</v>
          </cell>
          <cell r="AQ46">
            <v>156.30300000001444</v>
          </cell>
          <cell r="AR46">
            <v>0.17300000000000182</v>
          </cell>
          <cell r="AS46">
            <v>4.0000000000020464E-2</v>
          </cell>
          <cell r="AT46">
            <v>20.179999999993015</v>
          </cell>
          <cell r="AU46">
            <v>5.8100000000013097</v>
          </cell>
          <cell r="AV46">
            <v>86.252999999996973</v>
          </cell>
          <cell r="AW46">
            <v>60.269999999989523</v>
          </cell>
          <cell r="AX46">
            <v>2.6999999999998181</v>
          </cell>
          <cell r="AY46">
            <v>39.490000000001601</v>
          </cell>
          <cell r="AZ46">
            <v>8.8899999999994179</v>
          </cell>
          <cell r="BA46">
            <v>15.179999999993015</v>
          </cell>
          <cell r="BB46">
            <v>33.149000000025126</v>
          </cell>
          <cell r="BC46">
            <v>-2.999999999241254E-2</v>
          </cell>
          <cell r="BD46">
            <v>0</v>
          </cell>
          <cell r="BE46">
            <v>245.90200000001306</v>
          </cell>
          <cell r="BF46">
            <v>13206</v>
          </cell>
          <cell r="BG46">
            <v>36311</v>
          </cell>
          <cell r="BH46">
            <v>3204</v>
          </cell>
          <cell r="BI46">
            <v>0</v>
          </cell>
          <cell r="BJ46">
            <v>0</v>
          </cell>
          <cell r="BK46">
            <v>0</v>
          </cell>
          <cell r="BL46">
            <v>0</v>
          </cell>
          <cell r="BM46">
            <v>0</v>
          </cell>
          <cell r="BN46">
            <v>0</v>
          </cell>
          <cell r="BO46">
            <v>0</v>
          </cell>
          <cell r="BP46">
            <v>0</v>
          </cell>
          <cell r="BQ46">
            <v>0</v>
          </cell>
          <cell r="BR46">
            <v>0</v>
          </cell>
          <cell r="BS46">
            <v>0</v>
          </cell>
        </row>
        <row r="47">
          <cell r="B47">
            <v>43501</v>
          </cell>
          <cell r="C47">
            <v>228.75400000001537</v>
          </cell>
          <cell r="D47">
            <v>4.3496246630707596</v>
          </cell>
          <cell r="E47">
            <v>23.200000000000045</v>
          </cell>
          <cell r="F47">
            <v>8</v>
          </cell>
          <cell r="G47">
            <v>753</v>
          </cell>
          <cell r="H47">
            <v>0.79999999999995453</v>
          </cell>
          <cell r="I47">
            <v>236.75400000001537</v>
          </cell>
          <cell r="J47">
            <v>218.56300000002375</v>
          </cell>
          <cell r="K47">
            <v>4.2663700026120503</v>
          </cell>
          <cell r="L47">
            <v>23.5</v>
          </cell>
          <cell r="M47">
            <v>5</v>
          </cell>
          <cell r="N47">
            <v>499</v>
          </cell>
          <cell r="O47">
            <v>0.5</v>
          </cell>
          <cell r="P47">
            <v>223.56300000002375</v>
          </cell>
          <cell r="Q47">
            <v>2.3419999999999845</v>
          </cell>
          <cell r="R47">
            <v>281.03999999999814</v>
          </cell>
          <cell r="S47">
            <v>2.3999999999996362</v>
          </cell>
          <cell r="T47">
            <v>0</v>
          </cell>
          <cell r="U47">
            <v>0</v>
          </cell>
          <cell r="V47">
            <v>0</v>
          </cell>
          <cell r="W47">
            <v>447.31700000003912</v>
          </cell>
          <cell r="X47">
            <v>15.341999999999985</v>
          </cell>
          <cell r="Y47">
            <v>462.6590000000391</v>
          </cell>
          <cell r="Z47">
            <v>8.615994665682809</v>
          </cell>
          <cell r="AA47">
            <v>1533.0399999999981</v>
          </cell>
          <cell r="AB47">
            <v>46.700000000000045</v>
          </cell>
          <cell r="AC47">
            <v>3.6999999999995907</v>
          </cell>
          <cell r="AD47">
            <v>3.6999988555908203</v>
          </cell>
          <cell r="AE47">
            <v>181.2270000000135</v>
          </cell>
          <cell r="AF47">
            <v>24</v>
          </cell>
          <cell r="AG47">
            <v>139.45699999999488</v>
          </cell>
          <cell r="AH47">
            <v>24</v>
          </cell>
          <cell r="AI47">
            <v>10.999999999998181</v>
          </cell>
          <cell r="AJ47">
            <v>46.329999999998108</v>
          </cell>
          <cell r="AK47">
            <v>11.690000000002328</v>
          </cell>
          <cell r="AL47">
            <v>19.25</v>
          </cell>
          <cell r="AM47">
            <v>46.862000000009516</v>
          </cell>
          <cell r="AN47">
            <v>6.3430000000225846</v>
          </cell>
          <cell r="AO47">
            <v>0.5</v>
          </cell>
          <cell r="AP47">
            <v>116.89100000000326</v>
          </cell>
          <cell r="AQ47">
            <v>126.48600000000442</v>
          </cell>
          <cell r="AR47">
            <v>1.34699999999998</v>
          </cell>
          <cell r="AS47">
            <v>0</v>
          </cell>
          <cell r="AT47">
            <v>18.410000000003492</v>
          </cell>
          <cell r="AU47">
            <v>5.3799999999973807</v>
          </cell>
          <cell r="AV47">
            <v>85.879000000015367</v>
          </cell>
          <cell r="AW47">
            <v>60.736000000004424</v>
          </cell>
          <cell r="AX47">
            <v>4.6000000000012733</v>
          </cell>
          <cell r="AY47">
            <v>38.279999999995653</v>
          </cell>
          <cell r="AZ47">
            <v>9.0599999999976717</v>
          </cell>
          <cell r="BA47">
            <v>15.270000000004075</v>
          </cell>
          <cell r="BB47">
            <v>23.434999999996535</v>
          </cell>
          <cell r="BC47">
            <v>7.4639999999926658</v>
          </cell>
          <cell r="BD47">
            <v>0</v>
          </cell>
          <cell r="BE47">
            <v>244.72400000000766</v>
          </cell>
          <cell r="BF47">
            <v>13046.274352000002</v>
          </cell>
          <cell r="BG47">
            <v>36193.2494157115</v>
          </cell>
          <cell r="BH47">
            <v>5872</v>
          </cell>
          <cell r="BI47">
            <v>0</v>
          </cell>
          <cell r="BJ47">
            <v>0</v>
          </cell>
          <cell r="BK47">
            <v>0</v>
          </cell>
          <cell r="BL47">
            <v>0</v>
          </cell>
          <cell r="BM47">
            <v>0</v>
          </cell>
          <cell r="BN47">
            <v>0</v>
          </cell>
          <cell r="BO47">
            <v>0</v>
          </cell>
          <cell r="BP47">
            <v>0</v>
          </cell>
          <cell r="BQ47">
            <v>0</v>
          </cell>
          <cell r="BR47">
            <v>0</v>
          </cell>
          <cell r="BS47">
            <v>0</v>
          </cell>
        </row>
        <row r="48">
          <cell r="B48">
            <v>43502</v>
          </cell>
          <cell r="C48">
            <v>294.37799999999697</v>
          </cell>
          <cell r="D48">
            <v>4.8857353330683386</v>
          </cell>
          <cell r="E48">
            <v>24</v>
          </cell>
          <cell r="F48">
            <v>0</v>
          </cell>
          <cell r="G48">
            <v>0</v>
          </cell>
          <cell r="H48">
            <v>0</v>
          </cell>
          <cell r="I48">
            <v>294.37799999999697</v>
          </cell>
          <cell r="J48">
            <v>167.76199999998789</v>
          </cell>
          <cell r="K48">
            <v>3.8513547925277232</v>
          </cell>
          <cell r="L48">
            <v>24</v>
          </cell>
          <cell r="M48">
            <v>0</v>
          </cell>
          <cell r="N48">
            <v>0</v>
          </cell>
          <cell r="O48">
            <v>0</v>
          </cell>
          <cell r="P48">
            <v>167.76199999998789</v>
          </cell>
          <cell r="Q48">
            <v>0</v>
          </cell>
          <cell r="R48">
            <v>0</v>
          </cell>
          <cell r="S48">
            <v>0</v>
          </cell>
          <cell r="T48">
            <v>0</v>
          </cell>
          <cell r="U48">
            <v>0</v>
          </cell>
          <cell r="V48">
            <v>0</v>
          </cell>
          <cell r="W48">
            <v>462.13999999998487</v>
          </cell>
          <cell r="X48">
            <v>0</v>
          </cell>
          <cell r="Y48">
            <v>462.13999999998487</v>
          </cell>
          <cell r="Z48">
            <v>8.7370901255960618</v>
          </cell>
          <cell r="AA48">
            <v>0</v>
          </cell>
          <cell r="AB48">
            <v>48</v>
          </cell>
          <cell r="AC48">
            <v>0</v>
          </cell>
          <cell r="AD48">
            <v>0</v>
          </cell>
          <cell r="AE48">
            <v>179.14600000000792</v>
          </cell>
          <cell r="AF48">
            <v>24</v>
          </cell>
          <cell r="AG48">
            <v>137.5570000000007</v>
          </cell>
          <cell r="AH48">
            <v>24</v>
          </cell>
          <cell r="AI48">
            <v>14.400000000003274</v>
          </cell>
          <cell r="AJ48">
            <v>45.599999999996726</v>
          </cell>
          <cell r="AK48">
            <v>11.779999999998836</v>
          </cell>
          <cell r="AL48">
            <v>20.120000000009895</v>
          </cell>
          <cell r="AM48">
            <v>46.693999999974039</v>
          </cell>
          <cell r="AN48">
            <v>6.3429999999934807</v>
          </cell>
          <cell r="AO48">
            <v>0.5</v>
          </cell>
          <cell r="AP48">
            <v>149.09999999999127</v>
          </cell>
          <cell r="AQ48">
            <v>93.49199999999837</v>
          </cell>
          <cell r="AR48">
            <v>0</v>
          </cell>
          <cell r="AS48">
            <v>0</v>
          </cell>
          <cell r="AT48">
            <v>20.440000000002328</v>
          </cell>
          <cell r="AU48">
            <v>5.3400000000001455</v>
          </cell>
          <cell r="AV48">
            <v>84.321999999985565</v>
          </cell>
          <cell r="AW48">
            <v>59.5</v>
          </cell>
          <cell r="AX48">
            <v>6</v>
          </cell>
          <cell r="AY48">
            <v>37.620000000000346</v>
          </cell>
          <cell r="AZ48">
            <v>9.1399999999994179</v>
          </cell>
          <cell r="BA48">
            <v>15.650000000008731</v>
          </cell>
          <cell r="BB48">
            <v>22.459999999986849</v>
          </cell>
          <cell r="BC48">
            <v>7.9000000000087311</v>
          </cell>
          <cell r="BD48">
            <v>0</v>
          </cell>
          <cell r="BE48">
            <v>242.59199999998964</v>
          </cell>
          <cell r="BF48">
            <v>12389.208319999998</v>
          </cell>
          <cell r="BG48">
            <v>36099.30675563353</v>
          </cell>
          <cell r="BH48">
            <v>7485</v>
          </cell>
          <cell r="BI48">
            <v>0</v>
          </cell>
          <cell r="BJ48">
            <v>0</v>
          </cell>
          <cell r="BK48">
            <v>0</v>
          </cell>
          <cell r="BL48">
            <v>0</v>
          </cell>
          <cell r="BM48">
            <v>0</v>
          </cell>
          <cell r="BN48">
            <v>0</v>
          </cell>
          <cell r="BO48">
            <v>0</v>
          </cell>
          <cell r="BP48">
            <v>0</v>
          </cell>
          <cell r="BQ48">
            <v>0</v>
          </cell>
          <cell r="BR48">
            <v>0</v>
          </cell>
          <cell r="BS48">
            <v>0</v>
          </cell>
        </row>
        <row r="49">
          <cell r="B49">
            <v>43503</v>
          </cell>
          <cell r="C49">
            <v>284.29999999998836</v>
          </cell>
          <cell r="D49">
            <v>4.8034038181920469</v>
          </cell>
          <cell r="E49">
            <v>24</v>
          </cell>
          <cell r="F49">
            <v>0</v>
          </cell>
          <cell r="G49">
            <v>0</v>
          </cell>
          <cell r="H49">
            <v>0</v>
          </cell>
          <cell r="I49">
            <v>284.29999999998836</v>
          </cell>
          <cell r="J49">
            <v>169.40000000002328</v>
          </cell>
          <cell r="K49">
            <v>3.8647363187601269</v>
          </cell>
          <cell r="L49">
            <v>24</v>
          </cell>
          <cell r="M49">
            <v>0</v>
          </cell>
          <cell r="N49">
            <v>0</v>
          </cell>
          <cell r="O49">
            <v>0</v>
          </cell>
          <cell r="P49">
            <v>169.40000000002328</v>
          </cell>
          <cell r="Q49">
            <v>0</v>
          </cell>
          <cell r="R49">
            <v>0</v>
          </cell>
          <cell r="S49">
            <v>0</v>
          </cell>
          <cell r="T49">
            <v>0</v>
          </cell>
          <cell r="U49">
            <v>0</v>
          </cell>
          <cell r="V49">
            <v>0</v>
          </cell>
          <cell r="W49">
            <v>453.70000000001164</v>
          </cell>
          <cell r="X49">
            <v>0</v>
          </cell>
          <cell r="Y49">
            <v>453.70000000001164</v>
          </cell>
          <cell r="Z49">
            <v>8.6681401369521733</v>
          </cell>
          <cell r="AA49">
            <v>0</v>
          </cell>
          <cell r="AB49">
            <v>48</v>
          </cell>
          <cell r="AC49">
            <v>0</v>
          </cell>
          <cell r="AD49">
            <v>0</v>
          </cell>
          <cell r="AE49">
            <v>179.5</v>
          </cell>
          <cell r="AF49">
            <v>24</v>
          </cell>
          <cell r="AG49">
            <v>139</v>
          </cell>
          <cell r="AH49">
            <v>24</v>
          </cell>
          <cell r="AI49">
            <v>8.6999999999970896</v>
          </cell>
          <cell r="AJ49">
            <v>44.800000000002001</v>
          </cell>
          <cell r="AK49">
            <v>11.19999999999709</v>
          </cell>
          <cell r="AL49">
            <v>18.30000000000291</v>
          </cell>
          <cell r="AM49">
            <v>47.700000000012551</v>
          </cell>
          <cell r="AN49">
            <v>4</v>
          </cell>
          <cell r="AO49">
            <v>0.5</v>
          </cell>
          <cell r="AP49">
            <v>144.30000000000291</v>
          </cell>
          <cell r="AQ49">
            <v>95.899999999994179</v>
          </cell>
          <cell r="AR49">
            <v>0</v>
          </cell>
          <cell r="AS49">
            <v>0</v>
          </cell>
          <cell r="AT49">
            <v>21.099999999991269</v>
          </cell>
          <cell r="AU49">
            <v>5.2999999999992724</v>
          </cell>
          <cell r="AV49">
            <v>85.5</v>
          </cell>
          <cell r="AW49">
            <v>61</v>
          </cell>
          <cell r="AX49">
            <v>3.6999999999979991</v>
          </cell>
          <cell r="AY49">
            <v>36.900000000006003</v>
          </cell>
          <cell r="AZ49">
            <v>8.5999999999985448</v>
          </cell>
          <cell r="BA49">
            <v>14.799999999988358</v>
          </cell>
          <cell r="BB49">
            <v>23.700000000006185</v>
          </cell>
          <cell r="BC49">
            <v>6</v>
          </cell>
          <cell r="BD49">
            <v>0</v>
          </cell>
          <cell r="BE49">
            <v>240.19999999999709</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row>
        <row r="50">
          <cell r="B50">
            <v>43504</v>
          </cell>
          <cell r="C50">
            <v>0</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-439.58499999999998</v>
          </cell>
          <cell r="AS50">
            <v>0</v>
          </cell>
          <cell r="AT50">
            <v>0</v>
          </cell>
          <cell r="AU50">
            <v>0</v>
          </cell>
          <cell r="AV50">
            <v>-140386.5</v>
          </cell>
          <cell r="AW50">
            <v>-109063</v>
          </cell>
          <cell r="AX50">
            <v>0</v>
          </cell>
          <cell r="AY50">
            <v>0</v>
          </cell>
          <cell r="AZ50">
            <v>0</v>
          </cell>
          <cell r="BA50">
            <v>0</v>
          </cell>
          <cell r="BB50">
            <v>249009.91500000001</v>
          </cell>
          <cell r="BC50">
            <v>0</v>
          </cell>
          <cell r="BD50">
            <v>0</v>
          </cell>
          <cell r="BE50">
            <v>-439.58499999999998</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row>
        <row r="51">
          <cell r="B51">
            <v>43505</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row>
        <row r="52">
          <cell r="B52">
            <v>43506</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row>
        <row r="53">
          <cell r="B53">
            <v>43507</v>
          </cell>
          <cell r="C53">
            <v>0</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row>
        <row r="54">
          <cell r="B54">
            <v>43508</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row>
        <row r="55">
          <cell r="B55">
            <v>43509</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row>
        <row r="56">
          <cell r="B56">
            <v>43510</v>
          </cell>
          <cell r="C56">
            <v>0</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row>
        <row r="57">
          <cell r="B57">
            <v>43511</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row>
        <row r="58">
          <cell r="B58">
            <v>43512</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row>
        <row r="59">
          <cell r="B59">
            <v>43513</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row>
        <row r="60">
          <cell r="B60">
            <v>43514</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row>
        <row r="61">
          <cell r="B61">
            <v>43515</v>
          </cell>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row>
        <row r="62">
          <cell r="B62">
            <v>43516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row>
        <row r="63">
          <cell r="B63">
            <v>43517</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row>
        <row r="64">
          <cell r="B64">
            <v>43518</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row>
        <row r="65">
          <cell r="B65">
            <v>43519</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row>
        <row r="66">
          <cell r="B66">
            <v>43520</v>
          </cell>
          <cell r="C66">
            <v>0</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row>
        <row r="67">
          <cell r="B67">
            <v>43521</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row>
        <row r="68">
          <cell r="B68">
            <v>43522</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row>
        <row r="69">
          <cell r="B69">
            <v>43523</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row>
        <row r="70">
          <cell r="B70">
            <v>43524</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row>
        <row r="71">
          <cell r="B71">
            <v>43525</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row>
        <row r="72">
          <cell r="B72">
            <v>43526</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row>
        <row r="73">
          <cell r="B73">
            <v>43527</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row>
        <row r="74">
          <cell r="B74">
            <v>43528</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row>
        <row r="75">
          <cell r="B75">
            <v>43529</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row>
        <row r="76">
          <cell r="B76">
            <v>43530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row>
        <row r="77">
          <cell r="B77">
            <v>43531</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row>
        <row r="78">
          <cell r="B78">
            <v>43532</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row>
        <row r="79">
          <cell r="B79">
            <v>43533</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row>
        <row r="80">
          <cell r="B80">
            <v>43534</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row>
        <row r="81">
          <cell r="B81">
            <v>43535</v>
          </cell>
          <cell r="C81">
            <v>0</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24</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row>
        <row r="82">
          <cell r="B82">
            <v>43536</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row>
        <row r="83">
          <cell r="B83">
            <v>43537</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row>
        <row r="84">
          <cell r="B84">
            <v>43538</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row>
        <row r="85">
          <cell r="B85">
            <v>43539</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row>
        <row r="86">
          <cell r="B86">
            <v>43540</v>
          </cell>
          <cell r="C86">
            <v>0</v>
          </cell>
          <cell r="D86">
            <v>0</v>
          </cell>
          <cell r="E86">
            <v>0</v>
          </cell>
          <cell r="F86">
            <v>0</v>
          </cell>
          <cell r="G86">
            <v>0</v>
          </cell>
          <cell r="H86">
            <v>0</v>
          </cell>
          <cell r="I86">
            <v>0</v>
          </cell>
          <cell r="J86">
            <v>-0.2</v>
          </cell>
          <cell r="K86">
            <v>0</v>
          </cell>
          <cell r="L86">
            <v>0</v>
          </cell>
          <cell r="M86">
            <v>0.2</v>
          </cell>
          <cell r="N86">
            <v>0</v>
          </cell>
          <cell r="O86">
            <v>0</v>
          </cell>
          <cell r="P86">
            <v>0</v>
          </cell>
          <cell r="Q86">
            <v>0</v>
          </cell>
          <cell r="R86">
            <v>0</v>
          </cell>
          <cell r="S86">
            <v>0</v>
          </cell>
          <cell r="T86">
            <v>0</v>
          </cell>
          <cell r="U86">
            <v>0</v>
          </cell>
          <cell r="V86">
            <v>0</v>
          </cell>
          <cell r="W86">
            <v>-0.2</v>
          </cell>
          <cell r="X86">
            <v>0.2</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row>
        <row r="87">
          <cell r="B87">
            <v>43541</v>
          </cell>
          <cell r="C87">
            <v>0</v>
          </cell>
          <cell r="D87">
            <v>0</v>
          </cell>
          <cell r="E87">
            <v>0</v>
          </cell>
          <cell r="F87">
            <v>0</v>
          </cell>
          <cell r="G87">
            <v>0</v>
          </cell>
          <cell r="H87">
            <v>0</v>
          </cell>
          <cell r="I87">
            <v>0</v>
          </cell>
          <cell r="J87">
            <v>-0.26</v>
          </cell>
          <cell r="K87">
            <v>0</v>
          </cell>
          <cell r="L87">
            <v>0</v>
          </cell>
          <cell r="M87">
            <v>0.26</v>
          </cell>
          <cell r="N87">
            <v>0</v>
          </cell>
          <cell r="O87">
            <v>0</v>
          </cell>
          <cell r="P87">
            <v>0</v>
          </cell>
          <cell r="Q87">
            <v>0</v>
          </cell>
          <cell r="R87">
            <v>0</v>
          </cell>
          <cell r="S87">
            <v>0</v>
          </cell>
          <cell r="T87">
            <v>0</v>
          </cell>
          <cell r="U87">
            <v>0</v>
          </cell>
          <cell r="V87">
            <v>0</v>
          </cell>
          <cell r="W87">
            <v>-0.26</v>
          </cell>
          <cell r="X87">
            <v>0.26</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row>
        <row r="88">
          <cell r="B88">
            <v>43542</v>
          </cell>
          <cell r="C88">
            <v>0</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row>
        <row r="89">
          <cell r="B89">
            <v>43543</v>
          </cell>
          <cell r="C89">
            <v>0</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row>
        <row r="90">
          <cell r="B90">
            <v>43544</v>
          </cell>
          <cell r="C90">
            <v>0</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row>
        <row r="91">
          <cell r="B91">
            <v>43545</v>
          </cell>
          <cell r="C91">
            <v>0</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row>
        <row r="92">
          <cell r="B92">
            <v>43546</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row>
        <row r="93">
          <cell r="B93">
            <v>43547</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row>
        <row r="94">
          <cell r="B94">
            <v>43548</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row>
        <row r="95">
          <cell r="B95">
            <v>43549</v>
          </cell>
          <cell r="C95">
            <v>0</v>
          </cell>
          <cell r="D95">
            <v>0</v>
          </cell>
          <cell r="E95">
            <v>0</v>
          </cell>
          <cell r="F95">
            <v>0</v>
          </cell>
          <cell r="G95">
            <v>0</v>
          </cell>
          <cell r="H95">
            <v>0</v>
          </cell>
          <cell r="I95">
            <v>0</v>
          </cell>
          <cell r="J95">
            <v>-0.01</v>
          </cell>
          <cell r="K95">
            <v>0</v>
          </cell>
          <cell r="L95">
            <v>0</v>
          </cell>
          <cell r="M95">
            <v>0.01</v>
          </cell>
          <cell r="N95">
            <v>0</v>
          </cell>
          <cell r="O95">
            <v>0</v>
          </cell>
          <cell r="P95">
            <v>0</v>
          </cell>
          <cell r="Q95">
            <v>0</v>
          </cell>
          <cell r="R95">
            <v>0</v>
          </cell>
          <cell r="S95">
            <v>0</v>
          </cell>
          <cell r="T95">
            <v>0</v>
          </cell>
          <cell r="U95">
            <v>0</v>
          </cell>
          <cell r="V95">
            <v>0</v>
          </cell>
          <cell r="W95">
            <v>-0.01</v>
          </cell>
          <cell r="X95">
            <v>0.01</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row>
        <row r="96">
          <cell r="B96">
            <v>43550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row>
        <row r="97">
          <cell r="B97">
            <v>43551</v>
          </cell>
          <cell r="C97">
            <v>0</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row>
        <row r="98">
          <cell r="B98">
            <v>43552</v>
          </cell>
          <cell r="C98">
            <v>0</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row>
        <row r="99">
          <cell r="B99">
            <v>43553</v>
          </cell>
          <cell r="C99">
            <v>0</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row>
        <row r="100">
          <cell r="B100">
            <v>43554</v>
          </cell>
          <cell r="C100">
            <v>0</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row>
        <row r="101">
          <cell r="B101">
            <v>43555</v>
          </cell>
          <cell r="C101">
            <v>0</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row>
        <row r="102">
          <cell r="B102">
            <v>43556</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row>
        <row r="103">
          <cell r="B103">
            <v>43557</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row>
        <row r="104">
          <cell r="B104">
            <v>43558</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row>
        <row r="105">
          <cell r="B105">
            <v>43559</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row>
        <row r="106">
          <cell r="B106">
            <v>43560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row>
        <row r="107">
          <cell r="B107">
            <v>43561</v>
          </cell>
          <cell r="C107">
            <v>0</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row>
        <row r="108">
          <cell r="B108">
            <v>43562</v>
          </cell>
          <cell r="C108">
            <v>0</v>
          </cell>
          <cell r="D108">
            <v>0</v>
          </cell>
          <cell r="E108">
            <v>0</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row>
        <row r="109">
          <cell r="B109">
            <v>43563</v>
          </cell>
          <cell r="C109">
            <v>0</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row>
        <row r="110">
          <cell r="B110">
            <v>43564</v>
          </cell>
          <cell r="C110">
            <v>0</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row>
        <row r="111">
          <cell r="B111">
            <v>43565</v>
          </cell>
          <cell r="C111">
            <v>0</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row>
        <row r="112">
          <cell r="B112">
            <v>43566</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row>
        <row r="113">
          <cell r="B113">
            <v>43567</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row>
        <row r="114">
          <cell r="B114">
            <v>43568</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row>
        <row r="115">
          <cell r="B115">
            <v>43569</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row>
        <row r="116">
          <cell r="B116">
            <v>43570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row>
        <row r="117">
          <cell r="B117">
            <v>43571</v>
          </cell>
          <cell r="C117">
            <v>0</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row>
        <row r="118">
          <cell r="B118">
            <v>43572</v>
          </cell>
          <cell r="C118">
            <v>0</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row>
        <row r="119">
          <cell r="B119">
            <v>43573</v>
          </cell>
          <cell r="C119">
            <v>0</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row>
        <row r="120">
          <cell r="B120">
            <v>43574</v>
          </cell>
          <cell r="C120">
            <v>0</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row>
        <row r="121">
          <cell r="B121">
            <v>43575</v>
          </cell>
          <cell r="C121">
            <v>0</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row>
        <row r="122">
          <cell r="B122">
            <v>43576</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row>
        <row r="123">
          <cell r="B123">
            <v>43577</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row>
        <row r="124">
          <cell r="B124">
            <v>43578</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row>
        <row r="125">
          <cell r="B125">
            <v>43579</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row>
        <row r="126">
          <cell r="B126">
            <v>43580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row>
        <row r="127">
          <cell r="B127">
            <v>43581</v>
          </cell>
          <cell r="C127">
            <v>0</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row>
        <row r="128">
          <cell r="B128">
            <v>43582</v>
          </cell>
          <cell r="C128">
            <v>0</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row>
        <row r="129">
          <cell r="B129">
            <v>43583</v>
          </cell>
          <cell r="C129">
            <v>0</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row>
        <row r="130">
          <cell r="B130">
            <v>43584</v>
          </cell>
          <cell r="C130">
            <v>0</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row>
        <row r="131">
          <cell r="B131">
            <v>43585</v>
          </cell>
          <cell r="C131">
            <v>0</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row>
        <row r="132">
          <cell r="B132">
            <v>43586</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cell r="BQ132">
            <v>0</v>
          </cell>
          <cell r="BR132">
            <v>0</v>
          </cell>
          <cell r="BS132">
            <v>0</v>
          </cell>
        </row>
        <row r="133">
          <cell r="B133">
            <v>43587</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cell r="BN133">
            <v>0</v>
          </cell>
          <cell r="BO133">
            <v>0</v>
          </cell>
          <cell r="BP133">
            <v>0</v>
          </cell>
          <cell r="BQ133">
            <v>0</v>
          </cell>
          <cell r="BR133">
            <v>0</v>
          </cell>
          <cell r="BS133">
            <v>0</v>
          </cell>
        </row>
        <row r="134">
          <cell r="B134">
            <v>43588</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row>
        <row r="135">
          <cell r="B135">
            <v>43589</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row>
        <row r="136">
          <cell r="B136">
            <v>43590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cell r="BN136">
            <v>0</v>
          </cell>
          <cell r="BO136">
            <v>0</v>
          </cell>
          <cell r="BP136">
            <v>0</v>
          </cell>
          <cell r="BQ136">
            <v>0</v>
          </cell>
          <cell r="BR136">
            <v>0</v>
          </cell>
          <cell r="BS136">
            <v>0</v>
          </cell>
        </row>
        <row r="137">
          <cell r="B137">
            <v>43591</v>
          </cell>
          <cell r="C137">
            <v>0</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cell r="BM137">
            <v>0</v>
          </cell>
          <cell r="BN137">
            <v>0</v>
          </cell>
          <cell r="BO137">
            <v>0</v>
          </cell>
          <cell r="BP137">
            <v>0</v>
          </cell>
          <cell r="BQ137">
            <v>0</v>
          </cell>
          <cell r="BR137">
            <v>0</v>
          </cell>
          <cell r="BS137">
            <v>0</v>
          </cell>
        </row>
        <row r="138">
          <cell r="B138">
            <v>43592</v>
          </cell>
          <cell r="C138">
            <v>0</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cell r="BM138">
            <v>0</v>
          </cell>
          <cell r="BN138">
            <v>0</v>
          </cell>
          <cell r="BO138">
            <v>0</v>
          </cell>
          <cell r="BP138">
            <v>0</v>
          </cell>
          <cell r="BQ138">
            <v>0</v>
          </cell>
          <cell r="BR138">
            <v>0</v>
          </cell>
          <cell r="BS138">
            <v>0</v>
          </cell>
        </row>
        <row r="139">
          <cell r="B139">
            <v>43593</v>
          </cell>
          <cell r="C139">
            <v>0</v>
          </cell>
          <cell r="D139">
            <v>0</v>
          </cell>
          <cell r="E139">
            <v>0</v>
          </cell>
          <cell r="F139">
            <v>0</v>
          </cell>
          <cell r="G139">
            <v>0</v>
          </cell>
          <cell r="H139">
            <v>0</v>
          </cell>
          <cell r="I139">
            <v>0</v>
          </cell>
          <cell r="J139">
            <v>0</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cell r="BM139">
            <v>0</v>
          </cell>
          <cell r="BN139">
            <v>0</v>
          </cell>
          <cell r="BO139">
            <v>0</v>
          </cell>
          <cell r="BP139">
            <v>0</v>
          </cell>
          <cell r="BQ139">
            <v>0</v>
          </cell>
          <cell r="BR139">
            <v>0</v>
          </cell>
          <cell r="BS139">
            <v>0</v>
          </cell>
        </row>
        <row r="140">
          <cell r="B140">
            <v>43594</v>
          </cell>
          <cell r="C140">
            <v>0</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row>
        <row r="141">
          <cell r="B141">
            <v>43595</v>
          </cell>
          <cell r="C141">
            <v>0</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cell r="BM141">
            <v>0</v>
          </cell>
          <cell r="BN141">
            <v>0</v>
          </cell>
          <cell r="BO141">
            <v>0</v>
          </cell>
          <cell r="BP141">
            <v>0</v>
          </cell>
          <cell r="BQ141">
            <v>0</v>
          </cell>
          <cell r="BR141">
            <v>0</v>
          </cell>
          <cell r="BS141">
            <v>0</v>
          </cell>
        </row>
        <row r="142">
          <cell r="B142">
            <v>43596</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row>
        <row r="143">
          <cell r="B143">
            <v>43597</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row>
        <row r="144">
          <cell r="B144">
            <v>43598</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row>
        <row r="145">
          <cell r="B145">
            <v>43599</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row>
        <row r="146">
          <cell r="B146">
            <v>43600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row>
        <row r="147">
          <cell r="B147">
            <v>43601</v>
          </cell>
          <cell r="C147">
            <v>0</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row>
        <row r="148">
          <cell r="B148">
            <v>43602</v>
          </cell>
          <cell r="C148">
            <v>0</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row>
        <row r="149">
          <cell r="B149">
            <v>43603</v>
          </cell>
          <cell r="C149">
            <v>0</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cell r="BM149">
            <v>0</v>
          </cell>
          <cell r="BN149">
            <v>0</v>
          </cell>
          <cell r="BO149">
            <v>0</v>
          </cell>
          <cell r="BP149">
            <v>0</v>
          </cell>
          <cell r="BQ149">
            <v>0</v>
          </cell>
          <cell r="BR149">
            <v>0</v>
          </cell>
          <cell r="BS149">
            <v>0</v>
          </cell>
        </row>
        <row r="150">
          <cell r="B150">
            <v>43604</v>
          </cell>
          <cell r="C150">
            <v>0</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row>
        <row r="151">
          <cell r="B151">
            <v>43605</v>
          </cell>
          <cell r="C151">
            <v>0</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cell r="BM151">
            <v>0</v>
          </cell>
          <cell r="BN151">
            <v>0</v>
          </cell>
          <cell r="BO151">
            <v>0</v>
          </cell>
          <cell r="BP151">
            <v>0</v>
          </cell>
          <cell r="BQ151">
            <v>0</v>
          </cell>
          <cell r="BR151">
            <v>0</v>
          </cell>
          <cell r="BS151">
            <v>0</v>
          </cell>
        </row>
        <row r="152">
          <cell r="B152">
            <v>43606</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row>
        <row r="153">
          <cell r="B153">
            <v>43607</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cell r="BN153">
            <v>0</v>
          </cell>
          <cell r="BO153">
            <v>0</v>
          </cell>
          <cell r="BP153">
            <v>0</v>
          </cell>
          <cell r="BQ153">
            <v>0</v>
          </cell>
          <cell r="BR153">
            <v>0</v>
          </cell>
          <cell r="BS153">
            <v>0</v>
          </cell>
        </row>
        <row r="154">
          <cell r="B154">
            <v>43608</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cell r="BO154">
            <v>0</v>
          </cell>
          <cell r="BP154">
            <v>0</v>
          </cell>
          <cell r="BQ154">
            <v>0</v>
          </cell>
          <cell r="BR154">
            <v>0</v>
          </cell>
          <cell r="BS154">
            <v>0</v>
          </cell>
        </row>
        <row r="155">
          <cell r="B155">
            <v>43609</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cell r="BN155">
            <v>0</v>
          </cell>
          <cell r="BO155">
            <v>0</v>
          </cell>
          <cell r="BP155">
            <v>0</v>
          </cell>
          <cell r="BQ155">
            <v>0</v>
          </cell>
          <cell r="BR155">
            <v>0</v>
          </cell>
          <cell r="BS155">
            <v>0</v>
          </cell>
        </row>
        <row r="156">
          <cell r="B156">
            <v>43610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cell r="BN156">
            <v>0</v>
          </cell>
          <cell r="BO156">
            <v>0</v>
          </cell>
          <cell r="BP156">
            <v>0</v>
          </cell>
          <cell r="BQ156">
            <v>0</v>
          </cell>
          <cell r="BR156">
            <v>0</v>
          </cell>
          <cell r="BS156">
            <v>0</v>
          </cell>
        </row>
        <row r="157">
          <cell r="B157">
            <v>43611</v>
          </cell>
          <cell r="C157">
            <v>0</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row>
        <row r="158">
          <cell r="B158">
            <v>43612</v>
          </cell>
          <cell r="C158">
            <v>0</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row>
        <row r="159">
          <cell r="B159">
            <v>43613</v>
          </cell>
          <cell r="C159">
            <v>0</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row>
        <row r="160">
          <cell r="B160">
            <v>43614</v>
          </cell>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row>
        <row r="161">
          <cell r="B161">
            <v>43615</v>
          </cell>
          <cell r="C161">
            <v>0</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row>
        <row r="162">
          <cell r="B162">
            <v>43616</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cell r="BN162">
            <v>0</v>
          </cell>
          <cell r="BO162">
            <v>0</v>
          </cell>
          <cell r="BP162">
            <v>0</v>
          </cell>
          <cell r="BQ162">
            <v>0</v>
          </cell>
          <cell r="BR162">
            <v>0</v>
          </cell>
          <cell r="BS162">
            <v>0</v>
          </cell>
        </row>
        <row r="163">
          <cell r="B163">
            <v>43617</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row>
        <row r="164">
          <cell r="B164">
            <v>43618</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row>
        <row r="165">
          <cell r="B165">
            <v>43619</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row>
        <row r="166">
          <cell r="B166">
            <v>43620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row>
        <row r="167">
          <cell r="B167">
            <v>43621</v>
          </cell>
          <cell r="C167">
            <v>0</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row>
        <row r="168">
          <cell r="B168">
            <v>43622</v>
          </cell>
          <cell r="C168">
            <v>0</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row>
        <row r="169">
          <cell r="B169">
            <v>43623</v>
          </cell>
          <cell r="C169">
            <v>0</v>
          </cell>
          <cell r="D169">
            <v>0</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row>
        <row r="170">
          <cell r="B170">
            <v>43624</v>
          </cell>
          <cell r="C170">
            <v>0</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row>
        <row r="171">
          <cell r="B171">
            <v>43625</v>
          </cell>
          <cell r="C171">
            <v>0</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row>
        <row r="172">
          <cell r="B172">
            <v>43626</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row>
        <row r="173">
          <cell r="B173">
            <v>43627</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row>
        <row r="174">
          <cell r="B174">
            <v>43628</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row>
        <row r="175">
          <cell r="B175">
            <v>43629</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row>
        <row r="176">
          <cell r="B176">
            <v>43630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row>
        <row r="177">
          <cell r="B177">
            <v>43631</v>
          </cell>
          <cell r="C177">
            <v>0</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row>
        <row r="178">
          <cell r="B178">
            <v>43632</v>
          </cell>
          <cell r="C178">
            <v>0</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cell r="BM178">
            <v>0</v>
          </cell>
          <cell r="BN178">
            <v>0</v>
          </cell>
          <cell r="BO178">
            <v>0</v>
          </cell>
          <cell r="BP178">
            <v>0</v>
          </cell>
          <cell r="BQ178">
            <v>0</v>
          </cell>
          <cell r="BR178">
            <v>0</v>
          </cell>
          <cell r="BS178">
            <v>0</v>
          </cell>
        </row>
        <row r="179">
          <cell r="B179">
            <v>43633</v>
          </cell>
          <cell r="C179">
            <v>0</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row>
        <row r="180">
          <cell r="B180">
            <v>43634</v>
          </cell>
          <cell r="C180">
            <v>0</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cell r="BM180">
            <v>0</v>
          </cell>
          <cell r="BN180">
            <v>0</v>
          </cell>
          <cell r="BO180">
            <v>0</v>
          </cell>
          <cell r="BP180">
            <v>0</v>
          </cell>
          <cell r="BQ180">
            <v>0</v>
          </cell>
          <cell r="BR180">
            <v>0</v>
          </cell>
          <cell r="BS180">
            <v>0</v>
          </cell>
        </row>
        <row r="181">
          <cell r="B181">
            <v>43635</v>
          </cell>
          <cell r="C181">
            <v>0</v>
          </cell>
          <cell r="D181">
            <v>0</v>
          </cell>
          <cell r="E181">
            <v>0</v>
          </cell>
          <cell r="F181">
            <v>0</v>
          </cell>
          <cell r="G181">
            <v>0</v>
          </cell>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cell r="BM181">
            <v>0</v>
          </cell>
          <cell r="BN181">
            <v>0</v>
          </cell>
          <cell r="BO181">
            <v>0</v>
          </cell>
          <cell r="BP181">
            <v>0</v>
          </cell>
          <cell r="BQ181">
            <v>0</v>
          </cell>
          <cell r="BR181">
            <v>0</v>
          </cell>
          <cell r="BS181">
            <v>0</v>
          </cell>
        </row>
        <row r="182">
          <cell r="B182">
            <v>43636</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cell r="BR182">
            <v>0</v>
          </cell>
          <cell r="BS182">
            <v>0</v>
          </cell>
        </row>
        <row r="183">
          <cell r="B183">
            <v>43637</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row>
        <row r="184">
          <cell r="B184">
            <v>43638</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row>
        <row r="185">
          <cell r="B185">
            <v>43639</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row>
        <row r="186">
          <cell r="B186">
            <v>43640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cell r="BQ186">
            <v>0</v>
          </cell>
          <cell r="BR186">
            <v>0</v>
          </cell>
          <cell r="BS186">
            <v>0</v>
          </cell>
        </row>
        <row r="187">
          <cell r="B187">
            <v>43641</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cell r="BP187">
            <v>0</v>
          </cell>
          <cell r="BQ187">
            <v>0</v>
          </cell>
          <cell r="BR187">
            <v>0</v>
          </cell>
          <cell r="BS187">
            <v>0</v>
          </cell>
        </row>
        <row r="188">
          <cell r="B188">
            <v>43642</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cell r="BN188">
            <v>0</v>
          </cell>
          <cell r="BO188">
            <v>0</v>
          </cell>
          <cell r="BP188">
            <v>0</v>
          </cell>
          <cell r="BQ188">
            <v>0</v>
          </cell>
          <cell r="BR188">
            <v>0</v>
          </cell>
          <cell r="BS188">
            <v>0</v>
          </cell>
        </row>
        <row r="189">
          <cell r="B189">
            <v>43643</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cell r="BM189">
            <v>0</v>
          </cell>
          <cell r="BN189">
            <v>0</v>
          </cell>
          <cell r="BO189">
            <v>0</v>
          </cell>
          <cell r="BP189">
            <v>0</v>
          </cell>
          <cell r="BQ189">
            <v>0</v>
          </cell>
          <cell r="BR189">
            <v>0</v>
          </cell>
          <cell r="BS189">
            <v>0</v>
          </cell>
        </row>
        <row r="190">
          <cell r="B190">
            <v>43644</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cell r="BN190">
            <v>0</v>
          </cell>
          <cell r="BO190">
            <v>0</v>
          </cell>
          <cell r="BP190">
            <v>0</v>
          </cell>
          <cell r="BQ190">
            <v>0</v>
          </cell>
          <cell r="BR190">
            <v>0</v>
          </cell>
          <cell r="BS190">
            <v>0</v>
          </cell>
        </row>
        <row r="191">
          <cell r="B191">
            <v>43645</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cell r="BN191">
            <v>0</v>
          </cell>
          <cell r="BO191">
            <v>0</v>
          </cell>
          <cell r="BP191">
            <v>0</v>
          </cell>
          <cell r="BQ191">
            <v>0</v>
          </cell>
          <cell r="BR191">
            <v>0</v>
          </cell>
          <cell r="BS191">
            <v>0</v>
          </cell>
        </row>
        <row r="192">
          <cell r="B192">
            <v>43646</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row>
        <row r="193">
          <cell r="B193">
            <v>43647</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row>
        <row r="194">
          <cell r="B194">
            <v>43648</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row>
        <row r="195">
          <cell r="B195">
            <v>43649</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cell r="BQ195">
            <v>0</v>
          </cell>
          <cell r="BR195">
            <v>0</v>
          </cell>
          <cell r="BS195">
            <v>0</v>
          </cell>
        </row>
        <row r="196">
          <cell r="B196">
            <v>43650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row>
        <row r="197">
          <cell r="B197">
            <v>43651</v>
          </cell>
          <cell r="C197">
            <v>0</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row>
        <row r="198">
          <cell r="B198">
            <v>43652</v>
          </cell>
          <cell r="C198">
            <v>0</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row>
        <row r="199">
          <cell r="B199">
            <v>43653</v>
          </cell>
          <cell r="C199">
            <v>0</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cell r="BM199">
            <v>0</v>
          </cell>
          <cell r="BN199">
            <v>0</v>
          </cell>
          <cell r="BO199">
            <v>0</v>
          </cell>
          <cell r="BP199">
            <v>0</v>
          </cell>
          <cell r="BQ199">
            <v>0</v>
          </cell>
          <cell r="BR199">
            <v>0</v>
          </cell>
          <cell r="BS199">
            <v>0</v>
          </cell>
        </row>
        <row r="200">
          <cell r="B200">
            <v>43654</v>
          </cell>
          <cell r="C200">
            <v>0</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cell r="BM200">
            <v>0</v>
          </cell>
          <cell r="BN200">
            <v>0</v>
          </cell>
          <cell r="BO200">
            <v>0</v>
          </cell>
          <cell r="BP200">
            <v>0</v>
          </cell>
          <cell r="BQ200">
            <v>0</v>
          </cell>
          <cell r="BR200">
            <v>0</v>
          </cell>
          <cell r="BS200">
            <v>0</v>
          </cell>
        </row>
        <row r="201">
          <cell r="B201">
            <v>43655</v>
          </cell>
          <cell r="C201">
            <v>0</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cell r="BM201">
            <v>0</v>
          </cell>
          <cell r="BN201">
            <v>0</v>
          </cell>
          <cell r="BO201">
            <v>0</v>
          </cell>
          <cell r="BP201">
            <v>0</v>
          </cell>
          <cell r="BQ201">
            <v>0</v>
          </cell>
          <cell r="BR201">
            <v>0</v>
          </cell>
          <cell r="BS201">
            <v>0</v>
          </cell>
        </row>
        <row r="202">
          <cell r="B202">
            <v>43656</v>
          </cell>
          <cell r="C202">
            <v>0</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cell r="BM202">
            <v>0</v>
          </cell>
          <cell r="BN202">
            <v>0</v>
          </cell>
          <cell r="BO202">
            <v>0</v>
          </cell>
          <cell r="BP202">
            <v>0</v>
          </cell>
          <cell r="BQ202">
            <v>0</v>
          </cell>
          <cell r="BR202">
            <v>0</v>
          </cell>
          <cell r="BS202">
            <v>0</v>
          </cell>
        </row>
        <row r="203">
          <cell r="B203">
            <v>43657</v>
          </cell>
          <cell r="C203">
            <v>0</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cell r="BM203">
            <v>0</v>
          </cell>
          <cell r="BN203">
            <v>0</v>
          </cell>
          <cell r="BO203">
            <v>0</v>
          </cell>
          <cell r="BP203">
            <v>0</v>
          </cell>
          <cell r="BQ203">
            <v>0</v>
          </cell>
          <cell r="BR203">
            <v>0</v>
          </cell>
          <cell r="BS203">
            <v>0</v>
          </cell>
        </row>
        <row r="204">
          <cell r="B204">
            <v>43658</v>
          </cell>
          <cell r="C204">
            <v>0</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cell r="BM204">
            <v>0</v>
          </cell>
          <cell r="BN204">
            <v>0</v>
          </cell>
          <cell r="BO204">
            <v>0</v>
          </cell>
          <cell r="BP204">
            <v>0</v>
          </cell>
          <cell r="BQ204">
            <v>0</v>
          </cell>
          <cell r="BR204">
            <v>0</v>
          </cell>
          <cell r="BS204">
            <v>0</v>
          </cell>
        </row>
        <row r="205">
          <cell r="B205">
            <v>43659</v>
          </cell>
          <cell r="C205">
            <v>0</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cell r="BN205">
            <v>0</v>
          </cell>
          <cell r="BO205">
            <v>0</v>
          </cell>
          <cell r="BP205">
            <v>0</v>
          </cell>
          <cell r="BQ205">
            <v>0</v>
          </cell>
          <cell r="BR205">
            <v>0</v>
          </cell>
          <cell r="BS205">
            <v>0</v>
          </cell>
        </row>
        <row r="206">
          <cell r="B206">
            <v>43660</v>
          </cell>
          <cell r="C206">
            <v>0</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cell r="BM206">
            <v>0</v>
          </cell>
          <cell r="BN206">
            <v>0</v>
          </cell>
          <cell r="BO206">
            <v>0</v>
          </cell>
          <cell r="BP206">
            <v>0</v>
          </cell>
          <cell r="BQ206">
            <v>0</v>
          </cell>
          <cell r="BR206">
            <v>0</v>
          </cell>
          <cell r="BS206">
            <v>0</v>
          </cell>
        </row>
        <row r="207">
          <cell r="B207">
            <v>43661</v>
          </cell>
          <cell r="C207">
            <v>0</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cell r="BM207">
            <v>0</v>
          </cell>
          <cell r="BN207">
            <v>0</v>
          </cell>
          <cell r="BO207">
            <v>0</v>
          </cell>
          <cell r="BP207">
            <v>0</v>
          </cell>
          <cell r="BQ207">
            <v>0</v>
          </cell>
          <cell r="BR207">
            <v>0</v>
          </cell>
          <cell r="BS207">
            <v>0</v>
          </cell>
        </row>
        <row r="208">
          <cell r="B208">
            <v>43662</v>
          </cell>
          <cell r="C208">
            <v>0</v>
          </cell>
          <cell r="D208">
            <v>0</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cell r="W208">
            <v>0</v>
          </cell>
          <cell r="X208">
            <v>0</v>
          </cell>
          <cell r="Y208">
            <v>0</v>
          </cell>
          <cell r="Z208">
            <v>0</v>
          </cell>
          <cell r="AA208">
            <v>0</v>
          </cell>
          <cell r="AB208">
            <v>0</v>
          </cell>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cell r="BM208">
            <v>0</v>
          </cell>
          <cell r="BN208">
            <v>0</v>
          </cell>
          <cell r="BO208">
            <v>0</v>
          </cell>
          <cell r="BP208">
            <v>0</v>
          </cell>
          <cell r="BQ208">
            <v>0</v>
          </cell>
          <cell r="BR208">
            <v>0</v>
          </cell>
          <cell r="BS208">
            <v>0</v>
          </cell>
        </row>
        <row r="209">
          <cell r="B209">
            <v>43663</v>
          </cell>
          <cell r="C209">
            <v>0</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cell r="BM209">
            <v>0</v>
          </cell>
          <cell r="BN209">
            <v>0</v>
          </cell>
          <cell r="BO209">
            <v>0</v>
          </cell>
          <cell r="BP209">
            <v>0</v>
          </cell>
          <cell r="BQ209">
            <v>0</v>
          </cell>
          <cell r="BR209">
            <v>0</v>
          </cell>
          <cell r="BS209">
            <v>0</v>
          </cell>
        </row>
        <row r="210">
          <cell r="B210">
            <v>43664</v>
          </cell>
          <cell r="C210">
            <v>0</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row>
        <row r="211">
          <cell r="B211">
            <v>43665</v>
          </cell>
          <cell r="C211">
            <v>0</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cell r="BM211">
            <v>0</v>
          </cell>
          <cell r="BN211">
            <v>0</v>
          </cell>
          <cell r="BO211">
            <v>0</v>
          </cell>
          <cell r="BP211">
            <v>0</v>
          </cell>
          <cell r="BQ211">
            <v>0</v>
          </cell>
          <cell r="BR211">
            <v>0</v>
          </cell>
          <cell r="BS211">
            <v>0</v>
          </cell>
        </row>
        <row r="212">
          <cell r="B212">
            <v>43666</v>
          </cell>
          <cell r="C212">
            <v>0</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row>
        <row r="213">
          <cell r="B213">
            <v>43667</v>
          </cell>
          <cell r="C213">
            <v>0</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cell r="BN213">
            <v>0</v>
          </cell>
          <cell r="BO213">
            <v>0</v>
          </cell>
          <cell r="BP213">
            <v>0</v>
          </cell>
          <cell r="BQ213">
            <v>0</v>
          </cell>
          <cell r="BR213">
            <v>0</v>
          </cell>
          <cell r="BS213">
            <v>0</v>
          </cell>
        </row>
        <row r="214">
          <cell r="B214">
            <v>43668</v>
          </cell>
          <cell r="C214">
            <v>0</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row>
        <row r="215">
          <cell r="B215">
            <v>43669</v>
          </cell>
          <cell r="C215">
            <v>0</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cell r="BM215">
            <v>0</v>
          </cell>
          <cell r="BN215">
            <v>0</v>
          </cell>
          <cell r="BO215">
            <v>0</v>
          </cell>
          <cell r="BP215">
            <v>0</v>
          </cell>
          <cell r="BQ215">
            <v>0</v>
          </cell>
          <cell r="BR215">
            <v>0</v>
          </cell>
          <cell r="BS215">
            <v>0</v>
          </cell>
        </row>
        <row r="216">
          <cell r="B216">
            <v>43670</v>
          </cell>
          <cell r="C216">
            <v>0</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row>
        <row r="217">
          <cell r="B217">
            <v>43671</v>
          </cell>
          <cell r="C217">
            <v>0</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row>
        <row r="218">
          <cell r="B218">
            <v>43672</v>
          </cell>
          <cell r="C218">
            <v>0</v>
          </cell>
          <cell r="D218">
            <v>0</v>
          </cell>
          <cell r="E218">
            <v>0</v>
          </cell>
          <cell r="F218">
            <v>0</v>
          </cell>
          <cell r="G218">
            <v>0</v>
          </cell>
          <cell r="H218">
            <v>0</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row>
        <row r="219">
          <cell r="B219">
            <v>43673</v>
          </cell>
          <cell r="C219">
            <v>0</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cell r="BM219">
            <v>0</v>
          </cell>
          <cell r="BN219">
            <v>0</v>
          </cell>
          <cell r="BO219">
            <v>0</v>
          </cell>
          <cell r="BP219">
            <v>0</v>
          </cell>
          <cell r="BQ219">
            <v>0</v>
          </cell>
          <cell r="BR219">
            <v>0</v>
          </cell>
          <cell r="BS219">
            <v>0</v>
          </cell>
        </row>
        <row r="220">
          <cell r="B220">
            <v>43674</v>
          </cell>
          <cell r="C220">
            <v>0</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row>
        <row r="221">
          <cell r="B221">
            <v>43675</v>
          </cell>
          <cell r="C221">
            <v>0</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row>
        <row r="222">
          <cell r="B222">
            <v>43676</v>
          </cell>
          <cell r="C222">
            <v>0</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row>
        <row r="223">
          <cell r="B223">
            <v>43677</v>
          </cell>
          <cell r="C223">
            <v>0</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cell r="BM223">
            <v>0</v>
          </cell>
          <cell r="BN223">
            <v>0</v>
          </cell>
          <cell r="BO223">
            <v>0</v>
          </cell>
          <cell r="BP223">
            <v>0</v>
          </cell>
          <cell r="BQ223">
            <v>0</v>
          </cell>
          <cell r="BR223">
            <v>0</v>
          </cell>
          <cell r="BS223">
            <v>0</v>
          </cell>
        </row>
        <row r="224">
          <cell r="B224">
            <v>43678</v>
          </cell>
          <cell r="C224">
            <v>0</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cell r="BM224">
            <v>0</v>
          </cell>
          <cell r="BN224">
            <v>0</v>
          </cell>
          <cell r="BO224">
            <v>0</v>
          </cell>
          <cell r="BP224">
            <v>0</v>
          </cell>
          <cell r="BQ224">
            <v>0</v>
          </cell>
          <cell r="BR224">
            <v>0</v>
          </cell>
          <cell r="BS224">
            <v>0</v>
          </cell>
        </row>
        <row r="225">
          <cell r="B225">
            <v>43679</v>
          </cell>
          <cell r="C225">
            <v>0</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cell r="BM225">
            <v>0</v>
          </cell>
          <cell r="BN225">
            <v>0</v>
          </cell>
          <cell r="BO225">
            <v>0</v>
          </cell>
          <cell r="BP225">
            <v>0</v>
          </cell>
          <cell r="BQ225">
            <v>0</v>
          </cell>
          <cell r="BR225">
            <v>0</v>
          </cell>
          <cell r="BS225">
            <v>0</v>
          </cell>
        </row>
        <row r="226">
          <cell r="B226">
            <v>43680</v>
          </cell>
          <cell r="C226">
            <v>-6.56</v>
          </cell>
          <cell r="D226">
            <v>0</v>
          </cell>
          <cell r="E226">
            <v>0</v>
          </cell>
          <cell r="F226">
            <v>6.56</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-6.56</v>
          </cell>
          <cell r="X226">
            <v>6.56</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cell r="BM226">
            <v>0</v>
          </cell>
          <cell r="BN226">
            <v>0</v>
          </cell>
          <cell r="BO226">
            <v>0</v>
          </cell>
          <cell r="BP226">
            <v>0</v>
          </cell>
          <cell r="BQ226">
            <v>0</v>
          </cell>
          <cell r="BR226">
            <v>0</v>
          </cell>
          <cell r="BS226">
            <v>0</v>
          </cell>
        </row>
        <row r="227">
          <cell r="B227">
            <v>43681</v>
          </cell>
          <cell r="C227">
            <v>0</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row>
        <row r="228">
          <cell r="B228">
            <v>43682</v>
          </cell>
          <cell r="C228">
            <v>0</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cell r="BM228">
            <v>0</v>
          </cell>
          <cell r="BN228">
            <v>0</v>
          </cell>
          <cell r="BO228">
            <v>0</v>
          </cell>
          <cell r="BP228">
            <v>0</v>
          </cell>
          <cell r="BQ228">
            <v>0</v>
          </cell>
          <cell r="BR228">
            <v>0</v>
          </cell>
          <cell r="BS228">
            <v>0</v>
          </cell>
        </row>
        <row r="229">
          <cell r="B229">
            <v>43683</v>
          </cell>
          <cell r="C229">
            <v>0</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cell r="BM229">
            <v>0</v>
          </cell>
          <cell r="BN229">
            <v>0</v>
          </cell>
          <cell r="BO229">
            <v>0</v>
          </cell>
          <cell r="BP229">
            <v>0</v>
          </cell>
          <cell r="BQ229">
            <v>0</v>
          </cell>
          <cell r="BR229">
            <v>0</v>
          </cell>
          <cell r="BS229">
            <v>0</v>
          </cell>
        </row>
        <row r="230">
          <cell r="B230">
            <v>43684</v>
          </cell>
          <cell r="C230">
            <v>0</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cell r="BM230">
            <v>0</v>
          </cell>
          <cell r="BN230">
            <v>0</v>
          </cell>
          <cell r="BO230">
            <v>0</v>
          </cell>
          <cell r="BP230">
            <v>0</v>
          </cell>
          <cell r="BQ230">
            <v>0</v>
          </cell>
          <cell r="BR230">
            <v>0</v>
          </cell>
          <cell r="BS230">
            <v>0</v>
          </cell>
        </row>
        <row r="231">
          <cell r="B231">
            <v>43685</v>
          </cell>
          <cell r="C231">
            <v>0</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row>
        <row r="232">
          <cell r="B232">
            <v>43686</v>
          </cell>
          <cell r="C232">
            <v>0</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row>
        <row r="233">
          <cell r="B233">
            <v>43687</v>
          </cell>
          <cell r="C233">
            <v>0</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row>
        <row r="234">
          <cell r="B234">
            <v>43688</v>
          </cell>
          <cell r="C234">
            <v>0</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cell r="BM234">
            <v>0</v>
          </cell>
          <cell r="BN234">
            <v>0</v>
          </cell>
          <cell r="BO234">
            <v>0</v>
          </cell>
          <cell r="BP234">
            <v>0</v>
          </cell>
          <cell r="BQ234">
            <v>0</v>
          </cell>
          <cell r="BR234">
            <v>0</v>
          </cell>
          <cell r="BS234">
            <v>0</v>
          </cell>
        </row>
        <row r="235">
          <cell r="B235">
            <v>43689</v>
          </cell>
          <cell r="C235">
            <v>0</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row>
        <row r="236">
          <cell r="B236">
            <v>43690</v>
          </cell>
          <cell r="C236">
            <v>0</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row>
        <row r="237">
          <cell r="B237">
            <v>43691</v>
          </cell>
          <cell r="C237">
            <v>0</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row>
        <row r="238">
          <cell r="B238">
            <v>43692</v>
          </cell>
          <cell r="C238">
            <v>0</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row>
        <row r="239">
          <cell r="B239">
            <v>43693</v>
          </cell>
          <cell r="C239">
            <v>0</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row>
        <row r="240">
          <cell r="B240">
            <v>43694</v>
          </cell>
          <cell r="C240">
            <v>0</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-6.8</v>
          </cell>
          <cell r="BC240">
            <v>6.8</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row>
        <row r="241">
          <cell r="B241">
            <v>43695</v>
          </cell>
          <cell r="C241">
            <v>0</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cell r="BM241">
            <v>0</v>
          </cell>
          <cell r="BN241">
            <v>0</v>
          </cell>
          <cell r="BO241">
            <v>0</v>
          </cell>
          <cell r="BP241">
            <v>0</v>
          </cell>
          <cell r="BQ241">
            <v>0</v>
          </cell>
          <cell r="BR241">
            <v>0</v>
          </cell>
          <cell r="BS241">
            <v>0</v>
          </cell>
        </row>
        <row r="242">
          <cell r="B242">
            <v>43696</v>
          </cell>
          <cell r="C242">
            <v>0</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cell r="BM242">
            <v>0</v>
          </cell>
          <cell r="BN242">
            <v>0</v>
          </cell>
          <cell r="BO242">
            <v>0</v>
          </cell>
          <cell r="BP242">
            <v>0</v>
          </cell>
          <cell r="BQ242">
            <v>0</v>
          </cell>
          <cell r="BR242">
            <v>0</v>
          </cell>
          <cell r="BS242">
            <v>0</v>
          </cell>
        </row>
        <row r="243">
          <cell r="B243">
            <v>43697</v>
          </cell>
          <cell r="C243">
            <v>0</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cell r="BM243">
            <v>0</v>
          </cell>
          <cell r="BN243">
            <v>0</v>
          </cell>
          <cell r="BO243">
            <v>0</v>
          </cell>
          <cell r="BP243">
            <v>0</v>
          </cell>
          <cell r="BQ243">
            <v>0</v>
          </cell>
          <cell r="BR243">
            <v>0</v>
          </cell>
          <cell r="BS243">
            <v>0</v>
          </cell>
        </row>
        <row r="244">
          <cell r="B244">
            <v>43698</v>
          </cell>
          <cell r="C244">
            <v>0</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row>
        <row r="245">
          <cell r="B245">
            <v>43699</v>
          </cell>
          <cell r="C245">
            <v>0</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cell r="BM245">
            <v>0</v>
          </cell>
          <cell r="BN245">
            <v>0</v>
          </cell>
          <cell r="BO245">
            <v>0</v>
          </cell>
          <cell r="BP245">
            <v>0</v>
          </cell>
          <cell r="BQ245">
            <v>0</v>
          </cell>
          <cell r="BR245">
            <v>0</v>
          </cell>
          <cell r="BS245">
            <v>0</v>
          </cell>
        </row>
        <row r="246">
          <cell r="B246">
            <v>43700</v>
          </cell>
          <cell r="C246">
            <v>0</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cell r="BM246">
            <v>0</v>
          </cell>
          <cell r="BN246">
            <v>0</v>
          </cell>
          <cell r="BO246">
            <v>0</v>
          </cell>
          <cell r="BP246">
            <v>0</v>
          </cell>
          <cell r="BQ246">
            <v>0</v>
          </cell>
          <cell r="BR246">
            <v>0</v>
          </cell>
          <cell r="BS246">
            <v>0</v>
          </cell>
        </row>
        <row r="247">
          <cell r="B247">
            <v>43701</v>
          </cell>
          <cell r="C247">
            <v>0</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row>
        <row r="248">
          <cell r="B248">
            <v>43702</v>
          </cell>
          <cell r="C248">
            <v>0</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row>
        <row r="249">
          <cell r="B249">
            <v>43703</v>
          </cell>
          <cell r="C249">
            <v>0</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row>
        <row r="250">
          <cell r="B250">
            <v>43704</v>
          </cell>
          <cell r="C250">
            <v>0</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row>
        <row r="251">
          <cell r="B251">
            <v>43705</v>
          </cell>
          <cell r="C251">
            <v>0</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row>
        <row r="252">
          <cell r="B252">
            <v>43706</v>
          </cell>
          <cell r="C252">
            <v>0</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row>
        <row r="253">
          <cell r="B253">
            <v>43707</v>
          </cell>
          <cell r="C253">
            <v>0</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cell r="BM253">
            <v>0</v>
          </cell>
          <cell r="BN253">
            <v>0</v>
          </cell>
          <cell r="BO253">
            <v>0</v>
          </cell>
          <cell r="BP253">
            <v>0</v>
          </cell>
          <cell r="BQ253">
            <v>0</v>
          </cell>
          <cell r="BR253">
            <v>0</v>
          </cell>
          <cell r="BS253">
            <v>0</v>
          </cell>
        </row>
        <row r="254">
          <cell r="B254">
            <v>43708</v>
          </cell>
          <cell r="C254">
            <v>0</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cell r="BM254">
            <v>0</v>
          </cell>
          <cell r="BN254">
            <v>0</v>
          </cell>
          <cell r="BO254">
            <v>0</v>
          </cell>
          <cell r="BP254">
            <v>0</v>
          </cell>
          <cell r="BQ254">
            <v>0</v>
          </cell>
          <cell r="BR254">
            <v>0</v>
          </cell>
          <cell r="BS254">
            <v>0</v>
          </cell>
        </row>
        <row r="255">
          <cell r="B255">
            <v>43709</v>
          </cell>
          <cell r="C255">
            <v>0</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row>
        <row r="256">
          <cell r="B256">
            <v>43710</v>
          </cell>
          <cell r="C256">
            <v>0</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row>
        <row r="257">
          <cell r="B257">
            <v>43711</v>
          </cell>
          <cell r="C257">
            <v>0</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row>
        <row r="258">
          <cell r="B258">
            <v>43712</v>
          </cell>
          <cell r="C258">
            <v>0</v>
          </cell>
          <cell r="D258">
            <v>0</v>
          </cell>
          <cell r="E258">
            <v>0</v>
          </cell>
          <cell r="F258">
            <v>0</v>
          </cell>
          <cell r="G258">
            <v>0</v>
          </cell>
          <cell r="H258">
            <v>0</v>
          </cell>
          <cell r="I258">
            <v>0</v>
          </cell>
          <cell r="J258">
            <v>-1E-3</v>
          </cell>
          <cell r="K258">
            <v>0</v>
          </cell>
          <cell r="L258">
            <v>0</v>
          </cell>
          <cell r="M258">
            <v>1E-3</v>
          </cell>
          <cell r="N258">
            <v>0</v>
          </cell>
          <cell r="O258">
            <v>0</v>
          </cell>
          <cell r="P258">
            <v>0</v>
          </cell>
          <cell r="Q258">
            <v>0</v>
          </cell>
          <cell r="R258">
            <v>0</v>
          </cell>
          <cell r="S258">
            <v>0</v>
          </cell>
          <cell r="T258">
            <v>0</v>
          </cell>
          <cell r="U258">
            <v>0</v>
          </cell>
          <cell r="V258">
            <v>0</v>
          </cell>
          <cell r="W258">
            <v>-1E-3</v>
          </cell>
          <cell r="X258">
            <v>1E-3</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row>
        <row r="259">
          <cell r="B259">
            <v>43713</v>
          </cell>
          <cell r="C259">
            <v>0</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row>
        <row r="260">
          <cell r="B260">
            <v>43714</v>
          </cell>
          <cell r="C260">
            <v>0</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row>
        <row r="261">
          <cell r="B261">
            <v>43715</v>
          </cell>
          <cell r="C261">
            <v>0</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row>
        <row r="262">
          <cell r="B262">
            <v>43716</v>
          </cell>
          <cell r="C262">
            <v>0</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row>
        <row r="263">
          <cell r="B263">
            <v>43717</v>
          </cell>
          <cell r="C263">
            <v>0</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row>
        <row r="264">
          <cell r="B264">
            <v>43718</v>
          </cell>
          <cell r="C264">
            <v>0</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row>
        <row r="265">
          <cell r="B265">
            <v>43719</v>
          </cell>
          <cell r="C265">
            <v>0</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row>
        <row r="266">
          <cell r="B266">
            <v>43720</v>
          </cell>
          <cell r="C266">
            <v>0</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row>
        <row r="267">
          <cell r="B267">
            <v>43721</v>
          </cell>
          <cell r="C267">
            <v>0</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row>
        <row r="268">
          <cell r="B268">
            <v>43722</v>
          </cell>
          <cell r="C268">
            <v>0</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cell r="BM268">
            <v>0</v>
          </cell>
          <cell r="BN268">
            <v>0</v>
          </cell>
          <cell r="BO268">
            <v>0</v>
          </cell>
          <cell r="BP268">
            <v>0</v>
          </cell>
          <cell r="BQ268">
            <v>0</v>
          </cell>
          <cell r="BR268">
            <v>0</v>
          </cell>
          <cell r="BS268">
            <v>0</v>
          </cell>
        </row>
        <row r="269">
          <cell r="B269">
            <v>43723</v>
          </cell>
          <cell r="C269">
            <v>0</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cell r="BM269">
            <v>0</v>
          </cell>
          <cell r="BN269">
            <v>0</v>
          </cell>
          <cell r="BO269">
            <v>0</v>
          </cell>
          <cell r="BP269">
            <v>0</v>
          </cell>
          <cell r="BQ269">
            <v>0</v>
          </cell>
          <cell r="BR269">
            <v>0</v>
          </cell>
          <cell r="BS269">
            <v>0</v>
          </cell>
        </row>
        <row r="270">
          <cell r="B270">
            <v>43724</v>
          </cell>
          <cell r="C270">
            <v>0</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cell r="BM270">
            <v>0</v>
          </cell>
          <cell r="BN270">
            <v>0</v>
          </cell>
          <cell r="BO270">
            <v>0</v>
          </cell>
          <cell r="BP270">
            <v>0</v>
          </cell>
          <cell r="BQ270">
            <v>0</v>
          </cell>
          <cell r="BR270">
            <v>0</v>
          </cell>
          <cell r="BS270">
            <v>0</v>
          </cell>
        </row>
        <row r="271">
          <cell r="B271">
            <v>43725</v>
          </cell>
          <cell r="C271">
            <v>0</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row>
        <row r="272">
          <cell r="B272">
            <v>43726</v>
          </cell>
          <cell r="C272">
            <v>0</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cell r="BM272">
            <v>0</v>
          </cell>
          <cell r="BN272">
            <v>0</v>
          </cell>
          <cell r="BO272">
            <v>0</v>
          </cell>
          <cell r="BP272">
            <v>0</v>
          </cell>
          <cell r="BQ272">
            <v>0</v>
          </cell>
          <cell r="BR272">
            <v>0</v>
          </cell>
          <cell r="BS272">
            <v>0</v>
          </cell>
        </row>
        <row r="273">
          <cell r="B273">
            <v>43727</v>
          </cell>
          <cell r="C273">
            <v>0</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cell r="BM273">
            <v>0</v>
          </cell>
          <cell r="BN273">
            <v>0</v>
          </cell>
          <cell r="BO273">
            <v>0</v>
          </cell>
          <cell r="BP273">
            <v>0</v>
          </cell>
          <cell r="BQ273">
            <v>0</v>
          </cell>
          <cell r="BR273">
            <v>0</v>
          </cell>
          <cell r="BS273">
            <v>0</v>
          </cell>
        </row>
        <row r="274">
          <cell r="B274">
            <v>43728</v>
          </cell>
          <cell r="C274">
            <v>0</v>
          </cell>
          <cell r="D274">
            <v>0</v>
          </cell>
          <cell r="E274">
            <v>0</v>
          </cell>
          <cell r="F274">
            <v>0</v>
          </cell>
          <cell r="G274">
            <v>0</v>
          </cell>
          <cell r="H274">
            <v>0</v>
          </cell>
          <cell r="I274">
            <v>0</v>
          </cell>
          <cell r="J274">
            <v>0</v>
          </cell>
          <cell r="K274">
            <v>0</v>
          </cell>
          <cell r="L274">
            <v>0</v>
          </cell>
          <cell r="M274">
            <v>0</v>
          </cell>
          <cell r="N274">
            <v>0</v>
          </cell>
          <cell r="O274">
            <v>0</v>
          </cell>
          <cell r="P274">
            <v>0</v>
          </cell>
          <cell r="Q274">
            <v>0</v>
          </cell>
          <cell r="R274">
            <v>0</v>
          </cell>
          <cell r="S274">
            <v>0</v>
          </cell>
          <cell r="T274">
            <v>0</v>
          </cell>
          <cell r="U274">
            <v>0</v>
          </cell>
          <cell r="V274">
            <v>0</v>
          </cell>
          <cell r="W274">
            <v>0</v>
          </cell>
          <cell r="X274">
            <v>0</v>
          </cell>
          <cell r="Y274">
            <v>0</v>
          </cell>
          <cell r="Z274">
            <v>0</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cell r="BM274">
            <v>0</v>
          </cell>
          <cell r="BN274">
            <v>0</v>
          </cell>
          <cell r="BO274">
            <v>0</v>
          </cell>
          <cell r="BP274">
            <v>0</v>
          </cell>
          <cell r="BQ274">
            <v>0</v>
          </cell>
          <cell r="BR274">
            <v>0</v>
          </cell>
          <cell r="BS274">
            <v>0</v>
          </cell>
        </row>
        <row r="275">
          <cell r="B275">
            <v>43729</v>
          </cell>
          <cell r="C275">
            <v>0</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v>0</v>
          </cell>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cell r="BM275">
            <v>0</v>
          </cell>
          <cell r="BN275">
            <v>0</v>
          </cell>
          <cell r="BO275">
            <v>0</v>
          </cell>
          <cell r="BP275">
            <v>0</v>
          </cell>
          <cell r="BQ275">
            <v>0</v>
          </cell>
          <cell r="BR275">
            <v>0</v>
          </cell>
          <cell r="BS275">
            <v>0</v>
          </cell>
        </row>
        <row r="276">
          <cell r="B276">
            <v>43730</v>
          </cell>
          <cell r="C276">
            <v>0</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cell r="BM276">
            <v>0</v>
          </cell>
          <cell r="BN276">
            <v>0</v>
          </cell>
          <cell r="BO276">
            <v>0</v>
          </cell>
          <cell r="BP276">
            <v>0</v>
          </cell>
          <cell r="BQ276">
            <v>0</v>
          </cell>
          <cell r="BR276">
            <v>0</v>
          </cell>
          <cell r="BS276">
            <v>0</v>
          </cell>
        </row>
        <row r="277">
          <cell r="B277">
            <v>43731</v>
          </cell>
          <cell r="C277">
            <v>0</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cell r="BM277">
            <v>0</v>
          </cell>
          <cell r="BN277">
            <v>0</v>
          </cell>
          <cell r="BO277">
            <v>0</v>
          </cell>
          <cell r="BP277">
            <v>0</v>
          </cell>
          <cell r="BQ277">
            <v>0</v>
          </cell>
          <cell r="BR277">
            <v>0</v>
          </cell>
          <cell r="BS277">
            <v>0</v>
          </cell>
        </row>
        <row r="278">
          <cell r="B278">
            <v>43732</v>
          </cell>
          <cell r="C278">
            <v>0</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cell r="BM278">
            <v>0</v>
          </cell>
          <cell r="BN278">
            <v>0</v>
          </cell>
          <cell r="BO278">
            <v>0</v>
          </cell>
          <cell r="BP278">
            <v>0</v>
          </cell>
          <cell r="BQ278">
            <v>0</v>
          </cell>
          <cell r="BR278">
            <v>0</v>
          </cell>
          <cell r="BS278">
            <v>0</v>
          </cell>
        </row>
        <row r="279">
          <cell r="B279">
            <v>43733</v>
          </cell>
          <cell r="C279">
            <v>0</v>
          </cell>
          <cell r="D279">
            <v>0</v>
          </cell>
          <cell r="E279">
            <v>0</v>
          </cell>
          <cell r="F279">
            <v>0</v>
          </cell>
          <cell r="G279">
            <v>0</v>
          </cell>
          <cell r="H279">
            <v>0</v>
          </cell>
          <cell r="I279">
            <v>0</v>
          </cell>
          <cell r="J279">
            <v>0</v>
          </cell>
          <cell r="K279">
            <v>0</v>
          </cell>
          <cell r="L279">
            <v>0</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cell r="BM279">
            <v>0</v>
          </cell>
          <cell r="BN279">
            <v>0</v>
          </cell>
          <cell r="BO279">
            <v>0</v>
          </cell>
          <cell r="BP279">
            <v>0</v>
          </cell>
          <cell r="BQ279">
            <v>0</v>
          </cell>
          <cell r="BR279">
            <v>0</v>
          </cell>
          <cell r="BS279">
            <v>0</v>
          </cell>
        </row>
        <row r="280">
          <cell r="B280">
            <v>43734</v>
          </cell>
          <cell r="C280">
            <v>0</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cell r="BM280">
            <v>0</v>
          </cell>
          <cell r="BN280">
            <v>0</v>
          </cell>
          <cell r="BO280">
            <v>0</v>
          </cell>
          <cell r="BP280">
            <v>0</v>
          </cell>
          <cell r="BQ280">
            <v>0</v>
          </cell>
          <cell r="BR280">
            <v>0</v>
          </cell>
          <cell r="BS280">
            <v>0</v>
          </cell>
        </row>
        <row r="281">
          <cell r="B281">
            <v>43735</v>
          </cell>
          <cell r="C281">
            <v>0</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cell r="BM281">
            <v>0</v>
          </cell>
          <cell r="BN281">
            <v>0</v>
          </cell>
          <cell r="BO281">
            <v>0</v>
          </cell>
          <cell r="BP281">
            <v>0</v>
          </cell>
          <cell r="BQ281">
            <v>0</v>
          </cell>
          <cell r="BR281">
            <v>0</v>
          </cell>
          <cell r="BS281">
            <v>0</v>
          </cell>
        </row>
        <row r="282">
          <cell r="B282">
            <v>43736</v>
          </cell>
          <cell r="C282">
            <v>0</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cell r="BM282">
            <v>0</v>
          </cell>
          <cell r="BN282">
            <v>0</v>
          </cell>
          <cell r="BO282">
            <v>0</v>
          </cell>
          <cell r="BP282">
            <v>0</v>
          </cell>
          <cell r="BQ282">
            <v>0</v>
          </cell>
          <cell r="BR282">
            <v>0</v>
          </cell>
          <cell r="BS282">
            <v>0</v>
          </cell>
        </row>
        <row r="283">
          <cell r="B283">
            <v>43737</v>
          </cell>
          <cell r="C283">
            <v>0</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cell r="BM283">
            <v>0</v>
          </cell>
          <cell r="BN283">
            <v>0</v>
          </cell>
          <cell r="BO283">
            <v>0</v>
          </cell>
          <cell r="BP283">
            <v>0</v>
          </cell>
          <cell r="BQ283">
            <v>0</v>
          </cell>
          <cell r="BR283">
            <v>0</v>
          </cell>
          <cell r="BS283">
            <v>0</v>
          </cell>
        </row>
        <row r="284">
          <cell r="B284">
            <v>43738</v>
          </cell>
          <cell r="C284">
            <v>0</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row>
        <row r="285">
          <cell r="B285">
            <v>43739</v>
          </cell>
          <cell r="C285">
            <v>0</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cell r="BM285">
            <v>0</v>
          </cell>
          <cell r="BN285">
            <v>0</v>
          </cell>
          <cell r="BO285">
            <v>0</v>
          </cell>
          <cell r="BP285">
            <v>0</v>
          </cell>
          <cell r="BQ285">
            <v>0</v>
          </cell>
          <cell r="BR285">
            <v>0</v>
          </cell>
          <cell r="BS285">
            <v>0</v>
          </cell>
        </row>
        <row r="286">
          <cell r="B286">
            <v>43740</v>
          </cell>
          <cell r="C286">
            <v>0</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cell r="BM286">
            <v>0</v>
          </cell>
          <cell r="BN286">
            <v>0</v>
          </cell>
          <cell r="BO286">
            <v>0</v>
          </cell>
          <cell r="BP286">
            <v>0</v>
          </cell>
          <cell r="BQ286">
            <v>0</v>
          </cell>
          <cell r="BR286">
            <v>0</v>
          </cell>
          <cell r="BS286">
            <v>0</v>
          </cell>
        </row>
        <row r="287">
          <cell r="B287">
            <v>43741</v>
          </cell>
          <cell r="C287">
            <v>0</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cell r="BM287">
            <v>0</v>
          </cell>
          <cell r="BN287">
            <v>0</v>
          </cell>
          <cell r="BO287">
            <v>0</v>
          </cell>
          <cell r="BP287">
            <v>0</v>
          </cell>
          <cell r="BQ287">
            <v>0</v>
          </cell>
          <cell r="BR287">
            <v>0</v>
          </cell>
          <cell r="BS287">
            <v>0</v>
          </cell>
        </row>
        <row r="288">
          <cell r="B288">
            <v>43742</v>
          </cell>
          <cell r="C288">
            <v>0</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row>
        <row r="289">
          <cell r="B289">
            <v>43743</v>
          </cell>
          <cell r="C289">
            <v>0</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row>
        <row r="290">
          <cell r="B290">
            <v>43744</v>
          </cell>
          <cell r="C290">
            <v>0</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row>
        <row r="291">
          <cell r="B291">
            <v>43745</v>
          </cell>
          <cell r="C291">
            <v>0</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row>
        <row r="292">
          <cell r="B292">
            <v>43746</v>
          </cell>
          <cell r="C292">
            <v>0</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row>
        <row r="293">
          <cell r="B293">
            <v>43747</v>
          </cell>
          <cell r="C293">
            <v>0</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row>
        <row r="294">
          <cell r="B294">
            <v>43748</v>
          </cell>
          <cell r="C294">
            <v>0</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cell r="BM294">
            <v>0</v>
          </cell>
          <cell r="BN294">
            <v>0</v>
          </cell>
          <cell r="BO294">
            <v>0</v>
          </cell>
          <cell r="BP294">
            <v>0</v>
          </cell>
          <cell r="BQ294">
            <v>0</v>
          </cell>
          <cell r="BR294">
            <v>0</v>
          </cell>
          <cell r="BS294">
            <v>0</v>
          </cell>
        </row>
        <row r="295">
          <cell r="B295">
            <v>43749</v>
          </cell>
          <cell r="C295">
            <v>0</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cell r="BM295">
            <v>0</v>
          </cell>
          <cell r="BN295">
            <v>0</v>
          </cell>
          <cell r="BO295">
            <v>0</v>
          </cell>
          <cell r="BP295">
            <v>0</v>
          </cell>
          <cell r="BQ295">
            <v>0</v>
          </cell>
          <cell r="BR295">
            <v>0</v>
          </cell>
          <cell r="BS295">
            <v>0</v>
          </cell>
        </row>
        <row r="296">
          <cell r="B296">
            <v>43750</v>
          </cell>
          <cell r="C296">
            <v>0</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cell r="BM296">
            <v>0</v>
          </cell>
          <cell r="BN296">
            <v>0</v>
          </cell>
          <cell r="BO296">
            <v>0</v>
          </cell>
          <cell r="BP296">
            <v>0</v>
          </cell>
          <cell r="BQ296">
            <v>0</v>
          </cell>
          <cell r="BR296">
            <v>0</v>
          </cell>
          <cell r="BS296">
            <v>0</v>
          </cell>
        </row>
        <row r="297">
          <cell r="B297">
            <v>43751</v>
          </cell>
          <cell r="C297">
            <v>0</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0</v>
          </cell>
          <cell r="AD297">
            <v>0</v>
          </cell>
          <cell r="AE297">
            <v>0</v>
          </cell>
          <cell r="AF297">
            <v>0</v>
          </cell>
          <cell r="AG297">
            <v>0</v>
          </cell>
          <cell r="AH297">
            <v>0</v>
          </cell>
          <cell r="AI297">
            <v>0</v>
          </cell>
          <cell r="AJ297">
            <v>0</v>
          </cell>
          <cell r="AK297">
            <v>0</v>
          </cell>
          <cell r="AL297">
            <v>0</v>
          </cell>
          <cell r="AM297">
            <v>0</v>
          </cell>
          <cell r="AN297">
            <v>0</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cell r="BM297">
            <v>0</v>
          </cell>
          <cell r="BN297">
            <v>0</v>
          </cell>
          <cell r="BO297">
            <v>0</v>
          </cell>
          <cell r="BP297">
            <v>0</v>
          </cell>
          <cell r="BQ297">
            <v>0</v>
          </cell>
          <cell r="BR297">
            <v>0</v>
          </cell>
          <cell r="BS297">
            <v>0</v>
          </cell>
        </row>
        <row r="298">
          <cell r="B298">
            <v>43752</v>
          </cell>
          <cell r="C298">
            <v>0</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cell r="BM298">
            <v>0</v>
          </cell>
          <cell r="BN298">
            <v>0</v>
          </cell>
          <cell r="BO298">
            <v>0</v>
          </cell>
          <cell r="BP298">
            <v>0</v>
          </cell>
          <cell r="BQ298">
            <v>0</v>
          </cell>
          <cell r="BR298">
            <v>0</v>
          </cell>
          <cell r="BS298">
            <v>0</v>
          </cell>
        </row>
        <row r="299">
          <cell r="B299">
            <v>43753</v>
          </cell>
          <cell r="C299">
            <v>0</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cell r="BM299">
            <v>0</v>
          </cell>
          <cell r="BN299">
            <v>0</v>
          </cell>
          <cell r="BO299">
            <v>0</v>
          </cell>
          <cell r="BP299">
            <v>0</v>
          </cell>
          <cell r="BQ299">
            <v>0</v>
          </cell>
          <cell r="BR299">
            <v>0</v>
          </cell>
          <cell r="BS299">
            <v>0</v>
          </cell>
        </row>
        <row r="300">
          <cell r="B300">
            <v>43754</v>
          </cell>
          <cell r="C300">
            <v>0</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cell r="BM300">
            <v>0</v>
          </cell>
          <cell r="BN300">
            <v>0</v>
          </cell>
          <cell r="BO300">
            <v>0</v>
          </cell>
          <cell r="BP300">
            <v>0</v>
          </cell>
          <cell r="BQ300">
            <v>0</v>
          </cell>
          <cell r="BR300">
            <v>0</v>
          </cell>
          <cell r="BS300">
            <v>0</v>
          </cell>
        </row>
        <row r="301">
          <cell r="B301">
            <v>43755</v>
          </cell>
          <cell r="C301">
            <v>0</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cell r="BM301">
            <v>0</v>
          </cell>
          <cell r="BN301">
            <v>0</v>
          </cell>
          <cell r="BO301">
            <v>0</v>
          </cell>
          <cell r="BP301">
            <v>0</v>
          </cell>
          <cell r="BQ301">
            <v>0</v>
          </cell>
          <cell r="BR301">
            <v>0</v>
          </cell>
          <cell r="BS301">
            <v>0</v>
          </cell>
        </row>
        <row r="302">
          <cell r="B302">
            <v>43756</v>
          </cell>
          <cell r="C302">
            <v>0</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cell r="BM302">
            <v>0</v>
          </cell>
          <cell r="BN302">
            <v>0</v>
          </cell>
          <cell r="BO302">
            <v>0</v>
          </cell>
          <cell r="BP302">
            <v>0</v>
          </cell>
          <cell r="BQ302">
            <v>0</v>
          </cell>
          <cell r="BR302">
            <v>0</v>
          </cell>
          <cell r="BS302">
            <v>0</v>
          </cell>
        </row>
        <row r="303">
          <cell r="B303">
            <v>43757</v>
          </cell>
          <cell r="C303">
            <v>0</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cell r="BM303">
            <v>0</v>
          </cell>
          <cell r="BN303">
            <v>0</v>
          </cell>
          <cell r="BO303">
            <v>0</v>
          </cell>
          <cell r="BP303">
            <v>0</v>
          </cell>
          <cell r="BQ303">
            <v>0</v>
          </cell>
          <cell r="BR303">
            <v>0</v>
          </cell>
          <cell r="BS303">
            <v>0</v>
          </cell>
        </row>
        <row r="304">
          <cell r="B304">
            <v>43758</v>
          </cell>
          <cell r="C304">
            <v>0</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cell r="BM304">
            <v>0</v>
          </cell>
          <cell r="BN304">
            <v>0</v>
          </cell>
          <cell r="BO304">
            <v>0</v>
          </cell>
          <cell r="BP304">
            <v>0</v>
          </cell>
          <cell r="BQ304">
            <v>0</v>
          </cell>
          <cell r="BR304">
            <v>0</v>
          </cell>
          <cell r="BS304">
            <v>0</v>
          </cell>
        </row>
        <row r="305">
          <cell r="B305">
            <v>43759</v>
          </cell>
          <cell r="C305">
            <v>0</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cell r="BM305">
            <v>0</v>
          </cell>
          <cell r="BN305">
            <v>0</v>
          </cell>
          <cell r="BO305">
            <v>0</v>
          </cell>
          <cell r="BP305">
            <v>0</v>
          </cell>
          <cell r="BQ305">
            <v>0</v>
          </cell>
          <cell r="BR305">
            <v>0</v>
          </cell>
          <cell r="BS305">
            <v>0</v>
          </cell>
        </row>
        <row r="306">
          <cell r="B306">
            <v>43760</v>
          </cell>
          <cell r="C306">
            <v>0</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cell r="BM306">
            <v>0</v>
          </cell>
          <cell r="BN306">
            <v>0</v>
          </cell>
          <cell r="BO306">
            <v>0</v>
          </cell>
          <cell r="BP306">
            <v>0</v>
          </cell>
          <cell r="BQ306">
            <v>0</v>
          </cell>
          <cell r="BR306">
            <v>0</v>
          </cell>
          <cell r="BS306">
            <v>0</v>
          </cell>
        </row>
        <row r="307">
          <cell r="B307">
            <v>43761</v>
          </cell>
          <cell r="C307">
            <v>0</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cell r="BM307">
            <v>0</v>
          </cell>
          <cell r="BN307">
            <v>0</v>
          </cell>
          <cell r="BO307">
            <v>0</v>
          </cell>
          <cell r="BP307">
            <v>0</v>
          </cell>
          <cell r="BQ307">
            <v>0</v>
          </cell>
          <cell r="BR307">
            <v>0</v>
          </cell>
          <cell r="BS307">
            <v>0</v>
          </cell>
        </row>
        <row r="308">
          <cell r="B308">
            <v>43762</v>
          </cell>
          <cell r="C308">
            <v>0</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cell r="BM308">
            <v>0</v>
          </cell>
          <cell r="BN308">
            <v>0</v>
          </cell>
          <cell r="BO308">
            <v>0</v>
          </cell>
          <cell r="BP308">
            <v>0</v>
          </cell>
          <cell r="BQ308">
            <v>0</v>
          </cell>
          <cell r="BR308">
            <v>0</v>
          </cell>
          <cell r="BS308">
            <v>0</v>
          </cell>
        </row>
        <row r="309">
          <cell r="B309">
            <v>43763</v>
          </cell>
          <cell r="C309">
            <v>0</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cell r="BM309">
            <v>0</v>
          </cell>
          <cell r="BN309">
            <v>0</v>
          </cell>
          <cell r="BO309">
            <v>0</v>
          </cell>
          <cell r="BP309">
            <v>0</v>
          </cell>
          <cell r="BQ309">
            <v>0</v>
          </cell>
          <cell r="BR309">
            <v>0</v>
          </cell>
          <cell r="BS309">
            <v>0</v>
          </cell>
        </row>
        <row r="310">
          <cell r="B310">
            <v>43764</v>
          </cell>
          <cell r="C310">
            <v>0</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cell r="BM310">
            <v>0</v>
          </cell>
          <cell r="BN310">
            <v>0</v>
          </cell>
          <cell r="BO310">
            <v>0</v>
          </cell>
          <cell r="BP310">
            <v>0</v>
          </cell>
          <cell r="BQ310">
            <v>0</v>
          </cell>
          <cell r="BR310">
            <v>0</v>
          </cell>
          <cell r="BS310">
            <v>0</v>
          </cell>
        </row>
        <row r="311">
          <cell r="B311">
            <v>43765</v>
          </cell>
          <cell r="C311">
            <v>0</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row>
        <row r="312">
          <cell r="B312">
            <v>43766</v>
          </cell>
          <cell r="C312">
            <v>0</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cell r="BM312">
            <v>0</v>
          </cell>
          <cell r="BN312">
            <v>0</v>
          </cell>
          <cell r="BO312">
            <v>0</v>
          </cell>
          <cell r="BP312">
            <v>0</v>
          </cell>
          <cell r="BQ312">
            <v>0</v>
          </cell>
          <cell r="BR312">
            <v>0</v>
          </cell>
          <cell r="BS312">
            <v>0</v>
          </cell>
        </row>
        <row r="313">
          <cell r="B313">
            <v>43767</v>
          </cell>
          <cell r="C313">
            <v>0</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cell r="BM313">
            <v>0</v>
          </cell>
          <cell r="BN313">
            <v>0</v>
          </cell>
          <cell r="BO313">
            <v>0</v>
          </cell>
          <cell r="BP313">
            <v>0</v>
          </cell>
          <cell r="BQ313">
            <v>0</v>
          </cell>
          <cell r="BR313">
            <v>0</v>
          </cell>
          <cell r="BS313">
            <v>0</v>
          </cell>
        </row>
        <row r="314">
          <cell r="B314">
            <v>43768</v>
          </cell>
          <cell r="C314">
            <v>0</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cell r="BM314">
            <v>0</v>
          </cell>
          <cell r="BN314">
            <v>0</v>
          </cell>
          <cell r="BO314">
            <v>0</v>
          </cell>
          <cell r="BP314">
            <v>0</v>
          </cell>
          <cell r="BQ314">
            <v>0</v>
          </cell>
          <cell r="BR314">
            <v>0</v>
          </cell>
          <cell r="BS314">
            <v>0</v>
          </cell>
        </row>
        <row r="315">
          <cell r="B315">
            <v>43769</v>
          </cell>
          <cell r="C315">
            <v>0</v>
          </cell>
          <cell r="D315">
            <v>0</v>
          </cell>
          <cell r="E315">
            <v>0</v>
          </cell>
          <cell r="F315">
            <v>0</v>
          </cell>
          <cell r="G315">
            <v>0</v>
          </cell>
          <cell r="H315">
            <v>0</v>
          </cell>
          <cell r="I315">
            <v>0</v>
          </cell>
          <cell r="J315">
            <v>0</v>
          </cell>
          <cell r="K315">
            <v>0</v>
          </cell>
          <cell r="L315">
            <v>0</v>
          </cell>
          <cell r="M315">
            <v>0</v>
          </cell>
          <cell r="N315">
            <v>0</v>
          </cell>
          <cell r="O315">
            <v>0</v>
          </cell>
          <cell r="P315">
            <v>0</v>
          </cell>
          <cell r="Q315">
            <v>0</v>
          </cell>
          <cell r="R315">
            <v>0</v>
          </cell>
          <cell r="S315">
            <v>0</v>
          </cell>
          <cell r="T315">
            <v>0</v>
          </cell>
          <cell r="U315">
            <v>0</v>
          </cell>
          <cell r="V315">
            <v>0</v>
          </cell>
          <cell r="W315">
            <v>0</v>
          </cell>
          <cell r="X315">
            <v>0</v>
          </cell>
          <cell r="Y315">
            <v>0</v>
          </cell>
          <cell r="Z315">
            <v>0</v>
          </cell>
          <cell r="AA315">
            <v>0</v>
          </cell>
          <cell r="AB315">
            <v>0</v>
          </cell>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cell r="BM315">
            <v>0</v>
          </cell>
          <cell r="BN315">
            <v>0</v>
          </cell>
          <cell r="BO315">
            <v>0</v>
          </cell>
          <cell r="BP315">
            <v>0</v>
          </cell>
          <cell r="BQ315">
            <v>0</v>
          </cell>
          <cell r="BR315">
            <v>0</v>
          </cell>
          <cell r="BS315">
            <v>0</v>
          </cell>
        </row>
        <row r="316">
          <cell r="B316">
            <v>43770</v>
          </cell>
          <cell r="C316">
            <v>0</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cell r="BM316">
            <v>0</v>
          </cell>
          <cell r="BN316">
            <v>0</v>
          </cell>
          <cell r="BO316">
            <v>0</v>
          </cell>
          <cell r="BP316">
            <v>0</v>
          </cell>
          <cell r="BQ316">
            <v>0</v>
          </cell>
          <cell r="BR316">
            <v>0</v>
          </cell>
          <cell r="BS316">
            <v>0</v>
          </cell>
        </row>
        <row r="317">
          <cell r="B317">
            <v>43771</v>
          </cell>
          <cell r="C317">
            <v>0</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0</v>
          </cell>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cell r="BM317">
            <v>0</v>
          </cell>
          <cell r="BN317">
            <v>0</v>
          </cell>
          <cell r="BO317">
            <v>0</v>
          </cell>
          <cell r="BP317">
            <v>0</v>
          </cell>
          <cell r="BQ317">
            <v>0</v>
          </cell>
          <cell r="BR317">
            <v>0</v>
          </cell>
          <cell r="BS317">
            <v>0</v>
          </cell>
        </row>
        <row r="318">
          <cell r="B318">
            <v>43772</v>
          </cell>
          <cell r="C318">
            <v>0</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cell r="BM318">
            <v>0</v>
          </cell>
          <cell r="BN318">
            <v>0</v>
          </cell>
          <cell r="BO318">
            <v>0</v>
          </cell>
          <cell r="BP318">
            <v>0</v>
          </cell>
          <cell r="BQ318">
            <v>0</v>
          </cell>
          <cell r="BR318">
            <v>0</v>
          </cell>
          <cell r="BS318">
            <v>0</v>
          </cell>
        </row>
        <row r="319">
          <cell r="B319">
            <v>43773</v>
          </cell>
          <cell r="C319">
            <v>0</v>
          </cell>
          <cell r="D319">
            <v>0</v>
          </cell>
          <cell r="E319">
            <v>0</v>
          </cell>
          <cell r="F319">
            <v>0</v>
          </cell>
          <cell r="G319">
            <v>0</v>
          </cell>
          <cell r="H319">
            <v>0</v>
          </cell>
          <cell r="I319">
            <v>0</v>
          </cell>
          <cell r="J319">
            <v>0</v>
          </cell>
          <cell r="K319">
            <v>0</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cell r="BM319">
            <v>0</v>
          </cell>
          <cell r="BN319">
            <v>0</v>
          </cell>
          <cell r="BO319">
            <v>0</v>
          </cell>
          <cell r="BP319">
            <v>0</v>
          </cell>
          <cell r="BQ319">
            <v>0</v>
          </cell>
          <cell r="BR319">
            <v>0</v>
          </cell>
          <cell r="BS319">
            <v>0</v>
          </cell>
        </row>
        <row r="320">
          <cell r="B320">
            <v>43774</v>
          </cell>
          <cell r="C320">
            <v>0</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cell r="BM320">
            <v>0</v>
          </cell>
          <cell r="BN320">
            <v>0</v>
          </cell>
          <cell r="BO320">
            <v>0</v>
          </cell>
          <cell r="BP320">
            <v>0</v>
          </cell>
          <cell r="BQ320">
            <v>0</v>
          </cell>
          <cell r="BR320">
            <v>0</v>
          </cell>
          <cell r="BS320">
            <v>0</v>
          </cell>
        </row>
        <row r="321">
          <cell r="B321">
            <v>43775</v>
          </cell>
          <cell r="C321">
            <v>0</v>
          </cell>
          <cell r="D321">
            <v>0</v>
          </cell>
          <cell r="E321">
            <v>0</v>
          </cell>
          <cell r="F321">
            <v>0</v>
          </cell>
          <cell r="G321">
            <v>0</v>
          </cell>
          <cell r="H321">
            <v>0</v>
          </cell>
          <cell r="I321">
            <v>0</v>
          </cell>
          <cell r="J321">
            <v>0</v>
          </cell>
          <cell r="K321">
            <v>0</v>
          </cell>
          <cell r="L321">
            <v>0</v>
          </cell>
          <cell r="M321">
            <v>0</v>
          </cell>
          <cell r="N321">
            <v>0</v>
          </cell>
          <cell r="O321">
            <v>0</v>
          </cell>
          <cell r="P321">
            <v>0</v>
          </cell>
          <cell r="Q321">
            <v>0</v>
          </cell>
          <cell r="R321">
            <v>0</v>
          </cell>
          <cell r="S321">
            <v>0</v>
          </cell>
          <cell r="T321">
            <v>0</v>
          </cell>
          <cell r="U321">
            <v>0</v>
          </cell>
          <cell r="V321">
            <v>0</v>
          </cell>
          <cell r="W321">
            <v>0</v>
          </cell>
          <cell r="X321">
            <v>0</v>
          </cell>
          <cell r="Y321">
            <v>0</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cell r="BM321">
            <v>0</v>
          </cell>
          <cell r="BN321">
            <v>0</v>
          </cell>
          <cell r="BO321">
            <v>0</v>
          </cell>
          <cell r="BP321">
            <v>0</v>
          </cell>
          <cell r="BQ321">
            <v>0</v>
          </cell>
          <cell r="BR321">
            <v>0</v>
          </cell>
          <cell r="BS321">
            <v>0</v>
          </cell>
        </row>
        <row r="322">
          <cell r="B322">
            <v>43776</v>
          </cell>
          <cell r="C322">
            <v>0</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cell r="BM322">
            <v>0</v>
          </cell>
          <cell r="BN322">
            <v>0</v>
          </cell>
          <cell r="BO322">
            <v>0</v>
          </cell>
          <cell r="BP322">
            <v>0</v>
          </cell>
          <cell r="BQ322">
            <v>0</v>
          </cell>
          <cell r="BR322">
            <v>0</v>
          </cell>
          <cell r="BS322">
            <v>0</v>
          </cell>
        </row>
        <row r="323">
          <cell r="B323">
            <v>43777</v>
          </cell>
          <cell r="C323">
            <v>0</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cell r="BM323">
            <v>0</v>
          </cell>
          <cell r="BN323">
            <v>0</v>
          </cell>
          <cell r="BO323">
            <v>0</v>
          </cell>
          <cell r="BP323">
            <v>0</v>
          </cell>
          <cell r="BQ323">
            <v>0</v>
          </cell>
          <cell r="BR323">
            <v>0</v>
          </cell>
          <cell r="BS323">
            <v>0</v>
          </cell>
        </row>
        <row r="324">
          <cell r="B324">
            <v>43778</v>
          </cell>
          <cell r="C324">
            <v>0</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cell r="BM324">
            <v>0</v>
          </cell>
          <cell r="BN324">
            <v>0</v>
          </cell>
          <cell r="BO324">
            <v>0</v>
          </cell>
          <cell r="BP324">
            <v>0</v>
          </cell>
          <cell r="BQ324">
            <v>0</v>
          </cell>
          <cell r="BR324">
            <v>0</v>
          </cell>
          <cell r="BS324">
            <v>0</v>
          </cell>
        </row>
        <row r="325">
          <cell r="B325">
            <v>43779</v>
          </cell>
          <cell r="C325">
            <v>-6</v>
          </cell>
          <cell r="D325">
            <v>0</v>
          </cell>
          <cell r="E325">
            <v>0</v>
          </cell>
          <cell r="F325">
            <v>6</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-6</v>
          </cell>
          <cell r="X325">
            <v>6</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row>
        <row r="326">
          <cell r="B326">
            <v>43780</v>
          </cell>
          <cell r="C326">
            <v>0</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cell r="BM326">
            <v>0</v>
          </cell>
          <cell r="BN326">
            <v>0</v>
          </cell>
          <cell r="BO326">
            <v>0</v>
          </cell>
          <cell r="BP326">
            <v>0</v>
          </cell>
          <cell r="BQ326">
            <v>0</v>
          </cell>
          <cell r="BR326">
            <v>0</v>
          </cell>
          <cell r="BS326">
            <v>0</v>
          </cell>
        </row>
        <row r="327">
          <cell r="B327">
            <v>43781</v>
          </cell>
          <cell r="C327">
            <v>-1</v>
          </cell>
          <cell r="D327">
            <v>0</v>
          </cell>
          <cell r="E327">
            <v>0</v>
          </cell>
          <cell r="F327">
            <v>1</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-1</v>
          </cell>
          <cell r="X327">
            <v>1</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cell r="BM327">
            <v>0</v>
          </cell>
          <cell r="BN327">
            <v>0</v>
          </cell>
          <cell r="BO327">
            <v>0</v>
          </cell>
          <cell r="BP327">
            <v>0</v>
          </cell>
          <cell r="BQ327">
            <v>0</v>
          </cell>
          <cell r="BR327">
            <v>0</v>
          </cell>
          <cell r="BS327">
            <v>0</v>
          </cell>
        </row>
        <row r="328">
          <cell r="B328">
            <v>43782</v>
          </cell>
          <cell r="C328">
            <v>0</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cell r="BM328">
            <v>0</v>
          </cell>
          <cell r="BN328">
            <v>0</v>
          </cell>
          <cell r="BO328">
            <v>0</v>
          </cell>
          <cell r="BP328">
            <v>0</v>
          </cell>
          <cell r="BQ328">
            <v>0</v>
          </cell>
          <cell r="BR328">
            <v>0</v>
          </cell>
          <cell r="BS328">
            <v>0</v>
          </cell>
        </row>
        <row r="329">
          <cell r="B329">
            <v>43783</v>
          </cell>
          <cell r="C329">
            <v>0</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cell r="BM329">
            <v>0</v>
          </cell>
          <cell r="BN329">
            <v>0</v>
          </cell>
          <cell r="BO329">
            <v>0</v>
          </cell>
          <cell r="BP329">
            <v>0</v>
          </cell>
          <cell r="BQ329">
            <v>0</v>
          </cell>
          <cell r="BR329">
            <v>0</v>
          </cell>
          <cell r="BS329">
            <v>0</v>
          </cell>
        </row>
        <row r="330">
          <cell r="B330">
            <v>43784</v>
          </cell>
          <cell r="C330">
            <v>0</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cell r="BM330">
            <v>0</v>
          </cell>
          <cell r="BN330">
            <v>0</v>
          </cell>
          <cell r="BO330">
            <v>0</v>
          </cell>
          <cell r="BP330">
            <v>0</v>
          </cell>
          <cell r="BQ330">
            <v>0</v>
          </cell>
          <cell r="BR330">
            <v>0</v>
          </cell>
          <cell r="BS330">
            <v>0</v>
          </cell>
        </row>
        <row r="331">
          <cell r="B331">
            <v>43785</v>
          </cell>
          <cell r="C331">
            <v>0</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cell r="BM331">
            <v>0</v>
          </cell>
          <cell r="BN331">
            <v>0</v>
          </cell>
          <cell r="BO331">
            <v>0</v>
          </cell>
          <cell r="BP331">
            <v>0</v>
          </cell>
          <cell r="BQ331">
            <v>0</v>
          </cell>
          <cell r="BR331">
            <v>0</v>
          </cell>
          <cell r="BS331">
            <v>0</v>
          </cell>
        </row>
        <row r="332">
          <cell r="B332">
            <v>43786</v>
          </cell>
          <cell r="C332">
            <v>0</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cell r="BM332">
            <v>0</v>
          </cell>
          <cell r="BN332">
            <v>0</v>
          </cell>
          <cell r="BO332">
            <v>0</v>
          </cell>
          <cell r="BP332">
            <v>0</v>
          </cell>
          <cell r="BQ332">
            <v>0</v>
          </cell>
          <cell r="BR332">
            <v>0</v>
          </cell>
          <cell r="BS332">
            <v>0</v>
          </cell>
        </row>
        <row r="333">
          <cell r="B333">
            <v>43787</v>
          </cell>
          <cell r="C333">
            <v>0</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cell r="BM333">
            <v>0</v>
          </cell>
          <cell r="BN333">
            <v>0</v>
          </cell>
          <cell r="BO333">
            <v>0</v>
          </cell>
          <cell r="BP333">
            <v>0</v>
          </cell>
          <cell r="BQ333">
            <v>0</v>
          </cell>
          <cell r="BR333">
            <v>0</v>
          </cell>
          <cell r="BS333">
            <v>0</v>
          </cell>
        </row>
        <row r="334">
          <cell r="B334">
            <v>43788</v>
          </cell>
          <cell r="C334">
            <v>0</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cell r="BM334">
            <v>0</v>
          </cell>
          <cell r="BN334">
            <v>0</v>
          </cell>
          <cell r="BO334">
            <v>0</v>
          </cell>
          <cell r="BP334">
            <v>0</v>
          </cell>
          <cell r="BQ334">
            <v>0</v>
          </cell>
          <cell r="BR334">
            <v>0</v>
          </cell>
          <cell r="BS334">
            <v>0</v>
          </cell>
        </row>
        <row r="335">
          <cell r="B335">
            <v>43789</v>
          </cell>
          <cell r="C335">
            <v>0</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cell r="BM335">
            <v>0</v>
          </cell>
          <cell r="BN335">
            <v>0</v>
          </cell>
          <cell r="BO335">
            <v>0</v>
          </cell>
          <cell r="BP335">
            <v>0</v>
          </cell>
          <cell r="BQ335">
            <v>0</v>
          </cell>
          <cell r="BR335">
            <v>0</v>
          </cell>
          <cell r="BS335">
            <v>0</v>
          </cell>
        </row>
        <row r="336">
          <cell r="B336">
            <v>43790</v>
          </cell>
          <cell r="C336">
            <v>0</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cell r="BM336">
            <v>0</v>
          </cell>
          <cell r="BN336">
            <v>0</v>
          </cell>
          <cell r="BO336">
            <v>0</v>
          </cell>
          <cell r="BP336">
            <v>0</v>
          </cell>
          <cell r="BQ336">
            <v>0</v>
          </cell>
          <cell r="BR336">
            <v>0</v>
          </cell>
          <cell r="BS336">
            <v>0</v>
          </cell>
        </row>
        <row r="337">
          <cell r="B337">
            <v>43791</v>
          </cell>
          <cell r="C337">
            <v>0</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cell r="BM337">
            <v>0</v>
          </cell>
          <cell r="BN337">
            <v>0</v>
          </cell>
          <cell r="BO337">
            <v>0</v>
          </cell>
          <cell r="BP337">
            <v>0</v>
          </cell>
          <cell r="BQ337">
            <v>0</v>
          </cell>
          <cell r="BR337">
            <v>0</v>
          </cell>
          <cell r="BS337">
            <v>0</v>
          </cell>
        </row>
        <row r="338">
          <cell r="B338">
            <v>43792</v>
          </cell>
          <cell r="C338">
            <v>0</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cell r="BM338">
            <v>0</v>
          </cell>
          <cell r="BN338">
            <v>0</v>
          </cell>
          <cell r="BO338">
            <v>0</v>
          </cell>
          <cell r="BP338">
            <v>0</v>
          </cell>
          <cell r="BQ338">
            <v>0</v>
          </cell>
          <cell r="BR338">
            <v>0</v>
          </cell>
          <cell r="BS338">
            <v>0</v>
          </cell>
        </row>
        <row r="339">
          <cell r="B339">
            <v>43793</v>
          </cell>
          <cell r="C339">
            <v>0</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cell r="BM339">
            <v>0</v>
          </cell>
          <cell r="BN339">
            <v>0</v>
          </cell>
          <cell r="BO339">
            <v>0</v>
          </cell>
          <cell r="BP339">
            <v>0</v>
          </cell>
          <cell r="BQ339">
            <v>0</v>
          </cell>
          <cell r="BR339">
            <v>0</v>
          </cell>
          <cell r="BS339">
            <v>0</v>
          </cell>
        </row>
        <row r="340">
          <cell r="B340">
            <v>43794</v>
          </cell>
          <cell r="C340">
            <v>0</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cell r="BM340">
            <v>0</v>
          </cell>
          <cell r="BN340">
            <v>0</v>
          </cell>
          <cell r="BO340">
            <v>0</v>
          </cell>
          <cell r="BP340">
            <v>0</v>
          </cell>
          <cell r="BQ340">
            <v>0</v>
          </cell>
          <cell r="BR340">
            <v>0</v>
          </cell>
          <cell r="BS340">
            <v>0</v>
          </cell>
        </row>
        <row r="341">
          <cell r="B341">
            <v>43795</v>
          </cell>
          <cell r="C341">
            <v>0</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cell r="BM341">
            <v>0</v>
          </cell>
          <cell r="BN341">
            <v>0</v>
          </cell>
          <cell r="BO341">
            <v>0</v>
          </cell>
          <cell r="BP341">
            <v>0</v>
          </cell>
          <cell r="BQ341">
            <v>0</v>
          </cell>
          <cell r="BR341">
            <v>0</v>
          </cell>
          <cell r="BS341">
            <v>0</v>
          </cell>
        </row>
        <row r="342">
          <cell r="B342">
            <v>43796</v>
          </cell>
          <cell r="C342">
            <v>0</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cell r="BM342">
            <v>0</v>
          </cell>
          <cell r="BN342">
            <v>0</v>
          </cell>
          <cell r="BO342">
            <v>0</v>
          </cell>
          <cell r="BP342">
            <v>0</v>
          </cell>
          <cell r="BQ342">
            <v>0</v>
          </cell>
          <cell r="BR342">
            <v>0</v>
          </cell>
          <cell r="BS342">
            <v>0</v>
          </cell>
        </row>
        <row r="343">
          <cell r="B343">
            <v>43797</v>
          </cell>
          <cell r="C343">
            <v>0</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cell r="BM343">
            <v>0</v>
          </cell>
          <cell r="BN343">
            <v>0</v>
          </cell>
          <cell r="BO343">
            <v>0</v>
          </cell>
          <cell r="BP343">
            <v>0</v>
          </cell>
          <cell r="BQ343">
            <v>0</v>
          </cell>
          <cell r="BR343">
            <v>0</v>
          </cell>
          <cell r="BS343">
            <v>0</v>
          </cell>
        </row>
        <row r="344">
          <cell r="B344">
            <v>43798</v>
          </cell>
          <cell r="C344">
            <v>0</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cell r="BM344">
            <v>0</v>
          </cell>
          <cell r="BN344">
            <v>0</v>
          </cell>
          <cell r="BO344">
            <v>0</v>
          </cell>
          <cell r="BP344">
            <v>0</v>
          </cell>
          <cell r="BQ344">
            <v>0</v>
          </cell>
          <cell r="BR344">
            <v>0</v>
          </cell>
          <cell r="BS344">
            <v>0</v>
          </cell>
        </row>
        <row r="345">
          <cell r="B345">
            <v>43799</v>
          </cell>
          <cell r="C345">
            <v>0</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cell r="BM345">
            <v>0</v>
          </cell>
          <cell r="BN345">
            <v>0</v>
          </cell>
          <cell r="BO345">
            <v>0</v>
          </cell>
          <cell r="BP345">
            <v>0</v>
          </cell>
          <cell r="BQ345">
            <v>0</v>
          </cell>
          <cell r="BR345">
            <v>0</v>
          </cell>
          <cell r="BS345">
            <v>0</v>
          </cell>
        </row>
        <row r="346">
          <cell r="B346">
            <v>43800</v>
          </cell>
          <cell r="C346">
            <v>0</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cell r="BM346">
            <v>0</v>
          </cell>
          <cell r="BN346">
            <v>0</v>
          </cell>
          <cell r="BO346">
            <v>0</v>
          </cell>
          <cell r="BP346">
            <v>0</v>
          </cell>
          <cell r="BQ346">
            <v>0</v>
          </cell>
          <cell r="BR346">
            <v>0</v>
          </cell>
          <cell r="BS346">
            <v>0</v>
          </cell>
        </row>
        <row r="347">
          <cell r="B347">
            <v>43801</v>
          </cell>
          <cell r="C347">
            <v>0</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cell r="BM347">
            <v>0</v>
          </cell>
          <cell r="BN347">
            <v>0</v>
          </cell>
          <cell r="BO347">
            <v>0</v>
          </cell>
          <cell r="BP347">
            <v>0</v>
          </cell>
          <cell r="BQ347">
            <v>0</v>
          </cell>
          <cell r="BR347">
            <v>0</v>
          </cell>
          <cell r="BS347">
            <v>0</v>
          </cell>
        </row>
        <row r="348">
          <cell r="B348">
            <v>43802</v>
          </cell>
          <cell r="C348">
            <v>0</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cell r="BM348">
            <v>0</v>
          </cell>
          <cell r="BN348">
            <v>0</v>
          </cell>
          <cell r="BO348">
            <v>0</v>
          </cell>
          <cell r="BP348">
            <v>0</v>
          </cell>
          <cell r="BQ348">
            <v>0</v>
          </cell>
          <cell r="BR348">
            <v>0</v>
          </cell>
          <cell r="BS348">
            <v>0</v>
          </cell>
        </row>
        <row r="349">
          <cell r="B349">
            <v>43803</v>
          </cell>
          <cell r="C349">
            <v>0</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cell r="BM349">
            <v>0</v>
          </cell>
          <cell r="BN349">
            <v>0</v>
          </cell>
          <cell r="BO349">
            <v>0</v>
          </cell>
          <cell r="BP349">
            <v>0</v>
          </cell>
          <cell r="BQ349">
            <v>0</v>
          </cell>
          <cell r="BR349">
            <v>0</v>
          </cell>
          <cell r="BS349">
            <v>0</v>
          </cell>
        </row>
        <row r="350">
          <cell r="B350">
            <v>43804</v>
          </cell>
          <cell r="C350">
            <v>0</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cell r="BM350">
            <v>0</v>
          </cell>
          <cell r="BN350">
            <v>0</v>
          </cell>
          <cell r="BO350">
            <v>0</v>
          </cell>
          <cell r="BP350">
            <v>0</v>
          </cell>
          <cell r="BQ350">
            <v>0</v>
          </cell>
          <cell r="BR350">
            <v>0</v>
          </cell>
          <cell r="BS350">
            <v>0</v>
          </cell>
        </row>
        <row r="351">
          <cell r="B351">
            <v>43805</v>
          </cell>
          <cell r="C351">
            <v>0</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cell r="BM351">
            <v>0</v>
          </cell>
          <cell r="BN351">
            <v>0</v>
          </cell>
          <cell r="BO351">
            <v>0</v>
          </cell>
          <cell r="BP351">
            <v>0</v>
          </cell>
          <cell r="BQ351">
            <v>0</v>
          </cell>
          <cell r="BR351">
            <v>0</v>
          </cell>
          <cell r="BS351">
            <v>0</v>
          </cell>
        </row>
        <row r="352">
          <cell r="B352">
            <v>43806</v>
          </cell>
          <cell r="C352">
            <v>0</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cell r="BM352">
            <v>0</v>
          </cell>
          <cell r="BN352">
            <v>0</v>
          </cell>
          <cell r="BO352">
            <v>0</v>
          </cell>
          <cell r="BP352">
            <v>0</v>
          </cell>
          <cell r="BQ352">
            <v>0</v>
          </cell>
          <cell r="BR352">
            <v>0</v>
          </cell>
          <cell r="BS352">
            <v>0</v>
          </cell>
        </row>
        <row r="353">
          <cell r="B353">
            <v>43807</v>
          </cell>
          <cell r="C353">
            <v>0</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cell r="BM353">
            <v>0</v>
          </cell>
          <cell r="BN353">
            <v>0</v>
          </cell>
          <cell r="BO353">
            <v>0</v>
          </cell>
          <cell r="BP353">
            <v>0</v>
          </cell>
          <cell r="BQ353">
            <v>0</v>
          </cell>
          <cell r="BR353">
            <v>0</v>
          </cell>
          <cell r="BS353">
            <v>0</v>
          </cell>
        </row>
        <row r="354">
          <cell r="B354">
            <v>43808</v>
          </cell>
          <cell r="C354">
            <v>0</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cell r="BM354">
            <v>0</v>
          </cell>
          <cell r="BN354">
            <v>0</v>
          </cell>
          <cell r="BO354">
            <v>0</v>
          </cell>
          <cell r="BP354">
            <v>0</v>
          </cell>
          <cell r="BQ354">
            <v>0</v>
          </cell>
          <cell r="BR354">
            <v>0</v>
          </cell>
          <cell r="BS354">
            <v>0</v>
          </cell>
        </row>
        <row r="355">
          <cell r="B355">
            <v>43809</v>
          </cell>
          <cell r="C355">
            <v>0</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cell r="BM355">
            <v>0</v>
          </cell>
          <cell r="BN355">
            <v>0</v>
          </cell>
          <cell r="BO355">
            <v>0</v>
          </cell>
          <cell r="BP355">
            <v>0</v>
          </cell>
          <cell r="BQ355">
            <v>0</v>
          </cell>
          <cell r="BR355">
            <v>0</v>
          </cell>
          <cell r="BS355">
            <v>0</v>
          </cell>
        </row>
        <row r="356">
          <cell r="B356">
            <v>43810</v>
          </cell>
          <cell r="C356">
            <v>0</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cell r="BM356">
            <v>0</v>
          </cell>
          <cell r="BN356">
            <v>0</v>
          </cell>
          <cell r="BO356">
            <v>0</v>
          </cell>
          <cell r="BP356">
            <v>0</v>
          </cell>
          <cell r="BQ356">
            <v>0</v>
          </cell>
          <cell r="BR356">
            <v>0</v>
          </cell>
          <cell r="BS356">
            <v>0</v>
          </cell>
        </row>
        <row r="357">
          <cell r="B357">
            <v>43811</v>
          </cell>
          <cell r="C357">
            <v>0</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cell r="BM357">
            <v>0</v>
          </cell>
          <cell r="BN357">
            <v>0</v>
          </cell>
          <cell r="BO357">
            <v>0</v>
          </cell>
          <cell r="BP357">
            <v>0</v>
          </cell>
          <cell r="BQ357">
            <v>0</v>
          </cell>
          <cell r="BR357">
            <v>0</v>
          </cell>
          <cell r="BS357">
            <v>0</v>
          </cell>
        </row>
        <row r="358">
          <cell r="B358">
            <v>43812</v>
          </cell>
          <cell r="C358">
            <v>-1.97</v>
          </cell>
          <cell r="D358">
            <v>0</v>
          </cell>
          <cell r="E358">
            <v>0</v>
          </cell>
          <cell r="F358">
            <v>1.97</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-1.97</v>
          </cell>
          <cell r="X358">
            <v>1.97</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cell r="BM358">
            <v>0</v>
          </cell>
          <cell r="BN358">
            <v>0</v>
          </cell>
          <cell r="BO358">
            <v>0</v>
          </cell>
          <cell r="BP358">
            <v>0</v>
          </cell>
          <cell r="BQ358">
            <v>0</v>
          </cell>
          <cell r="BR358">
            <v>0</v>
          </cell>
          <cell r="BS358">
            <v>0</v>
          </cell>
        </row>
        <row r="359">
          <cell r="B359">
            <v>43813</v>
          </cell>
          <cell r="C359">
            <v>0</v>
          </cell>
          <cell r="D359">
            <v>0</v>
          </cell>
          <cell r="E359">
            <v>0</v>
          </cell>
          <cell r="F359">
            <v>0</v>
          </cell>
          <cell r="G359">
            <v>0</v>
          </cell>
          <cell r="H359">
            <v>0</v>
          </cell>
          <cell r="I359">
            <v>0</v>
          </cell>
          <cell r="J359">
            <v>-0.69</v>
          </cell>
          <cell r="K359">
            <v>0</v>
          </cell>
          <cell r="L359">
            <v>0</v>
          </cell>
          <cell r="M359">
            <v>0.69</v>
          </cell>
          <cell r="N359">
            <v>0</v>
          </cell>
          <cell r="O359">
            <v>0</v>
          </cell>
          <cell r="P359">
            <v>0</v>
          </cell>
          <cell r="Q359">
            <v>0</v>
          </cell>
          <cell r="R359">
            <v>0</v>
          </cell>
          <cell r="S359">
            <v>0</v>
          </cell>
          <cell r="T359">
            <v>0</v>
          </cell>
          <cell r="U359">
            <v>0</v>
          </cell>
          <cell r="V359">
            <v>0</v>
          </cell>
          <cell r="W359">
            <v>-0.69</v>
          </cell>
          <cell r="X359">
            <v>0.69</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cell r="BM359">
            <v>0</v>
          </cell>
          <cell r="BN359">
            <v>0</v>
          </cell>
          <cell r="BO359">
            <v>0</v>
          </cell>
          <cell r="BP359">
            <v>0</v>
          </cell>
          <cell r="BQ359">
            <v>0</v>
          </cell>
          <cell r="BR359">
            <v>0</v>
          </cell>
          <cell r="BS359">
            <v>0</v>
          </cell>
        </row>
        <row r="360">
          <cell r="B360">
            <v>43814</v>
          </cell>
          <cell r="C360">
            <v>0</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cell r="BM360">
            <v>0</v>
          </cell>
          <cell r="BN360">
            <v>0</v>
          </cell>
          <cell r="BO360">
            <v>0</v>
          </cell>
          <cell r="BP360">
            <v>0</v>
          </cell>
          <cell r="BQ360">
            <v>0</v>
          </cell>
          <cell r="BR360">
            <v>0</v>
          </cell>
          <cell r="BS360">
            <v>0</v>
          </cell>
        </row>
        <row r="361">
          <cell r="B361">
            <v>43815</v>
          </cell>
          <cell r="C361">
            <v>0</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cell r="BM361">
            <v>0</v>
          </cell>
          <cell r="BN361">
            <v>0</v>
          </cell>
          <cell r="BO361">
            <v>0</v>
          </cell>
          <cell r="BP361">
            <v>0</v>
          </cell>
          <cell r="BQ361">
            <v>0</v>
          </cell>
          <cell r="BR361">
            <v>0</v>
          </cell>
          <cell r="BS361">
            <v>0</v>
          </cell>
        </row>
        <row r="362">
          <cell r="B362">
            <v>43816</v>
          </cell>
          <cell r="C362">
            <v>0</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row>
        <row r="363">
          <cell r="B363">
            <v>43817</v>
          </cell>
          <cell r="C363">
            <v>0</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row>
        <row r="364">
          <cell r="B364">
            <v>43818</v>
          </cell>
          <cell r="C364">
            <v>0</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row>
        <row r="365">
          <cell r="B365">
            <v>43819</v>
          </cell>
          <cell r="C365">
            <v>0</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row>
        <row r="366">
          <cell r="B366">
            <v>43820</v>
          </cell>
          <cell r="C366">
            <v>0</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cell r="BM366">
            <v>0</v>
          </cell>
          <cell r="BN366">
            <v>0</v>
          </cell>
          <cell r="BO366">
            <v>0</v>
          </cell>
          <cell r="BP366">
            <v>0</v>
          </cell>
          <cell r="BQ366">
            <v>0</v>
          </cell>
          <cell r="BR366">
            <v>0</v>
          </cell>
          <cell r="BS366">
            <v>0</v>
          </cell>
        </row>
        <row r="367">
          <cell r="B367">
            <v>43821</v>
          </cell>
          <cell r="C367">
            <v>0</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cell r="BM367">
            <v>0</v>
          </cell>
          <cell r="BN367">
            <v>0</v>
          </cell>
          <cell r="BO367">
            <v>0</v>
          </cell>
          <cell r="BP367">
            <v>0</v>
          </cell>
          <cell r="BQ367">
            <v>0</v>
          </cell>
          <cell r="BR367">
            <v>0</v>
          </cell>
          <cell r="BS367">
            <v>0</v>
          </cell>
        </row>
        <row r="368">
          <cell r="B368">
            <v>43822</v>
          </cell>
          <cell r="C368">
            <v>0</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cell r="BM368">
            <v>0</v>
          </cell>
          <cell r="BN368">
            <v>0</v>
          </cell>
          <cell r="BO368">
            <v>0</v>
          </cell>
          <cell r="BP368">
            <v>0</v>
          </cell>
          <cell r="BQ368">
            <v>0</v>
          </cell>
          <cell r="BR368">
            <v>0</v>
          </cell>
          <cell r="BS368">
            <v>0</v>
          </cell>
        </row>
        <row r="369">
          <cell r="B369">
            <v>43823</v>
          </cell>
          <cell r="C369">
            <v>0</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cell r="BM369">
            <v>0</v>
          </cell>
          <cell r="BN369">
            <v>0</v>
          </cell>
          <cell r="BO369">
            <v>0</v>
          </cell>
          <cell r="BP369">
            <v>0</v>
          </cell>
          <cell r="BQ369">
            <v>0</v>
          </cell>
          <cell r="BR369">
            <v>0</v>
          </cell>
          <cell r="BS369">
            <v>0</v>
          </cell>
        </row>
        <row r="370">
          <cell r="B370">
            <v>43824</v>
          </cell>
          <cell r="C370">
            <v>0</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cell r="BM370">
            <v>0</v>
          </cell>
          <cell r="BN370">
            <v>0</v>
          </cell>
          <cell r="BO370">
            <v>0</v>
          </cell>
          <cell r="BP370">
            <v>0</v>
          </cell>
          <cell r="BQ370">
            <v>0</v>
          </cell>
          <cell r="BR370">
            <v>0</v>
          </cell>
          <cell r="BS370">
            <v>0</v>
          </cell>
        </row>
        <row r="371">
          <cell r="B371">
            <v>43825</v>
          </cell>
          <cell r="C371">
            <v>0</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cell r="BM371">
            <v>0</v>
          </cell>
          <cell r="BN371">
            <v>0</v>
          </cell>
          <cell r="BO371">
            <v>0</v>
          </cell>
          <cell r="BP371">
            <v>0</v>
          </cell>
          <cell r="BQ371">
            <v>0</v>
          </cell>
          <cell r="BR371">
            <v>0</v>
          </cell>
          <cell r="BS371">
            <v>0</v>
          </cell>
        </row>
        <row r="372">
          <cell r="B372">
            <v>43826</v>
          </cell>
          <cell r="C372">
            <v>0</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cell r="BM372">
            <v>0</v>
          </cell>
          <cell r="BN372">
            <v>0</v>
          </cell>
          <cell r="BO372">
            <v>0</v>
          </cell>
          <cell r="BP372">
            <v>0</v>
          </cell>
          <cell r="BQ372">
            <v>0</v>
          </cell>
          <cell r="BR372">
            <v>0</v>
          </cell>
          <cell r="BS372">
            <v>0</v>
          </cell>
        </row>
        <row r="373">
          <cell r="B373">
            <v>43827</v>
          </cell>
          <cell r="C373">
            <v>0</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cell r="BM373">
            <v>0</v>
          </cell>
          <cell r="BN373">
            <v>0</v>
          </cell>
          <cell r="BO373">
            <v>0</v>
          </cell>
          <cell r="BP373">
            <v>0</v>
          </cell>
          <cell r="BQ373">
            <v>0</v>
          </cell>
          <cell r="BR373">
            <v>0</v>
          </cell>
          <cell r="BS373">
            <v>0</v>
          </cell>
        </row>
        <row r="374">
          <cell r="B374">
            <v>43828</v>
          </cell>
          <cell r="C374">
            <v>0</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cell r="BM374">
            <v>0</v>
          </cell>
          <cell r="BN374">
            <v>0</v>
          </cell>
          <cell r="BO374">
            <v>0</v>
          </cell>
          <cell r="BP374">
            <v>0</v>
          </cell>
          <cell r="BQ374">
            <v>0</v>
          </cell>
          <cell r="BR374">
            <v>0</v>
          </cell>
          <cell r="BS374">
            <v>0</v>
          </cell>
        </row>
        <row r="375">
          <cell r="B375">
            <v>43829</v>
          </cell>
          <cell r="C375">
            <v>0</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cell r="BM375">
            <v>0</v>
          </cell>
          <cell r="BN375">
            <v>0</v>
          </cell>
          <cell r="BO375">
            <v>0</v>
          </cell>
          <cell r="BP375">
            <v>0</v>
          </cell>
          <cell r="BQ375">
            <v>0</v>
          </cell>
          <cell r="BR375">
            <v>0</v>
          </cell>
          <cell r="BS375">
            <v>0</v>
          </cell>
        </row>
        <row r="376">
          <cell r="B376">
            <v>43830</v>
          </cell>
          <cell r="C376">
            <v>0</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ADISTICOS MAYO 2017"/>
      <sheetName val="INICIO"/>
      <sheetName val="CONTADORES"/>
      <sheetName val="DATOSAÑO"/>
      <sheetName val="ESTADISTICOS"/>
      <sheetName val="REPORTE DIA"/>
      <sheetName val="DATOSCECOS"/>
      <sheetName val="INFORME DIA GDP"/>
      <sheetName val="Energía facilidades"/>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row r="81">
          <cell r="C81">
            <v>0</v>
          </cell>
          <cell r="E81" t="str">
            <v>Enfriamiento 8 horas (8 horas)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CONTADORES"/>
      <sheetName val="DATOSAÑO"/>
      <sheetName val="REPORTE DIA"/>
      <sheetName val="ESTADISTICOS"/>
      <sheetName val="DATOSCECOS"/>
      <sheetName val="ESTADISTICOS (2)"/>
      <sheetName val="INFORME DIA GDP"/>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 val="Hoja1"/>
    </sheetNames>
    <sheetDataSet>
      <sheetData sheetId="0" refreshError="1"/>
      <sheetData sheetId="1" refreshError="1"/>
      <sheetData sheetId="2" refreshError="1"/>
      <sheetData sheetId="3" refreshError="1"/>
      <sheetData sheetId="4" refreshError="1"/>
      <sheetData sheetId="5" refreshError="1">
        <row r="391">
          <cell r="H391">
            <v>595.70000000004802</v>
          </cell>
        </row>
        <row r="393">
          <cell r="H393">
            <v>712.19999999998959</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CONTADORES"/>
      <sheetName val="DATOSAÑO"/>
      <sheetName val="REPORTE DIA"/>
      <sheetName val="DATOSCECOS"/>
      <sheetName val="INFORME DIARIO TOT"/>
      <sheetName val="PRODUCCION VS ENERGIA TOT"/>
      <sheetName val="INFORME DIARIO"/>
      <sheetName val="PRODUCCION VS ENERGIA CUS-CUP"/>
      <sheetName val="PRODUCCION VS ENERGIA NW_XL"/>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IE"/>
      <sheetName val="Heat rate"/>
      <sheetName val="Factor de producción"/>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row r="16">
          <cell r="D16">
            <v>42552</v>
          </cell>
        </row>
      </sheetData>
      <sheetData sheetId="1">
        <row r="213">
          <cell r="BM213">
            <v>11003.38</v>
          </cell>
        </row>
      </sheetData>
      <sheetData sheetId="2">
        <row r="378">
          <cell r="CJ378">
            <v>22.975099999999998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160">
          <cell r="B160" t="str">
            <v>MES</v>
          </cell>
        </row>
      </sheetData>
      <sheetData sheetId="22"/>
      <sheetData sheetId="23"/>
      <sheetData sheetId="24">
        <row r="19">
          <cell r="J19" t="str">
            <v>Meta</v>
          </cell>
        </row>
        <row r="21">
          <cell r="B21" t="str">
            <v>ENE</v>
          </cell>
        </row>
        <row r="22">
          <cell r="B22" t="str">
            <v>FEB.</v>
          </cell>
        </row>
        <row r="23">
          <cell r="B23" t="str">
            <v>MAR.</v>
          </cell>
        </row>
        <row r="24">
          <cell r="B24" t="str">
            <v>ABR.</v>
          </cell>
        </row>
        <row r="25">
          <cell r="B25" t="str">
            <v>MAY.</v>
          </cell>
        </row>
      </sheetData>
      <sheetData sheetId="25">
        <row r="8">
          <cell r="F8">
            <v>0.41086587436333072</v>
          </cell>
        </row>
      </sheetData>
      <sheetData sheetId="26"/>
      <sheetData sheetId="27"/>
      <sheetData sheetId="28"/>
      <sheetData sheetId="29"/>
      <sheetData sheetId="30"/>
      <sheetData sheetId="31"/>
      <sheetData sheetId="32"/>
      <sheetData sheetId="33"/>
      <sheetData sheetId="34"/>
      <sheetData sheetId="35"/>
      <sheetData sheetId="3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onzalo Coronado Nuñez (Stork Masa)" refreshedDate="42720.85623946759" createdVersion="4" refreshedVersion="4" minRefreshableVersion="3" recordCount="15" xr:uid="{00000000-000A-0000-FFFF-FFFF03000000}">
  <cacheSource type="worksheet">
    <worksheetSource ref="C13:P28" sheet="Resultados Mes &amp; Acum"/>
  </cacheSource>
  <cacheFields count="14">
    <cacheField name="Concepto" numFmtId="0">
      <sharedItems count="15">
        <s v="TOTAL COSTOS FIJOS"/>
        <s v="Personal para la operación de generación "/>
        <s v="Generales &amp; Administración Profesional ECP"/>
        <s v="Mantenimientos Mayores (HH) (HGPI, CCI)"/>
        <s v="Depreciacion"/>
        <s v="TOTAL COSTOS VARIABLES"/>
        <s v="Costo Seguros Sector Electrico Ley 99"/>
        <s v="Costo Consumo de Gas (MMBTU es US$ 0.24)"/>
        <s v="Costo Consumo de Diésel (Planta COTU)  1 Galon"/>
        <s v="Costo Consumo de aceite Lubricante  (DTE-832) "/>
        <s v="Costo Mantenimiento HH MDD Generación"/>
        <s v="Costo Mantenimiento Repuestos MDD Generación"/>
        <s v="Costo Mantenimiento &amp; Reparaciones Externas"/>
        <s v="Costo Servicios de Asistencia Técnica Externa"/>
        <s v="COSTO TOTAL DE GENERACION"/>
      </sharedItems>
    </cacheField>
    <cacheField name="Unidades" numFmtId="0">
      <sharedItems containsBlank="1" count="2">
        <m/>
        <s v="COP/mes"/>
      </sharedItems>
    </cacheField>
    <cacheField name="ene-16" numFmtId="0">
      <sharedItems containsSemiMixedTypes="0" containsString="0" containsNumber="1" minValue="0" maxValue="136114464.91049999"/>
    </cacheField>
    <cacheField name="feb-16" numFmtId="0">
      <sharedItems containsSemiMixedTypes="0" containsString="0" containsNumber="1" minValue="0" maxValue="197406512.02860522"/>
    </cacheField>
    <cacheField name="mar-16" numFmtId="0">
      <sharedItems containsSemiMixedTypes="0" containsString="0" containsNumber="1" minValue="0" maxValue="203739501.51644516"/>
    </cacheField>
    <cacheField name="abr-16" numFmtId="0">
      <sharedItems containsSemiMixedTypes="0" containsString="0" containsNumber="1" minValue="0" maxValue="280411300.69620597" count="18">
        <n v="84200249.910500005"/>
        <n v="42010968.910500005"/>
        <n v="264550"/>
        <n v="0"/>
        <n v="41924731"/>
        <n v="53654905.611281097"/>
        <n v="37104183.611281097"/>
        <n v="7450619.9999999991"/>
        <n v="9100102"/>
        <n v="137855155.52178109"/>
        <n v="280411300.69620597" u="1"/>
        <n v="196211050.78570595" u="1"/>
        <n v="141399753.17442486" u="1"/>
        <n v="275898578.69620597" u="1"/>
        <n v="1156391.9999999965" u="1"/>
        <n v="5000000" u="1"/>
        <n v="7038000" u="1"/>
        <n v="191698328.78570595" u="1"/>
      </sharedItems>
    </cacheField>
    <cacheField name="may-16" numFmtId="0">
      <sharedItems containsSemiMixedTypes="0" containsString="0" containsNumber="1" minValue="0" maxValue="277207918.93689418" count="21">
        <n v="71456289.354944438"/>
        <n v="42010968.910500005"/>
        <n v="5000000"/>
        <n v="6503040.4444444403"/>
        <n v="17942280"/>
        <n v="47932784.558579601"/>
        <n v="37251324.558579601"/>
        <n v="0"/>
        <n v="5681460"/>
        <n v="119389073.91352403"/>
        <n v="277207918.93689418" u="1"/>
        <n v="151877585.02337015" u="1"/>
        <n v="277073338.91708696" u="1"/>
        <n v="229140554.35850734" u="1"/>
        <n v="205617049.56214249" u="1"/>
        <n v="157818845.02337015" u="1"/>
        <n v="151743005.0035629" u="1"/>
        <n v="5941260.0000000019" u="1"/>
        <n v="157684265.0035629" u="1"/>
        <n v="229275134.37831458" u="1"/>
        <n v="205751629.58194974" u="1"/>
      </sharedItems>
    </cacheField>
    <cacheField name="jun-16" numFmtId="0">
      <sharedItems containsSemiMixedTypes="0" containsString="0" containsNumber="1" minValue="0" maxValue="71456289.354944438"/>
    </cacheField>
    <cacheField name="jul-16" numFmtId="0">
      <sharedItems containsSemiMixedTypes="0" containsString="0" containsNumber="1" minValue="0" maxValue="71456289.354944438"/>
    </cacheField>
    <cacheField name="ago-16" numFmtId="0">
      <sharedItems containsSemiMixedTypes="0" containsString="0" containsNumber="1" minValue="0" maxValue="76169239.354944438"/>
    </cacheField>
    <cacheField name="sep-16" numFmtId="0">
      <sharedItems containsSemiMixedTypes="0" containsString="0" containsNumber="1" minValue="0" maxValue="71456289.354944438"/>
    </cacheField>
    <cacheField name="oct-16" numFmtId="0">
      <sharedItems containsSemiMixedTypes="0" containsString="0" containsNumber="1" minValue="0" maxValue="76169239.354944438"/>
    </cacheField>
    <cacheField name="nov-16" numFmtId="0">
      <sharedItems containsSemiMixedTypes="0" containsString="0" containsNumber="1" minValue="0" maxValue="71456289.354944438"/>
    </cacheField>
    <cacheField name="dic-16"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onzalo Coronado Nuñez (Stork Masa)" refreshedDate="42720.856239699075" createdVersion="4" refreshedVersion="4" minRefreshableVersion="3" recordCount="4" xr:uid="{00000000-000A-0000-FFFF-FFFF04000000}">
  <cacheSource type="worksheet">
    <worksheetSource ref="C6:P10" sheet="Resultados Mes &amp; Acum"/>
  </cacheSource>
  <cacheFields count="14">
    <cacheField name="Concepto" numFmtId="0">
      <sharedItems count="4">
        <s v="Energia Neta Generada (MWh/mes)"/>
        <s v="Consumo de  Combustible (Energia MMBtu/mes)"/>
        <s v="Confiabilidad Mensual "/>
        <s v="Disponibilidad Mensual"/>
      </sharedItems>
    </cacheField>
    <cacheField name="Unidades" numFmtId="0">
      <sharedItems count="3">
        <s v="MW (mes)"/>
        <s v="MMBtu/mes"/>
        <s v="%"/>
      </sharedItems>
    </cacheField>
    <cacheField name="Enero" numFmtId="0">
      <sharedItems containsSemiMixedTypes="0" containsString="0" containsNumber="1" minValue="-92.23" maxValue="1"/>
    </cacheField>
    <cacheField name="Febrero" numFmtId="0">
      <sharedItems containsSemiMixedTypes="0" containsString="0" containsNumber="1" minValue="-86.28" maxValue="1"/>
    </cacheField>
    <cacheField name="Marzo" numFmtId="0">
      <sharedItems containsSemiMixedTypes="0" containsString="0" containsNumber="1" minValue="-92.23" maxValue="1"/>
    </cacheField>
    <cacheField name="Abril" numFmtId="0">
      <sharedItems containsSemiMixedTypes="0" containsString="0" containsNumber="1" minValue="-89.254999999999995" maxValue="1"/>
    </cacheField>
    <cacheField name="Mayo" numFmtId="0">
      <sharedItems containsSemiMixedTypes="0" containsString="0" containsNumber="1" minValue="-92.23" maxValue="1"/>
    </cacheField>
    <cacheField name="Junio" numFmtId="0">
      <sharedItems containsSemiMixedTypes="0" containsString="0" containsNumber="1" minValue="-89.254999999999995" maxValue="1"/>
    </cacheField>
    <cacheField name="Julio" numFmtId="0">
      <sharedItems containsSemiMixedTypes="0" containsString="0" containsNumber="1" minValue="-92.23" maxValue="1"/>
    </cacheField>
    <cacheField name="Agosto" numFmtId="0">
      <sharedItems containsSemiMixedTypes="0" containsString="0" containsNumber="1" minValue="-92.23" maxValue="1"/>
    </cacheField>
    <cacheField name="Septiembre" numFmtId="0">
      <sharedItems containsSemiMixedTypes="0" containsString="0" containsNumber="1" minValue="-89.254999999999995" maxValue="1"/>
    </cacheField>
    <cacheField name="Octubre" numFmtId="0">
      <sharedItems containsSemiMixedTypes="0" containsString="0" containsNumber="1" minValue="-92.23" maxValue="1"/>
    </cacheField>
    <cacheField name="Noviembre" numFmtId="0">
      <sharedItems containsSemiMixedTypes="0" containsString="0" containsNumber="1" minValue="-89.254999999999995" maxValue="1"/>
    </cacheField>
    <cacheField name="Diciembre"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8"/>
    </ext>
  </extLst>
</pivotCacheDefinition>
</file>

<file path=xl/pivotCache/pivotCacheRecords1.xml><?xml version="1.0" encoding="utf-8"?>
<pivotCacheRecords xmlns="http://schemas.openxmlformats.org/spreadsheetml/2006/main" xmlns:r="http://schemas.openxmlformats.org/officeDocument/2006/relationships" count="15">
  <r>
    <x v="0"/>
    <x v="0"/>
    <n v="84502035.910500005"/>
    <n v="79471943.910500005"/>
    <n v="84200249.910500005"/>
    <x v="0"/>
    <x v="0"/>
    <n v="71456289.354944438"/>
    <n v="71456289.354944438"/>
    <n v="71456289.354944438"/>
    <n v="71456289.354944438"/>
    <n v="71456289.354944438"/>
    <n v="71456289.354944438"/>
    <n v="0"/>
  </r>
  <r>
    <x v="1"/>
    <x v="1"/>
    <n v="42010968.910500005"/>
    <n v="42010968.910500005"/>
    <n v="42010968.910500005"/>
    <x v="1"/>
    <x v="1"/>
    <n v="42010968.910500005"/>
    <n v="42010968.910500005"/>
    <n v="42010968.910500005"/>
    <n v="42010968.910500005"/>
    <n v="42010968.910500005"/>
    <n v="42010968.910500005"/>
    <n v="0"/>
  </r>
  <r>
    <x v="2"/>
    <x v="1"/>
    <n v="1044698"/>
    <n v="659457"/>
    <n v="264550"/>
    <x v="2"/>
    <x v="2"/>
    <n v="5000000"/>
    <n v="5000000"/>
    <n v="5000000"/>
    <n v="5000000"/>
    <n v="5000000"/>
    <n v="5000000"/>
    <n v="0"/>
  </r>
  <r>
    <x v="3"/>
    <x v="1"/>
    <n v="0"/>
    <n v="0"/>
    <n v="0"/>
    <x v="3"/>
    <x v="3"/>
    <n v="6503040.4444444403"/>
    <n v="6503040.4444444403"/>
    <n v="6503040.4444444403"/>
    <n v="6503040.4444444403"/>
    <n v="6503040.4444444403"/>
    <n v="6503040.4444444403"/>
    <n v="0"/>
  </r>
  <r>
    <x v="4"/>
    <x v="1"/>
    <n v="41446369"/>
    <n v="36801518"/>
    <n v="41924731"/>
    <x v="4"/>
    <x v="4"/>
    <n v="17942280"/>
    <n v="17942280"/>
    <n v="17942280"/>
    <n v="17942280"/>
    <n v="17942280"/>
    <n v="17942280"/>
    <n v="0"/>
  </r>
  <r>
    <x v="5"/>
    <x v="0"/>
    <n v="51612429"/>
    <n v="117934568.1181052"/>
    <n v="119539251.60594514"/>
    <x v="5"/>
    <x v="5"/>
    <n v="0"/>
    <n v="0"/>
    <n v="4712950"/>
    <n v="0"/>
    <n v="4712950"/>
    <n v="0"/>
    <n v="0"/>
  </r>
  <r>
    <x v="6"/>
    <x v="1"/>
    <n v="38615064"/>
    <n v="35529903.11810521"/>
    <n v="36021270.605945133"/>
    <x v="6"/>
    <x v="6"/>
    <n v="0"/>
    <n v="0"/>
    <n v="0"/>
    <n v="0"/>
    <n v="0"/>
    <n v="0"/>
    <n v="0"/>
  </r>
  <r>
    <x v="7"/>
    <x v="1"/>
    <n v="0"/>
    <n v="0"/>
    <n v="0"/>
    <x v="3"/>
    <x v="7"/>
    <n v="0"/>
    <n v="0"/>
    <n v="0"/>
    <n v="0"/>
    <n v="0"/>
    <n v="0"/>
    <n v="0"/>
  </r>
  <r>
    <x v="8"/>
    <x v="1"/>
    <n v="0"/>
    <n v="0"/>
    <n v="0"/>
    <x v="3"/>
    <x v="7"/>
    <n v="0"/>
    <n v="0"/>
    <n v="0"/>
    <n v="0"/>
    <n v="0"/>
    <n v="0"/>
    <n v="0"/>
  </r>
  <r>
    <x v="9"/>
    <x v="1"/>
    <n v="7069425"/>
    <n v="11782375"/>
    <n v="7069425"/>
    <x v="3"/>
    <x v="7"/>
    <n v="0"/>
    <n v="0"/>
    <n v="4712950"/>
    <n v="0"/>
    <n v="4712950"/>
    <n v="0"/>
    <n v="0"/>
  </r>
  <r>
    <x v="10"/>
    <x v="1"/>
    <n v="3950940"/>
    <n v="11436750"/>
    <n v="35015430"/>
    <x v="7"/>
    <x v="8"/>
    <n v="0"/>
    <n v="0"/>
    <n v="0"/>
    <n v="0"/>
    <n v="0"/>
    <n v="0"/>
    <n v="0"/>
  </r>
  <r>
    <x v="11"/>
    <x v="1"/>
    <n v="1977000"/>
    <n v="59185540"/>
    <n v="41433126"/>
    <x v="8"/>
    <x v="2"/>
    <n v="0"/>
    <n v="0"/>
    <n v="0"/>
    <n v="0"/>
    <n v="0"/>
    <n v="0"/>
    <n v="0"/>
  </r>
  <r>
    <x v="12"/>
    <x v="1"/>
    <n v="0"/>
    <n v="0"/>
    <n v="0"/>
    <x v="3"/>
    <x v="7"/>
    <n v="0"/>
    <n v="0"/>
    <n v="0"/>
    <n v="0"/>
    <n v="0"/>
    <n v="0"/>
    <n v="0"/>
  </r>
  <r>
    <x v="13"/>
    <x v="1"/>
    <n v="0"/>
    <n v="0"/>
    <n v="0"/>
    <x v="3"/>
    <x v="7"/>
    <n v="0"/>
    <n v="0"/>
    <n v="0"/>
    <n v="0"/>
    <n v="0"/>
    <n v="0"/>
    <n v="0"/>
  </r>
  <r>
    <x v="14"/>
    <x v="1"/>
    <n v="136114464.91049999"/>
    <n v="197406512.02860522"/>
    <n v="203739501.51644516"/>
    <x v="9"/>
    <x v="9"/>
    <n v="71456289.354944438"/>
    <n v="71456289.354944438"/>
    <n v="76169239.354944438"/>
    <n v="71456289.354944438"/>
    <n v="76169239.354944438"/>
    <n v="71456289.354944438"/>
    <n v="0"/>
  </r>
</pivotCacheRecords>
</file>

<file path=xl/pivotCache/pivotCacheRecords2.xml><?xml version="1.0" encoding="utf-8"?>
<pivotCacheRecords xmlns="http://schemas.openxmlformats.org/spreadsheetml/2006/main" xmlns:r="http://schemas.openxmlformats.org/officeDocument/2006/relationships" count="4">
  <r>
    <x v="0"/>
    <x v="0"/>
    <n v="-92.23"/>
    <n v="-86.28"/>
    <n v="-92.23"/>
    <n v="-89.254999999999995"/>
    <n v="-92.23"/>
    <n v="-89.254999999999995"/>
    <n v="-92.23"/>
    <n v="-92.23"/>
    <n v="-89.254999999999995"/>
    <n v="-92.23"/>
    <n v="-89.254999999999995"/>
    <n v="0"/>
  </r>
  <r>
    <x v="1"/>
    <x v="1"/>
    <n v="0"/>
    <n v="0"/>
    <n v="0"/>
    <n v="0"/>
    <n v="0"/>
    <n v="0"/>
    <n v="0"/>
    <n v="0"/>
    <n v="0"/>
    <n v="0"/>
    <n v="0"/>
    <n v="0"/>
  </r>
  <r>
    <x v="2"/>
    <x v="2"/>
    <n v="1"/>
    <n v="1"/>
    <n v="1"/>
    <n v="1"/>
    <n v="1"/>
    <n v="1"/>
    <n v="1"/>
    <n v="1"/>
    <n v="1"/>
    <n v="1"/>
    <n v="1"/>
    <n v="0"/>
  </r>
  <r>
    <x v="3"/>
    <x v="2"/>
    <n v="0"/>
    <n v="0"/>
    <n v="0.96130000000000004"/>
    <n v="1"/>
    <n v="1"/>
    <n v="1"/>
    <n v="1"/>
    <n v="1"/>
    <n v="1"/>
    <n v="1"/>
    <n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Tabla dinámica7" cacheId="7" dataOnRows="1"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2">
  <location ref="A3:C16" firstHeaderRow="1" firstDataRow="2" firstDataCol="1"/>
  <pivotFields count="14">
    <pivotField axis="axisCol" showAll="0">
      <items count="5">
        <item x="2"/>
        <item h="1" x="1"/>
        <item h="1" x="3"/>
        <item h="1"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s>
  <rowFields count="1">
    <field x="-2"/>
  </rowFields>
  <rowItems count="12">
    <i>
      <x/>
    </i>
    <i i="1">
      <x v="1"/>
    </i>
    <i i="2">
      <x v="2"/>
    </i>
    <i i="3">
      <x v="3"/>
    </i>
    <i i="4">
      <x v="4"/>
    </i>
    <i i="5">
      <x v="5"/>
    </i>
    <i i="6">
      <x v="6"/>
    </i>
    <i i="7">
      <x v="7"/>
    </i>
    <i i="8">
      <x v="8"/>
    </i>
    <i i="9">
      <x v="9"/>
    </i>
    <i i="10">
      <x v="10"/>
    </i>
    <i i="11">
      <x v="11"/>
    </i>
  </rowItems>
  <colFields count="1">
    <field x="0"/>
  </colFields>
  <colItems count="2">
    <i>
      <x/>
    </i>
    <i t="grand">
      <x/>
    </i>
  </colItems>
  <dataFields count="12">
    <dataField name="Ene" fld="2" baseField="0" baseItem="0" numFmtId="2"/>
    <dataField name="Feb" fld="3" baseField="0" baseItem="0" numFmtId="2"/>
    <dataField name="Mar" fld="4" baseField="0" baseItem="0" numFmtId="2"/>
    <dataField name="Abr" fld="5" baseField="0" baseItem="0" numFmtId="2"/>
    <dataField name="May" fld="6" baseField="0" baseItem="0" numFmtId="2"/>
    <dataField name="Jun" fld="7" baseField="0" baseItem="3" numFmtId="2"/>
    <dataField name="Jul" fld="8" baseField="0" baseItem="3" numFmtId="2"/>
    <dataField name="Ago" fld="9" baseField="0" baseItem="3" numFmtId="2"/>
    <dataField name="Sep" fld="10" baseField="0" baseItem="3" numFmtId="2"/>
    <dataField name="Oct" fld="11" baseField="0" baseItem="3" numFmtId="2"/>
    <dataField name="Nov" fld="12" baseField="0" baseItem="3" numFmtId="2"/>
    <dataField name="Dic" fld="13" baseField="0" baseItem="3" numFmtId="2"/>
  </dataFields>
  <formats count="40">
    <format dxfId="82">
      <pivotArea collapsedLevelsAreSubtotals="1" fieldPosition="0">
        <references count="1">
          <reference field="4294967294" count="3">
            <x v="1"/>
            <x v="2"/>
            <x v="3"/>
          </reference>
        </references>
      </pivotArea>
    </format>
    <format dxfId="81">
      <pivotArea outline="0" collapsedLevelsAreSubtotals="1" fieldPosition="0">
        <references count="1">
          <reference field="0" count="0" selected="0"/>
        </references>
      </pivotArea>
    </format>
    <format dxfId="80">
      <pivotArea field="0" type="button" dataOnly="0" labelOnly="1" outline="0" axis="axisCol" fieldPosition="0"/>
    </format>
    <format dxfId="79">
      <pivotArea dataOnly="0" labelOnly="1" fieldPosition="0">
        <references count="1">
          <reference field="0" count="0"/>
        </references>
      </pivotArea>
    </format>
    <format dxfId="78">
      <pivotArea outline="0" collapsedLevelsAreSubtotals="1" fieldPosition="0">
        <references count="1">
          <reference field="0" count="0" selected="0"/>
        </references>
      </pivotArea>
    </format>
    <format dxfId="77">
      <pivotArea field="0" type="button" dataOnly="0" labelOnly="1" outline="0" axis="axisCol" fieldPosition="0"/>
    </format>
    <format dxfId="76">
      <pivotArea dataOnly="0" labelOnly="1" fieldPosition="0">
        <references count="1">
          <reference field="0" count="0"/>
        </references>
      </pivotArea>
    </format>
    <format dxfId="75">
      <pivotArea grandCol="1" outline="0" collapsedLevelsAreSubtotals="1" fieldPosition="0"/>
    </format>
    <format dxfId="74">
      <pivotArea type="topRight" dataOnly="0" labelOnly="1" outline="0" fieldPosition="0"/>
    </format>
    <format dxfId="73">
      <pivotArea dataOnly="0" labelOnly="1" grandCol="1" outline="0" fieldPosition="0"/>
    </format>
    <format dxfId="72">
      <pivotArea grandCol="1" outline="0" collapsedLevelsAreSubtotals="1" fieldPosition="0"/>
    </format>
    <format dxfId="71">
      <pivotArea type="topRight" dataOnly="0" labelOnly="1" outline="0" fieldPosition="0"/>
    </format>
    <format dxfId="70">
      <pivotArea dataOnly="0" labelOnly="1" grandCol="1" outline="0" fieldPosition="0"/>
    </format>
    <format dxfId="69">
      <pivotArea type="origin" dataOnly="0" labelOnly="1" outline="0" fieldPosition="0"/>
    </format>
    <format dxfId="68">
      <pivotArea field="-2" type="button" dataOnly="0" labelOnly="1" outline="0" axis="axisRow" fieldPosition="0"/>
    </format>
    <format dxfId="67">
      <pivotArea dataOnly="0" labelOnly="1" outline="0" fieldPosition="0">
        <references count="1">
          <reference field="4294967294" count="5">
            <x v="0"/>
            <x v="1"/>
            <x v="2"/>
            <x v="3"/>
            <x v="4"/>
          </reference>
        </references>
      </pivotArea>
    </format>
    <format dxfId="66">
      <pivotArea type="origin" dataOnly="0" labelOnly="1" outline="0" fieldPosition="0"/>
    </format>
    <format dxfId="65">
      <pivotArea field="-2" type="button" dataOnly="0" labelOnly="1" outline="0" axis="axisRow" fieldPosition="0"/>
    </format>
    <format dxfId="64">
      <pivotArea dataOnly="0" labelOnly="1" outline="0" fieldPosition="0">
        <references count="1">
          <reference field="4294967294" count="5">
            <x v="0"/>
            <x v="1"/>
            <x v="2"/>
            <x v="3"/>
            <x v="4"/>
          </reference>
        </references>
      </pivotArea>
    </format>
    <format dxfId="63">
      <pivotArea outline="0" collapsedLevelsAreSubtotals="1" fieldPosition="0"/>
    </format>
    <format dxfId="62">
      <pivotArea outline="0" collapsedLevelsAreSubtotals="1" fieldPosition="0">
        <references count="1">
          <reference field="0" count="1" selected="0">
            <x v="1"/>
          </reference>
        </references>
      </pivotArea>
    </format>
    <format dxfId="61">
      <pivotArea collapsedLevelsAreSubtotals="1" fieldPosition="0">
        <references count="2">
          <reference field="4294967294" count="4">
            <x v="1"/>
            <x v="2"/>
            <x v="3"/>
            <x v="4"/>
          </reference>
          <reference field="0" count="1" selected="0">
            <x v="1"/>
          </reference>
        </references>
      </pivotArea>
    </format>
    <format dxfId="60">
      <pivotArea outline="0" collapsedLevelsAreSubtotals="1" fieldPosition="0">
        <references count="1">
          <reference field="0" count="1" selected="0">
            <x v="2"/>
          </reference>
        </references>
      </pivotArea>
    </format>
    <format dxfId="59">
      <pivotArea collapsedLevelsAreSubtotals="1" fieldPosition="0">
        <references count="2">
          <reference field="4294967294" count="1">
            <x v="0"/>
          </reference>
          <reference field="0" count="1" selected="0">
            <x v="0"/>
          </reference>
        </references>
      </pivotArea>
    </format>
    <format dxfId="58">
      <pivotArea outline="0" collapsedLevelsAreSubtotals="1" fieldPosition="0">
        <references count="1">
          <reference field="0" count="1" selected="0">
            <x v="3"/>
          </reference>
        </references>
      </pivotArea>
    </format>
    <format dxfId="57">
      <pivotArea type="all" dataOnly="0" outline="0" fieldPosition="0"/>
    </format>
    <format dxfId="56">
      <pivotArea dataOnly="0" labelOnly="1" outline="0" fieldPosition="0">
        <references count="1">
          <reference field="4294967294" count="7">
            <x v="5"/>
            <x v="6"/>
            <x v="7"/>
            <x v="8"/>
            <x v="9"/>
            <x v="10"/>
            <x v="11"/>
          </reference>
        </references>
      </pivotArea>
    </format>
    <format dxfId="55">
      <pivotArea collapsedLevelsAreSubtotals="1" fieldPosition="0">
        <references count="2">
          <reference field="4294967294" count="7">
            <x v="5"/>
            <x v="6"/>
            <x v="7"/>
            <x v="8"/>
            <x v="9"/>
            <x v="10"/>
            <x v="11"/>
          </reference>
          <reference field="0" count="0" selected="0"/>
        </references>
      </pivotArea>
    </format>
    <format dxfId="54">
      <pivotArea outline="0" fieldPosition="0">
        <references count="1">
          <reference field="4294967294" count="1">
            <x v="5"/>
          </reference>
        </references>
      </pivotArea>
    </format>
    <format dxfId="53">
      <pivotArea outline="0" fieldPosition="0">
        <references count="1">
          <reference field="4294967294" count="1">
            <x v="6"/>
          </reference>
        </references>
      </pivotArea>
    </format>
    <format dxfId="52">
      <pivotArea outline="0" fieldPosition="0">
        <references count="1">
          <reference field="4294967294" count="1">
            <x v="7"/>
          </reference>
        </references>
      </pivotArea>
    </format>
    <format dxfId="51">
      <pivotArea outline="0" fieldPosition="0">
        <references count="1">
          <reference field="4294967294" count="1">
            <x v="8"/>
          </reference>
        </references>
      </pivotArea>
    </format>
    <format dxfId="50">
      <pivotArea outline="0" fieldPosition="0">
        <references count="1">
          <reference field="4294967294" count="1">
            <x v="9"/>
          </reference>
        </references>
      </pivotArea>
    </format>
    <format dxfId="49">
      <pivotArea outline="0" fieldPosition="0">
        <references count="1">
          <reference field="4294967294" count="1">
            <x v="10"/>
          </reference>
        </references>
      </pivotArea>
    </format>
    <format dxfId="48">
      <pivotArea outline="0" fieldPosition="0">
        <references count="1">
          <reference field="4294967294" count="1">
            <x v="11"/>
          </reference>
        </references>
      </pivotArea>
    </format>
    <format dxfId="47">
      <pivotArea outline="0" fieldPosition="0">
        <references count="1">
          <reference field="4294967294" count="1">
            <x v="1"/>
          </reference>
        </references>
      </pivotArea>
    </format>
    <format dxfId="46">
      <pivotArea outline="0" fieldPosition="0">
        <references count="1">
          <reference field="4294967294" count="1">
            <x v="2"/>
          </reference>
        </references>
      </pivotArea>
    </format>
    <format dxfId="45">
      <pivotArea outline="0" fieldPosition="0">
        <references count="1">
          <reference field="4294967294" count="1">
            <x v="3"/>
          </reference>
        </references>
      </pivotArea>
    </format>
    <format dxfId="44">
      <pivotArea outline="0" fieldPosition="0">
        <references count="1">
          <reference field="4294967294" count="1">
            <x v="4"/>
          </reference>
        </references>
      </pivotArea>
    </format>
    <format dxfId="43">
      <pivotArea outline="0" fieldPosition="0">
        <references count="1">
          <reference field="4294967294" count="1">
            <x v="0"/>
          </reference>
        </references>
      </pivotArea>
    </format>
  </formats>
  <chartFormats count="12">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2"/>
          </reference>
        </references>
      </pivotArea>
    </chartFormat>
    <chartFormat chart="0" format="6" series="1">
      <pivotArea type="data" outline="0" fieldPosition="0">
        <references count="1">
          <reference field="4294967294" count="1" selected="0">
            <x v="3"/>
          </reference>
        </references>
      </pivotArea>
    </chartFormat>
    <chartFormat chart="0" format="7" series="1">
      <pivotArea type="data" outline="0" fieldPosition="0">
        <references count="1">
          <reference field="4294967294" count="1" selected="0">
            <x v="4"/>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0"/>
          </reference>
        </references>
      </pivotArea>
    </chartFormat>
    <chartFormat chart="1" format="10" series="1">
      <pivotArea type="data" outline="0" fieldPosition="0">
        <references count="2">
          <reference field="4294967294" count="1" selected="0">
            <x v="0"/>
          </reference>
          <reference field="0" count="1" selected="0">
            <x v="1"/>
          </reference>
        </references>
      </pivotArea>
    </chartFormat>
    <chartFormat chart="1" format="11" series="1">
      <pivotArea type="data" outline="0" fieldPosition="0">
        <references count="2">
          <reference field="4294967294" count="1" selected="0">
            <x v="0"/>
          </reference>
          <reference field="0" count="1" selected="0">
            <x v="2"/>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Tabla dinámica10" cacheId="6"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2">
  <location ref="A3:D8" firstHeaderRow="0" firstDataRow="1" firstDataCol="1"/>
  <pivotFields count="14">
    <pivotField axis="axisRow" showAll="0">
      <items count="16">
        <item x="9"/>
        <item h="1" x="8"/>
        <item h="1" x="7"/>
        <item h="1" x="12"/>
        <item h="1" x="10"/>
        <item h="1" x="11"/>
        <item h="1" x="6"/>
        <item h="1" x="13"/>
        <item h="1" x="14"/>
        <item h="1" x="4"/>
        <item h="1" x="2"/>
        <item h="1" x="3"/>
        <item h="1" x="1"/>
        <item h="1" x="0"/>
        <item h="1" x="5"/>
        <item t="default"/>
      </items>
    </pivotField>
    <pivotField axis="axisRow" showAll="0">
      <items count="3">
        <item x="1"/>
        <item x="0"/>
        <item t="default"/>
      </items>
    </pivotField>
    <pivotField dataField="1" showAll="0" defaultSubtotal="0"/>
    <pivotField dataField="1" showAll="0" defaultSubtotal="0"/>
    <pivotField dataField="1" showAll="0" defaultSubtotal="0"/>
    <pivotField axis="axisRow" showAll="0" defaultSubtotal="0">
      <items count="18">
        <item x="3"/>
        <item x="0"/>
        <item x="1"/>
        <item x="2"/>
        <item x="4"/>
        <item m="1" x="17"/>
        <item x="6"/>
        <item m="1" x="12"/>
        <item m="1" x="14"/>
        <item m="1" x="16"/>
        <item m="1" x="15"/>
        <item m="1" x="13"/>
        <item m="1" x="11"/>
        <item x="7"/>
        <item x="8"/>
        <item m="1" x="10"/>
        <item x="5"/>
        <item x="9"/>
      </items>
    </pivotField>
    <pivotField axis="axisRow" showAll="0" defaultSubtotal="0">
      <items count="21">
        <item x="7"/>
        <item x="0"/>
        <item x="1"/>
        <item x="2"/>
        <item x="3"/>
        <item x="4"/>
        <item m="1" x="15"/>
        <item m="1" x="11"/>
        <item m="1" x="17"/>
        <item m="1" x="19"/>
        <item m="1" x="18"/>
        <item m="1" x="16"/>
        <item m="1" x="13"/>
        <item m="1" x="20"/>
        <item x="6"/>
        <item x="8"/>
        <item m="1" x="10"/>
        <item m="1" x="14"/>
        <item m="1" x="12"/>
        <item x="5"/>
        <item x="9"/>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4">
    <field x="0"/>
    <field x="1"/>
    <field x="5"/>
    <field x="6"/>
  </rowFields>
  <rowItems count="5">
    <i>
      <x/>
    </i>
    <i r="1">
      <x/>
    </i>
    <i r="2">
      <x/>
    </i>
    <i r="3">
      <x/>
    </i>
    <i t="grand">
      <x/>
    </i>
  </rowItems>
  <colFields count="1">
    <field x="-2"/>
  </colFields>
  <colItems count="3">
    <i>
      <x/>
    </i>
    <i i="1">
      <x v="1"/>
    </i>
    <i i="2">
      <x v="2"/>
    </i>
  </colItems>
  <dataFields count="3">
    <dataField name="Suma de ene-16" fld="2" baseField="0" baseItem="0"/>
    <dataField name="Suma de feb-16" fld="3" baseField="0" baseItem="0"/>
    <dataField name="Suma de mar-16" fld="4" baseField="0" baseItem="0"/>
  </dataFields>
  <formats count="2">
    <format dxfId="42">
      <pivotArea outline="0" collapsedLevelsAreSubtotals="1" fieldPosition="0"/>
    </format>
    <format dxfId="41">
      <pivotArea type="all" dataOnly="0" outline="0" fieldPosition="0"/>
    </format>
  </formats>
  <chartFormats count="3">
    <chartFormat chart="1" format="30" series="1">
      <pivotArea type="data" outline="0" fieldPosition="0">
        <references count="1">
          <reference field="4294967294" count="1" selected="0">
            <x v="0"/>
          </reference>
        </references>
      </pivotArea>
    </chartFormat>
    <chartFormat chart="1" format="32" series="1">
      <pivotArea type="data" outline="0" fieldPosition="0">
        <references count="1">
          <reference field="4294967294" count="1" selected="0">
            <x v="1"/>
          </reference>
        </references>
      </pivotArea>
    </chartFormat>
    <chartFormat chart="1" format="3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Tabla dinámica16" cacheId="7"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2">
  <location ref="A2:M4" firstHeaderRow="0" firstDataRow="1" firstDataCol="1"/>
  <pivotFields count="14">
    <pivotField showAll="0">
      <items count="5">
        <item h="1" x="2"/>
        <item h="1" x="1"/>
        <item h="1" x="3"/>
        <item x="0"/>
        <item t="default"/>
      </items>
    </pivotField>
    <pivotField axis="axisRow" showAll="0">
      <items count="4">
        <item x="2"/>
        <item x="0"/>
        <item x="1"/>
        <item t="default"/>
      </items>
    </pivotField>
    <pivotField name="Enero2" dataField="1" showAll="0" defaultSubtotal="0"/>
    <pivotField name="Febrero2" dataField="1" showAll="0" defaultSubtotal="0"/>
    <pivotField name="Marzo2" dataField="1" showAll="0" defaultSubtotal="0"/>
    <pivotField name="Abril2" dataField="1" showAll="0" defaultSubtotal="0"/>
    <pivotField name="Mayo2" dataField="1" showAll="0" defaultSubtotal="0"/>
    <pivotField name="Junio2" dataField="1" showAll="0" defaultSubtotal="0"/>
    <pivotField name="Julio2" dataField="1" showAll="0" defaultSubtotal="0"/>
    <pivotField name="Agosto2" dataField="1" showAll="0" defaultSubtotal="0"/>
    <pivotField name="Septiembre2" dataField="1" showAll="0" defaultSubtotal="0"/>
    <pivotField name="Octubre2" dataField="1" showAll="0" defaultSubtotal="0"/>
    <pivotField name="Noviembre2" dataField="1" showAll="0" defaultSubtotal="0"/>
    <pivotField name="Diciembre2" dataField="1" showAll="0" defaultSubtotal="0"/>
  </pivotFields>
  <rowFields count="1">
    <field x="1"/>
  </rowFields>
  <rowItems count="2">
    <i>
      <x v="1"/>
    </i>
    <i t="grand">
      <x/>
    </i>
  </rowItems>
  <colFields count="1">
    <field x="-2"/>
  </colFields>
  <colItems count="12">
    <i>
      <x/>
    </i>
    <i i="1">
      <x v="1"/>
    </i>
    <i i="2">
      <x v="2"/>
    </i>
    <i i="3">
      <x v="3"/>
    </i>
    <i i="4">
      <x v="4"/>
    </i>
    <i i="5">
      <x v="5"/>
    </i>
    <i i="6">
      <x v="6"/>
    </i>
    <i i="7">
      <x v="7"/>
    </i>
    <i i="8">
      <x v="8"/>
    </i>
    <i i="9">
      <x v="9"/>
    </i>
    <i i="10">
      <x v="10"/>
    </i>
    <i i="11">
      <x v="11"/>
    </i>
  </colItems>
  <dataFields count="12">
    <dataField name="Enero" fld="2" baseField="1" baseItem="0" numFmtId="2"/>
    <dataField name="Febrero" fld="3" baseField="1" baseItem="2" numFmtId="2"/>
    <dataField name="Marzo" fld="4" baseField="1" baseItem="2" numFmtId="2"/>
    <dataField name="Abril" fld="5" baseField="1" baseItem="2" numFmtId="2"/>
    <dataField name="Mayo" fld="6" baseField="1" baseItem="2" numFmtId="2"/>
    <dataField name="Junio" fld="7" baseField="1" baseItem="2" numFmtId="2"/>
    <dataField name="Julio" fld="8" baseField="1" baseItem="2" numFmtId="2"/>
    <dataField name="Agosto" fld="9" baseField="1" baseItem="2" numFmtId="2"/>
    <dataField name="Septiembre" fld="10" baseField="1" baseItem="2" numFmtId="2"/>
    <dataField name="Octubre" fld="11" baseField="1" baseItem="2" numFmtId="2"/>
    <dataField name="Noviembre" fld="12" baseField="1" baseItem="2" numFmtId="2"/>
    <dataField name="Diciembre" fld="13" baseField="1" baseItem="2" numFmtId="2"/>
  </dataFields>
  <formats count="20">
    <format dxfId="40">
      <pivotArea collapsedLevelsAreSubtotals="1" fieldPosition="0">
        <references count="1">
          <reference field="1" count="1">
            <x v="0"/>
          </reference>
        </references>
      </pivotArea>
    </format>
    <format dxfId="39">
      <pivotArea outline="0" collapsedLevelsAreSubtotals="1" fieldPosition="0"/>
    </format>
    <format dxfId="38">
      <pivotArea collapsedLevelsAreSubtotals="1" fieldPosition="0">
        <references count="2">
          <reference field="4294967294" count="10" selected="0">
            <x v="2"/>
            <x v="3"/>
            <x v="4"/>
            <x v="5"/>
            <x v="6"/>
            <x v="7"/>
            <x v="8"/>
            <x v="9"/>
            <x v="10"/>
            <x v="11"/>
          </reference>
          <reference field="1" count="1">
            <x v="0"/>
          </reference>
        </references>
      </pivotArea>
    </format>
    <format dxfId="37">
      <pivotArea field="1" grandRow="1" outline="0" collapsedLevelsAreSubtotals="1" axis="axisRow" fieldPosition="0">
        <references count="1">
          <reference field="4294967294" count="10" selected="0">
            <x v="2"/>
            <x v="3"/>
            <x v="4"/>
            <x v="5"/>
            <x v="6"/>
            <x v="7"/>
            <x v="8"/>
            <x v="9"/>
            <x v="10"/>
            <x v="11"/>
          </reference>
        </references>
      </pivotArea>
    </format>
    <format dxfId="36">
      <pivotArea collapsedLevelsAreSubtotals="1" fieldPosition="0">
        <references count="2">
          <reference field="4294967294" count="4" selected="0">
            <x v="8"/>
            <x v="9"/>
            <x v="10"/>
            <x v="11"/>
          </reference>
          <reference field="1" count="1">
            <x v="2"/>
          </reference>
        </references>
      </pivotArea>
    </format>
    <format dxfId="35">
      <pivotArea outline="0" collapsedLevelsAreSubtotals="1" fieldPosition="0">
        <references count="1">
          <reference field="4294967294" count="2" selected="0">
            <x v="0"/>
            <x v="1"/>
          </reference>
        </references>
      </pivotArea>
    </format>
    <format dxfId="34">
      <pivotArea outline="0" fieldPosition="0">
        <references count="1">
          <reference field="4294967294" count="1">
            <x v="8"/>
          </reference>
        </references>
      </pivotArea>
    </format>
    <format dxfId="33">
      <pivotArea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x v="2"/>
          </reference>
        </references>
      </pivotArea>
    </format>
    <format dxfId="30">
      <pivotArea outline="0" fieldPosition="0">
        <references count="1">
          <reference field="4294967294" count="1">
            <x v="3"/>
          </reference>
        </references>
      </pivotArea>
    </format>
    <format dxfId="29">
      <pivotArea outline="0" fieldPosition="0">
        <references count="1">
          <reference field="4294967294" count="1">
            <x v="4"/>
          </reference>
        </references>
      </pivotArea>
    </format>
    <format dxfId="28">
      <pivotArea outline="0" fieldPosition="0">
        <references count="1">
          <reference field="4294967294" count="1">
            <x v="5"/>
          </reference>
        </references>
      </pivotArea>
    </format>
    <format dxfId="27">
      <pivotArea outline="0" fieldPosition="0">
        <references count="1">
          <reference field="4294967294" count="1">
            <x v="6"/>
          </reference>
        </references>
      </pivotArea>
    </format>
    <format dxfId="26">
      <pivotArea outline="0" fieldPosition="0">
        <references count="1">
          <reference field="4294967294" count="1">
            <x v="7"/>
          </reference>
        </references>
      </pivotArea>
    </format>
    <format dxfId="25">
      <pivotArea outline="0" fieldPosition="0">
        <references count="1">
          <reference field="4294967294" count="1">
            <x v="9"/>
          </reference>
        </references>
      </pivotArea>
    </format>
    <format dxfId="24">
      <pivotArea outline="0" fieldPosition="0">
        <references count="1">
          <reference field="4294967294" count="1">
            <x v="10"/>
          </reference>
        </references>
      </pivotArea>
    </format>
    <format dxfId="23">
      <pivotArea outline="0" fieldPosition="0">
        <references count="1">
          <reference field="4294967294" count="1">
            <x v="0"/>
          </reference>
        </references>
      </pivotArea>
    </format>
    <format dxfId="22">
      <pivotArea collapsedLevelsAreSubtotals="1" fieldPosition="0">
        <references count="2">
          <reference field="4294967294" count="11" selected="0">
            <x v="0"/>
            <x v="1"/>
            <x v="2"/>
            <x v="3"/>
            <x v="4"/>
            <x v="5"/>
            <x v="6"/>
            <x v="7"/>
            <x v="8"/>
            <x v="9"/>
            <x v="10"/>
          </reference>
          <reference field="1" count="1">
            <x v="0"/>
          </reference>
        </references>
      </pivotArea>
    </format>
    <format dxfId="21">
      <pivotArea field="1" grandRow="1" outline="0" collapsedLevelsAreSubtotals="1" axis="axisRow" fieldPosition="0">
        <references count="1">
          <reference field="4294967294" count="11" selected="0">
            <x v="0"/>
            <x v="1"/>
            <x v="2"/>
            <x v="3"/>
            <x v="4"/>
            <x v="5"/>
            <x v="6"/>
            <x v="7"/>
            <x v="8"/>
            <x v="9"/>
            <x v="10"/>
          </reference>
        </references>
      </pivotArea>
    </format>
  </formats>
  <chartFormats count="12">
    <chartFormat chart="1" format="25" series="1">
      <pivotArea type="data" outline="0" fieldPosition="0">
        <references count="1">
          <reference field="4294967294" count="1" selected="0">
            <x v="1"/>
          </reference>
        </references>
      </pivotArea>
    </chartFormat>
    <chartFormat chart="1" format="26" series="1">
      <pivotArea type="data" outline="0" fieldPosition="0">
        <references count="1">
          <reference field="4294967294" count="1" selected="0">
            <x v="2"/>
          </reference>
        </references>
      </pivotArea>
    </chartFormat>
    <chartFormat chart="1" format="27" series="1">
      <pivotArea type="data" outline="0" fieldPosition="0">
        <references count="1">
          <reference field="4294967294" count="1" selected="0">
            <x v="3"/>
          </reference>
        </references>
      </pivotArea>
    </chartFormat>
    <chartFormat chart="1" format="28" series="1">
      <pivotArea type="data" outline="0" fieldPosition="0">
        <references count="1">
          <reference field="4294967294" count="1" selected="0">
            <x v="4"/>
          </reference>
        </references>
      </pivotArea>
    </chartFormat>
    <chartFormat chart="1" format="29" series="1">
      <pivotArea type="data" outline="0" fieldPosition="0">
        <references count="1">
          <reference field="4294967294" count="1" selected="0">
            <x v="5"/>
          </reference>
        </references>
      </pivotArea>
    </chartFormat>
    <chartFormat chart="1" format="30" series="1">
      <pivotArea type="data" outline="0" fieldPosition="0">
        <references count="1">
          <reference field="4294967294" count="1" selected="0">
            <x v="6"/>
          </reference>
        </references>
      </pivotArea>
    </chartFormat>
    <chartFormat chart="1" format="31" series="1">
      <pivotArea type="data" outline="0" fieldPosition="0">
        <references count="1">
          <reference field="4294967294" count="1" selected="0">
            <x v="0"/>
          </reference>
        </references>
      </pivotArea>
    </chartFormat>
    <chartFormat chart="1" format="32" series="1">
      <pivotArea type="data" outline="0" fieldPosition="0">
        <references count="1">
          <reference field="4294967294" count="1" selected="0">
            <x v="7"/>
          </reference>
        </references>
      </pivotArea>
    </chartFormat>
    <chartFormat chart="1" format="33" series="1">
      <pivotArea type="data" outline="0" fieldPosition="0">
        <references count="1">
          <reference field="4294967294" count="1" selected="0">
            <x v="8"/>
          </reference>
        </references>
      </pivotArea>
    </chartFormat>
    <chartFormat chart="1" format="34" series="1">
      <pivotArea type="data" outline="0" fieldPosition="0">
        <references count="1">
          <reference field="4294967294" count="1" selected="0">
            <x v="9"/>
          </reference>
        </references>
      </pivotArea>
    </chartFormat>
    <chartFormat chart="1" format="35" series="1">
      <pivotArea type="data" outline="0" fieldPosition="0">
        <references count="1">
          <reference field="4294967294" count="1" selected="0">
            <x v="10"/>
          </reference>
        </references>
      </pivotArea>
    </chartFormat>
    <chartFormat chart="1" format="36" series="1">
      <pivotArea type="data" outline="0" fieldPosition="0">
        <references count="1">
          <reference field="429496729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00000000-0013-0000-FFFF-FFFF01000000}" sourceName="Concepto">
  <pivotTables>
    <pivotTable tabId="39" name="Tabla dinámica7"/>
  </pivotTables>
  <data>
    <tabular pivotCacheId="8" crossFilter="none">
      <items count="4">
        <i x="2" s="1"/>
        <i x="1"/>
        <i x="3"/>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2" xr10:uid="{00000000-0013-0000-FFFF-FFFF02000000}" sourceName="Concepto">
  <pivotTables>
    <pivotTable tabId="41" name="Tabla dinámica16"/>
  </pivotTables>
  <data>
    <tabular pivotCacheId="8">
      <items count="4">
        <i x="2"/>
        <i x="1"/>
        <i x="3"/>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1" xr10:uid="{00000000-0013-0000-FFFF-FFFF03000000}" sourceName="Concepto">
  <pivotTables>
    <pivotTable tabId="40" name="Tabla dinámica10"/>
  </pivotTables>
  <data>
    <tabular pivotCacheId="9">
      <items count="15">
        <i x="9" s="1"/>
        <i x="8"/>
        <i x="7"/>
        <i x="12"/>
        <i x="10"/>
        <i x="11"/>
        <i x="6"/>
        <i x="13"/>
        <i x="14"/>
        <i x="4"/>
        <i x="2"/>
        <i x="3"/>
        <i x="1"/>
        <i x="0"/>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cepto" xr10:uid="{00000000-0014-0000-FFFF-FFFF01000000}" cache="SegmentaciónDeDatos_Concepto" caption="Concepto"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cepto 1" xr10:uid="{00000000-0014-0000-FFFF-FFFF02000000}" cache="SegmentaciónDeDatos_Concepto1" caption="Concept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cepto 2" xr10:uid="{00000000-0014-0000-FFFF-FFFF03000000}" cache="SegmentaciónDeDatos_Concepto2" caption="Concepto"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0000000}" name="Table2314" displayName="Table2314" ref="C20:I31" totalsRowShown="0" headerRowDxfId="20" dataDxfId="19">
  <tableColumns count="7">
    <tableColumn id="1" xr3:uid="{00000000-0010-0000-0000-000001000000}" name="Carga % del Nominal" dataDxfId="18"/>
    <tableColumn id="2" xr3:uid="{00000000-0010-0000-0000-000002000000}" name="Heat rate " dataDxfId="17"/>
    <tableColumn id="3" xr3:uid="{00000000-0010-0000-0000-000003000000}" name="Carga KW" dataDxfId="16"/>
    <tableColumn id="4" xr3:uid="{00000000-0010-0000-0000-000004000000}" name="Consumo de calor a condiciones rales x 10-6 BTU/h" dataDxfId="15">
      <calculatedColumnFormula>+B21*$F$6*$F$5/1000000</calculatedColumnFormula>
    </tableColumn>
    <tableColumn id="5" xr3:uid="{00000000-0010-0000-0000-000005000000}" name="Consumo de calor a condiciones rales DIA" dataDxfId="14">
      <calculatedColumnFormula>F21*24</calculatedColumnFormula>
    </tableColumn>
    <tableColumn id="6" xr3:uid="{00000000-0010-0000-0000-000006000000}" name="Consumo de gas dia Cupiagua x10-6 SCF" dataDxfId="13">
      <calculatedColumnFormula>G21/$H$19</calculatedColumnFormula>
    </tableColumn>
    <tableColumn id="7" xr3:uid="{00000000-0010-0000-0000-000007000000}" name="Consumo de gas dia Cupiagua x10-6 SCF    " dataDxfId="12">
      <calculatedColumnFormula>$G21/$I$19</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1000000}" name="Table23815" displayName="Table23815" ref="J20:S31" totalsRowShown="0" headerRowDxfId="11" dataDxfId="10">
  <tableColumns count="10">
    <tableColumn id="1" xr3:uid="{00000000-0010-0000-0100-000001000000}" name="Consumo de gas dia Cupiagua x10-6 SCF" dataDxfId="9">
      <calculatedColumnFormula>$G21/$J$19</calculatedColumnFormula>
    </tableColumn>
    <tableColumn id="2" xr3:uid="{00000000-0010-0000-0100-000002000000}" name="Consumo de gas dia Cupiagua x10-6 SCF                   " dataDxfId="8">
      <calculatedColumnFormula>$G21/$K$19</calculatedColumnFormula>
    </tableColumn>
    <tableColumn id="3" xr3:uid="{00000000-0010-0000-0100-000003000000}" name="Consumo de gas dia Cupiagua x10-6 SCF                    " dataDxfId="7">
      <calculatedColumnFormula>$G21/$L$19</calculatedColumnFormula>
    </tableColumn>
    <tableColumn id="4" xr3:uid="{00000000-0010-0000-0100-000004000000}" name="Consumo de gas dia Cupiagua x10-6 SCF          " dataDxfId="6">
      <calculatedColumnFormula>$G21/$M$19</calculatedColumnFormula>
    </tableColumn>
    <tableColumn id="5" xr3:uid="{00000000-0010-0000-0100-000005000000}" name="Consumo de gas dia Cupiagua x10-6 SCF                 " dataDxfId="5">
      <calculatedColumnFormula>$G21/$N$19</calculatedColumnFormula>
    </tableColumn>
    <tableColumn id="6" xr3:uid="{00000000-0010-0000-0100-000006000000}" name="Consumo de gas dia Cupiagua x10-6 SCF         " dataDxfId="4">
      <calculatedColumnFormula>$G21/$O$19</calculatedColumnFormula>
    </tableColumn>
    <tableColumn id="7" xr3:uid="{00000000-0010-0000-0100-000007000000}" name="Consumo de gas dia Cupiagua x10-6 SCF        " dataDxfId="3">
      <calculatedColumnFormula>$G21/$P$19</calculatedColumnFormula>
    </tableColumn>
    <tableColumn id="8" xr3:uid="{00000000-0010-0000-0100-000008000000}" name="Consumo de gas dia Cupiagua x10-6 SCF            " dataDxfId="2">
      <calculatedColumnFormula>$G21/$Q$19</calculatedColumnFormula>
    </tableColumn>
    <tableColumn id="9" xr3:uid="{00000000-0010-0000-0100-000009000000}" name="Consumo de gas dia Cupiagua x10-6 SCF    " dataDxfId="1">
      <calculatedColumnFormula>$G21/$R$19</calculatedColumnFormula>
    </tableColumn>
    <tableColumn id="10" xr3:uid="{00000000-0010-0000-0100-00000A000000}" name="Consumo de gas dia Cupiagua x10-6 SCF                " dataDxfId="0">
      <calculatedColumnFormula>$G21/$S$19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tx2">
            <a:lumMod val="60000"/>
            <a:lumOff val="40000"/>
          </a:schemeClr>
        </a:solidFill>
        <a:ln w="9525" cap="rnd" cmpd="sng">
          <a:solidFill>
            <a:sysClr val="window" lastClr="FFFFFF">
              <a:shade val="50000"/>
              <a:alpha val="91000"/>
            </a:sysClr>
          </a:solidFill>
        </a:ln>
        <a:effectLst>
          <a:innerShdw blurRad="63500" dist="50800" dir="8100000">
            <a:schemeClr val="tx1">
              <a:alpha val="50000"/>
            </a:schemeClr>
          </a:innerShdw>
        </a:effectLst>
      </a:spPr>
      <a:bodyPr vertOverflow="clip" horzOverflow="clip" wrap="square" rtlCol="0" anchor="ctr"/>
      <a:lstStyle>
        <a:defPPr eaLnBrk="1" fontAlgn="auto" latinLnBrk="0" hangingPunct="1">
          <a:defRPr sz="1200" b="1" i="1" baseline="0">
            <a:solidFill>
              <a:schemeClr val="bg1"/>
            </a:solidFill>
            <a:effectLst/>
            <a:latin typeface="+mn-lt"/>
            <a:ea typeface="+mn-ea"/>
            <a:cs typeface="+mn-cs"/>
          </a:defRPr>
        </a:defPPr>
      </a:lstStyle>
    </a:tx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opseniorgen.cus@stork.com" TargetMode="External"/><Relationship Id="rId2" Type="http://schemas.openxmlformats.org/officeDocument/2006/relationships/hyperlink" Target="mailto:Operadores.Xl5@Stork.com" TargetMode="External"/><Relationship Id="rId1" Type="http://schemas.openxmlformats.org/officeDocument/2006/relationships/hyperlink" Target="mailto:Opseniorgen.Cup@Stork.com" TargetMode="External"/><Relationship Id="rId6" Type="http://schemas.openxmlformats.org/officeDocument/2006/relationships/vmlDrawing" Target="../drawings/vmlDrawing3.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Operadores.Xl5@Stork.com" TargetMode="External"/><Relationship Id="rId2" Type="http://schemas.openxmlformats.org/officeDocument/2006/relationships/hyperlink" Target="mailto:opseniorgen.cus@stork.com" TargetMode="External"/><Relationship Id="rId1" Type="http://schemas.openxmlformats.org/officeDocument/2006/relationships/hyperlink" Target="mailto:Opseniorgen.cup@Stork.com" TargetMode="External"/><Relationship Id="rId5" Type="http://schemas.openxmlformats.org/officeDocument/2006/relationships/drawing" Target="../drawings/drawing4.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1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22.bin"/><Relationship Id="rId4" Type="http://schemas.openxmlformats.org/officeDocument/2006/relationships/comments" Target="../comments1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23.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5.bin"/><Relationship Id="rId4" Type="http://schemas.openxmlformats.org/officeDocument/2006/relationships/comments" Target="../comments12.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30.bin"/><Relationship Id="rId1" Type="http://schemas.openxmlformats.org/officeDocument/2006/relationships/pivotTable" Target="../pivotTables/pivotTable1.xml"/><Relationship Id="rId4" Type="http://schemas.microsoft.com/office/2007/relationships/slicer" Target="../slicers/slicer1.xml"/></Relationships>
</file>

<file path=xl/worksheets/_rels/sheet3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5.xml"/><Relationship Id="rId1" Type="http://schemas.openxmlformats.org/officeDocument/2006/relationships/pivotTable" Target="../pivotTables/pivotTable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31.bin"/><Relationship Id="rId1" Type="http://schemas.openxmlformats.org/officeDocument/2006/relationships/pivotTable" Target="../pivotTables/pivotTable3.xml"/><Relationship Id="rId4" Type="http://schemas.microsoft.com/office/2007/relationships/slicer" Target="../slicers/slicer3.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6.vml"/><Relationship Id="rId1" Type="http://schemas.openxmlformats.org/officeDocument/2006/relationships/printerSettings" Target="../printerSettings/printerSettings35.bin"/><Relationship Id="rId5" Type="http://schemas.openxmlformats.org/officeDocument/2006/relationships/comments" Target="../comments14.xml"/><Relationship Id="rId4" Type="http://schemas.openxmlformats.org/officeDocument/2006/relationships/table" Target="../tables/table2.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DD1EE2"/>
  </sheetPr>
  <dimension ref="A1:AF83"/>
  <sheetViews>
    <sheetView showGridLines="0" zoomScale="90" zoomScaleNormal="90" workbookViewId="0">
      <selection activeCell="H6" sqref="H6"/>
    </sheetView>
  </sheetViews>
  <sheetFormatPr baseColWidth="10" defaultColWidth="9.21875" defaultRowHeight="14.4"/>
  <cols>
    <col min="1" max="1" width="2.5546875" style="1610" customWidth="1"/>
    <col min="2" max="2" width="8.44140625" style="1610" customWidth="1"/>
    <col min="3" max="4" width="7.21875" style="1610" customWidth="1"/>
    <col min="5" max="19" width="6.5546875" style="1610" customWidth="1"/>
    <col min="20" max="20" width="7" style="1610" customWidth="1"/>
    <col min="21" max="21" width="6.5546875" style="1610" customWidth="1"/>
    <col min="22" max="22" width="9.21875" style="1610" customWidth="1"/>
    <col min="23" max="23" width="7.5546875" style="1610" customWidth="1"/>
    <col min="24" max="33" width="6.5546875" style="1610" customWidth="1"/>
    <col min="34" max="255" width="9.21875" style="1610"/>
    <col min="256" max="256" width="2.5546875" style="1610" customWidth="1"/>
    <col min="257" max="257" width="6.5546875" style="1610" customWidth="1"/>
    <col min="258" max="258" width="7" style="1610" customWidth="1"/>
    <col min="259" max="289" width="6.5546875" style="1610" customWidth="1"/>
    <col min="290" max="511" width="9.21875" style="1610"/>
    <col min="512" max="512" width="2.5546875" style="1610" customWidth="1"/>
    <col min="513" max="513" width="6.5546875" style="1610" customWidth="1"/>
    <col min="514" max="514" width="7" style="1610" customWidth="1"/>
    <col min="515" max="545" width="6.5546875" style="1610" customWidth="1"/>
    <col min="546" max="767" width="9.21875" style="1610"/>
    <col min="768" max="768" width="2.5546875" style="1610" customWidth="1"/>
    <col min="769" max="769" width="6.5546875" style="1610" customWidth="1"/>
    <col min="770" max="770" width="7" style="1610" customWidth="1"/>
    <col min="771" max="801" width="6.5546875" style="1610" customWidth="1"/>
    <col min="802" max="1023" width="9.21875" style="1610"/>
    <col min="1024" max="1024" width="2.5546875" style="1610" customWidth="1"/>
    <col min="1025" max="1025" width="6.5546875" style="1610" customWidth="1"/>
    <col min="1026" max="1026" width="7" style="1610" customWidth="1"/>
    <col min="1027" max="1057" width="6.5546875" style="1610" customWidth="1"/>
    <col min="1058" max="1279" width="9.21875" style="1610"/>
    <col min="1280" max="1280" width="2.5546875" style="1610" customWidth="1"/>
    <col min="1281" max="1281" width="6.5546875" style="1610" customWidth="1"/>
    <col min="1282" max="1282" width="7" style="1610" customWidth="1"/>
    <col min="1283" max="1313" width="6.5546875" style="1610" customWidth="1"/>
    <col min="1314" max="1535" width="9.21875" style="1610"/>
    <col min="1536" max="1536" width="2.5546875" style="1610" customWidth="1"/>
    <col min="1537" max="1537" width="6.5546875" style="1610" customWidth="1"/>
    <col min="1538" max="1538" width="7" style="1610" customWidth="1"/>
    <col min="1539" max="1569" width="6.5546875" style="1610" customWidth="1"/>
    <col min="1570" max="1791" width="9.21875" style="1610"/>
    <col min="1792" max="1792" width="2.5546875" style="1610" customWidth="1"/>
    <col min="1793" max="1793" width="6.5546875" style="1610" customWidth="1"/>
    <col min="1794" max="1794" width="7" style="1610" customWidth="1"/>
    <col min="1795" max="1825" width="6.5546875" style="1610" customWidth="1"/>
    <col min="1826" max="2047" width="9.21875" style="1610"/>
    <col min="2048" max="2048" width="2.5546875" style="1610" customWidth="1"/>
    <col min="2049" max="2049" width="6.5546875" style="1610" customWidth="1"/>
    <col min="2050" max="2050" width="7" style="1610" customWidth="1"/>
    <col min="2051" max="2081" width="6.5546875" style="1610" customWidth="1"/>
    <col min="2082" max="2303" width="9.21875" style="1610"/>
    <col min="2304" max="2304" width="2.5546875" style="1610" customWidth="1"/>
    <col min="2305" max="2305" width="6.5546875" style="1610" customWidth="1"/>
    <col min="2306" max="2306" width="7" style="1610" customWidth="1"/>
    <col min="2307" max="2337" width="6.5546875" style="1610" customWidth="1"/>
    <col min="2338" max="2559" width="9.21875" style="1610"/>
    <col min="2560" max="2560" width="2.5546875" style="1610" customWidth="1"/>
    <col min="2561" max="2561" width="6.5546875" style="1610" customWidth="1"/>
    <col min="2562" max="2562" width="7" style="1610" customWidth="1"/>
    <col min="2563" max="2593" width="6.5546875" style="1610" customWidth="1"/>
    <col min="2594" max="2815" width="9.21875" style="1610"/>
    <col min="2816" max="2816" width="2.5546875" style="1610" customWidth="1"/>
    <col min="2817" max="2817" width="6.5546875" style="1610" customWidth="1"/>
    <col min="2818" max="2818" width="7" style="1610" customWidth="1"/>
    <col min="2819" max="2849" width="6.5546875" style="1610" customWidth="1"/>
    <col min="2850" max="3071" width="9.21875" style="1610"/>
    <col min="3072" max="3072" width="2.5546875" style="1610" customWidth="1"/>
    <col min="3073" max="3073" width="6.5546875" style="1610" customWidth="1"/>
    <col min="3074" max="3074" width="7" style="1610" customWidth="1"/>
    <col min="3075" max="3105" width="6.5546875" style="1610" customWidth="1"/>
    <col min="3106" max="3327" width="9.21875" style="1610"/>
    <col min="3328" max="3328" width="2.5546875" style="1610" customWidth="1"/>
    <col min="3329" max="3329" width="6.5546875" style="1610" customWidth="1"/>
    <col min="3330" max="3330" width="7" style="1610" customWidth="1"/>
    <col min="3331" max="3361" width="6.5546875" style="1610" customWidth="1"/>
    <col min="3362" max="3583" width="9.21875" style="1610"/>
    <col min="3584" max="3584" width="2.5546875" style="1610" customWidth="1"/>
    <col min="3585" max="3585" width="6.5546875" style="1610" customWidth="1"/>
    <col min="3586" max="3586" width="7" style="1610" customWidth="1"/>
    <col min="3587" max="3617" width="6.5546875" style="1610" customWidth="1"/>
    <col min="3618" max="3839" width="9.21875" style="1610"/>
    <col min="3840" max="3840" width="2.5546875" style="1610" customWidth="1"/>
    <col min="3841" max="3841" width="6.5546875" style="1610" customWidth="1"/>
    <col min="3842" max="3842" width="7" style="1610" customWidth="1"/>
    <col min="3843" max="3873" width="6.5546875" style="1610" customWidth="1"/>
    <col min="3874" max="4095" width="9.21875" style="1610"/>
    <col min="4096" max="4096" width="2.5546875" style="1610" customWidth="1"/>
    <col min="4097" max="4097" width="6.5546875" style="1610" customWidth="1"/>
    <col min="4098" max="4098" width="7" style="1610" customWidth="1"/>
    <col min="4099" max="4129" width="6.5546875" style="1610" customWidth="1"/>
    <col min="4130" max="4351" width="9.21875" style="1610"/>
    <col min="4352" max="4352" width="2.5546875" style="1610" customWidth="1"/>
    <col min="4353" max="4353" width="6.5546875" style="1610" customWidth="1"/>
    <col min="4354" max="4354" width="7" style="1610" customWidth="1"/>
    <col min="4355" max="4385" width="6.5546875" style="1610" customWidth="1"/>
    <col min="4386" max="4607" width="9.21875" style="1610"/>
    <col min="4608" max="4608" width="2.5546875" style="1610" customWidth="1"/>
    <col min="4609" max="4609" width="6.5546875" style="1610" customWidth="1"/>
    <col min="4610" max="4610" width="7" style="1610" customWidth="1"/>
    <col min="4611" max="4641" width="6.5546875" style="1610" customWidth="1"/>
    <col min="4642" max="4863" width="9.21875" style="1610"/>
    <col min="4864" max="4864" width="2.5546875" style="1610" customWidth="1"/>
    <col min="4865" max="4865" width="6.5546875" style="1610" customWidth="1"/>
    <col min="4866" max="4866" width="7" style="1610" customWidth="1"/>
    <col min="4867" max="4897" width="6.5546875" style="1610" customWidth="1"/>
    <col min="4898" max="5119" width="9.21875" style="1610"/>
    <col min="5120" max="5120" width="2.5546875" style="1610" customWidth="1"/>
    <col min="5121" max="5121" width="6.5546875" style="1610" customWidth="1"/>
    <col min="5122" max="5122" width="7" style="1610" customWidth="1"/>
    <col min="5123" max="5153" width="6.5546875" style="1610" customWidth="1"/>
    <col min="5154" max="5375" width="9.21875" style="1610"/>
    <col min="5376" max="5376" width="2.5546875" style="1610" customWidth="1"/>
    <col min="5377" max="5377" width="6.5546875" style="1610" customWidth="1"/>
    <col min="5378" max="5378" width="7" style="1610" customWidth="1"/>
    <col min="5379" max="5409" width="6.5546875" style="1610" customWidth="1"/>
    <col min="5410" max="5631" width="9.21875" style="1610"/>
    <col min="5632" max="5632" width="2.5546875" style="1610" customWidth="1"/>
    <col min="5633" max="5633" width="6.5546875" style="1610" customWidth="1"/>
    <col min="5634" max="5634" width="7" style="1610" customWidth="1"/>
    <col min="5635" max="5665" width="6.5546875" style="1610" customWidth="1"/>
    <col min="5666" max="5887" width="9.21875" style="1610"/>
    <col min="5888" max="5888" width="2.5546875" style="1610" customWidth="1"/>
    <col min="5889" max="5889" width="6.5546875" style="1610" customWidth="1"/>
    <col min="5890" max="5890" width="7" style="1610" customWidth="1"/>
    <col min="5891" max="5921" width="6.5546875" style="1610" customWidth="1"/>
    <col min="5922" max="6143" width="9.21875" style="1610"/>
    <col min="6144" max="6144" width="2.5546875" style="1610" customWidth="1"/>
    <col min="6145" max="6145" width="6.5546875" style="1610" customWidth="1"/>
    <col min="6146" max="6146" width="7" style="1610" customWidth="1"/>
    <col min="6147" max="6177" width="6.5546875" style="1610" customWidth="1"/>
    <col min="6178" max="6399" width="9.21875" style="1610"/>
    <col min="6400" max="6400" width="2.5546875" style="1610" customWidth="1"/>
    <col min="6401" max="6401" width="6.5546875" style="1610" customWidth="1"/>
    <col min="6402" max="6402" width="7" style="1610" customWidth="1"/>
    <col min="6403" max="6433" width="6.5546875" style="1610" customWidth="1"/>
    <col min="6434" max="6655" width="9.21875" style="1610"/>
    <col min="6656" max="6656" width="2.5546875" style="1610" customWidth="1"/>
    <col min="6657" max="6657" width="6.5546875" style="1610" customWidth="1"/>
    <col min="6658" max="6658" width="7" style="1610" customWidth="1"/>
    <col min="6659" max="6689" width="6.5546875" style="1610" customWidth="1"/>
    <col min="6690" max="6911" width="9.21875" style="1610"/>
    <col min="6912" max="6912" width="2.5546875" style="1610" customWidth="1"/>
    <col min="6913" max="6913" width="6.5546875" style="1610" customWidth="1"/>
    <col min="6914" max="6914" width="7" style="1610" customWidth="1"/>
    <col min="6915" max="6945" width="6.5546875" style="1610" customWidth="1"/>
    <col min="6946" max="7167" width="9.21875" style="1610"/>
    <col min="7168" max="7168" width="2.5546875" style="1610" customWidth="1"/>
    <col min="7169" max="7169" width="6.5546875" style="1610" customWidth="1"/>
    <col min="7170" max="7170" width="7" style="1610" customWidth="1"/>
    <col min="7171" max="7201" width="6.5546875" style="1610" customWidth="1"/>
    <col min="7202" max="7423" width="9.21875" style="1610"/>
    <col min="7424" max="7424" width="2.5546875" style="1610" customWidth="1"/>
    <col min="7425" max="7425" width="6.5546875" style="1610" customWidth="1"/>
    <col min="7426" max="7426" width="7" style="1610" customWidth="1"/>
    <col min="7427" max="7457" width="6.5546875" style="1610" customWidth="1"/>
    <col min="7458" max="7679" width="9.21875" style="1610"/>
    <col min="7680" max="7680" width="2.5546875" style="1610" customWidth="1"/>
    <col min="7681" max="7681" width="6.5546875" style="1610" customWidth="1"/>
    <col min="7682" max="7682" width="7" style="1610" customWidth="1"/>
    <col min="7683" max="7713" width="6.5546875" style="1610" customWidth="1"/>
    <col min="7714" max="7935" width="9.21875" style="1610"/>
    <col min="7936" max="7936" width="2.5546875" style="1610" customWidth="1"/>
    <col min="7937" max="7937" width="6.5546875" style="1610" customWidth="1"/>
    <col min="7938" max="7938" width="7" style="1610" customWidth="1"/>
    <col min="7939" max="7969" width="6.5546875" style="1610" customWidth="1"/>
    <col min="7970" max="8191" width="9.21875" style="1610"/>
    <col min="8192" max="8192" width="2.5546875" style="1610" customWidth="1"/>
    <col min="8193" max="8193" width="6.5546875" style="1610" customWidth="1"/>
    <col min="8194" max="8194" width="7" style="1610" customWidth="1"/>
    <col min="8195" max="8225" width="6.5546875" style="1610" customWidth="1"/>
    <col min="8226" max="8447" width="9.21875" style="1610"/>
    <col min="8448" max="8448" width="2.5546875" style="1610" customWidth="1"/>
    <col min="8449" max="8449" width="6.5546875" style="1610" customWidth="1"/>
    <col min="8450" max="8450" width="7" style="1610" customWidth="1"/>
    <col min="8451" max="8481" width="6.5546875" style="1610" customWidth="1"/>
    <col min="8482" max="8703" width="9.21875" style="1610"/>
    <col min="8704" max="8704" width="2.5546875" style="1610" customWidth="1"/>
    <col min="8705" max="8705" width="6.5546875" style="1610" customWidth="1"/>
    <col min="8706" max="8706" width="7" style="1610" customWidth="1"/>
    <col min="8707" max="8737" width="6.5546875" style="1610" customWidth="1"/>
    <col min="8738" max="8959" width="9.21875" style="1610"/>
    <col min="8960" max="8960" width="2.5546875" style="1610" customWidth="1"/>
    <col min="8961" max="8961" width="6.5546875" style="1610" customWidth="1"/>
    <col min="8962" max="8962" width="7" style="1610" customWidth="1"/>
    <col min="8963" max="8993" width="6.5546875" style="1610" customWidth="1"/>
    <col min="8994" max="9215" width="9.21875" style="1610"/>
    <col min="9216" max="9216" width="2.5546875" style="1610" customWidth="1"/>
    <col min="9217" max="9217" width="6.5546875" style="1610" customWidth="1"/>
    <col min="9218" max="9218" width="7" style="1610" customWidth="1"/>
    <col min="9219" max="9249" width="6.5546875" style="1610" customWidth="1"/>
    <col min="9250" max="9471" width="9.21875" style="1610"/>
    <col min="9472" max="9472" width="2.5546875" style="1610" customWidth="1"/>
    <col min="9473" max="9473" width="6.5546875" style="1610" customWidth="1"/>
    <col min="9474" max="9474" width="7" style="1610" customWidth="1"/>
    <col min="9475" max="9505" width="6.5546875" style="1610" customWidth="1"/>
    <col min="9506" max="9727" width="9.21875" style="1610"/>
    <col min="9728" max="9728" width="2.5546875" style="1610" customWidth="1"/>
    <col min="9729" max="9729" width="6.5546875" style="1610" customWidth="1"/>
    <col min="9730" max="9730" width="7" style="1610" customWidth="1"/>
    <col min="9731" max="9761" width="6.5546875" style="1610" customWidth="1"/>
    <col min="9762" max="9983" width="9.21875" style="1610"/>
    <col min="9984" max="9984" width="2.5546875" style="1610" customWidth="1"/>
    <col min="9985" max="9985" width="6.5546875" style="1610" customWidth="1"/>
    <col min="9986" max="9986" width="7" style="1610" customWidth="1"/>
    <col min="9987" max="10017" width="6.5546875" style="1610" customWidth="1"/>
    <col min="10018" max="10239" width="9.21875" style="1610"/>
    <col min="10240" max="10240" width="2.5546875" style="1610" customWidth="1"/>
    <col min="10241" max="10241" width="6.5546875" style="1610" customWidth="1"/>
    <col min="10242" max="10242" width="7" style="1610" customWidth="1"/>
    <col min="10243" max="10273" width="6.5546875" style="1610" customWidth="1"/>
    <col min="10274" max="10495" width="9.21875" style="1610"/>
    <col min="10496" max="10496" width="2.5546875" style="1610" customWidth="1"/>
    <col min="10497" max="10497" width="6.5546875" style="1610" customWidth="1"/>
    <col min="10498" max="10498" width="7" style="1610" customWidth="1"/>
    <col min="10499" max="10529" width="6.5546875" style="1610" customWidth="1"/>
    <col min="10530" max="10751" width="9.21875" style="1610"/>
    <col min="10752" max="10752" width="2.5546875" style="1610" customWidth="1"/>
    <col min="10753" max="10753" width="6.5546875" style="1610" customWidth="1"/>
    <col min="10754" max="10754" width="7" style="1610" customWidth="1"/>
    <col min="10755" max="10785" width="6.5546875" style="1610" customWidth="1"/>
    <col min="10786" max="11007" width="9.21875" style="1610"/>
    <col min="11008" max="11008" width="2.5546875" style="1610" customWidth="1"/>
    <col min="11009" max="11009" width="6.5546875" style="1610" customWidth="1"/>
    <col min="11010" max="11010" width="7" style="1610" customWidth="1"/>
    <col min="11011" max="11041" width="6.5546875" style="1610" customWidth="1"/>
    <col min="11042" max="11263" width="9.21875" style="1610"/>
    <col min="11264" max="11264" width="2.5546875" style="1610" customWidth="1"/>
    <col min="11265" max="11265" width="6.5546875" style="1610" customWidth="1"/>
    <col min="11266" max="11266" width="7" style="1610" customWidth="1"/>
    <col min="11267" max="11297" width="6.5546875" style="1610" customWidth="1"/>
    <col min="11298" max="11519" width="9.21875" style="1610"/>
    <col min="11520" max="11520" width="2.5546875" style="1610" customWidth="1"/>
    <col min="11521" max="11521" width="6.5546875" style="1610" customWidth="1"/>
    <col min="11522" max="11522" width="7" style="1610" customWidth="1"/>
    <col min="11523" max="11553" width="6.5546875" style="1610" customWidth="1"/>
    <col min="11554" max="11775" width="9.21875" style="1610"/>
    <col min="11776" max="11776" width="2.5546875" style="1610" customWidth="1"/>
    <col min="11777" max="11777" width="6.5546875" style="1610" customWidth="1"/>
    <col min="11778" max="11778" width="7" style="1610" customWidth="1"/>
    <col min="11779" max="11809" width="6.5546875" style="1610" customWidth="1"/>
    <col min="11810" max="12031" width="9.21875" style="1610"/>
    <col min="12032" max="12032" width="2.5546875" style="1610" customWidth="1"/>
    <col min="12033" max="12033" width="6.5546875" style="1610" customWidth="1"/>
    <col min="12034" max="12034" width="7" style="1610" customWidth="1"/>
    <col min="12035" max="12065" width="6.5546875" style="1610" customWidth="1"/>
    <col min="12066" max="12287" width="9.21875" style="1610"/>
    <col min="12288" max="12288" width="2.5546875" style="1610" customWidth="1"/>
    <col min="12289" max="12289" width="6.5546875" style="1610" customWidth="1"/>
    <col min="12290" max="12290" width="7" style="1610" customWidth="1"/>
    <col min="12291" max="12321" width="6.5546875" style="1610" customWidth="1"/>
    <col min="12322" max="12543" width="9.21875" style="1610"/>
    <col min="12544" max="12544" width="2.5546875" style="1610" customWidth="1"/>
    <col min="12545" max="12545" width="6.5546875" style="1610" customWidth="1"/>
    <col min="12546" max="12546" width="7" style="1610" customWidth="1"/>
    <col min="12547" max="12577" width="6.5546875" style="1610" customWidth="1"/>
    <col min="12578" max="12799" width="9.21875" style="1610"/>
    <col min="12800" max="12800" width="2.5546875" style="1610" customWidth="1"/>
    <col min="12801" max="12801" width="6.5546875" style="1610" customWidth="1"/>
    <col min="12802" max="12802" width="7" style="1610" customWidth="1"/>
    <col min="12803" max="12833" width="6.5546875" style="1610" customWidth="1"/>
    <col min="12834" max="13055" width="9.21875" style="1610"/>
    <col min="13056" max="13056" width="2.5546875" style="1610" customWidth="1"/>
    <col min="13057" max="13057" width="6.5546875" style="1610" customWidth="1"/>
    <col min="13058" max="13058" width="7" style="1610" customWidth="1"/>
    <col min="13059" max="13089" width="6.5546875" style="1610" customWidth="1"/>
    <col min="13090" max="13311" width="9.21875" style="1610"/>
    <col min="13312" max="13312" width="2.5546875" style="1610" customWidth="1"/>
    <col min="13313" max="13313" width="6.5546875" style="1610" customWidth="1"/>
    <col min="13314" max="13314" width="7" style="1610" customWidth="1"/>
    <col min="13315" max="13345" width="6.5546875" style="1610" customWidth="1"/>
    <col min="13346" max="13567" width="9.21875" style="1610"/>
    <col min="13568" max="13568" width="2.5546875" style="1610" customWidth="1"/>
    <col min="13569" max="13569" width="6.5546875" style="1610" customWidth="1"/>
    <col min="13570" max="13570" width="7" style="1610" customWidth="1"/>
    <col min="13571" max="13601" width="6.5546875" style="1610" customWidth="1"/>
    <col min="13602" max="13823" width="9.21875" style="1610"/>
    <col min="13824" max="13824" width="2.5546875" style="1610" customWidth="1"/>
    <col min="13825" max="13825" width="6.5546875" style="1610" customWidth="1"/>
    <col min="13826" max="13826" width="7" style="1610" customWidth="1"/>
    <col min="13827" max="13857" width="6.5546875" style="1610" customWidth="1"/>
    <col min="13858" max="14079" width="9.21875" style="1610"/>
    <col min="14080" max="14080" width="2.5546875" style="1610" customWidth="1"/>
    <col min="14081" max="14081" width="6.5546875" style="1610" customWidth="1"/>
    <col min="14082" max="14082" width="7" style="1610" customWidth="1"/>
    <col min="14083" max="14113" width="6.5546875" style="1610" customWidth="1"/>
    <col min="14114" max="14335" width="9.21875" style="1610"/>
    <col min="14336" max="14336" width="2.5546875" style="1610" customWidth="1"/>
    <col min="14337" max="14337" width="6.5546875" style="1610" customWidth="1"/>
    <col min="14338" max="14338" width="7" style="1610" customWidth="1"/>
    <col min="14339" max="14369" width="6.5546875" style="1610" customWidth="1"/>
    <col min="14370" max="14591" width="9.21875" style="1610"/>
    <col min="14592" max="14592" width="2.5546875" style="1610" customWidth="1"/>
    <col min="14593" max="14593" width="6.5546875" style="1610" customWidth="1"/>
    <col min="14594" max="14594" width="7" style="1610" customWidth="1"/>
    <col min="14595" max="14625" width="6.5546875" style="1610" customWidth="1"/>
    <col min="14626" max="14847" width="9.21875" style="1610"/>
    <col min="14848" max="14848" width="2.5546875" style="1610" customWidth="1"/>
    <col min="14849" max="14849" width="6.5546875" style="1610" customWidth="1"/>
    <col min="14850" max="14850" width="7" style="1610" customWidth="1"/>
    <col min="14851" max="14881" width="6.5546875" style="1610" customWidth="1"/>
    <col min="14882" max="15103" width="9.21875" style="1610"/>
    <col min="15104" max="15104" width="2.5546875" style="1610" customWidth="1"/>
    <col min="15105" max="15105" width="6.5546875" style="1610" customWidth="1"/>
    <col min="15106" max="15106" width="7" style="1610" customWidth="1"/>
    <col min="15107" max="15137" width="6.5546875" style="1610" customWidth="1"/>
    <col min="15138" max="15359" width="9.21875" style="1610"/>
    <col min="15360" max="15360" width="2.5546875" style="1610" customWidth="1"/>
    <col min="15361" max="15361" width="6.5546875" style="1610" customWidth="1"/>
    <col min="15362" max="15362" width="7" style="1610" customWidth="1"/>
    <col min="15363" max="15393" width="6.5546875" style="1610" customWidth="1"/>
    <col min="15394" max="15615" width="9.21875" style="1610"/>
    <col min="15616" max="15616" width="2.5546875" style="1610" customWidth="1"/>
    <col min="15617" max="15617" width="6.5546875" style="1610" customWidth="1"/>
    <col min="15618" max="15618" width="7" style="1610" customWidth="1"/>
    <col min="15619" max="15649" width="6.5546875" style="1610" customWidth="1"/>
    <col min="15650" max="15871" width="9.21875" style="1610"/>
    <col min="15872" max="15872" width="2.5546875" style="1610" customWidth="1"/>
    <col min="15873" max="15873" width="6.5546875" style="1610" customWidth="1"/>
    <col min="15874" max="15874" width="7" style="1610" customWidth="1"/>
    <col min="15875" max="15905" width="6.5546875" style="1610" customWidth="1"/>
    <col min="15906" max="16127" width="9.21875" style="1610"/>
    <col min="16128" max="16128" width="2.5546875" style="1610" customWidth="1"/>
    <col min="16129" max="16129" width="6.5546875" style="1610" customWidth="1"/>
    <col min="16130" max="16130" width="7" style="1610" customWidth="1"/>
    <col min="16131" max="16161" width="6.5546875" style="1610" customWidth="1"/>
    <col min="16162" max="16384" width="9.21875" style="1610"/>
  </cols>
  <sheetData>
    <row r="1" spans="1:32" ht="16.95" customHeight="1" thickTop="1" thickBot="1">
      <c r="A1" s="1642"/>
      <c r="B1" s="1643"/>
      <c r="C1" s="1643"/>
      <c r="D1" s="1643"/>
      <c r="E1" s="1643"/>
      <c r="F1" s="1643"/>
      <c r="G1" s="1785"/>
      <c r="H1" s="1785"/>
      <c r="I1" s="1785"/>
      <c r="J1" s="1785"/>
      <c r="K1" s="1785"/>
      <c r="L1" s="1785"/>
      <c r="M1" s="1785"/>
      <c r="N1" s="1785"/>
      <c r="O1" s="1785"/>
      <c r="P1" s="1785"/>
      <c r="Q1" s="1785"/>
      <c r="R1" s="1785"/>
      <c r="S1" s="1643"/>
      <c r="T1" s="1643"/>
      <c r="U1" s="1643"/>
      <c r="V1" s="1643"/>
      <c r="W1" s="1644"/>
    </row>
    <row r="2" spans="1:32" ht="16.95" customHeight="1" thickTop="1">
      <c r="A2" s="1645"/>
      <c r="G2" s="1650"/>
      <c r="H2" s="1651"/>
      <c r="I2" s="1790" t="s">
        <v>275</v>
      </c>
      <c r="J2" s="1791"/>
      <c r="K2" s="1791"/>
      <c r="L2" s="1791"/>
      <c r="M2" s="1791"/>
      <c r="N2" s="1791"/>
      <c r="O2" s="1791"/>
      <c r="P2" s="1792"/>
      <c r="Q2" s="1651"/>
      <c r="R2" s="1652"/>
      <c r="W2" s="1646"/>
    </row>
    <row r="3" spans="1:32" ht="16.95" customHeight="1" thickBot="1">
      <c r="A3" s="1647"/>
      <c r="B3" s="1648"/>
      <c r="C3" s="1648"/>
      <c r="D3" s="1648"/>
      <c r="E3" s="1648"/>
      <c r="F3" s="1648"/>
      <c r="G3" s="1639"/>
      <c r="H3" s="1640"/>
      <c r="I3" s="1793" t="s">
        <v>156</v>
      </c>
      <c r="J3" s="1794"/>
      <c r="K3" s="1794"/>
      <c r="L3" s="1794"/>
      <c r="M3" s="1794"/>
      <c r="N3" s="1794"/>
      <c r="O3" s="1794"/>
      <c r="P3" s="1795"/>
      <c r="Q3" s="1640"/>
      <c r="R3" s="1641"/>
      <c r="S3" s="1648"/>
      <c r="T3" s="1648"/>
      <c r="U3" s="1648"/>
      <c r="V3" s="1648"/>
      <c r="W3" s="1649"/>
    </row>
    <row r="4" spans="1:32" ht="16.95" customHeight="1" thickTop="1">
      <c r="I4" s="1611"/>
      <c r="J4" s="1611"/>
      <c r="K4" s="1611"/>
      <c r="L4" s="1611"/>
      <c r="M4" s="1611"/>
      <c r="N4" s="1611"/>
      <c r="O4" s="1612"/>
      <c r="P4" s="1612"/>
    </row>
    <row r="5" spans="1:32" ht="16.05" customHeight="1">
      <c r="B5" s="1803" t="s">
        <v>209</v>
      </c>
      <c r="C5" s="1803"/>
      <c r="D5" s="1803"/>
      <c r="E5" s="1613"/>
      <c r="I5" s="1796" t="s">
        <v>1370</v>
      </c>
      <c r="J5" s="1797"/>
      <c r="K5" s="1788">
        <v>44927</v>
      </c>
      <c r="L5" s="1789"/>
      <c r="M5" s="1614"/>
      <c r="N5" s="1614"/>
      <c r="S5" s="1799" t="s">
        <v>160</v>
      </c>
      <c r="T5" s="1799"/>
      <c r="U5" s="1799"/>
      <c r="V5" s="1799"/>
      <c r="AE5" s="1611"/>
      <c r="AF5" s="1611"/>
    </row>
    <row r="6" spans="1:32" ht="16.05" customHeight="1">
      <c r="B6" s="1653" t="s">
        <v>132</v>
      </c>
      <c r="C6" s="1776">
        <f>MONTH(C8)</f>
        <v>6</v>
      </c>
      <c r="D6" s="1776"/>
      <c r="I6" s="1796" t="s">
        <v>1371</v>
      </c>
      <c r="J6" s="1797"/>
      <c r="K6" s="1788">
        <v>45291</v>
      </c>
      <c r="L6" s="1789"/>
      <c r="M6" s="1798"/>
      <c r="N6" s="1798"/>
      <c r="O6" s="1798"/>
      <c r="S6" s="1654" t="s">
        <v>1366</v>
      </c>
      <c r="T6" s="1780" t="s">
        <v>35</v>
      </c>
      <c r="U6" s="1780"/>
      <c r="V6" s="1654" t="s">
        <v>1487</v>
      </c>
      <c r="AE6" s="1611"/>
      <c r="AF6" s="1611"/>
    </row>
    <row r="7" spans="1:32" ht="16.05" customHeight="1">
      <c r="B7" s="1653" t="s">
        <v>807</v>
      </c>
      <c r="C7" s="1776">
        <f>DAY(C8)</f>
        <v>4</v>
      </c>
      <c r="D7" s="1776"/>
      <c r="I7" s="1796" t="s">
        <v>1372</v>
      </c>
      <c r="J7" s="1797"/>
      <c r="K7" s="1788">
        <f ca="1">TODAY()</f>
        <v>45126</v>
      </c>
      <c r="L7" s="1789"/>
      <c r="M7" s="1614"/>
      <c r="N7" s="1614"/>
      <c r="O7" s="1781"/>
      <c r="S7" s="1655">
        <v>28</v>
      </c>
      <c r="T7" s="1779">
        <v>83305</v>
      </c>
      <c r="U7" s="1779"/>
      <c r="V7" s="1656">
        <f>(T7/S7)/1000</f>
        <v>2.9751785714285717</v>
      </c>
      <c r="AE7" s="1611"/>
      <c r="AF7" s="1611"/>
    </row>
    <row r="8" spans="1:32" ht="16.05" customHeight="1">
      <c r="B8" s="1653" t="s">
        <v>400</v>
      </c>
      <c r="C8" s="1777">
        <v>45081</v>
      </c>
      <c r="D8" s="1777"/>
      <c r="I8" s="1614"/>
      <c r="J8" s="1614"/>
      <c r="L8" s="1614"/>
      <c r="M8" s="1614"/>
      <c r="N8" s="1615"/>
      <c r="O8" s="1781"/>
      <c r="S8" s="1655">
        <v>29</v>
      </c>
      <c r="T8" s="1779">
        <v>86280</v>
      </c>
      <c r="U8" s="1779"/>
      <c r="V8" s="1656">
        <f>(V7/2)</f>
        <v>1.4875892857142858</v>
      </c>
      <c r="AE8" s="1611"/>
      <c r="AF8" s="1611"/>
    </row>
    <row r="9" spans="1:32" ht="16.05" customHeight="1">
      <c r="C9" s="1616"/>
      <c r="D9" s="1616"/>
      <c r="G9" s="1617"/>
      <c r="I9" s="1614"/>
      <c r="J9" s="1614"/>
      <c r="K9" s="1614"/>
      <c r="L9" s="1614"/>
      <c r="M9" s="1614"/>
      <c r="N9" s="1614"/>
      <c r="O9" s="1781"/>
      <c r="S9" s="1655">
        <v>30</v>
      </c>
      <c r="T9" s="1779">
        <v>89255</v>
      </c>
      <c r="U9" s="1779"/>
      <c r="V9" s="1778"/>
      <c r="AE9" s="1611"/>
      <c r="AF9" s="1611"/>
    </row>
    <row r="10" spans="1:32" ht="16.05" customHeight="1">
      <c r="C10" s="1616"/>
      <c r="D10" s="1616"/>
      <c r="K10" s="1614"/>
      <c r="L10" s="1614"/>
      <c r="M10" s="1614"/>
      <c r="N10" s="1618"/>
      <c r="O10" s="1619"/>
      <c r="S10" s="1655">
        <v>31</v>
      </c>
      <c r="T10" s="1779">
        <v>92230</v>
      </c>
      <c r="U10" s="1779"/>
      <c r="V10" s="1778"/>
      <c r="AE10" s="1611"/>
      <c r="AF10" s="1611"/>
    </row>
    <row r="11" spans="1:32" ht="16.05" customHeight="1">
      <c r="B11" s="1803" t="s">
        <v>614</v>
      </c>
      <c r="C11" s="1803"/>
      <c r="D11" s="1803"/>
      <c r="E11" s="1803"/>
      <c r="G11" s="1787"/>
      <c r="H11" s="1787"/>
      <c r="I11" s="1787"/>
      <c r="J11" s="1614"/>
      <c r="K11" s="1614"/>
      <c r="L11" s="1614"/>
      <c r="M11" s="1614"/>
      <c r="N11" s="1620"/>
      <c r="O11" s="1621"/>
      <c r="T11" s="1781"/>
      <c r="U11" s="1781"/>
      <c r="V11" s="1781"/>
      <c r="W11" s="1781"/>
      <c r="AE11" s="1611"/>
      <c r="AF11" s="1611"/>
    </row>
    <row r="12" spans="1:32" ht="16.05" customHeight="1">
      <c r="B12" s="1807" t="s">
        <v>158</v>
      </c>
      <c r="C12" s="1807"/>
      <c r="D12" s="1777">
        <v>45078</v>
      </c>
      <c r="E12" s="1777"/>
      <c r="G12" s="1781"/>
      <c r="H12" s="1781"/>
      <c r="I12" s="1781"/>
      <c r="J12" s="1781"/>
      <c r="K12" s="1614"/>
      <c r="L12" s="1614"/>
      <c r="M12" s="1614"/>
      <c r="N12" s="1615"/>
      <c r="O12" s="1786"/>
      <c r="T12" s="1781"/>
      <c r="U12" s="1781"/>
      <c r="V12" s="1781"/>
      <c r="W12" s="1781"/>
      <c r="AE12" s="1611"/>
      <c r="AF12" s="1611"/>
    </row>
    <row r="13" spans="1:32" ht="16.05" customHeight="1">
      <c r="B13" s="1807" t="s">
        <v>159</v>
      </c>
      <c r="C13" s="1807"/>
      <c r="D13" s="1777">
        <v>45107</v>
      </c>
      <c r="E13" s="1777"/>
      <c r="G13" s="1781"/>
      <c r="H13" s="1781"/>
      <c r="I13" s="1781"/>
      <c r="J13" s="1781"/>
      <c r="K13" s="1614"/>
      <c r="L13" s="1614"/>
      <c r="M13" s="1614"/>
      <c r="N13" s="1614"/>
      <c r="O13" s="1786"/>
      <c r="T13" s="1621"/>
      <c r="U13" s="1621"/>
      <c r="V13" s="1621"/>
      <c r="W13" s="1621"/>
      <c r="AE13" s="1611"/>
      <c r="AF13" s="1611"/>
    </row>
    <row r="14" spans="1:32" ht="16.05" customHeight="1">
      <c r="B14" s="1807" t="s">
        <v>132</v>
      </c>
      <c r="C14" s="1807"/>
      <c r="D14" s="1776">
        <f>C6</f>
        <v>6</v>
      </c>
      <c r="E14" s="1776"/>
      <c r="G14" s="1622"/>
      <c r="H14" s="1622"/>
      <c r="I14" s="1622"/>
      <c r="J14" s="1614"/>
      <c r="K14" s="1614"/>
      <c r="L14" s="1614"/>
      <c r="M14" s="1614"/>
      <c r="N14" s="1620"/>
      <c r="O14" s="1621"/>
      <c r="T14" s="1786"/>
      <c r="U14" s="1786"/>
      <c r="V14" s="1786"/>
      <c r="W14" s="1621"/>
      <c r="AE14" s="1611"/>
      <c r="AF14" s="1611"/>
    </row>
    <row r="15" spans="1:32" ht="16.05" customHeight="1">
      <c r="C15" s="1623"/>
      <c r="D15" s="1616"/>
      <c r="G15" s="1781"/>
      <c r="H15" s="1781"/>
      <c r="I15" s="1781"/>
      <c r="J15" s="1614"/>
      <c r="K15" s="1614"/>
      <c r="L15" s="1614"/>
      <c r="M15" s="1614"/>
      <c r="N15" s="1784"/>
      <c r="O15" s="1781"/>
      <c r="T15" s="1621"/>
      <c r="U15" s="1621"/>
      <c r="V15" s="1621"/>
      <c r="W15" s="1621"/>
      <c r="AE15" s="1611"/>
      <c r="AF15" s="1611"/>
    </row>
    <row r="16" spans="1:32" ht="16.05" customHeight="1">
      <c r="B16" s="1800" t="s">
        <v>1477</v>
      </c>
      <c r="C16" s="1801"/>
      <c r="D16" s="1801"/>
      <c r="E16" s="1801"/>
      <c r="F16" s="1802"/>
      <c r="G16" s="1781"/>
      <c r="H16" s="1781"/>
      <c r="I16" s="1781"/>
      <c r="N16" s="1784"/>
      <c r="O16" s="1781"/>
      <c r="T16" s="1621"/>
      <c r="U16" s="1621"/>
      <c r="V16" s="1621"/>
      <c r="W16" s="1621"/>
    </row>
    <row r="17" spans="2:29" ht="16.05" customHeight="1">
      <c r="B17" s="1804" t="s">
        <v>1185</v>
      </c>
      <c r="C17" s="1805"/>
      <c r="D17" s="1805"/>
      <c r="E17" s="1805"/>
      <c r="F17" s="1806"/>
      <c r="G17" s="1787"/>
      <c r="H17" s="1787"/>
      <c r="I17" s="1787"/>
      <c r="N17" s="1620"/>
      <c r="O17" s="1622"/>
    </row>
    <row r="18" spans="2:29" ht="16.05" customHeight="1">
      <c r="G18" s="1781"/>
      <c r="H18" s="1781"/>
      <c r="I18" s="1781"/>
      <c r="N18" s="1784"/>
      <c r="O18" s="1781"/>
    </row>
    <row r="19" spans="2:29" ht="16.05" customHeight="1">
      <c r="G19" s="1781"/>
      <c r="H19" s="1781"/>
      <c r="I19" s="1781"/>
      <c r="N19" s="1784"/>
      <c r="O19" s="1781"/>
      <c r="T19" s="1617"/>
    </row>
    <row r="20" spans="2:29" ht="16.05" customHeight="1">
      <c r="G20" s="1622"/>
      <c r="H20" s="1622"/>
      <c r="I20" s="1622"/>
      <c r="J20" s="1622"/>
      <c r="O20" s="1622"/>
    </row>
    <row r="21" spans="2:29" ht="16.05" customHeight="1">
      <c r="G21" s="1783"/>
      <c r="H21" s="1783"/>
      <c r="I21" s="1783"/>
      <c r="J21" s="1622"/>
      <c r="N21" s="1784"/>
      <c r="O21" s="1781"/>
    </row>
    <row r="22" spans="2:29" ht="16.05" customHeight="1">
      <c r="G22" s="1783"/>
      <c r="H22" s="1783"/>
      <c r="I22" s="1783"/>
      <c r="N22" s="1784"/>
      <c r="O22" s="1781"/>
      <c r="P22" s="1624"/>
      <c r="Y22" s="1620"/>
      <c r="Z22" s="1782"/>
      <c r="AA22" s="1782"/>
      <c r="AB22" s="1782"/>
      <c r="AC22" s="1782"/>
    </row>
    <row r="23" spans="2:29" ht="16.5" customHeight="1">
      <c r="H23" s="1616"/>
      <c r="N23" s="1784"/>
      <c r="O23" s="1781"/>
      <c r="P23" s="1624"/>
      <c r="Y23" s="1620"/>
      <c r="Z23" s="1782"/>
      <c r="AA23" s="1782"/>
      <c r="AB23" s="1782"/>
      <c r="AC23" s="1782"/>
    </row>
    <row r="24" spans="2:29" ht="16.5" customHeight="1">
      <c r="Y24" s="1620"/>
      <c r="Z24" s="1782"/>
      <c r="AA24" s="1782"/>
      <c r="AB24" s="1782"/>
      <c r="AC24" s="1782"/>
    </row>
    <row r="25" spans="2:29" hidden="1">
      <c r="C25" s="1625" t="s">
        <v>207</v>
      </c>
      <c r="D25" s="1774" t="s">
        <v>1367</v>
      </c>
      <c r="E25" s="1774"/>
      <c r="F25" s="1774"/>
      <c r="G25" s="1774"/>
      <c r="H25" s="1774"/>
      <c r="I25" s="1774"/>
      <c r="J25" s="1774"/>
      <c r="K25" s="1774"/>
      <c r="L25" s="1774"/>
      <c r="M25" s="1774"/>
      <c r="N25" s="1774"/>
      <c r="O25" s="1774"/>
      <c r="P25" s="1774"/>
      <c r="Q25" s="1774"/>
      <c r="R25" s="1774"/>
      <c r="S25" s="1774"/>
      <c r="T25" s="1774"/>
      <c r="U25" s="1774"/>
      <c r="V25" s="1774"/>
      <c r="W25" s="1774"/>
      <c r="X25" s="1774"/>
      <c r="Y25" s="1774"/>
      <c r="Z25" s="1774"/>
    </row>
    <row r="26" spans="2:29" ht="18" hidden="1" customHeight="1">
      <c r="C26" s="1626"/>
      <c r="D26" s="1773" t="s">
        <v>1368</v>
      </c>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row>
    <row r="27" spans="2:29" ht="18" hidden="1" customHeight="1">
      <c r="C27" s="1626"/>
      <c r="D27" s="1627" t="s">
        <v>219</v>
      </c>
      <c r="E27" s="1628"/>
      <c r="F27" s="1628"/>
      <c r="G27" s="1628"/>
      <c r="H27" s="1628"/>
      <c r="I27" s="1628"/>
      <c r="J27" s="1628"/>
      <c r="K27" s="1628"/>
      <c r="L27" s="1628"/>
      <c r="M27" s="1628"/>
      <c r="N27" s="1628"/>
      <c r="O27" s="1628"/>
      <c r="P27" s="1628"/>
      <c r="Q27" s="1628"/>
      <c r="R27" s="1628"/>
      <c r="S27" s="1628"/>
      <c r="T27" s="1628"/>
      <c r="U27" s="1628"/>
      <c r="V27" s="1628"/>
      <c r="W27" s="1628"/>
      <c r="X27" s="1628"/>
      <c r="Y27" s="1620"/>
      <c r="Z27" s="1629"/>
    </row>
    <row r="28" spans="2:29" ht="15.6" hidden="1">
      <c r="C28" s="1625" t="s">
        <v>204</v>
      </c>
      <c r="D28" s="1775"/>
      <c r="E28" s="1775"/>
      <c r="F28" s="1775"/>
      <c r="G28" s="1775"/>
      <c r="H28" s="1775"/>
      <c r="I28" s="1775"/>
      <c r="J28" s="1775"/>
      <c r="K28" s="1775"/>
      <c r="L28" s="1775"/>
      <c r="M28" s="1775"/>
      <c r="N28" s="1775"/>
      <c r="O28" s="1775"/>
      <c r="P28" s="1775"/>
      <c r="Q28" s="1775"/>
      <c r="R28" s="1775"/>
      <c r="S28" s="1775"/>
      <c r="T28" s="1775"/>
      <c r="U28" s="1775"/>
      <c r="V28" s="1775"/>
      <c r="W28" s="1775"/>
      <c r="X28" s="1775"/>
      <c r="Y28" s="1775"/>
      <c r="Z28" s="1775"/>
    </row>
    <row r="29" spans="2:29" ht="18" hidden="1">
      <c r="C29" s="1626"/>
      <c r="D29" s="1772" t="s">
        <v>220</v>
      </c>
      <c r="E29" s="1772"/>
      <c r="F29" s="1772"/>
      <c r="G29" s="1772"/>
      <c r="H29" s="1772"/>
      <c r="I29" s="1772"/>
      <c r="J29" s="1772"/>
      <c r="K29" s="1772"/>
      <c r="L29" s="1772"/>
      <c r="M29" s="1772"/>
      <c r="N29" s="1772"/>
      <c r="O29" s="1772"/>
      <c r="P29" s="1772"/>
      <c r="Q29" s="1772"/>
      <c r="R29" s="1772"/>
      <c r="S29" s="1772"/>
      <c r="T29" s="1772"/>
      <c r="U29" s="1772"/>
      <c r="V29" s="1772"/>
      <c r="W29" s="1772"/>
      <c r="X29" s="1772"/>
      <c r="Y29" s="1772"/>
      <c r="Z29" s="1772"/>
    </row>
    <row r="30" spans="2:29" ht="18" hidden="1">
      <c r="C30" s="1626"/>
      <c r="D30" s="1772" t="s">
        <v>1056</v>
      </c>
      <c r="E30" s="1772"/>
      <c r="F30" s="1772"/>
      <c r="G30" s="1772"/>
      <c r="H30" s="1772"/>
      <c r="I30" s="1772"/>
      <c r="J30" s="1772"/>
      <c r="K30" s="1772"/>
      <c r="L30" s="1772"/>
      <c r="M30" s="1772"/>
      <c r="N30" s="1772"/>
      <c r="O30" s="1772"/>
      <c r="P30" s="1772"/>
      <c r="Q30" s="1772"/>
      <c r="R30" s="1772"/>
      <c r="S30" s="1772"/>
      <c r="T30" s="1772"/>
      <c r="U30" s="1772"/>
      <c r="V30" s="1772"/>
      <c r="W30" s="1772"/>
      <c r="X30" s="1772"/>
      <c r="Y30" s="1772"/>
      <c r="Z30" s="1772"/>
    </row>
    <row r="31" spans="2:29" ht="18" hidden="1">
      <c r="C31" s="1626"/>
      <c r="D31" s="1772" t="s">
        <v>972</v>
      </c>
      <c r="E31" s="1772"/>
      <c r="F31" s="1772"/>
      <c r="G31" s="1772"/>
      <c r="H31" s="1772"/>
      <c r="I31" s="1772"/>
      <c r="J31" s="1772"/>
      <c r="K31" s="1772"/>
      <c r="L31" s="1772"/>
      <c r="M31" s="1772"/>
      <c r="N31" s="1772"/>
      <c r="O31" s="1772"/>
      <c r="P31" s="1772"/>
      <c r="Q31" s="1772"/>
      <c r="R31" s="1772"/>
      <c r="S31" s="1772"/>
      <c r="T31" s="1772"/>
      <c r="U31" s="1772"/>
      <c r="V31" s="1772"/>
      <c r="W31" s="1772"/>
      <c r="X31" s="1772"/>
      <c r="Y31" s="1772"/>
      <c r="Z31" s="1772"/>
    </row>
    <row r="32" spans="2:29" ht="18" hidden="1">
      <c r="C32" s="1626"/>
      <c r="D32" s="1772" t="s">
        <v>1057</v>
      </c>
      <c r="E32" s="1772"/>
      <c r="F32" s="1772"/>
      <c r="G32" s="1772"/>
      <c r="H32" s="1772"/>
      <c r="I32" s="1772"/>
      <c r="J32" s="1772"/>
      <c r="K32" s="1772"/>
      <c r="L32" s="1772"/>
      <c r="M32" s="1772"/>
      <c r="N32" s="1772"/>
      <c r="O32" s="1772"/>
      <c r="P32" s="1772"/>
      <c r="Q32" s="1772"/>
      <c r="R32" s="1772"/>
      <c r="S32" s="1772"/>
      <c r="T32" s="1772"/>
      <c r="U32" s="1772"/>
      <c r="V32" s="1772"/>
      <c r="W32" s="1772"/>
      <c r="X32" s="1772"/>
      <c r="Y32" s="1772"/>
      <c r="Z32" s="1772"/>
    </row>
    <row r="33" spans="3:26" ht="18" hidden="1">
      <c r="C33" s="1626"/>
      <c r="D33" s="1772" t="s">
        <v>1058</v>
      </c>
      <c r="E33" s="1772"/>
      <c r="F33" s="1772"/>
      <c r="G33" s="1772"/>
      <c r="H33" s="1772"/>
      <c r="I33" s="1772"/>
      <c r="J33" s="1772"/>
      <c r="K33" s="1772"/>
      <c r="L33" s="1772"/>
      <c r="M33" s="1772"/>
      <c r="N33" s="1772"/>
      <c r="O33" s="1772"/>
      <c r="P33" s="1772"/>
      <c r="Q33" s="1772"/>
      <c r="R33" s="1772"/>
      <c r="S33" s="1772"/>
      <c r="T33" s="1772"/>
      <c r="U33" s="1772"/>
      <c r="V33" s="1772"/>
      <c r="W33" s="1772"/>
      <c r="X33" s="1772"/>
      <c r="Y33" s="1772"/>
      <c r="Z33" s="1772"/>
    </row>
    <row r="34" spans="3:26" hidden="1">
      <c r="D34" s="1772" t="s">
        <v>1059</v>
      </c>
      <c r="E34" s="1772"/>
      <c r="F34" s="1772"/>
      <c r="G34" s="1772"/>
      <c r="H34" s="1772"/>
      <c r="I34" s="1772"/>
      <c r="J34" s="1772"/>
      <c r="K34" s="1772"/>
      <c r="L34" s="1772"/>
      <c r="M34" s="1772"/>
      <c r="N34" s="1772"/>
      <c r="O34" s="1772"/>
      <c r="P34" s="1772"/>
      <c r="Q34" s="1772"/>
      <c r="R34" s="1772"/>
      <c r="S34" s="1772"/>
      <c r="T34" s="1772"/>
      <c r="U34" s="1772"/>
      <c r="V34" s="1772"/>
      <c r="W34" s="1772"/>
      <c r="X34" s="1772"/>
      <c r="Y34" s="1772"/>
      <c r="Z34" s="1772"/>
    </row>
    <row r="35" spans="3:26" hidden="1">
      <c r="D35" s="1772" t="s">
        <v>276</v>
      </c>
      <c r="E35" s="1772"/>
      <c r="F35" s="1772"/>
      <c r="G35" s="1772"/>
      <c r="H35" s="1772" t="s">
        <v>29</v>
      </c>
      <c r="I35" s="1772"/>
      <c r="J35" s="1772"/>
      <c r="K35" s="1772"/>
      <c r="L35" s="1772"/>
      <c r="M35" s="1772"/>
      <c r="N35" s="1772"/>
      <c r="O35" s="1772"/>
      <c r="P35" s="1772"/>
      <c r="Q35" s="1772"/>
      <c r="R35" s="1772"/>
      <c r="S35" s="1772"/>
      <c r="T35" s="1772"/>
      <c r="U35" s="1772"/>
      <c r="V35" s="1772"/>
      <c r="W35" s="1772"/>
      <c r="X35" s="1772"/>
      <c r="Y35" s="1772"/>
      <c r="Z35" s="1772"/>
    </row>
    <row r="36" spans="3:26" hidden="1">
      <c r="D36" s="1772" t="s">
        <v>337</v>
      </c>
      <c r="E36" s="1772"/>
      <c r="F36" s="1772"/>
      <c r="G36" s="1772"/>
      <c r="H36" s="1772" t="s">
        <v>29</v>
      </c>
      <c r="I36" s="1772"/>
      <c r="J36" s="1772"/>
      <c r="K36" s="1772"/>
      <c r="L36" s="1772"/>
      <c r="M36" s="1772"/>
      <c r="N36" s="1772"/>
      <c r="O36" s="1772"/>
      <c r="P36" s="1772"/>
      <c r="Q36" s="1772"/>
      <c r="R36" s="1772"/>
      <c r="S36" s="1772"/>
      <c r="T36" s="1772"/>
      <c r="U36" s="1772"/>
      <c r="V36" s="1772"/>
      <c r="W36" s="1772"/>
      <c r="X36" s="1772"/>
      <c r="Y36" s="1772"/>
      <c r="Z36" s="1772"/>
    </row>
    <row r="37" spans="3:26" hidden="1">
      <c r="D37" s="1772" t="s">
        <v>338</v>
      </c>
      <c r="E37" s="1772"/>
      <c r="F37" s="1772"/>
      <c r="G37" s="1772"/>
      <c r="H37" s="1772" t="s">
        <v>29</v>
      </c>
      <c r="I37" s="1772"/>
      <c r="J37" s="1772"/>
      <c r="K37" s="1772"/>
      <c r="L37" s="1772"/>
      <c r="M37" s="1772"/>
      <c r="N37" s="1772"/>
      <c r="O37" s="1772"/>
      <c r="P37" s="1772"/>
      <c r="Q37" s="1772"/>
      <c r="R37" s="1772"/>
      <c r="S37" s="1772"/>
      <c r="T37" s="1772"/>
      <c r="U37" s="1772"/>
      <c r="V37" s="1772"/>
      <c r="W37" s="1772"/>
      <c r="X37" s="1772"/>
      <c r="Y37" s="1772"/>
      <c r="Z37" s="1772"/>
    </row>
    <row r="38" spans="3:26" hidden="1">
      <c r="D38" s="1772" t="s">
        <v>366</v>
      </c>
      <c r="E38" s="1772"/>
      <c r="F38" s="1772"/>
      <c r="G38" s="1772"/>
      <c r="H38" s="1772" t="s">
        <v>29</v>
      </c>
      <c r="I38" s="1772"/>
      <c r="J38" s="1772"/>
      <c r="K38" s="1772"/>
      <c r="L38" s="1772"/>
      <c r="M38" s="1772"/>
      <c r="N38" s="1772"/>
      <c r="O38" s="1772"/>
      <c r="P38" s="1772"/>
      <c r="Q38" s="1772"/>
      <c r="R38" s="1772"/>
      <c r="S38" s="1772"/>
      <c r="T38" s="1772"/>
      <c r="U38" s="1772"/>
      <c r="V38" s="1772"/>
      <c r="W38" s="1772"/>
      <c r="X38" s="1772"/>
      <c r="Y38" s="1772"/>
      <c r="Z38" s="1772"/>
    </row>
    <row r="39" spans="3:26" hidden="1">
      <c r="D39" s="1772" t="s">
        <v>973</v>
      </c>
      <c r="E39" s="1772"/>
      <c r="F39" s="1772"/>
      <c r="G39" s="1772"/>
      <c r="H39" s="1772"/>
      <c r="I39" s="1772"/>
      <c r="J39" s="1772"/>
      <c r="K39" s="1772"/>
      <c r="L39" s="1772"/>
      <c r="M39" s="1772"/>
      <c r="N39" s="1772"/>
      <c r="O39" s="1772"/>
      <c r="P39" s="1772"/>
      <c r="Q39" s="1772"/>
      <c r="R39" s="1772"/>
      <c r="S39" s="1772"/>
      <c r="T39" s="1772"/>
      <c r="U39" s="1772"/>
      <c r="V39" s="1772"/>
      <c r="W39" s="1772"/>
      <c r="X39" s="1772"/>
      <c r="Y39" s="1772"/>
      <c r="Z39" s="1772"/>
    </row>
    <row r="40" spans="3:26" hidden="1">
      <c r="D40" s="1772" t="s">
        <v>974</v>
      </c>
      <c r="E40" s="1772"/>
      <c r="F40" s="1772"/>
      <c r="G40" s="1772"/>
      <c r="H40" s="1772"/>
      <c r="I40" s="1772"/>
      <c r="J40" s="1772"/>
      <c r="K40" s="1772"/>
      <c r="L40" s="1772"/>
      <c r="M40" s="1772"/>
      <c r="N40" s="1772"/>
      <c r="O40" s="1772"/>
      <c r="P40" s="1772"/>
      <c r="Q40" s="1772"/>
      <c r="R40" s="1772"/>
      <c r="S40" s="1772"/>
      <c r="T40" s="1772"/>
      <c r="U40" s="1772"/>
      <c r="V40" s="1772"/>
      <c r="W40" s="1772"/>
      <c r="X40" s="1772"/>
      <c r="Y40" s="1772"/>
      <c r="Z40" s="1772"/>
    </row>
    <row r="41" spans="3:26" hidden="1">
      <c r="D41" s="1772" t="s">
        <v>975</v>
      </c>
      <c r="E41" s="1772"/>
      <c r="F41" s="1772"/>
      <c r="G41" s="1772"/>
      <c r="H41" s="1772"/>
      <c r="I41" s="1772"/>
      <c r="J41" s="1772"/>
      <c r="K41" s="1772"/>
      <c r="L41" s="1772"/>
      <c r="M41" s="1772"/>
      <c r="N41" s="1772"/>
      <c r="O41" s="1772"/>
      <c r="P41" s="1772"/>
      <c r="Q41" s="1772"/>
      <c r="R41" s="1772"/>
      <c r="S41" s="1772"/>
      <c r="T41" s="1772"/>
      <c r="U41" s="1772"/>
      <c r="V41" s="1772"/>
      <c r="W41" s="1772"/>
      <c r="X41" s="1772"/>
      <c r="Y41" s="1772"/>
      <c r="Z41" s="1772"/>
    </row>
    <row r="42" spans="3:26" hidden="1">
      <c r="D42" s="1772" t="s">
        <v>1183</v>
      </c>
      <c r="E42" s="1772"/>
      <c r="F42" s="1772"/>
      <c r="G42" s="1772"/>
      <c r="H42" s="1772"/>
      <c r="I42" s="1772"/>
      <c r="J42" s="1772"/>
      <c r="K42" s="1772"/>
      <c r="L42" s="1772"/>
      <c r="M42" s="1772"/>
      <c r="N42" s="1772"/>
      <c r="O42" s="1772"/>
      <c r="P42" s="1772"/>
      <c r="Q42" s="1772"/>
      <c r="R42" s="1772"/>
      <c r="S42" s="1772"/>
      <c r="T42" s="1772"/>
      <c r="U42" s="1772"/>
      <c r="V42" s="1772"/>
      <c r="W42" s="1772"/>
      <c r="X42" s="1772"/>
      <c r="Y42" s="1772"/>
      <c r="Z42" s="1772"/>
    </row>
    <row r="43" spans="3:26" ht="15.6" hidden="1">
      <c r="D43" s="1775"/>
      <c r="E43" s="1775"/>
      <c r="F43" s="1775"/>
      <c r="G43" s="1775"/>
      <c r="H43" s="1775"/>
      <c r="I43" s="1775"/>
      <c r="J43" s="1775"/>
      <c r="K43" s="1775"/>
      <c r="L43" s="1775"/>
      <c r="M43" s="1775"/>
      <c r="N43" s="1775"/>
      <c r="O43" s="1775"/>
      <c r="P43" s="1775"/>
      <c r="Q43" s="1775"/>
      <c r="R43" s="1775"/>
      <c r="S43" s="1775"/>
      <c r="T43" s="1775"/>
      <c r="U43" s="1775"/>
      <c r="V43" s="1775"/>
      <c r="W43" s="1775"/>
      <c r="X43" s="1775"/>
      <c r="Y43" s="1775"/>
      <c r="Z43" s="1775"/>
    </row>
    <row r="44" spans="3:26" hidden="1">
      <c r="C44" s="1630" t="s">
        <v>1369</v>
      </c>
      <c r="D44" s="1772" t="s">
        <v>277</v>
      </c>
      <c r="E44" s="1772"/>
      <c r="F44" s="1772"/>
      <c r="G44" s="1772"/>
      <c r="H44" s="1772"/>
      <c r="I44" s="1772"/>
      <c r="J44" s="1772"/>
      <c r="K44" s="1772"/>
      <c r="L44" s="1772"/>
      <c r="M44" s="1772"/>
      <c r="N44" s="1772"/>
      <c r="O44" s="1772"/>
      <c r="P44" s="1772"/>
      <c r="Q44" s="1772"/>
      <c r="R44" s="1772"/>
      <c r="S44" s="1772"/>
      <c r="T44" s="1772"/>
      <c r="U44" s="1772"/>
      <c r="V44" s="1772"/>
      <c r="W44" s="1772"/>
      <c r="X44" s="1772"/>
      <c r="Y44" s="1772"/>
      <c r="Z44" s="1772"/>
    </row>
    <row r="45" spans="3:26" hidden="1">
      <c r="D45" s="1772" t="s">
        <v>367</v>
      </c>
      <c r="E45" s="1772"/>
      <c r="F45" s="1772"/>
      <c r="G45" s="1772"/>
      <c r="H45" s="1772"/>
      <c r="I45" s="1772"/>
      <c r="J45" s="1772"/>
      <c r="K45" s="1772"/>
      <c r="L45" s="1772"/>
      <c r="M45" s="1772"/>
      <c r="N45" s="1772"/>
      <c r="O45" s="1772"/>
      <c r="P45" s="1772"/>
      <c r="Q45" s="1772"/>
      <c r="R45" s="1772"/>
      <c r="S45" s="1772"/>
      <c r="T45" s="1772"/>
      <c r="U45" s="1772"/>
      <c r="V45" s="1772"/>
      <c r="W45" s="1772"/>
      <c r="X45" s="1772"/>
      <c r="Y45" s="1772"/>
      <c r="Z45" s="1772"/>
    </row>
    <row r="46" spans="3:26" ht="18" hidden="1">
      <c r="C46" s="1628"/>
    </row>
    <row r="47" spans="3:26" hidden="1"/>
    <row r="48" spans="3:26" hidden="1"/>
    <row r="49" hidden="1"/>
    <row r="50" hidden="1"/>
    <row r="51" hidden="1"/>
    <row r="52" hidden="1"/>
    <row r="53" hidden="1"/>
    <row r="54" hidden="1"/>
    <row r="55" hidden="1"/>
    <row r="56" hidden="1"/>
    <row r="57" hidden="1"/>
    <row r="58" hidden="1"/>
    <row r="78" spans="10:10" hidden="1"/>
    <row r="79" spans="10:10" hidden="1">
      <c r="J79" s="1631" t="s">
        <v>865</v>
      </c>
    </row>
    <row r="80" spans="10:10" hidden="1">
      <c r="J80" s="1631" t="s">
        <v>1325</v>
      </c>
    </row>
    <row r="81" spans="10:13" hidden="1">
      <c r="J81" s="1631" t="s">
        <v>1187</v>
      </c>
    </row>
    <row r="82" spans="10:13" hidden="1">
      <c r="J82" s="1631" t="s">
        <v>809</v>
      </c>
    </row>
    <row r="83" spans="10:13" hidden="1">
      <c r="J83" s="1631" t="s">
        <v>1185</v>
      </c>
      <c r="L83" s="1771"/>
      <c r="M83" s="1771"/>
    </row>
  </sheetData>
  <mergeCells count="68">
    <mergeCell ref="B14:C14"/>
    <mergeCell ref="B12:C12"/>
    <mergeCell ref="B13:C13"/>
    <mergeCell ref="D12:E12"/>
    <mergeCell ref="D14:E14"/>
    <mergeCell ref="D13:E13"/>
    <mergeCell ref="G17:I17"/>
    <mergeCell ref="S5:V5"/>
    <mergeCell ref="T8:U8"/>
    <mergeCell ref="D30:Z30"/>
    <mergeCell ref="G15:I16"/>
    <mergeCell ref="G18:I19"/>
    <mergeCell ref="O21:O23"/>
    <mergeCell ref="D29:Z29"/>
    <mergeCell ref="B16:F16"/>
    <mergeCell ref="O15:O16"/>
    <mergeCell ref="B5:D5"/>
    <mergeCell ref="B17:F17"/>
    <mergeCell ref="I5:J5"/>
    <mergeCell ref="I6:J6"/>
    <mergeCell ref="N15:N16"/>
    <mergeCell ref="B11:E11"/>
    <mergeCell ref="G1:R1"/>
    <mergeCell ref="O7:O9"/>
    <mergeCell ref="O12:O13"/>
    <mergeCell ref="T14:V14"/>
    <mergeCell ref="G11:I11"/>
    <mergeCell ref="K5:L5"/>
    <mergeCell ref="K6:L6"/>
    <mergeCell ref="I2:P2"/>
    <mergeCell ref="I3:P3"/>
    <mergeCell ref="I7:J7"/>
    <mergeCell ref="K7:L7"/>
    <mergeCell ref="M6:O6"/>
    <mergeCell ref="T11:W12"/>
    <mergeCell ref="G12:J13"/>
    <mergeCell ref="D39:Z39"/>
    <mergeCell ref="D32:Z32"/>
    <mergeCell ref="O18:O19"/>
    <mergeCell ref="Z22:AC24"/>
    <mergeCell ref="G21:I22"/>
    <mergeCell ref="N18:N19"/>
    <mergeCell ref="N21:N23"/>
    <mergeCell ref="D31:Z31"/>
    <mergeCell ref="C6:D6"/>
    <mergeCell ref="C7:D7"/>
    <mergeCell ref="C8:D8"/>
    <mergeCell ref="V9:V10"/>
    <mergeCell ref="T9:U9"/>
    <mergeCell ref="T10:U10"/>
    <mergeCell ref="T6:U6"/>
    <mergeCell ref="T7:U7"/>
    <mergeCell ref="L83:M83"/>
    <mergeCell ref="D45:Z45"/>
    <mergeCell ref="D26:Z26"/>
    <mergeCell ref="D37:Z37"/>
    <mergeCell ref="D25:Z25"/>
    <mergeCell ref="D35:Z35"/>
    <mergeCell ref="D28:Z28"/>
    <mergeCell ref="D34:Z34"/>
    <mergeCell ref="D36:Z36"/>
    <mergeCell ref="D33:Z33"/>
    <mergeCell ref="D43:Z43"/>
    <mergeCell ref="D44:Z44"/>
    <mergeCell ref="D38:Z38"/>
    <mergeCell ref="D42:Z42"/>
    <mergeCell ref="D41:Z41"/>
    <mergeCell ref="D40:Z40"/>
  </mergeCells>
  <dataValidations count="3">
    <dataValidation type="list" allowBlank="1" showInputMessage="1" showErrorMessage="1" sqref="J79 J81:J82" xr:uid="{00000000-0002-0000-0000-000000000000}">
      <formula1>$J$79:$J$82</formula1>
    </dataValidation>
    <dataValidation type="list" allowBlank="1" showInputMessage="1" showErrorMessage="1" sqref="J83 B17" xr:uid="{00000000-0002-0000-0000-000001000000}">
      <formula1>$J$79:$J$83</formula1>
    </dataValidation>
    <dataValidation type="list" allowBlank="1" showInputMessage="1" showErrorMessage="1" sqref="J80" xr:uid="{00000000-0002-0000-0000-000002000000}">
      <formula1>$AC$1:$AC$4</formula1>
    </dataValidation>
  </dataValidations>
  <pageMargins left="0.70866141732283472" right="0.70866141732283472" top="0.74803149606299213" bottom="0.74803149606299213" header="0.31496062992125984" footer="0.31496062992125984"/>
  <pageSetup scale="80" fitToWidth="0" fitToHeight="0"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249977111117893"/>
  </sheetPr>
  <dimension ref="A1:EI490"/>
  <sheetViews>
    <sheetView zoomScale="80" zoomScaleNormal="80" zoomScaleSheetLayoutView="50" workbookViewId="0">
      <pane xSplit="1" ySplit="1" topLeftCell="M110" activePane="bottomRight" state="frozen"/>
      <selection activeCell="B24" sqref="B24"/>
      <selection pane="topRight" activeCell="B24" sqref="B24"/>
      <selection pane="bottomLeft" activeCell="B24" sqref="B24"/>
      <selection pane="bottomRight" activeCell="M165" sqref="M165"/>
    </sheetView>
  </sheetViews>
  <sheetFormatPr baseColWidth="10" defaultColWidth="9.21875" defaultRowHeight="14.4"/>
  <cols>
    <col min="1" max="1" width="11.77734375" style="22" customWidth="1"/>
    <col min="2" max="4" width="11.6640625" style="22" customWidth="1"/>
    <col min="5" max="5" width="11.6640625" style="1278" customWidth="1"/>
    <col min="6" max="9" width="11.6640625" style="22" customWidth="1"/>
    <col min="10" max="10" width="9.33203125" style="22" customWidth="1"/>
    <col min="11" max="11" width="12.88671875" style="22" customWidth="1"/>
    <col min="12" max="12" width="13.88671875" style="22" customWidth="1"/>
    <col min="13" max="13" width="9.21875" style="22" bestFit="1" customWidth="1"/>
    <col min="14" max="24" width="11.6640625" style="22" customWidth="1"/>
    <col min="25" max="25" width="9.88671875" style="22" customWidth="1"/>
    <col min="26" max="26" width="8.21875" style="22" hidden="1" customWidth="1"/>
    <col min="27" max="27" width="8.6640625" style="22" hidden="1" customWidth="1"/>
    <col min="28" max="28" width="12.21875" style="22" bestFit="1" customWidth="1"/>
    <col min="29" max="29" width="11.6640625" style="22" customWidth="1"/>
    <col min="30" max="30" width="10.109375" style="22" customWidth="1"/>
    <col min="31" max="31" width="8.21875" style="22" hidden="1" customWidth="1"/>
    <col min="32" max="32" width="0.21875" style="403" hidden="1" customWidth="1"/>
    <col min="33" max="33" width="11.21875" style="22" bestFit="1" customWidth="1"/>
    <col min="34" max="34" width="10.21875" style="22" bestFit="1" customWidth="1"/>
    <col min="35" max="45" width="11.6640625" style="22" customWidth="1"/>
    <col min="46" max="46" width="6.6640625" style="22" hidden="1" customWidth="1"/>
    <col min="47" max="55" width="11.6640625" style="22" customWidth="1"/>
    <col min="56" max="56" width="11.6640625" style="1750" customWidth="1"/>
    <col min="57" max="62" width="11.6640625" style="22" customWidth="1"/>
    <col min="63" max="66" width="11.6640625" customWidth="1"/>
    <col min="67" max="84" width="11.6640625" style="22" customWidth="1"/>
    <col min="85" max="85" width="11.6640625" style="948" customWidth="1"/>
    <col min="86" max="263" width="9.21875" style="22"/>
    <col min="264" max="264" width="24.5546875" style="22" bestFit="1" customWidth="1"/>
    <col min="265" max="265" width="15.44140625" style="22" bestFit="1" customWidth="1"/>
    <col min="266" max="266" width="10.21875" style="22" bestFit="1" customWidth="1"/>
    <col min="267" max="297" width="10.21875" style="22" customWidth="1"/>
    <col min="298" max="301" width="8.44140625" style="22" customWidth="1"/>
    <col min="302" max="302" width="10.21875" style="22" customWidth="1"/>
    <col min="303" max="307" width="10" style="22" customWidth="1"/>
    <col min="308" max="519" width="9.21875" style="22"/>
    <col min="520" max="520" width="24.5546875" style="22" bestFit="1" customWidth="1"/>
    <col min="521" max="521" width="15.44140625" style="22" bestFit="1" customWidth="1"/>
    <col min="522" max="522" width="10.21875" style="22" bestFit="1" customWidth="1"/>
    <col min="523" max="553" width="10.21875" style="22" customWidth="1"/>
    <col min="554" max="557" width="8.44140625" style="22" customWidth="1"/>
    <col min="558" max="558" width="10.21875" style="22" customWidth="1"/>
    <col min="559" max="563" width="10" style="22" customWidth="1"/>
    <col min="564" max="775" width="9.21875" style="22"/>
    <col min="776" max="776" width="24.5546875" style="22" bestFit="1" customWidth="1"/>
    <col min="777" max="777" width="15.44140625" style="22" bestFit="1" customWidth="1"/>
    <col min="778" max="778" width="10.21875" style="22" bestFit="1" customWidth="1"/>
    <col min="779" max="809" width="10.21875" style="22" customWidth="1"/>
    <col min="810" max="813" width="8.44140625" style="22" customWidth="1"/>
    <col min="814" max="814" width="10.21875" style="22" customWidth="1"/>
    <col min="815" max="819" width="10" style="22" customWidth="1"/>
    <col min="820" max="1031" width="9.21875" style="22"/>
    <col min="1032" max="1032" width="24.5546875" style="22" bestFit="1" customWidth="1"/>
    <col min="1033" max="1033" width="15.44140625" style="22" bestFit="1" customWidth="1"/>
    <col min="1034" max="1034" width="10.21875" style="22" bestFit="1" customWidth="1"/>
    <col min="1035" max="1065" width="10.21875" style="22" customWidth="1"/>
    <col min="1066" max="1069" width="8.44140625" style="22" customWidth="1"/>
    <col min="1070" max="1070" width="10.21875" style="22" customWidth="1"/>
    <col min="1071" max="1075" width="10" style="22" customWidth="1"/>
    <col min="1076" max="1287" width="9.21875" style="22"/>
    <col min="1288" max="1288" width="24.5546875" style="22" bestFit="1" customWidth="1"/>
    <col min="1289" max="1289" width="15.44140625" style="22" bestFit="1" customWidth="1"/>
    <col min="1290" max="1290" width="10.21875" style="22" bestFit="1" customWidth="1"/>
    <col min="1291" max="1321" width="10.21875" style="22" customWidth="1"/>
    <col min="1322" max="1325" width="8.44140625" style="22" customWidth="1"/>
    <col min="1326" max="1326" width="10.21875" style="22" customWidth="1"/>
    <col min="1327" max="1331" width="10" style="22" customWidth="1"/>
    <col min="1332" max="1543" width="9.21875" style="22"/>
    <col min="1544" max="1544" width="24.5546875" style="22" bestFit="1" customWidth="1"/>
    <col min="1545" max="1545" width="15.44140625" style="22" bestFit="1" customWidth="1"/>
    <col min="1546" max="1546" width="10.21875" style="22" bestFit="1" customWidth="1"/>
    <col min="1547" max="1577" width="10.21875" style="22" customWidth="1"/>
    <col min="1578" max="1581" width="8.44140625" style="22" customWidth="1"/>
    <col min="1582" max="1582" width="10.21875" style="22" customWidth="1"/>
    <col min="1583" max="1587" width="10" style="22" customWidth="1"/>
    <col min="1588" max="1799" width="9.21875" style="22"/>
    <col min="1800" max="1800" width="24.5546875" style="22" bestFit="1" customWidth="1"/>
    <col min="1801" max="1801" width="15.44140625" style="22" bestFit="1" customWidth="1"/>
    <col min="1802" max="1802" width="10.21875" style="22" bestFit="1" customWidth="1"/>
    <col min="1803" max="1833" width="10.21875" style="22" customWidth="1"/>
    <col min="1834" max="1837" width="8.44140625" style="22" customWidth="1"/>
    <col min="1838" max="1838" width="10.21875" style="22" customWidth="1"/>
    <col min="1839" max="1843" width="10" style="22" customWidth="1"/>
    <col min="1844" max="2055" width="9.21875" style="22"/>
    <col min="2056" max="2056" width="24.5546875" style="22" bestFit="1" customWidth="1"/>
    <col min="2057" max="2057" width="15.44140625" style="22" bestFit="1" customWidth="1"/>
    <col min="2058" max="2058" width="10.21875" style="22" bestFit="1" customWidth="1"/>
    <col min="2059" max="2089" width="10.21875" style="22" customWidth="1"/>
    <col min="2090" max="2093" width="8.44140625" style="22" customWidth="1"/>
    <col min="2094" max="2094" width="10.21875" style="22" customWidth="1"/>
    <col min="2095" max="2099" width="10" style="22" customWidth="1"/>
    <col min="2100" max="2311" width="9.21875" style="22"/>
    <col min="2312" max="2312" width="24.5546875" style="22" bestFit="1" customWidth="1"/>
    <col min="2313" max="2313" width="15.44140625" style="22" bestFit="1" customWidth="1"/>
    <col min="2314" max="2314" width="10.21875" style="22" bestFit="1" customWidth="1"/>
    <col min="2315" max="2345" width="10.21875" style="22" customWidth="1"/>
    <col min="2346" max="2349" width="8.44140625" style="22" customWidth="1"/>
    <col min="2350" max="2350" width="10.21875" style="22" customWidth="1"/>
    <col min="2351" max="2355" width="10" style="22" customWidth="1"/>
    <col min="2356" max="2567" width="9.21875" style="22"/>
    <col min="2568" max="2568" width="24.5546875" style="22" bestFit="1" customWidth="1"/>
    <col min="2569" max="2569" width="15.44140625" style="22" bestFit="1" customWidth="1"/>
    <col min="2570" max="2570" width="10.21875" style="22" bestFit="1" customWidth="1"/>
    <col min="2571" max="2601" width="10.21875" style="22" customWidth="1"/>
    <col min="2602" max="2605" width="8.44140625" style="22" customWidth="1"/>
    <col min="2606" max="2606" width="10.21875" style="22" customWidth="1"/>
    <col min="2607" max="2611" width="10" style="22" customWidth="1"/>
    <col min="2612" max="2823" width="9.21875" style="22"/>
    <col min="2824" max="2824" width="24.5546875" style="22" bestFit="1" customWidth="1"/>
    <col min="2825" max="2825" width="15.44140625" style="22" bestFit="1" customWidth="1"/>
    <col min="2826" max="2826" width="10.21875" style="22" bestFit="1" customWidth="1"/>
    <col min="2827" max="2857" width="10.21875" style="22" customWidth="1"/>
    <col min="2858" max="2861" width="8.44140625" style="22" customWidth="1"/>
    <col min="2862" max="2862" width="10.21875" style="22" customWidth="1"/>
    <col min="2863" max="2867" width="10" style="22" customWidth="1"/>
    <col min="2868" max="3079" width="9.21875" style="22"/>
    <col min="3080" max="3080" width="24.5546875" style="22" bestFit="1" customWidth="1"/>
    <col min="3081" max="3081" width="15.44140625" style="22" bestFit="1" customWidth="1"/>
    <col min="3082" max="3082" width="10.21875" style="22" bestFit="1" customWidth="1"/>
    <col min="3083" max="3113" width="10.21875" style="22" customWidth="1"/>
    <col min="3114" max="3117" width="8.44140625" style="22" customWidth="1"/>
    <col min="3118" max="3118" width="10.21875" style="22" customWidth="1"/>
    <col min="3119" max="3123" width="10" style="22" customWidth="1"/>
    <col min="3124" max="3335" width="9.21875" style="22"/>
    <col min="3336" max="3336" width="24.5546875" style="22" bestFit="1" customWidth="1"/>
    <col min="3337" max="3337" width="15.44140625" style="22" bestFit="1" customWidth="1"/>
    <col min="3338" max="3338" width="10.21875" style="22" bestFit="1" customWidth="1"/>
    <col min="3339" max="3369" width="10.21875" style="22" customWidth="1"/>
    <col min="3370" max="3373" width="8.44140625" style="22" customWidth="1"/>
    <col min="3374" max="3374" width="10.21875" style="22" customWidth="1"/>
    <col min="3375" max="3379" width="10" style="22" customWidth="1"/>
    <col min="3380" max="3591" width="9.21875" style="22"/>
    <col min="3592" max="3592" width="24.5546875" style="22" bestFit="1" customWidth="1"/>
    <col min="3593" max="3593" width="15.44140625" style="22" bestFit="1" customWidth="1"/>
    <col min="3594" max="3594" width="10.21875" style="22" bestFit="1" customWidth="1"/>
    <col min="3595" max="3625" width="10.21875" style="22" customWidth="1"/>
    <col min="3626" max="3629" width="8.44140625" style="22" customWidth="1"/>
    <col min="3630" max="3630" width="10.21875" style="22" customWidth="1"/>
    <col min="3631" max="3635" width="10" style="22" customWidth="1"/>
    <col min="3636" max="3847" width="9.21875" style="22"/>
    <col min="3848" max="3848" width="24.5546875" style="22" bestFit="1" customWidth="1"/>
    <col min="3849" max="3849" width="15.44140625" style="22" bestFit="1" customWidth="1"/>
    <col min="3850" max="3850" width="10.21875" style="22" bestFit="1" customWidth="1"/>
    <col min="3851" max="3881" width="10.21875" style="22" customWidth="1"/>
    <col min="3882" max="3885" width="8.44140625" style="22" customWidth="1"/>
    <col min="3886" max="3886" width="10.21875" style="22" customWidth="1"/>
    <col min="3887" max="3891" width="10" style="22" customWidth="1"/>
    <col min="3892" max="4103" width="9.21875" style="22"/>
    <col min="4104" max="4104" width="24.5546875" style="22" bestFit="1" customWidth="1"/>
    <col min="4105" max="4105" width="15.44140625" style="22" bestFit="1" customWidth="1"/>
    <col min="4106" max="4106" width="10.21875" style="22" bestFit="1" customWidth="1"/>
    <col min="4107" max="4137" width="10.21875" style="22" customWidth="1"/>
    <col min="4138" max="4141" width="8.44140625" style="22" customWidth="1"/>
    <col min="4142" max="4142" width="10.21875" style="22" customWidth="1"/>
    <col min="4143" max="4147" width="10" style="22" customWidth="1"/>
    <col min="4148" max="4359" width="9.21875" style="22"/>
    <col min="4360" max="4360" width="24.5546875" style="22" bestFit="1" customWidth="1"/>
    <col min="4361" max="4361" width="15.44140625" style="22" bestFit="1" customWidth="1"/>
    <col min="4362" max="4362" width="10.21875" style="22" bestFit="1" customWidth="1"/>
    <col min="4363" max="4393" width="10.21875" style="22" customWidth="1"/>
    <col min="4394" max="4397" width="8.44140625" style="22" customWidth="1"/>
    <col min="4398" max="4398" width="10.21875" style="22" customWidth="1"/>
    <col min="4399" max="4403" width="10" style="22" customWidth="1"/>
    <col min="4404" max="4615" width="9.21875" style="22"/>
    <col min="4616" max="4616" width="24.5546875" style="22" bestFit="1" customWidth="1"/>
    <col min="4617" max="4617" width="15.44140625" style="22" bestFit="1" customWidth="1"/>
    <col min="4618" max="4618" width="10.21875" style="22" bestFit="1" customWidth="1"/>
    <col min="4619" max="4649" width="10.21875" style="22" customWidth="1"/>
    <col min="4650" max="4653" width="8.44140625" style="22" customWidth="1"/>
    <col min="4654" max="4654" width="10.21875" style="22" customWidth="1"/>
    <col min="4655" max="4659" width="10" style="22" customWidth="1"/>
    <col min="4660" max="4871" width="9.21875" style="22"/>
    <col min="4872" max="4872" width="24.5546875" style="22" bestFit="1" customWidth="1"/>
    <col min="4873" max="4873" width="15.44140625" style="22" bestFit="1" customWidth="1"/>
    <col min="4874" max="4874" width="10.21875" style="22" bestFit="1" customWidth="1"/>
    <col min="4875" max="4905" width="10.21875" style="22" customWidth="1"/>
    <col min="4906" max="4909" width="8.44140625" style="22" customWidth="1"/>
    <col min="4910" max="4910" width="10.21875" style="22" customWidth="1"/>
    <col min="4911" max="4915" width="10" style="22" customWidth="1"/>
    <col min="4916" max="5127" width="9.21875" style="22"/>
    <col min="5128" max="5128" width="24.5546875" style="22" bestFit="1" customWidth="1"/>
    <col min="5129" max="5129" width="15.44140625" style="22" bestFit="1" customWidth="1"/>
    <col min="5130" max="5130" width="10.21875" style="22" bestFit="1" customWidth="1"/>
    <col min="5131" max="5161" width="10.21875" style="22" customWidth="1"/>
    <col min="5162" max="5165" width="8.44140625" style="22" customWidth="1"/>
    <col min="5166" max="5166" width="10.21875" style="22" customWidth="1"/>
    <col min="5167" max="5171" width="10" style="22" customWidth="1"/>
    <col min="5172" max="5383" width="9.21875" style="22"/>
    <col min="5384" max="5384" width="24.5546875" style="22" bestFit="1" customWidth="1"/>
    <col min="5385" max="5385" width="15.44140625" style="22" bestFit="1" customWidth="1"/>
    <col min="5386" max="5386" width="10.21875" style="22" bestFit="1" customWidth="1"/>
    <col min="5387" max="5417" width="10.21875" style="22" customWidth="1"/>
    <col min="5418" max="5421" width="8.44140625" style="22" customWidth="1"/>
    <col min="5422" max="5422" width="10.21875" style="22" customWidth="1"/>
    <col min="5423" max="5427" width="10" style="22" customWidth="1"/>
    <col min="5428" max="5639" width="9.21875" style="22"/>
    <col min="5640" max="5640" width="24.5546875" style="22" bestFit="1" customWidth="1"/>
    <col min="5641" max="5641" width="15.44140625" style="22" bestFit="1" customWidth="1"/>
    <col min="5642" max="5642" width="10.21875" style="22" bestFit="1" customWidth="1"/>
    <col min="5643" max="5673" width="10.21875" style="22" customWidth="1"/>
    <col min="5674" max="5677" width="8.44140625" style="22" customWidth="1"/>
    <col min="5678" max="5678" width="10.21875" style="22" customWidth="1"/>
    <col min="5679" max="5683" width="10" style="22" customWidth="1"/>
    <col min="5684" max="5895" width="9.21875" style="22"/>
    <col min="5896" max="5896" width="24.5546875" style="22" bestFit="1" customWidth="1"/>
    <col min="5897" max="5897" width="15.44140625" style="22" bestFit="1" customWidth="1"/>
    <col min="5898" max="5898" width="10.21875" style="22" bestFit="1" customWidth="1"/>
    <col min="5899" max="5929" width="10.21875" style="22" customWidth="1"/>
    <col min="5930" max="5933" width="8.44140625" style="22" customWidth="1"/>
    <col min="5934" max="5934" width="10.21875" style="22" customWidth="1"/>
    <col min="5935" max="5939" width="10" style="22" customWidth="1"/>
    <col min="5940" max="6151" width="9.21875" style="22"/>
    <col min="6152" max="6152" width="24.5546875" style="22" bestFit="1" customWidth="1"/>
    <col min="6153" max="6153" width="15.44140625" style="22" bestFit="1" customWidth="1"/>
    <col min="6154" max="6154" width="10.21875" style="22" bestFit="1" customWidth="1"/>
    <col min="6155" max="6185" width="10.21875" style="22" customWidth="1"/>
    <col min="6186" max="6189" width="8.44140625" style="22" customWidth="1"/>
    <col min="6190" max="6190" width="10.21875" style="22" customWidth="1"/>
    <col min="6191" max="6195" width="10" style="22" customWidth="1"/>
    <col min="6196" max="6407" width="9.21875" style="22"/>
    <col min="6408" max="6408" width="24.5546875" style="22" bestFit="1" customWidth="1"/>
    <col min="6409" max="6409" width="15.44140625" style="22" bestFit="1" customWidth="1"/>
    <col min="6410" max="6410" width="10.21875" style="22" bestFit="1" customWidth="1"/>
    <col min="6411" max="6441" width="10.21875" style="22" customWidth="1"/>
    <col min="6442" max="6445" width="8.44140625" style="22" customWidth="1"/>
    <col min="6446" max="6446" width="10.21875" style="22" customWidth="1"/>
    <col min="6447" max="6451" width="10" style="22" customWidth="1"/>
    <col min="6452" max="6663" width="9.21875" style="22"/>
    <col min="6664" max="6664" width="24.5546875" style="22" bestFit="1" customWidth="1"/>
    <col min="6665" max="6665" width="15.44140625" style="22" bestFit="1" customWidth="1"/>
    <col min="6666" max="6666" width="10.21875" style="22" bestFit="1" customWidth="1"/>
    <col min="6667" max="6697" width="10.21875" style="22" customWidth="1"/>
    <col min="6698" max="6701" width="8.44140625" style="22" customWidth="1"/>
    <col min="6702" max="6702" width="10.21875" style="22" customWidth="1"/>
    <col min="6703" max="6707" width="10" style="22" customWidth="1"/>
    <col min="6708" max="6919" width="9.21875" style="22"/>
    <col min="6920" max="6920" width="24.5546875" style="22" bestFit="1" customWidth="1"/>
    <col min="6921" max="6921" width="15.44140625" style="22" bestFit="1" customWidth="1"/>
    <col min="6922" max="6922" width="10.21875" style="22" bestFit="1" customWidth="1"/>
    <col min="6923" max="6953" width="10.21875" style="22" customWidth="1"/>
    <col min="6954" max="6957" width="8.44140625" style="22" customWidth="1"/>
    <col min="6958" max="6958" width="10.21875" style="22" customWidth="1"/>
    <col min="6959" max="6963" width="10" style="22" customWidth="1"/>
    <col min="6964" max="7175" width="9.21875" style="22"/>
    <col min="7176" max="7176" width="24.5546875" style="22" bestFit="1" customWidth="1"/>
    <col min="7177" max="7177" width="15.44140625" style="22" bestFit="1" customWidth="1"/>
    <col min="7178" max="7178" width="10.21875" style="22" bestFit="1" customWidth="1"/>
    <col min="7179" max="7209" width="10.21875" style="22" customWidth="1"/>
    <col min="7210" max="7213" width="8.44140625" style="22" customWidth="1"/>
    <col min="7214" max="7214" width="10.21875" style="22" customWidth="1"/>
    <col min="7215" max="7219" width="10" style="22" customWidth="1"/>
    <col min="7220" max="7431" width="9.21875" style="22"/>
    <col min="7432" max="7432" width="24.5546875" style="22" bestFit="1" customWidth="1"/>
    <col min="7433" max="7433" width="15.44140625" style="22" bestFit="1" customWidth="1"/>
    <col min="7434" max="7434" width="10.21875" style="22" bestFit="1" customWidth="1"/>
    <col min="7435" max="7465" width="10.21875" style="22" customWidth="1"/>
    <col min="7466" max="7469" width="8.44140625" style="22" customWidth="1"/>
    <col min="7470" max="7470" width="10.21875" style="22" customWidth="1"/>
    <col min="7471" max="7475" width="10" style="22" customWidth="1"/>
    <col min="7476" max="7687" width="9.21875" style="22"/>
    <col min="7688" max="7688" width="24.5546875" style="22" bestFit="1" customWidth="1"/>
    <col min="7689" max="7689" width="15.44140625" style="22" bestFit="1" customWidth="1"/>
    <col min="7690" max="7690" width="10.21875" style="22" bestFit="1" customWidth="1"/>
    <col min="7691" max="7721" width="10.21875" style="22" customWidth="1"/>
    <col min="7722" max="7725" width="8.44140625" style="22" customWidth="1"/>
    <col min="7726" max="7726" width="10.21875" style="22" customWidth="1"/>
    <col min="7727" max="7731" width="10" style="22" customWidth="1"/>
    <col min="7732" max="7943" width="9.21875" style="22"/>
    <col min="7944" max="7944" width="24.5546875" style="22" bestFit="1" customWidth="1"/>
    <col min="7945" max="7945" width="15.44140625" style="22" bestFit="1" customWidth="1"/>
    <col min="7946" max="7946" width="10.21875" style="22" bestFit="1" customWidth="1"/>
    <col min="7947" max="7977" width="10.21875" style="22" customWidth="1"/>
    <col min="7978" max="7981" width="8.44140625" style="22" customWidth="1"/>
    <col min="7982" max="7982" width="10.21875" style="22" customWidth="1"/>
    <col min="7983" max="7987" width="10" style="22" customWidth="1"/>
    <col min="7988" max="8199" width="9.21875" style="22"/>
    <col min="8200" max="8200" width="24.5546875" style="22" bestFit="1" customWidth="1"/>
    <col min="8201" max="8201" width="15.44140625" style="22" bestFit="1" customWidth="1"/>
    <col min="8202" max="8202" width="10.21875" style="22" bestFit="1" customWidth="1"/>
    <col min="8203" max="8233" width="10.21875" style="22" customWidth="1"/>
    <col min="8234" max="8237" width="8.44140625" style="22" customWidth="1"/>
    <col min="8238" max="8238" width="10.21875" style="22" customWidth="1"/>
    <col min="8239" max="8243" width="10" style="22" customWidth="1"/>
    <col min="8244" max="8455" width="9.21875" style="22"/>
    <col min="8456" max="8456" width="24.5546875" style="22" bestFit="1" customWidth="1"/>
    <col min="8457" max="8457" width="15.44140625" style="22" bestFit="1" customWidth="1"/>
    <col min="8458" max="8458" width="10.21875" style="22" bestFit="1" customWidth="1"/>
    <col min="8459" max="8489" width="10.21875" style="22" customWidth="1"/>
    <col min="8490" max="8493" width="8.44140625" style="22" customWidth="1"/>
    <col min="8494" max="8494" width="10.21875" style="22" customWidth="1"/>
    <col min="8495" max="8499" width="10" style="22" customWidth="1"/>
    <col min="8500" max="8711" width="9.21875" style="22"/>
    <col min="8712" max="8712" width="24.5546875" style="22" bestFit="1" customWidth="1"/>
    <col min="8713" max="8713" width="15.44140625" style="22" bestFit="1" customWidth="1"/>
    <col min="8714" max="8714" width="10.21875" style="22" bestFit="1" customWidth="1"/>
    <col min="8715" max="8745" width="10.21875" style="22" customWidth="1"/>
    <col min="8746" max="8749" width="8.44140625" style="22" customWidth="1"/>
    <col min="8750" max="8750" width="10.21875" style="22" customWidth="1"/>
    <col min="8751" max="8755" width="10" style="22" customWidth="1"/>
    <col min="8756" max="8967" width="9.21875" style="22"/>
    <col min="8968" max="8968" width="24.5546875" style="22" bestFit="1" customWidth="1"/>
    <col min="8969" max="8969" width="15.44140625" style="22" bestFit="1" customWidth="1"/>
    <col min="8970" max="8970" width="10.21875" style="22" bestFit="1" customWidth="1"/>
    <col min="8971" max="9001" width="10.21875" style="22" customWidth="1"/>
    <col min="9002" max="9005" width="8.44140625" style="22" customWidth="1"/>
    <col min="9006" max="9006" width="10.21875" style="22" customWidth="1"/>
    <col min="9007" max="9011" width="10" style="22" customWidth="1"/>
    <col min="9012" max="9223" width="9.21875" style="22"/>
    <col min="9224" max="9224" width="24.5546875" style="22" bestFit="1" customWidth="1"/>
    <col min="9225" max="9225" width="15.44140625" style="22" bestFit="1" customWidth="1"/>
    <col min="9226" max="9226" width="10.21875" style="22" bestFit="1" customWidth="1"/>
    <col min="9227" max="9257" width="10.21875" style="22" customWidth="1"/>
    <col min="9258" max="9261" width="8.44140625" style="22" customWidth="1"/>
    <col min="9262" max="9262" width="10.21875" style="22" customWidth="1"/>
    <col min="9263" max="9267" width="10" style="22" customWidth="1"/>
    <col min="9268" max="9479" width="9.21875" style="22"/>
    <col min="9480" max="9480" width="24.5546875" style="22" bestFit="1" customWidth="1"/>
    <col min="9481" max="9481" width="15.44140625" style="22" bestFit="1" customWidth="1"/>
    <col min="9482" max="9482" width="10.21875" style="22" bestFit="1" customWidth="1"/>
    <col min="9483" max="9513" width="10.21875" style="22" customWidth="1"/>
    <col min="9514" max="9517" width="8.44140625" style="22" customWidth="1"/>
    <col min="9518" max="9518" width="10.21875" style="22" customWidth="1"/>
    <col min="9519" max="9523" width="10" style="22" customWidth="1"/>
    <col min="9524" max="9735" width="9.21875" style="22"/>
    <col min="9736" max="9736" width="24.5546875" style="22" bestFit="1" customWidth="1"/>
    <col min="9737" max="9737" width="15.44140625" style="22" bestFit="1" customWidth="1"/>
    <col min="9738" max="9738" width="10.21875" style="22" bestFit="1" customWidth="1"/>
    <col min="9739" max="9769" width="10.21875" style="22" customWidth="1"/>
    <col min="9770" max="9773" width="8.44140625" style="22" customWidth="1"/>
    <col min="9774" max="9774" width="10.21875" style="22" customWidth="1"/>
    <col min="9775" max="9779" width="10" style="22" customWidth="1"/>
    <col min="9780" max="9991" width="9.21875" style="22"/>
    <col min="9992" max="9992" width="24.5546875" style="22" bestFit="1" customWidth="1"/>
    <col min="9993" max="9993" width="15.44140625" style="22" bestFit="1" customWidth="1"/>
    <col min="9994" max="9994" width="10.21875" style="22" bestFit="1" customWidth="1"/>
    <col min="9995" max="10025" width="10.21875" style="22" customWidth="1"/>
    <col min="10026" max="10029" width="8.44140625" style="22" customWidth="1"/>
    <col min="10030" max="10030" width="10.21875" style="22" customWidth="1"/>
    <col min="10031" max="10035" width="10" style="22" customWidth="1"/>
    <col min="10036" max="10247" width="9.21875" style="22"/>
    <col min="10248" max="10248" width="24.5546875" style="22" bestFit="1" customWidth="1"/>
    <col min="10249" max="10249" width="15.44140625" style="22" bestFit="1" customWidth="1"/>
    <col min="10250" max="10250" width="10.21875" style="22" bestFit="1" customWidth="1"/>
    <col min="10251" max="10281" width="10.21875" style="22" customWidth="1"/>
    <col min="10282" max="10285" width="8.44140625" style="22" customWidth="1"/>
    <col min="10286" max="10286" width="10.21875" style="22" customWidth="1"/>
    <col min="10287" max="10291" width="10" style="22" customWidth="1"/>
    <col min="10292" max="10503" width="9.21875" style="22"/>
    <col min="10504" max="10504" width="24.5546875" style="22" bestFit="1" customWidth="1"/>
    <col min="10505" max="10505" width="15.44140625" style="22" bestFit="1" customWidth="1"/>
    <col min="10506" max="10506" width="10.21875" style="22" bestFit="1" customWidth="1"/>
    <col min="10507" max="10537" width="10.21875" style="22" customWidth="1"/>
    <col min="10538" max="10541" width="8.44140625" style="22" customWidth="1"/>
    <col min="10542" max="10542" width="10.21875" style="22" customWidth="1"/>
    <col min="10543" max="10547" width="10" style="22" customWidth="1"/>
    <col min="10548" max="10759" width="9.21875" style="22"/>
    <col min="10760" max="10760" width="24.5546875" style="22" bestFit="1" customWidth="1"/>
    <col min="10761" max="10761" width="15.44140625" style="22" bestFit="1" customWidth="1"/>
    <col min="10762" max="10762" width="10.21875" style="22" bestFit="1" customWidth="1"/>
    <col min="10763" max="10793" width="10.21875" style="22" customWidth="1"/>
    <col min="10794" max="10797" width="8.44140625" style="22" customWidth="1"/>
    <col min="10798" max="10798" width="10.21875" style="22" customWidth="1"/>
    <col min="10799" max="10803" width="10" style="22" customWidth="1"/>
    <col min="10804" max="11015" width="9.21875" style="22"/>
    <col min="11016" max="11016" width="24.5546875" style="22" bestFit="1" customWidth="1"/>
    <col min="11017" max="11017" width="15.44140625" style="22" bestFit="1" customWidth="1"/>
    <col min="11018" max="11018" width="10.21875" style="22" bestFit="1" customWidth="1"/>
    <col min="11019" max="11049" width="10.21875" style="22" customWidth="1"/>
    <col min="11050" max="11053" width="8.44140625" style="22" customWidth="1"/>
    <col min="11054" max="11054" width="10.21875" style="22" customWidth="1"/>
    <col min="11055" max="11059" width="10" style="22" customWidth="1"/>
    <col min="11060" max="11271" width="9.21875" style="22"/>
    <col min="11272" max="11272" width="24.5546875" style="22" bestFit="1" customWidth="1"/>
    <col min="11273" max="11273" width="15.44140625" style="22" bestFit="1" customWidth="1"/>
    <col min="11274" max="11274" width="10.21875" style="22" bestFit="1" customWidth="1"/>
    <col min="11275" max="11305" width="10.21875" style="22" customWidth="1"/>
    <col min="11306" max="11309" width="8.44140625" style="22" customWidth="1"/>
    <col min="11310" max="11310" width="10.21875" style="22" customWidth="1"/>
    <col min="11311" max="11315" width="10" style="22" customWidth="1"/>
    <col min="11316" max="11527" width="9.21875" style="22"/>
    <col min="11528" max="11528" width="24.5546875" style="22" bestFit="1" customWidth="1"/>
    <col min="11529" max="11529" width="15.44140625" style="22" bestFit="1" customWidth="1"/>
    <col min="11530" max="11530" width="10.21875" style="22" bestFit="1" customWidth="1"/>
    <col min="11531" max="11561" width="10.21875" style="22" customWidth="1"/>
    <col min="11562" max="11565" width="8.44140625" style="22" customWidth="1"/>
    <col min="11566" max="11566" width="10.21875" style="22" customWidth="1"/>
    <col min="11567" max="11571" width="10" style="22" customWidth="1"/>
    <col min="11572" max="11783" width="9.21875" style="22"/>
    <col min="11784" max="11784" width="24.5546875" style="22" bestFit="1" customWidth="1"/>
    <col min="11785" max="11785" width="15.44140625" style="22" bestFit="1" customWidth="1"/>
    <col min="11786" max="11786" width="10.21875" style="22" bestFit="1" customWidth="1"/>
    <col min="11787" max="11817" width="10.21875" style="22" customWidth="1"/>
    <col min="11818" max="11821" width="8.44140625" style="22" customWidth="1"/>
    <col min="11822" max="11822" width="10.21875" style="22" customWidth="1"/>
    <col min="11823" max="11827" width="10" style="22" customWidth="1"/>
    <col min="11828" max="12039" width="9.21875" style="22"/>
    <col min="12040" max="12040" width="24.5546875" style="22" bestFit="1" customWidth="1"/>
    <col min="12041" max="12041" width="15.44140625" style="22" bestFit="1" customWidth="1"/>
    <col min="12042" max="12042" width="10.21875" style="22" bestFit="1" customWidth="1"/>
    <col min="12043" max="12073" width="10.21875" style="22" customWidth="1"/>
    <col min="12074" max="12077" width="8.44140625" style="22" customWidth="1"/>
    <col min="12078" max="12078" width="10.21875" style="22" customWidth="1"/>
    <col min="12079" max="12083" width="10" style="22" customWidth="1"/>
    <col min="12084" max="12295" width="9.21875" style="22"/>
    <col min="12296" max="12296" width="24.5546875" style="22" bestFit="1" customWidth="1"/>
    <col min="12297" max="12297" width="15.44140625" style="22" bestFit="1" customWidth="1"/>
    <col min="12298" max="12298" width="10.21875" style="22" bestFit="1" customWidth="1"/>
    <col min="12299" max="12329" width="10.21875" style="22" customWidth="1"/>
    <col min="12330" max="12333" width="8.44140625" style="22" customWidth="1"/>
    <col min="12334" max="12334" width="10.21875" style="22" customWidth="1"/>
    <col min="12335" max="12339" width="10" style="22" customWidth="1"/>
    <col min="12340" max="12551" width="9.21875" style="22"/>
    <col min="12552" max="12552" width="24.5546875" style="22" bestFit="1" customWidth="1"/>
    <col min="12553" max="12553" width="15.44140625" style="22" bestFit="1" customWidth="1"/>
    <col min="12554" max="12554" width="10.21875" style="22" bestFit="1" customWidth="1"/>
    <col min="12555" max="12585" width="10.21875" style="22" customWidth="1"/>
    <col min="12586" max="12589" width="8.44140625" style="22" customWidth="1"/>
    <col min="12590" max="12590" width="10.21875" style="22" customWidth="1"/>
    <col min="12591" max="12595" width="10" style="22" customWidth="1"/>
    <col min="12596" max="12807" width="9.21875" style="22"/>
    <col min="12808" max="12808" width="24.5546875" style="22" bestFit="1" customWidth="1"/>
    <col min="12809" max="12809" width="15.44140625" style="22" bestFit="1" customWidth="1"/>
    <col min="12810" max="12810" width="10.21875" style="22" bestFit="1" customWidth="1"/>
    <col min="12811" max="12841" width="10.21875" style="22" customWidth="1"/>
    <col min="12842" max="12845" width="8.44140625" style="22" customWidth="1"/>
    <col min="12846" max="12846" width="10.21875" style="22" customWidth="1"/>
    <col min="12847" max="12851" width="10" style="22" customWidth="1"/>
    <col min="12852" max="13063" width="9.21875" style="22"/>
    <col min="13064" max="13064" width="24.5546875" style="22" bestFit="1" customWidth="1"/>
    <col min="13065" max="13065" width="15.44140625" style="22" bestFit="1" customWidth="1"/>
    <col min="13066" max="13066" width="10.21875" style="22" bestFit="1" customWidth="1"/>
    <col min="13067" max="13097" width="10.21875" style="22" customWidth="1"/>
    <col min="13098" max="13101" width="8.44140625" style="22" customWidth="1"/>
    <col min="13102" max="13102" width="10.21875" style="22" customWidth="1"/>
    <col min="13103" max="13107" width="10" style="22" customWidth="1"/>
    <col min="13108" max="13319" width="9.21875" style="22"/>
    <col min="13320" max="13320" width="24.5546875" style="22" bestFit="1" customWidth="1"/>
    <col min="13321" max="13321" width="15.44140625" style="22" bestFit="1" customWidth="1"/>
    <col min="13322" max="13322" width="10.21875" style="22" bestFit="1" customWidth="1"/>
    <col min="13323" max="13353" width="10.21875" style="22" customWidth="1"/>
    <col min="13354" max="13357" width="8.44140625" style="22" customWidth="1"/>
    <col min="13358" max="13358" width="10.21875" style="22" customWidth="1"/>
    <col min="13359" max="13363" width="10" style="22" customWidth="1"/>
    <col min="13364" max="13575" width="9.21875" style="22"/>
    <col min="13576" max="13576" width="24.5546875" style="22" bestFit="1" customWidth="1"/>
    <col min="13577" max="13577" width="15.44140625" style="22" bestFit="1" customWidth="1"/>
    <col min="13578" max="13578" width="10.21875" style="22" bestFit="1" customWidth="1"/>
    <col min="13579" max="13609" width="10.21875" style="22" customWidth="1"/>
    <col min="13610" max="13613" width="8.44140625" style="22" customWidth="1"/>
    <col min="13614" max="13614" width="10.21875" style="22" customWidth="1"/>
    <col min="13615" max="13619" width="10" style="22" customWidth="1"/>
    <col min="13620" max="13831" width="9.21875" style="22"/>
    <col min="13832" max="13832" width="24.5546875" style="22" bestFit="1" customWidth="1"/>
    <col min="13833" max="13833" width="15.44140625" style="22" bestFit="1" customWidth="1"/>
    <col min="13834" max="13834" width="10.21875" style="22" bestFit="1" customWidth="1"/>
    <col min="13835" max="13865" width="10.21875" style="22" customWidth="1"/>
    <col min="13866" max="13869" width="8.44140625" style="22" customWidth="1"/>
    <col min="13870" max="13870" width="10.21875" style="22" customWidth="1"/>
    <col min="13871" max="13875" width="10" style="22" customWidth="1"/>
    <col min="13876" max="14087" width="9.21875" style="22"/>
    <col min="14088" max="14088" width="24.5546875" style="22" bestFit="1" customWidth="1"/>
    <col min="14089" max="14089" width="15.44140625" style="22" bestFit="1" customWidth="1"/>
    <col min="14090" max="14090" width="10.21875" style="22" bestFit="1" customWidth="1"/>
    <col min="14091" max="14121" width="10.21875" style="22" customWidth="1"/>
    <col min="14122" max="14125" width="8.44140625" style="22" customWidth="1"/>
    <col min="14126" max="14126" width="10.21875" style="22" customWidth="1"/>
    <col min="14127" max="14131" width="10" style="22" customWidth="1"/>
    <col min="14132" max="14343" width="9.21875" style="22"/>
    <col min="14344" max="14344" width="24.5546875" style="22" bestFit="1" customWidth="1"/>
    <col min="14345" max="14345" width="15.44140625" style="22" bestFit="1" customWidth="1"/>
    <col min="14346" max="14346" width="10.21875" style="22" bestFit="1" customWidth="1"/>
    <col min="14347" max="14377" width="10.21875" style="22" customWidth="1"/>
    <col min="14378" max="14381" width="8.44140625" style="22" customWidth="1"/>
    <col min="14382" max="14382" width="10.21875" style="22" customWidth="1"/>
    <col min="14383" max="14387" width="10" style="22" customWidth="1"/>
    <col min="14388" max="14599" width="9.21875" style="22"/>
    <col min="14600" max="14600" width="24.5546875" style="22" bestFit="1" customWidth="1"/>
    <col min="14601" max="14601" width="15.44140625" style="22" bestFit="1" customWidth="1"/>
    <col min="14602" max="14602" width="10.21875" style="22" bestFit="1" customWidth="1"/>
    <col min="14603" max="14633" width="10.21875" style="22" customWidth="1"/>
    <col min="14634" max="14637" width="8.44140625" style="22" customWidth="1"/>
    <col min="14638" max="14638" width="10.21875" style="22" customWidth="1"/>
    <col min="14639" max="14643" width="10" style="22" customWidth="1"/>
    <col min="14644" max="14855" width="9.21875" style="22"/>
    <col min="14856" max="14856" width="24.5546875" style="22" bestFit="1" customWidth="1"/>
    <col min="14857" max="14857" width="15.44140625" style="22" bestFit="1" customWidth="1"/>
    <col min="14858" max="14858" width="10.21875" style="22" bestFit="1" customWidth="1"/>
    <col min="14859" max="14889" width="10.21875" style="22" customWidth="1"/>
    <col min="14890" max="14893" width="8.44140625" style="22" customWidth="1"/>
    <col min="14894" max="14894" width="10.21875" style="22" customWidth="1"/>
    <col min="14895" max="14899" width="10" style="22" customWidth="1"/>
    <col min="14900" max="15111" width="9.21875" style="22"/>
    <col min="15112" max="15112" width="24.5546875" style="22" bestFit="1" customWidth="1"/>
    <col min="15113" max="15113" width="15.44140625" style="22" bestFit="1" customWidth="1"/>
    <col min="15114" max="15114" width="10.21875" style="22" bestFit="1" customWidth="1"/>
    <col min="15115" max="15145" width="10.21875" style="22" customWidth="1"/>
    <col min="15146" max="15149" width="8.44140625" style="22" customWidth="1"/>
    <col min="15150" max="15150" width="10.21875" style="22" customWidth="1"/>
    <col min="15151" max="15155" width="10" style="22" customWidth="1"/>
    <col min="15156" max="15367" width="9.21875" style="22"/>
    <col min="15368" max="15368" width="24.5546875" style="22" bestFit="1" customWidth="1"/>
    <col min="15369" max="15369" width="15.44140625" style="22" bestFit="1" customWidth="1"/>
    <col min="15370" max="15370" width="10.21875" style="22" bestFit="1" customWidth="1"/>
    <col min="15371" max="15401" width="10.21875" style="22" customWidth="1"/>
    <col min="15402" max="15405" width="8.44140625" style="22" customWidth="1"/>
    <col min="15406" max="15406" width="10.21875" style="22" customWidth="1"/>
    <col min="15407" max="15411" width="10" style="22" customWidth="1"/>
    <col min="15412" max="15623" width="9.21875" style="22"/>
    <col min="15624" max="15624" width="24.5546875" style="22" bestFit="1" customWidth="1"/>
    <col min="15625" max="15625" width="15.44140625" style="22" bestFit="1" customWidth="1"/>
    <col min="15626" max="15626" width="10.21875" style="22" bestFit="1" customWidth="1"/>
    <col min="15627" max="15657" width="10.21875" style="22" customWidth="1"/>
    <col min="15658" max="15661" width="8.44140625" style="22" customWidth="1"/>
    <col min="15662" max="15662" width="10.21875" style="22" customWidth="1"/>
    <col min="15663" max="15667" width="10" style="22" customWidth="1"/>
    <col min="15668" max="15879" width="9.21875" style="22"/>
    <col min="15880" max="15880" width="24.5546875" style="22" bestFit="1" customWidth="1"/>
    <col min="15881" max="15881" width="15.44140625" style="22" bestFit="1" customWidth="1"/>
    <col min="15882" max="15882" width="10.21875" style="22" bestFit="1" customWidth="1"/>
    <col min="15883" max="15913" width="10.21875" style="22" customWidth="1"/>
    <col min="15914" max="15917" width="8.44140625" style="22" customWidth="1"/>
    <col min="15918" max="15918" width="10.21875" style="22" customWidth="1"/>
    <col min="15919" max="15923" width="10" style="22" customWidth="1"/>
    <col min="15924" max="16135" width="9.21875" style="22"/>
    <col min="16136" max="16136" width="24.5546875" style="22" bestFit="1" customWidth="1"/>
    <col min="16137" max="16137" width="15.44140625" style="22" bestFit="1" customWidth="1"/>
    <col min="16138" max="16138" width="10.21875" style="22" bestFit="1" customWidth="1"/>
    <col min="16139" max="16169" width="10.21875" style="22" customWidth="1"/>
    <col min="16170" max="16173" width="8.44140625" style="22" customWidth="1"/>
    <col min="16174" max="16174" width="10.21875" style="22" customWidth="1"/>
    <col min="16175" max="16179" width="10" style="22" customWidth="1"/>
    <col min="16180" max="16384" width="9.21875" style="22"/>
  </cols>
  <sheetData>
    <row r="1" spans="1:85" s="21" customFormat="1" ht="87.45" customHeight="1">
      <c r="A1" s="20" t="s">
        <v>14</v>
      </c>
      <c r="B1" s="20" t="s">
        <v>930</v>
      </c>
      <c r="C1" s="20" t="s">
        <v>929</v>
      </c>
      <c r="D1" s="20" t="s">
        <v>928</v>
      </c>
      <c r="E1" s="20" t="s">
        <v>1337</v>
      </c>
      <c r="F1" s="20" t="s">
        <v>1308</v>
      </c>
      <c r="G1" s="20" t="s">
        <v>15</v>
      </c>
      <c r="H1" s="20" t="s">
        <v>1309</v>
      </c>
      <c r="I1" s="20" t="s">
        <v>1310</v>
      </c>
      <c r="J1" s="20" t="s">
        <v>927</v>
      </c>
      <c r="K1" s="20" t="s">
        <v>931</v>
      </c>
      <c r="L1" s="20" t="s">
        <v>15</v>
      </c>
      <c r="M1" s="20" t="s">
        <v>1311</v>
      </c>
      <c r="N1" s="20" t="s">
        <v>15</v>
      </c>
      <c r="O1" s="20" t="s">
        <v>1312</v>
      </c>
      <c r="P1" s="20" t="s">
        <v>15</v>
      </c>
      <c r="Q1" s="20" t="s">
        <v>932</v>
      </c>
      <c r="R1" s="20" t="s">
        <v>15</v>
      </c>
      <c r="S1" s="20" t="s">
        <v>933</v>
      </c>
      <c r="T1" s="20" t="s">
        <v>15</v>
      </c>
      <c r="U1" s="20" t="s">
        <v>934</v>
      </c>
      <c r="V1" s="20" t="s">
        <v>15</v>
      </c>
      <c r="W1" s="20" t="s">
        <v>935</v>
      </c>
      <c r="X1" s="20" t="s">
        <v>936</v>
      </c>
      <c r="Y1" s="20" t="s">
        <v>937</v>
      </c>
      <c r="Z1" s="20" t="s">
        <v>1393</v>
      </c>
      <c r="AA1" s="20" t="s">
        <v>938</v>
      </c>
      <c r="AB1" s="20" t="s">
        <v>939</v>
      </c>
      <c r="AC1" s="20" t="s">
        <v>940</v>
      </c>
      <c r="AD1" s="20" t="s">
        <v>941</v>
      </c>
      <c r="AE1" s="20" t="s">
        <v>1394</v>
      </c>
      <c r="AF1" s="20" t="s">
        <v>942</v>
      </c>
      <c r="AG1" s="20" t="s">
        <v>943</v>
      </c>
      <c r="AH1" s="20" t="s">
        <v>15</v>
      </c>
      <c r="AI1" s="20" t="s">
        <v>944</v>
      </c>
      <c r="AJ1" s="20" t="s">
        <v>15</v>
      </c>
      <c r="AK1" s="20" t="s">
        <v>1313</v>
      </c>
      <c r="AL1" s="20" t="s">
        <v>15</v>
      </c>
      <c r="AM1" s="20" t="s">
        <v>1314</v>
      </c>
      <c r="AN1" s="20" t="s">
        <v>15</v>
      </c>
      <c r="AO1" s="20" t="s">
        <v>210</v>
      </c>
      <c r="AP1" s="20" t="s">
        <v>15</v>
      </c>
      <c r="AQ1" s="20" t="s">
        <v>1316</v>
      </c>
      <c r="AR1" s="20" t="s">
        <v>15</v>
      </c>
      <c r="AS1" s="20" t="s">
        <v>1389</v>
      </c>
      <c r="AT1" s="20" t="s">
        <v>926</v>
      </c>
      <c r="AU1" s="20" t="s">
        <v>925</v>
      </c>
      <c r="AV1" s="20" t="s">
        <v>924</v>
      </c>
      <c r="AW1" s="20" t="s">
        <v>923</v>
      </c>
      <c r="AX1" s="20" t="s">
        <v>1315</v>
      </c>
      <c r="AY1" s="20" t="s">
        <v>1507</v>
      </c>
      <c r="AZ1" s="20" t="s">
        <v>1317</v>
      </c>
      <c r="BA1" s="20" t="s">
        <v>15</v>
      </c>
      <c r="BB1" s="20" t="s">
        <v>1318</v>
      </c>
      <c r="BC1" s="20" t="s">
        <v>1319</v>
      </c>
      <c r="BD1" s="20" t="s">
        <v>1395</v>
      </c>
      <c r="BE1" s="20" t="s">
        <v>1320</v>
      </c>
      <c r="BF1" s="20" t="s">
        <v>15</v>
      </c>
      <c r="BG1" s="1338" t="s">
        <v>1211</v>
      </c>
      <c r="BH1" s="1338" t="s">
        <v>1321</v>
      </c>
      <c r="BI1" s="1338" t="s">
        <v>1322</v>
      </c>
      <c r="BJ1" s="1338" t="s">
        <v>908</v>
      </c>
      <c r="BK1" s="383" t="s">
        <v>961</v>
      </c>
      <c r="BL1" s="383" t="s">
        <v>960</v>
      </c>
      <c r="BM1" s="1350" t="s">
        <v>962</v>
      </c>
      <c r="BN1" s="1350" t="s">
        <v>963</v>
      </c>
      <c r="BO1" s="383" t="s">
        <v>964</v>
      </c>
      <c r="BP1" s="383" t="s">
        <v>965</v>
      </c>
      <c r="BQ1" s="383" t="s">
        <v>966</v>
      </c>
      <c r="BR1" s="1213" t="s">
        <v>1217</v>
      </c>
      <c r="BS1" s="1213" t="s">
        <v>1216</v>
      </c>
      <c r="BT1" s="1213" t="s">
        <v>1222</v>
      </c>
      <c r="BU1" s="1213" t="s">
        <v>1218</v>
      </c>
      <c r="BV1" s="1213" t="s">
        <v>1219</v>
      </c>
      <c r="BW1" s="1213" t="s">
        <v>1223</v>
      </c>
      <c r="BX1" s="1213" t="s">
        <v>1220</v>
      </c>
      <c r="BY1" s="1213" t="s">
        <v>1221</v>
      </c>
      <c r="BZ1" s="1213" t="s">
        <v>1224</v>
      </c>
      <c r="CA1" s="1213" t="s">
        <v>1232</v>
      </c>
      <c r="CB1" s="1213" t="s">
        <v>1233</v>
      </c>
      <c r="CC1" s="1213" t="s">
        <v>1242</v>
      </c>
      <c r="CD1" s="1213" t="s">
        <v>15</v>
      </c>
      <c r="CE1" s="1213" t="s">
        <v>1243</v>
      </c>
      <c r="CF1" s="1213" t="s">
        <v>15</v>
      </c>
      <c r="CG1" s="20" t="s">
        <v>1338</v>
      </c>
    </row>
    <row r="2" spans="1:85" ht="13.2">
      <c r="A2" s="155">
        <v>44926</v>
      </c>
      <c r="B2" s="981">
        <v>1057.7</v>
      </c>
      <c r="C2" s="981">
        <v>584.85299999999995</v>
      </c>
      <c r="D2" s="981">
        <v>6839.7</v>
      </c>
      <c r="E2" s="1270">
        <v>0</v>
      </c>
      <c r="F2" s="981">
        <v>15537.4</v>
      </c>
      <c r="G2" s="981">
        <v>4824.8999999999996</v>
      </c>
      <c r="H2" s="982">
        <v>562719.4</v>
      </c>
      <c r="I2" s="981">
        <v>259573.3</v>
      </c>
      <c r="J2" s="981">
        <v>202799.7</v>
      </c>
      <c r="K2" s="981"/>
      <c r="L2" s="981"/>
      <c r="M2" s="981">
        <v>14948.1</v>
      </c>
      <c r="N2" s="981">
        <v>7010.3</v>
      </c>
      <c r="O2" s="981">
        <v>42873.13</v>
      </c>
      <c r="P2" s="981">
        <v>34112</v>
      </c>
      <c r="Q2" s="981">
        <v>135921.16</v>
      </c>
      <c r="R2" s="981">
        <v>112758.72</v>
      </c>
      <c r="S2" s="981">
        <v>137979.97</v>
      </c>
      <c r="T2" s="981">
        <v>94637</v>
      </c>
      <c r="U2" s="981">
        <v>14051.63</v>
      </c>
      <c r="V2" s="981">
        <v>10671.64</v>
      </c>
      <c r="W2" s="981">
        <v>13951</v>
      </c>
      <c r="X2" s="981">
        <v>7267.2</v>
      </c>
      <c r="Y2" s="981">
        <v>208358.7</v>
      </c>
      <c r="Z2" s="981">
        <v>345.9</v>
      </c>
      <c r="AA2" s="981">
        <v>50716</v>
      </c>
      <c r="AB2" s="981">
        <v>552895.16</v>
      </c>
      <c r="AC2" s="981">
        <v>281853.77</v>
      </c>
      <c r="AD2" s="243">
        <v>208308.1</v>
      </c>
      <c r="AE2" s="981">
        <v>1112.4000000000001</v>
      </c>
      <c r="AF2" s="1051">
        <v>942</v>
      </c>
      <c r="AG2" s="981">
        <v>35266.31</v>
      </c>
      <c r="AH2" s="981">
        <v>25141.360000000001</v>
      </c>
      <c r="AI2" s="981">
        <v>81505.86</v>
      </c>
      <c r="AJ2" s="981">
        <v>63010.07</v>
      </c>
      <c r="AK2" s="981">
        <v>64378.59</v>
      </c>
      <c r="AL2" s="981">
        <v>52433.37</v>
      </c>
      <c r="AM2" s="981">
        <v>58261.8</v>
      </c>
      <c r="AN2" s="981">
        <v>22914.2</v>
      </c>
      <c r="AO2" s="981">
        <v>16.3</v>
      </c>
      <c r="AP2" s="981">
        <v>17.3</v>
      </c>
      <c r="AQ2" s="981">
        <v>473982.3</v>
      </c>
      <c r="AR2" s="981">
        <v>218932.6</v>
      </c>
      <c r="AS2" s="981">
        <v>64527.199999999997</v>
      </c>
      <c r="AT2" s="981"/>
      <c r="AU2" s="981">
        <v>442398</v>
      </c>
      <c r="AV2" s="981">
        <v>194808.9</v>
      </c>
      <c r="AW2" s="981">
        <v>76695</v>
      </c>
      <c r="AX2" s="981">
        <v>4124.08</v>
      </c>
      <c r="AY2" s="981">
        <v>2741.31</v>
      </c>
      <c r="AZ2" s="981">
        <v>219.51</v>
      </c>
      <c r="BA2" s="981">
        <v>132.87</v>
      </c>
      <c r="BB2" s="981">
        <v>786.53200000000004</v>
      </c>
      <c r="BC2" s="981">
        <v>335.25700000000001</v>
      </c>
      <c r="BD2" s="1056">
        <v>1778</v>
      </c>
      <c r="BE2" s="981">
        <v>3088.6</v>
      </c>
      <c r="BF2" s="981">
        <v>490.6</v>
      </c>
      <c r="BG2" s="981">
        <v>6671.670000000001</v>
      </c>
      <c r="BH2" s="981">
        <v>26678.170175438598</v>
      </c>
      <c r="BI2" s="981">
        <v>9120.1987082302694</v>
      </c>
      <c r="BJ2" s="981">
        <v>6265.62</v>
      </c>
      <c r="BK2" s="981">
        <v>6488927</v>
      </c>
      <c r="BL2" s="981">
        <v>4908607</v>
      </c>
      <c r="BM2" s="981">
        <v>216232</v>
      </c>
      <c r="BN2" s="981">
        <v>179531</v>
      </c>
      <c r="BO2" s="981">
        <v>138</v>
      </c>
      <c r="BP2" s="981">
        <v>46.476999999999997</v>
      </c>
      <c r="BQ2" s="981">
        <v>660</v>
      </c>
      <c r="BR2" s="981">
        <v>2426200</v>
      </c>
      <c r="BS2" s="981">
        <v>469</v>
      </c>
      <c r="BT2" s="981">
        <v>18678.099999999999</v>
      </c>
      <c r="BU2" s="981">
        <v>2878204</v>
      </c>
      <c r="BV2" s="981">
        <v>72982</v>
      </c>
      <c r="BW2" s="981">
        <v>18237.400000000001</v>
      </c>
      <c r="BX2" s="981">
        <v>2612160</v>
      </c>
      <c r="BY2" s="981">
        <v>124167</v>
      </c>
      <c r="BZ2" s="981">
        <v>15388.6</v>
      </c>
      <c r="CA2" s="981">
        <v>7764.89</v>
      </c>
      <c r="CB2" s="981">
        <v>5295.72</v>
      </c>
      <c r="CC2" s="981">
        <v>989431</v>
      </c>
      <c r="CD2" s="981">
        <v>562671</v>
      </c>
      <c r="CE2" s="981">
        <v>660612</v>
      </c>
      <c r="CF2" s="981">
        <v>418193</v>
      </c>
      <c r="CG2" s="1283">
        <v>0</v>
      </c>
    </row>
    <row r="3" spans="1:85" ht="13.2">
      <c r="A3" s="155">
        <v>44927</v>
      </c>
      <c r="B3" s="981">
        <v>1057.7</v>
      </c>
      <c r="C3" s="981">
        <v>584.85299999999995</v>
      </c>
      <c r="D3" s="981">
        <v>6839.7</v>
      </c>
      <c r="E3" s="1270">
        <v>0</v>
      </c>
      <c r="F3" s="981">
        <v>15552.4</v>
      </c>
      <c r="G3" s="981">
        <v>4829</v>
      </c>
      <c r="H3" s="982">
        <v>562876.6</v>
      </c>
      <c r="I3" s="982">
        <v>259654</v>
      </c>
      <c r="J3" s="982">
        <v>202823.7</v>
      </c>
      <c r="K3" s="981"/>
      <c r="L3" s="981"/>
      <c r="M3" s="981">
        <v>14948.1</v>
      </c>
      <c r="N3" s="981">
        <v>7010.3</v>
      </c>
      <c r="O3" s="981">
        <v>42899.76</v>
      </c>
      <c r="P3" s="981">
        <v>34132.93</v>
      </c>
      <c r="Q3" s="981">
        <v>135936.04</v>
      </c>
      <c r="R3" s="981">
        <v>112771.51</v>
      </c>
      <c r="S3" s="981">
        <v>137996.99</v>
      </c>
      <c r="T3" s="981">
        <v>94649.34</v>
      </c>
      <c r="U3" s="981">
        <v>14051.63</v>
      </c>
      <c r="V3" s="981">
        <v>10671.64</v>
      </c>
      <c r="W3" s="981">
        <v>14232.24</v>
      </c>
      <c r="X3" s="981">
        <v>7416.85</v>
      </c>
      <c r="Y3" s="981">
        <v>208382.7</v>
      </c>
      <c r="Z3" s="981">
        <v>345.9</v>
      </c>
      <c r="AA3" s="981">
        <v>50716</v>
      </c>
      <c r="AB3" s="981">
        <v>553038.69999999995</v>
      </c>
      <c r="AC3" s="981">
        <v>281923.8</v>
      </c>
      <c r="AD3" s="243">
        <v>208332.1</v>
      </c>
      <c r="AE3" s="981">
        <v>1112.4000000000001</v>
      </c>
      <c r="AF3" s="1051">
        <v>942</v>
      </c>
      <c r="AG3" s="243">
        <v>35268.339999999997</v>
      </c>
      <c r="AH3" s="243">
        <v>25142.799999999999</v>
      </c>
      <c r="AI3" s="981">
        <v>81513.09</v>
      </c>
      <c r="AJ3" s="981">
        <v>63015.839999999997</v>
      </c>
      <c r="AK3" s="981">
        <v>64393.88</v>
      </c>
      <c r="AL3" s="981">
        <v>52445.63</v>
      </c>
      <c r="AM3" s="981">
        <v>58269.9</v>
      </c>
      <c r="AN3" s="981">
        <v>22917.4</v>
      </c>
      <c r="AO3" s="981">
        <v>16.3</v>
      </c>
      <c r="AP3" s="981">
        <v>17.3</v>
      </c>
      <c r="AQ3" s="981">
        <v>474131.1</v>
      </c>
      <c r="AR3" s="981">
        <v>218997.4</v>
      </c>
      <c r="AS3" s="981">
        <v>64533</v>
      </c>
      <c r="AT3" s="243"/>
      <c r="AU3" s="981">
        <v>442532.7</v>
      </c>
      <c r="AV3" s="981">
        <v>194867.9</v>
      </c>
      <c r="AW3" s="1051">
        <v>76719</v>
      </c>
      <c r="AX3" s="981">
        <v>4127.96</v>
      </c>
      <c r="AY3" s="981">
        <v>2744.03</v>
      </c>
      <c r="AZ3" s="981">
        <v>219.51</v>
      </c>
      <c r="BA3" s="981">
        <v>132.87</v>
      </c>
      <c r="BB3" s="981">
        <v>786.53200000000004</v>
      </c>
      <c r="BC3" s="981">
        <v>335.25700000000001</v>
      </c>
      <c r="BD3" s="1056">
        <v>1778</v>
      </c>
      <c r="BE3" s="981">
        <v>3089.2</v>
      </c>
      <c r="BF3" s="981">
        <v>490.6</v>
      </c>
      <c r="BG3" s="981">
        <v>6488</v>
      </c>
      <c r="BH3" s="1734">
        <v>20926.280701754298</v>
      </c>
      <c r="BI3" s="982">
        <v>3242.204220151817</v>
      </c>
      <c r="BJ3" s="982">
        <v>6132.38</v>
      </c>
      <c r="BK3" s="981">
        <v>6490334</v>
      </c>
      <c r="BL3" s="1079">
        <v>4910038</v>
      </c>
      <c r="BM3" s="981">
        <v>216232</v>
      </c>
      <c r="BN3" s="981">
        <v>179531</v>
      </c>
      <c r="BO3" s="982">
        <v>139</v>
      </c>
      <c r="BP3" s="982">
        <v>46.017000000000003</v>
      </c>
      <c r="BQ3" s="982">
        <v>656</v>
      </c>
      <c r="BR3" s="981">
        <v>2426200</v>
      </c>
      <c r="BS3" s="981">
        <v>469</v>
      </c>
      <c r="BT3" s="981">
        <v>18678.099999999999</v>
      </c>
      <c r="BU3" s="243">
        <v>2881942</v>
      </c>
      <c r="BV3" s="243">
        <v>73126</v>
      </c>
      <c r="BW3" s="243">
        <v>18261.400000000001</v>
      </c>
      <c r="BX3" s="982">
        <v>2615274</v>
      </c>
      <c r="BY3" s="982">
        <v>124193</v>
      </c>
      <c r="BZ3" s="982">
        <v>15412.6</v>
      </c>
      <c r="CA3" s="981">
        <v>7771.96</v>
      </c>
      <c r="CB3" s="981">
        <v>5300.37</v>
      </c>
      <c r="CC3" s="981">
        <v>989767</v>
      </c>
      <c r="CD3" s="981">
        <v>562884</v>
      </c>
      <c r="CE3" s="981">
        <v>661658</v>
      </c>
      <c r="CF3" s="981">
        <v>418822</v>
      </c>
      <c r="CG3" s="1283">
        <v>0</v>
      </c>
    </row>
    <row r="4" spans="1:85" ht="13.2">
      <c r="A4" s="155">
        <v>44928</v>
      </c>
      <c r="B4" s="981">
        <v>1057.7</v>
      </c>
      <c r="C4" s="981">
        <v>584.85299999999995</v>
      </c>
      <c r="D4" s="981">
        <v>6839.7</v>
      </c>
      <c r="E4" s="1270">
        <v>0</v>
      </c>
      <c r="F4" s="981">
        <v>15567.4</v>
      </c>
      <c r="G4" s="981">
        <v>4832.8999999999996</v>
      </c>
      <c r="H4" s="981">
        <v>563038.9</v>
      </c>
      <c r="I4" s="981">
        <v>259737.3</v>
      </c>
      <c r="J4" s="981">
        <v>202847.7</v>
      </c>
      <c r="K4" s="981"/>
      <c r="L4" s="981"/>
      <c r="M4" s="243">
        <v>14948.1</v>
      </c>
      <c r="N4" s="243">
        <v>7010.3</v>
      </c>
      <c r="O4" s="981">
        <v>42926.54</v>
      </c>
      <c r="P4" s="981">
        <v>34153.47</v>
      </c>
      <c r="Q4" s="981">
        <v>135952.14000000001</v>
      </c>
      <c r="R4" s="981">
        <v>112785.19</v>
      </c>
      <c r="S4" s="981">
        <v>138014.31</v>
      </c>
      <c r="T4" s="981">
        <v>94661.81</v>
      </c>
      <c r="U4" s="981">
        <v>14051.63</v>
      </c>
      <c r="V4" s="981">
        <v>10671.64</v>
      </c>
      <c r="W4" s="981">
        <v>14526.39</v>
      </c>
      <c r="X4" s="981">
        <v>7564.85</v>
      </c>
      <c r="Y4" s="981">
        <v>208406.7</v>
      </c>
      <c r="Z4" s="981">
        <v>345.9</v>
      </c>
      <c r="AA4" s="981">
        <v>50716</v>
      </c>
      <c r="AB4" s="981">
        <v>553187.30000000005</v>
      </c>
      <c r="AC4" s="981">
        <v>282002.8</v>
      </c>
      <c r="AD4" s="243">
        <v>208356.1</v>
      </c>
      <c r="AE4" s="981">
        <v>1112.4000000000001</v>
      </c>
      <c r="AF4" s="1051">
        <v>942</v>
      </c>
      <c r="AG4" s="243">
        <v>35270.42</v>
      </c>
      <c r="AH4" s="243">
        <v>25144.3</v>
      </c>
      <c r="AI4" s="981">
        <v>81520.45</v>
      </c>
      <c r="AJ4" s="981">
        <v>63021.68</v>
      </c>
      <c r="AK4" s="981">
        <v>64410.12</v>
      </c>
      <c r="AL4" s="981">
        <v>52458.63</v>
      </c>
      <c r="AM4" s="981">
        <v>58281.1</v>
      </c>
      <c r="AN4" s="981">
        <v>22921.8</v>
      </c>
      <c r="AO4" s="981">
        <v>16.3</v>
      </c>
      <c r="AP4" s="981">
        <v>17.3</v>
      </c>
      <c r="AQ4" s="981">
        <v>474285.8</v>
      </c>
      <c r="AR4" s="981">
        <v>219065.5</v>
      </c>
      <c r="AS4" s="981">
        <v>64538</v>
      </c>
      <c r="AT4" s="243"/>
      <c r="AU4" s="981">
        <v>442674.8</v>
      </c>
      <c r="AV4" s="981">
        <v>194930.1</v>
      </c>
      <c r="AW4" s="981">
        <v>76743</v>
      </c>
      <c r="AX4" s="981">
        <v>4131.6400000000003</v>
      </c>
      <c r="AY4" s="981">
        <v>2746.65</v>
      </c>
      <c r="AZ4" s="981">
        <v>219.51</v>
      </c>
      <c r="BA4" s="981">
        <v>132.87</v>
      </c>
      <c r="BB4" s="981">
        <v>786.53200000000004</v>
      </c>
      <c r="BC4" s="981">
        <v>335.25700000000001</v>
      </c>
      <c r="BD4" s="1056">
        <v>1778</v>
      </c>
      <c r="BE4" s="981">
        <v>3091.2</v>
      </c>
      <c r="BF4" s="981">
        <v>490.6</v>
      </c>
      <c r="BG4" s="982">
        <v>6616.55</v>
      </c>
      <c r="BH4" s="982">
        <v>22869.699999999997</v>
      </c>
      <c r="BI4" s="982">
        <v>7986.8652899315266</v>
      </c>
      <c r="BJ4" s="982">
        <v>6207.62</v>
      </c>
      <c r="BK4" s="981">
        <v>6491807</v>
      </c>
      <c r="BL4" s="1079">
        <v>4911504</v>
      </c>
      <c r="BM4" s="981">
        <v>216232</v>
      </c>
      <c r="BN4" s="981">
        <v>179531</v>
      </c>
      <c r="BO4" s="982">
        <v>140</v>
      </c>
      <c r="BP4" s="982">
        <v>46.487000000000002</v>
      </c>
      <c r="BQ4" s="982">
        <v>660</v>
      </c>
      <c r="BR4" s="981">
        <v>2426200</v>
      </c>
      <c r="BS4" s="981">
        <v>469</v>
      </c>
      <c r="BT4" s="981">
        <v>18678.099999999999</v>
      </c>
      <c r="BU4" s="243">
        <v>2885978</v>
      </c>
      <c r="BV4" s="243">
        <v>73388</v>
      </c>
      <c r="BW4" s="243">
        <v>18285.13</v>
      </c>
      <c r="BX4" s="981">
        <v>2618222</v>
      </c>
      <c r="BY4" s="981">
        <v>124221</v>
      </c>
      <c r="BZ4" s="981">
        <v>15433.8</v>
      </c>
      <c r="CA4" s="981">
        <v>7779.21</v>
      </c>
      <c r="CB4" s="981">
        <v>5305.16</v>
      </c>
      <c r="CC4" s="981">
        <v>990080</v>
      </c>
      <c r="CD4" s="981">
        <v>563076</v>
      </c>
      <c r="CE4" s="981">
        <v>662392</v>
      </c>
      <c r="CF4" s="981">
        <v>419273</v>
      </c>
      <c r="CG4" s="1283">
        <v>0</v>
      </c>
    </row>
    <row r="5" spans="1:85" ht="13.2">
      <c r="A5" s="155">
        <v>44929</v>
      </c>
      <c r="B5" s="981">
        <v>1057.912</v>
      </c>
      <c r="C5" s="981">
        <v>584.95799999999997</v>
      </c>
      <c r="D5" s="981">
        <v>6840</v>
      </c>
      <c r="E5" s="1270">
        <v>1</v>
      </c>
      <c r="F5" s="243">
        <v>15583.2</v>
      </c>
      <c r="G5" s="243">
        <v>4837.7</v>
      </c>
      <c r="H5" s="243">
        <v>563200.9</v>
      </c>
      <c r="I5" s="243">
        <v>259820.3</v>
      </c>
      <c r="J5" s="243">
        <v>202871.7</v>
      </c>
      <c r="K5" s="981"/>
      <c r="L5" s="981"/>
      <c r="M5" s="243">
        <v>14948.1</v>
      </c>
      <c r="N5" s="243">
        <v>7010.3</v>
      </c>
      <c r="O5" s="981">
        <v>42953.98</v>
      </c>
      <c r="P5" s="981">
        <v>34174.69</v>
      </c>
      <c r="Q5" s="243">
        <v>135967.79</v>
      </c>
      <c r="R5" s="243">
        <v>112798.69</v>
      </c>
      <c r="S5" s="243">
        <v>138031.34</v>
      </c>
      <c r="T5" s="243">
        <v>94673.78</v>
      </c>
      <c r="U5" s="981">
        <v>14051.63</v>
      </c>
      <c r="V5" s="981">
        <v>10671.64</v>
      </c>
      <c r="W5" s="243">
        <v>14825.22</v>
      </c>
      <c r="X5" s="243">
        <v>7713.56</v>
      </c>
      <c r="Y5" s="244">
        <v>208430.7</v>
      </c>
      <c r="Z5" s="981">
        <v>345.9</v>
      </c>
      <c r="AA5" s="981">
        <v>50716</v>
      </c>
      <c r="AB5" s="243">
        <v>553335.6</v>
      </c>
      <c r="AC5" s="243">
        <v>282082.40000000002</v>
      </c>
      <c r="AD5" s="244">
        <v>208380.1</v>
      </c>
      <c r="AE5" s="981">
        <v>1112.4000000000001</v>
      </c>
      <c r="AF5" s="1051">
        <v>942</v>
      </c>
      <c r="AG5" s="243">
        <v>35272.53</v>
      </c>
      <c r="AH5" s="243">
        <v>25145.8</v>
      </c>
      <c r="AI5" s="243">
        <v>81527.13</v>
      </c>
      <c r="AJ5" s="243">
        <v>63026.99</v>
      </c>
      <c r="AK5" s="243">
        <v>64426.35</v>
      </c>
      <c r="AL5" s="243">
        <v>52471.57</v>
      </c>
      <c r="AM5" s="243">
        <v>58289.8</v>
      </c>
      <c r="AN5" s="243">
        <v>22925.1</v>
      </c>
      <c r="AO5" s="981">
        <v>16.3</v>
      </c>
      <c r="AP5" s="981">
        <v>17.3</v>
      </c>
      <c r="AQ5" s="243">
        <v>474447.4</v>
      </c>
      <c r="AR5" s="243">
        <v>219136</v>
      </c>
      <c r="AS5" s="402">
        <v>64543</v>
      </c>
      <c r="AT5" s="243"/>
      <c r="AU5" s="243">
        <v>442823.7</v>
      </c>
      <c r="AV5" s="243">
        <v>194994.6</v>
      </c>
      <c r="AW5" s="243">
        <v>76767</v>
      </c>
      <c r="AX5" s="243">
        <v>4135.16</v>
      </c>
      <c r="AY5" s="243">
        <v>2749.12</v>
      </c>
      <c r="AZ5" s="981">
        <v>219.56</v>
      </c>
      <c r="BA5" s="981">
        <v>132.9</v>
      </c>
      <c r="BB5" s="981">
        <v>786.75599999999997</v>
      </c>
      <c r="BC5" s="981">
        <v>335.334</v>
      </c>
      <c r="BD5" s="1056">
        <v>1778.23</v>
      </c>
      <c r="BE5" s="981">
        <v>3093.1</v>
      </c>
      <c r="BF5" s="981">
        <v>490.6</v>
      </c>
      <c r="BG5" s="213">
        <v>6501.32</v>
      </c>
      <c r="BH5" s="213">
        <v>26209.403508771924</v>
      </c>
      <c r="BI5" s="982">
        <v>12469.710258117209</v>
      </c>
      <c r="BJ5" s="982">
        <v>6197.77</v>
      </c>
      <c r="BK5" s="981">
        <v>6493247</v>
      </c>
      <c r="BL5" s="652">
        <v>4912927</v>
      </c>
      <c r="BM5" s="981">
        <v>216232</v>
      </c>
      <c r="BN5" s="981">
        <v>179531</v>
      </c>
      <c r="BO5" s="213">
        <v>141</v>
      </c>
      <c r="BP5" s="213">
        <v>46.165999999999997</v>
      </c>
      <c r="BQ5" s="213">
        <v>662</v>
      </c>
      <c r="BR5" s="981">
        <v>2426200</v>
      </c>
      <c r="BS5" s="981">
        <v>469</v>
      </c>
      <c r="BT5" s="981">
        <v>18678.099999999999</v>
      </c>
      <c r="BU5" s="243">
        <v>2890196</v>
      </c>
      <c r="BV5" s="243">
        <v>73828</v>
      </c>
      <c r="BW5" s="243">
        <v>18309.16</v>
      </c>
      <c r="BX5" s="981">
        <v>2621714</v>
      </c>
      <c r="BY5" s="981">
        <v>124294</v>
      </c>
      <c r="BZ5" s="981">
        <v>15457.8</v>
      </c>
      <c r="CA5" s="981">
        <v>7786.39</v>
      </c>
      <c r="CB5" s="981">
        <v>5309.89</v>
      </c>
      <c r="CC5" s="981">
        <v>990666</v>
      </c>
      <c r="CD5" s="981">
        <v>563435</v>
      </c>
      <c r="CE5" s="981">
        <v>663298</v>
      </c>
      <c r="CF5" s="981">
        <v>419850</v>
      </c>
      <c r="CG5" s="1283">
        <v>1</v>
      </c>
    </row>
    <row r="6" spans="1:85" ht="12.75" customHeight="1">
      <c r="A6" s="155">
        <v>44930</v>
      </c>
      <c r="B6" s="981">
        <v>1057.912</v>
      </c>
      <c r="C6" s="981">
        <v>584.95799999999997</v>
      </c>
      <c r="D6" s="981">
        <v>6840</v>
      </c>
      <c r="E6" s="1270">
        <v>0</v>
      </c>
      <c r="F6" s="243">
        <v>15598.3</v>
      </c>
      <c r="G6" s="243">
        <v>4842.5</v>
      </c>
      <c r="H6" s="243">
        <v>563362.9</v>
      </c>
      <c r="I6" s="243">
        <v>259903.1</v>
      </c>
      <c r="J6" s="243">
        <v>202895.7</v>
      </c>
      <c r="K6" s="981"/>
      <c r="L6" s="981"/>
      <c r="M6" s="243">
        <v>14948.1</v>
      </c>
      <c r="N6" s="243">
        <v>7010.3</v>
      </c>
      <c r="O6" s="981">
        <v>42982.9</v>
      </c>
      <c r="P6" s="981">
        <v>34197.300000000003</v>
      </c>
      <c r="Q6" s="243">
        <v>135984.1</v>
      </c>
      <c r="R6" s="243">
        <v>112812.25</v>
      </c>
      <c r="S6" s="243">
        <v>138048.6</v>
      </c>
      <c r="T6" s="243">
        <v>94685.8</v>
      </c>
      <c r="U6" s="981">
        <v>14051.63</v>
      </c>
      <c r="V6" s="981">
        <v>10671.64</v>
      </c>
      <c r="W6" s="243">
        <v>15125.6</v>
      </c>
      <c r="X6" s="243">
        <v>7863.66</v>
      </c>
      <c r="Y6" s="243">
        <v>208454.7</v>
      </c>
      <c r="Z6" s="981">
        <v>345.9</v>
      </c>
      <c r="AA6" s="981">
        <v>50716</v>
      </c>
      <c r="AB6" s="243">
        <v>553483.5</v>
      </c>
      <c r="AC6" s="243">
        <v>282162.59999999998</v>
      </c>
      <c r="AD6" s="243">
        <v>208404.1</v>
      </c>
      <c r="AE6" s="981">
        <v>1112.4000000000001</v>
      </c>
      <c r="AF6" s="1051">
        <v>942</v>
      </c>
      <c r="AG6" s="243">
        <v>35274.639999999999</v>
      </c>
      <c r="AH6" s="243">
        <v>25147.3</v>
      </c>
      <c r="AI6" s="243">
        <v>81536.039999999994</v>
      </c>
      <c r="AJ6" s="243">
        <v>63034.02</v>
      </c>
      <c r="AK6" s="243">
        <v>64442.52</v>
      </c>
      <c r="AL6" s="243">
        <v>52484.45</v>
      </c>
      <c r="AM6" s="243">
        <v>58303</v>
      </c>
      <c r="AN6" s="243">
        <v>22930.400000000001</v>
      </c>
      <c r="AO6" s="981">
        <v>16.3</v>
      </c>
      <c r="AP6" s="981">
        <v>17.3</v>
      </c>
      <c r="AQ6" s="243">
        <v>474601.8</v>
      </c>
      <c r="AR6" s="243">
        <v>219203.6</v>
      </c>
      <c r="AS6" s="402">
        <v>64547.6</v>
      </c>
      <c r="AT6" s="243"/>
      <c r="AU6" s="243">
        <v>442966.3</v>
      </c>
      <c r="AV6" s="243">
        <v>195056.8</v>
      </c>
      <c r="AW6" s="243">
        <v>76791</v>
      </c>
      <c r="AX6" s="243">
        <v>4138.72</v>
      </c>
      <c r="AY6" s="243">
        <v>2751.63</v>
      </c>
      <c r="AZ6" s="981">
        <v>219.56</v>
      </c>
      <c r="BA6" s="981">
        <v>132.9</v>
      </c>
      <c r="BB6" s="981">
        <v>786.75599999999997</v>
      </c>
      <c r="BC6" s="981">
        <v>335.334</v>
      </c>
      <c r="BD6" s="1056">
        <v>1778.23</v>
      </c>
      <c r="BE6" s="981">
        <v>3094.9</v>
      </c>
      <c r="BF6" s="981">
        <v>490.6</v>
      </c>
      <c r="BG6" s="213">
        <v>6859.6699999999992</v>
      </c>
      <c r="BH6" s="213">
        <v>16406.077192982455</v>
      </c>
      <c r="BI6" s="982">
        <v>11155.524980049529</v>
      </c>
      <c r="BJ6" s="982">
        <v>6126.3400000000011</v>
      </c>
      <c r="BK6" s="981">
        <v>6494785</v>
      </c>
      <c r="BL6" s="652">
        <v>4914404</v>
      </c>
      <c r="BM6" s="981">
        <v>216232</v>
      </c>
      <c r="BN6" s="981">
        <v>179531</v>
      </c>
      <c r="BO6" s="213">
        <v>138.99989039906302</v>
      </c>
      <c r="BP6" s="213">
        <v>46.159994197301529</v>
      </c>
      <c r="BQ6" s="213">
        <v>660.47371883100357</v>
      </c>
      <c r="BR6" s="981">
        <v>2426200</v>
      </c>
      <c r="BS6" s="981">
        <v>469</v>
      </c>
      <c r="BT6" s="981">
        <v>18678.099999999999</v>
      </c>
      <c r="BU6" s="243">
        <v>2893538</v>
      </c>
      <c r="BV6" s="243">
        <v>74058</v>
      </c>
      <c r="BW6" s="243">
        <v>18333.14</v>
      </c>
      <c r="BX6" s="981">
        <v>2624636</v>
      </c>
      <c r="BY6" s="981">
        <v>124314</v>
      </c>
      <c r="BZ6" s="981">
        <v>15481.8</v>
      </c>
      <c r="CA6" s="981">
        <v>7794.3</v>
      </c>
      <c r="CB6" s="981">
        <v>5314.98</v>
      </c>
      <c r="CC6" s="981">
        <v>991289</v>
      </c>
      <c r="CD6" s="981">
        <v>563811</v>
      </c>
      <c r="CE6" s="981">
        <v>664146</v>
      </c>
      <c r="CF6" s="981">
        <v>420387</v>
      </c>
      <c r="CG6" s="1283">
        <v>0</v>
      </c>
    </row>
    <row r="7" spans="1:85" ht="13.2">
      <c r="A7" s="155">
        <v>44931</v>
      </c>
      <c r="B7" s="243">
        <v>1058.3119999999999</v>
      </c>
      <c r="C7" s="243">
        <v>585.18499999999995</v>
      </c>
      <c r="D7" s="243">
        <v>6840.7</v>
      </c>
      <c r="E7" s="1271">
        <v>1</v>
      </c>
      <c r="F7" s="243">
        <v>15615</v>
      </c>
      <c r="G7" s="243">
        <v>4847.5</v>
      </c>
      <c r="H7" s="243">
        <v>563524.80000000005</v>
      </c>
      <c r="I7" s="243">
        <v>259985.3</v>
      </c>
      <c r="J7" s="243">
        <v>202919.7</v>
      </c>
      <c r="K7" s="981"/>
      <c r="L7" s="981"/>
      <c r="M7" s="243">
        <v>14948.1</v>
      </c>
      <c r="N7" s="243">
        <v>7010.3</v>
      </c>
      <c r="O7" s="981">
        <v>43013</v>
      </c>
      <c r="P7" s="981">
        <v>34221.1</v>
      </c>
      <c r="Q7" s="243">
        <v>135998.9</v>
      </c>
      <c r="R7" s="243">
        <v>112825</v>
      </c>
      <c r="S7" s="243">
        <v>138065.9</v>
      </c>
      <c r="T7" s="243">
        <v>94697.8</v>
      </c>
      <c r="U7" s="981">
        <v>14051.63</v>
      </c>
      <c r="V7" s="981">
        <v>10671.64</v>
      </c>
      <c r="W7" s="243">
        <v>15426.7</v>
      </c>
      <c r="X7" s="243">
        <v>8015.8</v>
      </c>
      <c r="Y7" s="243">
        <v>208478.7</v>
      </c>
      <c r="Z7" s="981">
        <v>345.9</v>
      </c>
      <c r="AA7" s="981">
        <v>50716</v>
      </c>
      <c r="AB7" s="243">
        <v>553630</v>
      </c>
      <c r="AC7" s="243">
        <v>282240.8</v>
      </c>
      <c r="AD7" s="243">
        <v>208428.1</v>
      </c>
      <c r="AE7" s="981">
        <v>1112.4000000000001</v>
      </c>
      <c r="AF7" s="1051">
        <v>942</v>
      </c>
      <c r="AG7" s="243">
        <v>35276.699999999997</v>
      </c>
      <c r="AH7" s="243">
        <v>25148.799999999999</v>
      </c>
      <c r="AI7" s="243">
        <v>81546.7</v>
      </c>
      <c r="AJ7" s="243">
        <v>63042.400000000001</v>
      </c>
      <c r="AK7" s="243">
        <v>64458.7</v>
      </c>
      <c r="AL7" s="243">
        <v>52497.3</v>
      </c>
      <c r="AM7" s="243">
        <v>58307.4</v>
      </c>
      <c r="AN7" s="243">
        <v>22932.2</v>
      </c>
      <c r="AO7" s="981">
        <v>16.3</v>
      </c>
      <c r="AP7" s="981">
        <v>17.3</v>
      </c>
      <c r="AQ7" s="243">
        <v>474759.9</v>
      </c>
      <c r="AR7" s="243">
        <v>219272.5</v>
      </c>
      <c r="AS7" s="402">
        <v>64553</v>
      </c>
      <c r="AT7" s="243"/>
      <c r="AU7" s="243">
        <v>443116</v>
      </c>
      <c r="AV7" s="243">
        <v>195121.8</v>
      </c>
      <c r="AW7" s="243">
        <v>76815</v>
      </c>
      <c r="AX7" s="243">
        <v>4142.3</v>
      </c>
      <c r="AY7" s="243">
        <v>2754.2</v>
      </c>
      <c r="AZ7" s="243">
        <v>219.56</v>
      </c>
      <c r="BA7" s="243">
        <v>132.9</v>
      </c>
      <c r="BB7" s="981">
        <v>786.75599999999997</v>
      </c>
      <c r="BC7" s="981">
        <v>335.334</v>
      </c>
      <c r="BD7" s="1056">
        <v>1778.23</v>
      </c>
      <c r="BE7" s="981">
        <v>3096.5</v>
      </c>
      <c r="BF7" s="981">
        <v>490.6</v>
      </c>
      <c r="BG7" s="213">
        <v>7112.5199999999995</v>
      </c>
      <c r="BH7" s="213">
        <v>28167.83157894736</v>
      </c>
      <c r="BI7" s="982">
        <v>10208.582955071874</v>
      </c>
      <c r="BJ7" s="213">
        <v>5602.380000000001</v>
      </c>
      <c r="BK7" s="981">
        <v>6496217</v>
      </c>
      <c r="BL7" s="652">
        <v>4915777</v>
      </c>
      <c r="BM7" s="981">
        <v>216232</v>
      </c>
      <c r="BN7" s="981">
        <v>179531</v>
      </c>
      <c r="BO7" s="213">
        <v>137.46206902750416</v>
      </c>
      <c r="BP7" s="213">
        <v>46.36221350028282</v>
      </c>
      <c r="BQ7" s="213">
        <v>652.60190112759221</v>
      </c>
      <c r="BR7" s="981">
        <v>2426200</v>
      </c>
      <c r="BS7" s="981">
        <v>469</v>
      </c>
      <c r="BT7" s="981">
        <v>18678.099999999999</v>
      </c>
      <c r="BU7" s="243">
        <v>2897669</v>
      </c>
      <c r="BV7" s="243">
        <v>74524</v>
      </c>
      <c r="BW7" s="243">
        <v>18357.099999999999</v>
      </c>
      <c r="BX7" s="981">
        <v>2627839</v>
      </c>
      <c r="BY7" s="981">
        <v>124330</v>
      </c>
      <c r="BZ7" s="981">
        <v>15505.8</v>
      </c>
      <c r="CA7" s="981">
        <v>7803</v>
      </c>
      <c r="CB7" s="981">
        <v>5320.4</v>
      </c>
      <c r="CC7" s="981">
        <v>991946</v>
      </c>
      <c r="CD7" s="981">
        <v>564205</v>
      </c>
      <c r="CE7" s="981">
        <v>665026</v>
      </c>
      <c r="CF7" s="981">
        <v>420944</v>
      </c>
      <c r="CG7" s="1283">
        <v>0</v>
      </c>
    </row>
    <row r="8" spans="1:85" ht="13.2">
      <c r="A8" s="155">
        <v>44932</v>
      </c>
      <c r="B8" s="243">
        <v>1058.3119999999999</v>
      </c>
      <c r="C8" s="243">
        <v>585.18499999999995</v>
      </c>
      <c r="D8" s="243">
        <v>6840.7</v>
      </c>
      <c r="E8" s="1271">
        <v>0</v>
      </c>
      <c r="F8" s="243">
        <v>15632.6</v>
      </c>
      <c r="G8" s="243">
        <v>4853.3</v>
      </c>
      <c r="H8" s="243">
        <v>563690.1</v>
      </c>
      <c r="I8" s="243">
        <v>260070.39999999999</v>
      </c>
      <c r="J8" s="243">
        <v>202943.7</v>
      </c>
      <c r="K8" s="981"/>
      <c r="L8" s="981"/>
      <c r="M8" s="243">
        <v>14948.1</v>
      </c>
      <c r="N8" s="243">
        <v>7010.3</v>
      </c>
      <c r="O8" s="243">
        <v>43035.3</v>
      </c>
      <c r="P8" s="243">
        <v>34237.4</v>
      </c>
      <c r="Q8" s="243">
        <v>136013.9</v>
      </c>
      <c r="R8" s="243">
        <v>112837.5</v>
      </c>
      <c r="S8" s="243">
        <v>138084.20000000001</v>
      </c>
      <c r="T8" s="243">
        <v>94710.399999999994</v>
      </c>
      <c r="U8" s="981">
        <v>14051.63</v>
      </c>
      <c r="V8" s="981">
        <v>10671.64</v>
      </c>
      <c r="W8" s="243">
        <v>15639.4</v>
      </c>
      <c r="X8" s="243">
        <v>8135.7</v>
      </c>
      <c r="Y8" s="243">
        <v>208502.7</v>
      </c>
      <c r="Z8" s="981">
        <v>345.9</v>
      </c>
      <c r="AA8" s="981">
        <v>50716</v>
      </c>
      <c r="AB8" s="243">
        <v>553738.80000000005</v>
      </c>
      <c r="AC8" s="243">
        <v>282295.90000000002</v>
      </c>
      <c r="AD8" s="243">
        <v>208452.1</v>
      </c>
      <c r="AE8" s="981">
        <v>1112.4000000000001</v>
      </c>
      <c r="AF8" s="1051">
        <v>942</v>
      </c>
      <c r="AG8" s="243">
        <v>35278.9</v>
      </c>
      <c r="AH8" s="243">
        <v>25150.400000000001</v>
      </c>
      <c r="AI8" s="243">
        <v>81557.2</v>
      </c>
      <c r="AJ8" s="243">
        <v>63050.8</v>
      </c>
      <c r="AK8" s="243">
        <v>64474.6</v>
      </c>
      <c r="AL8" s="243">
        <v>52510.5</v>
      </c>
      <c r="AM8" s="243">
        <v>58318</v>
      </c>
      <c r="AN8" s="243">
        <v>22936.400000000001</v>
      </c>
      <c r="AO8" s="981">
        <v>16.3</v>
      </c>
      <c r="AP8" s="981">
        <v>17.3</v>
      </c>
      <c r="AQ8" s="243">
        <v>474791</v>
      </c>
      <c r="AR8" s="243">
        <v>219285.8</v>
      </c>
      <c r="AS8" s="402">
        <v>64558.7</v>
      </c>
      <c r="AT8" s="243"/>
      <c r="AU8" s="243">
        <v>443141.5</v>
      </c>
      <c r="AV8" s="243">
        <v>195132.9</v>
      </c>
      <c r="AW8" s="243">
        <v>76834.66</v>
      </c>
      <c r="AX8" s="243">
        <v>4145.8</v>
      </c>
      <c r="AY8" s="243">
        <v>2756.7</v>
      </c>
      <c r="AZ8" s="243">
        <v>219.56</v>
      </c>
      <c r="BA8" s="243">
        <v>132.9</v>
      </c>
      <c r="BB8" s="981">
        <v>786.75599999999997</v>
      </c>
      <c r="BC8" s="981">
        <v>335.334</v>
      </c>
      <c r="BD8" s="1056">
        <v>1778.23</v>
      </c>
      <c r="BE8" s="981">
        <v>3097.2</v>
      </c>
      <c r="BF8" s="981">
        <v>490.6</v>
      </c>
      <c r="BG8" s="213">
        <v>6356.6099999999979</v>
      </c>
      <c r="BH8" s="213">
        <v>22872.242105263158</v>
      </c>
      <c r="BI8" s="982">
        <v>9248.1363284522613</v>
      </c>
      <c r="BJ8" s="213">
        <v>6049.03</v>
      </c>
      <c r="BK8" s="652">
        <v>6497732</v>
      </c>
      <c r="BL8" s="652">
        <v>4917231</v>
      </c>
      <c r="BM8" s="981">
        <v>216232</v>
      </c>
      <c r="BN8" s="981">
        <v>179531</v>
      </c>
      <c r="BO8" s="213">
        <v>136.87589167033266</v>
      </c>
      <c r="BP8" s="213">
        <v>46.114894863660545</v>
      </c>
      <c r="BQ8" s="213">
        <v>654.15042006628346</v>
      </c>
      <c r="BR8" s="981">
        <v>2426200</v>
      </c>
      <c r="BS8" s="981">
        <v>469</v>
      </c>
      <c r="BT8" s="981">
        <v>18678.099999999999</v>
      </c>
      <c r="BU8" s="243">
        <v>2901056</v>
      </c>
      <c r="BV8" s="243">
        <v>75046</v>
      </c>
      <c r="BW8" s="243">
        <v>18375.099999999999</v>
      </c>
      <c r="BX8" s="981">
        <v>2630467</v>
      </c>
      <c r="BY8" s="981">
        <v>124365</v>
      </c>
      <c r="BZ8" s="981">
        <v>15523.8</v>
      </c>
      <c r="CA8" s="981">
        <v>7809.8</v>
      </c>
      <c r="CB8" s="981">
        <v>5324.6</v>
      </c>
      <c r="CC8" s="981">
        <v>992599</v>
      </c>
      <c r="CD8" s="981">
        <v>564598</v>
      </c>
      <c r="CE8" s="981">
        <v>665809</v>
      </c>
      <c r="CF8" s="981">
        <v>421476</v>
      </c>
      <c r="CG8" s="1283">
        <v>0</v>
      </c>
    </row>
    <row r="9" spans="1:85" ht="13.2">
      <c r="A9" s="155">
        <v>44933</v>
      </c>
      <c r="B9" s="243">
        <v>1058.3119999999999</v>
      </c>
      <c r="C9" s="243">
        <v>585.18499999999995</v>
      </c>
      <c r="D9" s="243">
        <v>6840.7</v>
      </c>
      <c r="E9" s="1271">
        <v>0</v>
      </c>
      <c r="F9" s="981">
        <v>15640.8</v>
      </c>
      <c r="G9" s="981">
        <v>4855.8999999999996</v>
      </c>
      <c r="H9" s="981">
        <v>563857</v>
      </c>
      <c r="I9" s="981">
        <v>260154</v>
      </c>
      <c r="J9" s="981">
        <v>202967.7</v>
      </c>
      <c r="K9" s="981"/>
      <c r="L9" s="981"/>
      <c r="M9" s="243">
        <v>14948.1</v>
      </c>
      <c r="N9" s="243">
        <v>7010.3</v>
      </c>
      <c r="O9" s="981">
        <v>43049.8</v>
      </c>
      <c r="P9" s="981">
        <v>34248.1</v>
      </c>
      <c r="Q9" s="981">
        <v>136028.79999999999</v>
      </c>
      <c r="R9" s="981">
        <v>112850.3</v>
      </c>
      <c r="S9" s="981">
        <v>138101.5</v>
      </c>
      <c r="T9" s="981">
        <v>94722.6</v>
      </c>
      <c r="U9" s="981">
        <v>14051.63</v>
      </c>
      <c r="V9" s="981">
        <v>10671.64</v>
      </c>
      <c r="W9" s="981">
        <v>15885.6</v>
      </c>
      <c r="X9" s="981">
        <v>8265.9</v>
      </c>
      <c r="Y9" s="981">
        <v>208526.7</v>
      </c>
      <c r="Z9" s="981">
        <v>345.9</v>
      </c>
      <c r="AA9" s="981">
        <v>50716</v>
      </c>
      <c r="AB9" s="981">
        <v>553863.69999999995</v>
      </c>
      <c r="AC9" s="981">
        <v>282361.90000000002</v>
      </c>
      <c r="AD9" s="981">
        <v>208476.1</v>
      </c>
      <c r="AE9" s="981">
        <v>1112.4000000000001</v>
      </c>
      <c r="AF9" s="1051">
        <v>942</v>
      </c>
      <c r="AG9" s="981">
        <v>35281</v>
      </c>
      <c r="AH9" s="981">
        <v>25151.9</v>
      </c>
      <c r="AI9" s="981">
        <v>81568.2</v>
      </c>
      <c r="AJ9" s="981">
        <v>63059.4</v>
      </c>
      <c r="AK9" s="981">
        <v>64489.9</v>
      </c>
      <c r="AL9" s="981">
        <v>52523.3</v>
      </c>
      <c r="AM9" s="981">
        <v>58323.5</v>
      </c>
      <c r="AN9" s="981">
        <v>22938.6</v>
      </c>
      <c r="AO9" s="981">
        <v>16.3</v>
      </c>
      <c r="AP9" s="981">
        <v>17.3</v>
      </c>
      <c r="AQ9" s="981">
        <v>474894.6</v>
      </c>
      <c r="AR9" s="981">
        <v>219334.7</v>
      </c>
      <c r="AS9" s="981">
        <v>64563.9</v>
      </c>
      <c r="AT9" s="981"/>
      <c r="AU9" s="981">
        <v>443236.7</v>
      </c>
      <c r="AV9" s="981">
        <v>195174.5</v>
      </c>
      <c r="AW9" s="981">
        <v>76850.06</v>
      </c>
      <c r="AX9" s="981">
        <v>4148.8</v>
      </c>
      <c r="AY9" s="981">
        <v>2758.7</v>
      </c>
      <c r="AZ9" s="981">
        <v>219.58</v>
      </c>
      <c r="BA9" s="243">
        <v>132.9</v>
      </c>
      <c r="BB9" s="981">
        <v>787.774</v>
      </c>
      <c r="BC9" s="981">
        <v>335.80700000000002</v>
      </c>
      <c r="BD9" s="1056">
        <v>1784.5</v>
      </c>
      <c r="BE9" s="981">
        <v>3098.2</v>
      </c>
      <c r="BF9" s="981">
        <v>490.6</v>
      </c>
      <c r="BG9" s="981">
        <v>6779.78</v>
      </c>
      <c r="BH9" s="981">
        <v>14289.931578947368</v>
      </c>
      <c r="BI9" s="981">
        <v>4712.9045301954875</v>
      </c>
      <c r="BJ9" s="981">
        <v>5304.3499999999995</v>
      </c>
      <c r="BK9" s="981">
        <v>6499192</v>
      </c>
      <c r="BL9" s="981">
        <v>4918631</v>
      </c>
      <c r="BM9" s="981">
        <v>216232</v>
      </c>
      <c r="BN9" s="981">
        <v>179531</v>
      </c>
      <c r="BO9" s="981">
        <v>137.53028599982156</v>
      </c>
      <c r="BP9" s="981">
        <v>46.053766251674901</v>
      </c>
      <c r="BQ9" s="981">
        <v>655.37978297583936</v>
      </c>
      <c r="BR9" s="981">
        <v>2426200</v>
      </c>
      <c r="BS9" s="981">
        <v>469</v>
      </c>
      <c r="BT9" s="981">
        <v>18678.099999999999</v>
      </c>
      <c r="BU9" s="981">
        <v>2903394</v>
      </c>
      <c r="BV9" s="981">
        <v>75346</v>
      </c>
      <c r="BW9" s="981">
        <v>18387.7</v>
      </c>
      <c r="BX9" s="981">
        <v>2631915</v>
      </c>
      <c r="BY9" s="981">
        <v>124367</v>
      </c>
      <c r="BZ9" s="981">
        <v>15536.4</v>
      </c>
      <c r="CA9" s="981">
        <v>7814.1</v>
      </c>
      <c r="CB9" s="981">
        <v>5327.4</v>
      </c>
      <c r="CC9" s="981">
        <v>993265</v>
      </c>
      <c r="CD9" s="981">
        <v>564997</v>
      </c>
      <c r="CE9" s="981">
        <v>666530</v>
      </c>
      <c r="CF9" s="981">
        <v>421952</v>
      </c>
      <c r="CG9" s="1283">
        <v>1</v>
      </c>
    </row>
    <row r="10" spans="1:85" ht="13.2">
      <c r="A10" s="155">
        <v>44934</v>
      </c>
      <c r="B10" s="243">
        <v>1058.3119999999999</v>
      </c>
      <c r="C10" s="243">
        <v>585.18499999999995</v>
      </c>
      <c r="D10" s="243">
        <v>6840.7</v>
      </c>
      <c r="E10" s="1271">
        <v>0</v>
      </c>
      <c r="F10" s="243">
        <v>15656.1</v>
      </c>
      <c r="G10" s="243">
        <v>4860.6000000000004</v>
      </c>
      <c r="H10" s="243">
        <v>564022.9</v>
      </c>
      <c r="I10" s="243">
        <v>260238.2</v>
      </c>
      <c r="J10" s="243">
        <v>202991.7</v>
      </c>
      <c r="K10" s="981"/>
      <c r="L10" s="981"/>
      <c r="M10" s="243">
        <v>14948.1</v>
      </c>
      <c r="N10" s="243">
        <v>7010.3</v>
      </c>
      <c r="O10" s="243">
        <v>43065.1</v>
      </c>
      <c r="P10" s="243">
        <v>34259.199999999997</v>
      </c>
      <c r="Q10" s="243">
        <v>136044.29999999999</v>
      </c>
      <c r="R10" s="243">
        <v>112862.9</v>
      </c>
      <c r="S10" s="243">
        <v>138118.39999999999</v>
      </c>
      <c r="T10" s="243">
        <v>94734.5</v>
      </c>
      <c r="U10" s="981">
        <v>14051.63</v>
      </c>
      <c r="V10" s="981">
        <v>10671.64</v>
      </c>
      <c r="W10" s="243">
        <v>16177</v>
      </c>
      <c r="X10" s="243">
        <v>8418.5</v>
      </c>
      <c r="Y10" s="243">
        <v>208550.7</v>
      </c>
      <c r="Z10" s="981">
        <v>345.9</v>
      </c>
      <c r="AA10" s="981">
        <v>50716</v>
      </c>
      <c r="AB10" s="243">
        <v>554013.1</v>
      </c>
      <c r="AC10" s="243">
        <v>282433.2</v>
      </c>
      <c r="AD10" s="243">
        <v>208500.1</v>
      </c>
      <c r="AE10" s="981">
        <v>1112.4000000000001</v>
      </c>
      <c r="AF10" s="1051">
        <v>942</v>
      </c>
      <c r="AG10" s="243">
        <v>35283</v>
      </c>
      <c r="AH10" s="243">
        <v>25153.3</v>
      </c>
      <c r="AI10" s="243">
        <v>81576.100000000006</v>
      </c>
      <c r="AJ10" s="243">
        <v>63065.7</v>
      </c>
      <c r="AK10" s="243">
        <v>64505.8</v>
      </c>
      <c r="AL10" s="243">
        <v>52536.3</v>
      </c>
      <c r="AM10" s="243">
        <v>58337.8</v>
      </c>
      <c r="AN10" s="243">
        <v>22944.3</v>
      </c>
      <c r="AO10" s="981">
        <v>16.3</v>
      </c>
      <c r="AP10" s="981">
        <v>17.3</v>
      </c>
      <c r="AQ10" s="243">
        <v>475053.2</v>
      </c>
      <c r="AR10" s="243">
        <v>219408.5</v>
      </c>
      <c r="AS10" s="402">
        <v>64568.4</v>
      </c>
      <c r="AT10" s="243"/>
      <c r="AU10" s="243">
        <v>443382.8</v>
      </c>
      <c r="AV10" s="243">
        <v>195237.9</v>
      </c>
      <c r="AW10" s="243">
        <v>76874.06</v>
      </c>
      <c r="AX10" s="243">
        <v>4151.7</v>
      </c>
      <c r="AY10" s="243">
        <v>2760.8</v>
      </c>
      <c r="AZ10" s="981">
        <v>219.58</v>
      </c>
      <c r="BA10" s="243">
        <v>132.9</v>
      </c>
      <c r="BB10" s="981">
        <v>787.774</v>
      </c>
      <c r="BC10" s="981">
        <v>335.80700000000002</v>
      </c>
      <c r="BD10" s="1056">
        <v>1784.5</v>
      </c>
      <c r="BE10" s="981">
        <v>3100.2</v>
      </c>
      <c r="BF10" s="981">
        <v>490.6</v>
      </c>
      <c r="BG10" s="213">
        <v>6812.62</v>
      </c>
      <c r="BH10" s="213">
        <v>31890.489473684218</v>
      </c>
      <c r="BI10" s="982">
        <v>8957.2669552346397</v>
      </c>
      <c r="BJ10" s="213">
        <v>6858.9599999999982</v>
      </c>
      <c r="BK10" s="652">
        <v>6500768</v>
      </c>
      <c r="BL10" s="652">
        <v>4920184</v>
      </c>
      <c r="BM10" s="981">
        <v>216232</v>
      </c>
      <c r="BN10" s="981">
        <v>179531</v>
      </c>
      <c r="BO10" s="213">
        <v>138.83457178536267</v>
      </c>
      <c r="BP10" s="213">
        <v>46.005126331966892</v>
      </c>
      <c r="BQ10" s="213">
        <v>660.64053882464668</v>
      </c>
      <c r="BR10" s="981">
        <v>2426200</v>
      </c>
      <c r="BS10" s="981">
        <v>469</v>
      </c>
      <c r="BT10" s="981">
        <v>18678.099999999999</v>
      </c>
      <c r="BU10" s="243">
        <v>2907940</v>
      </c>
      <c r="BV10" s="243">
        <v>76262</v>
      </c>
      <c r="BW10" s="243">
        <v>18411.599999999999</v>
      </c>
      <c r="BX10" s="981">
        <v>2634882</v>
      </c>
      <c r="BY10" s="981">
        <v>124369</v>
      </c>
      <c r="BZ10" s="981">
        <v>15560.4</v>
      </c>
      <c r="CA10" s="981">
        <v>7821</v>
      </c>
      <c r="CB10" s="981">
        <v>5331.9</v>
      </c>
      <c r="CC10" s="981">
        <v>993871</v>
      </c>
      <c r="CD10" s="981">
        <v>565359</v>
      </c>
      <c r="CE10" s="981">
        <v>667391</v>
      </c>
      <c r="CF10" s="981">
        <v>422500</v>
      </c>
      <c r="CG10" s="1283">
        <v>0</v>
      </c>
    </row>
    <row r="11" spans="1:85" ht="13.2">
      <c r="A11" s="155">
        <v>44935</v>
      </c>
      <c r="B11" s="243">
        <v>1058.4939999999999</v>
      </c>
      <c r="C11" s="243">
        <v>585.226</v>
      </c>
      <c r="D11" s="243">
        <v>6841.2</v>
      </c>
      <c r="E11" s="1271">
        <v>1</v>
      </c>
      <c r="F11" s="243">
        <v>15672.6</v>
      </c>
      <c r="G11" s="243">
        <v>4866</v>
      </c>
      <c r="H11" s="243">
        <v>564182.5</v>
      </c>
      <c r="I11" s="243">
        <v>260319.7</v>
      </c>
      <c r="J11" s="243">
        <v>203015.7</v>
      </c>
      <c r="K11" s="981"/>
      <c r="L11" s="981"/>
      <c r="M11" s="243">
        <v>14948.1</v>
      </c>
      <c r="N11" s="243">
        <v>7010.3</v>
      </c>
      <c r="O11" s="243">
        <v>43081.2</v>
      </c>
      <c r="P11" s="243">
        <v>34270.9</v>
      </c>
      <c r="Q11" s="243">
        <v>136060.1</v>
      </c>
      <c r="R11" s="243">
        <v>112875.7</v>
      </c>
      <c r="S11" s="243">
        <v>138135.6</v>
      </c>
      <c r="T11" s="243">
        <v>94746.7</v>
      </c>
      <c r="U11" s="981">
        <v>14051.63</v>
      </c>
      <c r="V11" s="981">
        <v>10671.64</v>
      </c>
      <c r="W11" s="243">
        <v>16464.099999999999</v>
      </c>
      <c r="X11" s="243">
        <v>8563</v>
      </c>
      <c r="Y11" s="243">
        <v>208574.7</v>
      </c>
      <c r="Z11" s="981">
        <v>345.9</v>
      </c>
      <c r="AA11" s="981">
        <v>50716</v>
      </c>
      <c r="AB11" s="243">
        <v>554161.4</v>
      </c>
      <c r="AC11" s="243">
        <v>282509.5</v>
      </c>
      <c r="AD11" s="243">
        <v>208524.1</v>
      </c>
      <c r="AE11" s="981">
        <v>1112.4000000000001</v>
      </c>
      <c r="AF11" s="1051">
        <v>942</v>
      </c>
      <c r="AG11" s="243">
        <v>35285.1</v>
      </c>
      <c r="AH11" s="243">
        <v>25154.799999999999</v>
      </c>
      <c r="AI11" s="243">
        <v>81583.899999999994</v>
      </c>
      <c r="AJ11" s="243">
        <v>63071.9</v>
      </c>
      <c r="AK11" s="243">
        <v>64521.7</v>
      </c>
      <c r="AL11" s="243">
        <v>52549.4</v>
      </c>
      <c r="AM11" s="243">
        <v>58353.2</v>
      </c>
      <c r="AN11" s="243">
        <v>22950.2</v>
      </c>
      <c r="AO11" s="981">
        <v>16.3</v>
      </c>
      <c r="AP11" s="981">
        <v>17.3</v>
      </c>
      <c r="AQ11" s="243">
        <v>475204.7</v>
      </c>
      <c r="AR11" s="243">
        <v>219476.9</v>
      </c>
      <c r="AS11" s="402">
        <v>64573.3</v>
      </c>
      <c r="AT11" s="243"/>
      <c r="AU11" s="243">
        <v>443522.4</v>
      </c>
      <c r="AV11" s="243">
        <v>195298.9</v>
      </c>
      <c r="AW11" s="243">
        <v>76898.06</v>
      </c>
      <c r="AX11" s="243">
        <v>4154.8</v>
      </c>
      <c r="AY11" s="243">
        <v>2763</v>
      </c>
      <c r="AZ11" s="981">
        <v>219.58</v>
      </c>
      <c r="BA11" s="243">
        <v>132.9</v>
      </c>
      <c r="BB11" s="981">
        <v>788.19799999999998</v>
      </c>
      <c r="BC11" s="981">
        <v>335.971</v>
      </c>
      <c r="BD11" s="1056">
        <v>1785.07</v>
      </c>
      <c r="BE11" s="981">
        <v>3102.1</v>
      </c>
      <c r="BF11" s="981">
        <v>490.6</v>
      </c>
      <c r="BG11" s="213">
        <v>6692.2899999999991</v>
      </c>
      <c r="BH11" s="213">
        <v>29326.224561403502</v>
      </c>
      <c r="BI11" s="982">
        <v>10339.594618956004</v>
      </c>
      <c r="BJ11" s="213">
        <v>6231.55</v>
      </c>
      <c r="BK11" s="652">
        <v>6502281</v>
      </c>
      <c r="BL11" s="652">
        <v>4921654</v>
      </c>
      <c r="BM11" s="981">
        <v>216232</v>
      </c>
      <c r="BN11" s="981">
        <v>179531</v>
      </c>
      <c r="BO11" s="213">
        <v>136.15489273433062</v>
      </c>
      <c r="BP11" s="213">
        <v>45.925162812315342</v>
      </c>
      <c r="BQ11" s="213">
        <v>649.95193967593707</v>
      </c>
      <c r="BR11" s="981">
        <v>2426200</v>
      </c>
      <c r="BS11" s="981">
        <v>469</v>
      </c>
      <c r="BT11" s="981">
        <v>18678.099999999999</v>
      </c>
      <c r="BU11" s="243">
        <v>2912862</v>
      </c>
      <c r="BV11" s="243">
        <v>77122</v>
      </c>
      <c r="BW11" s="243">
        <v>18435.599999999999</v>
      </c>
      <c r="BX11" s="981">
        <v>2638355</v>
      </c>
      <c r="BY11" s="981">
        <v>124472</v>
      </c>
      <c r="BZ11" s="981">
        <v>15584.4</v>
      </c>
      <c r="CA11" s="981">
        <v>7828</v>
      </c>
      <c r="CB11" s="981">
        <v>5336.5</v>
      </c>
      <c r="CC11" s="981">
        <v>994534</v>
      </c>
      <c r="CD11" s="981">
        <v>565752</v>
      </c>
      <c r="CE11" s="981">
        <v>668259</v>
      </c>
      <c r="CF11" s="981">
        <v>423052</v>
      </c>
      <c r="CG11" s="1283">
        <v>1</v>
      </c>
    </row>
    <row r="12" spans="1:85" ht="13.2">
      <c r="A12" s="155">
        <v>44936</v>
      </c>
      <c r="B12" s="243">
        <v>1058.4939999999999</v>
      </c>
      <c r="C12" s="243">
        <v>585.226</v>
      </c>
      <c r="D12" s="243">
        <v>6841.2</v>
      </c>
      <c r="E12" s="1271">
        <v>0</v>
      </c>
      <c r="F12" s="243">
        <v>15688.9</v>
      </c>
      <c r="G12" s="243">
        <v>4870.8999999999996</v>
      </c>
      <c r="H12" s="243">
        <v>564343.80000000005</v>
      </c>
      <c r="I12" s="243">
        <v>260402.2</v>
      </c>
      <c r="J12" s="243">
        <v>203039.7</v>
      </c>
      <c r="K12" s="243"/>
      <c r="L12" s="243"/>
      <c r="M12" s="243">
        <v>14948.1</v>
      </c>
      <c r="N12" s="243">
        <v>7010.3</v>
      </c>
      <c r="O12" s="243">
        <v>43104.800000000003</v>
      </c>
      <c r="P12" s="243">
        <v>34288.9</v>
      </c>
      <c r="Q12" s="243">
        <v>136074.5</v>
      </c>
      <c r="R12" s="243">
        <v>112887.6</v>
      </c>
      <c r="S12" s="243">
        <v>138153.29999999999</v>
      </c>
      <c r="T12" s="243">
        <v>94758.9</v>
      </c>
      <c r="U12" s="981">
        <v>14051.63</v>
      </c>
      <c r="V12" s="981">
        <v>10671.64</v>
      </c>
      <c r="W12" s="243">
        <v>16747.400000000001</v>
      </c>
      <c r="X12" s="243">
        <v>8704.1</v>
      </c>
      <c r="Y12" s="243">
        <v>208598.7</v>
      </c>
      <c r="Z12" s="981">
        <v>345.9</v>
      </c>
      <c r="AA12" s="981">
        <v>50716</v>
      </c>
      <c r="AB12" s="243">
        <v>554308</v>
      </c>
      <c r="AC12" s="243">
        <v>282586.59999999998</v>
      </c>
      <c r="AD12" s="243">
        <v>208548.1</v>
      </c>
      <c r="AE12" s="981">
        <v>1112.4000000000001</v>
      </c>
      <c r="AF12" s="1051">
        <v>942</v>
      </c>
      <c r="AG12" s="243">
        <v>35287.199999999997</v>
      </c>
      <c r="AH12" s="243">
        <v>25156.3</v>
      </c>
      <c r="AI12" s="243">
        <v>81591.3</v>
      </c>
      <c r="AJ12" s="243">
        <v>63077.8</v>
      </c>
      <c r="AK12" s="243">
        <v>64537.4</v>
      </c>
      <c r="AL12" s="243">
        <v>52562.3</v>
      </c>
      <c r="AM12" s="243">
        <v>58362.1</v>
      </c>
      <c r="AN12" s="243">
        <v>22953.8</v>
      </c>
      <c r="AO12" s="981">
        <v>16.3</v>
      </c>
      <c r="AP12" s="981">
        <v>17.3</v>
      </c>
      <c r="AQ12" s="243">
        <v>475354.6</v>
      </c>
      <c r="AR12" s="243">
        <v>219542.5</v>
      </c>
      <c r="AS12" s="243">
        <v>64578.7</v>
      </c>
      <c r="AT12" s="243"/>
      <c r="AU12" s="243">
        <v>443660.6</v>
      </c>
      <c r="AV12" s="243">
        <v>195359.3</v>
      </c>
      <c r="AW12" s="243">
        <v>76922.06</v>
      </c>
      <c r="AX12" s="243">
        <v>4158</v>
      </c>
      <c r="AY12" s="243">
        <v>2765.2</v>
      </c>
      <c r="AZ12" s="981">
        <v>219.58</v>
      </c>
      <c r="BA12" s="243">
        <v>132.9</v>
      </c>
      <c r="BB12" s="981">
        <v>788.19799999999998</v>
      </c>
      <c r="BC12" s="981">
        <v>335.971</v>
      </c>
      <c r="BD12" s="1056">
        <v>1785.07</v>
      </c>
      <c r="BE12" s="243">
        <v>3103.6</v>
      </c>
      <c r="BF12" s="243">
        <v>490.6</v>
      </c>
      <c r="BG12" s="243">
        <v>6040.9599999999991</v>
      </c>
      <c r="BH12" s="243">
        <v>29963.212280701759</v>
      </c>
      <c r="BI12" s="243">
        <v>11117.787337389285</v>
      </c>
      <c r="BJ12" s="243">
        <v>5523.52</v>
      </c>
      <c r="BK12" s="243">
        <v>6503813</v>
      </c>
      <c r="BL12" s="243">
        <v>4923125</v>
      </c>
      <c r="BM12" s="243">
        <v>216232</v>
      </c>
      <c r="BN12" s="243">
        <v>179531</v>
      </c>
      <c r="BO12" s="243">
        <v>137.71802871311201</v>
      </c>
      <c r="BP12" s="243">
        <v>45.941340109389429</v>
      </c>
      <c r="BQ12" s="243">
        <v>655.89539425719636</v>
      </c>
      <c r="BR12" s="981">
        <v>2426200</v>
      </c>
      <c r="BS12" s="981">
        <v>469</v>
      </c>
      <c r="BT12" s="981">
        <v>18678.099999999999</v>
      </c>
      <c r="BU12" s="243">
        <v>2917701</v>
      </c>
      <c r="BV12" s="243">
        <v>78040</v>
      </c>
      <c r="BW12" s="243">
        <v>18459.599999999999</v>
      </c>
      <c r="BX12" s="243">
        <v>2641654</v>
      </c>
      <c r="BY12" s="243">
        <v>124495</v>
      </c>
      <c r="BZ12" s="243">
        <v>15608.4</v>
      </c>
      <c r="CA12" s="243">
        <v>7835.1</v>
      </c>
      <c r="CB12" s="243">
        <v>5341</v>
      </c>
      <c r="CC12" s="243">
        <v>995195</v>
      </c>
      <c r="CD12" s="243">
        <v>566146</v>
      </c>
      <c r="CE12" s="243">
        <v>669148</v>
      </c>
      <c r="CF12" s="243">
        <v>423617</v>
      </c>
      <c r="CG12" s="1283">
        <v>0</v>
      </c>
    </row>
    <row r="13" spans="1:85" ht="13.2">
      <c r="A13" s="155">
        <v>44937</v>
      </c>
      <c r="B13" s="243">
        <v>1058.4939999999999</v>
      </c>
      <c r="C13" s="243">
        <v>585.226</v>
      </c>
      <c r="D13" s="243">
        <v>6841.2</v>
      </c>
      <c r="E13" s="1271">
        <v>0</v>
      </c>
      <c r="F13" s="243">
        <v>15705.5</v>
      </c>
      <c r="G13" s="243">
        <v>4876</v>
      </c>
      <c r="H13" s="243">
        <v>564506.4</v>
      </c>
      <c r="I13" s="243">
        <v>260485.4</v>
      </c>
      <c r="J13" s="243">
        <v>203063.7</v>
      </c>
      <c r="K13" s="981"/>
      <c r="L13" s="981"/>
      <c r="M13" s="243">
        <v>14948.1</v>
      </c>
      <c r="N13" s="243">
        <v>7010.3</v>
      </c>
      <c r="O13" s="243">
        <v>43132.800000000003</v>
      </c>
      <c r="P13" s="243">
        <v>34310.300000000003</v>
      </c>
      <c r="Q13" s="243">
        <v>136088.4</v>
      </c>
      <c r="R13" s="243">
        <v>112899.5</v>
      </c>
      <c r="S13" s="244">
        <v>138171.29999999999</v>
      </c>
      <c r="T13" s="244">
        <v>94771.3</v>
      </c>
      <c r="U13" s="981">
        <v>14051.63</v>
      </c>
      <c r="V13" s="981">
        <v>10671.64</v>
      </c>
      <c r="W13" s="243">
        <v>17031.099999999999</v>
      </c>
      <c r="X13" s="243">
        <v>8852.2000000000007</v>
      </c>
      <c r="Y13" s="243">
        <v>208622.7</v>
      </c>
      <c r="Z13" s="981">
        <v>345.9</v>
      </c>
      <c r="AA13" s="981">
        <v>50716</v>
      </c>
      <c r="AB13" s="243">
        <v>554456.5</v>
      </c>
      <c r="AC13" s="243">
        <v>282661.2</v>
      </c>
      <c r="AD13" s="243">
        <v>208572.1</v>
      </c>
      <c r="AE13" s="981">
        <v>1112.4000000000001</v>
      </c>
      <c r="AF13" s="1051">
        <v>942</v>
      </c>
      <c r="AG13" s="243">
        <v>35289.300000000003</v>
      </c>
      <c r="AH13" s="243">
        <v>25157.9</v>
      </c>
      <c r="AI13" s="243">
        <v>81599.199999999997</v>
      </c>
      <c r="AJ13" s="243">
        <v>63084.1</v>
      </c>
      <c r="AK13" s="243">
        <v>64553.2</v>
      </c>
      <c r="AL13" s="243">
        <v>52575</v>
      </c>
      <c r="AM13" s="243">
        <v>58367.5</v>
      </c>
      <c r="AN13" s="243">
        <v>22955.8</v>
      </c>
      <c r="AO13" s="981">
        <v>16.3</v>
      </c>
      <c r="AP13" s="981">
        <v>17.3</v>
      </c>
      <c r="AQ13" s="243">
        <v>475505.9</v>
      </c>
      <c r="AR13" s="243">
        <v>219608.6</v>
      </c>
      <c r="AS13" s="402">
        <v>64584.2</v>
      </c>
      <c r="AT13" s="981"/>
      <c r="AU13" s="243">
        <v>443799.4</v>
      </c>
      <c r="AV13" s="243">
        <v>195420</v>
      </c>
      <c r="AW13" s="243">
        <v>76946.06</v>
      </c>
      <c r="AX13" s="243">
        <v>4161</v>
      </c>
      <c r="AY13" s="243">
        <v>2767.3</v>
      </c>
      <c r="AZ13" s="981">
        <v>219.58</v>
      </c>
      <c r="BA13" s="243">
        <v>132.9</v>
      </c>
      <c r="BB13" s="981">
        <v>788.19799999999998</v>
      </c>
      <c r="BC13" s="981">
        <v>335.971</v>
      </c>
      <c r="BD13" s="1056">
        <v>1785.07</v>
      </c>
      <c r="BE13" s="981">
        <v>3104.4</v>
      </c>
      <c r="BF13" s="981">
        <v>490.6</v>
      </c>
      <c r="BG13" s="213">
        <v>7449.99</v>
      </c>
      <c r="BH13" s="213">
        <v>31007.564912280701</v>
      </c>
      <c r="BI13" s="982">
        <v>10535.6918165068</v>
      </c>
      <c r="BJ13" s="213">
        <v>6289.67</v>
      </c>
      <c r="BK13" s="652">
        <v>6505331</v>
      </c>
      <c r="BL13" s="652">
        <v>4924593</v>
      </c>
      <c r="BM13" s="981">
        <v>216232</v>
      </c>
      <c r="BN13" s="981">
        <v>179531</v>
      </c>
      <c r="BO13" s="213">
        <v>138.3369205859893</v>
      </c>
      <c r="BP13" s="213">
        <v>45.98508072462036</v>
      </c>
      <c r="BQ13" s="213">
        <v>653.36253610015274</v>
      </c>
      <c r="BR13" s="981">
        <v>2426200</v>
      </c>
      <c r="BS13" s="981">
        <v>469</v>
      </c>
      <c r="BT13" s="981">
        <v>18678.099999999999</v>
      </c>
      <c r="BU13" s="243">
        <v>2922602</v>
      </c>
      <c r="BV13" s="243">
        <v>78754</v>
      </c>
      <c r="BW13" s="243">
        <v>18483.599999999999</v>
      </c>
      <c r="BX13" s="981">
        <v>2645198</v>
      </c>
      <c r="BY13" s="981">
        <v>124535</v>
      </c>
      <c r="BZ13" s="981">
        <v>15632.4</v>
      </c>
      <c r="CA13" s="981">
        <v>7842.1</v>
      </c>
      <c r="CB13" s="981">
        <v>5345.6</v>
      </c>
      <c r="CC13" s="981">
        <v>995869</v>
      </c>
      <c r="CD13" s="981">
        <v>566550</v>
      </c>
      <c r="CE13" s="981">
        <v>670010</v>
      </c>
      <c r="CF13" s="981">
        <v>424166</v>
      </c>
      <c r="CG13" s="1283">
        <v>0</v>
      </c>
    </row>
    <row r="14" spans="1:85" ht="13.2">
      <c r="A14" s="155">
        <v>44938</v>
      </c>
      <c r="B14" s="243">
        <v>1058.4939999999999</v>
      </c>
      <c r="C14" s="243">
        <v>585.226</v>
      </c>
      <c r="D14" s="243">
        <v>6841.2</v>
      </c>
      <c r="E14" s="1271">
        <v>0</v>
      </c>
      <c r="F14" s="243">
        <v>15722.6</v>
      </c>
      <c r="G14" s="243">
        <v>4881.2</v>
      </c>
      <c r="H14" s="243">
        <v>564676</v>
      </c>
      <c r="I14" s="243">
        <v>260570</v>
      </c>
      <c r="J14" s="243">
        <v>203087.7</v>
      </c>
      <c r="K14" s="981"/>
      <c r="L14" s="981"/>
      <c r="M14" s="243">
        <v>14948.1</v>
      </c>
      <c r="N14" s="243">
        <v>7010.3</v>
      </c>
      <c r="O14" s="243">
        <v>43159</v>
      </c>
      <c r="P14" s="243">
        <v>34331</v>
      </c>
      <c r="Q14" s="243">
        <v>136103.5</v>
      </c>
      <c r="R14" s="243">
        <v>112912.3</v>
      </c>
      <c r="S14" s="244">
        <v>138190</v>
      </c>
      <c r="T14" s="244">
        <v>94784.3</v>
      </c>
      <c r="U14" s="981">
        <v>14051.63</v>
      </c>
      <c r="V14" s="981">
        <v>10671.64</v>
      </c>
      <c r="W14" s="243">
        <v>17332</v>
      </c>
      <c r="X14" s="243">
        <v>9006</v>
      </c>
      <c r="Y14" s="243">
        <v>208646.7</v>
      </c>
      <c r="Z14" s="981">
        <v>345.9</v>
      </c>
      <c r="AA14" s="981">
        <v>50716</v>
      </c>
      <c r="AB14" s="243">
        <v>554608</v>
      </c>
      <c r="AC14" s="243">
        <v>282737</v>
      </c>
      <c r="AD14" s="981">
        <v>208596.1</v>
      </c>
      <c r="AE14" s="981">
        <v>1112.4000000000001</v>
      </c>
      <c r="AF14" s="1051">
        <v>942</v>
      </c>
      <c r="AG14" s="243">
        <v>35291.5</v>
      </c>
      <c r="AH14" s="243">
        <v>25159.4</v>
      </c>
      <c r="AI14" s="243">
        <v>81607</v>
      </c>
      <c r="AJ14" s="243">
        <v>63090.3</v>
      </c>
      <c r="AK14" s="243">
        <v>64569.7</v>
      </c>
      <c r="AL14" s="243">
        <v>52588.1</v>
      </c>
      <c r="AM14" s="243">
        <v>58376.7</v>
      </c>
      <c r="AN14" s="243">
        <v>22959.4</v>
      </c>
      <c r="AO14" s="981">
        <v>16.3</v>
      </c>
      <c r="AP14" s="981">
        <v>17.3</v>
      </c>
      <c r="AQ14" s="243">
        <v>475657</v>
      </c>
      <c r="AR14" s="243">
        <v>219675</v>
      </c>
      <c r="AS14" s="402">
        <v>64590</v>
      </c>
      <c r="AT14" s="981"/>
      <c r="AU14" s="243">
        <v>443937</v>
      </c>
      <c r="AV14" s="243">
        <v>195480</v>
      </c>
      <c r="AW14" s="243">
        <v>76970.100000000006</v>
      </c>
      <c r="AX14" s="243">
        <v>4163</v>
      </c>
      <c r="AY14" s="243">
        <v>2768.8</v>
      </c>
      <c r="AZ14" s="981">
        <v>219.62</v>
      </c>
      <c r="BA14" s="243">
        <v>132.94</v>
      </c>
      <c r="BB14" s="981">
        <v>788.19799999999998</v>
      </c>
      <c r="BC14" s="981">
        <v>335.971</v>
      </c>
      <c r="BD14" s="1056">
        <v>1785.07</v>
      </c>
      <c r="BE14" s="981">
        <v>3106.4</v>
      </c>
      <c r="BF14" s="981">
        <v>490.6</v>
      </c>
      <c r="BG14" s="213">
        <v>6311.64</v>
      </c>
      <c r="BH14" s="213">
        <v>29192.987719298198</v>
      </c>
      <c r="BI14" s="982">
        <v>10103.853787092899</v>
      </c>
      <c r="BJ14" s="213">
        <v>6865.93</v>
      </c>
      <c r="BK14" s="652">
        <v>6506731</v>
      </c>
      <c r="BL14" s="652">
        <v>4925976</v>
      </c>
      <c r="BM14" s="981">
        <v>216232</v>
      </c>
      <c r="BN14" s="981">
        <v>179531</v>
      </c>
      <c r="BO14" s="213">
        <v>136.48767986555075</v>
      </c>
      <c r="BP14" s="213">
        <v>46.042632221618419</v>
      </c>
      <c r="BQ14" s="213">
        <v>649.09814939022442</v>
      </c>
      <c r="BR14" s="981">
        <v>2426200</v>
      </c>
      <c r="BS14" s="981">
        <v>469</v>
      </c>
      <c r="BT14" s="981">
        <v>18678.099999999999</v>
      </c>
      <c r="BU14" s="243">
        <v>2927676</v>
      </c>
      <c r="BV14" s="243">
        <v>79462</v>
      </c>
      <c r="BW14" s="243">
        <v>18507.599999999999</v>
      </c>
      <c r="BX14" s="981">
        <v>2648854</v>
      </c>
      <c r="BY14" s="981">
        <v>124576</v>
      </c>
      <c r="BZ14" s="981">
        <v>15656.4</v>
      </c>
      <c r="CA14" s="981">
        <v>7849.2</v>
      </c>
      <c r="CB14" s="981">
        <v>5350.2</v>
      </c>
      <c r="CC14" s="981">
        <v>996568</v>
      </c>
      <c r="CD14" s="981">
        <v>566968</v>
      </c>
      <c r="CE14" s="981">
        <v>670872</v>
      </c>
      <c r="CF14" s="981">
        <v>424714</v>
      </c>
      <c r="CG14" s="1283">
        <v>0</v>
      </c>
    </row>
    <row r="15" spans="1:85" ht="13.2">
      <c r="A15" s="155">
        <v>44939</v>
      </c>
      <c r="B15" s="243">
        <v>1058.4939999999999</v>
      </c>
      <c r="C15" s="243">
        <v>585.226</v>
      </c>
      <c r="D15" s="243">
        <v>6841.2</v>
      </c>
      <c r="E15" s="1271">
        <v>0</v>
      </c>
      <c r="F15" s="243">
        <v>15737</v>
      </c>
      <c r="G15" s="243">
        <v>4884.3</v>
      </c>
      <c r="H15" s="243">
        <v>564843</v>
      </c>
      <c r="I15" s="243">
        <v>260654</v>
      </c>
      <c r="J15" s="243">
        <v>203111.7</v>
      </c>
      <c r="K15" s="981"/>
      <c r="L15" s="981"/>
      <c r="M15" s="243">
        <v>14948.1</v>
      </c>
      <c r="N15" s="243">
        <v>7010.3</v>
      </c>
      <c r="O15" s="243">
        <v>43185.3</v>
      </c>
      <c r="P15" s="243">
        <v>34351.800000000003</v>
      </c>
      <c r="Q15" s="243">
        <v>136120</v>
      </c>
      <c r="R15" s="243">
        <v>112925.7</v>
      </c>
      <c r="S15" s="244">
        <v>138208.20000000001</v>
      </c>
      <c r="T15" s="244">
        <v>94797</v>
      </c>
      <c r="U15" s="981">
        <v>14051.63</v>
      </c>
      <c r="V15" s="981">
        <v>10671.64</v>
      </c>
      <c r="W15" s="243">
        <v>17640</v>
      </c>
      <c r="X15" s="243">
        <v>9164</v>
      </c>
      <c r="Y15" s="243">
        <v>208670.7</v>
      </c>
      <c r="Z15" s="981">
        <v>345.9</v>
      </c>
      <c r="AA15" s="981">
        <v>50716</v>
      </c>
      <c r="AB15" s="243">
        <v>554754</v>
      </c>
      <c r="AC15" s="243">
        <v>282808</v>
      </c>
      <c r="AD15" s="981">
        <v>208620.1</v>
      </c>
      <c r="AE15" s="981">
        <v>1112.4000000000001</v>
      </c>
      <c r="AF15" s="1051">
        <v>942</v>
      </c>
      <c r="AG15" s="243">
        <v>35293.599999999999</v>
      </c>
      <c r="AH15" s="243">
        <v>25161</v>
      </c>
      <c r="AI15" s="243">
        <v>81615.5</v>
      </c>
      <c r="AJ15" s="243">
        <v>63097.1</v>
      </c>
      <c r="AK15" s="243">
        <v>64585.1</v>
      </c>
      <c r="AL15" s="243">
        <v>52600.3</v>
      </c>
      <c r="AM15" s="243">
        <v>58393.2</v>
      </c>
      <c r="AN15" s="243">
        <v>22965.7</v>
      </c>
      <c r="AO15" s="981">
        <v>16.3</v>
      </c>
      <c r="AP15" s="981">
        <v>17.3</v>
      </c>
      <c r="AQ15" s="243">
        <v>475815</v>
      </c>
      <c r="AR15" s="243">
        <v>219745</v>
      </c>
      <c r="AS15" s="402">
        <v>64595</v>
      </c>
      <c r="AT15" s="981"/>
      <c r="AU15" s="243">
        <v>444080</v>
      </c>
      <c r="AV15" s="243">
        <v>195542</v>
      </c>
      <c r="AW15" s="243">
        <v>76994.100000000006</v>
      </c>
      <c r="AX15" s="243">
        <v>4164.8</v>
      </c>
      <c r="AY15" s="243">
        <v>2770.2</v>
      </c>
      <c r="AZ15" s="981">
        <v>219.62</v>
      </c>
      <c r="BA15" s="243">
        <v>132.94</v>
      </c>
      <c r="BB15" s="981">
        <v>788.19799999999998</v>
      </c>
      <c r="BC15" s="981">
        <v>335.971</v>
      </c>
      <c r="BD15" s="1056">
        <v>1785.07</v>
      </c>
      <c r="BE15" s="981">
        <v>3108.8</v>
      </c>
      <c r="BF15" s="981">
        <v>490.7</v>
      </c>
      <c r="BG15" s="243">
        <v>7138.84</v>
      </c>
      <c r="BH15" s="243">
        <v>30705.757894736798</v>
      </c>
      <c r="BI15" s="243">
        <v>9169.8014148102593</v>
      </c>
      <c r="BJ15" s="243">
        <v>6675.24</v>
      </c>
      <c r="BK15" s="652">
        <v>6508209</v>
      </c>
      <c r="BL15" s="652">
        <v>4927437</v>
      </c>
      <c r="BM15" s="981">
        <v>216232</v>
      </c>
      <c r="BN15" s="981">
        <v>179531</v>
      </c>
      <c r="BO15" s="213">
        <v>137.97596280040239</v>
      </c>
      <c r="BP15" s="213">
        <v>45.937194961988887</v>
      </c>
      <c r="BQ15" s="213">
        <v>648.85979117147474</v>
      </c>
      <c r="BR15" s="981">
        <v>2428000</v>
      </c>
      <c r="BS15" s="981">
        <v>470</v>
      </c>
      <c r="BT15" s="981">
        <v>18687.599999999999</v>
      </c>
      <c r="BU15" s="243">
        <v>2930609</v>
      </c>
      <c r="BV15" s="243">
        <v>79857</v>
      </c>
      <c r="BW15" s="243">
        <v>18522.259999999998</v>
      </c>
      <c r="BX15" s="981">
        <v>2652370</v>
      </c>
      <c r="BY15" s="981">
        <v>124639</v>
      </c>
      <c r="BZ15" s="981">
        <v>15680.4</v>
      </c>
      <c r="CA15" s="981">
        <v>7856.2</v>
      </c>
      <c r="CB15" s="981">
        <v>5354.8</v>
      </c>
      <c r="CC15" s="981">
        <v>997268</v>
      </c>
      <c r="CD15" s="981">
        <v>567380</v>
      </c>
      <c r="CE15" s="981">
        <v>671734</v>
      </c>
      <c r="CF15" s="981">
        <v>425264</v>
      </c>
      <c r="CG15" s="1283">
        <v>0</v>
      </c>
    </row>
    <row r="16" spans="1:85" ht="13.2">
      <c r="A16" s="155">
        <v>44940</v>
      </c>
      <c r="B16" s="243">
        <v>1058.4939999999999</v>
      </c>
      <c r="C16" s="243">
        <v>585.226</v>
      </c>
      <c r="D16" s="243">
        <v>6841.2</v>
      </c>
      <c r="E16" s="1271">
        <v>0</v>
      </c>
      <c r="F16" s="243">
        <v>15749</v>
      </c>
      <c r="G16" s="243">
        <v>4884.6000000000004</v>
      </c>
      <c r="H16" s="243">
        <v>565011</v>
      </c>
      <c r="I16" s="243">
        <v>260739</v>
      </c>
      <c r="J16" s="243">
        <v>203135.7</v>
      </c>
      <c r="K16" s="243"/>
      <c r="L16" s="243"/>
      <c r="M16" s="243">
        <v>14948.1</v>
      </c>
      <c r="N16" s="243">
        <v>7010.3</v>
      </c>
      <c r="O16" s="243">
        <v>43213.7</v>
      </c>
      <c r="P16" s="243">
        <v>34374.1</v>
      </c>
      <c r="Q16" s="243">
        <v>136134.70000000001</v>
      </c>
      <c r="R16" s="243">
        <v>112938.2</v>
      </c>
      <c r="S16" s="243">
        <v>138225.79999999999</v>
      </c>
      <c r="T16" s="243">
        <v>94809.5</v>
      </c>
      <c r="U16" s="981">
        <v>14051.63</v>
      </c>
      <c r="V16" s="981">
        <v>10671.64</v>
      </c>
      <c r="W16" s="243">
        <v>17940</v>
      </c>
      <c r="X16" s="243">
        <v>9320</v>
      </c>
      <c r="Y16" s="243">
        <v>208694.7</v>
      </c>
      <c r="Z16" s="981">
        <v>345.9</v>
      </c>
      <c r="AA16" s="981">
        <v>50716</v>
      </c>
      <c r="AB16" s="243">
        <v>554902</v>
      </c>
      <c r="AC16" s="243">
        <v>282882</v>
      </c>
      <c r="AD16" s="1740">
        <v>208644.1</v>
      </c>
      <c r="AE16" s="981">
        <v>1112.4000000000001</v>
      </c>
      <c r="AF16" s="1051">
        <v>942</v>
      </c>
      <c r="AG16" s="243">
        <v>35295.699999999997</v>
      </c>
      <c r="AH16" s="243">
        <v>25162.5</v>
      </c>
      <c r="AI16" s="243">
        <v>81624.399999999994</v>
      </c>
      <c r="AJ16" s="243">
        <v>63104.1</v>
      </c>
      <c r="AK16" s="243">
        <v>64602.3</v>
      </c>
      <c r="AL16" s="243">
        <v>52613.3</v>
      </c>
      <c r="AM16" s="243">
        <v>58398.2</v>
      </c>
      <c r="AN16" s="243">
        <v>22967.7</v>
      </c>
      <c r="AO16" s="981">
        <v>16.3</v>
      </c>
      <c r="AP16" s="981">
        <v>17.3</v>
      </c>
      <c r="AQ16" s="243">
        <v>475975</v>
      </c>
      <c r="AR16" s="243">
        <v>219819</v>
      </c>
      <c r="AS16" s="243">
        <v>64600</v>
      </c>
      <c r="AT16" s="243"/>
      <c r="AU16" s="243">
        <v>444223</v>
      </c>
      <c r="AV16" s="243">
        <v>195605</v>
      </c>
      <c r="AW16" s="243">
        <v>77018.100000000006</v>
      </c>
      <c r="AX16" s="243">
        <v>4166.7</v>
      </c>
      <c r="AY16" s="243">
        <v>2771.6</v>
      </c>
      <c r="AZ16" s="981">
        <v>219.62</v>
      </c>
      <c r="BA16" s="243">
        <v>132.94</v>
      </c>
      <c r="BB16" s="981">
        <v>788.19799999999998</v>
      </c>
      <c r="BC16" s="981">
        <v>335.971</v>
      </c>
      <c r="BD16" s="1056">
        <v>1785.07</v>
      </c>
      <c r="BE16" s="243">
        <v>3111.2</v>
      </c>
      <c r="BF16" s="243">
        <v>490.7</v>
      </c>
      <c r="BG16" s="243">
        <v>7141.87</v>
      </c>
      <c r="BH16" s="243">
        <v>30221.164912280699</v>
      </c>
      <c r="BI16" s="243">
        <v>10031.139933763499</v>
      </c>
      <c r="BJ16" s="243">
        <v>6172.5</v>
      </c>
      <c r="BK16" s="243">
        <v>6509715</v>
      </c>
      <c r="BL16" s="243">
        <v>4928925</v>
      </c>
      <c r="BM16" s="981">
        <v>216232</v>
      </c>
      <c r="BN16" s="981">
        <v>179531</v>
      </c>
      <c r="BO16" s="243">
        <v>135.97679604576408</v>
      </c>
      <c r="BP16" s="243">
        <v>46.014133551186532</v>
      </c>
      <c r="BQ16" s="243">
        <v>641.84692948934389</v>
      </c>
      <c r="BR16" s="243">
        <v>2432200</v>
      </c>
      <c r="BS16" s="243">
        <v>471</v>
      </c>
      <c r="BT16" s="243">
        <v>18711.599999999999</v>
      </c>
      <c r="BU16" s="243">
        <v>2930609</v>
      </c>
      <c r="BV16" s="243">
        <v>79857</v>
      </c>
      <c r="BW16" s="243">
        <v>18522.259999999998</v>
      </c>
      <c r="BX16" s="243">
        <v>2656014</v>
      </c>
      <c r="BY16" s="243">
        <v>124771</v>
      </c>
      <c r="BZ16" s="243">
        <v>15704.4</v>
      </c>
      <c r="CA16" s="243">
        <v>7863.5</v>
      </c>
      <c r="CB16" s="243">
        <v>5359.7</v>
      </c>
      <c r="CC16" s="243">
        <v>997952</v>
      </c>
      <c r="CD16" s="243">
        <v>567786</v>
      </c>
      <c r="CE16" s="243">
        <v>672596</v>
      </c>
      <c r="CF16" s="243">
        <v>425814</v>
      </c>
      <c r="CG16" s="1283">
        <v>0</v>
      </c>
    </row>
    <row r="17" spans="1:87" ht="13.2">
      <c r="A17" s="155">
        <v>44941</v>
      </c>
      <c r="B17" s="243">
        <v>1058.4939999999999</v>
      </c>
      <c r="C17" s="243">
        <v>585.226</v>
      </c>
      <c r="D17" s="243">
        <v>6841.2</v>
      </c>
      <c r="E17" s="1271">
        <v>0</v>
      </c>
      <c r="F17" s="243">
        <v>15760.6</v>
      </c>
      <c r="G17" s="243">
        <v>4885</v>
      </c>
      <c r="H17" s="243">
        <v>565177</v>
      </c>
      <c r="I17" s="243">
        <v>260822</v>
      </c>
      <c r="J17" s="243">
        <v>203159.7</v>
      </c>
      <c r="K17" s="243"/>
      <c r="L17" s="243"/>
      <c r="M17" s="243">
        <v>14948.1</v>
      </c>
      <c r="N17" s="243">
        <v>7010.3</v>
      </c>
      <c r="O17" s="243">
        <v>43242.1</v>
      </c>
      <c r="P17" s="243">
        <v>34396.5</v>
      </c>
      <c r="Q17" s="243">
        <v>136150.20000000001</v>
      </c>
      <c r="R17" s="243">
        <v>112950.8</v>
      </c>
      <c r="S17" s="243">
        <v>138243.20000000001</v>
      </c>
      <c r="T17" s="243">
        <v>94821.9</v>
      </c>
      <c r="U17" s="981">
        <v>14051.63</v>
      </c>
      <c r="V17" s="981">
        <v>10671.64</v>
      </c>
      <c r="W17" s="243">
        <v>18240</v>
      </c>
      <c r="X17" s="243">
        <v>9476</v>
      </c>
      <c r="Y17" s="243">
        <v>208718.7</v>
      </c>
      <c r="Z17" s="981">
        <v>345.9</v>
      </c>
      <c r="AA17" s="981">
        <v>50716</v>
      </c>
      <c r="AB17" s="243">
        <v>555052</v>
      </c>
      <c r="AC17" s="243">
        <v>282954</v>
      </c>
      <c r="AD17" s="981">
        <v>208668.1</v>
      </c>
      <c r="AE17" s="981">
        <v>1112.4000000000001</v>
      </c>
      <c r="AF17" s="1051">
        <v>942</v>
      </c>
      <c r="AG17" s="243">
        <v>35297.800000000003</v>
      </c>
      <c r="AH17" s="243">
        <v>25164</v>
      </c>
      <c r="AI17" s="243">
        <v>81632.600000000006</v>
      </c>
      <c r="AJ17" s="243">
        <v>63110.6</v>
      </c>
      <c r="AK17" s="243">
        <v>64620.800000000003</v>
      </c>
      <c r="AL17" s="243">
        <v>52627</v>
      </c>
      <c r="AM17" s="243">
        <v>58411</v>
      </c>
      <c r="AN17" s="243">
        <v>22972.6</v>
      </c>
      <c r="AO17" s="981">
        <v>16.3</v>
      </c>
      <c r="AP17" s="981">
        <v>17.3</v>
      </c>
      <c r="AQ17" s="243">
        <v>476131</v>
      </c>
      <c r="AR17" s="243">
        <v>219891</v>
      </c>
      <c r="AS17" s="243">
        <v>64606</v>
      </c>
      <c r="AT17" s="243"/>
      <c r="AU17" s="243">
        <v>444361</v>
      </c>
      <c r="AV17" s="243">
        <v>195665</v>
      </c>
      <c r="AW17" s="243">
        <v>77042.100000000006</v>
      </c>
      <c r="AX17" s="243">
        <v>4168.7</v>
      </c>
      <c r="AY17" s="243">
        <v>2773</v>
      </c>
      <c r="AZ17" s="981">
        <v>219.62</v>
      </c>
      <c r="BA17" s="243">
        <v>132.94</v>
      </c>
      <c r="BB17" s="981">
        <v>788.19799999999998</v>
      </c>
      <c r="BC17" s="981">
        <v>335.971</v>
      </c>
      <c r="BD17" s="1056">
        <v>1785.07</v>
      </c>
      <c r="BE17" s="243">
        <v>3113.6</v>
      </c>
      <c r="BF17" s="243">
        <v>490.7</v>
      </c>
      <c r="BG17" s="243">
        <v>7021.88</v>
      </c>
      <c r="BH17" s="243">
        <v>31016.661403508799</v>
      </c>
      <c r="BI17" s="243">
        <v>10154.001882045801</v>
      </c>
      <c r="BJ17" s="243">
        <v>6404.61</v>
      </c>
      <c r="BK17" s="243">
        <v>6511074</v>
      </c>
      <c r="BL17" s="243">
        <v>4930305</v>
      </c>
      <c r="BM17" s="981">
        <v>216232</v>
      </c>
      <c r="BN17" s="981">
        <v>179531</v>
      </c>
      <c r="BO17" s="243">
        <v>137.35869137718899</v>
      </c>
      <c r="BP17" s="243">
        <v>45.990850613384289</v>
      </c>
      <c r="BQ17" s="243">
        <v>652.11111518491748</v>
      </c>
      <c r="BR17" s="243">
        <v>2436200</v>
      </c>
      <c r="BS17" s="243">
        <v>472</v>
      </c>
      <c r="BT17" s="243">
        <v>18735.599999999999</v>
      </c>
      <c r="BU17" s="243">
        <v>2930609</v>
      </c>
      <c r="BV17" s="243">
        <v>79857</v>
      </c>
      <c r="BW17" s="243">
        <v>18522.259999999998</v>
      </c>
      <c r="BX17" s="243">
        <v>2659690</v>
      </c>
      <c r="BY17" s="243">
        <v>124902</v>
      </c>
      <c r="BZ17" s="243">
        <v>15728.4</v>
      </c>
      <c r="CA17" s="243">
        <v>7870.7</v>
      </c>
      <c r="CB17" s="243">
        <v>5364.5</v>
      </c>
      <c r="CC17" s="243">
        <v>998640</v>
      </c>
      <c r="CD17" s="243">
        <v>568194</v>
      </c>
      <c r="CE17" s="243">
        <v>673450</v>
      </c>
      <c r="CF17" s="243">
        <v>426358</v>
      </c>
      <c r="CG17" s="1283">
        <v>0</v>
      </c>
    </row>
    <row r="18" spans="1:87" ht="12.75" customHeight="1">
      <c r="A18" s="155">
        <v>44942</v>
      </c>
      <c r="B18" s="243">
        <v>1058.979</v>
      </c>
      <c r="C18" s="243">
        <v>585.40300000000002</v>
      </c>
      <c r="D18" s="243">
        <v>6842.7</v>
      </c>
      <c r="E18" s="1271">
        <v>0.5</v>
      </c>
      <c r="F18" s="243">
        <v>15772.3</v>
      </c>
      <c r="G18" s="243">
        <v>4885.6000000000004</v>
      </c>
      <c r="H18" s="243">
        <v>565342</v>
      </c>
      <c r="I18" s="243">
        <v>260906</v>
      </c>
      <c r="J18" s="243">
        <v>203183.7</v>
      </c>
      <c r="K18" s="243"/>
      <c r="L18" s="243"/>
      <c r="M18" s="243">
        <v>14948.1</v>
      </c>
      <c r="N18" s="243">
        <v>7010.3</v>
      </c>
      <c r="O18" s="243">
        <v>43270.9</v>
      </c>
      <c r="P18" s="243">
        <v>34419.199999999997</v>
      </c>
      <c r="Q18" s="243">
        <v>136165.6</v>
      </c>
      <c r="R18" s="243">
        <v>112963.4</v>
      </c>
      <c r="S18" s="243">
        <v>138261</v>
      </c>
      <c r="T18" s="243">
        <v>94834.4</v>
      </c>
      <c r="U18" s="981">
        <v>14051.63</v>
      </c>
      <c r="V18" s="981">
        <v>10671.64</v>
      </c>
      <c r="W18" s="243">
        <v>18544</v>
      </c>
      <c r="X18" s="243">
        <v>9634</v>
      </c>
      <c r="Y18" s="243">
        <v>208742.7</v>
      </c>
      <c r="Z18" s="981">
        <v>345.9</v>
      </c>
      <c r="AA18" s="981">
        <v>50716</v>
      </c>
      <c r="AB18" s="243">
        <v>555202</v>
      </c>
      <c r="AC18" s="243">
        <v>283028</v>
      </c>
      <c r="AD18" s="243">
        <v>208692.1</v>
      </c>
      <c r="AE18" s="981">
        <v>1112.4000000000001</v>
      </c>
      <c r="AF18" s="1051">
        <v>942</v>
      </c>
      <c r="AG18" s="243">
        <v>35299.9</v>
      </c>
      <c r="AH18" s="243">
        <v>25165.5</v>
      </c>
      <c r="AI18" s="243">
        <v>81641</v>
      </c>
      <c r="AJ18" s="243">
        <v>63117.3</v>
      </c>
      <c r="AK18" s="243">
        <v>64637.1</v>
      </c>
      <c r="AL18" s="243">
        <v>52640.1</v>
      </c>
      <c r="AM18" s="243">
        <v>58423</v>
      </c>
      <c r="AN18" s="243">
        <v>22977</v>
      </c>
      <c r="AO18" s="981">
        <v>16.3</v>
      </c>
      <c r="AP18" s="981">
        <v>17.3</v>
      </c>
      <c r="AQ18" s="243">
        <v>476292</v>
      </c>
      <c r="AR18" s="243">
        <v>219965</v>
      </c>
      <c r="AS18" s="243">
        <v>64611</v>
      </c>
      <c r="AT18" s="243"/>
      <c r="AU18" s="243">
        <v>444505</v>
      </c>
      <c r="AV18" s="243">
        <v>195728</v>
      </c>
      <c r="AW18" s="243">
        <v>77066.100000000006</v>
      </c>
      <c r="AX18" s="243">
        <v>4170.7</v>
      </c>
      <c r="AY18" s="243">
        <v>2774.5</v>
      </c>
      <c r="AZ18" s="981">
        <v>219.62</v>
      </c>
      <c r="BA18" s="243">
        <v>132.94</v>
      </c>
      <c r="BB18" s="981">
        <v>788.64400000000001</v>
      </c>
      <c r="BC18" s="981">
        <v>336.14699999999999</v>
      </c>
      <c r="BD18" s="1056">
        <v>1785.6</v>
      </c>
      <c r="BE18" s="243">
        <v>3116</v>
      </c>
      <c r="BF18" s="243">
        <v>490.8</v>
      </c>
      <c r="BG18" s="243">
        <v>6510.63</v>
      </c>
      <c r="BH18" s="243">
        <v>31201.454385964898</v>
      </c>
      <c r="BI18" s="243">
        <v>10263.695201005999</v>
      </c>
      <c r="BJ18" s="243">
        <v>6303.13</v>
      </c>
      <c r="BK18" s="243">
        <v>6512542</v>
      </c>
      <c r="BL18" s="243">
        <v>4931750</v>
      </c>
      <c r="BM18" s="981">
        <v>216232</v>
      </c>
      <c r="BN18" s="981">
        <v>179531</v>
      </c>
      <c r="BO18" s="243">
        <v>137.16995581822317</v>
      </c>
      <c r="BP18" s="243">
        <v>45.96119383113242</v>
      </c>
      <c r="BQ18" s="243">
        <v>648.40967718772947</v>
      </c>
      <c r="BR18" s="243">
        <v>2440200</v>
      </c>
      <c r="BS18" s="243">
        <v>473</v>
      </c>
      <c r="BT18" s="243">
        <v>18759.599999999999</v>
      </c>
      <c r="BU18" s="243">
        <v>2930609</v>
      </c>
      <c r="BV18" s="243">
        <v>79857</v>
      </c>
      <c r="BW18" s="243">
        <v>18522.259999999998</v>
      </c>
      <c r="BX18" s="243">
        <v>2663104</v>
      </c>
      <c r="BY18" s="243">
        <v>124934</v>
      </c>
      <c r="BZ18" s="243">
        <v>15752.4</v>
      </c>
      <c r="CA18" s="243">
        <v>7877.9</v>
      </c>
      <c r="CB18" s="243">
        <v>5369.3</v>
      </c>
      <c r="CC18" s="243">
        <v>999334</v>
      </c>
      <c r="CD18" s="243">
        <v>568604</v>
      </c>
      <c r="CE18" s="243">
        <v>674312</v>
      </c>
      <c r="CF18" s="243">
        <v>426902</v>
      </c>
      <c r="CG18" s="1283">
        <v>0.4</v>
      </c>
    </row>
    <row r="19" spans="1:87" ht="13.2">
      <c r="A19" s="155">
        <v>44943</v>
      </c>
      <c r="B19" s="243">
        <v>1058.979</v>
      </c>
      <c r="C19" s="243">
        <v>585.40300000000002</v>
      </c>
      <c r="D19" s="243">
        <v>6842.7</v>
      </c>
      <c r="E19" s="1271">
        <v>0</v>
      </c>
      <c r="F19" s="243">
        <v>15784</v>
      </c>
      <c r="G19" s="243">
        <v>4887</v>
      </c>
      <c r="H19" s="243">
        <v>565509</v>
      </c>
      <c r="I19" s="243">
        <v>260990</v>
      </c>
      <c r="J19" s="243">
        <v>203207.7</v>
      </c>
      <c r="K19" s="981"/>
      <c r="L19" s="981"/>
      <c r="M19" s="243">
        <v>14948.1</v>
      </c>
      <c r="N19" s="243">
        <v>7010.3</v>
      </c>
      <c r="O19" s="243">
        <v>43299.1</v>
      </c>
      <c r="P19" s="243">
        <v>34441.4</v>
      </c>
      <c r="Q19" s="243">
        <v>136179.70000000001</v>
      </c>
      <c r="R19" s="243">
        <v>112975</v>
      </c>
      <c r="S19" s="243">
        <v>138279.1</v>
      </c>
      <c r="T19" s="243">
        <v>94847</v>
      </c>
      <c r="U19" s="981">
        <v>14051.63</v>
      </c>
      <c r="V19" s="981">
        <v>10671.64</v>
      </c>
      <c r="W19" s="243">
        <v>18844</v>
      </c>
      <c r="X19" s="243">
        <v>9790</v>
      </c>
      <c r="Y19" s="243">
        <v>208766.7</v>
      </c>
      <c r="Z19" s="981">
        <v>345.9</v>
      </c>
      <c r="AA19" s="981">
        <v>50716</v>
      </c>
      <c r="AB19" s="243">
        <v>555352</v>
      </c>
      <c r="AC19" s="243">
        <v>283102</v>
      </c>
      <c r="AD19" s="243">
        <v>208716.1</v>
      </c>
      <c r="AE19" s="981">
        <v>1112.4000000000001</v>
      </c>
      <c r="AF19" s="1051">
        <v>942</v>
      </c>
      <c r="AG19" s="243">
        <v>35302</v>
      </c>
      <c r="AH19" s="243">
        <v>25167</v>
      </c>
      <c r="AI19" s="243">
        <v>81650.399999999994</v>
      </c>
      <c r="AJ19" s="243">
        <v>63124.800000000003</v>
      </c>
      <c r="AK19" s="243">
        <v>64653.4</v>
      </c>
      <c r="AL19" s="243">
        <v>52653.2</v>
      </c>
      <c r="AM19" s="243">
        <v>58432</v>
      </c>
      <c r="AN19" s="243">
        <v>22980.5</v>
      </c>
      <c r="AO19" s="981">
        <v>16.3</v>
      </c>
      <c r="AP19" s="981">
        <v>17.3</v>
      </c>
      <c r="AQ19" s="243">
        <v>476452</v>
      </c>
      <c r="AR19" s="243">
        <v>220039</v>
      </c>
      <c r="AS19" s="243">
        <v>64617</v>
      </c>
      <c r="AT19" s="981"/>
      <c r="AU19" s="243">
        <v>444647</v>
      </c>
      <c r="AV19" s="243">
        <v>195790</v>
      </c>
      <c r="AW19" s="243">
        <v>77090.100000000006</v>
      </c>
      <c r="AX19" s="243">
        <v>4172.7</v>
      </c>
      <c r="AY19" s="243">
        <v>2775.9</v>
      </c>
      <c r="AZ19" s="981">
        <v>219.66</v>
      </c>
      <c r="BA19" s="243">
        <v>132.96</v>
      </c>
      <c r="BB19" s="981">
        <v>788.64400000000001</v>
      </c>
      <c r="BC19" s="981">
        <v>336.14699999999999</v>
      </c>
      <c r="BD19" s="1056">
        <v>1785.6</v>
      </c>
      <c r="BE19" s="243">
        <v>3118.4</v>
      </c>
      <c r="BF19" s="243">
        <v>490.8</v>
      </c>
      <c r="BG19" s="243">
        <v>6740.82</v>
      </c>
      <c r="BH19" s="243">
        <v>30638.3877192982</v>
      </c>
      <c r="BI19" s="243">
        <v>10472.8472492989</v>
      </c>
      <c r="BJ19" s="243">
        <v>6367.01</v>
      </c>
      <c r="BK19" s="243">
        <v>6513906</v>
      </c>
      <c r="BL19" s="243">
        <v>4933137</v>
      </c>
      <c r="BM19" s="981">
        <v>216232</v>
      </c>
      <c r="BN19" s="981">
        <v>179531</v>
      </c>
      <c r="BO19" s="243">
        <v>137.92555089999843</v>
      </c>
      <c r="BP19" s="243">
        <v>45.602246370463867</v>
      </c>
      <c r="BQ19" s="243">
        <v>655.93627154484784</v>
      </c>
      <c r="BR19" s="243">
        <v>2444000</v>
      </c>
      <c r="BS19" s="243">
        <v>474</v>
      </c>
      <c r="BT19" s="981">
        <v>18783.599999999999</v>
      </c>
      <c r="BU19" s="243">
        <v>2930609</v>
      </c>
      <c r="BV19" s="243">
        <v>79857</v>
      </c>
      <c r="BW19" s="243">
        <v>18522.259999999998</v>
      </c>
      <c r="BX19" s="243">
        <v>2666442</v>
      </c>
      <c r="BY19" s="243">
        <v>124965</v>
      </c>
      <c r="BZ19" s="243">
        <v>15776.4</v>
      </c>
      <c r="CA19" s="243">
        <v>7885</v>
      </c>
      <c r="CB19" s="243">
        <v>5374</v>
      </c>
      <c r="CC19" s="243">
        <v>1000012</v>
      </c>
      <c r="CD19" s="243">
        <v>569008</v>
      </c>
      <c r="CE19" s="243">
        <v>675210</v>
      </c>
      <c r="CF19" s="243">
        <v>427474</v>
      </c>
      <c r="CG19" s="1283">
        <v>0</v>
      </c>
      <c r="CI19" s="608"/>
    </row>
    <row r="20" spans="1:87" ht="13.2">
      <c r="A20" s="155">
        <v>44944</v>
      </c>
      <c r="B20" s="243">
        <v>1058.979</v>
      </c>
      <c r="C20" s="243">
        <v>585.40300000000002</v>
      </c>
      <c r="D20" s="243">
        <v>6842.7</v>
      </c>
      <c r="E20" s="1271">
        <v>0</v>
      </c>
      <c r="F20" s="243">
        <v>15795.6</v>
      </c>
      <c r="G20" s="243">
        <v>4891</v>
      </c>
      <c r="H20" s="243">
        <v>565673</v>
      </c>
      <c r="I20" s="243">
        <v>261074</v>
      </c>
      <c r="J20" s="243">
        <v>203231.7</v>
      </c>
      <c r="K20" s="981"/>
      <c r="L20" s="981"/>
      <c r="M20" s="243">
        <v>14948.1</v>
      </c>
      <c r="N20" s="243">
        <v>7010.3</v>
      </c>
      <c r="O20" s="243">
        <v>43326.5</v>
      </c>
      <c r="P20" s="243">
        <v>34462.699999999997</v>
      </c>
      <c r="Q20" s="243">
        <v>136194.4</v>
      </c>
      <c r="R20" s="243">
        <v>112986.9</v>
      </c>
      <c r="S20" s="243">
        <v>138296.79999999999</v>
      </c>
      <c r="T20" s="243">
        <v>94859.1</v>
      </c>
      <c r="U20" s="981">
        <v>14051.63</v>
      </c>
      <c r="V20" s="981">
        <v>10671.64</v>
      </c>
      <c r="W20" s="243">
        <v>19140</v>
      </c>
      <c r="X20" s="243">
        <v>9950</v>
      </c>
      <c r="Y20" s="243">
        <v>208790.7</v>
      </c>
      <c r="Z20" s="981">
        <v>345.9</v>
      </c>
      <c r="AA20" s="981">
        <v>50716</v>
      </c>
      <c r="AB20" s="243">
        <v>555502</v>
      </c>
      <c r="AC20" s="243">
        <v>283173</v>
      </c>
      <c r="AD20" s="243">
        <v>208740.1</v>
      </c>
      <c r="AE20" s="981">
        <v>1112.4000000000001</v>
      </c>
      <c r="AF20" s="1051">
        <v>942</v>
      </c>
      <c r="AG20" s="243">
        <v>35304.1</v>
      </c>
      <c r="AH20" s="243">
        <v>25168.6</v>
      </c>
      <c r="AI20" s="243">
        <v>81659.399999999994</v>
      </c>
      <c r="AJ20" s="243">
        <v>63131.9</v>
      </c>
      <c r="AK20" s="243">
        <v>64669.4</v>
      </c>
      <c r="AL20" s="243">
        <v>52665.9</v>
      </c>
      <c r="AM20" s="243">
        <v>58442.5</v>
      </c>
      <c r="AN20" s="243">
        <v>22984.5</v>
      </c>
      <c r="AO20" s="981">
        <v>16.3</v>
      </c>
      <c r="AP20" s="981">
        <v>17.3</v>
      </c>
      <c r="AQ20" s="243">
        <v>476610</v>
      </c>
      <c r="AR20" s="243">
        <v>220111</v>
      </c>
      <c r="AS20" s="402">
        <v>64623</v>
      </c>
      <c r="AT20" s="981"/>
      <c r="AU20" s="243">
        <v>444790</v>
      </c>
      <c r="AV20" s="243">
        <v>195852</v>
      </c>
      <c r="AW20" s="243">
        <v>77114.100000000006</v>
      </c>
      <c r="AX20" s="243">
        <v>4174.3</v>
      </c>
      <c r="AY20" s="243">
        <v>2777.1</v>
      </c>
      <c r="AZ20" s="981">
        <v>219.66</v>
      </c>
      <c r="BA20" s="243">
        <v>132.96</v>
      </c>
      <c r="BB20" s="981">
        <v>788.64400000000001</v>
      </c>
      <c r="BC20" s="981">
        <v>336.14699999999999</v>
      </c>
      <c r="BD20" s="1056">
        <v>1785.6</v>
      </c>
      <c r="BE20" s="981">
        <v>3120.8</v>
      </c>
      <c r="BF20" s="981">
        <v>490.9</v>
      </c>
      <c r="BG20" s="243">
        <v>5822.56</v>
      </c>
      <c r="BH20" s="243">
        <v>37282.989473684203</v>
      </c>
      <c r="BI20" s="243">
        <v>11663.314197592201</v>
      </c>
      <c r="BJ20" s="243">
        <v>5498.15</v>
      </c>
      <c r="BK20" s="652">
        <v>6515254</v>
      </c>
      <c r="BL20" s="652">
        <v>4934503</v>
      </c>
      <c r="BM20" s="981">
        <v>216232</v>
      </c>
      <c r="BN20" s="981">
        <v>179531</v>
      </c>
      <c r="BO20" s="213">
        <v>138</v>
      </c>
      <c r="BP20" s="213">
        <v>45.832000000000001</v>
      </c>
      <c r="BQ20" s="213">
        <v>656</v>
      </c>
      <c r="BR20" s="243">
        <v>2448000</v>
      </c>
      <c r="BS20" s="243">
        <v>475</v>
      </c>
      <c r="BT20" s="981">
        <v>18807.599999999999</v>
      </c>
      <c r="BU20" s="243">
        <v>2930609</v>
      </c>
      <c r="BV20" s="243">
        <v>79857</v>
      </c>
      <c r="BW20" s="243">
        <v>18522.259999999998</v>
      </c>
      <c r="BX20" s="981">
        <v>2669868</v>
      </c>
      <c r="BY20" s="981">
        <v>125012</v>
      </c>
      <c r="BZ20" s="981">
        <v>15800.4</v>
      </c>
      <c r="CA20" s="981">
        <v>7892</v>
      </c>
      <c r="CB20" s="981">
        <v>5378.6</v>
      </c>
      <c r="CC20" s="981">
        <v>1000662</v>
      </c>
      <c r="CD20" s="981">
        <v>569388</v>
      </c>
      <c r="CE20" s="981">
        <v>676078</v>
      </c>
      <c r="CF20" s="981">
        <v>428024</v>
      </c>
      <c r="CG20" s="1283">
        <v>0</v>
      </c>
      <c r="CI20" s="608"/>
    </row>
    <row r="21" spans="1:87" ht="13.2">
      <c r="A21" s="155">
        <v>44945</v>
      </c>
      <c r="B21" s="243">
        <v>1058.979</v>
      </c>
      <c r="C21" s="243">
        <v>585.40300000000002</v>
      </c>
      <c r="D21" s="243">
        <v>6842.7</v>
      </c>
      <c r="E21" s="1271">
        <v>0</v>
      </c>
      <c r="F21" s="243">
        <v>15807.4</v>
      </c>
      <c r="G21" s="243">
        <v>4895.1000000000004</v>
      </c>
      <c r="H21" s="243">
        <v>565843.4</v>
      </c>
      <c r="I21" s="243">
        <v>261158</v>
      </c>
      <c r="J21" s="243">
        <v>203255</v>
      </c>
      <c r="K21" s="981"/>
      <c r="L21" s="981"/>
      <c r="M21" s="243">
        <v>14948.1</v>
      </c>
      <c r="N21" s="243">
        <v>7010.3</v>
      </c>
      <c r="O21" s="243">
        <v>43355</v>
      </c>
      <c r="P21" s="243">
        <v>34484.9</v>
      </c>
      <c r="Q21" s="243">
        <v>136209.29999999999</v>
      </c>
      <c r="R21" s="243">
        <v>112999.2</v>
      </c>
      <c r="S21" s="243">
        <v>138314.6</v>
      </c>
      <c r="T21" s="243">
        <v>94871.3</v>
      </c>
      <c r="U21" s="981">
        <v>14051.63</v>
      </c>
      <c r="V21" s="981">
        <v>10671.64</v>
      </c>
      <c r="W21" s="243">
        <v>19444</v>
      </c>
      <c r="X21" s="243">
        <v>10108</v>
      </c>
      <c r="Y21" s="243">
        <v>208814.7</v>
      </c>
      <c r="Z21" s="981">
        <v>345.9</v>
      </c>
      <c r="AA21" s="981">
        <v>50716</v>
      </c>
      <c r="AB21" s="243">
        <v>555648</v>
      </c>
      <c r="AC21" s="243">
        <v>283247</v>
      </c>
      <c r="AD21" s="243">
        <v>208764.1</v>
      </c>
      <c r="AE21" s="981">
        <v>1112.4000000000001</v>
      </c>
      <c r="AF21" s="1051">
        <v>942</v>
      </c>
      <c r="AG21" s="243">
        <v>35306.199999999997</v>
      </c>
      <c r="AH21" s="243">
        <v>25170.1</v>
      </c>
      <c r="AI21" s="243">
        <v>81668.600000000006</v>
      </c>
      <c r="AJ21" s="243">
        <v>63139.199999999997</v>
      </c>
      <c r="AK21" s="243">
        <v>64685.3</v>
      </c>
      <c r="AL21" s="243">
        <v>52678.6</v>
      </c>
      <c r="AM21" s="243">
        <v>58452.6</v>
      </c>
      <c r="AN21" s="243">
        <v>22988.5</v>
      </c>
      <c r="AO21" s="981">
        <v>16.3</v>
      </c>
      <c r="AP21" s="981">
        <v>17.3</v>
      </c>
      <c r="AQ21" s="243">
        <v>476768</v>
      </c>
      <c r="AR21" s="243">
        <v>220184</v>
      </c>
      <c r="AS21" s="243">
        <v>64628</v>
      </c>
      <c r="AT21" s="981"/>
      <c r="AU21" s="243">
        <v>444932</v>
      </c>
      <c r="AV21" s="243">
        <v>195913</v>
      </c>
      <c r="AW21" s="243">
        <v>77138</v>
      </c>
      <c r="AX21" s="243">
        <v>4176.1000000000004</v>
      </c>
      <c r="AY21" s="243">
        <v>2778.4</v>
      </c>
      <c r="AZ21" s="981">
        <v>219.66</v>
      </c>
      <c r="BA21" s="243">
        <v>132.96</v>
      </c>
      <c r="BB21" s="981">
        <v>788.64400000000001</v>
      </c>
      <c r="BC21" s="981">
        <v>336.14699999999999</v>
      </c>
      <c r="BD21" s="1056">
        <v>1785.6</v>
      </c>
      <c r="BE21" s="243">
        <v>3123.1</v>
      </c>
      <c r="BF21" s="981">
        <v>490.9</v>
      </c>
      <c r="BG21" s="243">
        <v>7436</v>
      </c>
      <c r="BH21" s="243">
        <v>33015</v>
      </c>
      <c r="BI21" s="243">
        <v>10337</v>
      </c>
      <c r="BJ21" s="243">
        <v>6443.38</v>
      </c>
      <c r="BK21" s="243">
        <v>6516657</v>
      </c>
      <c r="BL21" s="243">
        <v>4935913</v>
      </c>
      <c r="BM21" s="981">
        <v>216232</v>
      </c>
      <c r="BN21" s="981">
        <v>179531</v>
      </c>
      <c r="BO21" s="243">
        <v>138</v>
      </c>
      <c r="BP21" s="243">
        <v>45.976999999999997</v>
      </c>
      <c r="BQ21" s="243">
        <v>656</v>
      </c>
      <c r="BR21" s="243">
        <v>2452248</v>
      </c>
      <c r="BS21" s="243">
        <v>476</v>
      </c>
      <c r="BT21" s="981">
        <v>18831.599999999999</v>
      </c>
      <c r="BU21" s="243">
        <v>2930609</v>
      </c>
      <c r="BV21" s="243">
        <v>79857</v>
      </c>
      <c r="BW21" s="243">
        <v>18522.259999999998</v>
      </c>
      <c r="BX21" s="243">
        <v>2673288</v>
      </c>
      <c r="BY21" s="243">
        <v>125090</v>
      </c>
      <c r="BZ21" s="243">
        <v>15824.4</v>
      </c>
      <c r="CA21" s="243">
        <v>7899.2</v>
      </c>
      <c r="CB21" s="243">
        <v>5383.4</v>
      </c>
      <c r="CC21" s="243">
        <v>1001296</v>
      </c>
      <c r="CD21" s="243">
        <v>569758</v>
      </c>
      <c r="CE21" s="243">
        <v>676932</v>
      </c>
      <c r="CF21" s="243">
        <v>428566</v>
      </c>
      <c r="CG21" s="1283">
        <v>0</v>
      </c>
    </row>
    <row r="22" spans="1:87" ht="12.75" customHeight="1">
      <c r="A22" s="155">
        <v>44946</v>
      </c>
      <c r="B22" s="243">
        <v>1058.979</v>
      </c>
      <c r="C22" s="243">
        <v>585.40300000000002</v>
      </c>
      <c r="D22" s="243">
        <v>6842.7</v>
      </c>
      <c r="E22" s="1271">
        <v>0</v>
      </c>
      <c r="F22" s="243">
        <v>15818.4</v>
      </c>
      <c r="G22" s="243">
        <v>4899.2</v>
      </c>
      <c r="H22" s="243">
        <v>566012</v>
      </c>
      <c r="I22" s="243">
        <v>261243</v>
      </c>
      <c r="J22" s="243">
        <v>203274</v>
      </c>
      <c r="K22" s="981"/>
      <c r="L22" s="981"/>
      <c r="M22" s="243">
        <v>14948.1</v>
      </c>
      <c r="N22" s="243">
        <v>7010.3</v>
      </c>
      <c r="O22" s="243">
        <v>43383.4</v>
      </c>
      <c r="P22" s="243">
        <v>34507.199999999997</v>
      </c>
      <c r="Q22" s="243">
        <v>136224.6</v>
      </c>
      <c r="R22" s="243">
        <v>113011.3</v>
      </c>
      <c r="S22" s="243">
        <v>138332.1</v>
      </c>
      <c r="T22" s="243">
        <v>94883.5</v>
      </c>
      <c r="U22" s="981">
        <v>14051.63</v>
      </c>
      <c r="V22" s="981">
        <v>10671.64</v>
      </c>
      <c r="W22" s="243">
        <v>19744</v>
      </c>
      <c r="X22" s="243">
        <v>10268</v>
      </c>
      <c r="Y22" s="243">
        <v>208838.7</v>
      </c>
      <c r="Z22" s="981">
        <v>345.9</v>
      </c>
      <c r="AA22" s="981">
        <v>50716</v>
      </c>
      <c r="AB22" s="243">
        <v>555800</v>
      </c>
      <c r="AC22" s="243">
        <v>283322</v>
      </c>
      <c r="AD22" s="243">
        <v>208788.1</v>
      </c>
      <c r="AE22" s="981">
        <v>1112.4000000000001</v>
      </c>
      <c r="AF22" s="1051">
        <v>942</v>
      </c>
      <c r="AG22" s="243">
        <v>35308.300000000003</v>
      </c>
      <c r="AH22" s="243">
        <v>25171.599999999999</v>
      </c>
      <c r="AI22" s="243">
        <v>81677.2</v>
      </c>
      <c r="AJ22" s="243">
        <v>63146</v>
      </c>
      <c r="AK22" s="243">
        <v>64701</v>
      </c>
      <c r="AL22" s="243">
        <v>52691.1</v>
      </c>
      <c r="AM22" s="243">
        <v>58464.1</v>
      </c>
      <c r="AN22" s="243">
        <v>22992.7</v>
      </c>
      <c r="AO22" s="981">
        <v>16.3</v>
      </c>
      <c r="AP22" s="981">
        <v>17.3</v>
      </c>
      <c r="AQ22" s="243">
        <v>476927</v>
      </c>
      <c r="AR22" s="243">
        <v>220258</v>
      </c>
      <c r="AS22" s="402">
        <v>64635</v>
      </c>
      <c r="AT22" s="981"/>
      <c r="AU22" s="243">
        <v>445073</v>
      </c>
      <c r="AV22" s="243">
        <v>195975</v>
      </c>
      <c r="AW22" s="243">
        <v>77162</v>
      </c>
      <c r="AX22" s="243">
        <v>4177.8</v>
      </c>
      <c r="AY22" s="243">
        <v>2779.6</v>
      </c>
      <c r="AZ22" s="981">
        <v>219.66</v>
      </c>
      <c r="BA22" s="243">
        <v>132.96</v>
      </c>
      <c r="BB22" s="981">
        <v>788.64400000000001</v>
      </c>
      <c r="BC22" s="981">
        <v>336.14699999999999</v>
      </c>
      <c r="BD22" s="1056">
        <v>1785.6</v>
      </c>
      <c r="BE22" s="981">
        <v>3125.4</v>
      </c>
      <c r="BF22" s="981">
        <v>490.9</v>
      </c>
      <c r="BG22" s="243">
        <v>6645.16</v>
      </c>
      <c r="BH22" s="243">
        <v>37220.215789473703</v>
      </c>
      <c r="BI22" s="243">
        <v>10085.915709143501</v>
      </c>
      <c r="BJ22" s="243">
        <v>5917.69</v>
      </c>
      <c r="BK22" s="652">
        <v>6518078</v>
      </c>
      <c r="BL22" s="652">
        <v>4937360</v>
      </c>
      <c r="BM22" s="981">
        <v>216232</v>
      </c>
      <c r="BN22" s="981">
        <v>179531</v>
      </c>
      <c r="BO22" s="213">
        <v>137</v>
      </c>
      <c r="BP22" s="213">
        <v>45.585999999999999</v>
      </c>
      <c r="BQ22" s="213">
        <v>654</v>
      </c>
      <c r="BR22" s="243">
        <v>2452272</v>
      </c>
      <c r="BS22" s="243">
        <v>477</v>
      </c>
      <c r="BT22" s="981">
        <v>18855.599999999999</v>
      </c>
      <c r="BU22" s="243">
        <v>2930609</v>
      </c>
      <c r="BV22" s="243">
        <v>79857</v>
      </c>
      <c r="BW22" s="243">
        <v>18522.259999999998</v>
      </c>
      <c r="BX22" s="981">
        <v>2676764</v>
      </c>
      <c r="BY22" s="981">
        <v>125161</v>
      </c>
      <c r="BZ22" s="981">
        <v>15848.4</v>
      </c>
      <c r="CA22" s="981">
        <v>7905.7</v>
      </c>
      <c r="CB22" s="981">
        <v>5387.9</v>
      </c>
      <c r="CC22" s="981">
        <v>1001910</v>
      </c>
      <c r="CD22" s="981">
        <v>570120</v>
      </c>
      <c r="CE22" s="981">
        <v>677810</v>
      </c>
      <c r="CF22" s="981">
        <v>429116</v>
      </c>
      <c r="CG22" s="1283">
        <v>0</v>
      </c>
      <c r="CI22" s="608"/>
    </row>
    <row r="23" spans="1:87" ht="13.2">
      <c r="A23" s="155">
        <v>44947</v>
      </c>
      <c r="B23" s="243">
        <v>1058.979</v>
      </c>
      <c r="C23" s="243">
        <v>585.40300000000002</v>
      </c>
      <c r="D23" s="243">
        <v>6842.7</v>
      </c>
      <c r="E23" s="1271">
        <v>0</v>
      </c>
      <c r="F23" s="243">
        <v>15830.6</v>
      </c>
      <c r="G23" s="243">
        <v>4902</v>
      </c>
      <c r="H23" s="243">
        <v>566182</v>
      </c>
      <c r="I23" s="243">
        <v>261328</v>
      </c>
      <c r="J23" s="243">
        <v>203298</v>
      </c>
      <c r="K23" s="981"/>
      <c r="L23" s="981"/>
      <c r="M23" s="243">
        <v>14948.1</v>
      </c>
      <c r="N23" s="243">
        <v>7010.3</v>
      </c>
      <c r="O23" s="243">
        <v>43410.6</v>
      </c>
      <c r="P23" s="243">
        <v>34528.800000000003</v>
      </c>
      <c r="Q23" s="243">
        <v>136239.5</v>
      </c>
      <c r="R23" s="243">
        <v>113023.3</v>
      </c>
      <c r="S23" s="243">
        <v>138349.1</v>
      </c>
      <c r="T23" s="243">
        <v>94895.5</v>
      </c>
      <c r="U23" s="981">
        <v>14051.63</v>
      </c>
      <c r="V23" s="981">
        <v>10671.64</v>
      </c>
      <c r="W23" s="243">
        <v>20044</v>
      </c>
      <c r="X23" s="243">
        <v>10426</v>
      </c>
      <c r="Y23" s="243">
        <v>208862.7</v>
      </c>
      <c r="Z23" s="981">
        <v>345.9</v>
      </c>
      <c r="AA23" s="981">
        <v>50716</v>
      </c>
      <c r="AB23" s="243">
        <v>555950</v>
      </c>
      <c r="AC23" s="243">
        <v>283392</v>
      </c>
      <c r="AD23" s="243">
        <v>208812.1</v>
      </c>
      <c r="AE23" s="981">
        <v>1112.4000000000001</v>
      </c>
      <c r="AF23" s="1051">
        <v>942</v>
      </c>
      <c r="AG23" s="243">
        <v>35310.5</v>
      </c>
      <c r="AH23" s="243">
        <v>25173.200000000001</v>
      </c>
      <c r="AI23" s="243">
        <v>81686.3</v>
      </c>
      <c r="AJ23" s="243">
        <v>63153.2</v>
      </c>
      <c r="AK23" s="243">
        <v>64716.7</v>
      </c>
      <c r="AL23" s="243">
        <v>52703.6</v>
      </c>
      <c r="AM23" s="243">
        <v>58473.9</v>
      </c>
      <c r="AN23" s="243">
        <v>22996.6</v>
      </c>
      <c r="AO23" s="981">
        <v>16.3</v>
      </c>
      <c r="AP23" s="981">
        <v>17.3</v>
      </c>
      <c r="AQ23" s="243">
        <v>477085</v>
      </c>
      <c r="AR23" s="243">
        <v>220328</v>
      </c>
      <c r="AS23" s="243">
        <v>64638</v>
      </c>
      <c r="AT23" s="981"/>
      <c r="AU23" s="243">
        <v>445216</v>
      </c>
      <c r="AV23" s="243">
        <v>196037</v>
      </c>
      <c r="AW23" s="243">
        <v>77186</v>
      </c>
      <c r="AX23" s="243">
        <v>4179.5</v>
      </c>
      <c r="AY23" s="243">
        <v>2780.8</v>
      </c>
      <c r="AZ23" s="981">
        <v>219.66</v>
      </c>
      <c r="BA23" s="981">
        <v>132.96</v>
      </c>
      <c r="BB23" s="243">
        <v>788.64400000000001</v>
      </c>
      <c r="BC23" s="243">
        <v>336.14699999999999</v>
      </c>
      <c r="BD23" s="1056">
        <v>1785.6</v>
      </c>
      <c r="BE23" s="243">
        <v>3127.8</v>
      </c>
      <c r="BF23" s="243">
        <v>491</v>
      </c>
      <c r="BG23" s="243">
        <v>6541.87</v>
      </c>
      <c r="BH23" s="243">
        <v>37522.994736842098</v>
      </c>
      <c r="BI23" s="243">
        <v>11460.241435305899</v>
      </c>
      <c r="BJ23" s="243">
        <v>6628.3</v>
      </c>
      <c r="BK23" s="243">
        <v>6519452</v>
      </c>
      <c r="BL23" s="243">
        <v>4938749</v>
      </c>
      <c r="BM23" s="981">
        <v>216232</v>
      </c>
      <c r="BN23" s="981">
        <v>179531</v>
      </c>
      <c r="BO23" s="213">
        <v>136</v>
      </c>
      <c r="BP23" s="243">
        <v>46.046999999999997</v>
      </c>
      <c r="BQ23" s="243">
        <v>650</v>
      </c>
      <c r="BR23" s="243">
        <v>2453878.5</v>
      </c>
      <c r="BS23" s="243">
        <v>478</v>
      </c>
      <c r="BT23" s="981">
        <v>18870.900000000001</v>
      </c>
      <c r="BU23" s="243">
        <v>2932598</v>
      </c>
      <c r="BV23" s="243">
        <v>80147</v>
      </c>
      <c r="BW23" s="243">
        <v>18533.3</v>
      </c>
      <c r="BX23" s="243">
        <v>2680218</v>
      </c>
      <c r="BY23" s="981">
        <v>125201</v>
      </c>
      <c r="BZ23" s="243">
        <v>15872.4</v>
      </c>
      <c r="CA23" s="243">
        <v>7911.9</v>
      </c>
      <c r="CB23" s="243">
        <v>5392.2</v>
      </c>
      <c r="CC23" s="243">
        <v>1002518</v>
      </c>
      <c r="CD23" s="243">
        <v>570476</v>
      </c>
      <c r="CE23" s="243">
        <v>678692</v>
      </c>
      <c r="CF23" s="243">
        <v>429672</v>
      </c>
      <c r="CG23" s="1283">
        <v>0</v>
      </c>
    </row>
    <row r="24" spans="1:87" ht="13.2">
      <c r="A24" s="155">
        <v>44948</v>
      </c>
      <c r="B24" s="243">
        <v>1058.979</v>
      </c>
      <c r="C24" s="243">
        <v>585.40300000000002</v>
      </c>
      <c r="D24" s="243">
        <v>6842.7</v>
      </c>
      <c r="E24" s="1271">
        <v>0</v>
      </c>
      <c r="F24" s="981">
        <v>15845.8</v>
      </c>
      <c r="G24" s="981">
        <v>4907.2</v>
      </c>
      <c r="H24" s="981">
        <v>566348</v>
      </c>
      <c r="I24" s="981">
        <v>261412</v>
      </c>
      <c r="J24" s="981">
        <v>203322</v>
      </c>
      <c r="K24" s="981"/>
      <c r="L24" s="981"/>
      <c r="M24" s="243">
        <v>14948.1</v>
      </c>
      <c r="N24" s="243">
        <v>7010.3</v>
      </c>
      <c r="O24" s="981">
        <v>43434.1</v>
      </c>
      <c r="P24" s="981">
        <v>34547.300000000003</v>
      </c>
      <c r="Q24" s="981">
        <v>136254.70000000001</v>
      </c>
      <c r="R24" s="981">
        <v>113035.5</v>
      </c>
      <c r="S24" s="981">
        <v>138366</v>
      </c>
      <c r="T24" s="981">
        <v>94907.6</v>
      </c>
      <c r="U24" s="981">
        <v>14051.63</v>
      </c>
      <c r="V24" s="981">
        <v>10671.64</v>
      </c>
      <c r="W24" s="981">
        <v>20338</v>
      </c>
      <c r="X24" s="981">
        <v>10578</v>
      </c>
      <c r="Y24" s="981">
        <v>208886.7</v>
      </c>
      <c r="Z24" s="981">
        <v>345.9</v>
      </c>
      <c r="AA24" s="981">
        <v>50716</v>
      </c>
      <c r="AB24" s="981">
        <v>556102</v>
      </c>
      <c r="AC24" s="981">
        <v>283466</v>
      </c>
      <c r="AD24" s="981">
        <v>208836.1</v>
      </c>
      <c r="AE24" s="981">
        <v>1112.4000000000001</v>
      </c>
      <c r="AF24" s="1051">
        <v>942</v>
      </c>
      <c r="AG24" s="981">
        <v>35312.6</v>
      </c>
      <c r="AH24" s="981">
        <v>25174.7</v>
      </c>
      <c r="AI24" s="981">
        <v>81694.7</v>
      </c>
      <c r="AJ24" s="981">
        <v>63159.7</v>
      </c>
      <c r="AK24" s="981">
        <v>64731.9</v>
      </c>
      <c r="AL24" s="981">
        <v>52715.6</v>
      </c>
      <c r="AM24" s="981">
        <v>58487.4</v>
      </c>
      <c r="AN24" s="981">
        <v>23001.9</v>
      </c>
      <c r="AO24" s="981">
        <v>16.3</v>
      </c>
      <c r="AP24" s="981">
        <v>17.3</v>
      </c>
      <c r="AQ24" s="981">
        <v>477241</v>
      </c>
      <c r="AR24" s="981">
        <v>220396</v>
      </c>
      <c r="AS24" s="981">
        <v>64643</v>
      </c>
      <c r="AT24" s="981"/>
      <c r="AU24" s="981">
        <v>445360</v>
      </c>
      <c r="AV24" s="981">
        <v>196099</v>
      </c>
      <c r="AW24" s="981">
        <v>77210</v>
      </c>
      <c r="AX24" s="981">
        <v>4181.3</v>
      </c>
      <c r="AY24" s="981">
        <v>2782.1</v>
      </c>
      <c r="AZ24" s="981">
        <v>219.66</v>
      </c>
      <c r="BA24" s="981">
        <v>132.96</v>
      </c>
      <c r="BB24" s="243">
        <v>788.64400000000001</v>
      </c>
      <c r="BC24" s="243">
        <v>336.14699999999999</v>
      </c>
      <c r="BD24" s="1056">
        <v>1785.6</v>
      </c>
      <c r="BE24" s="981">
        <v>3130.1</v>
      </c>
      <c r="BF24" s="243">
        <v>491</v>
      </c>
      <c r="BG24" s="981">
        <v>6383.89</v>
      </c>
      <c r="BH24" s="981">
        <v>37140</v>
      </c>
      <c r="BI24" s="981">
        <v>11159.0164889509</v>
      </c>
      <c r="BJ24" s="981">
        <v>6133.47</v>
      </c>
      <c r="BK24" s="981">
        <v>6520873</v>
      </c>
      <c r="BL24" s="981">
        <v>4940162</v>
      </c>
      <c r="BM24" s="981">
        <v>216232</v>
      </c>
      <c r="BN24" s="981">
        <v>179531</v>
      </c>
      <c r="BO24" s="213">
        <v>136</v>
      </c>
      <c r="BP24" s="981">
        <v>45.878</v>
      </c>
      <c r="BQ24" s="981">
        <v>650</v>
      </c>
      <c r="BR24" s="243">
        <v>2453878.5</v>
      </c>
      <c r="BS24" s="243">
        <v>478</v>
      </c>
      <c r="BT24" s="981">
        <v>18870.900000000001</v>
      </c>
      <c r="BU24" s="981">
        <v>2937298</v>
      </c>
      <c r="BV24" s="981">
        <v>80933</v>
      </c>
      <c r="BW24" s="981">
        <v>18557.3</v>
      </c>
      <c r="BX24" s="981">
        <v>2683850</v>
      </c>
      <c r="BY24" s="981">
        <v>125282</v>
      </c>
      <c r="BZ24" s="981">
        <v>15896.4</v>
      </c>
      <c r="CA24" s="981">
        <v>7918.2</v>
      </c>
      <c r="CB24" s="981">
        <v>5396.6</v>
      </c>
      <c r="CC24" s="981">
        <v>1003168</v>
      </c>
      <c r="CD24" s="981">
        <v>570858</v>
      </c>
      <c r="CE24" s="981">
        <v>679588</v>
      </c>
      <c r="CF24" s="981">
        <v>430228</v>
      </c>
      <c r="CG24" s="1283">
        <v>0</v>
      </c>
    </row>
    <row r="25" spans="1:87" ht="13.2">
      <c r="A25" s="155">
        <v>44949</v>
      </c>
      <c r="B25" s="243">
        <v>1058.979</v>
      </c>
      <c r="C25" s="243">
        <v>585.40300000000002</v>
      </c>
      <c r="D25" s="243">
        <v>6842.7</v>
      </c>
      <c r="E25" s="1271">
        <v>0</v>
      </c>
      <c r="F25" s="981">
        <v>15861.1</v>
      </c>
      <c r="G25" s="981">
        <v>4912.6000000000004</v>
      </c>
      <c r="H25" s="981">
        <v>566516</v>
      </c>
      <c r="I25" s="981">
        <v>261496</v>
      </c>
      <c r="J25" s="981">
        <v>203346</v>
      </c>
      <c r="K25" s="981"/>
      <c r="L25" s="981"/>
      <c r="M25" s="243">
        <v>14948.1</v>
      </c>
      <c r="N25" s="243">
        <v>7010.3</v>
      </c>
      <c r="O25" s="981">
        <v>43459</v>
      </c>
      <c r="P25" s="981">
        <v>34567.300000000003</v>
      </c>
      <c r="Q25" s="981">
        <v>136269.4</v>
      </c>
      <c r="R25" s="981">
        <v>113047.4</v>
      </c>
      <c r="S25" s="981">
        <v>138382.9</v>
      </c>
      <c r="T25" s="981">
        <v>94919.5</v>
      </c>
      <c r="U25" s="981">
        <v>14051.63</v>
      </c>
      <c r="V25" s="981">
        <v>10671.64</v>
      </c>
      <c r="W25" s="981">
        <v>20632</v>
      </c>
      <c r="X25" s="981">
        <v>10734</v>
      </c>
      <c r="Y25" s="981">
        <v>208910.7</v>
      </c>
      <c r="Z25" s="981">
        <v>345.9</v>
      </c>
      <c r="AA25" s="981">
        <v>50716</v>
      </c>
      <c r="AB25" s="981">
        <v>556254</v>
      </c>
      <c r="AC25" s="981">
        <v>283534</v>
      </c>
      <c r="AD25" s="981">
        <v>208860.1</v>
      </c>
      <c r="AE25" s="981">
        <v>1112.4000000000001</v>
      </c>
      <c r="AF25" s="1051">
        <v>942</v>
      </c>
      <c r="AG25" s="981">
        <v>35314.699999999997</v>
      </c>
      <c r="AH25" s="981">
        <v>25176.3</v>
      </c>
      <c r="AI25" s="981">
        <v>81703.600000000006</v>
      </c>
      <c r="AJ25" s="981">
        <v>63166.7</v>
      </c>
      <c r="AK25" s="981">
        <v>64746.6</v>
      </c>
      <c r="AL25" s="981">
        <v>52727.199999999997</v>
      </c>
      <c r="AM25" s="981">
        <v>58497.3</v>
      </c>
      <c r="AN25" s="981">
        <v>23005.8</v>
      </c>
      <c r="AO25" s="981">
        <v>16.3</v>
      </c>
      <c r="AP25" s="981">
        <v>17.3</v>
      </c>
      <c r="AQ25" s="981">
        <v>477397</v>
      </c>
      <c r="AR25" s="981">
        <v>220464</v>
      </c>
      <c r="AS25" s="981">
        <v>64648</v>
      </c>
      <c r="AT25" s="981"/>
      <c r="AU25" s="981">
        <v>445502</v>
      </c>
      <c r="AV25" s="981">
        <v>196161</v>
      </c>
      <c r="AW25" s="981">
        <v>77234</v>
      </c>
      <c r="AX25" s="981">
        <v>4183.5</v>
      </c>
      <c r="AY25" s="981">
        <v>2783.8</v>
      </c>
      <c r="AZ25" s="981">
        <v>219.66</v>
      </c>
      <c r="BA25" s="981">
        <v>132.96</v>
      </c>
      <c r="BB25" s="243">
        <v>788.64400000000001</v>
      </c>
      <c r="BC25" s="243">
        <v>336.14699999999999</v>
      </c>
      <c r="BD25" s="1056">
        <v>1785.6</v>
      </c>
      <c r="BE25" s="981">
        <v>3130.1</v>
      </c>
      <c r="BF25" s="243">
        <v>491</v>
      </c>
      <c r="BG25" s="981">
        <v>7225.22</v>
      </c>
      <c r="BH25" s="981">
        <v>39989.340350877203</v>
      </c>
      <c r="BI25" s="981">
        <v>10918.824045506</v>
      </c>
      <c r="BJ25" s="981">
        <v>6676.03</v>
      </c>
      <c r="BK25" s="981">
        <v>6522288</v>
      </c>
      <c r="BL25" s="981">
        <v>4941592</v>
      </c>
      <c r="BM25" s="981">
        <v>216232</v>
      </c>
      <c r="BN25" s="981">
        <v>179531</v>
      </c>
      <c r="BO25" s="213">
        <v>122</v>
      </c>
      <c r="BP25" s="981">
        <v>40.991999999999997</v>
      </c>
      <c r="BQ25" s="981">
        <v>580</v>
      </c>
      <c r="BR25" s="243">
        <v>2453878.5</v>
      </c>
      <c r="BS25" s="243">
        <v>478</v>
      </c>
      <c r="BT25" s="981">
        <v>18870.900000000001</v>
      </c>
      <c r="BU25" s="981">
        <v>2941908</v>
      </c>
      <c r="BV25" s="981">
        <v>81847</v>
      </c>
      <c r="BW25" s="981">
        <v>18581.3</v>
      </c>
      <c r="BX25" s="981">
        <v>2687506</v>
      </c>
      <c r="BY25" s="981">
        <v>125378</v>
      </c>
      <c r="BZ25" s="981">
        <v>15920.4</v>
      </c>
      <c r="CA25" s="981">
        <v>7924.5</v>
      </c>
      <c r="CB25" s="981">
        <v>5401.1</v>
      </c>
      <c r="CC25" s="981">
        <v>1003806</v>
      </c>
      <c r="CD25" s="981">
        <v>571234</v>
      </c>
      <c r="CE25" s="981">
        <v>680474</v>
      </c>
      <c r="CF25" s="981">
        <v>430782</v>
      </c>
      <c r="CG25" s="1283">
        <v>0</v>
      </c>
    </row>
    <row r="26" spans="1:87" ht="13.2">
      <c r="A26" s="155">
        <v>44950</v>
      </c>
      <c r="B26" s="981">
        <v>1059.318</v>
      </c>
      <c r="C26" s="981">
        <v>585.52300000000002</v>
      </c>
      <c r="D26" s="981">
        <v>6843.3</v>
      </c>
      <c r="E26" s="1271">
        <v>1</v>
      </c>
      <c r="F26" s="981">
        <v>15876</v>
      </c>
      <c r="G26" s="981">
        <v>4917.2</v>
      </c>
      <c r="H26" s="981">
        <v>566678</v>
      </c>
      <c r="I26" s="981">
        <v>261579</v>
      </c>
      <c r="J26" s="981">
        <v>203370</v>
      </c>
      <c r="K26" s="981"/>
      <c r="L26" s="981"/>
      <c r="M26" s="243">
        <v>14948.1</v>
      </c>
      <c r="N26" s="243">
        <v>7010.3</v>
      </c>
      <c r="O26" s="981">
        <v>43481.5</v>
      </c>
      <c r="P26" s="981">
        <v>34584.6</v>
      </c>
      <c r="Q26" s="981">
        <v>136283.29999999999</v>
      </c>
      <c r="R26" s="981">
        <v>113058.9</v>
      </c>
      <c r="S26" s="981">
        <v>138399.70000000001</v>
      </c>
      <c r="T26" s="981">
        <v>94931.199999999997</v>
      </c>
      <c r="U26" s="981">
        <v>14051.63</v>
      </c>
      <c r="V26" s="981">
        <v>10671.64</v>
      </c>
      <c r="W26" s="981">
        <v>20838</v>
      </c>
      <c r="X26" s="981">
        <v>10842</v>
      </c>
      <c r="Y26" s="981">
        <v>208934.7</v>
      </c>
      <c r="Z26" s="981">
        <v>345.9</v>
      </c>
      <c r="AA26" s="981">
        <v>50716</v>
      </c>
      <c r="AB26" s="981">
        <v>556479</v>
      </c>
      <c r="AC26" s="981">
        <v>283643</v>
      </c>
      <c r="AD26" s="981">
        <v>208884.1</v>
      </c>
      <c r="AE26" s="981">
        <v>1112.4000000000001</v>
      </c>
      <c r="AF26" s="1051">
        <v>942</v>
      </c>
      <c r="AG26" s="981">
        <v>35316.800000000003</v>
      </c>
      <c r="AH26" s="981">
        <v>25177.7</v>
      </c>
      <c r="AI26" s="981">
        <v>81712.600000000006</v>
      </c>
      <c r="AJ26" s="981">
        <v>63173.9</v>
      </c>
      <c r="AK26" s="981">
        <v>64760.9</v>
      </c>
      <c r="AL26" s="981">
        <v>52738.7</v>
      </c>
      <c r="AM26" s="981">
        <v>58505.2</v>
      </c>
      <c r="AN26" s="981">
        <v>23008.9</v>
      </c>
      <c r="AO26" s="981">
        <v>16.3</v>
      </c>
      <c r="AP26" s="981">
        <v>17.3</v>
      </c>
      <c r="AQ26" s="981">
        <v>477550</v>
      </c>
      <c r="AR26" s="981">
        <v>220531.4</v>
      </c>
      <c r="AS26" s="981">
        <v>64652.9</v>
      </c>
      <c r="AT26" s="981"/>
      <c r="AU26" s="981">
        <v>445643</v>
      </c>
      <c r="AV26" s="981">
        <v>196222</v>
      </c>
      <c r="AW26" s="981">
        <v>77258</v>
      </c>
      <c r="AX26" s="981">
        <v>4185.8</v>
      </c>
      <c r="AY26" s="981">
        <v>2785.4</v>
      </c>
      <c r="AZ26" s="981">
        <v>219.7</v>
      </c>
      <c r="BA26" s="981">
        <v>132.99</v>
      </c>
      <c r="BB26" s="981">
        <v>788.96400000000006</v>
      </c>
      <c r="BC26" s="981">
        <v>336.26799999999997</v>
      </c>
      <c r="BD26" s="1056">
        <v>1786.03</v>
      </c>
      <c r="BE26" s="981">
        <v>3134.4</v>
      </c>
      <c r="BF26" s="981">
        <v>491</v>
      </c>
      <c r="BG26" s="981">
        <v>7034.72</v>
      </c>
      <c r="BH26" s="981">
        <v>37698.259649122803</v>
      </c>
      <c r="BI26" s="981">
        <v>11077.241217532101</v>
      </c>
      <c r="BJ26" s="981">
        <v>6255.1</v>
      </c>
      <c r="BK26" s="981">
        <v>6523695</v>
      </c>
      <c r="BL26" s="981">
        <v>4942994</v>
      </c>
      <c r="BM26" s="981">
        <v>216232</v>
      </c>
      <c r="BN26" s="981">
        <v>179531</v>
      </c>
      <c r="BO26" s="981">
        <v>82</v>
      </c>
      <c r="BP26" s="981">
        <v>28.062999999999999</v>
      </c>
      <c r="BQ26" s="981">
        <v>393</v>
      </c>
      <c r="BR26" s="243">
        <v>2453878.5</v>
      </c>
      <c r="BS26" s="243">
        <v>478</v>
      </c>
      <c r="BT26" s="981">
        <v>18870.900000000001</v>
      </c>
      <c r="BU26" s="981">
        <v>2946501</v>
      </c>
      <c r="BV26" s="981">
        <v>82447</v>
      </c>
      <c r="BW26" s="981">
        <v>18605.3</v>
      </c>
      <c r="BX26" s="981">
        <v>2691085</v>
      </c>
      <c r="BY26" s="981">
        <v>125431</v>
      </c>
      <c r="BZ26" s="981">
        <v>15944.4</v>
      </c>
      <c r="CA26" s="981">
        <v>7930.6</v>
      </c>
      <c r="CB26" s="981">
        <v>5405.3</v>
      </c>
      <c r="CC26" s="981">
        <v>1004451</v>
      </c>
      <c r="CD26" s="981">
        <v>571615</v>
      </c>
      <c r="CE26" s="981">
        <v>681383</v>
      </c>
      <c r="CF26" s="981">
        <v>431354</v>
      </c>
      <c r="CG26" s="1283">
        <v>1</v>
      </c>
    </row>
    <row r="27" spans="1:87" s="403" customFormat="1" ht="13.2">
      <c r="A27" s="155">
        <v>44951</v>
      </c>
      <c r="B27" s="981">
        <v>1059.318</v>
      </c>
      <c r="C27" s="981">
        <v>585.52300000000002</v>
      </c>
      <c r="D27" s="981">
        <v>6843.3</v>
      </c>
      <c r="E27" s="1271">
        <v>0</v>
      </c>
      <c r="F27" s="981">
        <v>15891.1</v>
      </c>
      <c r="G27" s="981">
        <v>4922.2</v>
      </c>
      <c r="H27" s="981">
        <v>566845</v>
      </c>
      <c r="I27" s="981">
        <v>261664</v>
      </c>
      <c r="J27" s="981">
        <v>203394</v>
      </c>
      <c r="K27" s="981"/>
      <c r="L27" s="981"/>
      <c r="M27" s="243">
        <v>14948.1</v>
      </c>
      <c r="N27" s="243">
        <v>7010.3</v>
      </c>
      <c r="O27" s="981">
        <v>43504.9</v>
      </c>
      <c r="P27" s="981">
        <v>34602.6</v>
      </c>
      <c r="Q27" s="981">
        <v>136299</v>
      </c>
      <c r="R27" s="981">
        <v>113071.5</v>
      </c>
      <c r="S27" s="981">
        <v>138417.20000000001</v>
      </c>
      <c r="T27" s="981">
        <v>94943.5</v>
      </c>
      <c r="U27" s="981">
        <v>14051.63</v>
      </c>
      <c r="V27" s="981">
        <v>10671.64</v>
      </c>
      <c r="W27" s="981">
        <v>20989.3</v>
      </c>
      <c r="X27" s="981">
        <v>10919</v>
      </c>
      <c r="Y27" s="981">
        <v>208958.7</v>
      </c>
      <c r="Z27" s="981">
        <v>345.9</v>
      </c>
      <c r="AA27" s="981">
        <v>50716</v>
      </c>
      <c r="AB27" s="981">
        <v>556774</v>
      </c>
      <c r="AC27" s="981">
        <v>283790</v>
      </c>
      <c r="AD27" s="981">
        <v>208908.1</v>
      </c>
      <c r="AE27" s="981">
        <v>1112.4000000000001</v>
      </c>
      <c r="AF27" s="1051">
        <v>942</v>
      </c>
      <c r="AG27" s="981">
        <v>35318.9</v>
      </c>
      <c r="AH27" s="981">
        <v>25179.3</v>
      </c>
      <c r="AI27" s="981">
        <v>81721.600000000006</v>
      </c>
      <c r="AJ27" s="981">
        <v>63180.9</v>
      </c>
      <c r="AK27" s="981">
        <v>64775.5</v>
      </c>
      <c r="AL27" s="981">
        <v>52750.400000000001</v>
      </c>
      <c r="AM27" s="981">
        <v>58518.5</v>
      </c>
      <c r="AN27" s="981">
        <v>23014.2</v>
      </c>
      <c r="AO27" s="981">
        <v>16.3</v>
      </c>
      <c r="AP27" s="981">
        <v>17.3</v>
      </c>
      <c r="AQ27" s="981">
        <v>477706.5</v>
      </c>
      <c r="AR27" s="981">
        <v>220599.1</v>
      </c>
      <c r="AS27" s="981">
        <v>64658.1</v>
      </c>
      <c r="AT27" s="981"/>
      <c r="AU27" s="981">
        <v>445786</v>
      </c>
      <c r="AV27" s="981">
        <v>196284</v>
      </c>
      <c r="AW27" s="981">
        <v>77282</v>
      </c>
      <c r="AX27" s="981">
        <v>4187.6000000000004</v>
      </c>
      <c r="AY27" s="981">
        <v>2786.8</v>
      </c>
      <c r="AZ27" s="981">
        <v>219.7</v>
      </c>
      <c r="BA27" s="981">
        <v>132.99</v>
      </c>
      <c r="BB27" s="981">
        <v>788.96400000000006</v>
      </c>
      <c r="BC27" s="981">
        <v>336.26799999999997</v>
      </c>
      <c r="BD27" s="1056">
        <v>1786.03</v>
      </c>
      <c r="BE27" s="981">
        <v>3136.5</v>
      </c>
      <c r="BF27" s="981">
        <v>491</v>
      </c>
      <c r="BG27" s="981">
        <v>7080.74</v>
      </c>
      <c r="BH27" s="981">
        <v>36460.384210526303</v>
      </c>
      <c r="BI27" s="981">
        <v>10894.9465087344</v>
      </c>
      <c r="BJ27" s="981">
        <v>6330.2</v>
      </c>
      <c r="BK27" s="981">
        <v>6525070</v>
      </c>
      <c r="BL27" s="981">
        <v>4944342</v>
      </c>
      <c r="BM27" s="981">
        <v>216232</v>
      </c>
      <c r="BN27" s="981">
        <v>179531</v>
      </c>
      <c r="BO27" s="981">
        <v>137.69799427567008</v>
      </c>
      <c r="BP27" s="981">
        <v>46.035340386653331</v>
      </c>
      <c r="BQ27" s="981">
        <v>650.34489979075079</v>
      </c>
      <c r="BR27" s="243">
        <v>2453878.5</v>
      </c>
      <c r="BS27" s="243">
        <v>478</v>
      </c>
      <c r="BT27" s="981">
        <v>18870.900000000001</v>
      </c>
      <c r="BU27" s="981">
        <v>2951142</v>
      </c>
      <c r="BV27" s="981">
        <v>83223</v>
      </c>
      <c r="BW27" s="981">
        <v>18629.3</v>
      </c>
      <c r="BX27" s="981">
        <v>2694727</v>
      </c>
      <c r="BY27" s="981">
        <v>125492</v>
      </c>
      <c r="BZ27" s="981">
        <v>15968.4</v>
      </c>
      <c r="CA27" s="981">
        <v>7936.8</v>
      </c>
      <c r="CB27" s="981">
        <v>5409.6</v>
      </c>
      <c r="CC27" s="981">
        <v>1005081</v>
      </c>
      <c r="CD27" s="981">
        <v>571990</v>
      </c>
      <c r="CE27" s="981">
        <v>682276</v>
      </c>
      <c r="CF27" s="981">
        <v>431912</v>
      </c>
      <c r="CG27" s="1284">
        <v>0</v>
      </c>
    </row>
    <row r="28" spans="1:87" ht="13.2">
      <c r="A28" s="155">
        <v>44952</v>
      </c>
      <c r="B28" s="981">
        <v>1059.318</v>
      </c>
      <c r="C28" s="981">
        <v>585.52300000000002</v>
      </c>
      <c r="D28" s="981">
        <v>6843.3</v>
      </c>
      <c r="E28" s="1271">
        <v>0</v>
      </c>
      <c r="F28" s="981">
        <v>15914.6</v>
      </c>
      <c r="G28" s="981">
        <v>4929.3</v>
      </c>
      <c r="H28" s="981">
        <v>567012.1</v>
      </c>
      <c r="I28" s="981">
        <v>261748.3</v>
      </c>
      <c r="J28" s="981">
        <v>203418</v>
      </c>
      <c r="K28" s="981"/>
      <c r="L28" s="981"/>
      <c r="M28" s="243">
        <v>14948.1</v>
      </c>
      <c r="N28" s="243">
        <v>7010.3</v>
      </c>
      <c r="O28" s="981">
        <v>43527.4</v>
      </c>
      <c r="P28" s="981">
        <v>34619.9</v>
      </c>
      <c r="Q28" s="981">
        <v>136313</v>
      </c>
      <c r="R28" s="981">
        <v>113083</v>
      </c>
      <c r="S28" s="981">
        <v>138434.5</v>
      </c>
      <c r="T28" s="981">
        <v>94955.6</v>
      </c>
      <c r="U28" s="981">
        <v>14051.63</v>
      </c>
      <c r="V28" s="981">
        <v>10671.64</v>
      </c>
      <c r="W28" s="981">
        <v>21140</v>
      </c>
      <c r="X28" s="981">
        <v>10996.4</v>
      </c>
      <c r="Y28" s="1764">
        <v>208982.7</v>
      </c>
      <c r="Z28" s="981">
        <v>345.9</v>
      </c>
      <c r="AA28" s="981">
        <v>50716</v>
      </c>
      <c r="AB28" s="981">
        <v>557058</v>
      </c>
      <c r="AC28" s="981">
        <v>283931</v>
      </c>
      <c r="AD28" s="981">
        <v>208932.1</v>
      </c>
      <c r="AE28" s="981">
        <v>1112.4000000000001</v>
      </c>
      <c r="AF28" s="1051">
        <v>942</v>
      </c>
      <c r="AG28" s="981">
        <v>35321</v>
      </c>
      <c r="AH28" s="981">
        <v>25180.799999999999</v>
      </c>
      <c r="AI28" s="981">
        <v>81730</v>
      </c>
      <c r="AJ28" s="981">
        <v>63187.5</v>
      </c>
      <c r="AK28" s="981">
        <v>64789.9</v>
      </c>
      <c r="AL28" s="981">
        <v>52762</v>
      </c>
      <c r="AM28" s="981">
        <v>58528.2</v>
      </c>
      <c r="AN28" s="981">
        <v>23018.1</v>
      </c>
      <c r="AO28" s="981">
        <v>16.3</v>
      </c>
      <c r="AP28" s="981">
        <v>17.3</v>
      </c>
      <c r="AQ28" s="981">
        <v>477848</v>
      </c>
      <c r="AR28" s="981">
        <v>220661</v>
      </c>
      <c r="AS28" s="981">
        <v>64663</v>
      </c>
      <c r="AT28" s="981"/>
      <c r="AU28" s="981">
        <v>445925</v>
      </c>
      <c r="AV28" s="981">
        <v>196345</v>
      </c>
      <c r="AW28" s="981">
        <v>77305.2</v>
      </c>
      <c r="AX28" s="981">
        <v>4188</v>
      </c>
      <c r="AY28" s="981">
        <v>2787</v>
      </c>
      <c r="AZ28" s="981">
        <v>219.7</v>
      </c>
      <c r="BA28" s="981">
        <v>132.99</v>
      </c>
      <c r="BB28" s="981">
        <v>788.96400000000006</v>
      </c>
      <c r="BC28" s="981">
        <v>336.26799999999997</v>
      </c>
      <c r="BD28" s="1056">
        <v>1786.03</v>
      </c>
      <c r="BE28" s="981">
        <v>3139.2</v>
      </c>
      <c r="BF28" s="981">
        <v>492.2</v>
      </c>
      <c r="BG28" s="981">
        <v>7058.8899999999994</v>
      </c>
      <c r="BH28" s="981">
        <v>36941.531578947361</v>
      </c>
      <c r="BI28" s="981">
        <v>9445.3332971306827</v>
      </c>
      <c r="BJ28" s="981">
        <v>5914.3499999999995</v>
      </c>
      <c r="BK28" s="981">
        <v>6525980</v>
      </c>
      <c r="BL28" s="981">
        <v>4945160</v>
      </c>
      <c r="BM28" s="981">
        <v>216232</v>
      </c>
      <c r="BN28" s="981">
        <v>179531</v>
      </c>
      <c r="BO28" s="981">
        <v>136.67500837250518</v>
      </c>
      <c r="BP28" s="981">
        <v>45.74032489853478</v>
      </c>
      <c r="BQ28" s="981">
        <v>651.68062318562249</v>
      </c>
      <c r="BR28" s="243">
        <v>2453878.5</v>
      </c>
      <c r="BS28" s="243">
        <v>478</v>
      </c>
      <c r="BT28" s="981">
        <v>18870.900000000001</v>
      </c>
      <c r="BU28" s="981">
        <v>2955201</v>
      </c>
      <c r="BV28" s="981">
        <v>83779</v>
      </c>
      <c r="BW28" s="981">
        <v>18651</v>
      </c>
      <c r="BX28" s="981">
        <v>2698445</v>
      </c>
      <c r="BY28" s="981">
        <v>125565</v>
      </c>
      <c r="BZ28" s="981">
        <v>15992.4</v>
      </c>
      <c r="CA28" s="981">
        <v>7943</v>
      </c>
      <c r="CB28" s="981">
        <v>5414</v>
      </c>
      <c r="CC28" s="981">
        <v>1005501</v>
      </c>
      <c r="CD28" s="981">
        <v>572248</v>
      </c>
      <c r="CE28" s="981">
        <v>683253</v>
      </c>
      <c r="CF28" s="981">
        <v>432513</v>
      </c>
      <c r="CG28" s="1283">
        <v>0</v>
      </c>
    </row>
    <row r="29" spans="1:87" s="403" customFormat="1" ht="10.95" customHeight="1">
      <c r="A29" s="155">
        <v>44953</v>
      </c>
      <c r="B29" s="981">
        <v>1059.318</v>
      </c>
      <c r="C29" s="981">
        <v>585.52300000000002</v>
      </c>
      <c r="D29" s="981">
        <v>6843.3</v>
      </c>
      <c r="E29" s="1271">
        <v>0</v>
      </c>
      <c r="F29" s="981">
        <v>15941.6</v>
      </c>
      <c r="G29" s="981">
        <v>4937.3999999999996</v>
      </c>
      <c r="H29" s="981">
        <v>567174.19999999995</v>
      </c>
      <c r="I29" s="981">
        <v>261830.8</v>
      </c>
      <c r="J29" s="981">
        <v>203442</v>
      </c>
      <c r="K29" s="981"/>
      <c r="L29" s="981"/>
      <c r="M29" s="243">
        <v>14948.1</v>
      </c>
      <c r="N29" s="243">
        <v>7010.3</v>
      </c>
      <c r="O29" s="981">
        <v>43550.7</v>
      </c>
      <c r="P29" s="981">
        <v>34638</v>
      </c>
      <c r="Q29" s="981">
        <v>136328</v>
      </c>
      <c r="R29" s="981">
        <v>113095</v>
      </c>
      <c r="S29" s="981">
        <v>138451</v>
      </c>
      <c r="T29" s="981">
        <v>94967</v>
      </c>
      <c r="U29" s="981">
        <v>14051.63</v>
      </c>
      <c r="V29" s="981">
        <v>10671.64</v>
      </c>
      <c r="W29" s="981">
        <v>21288.400000000001</v>
      </c>
      <c r="X29" s="981">
        <v>11069.1</v>
      </c>
      <c r="Y29" s="981">
        <v>209006.7</v>
      </c>
      <c r="Z29" s="981">
        <v>345.9</v>
      </c>
      <c r="AA29" s="981">
        <v>50716</v>
      </c>
      <c r="AB29" s="981">
        <v>557344</v>
      </c>
      <c r="AC29" s="981">
        <v>284076</v>
      </c>
      <c r="AD29" s="981">
        <v>208956.1</v>
      </c>
      <c r="AE29" s="981">
        <v>1112.4000000000001</v>
      </c>
      <c r="AF29" s="1051">
        <v>942</v>
      </c>
      <c r="AG29" s="981">
        <v>35323.199999999997</v>
      </c>
      <c r="AH29" s="981">
        <v>25182.400000000001</v>
      </c>
      <c r="AI29" s="981">
        <v>81738.5</v>
      </c>
      <c r="AJ29" s="981">
        <v>63194.2</v>
      </c>
      <c r="AK29" s="981">
        <v>64803.9</v>
      </c>
      <c r="AL29" s="981">
        <v>52773.3</v>
      </c>
      <c r="AM29" s="981">
        <v>58539.1</v>
      </c>
      <c r="AN29" s="981">
        <v>23022.5</v>
      </c>
      <c r="AO29" s="981">
        <v>16.3</v>
      </c>
      <c r="AP29" s="981">
        <v>17.3</v>
      </c>
      <c r="AQ29" s="981">
        <v>477990</v>
      </c>
      <c r="AR29" s="981">
        <v>220723</v>
      </c>
      <c r="AS29" s="981">
        <v>64667.7</v>
      </c>
      <c r="AT29" s="981"/>
      <c r="AU29" s="981">
        <v>446068</v>
      </c>
      <c r="AV29" s="981">
        <v>196407</v>
      </c>
      <c r="AW29" s="981">
        <v>77329.2</v>
      </c>
      <c r="AX29" s="981">
        <v>4188.2</v>
      </c>
      <c r="AY29" s="981">
        <v>2787.2</v>
      </c>
      <c r="AZ29" s="981">
        <v>219.7</v>
      </c>
      <c r="BA29" s="981">
        <v>132.99</v>
      </c>
      <c r="BB29" s="981">
        <v>788.96400000000006</v>
      </c>
      <c r="BC29" s="981">
        <v>336.26799999999997</v>
      </c>
      <c r="BD29" s="1056">
        <v>1786.03</v>
      </c>
      <c r="BE29" s="981">
        <v>3142.2</v>
      </c>
      <c r="BF29" s="981">
        <v>494</v>
      </c>
      <c r="BG29" s="981">
        <v>7379.0700000000015</v>
      </c>
      <c r="BH29" s="981">
        <v>38135.370175438591</v>
      </c>
      <c r="BI29" s="981">
        <v>10918.751012196602</v>
      </c>
      <c r="BJ29" s="981">
        <v>7006.51</v>
      </c>
      <c r="BK29" s="981">
        <v>6526892</v>
      </c>
      <c r="BL29" s="981">
        <v>4946005</v>
      </c>
      <c r="BM29" s="981">
        <v>216232</v>
      </c>
      <c r="BN29" s="981">
        <v>179531</v>
      </c>
      <c r="BO29" s="981">
        <v>136.29490676560357</v>
      </c>
      <c r="BP29" s="981">
        <v>45.585693330333967</v>
      </c>
      <c r="BQ29" s="981">
        <v>656.30684337078571</v>
      </c>
      <c r="BR29" s="243">
        <v>2453878.5</v>
      </c>
      <c r="BS29" s="243">
        <v>478</v>
      </c>
      <c r="BT29" s="981">
        <v>18870.900000000001</v>
      </c>
      <c r="BU29" s="981">
        <v>2959609</v>
      </c>
      <c r="BV29" s="981">
        <v>84333</v>
      </c>
      <c r="BW29" s="981">
        <v>18675</v>
      </c>
      <c r="BX29" s="981">
        <v>2701923</v>
      </c>
      <c r="BY29" s="981">
        <v>125614</v>
      </c>
      <c r="BZ29" s="981">
        <v>16016.4</v>
      </c>
      <c r="CA29" s="981">
        <v>7949.2</v>
      </c>
      <c r="CB29" s="981">
        <v>5418.2</v>
      </c>
      <c r="CC29" s="981">
        <v>1005824</v>
      </c>
      <c r="CD29" s="981">
        <v>572454</v>
      </c>
      <c r="CE29" s="981">
        <v>684309</v>
      </c>
      <c r="CF29" s="981">
        <v>433159</v>
      </c>
      <c r="CG29" s="1323">
        <v>0</v>
      </c>
    </row>
    <row r="30" spans="1:87" s="403" customFormat="1" ht="13.2">
      <c r="A30" s="155">
        <v>44954</v>
      </c>
      <c r="B30" s="981">
        <v>1059.326</v>
      </c>
      <c r="C30" s="981">
        <v>585.52599999999995</v>
      </c>
      <c r="D30" s="981">
        <v>6843.7</v>
      </c>
      <c r="E30" s="1271">
        <v>1</v>
      </c>
      <c r="F30" s="243">
        <v>15969.4</v>
      </c>
      <c r="G30" s="243">
        <v>4945.8999999999996</v>
      </c>
      <c r="H30" s="244">
        <v>567339</v>
      </c>
      <c r="I30" s="244">
        <v>261914</v>
      </c>
      <c r="J30" s="244">
        <v>203466</v>
      </c>
      <c r="K30" s="244"/>
      <c r="L30" s="244"/>
      <c r="M30" s="243">
        <v>14948.1</v>
      </c>
      <c r="N30" s="243">
        <v>7010.3</v>
      </c>
      <c r="O30" s="244">
        <v>43576.3</v>
      </c>
      <c r="P30" s="244">
        <v>34658.300000000003</v>
      </c>
      <c r="Q30" s="244">
        <v>136344</v>
      </c>
      <c r="R30" s="244">
        <v>113108</v>
      </c>
      <c r="S30" s="244">
        <v>138467</v>
      </c>
      <c r="T30" s="244">
        <v>94978</v>
      </c>
      <c r="U30" s="981">
        <v>14051.63</v>
      </c>
      <c r="V30" s="981">
        <v>10671.64</v>
      </c>
      <c r="W30" s="244">
        <v>21438.1</v>
      </c>
      <c r="X30" s="244">
        <v>11144.7</v>
      </c>
      <c r="Y30" s="244">
        <v>209030.7</v>
      </c>
      <c r="Z30" s="981">
        <v>345.9</v>
      </c>
      <c r="AA30" s="981">
        <v>50716</v>
      </c>
      <c r="AB30" s="244">
        <v>557637</v>
      </c>
      <c r="AC30" s="244">
        <v>284223</v>
      </c>
      <c r="AD30" s="244">
        <v>208980.1</v>
      </c>
      <c r="AE30" s="981">
        <v>1112.4000000000001</v>
      </c>
      <c r="AF30" s="1051">
        <v>942</v>
      </c>
      <c r="AG30" s="243">
        <v>35325.300000000003</v>
      </c>
      <c r="AH30" s="243">
        <v>25183.9</v>
      </c>
      <c r="AI30" s="244">
        <v>81746</v>
      </c>
      <c r="AJ30" s="244">
        <v>63200</v>
      </c>
      <c r="AK30" s="244">
        <v>64818.5</v>
      </c>
      <c r="AL30" s="244">
        <v>52785.1</v>
      </c>
      <c r="AM30" s="244">
        <v>58552.1</v>
      </c>
      <c r="AN30" s="244">
        <v>23027.599999999999</v>
      </c>
      <c r="AO30" s="981">
        <v>16.3</v>
      </c>
      <c r="AP30" s="981">
        <v>17.3</v>
      </c>
      <c r="AQ30" s="244">
        <v>478132.8</v>
      </c>
      <c r="AR30" s="244">
        <v>220786.4</v>
      </c>
      <c r="AS30" s="244">
        <v>64671.8</v>
      </c>
      <c r="AT30" s="981"/>
      <c r="AU30" s="244">
        <v>446210</v>
      </c>
      <c r="AV30" s="244">
        <v>196469</v>
      </c>
      <c r="AW30" s="244">
        <v>77353.2</v>
      </c>
      <c r="AX30" s="244">
        <v>4188.3</v>
      </c>
      <c r="AY30" s="244">
        <v>2787.4</v>
      </c>
      <c r="AZ30" s="981">
        <v>219.7</v>
      </c>
      <c r="BA30" s="981">
        <v>132.99</v>
      </c>
      <c r="BB30" s="981">
        <v>788.96400000000006</v>
      </c>
      <c r="BC30" s="981">
        <v>336.26799999999997</v>
      </c>
      <c r="BD30" s="1056">
        <v>1786.03</v>
      </c>
      <c r="BE30" s="244">
        <v>3145.4</v>
      </c>
      <c r="BF30" s="244">
        <v>496</v>
      </c>
      <c r="BG30" s="244">
        <v>6874.29</v>
      </c>
      <c r="BH30" s="244">
        <v>38164.322807017539</v>
      </c>
      <c r="BI30" s="244">
        <v>11446.8495676369</v>
      </c>
      <c r="BJ30" s="244">
        <v>6470.8799999999992</v>
      </c>
      <c r="BK30" s="244">
        <v>6528409</v>
      </c>
      <c r="BL30" s="244">
        <v>4947476</v>
      </c>
      <c r="BM30" s="981">
        <v>216232</v>
      </c>
      <c r="BN30" s="981">
        <v>179531</v>
      </c>
      <c r="BO30" s="244">
        <v>136.6657396728647</v>
      </c>
      <c r="BP30" s="244">
        <v>45.613072733167499</v>
      </c>
      <c r="BQ30" s="244">
        <v>651.4481287226414</v>
      </c>
      <c r="BR30" s="243">
        <v>2453878.5</v>
      </c>
      <c r="BS30" s="243">
        <v>478</v>
      </c>
      <c r="BT30" s="981">
        <v>18870.900000000001</v>
      </c>
      <c r="BU30" s="243">
        <v>2964091</v>
      </c>
      <c r="BV30" s="243">
        <v>84945</v>
      </c>
      <c r="BW30" s="243">
        <v>18699</v>
      </c>
      <c r="BX30" s="244">
        <v>2705433</v>
      </c>
      <c r="BY30" s="244">
        <v>125665</v>
      </c>
      <c r="BZ30" s="244">
        <v>16040.4</v>
      </c>
      <c r="CA30" s="244">
        <v>7955.5</v>
      </c>
      <c r="CB30" s="244">
        <v>5422.6</v>
      </c>
      <c r="CC30" s="244">
        <v>1006139</v>
      </c>
      <c r="CD30" s="244">
        <v>572654</v>
      </c>
      <c r="CE30" s="244">
        <v>685358</v>
      </c>
      <c r="CF30" s="244">
        <v>433800</v>
      </c>
      <c r="CG30" s="1323">
        <v>0</v>
      </c>
    </row>
    <row r="31" spans="1:87" ht="13.2">
      <c r="A31" s="155">
        <v>44955</v>
      </c>
      <c r="B31" s="981">
        <v>1059.326</v>
      </c>
      <c r="C31" s="981">
        <v>585.52599999999995</v>
      </c>
      <c r="D31" s="981">
        <v>6843.7</v>
      </c>
      <c r="E31" s="1271">
        <v>0</v>
      </c>
      <c r="F31" s="243">
        <v>15997.8</v>
      </c>
      <c r="G31" s="243">
        <v>4954.6000000000004</v>
      </c>
      <c r="H31" s="243">
        <v>567506.9</v>
      </c>
      <c r="I31" s="243">
        <v>261998.8</v>
      </c>
      <c r="J31" s="243">
        <v>203490</v>
      </c>
      <c r="K31" s="244"/>
      <c r="L31" s="244"/>
      <c r="M31" s="243">
        <v>14948.1</v>
      </c>
      <c r="N31" s="243">
        <v>7010.3</v>
      </c>
      <c r="O31" s="243">
        <v>43602.6</v>
      </c>
      <c r="P31" s="243">
        <v>34679.199999999997</v>
      </c>
      <c r="Q31" s="243">
        <v>136359.6</v>
      </c>
      <c r="R31" s="243">
        <v>113121.5</v>
      </c>
      <c r="S31" s="243">
        <v>138483</v>
      </c>
      <c r="T31" s="243">
        <v>94990</v>
      </c>
      <c r="U31" s="981">
        <v>14051.63</v>
      </c>
      <c r="V31" s="981">
        <v>10671.64</v>
      </c>
      <c r="W31" s="243">
        <v>21588.1</v>
      </c>
      <c r="X31" s="243">
        <v>11220.5</v>
      </c>
      <c r="Y31" s="243">
        <v>209054.7</v>
      </c>
      <c r="Z31" s="981">
        <v>345.9</v>
      </c>
      <c r="AA31" s="981">
        <v>50716</v>
      </c>
      <c r="AB31" s="243">
        <v>557930</v>
      </c>
      <c r="AC31" s="243">
        <v>284370</v>
      </c>
      <c r="AD31" s="243">
        <v>209004.1</v>
      </c>
      <c r="AE31" s="981">
        <v>1112.4000000000001</v>
      </c>
      <c r="AF31" s="1051">
        <v>942</v>
      </c>
      <c r="AG31" s="243">
        <v>35327.5</v>
      </c>
      <c r="AH31" s="243">
        <v>25185.5</v>
      </c>
      <c r="AI31" s="243">
        <v>81752.100000000006</v>
      </c>
      <c r="AJ31" s="243">
        <v>63204.800000000003</v>
      </c>
      <c r="AK31" s="243">
        <v>64834</v>
      </c>
      <c r="AL31" s="243">
        <v>52797.5</v>
      </c>
      <c r="AM31" s="243">
        <v>58561.5</v>
      </c>
      <c r="AN31" s="243">
        <v>23031.1</v>
      </c>
      <c r="AO31" s="981">
        <v>16.3</v>
      </c>
      <c r="AP31" s="981">
        <v>17.3</v>
      </c>
      <c r="AQ31" s="243">
        <v>478274</v>
      </c>
      <c r="AR31" s="243">
        <v>220848</v>
      </c>
      <c r="AS31" s="402">
        <v>64676.1</v>
      </c>
      <c r="AT31" s="981"/>
      <c r="AU31" s="243">
        <v>446354</v>
      </c>
      <c r="AV31" s="243">
        <v>196531</v>
      </c>
      <c r="AW31" s="243">
        <v>77377.2</v>
      </c>
      <c r="AX31" s="243">
        <v>4188.8999999999996</v>
      </c>
      <c r="AY31" s="243">
        <v>2787.8</v>
      </c>
      <c r="AZ31" s="981">
        <v>219.7</v>
      </c>
      <c r="BA31" s="981">
        <v>132.99</v>
      </c>
      <c r="BB31" s="981">
        <v>788.96400000000006</v>
      </c>
      <c r="BC31" s="981">
        <v>336.26799999999997</v>
      </c>
      <c r="BD31" s="1056">
        <v>1786.03</v>
      </c>
      <c r="BE31" s="981">
        <v>3148.4</v>
      </c>
      <c r="BF31" s="981">
        <v>497.8</v>
      </c>
      <c r="BG31" s="213">
        <v>6774.5299999999988</v>
      </c>
      <c r="BH31" s="213">
        <v>36168.259649122811</v>
      </c>
      <c r="BI31" s="982">
        <v>10729.926549251863</v>
      </c>
      <c r="BJ31" s="213">
        <v>6106.58</v>
      </c>
      <c r="BK31" s="652">
        <v>6529930</v>
      </c>
      <c r="BL31" s="652">
        <v>4948950</v>
      </c>
      <c r="BM31" s="652">
        <v>216232</v>
      </c>
      <c r="BN31" s="652">
        <v>179531</v>
      </c>
      <c r="BO31" s="213">
        <v>136.18301138327593</v>
      </c>
      <c r="BP31" s="213">
        <v>45.960079473012669</v>
      </c>
      <c r="BQ31" s="213">
        <v>645.22732672589132</v>
      </c>
      <c r="BR31" s="243">
        <v>2453878.5</v>
      </c>
      <c r="BS31" s="243">
        <v>478</v>
      </c>
      <c r="BT31" s="981">
        <v>18870.900000000001</v>
      </c>
      <c r="BU31" s="243">
        <v>2968670</v>
      </c>
      <c r="BV31" s="243">
        <v>85477</v>
      </c>
      <c r="BW31" s="243">
        <v>18723</v>
      </c>
      <c r="BX31" s="981">
        <v>2709089</v>
      </c>
      <c r="BY31" s="981">
        <v>125701</v>
      </c>
      <c r="BZ31" s="981">
        <v>16064.4</v>
      </c>
      <c r="CA31" s="981">
        <v>7961.9</v>
      </c>
      <c r="CB31" s="981">
        <v>5427.1</v>
      </c>
      <c r="CC31" s="981">
        <v>1006454</v>
      </c>
      <c r="CD31" s="981">
        <v>572854</v>
      </c>
      <c r="CE31" s="981">
        <v>686446</v>
      </c>
      <c r="CF31" s="981">
        <v>434460</v>
      </c>
      <c r="CG31" s="1283">
        <v>0</v>
      </c>
    </row>
    <row r="32" spans="1:87" ht="13.2">
      <c r="A32" s="155">
        <v>44956</v>
      </c>
      <c r="B32" s="981">
        <v>1059.53</v>
      </c>
      <c r="C32" s="981">
        <v>585.59900000000005</v>
      </c>
      <c r="D32" s="981">
        <v>6844.2</v>
      </c>
      <c r="E32" s="1271">
        <v>1</v>
      </c>
      <c r="F32" s="243">
        <v>16025.8</v>
      </c>
      <c r="G32" s="243">
        <v>4963.3</v>
      </c>
      <c r="H32" s="243">
        <v>567672.1</v>
      </c>
      <c r="I32" s="243">
        <v>262082</v>
      </c>
      <c r="J32" s="243">
        <v>203514</v>
      </c>
      <c r="K32" s="244"/>
      <c r="L32" s="244"/>
      <c r="M32" s="243">
        <v>14948.1</v>
      </c>
      <c r="N32" s="243">
        <v>7010.3</v>
      </c>
      <c r="O32" s="243">
        <v>43628.1</v>
      </c>
      <c r="P32" s="243">
        <v>34699.300000000003</v>
      </c>
      <c r="Q32" s="243">
        <v>136375</v>
      </c>
      <c r="R32" s="243">
        <v>113134</v>
      </c>
      <c r="S32" s="243">
        <v>138500</v>
      </c>
      <c r="T32" s="243">
        <v>95002</v>
      </c>
      <c r="U32" s="981">
        <v>14051.63</v>
      </c>
      <c r="V32" s="981">
        <v>10671.64</v>
      </c>
      <c r="W32" s="243">
        <v>21738.1</v>
      </c>
      <c r="X32" s="243">
        <v>11299.8</v>
      </c>
      <c r="Y32" s="243">
        <v>209078.7</v>
      </c>
      <c r="Z32" s="981">
        <v>345.9</v>
      </c>
      <c r="AA32" s="981">
        <v>50716</v>
      </c>
      <c r="AB32" s="243">
        <v>558217.1</v>
      </c>
      <c r="AC32" s="243">
        <v>284509.3</v>
      </c>
      <c r="AD32" s="243">
        <v>209028.1</v>
      </c>
      <c r="AE32" s="981">
        <v>1112.4000000000001</v>
      </c>
      <c r="AF32" s="1051">
        <v>942</v>
      </c>
      <c r="AG32" s="243">
        <v>35329.699999999997</v>
      </c>
      <c r="AH32" s="243">
        <v>25187.1</v>
      </c>
      <c r="AI32" s="243">
        <v>81757.600000000006</v>
      </c>
      <c r="AJ32" s="243">
        <v>63209.1</v>
      </c>
      <c r="AK32" s="243">
        <v>64849.4</v>
      </c>
      <c r="AL32" s="243">
        <v>52809.9</v>
      </c>
      <c r="AM32" s="243">
        <v>58569.8</v>
      </c>
      <c r="AN32" s="243">
        <v>23034.400000000001</v>
      </c>
      <c r="AO32" s="981">
        <v>16.3</v>
      </c>
      <c r="AP32" s="981">
        <v>17.3</v>
      </c>
      <c r="AQ32" s="243">
        <v>478415</v>
      </c>
      <c r="AR32" s="243">
        <v>220910</v>
      </c>
      <c r="AS32" s="402">
        <v>64680.800000000003</v>
      </c>
      <c r="AT32" s="981"/>
      <c r="AU32" s="243">
        <v>446495</v>
      </c>
      <c r="AV32" s="243">
        <v>196593</v>
      </c>
      <c r="AW32" s="243">
        <v>77401.2</v>
      </c>
      <c r="AX32" s="243">
        <v>4191.2</v>
      </c>
      <c r="AY32" s="243">
        <v>2789.3</v>
      </c>
      <c r="AZ32" s="981">
        <v>219.7</v>
      </c>
      <c r="BA32" s="981">
        <v>132.99</v>
      </c>
      <c r="BB32" s="981">
        <v>788.96400000000006</v>
      </c>
      <c r="BC32" s="981">
        <v>336.26799999999997</v>
      </c>
      <c r="BD32" s="1056">
        <v>1786.03</v>
      </c>
      <c r="BE32" s="981">
        <v>3150.8</v>
      </c>
      <c r="BF32" s="981">
        <v>497.8</v>
      </c>
      <c r="BG32" s="213">
        <v>6993.62</v>
      </c>
      <c r="BH32" s="213">
        <v>34552.380701754388</v>
      </c>
      <c r="BI32" s="982">
        <v>10585.518551273301</v>
      </c>
      <c r="BJ32" s="213">
        <v>5618.69</v>
      </c>
      <c r="BK32" s="652">
        <v>6531472</v>
      </c>
      <c r="BL32" s="652">
        <v>4950440</v>
      </c>
      <c r="BM32" s="652">
        <v>216232</v>
      </c>
      <c r="BN32" s="652">
        <v>179531</v>
      </c>
      <c r="BO32" s="213">
        <v>137.00355667547149</v>
      </c>
      <c r="BP32" s="213">
        <v>45.641541098966819</v>
      </c>
      <c r="BQ32" s="213">
        <v>653.81401370938715</v>
      </c>
      <c r="BR32" s="243">
        <v>2453878.5</v>
      </c>
      <c r="BS32" s="243">
        <v>478</v>
      </c>
      <c r="BT32" s="981">
        <v>18870.900000000001</v>
      </c>
      <c r="BU32" s="243">
        <v>2973183</v>
      </c>
      <c r="BV32" s="243">
        <v>85989</v>
      </c>
      <c r="BW32" s="243">
        <v>18747</v>
      </c>
      <c r="BX32" s="981">
        <v>2712761</v>
      </c>
      <c r="BY32" s="981">
        <v>125725</v>
      </c>
      <c r="BZ32" s="981">
        <v>16088.4</v>
      </c>
      <c r="CA32" s="981">
        <v>7968.3</v>
      </c>
      <c r="CB32" s="981">
        <v>5431.5</v>
      </c>
      <c r="CC32" s="981">
        <v>1006767</v>
      </c>
      <c r="CD32" s="981">
        <v>573051</v>
      </c>
      <c r="CE32" s="981">
        <v>687489</v>
      </c>
      <c r="CF32" s="981">
        <v>435094</v>
      </c>
      <c r="CG32" s="1283">
        <v>0</v>
      </c>
    </row>
    <row r="33" spans="1:85" ht="13.2">
      <c r="A33" s="155">
        <v>44957</v>
      </c>
      <c r="B33" s="981">
        <v>1059.53</v>
      </c>
      <c r="C33" s="981">
        <v>585.59900000000005</v>
      </c>
      <c r="D33" s="981">
        <v>6844.2</v>
      </c>
      <c r="E33" s="1271">
        <v>0</v>
      </c>
      <c r="F33" s="981">
        <v>16053.5</v>
      </c>
      <c r="G33" s="981">
        <v>4971.5</v>
      </c>
      <c r="H33" s="981">
        <v>567838.5</v>
      </c>
      <c r="I33" s="981">
        <v>262165.3</v>
      </c>
      <c r="J33" s="981">
        <v>203538</v>
      </c>
      <c r="K33" s="981"/>
      <c r="L33" s="981"/>
      <c r="M33" s="243">
        <v>14948.1</v>
      </c>
      <c r="N33" s="243">
        <v>7010.3</v>
      </c>
      <c r="O33" s="981">
        <v>43653.1</v>
      </c>
      <c r="P33" s="981">
        <v>34718.800000000003</v>
      </c>
      <c r="Q33" s="981">
        <v>136391.5</v>
      </c>
      <c r="R33" s="981">
        <v>113148.4</v>
      </c>
      <c r="S33" s="981">
        <v>138517.5</v>
      </c>
      <c r="T33" s="981">
        <v>95014.3</v>
      </c>
      <c r="U33" s="981">
        <v>14051.63</v>
      </c>
      <c r="V33" s="981">
        <v>10671.64</v>
      </c>
      <c r="W33" s="981">
        <v>21887.4</v>
      </c>
      <c r="X33" s="981">
        <v>11379</v>
      </c>
      <c r="Y33" s="981">
        <v>209102.7</v>
      </c>
      <c r="Z33" s="981">
        <v>345.9</v>
      </c>
      <c r="AA33" s="981">
        <v>50716</v>
      </c>
      <c r="AB33" s="981">
        <v>558509</v>
      </c>
      <c r="AC33" s="981">
        <v>284650.8</v>
      </c>
      <c r="AD33" s="981">
        <v>209052.1</v>
      </c>
      <c r="AE33" s="981">
        <v>1112.4000000000001</v>
      </c>
      <c r="AF33" s="1051">
        <v>942</v>
      </c>
      <c r="AG33" s="981">
        <v>35331.9</v>
      </c>
      <c r="AH33" s="981">
        <v>25188.6</v>
      </c>
      <c r="AI33" s="981">
        <v>81763.199999999997</v>
      </c>
      <c r="AJ33" s="981">
        <v>63213.4</v>
      </c>
      <c r="AK33" s="981">
        <v>64864.2</v>
      </c>
      <c r="AL33" s="981">
        <v>52821.9</v>
      </c>
      <c r="AM33" s="981">
        <v>58582.5</v>
      </c>
      <c r="AN33" s="981">
        <v>23039</v>
      </c>
      <c r="AO33" s="981">
        <v>16.3</v>
      </c>
      <c r="AP33" s="981">
        <v>17.3</v>
      </c>
      <c r="AQ33" s="981">
        <v>478556.9</v>
      </c>
      <c r="AR33" s="981">
        <v>220975.2</v>
      </c>
      <c r="AS33" s="981">
        <v>64685.599999999999</v>
      </c>
      <c r="AT33" s="981"/>
      <c r="AU33" s="981">
        <v>446638</v>
      </c>
      <c r="AV33" s="981">
        <v>196655</v>
      </c>
      <c r="AW33" s="981">
        <v>77425.2</v>
      </c>
      <c r="AX33" s="981">
        <v>4191.3999999999996</v>
      </c>
      <c r="AY33" s="981">
        <v>2789.5</v>
      </c>
      <c r="AZ33" s="981">
        <v>219.7</v>
      </c>
      <c r="BA33" s="981">
        <v>132.99</v>
      </c>
      <c r="BB33" s="981">
        <v>789.08900000000006</v>
      </c>
      <c r="BC33" s="981">
        <v>336.315</v>
      </c>
      <c r="BD33" s="1056">
        <v>1786.2</v>
      </c>
      <c r="BE33" s="981">
        <v>3153.8</v>
      </c>
      <c r="BF33" s="981">
        <v>499.5</v>
      </c>
      <c r="BG33" s="981">
        <v>7147.18</v>
      </c>
      <c r="BH33" s="981">
        <v>34874.247368420998</v>
      </c>
      <c r="BI33" s="981">
        <v>10711.70329784</v>
      </c>
      <c r="BJ33" s="981">
        <v>52733.130666261</v>
      </c>
      <c r="BK33" s="981">
        <v>6532995</v>
      </c>
      <c r="BL33" s="981">
        <v>4951921</v>
      </c>
      <c r="BM33" s="981">
        <v>216232</v>
      </c>
      <c r="BN33" s="981">
        <v>179531</v>
      </c>
      <c r="BO33" s="981">
        <v>135.82895065940934</v>
      </c>
      <c r="BP33" s="981">
        <v>45.703519567111087</v>
      </c>
      <c r="BQ33" s="981">
        <v>651.0305194700195</v>
      </c>
      <c r="BR33" s="243">
        <v>2453878.5</v>
      </c>
      <c r="BS33" s="243">
        <v>478</v>
      </c>
      <c r="BT33" s="981">
        <v>18870.900000000001</v>
      </c>
      <c r="BU33" s="981">
        <v>2977654</v>
      </c>
      <c r="BV33" s="981">
        <v>86459</v>
      </c>
      <c r="BW33" s="981">
        <v>18770.599999999999</v>
      </c>
      <c r="BX33" s="981">
        <v>2716374</v>
      </c>
      <c r="BY33" s="981">
        <v>125750</v>
      </c>
      <c r="BZ33" s="981">
        <v>16112</v>
      </c>
      <c r="CA33" s="981">
        <v>7974.6</v>
      </c>
      <c r="CB33" s="981">
        <v>5436</v>
      </c>
      <c r="CC33" s="981">
        <v>1007056</v>
      </c>
      <c r="CD33" s="981">
        <v>573240</v>
      </c>
      <c r="CE33" s="981">
        <v>688555</v>
      </c>
      <c r="CF33" s="981">
        <v>435746</v>
      </c>
      <c r="CG33" s="1283">
        <v>0</v>
      </c>
    </row>
    <row r="34" spans="1:85" ht="13.2">
      <c r="A34" s="609"/>
      <c r="B34" s="181"/>
      <c r="C34" s="181"/>
      <c r="D34" s="181"/>
      <c r="E34" s="1272"/>
      <c r="F34" s="181"/>
      <c r="G34" s="181"/>
      <c r="H34" s="178"/>
      <c r="I34" s="178"/>
      <c r="J34" s="179"/>
      <c r="K34" s="181"/>
      <c r="L34" s="181"/>
      <c r="M34" s="182"/>
      <c r="N34" s="181"/>
      <c r="O34" s="181"/>
      <c r="P34" s="181"/>
      <c r="Q34" s="181"/>
      <c r="R34" s="366"/>
      <c r="S34" s="181"/>
      <c r="T34" s="181"/>
      <c r="U34" s="181"/>
      <c r="V34" s="181"/>
      <c r="W34" s="181"/>
      <c r="X34" s="181"/>
      <c r="Y34" s="182"/>
      <c r="Z34" s="181"/>
      <c r="AA34" s="181"/>
      <c r="AB34" s="178"/>
      <c r="AC34" s="180"/>
      <c r="AD34" s="181"/>
      <c r="AE34" s="181"/>
      <c r="AF34" s="1018"/>
      <c r="AG34" s="181"/>
      <c r="AH34" s="181"/>
      <c r="AI34" s="181"/>
      <c r="AJ34" s="181"/>
      <c r="AK34" s="181"/>
      <c r="AL34" s="181"/>
      <c r="AM34" s="182"/>
      <c r="AN34" s="182"/>
      <c r="AO34" s="181"/>
      <c r="AP34" s="181"/>
      <c r="AQ34" s="181"/>
      <c r="AR34" s="181"/>
      <c r="AS34" s="630"/>
      <c r="AT34" s="653"/>
      <c r="AU34" s="181"/>
      <c r="AV34" s="181"/>
      <c r="AW34" s="181"/>
      <c r="AX34" s="181"/>
      <c r="AY34" s="181"/>
      <c r="AZ34" s="181"/>
      <c r="BA34" s="181"/>
      <c r="BB34" s="181"/>
      <c r="BC34" s="181"/>
      <c r="BD34" s="1746"/>
      <c r="BE34" s="181"/>
      <c r="BF34" s="181"/>
      <c r="BG34" s="181"/>
      <c r="BH34" s="181"/>
      <c r="BI34" s="983"/>
      <c r="BJ34" s="181"/>
      <c r="BK34" s="653"/>
      <c r="BL34" s="653"/>
      <c r="BM34" s="653"/>
      <c r="BN34" s="653"/>
      <c r="BO34" s="181"/>
      <c r="BP34" s="181"/>
      <c r="BQ34" s="181"/>
      <c r="BR34" s="181"/>
      <c r="BS34" s="181"/>
      <c r="BT34" s="181"/>
      <c r="BU34" s="181"/>
      <c r="BV34" s="181"/>
      <c r="BW34" s="181"/>
      <c r="BX34" s="181"/>
      <c r="BY34" s="181"/>
      <c r="BZ34" s="181"/>
      <c r="CA34" s="181"/>
      <c r="CB34" s="181"/>
      <c r="CC34" s="181"/>
      <c r="CD34" s="181"/>
      <c r="CE34" s="181"/>
      <c r="CF34" s="983"/>
      <c r="CG34" s="984"/>
    </row>
    <row r="35" spans="1:85" ht="13.2">
      <c r="A35" s="618">
        <v>44957</v>
      </c>
      <c r="B35" s="243">
        <v>1059.53</v>
      </c>
      <c r="C35" s="243">
        <v>585.59900000000005</v>
      </c>
      <c r="D35" s="981">
        <v>6844.2</v>
      </c>
      <c r="E35" s="1271">
        <v>0</v>
      </c>
      <c r="F35" s="243">
        <v>16053.5</v>
      </c>
      <c r="G35" s="243">
        <v>4971.5</v>
      </c>
      <c r="H35" s="243">
        <v>567838.5</v>
      </c>
      <c r="I35" s="243">
        <v>262165.3</v>
      </c>
      <c r="J35" s="243">
        <v>203538</v>
      </c>
      <c r="K35" s="213"/>
      <c r="L35" s="213"/>
      <c r="M35" s="213">
        <v>14948.1</v>
      </c>
      <c r="N35" s="243">
        <v>7010.3</v>
      </c>
      <c r="O35" s="243">
        <v>43653.1</v>
      </c>
      <c r="P35" s="243">
        <v>34718.800000000003</v>
      </c>
      <c r="Q35" s="243">
        <v>136391.5</v>
      </c>
      <c r="R35" s="243">
        <v>113148.4</v>
      </c>
      <c r="S35" s="243">
        <v>138517.5</v>
      </c>
      <c r="T35" s="243">
        <v>95014.3</v>
      </c>
      <c r="U35" s="981">
        <v>14051.63</v>
      </c>
      <c r="V35" s="981">
        <v>10671.64</v>
      </c>
      <c r="W35" s="243">
        <v>21887.4</v>
      </c>
      <c r="X35" s="243">
        <v>11379</v>
      </c>
      <c r="Y35" s="243">
        <v>209102.7</v>
      </c>
      <c r="Z35" s="981">
        <v>345.9</v>
      </c>
      <c r="AA35" s="981">
        <v>50716</v>
      </c>
      <c r="AB35" s="243">
        <v>558509</v>
      </c>
      <c r="AC35" s="243">
        <v>284650.8</v>
      </c>
      <c r="AD35" s="243">
        <v>209052.1</v>
      </c>
      <c r="AE35" s="981">
        <v>1112.4000000000001</v>
      </c>
      <c r="AF35" s="1051">
        <v>942</v>
      </c>
      <c r="AG35" s="243">
        <v>35331.9</v>
      </c>
      <c r="AH35" s="243">
        <v>25188.6</v>
      </c>
      <c r="AI35" s="243">
        <v>81763.199999999997</v>
      </c>
      <c r="AJ35" s="243">
        <v>63213.4</v>
      </c>
      <c r="AK35" s="243">
        <v>64864.2</v>
      </c>
      <c r="AL35" s="243">
        <v>52821.9</v>
      </c>
      <c r="AM35" s="243">
        <v>58582.5</v>
      </c>
      <c r="AN35" s="243">
        <v>23039</v>
      </c>
      <c r="AO35" s="243">
        <v>16.3</v>
      </c>
      <c r="AP35" s="243">
        <v>17.3</v>
      </c>
      <c r="AQ35" s="243">
        <v>478556.9</v>
      </c>
      <c r="AR35" s="243">
        <v>220975.2</v>
      </c>
      <c r="AS35" s="402">
        <v>64685.599999999999</v>
      </c>
      <c r="AT35" s="981"/>
      <c r="AU35" s="243">
        <v>446638</v>
      </c>
      <c r="AV35" s="243">
        <v>196655</v>
      </c>
      <c r="AW35" s="243">
        <v>77425.2</v>
      </c>
      <c r="AX35" s="243">
        <v>4191.3999999999996</v>
      </c>
      <c r="AY35" s="243">
        <v>2789.5</v>
      </c>
      <c r="AZ35" s="656">
        <v>219.7</v>
      </c>
      <c r="BA35" s="656">
        <v>132.99</v>
      </c>
      <c r="BB35" s="243">
        <v>789.08900000000006</v>
      </c>
      <c r="BC35" s="243">
        <v>336.315</v>
      </c>
      <c r="BD35" s="1056">
        <v>1786.2</v>
      </c>
      <c r="BE35" s="981">
        <v>3153.8</v>
      </c>
      <c r="BF35" s="981">
        <v>499.5</v>
      </c>
      <c r="BG35" s="213">
        <v>7147.18</v>
      </c>
      <c r="BH35" s="213">
        <v>34874.247368420998</v>
      </c>
      <c r="BI35" s="982">
        <v>10711.70329784</v>
      </c>
      <c r="BJ35" s="213">
        <v>52733.130666261</v>
      </c>
      <c r="BK35" s="652">
        <v>6532995</v>
      </c>
      <c r="BL35" s="652">
        <v>4951921</v>
      </c>
      <c r="BM35" s="652">
        <v>216232</v>
      </c>
      <c r="BN35" s="652">
        <v>179531</v>
      </c>
      <c r="BO35" s="213">
        <v>135.82895065940934</v>
      </c>
      <c r="BP35" s="213">
        <v>45.703519567111087</v>
      </c>
      <c r="BQ35" s="213">
        <v>651.0305194700195</v>
      </c>
      <c r="BR35" s="981">
        <v>2453878.5</v>
      </c>
      <c r="BS35" s="981">
        <v>478</v>
      </c>
      <c r="BT35" s="981">
        <v>18870.900000000001</v>
      </c>
      <c r="BU35" s="981">
        <v>2977654</v>
      </c>
      <c r="BV35" s="981">
        <v>86459</v>
      </c>
      <c r="BW35" s="981">
        <v>18770.599999999999</v>
      </c>
      <c r="BX35" s="981">
        <v>2716374</v>
      </c>
      <c r="BY35" s="981">
        <v>125750</v>
      </c>
      <c r="BZ35" s="981">
        <v>16112</v>
      </c>
      <c r="CA35" s="981">
        <v>7974.6</v>
      </c>
      <c r="CB35" s="981">
        <v>5436</v>
      </c>
      <c r="CC35" s="981">
        <v>1007056</v>
      </c>
      <c r="CD35" s="981">
        <v>573240</v>
      </c>
      <c r="CE35" s="981">
        <v>688555</v>
      </c>
      <c r="CF35" s="981">
        <v>435746</v>
      </c>
      <c r="CG35" s="1283">
        <v>0</v>
      </c>
    </row>
    <row r="36" spans="1:85" ht="13.2">
      <c r="A36" s="618">
        <v>44958</v>
      </c>
      <c r="B36" s="243">
        <v>1059.53</v>
      </c>
      <c r="C36" s="243">
        <v>585.59900000000005</v>
      </c>
      <c r="D36" s="981">
        <v>6844.2</v>
      </c>
      <c r="E36" s="1271">
        <v>0</v>
      </c>
      <c r="F36" s="243">
        <v>16080.9</v>
      </c>
      <c r="G36" s="243">
        <v>4980.3</v>
      </c>
      <c r="H36" s="243">
        <v>568005.80000000005</v>
      </c>
      <c r="I36" s="243">
        <v>262250.7</v>
      </c>
      <c r="J36" s="243">
        <v>203562</v>
      </c>
      <c r="K36" s="213"/>
      <c r="L36" s="213"/>
      <c r="M36" s="213">
        <v>14948.1</v>
      </c>
      <c r="N36" s="243">
        <v>7010.3</v>
      </c>
      <c r="O36" s="243">
        <v>43678.9</v>
      </c>
      <c r="P36" s="243">
        <v>34738.800000000003</v>
      </c>
      <c r="Q36" s="243">
        <v>136406.79999999999</v>
      </c>
      <c r="R36" s="243">
        <v>113161.3</v>
      </c>
      <c r="S36" s="243">
        <v>138534.70000000001</v>
      </c>
      <c r="T36" s="243">
        <v>95026</v>
      </c>
      <c r="U36" s="981">
        <v>14051.63</v>
      </c>
      <c r="V36" s="981">
        <v>10671.64</v>
      </c>
      <c r="W36" s="243">
        <v>22046</v>
      </c>
      <c r="X36" s="243">
        <v>11464.5</v>
      </c>
      <c r="Y36" s="243">
        <v>209126.7</v>
      </c>
      <c r="Z36" s="981">
        <v>345.9</v>
      </c>
      <c r="AA36" s="981">
        <v>50716</v>
      </c>
      <c r="AB36" s="243">
        <v>558802.9</v>
      </c>
      <c r="AC36" s="243">
        <v>284791.5</v>
      </c>
      <c r="AD36" s="243">
        <v>209076.1</v>
      </c>
      <c r="AE36" s="981">
        <v>1112.4000000000001</v>
      </c>
      <c r="AF36" s="1051">
        <v>942</v>
      </c>
      <c r="AG36" s="243">
        <v>35334.1</v>
      </c>
      <c r="AH36" s="243">
        <v>25190.3</v>
      </c>
      <c r="AI36" s="243">
        <v>81771.5</v>
      </c>
      <c r="AJ36" s="243">
        <v>63219.9</v>
      </c>
      <c r="AK36" s="243">
        <v>64879.1</v>
      </c>
      <c r="AL36" s="243">
        <v>52834.1</v>
      </c>
      <c r="AM36" s="243">
        <v>58590</v>
      </c>
      <c r="AN36" s="243">
        <v>23041.8</v>
      </c>
      <c r="AO36" s="243">
        <v>16.3</v>
      </c>
      <c r="AP36" s="243">
        <v>17.3</v>
      </c>
      <c r="AQ36" s="243">
        <v>478710.3</v>
      </c>
      <c r="AR36" s="243">
        <v>221040.4</v>
      </c>
      <c r="AS36" s="402">
        <v>64690.400000000001</v>
      </c>
      <c r="AT36" s="981"/>
      <c r="AU36" s="243">
        <v>446791.8</v>
      </c>
      <c r="AV36" s="243">
        <v>196721.5</v>
      </c>
      <c r="AW36" s="243">
        <v>77449.2</v>
      </c>
      <c r="AX36" s="243">
        <v>4191.6000000000004</v>
      </c>
      <c r="AY36" s="243">
        <v>2789.7</v>
      </c>
      <c r="AZ36" s="656">
        <v>219.7</v>
      </c>
      <c r="BA36" s="656">
        <v>132.99</v>
      </c>
      <c r="BB36" s="243">
        <v>789.08900000000006</v>
      </c>
      <c r="BC36" s="243">
        <v>336.315</v>
      </c>
      <c r="BD36" s="1056">
        <v>1786.2</v>
      </c>
      <c r="BE36" s="981">
        <v>3156.3</v>
      </c>
      <c r="BF36" s="981">
        <v>500</v>
      </c>
      <c r="BG36" s="243">
        <v>7007.74</v>
      </c>
      <c r="BH36" s="243">
        <v>37774.221052631576</v>
      </c>
      <c r="BI36" s="981">
        <v>7946.0901579026704</v>
      </c>
      <c r="BJ36" s="243">
        <v>5969.85</v>
      </c>
      <c r="BK36" s="654">
        <v>6534443</v>
      </c>
      <c r="BL36" s="654">
        <v>4953330</v>
      </c>
      <c r="BM36" s="652">
        <v>216232</v>
      </c>
      <c r="BN36" s="652">
        <v>179531</v>
      </c>
      <c r="BO36" s="243">
        <v>136.77333226459302</v>
      </c>
      <c r="BP36" s="243">
        <v>45.777580569901765</v>
      </c>
      <c r="BQ36" s="243">
        <v>650.45663422760936</v>
      </c>
      <c r="BR36" s="981">
        <v>2453878.5</v>
      </c>
      <c r="BS36" s="981">
        <v>478</v>
      </c>
      <c r="BT36" s="981">
        <v>18870.900000000001</v>
      </c>
      <c r="BU36" s="981">
        <v>2981998</v>
      </c>
      <c r="BV36" s="981">
        <v>87111</v>
      </c>
      <c r="BW36" s="981">
        <v>18794.599999999999</v>
      </c>
      <c r="BX36" s="981">
        <v>2719897</v>
      </c>
      <c r="BY36" s="981">
        <v>125812</v>
      </c>
      <c r="BZ36" s="981">
        <v>16136</v>
      </c>
      <c r="CA36" s="243">
        <v>7980.8</v>
      </c>
      <c r="CB36" s="243">
        <v>5440.5</v>
      </c>
      <c r="CC36" s="243">
        <v>1007354</v>
      </c>
      <c r="CD36" s="243">
        <v>573427</v>
      </c>
      <c r="CE36" s="243">
        <v>689594</v>
      </c>
      <c r="CF36" s="243">
        <v>436385</v>
      </c>
      <c r="CG36" s="1283">
        <v>0</v>
      </c>
    </row>
    <row r="37" spans="1:85" ht="13.2">
      <c r="A37" s="618">
        <v>44959</v>
      </c>
      <c r="B37" s="243">
        <v>1059.53</v>
      </c>
      <c r="C37" s="243">
        <v>585.59900000000005</v>
      </c>
      <c r="D37" s="981">
        <v>6844.2</v>
      </c>
      <c r="E37" s="1271">
        <v>0</v>
      </c>
      <c r="F37" s="243">
        <v>16108.6</v>
      </c>
      <c r="G37" s="243">
        <v>4988.8999999999996</v>
      </c>
      <c r="H37" s="243">
        <v>568068.5</v>
      </c>
      <c r="I37" s="243">
        <v>262282.3</v>
      </c>
      <c r="J37" s="243">
        <v>203571.15</v>
      </c>
      <c r="K37" s="213"/>
      <c r="L37" s="213"/>
      <c r="M37" s="213">
        <v>14948.1</v>
      </c>
      <c r="N37" s="243">
        <v>7010.3</v>
      </c>
      <c r="O37" s="243">
        <v>43707.199999999997</v>
      </c>
      <c r="P37" s="243">
        <v>34760.699999999997</v>
      </c>
      <c r="Q37" s="243">
        <v>136416.70000000001</v>
      </c>
      <c r="R37" s="243">
        <v>113169.2</v>
      </c>
      <c r="S37" s="243">
        <v>138551.9</v>
      </c>
      <c r="T37" s="243">
        <v>95037.8</v>
      </c>
      <c r="U37" s="981">
        <v>14051.63</v>
      </c>
      <c r="V37" s="981">
        <v>10671.64</v>
      </c>
      <c r="W37" s="243">
        <v>22159.200000000001</v>
      </c>
      <c r="X37" s="243">
        <v>11522.5</v>
      </c>
      <c r="Y37" s="243">
        <v>209150.7</v>
      </c>
      <c r="Z37" s="981">
        <v>345.9</v>
      </c>
      <c r="AA37" s="981">
        <v>50716</v>
      </c>
      <c r="AB37" s="243">
        <v>559024.6</v>
      </c>
      <c r="AC37" s="243">
        <v>284900.59999999998</v>
      </c>
      <c r="AD37" s="243">
        <v>209100.1</v>
      </c>
      <c r="AE37" s="981">
        <v>1112.4000000000001</v>
      </c>
      <c r="AF37" s="1051">
        <v>942</v>
      </c>
      <c r="AG37" s="243">
        <v>35336.400000000001</v>
      </c>
      <c r="AH37" s="243">
        <v>25191.9</v>
      </c>
      <c r="AI37" s="243">
        <v>81777</v>
      </c>
      <c r="AJ37" s="243">
        <v>63224.2</v>
      </c>
      <c r="AK37" s="243">
        <v>64894.1</v>
      </c>
      <c r="AL37" s="243">
        <v>52846.5</v>
      </c>
      <c r="AM37" s="243">
        <v>58600.3</v>
      </c>
      <c r="AN37" s="243">
        <v>23045.8</v>
      </c>
      <c r="AO37" s="243">
        <v>16.3</v>
      </c>
      <c r="AP37" s="243">
        <v>17.3</v>
      </c>
      <c r="AQ37" s="243">
        <v>478854.8</v>
      </c>
      <c r="AR37" s="243">
        <v>221104</v>
      </c>
      <c r="AS37" s="402">
        <v>64695.3</v>
      </c>
      <c r="AT37" s="981"/>
      <c r="AU37" s="243">
        <v>446936.9</v>
      </c>
      <c r="AV37" s="243">
        <v>196784.5</v>
      </c>
      <c r="AW37" s="243">
        <v>77473.2</v>
      </c>
      <c r="AX37" s="243">
        <v>4191.8</v>
      </c>
      <c r="AY37" s="243">
        <v>2789.8</v>
      </c>
      <c r="AZ37" s="656">
        <v>219.7</v>
      </c>
      <c r="BA37" s="656">
        <v>132.99</v>
      </c>
      <c r="BB37" s="243">
        <v>789.08900000000006</v>
      </c>
      <c r="BC37" s="243">
        <v>336.315</v>
      </c>
      <c r="BD37" s="1056">
        <v>1786.2</v>
      </c>
      <c r="BE37" s="981">
        <v>3158.7</v>
      </c>
      <c r="BF37" s="981">
        <v>500</v>
      </c>
      <c r="BG37" s="243">
        <v>6974.55</v>
      </c>
      <c r="BH37" s="243">
        <v>32859.4368421053</v>
      </c>
      <c r="BI37" s="981">
        <v>8896.5311370029594</v>
      </c>
      <c r="BJ37" s="243">
        <v>6449.55</v>
      </c>
      <c r="BK37" s="654">
        <v>6535924</v>
      </c>
      <c r="BL37" s="654">
        <v>4954798</v>
      </c>
      <c r="BM37" s="652">
        <v>216232</v>
      </c>
      <c r="BN37" s="652">
        <v>179531</v>
      </c>
      <c r="BO37" s="243">
        <v>136.14717629105567</v>
      </c>
      <c r="BP37" s="243">
        <v>45.523523941348685</v>
      </c>
      <c r="BQ37" s="243">
        <v>643.02041716409212</v>
      </c>
      <c r="BR37" s="981">
        <v>2453878.5</v>
      </c>
      <c r="BS37" s="981">
        <v>478</v>
      </c>
      <c r="BT37" s="981">
        <v>18870.900000000001</v>
      </c>
      <c r="BU37" s="981">
        <v>2986335</v>
      </c>
      <c r="BV37" s="981">
        <v>87641</v>
      </c>
      <c r="BW37" s="981">
        <v>18818.599999999999</v>
      </c>
      <c r="BX37" s="243">
        <v>2723284</v>
      </c>
      <c r="BY37" s="243">
        <v>125874</v>
      </c>
      <c r="BZ37" s="243">
        <v>16160</v>
      </c>
      <c r="CA37" s="243">
        <v>7987.1</v>
      </c>
      <c r="CB37" s="243">
        <v>5445</v>
      </c>
      <c r="CC37" s="243">
        <v>1007670</v>
      </c>
      <c r="CD37" s="243">
        <v>573631</v>
      </c>
      <c r="CE37" s="243">
        <v>690212</v>
      </c>
      <c r="CF37" s="243">
        <v>436744</v>
      </c>
      <c r="CG37" s="1283">
        <v>0</v>
      </c>
    </row>
    <row r="38" spans="1:85" ht="13.2">
      <c r="A38" s="618">
        <v>44960</v>
      </c>
      <c r="B38" s="243">
        <v>1059.53</v>
      </c>
      <c r="C38" s="243">
        <v>585.59900000000005</v>
      </c>
      <c r="D38" s="981">
        <v>6844.2</v>
      </c>
      <c r="E38" s="1271">
        <v>0</v>
      </c>
      <c r="F38" s="243">
        <v>16137.3</v>
      </c>
      <c r="G38" s="243">
        <v>4997.8</v>
      </c>
      <c r="H38" s="243">
        <v>568233.5</v>
      </c>
      <c r="I38" s="243">
        <v>262367</v>
      </c>
      <c r="J38" s="243">
        <v>203595.2</v>
      </c>
      <c r="K38" s="213"/>
      <c r="L38" s="213"/>
      <c r="M38" s="213">
        <v>14948.1</v>
      </c>
      <c r="N38" s="243">
        <v>7010.3</v>
      </c>
      <c r="O38" s="243">
        <v>43732.45</v>
      </c>
      <c r="P38" s="243">
        <v>34780.120000000003</v>
      </c>
      <c r="Q38" s="243">
        <v>136428.19</v>
      </c>
      <c r="R38" s="243">
        <v>113178.8</v>
      </c>
      <c r="S38" s="243">
        <v>138568.79</v>
      </c>
      <c r="T38" s="243">
        <v>95049.54</v>
      </c>
      <c r="U38" s="981">
        <v>14051.63</v>
      </c>
      <c r="V38" s="981">
        <v>10671.64</v>
      </c>
      <c r="W38" s="243">
        <v>22306.28</v>
      </c>
      <c r="X38" s="243">
        <v>11599.647000000001</v>
      </c>
      <c r="Y38" s="243">
        <v>209174.7</v>
      </c>
      <c r="Z38" s="981">
        <v>345.9</v>
      </c>
      <c r="AA38" s="981">
        <v>50716</v>
      </c>
      <c r="AB38" s="243">
        <v>559317.99</v>
      </c>
      <c r="AC38" s="243">
        <v>285042.19</v>
      </c>
      <c r="AD38" s="243">
        <v>209124.1</v>
      </c>
      <c r="AE38" s="981">
        <v>1112.4000000000001</v>
      </c>
      <c r="AF38" s="1051">
        <v>942</v>
      </c>
      <c r="AG38" s="243">
        <v>35338.65</v>
      </c>
      <c r="AH38" s="243">
        <v>25193.59</v>
      </c>
      <c r="AI38" s="243">
        <v>81785.899999999994</v>
      </c>
      <c r="AJ38" s="243">
        <v>63231.18</v>
      </c>
      <c r="AK38" s="243">
        <v>64907.97</v>
      </c>
      <c r="AL38" s="243">
        <v>52857.26</v>
      </c>
      <c r="AM38" s="243">
        <v>58611.3</v>
      </c>
      <c r="AN38" s="243">
        <v>23050.1</v>
      </c>
      <c r="AO38" s="243">
        <v>16.3</v>
      </c>
      <c r="AP38" s="243">
        <v>17.3</v>
      </c>
      <c r="AQ38" s="243">
        <v>478999.4</v>
      </c>
      <c r="AR38" s="243">
        <v>221167.4</v>
      </c>
      <c r="AS38" s="402">
        <v>64700.031000000003</v>
      </c>
      <c r="AT38" s="981"/>
      <c r="AU38" s="243">
        <v>447082.82</v>
      </c>
      <c r="AV38" s="243">
        <v>196847.75899999999</v>
      </c>
      <c r="AW38" s="243">
        <v>77497.2</v>
      </c>
      <c r="AX38" s="243">
        <v>4191.9799999999996</v>
      </c>
      <c r="AY38" s="243">
        <v>2790.04</v>
      </c>
      <c r="AZ38" s="656">
        <v>219.7</v>
      </c>
      <c r="BA38" s="656">
        <v>132.99</v>
      </c>
      <c r="BB38" s="243">
        <v>789.08900000000006</v>
      </c>
      <c r="BC38" s="243">
        <v>336.315</v>
      </c>
      <c r="BD38" s="1056">
        <v>1786.2</v>
      </c>
      <c r="BE38" s="981">
        <v>3161.1</v>
      </c>
      <c r="BF38" s="981">
        <v>500.8</v>
      </c>
      <c r="BG38" s="243">
        <v>7043.9</v>
      </c>
      <c r="BH38" s="243">
        <v>33132.417543859599</v>
      </c>
      <c r="BI38" s="981">
        <v>9077.7117075228507</v>
      </c>
      <c r="BJ38" s="243">
        <v>6144.15</v>
      </c>
      <c r="BK38" s="654">
        <v>6537331</v>
      </c>
      <c r="BL38" s="654">
        <v>4956212</v>
      </c>
      <c r="BM38" s="652">
        <v>216232</v>
      </c>
      <c r="BN38" s="652">
        <v>179531</v>
      </c>
      <c r="BO38" s="243">
        <v>133.95505318899501</v>
      </c>
      <c r="BP38" s="243">
        <v>45.627669155711608</v>
      </c>
      <c r="BQ38" s="243">
        <v>639.63574458966661</v>
      </c>
      <c r="BR38" s="981">
        <v>2453878.5</v>
      </c>
      <c r="BS38" s="981">
        <v>478</v>
      </c>
      <c r="BT38" s="981">
        <v>18870.900000000001</v>
      </c>
      <c r="BU38" s="981">
        <v>2990905</v>
      </c>
      <c r="BV38" s="981">
        <v>88158</v>
      </c>
      <c r="BW38" s="981">
        <v>18842.599999999999</v>
      </c>
      <c r="BX38" s="243">
        <v>2726968</v>
      </c>
      <c r="BY38" s="243">
        <v>125929</v>
      </c>
      <c r="BZ38" s="243">
        <v>16184</v>
      </c>
      <c r="CA38" s="243">
        <v>7993.58</v>
      </c>
      <c r="CB38" s="243">
        <v>5449.49</v>
      </c>
      <c r="CC38" s="243">
        <v>1007979</v>
      </c>
      <c r="CD38" s="243">
        <v>573827</v>
      </c>
      <c r="CE38" s="243">
        <v>691020</v>
      </c>
      <c r="CF38" s="243">
        <v>437237</v>
      </c>
      <c r="CG38" s="1283">
        <v>0</v>
      </c>
    </row>
    <row r="39" spans="1:85" ht="13.2">
      <c r="A39" s="618">
        <v>44961</v>
      </c>
      <c r="B39" s="243">
        <v>1059.53</v>
      </c>
      <c r="C39" s="243">
        <v>585.59900000000005</v>
      </c>
      <c r="D39" s="981">
        <v>6844.2</v>
      </c>
      <c r="E39" s="1271">
        <v>0</v>
      </c>
      <c r="F39" s="243">
        <v>16166.1</v>
      </c>
      <c r="G39" s="243">
        <v>5007.3999999999996</v>
      </c>
      <c r="H39" s="243">
        <v>568398.18000000005</v>
      </c>
      <c r="I39" s="243">
        <v>262451.8</v>
      </c>
      <c r="J39" s="243">
        <v>203619.20000000001</v>
      </c>
      <c r="K39" s="213"/>
      <c r="L39" s="213"/>
      <c r="M39" s="213">
        <v>14948.1</v>
      </c>
      <c r="N39" s="243">
        <v>7010.3</v>
      </c>
      <c r="O39" s="243">
        <v>43756.9</v>
      </c>
      <c r="P39" s="243">
        <v>34799.14</v>
      </c>
      <c r="Q39" s="243">
        <v>136442.04999999999</v>
      </c>
      <c r="R39" s="243">
        <v>113189.94</v>
      </c>
      <c r="S39" s="243">
        <v>138585.22</v>
      </c>
      <c r="T39" s="243">
        <v>95061.33</v>
      </c>
      <c r="U39" s="981">
        <v>14051.63</v>
      </c>
      <c r="V39" s="981">
        <v>10671.64</v>
      </c>
      <c r="W39" s="243">
        <v>22451.56</v>
      </c>
      <c r="X39" s="243">
        <v>11675.35</v>
      </c>
      <c r="Y39" s="243">
        <v>209198.7</v>
      </c>
      <c r="Z39" s="981">
        <v>345.9</v>
      </c>
      <c r="AA39" s="981">
        <v>50716</v>
      </c>
      <c r="AB39" s="243">
        <v>559627.56999999995</v>
      </c>
      <c r="AC39" s="243">
        <v>285192.93</v>
      </c>
      <c r="AD39" s="243">
        <v>209148.1</v>
      </c>
      <c r="AE39" s="981">
        <v>1112.4000000000001</v>
      </c>
      <c r="AF39" s="1051">
        <v>942</v>
      </c>
      <c r="AG39" s="243">
        <v>35340.89</v>
      </c>
      <c r="AH39" s="243">
        <v>25195.23</v>
      </c>
      <c r="AI39" s="243">
        <v>81794.62</v>
      </c>
      <c r="AJ39" s="243">
        <v>63238.04</v>
      </c>
      <c r="AK39" s="243">
        <v>64922.28</v>
      </c>
      <c r="AL39" s="243">
        <v>52868.62</v>
      </c>
      <c r="AM39" s="243">
        <v>58630.8</v>
      </c>
      <c r="AN39" s="243">
        <v>23057.7</v>
      </c>
      <c r="AO39" s="243">
        <v>16.3</v>
      </c>
      <c r="AP39" s="243">
        <v>17.3</v>
      </c>
      <c r="AQ39" s="243">
        <v>479149.4</v>
      </c>
      <c r="AR39" s="243">
        <v>221233.5</v>
      </c>
      <c r="AS39" s="402">
        <v>64704.218000000001</v>
      </c>
      <c r="AT39" s="981"/>
      <c r="AU39" s="243">
        <v>447233.34</v>
      </c>
      <c r="AV39" s="243">
        <v>196912.65</v>
      </c>
      <c r="AW39" s="243">
        <v>77521.2</v>
      </c>
      <c r="AX39" s="243">
        <v>4193</v>
      </c>
      <c r="AY39" s="243">
        <v>2790.73</v>
      </c>
      <c r="AZ39" s="656">
        <v>220.01</v>
      </c>
      <c r="BA39" s="656">
        <v>133.16</v>
      </c>
      <c r="BB39" s="243">
        <v>789.08900000000006</v>
      </c>
      <c r="BC39" s="243">
        <v>336.315</v>
      </c>
      <c r="BD39" s="1056">
        <v>1786.2</v>
      </c>
      <c r="BE39" s="981">
        <v>3163.9</v>
      </c>
      <c r="BF39" s="981">
        <v>502.1</v>
      </c>
      <c r="BG39" s="243">
        <v>8897.0300000000007</v>
      </c>
      <c r="BH39" s="243">
        <v>34924.592982456103</v>
      </c>
      <c r="BI39" s="981">
        <v>11100.5175604262</v>
      </c>
      <c r="BJ39" s="243">
        <v>5962.11</v>
      </c>
      <c r="BK39" s="654">
        <v>6538842</v>
      </c>
      <c r="BL39" s="654">
        <v>4957687</v>
      </c>
      <c r="BM39" s="652">
        <v>216232</v>
      </c>
      <c r="BN39" s="652">
        <v>179531</v>
      </c>
      <c r="BO39" s="243">
        <v>133.86085728492699</v>
      </c>
      <c r="BP39" s="243">
        <v>45.532932703114305</v>
      </c>
      <c r="BQ39" s="243">
        <v>634.95602121437548</v>
      </c>
      <c r="BR39" s="981">
        <v>2453878.5</v>
      </c>
      <c r="BS39" s="981">
        <v>478</v>
      </c>
      <c r="BT39" s="981">
        <v>18870.900000000001</v>
      </c>
      <c r="BU39" s="981">
        <v>2995487</v>
      </c>
      <c r="BV39" s="981">
        <v>88831</v>
      </c>
      <c r="BW39" s="981">
        <v>18866.599999999999</v>
      </c>
      <c r="BX39" s="243">
        <v>2730639</v>
      </c>
      <c r="BY39" s="243">
        <v>125990</v>
      </c>
      <c r="BZ39" s="243">
        <v>16208</v>
      </c>
      <c r="CA39" s="243">
        <v>8000.02</v>
      </c>
      <c r="CB39" s="243">
        <v>5453.99</v>
      </c>
      <c r="CC39" s="243">
        <v>1008309</v>
      </c>
      <c r="CD39" s="243">
        <v>574035</v>
      </c>
      <c r="CE39" s="243">
        <v>691523</v>
      </c>
      <c r="CF39" s="243">
        <v>437517</v>
      </c>
      <c r="CG39" s="1283">
        <v>0</v>
      </c>
    </row>
    <row r="40" spans="1:85" ht="13.2">
      <c r="A40" s="618">
        <v>44962</v>
      </c>
      <c r="B40" s="243">
        <v>1059.53</v>
      </c>
      <c r="C40" s="243">
        <v>585.59900000000005</v>
      </c>
      <c r="D40" s="981">
        <v>6844.2</v>
      </c>
      <c r="E40" s="1271">
        <v>0</v>
      </c>
      <c r="F40" s="243">
        <v>16195.7</v>
      </c>
      <c r="G40" s="243">
        <v>5017.6000000000004</v>
      </c>
      <c r="H40" s="243">
        <v>568563.9</v>
      </c>
      <c r="I40" s="243">
        <v>262535.90000000002</v>
      </c>
      <c r="J40" s="243">
        <v>203643.2</v>
      </c>
      <c r="K40" s="213"/>
      <c r="L40" s="213"/>
      <c r="M40" s="213">
        <v>14948.1</v>
      </c>
      <c r="N40" s="243">
        <v>7010.3</v>
      </c>
      <c r="O40" s="243">
        <v>43781.599999999999</v>
      </c>
      <c r="P40" s="243">
        <v>34818.410000000003</v>
      </c>
      <c r="Q40" s="243">
        <v>136454.78</v>
      </c>
      <c r="R40" s="243">
        <v>113200.72</v>
      </c>
      <c r="S40" s="243">
        <v>138601.73000000001</v>
      </c>
      <c r="T40" s="243">
        <v>95073.05</v>
      </c>
      <c r="U40" s="981">
        <v>14051.63</v>
      </c>
      <c r="V40" s="981">
        <v>10671.64</v>
      </c>
      <c r="W40" s="243">
        <v>22598.639999999999</v>
      </c>
      <c r="X40" s="243">
        <v>11748.74</v>
      </c>
      <c r="Y40" s="243">
        <v>209222.7</v>
      </c>
      <c r="Z40" s="981">
        <v>345.9</v>
      </c>
      <c r="AA40" s="981">
        <v>50716</v>
      </c>
      <c r="AB40" s="243">
        <v>559931.68000000005</v>
      </c>
      <c r="AC40" s="243">
        <v>285344</v>
      </c>
      <c r="AD40" s="243">
        <v>209172.1</v>
      </c>
      <c r="AE40" s="981">
        <v>1112.4000000000001</v>
      </c>
      <c r="AF40" s="1051">
        <v>942</v>
      </c>
      <c r="AG40" s="243">
        <v>35343.15</v>
      </c>
      <c r="AH40" s="243">
        <v>25196.9</v>
      </c>
      <c r="AI40" s="243">
        <v>81803.3</v>
      </c>
      <c r="AJ40" s="243">
        <v>63244.85</v>
      </c>
      <c r="AK40" s="243">
        <v>64936.79</v>
      </c>
      <c r="AL40" s="243">
        <v>52880.12</v>
      </c>
      <c r="AM40" s="243">
        <v>58641.4</v>
      </c>
      <c r="AN40" s="243">
        <v>23061.8</v>
      </c>
      <c r="AO40" s="243">
        <v>16.3</v>
      </c>
      <c r="AP40" s="243">
        <v>17.3</v>
      </c>
      <c r="AQ40" s="243">
        <v>479301.5</v>
      </c>
      <c r="AR40" s="243">
        <v>221300.5</v>
      </c>
      <c r="AS40" s="402">
        <v>64708.468000000001</v>
      </c>
      <c r="AT40" s="981"/>
      <c r="AU40" s="243">
        <v>447386.2</v>
      </c>
      <c r="AV40" s="243">
        <v>196978.53</v>
      </c>
      <c r="AW40" s="243">
        <v>77545.2</v>
      </c>
      <c r="AX40" s="243">
        <v>4194.7</v>
      </c>
      <c r="AY40" s="243">
        <v>2791.88</v>
      </c>
      <c r="AZ40" s="656">
        <v>220.01</v>
      </c>
      <c r="BA40" s="656">
        <v>133.16</v>
      </c>
      <c r="BB40" s="243">
        <v>789.08900000000006</v>
      </c>
      <c r="BC40" s="243">
        <v>336.315</v>
      </c>
      <c r="BD40" s="1056">
        <v>1786.2</v>
      </c>
      <c r="BE40" s="981">
        <v>3167.1</v>
      </c>
      <c r="BF40" s="981">
        <v>504.1</v>
      </c>
      <c r="BG40" s="243">
        <v>7845.48</v>
      </c>
      <c r="BH40" s="243">
        <v>36057.196491228096</v>
      </c>
      <c r="BI40" s="981">
        <v>11008.588177839199</v>
      </c>
      <c r="BJ40" s="243">
        <v>5313.07</v>
      </c>
      <c r="BK40" s="654">
        <v>6540305</v>
      </c>
      <c r="BL40" s="654">
        <v>4959123</v>
      </c>
      <c r="BM40" s="652">
        <v>216232</v>
      </c>
      <c r="BN40" s="652">
        <v>179531</v>
      </c>
      <c r="BO40" s="243">
        <v>135.28366496818501</v>
      </c>
      <c r="BP40" s="243">
        <v>45.647127405402472</v>
      </c>
      <c r="BQ40" s="243">
        <v>647.85320473785919</v>
      </c>
      <c r="BR40" s="981">
        <v>2453878.5</v>
      </c>
      <c r="BS40" s="981">
        <v>478</v>
      </c>
      <c r="BT40" s="981">
        <v>18870.900000000001</v>
      </c>
      <c r="BU40" s="981">
        <v>3000079</v>
      </c>
      <c r="BV40" s="981">
        <v>89732</v>
      </c>
      <c r="BW40" s="981">
        <v>18890.599999999999</v>
      </c>
      <c r="BX40" s="243">
        <v>2734419</v>
      </c>
      <c r="BY40" s="243">
        <v>126037</v>
      </c>
      <c r="BZ40" s="243">
        <v>16232</v>
      </c>
      <c r="CA40" s="243">
        <v>8006.54</v>
      </c>
      <c r="CB40" s="243">
        <v>5458.54</v>
      </c>
      <c r="CC40" s="243">
        <v>1008842</v>
      </c>
      <c r="CD40" s="243">
        <v>574343</v>
      </c>
      <c r="CE40" s="243">
        <v>691750</v>
      </c>
      <c r="CF40" s="243">
        <v>437652</v>
      </c>
      <c r="CG40" s="1283">
        <v>0</v>
      </c>
    </row>
    <row r="41" spans="1:85" ht="13.2">
      <c r="A41" s="618">
        <v>44963</v>
      </c>
      <c r="B41" s="243">
        <v>1059.53</v>
      </c>
      <c r="C41" s="243">
        <v>585.59900000000005</v>
      </c>
      <c r="D41" s="981">
        <v>6844.2</v>
      </c>
      <c r="E41" s="1271">
        <v>0</v>
      </c>
      <c r="F41" s="243">
        <v>16225.3</v>
      </c>
      <c r="G41" s="243">
        <v>5028.1000000000004</v>
      </c>
      <c r="H41" s="243">
        <v>568727.9</v>
      </c>
      <c r="I41" s="243">
        <v>262619.8</v>
      </c>
      <c r="J41" s="243">
        <v>203667.20000000001</v>
      </c>
      <c r="K41" s="213"/>
      <c r="L41" s="213"/>
      <c r="M41" s="213">
        <v>14948.1</v>
      </c>
      <c r="N41" s="243">
        <v>7010.3</v>
      </c>
      <c r="O41" s="243">
        <v>43807.5</v>
      </c>
      <c r="P41" s="243">
        <v>34838.71</v>
      </c>
      <c r="Q41" s="243">
        <v>136467.42000000001</v>
      </c>
      <c r="R41" s="243">
        <v>113211.59</v>
      </c>
      <c r="S41" s="243">
        <v>138618.72</v>
      </c>
      <c r="T41" s="243">
        <v>95084.92</v>
      </c>
      <c r="U41" s="981">
        <v>14051.63</v>
      </c>
      <c r="V41" s="981">
        <v>10671.64</v>
      </c>
      <c r="W41" s="243">
        <v>22745.18</v>
      </c>
      <c r="X41" s="243">
        <v>11823.73</v>
      </c>
      <c r="Y41" s="243">
        <v>209246.7</v>
      </c>
      <c r="Z41" s="981">
        <v>345.9</v>
      </c>
      <c r="AA41" s="981">
        <v>50716</v>
      </c>
      <c r="AB41" s="243">
        <v>560235.24</v>
      </c>
      <c r="AC41" s="243">
        <v>285496.02</v>
      </c>
      <c r="AD41" s="243">
        <v>209196.1</v>
      </c>
      <c r="AE41" s="981">
        <v>1112.4000000000001</v>
      </c>
      <c r="AF41" s="1051">
        <v>942</v>
      </c>
      <c r="AG41" s="243">
        <v>35345.51</v>
      </c>
      <c r="AH41" s="243">
        <v>25198.63</v>
      </c>
      <c r="AI41" s="243">
        <v>81812.22</v>
      </c>
      <c r="AJ41" s="243">
        <v>63251.839999999997</v>
      </c>
      <c r="AK41" s="243">
        <v>64951.07</v>
      </c>
      <c r="AL41" s="243">
        <v>52891.42</v>
      </c>
      <c r="AM41" s="243">
        <v>58650.5</v>
      </c>
      <c r="AN41" s="243">
        <v>23065.3</v>
      </c>
      <c r="AO41" s="243">
        <v>16.3</v>
      </c>
      <c r="AP41" s="243">
        <v>17.3</v>
      </c>
      <c r="AQ41" s="243">
        <v>479452.9</v>
      </c>
      <c r="AR41" s="243">
        <v>221367.2</v>
      </c>
      <c r="AS41" s="402">
        <v>64713.248</v>
      </c>
      <c r="AT41" s="981"/>
      <c r="AU41" s="243">
        <v>447538.63</v>
      </c>
      <c r="AV41" s="243">
        <v>197044.24</v>
      </c>
      <c r="AW41" s="243">
        <v>77569.2</v>
      </c>
      <c r="AX41" s="243">
        <v>4196.57</v>
      </c>
      <c r="AY41" s="243">
        <v>2793.17</v>
      </c>
      <c r="AZ41" s="656">
        <v>220.01</v>
      </c>
      <c r="BA41" s="656">
        <v>133.16</v>
      </c>
      <c r="BB41" s="243">
        <v>789.08900000000006</v>
      </c>
      <c r="BC41" s="243">
        <v>336.315</v>
      </c>
      <c r="BD41" s="1056">
        <v>1786.2</v>
      </c>
      <c r="BE41" s="981">
        <v>3170.4</v>
      </c>
      <c r="BF41" s="981">
        <v>506.3</v>
      </c>
      <c r="BG41" s="243">
        <v>7425.51</v>
      </c>
      <c r="BH41" s="243">
        <v>35812.564912280701</v>
      </c>
      <c r="BI41" s="981">
        <v>10452.6718740381</v>
      </c>
      <c r="BJ41" s="243">
        <v>6383.82</v>
      </c>
      <c r="BK41" s="654">
        <v>6541667</v>
      </c>
      <c r="BL41" s="654">
        <v>4960458</v>
      </c>
      <c r="BM41" s="652">
        <v>216309</v>
      </c>
      <c r="BN41" s="652">
        <v>179613</v>
      </c>
      <c r="BO41" s="243">
        <v>136.347070876434</v>
      </c>
      <c r="BP41" s="243">
        <v>45.542153250010841</v>
      </c>
      <c r="BQ41" s="243">
        <v>642.598040300756</v>
      </c>
      <c r="BR41" s="981">
        <v>2453878.5</v>
      </c>
      <c r="BS41" s="981">
        <v>478</v>
      </c>
      <c r="BT41" s="981">
        <v>18870.900000000001</v>
      </c>
      <c r="BU41" s="243">
        <v>3004653</v>
      </c>
      <c r="BV41" s="243">
        <v>90616</v>
      </c>
      <c r="BW41" s="243">
        <v>18914.599999999999</v>
      </c>
      <c r="BX41" s="243">
        <v>2738108</v>
      </c>
      <c r="BY41" s="243">
        <v>126133</v>
      </c>
      <c r="BZ41" s="243">
        <v>16256</v>
      </c>
      <c r="CA41" s="243">
        <v>8013.08</v>
      </c>
      <c r="CB41" s="243">
        <v>5463.1</v>
      </c>
      <c r="CC41" s="243">
        <v>1009376</v>
      </c>
      <c r="CD41" s="243">
        <v>574654</v>
      </c>
      <c r="CE41" s="243">
        <v>691940</v>
      </c>
      <c r="CF41" s="243">
        <v>437773</v>
      </c>
      <c r="CG41" s="1283">
        <v>0</v>
      </c>
    </row>
    <row r="42" spans="1:85" s="403" customFormat="1" ht="13.2">
      <c r="A42" s="618">
        <v>44964</v>
      </c>
      <c r="B42" s="243">
        <v>1059.8610000000001</v>
      </c>
      <c r="C42" s="243">
        <v>585.71500000000003</v>
      </c>
      <c r="D42" s="981">
        <v>6845</v>
      </c>
      <c r="E42" s="1271">
        <v>0.3</v>
      </c>
      <c r="F42" s="243">
        <v>16254.9</v>
      </c>
      <c r="G42" s="243">
        <v>5038</v>
      </c>
      <c r="H42" s="244">
        <v>568892.6</v>
      </c>
      <c r="I42" s="244">
        <v>262703.8</v>
      </c>
      <c r="J42" s="244">
        <v>203691.2</v>
      </c>
      <c r="K42" s="213"/>
      <c r="L42" s="213"/>
      <c r="M42" s="213">
        <v>14948.1</v>
      </c>
      <c r="N42" s="243">
        <v>7010.3</v>
      </c>
      <c r="O42" s="244">
        <v>43835.6</v>
      </c>
      <c r="P42" s="244">
        <v>34860.6</v>
      </c>
      <c r="Q42" s="244">
        <v>136481.70000000001</v>
      </c>
      <c r="R42" s="244">
        <v>113223.6</v>
      </c>
      <c r="S42" s="244">
        <v>138635.9</v>
      </c>
      <c r="T42" s="244">
        <v>95097</v>
      </c>
      <c r="U42" s="981">
        <v>14051.63</v>
      </c>
      <c r="V42" s="981">
        <v>10671.64</v>
      </c>
      <c r="W42" s="244">
        <v>22894</v>
      </c>
      <c r="X42" s="244">
        <v>11906</v>
      </c>
      <c r="Y42" s="244">
        <v>209270.7</v>
      </c>
      <c r="Z42" s="981">
        <v>345.9</v>
      </c>
      <c r="AA42" s="981">
        <v>50716</v>
      </c>
      <c r="AB42" s="244">
        <v>560553</v>
      </c>
      <c r="AC42" s="244">
        <v>285648</v>
      </c>
      <c r="AD42" s="244">
        <v>209220.1</v>
      </c>
      <c r="AE42" s="981">
        <v>1112.4000000000001</v>
      </c>
      <c r="AF42" s="1051">
        <v>942</v>
      </c>
      <c r="AG42" s="244">
        <v>35348</v>
      </c>
      <c r="AH42" s="244">
        <v>25200.400000000001</v>
      </c>
      <c r="AI42" s="244">
        <v>81822.600000000006</v>
      </c>
      <c r="AJ42" s="244">
        <v>63260</v>
      </c>
      <c r="AK42" s="244">
        <v>64965.1</v>
      </c>
      <c r="AL42" s="244">
        <v>52902.5</v>
      </c>
      <c r="AM42" s="243">
        <v>58664.5</v>
      </c>
      <c r="AN42" s="243">
        <v>23070.7</v>
      </c>
      <c r="AO42" s="243">
        <v>16.3</v>
      </c>
      <c r="AP42" s="243">
        <v>17.3</v>
      </c>
      <c r="AQ42" s="244">
        <v>479608</v>
      </c>
      <c r="AR42" s="244">
        <v>221435</v>
      </c>
      <c r="AS42" s="701">
        <v>64718</v>
      </c>
      <c r="AT42" s="981"/>
      <c r="AU42" s="244">
        <v>447694</v>
      </c>
      <c r="AV42" s="244">
        <v>197111</v>
      </c>
      <c r="AW42" s="244">
        <v>77593.2</v>
      </c>
      <c r="AX42" s="243">
        <v>4198.8</v>
      </c>
      <c r="AY42" s="243">
        <v>2794.8</v>
      </c>
      <c r="AZ42" s="656">
        <v>220.07</v>
      </c>
      <c r="BA42" s="656">
        <v>133.19999999999999</v>
      </c>
      <c r="BB42" s="243">
        <v>789.45399999999995</v>
      </c>
      <c r="BC42" s="243">
        <v>336.45299999999997</v>
      </c>
      <c r="BD42" s="1056">
        <v>1786.5</v>
      </c>
      <c r="BE42" s="981">
        <v>3173.2</v>
      </c>
      <c r="BF42" s="981">
        <v>507.2</v>
      </c>
      <c r="BG42" s="244">
        <v>7464.93</v>
      </c>
      <c r="BH42" s="244">
        <v>35711.026315789502</v>
      </c>
      <c r="BI42" s="1051">
        <v>9376.9763618846591</v>
      </c>
      <c r="BJ42" s="244">
        <v>6224.21</v>
      </c>
      <c r="BK42" s="702">
        <v>6543092</v>
      </c>
      <c r="BL42" s="702">
        <v>4961892</v>
      </c>
      <c r="BM42" s="652">
        <v>216309</v>
      </c>
      <c r="BN42" s="652">
        <v>179613</v>
      </c>
      <c r="BO42" s="244">
        <v>136.812411704472</v>
      </c>
      <c r="BP42" s="244">
        <v>45.469852384196962</v>
      </c>
      <c r="BQ42" s="244">
        <v>640.63316478264198</v>
      </c>
      <c r="BR42" s="981">
        <v>2453878.5</v>
      </c>
      <c r="BS42" s="981">
        <v>478</v>
      </c>
      <c r="BT42" s="981">
        <v>18870.900000000001</v>
      </c>
      <c r="BU42" s="244">
        <v>3009294</v>
      </c>
      <c r="BV42" s="244">
        <v>91264</v>
      </c>
      <c r="BW42" s="244">
        <v>18938.599999999999</v>
      </c>
      <c r="BX42" s="243">
        <v>2741772</v>
      </c>
      <c r="BY42" s="243">
        <v>126171</v>
      </c>
      <c r="BZ42" s="243">
        <v>16280</v>
      </c>
      <c r="CA42" s="244">
        <v>8019.7</v>
      </c>
      <c r="CB42" s="244">
        <v>5467.7</v>
      </c>
      <c r="CC42" s="244">
        <v>1009886</v>
      </c>
      <c r="CD42" s="244">
        <v>574958</v>
      </c>
      <c r="CE42" s="244">
        <v>692196</v>
      </c>
      <c r="CF42" s="244">
        <v>437938</v>
      </c>
      <c r="CG42" s="1284">
        <v>0.4</v>
      </c>
    </row>
    <row r="43" spans="1:85" ht="13.2">
      <c r="A43" s="618">
        <v>44965</v>
      </c>
      <c r="B43" s="243">
        <v>1059.8610000000001</v>
      </c>
      <c r="C43" s="243">
        <v>585.71500000000003</v>
      </c>
      <c r="D43" s="981">
        <v>6845</v>
      </c>
      <c r="E43" s="1271">
        <v>0</v>
      </c>
      <c r="F43" s="243">
        <v>16281.6</v>
      </c>
      <c r="G43" s="243">
        <v>5049.5</v>
      </c>
      <c r="H43" s="243">
        <v>569045.4</v>
      </c>
      <c r="I43" s="243">
        <v>262782.2</v>
      </c>
      <c r="J43" s="243">
        <v>203713.8</v>
      </c>
      <c r="K43" s="213"/>
      <c r="L43" s="213"/>
      <c r="M43" s="213">
        <v>14948.1</v>
      </c>
      <c r="N43" s="243">
        <v>7010.3</v>
      </c>
      <c r="O43" s="243">
        <v>43863.8</v>
      </c>
      <c r="P43" s="243">
        <v>34882.699999999997</v>
      </c>
      <c r="Q43" s="243">
        <v>136494.39999999999</v>
      </c>
      <c r="R43" s="243">
        <v>113234.4</v>
      </c>
      <c r="S43" s="243">
        <v>138653.29999999999</v>
      </c>
      <c r="T43" s="243">
        <v>95109</v>
      </c>
      <c r="U43" s="981">
        <v>14051.63</v>
      </c>
      <c r="V43" s="981">
        <v>10671.64</v>
      </c>
      <c r="W43" s="243">
        <v>23020</v>
      </c>
      <c r="X43" s="243">
        <v>11970</v>
      </c>
      <c r="Y43" s="243">
        <v>209291.5</v>
      </c>
      <c r="Z43" s="981">
        <v>345.9</v>
      </c>
      <c r="AA43" s="981">
        <v>50716</v>
      </c>
      <c r="AB43" s="243">
        <v>560867</v>
      </c>
      <c r="AC43" s="243">
        <v>285808</v>
      </c>
      <c r="AD43" s="244">
        <v>209244.1</v>
      </c>
      <c r="AE43" s="981">
        <v>1112.4000000000001</v>
      </c>
      <c r="AF43" s="1051">
        <v>942</v>
      </c>
      <c r="AG43" s="243">
        <v>35348</v>
      </c>
      <c r="AH43" s="243">
        <v>25202</v>
      </c>
      <c r="AI43" s="243">
        <v>81832.399999999994</v>
      </c>
      <c r="AJ43" s="243">
        <v>63267.7</v>
      </c>
      <c r="AK43" s="243">
        <v>64979.1</v>
      </c>
      <c r="AL43" s="243">
        <v>52913.599999999999</v>
      </c>
      <c r="AM43" s="243">
        <v>58674.3</v>
      </c>
      <c r="AN43" s="243">
        <v>23074.7</v>
      </c>
      <c r="AO43" s="243">
        <v>16.399999999999999</v>
      </c>
      <c r="AP43" s="243">
        <v>17.399999999999999</v>
      </c>
      <c r="AQ43" s="243">
        <v>479760</v>
      </c>
      <c r="AR43" s="243">
        <v>221502</v>
      </c>
      <c r="AS43" s="402">
        <v>64723</v>
      </c>
      <c r="AT43" s="981"/>
      <c r="AU43" s="243">
        <v>447848</v>
      </c>
      <c r="AV43" s="243">
        <v>197178</v>
      </c>
      <c r="AW43" s="243">
        <v>77617.2</v>
      </c>
      <c r="AX43" s="243">
        <v>4201.3</v>
      </c>
      <c r="AY43" s="243">
        <v>2796.6</v>
      </c>
      <c r="AZ43" s="656">
        <v>220.07</v>
      </c>
      <c r="BA43" s="656">
        <v>133.19999999999999</v>
      </c>
      <c r="BB43" s="243">
        <v>791.75</v>
      </c>
      <c r="BC43" s="243">
        <v>337.346</v>
      </c>
      <c r="BD43" s="367">
        <v>1789.21</v>
      </c>
      <c r="BE43" s="981">
        <v>3175.6</v>
      </c>
      <c r="BF43" s="981">
        <v>507.2</v>
      </c>
      <c r="BG43" s="243">
        <v>6577.46</v>
      </c>
      <c r="BH43" s="243">
        <v>36788.028070175402</v>
      </c>
      <c r="BI43" s="981">
        <v>9224.3719454490601</v>
      </c>
      <c r="BJ43" s="243">
        <v>5811.35</v>
      </c>
      <c r="BK43" s="654">
        <v>6544531</v>
      </c>
      <c r="BL43" s="654">
        <v>4963346</v>
      </c>
      <c r="BM43" s="652">
        <v>216309</v>
      </c>
      <c r="BN43" s="652">
        <v>179613</v>
      </c>
      <c r="BO43" s="243">
        <v>96</v>
      </c>
      <c r="BP43" s="243">
        <v>31.126999999999999</v>
      </c>
      <c r="BQ43" s="243">
        <v>458</v>
      </c>
      <c r="BR43" s="981">
        <v>2455945.5</v>
      </c>
      <c r="BS43" s="981">
        <v>478</v>
      </c>
      <c r="BT43" s="981">
        <v>18886.8</v>
      </c>
      <c r="BU43" s="243">
        <v>3013964</v>
      </c>
      <c r="BV43" s="243">
        <v>91933</v>
      </c>
      <c r="BW43" s="243">
        <v>18962.599999999999</v>
      </c>
      <c r="BX43" s="243">
        <v>2743025</v>
      </c>
      <c r="BY43" s="243">
        <v>126181</v>
      </c>
      <c r="BZ43" s="243">
        <v>16294.3</v>
      </c>
      <c r="CA43" s="243">
        <v>8025.9</v>
      </c>
      <c r="CB43" s="243">
        <v>5472</v>
      </c>
      <c r="CC43" s="243">
        <v>1010696</v>
      </c>
      <c r="CD43" s="243">
        <v>575416</v>
      </c>
      <c r="CE43" s="243">
        <v>692402</v>
      </c>
      <c r="CF43" s="243">
        <v>438072</v>
      </c>
      <c r="CG43" s="1284">
        <v>2.2999999999999998</v>
      </c>
    </row>
    <row r="44" spans="1:85" ht="13.2">
      <c r="A44" s="618">
        <v>44966</v>
      </c>
      <c r="B44" s="243">
        <v>1059.8610000000001</v>
      </c>
      <c r="C44" s="243">
        <v>585.71500000000003</v>
      </c>
      <c r="D44" s="981">
        <v>6845</v>
      </c>
      <c r="E44" s="1271">
        <v>0</v>
      </c>
      <c r="F44" s="243">
        <v>16310.9</v>
      </c>
      <c r="G44" s="243">
        <v>5064.5</v>
      </c>
      <c r="H44" s="243">
        <v>569209</v>
      </c>
      <c r="I44" s="243">
        <v>262866</v>
      </c>
      <c r="J44" s="243">
        <v>203737.8</v>
      </c>
      <c r="K44" s="213"/>
      <c r="L44" s="213"/>
      <c r="M44" s="213">
        <v>14948.1</v>
      </c>
      <c r="N44" s="243">
        <v>7010.3</v>
      </c>
      <c r="O44" s="243">
        <v>43892.1</v>
      </c>
      <c r="P44" s="243">
        <v>34905</v>
      </c>
      <c r="Q44" s="243">
        <v>136507.20000000001</v>
      </c>
      <c r="R44" s="243">
        <v>113245.3</v>
      </c>
      <c r="S44" s="243">
        <v>138670.20000000001</v>
      </c>
      <c r="T44" s="243">
        <v>95120.8</v>
      </c>
      <c r="U44" s="981">
        <v>14051.63</v>
      </c>
      <c r="V44" s="981">
        <v>10671.64</v>
      </c>
      <c r="W44" s="243">
        <v>23166</v>
      </c>
      <c r="X44" s="243">
        <v>12044</v>
      </c>
      <c r="Y44" s="243">
        <v>209315.5</v>
      </c>
      <c r="Z44" s="981">
        <v>345.9</v>
      </c>
      <c r="AA44" s="981">
        <v>50716</v>
      </c>
      <c r="AB44" s="243">
        <v>561170</v>
      </c>
      <c r="AC44" s="243">
        <v>285966</v>
      </c>
      <c r="AD44" s="243">
        <v>209268.1</v>
      </c>
      <c r="AE44" s="981">
        <v>1112.4000000000001</v>
      </c>
      <c r="AF44" s="1051">
        <v>942</v>
      </c>
      <c r="AG44" s="243">
        <v>35352.400000000001</v>
      </c>
      <c r="AH44" s="243">
        <v>25203.5</v>
      </c>
      <c r="AI44" s="243">
        <v>81842.5</v>
      </c>
      <c r="AJ44" s="243">
        <v>63275.6</v>
      </c>
      <c r="AK44" s="243">
        <v>64993.5</v>
      </c>
      <c r="AL44" s="243">
        <v>52925</v>
      </c>
      <c r="AM44" s="243">
        <v>58683.9</v>
      </c>
      <c r="AN44" s="243">
        <v>23078.400000000001</v>
      </c>
      <c r="AO44" s="243">
        <v>16.399999999999999</v>
      </c>
      <c r="AP44" s="243">
        <v>17.399999999999999</v>
      </c>
      <c r="AQ44" s="243">
        <v>479912</v>
      </c>
      <c r="AR44" s="243">
        <v>221569</v>
      </c>
      <c r="AS44" s="402">
        <v>64728</v>
      </c>
      <c r="AT44" s="981"/>
      <c r="AU44" s="243">
        <v>448000</v>
      </c>
      <c r="AV44" s="243">
        <v>197243</v>
      </c>
      <c r="AW44" s="243">
        <v>77641</v>
      </c>
      <c r="AX44" s="243">
        <v>4203.7</v>
      </c>
      <c r="AY44" s="243">
        <v>2798.4</v>
      </c>
      <c r="AZ44" s="656">
        <v>220.2</v>
      </c>
      <c r="BA44" s="656">
        <v>133.27000000000001</v>
      </c>
      <c r="BB44" s="243">
        <v>791.75</v>
      </c>
      <c r="BC44" s="243">
        <v>337.346</v>
      </c>
      <c r="BD44" s="367">
        <v>1789.21</v>
      </c>
      <c r="BE44" s="981">
        <v>3178</v>
      </c>
      <c r="BF44" s="981">
        <v>507.2</v>
      </c>
      <c r="BG44" s="243">
        <v>7160.34</v>
      </c>
      <c r="BH44" s="243">
        <v>36251.303508771904</v>
      </c>
      <c r="BI44" s="981">
        <v>10071.429160822199</v>
      </c>
      <c r="BJ44" s="243">
        <v>6178.38</v>
      </c>
      <c r="BK44" s="654">
        <v>6545856</v>
      </c>
      <c r="BL44" s="654">
        <v>4964690</v>
      </c>
      <c r="BM44" s="652">
        <v>216309</v>
      </c>
      <c r="BN44" s="652">
        <v>179613</v>
      </c>
      <c r="BO44" s="243">
        <v>137</v>
      </c>
      <c r="BP44" s="243">
        <v>45.151000000000003</v>
      </c>
      <c r="BQ44" s="243">
        <v>654</v>
      </c>
      <c r="BR44" s="981">
        <v>2458729.5</v>
      </c>
      <c r="BS44" s="981">
        <v>479</v>
      </c>
      <c r="BT44" s="981">
        <v>18910.8</v>
      </c>
      <c r="BU44" s="243">
        <v>3018690</v>
      </c>
      <c r="BV44" s="243">
        <v>92834</v>
      </c>
      <c r="BW44" s="243">
        <v>18986.599999999999</v>
      </c>
      <c r="BX44" s="243">
        <v>2743025</v>
      </c>
      <c r="BY44" s="243">
        <v>126181</v>
      </c>
      <c r="BZ44" s="243">
        <v>16294.3</v>
      </c>
      <c r="CA44" s="243">
        <v>8032</v>
      </c>
      <c r="CB44" s="243">
        <v>5476.2</v>
      </c>
      <c r="CC44" s="243">
        <v>1011878</v>
      </c>
      <c r="CD44" s="243">
        <v>576070</v>
      </c>
      <c r="CE44" s="243">
        <v>692712</v>
      </c>
      <c r="CF44" s="243">
        <v>438262</v>
      </c>
      <c r="CG44" s="1283">
        <v>0</v>
      </c>
    </row>
    <row r="45" spans="1:85" ht="13.2">
      <c r="A45" s="618">
        <v>44967</v>
      </c>
      <c r="B45" s="243">
        <v>1059.8610000000001</v>
      </c>
      <c r="C45" s="243">
        <v>585.71500000000003</v>
      </c>
      <c r="D45" s="981">
        <v>6845</v>
      </c>
      <c r="E45" s="1271">
        <v>0</v>
      </c>
      <c r="F45" s="243">
        <v>16337.8</v>
      </c>
      <c r="G45" s="243">
        <v>5078.6000000000004</v>
      </c>
      <c r="H45" s="243">
        <v>569374</v>
      </c>
      <c r="I45" s="243">
        <v>262950</v>
      </c>
      <c r="J45" s="243">
        <v>203761.8</v>
      </c>
      <c r="K45" s="213"/>
      <c r="L45" s="213"/>
      <c r="M45" s="213">
        <v>14948.1</v>
      </c>
      <c r="N45" s="243">
        <v>7010.3</v>
      </c>
      <c r="O45" s="243">
        <v>43921.599999999999</v>
      </c>
      <c r="P45" s="243">
        <v>34928.199999999997</v>
      </c>
      <c r="Q45" s="243">
        <v>136519.70000000001</v>
      </c>
      <c r="R45" s="243">
        <v>113256.1</v>
      </c>
      <c r="S45" s="243">
        <v>138687.5</v>
      </c>
      <c r="T45" s="243">
        <v>95132.7</v>
      </c>
      <c r="U45" s="981">
        <v>14051.63</v>
      </c>
      <c r="V45" s="981">
        <v>10671.64</v>
      </c>
      <c r="W45" s="243">
        <v>23316</v>
      </c>
      <c r="X45" s="243">
        <v>12124</v>
      </c>
      <c r="Y45" s="243">
        <v>209339.5</v>
      </c>
      <c r="Z45" s="981">
        <v>345.9</v>
      </c>
      <c r="AA45" s="981">
        <v>50716</v>
      </c>
      <c r="AB45" s="243">
        <v>561460</v>
      </c>
      <c r="AC45" s="243">
        <v>286116</v>
      </c>
      <c r="AD45" s="243">
        <v>209292.1</v>
      </c>
      <c r="AE45" s="981">
        <v>1112.4000000000001</v>
      </c>
      <c r="AF45" s="1051">
        <v>942</v>
      </c>
      <c r="AG45" s="243">
        <v>35354.699999999997</v>
      </c>
      <c r="AH45" s="243">
        <v>25205.1</v>
      </c>
      <c r="AI45" s="243">
        <v>81852.2</v>
      </c>
      <c r="AJ45" s="243">
        <v>63283.199999999997</v>
      </c>
      <c r="AK45" s="243">
        <v>65007.9</v>
      </c>
      <c r="AL45" s="243">
        <v>52936.4</v>
      </c>
      <c r="AM45" s="243">
        <v>58693.1</v>
      </c>
      <c r="AN45" s="243">
        <v>23082.1</v>
      </c>
      <c r="AO45" s="243">
        <v>16.399999999999999</v>
      </c>
      <c r="AP45" s="243">
        <v>17.399999999999999</v>
      </c>
      <c r="AQ45" s="243">
        <v>480052</v>
      </c>
      <c r="AR45" s="243">
        <v>221631</v>
      </c>
      <c r="AS45" s="402">
        <v>64734</v>
      </c>
      <c r="AT45" s="981"/>
      <c r="AU45" s="243">
        <v>448140</v>
      </c>
      <c r="AV45" s="243">
        <v>197304</v>
      </c>
      <c r="AW45" s="243">
        <v>77665</v>
      </c>
      <c r="AX45" s="243">
        <v>4205.7</v>
      </c>
      <c r="AY45" s="243">
        <v>2799.8</v>
      </c>
      <c r="AZ45" s="656">
        <v>220.2</v>
      </c>
      <c r="BA45" s="656">
        <v>133.27000000000001</v>
      </c>
      <c r="BB45" s="243">
        <v>791.75</v>
      </c>
      <c r="BC45" s="243">
        <v>337.346</v>
      </c>
      <c r="BD45" s="367">
        <v>1789.21</v>
      </c>
      <c r="BE45" s="981">
        <v>3180.4</v>
      </c>
      <c r="BF45" s="981">
        <v>507.3</v>
      </c>
      <c r="BG45" s="243">
        <v>7254.96</v>
      </c>
      <c r="BH45" s="243">
        <v>25762.298245614031</v>
      </c>
      <c r="BI45" s="981">
        <v>8495.8320425128495</v>
      </c>
      <c r="BJ45" s="243">
        <v>5645.38</v>
      </c>
      <c r="BK45" s="654">
        <v>6547316</v>
      </c>
      <c r="BL45" s="654">
        <v>4966165</v>
      </c>
      <c r="BM45" s="654">
        <v>216309</v>
      </c>
      <c r="BN45" s="654">
        <v>179613</v>
      </c>
      <c r="BO45" s="243">
        <v>137</v>
      </c>
      <c r="BP45" s="243">
        <v>44.765999999999998</v>
      </c>
      <c r="BQ45" s="243">
        <v>655</v>
      </c>
      <c r="BR45" s="981">
        <v>2458729.5</v>
      </c>
      <c r="BS45" s="981">
        <v>479</v>
      </c>
      <c r="BT45" s="981">
        <v>18922.8</v>
      </c>
      <c r="BU45" s="243">
        <v>3023286</v>
      </c>
      <c r="BV45" s="243">
        <v>93545</v>
      </c>
      <c r="BW45" s="243">
        <v>19010.599999999999</v>
      </c>
      <c r="BX45" s="243">
        <v>2743025</v>
      </c>
      <c r="BY45" s="243">
        <v>126181</v>
      </c>
      <c r="BZ45" s="243">
        <v>16294.3</v>
      </c>
      <c r="CA45" s="243">
        <v>8038.2</v>
      </c>
      <c r="CB45" s="243">
        <v>5480.4</v>
      </c>
      <c r="CC45" s="243">
        <v>1013060</v>
      </c>
      <c r="CD45" s="243">
        <v>576722</v>
      </c>
      <c r="CE45" s="243">
        <v>692894</v>
      </c>
      <c r="CF45" s="243">
        <v>438380</v>
      </c>
      <c r="CG45" s="1283">
        <v>0</v>
      </c>
    </row>
    <row r="46" spans="1:85" ht="13.2">
      <c r="A46" s="618">
        <v>44968</v>
      </c>
      <c r="B46" s="243">
        <v>1059.8610000000001</v>
      </c>
      <c r="C46" s="243">
        <v>585.71500000000003</v>
      </c>
      <c r="D46" s="981">
        <v>6845</v>
      </c>
      <c r="E46" s="1271">
        <v>0</v>
      </c>
      <c r="F46" s="243">
        <v>16362.2</v>
      </c>
      <c r="G46" s="243">
        <v>5092.1000000000004</v>
      </c>
      <c r="H46" s="243">
        <v>569540</v>
      </c>
      <c r="I46" s="243">
        <v>263034</v>
      </c>
      <c r="J46" s="243">
        <v>203785.8</v>
      </c>
      <c r="K46" s="213"/>
      <c r="L46" s="213"/>
      <c r="M46" s="213">
        <v>14948.1</v>
      </c>
      <c r="N46" s="243">
        <v>7010.3</v>
      </c>
      <c r="O46" s="243">
        <v>43951</v>
      </c>
      <c r="P46" s="243">
        <v>34952.300000000003</v>
      </c>
      <c r="Q46" s="243">
        <v>136534.70000000001</v>
      </c>
      <c r="R46" s="243">
        <v>113268.8</v>
      </c>
      <c r="S46" s="243">
        <v>138704.4</v>
      </c>
      <c r="T46" s="243">
        <v>95144.5</v>
      </c>
      <c r="U46" s="981">
        <v>14051.63</v>
      </c>
      <c r="V46" s="981">
        <v>10671.64</v>
      </c>
      <c r="W46" s="243">
        <v>23464</v>
      </c>
      <c r="X46" s="243">
        <v>12202</v>
      </c>
      <c r="Y46" s="243">
        <v>209363.5</v>
      </c>
      <c r="Z46" s="981">
        <v>345.9</v>
      </c>
      <c r="AA46" s="981">
        <v>50716</v>
      </c>
      <c r="AB46" s="243">
        <v>561744</v>
      </c>
      <c r="AC46" s="243">
        <v>286264</v>
      </c>
      <c r="AD46" s="243">
        <v>209316.1</v>
      </c>
      <c r="AE46" s="981">
        <v>1112.4000000000001</v>
      </c>
      <c r="AF46" s="1051">
        <v>942</v>
      </c>
      <c r="AG46" s="243">
        <v>35357</v>
      </c>
      <c r="AH46" s="243">
        <v>25206.7</v>
      </c>
      <c r="AI46" s="243">
        <v>81862.3</v>
      </c>
      <c r="AJ46" s="243">
        <v>63291.1</v>
      </c>
      <c r="AK46" s="243">
        <v>65021.4</v>
      </c>
      <c r="AL46" s="243">
        <v>52947.1</v>
      </c>
      <c r="AM46" s="243">
        <v>58703.1</v>
      </c>
      <c r="AN46" s="243">
        <v>23086.1</v>
      </c>
      <c r="AO46" s="243">
        <v>16.399999999999999</v>
      </c>
      <c r="AP46" s="243">
        <v>17.399999999999999</v>
      </c>
      <c r="AQ46" s="243">
        <v>480183</v>
      </c>
      <c r="AR46" s="243">
        <v>221689</v>
      </c>
      <c r="AS46" s="402">
        <v>64739</v>
      </c>
      <c r="AT46" s="981"/>
      <c r="AU46" s="243">
        <v>448272</v>
      </c>
      <c r="AV46" s="243">
        <v>197362</v>
      </c>
      <c r="AW46" s="243">
        <v>77689</v>
      </c>
      <c r="AX46" s="243">
        <v>4207.2</v>
      </c>
      <c r="AY46" s="243">
        <v>2801</v>
      </c>
      <c r="AZ46" s="656">
        <v>220.2</v>
      </c>
      <c r="BA46" s="656">
        <v>133.27000000000001</v>
      </c>
      <c r="BB46" s="243">
        <v>791.75</v>
      </c>
      <c r="BC46" s="243">
        <v>337.346</v>
      </c>
      <c r="BD46" s="367">
        <v>1789.21</v>
      </c>
      <c r="BE46" s="981">
        <v>3182.5</v>
      </c>
      <c r="BF46" s="981">
        <v>507.3</v>
      </c>
      <c r="BG46" s="243">
        <v>6860.02</v>
      </c>
      <c r="BH46" s="243">
        <v>21295.638596491201</v>
      </c>
      <c r="BI46" s="981">
        <v>6887.7146854211196</v>
      </c>
      <c r="BJ46" s="243">
        <v>5816.82</v>
      </c>
      <c r="BK46" s="654">
        <v>6548656</v>
      </c>
      <c r="BL46" s="654">
        <v>4967528</v>
      </c>
      <c r="BM46" s="654">
        <v>216309</v>
      </c>
      <c r="BN46" s="654">
        <v>179613</v>
      </c>
      <c r="BO46" s="243">
        <v>136</v>
      </c>
      <c r="BP46" s="243">
        <v>44.512999999999998</v>
      </c>
      <c r="BQ46" s="243">
        <v>654</v>
      </c>
      <c r="BR46" s="981">
        <v>2458729.5</v>
      </c>
      <c r="BS46" s="981">
        <v>479</v>
      </c>
      <c r="BT46" s="981">
        <v>18922.8</v>
      </c>
      <c r="BU46" s="243">
        <v>3028000</v>
      </c>
      <c r="BV46" s="243">
        <v>94053</v>
      </c>
      <c r="BW46" s="243">
        <v>19034.599999999999</v>
      </c>
      <c r="BX46" s="243">
        <v>2743025</v>
      </c>
      <c r="BY46" s="243">
        <v>126181</v>
      </c>
      <c r="BZ46" s="243">
        <v>16294.3</v>
      </c>
      <c r="CA46" s="243">
        <v>8044.3</v>
      </c>
      <c r="CB46" s="243">
        <v>5484.6</v>
      </c>
      <c r="CC46" s="243">
        <v>1014234</v>
      </c>
      <c r="CD46" s="243">
        <v>577368</v>
      </c>
      <c r="CE46" s="243">
        <v>693084</v>
      </c>
      <c r="CF46" s="243">
        <v>438498</v>
      </c>
      <c r="CG46" s="1283">
        <v>0</v>
      </c>
    </row>
    <row r="47" spans="1:85" ht="13.2">
      <c r="A47" s="618">
        <v>44969</v>
      </c>
      <c r="B47" s="243">
        <v>1059.8610000000001</v>
      </c>
      <c r="C47" s="243">
        <v>585.71500000000003</v>
      </c>
      <c r="D47" s="981">
        <v>6845</v>
      </c>
      <c r="E47" s="1271">
        <v>0</v>
      </c>
      <c r="F47" s="243">
        <v>16389.599999999999</v>
      </c>
      <c r="G47" s="243">
        <v>5105.3999999999996</v>
      </c>
      <c r="H47" s="243">
        <v>569700</v>
      </c>
      <c r="I47" s="243">
        <v>263118</v>
      </c>
      <c r="J47" s="243">
        <v>203809.8</v>
      </c>
      <c r="K47" s="213"/>
      <c r="L47" s="213"/>
      <c r="M47" s="213">
        <v>14948.1</v>
      </c>
      <c r="N47" s="243">
        <v>7010.3</v>
      </c>
      <c r="O47" s="243">
        <v>43979.199999999997</v>
      </c>
      <c r="P47" s="243">
        <v>34973.300000000003</v>
      </c>
      <c r="Q47" s="243">
        <v>136550.79999999999</v>
      </c>
      <c r="R47" s="243">
        <v>113282.3</v>
      </c>
      <c r="S47" s="243">
        <v>138721.4</v>
      </c>
      <c r="T47" s="243">
        <v>95156.4</v>
      </c>
      <c r="U47" s="981">
        <v>14051.63</v>
      </c>
      <c r="V47" s="981">
        <v>10671.64</v>
      </c>
      <c r="W47" s="243">
        <v>23614</v>
      </c>
      <c r="X47" s="243">
        <v>12280</v>
      </c>
      <c r="Y47" s="243">
        <v>209387.5</v>
      </c>
      <c r="Z47" s="981">
        <v>345.9</v>
      </c>
      <c r="AA47" s="981">
        <v>50716</v>
      </c>
      <c r="AB47" s="243">
        <v>562032</v>
      </c>
      <c r="AC47" s="243">
        <v>286414</v>
      </c>
      <c r="AD47" s="243">
        <v>209340.1</v>
      </c>
      <c r="AE47" s="981">
        <v>1112.4000000000001</v>
      </c>
      <c r="AF47" s="1051">
        <v>942</v>
      </c>
      <c r="AG47" s="243">
        <v>35359.300000000003</v>
      </c>
      <c r="AH47" s="243">
        <v>25208.3</v>
      </c>
      <c r="AI47" s="243">
        <v>81870.600000000006</v>
      </c>
      <c r="AJ47" s="243">
        <v>63297.599999999999</v>
      </c>
      <c r="AK47" s="243">
        <v>65035.5</v>
      </c>
      <c r="AL47" s="243">
        <v>52958.2</v>
      </c>
      <c r="AM47" s="243">
        <v>58711.7</v>
      </c>
      <c r="AN47" s="243">
        <v>23089.5</v>
      </c>
      <c r="AO47" s="243">
        <v>16.399999999999999</v>
      </c>
      <c r="AP47" s="243">
        <v>17.399999999999999</v>
      </c>
      <c r="AQ47" s="243">
        <v>480325</v>
      </c>
      <c r="AR47" s="243">
        <v>221752</v>
      </c>
      <c r="AS47" s="402">
        <v>64744</v>
      </c>
      <c r="AT47" s="981"/>
      <c r="AU47" s="243">
        <v>448414</v>
      </c>
      <c r="AV47" s="243">
        <v>197424</v>
      </c>
      <c r="AW47" s="243">
        <v>77713</v>
      </c>
      <c r="AX47" s="243">
        <v>4208.8</v>
      </c>
      <c r="AY47" s="243">
        <v>2802.1</v>
      </c>
      <c r="AZ47" s="656">
        <v>220.2</v>
      </c>
      <c r="BA47" s="656">
        <v>133.27000000000001</v>
      </c>
      <c r="BB47" s="243">
        <v>791.75</v>
      </c>
      <c r="BC47" s="243">
        <v>337.346</v>
      </c>
      <c r="BD47" s="367">
        <v>1789.21</v>
      </c>
      <c r="BE47" s="981">
        <v>3184.9</v>
      </c>
      <c r="BF47" s="981">
        <v>507.4</v>
      </c>
      <c r="BG47" s="243">
        <v>6275.27</v>
      </c>
      <c r="BH47" s="243">
        <v>27727.917543859599</v>
      </c>
      <c r="BI47" s="981">
        <v>8864.5253573719001</v>
      </c>
      <c r="BJ47" s="243">
        <v>6081.95</v>
      </c>
      <c r="BK47" s="654">
        <v>6550084</v>
      </c>
      <c r="BL47" s="654">
        <v>4968962</v>
      </c>
      <c r="BM47" s="654">
        <v>216309</v>
      </c>
      <c r="BN47" s="654">
        <v>179613</v>
      </c>
      <c r="BO47" s="243">
        <v>137</v>
      </c>
      <c r="BP47" s="243">
        <v>44.667000000000002</v>
      </c>
      <c r="BQ47" s="243">
        <v>655</v>
      </c>
      <c r="BR47" s="981">
        <v>2460985.5</v>
      </c>
      <c r="BS47" s="981">
        <v>480</v>
      </c>
      <c r="BT47" s="981">
        <v>18943</v>
      </c>
      <c r="BU47" s="243">
        <v>3032692</v>
      </c>
      <c r="BV47" s="243">
        <v>94519</v>
      </c>
      <c r="BW47" s="243">
        <v>19058.599999999999</v>
      </c>
      <c r="BX47" s="243">
        <v>2743025</v>
      </c>
      <c r="BY47" s="243">
        <v>126181</v>
      </c>
      <c r="BZ47" s="243">
        <v>16294.3</v>
      </c>
      <c r="CA47" s="243">
        <v>8050.7</v>
      </c>
      <c r="CB47" s="243">
        <v>5489</v>
      </c>
      <c r="CC47" s="243">
        <v>1015434</v>
      </c>
      <c r="CD47" s="243">
        <v>578030</v>
      </c>
      <c r="CE47" s="243">
        <v>693290</v>
      </c>
      <c r="CF47" s="243">
        <v>438630</v>
      </c>
      <c r="CG47" s="1283">
        <v>0</v>
      </c>
    </row>
    <row r="48" spans="1:85" ht="12.75" customHeight="1">
      <c r="A48" s="618">
        <v>44970</v>
      </c>
      <c r="B48" s="243">
        <v>1059.8610000000001</v>
      </c>
      <c r="C48" s="243">
        <v>585.71500000000003</v>
      </c>
      <c r="D48" s="981">
        <v>6845</v>
      </c>
      <c r="E48" s="1271">
        <v>0</v>
      </c>
      <c r="F48" s="243">
        <v>16417.8</v>
      </c>
      <c r="G48" s="243">
        <v>5119.6000000000004</v>
      </c>
      <c r="H48" s="243">
        <v>569862</v>
      </c>
      <c r="I48" s="243">
        <v>263200</v>
      </c>
      <c r="J48" s="243">
        <v>203833.8</v>
      </c>
      <c r="K48" s="243"/>
      <c r="L48" s="243"/>
      <c r="M48" s="213">
        <v>14948.1</v>
      </c>
      <c r="N48" s="243">
        <v>7010.3</v>
      </c>
      <c r="O48" s="243">
        <v>44007.7</v>
      </c>
      <c r="P48" s="243">
        <v>34995.599999999999</v>
      </c>
      <c r="Q48" s="243">
        <v>136566.70000000001</v>
      </c>
      <c r="R48" s="243">
        <v>113295.4</v>
      </c>
      <c r="S48" s="243">
        <v>138739</v>
      </c>
      <c r="T48" s="243">
        <v>95168.5</v>
      </c>
      <c r="U48" s="981">
        <v>14051.63</v>
      </c>
      <c r="V48" s="981">
        <v>10671.64</v>
      </c>
      <c r="W48" s="243">
        <v>23778</v>
      </c>
      <c r="X48" s="243">
        <v>12368</v>
      </c>
      <c r="Y48" s="243">
        <v>209411.5</v>
      </c>
      <c r="Z48" s="981">
        <v>345.9</v>
      </c>
      <c r="AA48" s="981">
        <v>50716</v>
      </c>
      <c r="AB48" s="243">
        <v>562314</v>
      </c>
      <c r="AC48" s="243">
        <v>286558</v>
      </c>
      <c r="AD48" s="243">
        <v>209364.1</v>
      </c>
      <c r="AE48" s="981">
        <v>1112.4000000000001</v>
      </c>
      <c r="AF48" s="1051">
        <v>942</v>
      </c>
      <c r="AG48" s="243">
        <v>35361.5</v>
      </c>
      <c r="AH48" s="243">
        <v>25209.9</v>
      </c>
      <c r="AI48" s="243">
        <v>81879.399999999994</v>
      </c>
      <c r="AJ48" s="243">
        <v>63304.5</v>
      </c>
      <c r="AK48" s="243">
        <v>65049.7</v>
      </c>
      <c r="AL48" s="243">
        <v>52969.5</v>
      </c>
      <c r="AM48" s="243">
        <v>58720.7</v>
      </c>
      <c r="AN48" s="243">
        <v>23092.799999999999</v>
      </c>
      <c r="AO48" s="243">
        <v>16.399999999999999</v>
      </c>
      <c r="AP48" s="243">
        <v>17.399999999999999</v>
      </c>
      <c r="AQ48" s="243">
        <v>480470</v>
      </c>
      <c r="AR48" s="243">
        <v>221816</v>
      </c>
      <c r="AS48" s="402">
        <v>64749</v>
      </c>
      <c r="AT48" s="981"/>
      <c r="AU48" s="243">
        <v>448560</v>
      </c>
      <c r="AV48" s="243">
        <v>197488</v>
      </c>
      <c r="AW48" s="243">
        <v>77737</v>
      </c>
      <c r="AX48" s="243">
        <v>4210.3999999999996</v>
      </c>
      <c r="AY48" s="243">
        <v>2803.2</v>
      </c>
      <c r="AZ48" s="656">
        <v>220.2</v>
      </c>
      <c r="BA48" s="656">
        <v>133.27000000000001</v>
      </c>
      <c r="BB48" s="243">
        <v>791.75</v>
      </c>
      <c r="BC48" s="243">
        <v>337.346</v>
      </c>
      <c r="BD48" s="367">
        <v>1789.21</v>
      </c>
      <c r="BE48" s="981">
        <v>3187.4</v>
      </c>
      <c r="BF48" s="981">
        <v>507.6</v>
      </c>
      <c r="BG48" s="243">
        <v>6372.1</v>
      </c>
      <c r="BH48" s="243">
        <v>31208.110526315799</v>
      </c>
      <c r="BI48" s="981">
        <v>9818.4976379616601</v>
      </c>
      <c r="BJ48" s="243">
        <v>6003.09</v>
      </c>
      <c r="BK48" s="654">
        <v>6551493</v>
      </c>
      <c r="BL48" s="654">
        <v>4970379</v>
      </c>
      <c r="BM48" s="654">
        <v>216309</v>
      </c>
      <c r="BN48" s="654">
        <v>179613</v>
      </c>
      <c r="BO48" s="243">
        <v>136</v>
      </c>
      <c r="BP48" s="243">
        <v>45.052</v>
      </c>
      <c r="BQ48" s="243">
        <v>656</v>
      </c>
      <c r="BR48" s="981">
        <v>2462379.5</v>
      </c>
      <c r="BS48" s="981">
        <v>481</v>
      </c>
      <c r="BT48" s="981">
        <v>18961</v>
      </c>
      <c r="BU48" s="243">
        <v>3037730</v>
      </c>
      <c r="BV48" s="243">
        <v>95235</v>
      </c>
      <c r="BW48" s="243">
        <v>19082.599999999999</v>
      </c>
      <c r="BX48" s="243">
        <v>2743025</v>
      </c>
      <c r="BY48" s="243">
        <v>126181</v>
      </c>
      <c r="BZ48" s="243">
        <v>16294.3</v>
      </c>
      <c r="CA48" s="243">
        <v>8057.1</v>
      </c>
      <c r="CB48" s="243">
        <v>5493.4</v>
      </c>
      <c r="CC48" s="243">
        <v>1016632</v>
      </c>
      <c r="CD48" s="243">
        <v>578690</v>
      </c>
      <c r="CE48" s="243">
        <v>693488</v>
      </c>
      <c r="CF48" s="243">
        <v>438756</v>
      </c>
      <c r="CG48" s="1283">
        <v>0</v>
      </c>
    </row>
    <row r="49" spans="1:85" ht="12.75" customHeight="1">
      <c r="A49" s="618">
        <v>44971</v>
      </c>
      <c r="B49" s="243">
        <v>1059.8610000000001</v>
      </c>
      <c r="C49" s="243">
        <v>585.71500000000003</v>
      </c>
      <c r="D49" s="981">
        <v>6845</v>
      </c>
      <c r="E49" s="1271">
        <v>0</v>
      </c>
      <c r="F49" s="243">
        <v>16445.7</v>
      </c>
      <c r="G49" s="243">
        <v>5132.7</v>
      </c>
      <c r="H49" s="243">
        <v>570024.1</v>
      </c>
      <c r="I49" s="243">
        <v>263284.2</v>
      </c>
      <c r="J49" s="243">
        <v>203857.8</v>
      </c>
      <c r="K49" s="243"/>
      <c r="L49" s="243"/>
      <c r="M49" s="213">
        <v>14948.1</v>
      </c>
      <c r="N49" s="243">
        <v>7010.3</v>
      </c>
      <c r="O49" s="243">
        <v>44034</v>
      </c>
      <c r="P49" s="243">
        <v>35016.800000000003</v>
      </c>
      <c r="Q49" s="243">
        <v>136582</v>
      </c>
      <c r="R49" s="243">
        <v>113308</v>
      </c>
      <c r="S49" s="243">
        <v>138756</v>
      </c>
      <c r="T49" s="243">
        <v>95180.7</v>
      </c>
      <c r="U49" s="981">
        <v>14051.63</v>
      </c>
      <c r="V49" s="981">
        <v>10671.64</v>
      </c>
      <c r="W49" s="243">
        <v>23928.7</v>
      </c>
      <c r="X49" s="243">
        <v>12447.5</v>
      </c>
      <c r="Y49" s="243">
        <v>209435.5</v>
      </c>
      <c r="Z49" s="981">
        <v>345.9</v>
      </c>
      <c r="AA49" s="981">
        <v>50716</v>
      </c>
      <c r="AB49" s="243">
        <v>562596</v>
      </c>
      <c r="AC49" s="243">
        <v>286702</v>
      </c>
      <c r="AD49" s="243">
        <v>209388.1</v>
      </c>
      <c r="AE49" s="981">
        <v>1112.4000000000001</v>
      </c>
      <c r="AF49" s="1051">
        <v>942</v>
      </c>
      <c r="AG49" s="243">
        <v>35363.599999999999</v>
      </c>
      <c r="AH49" s="243">
        <v>25211.4</v>
      </c>
      <c r="AI49" s="243">
        <v>81886.7</v>
      </c>
      <c r="AJ49" s="243">
        <v>63310.3</v>
      </c>
      <c r="AK49" s="243">
        <v>65064.3</v>
      </c>
      <c r="AL49" s="243">
        <v>52981.2</v>
      </c>
      <c r="AM49" s="243">
        <v>58728.6</v>
      </c>
      <c r="AN49" s="243">
        <v>23095.8</v>
      </c>
      <c r="AO49" s="243">
        <v>16.399999999999999</v>
      </c>
      <c r="AP49" s="243">
        <v>17.399999999999999</v>
      </c>
      <c r="AQ49" s="243">
        <v>480607</v>
      </c>
      <c r="AR49" s="243">
        <v>221876</v>
      </c>
      <c r="AS49" s="243">
        <v>64755.1</v>
      </c>
      <c r="AT49" s="243"/>
      <c r="AU49" s="243">
        <v>448698</v>
      </c>
      <c r="AV49" s="243">
        <v>197548</v>
      </c>
      <c r="AW49" s="243">
        <v>77761</v>
      </c>
      <c r="AX49" s="243">
        <v>4211.7</v>
      </c>
      <c r="AY49" s="243">
        <v>2804.2</v>
      </c>
      <c r="AZ49" s="656">
        <v>220.2</v>
      </c>
      <c r="BA49" s="656">
        <v>133.27000000000001</v>
      </c>
      <c r="BB49" s="243">
        <v>791.75</v>
      </c>
      <c r="BC49" s="243">
        <v>337.346</v>
      </c>
      <c r="BD49" s="367">
        <v>1789.21</v>
      </c>
      <c r="BE49" s="243">
        <v>3189.6</v>
      </c>
      <c r="BF49" s="243">
        <v>507.6</v>
      </c>
      <c r="BG49" s="243">
        <v>6892.84</v>
      </c>
      <c r="BH49" s="243">
        <v>27798.982456140398</v>
      </c>
      <c r="BI49" s="243">
        <v>8947.9282226988398</v>
      </c>
      <c r="BJ49" s="243">
        <v>6072.47</v>
      </c>
      <c r="BK49" s="243">
        <v>6552894</v>
      </c>
      <c r="BL49" s="243">
        <v>4971784</v>
      </c>
      <c r="BM49" s="654">
        <v>216309</v>
      </c>
      <c r="BN49" s="654">
        <v>179613</v>
      </c>
      <c r="BO49" s="243">
        <v>135</v>
      </c>
      <c r="BP49" s="243">
        <v>44.43</v>
      </c>
      <c r="BQ49" s="243">
        <v>658</v>
      </c>
      <c r="BR49" s="981">
        <v>2462379.5</v>
      </c>
      <c r="BS49" s="981">
        <v>481</v>
      </c>
      <c r="BT49" s="981">
        <v>18961</v>
      </c>
      <c r="BU49" s="243">
        <v>3043249</v>
      </c>
      <c r="BV49" s="243">
        <v>95528</v>
      </c>
      <c r="BW49" s="243">
        <v>19106.57</v>
      </c>
      <c r="BX49" s="243">
        <v>2744277</v>
      </c>
      <c r="BY49" s="243">
        <v>126210</v>
      </c>
      <c r="BZ49" s="243">
        <v>16297.88</v>
      </c>
      <c r="CA49" s="243">
        <v>8063.4</v>
      </c>
      <c r="CB49" s="243">
        <v>5497.8</v>
      </c>
      <c r="CC49" s="243">
        <v>1017797</v>
      </c>
      <c r="CD49" s="243">
        <v>579338</v>
      </c>
      <c r="CE49" s="243">
        <v>693575</v>
      </c>
      <c r="CF49" s="243">
        <v>438877</v>
      </c>
      <c r="CG49" s="1283">
        <v>0</v>
      </c>
    </row>
    <row r="50" spans="1:85" ht="13.2">
      <c r="A50" s="618">
        <v>44972</v>
      </c>
      <c r="B50" s="243">
        <v>1059.8610000000001</v>
      </c>
      <c r="C50" s="243">
        <v>585.71500000000003</v>
      </c>
      <c r="D50" s="981">
        <v>6845</v>
      </c>
      <c r="E50" s="1271">
        <v>0</v>
      </c>
      <c r="F50" s="243">
        <v>16475.5</v>
      </c>
      <c r="G50" s="243">
        <v>5146.8</v>
      </c>
      <c r="H50" s="243">
        <v>570188</v>
      </c>
      <c r="I50" s="243">
        <v>263368</v>
      </c>
      <c r="J50" s="243">
        <v>203881.8</v>
      </c>
      <c r="K50" s="243"/>
      <c r="L50" s="243"/>
      <c r="M50" s="213">
        <v>14948.1</v>
      </c>
      <c r="N50" s="243">
        <v>7010.3</v>
      </c>
      <c r="O50" s="243">
        <v>44064.6</v>
      </c>
      <c r="P50" s="243">
        <v>35040.199999999997</v>
      </c>
      <c r="Q50" s="243">
        <v>136598.6</v>
      </c>
      <c r="R50" s="243">
        <v>113322.2</v>
      </c>
      <c r="S50" s="243">
        <v>138774.9</v>
      </c>
      <c r="T50" s="243">
        <v>95192.7</v>
      </c>
      <c r="U50" s="981">
        <v>14051.63</v>
      </c>
      <c r="V50" s="981">
        <v>10671.64</v>
      </c>
      <c r="W50" s="243">
        <v>24079.4</v>
      </c>
      <c r="X50" s="243">
        <v>12532.1</v>
      </c>
      <c r="Y50" s="243">
        <v>209459.5</v>
      </c>
      <c r="Z50" s="981">
        <v>345.9</v>
      </c>
      <c r="AA50" s="981">
        <v>50716</v>
      </c>
      <c r="AB50" s="243">
        <v>562896</v>
      </c>
      <c r="AC50" s="243">
        <v>286852</v>
      </c>
      <c r="AD50" s="243">
        <v>209412.1</v>
      </c>
      <c r="AE50" s="981">
        <v>1112.4000000000001</v>
      </c>
      <c r="AF50" s="1051">
        <v>942</v>
      </c>
      <c r="AG50" s="243">
        <v>35365.800000000003</v>
      </c>
      <c r="AH50" s="243">
        <v>25213</v>
      </c>
      <c r="AI50" s="243">
        <v>81893.899999999994</v>
      </c>
      <c r="AJ50" s="243">
        <v>63315.8</v>
      </c>
      <c r="AK50" s="243">
        <v>65080.800000000003</v>
      </c>
      <c r="AL50" s="243">
        <v>52994.7</v>
      </c>
      <c r="AM50" s="243">
        <v>58737.2</v>
      </c>
      <c r="AN50" s="243">
        <v>23099.3</v>
      </c>
      <c r="AO50" s="243">
        <v>16.399999999999999</v>
      </c>
      <c r="AP50" s="243">
        <v>17.399999999999999</v>
      </c>
      <c r="AQ50" s="243">
        <v>480752.2</v>
      </c>
      <c r="AR50" s="243">
        <v>221940</v>
      </c>
      <c r="AS50" s="243">
        <v>64760.4</v>
      </c>
      <c r="AT50" s="243"/>
      <c r="AU50" s="243">
        <v>448844</v>
      </c>
      <c r="AV50" s="243">
        <v>197611</v>
      </c>
      <c r="AW50" s="243">
        <v>77785</v>
      </c>
      <c r="AX50" s="243">
        <v>4213.6000000000004</v>
      </c>
      <c r="AY50" s="243">
        <v>2805.6</v>
      </c>
      <c r="AZ50" s="656">
        <v>220.2</v>
      </c>
      <c r="BA50" s="656">
        <v>133.27000000000001</v>
      </c>
      <c r="BB50" s="243">
        <v>791.75</v>
      </c>
      <c r="BC50" s="243">
        <v>337.346</v>
      </c>
      <c r="BD50" s="367">
        <v>1789.21</v>
      </c>
      <c r="BE50" s="243">
        <v>3192.1</v>
      </c>
      <c r="BF50" s="243">
        <v>507.6</v>
      </c>
      <c r="BG50" s="243">
        <v>7153.098</v>
      </c>
      <c r="BH50" s="243">
        <v>32491.8083040936</v>
      </c>
      <c r="BI50" s="243">
        <v>9285.1872640038291</v>
      </c>
      <c r="BJ50" s="243">
        <v>5523.58</v>
      </c>
      <c r="BK50" s="243">
        <v>6554408</v>
      </c>
      <c r="BL50" s="243">
        <v>4973298</v>
      </c>
      <c r="BM50" s="654">
        <v>216309</v>
      </c>
      <c r="BN50" s="654">
        <v>179613</v>
      </c>
      <c r="BO50" s="243">
        <v>135.19795483397249</v>
      </c>
      <c r="BP50" s="243">
        <v>44.152916743434616</v>
      </c>
      <c r="BQ50" s="243">
        <v>647.63045972871544</v>
      </c>
      <c r="BR50" s="981">
        <v>2462379.5</v>
      </c>
      <c r="BS50" s="981">
        <v>481</v>
      </c>
      <c r="BT50" s="981">
        <v>18961</v>
      </c>
      <c r="BU50" s="243">
        <v>3047889</v>
      </c>
      <c r="BV50" s="243">
        <v>95950</v>
      </c>
      <c r="BW50" s="243">
        <v>19130.599999999999</v>
      </c>
      <c r="BX50" s="243">
        <v>2747978</v>
      </c>
      <c r="BY50" s="243">
        <v>126251</v>
      </c>
      <c r="BZ50" s="243">
        <v>16321.9</v>
      </c>
      <c r="CA50" s="243">
        <v>8069.8</v>
      </c>
      <c r="CB50" s="243">
        <v>5502.2</v>
      </c>
      <c r="CC50" s="243">
        <v>1019051</v>
      </c>
      <c r="CD50" s="243">
        <v>580028</v>
      </c>
      <c r="CE50" s="243">
        <v>693931</v>
      </c>
      <c r="CF50" s="243">
        <v>439039</v>
      </c>
      <c r="CG50" s="1283">
        <v>0</v>
      </c>
    </row>
    <row r="51" spans="1:85" ht="13.2">
      <c r="A51" s="618">
        <v>44973</v>
      </c>
      <c r="B51" s="243">
        <v>1059.8610000000001</v>
      </c>
      <c r="C51" s="243">
        <v>585.71500000000003</v>
      </c>
      <c r="D51" s="981">
        <v>6845</v>
      </c>
      <c r="E51" s="1271">
        <v>0</v>
      </c>
      <c r="F51" s="243">
        <v>16504</v>
      </c>
      <c r="G51" s="243">
        <v>5160.5</v>
      </c>
      <c r="H51" s="243">
        <v>570346</v>
      </c>
      <c r="I51" s="243">
        <v>263450</v>
      </c>
      <c r="J51" s="608">
        <v>203905.8</v>
      </c>
      <c r="K51" s="243"/>
      <c r="L51" s="243"/>
      <c r="M51" s="213">
        <v>14948.1</v>
      </c>
      <c r="N51" s="243">
        <v>7010.3</v>
      </c>
      <c r="O51" s="243">
        <v>44092.800000000003</v>
      </c>
      <c r="P51" s="243">
        <v>35062.699999999997</v>
      </c>
      <c r="Q51" s="243">
        <v>136613</v>
      </c>
      <c r="R51" s="243">
        <v>113334</v>
      </c>
      <c r="S51" s="243">
        <v>138792</v>
      </c>
      <c r="T51" s="243">
        <v>95205</v>
      </c>
      <c r="U51" s="981">
        <v>14051.63</v>
      </c>
      <c r="V51" s="981">
        <v>10671.64</v>
      </c>
      <c r="W51" s="243">
        <v>24225.1</v>
      </c>
      <c r="X51" s="243">
        <v>12611.8</v>
      </c>
      <c r="Y51" s="243">
        <v>209483.5</v>
      </c>
      <c r="Z51" s="981">
        <v>345.9</v>
      </c>
      <c r="AA51" s="981">
        <v>50716</v>
      </c>
      <c r="AB51" s="243">
        <v>563186</v>
      </c>
      <c r="AC51" s="243">
        <v>286999</v>
      </c>
      <c r="AD51" s="243">
        <v>209436.1</v>
      </c>
      <c r="AE51" s="981">
        <v>1112.4000000000001</v>
      </c>
      <c r="AF51" s="1051">
        <v>942</v>
      </c>
      <c r="AG51" s="243">
        <v>35367.800000000003</v>
      </c>
      <c r="AH51" s="243">
        <v>25214.5</v>
      </c>
      <c r="AI51" s="243">
        <v>81899.899999999994</v>
      </c>
      <c r="AJ51" s="243">
        <v>63320.6</v>
      </c>
      <c r="AK51" s="243">
        <v>65096.2</v>
      </c>
      <c r="AL51" s="243">
        <v>53007.3</v>
      </c>
      <c r="AM51" s="243">
        <v>58747.199999999997</v>
      </c>
      <c r="AN51" s="243">
        <v>23103.200000000001</v>
      </c>
      <c r="AO51" s="243">
        <v>16.399999999999999</v>
      </c>
      <c r="AP51" s="243">
        <v>17.399999999999999</v>
      </c>
      <c r="AQ51" s="243">
        <v>480894</v>
      </c>
      <c r="AR51" s="243">
        <v>222002</v>
      </c>
      <c r="AS51" s="243">
        <v>64765.5</v>
      </c>
      <c r="AT51" s="243"/>
      <c r="AU51" s="243">
        <v>448986</v>
      </c>
      <c r="AV51" s="243">
        <v>197673</v>
      </c>
      <c r="AW51" s="243">
        <v>77809</v>
      </c>
      <c r="AX51" s="243">
        <v>4216.8</v>
      </c>
      <c r="AY51" s="243">
        <v>2807.8</v>
      </c>
      <c r="AZ51" s="656">
        <v>220.2</v>
      </c>
      <c r="BA51" s="656">
        <v>133.27000000000001</v>
      </c>
      <c r="BB51" s="243">
        <v>791.75</v>
      </c>
      <c r="BC51" s="243">
        <v>337.346</v>
      </c>
      <c r="BD51" s="367">
        <v>1789.21</v>
      </c>
      <c r="BE51" s="243">
        <v>3194</v>
      </c>
      <c r="BF51" s="243">
        <v>507.6</v>
      </c>
      <c r="BG51" s="243">
        <v>7120.2006250000004</v>
      </c>
      <c r="BH51" s="243">
        <v>32720.324342105301</v>
      </c>
      <c r="BI51" s="243">
        <v>9340.3171169910001</v>
      </c>
      <c r="BJ51" s="243">
        <v>5267.71</v>
      </c>
      <c r="BK51" s="243">
        <v>6555930</v>
      </c>
      <c r="BL51" s="243">
        <v>4974786</v>
      </c>
      <c r="BM51" s="654">
        <v>216309</v>
      </c>
      <c r="BN51" s="654">
        <v>179613</v>
      </c>
      <c r="BO51" s="243">
        <v>132.298706978843</v>
      </c>
      <c r="BP51" s="243">
        <v>43.7036473004448</v>
      </c>
      <c r="BQ51" s="243">
        <v>655.275028119686</v>
      </c>
      <c r="BR51" s="981">
        <v>2462379.5</v>
      </c>
      <c r="BS51" s="981">
        <v>481</v>
      </c>
      <c r="BT51" s="981">
        <v>18961</v>
      </c>
      <c r="BU51" s="243">
        <v>3052407</v>
      </c>
      <c r="BV51" s="243">
        <v>96348</v>
      </c>
      <c r="BW51" s="243">
        <v>19154.599999999999</v>
      </c>
      <c r="BX51" s="243">
        <v>2751513</v>
      </c>
      <c r="BY51" s="243">
        <v>126294</v>
      </c>
      <c r="BZ51" s="243">
        <v>16345.9</v>
      </c>
      <c r="CA51" s="243">
        <v>8076.1</v>
      </c>
      <c r="CB51" s="243">
        <v>5506.4</v>
      </c>
      <c r="CC51" s="243">
        <v>1020222</v>
      </c>
      <c r="CD51" s="243">
        <v>580670</v>
      </c>
      <c r="CE51" s="243">
        <v>694140</v>
      </c>
      <c r="CF51" s="243">
        <v>439168</v>
      </c>
      <c r="CG51" s="1283">
        <v>0</v>
      </c>
    </row>
    <row r="52" spans="1:85" ht="13.2">
      <c r="A52" s="618">
        <v>44974</v>
      </c>
      <c r="B52" s="243">
        <v>1059.8610000000001</v>
      </c>
      <c r="C52" s="243">
        <v>585.71500000000003</v>
      </c>
      <c r="D52" s="981">
        <v>6845</v>
      </c>
      <c r="E52" s="1271">
        <v>0</v>
      </c>
      <c r="F52" s="243">
        <v>16533.099999999999</v>
      </c>
      <c r="G52" s="243">
        <v>5174.6000000000004</v>
      </c>
      <c r="H52" s="243">
        <v>570509</v>
      </c>
      <c r="I52" s="243">
        <v>263533</v>
      </c>
      <c r="J52" s="243">
        <v>203929.8</v>
      </c>
      <c r="K52" s="243"/>
      <c r="L52" s="243"/>
      <c r="M52" s="213">
        <v>14948.1</v>
      </c>
      <c r="N52" s="243">
        <v>7010.3</v>
      </c>
      <c r="O52" s="243">
        <v>44119.7</v>
      </c>
      <c r="P52" s="243">
        <v>35084</v>
      </c>
      <c r="Q52" s="243">
        <v>136629</v>
      </c>
      <c r="R52" s="243">
        <v>113347</v>
      </c>
      <c r="S52" s="243">
        <v>138808</v>
      </c>
      <c r="T52" s="243">
        <v>95216.7</v>
      </c>
      <c r="U52" s="981">
        <v>14051.63</v>
      </c>
      <c r="V52" s="981">
        <v>10671.64</v>
      </c>
      <c r="W52" s="243">
        <v>24367</v>
      </c>
      <c r="X52" s="243">
        <v>12687</v>
      </c>
      <c r="Y52" s="243">
        <v>209507.5</v>
      </c>
      <c r="Z52" s="981">
        <v>345.9</v>
      </c>
      <c r="AA52" s="981">
        <v>50716</v>
      </c>
      <c r="AB52" s="243">
        <v>563474</v>
      </c>
      <c r="AC52" s="243">
        <v>287146</v>
      </c>
      <c r="AD52" s="243">
        <v>209460.1</v>
      </c>
      <c r="AE52" s="981">
        <v>1112.4000000000001</v>
      </c>
      <c r="AF52" s="1051">
        <v>942</v>
      </c>
      <c r="AG52" s="243">
        <v>35369.9</v>
      </c>
      <c r="AH52" s="243">
        <v>25216</v>
      </c>
      <c r="AI52" s="243">
        <v>81908.600000000006</v>
      </c>
      <c r="AJ52" s="243">
        <v>63327.4</v>
      </c>
      <c r="AK52" s="243">
        <v>65108.6</v>
      </c>
      <c r="AL52" s="243">
        <v>53017.3</v>
      </c>
      <c r="AM52" s="243">
        <v>58753.9</v>
      </c>
      <c r="AN52" s="243">
        <v>23105.8</v>
      </c>
      <c r="AO52" s="243">
        <v>16.399999999999999</v>
      </c>
      <c r="AP52" s="243">
        <v>17.399999999999999</v>
      </c>
      <c r="AQ52" s="243">
        <v>481030</v>
      </c>
      <c r="AR52" s="243">
        <v>222061</v>
      </c>
      <c r="AS52" s="243">
        <v>64770.3</v>
      </c>
      <c r="AT52" s="243"/>
      <c r="AU52" s="243">
        <v>449121</v>
      </c>
      <c r="AV52" s="243">
        <v>197732</v>
      </c>
      <c r="AW52" s="243">
        <f>AW51+23</f>
        <v>77832</v>
      </c>
      <c r="AX52" s="243">
        <v>4219.8</v>
      </c>
      <c r="AY52" s="243">
        <v>2809.8</v>
      </c>
      <c r="AZ52" s="656">
        <v>220.2</v>
      </c>
      <c r="BA52" s="656">
        <v>133.27000000000001</v>
      </c>
      <c r="BB52" s="243">
        <v>791.75</v>
      </c>
      <c r="BC52" s="243">
        <v>337.346</v>
      </c>
      <c r="BD52" s="367">
        <v>1789.21</v>
      </c>
      <c r="BE52" s="243">
        <v>3195.8</v>
      </c>
      <c r="BF52" s="243">
        <v>507.6</v>
      </c>
      <c r="BG52" s="243">
        <v>7083.7758823529402</v>
      </c>
      <c r="BH52" s="243">
        <v>32917.465221878199</v>
      </c>
      <c r="BI52" s="243">
        <v>9359.6594883822108</v>
      </c>
      <c r="BJ52" s="243">
        <v>6833.9</v>
      </c>
      <c r="BK52" s="243">
        <v>6557456</v>
      </c>
      <c r="BL52" s="243">
        <v>4976262</v>
      </c>
      <c r="BM52" s="654">
        <v>216309</v>
      </c>
      <c r="BN52" s="654">
        <v>179613</v>
      </c>
      <c r="BO52" s="243">
        <v>131.53344958441099</v>
      </c>
      <c r="BP52" s="243">
        <v>43.686985783723202</v>
      </c>
      <c r="BQ52" s="243">
        <v>655.36503115013898</v>
      </c>
      <c r="BR52" s="981">
        <v>2462379.5</v>
      </c>
      <c r="BS52" s="981">
        <v>481</v>
      </c>
      <c r="BT52" s="981">
        <v>18961</v>
      </c>
      <c r="BU52" s="243">
        <v>3056923</v>
      </c>
      <c r="BV52" s="243">
        <v>96995</v>
      </c>
      <c r="BW52" s="243">
        <v>19178.599999999999</v>
      </c>
      <c r="BX52" s="243">
        <v>2755143</v>
      </c>
      <c r="BY52" s="243">
        <v>126365</v>
      </c>
      <c r="BZ52" s="243">
        <v>16369.9</v>
      </c>
      <c r="CA52" s="243">
        <v>8082.1</v>
      </c>
      <c r="CB52" s="243">
        <v>5510.6</v>
      </c>
      <c r="CC52" s="243">
        <v>1021397</v>
      </c>
      <c r="CD52" s="243">
        <v>581311</v>
      </c>
      <c r="CE52" s="243">
        <v>694334</v>
      </c>
      <c r="CF52" s="243">
        <v>439291</v>
      </c>
      <c r="CG52" s="1283">
        <v>0</v>
      </c>
    </row>
    <row r="53" spans="1:85" ht="13.2">
      <c r="A53" s="618">
        <v>44975</v>
      </c>
      <c r="B53" s="243">
        <v>1059.8610000000001</v>
      </c>
      <c r="C53" s="243">
        <v>585.71500000000003</v>
      </c>
      <c r="D53" s="981">
        <v>6845</v>
      </c>
      <c r="E53" s="1271">
        <v>0</v>
      </c>
      <c r="F53" s="243">
        <v>16563.599999999999</v>
      </c>
      <c r="G53" s="243">
        <v>5190.2</v>
      </c>
      <c r="H53" s="243">
        <v>570674</v>
      </c>
      <c r="I53" s="243">
        <v>263617</v>
      </c>
      <c r="J53" s="243">
        <v>203953.8</v>
      </c>
      <c r="K53" s="213"/>
      <c r="L53" s="213"/>
      <c r="M53" s="213">
        <v>14948.1</v>
      </c>
      <c r="N53" s="243">
        <v>7010.3</v>
      </c>
      <c r="O53" s="243">
        <v>44147.8</v>
      </c>
      <c r="P53" s="243">
        <v>35106.199999999997</v>
      </c>
      <c r="Q53" s="243">
        <v>136645</v>
      </c>
      <c r="R53" s="243">
        <v>113361</v>
      </c>
      <c r="S53" s="243">
        <v>138825</v>
      </c>
      <c r="T53" s="243">
        <v>95228</v>
      </c>
      <c r="U53" s="981">
        <v>14051.63</v>
      </c>
      <c r="V53" s="981">
        <v>10671.64</v>
      </c>
      <c r="W53" s="243">
        <v>24517.4</v>
      </c>
      <c r="X53" s="243">
        <v>12762</v>
      </c>
      <c r="Y53" s="243">
        <v>209531.5</v>
      </c>
      <c r="Z53" s="981">
        <v>345.9</v>
      </c>
      <c r="AA53" s="981">
        <v>50716</v>
      </c>
      <c r="AB53" s="243">
        <v>563775</v>
      </c>
      <c r="AC53" s="243">
        <v>287305</v>
      </c>
      <c r="AD53" s="243">
        <v>209484.1</v>
      </c>
      <c r="AE53" s="981">
        <v>1112.4000000000001</v>
      </c>
      <c r="AF53" s="1051">
        <v>942</v>
      </c>
      <c r="AG53" s="243">
        <v>35372</v>
      </c>
      <c r="AH53" s="243">
        <v>25216.5</v>
      </c>
      <c r="AI53" s="243">
        <v>81917.8</v>
      </c>
      <c r="AJ53" s="243">
        <v>63334.6</v>
      </c>
      <c r="AK53" s="243">
        <v>65120.800000000003</v>
      </c>
      <c r="AL53" s="243">
        <v>53027.4</v>
      </c>
      <c r="AM53" s="243">
        <v>58765</v>
      </c>
      <c r="AN53" s="243">
        <v>23110.3</v>
      </c>
      <c r="AO53" s="243">
        <v>16.399999999999999</v>
      </c>
      <c r="AP53" s="243">
        <v>17.399999999999999</v>
      </c>
      <c r="AQ53" s="243">
        <v>481176</v>
      </c>
      <c r="AR53" s="243">
        <v>222125</v>
      </c>
      <c r="AS53" s="402">
        <v>64774.7</v>
      </c>
      <c r="AT53" s="981"/>
      <c r="AU53" s="243">
        <v>449269</v>
      </c>
      <c r="AV53" s="243">
        <v>197796</v>
      </c>
      <c r="AW53" s="243">
        <v>77856</v>
      </c>
      <c r="AX53" s="243">
        <v>4223.1000000000004</v>
      </c>
      <c r="AY53" s="243">
        <v>2812</v>
      </c>
      <c r="AZ53" s="656">
        <v>220.2</v>
      </c>
      <c r="BA53" s="656">
        <v>133.27000000000001</v>
      </c>
      <c r="BB53" s="243">
        <v>791.75</v>
      </c>
      <c r="BC53" s="243">
        <v>337.346</v>
      </c>
      <c r="BD53" s="367">
        <v>1789.21</v>
      </c>
      <c r="BE53" s="981">
        <v>3197.8</v>
      </c>
      <c r="BF53" s="981">
        <v>507.6</v>
      </c>
      <c r="BG53" s="243">
        <v>7025.9927777777802</v>
      </c>
      <c r="BH53" s="243">
        <v>33094.470077972699</v>
      </c>
      <c r="BI53" s="981">
        <v>9381.6275086648293</v>
      </c>
      <c r="BJ53" s="243">
        <v>4613.0600000000004</v>
      </c>
      <c r="BK53" s="654">
        <v>6558976</v>
      </c>
      <c r="BL53" s="654">
        <v>4977752</v>
      </c>
      <c r="BM53" s="654">
        <v>216309</v>
      </c>
      <c r="BN53" s="654">
        <v>179613</v>
      </c>
      <c r="BO53" s="243">
        <v>133.56582506915299</v>
      </c>
      <c r="BP53" s="243">
        <v>43.250430593048399</v>
      </c>
      <c r="BQ53" s="243">
        <v>658.62122181624795</v>
      </c>
      <c r="BR53" s="981">
        <v>2462379.5</v>
      </c>
      <c r="BS53" s="981">
        <v>481</v>
      </c>
      <c r="BT53" s="981">
        <v>18961</v>
      </c>
      <c r="BU53" s="243">
        <v>3061615</v>
      </c>
      <c r="BV53" s="243">
        <v>97820</v>
      </c>
      <c r="BW53" s="243">
        <v>19202.599999999999</v>
      </c>
      <c r="BX53" s="243">
        <v>2758969</v>
      </c>
      <c r="BY53" s="243">
        <v>126435</v>
      </c>
      <c r="BZ53" s="243">
        <v>16393.900000000001</v>
      </c>
      <c r="CA53" s="243">
        <v>8088.8</v>
      </c>
      <c r="CB53" s="243">
        <v>5515.1</v>
      </c>
      <c r="CC53" s="243">
        <v>1022598</v>
      </c>
      <c r="CD53" s="243">
        <v>581969</v>
      </c>
      <c r="CE53" s="243">
        <v>694527</v>
      </c>
      <c r="CF53" s="243">
        <v>439411</v>
      </c>
      <c r="CG53" s="1283">
        <v>0</v>
      </c>
    </row>
    <row r="54" spans="1:85" ht="13.2">
      <c r="A54" s="618">
        <v>44976</v>
      </c>
      <c r="B54" s="243">
        <v>1059.8610000000001</v>
      </c>
      <c r="C54" s="243">
        <v>585.71500000000003</v>
      </c>
      <c r="D54" s="981">
        <v>6845</v>
      </c>
      <c r="E54" s="1271">
        <v>0</v>
      </c>
      <c r="F54" s="243">
        <v>16592.3</v>
      </c>
      <c r="G54" s="243">
        <v>5205.5</v>
      </c>
      <c r="H54" s="243">
        <v>570834</v>
      </c>
      <c r="I54" s="243">
        <v>263700</v>
      </c>
      <c r="J54" s="243">
        <v>203977.8</v>
      </c>
      <c r="K54" s="243"/>
      <c r="L54" s="243"/>
      <c r="M54" s="213">
        <v>14948.1</v>
      </c>
      <c r="N54" s="243">
        <v>7010.3</v>
      </c>
      <c r="O54" s="243">
        <v>44174.9</v>
      </c>
      <c r="P54" s="243">
        <v>35127.599999999999</v>
      </c>
      <c r="Q54" s="243">
        <v>136661</v>
      </c>
      <c r="R54" s="243">
        <v>113374</v>
      </c>
      <c r="S54" s="243">
        <v>138842</v>
      </c>
      <c r="T54" s="243">
        <v>95240.6</v>
      </c>
      <c r="U54" s="981">
        <v>14051.63</v>
      </c>
      <c r="V54" s="981">
        <v>10671.64</v>
      </c>
      <c r="W54" s="243">
        <v>24663</v>
      </c>
      <c r="X54" s="243">
        <v>12843</v>
      </c>
      <c r="Y54" s="243">
        <v>209555.5</v>
      </c>
      <c r="Z54" s="981">
        <v>345.9</v>
      </c>
      <c r="AA54" s="981">
        <v>50716</v>
      </c>
      <c r="AB54" s="243">
        <v>564069</v>
      </c>
      <c r="AC54" s="243">
        <v>287453</v>
      </c>
      <c r="AD54" s="243">
        <v>209508.1</v>
      </c>
      <c r="AE54" s="981">
        <v>1112.4000000000001</v>
      </c>
      <c r="AF54" s="1051">
        <v>942</v>
      </c>
      <c r="AG54" s="243">
        <v>35374.1</v>
      </c>
      <c r="AH54" s="243">
        <v>25219</v>
      </c>
      <c r="AI54" s="243">
        <v>81927</v>
      </c>
      <c r="AJ54" s="243">
        <v>63341.1</v>
      </c>
      <c r="AK54" s="243">
        <v>65132.9</v>
      </c>
      <c r="AL54" s="243">
        <v>53037</v>
      </c>
      <c r="AM54" s="243">
        <v>58776.4</v>
      </c>
      <c r="AN54" s="243">
        <v>23114.799999999999</v>
      </c>
      <c r="AO54" s="243">
        <v>16.399999999999999</v>
      </c>
      <c r="AP54" s="243">
        <v>17.399999999999999</v>
      </c>
      <c r="AQ54" s="243">
        <v>481319</v>
      </c>
      <c r="AR54" s="243">
        <v>222188</v>
      </c>
      <c r="AS54" s="243">
        <v>64778.9</v>
      </c>
      <c r="AT54" s="243"/>
      <c r="AU54" s="243">
        <v>449412</v>
      </c>
      <c r="AV54" s="243">
        <v>197858</v>
      </c>
      <c r="AW54" s="243">
        <v>77880</v>
      </c>
      <c r="AX54" s="243">
        <v>4225.7</v>
      </c>
      <c r="AY54" s="243">
        <v>2813.8</v>
      </c>
      <c r="AZ54" s="656">
        <v>220.2</v>
      </c>
      <c r="BA54" s="656">
        <v>133.27000000000001</v>
      </c>
      <c r="BB54" s="243">
        <v>791.75</v>
      </c>
      <c r="BC54" s="243">
        <v>337.346</v>
      </c>
      <c r="BD54" s="367">
        <v>1789.21</v>
      </c>
      <c r="BE54" s="243">
        <v>3199.7</v>
      </c>
      <c r="BF54" s="243">
        <v>507.6</v>
      </c>
      <c r="BG54" s="243">
        <v>6983.08315789474</v>
      </c>
      <c r="BH54" s="243">
        <v>33248.419482917801</v>
      </c>
      <c r="BI54" s="243">
        <v>9399.0835957820509</v>
      </c>
      <c r="BJ54" s="243">
        <v>4112.1000000000004</v>
      </c>
      <c r="BK54" s="243">
        <v>6560474</v>
      </c>
      <c r="BL54" s="243">
        <v>4979200</v>
      </c>
      <c r="BM54" s="654">
        <v>216309</v>
      </c>
      <c r="BN54" s="654">
        <v>179613</v>
      </c>
      <c r="BO54" s="243">
        <v>134.69568683413101</v>
      </c>
      <c r="BP54" s="243">
        <v>43.223747896094999</v>
      </c>
      <c r="BQ54" s="243">
        <v>655.45779626753495</v>
      </c>
      <c r="BR54" s="981">
        <v>2462379.5</v>
      </c>
      <c r="BS54" s="981">
        <v>481</v>
      </c>
      <c r="BT54" s="981">
        <v>18961</v>
      </c>
      <c r="BU54" s="243">
        <v>3065839</v>
      </c>
      <c r="BV54" s="243">
        <v>98663</v>
      </c>
      <c r="BW54" s="243">
        <v>19226.599999999999</v>
      </c>
      <c r="BX54" s="243">
        <v>2762284</v>
      </c>
      <c r="BY54" s="243">
        <v>126504</v>
      </c>
      <c r="BZ54" s="243">
        <v>16417.900000000001</v>
      </c>
      <c r="CA54" s="243">
        <v>8094.8</v>
      </c>
      <c r="CB54" s="243">
        <v>5519.3</v>
      </c>
      <c r="CC54" s="243">
        <v>1023737</v>
      </c>
      <c r="CD54" s="243">
        <v>582596</v>
      </c>
      <c r="CE54" s="243">
        <v>694711</v>
      </c>
      <c r="CF54" s="243">
        <v>439529</v>
      </c>
      <c r="CG54" s="1283">
        <v>0</v>
      </c>
    </row>
    <row r="55" spans="1:85" ht="13.2">
      <c r="A55" s="618">
        <v>44977</v>
      </c>
      <c r="B55" s="243">
        <v>1060.6759999999999</v>
      </c>
      <c r="C55" s="243">
        <v>585.98900000000003</v>
      </c>
      <c r="D55" s="981">
        <v>6846.5</v>
      </c>
      <c r="E55" s="1271">
        <v>1</v>
      </c>
      <c r="F55" s="243">
        <v>16622.099999999999</v>
      </c>
      <c r="G55" s="243">
        <v>5219.1000000000004</v>
      </c>
      <c r="H55" s="243">
        <v>570989</v>
      </c>
      <c r="I55" s="243">
        <v>263780</v>
      </c>
      <c r="J55" s="243">
        <v>204001.8</v>
      </c>
      <c r="K55" s="243"/>
      <c r="L55" s="243"/>
      <c r="M55" s="213">
        <v>14948.1</v>
      </c>
      <c r="N55" s="243">
        <v>7010.3</v>
      </c>
      <c r="O55" s="243">
        <v>44201.5</v>
      </c>
      <c r="P55" s="243">
        <v>35148.800000000003</v>
      </c>
      <c r="Q55" s="243">
        <v>136678</v>
      </c>
      <c r="R55" s="243">
        <v>113387</v>
      </c>
      <c r="S55" s="243">
        <v>138858</v>
      </c>
      <c r="T55" s="243">
        <v>95252</v>
      </c>
      <c r="U55" s="981">
        <v>14051.63</v>
      </c>
      <c r="V55" s="981">
        <v>10671.64</v>
      </c>
      <c r="W55" s="243">
        <v>24811.599999999999</v>
      </c>
      <c r="X55" s="243">
        <v>12923.6</v>
      </c>
      <c r="Y55" s="243">
        <v>209579.5</v>
      </c>
      <c r="Z55" s="981">
        <v>345.9</v>
      </c>
      <c r="AA55" s="981">
        <v>50716</v>
      </c>
      <c r="AB55" s="243">
        <v>564366</v>
      </c>
      <c r="AC55" s="243">
        <v>287603</v>
      </c>
      <c r="AD55" s="243">
        <v>209532.1</v>
      </c>
      <c r="AE55" s="981">
        <v>1112.4000000000001</v>
      </c>
      <c r="AF55" s="1051">
        <v>942</v>
      </c>
      <c r="AG55" s="243">
        <v>35376.199999999997</v>
      </c>
      <c r="AH55" s="243">
        <v>25220.6</v>
      </c>
      <c r="AI55" s="243">
        <v>81936.600000000006</v>
      </c>
      <c r="AJ55" s="243">
        <v>63349.1</v>
      </c>
      <c r="AK55" s="243">
        <v>65145.7</v>
      </c>
      <c r="AL55" s="243">
        <v>53048.1</v>
      </c>
      <c r="AM55" s="243">
        <v>58786.9</v>
      </c>
      <c r="AN55" s="243">
        <v>23118.9</v>
      </c>
      <c r="AO55" s="243">
        <v>16.399999999999999</v>
      </c>
      <c r="AP55" s="243">
        <v>17.399999999999999</v>
      </c>
      <c r="AQ55" s="243">
        <v>481465</v>
      </c>
      <c r="AR55" s="243">
        <v>222252</v>
      </c>
      <c r="AS55" s="243">
        <v>64783.5</v>
      </c>
      <c r="AT55" s="243"/>
      <c r="AU55" s="243">
        <v>449559</v>
      </c>
      <c r="AV55" s="243">
        <v>197922</v>
      </c>
      <c r="AW55" s="243">
        <v>77904</v>
      </c>
      <c r="AX55" s="243">
        <v>4228.8999999999996</v>
      </c>
      <c r="AY55" s="243">
        <v>2816</v>
      </c>
      <c r="AZ55" s="656">
        <v>220.2</v>
      </c>
      <c r="BA55" s="656">
        <v>133.27000000000001</v>
      </c>
      <c r="BB55" s="243">
        <v>791.94200000000001</v>
      </c>
      <c r="BC55" s="243">
        <v>337.41899999999998</v>
      </c>
      <c r="BD55" s="367">
        <v>1789.7</v>
      </c>
      <c r="BE55" s="243">
        <v>3201.6</v>
      </c>
      <c r="BF55" s="243">
        <v>507.6</v>
      </c>
      <c r="BG55" s="243">
        <v>5995.5599999999995</v>
      </c>
      <c r="BH55" s="243">
        <v>36170.594736842104</v>
      </c>
      <c r="BI55" s="243">
        <v>10482.875600598758</v>
      </c>
      <c r="BJ55" s="243">
        <v>4740.5600000000004</v>
      </c>
      <c r="BK55" s="243">
        <v>6561978</v>
      </c>
      <c r="BL55" s="243">
        <v>4980678</v>
      </c>
      <c r="BM55" s="654">
        <v>216309</v>
      </c>
      <c r="BN55" s="654">
        <v>179613</v>
      </c>
      <c r="BO55" s="243">
        <v>133.642552319662</v>
      </c>
      <c r="BP55" s="243">
        <v>43.844207382660002</v>
      </c>
      <c r="BQ55" s="243">
        <v>658.02718269002798</v>
      </c>
      <c r="BR55" s="981">
        <v>2462379.5</v>
      </c>
      <c r="BS55" s="981">
        <v>481</v>
      </c>
      <c r="BT55" s="981">
        <v>18961</v>
      </c>
      <c r="BU55" s="243">
        <v>3071896</v>
      </c>
      <c r="BV55" s="243">
        <v>98741</v>
      </c>
      <c r="BW55" s="243">
        <v>19250.599999999999</v>
      </c>
      <c r="BX55" s="243">
        <v>2764641</v>
      </c>
      <c r="BY55" s="243">
        <v>126504</v>
      </c>
      <c r="BZ55" s="243">
        <v>16441.900000000001</v>
      </c>
      <c r="CA55" s="243">
        <v>8099.4</v>
      </c>
      <c r="CB55" s="243">
        <v>5522.7</v>
      </c>
      <c r="CC55" s="243">
        <v>1024926</v>
      </c>
      <c r="CD55" s="243">
        <v>583247</v>
      </c>
      <c r="CE55" s="243">
        <v>694896</v>
      </c>
      <c r="CF55" s="243">
        <v>439647</v>
      </c>
      <c r="CG55" s="1283">
        <v>1</v>
      </c>
    </row>
    <row r="56" spans="1:85" ht="13.2">
      <c r="A56" s="618">
        <v>44978</v>
      </c>
      <c r="B56" s="243">
        <v>1060.6759999999999</v>
      </c>
      <c r="C56" s="243">
        <v>585.98900000000003</v>
      </c>
      <c r="D56" s="981">
        <v>6846.5</v>
      </c>
      <c r="E56" s="1271">
        <v>0</v>
      </c>
      <c r="F56" s="243">
        <v>16651.099999999999</v>
      </c>
      <c r="G56" s="243">
        <v>5232.5</v>
      </c>
      <c r="H56" s="243">
        <v>571158.4</v>
      </c>
      <c r="I56" s="243">
        <v>263867.2</v>
      </c>
      <c r="J56" s="243">
        <v>204025.8</v>
      </c>
      <c r="K56" s="243"/>
      <c r="L56" s="243"/>
      <c r="M56" s="213">
        <v>14948.1</v>
      </c>
      <c r="N56" s="243">
        <v>7010.3</v>
      </c>
      <c r="O56" s="243">
        <v>44227.7</v>
      </c>
      <c r="P56" s="243">
        <v>35169.9</v>
      </c>
      <c r="Q56" s="243">
        <v>136694.70000000001</v>
      </c>
      <c r="R56" s="243">
        <v>113401.5</v>
      </c>
      <c r="S56" s="243">
        <v>138875.5</v>
      </c>
      <c r="T56" s="243">
        <v>95263.8</v>
      </c>
      <c r="U56" s="981">
        <v>14051.63</v>
      </c>
      <c r="V56" s="981">
        <v>10671.64</v>
      </c>
      <c r="W56" s="243">
        <v>24958.7</v>
      </c>
      <c r="X56" s="243">
        <v>13001</v>
      </c>
      <c r="Y56" s="243">
        <v>209603.5</v>
      </c>
      <c r="Z56" s="981">
        <v>345.9</v>
      </c>
      <c r="AA56" s="981">
        <v>50716</v>
      </c>
      <c r="AB56" s="243">
        <v>564669</v>
      </c>
      <c r="AC56" s="243">
        <v>287757.5</v>
      </c>
      <c r="AD56" s="243">
        <v>209556.1</v>
      </c>
      <c r="AE56" s="981">
        <v>1112.4000000000001</v>
      </c>
      <c r="AF56" s="1051">
        <v>942</v>
      </c>
      <c r="AG56" s="243">
        <v>35378.300000000003</v>
      </c>
      <c r="AH56" s="243">
        <v>25222.2</v>
      </c>
      <c r="AI56" s="243">
        <v>81946.67</v>
      </c>
      <c r="AJ56" s="243">
        <v>63356.9</v>
      </c>
      <c r="AK56" s="243">
        <v>65158.2</v>
      </c>
      <c r="AL56" s="243">
        <v>53058.5</v>
      </c>
      <c r="AM56" s="243">
        <v>58795.7</v>
      </c>
      <c r="AN56" s="243">
        <v>23122.5</v>
      </c>
      <c r="AO56" s="243">
        <v>16.399999999999999</v>
      </c>
      <c r="AP56" s="243">
        <v>17.399999999999999</v>
      </c>
      <c r="AQ56" s="243">
        <v>481615.3</v>
      </c>
      <c r="AR56" s="243">
        <v>222317.3</v>
      </c>
      <c r="AS56" s="243">
        <v>64788.4</v>
      </c>
      <c r="AT56" s="243"/>
      <c r="AU56" s="243">
        <v>449709.7</v>
      </c>
      <c r="AV56" s="243">
        <v>197987</v>
      </c>
      <c r="AW56" s="243">
        <v>77928</v>
      </c>
      <c r="AX56" s="243">
        <v>4231.8999999999996</v>
      </c>
      <c r="AY56" s="243">
        <v>2818.1</v>
      </c>
      <c r="AZ56" s="656">
        <v>220.2</v>
      </c>
      <c r="BA56" s="656">
        <v>133.27000000000001</v>
      </c>
      <c r="BB56" s="243">
        <v>791.94200000000001</v>
      </c>
      <c r="BC56" s="243">
        <v>337.41899999999998</v>
      </c>
      <c r="BD56" s="243">
        <v>1789.7</v>
      </c>
      <c r="BE56" s="243">
        <v>3202.8</v>
      </c>
      <c r="BF56" s="243">
        <v>507.6</v>
      </c>
      <c r="BG56" s="243">
        <v>6204.5300000000016</v>
      </c>
      <c r="BH56" s="243">
        <v>34906.298245614038</v>
      </c>
      <c r="BI56" s="243">
        <v>9823.3936522894764</v>
      </c>
      <c r="BJ56" s="243">
        <v>4535.5</v>
      </c>
      <c r="BK56" s="243">
        <v>6563500</v>
      </c>
      <c r="BL56" s="243">
        <v>4982142</v>
      </c>
      <c r="BM56" s="243">
        <v>216309</v>
      </c>
      <c r="BN56" s="243">
        <v>179613</v>
      </c>
      <c r="BO56" s="243">
        <v>130.74901905573552</v>
      </c>
      <c r="BP56" s="243">
        <v>42.976494567558795</v>
      </c>
      <c r="BQ56" s="243">
        <v>659.8801895564128</v>
      </c>
      <c r="BR56" s="981">
        <v>2462379.5</v>
      </c>
      <c r="BS56" s="981">
        <v>481</v>
      </c>
      <c r="BT56" s="981">
        <v>18961</v>
      </c>
      <c r="BU56" s="243">
        <v>3077093</v>
      </c>
      <c r="BV56" s="243">
        <v>98939</v>
      </c>
      <c r="BW56" s="243">
        <v>19272.8</v>
      </c>
      <c r="BX56" s="243">
        <v>2767367</v>
      </c>
      <c r="BY56" s="243">
        <v>126507</v>
      </c>
      <c r="BZ56" s="243">
        <v>16464.2</v>
      </c>
      <c r="CA56" s="243">
        <v>8105.4</v>
      </c>
      <c r="CB56" s="243">
        <v>5526.8</v>
      </c>
      <c r="CC56" s="243">
        <v>1026102</v>
      </c>
      <c r="CD56" s="243">
        <v>583901</v>
      </c>
      <c r="CE56" s="243">
        <v>695129</v>
      </c>
      <c r="CF56" s="243">
        <v>439794</v>
      </c>
      <c r="CG56" s="1283">
        <v>0</v>
      </c>
    </row>
    <row r="57" spans="1:85" ht="13.2">
      <c r="A57" s="618">
        <v>44979</v>
      </c>
      <c r="B57" s="243">
        <v>1060.6759999999999</v>
      </c>
      <c r="C57" s="243">
        <v>585.98900000000003</v>
      </c>
      <c r="D57" s="981">
        <v>6846.5</v>
      </c>
      <c r="E57" s="1271">
        <v>0</v>
      </c>
      <c r="F57" s="243">
        <v>16680.400000000001</v>
      </c>
      <c r="G57" s="243">
        <v>5245.5</v>
      </c>
      <c r="H57" s="243">
        <v>571322.30000000005</v>
      </c>
      <c r="I57" s="243">
        <v>263951</v>
      </c>
      <c r="J57" s="243">
        <v>204049.8</v>
      </c>
      <c r="K57" s="243"/>
      <c r="L57" s="243"/>
      <c r="M57" s="213">
        <v>14948.1</v>
      </c>
      <c r="N57" s="243">
        <v>7010.3</v>
      </c>
      <c r="O57" s="243">
        <v>44251.5</v>
      </c>
      <c r="P57" s="243">
        <v>35188.300000000003</v>
      </c>
      <c r="Q57" s="243">
        <v>136711.70000000001</v>
      </c>
      <c r="R57" s="243">
        <v>113415.5</v>
      </c>
      <c r="S57" s="243">
        <v>138893</v>
      </c>
      <c r="T57" s="243">
        <v>95276</v>
      </c>
      <c r="U57" s="981">
        <v>14051.63</v>
      </c>
      <c r="V57" s="981">
        <v>10671.64</v>
      </c>
      <c r="W57" s="243">
        <v>25106</v>
      </c>
      <c r="X57" s="243">
        <v>13078.6</v>
      </c>
      <c r="Y57" s="243">
        <v>209627.5</v>
      </c>
      <c r="Z57" s="981">
        <v>345.9</v>
      </c>
      <c r="AA57" s="981">
        <v>50716</v>
      </c>
      <c r="AB57" s="243">
        <v>564971.4</v>
      </c>
      <c r="AC57" s="243">
        <v>287908.8</v>
      </c>
      <c r="AD57" s="243">
        <v>209580.1</v>
      </c>
      <c r="AE57" s="981">
        <v>1112.4000000000001</v>
      </c>
      <c r="AF57" s="1051">
        <v>942</v>
      </c>
      <c r="AG57" s="243">
        <v>35380.5</v>
      </c>
      <c r="AH57" s="243">
        <v>25223.7</v>
      </c>
      <c r="AI57" s="243">
        <v>81956.899999999994</v>
      </c>
      <c r="AJ57" s="243">
        <v>63364.800000000003</v>
      </c>
      <c r="AK57" s="243">
        <v>65170.7</v>
      </c>
      <c r="AL57" s="243">
        <v>53068.5</v>
      </c>
      <c r="AM57" s="243">
        <v>58805.9</v>
      </c>
      <c r="AN57" s="243">
        <v>23126.3</v>
      </c>
      <c r="AO57" s="243">
        <v>16.399999999999999</v>
      </c>
      <c r="AP57" s="243">
        <v>17.399999999999999</v>
      </c>
      <c r="AQ57" s="243">
        <v>481764.3</v>
      </c>
      <c r="AR57" s="243">
        <v>222382.2</v>
      </c>
      <c r="AS57" s="243">
        <v>64793.5</v>
      </c>
      <c r="AT57" s="243"/>
      <c r="AU57" s="243">
        <v>449859.9</v>
      </c>
      <c r="AV57" s="243">
        <v>198051.9</v>
      </c>
      <c r="AW57" s="243">
        <v>77952</v>
      </c>
      <c r="AX57" s="243">
        <v>4234.5</v>
      </c>
      <c r="AY57" s="243">
        <v>2819.8</v>
      </c>
      <c r="AZ57" s="656">
        <v>220.2</v>
      </c>
      <c r="BA57" s="656">
        <v>133.27000000000001</v>
      </c>
      <c r="BB57" s="243">
        <v>791.94200000000001</v>
      </c>
      <c r="BC57" s="243">
        <v>337.41899999999998</v>
      </c>
      <c r="BD57" s="243">
        <v>1789.7</v>
      </c>
      <c r="BE57" s="243">
        <v>3203.4</v>
      </c>
      <c r="BF57" s="243">
        <v>507.6</v>
      </c>
      <c r="BG57" s="243">
        <v>6695.38</v>
      </c>
      <c r="BH57" s="243">
        <v>34990.287719298198</v>
      </c>
      <c r="BI57" s="243">
        <v>9766.5114902784808</v>
      </c>
      <c r="BJ57" s="243">
        <v>5883.63</v>
      </c>
      <c r="BK57" s="243">
        <v>6565052</v>
      </c>
      <c r="BL57" s="243">
        <v>4983625</v>
      </c>
      <c r="BM57" s="243">
        <v>216309</v>
      </c>
      <c r="BN57" s="243">
        <v>179613</v>
      </c>
      <c r="BO57" s="243">
        <v>133.37273216276816</v>
      </c>
      <c r="BP57" s="243">
        <v>42.958479977664219</v>
      </c>
      <c r="BQ57" s="243">
        <v>655.1509051785672</v>
      </c>
      <c r="BR57" s="981">
        <v>2462379.5</v>
      </c>
      <c r="BS57" s="981">
        <v>481</v>
      </c>
      <c r="BT57" s="981">
        <v>18961</v>
      </c>
      <c r="BU57" s="243">
        <v>3079521</v>
      </c>
      <c r="BV57" s="243">
        <v>98939</v>
      </c>
      <c r="BW57" s="243">
        <v>19296.900000000001</v>
      </c>
      <c r="BX57" s="243">
        <v>2773582</v>
      </c>
      <c r="BY57" s="243">
        <v>126545</v>
      </c>
      <c r="BZ57" s="243">
        <v>16488.3</v>
      </c>
      <c r="CA57" s="243">
        <v>8114.5</v>
      </c>
      <c r="CB57" s="243">
        <v>5532.4</v>
      </c>
      <c r="CC57" s="243">
        <v>1027298</v>
      </c>
      <c r="CD57" s="243">
        <v>584561</v>
      </c>
      <c r="CE57" s="243">
        <v>695318</v>
      </c>
      <c r="CF57" s="243">
        <v>439915</v>
      </c>
      <c r="CG57" s="1283">
        <v>0</v>
      </c>
    </row>
    <row r="58" spans="1:85" ht="13.2">
      <c r="A58" s="618">
        <v>44980</v>
      </c>
      <c r="B58" s="243">
        <v>1060.6759999999999</v>
      </c>
      <c r="C58" s="243">
        <v>585.98900000000003</v>
      </c>
      <c r="D58" s="981">
        <v>6846.5</v>
      </c>
      <c r="E58" s="1271">
        <v>0</v>
      </c>
      <c r="F58" s="243">
        <v>16705.099999999999</v>
      </c>
      <c r="G58" s="243">
        <v>5256.8</v>
      </c>
      <c r="H58" s="243">
        <v>571473.9</v>
      </c>
      <c r="I58" s="243">
        <v>264029.8</v>
      </c>
      <c r="J58" s="243">
        <v>204072.8</v>
      </c>
      <c r="K58" s="243"/>
      <c r="L58" s="243"/>
      <c r="M58" s="213">
        <v>14948.2</v>
      </c>
      <c r="N58" s="243">
        <v>7010.3</v>
      </c>
      <c r="O58" s="243">
        <v>44272.08</v>
      </c>
      <c r="P58" s="243">
        <v>35203.699999999997</v>
      </c>
      <c r="Q58" s="243">
        <v>136726.17000000001</v>
      </c>
      <c r="R58" s="243">
        <v>113428.14</v>
      </c>
      <c r="S58" s="243">
        <v>138910.35</v>
      </c>
      <c r="T58" s="243">
        <v>95287.92</v>
      </c>
      <c r="U58" s="981">
        <v>14051.63</v>
      </c>
      <c r="V58" s="981">
        <v>10671.64</v>
      </c>
      <c r="W58" s="243">
        <v>25239.54</v>
      </c>
      <c r="X58" s="243">
        <v>13147.91</v>
      </c>
      <c r="Y58" s="243">
        <v>209651.5</v>
      </c>
      <c r="Z58" s="981">
        <v>345.9</v>
      </c>
      <c r="AA58" s="981">
        <v>50716</v>
      </c>
      <c r="AB58" s="243">
        <v>565230.56000000006</v>
      </c>
      <c r="AC58" s="243">
        <v>288044.01</v>
      </c>
      <c r="AD58" s="243">
        <v>209604.1</v>
      </c>
      <c r="AE58" s="981">
        <v>1112.4000000000001</v>
      </c>
      <c r="AF58" s="1051">
        <v>942</v>
      </c>
      <c r="AG58" s="243">
        <v>35382.800000000003</v>
      </c>
      <c r="AH58" s="243">
        <v>25225.360000000001</v>
      </c>
      <c r="AI58" s="243">
        <v>81966.850000000006</v>
      </c>
      <c r="AJ58" s="243">
        <v>63372.54</v>
      </c>
      <c r="AK58" s="243">
        <v>65183.23</v>
      </c>
      <c r="AL58" s="243">
        <v>53078.85</v>
      </c>
      <c r="AM58" s="243">
        <v>58805.9</v>
      </c>
      <c r="AN58" s="243">
        <v>23126.3</v>
      </c>
      <c r="AO58" s="243">
        <v>16.399999999999999</v>
      </c>
      <c r="AP58" s="243">
        <v>17.399999999999999</v>
      </c>
      <c r="AQ58" s="243">
        <v>481887.6</v>
      </c>
      <c r="AR58" s="243">
        <v>222436.3</v>
      </c>
      <c r="AS58" s="243">
        <v>64798.438999999998</v>
      </c>
      <c r="AT58" s="243"/>
      <c r="AU58" s="243">
        <v>449983.79</v>
      </c>
      <c r="AV58" s="243">
        <v>198105.61900000001</v>
      </c>
      <c r="AW58" s="243">
        <v>77972</v>
      </c>
      <c r="AX58" s="243">
        <v>4238.43</v>
      </c>
      <c r="AY58" s="243">
        <v>2822.46</v>
      </c>
      <c r="AZ58" s="656">
        <v>220.27</v>
      </c>
      <c r="BA58" s="656">
        <v>133.32</v>
      </c>
      <c r="BB58" s="243">
        <v>791.94200000000001</v>
      </c>
      <c r="BC58" s="243">
        <v>337.41899999999998</v>
      </c>
      <c r="BD58" s="243">
        <v>1789.7</v>
      </c>
      <c r="BE58" s="243">
        <v>3203.8</v>
      </c>
      <c r="BF58" s="243">
        <v>507.6</v>
      </c>
      <c r="BG58" s="243">
        <v>5647.43</v>
      </c>
      <c r="BH58" s="243">
        <v>27344.350877192999</v>
      </c>
      <c r="BI58" s="243">
        <v>7013.0622308813099</v>
      </c>
      <c r="BJ58" s="243">
        <v>4804.57</v>
      </c>
      <c r="BK58" s="243">
        <v>6566522</v>
      </c>
      <c r="BL58" s="243">
        <v>4985058</v>
      </c>
      <c r="BM58" s="243">
        <v>216309</v>
      </c>
      <c r="BN58" s="243">
        <v>179613</v>
      </c>
      <c r="BO58" s="243">
        <v>123.42879154525301</v>
      </c>
      <c r="BP58" s="243">
        <v>40.707699739164312</v>
      </c>
      <c r="BQ58" s="243">
        <v>613.00020970897185</v>
      </c>
      <c r="BR58" s="981">
        <v>2462379.5</v>
      </c>
      <c r="BS58" s="243">
        <v>481</v>
      </c>
      <c r="BT58" s="243">
        <v>18968.240000000002</v>
      </c>
      <c r="BU58" s="243">
        <v>3081219</v>
      </c>
      <c r="BV58" s="243">
        <v>98942</v>
      </c>
      <c r="BW58" s="243">
        <v>19313.8</v>
      </c>
      <c r="BX58" s="243">
        <v>2777950</v>
      </c>
      <c r="BY58" s="243">
        <v>126576</v>
      </c>
      <c r="BZ58" s="243">
        <v>16505.2</v>
      </c>
      <c r="CA58" s="243">
        <v>8121.91</v>
      </c>
      <c r="CB58" s="243">
        <v>5537.13</v>
      </c>
      <c r="CC58" s="243">
        <v>1028224</v>
      </c>
      <c r="CD58" s="243">
        <v>585082</v>
      </c>
      <c r="CE58" s="243">
        <v>695525</v>
      </c>
      <c r="CF58" s="243">
        <v>440048</v>
      </c>
      <c r="CG58" s="1283">
        <v>0</v>
      </c>
    </row>
    <row r="59" spans="1:85" ht="13.2">
      <c r="A59" s="618">
        <v>44981</v>
      </c>
      <c r="B59" s="243">
        <v>1060.6759999999999</v>
      </c>
      <c r="C59" s="243">
        <v>585.98900000000003</v>
      </c>
      <c r="D59" s="981">
        <v>6846.5</v>
      </c>
      <c r="E59" s="1271">
        <v>0</v>
      </c>
      <c r="F59" s="243">
        <v>16732.8</v>
      </c>
      <c r="G59" s="243">
        <v>5264.1</v>
      </c>
      <c r="H59" s="243">
        <v>571638.4</v>
      </c>
      <c r="I59" s="243">
        <v>264113.3</v>
      </c>
      <c r="J59" s="243">
        <v>204096.8</v>
      </c>
      <c r="K59" s="243"/>
      <c r="L59" s="243"/>
      <c r="M59" s="213">
        <v>14948.7</v>
      </c>
      <c r="N59" s="243">
        <v>7010.3</v>
      </c>
      <c r="O59" s="243">
        <v>44290.15</v>
      </c>
      <c r="P59" s="243">
        <v>35217.11</v>
      </c>
      <c r="Q59" s="243">
        <v>136742.70000000001</v>
      </c>
      <c r="R59" s="243">
        <v>113441.2</v>
      </c>
      <c r="S59" s="243">
        <v>138927.35</v>
      </c>
      <c r="T59" s="243">
        <v>95299.68</v>
      </c>
      <c r="U59" s="981">
        <v>14051.63</v>
      </c>
      <c r="V59" s="981">
        <v>10671.64</v>
      </c>
      <c r="W59" s="243">
        <v>25389.22</v>
      </c>
      <c r="X59" s="243">
        <v>13222.14</v>
      </c>
      <c r="Y59" s="243">
        <v>209675.5</v>
      </c>
      <c r="Z59" s="981">
        <v>345.9</v>
      </c>
      <c r="AA59" s="981">
        <v>50716</v>
      </c>
      <c r="AB59" s="243">
        <v>565515.63</v>
      </c>
      <c r="AC59" s="243">
        <v>288184.02</v>
      </c>
      <c r="AD59" s="243">
        <v>209628.1</v>
      </c>
      <c r="AE59" s="981">
        <v>1112.4000000000001</v>
      </c>
      <c r="AF59" s="1051">
        <v>942</v>
      </c>
      <c r="AG59" s="243">
        <v>35385.03</v>
      </c>
      <c r="AH59" s="243">
        <v>25226.94</v>
      </c>
      <c r="AI59" s="243">
        <v>81975.16</v>
      </c>
      <c r="AJ59" s="243">
        <v>63379.03</v>
      </c>
      <c r="AK59" s="243">
        <v>65195.12</v>
      </c>
      <c r="AL59" s="243">
        <v>53088.77</v>
      </c>
      <c r="AM59" s="243">
        <v>58812.2</v>
      </c>
      <c r="AN59" s="243">
        <v>23131.200000000001</v>
      </c>
      <c r="AO59" s="243">
        <v>16.399999999999999</v>
      </c>
      <c r="AP59" s="243">
        <v>17.399999999999999</v>
      </c>
      <c r="AQ59" s="243">
        <v>482029.2</v>
      </c>
      <c r="AR59" s="243">
        <v>222498.8</v>
      </c>
      <c r="AS59" s="243">
        <v>64803.37</v>
      </c>
      <c r="AT59" s="243"/>
      <c r="AU59" s="243">
        <v>450126.07</v>
      </c>
      <c r="AV59" s="243">
        <v>198167.40599999999</v>
      </c>
      <c r="AW59" s="243">
        <v>77996</v>
      </c>
      <c r="AX59" s="243">
        <v>4240.7700000000004</v>
      </c>
      <c r="AY59" s="243">
        <v>2824.12</v>
      </c>
      <c r="AZ59" s="243">
        <v>220.27</v>
      </c>
      <c r="BA59" s="243">
        <v>133.32</v>
      </c>
      <c r="BB59" s="243">
        <v>791.94200000000001</v>
      </c>
      <c r="BC59" s="243">
        <v>337.41899999999998</v>
      </c>
      <c r="BD59" s="243">
        <v>1789.7</v>
      </c>
      <c r="BE59" s="243">
        <v>3204.7</v>
      </c>
      <c r="BF59" s="243">
        <v>507.7</v>
      </c>
      <c r="BG59" s="243">
        <v>6710.61</v>
      </c>
      <c r="BH59" s="243">
        <v>32320.5947368421</v>
      </c>
      <c r="BI59" s="243">
        <v>9777.1195175147004</v>
      </c>
      <c r="BJ59" s="243">
        <v>5940.16</v>
      </c>
      <c r="BK59" s="243">
        <v>6568047</v>
      </c>
      <c r="BL59" s="243">
        <v>4986547</v>
      </c>
      <c r="BM59" s="243">
        <v>216309</v>
      </c>
      <c r="BN59" s="243">
        <v>179613</v>
      </c>
      <c r="BO59" s="243">
        <v>132.842342323959</v>
      </c>
      <c r="BP59" s="243">
        <v>46.098950626244545</v>
      </c>
      <c r="BQ59" s="243">
        <v>665.84449376764087</v>
      </c>
      <c r="BR59" s="981">
        <v>2462379.5</v>
      </c>
      <c r="BS59" s="243">
        <v>481</v>
      </c>
      <c r="BT59" s="243">
        <v>18968.240000000002</v>
      </c>
      <c r="BU59" s="243">
        <v>3087050</v>
      </c>
      <c r="BV59" s="243">
        <v>99092</v>
      </c>
      <c r="BW59" s="243">
        <v>19337.8</v>
      </c>
      <c r="BX59" s="243">
        <v>2780267</v>
      </c>
      <c r="BY59" s="243">
        <v>126576</v>
      </c>
      <c r="BZ59" s="243">
        <v>16529.2</v>
      </c>
      <c r="CA59" s="243">
        <v>8128.06</v>
      </c>
      <c r="CB59" s="243">
        <v>5541.39</v>
      </c>
      <c r="CC59" s="243">
        <v>1029081</v>
      </c>
      <c r="CD59" s="243">
        <v>585566</v>
      </c>
      <c r="CE59" s="243">
        <v>695737</v>
      </c>
      <c r="CF59" s="243">
        <v>440185</v>
      </c>
      <c r="CG59" s="1283">
        <v>0</v>
      </c>
    </row>
    <row r="60" spans="1:85" ht="13.2">
      <c r="A60" s="618">
        <v>44982</v>
      </c>
      <c r="B60" s="243">
        <v>1060.6759999999999</v>
      </c>
      <c r="C60" s="243">
        <v>585.98900000000003</v>
      </c>
      <c r="D60" s="981">
        <v>6846.5</v>
      </c>
      <c r="E60" s="1271">
        <v>0</v>
      </c>
      <c r="F60" s="243">
        <v>16762.099999999999</v>
      </c>
      <c r="G60" s="243">
        <v>5272.6</v>
      </c>
      <c r="H60" s="243">
        <v>571801.1</v>
      </c>
      <c r="I60" s="243">
        <v>264196.90000000002</v>
      </c>
      <c r="J60" s="244">
        <v>204120.8</v>
      </c>
      <c r="K60" s="213"/>
      <c r="L60" s="213"/>
      <c r="M60" s="213">
        <v>14949.2</v>
      </c>
      <c r="N60" s="243">
        <v>7010.4</v>
      </c>
      <c r="O60" s="243">
        <v>44309.55</v>
      </c>
      <c r="P60" s="243">
        <v>35231.68</v>
      </c>
      <c r="Q60" s="243">
        <v>136757.73000000001</v>
      </c>
      <c r="R60" s="243">
        <v>113454.12</v>
      </c>
      <c r="S60" s="243">
        <v>138944.03</v>
      </c>
      <c r="T60" s="243">
        <v>95311.54</v>
      </c>
      <c r="U60" s="981">
        <v>14051.63</v>
      </c>
      <c r="V60" s="981">
        <v>10671.64</v>
      </c>
      <c r="W60" s="243">
        <v>25540.51</v>
      </c>
      <c r="X60" s="243">
        <v>13296.97</v>
      </c>
      <c r="Y60" s="244">
        <v>209699.5</v>
      </c>
      <c r="Z60" s="981">
        <v>345.9</v>
      </c>
      <c r="AA60" s="981">
        <v>50716</v>
      </c>
      <c r="AB60" s="243">
        <v>565797.12</v>
      </c>
      <c r="AC60" s="243">
        <v>288325.56</v>
      </c>
      <c r="AD60" s="244">
        <v>209652.1</v>
      </c>
      <c r="AE60" s="981">
        <v>1112.4000000000001</v>
      </c>
      <c r="AF60" s="1051">
        <v>942</v>
      </c>
      <c r="AG60" s="243">
        <v>35387.269999999997</v>
      </c>
      <c r="AH60" s="243">
        <v>25228.52</v>
      </c>
      <c r="AI60" s="243">
        <v>81984.14</v>
      </c>
      <c r="AJ60" s="243">
        <v>63386.06</v>
      </c>
      <c r="AK60" s="243">
        <v>65207.76</v>
      </c>
      <c r="AL60" s="243">
        <v>53099.360000000001</v>
      </c>
      <c r="AM60" s="243">
        <v>58829.3</v>
      </c>
      <c r="AN60" s="243">
        <v>23135.599999999999</v>
      </c>
      <c r="AO60" s="243">
        <v>16.399999999999999</v>
      </c>
      <c r="AP60" s="243">
        <v>17.399999999999999</v>
      </c>
      <c r="AQ60" s="243">
        <v>482168.4</v>
      </c>
      <c r="AR60" s="243">
        <v>222560.3</v>
      </c>
      <c r="AS60" s="402">
        <v>64808.012000000002</v>
      </c>
      <c r="AT60" s="981"/>
      <c r="AU60" s="243">
        <v>450265.65</v>
      </c>
      <c r="AV60" s="243">
        <v>198228.24</v>
      </c>
      <c r="AW60" s="243">
        <v>78020</v>
      </c>
      <c r="AX60" s="243">
        <v>4243.5200000000004</v>
      </c>
      <c r="AY60" s="243">
        <v>2826.04</v>
      </c>
      <c r="AZ60" s="243">
        <v>220.27</v>
      </c>
      <c r="BA60" s="243">
        <v>133.32</v>
      </c>
      <c r="BB60" s="243">
        <v>791.94200000000001</v>
      </c>
      <c r="BC60" s="243">
        <v>337.41899999999998</v>
      </c>
      <c r="BD60" s="243">
        <v>1789.7</v>
      </c>
      <c r="BE60" s="243">
        <v>3206.9</v>
      </c>
      <c r="BF60" s="243">
        <v>507.7</v>
      </c>
      <c r="BG60" s="243">
        <v>5866.69</v>
      </c>
      <c r="BH60" s="243">
        <v>32319.556140350898</v>
      </c>
      <c r="BI60" s="981">
        <v>10034.6056349059</v>
      </c>
      <c r="BJ60" s="243">
        <v>5854.38</v>
      </c>
      <c r="BK60" s="654">
        <v>6569482</v>
      </c>
      <c r="BL60" s="654">
        <v>4987973</v>
      </c>
      <c r="BM60" s="243">
        <v>216309</v>
      </c>
      <c r="BN60" s="243">
        <v>179613</v>
      </c>
      <c r="BO60" s="243">
        <v>131.397472743175</v>
      </c>
      <c r="BP60" s="243">
        <v>46.435005592062289</v>
      </c>
      <c r="BQ60" s="243">
        <v>664.14905903253475</v>
      </c>
      <c r="BR60" s="981">
        <v>2462379.5</v>
      </c>
      <c r="BS60" s="243">
        <v>481</v>
      </c>
      <c r="BT60" s="243">
        <v>18968.240000000002</v>
      </c>
      <c r="BU60" s="243">
        <v>3093077</v>
      </c>
      <c r="BV60" s="243">
        <v>99213</v>
      </c>
      <c r="BW60" s="243">
        <v>19361.8</v>
      </c>
      <c r="BX60" s="243">
        <v>2782627</v>
      </c>
      <c r="BY60" s="243">
        <v>126576</v>
      </c>
      <c r="BZ60" s="243">
        <v>16553.2</v>
      </c>
      <c r="CA60" s="243">
        <v>8134.34</v>
      </c>
      <c r="CB60" s="243">
        <v>5545.77</v>
      </c>
      <c r="CC60" s="243">
        <v>1030295</v>
      </c>
      <c r="CD60" s="243">
        <v>586238</v>
      </c>
      <c r="CE60" s="243">
        <v>696006</v>
      </c>
      <c r="CF60" s="243">
        <v>440353</v>
      </c>
      <c r="CG60" s="1283">
        <v>0</v>
      </c>
    </row>
    <row r="61" spans="1:85" ht="13.2">
      <c r="A61" s="618">
        <v>44983</v>
      </c>
      <c r="B61" s="243">
        <v>1060.6759999999999</v>
      </c>
      <c r="C61" s="243">
        <v>585.98900000000003</v>
      </c>
      <c r="D61" s="981">
        <v>6846.5</v>
      </c>
      <c r="E61" s="1271">
        <v>0</v>
      </c>
      <c r="F61" s="243">
        <v>16791.5</v>
      </c>
      <c r="G61" s="243">
        <v>5281.5</v>
      </c>
      <c r="H61" s="243">
        <v>571962.4</v>
      </c>
      <c r="I61" s="243">
        <v>264280.2</v>
      </c>
      <c r="J61" s="243">
        <v>204144.8</v>
      </c>
      <c r="K61" s="213"/>
      <c r="L61" s="213"/>
      <c r="M61" s="213">
        <v>14949.6</v>
      </c>
      <c r="N61" s="243">
        <v>7010.4</v>
      </c>
      <c r="O61" s="243">
        <v>44329.61</v>
      </c>
      <c r="P61" s="243">
        <v>35246.83</v>
      </c>
      <c r="Q61" s="243">
        <v>136773.51</v>
      </c>
      <c r="R61" s="243">
        <v>113467.27</v>
      </c>
      <c r="S61" s="243">
        <v>138960.45000000001</v>
      </c>
      <c r="T61" s="243">
        <v>95323.47</v>
      </c>
      <c r="U61" s="981">
        <v>14051.63</v>
      </c>
      <c r="V61" s="981">
        <v>10671.64</v>
      </c>
      <c r="W61" s="243">
        <v>25691.599999999999</v>
      </c>
      <c r="X61" s="243">
        <v>13371.53</v>
      </c>
      <c r="Y61" s="243">
        <v>209723.5</v>
      </c>
      <c r="Z61" s="981">
        <v>345.9</v>
      </c>
      <c r="AA61" s="981">
        <v>50716</v>
      </c>
      <c r="AB61" s="243">
        <v>566073.85</v>
      </c>
      <c r="AC61" s="243">
        <v>288466.84000000003</v>
      </c>
      <c r="AD61" s="244">
        <v>209676.1</v>
      </c>
      <c r="AE61" s="981">
        <v>1112.4000000000001</v>
      </c>
      <c r="AF61" s="1051">
        <v>942</v>
      </c>
      <c r="AG61" s="243">
        <v>35389.5</v>
      </c>
      <c r="AH61" s="243">
        <v>25230.12</v>
      </c>
      <c r="AI61" s="243">
        <v>81992.84</v>
      </c>
      <c r="AJ61" s="243">
        <v>63392.87</v>
      </c>
      <c r="AK61" s="243">
        <v>65220.37</v>
      </c>
      <c r="AL61" s="243">
        <v>53109.93</v>
      </c>
      <c r="AM61" s="243">
        <v>58839.1</v>
      </c>
      <c r="AN61" s="243">
        <v>23139.5</v>
      </c>
      <c r="AO61" s="243">
        <v>16.399999999999999</v>
      </c>
      <c r="AP61" s="243">
        <v>17.399999999999999</v>
      </c>
      <c r="AQ61" s="243">
        <v>482305</v>
      </c>
      <c r="AR61" s="243">
        <v>222620.9</v>
      </c>
      <c r="AS61" s="402">
        <v>64812.656000000003</v>
      </c>
      <c r="AT61" s="981"/>
      <c r="AU61" s="243">
        <v>450403.5</v>
      </c>
      <c r="AV61" s="243">
        <v>198288.44</v>
      </c>
      <c r="AW61" s="243">
        <v>78044</v>
      </c>
      <c r="AX61" s="243">
        <v>4246.4399999999996</v>
      </c>
      <c r="AY61" s="243">
        <v>2828.07</v>
      </c>
      <c r="AZ61" s="243">
        <v>220.27</v>
      </c>
      <c r="BA61" s="243">
        <v>133.32</v>
      </c>
      <c r="BB61" s="243">
        <v>791.94200000000001</v>
      </c>
      <c r="BC61" s="243">
        <v>337.41899999999998</v>
      </c>
      <c r="BD61" s="243">
        <v>1789.7</v>
      </c>
      <c r="BE61" s="243">
        <v>3209.3</v>
      </c>
      <c r="BF61" s="243">
        <v>507.7</v>
      </c>
      <c r="BG61" s="243">
        <v>5937.87</v>
      </c>
      <c r="BH61" s="243">
        <v>31768.559649122799</v>
      </c>
      <c r="BI61" s="981">
        <v>10500.1480688471</v>
      </c>
      <c r="BJ61" s="243">
        <v>5402.87</v>
      </c>
      <c r="BK61" s="654">
        <v>6571013</v>
      </c>
      <c r="BL61" s="654">
        <v>4989463</v>
      </c>
      <c r="BM61" s="243">
        <v>216309</v>
      </c>
      <c r="BN61" s="243">
        <v>179613</v>
      </c>
      <c r="BO61" s="243">
        <v>131.621244311244</v>
      </c>
      <c r="BP61" s="243">
        <v>46.347981860350593</v>
      </c>
      <c r="BQ61" s="243">
        <v>663.48574151927608</v>
      </c>
      <c r="BR61" s="981">
        <v>2462379.5</v>
      </c>
      <c r="BS61" s="243">
        <v>481</v>
      </c>
      <c r="BT61" s="243">
        <v>18968.240000000002</v>
      </c>
      <c r="BU61" s="243">
        <v>3098797</v>
      </c>
      <c r="BV61" s="243">
        <v>99438</v>
      </c>
      <c r="BW61" s="243">
        <v>19385.8</v>
      </c>
      <c r="BX61" s="243">
        <v>2784962</v>
      </c>
      <c r="BY61" s="243">
        <v>126576</v>
      </c>
      <c r="BZ61" s="243">
        <v>16577.2</v>
      </c>
      <c r="CA61" s="243">
        <v>8140.7</v>
      </c>
      <c r="CB61" s="243">
        <v>5550.21</v>
      </c>
      <c r="CC61" s="243">
        <v>1030889</v>
      </c>
      <c r="CD61" s="243">
        <v>586587</v>
      </c>
      <c r="CE61" s="243">
        <v>696844</v>
      </c>
      <c r="CF61" s="243">
        <v>440865</v>
      </c>
      <c r="CG61" s="1283">
        <v>0</v>
      </c>
    </row>
    <row r="62" spans="1:85" ht="13.2">
      <c r="A62" s="618">
        <v>44984</v>
      </c>
      <c r="B62" s="243">
        <v>1060.6759999999999</v>
      </c>
      <c r="C62" s="243">
        <v>585.98900000000003</v>
      </c>
      <c r="D62" s="981">
        <v>6846.5</v>
      </c>
      <c r="E62" s="1271">
        <v>0</v>
      </c>
      <c r="F62" s="243">
        <v>16821.099999999999</v>
      </c>
      <c r="G62" s="243">
        <v>5290.6</v>
      </c>
      <c r="H62" s="243">
        <v>572122.19999999995</v>
      </c>
      <c r="I62" s="243">
        <v>264362.59999999998</v>
      </c>
      <c r="J62" s="243">
        <v>204168.8</v>
      </c>
      <c r="K62" s="213"/>
      <c r="L62" s="213"/>
      <c r="M62" s="213">
        <v>14950.1</v>
      </c>
      <c r="N62" s="243">
        <v>7010.5</v>
      </c>
      <c r="O62" s="243">
        <v>44349.49</v>
      </c>
      <c r="P62" s="243">
        <v>35261.83</v>
      </c>
      <c r="Q62" s="243">
        <v>136789.82999999999</v>
      </c>
      <c r="R62" s="243">
        <v>113480.71</v>
      </c>
      <c r="S62" s="243">
        <v>138977.38</v>
      </c>
      <c r="T62" s="243">
        <v>95335.45</v>
      </c>
      <c r="U62" s="981">
        <v>14051.63</v>
      </c>
      <c r="V62" s="981">
        <v>10671.64</v>
      </c>
      <c r="W62" s="243">
        <v>25842.95</v>
      </c>
      <c r="X62" s="243">
        <v>13447.33</v>
      </c>
      <c r="Y62" s="243">
        <v>209747.5</v>
      </c>
      <c r="Z62" s="981">
        <v>345.9</v>
      </c>
      <c r="AA62" s="981">
        <v>50716</v>
      </c>
      <c r="AB62" s="243">
        <v>566357.69999999995</v>
      </c>
      <c r="AC62" s="243">
        <v>288609.3</v>
      </c>
      <c r="AD62" s="243">
        <v>209700.1</v>
      </c>
      <c r="AE62" s="981">
        <v>1112.4000000000001</v>
      </c>
      <c r="AF62" s="1051">
        <v>942</v>
      </c>
      <c r="AG62" s="243">
        <v>35391.75</v>
      </c>
      <c r="AH62" s="243">
        <v>25231.71</v>
      </c>
      <c r="AI62" s="243">
        <v>82001.69</v>
      </c>
      <c r="AJ62" s="243">
        <v>63399.75</v>
      </c>
      <c r="AK62" s="243">
        <v>65232.98</v>
      </c>
      <c r="AL62" s="243">
        <v>53120.5</v>
      </c>
      <c r="AM62" s="243">
        <v>58852.4</v>
      </c>
      <c r="AN62" s="243">
        <v>23144.9</v>
      </c>
      <c r="AO62" s="243">
        <v>16.399999999999999</v>
      </c>
      <c r="AP62" s="243">
        <v>17.399999999999999</v>
      </c>
      <c r="AQ62" s="243">
        <v>482444.1</v>
      </c>
      <c r="AR62" s="243">
        <v>222681.8</v>
      </c>
      <c r="AS62" s="402">
        <v>64817.807999999997</v>
      </c>
      <c r="AT62" s="981"/>
      <c r="AU62" s="243">
        <v>450542.53</v>
      </c>
      <c r="AV62" s="243">
        <v>198349.9</v>
      </c>
      <c r="AW62" s="243">
        <v>78068</v>
      </c>
      <c r="AX62" s="243">
        <v>4249.37</v>
      </c>
      <c r="AY62" s="243">
        <v>2830.1</v>
      </c>
      <c r="AZ62" s="243">
        <v>220.27</v>
      </c>
      <c r="BA62" s="243">
        <v>133.32</v>
      </c>
      <c r="BB62" s="243">
        <v>791.94200000000001</v>
      </c>
      <c r="BC62" s="243">
        <v>337.41899999999998</v>
      </c>
      <c r="BD62" s="243">
        <v>1789.7</v>
      </c>
      <c r="BE62" s="243">
        <v>3211.6</v>
      </c>
      <c r="BF62" s="213">
        <v>507.7</v>
      </c>
      <c r="BG62" s="243">
        <v>6184.82</v>
      </c>
      <c r="BH62" s="243">
        <v>32712.980701754401</v>
      </c>
      <c r="BI62" s="981">
        <v>8615.92214804373</v>
      </c>
      <c r="BJ62" s="243">
        <v>6375.29</v>
      </c>
      <c r="BK62" s="654">
        <v>6572512</v>
      </c>
      <c r="BL62" s="654">
        <v>4990894</v>
      </c>
      <c r="BM62" s="243">
        <v>216309</v>
      </c>
      <c r="BN62" s="243">
        <v>179613</v>
      </c>
      <c r="BO62" s="243">
        <v>118.69099264551294</v>
      </c>
      <c r="BP62" s="243">
        <v>41.219164803443434</v>
      </c>
      <c r="BQ62" s="243">
        <v>593.14128274149982</v>
      </c>
      <c r="BR62" s="981">
        <v>2462379.5</v>
      </c>
      <c r="BS62" s="243">
        <v>481</v>
      </c>
      <c r="BT62" s="243">
        <v>18968.240000000002</v>
      </c>
      <c r="BU62" s="243">
        <v>3104532</v>
      </c>
      <c r="BV62" s="243">
        <v>99675</v>
      </c>
      <c r="BW62" s="243">
        <v>19409.8</v>
      </c>
      <c r="BX62" s="243">
        <v>2787322</v>
      </c>
      <c r="BY62" s="243">
        <v>126576</v>
      </c>
      <c r="BZ62" s="243">
        <v>16601.2</v>
      </c>
      <c r="CA62" s="243">
        <v>8147.19</v>
      </c>
      <c r="CB62" s="243">
        <v>5554.77</v>
      </c>
      <c r="CC62" s="243">
        <v>1031537</v>
      </c>
      <c r="CD62" s="243">
        <v>586988</v>
      </c>
      <c r="CE62" s="243">
        <v>697663</v>
      </c>
      <c r="CF62" s="243">
        <v>441342</v>
      </c>
      <c r="CG62" s="1283">
        <v>0</v>
      </c>
    </row>
    <row r="63" spans="1:85" ht="13.2">
      <c r="A63" s="618">
        <v>44985</v>
      </c>
      <c r="B63" s="243">
        <v>1060.683</v>
      </c>
      <c r="C63" s="243">
        <v>585.99199999999996</v>
      </c>
      <c r="D63" s="243">
        <v>6847.3</v>
      </c>
      <c r="E63" s="1271">
        <v>0</v>
      </c>
      <c r="F63" s="243">
        <v>16850.900000000001</v>
      </c>
      <c r="G63" s="243">
        <v>5299.5</v>
      </c>
      <c r="H63" s="243">
        <v>572287.6</v>
      </c>
      <c r="I63" s="243">
        <v>264445</v>
      </c>
      <c r="J63" s="243">
        <v>204192.8</v>
      </c>
      <c r="K63" s="213"/>
      <c r="L63" s="213"/>
      <c r="M63" s="213">
        <v>14950.6</v>
      </c>
      <c r="N63" s="243">
        <v>7010.5</v>
      </c>
      <c r="O63" s="243">
        <v>44369</v>
      </c>
      <c r="P63" s="243">
        <v>35276.5</v>
      </c>
      <c r="Q63" s="243">
        <v>136805</v>
      </c>
      <c r="R63" s="243">
        <v>113493.37</v>
      </c>
      <c r="S63" s="243">
        <v>138995</v>
      </c>
      <c r="T63" s="243">
        <v>95347.7</v>
      </c>
      <c r="U63" s="981">
        <v>14051.63</v>
      </c>
      <c r="V63" s="981">
        <v>10671.64</v>
      </c>
      <c r="W63" s="243">
        <v>25995.38</v>
      </c>
      <c r="X63" s="243">
        <v>13522.31</v>
      </c>
      <c r="Y63" s="243">
        <v>209771.5</v>
      </c>
      <c r="Z63" s="981">
        <v>345.9</v>
      </c>
      <c r="AA63" s="981">
        <v>50716</v>
      </c>
      <c r="AB63" s="243">
        <v>566637.16</v>
      </c>
      <c r="AC63" s="243">
        <v>288750.7</v>
      </c>
      <c r="AD63" s="243">
        <v>209724.1</v>
      </c>
      <c r="AE63" s="981">
        <v>1112.4000000000001</v>
      </c>
      <c r="AF63" s="1051">
        <v>942</v>
      </c>
      <c r="AG63" s="243">
        <v>35394</v>
      </c>
      <c r="AH63" s="243">
        <v>25233.33</v>
      </c>
      <c r="AI63" s="243">
        <v>82010.289999999994</v>
      </c>
      <c r="AJ63" s="243">
        <v>63406.27</v>
      </c>
      <c r="AK63" s="243">
        <v>65245.66</v>
      </c>
      <c r="AL63" s="243">
        <v>53131.11</v>
      </c>
      <c r="AM63" s="243">
        <v>58860.5</v>
      </c>
      <c r="AN63" s="243">
        <v>23147.9</v>
      </c>
      <c r="AO63" s="243">
        <v>16.399999999999999</v>
      </c>
      <c r="AP63" s="243">
        <v>17.399999999999999</v>
      </c>
      <c r="AQ63" s="243">
        <v>482583.8</v>
      </c>
      <c r="AR63" s="243">
        <v>222743.4</v>
      </c>
      <c r="AS63" s="402">
        <v>64823.076999999997</v>
      </c>
      <c r="AT63" s="981"/>
      <c r="AU63" s="243">
        <v>450682</v>
      </c>
      <c r="AV63" s="243">
        <v>198409.9</v>
      </c>
      <c r="AW63" s="243">
        <v>78092</v>
      </c>
      <c r="AX63" s="243">
        <v>4252.26</v>
      </c>
      <c r="AY63" s="243">
        <v>2832.12</v>
      </c>
      <c r="AZ63" s="981">
        <v>220.32</v>
      </c>
      <c r="BA63" s="981">
        <v>133.35</v>
      </c>
      <c r="BB63" s="243">
        <v>792.53</v>
      </c>
      <c r="BC63" s="243">
        <v>337.64400000000001</v>
      </c>
      <c r="BD63" s="367">
        <v>1790.5</v>
      </c>
      <c r="BE63" s="243">
        <v>3213.9</v>
      </c>
      <c r="BF63" s="213">
        <v>507.7</v>
      </c>
      <c r="BG63" s="243">
        <v>6144.79</v>
      </c>
      <c r="BH63" s="243">
        <v>33482.664912280699</v>
      </c>
      <c r="BI63" s="981">
        <v>10763.2763547919</v>
      </c>
      <c r="BJ63" s="243">
        <v>5921.04</v>
      </c>
      <c r="BK63" s="654">
        <v>6574084</v>
      </c>
      <c r="BL63" s="654">
        <v>4992433</v>
      </c>
      <c r="BM63" s="243">
        <v>216309</v>
      </c>
      <c r="BN63" s="243">
        <v>179613</v>
      </c>
      <c r="BO63" s="243">
        <v>85.321728550748261</v>
      </c>
      <c r="BP63" s="243">
        <v>30.441985829482508</v>
      </c>
      <c r="BQ63" s="243">
        <v>432.55760647832955</v>
      </c>
      <c r="BR63" s="981">
        <v>2462379.5</v>
      </c>
      <c r="BS63" s="243">
        <v>481</v>
      </c>
      <c r="BT63" s="243">
        <v>18968.240000000002</v>
      </c>
      <c r="BU63" s="243">
        <v>3110009</v>
      </c>
      <c r="BV63" s="243">
        <v>99817</v>
      </c>
      <c r="BW63" s="243">
        <v>19433.8</v>
      </c>
      <c r="BX63" s="243">
        <v>2790233</v>
      </c>
      <c r="BY63" s="243">
        <v>126579</v>
      </c>
      <c r="BZ63" s="243">
        <v>16625.2</v>
      </c>
      <c r="CA63" s="243">
        <v>8153.76</v>
      </c>
      <c r="CB63" s="243">
        <v>5559.38</v>
      </c>
      <c r="CC63" s="243">
        <v>1031902</v>
      </c>
      <c r="CD63" s="243">
        <v>587222</v>
      </c>
      <c r="CE63" s="243">
        <v>698801</v>
      </c>
      <c r="CF63" s="243">
        <v>442033</v>
      </c>
      <c r="CG63" s="1283">
        <v>0.6</v>
      </c>
    </row>
    <row r="64" spans="1:85" ht="13.2">
      <c r="A64" s="609"/>
      <c r="B64" s="609"/>
      <c r="C64" s="178"/>
      <c r="D64" s="178"/>
      <c r="E64" s="1273"/>
      <c r="F64" s="178"/>
      <c r="G64" s="178"/>
      <c r="H64" s="178"/>
      <c r="I64" s="178"/>
      <c r="J64" s="178"/>
      <c r="K64" s="178"/>
      <c r="L64" s="178"/>
      <c r="M64" s="178"/>
      <c r="N64" s="178"/>
      <c r="O64" s="178"/>
      <c r="P64" s="178"/>
      <c r="Q64" s="178"/>
      <c r="R64" s="178"/>
      <c r="S64" s="178"/>
      <c r="T64" s="178"/>
      <c r="U64" s="178"/>
      <c r="V64" s="178"/>
      <c r="W64" s="178"/>
      <c r="X64" s="178"/>
      <c r="Y64" s="178"/>
      <c r="Z64" s="178"/>
      <c r="AA64" s="178"/>
      <c r="AB64" s="178"/>
      <c r="AC64" s="178"/>
      <c r="AD64" s="178"/>
      <c r="AE64" s="178"/>
      <c r="AF64" s="178"/>
      <c r="AG64" s="178"/>
      <c r="AH64" s="178"/>
      <c r="AI64" s="178"/>
      <c r="AJ64" s="178"/>
      <c r="AK64" s="178"/>
      <c r="AL64" s="178"/>
      <c r="AM64" s="178"/>
      <c r="AN64" s="178"/>
      <c r="AO64" s="178"/>
      <c r="AP64" s="178"/>
      <c r="AQ64" s="178"/>
      <c r="AR64" s="178"/>
      <c r="AS64" s="631"/>
      <c r="AT64" s="655"/>
      <c r="AU64" s="178"/>
      <c r="AV64" s="178"/>
      <c r="AW64" s="178"/>
      <c r="AX64" s="178"/>
      <c r="AY64" s="178"/>
      <c r="AZ64" s="178"/>
      <c r="BA64" s="178"/>
      <c r="BB64" s="178"/>
      <c r="BC64" s="178"/>
      <c r="BD64" s="1747"/>
      <c r="BE64" s="178"/>
      <c r="BF64" s="178"/>
      <c r="BG64" s="178"/>
      <c r="BH64" s="178"/>
      <c r="BI64" s="1076"/>
      <c r="BJ64" s="1076"/>
      <c r="BK64" s="655"/>
      <c r="BL64" s="655"/>
      <c r="BM64" s="655"/>
      <c r="BN64" s="655"/>
      <c r="BO64" s="178"/>
      <c r="BP64" s="178"/>
      <c r="BQ64" s="619"/>
      <c r="BR64" s="178"/>
      <c r="BS64" s="178"/>
      <c r="BT64" s="178"/>
      <c r="BU64" s="178"/>
      <c r="BV64" s="178"/>
      <c r="BW64" s="178"/>
      <c r="BX64" s="178"/>
      <c r="BY64" s="178"/>
      <c r="BZ64" s="178"/>
      <c r="CA64" s="178"/>
      <c r="CB64" s="178"/>
      <c r="CC64" s="178"/>
      <c r="CD64" s="178"/>
      <c r="CE64" s="178"/>
      <c r="CF64" s="178"/>
      <c r="CG64" s="1373"/>
    </row>
    <row r="65" spans="1:85" ht="13.2">
      <c r="A65" s="618">
        <v>44985</v>
      </c>
      <c r="B65" s="243">
        <v>1060.683</v>
      </c>
      <c r="C65" s="243">
        <v>585.99199999999996</v>
      </c>
      <c r="D65" s="243">
        <v>6847.3</v>
      </c>
      <c r="E65" s="1271">
        <v>0</v>
      </c>
      <c r="F65" s="243">
        <v>16850.900000000001</v>
      </c>
      <c r="G65" s="243">
        <v>5299.5</v>
      </c>
      <c r="H65" s="243">
        <v>572287.6</v>
      </c>
      <c r="I65" s="243">
        <v>264445</v>
      </c>
      <c r="J65" s="243">
        <v>204192.8</v>
      </c>
      <c r="K65" s="213"/>
      <c r="L65" s="213"/>
      <c r="M65" s="213">
        <v>14950.6</v>
      </c>
      <c r="N65" s="243">
        <v>7010.5</v>
      </c>
      <c r="O65" s="243">
        <v>44369</v>
      </c>
      <c r="P65" s="243">
        <v>35276.5</v>
      </c>
      <c r="Q65" s="243">
        <v>136805</v>
      </c>
      <c r="R65" s="243">
        <v>113493.37</v>
      </c>
      <c r="S65" s="243">
        <v>138995</v>
      </c>
      <c r="T65" s="243">
        <v>95347.7</v>
      </c>
      <c r="U65" s="981">
        <v>14051.63</v>
      </c>
      <c r="V65" s="981">
        <v>10671.64</v>
      </c>
      <c r="W65" s="243">
        <v>25995.38</v>
      </c>
      <c r="X65" s="243">
        <v>13522.31</v>
      </c>
      <c r="Y65" s="243">
        <v>209771.5</v>
      </c>
      <c r="Z65" s="981">
        <v>345.9</v>
      </c>
      <c r="AA65" s="981">
        <v>50716</v>
      </c>
      <c r="AB65" s="243">
        <v>566637.16</v>
      </c>
      <c r="AC65" s="243">
        <v>288750.7</v>
      </c>
      <c r="AD65" s="243">
        <v>209724.1</v>
      </c>
      <c r="AE65" s="981">
        <v>1112.4000000000001</v>
      </c>
      <c r="AF65" s="1051">
        <v>942</v>
      </c>
      <c r="AG65" s="243">
        <v>35394</v>
      </c>
      <c r="AH65" s="243">
        <v>25233.33</v>
      </c>
      <c r="AI65" s="243">
        <v>82010.289999999994</v>
      </c>
      <c r="AJ65" s="243">
        <v>63406.27</v>
      </c>
      <c r="AK65" s="243">
        <v>65245.66</v>
      </c>
      <c r="AL65" s="243">
        <v>53131.11</v>
      </c>
      <c r="AM65" s="243">
        <v>58860.5</v>
      </c>
      <c r="AN65" s="243">
        <v>23147.9</v>
      </c>
      <c r="AO65" s="243">
        <v>16.399999999999999</v>
      </c>
      <c r="AP65" s="243">
        <v>17.399999999999999</v>
      </c>
      <c r="AQ65" s="243">
        <v>482583.8</v>
      </c>
      <c r="AR65" s="243">
        <v>222743.4</v>
      </c>
      <c r="AS65" s="402">
        <v>64823.076999999997</v>
      </c>
      <c r="AT65" s="981"/>
      <c r="AU65" s="243">
        <v>450682</v>
      </c>
      <c r="AV65" s="243">
        <v>198409.9</v>
      </c>
      <c r="AW65" s="243">
        <v>78092</v>
      </c>
      <c r="AX65" s="243">
        <v>4252.26</v>
      </c>
      <c r="AY65" s="243">
        <v>2832.12</v>
      </c>
      <c r="AZ65" s="981">
        <v>220.32</v>
      </c>
      <c r="BA65" s="981">
        <v>133.35</v>
      </c>
      <c r="BB65" s="243">
        <v>792.53</v>
      </c>
      <c r="BC65" s="243">
        <v>337.64400000000001</v>
      </c>
      <c r="BD65" s="367">
        <v>1790.5</v>
      </c>
      <c r="BE65" s="243">
        <v>2893.3</v>
      </c>
      <c r="BF65" s="243">
        <v>443</v>
      </c>
      <c r="BG65" s="243">
        <v>6144.79</v>
      </c>
      <c r="BH65" s="243">
        <v>33482.664912280699</v>
      </c>
      <c r="BI65" s="243">
        <v>10763.2763547919</v>
      </c>
      <c r="BJ65" s="243">
        <v>5921.04</v>
      </c>
      <c r="BK65" s="654">
        <v>6574084</v>
      </c>
      <c r="BL65" s="654">
        <v>4992433</v>
      </c>
      <c r="BM65" s="243">
        <v>216309</v>
      </c>
      <c r="BN65" s="243">
        <v>179613</v>
      </c>
      <c r="BO65" s="243">
        <v>85.321728550748261</v>
      </c>
      <c r="BP65" s="243">
        <v>30.441985829482508</v>
      </c>
      <c r="BQ65" s="243">
        <v>432.55760647832955</v>
      </c>
      <c r="BR65" s="981">
        <v>2462379.5</v>
      </c>
      <c r="BS65" s="243">
        <v>481</v>
      </c>
      <c r="BT65" s="243">
        <v>18968.240000000002</v>
      </c>
      <c r="BU65" s="243">
        <v>3110009</v>
      </c>
      <c r="BV65" s="243">
        <v>99817</v>
      </c>
      <c r="BW65" s="243">
        <v>19433.8</v>
      </c>
      <c r="BX65" s="243">
        <v>2790233</v>
      </c>
      <c r="BY65" s="243">
        <v>126579</v>
      </c>
      <c r="BZ65" s="243">
        <v>16625.2</v>
      </c>
      <c r="CA65" s="243">
        <v>8153.76</v>
      </c>
      <c r="CB65" s="243">
        <v>5559.38</v>
      </c>
      <c r="CC65" s="243">
        <v>1031902</v>
      </c>
      <c r="CD65" s="243">
        <v>587222</v>
      </c>
      <c r="CE65" s="243">
        <v>698801</v>
      </c>
      <c r="CF65" s="243">
        <v>442033</v>
      </c>
      <c r="CG65" s="1283">
        <v>0.6</v>
      </c>
    </row>
    <row r="66" spans="1:85" ht="13.2">
      <c r="A66" s="618">
        <v>44986</v>
      </c>
      <c r="B66" s="243">
        <v>1060.683</v>
      </c>
      <c r="C66" s="243">
        <v>585.99199999999996</v>
      </c>
      <c r="D66" s="243">
        <v>6847.3</v>
      </c>
      <c r="E66" s="1271">
        <v>0</v>
      </c>
      <c r="F66" s="243">
        <v>16880.7</v>
      </c>
      <c r="G66" s="243">
        <v>5307.6</v>
      </c>
      <c r="H66" s="243">
        <v>572446.4</v>
      </c>
      <c r="I66" s="243">
        <v>264529.40000000002</v>
      </c>
      <c r="J66" s="243">
        <v>204216.8</v>
      </c>
      <c r="K66" s="243"/>
      <c r="L66" s="243"/>
      <c r="M66" s="243">
        <v>14951.1</v>
      </c>
      <c r="N66" s="243">
        <v>7010.6</v>
      </c>
      <c r="O66" s="243">
        <v>44389</v>
      </c>
      <c r="P66" s="243">
        <v>35291.199999999997</v>
      </c>
      <c r="Q66" s="243">
        <v>136820.20000000001</v>
      </c>
      <c r="R66" s="243">
        <v>113506</v>
      </c>
      <c r="S66" s="243">
        <v>139012.29999999999</v>
      </c>
      <c r="T66" s="243">
        <v>95359.8</v>
      </c>
      <c r="U66" s="981">
        <v>14051.63</v>
      </c>
      <c r="V66" s="981">
        <v>10671.64</v>
      </c>
      <c r="W66" s="243">
        <v>26148.7</v>
      </c>
      <c r="X66" s="243">
        <v>13597.1</v>
      </c>
      <c r="Y66" s="243">
        <v>209795.5</v>
      </c>
      <c r="Z66" s="981">
        <v>345.9</v>
      </c>
      <c r="AA66" s="981">
        <v>50716</v>
      </c>
      <c r="AB66" s="243">
        <v>566914.9</v>
      </c>
      <c r="AC66" s="243">
        <v>288890.5</v>
      </c>
      <c r="AD66" s="243">
        <v>209748.1</v>
      </c>
      <c r="AE66" s="981">
        <v>1112.4000000000001</v>
      </c>
      <c r="AF66" s="1051">
        <v>942</v>
      </c>
      <c r="AG66" s="243">
        <v>35396.199999999997</v>
      </c>
      <c r="AH66" s="243">
        <v>25234.799999999999</v>
      </c>
      <c r="AI66" s="243">
        <v>82016.7</v>
      </c>
      <c r="AJ66" s="243">
        <v>63411.199999999997</v>
      </c>
      <c r="AK66" s="243">
        <v>65258.5</v>
      </c>
      <c r="AL66" s="243">
        <v>53141.8</v>
      </c>
      <c r="AM66" s="243">
        <v>58869</v>
      </c>
      <c r="AN66" s="243">
        <v>23150.9</v>
      </c>
      <c r="AO66" s="243">
        <v>16.399999999999999</v>
      </c>
      <c r="AP66" s="243">
        <v>17.399999999999999</v>
      </c>
      <c r="AQ66" s="243">
        <v>482723.9</v>
      </c>
      <c r="AR66" s="243">
        <v>222805.1</v>
      </c>
      <c r="AS66" s="243">
        <v>64828.326999999997</v>
      </c>
      <c r="AT66" s="243"/>
      <c r="AU66" s="243">
        <v>450821.8</v>
      </c>
      <c r="AV66" s="243">
        <v>198470.9</v>
      </c>
      <c r="AW66" s="243">
        <v>78116</v>
      </c>
      <c r="AX66" s="244">
        <v>4254.25</v>
      </c>
      <c r="AY66" s="244">
        <v>2833.5</v>
      </c>
      <c r="AZ66" s="244">
        <v>220.32</v>
      </c>
      <c r="BA66" s="244">
        <v>133.35</v>
      </c>
      <c r="BB66" s="243">
        <v>792.53</v>
      </c>
      <c r="BC66" s="243">
        <v>337.64400000000001</v>
      </c>
      <c r="BD66" s="367">
        <v>1790.5</v>
      </c>
      <c r="BE66" s="243">
        <v>2895.6</v>
      </c>
      <c r="BF66" s="243">
        <v>443.6</v>
      </c>
      <c r="BG66" s="243">
        <v>6105.87</v>
      </c>
      <c r="BH66" s="243">
        <v>33200.9561403509</v>
      </c>
      <c r="BI66" s="243">
        <v>8538.5045571011906</v>
      </c>
      <c r="BJ66" s="243">
        <v>5852.32</v>
      </c>
      <c r="BK66" s="243">
        <v>6575399</v>
      </c>
      <c r="BL66" s="243">
        <v>4993776</v>
      </c>
      <c r="BM66" s="243">
        <v>216309</v>
      </c>
      <c r="BN66" s="243">
        <v>179613</v>
      </c>
      <c r="BO66" s="243">
        <v>131.62124431124397</v>
      </c>
      <c r="BP66" s="243">
        <v>45.540999999999997</v>
      </c>
      <c r="BQ66" s="243">
        <v>661</v>
      </c>
      <c r="BR66" s="981">
        <v>2462379.5</v>
      </c>
      <c r="BS66" s="243">
        <v>481</v>
      </c>
      <c r="BT66" s="243">
        <v>18968.240000000002</v>
      </c>
      <c r="BU66" s="243">
        <v>3112443</v>
      </c>
      <c r="BV66" s="243">
        <v>99817</v>
      </c>
      <c r="BW66" s="243">
        <v>19457.8</v>
      </c>
      <c r="BX66" s="243">
        <v>2796607</v>
      </c>
      <c r="BY66" s="243">
        <v>126589</v>
      </c>
      <c r="BZ66" s="243">
        <v>16649.2</v>
      </c>
      <c r="CA66" s="243">
        <v>8160.23</v>
      </c>
      <c r="CB66" s="243">
        <v>5563.88</v>
      </c>
      <c r="CC66" s="243">
        <v>1032250</v>
      </c>
      <c r="CD66" s="243">
        <v>587438</v>
      </c>
      <c r="CE66" s="243">
        <v>699856</v>
      </c>
      <c r="CF66" s="243">
        <v>442677</v>
      </c>
      <c r="CG66" s="1283">
        <v>0</v>
      </c>
    </row>
    <row r="67" spans="1:85" ht="13.2">
      <c r="A67" s="618">
        <v>44987</v>
      </c>
      <c r="B67" s="243">
        <v>1060.683</v>
      </c>
      <c r="C67" s="243">
        <v>585.99199999999996</v>
      </c>
      <c r="D67" s="243">
        <v>6847.3</v>
      </c>
      <c r="E67" s="1271">
        <v>0</v>
      </c>
      <c r="F67" s="243">
        <v>16910.599999999999</v>
      </c>
      <c r="G67" s="243">
        <v>5315.9</v>
      </c>
      <c r="H67" s="243">
        <v>572613.80000000005</v>
      </c>
      <c r="I67" s="243">
        <v>264615.5</v>
      </c>
      <c r="J67" s="243">
        <v>204240.8</v>
      </c>
      <c r="K67" s="243"/>
      <c r="L67" s="243"/>
      <c r="M67" s="243">
        <v>14951.7</v>
      </c>
      <c r="N67" s="243">
        <v>7010.6</v>
      </c>
      <c r="O67" s="243">
        <v>44413.27</v>
      </c>
      <c r="P67" s="243">
        <v>35309.82</v>
      </c>
      <c r="Q67" s="243">
        <v>136835.6</v>
      </c>
      <c r="R67" s="243">
        <v>113518.7</v>
      </c>
      <c r="S67" s="243">
        <v>139029.5</v>
      </c>
      <c r="T67" s="243">
        <v>95371.8</v>
      </c>
      <c r="U67" s="981">
        <v>14051.63</v>
      </c>
      <c r="V67" s="981">
        <v>10671.64</v>
      </c>
      <c r="W67" s="243">
        <v>26299.8</v>
      </c>
      <c r="X67" s="243">
        <v>13670.2</v>
      </c>
      <c r="Y67" s="243">
        <v>209819.5</v>
      </c>
      <c r="Z67" s="981">
        <v>345.9</v>
      </c>
      <c r="AA67" s="981">
        <v>50716</v>
      </c>
      <c r="AB67" s="243">
        <v>567196.1</v>
      </c>
      <c r="AC67" s="243">
        <v>289035.40000000002</v>
      </c>
      <c r="AD67" s="243">
        <v>209772.1</v>
      </c>
      <c r="AE67" s="981">
        <v>1112.4000000000001</v>
      </c>
      <c r="AF67" s="1051">
        <v>942</v>
      </c>
      <c r="AG67" s="243">
        <v>35398.400000000001</v>
      </c>
      <c r="AH67" s="243">
        <v>25236.400000000001</v>
      </c>
      <c r="AI67" s="243">
        <v>82024.100000000006</v>
      </c>
      <c r="AJ67" s="243">
        <v>63416.9</v>
      </c>
      <c r="AK67" s="243">
        <v>65271.199999999997</v>
      </c>
      <c r="AL67" s="243">
        <v>53152.4</v>
      </c>
      <c r="AM67" s="243">
        <v>58877.5</v>
      </c>
      <c r="AN67" s="243">
        <v>23154.1</v>
      </c>
      <c r="AO67" s="243">
        <v>16.399999999999999</v>
      </c>
      <c r="AP67" s="243">
        <v>17.399999999999999</v>
      </c>
      <c r="AQ67" s="243">
        <v>482860.6</v>
      </c>
      <c r="AR67" s="243">
        <v>222866.2</v>
      </c>
      <c r="AS67" s="243">
        <v>64833.7</v>
      </c>
      <c r="AT67" s="243"/>
      <c r="AU67" s="243">
        <v>450961</v>
      </c>
      <c r="AV67" s="243">
        <v>198531.9</v>
      </c>
      <c r="AW67" s="243">
        <v>78140</v>
      </c>
      <c r="AX67" s="243">
        <v>4255.68</v>
      </c>
      <c r="AY67" s="243">
        <v>2834.48</v>
      </c>
      <c r="AZ67" s="243">
        <v>220.32</v>
      </c>
      <c r="BA67" s="243">
        <v>133.35</v>
      </c>
      <c r="BB67" s="243">
        <v>792.53</v>
      </c>
      <c r="BC67" s="243">
        <v>337.64400000000001</v>
      </c>
      <c r="BD67" s="367">
        <v>1790.5</v>
      </c>
      <c r="BE67" s="243">
        <v>2898.2</v>
      </c>
      <c r="BF67" s="243">
        <v>444.4</v>
      </c>
      <c r="BG67" s="243">
        <v>5960.75</v>
      </c>
      <c r="BH67" s="243">
        <v>32981.485964912281</v>
      </c>
      <c r="BI67" s="243">
        <v>10809.867376386415</v>
      </c>
      <c r="BJ67" s="243">
        <v>5765.25</v>
      </c>
      <c r="BK67" s="243">
        <v>6576762</v>
      </c>
      <c r="BL67" s="243">
        <v>4995204</v>
      </c>
      <c r="BM67" s="243">
        <v>216309</v>
      </c>
      <c r="BN67" s="243">
        <v>179613</v>
      </c>
      <c r="BO67" s="243">
        <v>133</v>
      </c>
      <c r="BP67" s="243">
        <v>45.637</v>
      </c>
      <c r="BQ67" s="243">
        <v>663</v>
      </c>
      <c r="BR67" s="981">
        <v>2462379.5</v>
      </c>
      <c r="BS67" s="243">
        <v>481</v>
      </c>
      <c r="BT67" s="243">
        <v>18968.240000000002</v>
      </c>
      <c r="BU67" s="243">
        <v>3114874</v>
      </c>
      <c r="BV67" s="243">
        <v>99819</v>
      </c>
      <c r="BW67" s="243">
        <v>19481.8</v>
      </c>
      <c r="BX67" s="243">
        <v>2802889</v>
      </c>
      <c r="BY67" s="243">
        <v>126605</v>
      </c>
      <c r="BZ67" s="243">
        <v>16673.2</v>
      </c>
      <c r="CA67" s="243">
        <v>8166.61</v>
      </c>
      <c r="CB67" s="243">
        <v>5568.3</v>
      </c>
      <c r="CC67" s="243">
        <v>1032900</v>
      </c>
      <c r="CD67" s="243">
        <v>587824</v>
      </c>
      <c r="CE67" s="243">
        <v>700738</v>
      </c>
      <c r="CF67" s="243">
        <v>443224</v>
      </c>
      <c r="CG67" s="1283">
        <v>0</v>
      </c>
    </row>
    <row r="68" spans="1:85" ht="13.2">
      <c r="A68" s="618">
        <v>44988</v>
      </c>
      <c r="B68" s="243">
        <v>1060.683</v>
      </c>
      <c r="C68" s="243">
        <v>585.99199999999996</v>
      </c>
      <c r="D68" s="243">
        <v>6847.3</v>
      </c>
      <c r="E68" s="1271">
        <v>0</v>
      </c>
      <c r="F68" s="243">
        <v>16939.900000000001</v>
      </c>
      <c r="G68" s="243">
        <v>5323.9</v>
      </c>
      <c r="H68" s="243">
        <v>572774.1</v>
      </c>
      <c r="I68" s="243">
        <v>264697.8</v>
      </c>
      <c r="J68" s="243">
        <v>204264.8</v>
      </c>
      <c r="K68" s="981"/>
      <c r="L68" s="981"/>
      <c r="M68" s="213">
        <v>14952.6</v>
      </c>
      <c r="N68" s="243">
        <v>7010.6</v>
      </c>
      <c r="O68" s="243">
        <v>44437.52</v>
      </c>
      <c r="P68" s="243">
        <v>35328.620000000003</v>
      </c>
      <c r="Q68" s="243">
        <v>136850.54</v>
      </c>
      <c r="R68" s="243">
        <v>113530.99</v>
      </c>
      <c r="S68" s="243">
        <v>139046.15</v>
      </c>
      <c r="T68" s="243">
        <v>95383.52</v>
      </c>
      <c r="U68" s="981">
        <v>14051.63</v>
      </c>
      <c r="V68" s="981">
        <v>10671.64</v>
      </c>
      <c r="W68" s="243">
        <v>26449.15</v>
      </c>
      <c r="X68" s="243">
        <v>13743.95</v>
      </c>
      <c r="Y68" s="243">
        <v>209843.5</v>
      </c>
      <c r="Z68" s="981">
        <v>345.9</v>
      </c>
      <c r="AA68" s="981">
        <v>50716</v>
      </c>
      <c r="AB68" s="243">
        <v>567476.13</v>
      </c>
      <c r="AC68" s="243">
        <v>289179.34999999998</v>
      </c>
      <c r="AD68" s="243">
        <v>209796.1</v>
      </c>
      <c r="AE68" s="981">
        <v>1112.4000000000001</v>
      </c>
      <c r="AF68" s="1051">
        <v>942</v>
      </c>
      <c r="AG68" s="243">
        <v>35400.660000000003</v>
      </c>
      <c r="AH68" s="243">
        <v>25238.07</v>
      </c>
      <c r="AI68" s="243">
        <v>82031.23</v>
      </c>
      <c r="AJ68" s="243">
        <v>63422.41</v>
      </c>
      <c r="AK68" s="243">
        <v>65283.66</v>
      </c>
      <c r="AL68" s="243">
        <v>53162.87</v>
      </c>
      <c r="AM68" s="243">
        <v>58887.199999999997</v>
      </c>
      <c r="AN68" s="243">
        <v>23157.7</v>
      </c>
      <c r="AO68" s="243">
        <v>16.399999999999999</v>
      </c>
      <c r="AP68" s="243">
        <v>17.399999999999999</v>
      </c>
      <c r="AQ68" s="243">
        <v>482997.2</v>
      </c>
      <c r="AR68" s="243">
        <v>222927.9</v>
      </c>
      <c r="AS68" s="402">
        <v>64838.8</v>
      </c>
      <c r="AT68" s="981"/>
      <c r="AU68" s="243">
        <v>451098.9</v>
      </c>
      <c r="AV68" s="243">
        <v>198592.5</v>
      </c>
      <c r="AW68" s="244">
        <v>78164</v>
      </c>
      <c r="AX68" s="243">
        <v>4257.16</v>
      </c>
      <c r="AY68" s="243">
        <v>2835.46</v>
      </c>
      <c r="AZ68" s="981">
        <v>220.32</v>
      </c>
      <c r="BA68" s="981">
        <v>133.35</v>
      </c>
      <c r="BB68" s="243">
        <v>792.53</v>
      </c>
      <c r="BC68" s="243">
        <v>337.64400000000001</v>
      </c>
      <c r="BD68" s="367">
        <v>1790.5</v>
      </c>
      <c r="BE68" s="243">
        <v>2900.9</v>
      </c>
      <c r="BF68" s="243">
        <v>445.6</v>
      </c>
      <c r="BG68" s="243">
        <v>6056.15</v>
      </c>
      <c r="BH68" s="243">
        <v>33190.089473684202</v>
      </c>
      <c r="BI68" s="243">
        <v>10835.5159875345</v>
      </c>
      <c r="BJ68" s="243">
        <v>5640.94</v>
      </c>
      <c r="BK68" s="654">
        <v>6578150</v>
      </c>
      <c r="BL68" s="654">
        <v>4996656</v>
      </c>
      <c r="BM68" s="654">
        <v>216309</v>
      </c>
      <c r="BN68" s="654">
        <v>179613</v>
      </c>
      <c r="BO68" s="243">
        <v>132</v>
      </c>
      <c r="BP68" s="243">
        <v>45.646000000000001</v>
      </c>
      <c r="BQ68" s="243">
        <v>666</v>
      </c>
      <c r="BR68" s="981">
        <v>2462379.5</v>
      </c>
      <c r="BS68" s="243">
        <v>481</v>
      </c>
      <c r="BT68" s="243">
        <v>18968.240000000002</v>
      </c>
      <c r="BU68" s="243">
        <v>3117264</v>
      </c>
      <c r="BV68" s="243">
        <v>99819</v>
      </c>
      <c r="BW68" s="243">
        <v>19505.8</v>
      </c>
      <c r="BX68" s="243">
        <v>2809184</v>
      </c>
      <c r="BY68" s="243">
        <v>126614</v>
      </c>
      <c r="BZ68" s="243">
        <v>16697.2</v>
      </c>
      <c r="CA68" s="243">
        <v>8172.9</v>
      </c>
      <c r="CB68" s="243">
        <v>5572.69</v>
      </c>
      <c r="CC68" s="243">
        <v>1033562</v>
      </c>
      <c r="CD68" s="243">
        <v>588214</v>
      </c>
      <c r="CE68" s="243">
        <v>701603</v>
      </c>
      <c r="CF68" s="243">
        <v>443761</v>
      </c>
      <c r="CG68" s="1283">
        <v>0</v>
      </c>
    </row>
    <row r="69" spans="1:85" ht="13.2">
      <c r="A69" s="618">
        <v>44989</v>
      </c>
      <c r="B69" s="243">
        <v>1060.683</v>
      </c>
      <c r="C69" s="243">
        <v>585.99199999999996</v>
      </c>
      <c r="D69" s="243">
        <v>6847.3</v>
      </c>
      <c r="E69" s="1271">
        <v>0</v>
      </c>
      <c r="F69" s="243">
        <v>16969.7</v>
      </c>
      <c r="G69" s="243">
        <v>5332.5</v>
      </c>
      <c r="H69" s="243">
        <v>572938.4</v>
      </c>
      <c r="I69" s="243">
        <v>264781.40000000002</v>
      </c>
      <c r="J69" s="243">
        <v>204288.8</v>
      </c>
      <c r="K69" s="243"/>
      <c r="L69" s="243"/>
      <c r="M69" s="243">
        <v>14953.4</v>
      </c>
      <c r="N69" s="243">
        <v>7010.7</v>
      </c>
      <c r="O69" s="243">
        <v>44463.72</v>
      </c>
      <c r="P69" s="243">
        <v>35349.47</v>
      </c>
      <c r="Q69" s="243">
        <v>136866.45000000001</v>
      </c>
      <c r="R69" s="243">
        <v>113544.12</v>
      </c>
      <c r="S69" s="243">
        <v>139062.41</v>
      </c>
      <c r="T69" s="243">
        <v>95395.16</v>
      </c>
      <c r="U69" s="981">
        <v>14051.63</v>
      </c>
      <c r="V69" s="981">
        <v>10671.64</v>
      </c>
      <c r="W69" s="243">
        <v>26599.119999999999</v>
      </c>
      <c r="X69" s="243">
        <v>13821.33</v>
      </c>
      <c r="Y69" s="243">
        <v>209867.5</v>
      </c>
      <c r="Z69" s="981">
        <v>345.9</v>
      </c>
      <c r="AA69" s="981">
        <v>50716</v>
      </c>
      <c r="AB69" s="243">
        <v>567766.48</v>
      </c>
      <c r="AC69" s="243">
        <v>289326.03000000003</v>
      </c>
      <c r="AD69" s="243">
        <v>209820.1</v>
      </c>
      <c r="AE69" s="981">
        <v>1112.4000000000001</v>
      </c>
      <c r="AF69" s="1051">
        <v>942</v>
      </c>
      <c r="AG69" s="243">
        <v>35402.78</v>
      </c>
      <c r="AH69" s="243">
        <v>25239.66</v>
      </c>
      <c r="AI69" s="243">
        <v>82039.7</v>
      </c>
      <c r="AJ69" s="243">
        <v>63429.02</v>
      </c>
      <c r="AK69" s="243">
        <v>65295.68</v>
      </c>
      <c r="AL69" s="243">
        <v>53172.94</v>
      </c>
      <c r="AM69" s="243">
        <v>58898.3</v>
      </c>
      <c r="AN69" s="243">
        <v>23162</v>
      </c>
      <c r="AO69" s="243">
        <v>16.399999999999999</v>
      </c>
      <c r="AP69" s="243">
        <v>17.399999999999999</v>
      </c>
      <c r="AQ69" s="243">
        <v>483135.5</v>
      </c>
      <c r="AR69" s="243">
        <v>222990.4</v>
      </c>
      <c r="AS69" s="243">
        <v>64843.468000000001</v>
      </c>
      <c r="AT69" s="243"/>
      <c r="AU69" s="243">
        <v>451236.7</v>
      </c>
      <c r="AV69" s="243">
        <v>198653</v>
      </c>
      <c r="AW69" s="243">
        <v>78188</v>
      </c>
      <c r="AX69" s="243">
        <v>4258.62</v>
      </c>
      <c r="AY69" s="243">
        <v>2836.43</v>
      </c>
      <c r="AZ69" s="243">
        <v>220.32</v>
      </c>
      <c r="BA69" s="243">
        <v>133.35</v>
      </c>
      <c r="BB69" s="243">
        <v>792.53</v>
      </c>
      <c r="BC69" s="243">
        <v>337.64400000000001</v>
      </c>
      <c r="BD69" s="367">
        <v>1790.5</v>
      </c>
      <c r="BE69" s="243">
        <v>2903.5</v>
      </c>
      <c r="BF69" s="243">
        <v>447</v>
      </c>
      <c r="BG69" s="243">
        <v>6466.49</v>
      </c>
      <c r="BH69" s="243">
        <v>34285.821052631603</v>
      </c>
      <c r="BI69" s="243">
        <v>10728.8155563535</v>
      </c>
      <c r="BJ69" s="243">
        <v>5444.63</v>
      </c>
      <c r="BK69" s="243">
        <v>6579518</v>
      </c>
      <c r="BL69" s="243">
        <v>4998058</v>
      </c>
      <c r="BM69" s="243">
        <v>216309</v>
      </c>
      <c r="BN69" s="243">
        <v>179613</v>
      </c>
      <c r="BO69" s="243">
        <v>132</v>
      </c>
      <c r="BP69" s="243">
        <v>45.716999999999999</v>
      </c>
      <c r="BQ69" s="243">
        <v>665</v>
      </c>
      <c r="BR69" s="981">
        <v>2462379.5</v>
      </c>
      <c r="BS69" s="243">
        <v>481</v>
      </c>
      <c r="BT69" s="243">
        <v>18968.240000000002</v>
      </c>
      <c r="BU69" s="243">
        <v>3119652</v>
      </c>
      <c r="BV69" s="243">
        <v>99819</v>
      </c>
      <c r="BW69" s="243">
        <v>19529.8</v>
      </c>
      <c r="BX69" s="243">
        <v>2815405</v>
      </c>
      <c r="BY69" s="243">
        <v>126626</v>
      </c>
      <c r="BZ69" s="243">
        <v>16721.2</v>
      </c>
      <c r="CA69" s="243">
        <v>8179.41</v>
      </c>
      <c r="CB69" s="243">
        <v>5577.23</v>
      </c>
      <c r="CC69" s="243">
        <v>1034258</v>
      </c>
      <c r="CD69" s="243">
        <v>588621</v>
      </c>
      <c r="CE69" s="243">
        <v>702469</v>
      </c>
      <c r="CF69" s="243">
        <v>444299</v>
      </c>
      <c r="CG69" s="1283">
        <v>0</v>
      </c>
    </row>
    <row r="70" spans="1:85" ht="13.2">
      <c r="A70" s="618">
        <v>44990</v>
      </c>
      <c r="B70" s="243">
        <v>1060.683</v>
      </c>
      <c r="C70" s="243">
        <v>585.99199999999996</v>
      </c>
      <c r="D70" s="243">
        <v>6847.3</v>
      </c>
      <c r="E70" s="1271">
        <v>0</v>
      </c>
      <c r="F70" s="243">
        <v>16999.5</v>
      </c>
      <c r="G70" s="243">
        <v>5341.2</v>
      </c>
      <c r="H70" s="243">
        <v>573100.80000000005</v>
      </c>
      <c r="I70" s="243">
        <v>264864.8</v>
      </c>
      <c r="J70" s="243">
        <v>204312.8</v>
      </c>
      <c r="K70" s="243"/>
      <c r="L70" s="243"/>
      <c r="M70" s="243">
        <v>14954.2</v>
      </c>
      <c r="N70" s="243">
        <v>7010.7</v>
      </c>
      <c r="O70" s="243">
        <v>44489.93</v>
      </c>
      <c r="P70" s="243">
        <v>35370.339999999997</v>
      </c>
      <c r="Q70" s="243">
        <v>136880.82999999999</v>
      </c>
      <c r="R70" s="243">
        <v>113556.09</v>
      </c>
      <c r="S70" s="243">
        <v>139078.89000000001</v>
      </c>
      <c r="T70" s="243">
        <v>95406.88</v>
      </c>
      <c r="U70" s="981">
        <v>14051.63</v>
      </c>
      <c r="V70" s="981">
        <v>10671.64</v>
      </c>
      <c r="W70" s="243">
        <v>26749.65</v>
      </c>
      <c r="X70" s="243">
        <v>13896.68</v>
      </c>
      <c r="Y70" s="243">
        <v>209891.5</v>
      </c>
      <c r="Z70" s="981">
        <v>345.9</v>
      </c>
      <c r="AA70" s="981">
        <v>50716</v>
      </c>
      <c r="AB70" s="243">
        <v>568044.69999999995</v>
      </c>
      <c r="AC70" s="243">
        <v>289468.62</v>
      </c>
      <c r="AD70" s="243">
        <v>209844.1</v>
      </c>
      <c r="AE70" s="981">
        <v>1112.4000000000001</v>
      </c>
      <c r="AF70" s="1051">
        <v>942</v>
      </c>
      <c r="AG70" s="243">
        <v>35404.86</v>
      </c>
      <c r="AH70" s="243">
        <v>25241.21</v>
      </c>
      <c r="AI70" s="243">
        <v>82045.37</v>
      </c>
      <c r="AJ70" s="243">
        <v>63433.36</v>
      </c>
      <c r="AK70" s="243">
        <v>65307.7</v>
      </c>
      <c r="AL70" s="243">
        <v>53182.99</v>
      </c>
      <c r="AM70" s="243">
        <v>58904.9</v>
      </c>
      <c r="AN70" s="243">
        <v>23164.6</v>
      </c>
      <c r="AO70" s="243">
        <v>16.399999999999999</v>
      </c>
      <c r="AP70" s="243">
        <v>17.399999999999999</v>
      </c>
      <c r="AQ70" s="243">
        <v>483273.4</v>
      </c>
      <c r="AR70" s="243">
        <v>223052.6</v>
      </c>
      <c r="AS70" s="243">
        <v>64847.991000000002</v>
      </c>
      <c r="AT70" s="243"/>
      <c r="AU70" s="243">
        <v>451376</v>
      </c>
      <c r="AV70" s="243">
        <v>198714.2</v>
      </c>
      <c r="AW70" s="243">
        <v>78212</v>
      </c>
      <c r="AX70" s="243">
        <v>4259.97</v>
      </c>
      <c r="AY70" s="243">
        <v>2837.34</v>
      </c>
      <c r="AZ70" s="243">
        <v>220.32</v>
      </c>
      <c r="BA70" s="243">
        <v>133.35</v>
      </c>
      <c r="BB70" s="243">
        <v>792.53</v>
      </c>
      <c r="BC70" s="243">
        <v>337.64400000000001</v>
      </c>
      <c r="BD70" s="367">
        <v>1790.5</v>
      </c>
      <c r="BE70" s="243">
        <v>2906.2</v>
      </c>
      <c r="BF70" s="243">
        <v>448.5</v>
      </c>
      <c r="BG70" s="243">
        <v>6386.3</v>
      </c>
      <c r="BH70" s="243">
        <v>34255.0210526316</v>
      </c>
      <c r="BI70" s="243">
        <v>10125.720935181</v>
      </c>
      <c r="BJ70" s="243">
        <v>5579.13</v>
      </c>
      <c r="BK70" s="243">
        <v>6580902</v>
      </c>
      <c r="BL70" s="243">
        <v>4999449</v>
      </c>
      <c r="BM70" s="243">
        <v>216309</v>
      </c>
      <c r="BN70" s="243">
        <v>179613</v>
      </c>
      <c r="BO70" s="243">
        <v>132</v>
      </c>
      <c r="BP70" s="243">
        <v>45.835000000000001</v>
      </c>
      <c r="BQ70" s="243">
        <v>664</v>
      </c>
      <c r="BR70" s="981">
        <v>2462379.5</v>
      </c>
      <c r="BS70" s="243">
        <v>481</v>
      </c>
      <c r="BT70" s="243">
        <v>18968.240000000002</v>
      </c>
      <c r="BU70" s="243">
        <v>3122069</v>
      </c>
      <c r="BV70" s="243">
        <v>99819</v>
      </c>
      <c r="BW70" s="243">
        <v>19553.8</v>
      </c>
      <c r="BX70" s="243">
        <v>2821563</v>
      </c>
      <c r="BY70" s="243">
        <v>126677</v>
      </c>
      <c r="BZ70" s="243">
        <v>16745.2</v>
      </c>
      <c r="CA70" s="243">
        <v>8185.82</v>
      </c>
      <c r="CB70" s="243">
        <v>5581.68</v>
      </c>
      <c r="CC70" s="243">
        <v>1034962</v>
      </c>
      <c r="CD70" s="243">
        <v>589033</v>
      </c>
      <c r="CE70" s="243">
        <v>703349</v>
      </c>
      <c r="CF70" s="243">
        <v>444844</v>
      </c>
      <c r="CG70" s="1283">
        <v>0</v>
      </c>
    </row>
    <row r="71" spans="1:85" ht="13.2">
      <c r="A71" s="618">
        <v>44991</v>
      </c>
      <c r="B71" s="243">
        <v>1060.683</v>
      </c>
      <c r="C71" s="243">
        <v>585.99199999999996</v>
      </c>
      <c r="D71" s="243">
        <v>6847.3</v>
      </c>
      <c r="E71" s="1271">
        <v>0</v>
      </c>
      <c r="F71" s="243">
        <v>17029.3</v>
      </c>
      <c r="G71" s="243">
        <v>5349.9</v>
      </c>
      <c r="H71" s="243">
        <v>573263</v>
      </c>
      <c r="I71" s="243">
        <v>264947</v>
      </c>
      <c r="J71" s="243">
        <v>204336.8</v>
      </c>
      <c r="K71" s="243"/>
      <c r="L71" s="243"/>
      <c r="M71" s="243">
        <v>14954.9</v>
      </c>
      <c r="N71" s="243">
        <v>7010.8</v>
      </c>
      <c r="O71" s="243">
        <v>44515.1</v>
      </c>
      <c r="P71" s="243">
        <v>35390.5</v>
      </c>
      <c r="Q71" s="243">
        <v>136896</v>
      </c>
      <c r="R71" s="243">
        <v>113569</v>
      </c>
      <c r="S71" s="243">
        <v>139095</v>
      </c>
      <c r="T71" s="243">
        <v>95418</v>
      </c>
      <c r="U71" s="981">
        <v>14051.63</v>
      </c>
      <c r="V71" s="981">
        <v>10671.64</v>
      </c>
      <c r="W71" s="243">
        <v>26898.3</v>
      </c>
      <c r="X71" s="243">
        <v>13973</v>
      </c>
      <c r="Y71" s="243">
        <v>209915.5</v>
      </c>
      <c r="Z71" s="981">
        <v>345.9</v>
      </c>
      <c r="AA71" s="981">
        <v>50716</v>
      </c>
      <c r="AB71" s="243">
        <v>568330</v>
      </c>
      <c r="AC71" s="243">
        <v>289612</v>
      </c>
      <c r="AD71" s="243">
        <v>209868.1</v>
      </c>
      <c r="AE71" s="981">
        <v>1112.4000000000001</v>
      </c>
      <c r="AF71" s="1051">
        <v>942</v>
      </c>
      <c r="AG71" s="243">
        <v>35406.9</v>
      </c>
      <c r="AH71" s="243">
        <v>25242.7</v>
      </c>
      <c r="AI71" s="243">
        <v>82054</v>
      </c>
      <c r="AJ71" s="243">
        <v>63440</v>
      </c>
      <c r="AK71" s="243">
        <v>65319.8</v>
      </c>
      <c r="AL71" s="243">
        <v>53193.1</v>
      </c>
      <c r="AM71" s="243">
        <v>58914.8</v>
      </c>
      <c r="AN71" s="243">
        <v>23168.2</v>
      </c>
      <c r="AO71" s="243">
        <v>16.399999999999999</v>
      </c>
      <c r="AP71" s="243">
        <v>17.399999999999999</v>
      </c>
      <c r="AQ71" s="243">
        <v>483409</v>
      </c>
      <c r="AR71" s="243">
        <v>223113</v>
      </c>
      <c r="AS71" s="243">
        <v>64853</v>
      </c>
      <c r="AT71" s="243"/>
      <c r="AU71" s="243">
        <v>451512</v>
      </c>
      <c r="AV71" s="243">
        <v>198774</v>
      </c>
      <c r="AW71" s="243">
        <v>78236</v>
      </c>
      <c r="AX71" s="243">
        <v>4261.3999999999996</v>
      </c>
      <c r="AY71" s="243">
        <v>2838.4</v>
      </c>
      <c r="AZ71" s="243">
        <v>220.32</v>
      </c>
      <c r="BA71" s="243">
        <v>133.35</v>
      </c>
      <c r="BB71" s="243">
        <v>792.53</v>
      </c>
      <c r="BC71" s="243">
        <v>337.64400000000001</v>
      </c>
      <c r="BD71" s="367">
        <v>1790.5</v>
      </c>
      <c r="BE71" s="243">
        <v>2908.9</v>
      </c>
      <c r="BF71" s="243">
        <v>450</v>
      </c>
      <c r="BG71" s="243">
        <v>6431.93</v>
      </c>
      <c r="BH71" s="243">
        <v>33940.963157894701</v>
      </c>
      <c r="BI71" s="243">
        <v>9645.3140653952905</v>
      </c>
      <c r="BJ71" s="243">
        <v>5721</v>
      </c>
      <c r="BK71" s="243">
        <v>6582321</v>
      </c>
      <c r="BL71" s="243">
        <v>5000880</v>
      </c>
      <c r="BM71" s="243">
        <v>216309</v>
      </c>
      <c r="BN71" s="243">
        <v>179613</v>
      </c>
      <c r="BO71" s="243">
        <v>132</v>
      </c>
      <c r="BP71" s="243">
        <v>45.881999999999998</v>
      </c>
      <c r="BQ71" s="243">
        <v>664</v>
      </c>
      <c r="BR71" s="981">
        <v>2462379.5</v>
      </c>
      <c r="BS71" s="243">
        <v>481</v>
      </c>
      <c r="BT71" s="243">
        <v>18968.240000000002</v>
      </c>
      <c r="BU71" s="243">
        <v>3124464</v>
      </c>
      <c r="BV71" s="243">
        <v>99819</v>
      </c>
      <c r="BW71" s="243">
        <v>19577.8</v>
      </c>
      <c r="BX71" s="243">
        <v>2827729</v>
      </c>
      <c r="BY71" s="243">
        <v>126705</v>
      </c>
      <c r="BZ71" s="243">
        <v>16768.7</v>
      </c>
      <c r="CA71" s="243">
        <v>8193.2000000000007</v>
      </c>
      <c r="CB71" s="243">
        <v>5586.5</v>
      </c>
      <c r="CC71" s="243">
        <v>1035657</v>
      </c>
      <c r="CD71" s="243">
        <v>589440</v>
      </c>
      <c r="CE71" s="243">
        <v>704208</v>
      </c>
      <c r="CF71" s="243">
        <v>445377</v>
      </c>
      <c r="CG71" s="1283">
        <v>0</v>
      </c>
    </row>
    <row r="72" spans="1:85" ht="13.2">
      <c r="A72" s="618">
        <v>44992</v>
      </c>
      <c r="B72" s="243">
        <v>1060.683</v>
      </c>
      <c r="C72" s="243">
        <v>585.99199999999996</v>
      </c>
      <c r="D72" s="243">
        <v>6848.4</v>
      </c>
      <c r="E72" s="1271">
        <v>0</v>
      </c>
      <c r="F72" s="243">
        <v>17060.400000000001</v>
      </c>
      <c r="G72" s="243">
        <v>5359.2</v>
      </c>
      <c r="H72" s="243">
        <v>573428</v>
      </c>
      <c r="I72" s="243">
        <v>265032</v>
      </c>
      <c r="J72" s="243">
        <v>204360.8</v>
      </c>
      <c r="K72" s="243"/>
      <c r="L72" s="243"/>
      <c r="M72" s="243">
        <v>14955.5</v>
      </c>
      <c r="N72" s="243">
        <v>7010.9</v>
      </c>
      <c r="O72" s="243">
        <v>44541.4</v>
      </c>
      <c r="P72" s="243">
        <v>35411.699999999997</v>
      </c>
      <c r="Q72" s="243">
        <v>136912</v>
      </c>
      <c r="R72" s="243">
        <v>113582</v>
      </c>
      <c r="S72" s="243">
        <v>139113</v>
      </c>
      <c r="T72" s="243">
        <v>95430.2</v>
      </c>
      <c r="U72" s="981">
        <v>14051.63</v>
      </c>
      <c r="V72" s="981">
        <v>10671.64</v>
      </c>
      <c r="W72" s="243">
        <v>27050.9</v>
      </c>
      <c r="X72" s="243">
        <v>14051.6</v>
      </c>
      <c r="Y72" s="243">
        <v>209939.5</v>
      </c>
      <c r="Z72" s="981">
        <v>345.9</v>
      </c>
      <c r="AA72" s="981">
        <v>50716</v>
      </c>
      <c r="AB72" s="243">
        <v>568629</v>
      </c>
      <c r="AC72" s="243">
        <v>289764</v>
      </c>
      <c r="AD72" s="243">
        <v>209892.1</v>
      </c>
      <c r="AE72" s="981">
        <v>1112.4000000000001</v>
      </c>
      <c r="AF72" s="1051">
        <v>942</v>
      </c>
      <c r="AG72" s="243">
        <v>35409.1</v>
      </c>
      <c r="AH72" s="243">
        <v>25244.3</v>
      </c>
      <c r="AI72" s="243">
        <v>82063.899999999994</v>
      </c>
      <c r="AJ72" s="243">
        <v>63447.6</v>
      </c>
      <c r="AK72" s="243">
        <v>65332.5</v>
      </c>
      <c r="AL72" s="243">
        <v>53203.8</v>
      </c>
      <c r="AM72" s="243">
        <v>58924.800000000003</v>
      </c>
      <c r="AN72" s="243">
        <v>23171.9</v>
      </c>
      <c r="AO72" s="243">
        <v>16.399999999999999</v>
      </c>
      <c r="AP72" s="243">
        <v>17.399999999999999</v>
      </c>
      <c r="AQ72" s="243">
        <v>483553</v>
      </c>
      <c r="AR72" s="243">
        <v>223178</v>
      </c>
      <c r="AS72" s="243">
        <v>64858</v>
      </c>
      <c r="AT72" s="243"/>
      <c r="AU72" s="243">
        <v>451657</v>
      </c>
      <c r="AV72" s="243">
        <v>198837</v>
      </c>
      <c r="AW72" s="243">
        <v>78260</v>
      </c>
      <c r="AX72" s="243">
        <v>4262.8999999999996</v>
      </c>
      <c r="AY72" s="243">
        <v>2839.3</v>
      </c>
      <c r="AZ72" s="243">
        <v>220.32</v>
      </c>
      <c r="BA72" s="243">
        <v>133.35</v>
      </c>
      <c r="BB72" s="243">
        <v>792.53</v>
      </c>
      <c r="BC72" s="243">
        <v>337.64400000000001</v>
      </c>
      <c r="BD72" s="367">
        <v>1790.52</v>
      </c>
      <c r="BE72" s="243">
        <v>2911.6</v>
      </c>
      <c r="BF72" s="243">
        <v>451.6</v>
      </c>
      <c r="BG72" s="243">
        <v>7215.58</v>
      </c>
      <c r="BH72" s="243">
        <v>35980.6456140351</v>
      </c>
      <c r="BI72" s="243">
        <v>9659.1074938012207</v>
      </c>
      <c r="BJ72" s="243">
        <v>6050.85</v>
      </c>
      <c r="BK72" s="243">
        <v>6583698</v>
      </c>
      <c r="BL72" s="243">
        <v>5002290</v>
      </c>
      <c r="BM72" s="243">
        <v>216309</v>
      </c>
      <c r="BN72" s="243">
        <v>179613</v>
      </c>
      <c r="BO72" s="243">
        <v>132</v>
      </c>
      <c r="BP72" s="243">
        <v>46.011000000000003</v>
      </c>
      <c r="BQ72" s="243">
        <v>666</v>
      </c>
      <c r="BR72" s="981">
        <v>2462379.5</v>
      </c>
      <c r="BS72" s="243">
        <v>481</v>
      </c>
      <c r="BT72" s="243">
        <v>18968.240000000002</v>
      </c>
      <c r="BU72" s="243">
        <v>3126926</v>
      </c>
      <c r="BV72" s="243">
        <v>99819</v>
      </c>
      <c r="BW72" s="243">
        <v>19601.8</v>
      </c>
      <c r="BX72" s="243">
        <v>2834049</v>
      </c>
      <c r="BY72" s="243">
        <v>126763</v>
      </c>
      <c r="BZ72" s="243">
        <v>16792.7</v>
      </c>
      <c r="CA72" s="243">
        <v>8201.5</v>
      </c>
      <c r="CB72" s="243">
        <v>5591.8</v>
      </c>
      <c r="CC72" s="243">
        <v>1036328</v>
      </c>
      <c r="CD72" s="243">
        <v>589840</v>
      </c>
      <c r="CE72" s="243">
        <v>705232</v>
      </c>
      <c r="CF72" s="243">
        <v>446004</v>
      </c>
      <c r="CG72" s="1283">
        <v>0</v>
      </c>
    </row>
    <row r="73" spans="1:85" ht="13.2">
      <c r="A73" s="618">
        <v>44993</v>
      </c>
      <c r="B73" s="243">
        <v>1060.683</v>
      </c>
      <c r="C73" s="243">
        <v>585.99199999999996</v>
      </c>
      <c r="D73" s="243">
        <v>6848.4</v>
      </c>
      <c r="E73" s="1271">
        <v>0</v>
      </c>
      <c r="F73" s="243">
        <v>17091.400000000001</v>
      </c>
      <c r="G73" s="243">
        <v>5368.6</v>
      </c>
      <c r="H73" s="243">
        <v>573580</v>
      </c>
      <c r="I73" s="243">
        <v>265114</v>
      </c>
      <c r="J73" s="243">
        <v>204384.8</v>
      </c>
      <c r="K73" s="243"/>
      <c r="L73" s="243"/>
      <c r="M73" s="243">
        <v>14956.2</v>
      </c>
      <c r="N73" s="243">
        <v>7010.9</v>
      </c>
      <c r="O73" s="243">
        <v>44567.3</v>
      </c>
      <c r="P73" s="243">
        <v>35432.300000000003</v>
      </c>
      <c r="Q73" s="243">
        <v>136929</v>
      </c>
      <c r="R73" s="243">
        <v>113596</v>
      </c>
      <c r="S73" s="243">
        <v>139130</v>
      </c>
      <c r="T73" s="243">
        <v>95442.1</v>
      </c>
      <c r="U73" s="981">
        <v>14051.63</v>
      </c>
      <c r="V73" s="981">
        <v>10671.64</v>
      </c>
      <c r="W73" s="243">
        <v>27202.799999999999</v>
      </c>
      <c r="X73" s="243">
        <v>14129.4</v>
      </c>
      <c r="Y73" s="243">
        <v>209963.5</v>
      </c>
      <c r="Z73" s="981">
        <v>345.9</v>
      </c>
      <c r="AA73" s="981">
        <v>50716</v>
      </c>
      <c r="AB73" s="243">
        <v>568922</v>
      </c>
      <c r="AC73" s="243">
        <v>289914</v>
      </c>
      <c r="AD73" s="243">
        <v>209916.1</v>
      </c>
      <c r="AE73" s="981">
        <v>1112.4000000000001</v>
      </c>
      <c r="AF73" s="1051">
        <v>942</v>
      </c>
      <c r="AG73" s="243">
        <v>35411.300000000003</v>
      </c>
      <c r="AH73" s="243">
        <v>25245.9</v>
      </c>
      <c r="AI73" s="243">
        <v>82073.399999999994</v>
      </c>
      <c r="AJ73" s="243">
        <v>63455</v>
      </c>
      <c r="AK73" s="243">
        <v>65345.2</v>
      </c>
      <c r="AL73" s="243">
        <v>53214.400000000001</v>
      </c>
      <c r="AM73" s="243">
        <v>58935.7</v>
      </c>
      <c r="AN73" s="243">
        <v>23176.3</v>
      </c>
      <c r="AO73" s="243">
        <v>16.399999999999999</v>
      </c>
      <c r="AP73" s="243">
        <v>17.399999999999999</v>
      </c>
      <c r="AQ73" s="243">
        <v>483700</v>
      </c>
      <c r="AR73" s="243">
        <v>223243</v>
      </c>
      <c r="AS73" s="243">
        <v>64863.1</v>
      </c>
      <c r="AT73" s="243"/>
      <c r="AU73" s="243">
        <v>451804</v>
      </c>
      <c r="AV73" s="243">
        <v>198901</v>
      </c>
      <c r="AW73" s="243">
        <v>78284</v>
      </c>
      <c r="AX73" s="243">
        <v>4264.47</v>
      </c>
      <c r="AY73" s="243">
        <v>2840.4</v>
      </c>
      <c r="AZ73" s="243">
        <v>220.5</v>
      </c>
      <c r="BA73" s="243">
        <v>133.4</v>
      </c>
      <c r="BB73" s="243">
        <v>792.53</v>
      </c>
      <c r="BC73" s="243">
        <v>337.64400000000001</v>
      </c>
      <c r="BD73" s="367">
        <v>1790.52</v>
      </c>
      <c r="BE73" s="243">
        <v>2914.6</v>
      </c>
      <c r="BF73" s="243">
        <v>453.2</v>
      </c>
      <c r="BG73" s="243">
        <v>6719.68</v>
      </c>
      <c r="BH73" s="243">
        <v>35630.49649122807</v>
      </c>
      <c r="BI73" s="243">
        <v>10381.87177685572</v>
      </c>
      <c r="BJ73" s="243">
        <v>5027.6099999999997</v>
      </c>
      <c r="BK73" s="243">
        <v>6585162</v>
      </c>
      <c r="BL73" s="243">
        <v>5003787</v>
      </c>
      <c r="BM73" s="243">
        <v>216309</v>
      </c>
      <c r="BN73" s="243">
        <v>179613</v>
      </c>
      <c r="BO73" s="243">
        <v>132.870928961564</v>
      </c>
      <c r="BP73" s="243">
        <v>46.212859609836734</v>
      </c>
      <c r="BQ73" s="243">
        <v>664.99440185140645</v>
      </c>
      <c r="BR73" s="981">
        <v>2462379.5</v>
      </c>
      <c r="BS73" s="243">
        <v>481</v>
      </c>
      <c r="BT73" s="243">
        <v>18968.240000000002</v>
      </c>
      <c r="BU73" s="243">
        <v>3129351</v>
      </c>
      <c r="BV73" s="243">
        <v>99819</v>
      </c>
      <c r="BW73" s="243">
        <v>19625.7</v>
      </c>
      <c r="BX73" s="243">
        <v>2840314</v>
      </c>
      <c r="BY73" s="243">
        <v>126790</v>
      </c>
      <c r="BZ73" s="243">
        <v>16816.7</v>
      </c>
      <c r="CA73" s="243">
        <v>8209.7999999999993</v>
      </c>
      <c r="CB73" s="243">
        <v>5597.8</v>
      </c>
      <c r="CC73" s="243">
        <v>1037024</v>
      </c>
      <c r="CD73" s="243">
        <v>590247</v>
      </c>
      <c r="CE73" s="243">
        <v>706110</v>
      </c>
      <c r="CF73" s="243">
        <v>446550</v>
      </c>
      <c r="CG73" s="1283">
        <v>0</v>
      </c>
    </row>
    <row r="74" spans="1:85" ht="13.2">
      <c r="A74" s="618">
        <v>44994</v>
      </c>
      <c r="B74" s="243">
        <v>1060.683</v>
      </c>
      <c r="C74" s="243">
        <v>585.99199999999996</v>
      </c>
      <c r="D74" s="243">
        <v>6848.4</v>
      </c>
      <c r="E74" s="1271">
        <v>0</v>
      </c>
      <c r="F74" s="243">
        <v>17121.099999999999</v>
      </c>
      <c r="G74" s="243">
        <v>5377.5</v>
      </c>
      <c r="H74" s="243">
        <v>573744</v>
      </c>
      <c r="I74" s="243">
        <v>265196</v>
      </c>
      <c r="J74" s="243">
        <v>204408.8</v>
      </c>
      <c r="K74" s="243"/>
      <c r="L74" s="243"/>
      <c r="M74" s="243">
        <v>14956.2</v>
      </c>
      <c r="N74" s="243">
        <v>7010.9</v>
      </c>
      <c r="O74" s="243">
        <v>44594.3</v>
      </c>
      <c r="P74" s="243">
        <v>35453.4</v>
      </c>
      <c r="Q74" s="243">
        <v>136944</v>
      </c>
      <c r="R74" s="243">
        <v>113608</v>
      </c>
      <c r="S74" s="243">
        <v>139147</v>
      </c>
      <c r="T74" s="243">
        <v>95453.5</v>
      </c>
      <c r="U74" s="981">
        <v>14051.63</v>
      </c>
      <c r="V74" s="981">
        <v>10671.64</v>
      </c>
      <c r="W74" s="243">
        <v>27348.9</v>
      </c>
      <c r="X74" s="243">
        <v>14206</v>
      </c>
      <c r="Y74" s="1763">
        <v>209987.5</v>
      </c>
      <c r="Z74" s="981">
        <v>345.9</v>
      </c>
      <c r="AA74" s="981">
        <v>50716</v>
      </c>
      <c r="AB74" s="243">
        <v>569210</v>
      </c>
      <c r="AC74" s="243">
        <v>290056</v>
      </c>
      <c r="AD74" s="243">
        <v>209940.1</v>
      </c>
      <c r="AE74" s="981">
        <v>1112.4000000000001</v>
      </c>
      <c r="AF74" s="1051">
        <v>942</v>
      </c>
      <c r="AG74" s="243">
        <v>35413.300000000003</v>
      </c>
      <c r="AH74" s="243">
        <v>25247.4</v>
      </c>
      <c r="AI74" s="243">
        <v>82080.800000000003</v>
      </c>
      <c r="AJ74" s="243">
        <v>63460.6</v>
      </c>
      <c r="AK74" s="243">
        <v>65358.2</v>
      </c>
      <c r="AL74" s="243">
        <v>53225.1</v>
      </c>
      <c r="AM74" s="243">
        <v>58947</v>
      </c>
      <c r="AN74" s="243">
        <v>23180.7</v>
      </c>
      <c r="AO74" s="243">
        <v>16.399999999999999</v>
      </c>
      <c r="AP74" s="243">
        <v>17.399999999999999</v>
      </c>
      <c r="AQ74" s="243">
        <v>483836</v>
      </c>
      <c r="AR74" s="243">
        <v>223304</v>
      </c>
      <c r="AS74" s="243">
        <v>64867.5</v>
      </c>
      <c r="AT74" s="243"/>
      <c r="AU74" s="243">
        <v>451941</v>
      </c>
      <c r="AV74" s="243">
        <v>198961</v>
      </c>
      <c r="AW74" s="243">
        <v>78307</v>
      </c>
      <c r="AX74" s="243">
        <v>4266</v>
      </c>
      <c r="AY74" s="243">
        <v>2841.4</v>
      </c>
      <c r="AZ74" s="243">
        <v>220.5</v>
      </c>
      <c r="BA74" s="243">
        <v>133.4</v>
      </c>
      <c r="BB74" s="243">
        <v>792.53</v>
      </c>
      <c r="BC74" s="243">
        <v>337.64400000000001</v>
      </c>
      <c r="BD74" s="367">
        <v>1790.52</v>
      </c>
      <c r="BE74" s="243">
        <v>2917.3</v>
      </c>
      <c r="BF74" s="243">
        <v>454.7</v>
      </c>
      <c r="BG74" s="243">
        <v>6254.5099999999993</v>
      </c>
      <c r="BH74" s="243">
        <v>36014.970175438597</v>
      </c>
      <c r="BI74" s="243">
        <v>10640.417091493709</v>
      </c>
      <c r="BJ74" s="243">
        <v>4618.43</v>
      </c>
      <c r="BK74" s="243">
        <v>6586540</v>
      </c>
      <c r="BL74" s="243">
        <v>5005204</v>
      </c>
      <c r="BM74" s="243">
        <v>216309</v>
      </c>
      <c r="BN74" s="243">
        <v>179613</v>
      </c>
      <c r="BO74" s="243">
        <v>132.49690805132599</v>
      </c>
      <c r="BP74" s="243">
        <v>45.716546543592798</v>
      </c>
      <c r="BQ74" s="243">
        <v>664.11307662783804</v>
      </c>
      <c r="BR74" s="981">
        <v>2462379.5</v>
      </c>
      <c r="BS74" s="243">
        <v>481</v>
      </c>
      <c r="BT74" s="243">
        <v>18968.240000000002</v>
      </c>
      <c r="BU74" s="243">
        <v>3131728</v>
      </c>
      <c r="BV74" s="243">
        <v>99819</v>
      </c>
      <c r="BW74" s="243">
        <v>19649.7</v>
      </c>
      <c r="BX74" s="243">
        <v>2846382</v>
      </c>
      <c r="BY74" s="243">
        <v>126834</v>
      </c>
      <c r="BZ74" s="243">
        <v>16840.7</v>
      </c>
      <c r="CA74" s="243">
        <v>8217.7999999999993</v>
      </c>
      <c r="CB74" s="243">
        <v>5602</v>
      </c>
      <c r="CC74" s="243">
        <v>1037670</v>
      </c>
      <c r="CD74" s="243">
        <v>590628</v>
      </c>
      <c r="CE74" s="243">
        <v>706964</v>
      </c>
      <c r="CF74" s="243">
        <v>447080</v>
      </c>
      <c r="CG74" s="1283">
        <v>0</v>
      </c>
    </row>
    <row r="75" spans="1:85" ht="13.2">
      <c r="A75" s="618">
        <v>44995</v>
      </c>
      <c r="B75" s="243">
        <v>1060.683</v>
      </c>
      <c r="C75" s="243">
        <v>585.99199999999996</v>
      </c>
      <c r="D75" s="243">
        <v>6848.4</v>
      </c>
      <c r="E75" s="1271">
        <v>0</v>
      </c>
      <c r="F75" s="243">
        <v>17151.599999999999</v>
      </c>
      <c r="G75" s="243">
        <v>5386.4</v>
      </c>
      <c r="H75" s="243">
        <v>573907</v>
      </c>
      <c r="I75" s="243">
        <v>265280</v>
      </c>
      <c r="J75" s="243">
        <v>204432.8</v>
      </c>
      <c r="K75" s="243"/>
      <c r="L75" s="243"/>
      <c r="M75" s="243">
        <v>14956.2</v>
      </c>
      <c r="N75" s="243">
        <v>7010.9</v>
      </c>
      <c r="O75" s="243">
        <v>44622</v>
      </c>
      <c r="P75" s="243">
        <v>35475.300000000003</v>
      </c>
      <c r="Q75" s="243">
        <v>136958</v>
      </c>
      <c r="R75" s="243">
        <v>113620</v>
      </c>
      <c r="S75" s="243">
        <v>139163</v>
      </c>
      <c r="T75" s="243">
        <v>95464.9</v>
      </c>
      <c r="U75" s="981">
        <v>14051.63</v>
      </c>
      <c r="V75" s="981">
        <v>10671.64</v>
      </c>
      <c r="W75" s="243">
        <v>27499</v>
      </c>
      <c r="X75" s="243">
        <v>14285.6</v>
      </c>
      <c r="Y75" s="243">
        <v>210011.5</v>
      </c>
      <c r="Z75" s="981">
        <v>345.9</v>
      </c>
      <c r="AA75" s="981">
        <v>50716</v>
      </c>
      <c r="AB75" s="243">
        <v>569503</v>
      </c>
      <c r="AC75" s="243">
        <v>290201</v>
      </c>
      <c r="AD75" s="243">
        <v>209964.1</v>
      </c>
      <c r="AE75" s="981">
        <v>1112.4000000000001</v>
      </c>
      <c r="AF75" s="1051">
        <v>942</v>
      </c>
      <c r="AG75" s="243">
        <v>35415.5</v>
      </c>
      <c r="AH75" s="243">
        <v>25249</v>
      </c>
      <c r="AI75" s="243">
        <v>82086.399999999994</v>
      </c>
      <c r="AJ75" s="243">
        <v>63464.7</v>
      </c>
      <c r="AK75" s="243">
        <v>65372.3</v>
      </c>
      <c r="AL75" s="243">
        <v>53236.6</v>
      </c>
      <c r="AM75" s="243">
        <v>58954.1</v>
      </c>
      <c r="AN75" s="243">
        <v>23183.4</v>
      </c>
      <c r="AO75" s="243">
        <v>16.399999999999999</v>
      </c>
      <c r="AP75" s="243">
        <v>17.399999999999999</v>
      </c>
      <c r="AQ75" s="243">
        <v>483981</v>
      </c>
      <c r="AR75" s="243">
        <v>223370</v>
      </c>
      <c r="AS75" s="243">
        <v>64872.1</v>
      </c>
      <c r="AT75" s="243"/>
      <c r="AU75" s="243">
        <v>452086</v>
      </c>
      <c r="AV75" s="243">
        <v>199024</v>
      </c>
      <c r="AW75" s="243">
        <v>78331</v>
      </c>
      <c r="AX75" s="243">
        <v>4267.5</v>
      </c>
      <c r="AY75" s="243">
        <v>2842.5</v>
      </c>
      <c r="AZ75" s="243">
        <v>220.5</v>
      </c>
      <c r="BA75" s="243">
        <v>133.4</v>
      </c>
      <c r="BB75" s="243">
        <v>792.53</v>
      </c>
      <c r="BC75" s="243">
        <v>337.64400000000001</v>
      </c>
      <c r="BD75" s="367">
        <v>1790.52</v>
      </c>
      <c r="BE75" s="243">
        <v>2919.8</v>
      </c>
      <c r="BF75" s="243">
        <v>455.6</v>
      </c>
      <c r="BG75" s="243">
        <v>6215.0199999999995</v>
      </c>
      <c r="BH75" s="243">
        <v>36988.659649122805</v>
      </c>
      <c r="BI75" s="243">
        <v>9669.4740936776907</v>
      </c>
      <c r="BJ75" s="243">
        <v>5963.1</v>
      </c>
      <c r="BK75" s="243">
        <v>6587901</v>
      </c>
      <c r="BL75" s="243">
        <v>5006627</v>
      </c>
      <c r="BM75" s="243">
        <v>216309</v>
      </c>
      <c r="BN75" s="243">
        <v>179613</v>
      </c>
      <c r="BO75" s="243">
        <v>132.024422103116</v>
      </c>
      <c r="BP75" s="243">
        <v>45.447744081524498</v>
      </c>
      <c r="BQ75" s="243">
        <v>664.72076265818396</v>
      </c>
      <c r="BR75" s="981">
        <v>2462379.5</v>
      </c>
      <c r="BS75" s="243">
        <v>481</v>
      </c>
      <c r="BT75" s="243">
        <v>18968.240000000002</v>
      </c>
      <c r="BU75" s="243">
        <v>3134165</v>
      </c>
      <c r="BV75" s="243">
        <v>99819</v>
      </c>
      <c r="BW75" s="243">
        <v>19673.7</v>
      </c>
      <c r="BX75" s="243">
        <v>2852772</v>
      </c>
      <c r="BY75" s="243">
        <v>126848</v>
      </c>
      <c r="BZ75" s="243">
        <f>24+BZ74</f>
        <v>16864.7</v>
      </c>
      <c r="CA75" s="243">
        <v>8225.7000000000007</v>
      </c>
      <c r="CB75" s="243">
        <v>5607.1</v>
      </c>
      <c r="CC75" s="243">
        <v>1038697</v>
      </c>
      <c r="CD75" s="243">
        <v>591207</v>
      </c>
      <c r="CE75" s="243">
        <v>707399</v>
      </c>
      <c r="CF75" s="243">
        <v>447333</v>
      </c>
      <c r="CG75" s="1283">
        <v>0</v>
      </c>
    </row>
    <row r="76" spans="1:85" ht="13.2">
      <c r="A76" s="618">
        <v>44996</v>
      </c>
      <c r="B76" s="243">
        <v>1060.683</v>
      </c>
      <c r="C76" s="243">
        <v>585.99199999999996</v>
      </c>
      <c r="D76" s="243">
        <v>6848.4</v>
      </c>
      <c r="E76" s="1271">
        <v>0</v>
      </c>
      <c r="F76" s="243">
        <v>17181.7</v>
      </c>
      <c r="G76" s="243">
        <v>5396.1</v>
      </c>
      <c r="H76" s="243">
        <v>574069</v>
      </c>
      <c r="I76" s="243">
        <v>265363</v>
      </c>
      <c r="J76" s="243">
        <v>204456.8</v>
      </c>
      <c r="K76" s="243"/>
      <c r="L76" s="243"/>
      <c r="M76" s="243">
        <v>14956.2</v>
      </c>
      <c r="N76" s="243">
        <v>7010.9</v>
      </c>
      <c r="O76" s="243">
        <v>44646.3</v>
      </c>
      <c r="P76" s="243">
        <v>35494.5</v>
      </c>
      <c r="Q76" s="243">
        <v>136972</v>
      </c>
      <c r="R76" s="243">
        <v>113632</v>
      </c>
      <c r="S76" s="243">
        <v>139179</v>
      </c>
      <c r="T76" s="243">
        <v>95476.1</v>
      </c>
      <c r="U76" s="981">
        <v>14051.63</v>
      </c>
      <c r="V76" s="981">
        <v>10671.64</v>
      </c>
      <c r="W76" s="243">
        <v>27675.5</v>
      </c>
      <c r="X76" s="243">
        <v>14375</v>
      </c>
      <c r="Y76" s="243">
        <v>210035.5</v>
      </c>
      <c r="Z76" s="981">
        <v>345.9</v>
      </c>
      <c r="AA76" s="981">
        <v>50716</v>
      </c>
      <c r="AB76" s="243">
        <v>569762</v>
      </c>
      <c r="AC76" s="243">
        <v>290332</v>
      </c>
      <c r="AD76" s="243">
        <v>209988.1</v>
      </c>
      <c r="AE76" s="981">
        <v>1112.4000000000001</v>
      </c>
      <c r="AF76" s="1051">
        <v>942</v>
      </c>
      <c r="AG76" s="243">
        <v>35417.599999999999</v>
      </c>
      <c r="AH76" s="243">
        <v>25250.5</v>
      </c>
      <c r="AI76" s="243">
        <v>82091.600000000006</v>
      </c>
      <c r="AJ76" s="243">
        <v>63468.7</v>
      </c>
      <c r="AK76" s="243">
        <v>65384.5</v>
      </c>
      <c r="AL76" s="243">
        <v>53246.6</v>
      </c>
      <c r="AM76" s="243">
        <v>58965.2</v>
      </c>
      <c r="AN76" s="243">
        <v>23187.8</v>
      </c>
      <c r="AO76" s="243">
        <v>16.399999999999999</v>
      </c>
      <c r="AP76" s="243">
        <v>17.399999999999999</v>
      </c>
      <c r="AQ76" s="243">
        <v>484125</v>
      </c>
      <c r="AR76" s="243">
        <v>223434</v>
      </c>
      <c r="AS76" s="243">
        <v>64876.1</v>
      </c>
      <c r="AT76" s="243"/>
      <c r="AU76" s="243">
        <v>452231</v>
      </c>
      <c r="AV76" s="243">
        <v>199087</v>
      </c>
      <c r="AW76" s="243">
        <v>78355</v>
      </c>
      <c r="AX76" s="243">
        <v>4269</v>
      </c>
      <c r="AY76" s="243">
        <v>2843.5</v>
      </c>
      <c r="AZ76" s="243">
        <v>220.5</v>
      </c>
      <c r="BA76" s="243">
        <v>133.4</v>
      </c>
      <c r="BB76" s="243">
        <v>792.53</v>
      </c>
      <c r="BC76" s="243">
        <v>337.64400000000001</v>
      </c>
      <c r="BD76" s="367">
        <v>1790.52</v>
      </c>
      <c r="BE76" s="243">
        <v>2922.3</v>
      </c>
      <c r="BF76" s="243">
        <v>456.4</v>
      </c>
      <c r="BG76" s="243">
        <v>5795.46</v>
      </c>
      <c r="BH76" s="243">
        <v>36378.571929824597</v>
      </c>
      <c r="BI76" s="243">
        <v>9787.2851742012499</v>
      </c>
      <c r="BJ76" s="243">
        <v>5583.48</v>
      </c>
      <c r="BK76" s="243">
        <v>6589269</v>
      </c>
      <c r="BL76" s="243">
        <v>5008048</v>
      </c>
      <c r="BM76" s="243">
        <v>216309</v>
      </c>
      <c r="BN76" s="243">
        <v>179613</v>
      </c>
      <c r="BO76" s="243">
        <v>131.44896481469101</v>
      </c>
      <c r="BP76" s="243">
        <v>45.466929045149698</v>
      </c>
      <c r="BQ76" s="243">
        <v>664.808650604018</v>
      </c>
      <c r="BR76" s="243">
        <v>2462727.5</v>
      </c>
      <c r="BS76" s="243">
        <v>481</v>
      </c>
      <c r="BT76" s="243">
        <v>18972.21</v>
      </c>
      <c r="BU76" s="243">
        <v>3137153</v>
      </c>
      <c r="BV76" s="243">
        <v>99843</v>
      </c>
      <c r="BW76" s="243">
        <v>19697.7</v>
      </c>
      <c r="BX76" s="243">
        <v>2857924</v>
      </c>
      <c r="BY76" s="243">
        <v>126908</v>
      </c>
      <c r="BZ76" s="243">
        <v>16884.7</v>
      </c>
      <c r="CA76" s="243">
        <v>8233.6</v>
      </c>
      <c r="CB76" s="243">
        <v>5612.2</v>
      </c>
      <c r="CC76" s="243">
        <v>1040076</v>
      </c>
      <c r="CD76" s="243">
        <v>591963</v>
      </c>
      <c r="CE76" s="243">
        <v>707399</v>
      </c>
      <c r="CF76" s="243">
        <v>447334</v>
      </c>
      <c r="CG76" s="1283">
        <v>0</v>
      </c>
    </row>
    <row r="77" spans="1:85" ht="13.2">
      <c r="A77" s="618">
        <v>44997</v>
      </c>
      <c r="B77" s="243">
        <v>1060.683</v>
      </c>
      <c r="C77" s="243">
        <v>585.99199999999996</v>
      </c>
      <c r="D77" s="243">
        <v>6848.4</v>
      </c>
      <c r="E77" s="1271">
        <v>0</v>
      </c>
      <c r="F77" s="243">
        <v>17211.599999999999</v>
      </c>
      <c r="G77" s="243">
        <v>5409.8</v>
      </c>
      <c r="H77" s="243">
        <v>574230</v>
      </c>
      <c r="I77" s="243">
        <v>265446</v>
      </c>
      <c r="J77" s="243">
        <v>204480.8</v>
      </c>
      <c r="K77" s="243"/>
      <c r="L77" s="243"/>
      <c r="M77" s="243">
        <v>14958.9</v>
      </c>
      <c r="N77" s="243">
        <v>7010.9</v>
      </c>
      <c r="O77" s="243">
        <v>44673.4</v>
      </c>
      <c r="P77" s="243">
        <v>35515.9</v>
      </c>
      <c r="Q77" s="243">
        <v>136986</v>
      </c>
      <c r="R77" s="243">
        <v>113643</v>
      </c>
      <c r="S77" s="243">
        <v>139195</v>
      </c>
      <c r="T77" s="243">
        <v>95487.5</v>
      </c>
      <c r="U77" s="981">
        <v>14051.63</v>
      </c>
      <c r="V77" s="981">
        <v>10671.64</v>
      </c>
      <c r="W77" s="243">
        <v>27831</v>
      </c>
      <c r="X77" s="243">
        <v>14453.5</v>
      </c>
      <c r="Y77" s="243">
        <v>210059.5</v>
      </c>
      <c r="Z77" s="981">
        <v>345.9</v>
      </c>
      <c r="AA77" s="981">
        <v>50716</v>
      </c>
      <c r="AB77" s="243">
        <v>570038</v>
      </c>
      <c r="AC77" s="243">
        <v>290475</v>
      </c>
      <c r="AD77" s="243">
        <v>210012.1</v>
      </c>
      <c r="AE77" s="981">
        <v>1112.4000000000001</v>
      </c>
      <c r="AF77" s="1051">
        <v>942</v>
      </c>
      <c r="AG77" s="243">
        <v>35419.599999999999</v>
      </c>
      <c r="AH77" s="243">
        <v>25252</v>
      </c>
      <c r="AI77" s="243">
        <v>82096.800000000003</v>
      </c>
      <c r="AJ77" s="243">
        <v>63472.7</v>
      </c>
      <c r="AK77" s="243">
        <v>65395.7</v>
      </c>
      <c r="AL77" s="243">
        <v>53255.6</v>
      </c>
      <c r="AM77" s="243">
        <v>58971.3</v>
      </c>
      <c r="AN77" s="243">
        <v>23190.2</v>
      </c>
      <c r="AO77" s="243">
        <v>16.399999999999999</v>
      </c>
      <c r="AP77" s="243">
        <v>17.399999999999999</v>
      </c>
      <c r="AQ77" s="243">
        <v>484268</v>
      </c>
      <c r="AR77" s="243">
        <v>223499</v>
      </c>
      <c r="AS77" s="243">
        <v>64880.1</v>
      </c>
      <c r="AT77" s="243"/>
      <c r="AU77" s="243">
        <v>452375</v>
      </c>
      <c r="AV77" s="243">
        <v>199150</v>
      </c>
      <c r="AW77" s="243">
        <v>78379</v>
      </c>
      <c r="AX77" s="243">
        <v>4270.3999999999996</v>
      </c>
      <c r="AY77" s="243">
        <v>2844.5</v>
      </c>
      <c r="AZ77" s="243">
        <v>220.5</v>
      </c>
      <c r="BA77" s="243">
        <v>133.4</v>
      </c>
      <c r="BB77" s="243">
        <v>792.53</v>
      </c>
      <c r="BC77" s="243">
        <v>337.64400000000001</v>
      </c>
      <c r="BD77" s="367">
        <v>1790.52</v>
      </c>
      <c r="BE77" s="243">
        <v>2924.8</v>
      </c>
      <c r="BF77" s="243">
        <v>457.1</v>
      </c>
      <c r="BG77" s="243">
        <v>6251.5499999999993</v>
      </c>
      <c r="BH77" s="243">
        <v>34954.57543859649</v>
      </c>
      <c r="BI77" s="243">
        <v>10031.639991222706</v>
      </c>
      <c r="BJ77" s="243">
        <v>5303.2000000000007</v>
      </c>
      <c r="BK77" s="243">
        <v>6590637</v>
      </c>
      <c r="BL77" s="243">
        <v>5009468</v>
      </c>
      <c r="BM77" s="243">
        <v>216309</v>
      </c>
      <c r="BN77" s="243">
        <v>179613</v>
      </c>
      <c r="BO77" s="243">
        <v>132.37537995956799</v>
      </c>
      <c r="BP77" s="243">
        <v>45.8813230107273</v>
      </c>
      <c r="BQ77" s="243">
        <v>663.10777867415504</v>
      </c>
      <c r="BR77" s="243">
        <v>2464791.5</v>
      </c>
      <c r="BS77" s="243">
        <v>482</v>
      </c>
      <c r="BT77" s="243">
        <v>18996.2</v>
      </c>
      <c r="BU77" s="243">
        <v>3143022</v>
      </c>
      <c r="BV77" s="243">
        <v>99980</v>
      </c>
      <c r="BW77" s="243">
        <v>19721.7</v>
      </c>
      <c r="BX77" s="243">
        <v>2857924</v>
      </c>
      <c r="BY77" s="243">
        <v>126908</v>
      </c>
      <c r="BZ77" s="243">
        <v>16884.7</v>
      </c>
      <c r="CA77" s="243">
        <v>8241.4</v>
      </c>
      <c r="CB77" s="243">
        <v>5617.1</v>
      </c>
      <c r="CC77" s="243">
        <v>1041442</v>
      </c>
      <c r="CD77" s="243">
        <v>592707</v>
      </c>
      <c r="CE77" s="243">
        <v>707830</v>
      </c>
      <c r="CF77" s="243">
        <v>447584</v>
      </c>
      <c r="CG77" s="1283">
        <v>0</v>
      </c>
    </row>
    <row r="78" spans="1:85" ht="13.2">
      <c r="A78" s="618">
        <v>44998</v>
      </c>
      <c r="B78" s="243">
        <v>1060.7660000000001</v>
      </c>
      <c r="C78" s="243">
        <v>585.99199999999996</v>
      </c>
      <c r="D78" s="367">
        <v>6849.2</v>
      </c>
      <c r="E78" s="1271">
        <v>1</v>
      </c>
      <c r="F78" s="243">
        <v>17241.900000000001</v>
      </c>
      <c r="G78" s="243">
        <v>5423.7</v>
      </c>
      <c r="H78" s="243">
        <v>574392</v>
      </c>
      <c r="I78" s="243">
        <v>265529</v>
      </c>
      <c r="J78" s="243">
        <v>204504.8</v>
      </c>
      <c r="K78" s="243"/>
      <c r="L78" s="243"/>
      <c r="M78" s="243">
        <v>14958.9</v>
      </c>
      <c r="N78" s="243">
        <v>7010.9</v>
      </c>
      <c r="O78" s="243">
        <v>44702.3</v>
      </c>
      <c r="P78" s="243">
        <v>35538.800000000003</v>
      </c>
      <c r="Q78" s="243">
        <v>137001</v>
      </c>
      <c r="R78" s="243">
        <v>113655</v>
      </c>
      <c r="S78" s="243">
        <v>139212</v>
      </c>
      <c r="T78" s="243">
        <v>95499.199999999997</v>
      </c>
      <c r="U78" s="981">
        <v>14051.63</v>
      </c>
      <c r="V78" s="981">
        <v>10671.64</v>
      </c>
      <c r="W78" s="243">
        <v>27982.3</v>
      </c>
      <c r="X78" s="243">
        <v>14529.7</v>
      </c>
      <c r="Y78" s="243">
        <v>210083.5</v>
      </c>
      <c r="Z78" s="981">
        <v>345.9</v>
      </c>
      <c r="AA78" s="981">
        <v>50716</v>
      </c>
      <c r="AB78" s="243">
        <v>570337</v>
      </c>
      <c r="AC78" s="243">
        <v>290630</v>
      </c>
      <c r="AD78" s="243">
        <v>210036.1</v>
      </c>
      <c r="AE78" s="981">
        <v>1112.4000000000001</v>
      </c>
      <c r="AF78" s="1051">
        <v>942</v>
      </c>
      <c r="AG78" s="243">
        <v>35421.800000000003</v>
      </c>
      <c r="AH78" s="243">
        <v>25253.599999999999</v>
      </c>
      <c r="AI78" s="243">
        <v>82105</v>
      </c>
      <c r="AJ78" s="243">
        <v>63479</v>
      </c>
      <c r="AK78" s="243">
        <v>65405.1</v>
      </c>
      <c r="AL78" s="243">
        <v>53263.5</v>
      </c>
      <c r="AM78" s="243">
        <v>58988.3</v>
      </c>
      <c r="AN78" s="243">
        <v>23197</v>
      </c>
      <c r="AO78" s="243">
        <v>16.399999999999999</v>
      </c>
      <c r="AP78" s="243">
        <v>17.399999999999999</v>
      </c>
      <c r="AQ78" s="243">
        <v>484411</v>
      </c>
      <c r="AR78" s="243">
        <v>223563</v>
      </c>
      <c r="AS78" s="243">
        <v>64884.9</v>
      </c>
      <c r="AT78" s="243"/>
      <c r="AU78" s="243">
        <v>452519</v>
      </c>
      <c r="AV78" s="243">
        <v>199213</v>
      </c>
      <c r="AW78" s="243">
        <v>78403</v>
      </c>
      <c r="AX78" s="243">
        <v>4271.8999999999996</v>
      </c>
      <c r="AY78" s="243">
        <v>2845.5</v>
      </c>
      <c r="AZ78" s="243">
        <v>220.5</v>
      </c>
      <c r="BA78" s="243">
        <v>133.4</v>
      </c>
      <c r="BB78" s="243">
        <v>792.91499999999996</v>
      </c>
      <c r="BC78" s="243">
        <v>337.78899999999999</v>
      </c>
      <c r="BD78" s="367">
        <v>1791.4</v>
      </c>
      <c r="BE78" s="243">
        <v>2927.4</v>
      </c>
      <c r="BF78" s="243">
        <v>458.4</v>
      </c>
      <c r="BG78" s="243">
        <v>6203.46</v>
      </c>
      <c r="BH78" s="243">
        <v>34191.271929824565</v>
      </c>
      <c r="BI78" s="243">
        <v>10091.563863011041</v>
      </c>
      <c r="BJ78" s="243">
        <v>5928.1</v>
      </c>
      <c r="BK78" s="243">
        <v>6592032</v>
      </c>
      <c r="BL78" s="243">
        <v>5010890</v>
      </c>
      <c r="BM78" s="243">
        <v>216309</v>
      </c>
      <c r="BN78" s="243">
        <v>179613</v>
      </c>
      <c r="BO78" s="243">
        <v>132.419803452065</v>
      </c>
      <c r="BP78" s="243">
        <v>45.594054416928103</v>
      </c>
      <c r="BQ78" s="243">
        <v>664.321790560355</v>
      </c>
      <c r="BR78" s="243">
        <v>2466975.5</v>
      </c>
      <c r="BS78" s="243">
        <v>483</v>
      </c>
      <c r="BT78" s="243">
        <v>19020.2</v>
      </c>
      <c r="BU78" s="243">
        <v>3149013</v>
      </c>
      <c r="BV78" s="243">
        <v>100073</v>
      </c>
      <c r="BW78" s="243">
        <v>19745.7</v>
      </c>
      <c r="BX78" s="243">
        <v>2857924</v>
      </c>
      <c r="BY78" s="243">
        <v>126908</v>
      </c>
      <c r="BZ78" s="243">
        <v>16884.7</v>
      </c>
      <c r="CA78" s="243">
        <v>8249.4</v>
      </c>
      <c r="CB78" s="243">
        <v>5622.1</v>
      </c>
      <c r="CC78" s="243">
        <v>1042879</v>
      </c>
      <c r="CD78" s="243">
        <v>593488</v>
      </c>
      <c r="CE78" s="243">
        <v>708028</v>
      </c>
      <c r="CF78" s="243">
        <v>447737</v>
      </c>
      <c r="CG78" s="1283">
        <v>1</v>
      </c>
    </row>
    <row r="79" spans="1:85" ht="13.2">
      <c r="A79" s="618">
        <v>44999</v>
      </c>
      <c r="B79" s="243">
        <v>1060.7660000000001</v>
      </c>
      <c r="C79" s="243">
        <v>585.99199999999996</v>
      </c>
      <c r="D79" s="367">
        <v>6849.2</v>
      </c>
      <c r="E79" s="1271">
        <v>0</v>
      </c>
      <c r="F79" s="243">
        <v>17272.3</v>
      </c>
      <c r="G79" s="243">
        <v>5437.7</v>
      </c>
      <c r="H79" s="243">
        <v>574549.4</v>
      </c>
      <c r="I79" s="243">
        <v>265609</v>
      </c>
      <c r="J79" s="243">
        <v>204527.4</v>
      </c>
      <c r="K79" s="243"/>
      <c r="L79" s="243"/>
      <c r="M79" s="243">
        <v>14958.9</v>
      </c>
      <c r="N79" s="243">
        <v>7010.9</v>
      </c>
      <c r="O79" s="243">
        <v>44732.1</v>
      </c>
      <c r="P79" s="243">
        <v>35562.5</v>
      </c>
      <c r="Q79" s="243">
        <v>137016.70000000001</v>
      </c>
      <c r="R79" s="243">
        <v>113668.2</v>
      </c>
      <c r="S79" s="243">
        <v>139230.39999999999</v>
      </c>
      <c r="T79" s="243">
        <v>95511.1</v>
      </c>
      <c r="U79" s="981">
        <v>14051.63</v>
      </c>
      <c r="V79" s="981">
        <v>10671.64</v>
      </c>
      <c r="W79" s="243">
        <v>28127.9</v>
      </c>
      <c r="X79" s="243">
        <v>14609.6</v>
      </c>
      <c r="Y79" s="243">
        <v>210107.5</v>
      </c>
      <c r="Z79" s="981">
        <v>345.9</v>
      </c>
      <c r="AA79" s="981">
        <v>50716</v>
      </c>
      <c r="AB79" s="243">
        <v>570625.69999999995</v>
      </c>
      <c r="AC79" s="243">
        <v>290774.7</v>
      </c>
      <c r="AD79" s="243">
        <v>210060.1</v>
      </c>
      <c r="AE79" s="981">
        <v>1112.4000000000001</v>
      </c>
      <c r="AF79" s="1051">
        <v>942</v>
      </c>
      <c r="AG79" s="243">
        <v>35424</v>
      </c>
      <c r="AH79" s="243">
        <v>25255.3</v>
      </c>
      <c r="AI79" s="243">
        <v>82113.100000000006</v>
      </c>
      <c r="AJ79" s="243">
        <v>63485.3</v>
      </c>
      <c r="AK79" s="243">
        <v>65414.3</v>
      </c>
      <c r="AL79" s="243">
        <v>53271.199999999997</v>
      </c>
      <c r="AM79" s="243">
        <v>58995.5</v>
      </c>
      <c r="AN79" s="243">
        <v>23199.8</v>
      </c>
      <c r="AO79" s="243">
        <v>16.399999999999999</v>
      </c>
      <c r="AP79" s="243">
        <v>17.399999999999999</v>
      </c>
      <c r="AQ79" s="243">
        <v>484554.2</v>
      </c>
      <c r="AR79" s="243">
        <v>223628.2</v>
      </c>
      <c r="AS79" s="243">
        <v>64890.1</v>
      </c>
      <c r="AT79" s="243"/>
      <c r="AU79" s="243">
        <v>452662.4</v>
      </c>
      <c r="AV79" s="243">
        <v>199275.7</v>
      </c>
      <c r="AW79" s="243">
        <v>78427</v>
      </c>
      <c r="AX79" s="243">
        <v>4273.3999999999996</v>
      </c>
      <c r="AY79" s="243">
        <v>2846.6</v>
      </c>
      <c r="AZ79" s="243">
        <v>220.5</v>
      </c>
      <c r="BA79" s="243">
        <v>133.4</v>
      </c>
      <c r="BB79" s="243">
        <v>792.91499999999996</v>
      </c>
      <c r="BC79" s="243">
        <v>337.78899999999999</v>
      </c>
      <c r="BD79" s="367">
        <v>1791.4</v>
      </c>
      <c r="BE79" s="243">
        <v>2930</v>
      </c>
      <c r="BF79" s="243">
        <v>459.8</v>
      </c>
      <c r="BG79" s="243">
        <v>6523.02</v>
      </c>
      <c r="BH79" s="243">
        <v>35288.584210526315</v>
      </c>
      <c r="BI79" s="243">
        <v>9739.650116144021</v>
      </c>
      <c r="BJ79" s="243">
        <v>5443.72</v>
      </c>
      <c r="BK79" s="243">
        <v>6593419</v>
      </c>
      <c r="BL79" s="243">
        <v>5012300</v>
      </c>
      <c r="BM79" s="243">
        <v>216309</v>
      </c>
      <c r="BN79" s="243">
        <v>179613</v>
      </c>
      <c r="BO79" s="243">
        <v>130.62004544957136</v>
      </c>
      <c r="BP79" s="243">
        <v>45.904382718473514</v>
      </c>
      <c r="BQ79" s="243">
        <v>661.2123120345268</v>
      </c>
      <c r="BR79" s="243">
        <v>2469159.5</v>
      </c>
      <c r="BS79" s="243">
        <v>484</v>
      </c>
      <c r="BT79" s="243">
        <v>19044.2</v>
      </c>
      <c r="BU79" s="243">
        <v>3154878</v>
      </c>
      <c r="BV79" s="243">
        <v>100228</v>
      </c>
      <c r="BW79" s="243">
        <v>19769.7</v>
      </c>
      <c r="BX79" s="243">
        <v>2857924</v>
      </c>
      <c r="BY79" s="243">
        <v>126908</v>
      </c>
      <c r="BZ79" s="243">
        <v>16884.7</v>
      </c>
      <c r="CA79" s="243">
        <v>8256.7000000000007</v>
      </c>
      <c r="CB79" s="243">
        <v>5626.8</v>
      </c>
      <c r="CC79" s="243">
        <v>1044291</v>
      </c>
      <c r="CD79" s="243">
        <v>594258</v>
      </c>
      <c r="CE79" s="243">
        <v>707426</v>
      </c>
      <c r="CF79" s="243">
        <v>447363</v>
      </c>
      <c r="CG79" s="1283">
        <v>0</v>
      </c>
    </row>
    <row r="80" spans="1:85" ht="13.2">
      <c r="A80" s="618">
        <v>45000</v>
      </c>
      <c r="B80" s="243">
        <v>1060.7660000000001</v>
      </c>
      <c r="C80" s="243">
        <v>585.99199999999996</v>
      </c>
      <c r="D80" s="367">
        <v>6849.2</v>
      </c>
      <c r="E80" s="1271">
        <v>0</v>
      </c>
      <c r="F80" s="243">
        <v>17302.2</v>
      </c>
      <c r="G80" s="243">
        <v>5451.3</v>
      </c>
      <c r="H80" s="243">
        <v>574720.1</v>
      </c>
      <c r="I80" s="243">
        <v>265694.8</v>
      </c>
      <c r="J80" s="243">
        <v>204551.4</v>
      </c>
      <c r="K80" s="243"/>
      <c r="L80" s="243"/>
      <c r="M80" s="243">
        <v>14958.9</v>
      </c>
      <c r="N80" s="243">
        <v>7010.9</v>
      </c>
      <c r="O80" s="243">
        <v>44760.800000000003</v>
      </c>
      <c r="P80" s="243">
        <v>35585.199999999997</v>
      </c>
      <c r="Q80" s="243">
        <v>137031.5</v>
      </c>
      <c r="R80" s="243">
        <v>113680.5</v>
      </c>
      <c r="S80" s="243">
        <v>139247.70000000001</v>
      </c>
      <c r="T80" s="243">
        <v>95523</v>
      </c>
      <c r="U80" s="981">
        <v>14051.63</v>
      </c>
      <c r="V80" s="981">
        <v>10671.64</v>
      </c>
      <c r="W80" s="243">
        <v>28276.5</v>
      </c>
      <c r="X80" s="243">
        <v>14687.8</v>
      </c>
      <c r="Y80" s="243">
        <v>210131.5</v>
      </c>
      <c r="Z80" s="981">
        <v>345.9</v>
      </c>
      <c r="AA80" s="981">
        <v>50716</v>
      </c>
      <c r="AB80" s="243">
        <v>570921.5</v>
      </c>
      <c r="AC80" s="243">
        <v>290923</v>
      </c>
      <c r="AD80" s="243">
        <v>210084.1</v>
      </c>
      <c r="AE80" s="981">
        <v>1112.4000000000001</v>
      </c>
      <c r="AF80" s="1051">
        <v>942</v>
      </c>
      <c r="AG80" s="243">
        <v>35426.1</v>
      </c>
      <c r="AH80" s="243">
        <v>25256.799999999999</v>
      </c>
      <c r="AI80" s="243">
        <v>82119.8</v>
      </c>
      <c r="AJ80" s="243">
        <v>63490.5</v>
      </c>
      <c r="AK80" s="243">
        <v>65423.4</v>
      </c>
      <c r="AL80" s="243">
        <v>53278.8</v>
      </c>
      <c r="AM80" s="243">
        <v>59003.8</v>
      </c>
      <c r="AN80" s="243">
        <v>23202.799999999999</v>
      </c>
      <c r="AO80" s="243">
        <v>16.399999999999999</v>
      </c>
      <c r="AP80" s="243">
        <v>17.399999999999999</v>
      </c>
      <c r="AQ80" s="243">
        <v>484697.8</v>
      </c>
      <c r="AR80" s="243">
        <v>223692.79999999999</v>
      </c>
      <c r="AS80" s="243">
        <v>64895.1</v>
      </c>
      <c r="AT80" s="243"/>
      <c r="AU80" s="243">
        <v>452806.2</v>
      </c>
      <c r="AV80" s="243">
        <v>199338.3</v>
      </c>
      <c r="AW80" s="243">
        <v>78451</v>
      </c>
      <c r="AX80" s="243">
        <v>4274.8</v>
      </c>
      <c r="AY80" s="243">
        <v>2847.5</v>
      </c>
      <c r="AZ80" s="243">
        <v>220.5</v>
      </c>
      <c r="BA80" s="243">
        <v>133.4</v>
      </c>
      <c r="BB80" s="243">
        <v>792.91499999999996</v>
      </c>
      <c r="BC80" s="243">
        <v>337.78899999999999</v>
      </c>
      <c r="BD80" s="367">
        <v>1791.4</v>
      </c>
      <c r="BE80" s="243">
        <v>2932.5</v>
      </c>
      <c r="BF80" s="243">
        <v>460.9</v>
      </c>
      <c r="BG80" s="243">
        <v>5957.77</v>
      </c>
      <c r="BH80" s="243">
        <v>35231.531578947397</v>
      </c>
      <c r="BI80" s="243">
        <v>9329.6572155100603</v>
      </c>
      <c r="BJ80" s="243">
        <v>5346.19</v>
      </c>
      <c r="BK80" s="243">
        <v>6594811</v>
      </c>
      <c r="BL80" s="243">
        <v>5013737</v>
      </c>
      <c r="BM80" s="243">
        <v>216309</v>
      </c>
      <c r="BN80" s="243">
        <v>179613</v>
      </c>
      <c r="BO80" s="243">
        <v>132.06961239338921</v>
      </c>
      <c r="BP80" s="243">
        <v>45.860956902526539</v>
      </c>
      <c r="BQ80" s="243">
        <v>661.77367292024826</v>
      </c>
      <c r="BR80" s="243">
        <v>2471775.5</v>
      </c>
      <c r="BS80" s="243">
        <v>485</v>
      </c>
      <c r="BT80" s="243">
        <v>19068.2</v>
      </c>
      <c r="BU80" s="243">
        <v>3160746</v>
      </c>
      <c r="BV80" s="243">
        <v>100335</v>
      </c>
      <c r="BW80" s="243">
        <v>19793.7</v>
      </c>
      <c r="BX80" s="243">
        <v>2857924</v>
      </c>
      <c r="BY80" s="243">
        <v>126908</v>
      </c>
      <c r="BZ80" s="243">
        <v>16884.7</v>
      </c>
      <c r="CA80" s="243">
        <v>8263</v>
      </c>
      <c r="CB80" s="243">
        <v>5631.24</v>
      </c>
      <c r="CC80" s="243">
        <v>1045670</v>
      </c>
      <c r="CD80" s="243">
        <v>595006</v>
      </c>
      <c r="CE80" s="243">
        <v>707427</v>
      </c>
      <c r="CF80" s="243">
        <v>447364</v>
      </c>
      <c r="CG80" s="1283">
        <v>0</v>
      </c>
    </row>
    <row r="81" spans="1:85" ht="13.2">
      <c r="A81" s="618">
        <v>45001</v>
      </c>
      <c r="B81" s="243">
        <v>1060.7660000000001</v>
      </c>
      <c r="C81" s="243">
        <v>585.99199999999996</v>
      </c>
      <c r="D81" s="367">
        <v>6849.2</v>
      </c>
      <c r="E81" s="1271">
        <v>0</v>
      </c>
      <c r="F81" s="243">
        <v>17332.599999999999</v>
      </c>
      <c r="G81" s="243">
        <v>5465.1</v>
      </c>
      <c r="H81" s="243">
        <v>574887</v>
      </c>
      <c r="I81" s="243">
        <v>265778</v>
      </c>
      <c r="J81" s="243">
        <v>204575.4</v>
      </c>
      <c r="K81" s="243"/>
      <c r="L81" s="243"/>
      <c r="M81" s="243">
        <v>14958.9</v>
      </c>
      <c r="N81" s="243">
        <v>7010.9</v>
      </c>
      <c r="O81" s="243">
        <v>44789.599999999999</v>
      </c>
      <c r="P81" s="243">
        <v>35607.9</v>
      </c>
      <c r="Q81" s="243">
        <v>137046.6</v>
      </c>
      <c r="R81" s="243">
        <v>113693</v>
      </c>
      <c r="S81" s="243">
        <v>139265</v>
      </c>
      <c r="T81" s="243">
        <v>95534.8</v>
      </c>
      <c r="U81" s="981">
        <v>14051.63</v>
      </c>
      <c r="V81" s="981">
        <v>10671.64</v>
      </c>
      <c r="W81" s="243">
        <v>28435</v>
      </c>
      <c r="X81" s="243">
        <v>14770</v>
      </c>
      <c r="Y81" s="243">
        <v>210155.5</v>
      </c>
      <c r="Z81" s="981">
        <v>345.9</v>
      </c>
      <c r="AA81" s="981">
        <v>50716</v>
      </c>
      <c r="AB81" s="243">
        <v>571212</v>
      </c>
      <c r="AC81" s="243">
        <v>291070</v>
      </c>
      <c r="AD81" s="243">
        <v>210108.1</v>
      </c>
      <c r="AE81" s="981">
        <v>1112.4000000000001</v>
      </c>
      <c r="AF81" s="1051">
        <v>942</v>
      </c>
      <c r="AG81" s="243">
        <v>35428.400000000001</v>
      </c>
      <c r="AH81" s="243">
        <v>25258.5</v>
      </c>
      <c r="AI81" s="243">
        <v>82126.600000000006</v>
      </c>
      <c r="AJ81" s="243">
        <v>63495.8</v>
      </c>
      <c r="AK81" s="243">
        <v>65433.9</v>
      </c>
      <c r="AL81" s="243">
        <v>53287.199999999997</v>
      </c>
      <c r="AM81" s="243">
        <v>59012.6</v>
      </c>
      <c r="AN81" s="243">
        <v>23206</v>
      </c>
      <c r="AO81" s="243">
        <v>16.399999999999999</v>
      </c>
      <c r="AP81" s="243">
        <v>17.399999999999999</v>
      </c>
      <c r="AQ81" s="243">
        <v>484841</v>
      </c>
      <c r="AR81" s="243">
        <v>223757</v>
      </c>
      <c r="AS81" s="243">
        <v>64900</v>
      </c>
      <c r="AT81" s="243"/>
      <c r="AU81" s="243">
        <v>452951</v>
      </c>
      <c r="AV81" s="243">
        <v>199401</v>
      </c>
      <c r="AW81" s="243">
        <v>78475</v>
      </c>
      <c r="AX81" s="243">
        <v>4276.2</v>
      </c>
      <c r="AY81" s="243">
        <v>2848.5</v>
      </c>
      <c r="AZ81" s="243">
        <v>220.5</v>
      </c>
      <c r="BA81" s="243">
        <v>133.4</v>
      </c>
      <c r="BB81" s="243">
        <v>792.91499999999996</v>
      </c>
      <c r="BC81" s="243">
        <v>337.78899999999999</v>
      </c>
      <c r="BD81" s="367">
        <v>1791.4</v>
      </c>
      <c r="BE81" s="243">
        <v>2935.1</v>
      </c>
      <c r="BF81" s="243">
        <v>462.1</v>
      </c>
      <c r="BG81" s="243">
        <v>6193.4</v>
      </c>
      <c r="BH81" s="243">
        <v>35139.433333333298</v>
      </c>
      <c r="BI81" s="243">
        <v>10160.7535027913</v>
      </c>
      <c r="BJ81" s="243">
        <v>5496.19</v>
      </c>
      <c r="BK81" s="243">
        <v>6596159</v>
      </c>
      <c r="BL81" s="243">
        <v>5015133</v>
      </c>
      <c r="BM81" s="243">
        <v>216309</v>
      </c>
      <c r="BN81" s="243">
        <v>179613</v>
      </c>
      <c r="BO81" s="243">
        <v>131.61270463621801</v>
      </c>
      <c r="BP81" s="243">
        <v>45.483274941842701</v>
      </c>
      <c r="BQ81" s="243">
        <v>660.0754649134833</v>
      </c>
      <c r="BR81" s="243">
        <v>2474000</v>
      </c>
      <c r="BS81" s="243">
        <v>486</v>
      </c>
      <c r="BT81" s="243">
        <v>19092.2</v>
      </c>
      <c r="BU81" s="243">
        <v>3166700</v>
      </c>
      <c r="BV81" s="243">
        <v>100486</v>
      </c>
      <c r="BW81" s="243">
        <v>19817.7</v>
      </c>
      <c r="BX81" s="243">
        <v>2857924</v>
      </c>
      <c r="BY81" s="243">
        <v>126908</v>
      </c>
      <c r="BZ81" s="243">
        <v>16884.7</v>
      </c>
      <c r="CA81" s="243">
        <v>8269.7000000000007</v>
      </c>
      <c r="CB81" s="243">
        <v>5635.7</v>
      </c>
      <c r="CC81" s="243">
        <v>1046908</v>
      </c>
      <c r="CD81" s="243">
        <v>595680</v>
      </c>
      <c r="CE81" s="243">
        <v>707547</v>
      </c>
      <c r="CF81" s="243">
        <v>447444</v>
      </c>
      <c r="CG81" s="1283">
        <v>0</v>
      </c>
    </row>
    <row r="82" spans="1:85" ht="13.2">
      <c r="A82" s="618">
        <v>45002</v>
      </c>
      <c r="B82" s="243">
        <v>1060.7660000000001</v>
      </c>
      <c r="C82" s="243">
        <v>585.99199999999996</v>
      </c>
      <c r="D82" s="367">
        <v>6849.2</v>
      </c>
      <c r="E82" s="1271">
        <v>0</v>
      </c>
      <c r="F82" s="243">
        <v>17362.8</v>
      </c>
      <c r="G82" s="243">
        <v>5479.3</v>
      </c>
      <c r="H82" s="243">
        <v>575054</v>
      </c>
      <c r="I82" s="243">
        <v>265862</v>
      </c>
      <c r="J82" s="243">
        <v>204599.4</v>
      </c>
      <c r="K82" s="243"/>
      <c r="L82" s="243"/>
      <c r="M82" s="243">
        <v>14958.9</v>
      </c>
      <c r="N82" s="243">
        <v>7011</v>
      </c>
      <c r="O82" s="243">
        <v>44824.1</v>
      </c>
      <c r="P82" s="243">
        <v>35635.5</v>
      </c>
      <c r="Q82" s="243">
        <v>137061.5</v>
      </c>
      <c r="R82" s="243">
        <v>113705.3</v>
      </c>
      <c r="S82" s="243">
        <v>139282.29999999999</v>
      </c>
      <c r="T82" s="243">
        <v>95546.7</v>
      </c>
      <c r="U82" s="981">
        <v>14051.63</v>
      </c>
      <c r="V82" s="981">
        <v>10671.64</v>
      </c>
      <c r="W82" s="243">
        <v>28597</v>
      </c>
      <c r="X82" s="243">
        <v>14852</v>
      </c>
      <c r="Y82" s="243">
        <v>210179.5</v>
      </c>
      <c r="Z82" s="981">
        <v>345.9</v>
      </c>
      <c r="AA82" s="981">
        <v>50716</v>
      </c>
      <c r="AB82" s="243">
        <v>571495</v>
      </c>
      <c r="AC82" s="243">
        <v>291215</v>
      </c>
      <c r="AD82" s="243">
        <v>210132.1</v>
      </c>
      <c r="AE82" s="981">
        <v>1112.4000000000001</v>
      </c>
      <c r="AF82" s="1051">
        <v>942</v>
      </c>
      <c r="AG82" s="243">
        <v>35430.5</v>
      </c>
      <c r="AH82" s="243">
        <v>25260.9</v>
      </c>
      <c r="AI82" s="243">
        <v>82134</v>
      </c>
      <c r="AJ82" s="243">
        <v>63501.4</v>
      </c>
      <c r="AK82" s="243">
        <v>65437.9</v>
      </c>
      <c r="AL82" s="243">
        <v>53290.400000000001</v>
      </c>
      <c r="AM82" s="243">
        <v>59020.800000000003</v>
      </c>
      <c r="AN82" s="243">
        <v>23209</v>
      </c>
      <c r="AO82" s="243">
        <v>16.5</v>
      </c>
      <c r="AP82" s="243">
        <v>17.600000000000001</v>
      </c>
      <c r="AQ82" s="243">
        <v>484985</v>
      </c>
      <c r="AR82" s="243">
        <v>223822</v>
      </c>
      <c r="AS82" s="243">
        <v>64905</v>
      </c>
      <c r="AT82" s="243"/>
      <c r="AU82" s="243">
        <v>453095</v>
      </c>
      <c r="AV82" s="243">
        <v>199464</v>
      </c>
      <c r="AW82" s="243">
        <v>78499</v>
      </c>
      <c r="AX82" s="243">
        <v>4277.6000000000004</v>
      </c>
      <c r="AY82" s="243">
        <v>2849.4</v>
      </c>
      <c r="AZ82" s="243">
        <v>220.5</v>
      </c>
      <c r="BA82" s="243">
        <v>133.4</v>
      </c>
      <c r="BB82" s="243">
        <v>792.91499999999996</v>
      </c>
      <c r="BC82" s="243">
        <v>337.78899999999999</v>
      </c>
      <c r="BD82" s="367">
        <v>1791.4</v>
      </c>
      <c r="BE82" s="243">
        <v>2937.6</v>
      </c>
      <c r="BF82" s="243">
        <v>463.2</v>
      </c>
      <c r="BG82" s="243">
        <v>6217.25</v>
      </c>
      <c r="BH82" s="243">
        <v>35115.236842105303</v>
      </c>
      <c r="BI82" s="243">
        <v>9688.6093046726492</v>
      </c>
      <c r="BJ82" s="243">
        <v>5355.74</v>
      </c>
      <c r="BK82" s="243">
        <v>6597574</v>
      </c>
      <c r="BL82" s="243">
        <v>5016583</v>
      </c>
      <c r="BM82" s="243">
        <v>216309</v>
      </c>
      <c r="BN82" s="243">
        <v>179613</v>
      </c>
      <c r="BO82" s="243">
        <v>130.83402082276115</v>
      </c>
      <c r="BP82" s="243">
        <v>45.630790556564868</v>
      </c>
      <c r="BQ82" s="243">
        <v>661.30108901499557</v>
      </c>
      <c r="BR82" s="243">
        <v>2476200</v>
      </c>
      <c r="BS82" s="243">
        <v>487</v>
      </c>
      <c r="BT82" s="243">
        <v>19116.2</v>
      </c>
      <c r="BU82" s="243">
        <v>3172458</v>
      </c>
      <c r="BV82" s="243">
        <v>100729</v>
      </c>
      <c r="BW82" s="243">
        <v>19841.7</v>
      </c>
      <c r="BX82" s="243">
        <v>2857924</v>
      </c>
      <c r="BY82" s="243">
        <v>126908</v>
      </c>
      <c r="BZ82" s="243">
        <v>16884.7</v>
      </c>
      <c r="CA82" s="243">
        <v>8276.4</v>
      </c>
      <c r="CB82" s="243">
        <v>5640.2</v>
      </c>
      <c r="CC82" s="243">
        <v>1048084</v>
      </c>
      <c r="CD82" s="243">
        <v>596325</v>
      </c>
      <c r="CE82" s="243">
        <v>707759</v>
      </c>
      <c r="CF82" s="243">
        <v>447577</v>
      </c>
      <c r="CG82" s="1283">
        <v>0</v>
      </c>
    </row>
    <row r="83" spans="1:85" ht="13.2">
      <c r="A83" s="618">
        <v>45003</v>
      </c>
      <c r="B83" s="243">
        <v>1060.7660000000001</v>
      </c>
      <c r="C83" s="243">
        <v>585.99199999999996</v>
      </c>
      <c r="D83" s="367">
        <v>6849.2</v>
      </c>
      <c r="E83" s="1271">
        <v>0</v>
      </c>
      <c r="F83" s="243">
        <v>17393.3</v>
      </c>
      <c r="G83" s="243">
        <v>5492.8</v>
      </c>
      <c r="H83" s="243">
        <v>575222</v>
      </c>
      <c r="I83" s="243">
        <v>265948</v>
      </c>
      <c r="J83" s="243">
        <v>204623.4</v>
      </c>
      <c r="K83" s="243"/>
      <c r="L83" s="243"/>
      <c r="M83" s="243">
        <v>14958.9</v>
      </c>
      <c r="N83" s="243">
        <v>7011</v>
      </c>
      <c r="O83" s="243">
        <v>44862.8</v>
      </c>
      <c r="P83" s="243">
        <v>35666.400000000001</v>
      </c>
      <c r="Q83" s="243">
        <v>137077.4</v>
      </c>
      <c r="R83" s="243">
        <v>113718.39999999999</v>
      </c>
      <c r="S83" s="243">
        <v>139299.6</v>
      </c>
      <c r="T83" s="243">
        <v>95558.7</v>
      </c>
      <c r="U83" s="981">
        <v>14051.63</v>
      </c>
      <c r="V83" s="981">
        <v>10671.64</v>
      </c>
      <c r="W83" s="243">
        <v>28748</v>
      </c>
      <c r="X83" s="243">
        <v>14930</v>
      </c>
      <c r="Y83" s="243">
        <v>210203.5</v>
      </c>
      <c r="Z83" s="981">
        <v>345.9</v>
      </c>
      <c r="AA83" s="981">
        <v>50716</v>
      </c>
      <c r="AB83" s="243">
        <v>571793</v>
      </c>
      <c r="AC83" s="243">
        <v>291367</v>
      </c>
      <c r="AD83" s="243">
        <v>210156.1</v>
      </c>
      <c r="AE83" s="981">
        <v>1112.4000000000001</v>
      </c>
      <c r="AF83" s="1051">
        <v>942</v>
      </c>
      <c r="AG83" s="243">
        <v>35432.699999999997</v>
      </c>
      <c r="AH83" s="243">
        <v>25261.8</v>
      </c>
      <c r="AI83" s="243">
        <v>82143.399999999994</v>
      </c>
      <c r="AJ83" s="243">
        <v>63508.7</v>
      </c>
      <c r="AK83" s="243">
        <v>65437.9</v>
      </c>
      <c r="AL83" s="243">
        <v>53290.400000000001</v>
      </c>
      <c r="AM83" s="243">
        <v>59030.9</v>
      </c>
      <c r="AN83" s="243">
        <v>23212.799999999999</v>
      </c>
      <c r="AO83" s="243">
        <v>16.5</v>
      </c>
      <c r="AP83" s="243">
        <v>17.600000000000001</v>
      </c>
      <c r="AQ83" s="243">
        <v>485129</v>
      </c>
      <c r="AR83" s="243">
        <v>223887</v>
      </c>
      <c r="AS83" s="243">
        <v>64910</v>
      </c>
      <c r="AT83" s="243"/>
      <c r="AU83" s="243">
        <v>453240</v>
      </c>
      <c r="AV83" s="243">
        <v>199527</v>
      </c>
      <c r="AW83" s="243">
        <v>78523</v>
      </c>
      <c r="AX83" s="243">
        <v>4279.1000000000004</v>
      </c>
      <c r="AY83" s="243">
        <v>2850.4</v>
      </c>
      <c r="AZ83" s="243">
        <v>220.5</v>
      </c>
      <c r="BA83" s="243">
        <v>133.4</v>
      </c>
      <c r="BB83" s="243">
        <v>792.91499999999996</v>
      </c>
      <c r="BC83" s="243">
        <v>337.78899999999999</v>
      </c>
      <c r="BD83" s="367">
        <v>1791.4</v>
      </c>
      <c r="BE83" s="243">
        <v>2940.2</v>
      </c>
      <c r="BF83" s="243">
        <v>464.6</v>
      </c>
      <c r="BG83" s="243">
        <v>6883.93</v>
      </c>
      <c r="BH83" s="243">
        <v>35318.1280701754</v>
      </c>
      <c r="BI83" s="243">
        <v>10366.936183399301</v>
      </c>
      <c r="BJ83" s="243">
        <v>6046.45</v>
      </c>
      <c r="BK83" s="243">
        <v>6599003</v>
      </c>
      <c r="BL83" s="243">
        <v>5017993</v>
      </c>
      <c r="BM83" s="243">
        <v>216309</v>
      </c>
      <c r="BN83" s="243">
        <v>179613</v>
      </c>
      <c r="BO83" s="243">
        <v>130.83402082276115</v>
      </c>
      <c r="BP83" s="243">
        <v>45.559221166353922</v>
      </c>
      <c r="BQ83" s="243">
        <v>658.30650527455964</v>
      </c>
      <c r="BR83" s="243">
        <v>2478200</v>
      </c>
      <c r="BS83" s="243">
        <v>488</v>
      </c>
      <c r="BT83" s="243">
        <v>19139.5</v>
      </c>
      <c r="BU83" s="243">
        <v>3178489</v>
      </c>
      <c r="BV83" s="243">
        <v>100843</v>
      </c>
      <c r="BW83" s="243">
        <v>19865.7</v>
      </c>
      <c r="BX83" s="243">
        <v>2857924</v>
      </c>
      <c r="BY83" s="243">
        <v>126908</v>
      </c>
      <c r="BZ83" s="243">
        <v>16884.7</v>
      </c>
      <c r="CA83" s="243">
        <v>8282.7999999999993</v>
      </c>
      <c r="CB83" s="243">
        <v>5644.7</v>
      </c>
      <c r="CC83" s="243">
        <v>1049301</v>
      </c>
      <c r="CD83" s="243">
        <v>596993</v>
      </c>
      <c r="CE83" s="243">
        <v>708025</v>
      </c>
      <c r="CF83" s="243">
        <v>447741</v>
      </c>
      <c r="CG83" s="1283">
        <v>0</v>
      </c>
    </row>
    <row r="84" spans="1:85" ht="13.2">
      <c r="A84" s="618">
        <v>45004</v>
      </c>
      <c r="B84" s="243">
        <v>1060.7660000000001</v>
      </c>
      <c r="C84" s="243">
        <v>585.99199999999996</v>
      </c>
      <c r="D84" s="367">
        <v>6849.2</v>
      </c>
      <c r="E84" s="1271">
        <v>0</v>
      </c>
      <c r="F84" s="243">
        <v>17423.5</v>
      </c>
      <c r="G84" s="243">
        <v>5506.4</v>
      </c>
      <c r="H84" s="243">
        <v>575390</v>
      </c>
      <c r="I84" s="243">
        <v>266032</v>
      </c>
      <c r="J84" s="243">
        <v>204647.4</v>
      </c>
      <c r="K84" s="243"/>
      <c r="L84" s="243"/>
      <c r="M84" s="243">
        <v>14958.9</v>
      </c>
      <c r="N84" s="243">
        <v>7011</v>
      </c>
      <c r="O84" s="243">
        <v>44901.5</v>
      </c>
      <c r="P84" s="243">
        <v>35698.300000000003</v>
      </c>
      <c r="Q84" s="243">
        <v>137092.6</v>
      </c>
      <c r="R84" s="243">
        <v>113731.2</v>
      </c>
      <c r="S84" s="243">
        <v>139316.5</v>
      </c>
      <c r="T84" s="243">
        <v>95570.6</v>
      </c>
      <c r="U84" s="981">
        <v>14051.63</v>
      </c>
      <c r="V84" s="981">
        <v>10671.64</v>
      </c>
      <c r="W84" s="243">
        <v>28906</v>
      </c>
      <c r="X84" s="243">
        <v>15010</v>
      </c>
      <c r="Y84" s="243">
        <v>210227.5</v>
      </c>
      <c r="Z84" s="981">
        <v>345.9</v>
      </c>
      <c r="AA84" s="981">
        <v>50716</v>
      </c>
      <c r="AB84" s="243">
        <v>572083</v>
      </c>
      <c r="AC84" s="243">
        <v>291518</v>
      </c>
      <c r="AD84" s="243">
        <v>210180.1</v>
      </c>
      <c r="AE84" s="981">
        <v>1112.4000000000001</v>
      </c>
      <c r="AF84" s="1051">
        <v>942</v>
      </c>
      <c r="AG84" s="243">
        <v>35434.9</v>
      </c>
      <c r="AH84" s="243">
        <v>25263.5</v>
      </c>
      <c r="AI84" s="243">
        <v>82152.399999999994</v>
      </c>
      <c r="AJ84" s="243">
        <v>63515.6</v>
      </c>
      <c r="AK84" s="243">
        <v>65438.1</v>
      </c>
      <c r="AL84" s="243">
        <v>53290.5</v>
      </c>
      <c r="AM84" s="243">
        <v>59038.8</v>
      </c>
      <c r="AN84" s="243">
        <v>23215.8</v>
      </c>
      <c r="AO84" s="243">
        <v>16.5</v>
      </c>
      <c r="AP84" s="243">
        <v>17.600000000000001</v>
      </c>
      <c r="AQ84" s="243">
        <v>485270</v>
      </c>
      <c r="AR84" s="243">
        <v>223950</v>
      </c>
      <c r="AS84" s="243">
        <v>64914</v>
      </c>
      <c r="AT84" s="243"/>
      <c r="AU84" s="243">
        <v>453382</v>
      </c>
      <c r="AV84" s="243">
        <v>199589</v>
      </c>
      <c r="AW84" s="243">
        <v>78547</v>
      </c>
      <c r="AX84" s="243">
        <v>4280.5</v>
      </c>
      <c r="AY84" s="243">
        <v>2851.3</v>
      </c>
      <c r="AZ84" s="243">
        <v>220.55</v>
      </c>
      <c r="BA84" s="243">
        <v>133.47</v>
      </c>
      <c r="BB84" s="243">
        <v>792.91499999999996</v>
      </c>
      <c r="BC84" s="243">
        <v>337.78899999999999</v>
      </c>
      <c r="BD84" s="367">
        <v>1791.4</v>
      </c>
      <c r="BE84" s="243">
        <v>2942.7</v>
      </c>
      <c r="BF84" s="243">
        <v>465.8</v>
      </c>
      <c r="BG84" s="243">
        <v>6603.52</v>
      </c>
      <c r="BH84" s="243">
        <v>34928.294736842101</v>
      </c>
      <c r="BI84" s="243">
        <v>10410.887873737</v>
      </c>
      <c r="BJ84" s="243">
        <v>5256.55</v>
      </c>
      <c r="BK84" s="243">
        <v>6600446</v>
      </c>
      <c r="BL84" s="243">
        <v>5019414</v>
      </c>
      <c r="BM84" s="243">
        <v>216309</v>
      </c>
      <c r="BN84" s="243">
        <v>179613</v>
      </c>
      <c r="BO84" s="243">
        <v>130.79658403541899</v>
      </c>
      <c r="BP84" s="243">
        <v>45.659451403684884</v>
      </c>
      <c r="BQ84" s="243">
        <v>657.75044920212849</v>
      </c>
      <c r="BR84" s="243">
        <v>2480500</v>
      </c>
      <c r="BS84" s="243">
        <v>489</v>
      </c>
      <c r="BT84" s="243">
        <v>19163.5</v>
      </c>
      <c r="BU84" s="243">
        <v>3184416</v>
      </c>
      <c r="BV84" s="243">
        <v>100907</v>
      </c>
      <c r="BW84" s="243">
        <v>19889.7</v>
      </c>
      <c r="BX84" s="243">
        <v>2857924</v>
      </c>
      <c r="BY84" s="243">
        <v>126908</v>
      </c>
      <c r="BZ84" s="243">
        <v>16884.7</v>
      </c>
      <c r="CA84" s="243">
        <v>8289.2000000000007</v>
      </c>
      <c r="CB84" s="243">
        <v>5649.1</v>
      </c>
      <c r="CC84" s="243">
        <v>1050492</v>
      </c>
      <c r="CD84" s="243">
        <v>597648</v>
      </c>
      <c r="CE84" s="243">
        <v>708287</v>
      </c>
      <c r="CF84" s="243">
        <v>447901</v>
      </c>
      <c r="CG84" s="1283">
        <v>0</v>
      </c>
    </row>
    <row r="85" spans="1:85" ht="13.2">
      <c r="A85" s="618">
        <v>45005</v>
      </c>
      <c r="B85" s="243">
        <v>1060.7660000000001</v>
      </c>
      <c r="C85" s="243">
        <v>585.99199999999996</v>
      </c>
      <c r="D85" s="367">
        <v>6849.2</v>
      </c>
      <c r="E85" s="1271">
        <v>0</v>
      </c>
      <c r="F85" s="243">
        <v>17453.900000000001</v>
      </c>
      <c r="G85" s="243">
        <v>5520.1</v>
      </c>
      <c r="H85" s="243">
        <v>575558</v>
      </c>
      <c r="I85" s="243">
        <v>266117</v>
      </c>
      <c r="J85" s="243">
        <v>204671.4</v>
      </c>
      <c r="K85" s="243"/>
      <c r="L85" s="243"/>
      <c r="M85" s="243">
        <v>14958.9</v>
      </c>
      <c r="N85" s="243">
        <v>7011</v>
      </c>
      <c r="O85" s="243">
        <v>44942.7</v>
      </c>
      <c r="P85" s="243">
        <v>35731.800000000003</v>
      </c>
      <c r="Q85" s="243">
        <v>137108.79999999999</v>
      </c>
      <c r="R85" s="243">
        <v>113744.5</v>
      </c>
      <c r="S85" s="243">
        <v>139333.6</v>
      </c>
      <c r="T85" s="243">
        <v>95582.7</v>
      </c>
      <c r="U85" s="981">
        <v>14051.63</v>
      </c>
      <c r="V85" s="981">
        <v>10671.64</v>
      </c>
      <c r="W85" s="243">
        <v>29062</v>
      </c>
      <c r="X85" s="243">
        <v>15090</v>
      </c>
      <c r="Y85" s="243">
        <v>210251.5</v>
      </c>
      <c r="Z85" s="981">
        <v>345.9</v>
      </c>
      <c r="AA85" s="981">
        <v>50716</v>
      </c>
      <c r="AB85" s="243">
        <v>572383</v>
      </c>
      <c r="AC85" s="243">
        <v>291672</v>
      </c>
      <c r="AD85" s="243">
        <v>210204.1</v>
      </c>
      <c r="AE85" s="981">
        <v>1112.4000000000001</v>
      </c>
      <c r="AF85" s="1051">
        <v>942</v>
      </c>
      <c r="AG85" s="243">
        <v>35437.1</v>
      </c>
      <c r="AH85" s="243">
        <v>25265.1</v>
      </c>
      <c r="AI85" s="243">
        <v>82161.2</v>
      </c>
      <c r="AJ85" s="243">
        <v>63522.5</v>
      </c>
      <c r="AK85" s="243">
        <v>65438.5</v>
      </c>
      <c r="AL85" s="243">
        <v>53290.6</v>
      </c>
      <c r="AM85" s="243">
        <v>59050.3</v>
      </c>
      <c r="AN85" s="243">
        <v>23220.3</v>
      </c>
      <c r="AO85" s="243">
        <v>16.5</v>
      </c>
      <c r="AP85" s="243">
        <v>17.600000000000001</v>
      </c>
      <c r="AQ85" s="243">
        <v>485414</v>
      </c>
      <c r="AR85" s="243">
        <v>224015</v>
      </c>
      <c r="AS85" s="243">
        <v>64919</v>
      </c>
      <c r="AT85" s="243"/>
      <c r="AU85" s="243">
        <v>453526</v>
      </c>
      <c r="AV85" s="243">
        <v>199652</v>
      </c>
      <c r="AW85" s="243">
        <v>78571</v>
      </c>
      <c r="AX85" s="243">
        <v>4282.3999999999996</v>
      </c>
      <c r="AY85" s="243">
        <v>2852.6</v>
      </c>
      <c r="AZ85" s="243">
        <v>220.55</v>
      </c>
      <c r="BA85" s="243">
        <v>133.47</v>
      </c>
      <c r="BB85" s="243">
        <v>792.91499999999996</v>
      </c>
      <c r="BC85" s="243">
        <v>337.78899999999999</v>
      </c>
      <c r="BD85" s="367">
        <v>1791.4</v>
      </c>
      <c r="BE85" s="243">
        <v>2945.2</v>
      </c>
      <c r="BF85" s="243">
        <v>466.5</v>
      </c>
      <c r="BG85" s="243">
        <v>6000.67</v>
      </c>
      <c r="BH85" s="243">
        <v>34737.321052631603</v>
      </c>
      <c r="BI85" s="243">
        <v>10572.9787641316</v>
      </c>
      <c r="BJ85" s="243">
        <v>5333.94</v>
      </c>
      <c r="BK85" s="243">
        <v>6601855</v>
      </c>
      <c r="BL85" s="243">
        <v>5020814</v>
      </c>
      <c r="BM85" s="243">
        <v>216309</v>
      </c>
      <c r="BN85" s="243">
        <v>179613</v>
      </c>
      <c r="BO85" s="243">
        <v>129.503145408233</v>
      </c>
      <c r="BP85" s="243">
        <v>45.246761238001682</v>
      </c>
      <c r="BQ85" s="243">
        <v>656.15019677862824</v>
      </c>
      <c r="BR85" s="243">
        <v>2482700</v>
      </c>
      <c r="BS85" s="243">
        <v>490</v>
      </c>
      <c r="BT85" s="243">
        <v>19187.5</v>
      </c>
      <c r="BU85" s="243">
        <v>3190394</v>
      </c>
      <c r="BV85" s="243">
        <v>100995</v>
      </c>
      <c r="BW85" s="243">
        <v>19913.7</v>
      </c>
      <c r="BX85" s="243">
        <v>2857924</v>
      </c>
      <c r="BY85" s="243">
        <v>126908</v>
      </c>
      <c r="BZ85" s="243">
        <v>16884.7</v>
      </c>
      <c r="CA85" s="243">
        <v>8296.4</v>
      </c>
      <c r="CB85" s="243">
        <v>5653.9</v>
      </c>
      <c r="CC85" s="243">
        <v>1051697</v>
      </c>
      <c r="CD85" s="243">
        <v>598308</v>
      </c>
      <c r="CE85" s="243">
        <v>708547</v>
      </c>
      <c r="CF85" s="243">
        <v>448059</v>
      </c>
      <c r="CG85" s="1283">
        <v>0</v>
      </c>
    </row>
    <row r="86" spans="1:85" ht="13.2">
      <c r="A86" s="618">
        <v>45006</v>
      </c>
      <c r="B86" s="243">
        <v>1061.008</v>
      </c>
      <c r="C86" s="243">
        <v>586.07600000000002</v>
      </c>
      <c r="D86" s="367">
        <v>6850</v>
      </c>
      <c r="E86" s="1271">
        <v>0.2</v>
      </c>
      <c r="F86" s="243">
        <v>17484.400000000001</v>
      </c>
      <c r="G86" s="243">
        <v>5534</v>
      </c>
      <c r="H86" s="243">
        <v>575728</v>
      </c>
      <c r="I86" s="243">
        <v>266202</v>
      </c>
      <c r="J86" s="243">
        <v>204695.4</v>
      </c>
      <c r="K86" s="243"/>
      <c r="L86" s="243"/>
      <c r="M86" s="243">
        <v>14958.9</v>
      </c>
      <c r="N86" s="243">
        <v>7011</v>
      </c>
      <c r="O86" s="243">
        <v>44986.3</v>
      </c>
      <c r="P86" s="243">
        <v>35767.4</v>
      </c>
      <c r="Q86" s="243">
        <v>137125.29999999999</v>
      </c>
      <c r="R86" s="243">
        <v>113758.2</v>
      </c>
      <c r="S86" s="243">
        <v>139349.4</v>
      </c>
      <c r="T86" s="243">
        <v>95593.7</v>
      </c>
      <c r="U86" s="981">
        <v>14051.63</v>
      </c>
      <c r="V86" s="981">
        <v>10671.64</v>
      </c>
      <c r="W86" s="243">
        <v>29216</v>
      </c>
      <c r="X86" s="243">
        <v>15172</v>
      </c>
      <c r="Y86" s="243">
        <v>210275.5</v>
      </c>
      <c r="Z86" s="981">
        <v>345.9</v>
      </c>
      <c r="AA86" s="981">
        <v>50716</v>
      </c>
      <c r="AB86" s="243">
        <v>572686</v>
      </c>
      <c r="AC86" s="243">
        <v>291824</v>
      </c>
      <c r="AD86" s="243">
        <v>210228.1</v>
      </c>
      <c r="AE86" s="981">
        <v>1112.4000000000001</v>
      </c>
      <c r="AF86" s="1051">
        <v>942</v>
      </c>
      <c r="AG86" s="243">
        <v>35439.599999999999</v>
      </c>
      <c r="AH86" s="243">
        <v>25266.9</v>
      </c>
      <c r="AI86" s="243">
        <v>82169.7</v>
      </c>
      <c r="AJ86" s="243">
        <v>63529.1</v>
      </c>
      <c r="AK86" s="243">
        <v>65438.5</v>
      </c>
      <c r="AL86" s="243">
        <v>53290.6</v>
      </c>
      <c r="AM86" s="243">
        <v>59061.7</v>
      </c>
      <c r="AN86" s="243">
        <v>23224.799999999999</v>
      </c>
      <c r="AO86" s="243">
        <v>16.5</v>
      </c>
      <c r="AP86" s="243">
        <v>17.600000000000001</v>
      </c>
      <c r="AQ86" s="243">
        <v>485560</v>
      </c>
      <c r="AR86" s="243">
        <v>224081</v>
      </c>
      <c r="AS86" s="243">
        <v>64924</v>
      </c>
      <c r="AT86" s="243"/>
      <c r="AU86" s="243">
        <v>453675</v>
      </c>
      <c r="AV86" s="243">
        <v>199716</v>
      </c>
      <c r="AW86" s="243">
        <v>78595</v>
      </c>
      <c r="AX86" s="243">
        <v>4283.8</v>
      </c>
      <c r="AY86" s="243">
        <v>2853.5</v>
      </c>
      <c r="AZ86" s="243">
        <v>220.6</v>
      </c>
      <c r="BA86" s="243">
        <v>133.5</v>
      </c>
      <c r="BB86" s="243">
        <v>793.226</v>
      </c>
      <c r="BC86" s="243">
        <v>337.90699999999998</v>
      </c>
      <c r="BD86" s="367">
        <v>1791.8</v>
      </c>
      <c r="BE86" s="243">
        <v>2947.8</v>
      </c>
      <c r="BF86" s="243">
        <v>467.7</v>
      </c>
      <c r="BG86" s="243">
        <v>7031.12</v>
      </c>
      <c r="BH86" s="243">
        <v>34610.863157894702</v>
      </c>
      <c r="BI86" s="243">
        <v>10404.382279318999</v>
      </c>
      <c r="BJ86" s="243">
        <v>5027.07</v>
      </c>
      <c r="BK86" s="243">
        <v>6603303</v>
      </c>
      <c r="BL86" s="243">
        <v>5022249</v>
      </c>
      <c r="BM86" s="243">
        <v>216309</v>
      </c>
      <c r="BN86" s="243">
        <v>179613</v>
      </c>
      <c r="BO86" s="243">
        <v>131.067292328565</v>
      </c>
      <c r="BP86" s="243">
        <v>45.470614983876175</v>
      </c>
      <c r="BQ86" s="243">
        <v>655.77184791877823</v>
      </c>
      <c r="BR86" s="243">
        <v>2484800</v>
      </c>
      <c r="BS86" s="243">
        <v>491</v>
      </c>
      <c r="BT86" s="243">
        <v>19211.5</v>
      </c>
      <c r="BU86" s="243">
        <v>3196406</v>
      </c>
      <c r="BV86" s="243">
        <v>101127</v>
      </c>
      <c r="BW86" s="243">
        <v>19937.7</v>
      </c>
      <c r="BX86" s="243">
        <v>2857924</v>
      </c>
      <c r="BY86" s="243">
        <v>126908</v>
      </c>
      <c r="BZ86" s="243">
        <v>16884.7</v>
      </c>
      <c r="CA86" s="243">
        <v>8303.9</v>
      </c>
      <c r="CB86" s="243">
        <v>5658.9</v>
      </c>
      <c r="CC86" s="243">
        <v>1052877</v>
      </c>
      <c r="CD86" s="243">
        <v>598957</v>
      </c>
      <c r="CE86" s="243">
        <v>708853</v>
      </c>
      <c r="CF86" s="243">
        <v>448248</v>
      </c>
      <c r="CG86" s="1283">
        <v>0.3</v>
      </c>
    </row>
    <row r="87" spans="1:85" ht="13.2">
      <c r="A87" s="618">
        <v>45007</v>
      </c>
      <c r="B87" s="243">
        <v>1061.008</v>
      </c>
      <c r="C87" s="243">
        <v>586.07600000000002</v>
      </c>
      <c r="D87" s="367">
        <v>6850</v>
      </c>
      <c r="E87" s="1271">
        <v>0</v>
      </c>
      <c r="F87" s="243">
        <v>17513.7</v>
      </c>
      <c r="G87" s="243">
        <v>5546.9</v>
      </c>
      <c r="H87" s="243">
        <v>575894</v>
      </c>
      <c r="I87" s="243">
        <v>266286</v>
      </c>
      <c r="J87" s="243">
        <v>204719.4</v>
      </c>
      <c r="K87" s="243"/>
      <c r="L87" s="243"/>
      <c r="M87" s="243">
        <v>14958.9</v>
      </c>
      <c r="N87" s="243">
        <v>7011</v>
      </c>
      <c r="O87" s="243">
        <v>45025.5</v>
      </c>
      <c r="P87" s="243">
        <v>35799.300000000003</v>
      </c>
      <c r="Q87" s="243">
        <v>137141</v>
      </c>
      <c r="R87" s="243">
        <v>113770.9</v>
      </c>
      <c r="S87" s="243">
        <v>139363.9</v>
      </c>
      <c r="T87" s="243">
        <v>95603.8</v>
      </c>
      <c r="U87" s="981">
        <v>14051.63</v>
      </c>
      <c r="V87" s="981">
        <v>10671.64</v>
      </c>
      <c r="W87" s="243">
        <v>29370</v>
      </c>
      <c r="X87" s="243">
        <v>15254</v>
      </c>
      <c r="Y87" s="243">
        <v>210299.5</v>
      </c>
      <c r="Z87" s="981">
        <v>345.9</v>
      </c>
      <c r="AA87" s="981">
        <v>50716</v>
      </c>
      <c r="AB87" s="243">
        <v>572984</v>
      </c>
      <c r="AC87" s="243">
        <v>291974</v>
      </c>
      <c r="AD87" s="243">
        <v>210252.1</v>
      </c>
      <c r="AE87" s="981">
        <v>1112.4000000000001</v>
      </c>
      <c r="AF87" s="1051">
        <v>942</v>
      </c>
      <c r="AG87" s="243">
        <v>35442.199999999997</v>
      </c>
      <c r="AH87" s="243">
        <v>25268.7</v>
      </c>
      <c r="AI87" s="243">
        <v>82177.7</v>
      </c>
      <c r="AJ87" s="243">
        <v>63535.3</v>
      </c>
      <c r="AK87" s="243">
        <v>65438.5</v>
      </c>
      <c r="AL87" s="243">
        <v>53290.6</v>
      </c>
      <c r="AM87" s="243">
        <v>59075.8</v>
      </c>
      <c r="AN87" s="243">
        <v>23230.400000000001</v>
      </c>
      <c r="AO87" s="243">
        <v>16.5</v>
      </c>
      <c r="AP87" s="243">
        <v>17.600000000000001</v>
      </c>
      <c r="AQ87" s="243">
        <v>485700</v>
      </c>
      <c r="AR87" s="243">
        <v>224144</v>
      </c>
      <c r="AS87" s="243">
        <v>64929</v>
      </c>
      <c r="AT87" s="243"/>
      <c r="AU87" s="243">
        <v>453814</v>
      </c>
      <c r="AV87" s="243">
        <v>199778</v>
      </c>
      <c r="AW87" s="243">
        <v>78619</v>
      </c>
      <c r="AX87" s="243">
        <v>4285</v>
      </c>
      <c r="AY87" s="243">
        <v>2854.4</v>
      </c>
      <c r="AZ87" s="243">
        <v>220.6</v>
      </c>
      <c r="BA87" s="243">
        <v>133.5</v>
      </c>
      <c r="BB87" s="243">
        <v>793.226</v>
      </c>
      <c r="BC87" s="243">
        <v>337.90699999999998</v>
      </c>
      <c r="BD87" s="367">
        <v>1791.8</v>
      </c>
      <c r="BE87" s="243">
        <v>2950.3</v>
      </c>
      <c r="BF87" s="243">
        <v>469</v>
      </c>
      <c r="BG87" s="243">
        <v>6453.46</v>
      </c>
      <c r="BH87" s="243">
        <v>31828.163157894702</v>
      </c>
      <c r="BI87" s="243">
        <v>9807.5832180759098</v>
      </c>
      <c r="BJ87" s="243">
        <v>4924.47</v>
      </c>
      <c r="BK87" s="243">
        <v>6604764</v>
      </c>
      <c r="BL87" s="243">
        <v>5023707</v>
      </c>
      <c r="BM87" s="243">
        <v>216309</v>
      </c>
      <c r="BN87" s="243">
        <v>179613</v>
      </c>
      <c r="BO87" s="243">
        <v>130.763453116124</v>
      </c>
      <c r="BP87" s="243">
        <v>45.922880594600535</v>
      </c>
      <c r="BQ87" s="243">
        <v>664.73434461103068</v>
      </c>
      <c r="BR87" s="243">
        <v>2487000</v>
      </c>
      <c r="BS87" s="243">
        <v>492</v>
      </c>
      <c r="BT87" s="243">
        <v>19235.5</v>
      </c>
      <c r="BU87" s="243">
        <v>3202171</v>
      </c>
      <c r="BV87" s="243">
        <v>101217</v>
      </c>
      <c r="BW87" s="243">
        <v>19961.7</v>
      </c>
      <c r="BX87" s="243">
        <v>2857924</v>
      </c>
      <c r="BY87" s="243">
        <v>126908</v>
      </c>
      <c r="BZ87" s="243">
        <v>16884.7</v>
      </c>
      <c r="CA87" s="243">
        <v>8311.1</v>
      </c>
      <c r="CB87" s="243">
        <v>5663.7</v>
      </c>
      <c r="CC87" s="243">
        <v>1054143</v>
      </c>
      <c r="CD87" s="243">
        <v>599650</v>
      </c>
      <c r="CE87" s="243">
        <v>708966</v>
      </c>
      <c r="CF87" s="243">
        <v>448319</v>
      </c>
      <c r="CG87" s="1283">
        <v>0</v>
      </c>
    </row>
    <row r="88" spans="1:85" ht="13.2">
      <c r="A88" s="618">
        <v>45008</v>
      </c>
      <c r="B88" s="243">
        <v>1061.008</v>
      </c>
      <c r="C88" s="243">
        <v>586.07600000000002</v>
      </c>
      <c r="D88" s="367">
        <v>6850</v>
      </c>
      <c r="E88" s="1271">
        <v>0</v>
      </c>
      <c r="F88" s="243">
        <v>17543.8</v>
      </c>
      <c r="G88" s="243">
        <v>5560.6</v>
      </c>
      <c r="H88" s="243">
        <v>576064</v>
      </c>
      <c r="I88" s="243">
        <v>266370</v>
      </c>
      <c r="J88" s="244">
        <v>204743.4</v>
      </c>
      <c r="K88" s="981"/>
      <c r="L88" s="981"/>
      <c r="M88" s="243">
        <v>14958.9</v>
      </c>
      <c r="N88" s="243">
        <v>7011</v>
      </c>
      <c r="O88" s="244">
        <v>45064.800000000003</v>
      </c>
      <c r="P88" s="244">
        <v>35831.599999999999</v>
      </c>
      <c r="Q88" s="243">
        <v>137156.4</v>
      </c>
      <c r="R88" s="243">
        <v>113783.6</v>
      </c>
      <c r="S88" s="244">
        <v>139378.79999999999</v>
      </c>
      <c r="T88" s="244">
        <v>95614.1</v>
      </c>
      <c r="U88" s="981">
        <v>14051.63</v>
      </c>
      <c r="V88" s="981">
        <v>10671.64</v>
      </c>
      <c r="W88" s="244">
        <v>29519</v>
      </c>
      <c r="X88" s="244">
        <v>15333</v>
      </c>
      <c r="Y88" s="244">
        <v>210323.5</v>
      </c>
      <c r="Z88" s="981">
        <v>345.9</v>
      </c>
      <c r="AA88" s="981">
        <v>50716</v>
      </c>
      <c r="AB88" s="243">
        <v>573284</v>
      </c>
      <c r="AC88" s="243">
        <v>292126</v>
      </c>
      <c r="AD88" s="243">
        <v>210276.1</v>
      </c>
      <c r="AE88" s="981">
        <v>1112.4000000000001</v>
      </c>
      <c r="AF88" s="1051">
        <v>942</v>
      </c>
      <c r="AG88" s="243">
        <v>35444.9</v>
      </c>
      <c r="AH88" s="243">
        <v>25270.6</v>
      </c>
      <c r="AI88" s="244">
        <v>82186</v>
      </c>
      <c r="AJ88" s="244">
        <v>63541.7</v>
      </c>
      <c r="AK88" s="244">
        <v>65438.5</v>
      </c>
      <c r="AL88" s="244">
        <v>53290.6</v>
      </c>
      <c r="AM88" s="244">
        <v>59087.4</v>
      </c>
      <c r="AN88" s="244">
        <v>23235.1</v>
      </c>
      <c r="AO88" s="243">
        <v>16.5</v>
      </c>
      <c r="AP88" s="243">
        <v>17.600000000000001</v>
      </c>
      <c r="AQ88" s="243">
        <v>485842</v>
      </c>
      <c r="AR88" s="243">
        <v>224208</v>
      </c>
      <c r="AS88" s="402">
        <v>64934</v>
      </c>
      <c r="AT88" s="981"/>
      <c r="AU88" s="244">
        <v>453957</v>
      </c>
      <c r="AV88" s="244">
        <v>199840</v>
      </c>
      <c r="AW88" s="244">
        <v>78643</v>
      </c>
      <c r="AX88" s="243">
        <v>4286.2</v>
      </c>
      <c r="AY88" s="243">
        <v>2855.2</v>
      </c>
      <c r="AZ88" s="243">
        <v>220.6</v>
      </c>
      <c r="BA88" s="243">
        <v>133.5</v>
      </c>
      <c r="BB88" s="243">
        <v>793.226</v>
      </c>
      <c r="BC88" s="243">
        <v>337.90699999999998</v>
      </c>
      <c r="BD88" s="367">
        <v>1791.8</v>
      </c>
      <c r="BE88" s="243">
        <v>2952.9</v>
      </c>
      <c r="BF88" s="243">
        <v>470.2</v>
      </c>
      <c r="BG88" s="243">
        <v>6626.24</v>
      </c>
      <c r="BH88" s="243">
        <v>31643.640350877198</v>
      </c>
      <c r="BI88" s="981">
        <v>9378.9106511157806</v>
      </c>
      <c r="BJ88" s="243">
        <v>5392.19</v>
      </c>
      <c r="BK88" s="654">
        <v>6606195</v>
      </c>
      <c r="BL88" s="654">
        <v>5025128</v>
      </c>
      <c r="BM88" s="243">
        <v>216309</v>
      </c>
      <c r="BN88" s="243">
        <v>179613</v>
      </c>
      <c r="BO88" s="243">
        <v>130.86418150328299</v>
      </c>
      <c r="BP88" s="243">
        <v>45.591657247425907</v>
      </c>
      <c r="BQ88" s="243">
        <v>663.04612273297209</v>
      </c>
      <c r="BR88" s="244">
        <v>2489000</v>
      </c>
      <c r="BS88" s="244">
        <v>493</v>
      </c>
      <c r="BT88" s="244">
        <v>19259.5</v>
      </c>
      <c r="BU88" s="244">
        <v>3208115</v>
      </c>
      <c r="BV88" s="244">
        <v>101358</v>
      </c>
      <c r="BW88" s="244">
        <v>19985.7</v>
      </c>
      <c r="BX88" s="243">
        <v>2857924</v>
      </c>
      <c r="BY88" s="243">
        <v>126908</v>
      </c>
      <c r="BZ88" s="243">
        <v>16884.7</v>
      </c>
      <c r="CA88" s="243">
        <v>8318.7000000000007</v>
      </c>
      <c r="CB88" s="243">
        <v>5668.7</v>
      </c>
      <c r="CC88" s="243">
        <v>1055538</v>
      </c>
      <c r="CD88" s="243">
        <v>600411</v>
      </c>
      <c r="CE88" s="243">
        <v>708966</v>
      </c>
      <c r="CF88" s="243">
        <v>448319</v>
      </c>
      <c r="CG88" s="1283">
        <v>0</v>
      </c>
    </row>
    <row r="89" spans="1:85" ht="13.2">
      <c r="A89" s="618">
        <v>45009</v>
      </c>
      <c r="B89" s="243">
        <v>1061.008</v>
      </c>
      <c r="C89" s="243">
        <v>586.07600000000002</v>
      </c>
      <c r="D89" s="367">
        <v>6850</v>
      </c>
      <c r="E89" s="1271">
        <v>0</v>
      </c>
      <c r="F89" s="243">
        <v>17564</v>
      </c>
      <c r="G89" s="243">
        <v>5568.9</v>
      </c>
      <c r="H89" s="243">
        <v>576232</v>
      </c>
      <c r="I89" s="243">
        <v>266456</v>
      </c>
      <c r="J89" s="244">
        <v>204767.4</v>
      </c>
      <c r="K89" s="981"/>
      <c r="L89" s="981"/>
      <c r="M89" s="243">
        <v>14958.9</v>
      </c>
      <c r="N89" s="243">
        <v>7011</v>
      </c>
      <c r="O89" s="243">
        <v>45105.1</v>
      </c>
      <c r="P89" s="243">
        <v>35864.699999999997</v>
      </c>
      <c r="Q89" s="243">
        <v>137170.6</v>
      </c>
      <c r="R89" s="243">
        <v>113795.8</v>
      </c>
      <c r="S89" s="243">
        <v>139394</v>
      </c>
      <c r="T89" s="243">
        <v>95624.4</v>
      </c>
      <c r="U89" s="981">
        <v>14051.63</v>
      </c>
      <c r="V89" s="981">
        <v>10671.64</v>
      </c>
      <c r="W89" s="243">
        <v>29665</v>
      </c>
      <c r="X89" s="243">
        <v>15408</v>
      </c>
      <c r="Y89" s="244">
        <v>210347.5</v>
      </c>
      <c r="Z89" s="981">
        <v>345.9</v>
      </c>
      <c r="AA89" s="981">
        <v>50716</v>
      </c>
      <c r="AB89" s="243">
        <v>573583</v>
      </c>
      <c r="AC89" s="243">
        <v>292280</v>
      </c>
      <c r="AD89" s="243">
        <v>210300.1</v>
      </c>
      <c r="AE89" s="981">
        <v>1112.4000000000001</v>
      </c>
      <c r="AF89" s="1051">
        <v>942</v>
      </c>
      <c r="AG89" s="243">
        <v>35447.599999999999</v>
      </c>
      <c r="AH89" s="243">
        <v>25272.5</v>
      </c>
      <c r="AI89" s="243">
        <v>82194.3</v>
      </c>
      <c r="AJ89" s="243">
        <v>63548.2</v>
      </c>
      <c r="AK89" s="244">
        <v>65438.5</v>
      </c>
      <c r="AL89" s="244">
        <v>53290.6</v>
      </c>
      <c r="AM89" s="243">
        <v>59091.7</v>
      </c>
      <c r="AN89" s="243">
        <v>23236.799999999999</v>
      </c>
      <c r="AO89" s="243">
        <v>16.5</v>
      </c>
      <c r="AP89" s="243">
        <v>17.600000000000001</v>
      </c>
      <c r="AQ89" s="243">
        <v>485997</v>
      </c>
      <c r="AR89" s="243">
        <v>224279</v>
      </c>
      <c r="AS89" s="402">
        <v>64939</v>
      </c>
      <c r="AT89" s="981"/>
      <c r="AU89" s="243">
        <v>454103</v>
      </c>
      <c r="AV89" s="243">
        <v>199904</v>
      </c>
      <c r="AW89" s="244">
        <v>78667</v>
      </c>
      <c r="AX89" s="243">
        <v>4287.3999999999996</v>
      </c>
      <c r="AY89" s="243">
        <v>2856</v>
      </c>
      <c r="AZ89" s="243">
        <v>220.6</v>
      </c>
      <c r="BA89" s="243">
        <v>133.5</v>
      </c>
      <c r="BB89" s="243">
        <v>793.226</v>
      </c>
      <c r="BC89" s="243">
        <v>337.90699999999998</v>
      </c>
      <c r="BD89" s="367">
        <v>1791.8</v>
      </c>
      <c r="BE89" s="243">
        <v>2955.6</v>
      </c>
      <c r="BF89" s="243">
        <v>471.5</v>
      </c>
      <c r="BG89" s="243">
        <v>6499.82</v>
      </c>
      <c r="BH89" s="243">
        <v>31995.115789473701</v>
      </c>
      <c r="BI89" s="981">
        <v>9359.6904413439006</v>
      </c>
      <c r="BJ89" s="243">
        <v>5464.5</v>
      </c>
      <c r="BK89" s="654">
        <v>6607637</v>
      </c>
      <c r="BL89" s="654">
        <v>5026557</v>
      </c>
      <c r="BM89" s="243">
        <v>216309</v>
      </c>
      <c r="BN89" s="243">
        <v>179613</v>
      </c>
      <c r="BO89" s="243">
        <v>94.680571456170199</v>
      </c>
      <c r="BP89" s="243">
        <v>32.93379909199156</v>
      </c>
      <c r="BQ89" s="243">
        <v>482.61651091617665</v>
      </c>
      <c r="BR89" s="244">
        <v>2491000</v>
      </c>
      <c r="BS89" s="244">
        <v>494</v>
      </c>
      <c r="BT89" s="244">
        <v>19283.5</v>
      </c>
      <c r="BU89" s="244">
        <v>3213961</v>
      </c>
      <c r="BV89" s="244">
        <v>101571</v>
      </c>
      <c r="BW89" s="244">
        <v>20009.7</v>
      </c>
      <c r="BX89" s="243">
        <v>2857924</v>
      </c>
      <c r="BY89" s="243">
        <v>126908</v>
      </c>
      <c r="BZ89" s="243">
        <v>16884.7</v>
      </c>
      <c r="CA89" s="243">
        <v>8326.2999999999993</v>
      </c>
      <c r="CB89" s="243">
        <v>5673.8</v>
      </c>
      <c r="CC89" s="243">
        <v>1056949</v>
      </c>
      <c r="CD89" s="243">
        <v>601182</v>
      </c>
      <c r="CE89" s="243">
        <v>708967</v>
      </c>
      <c r="CF89" s="243">
        <v>448320</v>
      </c>
      <c r="CG89" s="1283">
        <v>0</v>
      </c>
    </row>
    <row r="90" spans="1:85" ht="13.2">
      <c r="A90" s="618">
        <v>45010</v>
      </c>
      <c r="B90" s="243">
        <v>1061.008</v>
      </c>
      <c r="C90" s="243">
        <v>586.07600000000002</v>
      </c>
      <c r="D90" s="367">
        <v>6850</v>
      </c>
      <c r="E90" s="1271">
        <v>0</v>
      </c>
      <c r="F90" s="243">
        <v>17577.3</v>
      </c>
      <c r="G90" s="243">
        <v>5573.7</v>
      </c>
      <c r="H90" s="243">
        <v>576396</v>
      </c>
      <c r="I90" s="243">
        <v>266540</v>
      </c>
      <c r="J90" s="244">
        <v>204791.4</v>
      </c>
      <c r="K90" s="981"/>
      <c r="L90" s="981"/>
      <c r="M90" s="243">
        <v>14958.9</v>
      </c>
      <c r="N90" s="243">
        <v>7011</v>
      </c>
      <c r="O90" s="243">
        <v>45145.2</v>
      </c>
      <c r="P90" s="243">
        <v>35897.699999999997</v>
      </c>
      <c r="Q90" s="243">
        <v>137185.1</v>
      </c>
      <c r="R90" s="243">
        <v>113807.6</v>
      </c>
      <c r="S90" s="243">
        <v>139410.1</v>
      </c>
      <c r="T90" s="243">
        <v>95635.9</v>
      </c>
      <c r="U90" s="981">
        <v>14051.63</v>
      </c>
      <c r="V90" s="981">
        <v>10671.64</v>
      </c>
      <c r="W90" s="243">
        <v>29811</v>
      </c>
      <c r="X90" s="243">
        <v>15482</v>
      </c>
      <c r="Y90" s="243">
        <v>210371.5</v>
      </c>
      <c r="Z90" s="981">
        <v>345.9</v>
      </c>
      <c r="AA90" s="981">
        <v>50716</v>
      </c>
      <c r="AB90" s="243">
        <v>573883</v>
      </c>
      <c r="AC90" s="243">
        <v>292436</v>
      </c>
      <c r="AD90" s="243">
        <v>210324.1</v>
      </c>
      <c r="AE90" s="981">
        <v>1112.4000000000001</v>
      </c>
      <c r="AF90" s="1051">
        <v>942</v>
      </c>
      <c r="AG90" s="243">
        <v>35450</v>
      </c>
      <c r="AH90" s="243">
        <v>25274.2</v>
      </c>
      <c r="AI90" s="243">
        <v>82202</v>
      </c>
      <c r="AJ90" s="243">
        <v>63554.2</v>
      </c>
      <c r="AK90" s="244">
        <v>65438.5</v>
      </c>
      <c r="AL90" s="244">
        <v>53290.6</v>
      </c>
      <c r="AM90" s="243">
        <v>59102.8</v>
      </c>
      <c r="AN90" s="243">
        <v>23241.200000000001</v>
      </c>
      <c r="AO90" s="243">
        <v>16.5</v>
      </c>
      <c r="AP90" s="243">
        <v>17.600000000000001</v>
      </c>
      <c r="AQ90" s="243">
        <v>486157</v>
      </c>
      <c r="AR90" s="243">
        <v>224353</v>
      </c>
      <c r="AS90" s="402">
        <v>64944</v>
      </c>
      <c r="AT90" s="981"/>
      <c r="AU90" s="243">
        <v>454248</v>
      </c>
      <c r="AV90" s="243">
        <v>199967</v>
      </c>
      <c r="AW90" s="244">
        <v>78691</v>
      </c>
      <c r="AX90" s="243">
        <v>4288.6000000000004</v>
      </c>
      <c r="AY90" s="243">
        <v>2856.8</v>
      </c>
      <c r="AZ90" s="243">
        <v>220.6</v>
      </c>
      <c r="BA90" s="243">
        <v>133.5</v>
      </c>
      <c r="BB90" s="243">
        <v>793.226</v>
      </c>
      <c r="BC90" s="243">
        <v>337.90699999999998</v>
      </c>
      <c r="BD90" s="367">
        <v>1791.8</v>
      </c>
      <c r="BE90" s="243">
        <v>2958.2</v>
      </c>
      <c r="BF90" s="243">
        <v>472.9</v>
      </c>
      <c r="BG90" s="243">
        <v>6009.07</v>
      </c>
      <c r="BH90" s="243">
        <v>33479.059649122799</v>
      </c>
      <c r="BI90" s="981">
        <v>10387.3527774991</v>
      </c>
      <c r="BJ90" s="243">
        <v>5163.76</v>
      </c>
      <c r="BK90" s="654">
        <v>6609113</v>
      </c>
      <c r="BL90" s="654">
        <v>5027923</v>
      </c>
      <c r="BM90" s="243">
        <v>216309</v>
      </c>
      <c r="BN90" s="243">
        <v>179613</v>
      </c>
      <c r="BO90" s="243">
        <v>132.685847074376</v>
      </c>
      <c r="BP90" s="243">
        <v>45.865618595493061</v>
      </c>
      <c r="BQ90" s="243">
        <v>668.85226694164658</v>
      </c>
      <c r="BR90" s="243">
        <v>2493000</v>
      </c>
      <c r="BS90" s="243">
        <v>495</v>
      </c>
      <c r="BT90" s="243">
        <v>19307.5</v>
      </c>
      <c r="BU90" s="244">
        <v>3219726</v>
      </c>
      <c r="BV90" s="244">
        <v>101797</v>
      </c>
      <c r="BW90" s="244">
        <v>20033.7</v>
      </c>
      <c r="BX90" s="243">
        <v>2857924</v>
      </c>
      <c r="BY90" s="243">
        <v>126908</v>
      </c>
      <c r="BZ90" s="243">
        <v>16884.7</v>
      </c>
      <c r="CA90" s="243">
        <v>8333.4</v>
      </c>
      <c r="CB90" s="243">
        <v>5678.5</v>
      </c>
      <c r="CC90" s="243">
        <v>1058354</v>
      </c>
      <c r="CD90" s="243">
        <v>601954</v>
      </c>
      <c r="CE90" s="243">
        <v>708968</v>
      </c>
      <c r="CF90" s="243">
        <v>448320</v>
      </c>
      <c r="CG90" s="1283">
        <v>0</v>
      </c>
    </row>
    <row r="91" spans="1:85" ht="13.2">
      <c r="A91" s="618">
        <v>45011</v>
      </c>
      <c r="B91" s="243">
        <v>1061.008</v>
      </c>
      <c r="C91" s="243">
        <v>586.07600000000002</v>
      </c>
      <c r="D91" s="367">
        <v>6850</v>
      </c>
      <c r="E91" s="1271">
        <v>0</v>
      </c>
      <c r="F91" s="243">
        <v>17589.599999999999</v>
      </c>
      <c r="G91" s="243">
        <v>5575.7</v>
      </c>
      <c r="H91" s="243">
        <v>576556</v>
      </c>
      <c r="I91" s="243">
        <v>266622</v>
      </c>
      <c r="J91" s="244">
        <v>204814.6</v>
      </c>
      <c r="K91" s="981"/>
      <c r="L91" s="981"/>
      <c r="M91" s="243">
        <v>14958.9</v>
      </c>
      <c r="N91" s="243">
        <v>7011</v>
      </c>
      <c r="O91" s="243">
        <v>45186.1</v>
      </c>
      <c r="P91" s="243">
        <v>35931.1</v>
      </c>
      <c r="Q91" s="243">
        <v>137199.29999999999</v>
      </c>
      <c r="R91" s="243">
        <v>113819.4</v>
      </c>
      <c r="S91" s="243">
        <v>139427.29999999999</v>
      </c>
      <c r="T91" s="243">
        <v>95648.2</v>
      </c>
      <c r="U91" s="981">
        <v>14051.63</v>
      </c>
      <c r="V91" s="981">
        <v>10671.64</v>
      </c>
      <c r="W91" s="243">
        <v>29957</v>
      </c>
      <c r="X91" s="243">
        <v>15557</v>
      </c>
      <c r="Y91" s="243">
        <v>210395.5</v>
      </c>
      <c r="Z91" s="981">
        <v>345.9</v>
      </c>
      <c r="AA91" s="981">
        <v>50716</v>
      </c>
      <c r="AB91" s="243">
        <v>574179</v>
      </c>
      <c r="AC91" s="243">
        <v>292585</v>
      </c>
      <c r="AD91" s="243">
        <v>210348.1</v>
      </c>
      <c r="AE91" s="981">
        <v>1112.4000000000001</v>
      </c>
      <c r="AF91" s="1051">
        <v>942</v>
      </c>
      <c r="AG91" s="243">
        <v>35452.300000000003</v>
      </c>
      <c r="AH91" s="243">
        <v>25275.8</v>
      </c>
      <c r="AI91" s="243">
        <v>82210.100000000006</v>
      </c>
      <c r="AJ91" s="243">
        <v>63560.5</v>
      </c>
      <c r="AK91" s="244">
        <v>65438.5</v>
      </c>
      <c r="AL91" s="244">
        <v>53290.6</v>
      </c>
      <c r="AM91" s="243">
        <v>59110.8</v>
      </c>
      <c r="AN91" s="243">
        <v>23244.3</v>
      </c>
      <c r="AO91" s="243">
        <v>16.5</v>
      </c>
      <c r="AP91" s="243">
        <v>17.7</v>
      </c>
      <c r="AQ91" s="243">
        <v>486320</v>
      </c>
      <c r="AR91" s="243">
        <v>224428</v>
      </c>
      <c r="AS91" s="402">
        <v>64949</v>
      </c>
      <c r="AT91" s="981"/>
      <c r="AU91" s="243">
        <v>454394</v>
      </c>
      <c r="AV91" s="243">
        <v>200031</v>
      </c>
      <c r="AW91" s="244">
        <v>78715</v>
      </c>
      <c r="AX91" s="243">
        <v>4290.1000000000004</v>
      </c>
      <c r="AY91" s="243">
        <v>2857.8</v>
      </c>
      <c r="AZ91" s="243">
        <v>220.6</v>
      </c>
      <c r="BA91" s="243">
        <v>133.5</v>
      </c>
      <c r="BB91" s="243">
        <v>793.226</v>
      </c>
      <c r="BC91" s="243">
        <v>337.90699999999998</v>
      </c>
      <c r="BD91" s="367">
        <v>1791.8</v>
      </c>
      <c r="BE91" s="243">
        <v>2960.9</v>
      </c>
      <c r="BF91" s="243">
        <v>474.3</v>
      </c>
      <c r="BG91" s="243">
        <v>6141.37</v>
      </c>
      <c r="BH91" s="243">
        <v>33241.587719298201</v>
      </c>
      <c r="BI91" s="981">
        <v>9183.3816274330693</v>
      </c>
      <c r="BJ91" s="243">
        <v>5549.3</v>
      </c>
      <c r="BK91" s="654">
        <v>6610568</v>
      </c>
      <c r="BL91" s="654">
        <v>5029330</v>
      </c>
      <c r="BM91" s="243">
        <v>216309</v>
      </c>
      <c r="BN91" s="243">
        <v>179613</v>
      </c>
      <c r="BO91" s="243">
        <v>132.03838790522201</v>
      </c>
      <c r="BP91" s="243">
        <v>45.607514236833488</v>
      </c>
      <c r="BQ91" s="243">
        <v>667.99039099214247</v>
      </c>
      <c r="BR91" s="243">
        <v>2495000</v>
      </c>
      <c r="BS91" s="243">
        <v>496</v>
      </c>
      <c r="BT91" s="243">
        <v>19329.5</v>
      </c>
      <c r="BU91" s="244">
        <v>3221250</v>
      </c>
      <c r="BV91" s="244">
        <v>101852</v>
      </c>
      <c r="BW91" s="244">
        <v>20039.599999999999</v>
      </c>
      <c r="BX91" s="243">
        <v>2862378</v>
      </c>
      <c r="BY91" s="243">
        <v>126954</v>
      </c>
      <c r="BZ91" s="243">
        <v>16902.099999999999</v>
      </c>
      <c r="CA91" s="243">
        <v>8339.6</v>
      </c>
      <c r="CB91" s="243">
        <v>5682.7</v>
      </c>
      <c r="CC91" s="243">
        <v>1059748</v>
      </c>
      <c r="CD91" s="243">
        <v>602717</v>
      </c>
      <c r="CE91" s="243">
        <v>708968</v>
      </c>
      <c r="CF91" s="243">
        <v>448321</v>
      </c>
      <c r="CG91" s="1283">
        <v>0</v>
      </c>
    </row>
    <row r="92" spans="1:85" ht="13.2">
      <c r="A92" s="618">
        <v>45012</v>
      </c>
      <c r="B92" s="243">
        <v>1061.329</v>
      </c>
      <c r="C92" s="243">
        <v>586.18700000000001</v>
      </c>
      <c r="D92" s="367">
        <v>6850.7</v>
      </c>
      <c r="E92" s="1271">
        <v>0.3</v>
      </c>
      <c r="F92" s="243">
        <v>17601.400000000001</v>
      </c>
      <c r="G92" s="243">
        <v>5577.3</v>
      </c>
      <c r="H92" s="243">
        <v>576718</v>
      </c>
      <c r="I92" s="243">
        <v>266704</v>
      </c>
      <c r="J92" s="244">
        <v>204838.6</v>
      </c>
      <c r="K92" s="981"/>
      <c r="L92" s="981"/>
      <c r="M92" s="243">
        <v>14958.9</v>
      </c>
      <c r="N92" s="243">
        <v>7011</v>
      </c>
      <c r="O92" s="243">
        <v>45228.1</v>
      </c>
      <c r="P92" s="243">
        <v>35965.199999999997</v>
      </c>
      <c r="Q92" s="243">
        <v>137213.5</v>
      </c>
      <c r="R92" s="243">
        <v>113831.1</v>
      </c>
      <c r="S92" s="243">
        <v>139442.79999999999</v>
      </c>
      <c r="T92" s="243">
        <v>95659.1</v>
      </c>
      <c r="U92" s="981">
        <v>14051.63</v>
      </c>
      <c r="V92" s="981">
        <v>10671.64</v>
      </c>
      <c r="W92" s="243">
        <v>30109</v>
      </c>
      <c r="X92" s="243">
        <v>15635</v>
      </c>
      <c r="Y92" s="243">
        <v>210419.5</v>
      </c>
      <c r="Z92" s="981">
        <v>345.9</v>
      </c>
      <c r="AA92" s="981">
        <v>50716</v>
      </c>
      <c r="AB92" s="243">
        <v>574473</v>
      </c>
      <c r="AC92" s="243">
        <v>292733</v>
      </c>
      <c r="AD92" s="243">
        <v>210372.1</v>
      </c>
      <c r="AE92" s="981">
        <v>1112.4000000000001</v>
      </c>
      <c r="AF92" s="1051">
        <v>942</v>
      </c>
      <c r="AG92" s="243">
        <v>35454.699999999997</v>
      </c>
      <c r="AH92" s="243">
        <v>25277.599999999999</v>
      </c>
      <c r="AI92" s="243">
        <v>82218.100000000006</v>
      </c>
      <c r="AJ92" s="243">
        <v>63566.6</v>
      </c>
      <c r="AK92" s="244">
        <v>65438.5</v>
      </c>
      <c r="AL92" s="244">
        <v>53290.6</v>
      </c>
      <c r="AM92" s="243">
        <v>59119.8</v>
      </c>
      <c r="AN92" s="243">
        <v>23247.7</v>
      </c>
      <c r="AO92" s="243">
        <v>16.5</v>
      </c>
      <c r="AP92" s="243">
        <v>17.7</v>
      </c>
      <c r="AQ92" s="243">
        <v>486483</v>
      </c>
      <c r="AR92" s="243">
        <v>224503</v>
      </c>
      <c r="AS92" s="402">
        <v>64954</v>
      </c>
      <c r="AT92" s="981"/>
      <c r="AU92" s="243">
        <v>454540</v>
      </c>
      <c r="AV92" s="243">
        <v>200094</v>
      </c>
      <c r="AW92" s="244">
        <v>78739</v>
      </c>
      <c r="AX92" s="243">
        <v>4291.5</v>
      </c>
      <c r="AY92" s="243">
        <v>2858.8</v>
      </c>
      <c r="AZ92" s="243">
        <v>220.6</v>
      </c>
      <c r="BA92" s="243">
        <v>133.5</v>
      </c>
      <c r="BB92" s="243">
        <v>793.226</v>
      </c>
      <c r="BC92" s="243">
        <v>337.90699999999998</v>
      </c>
      <c r="BD92" s="367">
        <v>1791.8</v>
      </c>
      <c r="BE92" s="243">
        <v>2963.5</v>
      </c>
      <c r="BF92" s="243">
        <v>475.5</v>
      </c>
      <c r="BG92" s="243">
        <v>6513.88</v>
      </c>
      <c r="BH92" s="243">
        <v>33453.443859649102</v>
      </c>
      <c r="BI92" s="981">
        <v>9366.7454665413607</v>
      </c>
      <c r="BJ92" s="243">
        <v>5642.13</v>
      </c>
      <c r="BK92" s="654">
        <v>6612026</v>
      </c>
      <c r="BL92" s="654">
        <v>5030740</v>
      </c>
      <c r="BM92" s="243">
        <v>216309</v>
      </c>
      <c r="BN92" s="243">
        <v>179613</v>
      </c>
      <c r="BO92" s="243">
        <v>131.78702058969017</v>
      </c>
      <c r="BP92" s="243">
        <v>46.015834887293863</v>
      </c>
      <c r="BQ92" s="243">
        <v>669.13047769868228</v>
      </c>
      <c r="BR92" s="243">
        <v>2497000</v>
      </c>
      <c r="BS92" s="243">
        <v>497</v>
      </c>
      <c r="BT92" s="243">
        <v>19353.5</v>
      </c>
      <c r="BU92" s="244">
        <v>3221250</v>
      </c>
      <c r="BV92" s="244">
        <v>101852</v>
      </c>
      <c r="BW92" s="244">
        <v>20039.599999999999</v>
      </c>
      <c r="BX92" s="243">
        <v>2868734</v>
      </c>
      <c r="BY92" s="243">
        <v>126994</v>
      </c>
      <c r="BZ92" s="243">
        <v>16926.099999999999</v>
      </c>
      <c r="CA92" s="243">
        <v>8345.2000000000007</v>
      </c>
      <c r="CB92" s="243">
        <v>5686.6</v>
      </c>
      <c r="CC92" s="243">
        <v>1061109</v>
      </c>
      <c r="CD92" s="243">
        <v>603460</v>
      </c>
      <c r="CE92" s="243">
        <v>708969</v>
      </c>
      <c r="CF92" s="243">
        <v>448321</v>
      </c>
      <c r="CG92" s="1283">
        <v>0</v>
      </c>
    </row>
    <row r="93" spans="1:85" ht="13.2">
      <c r="A93" s="618">
        <v>45013</v>
      </c>
      <c r="B93" s="243">
        <v>1061.329</v>
      </c>
      <c r="C93" s="243">
        <v>586.18700000000001</v>
      </c>
      <c r="D93" s="367">
        <v>6850.7</v>
      </c>
      <c r="E93" s="1271">
        <v>0</v>
      </c>
      <c r="F93" s="243">
        <v>17615</v>
      </c>
      <c r="G93" s="243">
        <v>5579.5</v>
      </c>
      <c r="H93" s="243">
        <v>576883</v>
      </c>
      <c r="I93" s="243">
        <v>266789</v>
      </c>
      <c r="J93" s="244">
        <v>204862.6</v>
      </c>
      <c r="K93" s="244"/>
      <c r="L93" s="244"/>
      <c r="M93" s="243">
        <v>14958.9</v>
      </c>
      <c r="N93" s="243">
        <v>7011</v>
      </c>
      <c r="O93" s="244">
        <v>45269.4</v>
      </c>
      <c r="P93" s="244">
        <v>35998.800000000003</v>
      </c>
      <c r="Q93" s="244">
        <v>137227</v>
      </c>
      <c r="R93" s="244">
        <v>113842</v>
      </c>
      <c r="S93" s="244">
        <v>139457</v>
      </c>
      <c r="T93" s="244">
        <v>95669.3</v>
      </c>
      <c r="U93" s="981">
        <v>14051.63</v>
      </c>
      <c r="V93" s="981">
        <v>10671.64</v>
      </c>
      <c r="W93" s="244">
        <v>30256</v>
      </c>
      <c r="X93" s="244">
        <v>15707</v>
      </c>
      <c r="Y93" s="244">
        <v>210443.5</v>
      </c>
      <c r="Z93" s="981">
        <v>345.9</v>
      </c>
      <c r="AA93" s="981">
        <v>50716</v>
      </c>
      <c r="AB93" s="244">
        <v>574770</v>
      </c>
      <c r="AC93" s="244">
        <v>292883</v>
      </c>
      <c r="AD93" s="244">
        <v>210396.1</v>
      </c>
      <c r="AE93" s="981">
        <v>1112.4000000000001</v>
      </c>
      <c r="AF93" s="1051">
        <v>942</v>
      </c>
      <c r="AG93" s="244">
        <v>35457.300000000003</v>
      </c>
      <c r="AH93" s="244">
        <v>25279.3</v>
      </c>
      <c r="AI93" s="244">
        <v>82225.3</v>
      </c>
      <c r="AJ93" s="244">
        <v>63572.1</v>
      </c>
      <c r="AK93" s="244">
        <v>65438.5</v>
      </c>
      <c r="AL93" s="244">
        <v>53290.6</v>
      </c>
      <c r="AM93" s="244">
        <v>59126.5</v>
      </c>
      <c r="AN93" s="244">
        <v>23250.2</v>
      </c>
      <c r="AO93" s="243">
        <v>16.5</v>
      </c>
      <c r="AP93" s="243">
        <v>17.7</v>
      </c>
      <c r="AQ93" s="244">
        <v>486648</v>
      </c>
      <c r="AR93" s="244">
        <v>224577</v>
      </c>
      <c r="AS93" s="244">
        <v>64958</v>
      </c>
      <c r="AT93" s="244"/>
      <c r="AU93" s="244">
        <v>454688</v>
      </c>
      <c r="AV93" s="244">
        <v>200159</v>
      </c>
      <c r="AW93" s="244">
        <v>78763</v>
      </c>
      <c r="AX93" s="244">
        <v>4293.3999999999996</v>
      </c>
      <c r="AY93" s="244">
        <v>2860.1</v>
      </c>
      <c r="AZ93" s="243">
        <v>220.6</v>
      </c>
      <c r="BA93" s="243">
        <v>133.5</v>
      </c>
      <c r="BB93" s="243">
        <v>793.58799999999997</v>
      </c>
      <c r="BC93" s="243">
        <v>338.04500000000002</v>
      </c>
      <c r="BD93" s="367">
        <v>1792.2</v>
      </c>
      <c r="BE93" s="244">
        <v>2966</v>
      </c>
      <c r="BF93" s="244">
        <v>476</v>
      </c>
      <c r="BG93" s="244">
        <v>6054.4</v>
      </c>
      <c r="BH93" s="244">
        <v>32680.889473684201</v>
      </c>
      <c r="BI93" s="244">
        <v>9268.6622886526293</v>
      </c>
      <c r="BJ93" s="244">
        <v>5434.86</v>
      </c>
      <c r="BK93" s="244">
        <v>6613440</v>
      </c>
      <c r="BL93" s="244">
        <v>5032156</v>
      </c>
      <c r="BM93" s="243">
        <v>216309</v>
      </c>
      <c r="BN93" s="243">
        <v>179613</v>
      </c>
      <c r="BO93" s="244">
        <v>131.41925333267434</v>
      </c>
      <c r="BP93" s="244">
        <v>45.903739253079728</v>
      </c>
      <c r="BQ93" s="244">
        <v>667.66544093729215</v>
      </c>
      <c r="BR93" s="244">
        <v>2498000</v>
      </c>
      <c r="BS93" s="244">
        <v>498</v>
      </c>
      <c r="BT93" s="244">
        <v>19363.2</v>
      </c>
      <c r="BU93" s="244">
        <v>3224887</v>
      </c>
      <c r="BV93" s="244">
        <v>101853</v>
      </c>
      <c r="BW93" s="244">
        <v>20053.7</v>
      </c>
      <c r="BX93" s="243">
        <v>2873305</v>
      </c>
      <c r="BY93" s="243">
        <v>126995</v>
      </c>
      <c r="BZ93" s="243">
        <v>16950.099999999999</v>
      </c>
      <c r="CA93" s="244">
        <v>8350.7000000000007</v>
      </c>
      <c r="CB93" s="244">
        <v>5690.4</v>
      </c>
      <c r="CC93" s="244">
        <v>1062476</v>
      </c>
      <c r="CD93" s="244">
        <v>604214</v>
      </c>
      <c r="CE93" s="244">
        <v>709005</v>
      </c>
      <c r="CF93" s="244">
        <v>448345</v>
      </c>
      <c r="CG93" s="1283">
        <v>0.4</v>
      </c>
    </row>
    <row r="94" spans="1:85" ht="13.2">
      <c r="A94" s="618">
        <v>45014</v>
      </c>
      <c r="B94" s="243">
        <v>1061.329</v>
      </c>
      <c r="C94" s="243">
        <v>586.18700000000001</v>
      </c>
      <c r="D94" s="367">
        <v>6850.7</v>
      </c>
      <c r="E94" s="1271">
        <v>0</v>
      </c>
      <c r="F94" s="243">
        <v>17625.400000000001</v>
      </c>
      <c r="G94" s="243">
        <v>5583</v>
      </c>
      <c r="H94" s="243">
        <v>577046</v>
      </c>
      <c r="I94" s="243">
        <v>266872</v>
      </c>
      <c r="J94" s="244">
        <v>204886.6</v>
      </c>
      <c r="K94" s="244"/>
      <c r="L94" s="244"/>
      <c r="M94" s="243">
        <v>14958.9</v>
      </c>
      <c r="N94" s="243">
        <v>7011</v>
      </c>
      <c r="O94" s="244">
        <v>45309.4</v>
      </c>
      <c r="P94" s="244">
        <v>36031.300000000003</v>
      </c>
      <c r="Q94" s="244">
        <v>137241</v>
      </c>
      <c r="R94" s="244">
        <v>113854</v>
      </c>
      <c r="S94" s="244">
        <v>139473</v>
      </c>
      <c r="T94" s="244">
        <v>95679.9</v>
      </c>
      <c r="U94" s="981">
        <v>14051.63</v>
      </c>
      <c r="V94" s="981">
        <v>10671.64</v>
      </c>
      <c r="W94" s="244">
        <v>30407</v>
      </c>
      <c r="X94" s="244">
        <v>15786</v>
      </c>
      <c r="Y94" s="244">
        <v>210467.5</v>
      </c>
      <c r="Z94" s="981">
        <v>345.9</v>
      </c>
      <c r="AA94" s="981">
        <v>50716</v>
      </c>
      <c r="AB94" s="244">
        <v>575065</v>
      </c>
      <c r="AC94" s="244">
        <v>293032</v>
      </c>
      <c r="AD94" s="244">
        <v>210420.1</v>
      </c>
      <c r="AE94" s="981">
        <v>1112.4000000000001</v>
      </c>
      <c r="AF94" s="1051">
        <v>942</v>
      </c>
      <c r="AG94" s="244">
        <v>35459.800000000003</v>
      </c>
      <c r="AH94" s="244">
        <v>25281</v>
      </c>
      <c r="AI94" s="244">
        <v>82232.899999999994</v>
      </c>
      <c r="AJ94" s="244">
        <v>63578</v>
      </c>
      <c r="AK94" s="244">
        <v>65438.5</v>
      </c>
      <c r="AL94" s="244">
        <v>53290.6</v>
      </c>
      <c r="AM94" s="244">
        <v>59135.5</v>
      </c>
      <c r="AN94" s="244">
        <v>23253.7</v>
      </c>
      <c r="AO94" s="243">
        <v>16.5</v>
      </c>
      <c r="AP94" s="243">
        <v>17.7</v>
      </c>
      <c r="AQ94" s="244">
        <v>486814</v>
      </c>
      <c r="AR94" s="244">
        <v>224654</v>
      </c>
      <c r="AS94" s="244">
        <v>64963</v>
      </c>
      <c r="AT94" s="244"/>
      <c r="AU94" s="244">
        <v>454836</v>
      </c>
      <c r="AV94" s="244">
        <v>200222</v>
      </c>
      <c r="AW94" s="244">
        <v>78787</v>
      </c>
      <c r="AX94" s="244">
        <v>4295.7</v>
      </c>
      <c r="AY94" s="244">
        <v>2861.6</v>
      </c>
      <c r="AZ94" s="243">
        <v>220.6</v>
      </c>
      <c r="BA94" s="243">
        <v>133.5</v>
      </c>
      <c r="BB94" s="243">
        <v>793.58799999999997</v>
      </c>
      <c r="BC94" s="243">
        <v>338.04500000000002</v>
      </c>
      <c r="BD94" s="367">
        <v>1792.2</v>
      </c>
      <c r="BE94" s="244">
        <v>2968.3</v>
      </c>
      <c r="BF94" s="244">
        <v>476.1</v>
      </c>
      <c r="BG94" s="244">
        <v>6288.3899999999994</v>
      </c>
      <c r="BH94" s="244">
        <v>32111.591228070174</v>
      </c>
      <c r="BI94" s="244">
        <v>9090.9585129200768</v>
      </c>
      <c r="BJ94" s="244">
        <v>5545.63</v>
      </c>
      <c r="BK94" s="244">
        <v>6614880</v>
      </c>
      <c r="BL94" s="244">
        <v>5033571</v>
      </c>
      <c r="BM94" s="243">
        <v>216309</v>
      </c>
      <c r="BN94" s="243">
        <v>179613</v>
      </c>
      <c r="BO94" s="244">
        <v>130.91554604109632</v>
      </c>
      <c r="BP94" s="244">
        <v>45.878862287135149</v>
      </c>
      <c r="BQ94" s="244">
        <v>666.91458466298593</v>
      </c>
      <c r="BR94" s="244">
        <v>2501000</v>
      </c>
      <c r="BS94" s="244">
        <v>499</v>
      </c>
      <c r="BT94" s="244">
        <v>19387</v>
      </c>
      <c r="BU94" s="244">
        <v>3225038</v>
      </c>
      <c r="BV94" s="244">
        <v>101854</v>
      </c>
      <c r="BW94" s="244">
        <v>20054.900000000001</v>
      </c>
      <c r="BX94" s="243">
        <v>2878032</v>
      </c>
      <c r="BY94" s="243">
        <v>128003</v>
      </c>
      <c r="BZ94" s="243">
        <v>16974.099999999999</v>
      </c>
      <c r="CA94" s="244">
        <v>8356.2999999999993</v>
      </c>
      <c r="CB94" s="244">
        <v>5694.3</v>
      </c>
      <c r="CC94" s="244">
        <v>1063844</v>
      </c>
      <c r="CD94" s="244">
        <v>604959</v>
      </c>
      <c r="CE94" s="244">
        <v>709006</v>
      </c>
      <c r="CF94" s="244">
        <v>448346</v>
      </c>
      <c r="CG94" s="1283">
        <v>0</v>
      </c>
    </row>
    <row r="95" spans="1:85" ht="13.2">
      <c r="A95" s="618">
        <v>45015</v>
      </c>
      <c r="B95" s="243">
        <v>1061.329</v>
      </c>
      <c r="C95" s="243">
        <v>586.18700000000001</v>
      </c>
      <c r="D95" s="367">
        <v>6850.7</v>
      </c>
      <c r="E95" s="1271">
        <v>0</v>
      </c>
      <c r="F95" s="243">
        <v>17635.900000000001</v>
      </c>
      <c r="G95" s="243">
        <v>5587.8</v>
      </c>
      <c r="H95" s="243">
        <v>577206</v>
      </c>
      <c r="I95" s="243">
        <v>266954</v>
      </c>
      <c r="J95" s="244">
        <v>204910.6</v>
      </c>
      <c r="K95" s="244"/>
      <c r="L95" s="244"/>
      <c r="M95" s="243">
        <v>14958.9</v>
      </c>
      <c r="N95" s="243">
        <v>7011</v>
      </c>
      <c r="O95" s="244">
        <v>45348.7</v>
      </c>
      <c r="P95" s="244">
        <v>36063.1</v>
      </c>
      <c r="Q95" s="244">
        <v>137254</v>
      </c>
      <c r="R95" s="244">
        <v>113865</v>
      </c>
      <c r="S95" s="244">
        <v>139490</v>
      </c>
      <c r="T95" s="244">
        <v>95691.7</v>
      </c>
      <c r="U95" s="981">
        <v>14051.63</v>
      </c>
      <c r="V95" s="981">
        <v>10671.64</v>
      </c>
      <c r="W95" s="244">
        <v>30552.799999999999</v>
      </c>
      <c r="X95" s="244">
        <v>15861.2</v>
      </c>
      <c r="Y95" s="244">
        <v>210491.5</v>
      </c>
      <c r="Z95" s="981">
        <v>345.9</v>
      </c>
      <c r="AA95" s="981">
        <v>50716</v>
      </c>
      <c r="AB95" s="244">
        <v>575350</v>
      </c>
      <c r="AC95" s="244">
        <v>293183</v>
      </c>
      <c r="AD95" s="244">
        <v>210444.1</v>
      </c>
      <c r="AE95" s="981">
        <v>1112.4000000000001</v>
      </c>
      <c r="AF95" s="1051">
        <v>942</v>
      </c>
      <c r="AG95" s="244">
        <v>35461.9</v>
      </c>
      <c r="AH95" s="244">
        <v>25282.6</v>
      </c>
      <c r="AI95" s="244">
        <v>82240.800000000003</v>
      </c>
      <c r="AJ95" s="244">
        <v>63584</v>
      </c>
      <c r="AK95" s="244">
        <v>65438.5</v>
      </c>
      <c r="AL95" s="244">
        <v>53290.6</v>
      </c>
      <c r="AM95" s="244">
        <v>59136.2</v>
      </c>
      <c r="AN95" s="244">
        <v>23254</v>
      </c>
      <c r="AO95" s="243">
        <v>16.5</v>
      </c>
      <c r="AP95" s="243">
        <v>17.7</v>
      </c>
      <c r="AQ95" s="244">
        <v>486978</v>
      </c>
      <c r="AR95" s="244">
        <v>224731</v>
      </c>
      <c r="AS95" s="244">
        <v>64968</v>
      </c>
      <c r="AT95" s="244"/>
      <c r="AU95" s="244">
        <v>454982</v>
      </c>
      <c r="AV95" s="244">
        <v>200286</v>
      </c>
      <c r="AW95" s="244">
        <v>78811</v>
      </c>
      <c r="AX95" s="244">
        <v>4298</v>
      </c>
      <c r="AY95" s="244">
        <v>2863.1</v>
      </c>
      <c r="AZ95" s="243">
        <v>220.6</v>
      </c>
      <c r="BA95" s="243">
        <v>133.5</v>
      </c>
      <c r="BB95" s="243">
        <v>793.58799999999997</v>
      </c>
      <c r="BC95" s="243">
        <v>338.04500000000002</v>
      </c>
      <c r="BD95" s="367">
        <v>1792.2</v>
      </c>
      <c r="BE95" s="244">
        <f>BE94+2.3</f>
        <v>2970.6000000000004</v>
      </c>
      <c r="BF95" s="244">
        <v>476.1</v>
      </c>
      <c r="BG95" s="244">
        <v>6896.0999999999995</v>
      </c>
      <c r="BH95" s="244">
        <v>31859.249122807014</v>
      </c>
      <c r="BI95" s="244">
        <v>10402.764225489444</v>
      </c>
      <c r="BJ95" s="244">
        <v>4991.3900000000003</v>
      </c>
      <c r="BK95" s="244">
        <v>6616367</v>
      </c>
      <c r="BL95" s="244">
        <v>5034972</v>
      </c>
      <c r="BM95" s="243">
        <v>216309</v>
      </c>
      <c r="BN95" s="243">
        <v>179613</v>
      </c>
      <c r="BO95" s="244">
        <v>130.763453116124</v>
      </c>
      <c r="BP95" s="244">
        <v>45.637235951879298</v>
      </c>
      <c r="BQ95" s="244">
        <v>664.73434461103102</v>
      </c>
      <c r="BR95" s="244">
        <v>2503952</v>
      </c>
      <c r="BS95" s="244">
        <v>500</v>
      </c>
      <c r="BT95" s="244">
        <v>19411</v>
      </c>
      <c r="BU95" s="244">
        <v>3225038</v>
      </c>
      <c r="BV95" s="244">
        <v>101854</v>
      </c>
      <c r="BW95" s="244">
        <v>20054.900000000001</v>
      </c>
      <c r="BX95" s="244">
        <v>2882889</v>
      </c>
      <c r="BY95" s="244">
        <v>129041</v>
      </c>
      <c r="BZ95" s="244">
        <v>16998.099999999999</v>
      </c>
      <c r="CA95" s="244">
        <v>8361.7000000000007</v>
      </c>
      <c r="CB95" s="244">
        <v>5698.2</v>
      </c>
      <c r="CC95" s="244">
        <v>1065222</v>
      </c>
      <c r="CD95" s="244">
        <v>605710</v>
      </c>
      <c r="CE95" s="244">
        <v>709006</v>
      </c>
      <c r="CF95" s="244">
        <v>448346</v>
      </c>
      <c r="CG95" s="1283">
        <v>0</v>
      </c>
    </row>
    <row r="96" spans="1:85" ht="13.2">
      <c r="A96" s="618">
        <v>45016</v>
      </c>
      <c r="B96" s="243">
        <v>1061.329</v>
      </c>
      <c r="C96" s="243">
        <v>586.18700000000001</v>
      </c>
      <c r="D96" s="367">
        <v>6850.7</v>
      </c>
      <c r="E96" s="1271">
        <v>0</v>
      </c>
      <c r="F96" s="243">
        <v>17646.599999999999</v>
      </c>
      <c r="G96" s="243">
        <v>5592.6</v>
      </c>
      <c r="H96" s="243">
        <v>577370</v>
      </c>
      <c r="I96" s="243">
        <v>267038</v>
      </c>
      <c r="J96" s="244">
        <v>204934.6</v>
      </c>
      <c r="K96" s="981"/>
      <c r="L96" s="981"/>
      <c r="M96" s="243">
        <v>14958.9</v>
      </c>
      <c r="N96" s="243">
        <v>7011</v>
      </c>
      <c r="O96" s="243">
        <v>45388.7</v>
      </c>
      <c r="P96" s="243">
        <v>36095.599999999999</v>
      </c>
      <c r="Q96" s="243">
        <v>137260.6</v>
      </c>
      <c r="R96" s="243">
        <v>113878.2</v>
      </c>
      <c r="S96" s="243">
        <v>139506</v>
      </c>
      <c r="T96" s="243">
        <v>95703.2</v>
      </c>
      <c r="U96" s="981">
        <v>14051.63</v>
      </c>
      <c r="V96" s="981">
        <v>10671.64</v>
      </c>
      <c r="W96" s="243">
        <v>30700.799999999999</v>
      </c>
      <c r="X96" s="243">
        <v>15939.1</v>
      </c>
      <c r="Y96" s="243">
        <v>210515.5</v>
      </c>
      <c r="Z96" s="981">
        <v>345.9</v>
      </c>
      <c r="AA96" s="981">
        <v>50716</v>
      </c>
      <c r="AB96" s="243">
        <v>575660</v>
      </c>
      <c r="AC96" s="243">
        <v>293341</v>
      </c>
      <c r="AD96" s="243">
        <v>210468.1</v>
      </c>
      <c r="AE96" s="981">
        <v>1112.4000000000001</v>
      </c>
      <c r="AF96" s="1051">
        <v>942</v>
      </c>
      <c r="AG96" s="243">
        <v>35464.400000000001</v>
      </c>
      <c r="AH96" s="243">
        <v>25284.3</v>
      </c>
      <c r="AI96" s="243">
        <v>82247.899999999994</v>
      </c>
      <c r="AJ96" s="243">
        <v>63589.4</v>
      </c>
      <c r="AK96" s="244">
        <v>65438.5</v>
      </c>
      <c r="AL96" s="244">
        <v>53290.6</v>
      </c>
      <c r="AM96" s="243">
        <v>59153</v>
      </c>
      <c r="AN96" s="243">
        <v>23260.6</v>
      </c>
      <c r="AO96" s="243">
        <v>16.5</v>
      </c>
      <c r="AP96" s="243">
        <v>17.7</v>
      </c>
      <c r="AQ96" s="243">
        <v>487146</v>
      </c>
      <c r="AR96" s="243">
        <v>224808</v>
      </c>
      <c r="AS96" s="402">
        <v>64972.9</v>
      </c>
      <c r="AT96" s="981"/>
      <c r="AU96" s="243">
        <v>455130</v>
      </c>
      <c r="AV96" s="243">
        <v>200350</v>
      </c>
      <c r="AW96" s="244">
        <v>78835</v>
      </c>
      <c r="AX96" s="243">
        <v>4299.8999999999996</v>
      </c>
      <c r="AY96" s="243">
        <v>2864.4</v>
      </c>
      <c r="AZ96" s="243">
        <v>220.6</v>
      </c>
      <c r="BA96" s="243">
        <v>133.5</v>
      </c>
      <c r="BB96" s="243">
        <v>793.58799999999997</v>
      </c>
      <c r="BC96" s="243">
        <v>338.04500000000002</v>
      </c>
      <c r="BD96" s="367">
        <v>1792.2</v>
      </c>
      <c r="BE96" s="1763">
        <v>2972.9000000000005</v>
      </c>
      <c r="BF96" s="1763">
        <v>476.20000000000005</v>
      </c>
      <c r="BG96" s="243">
        <v>5744.58</v>
      </c>
      <c r="BH96" s="243">
        <v>31353.4762308998</v>
      </c>
      <c r="BI96" s="981">
        <v>8610.2825506172194</v>
      </c>
      <c r="BJ96" s="243">
        <v>6173.96</v>
      </c>
      <c r="BK96" s="654">
        <v>6617771</v>
      </c>
      <c r="BL96" s="654">
        <v>5036387</v>
      </c>
      <c r="BM96" s="243">
        <v>216309</v>
      </c>
      <c r="BN96" s="243">
        <v>179613</v>
      </c>
      <c r="BO96" s="243">
        <v>130.412812715538</v>
      </c>
      <c r="BP96" s="243">
        <v>45.589890160538197</v>
      </c>
      <c r="BQ96" s="243">
        <v>664.95577543561501</v>
      </c>
      <c r="BR96" s="243">
        <v>2507168</v>
      </c>
      <c r="BS96" s="243">
        <v>501</v>
      </c>
      <c r="BT96" s="243">
        <v>19435</v>
      </c>
      <c r="BU96" s="244">
        <v>3225038</v>
      </c>
      <c r="BV96" s="244">
        <v>101854</v>
      </c>
      <c r="BW96" s="244">
        <v>20054.900000000001</v>
      </c>
      <c r="BX96" s="243">
        <v>2887948</v>
      </c>
      <c r="BY96" s="243">
        <v>130026</v>
      </c>
      <c r="BZ96" s="243">
        <v>17022.099999999999</v>
      </c>
      <c r="CA96" s="243">
        <v>8367.2999999999993</v>
      </c>
      <c r="CB96" s="243">
        <v>5702</v>
      </c>
      <c r="CC96" s="243">
        <v>1066648</v>
      </c>
      <c r="CD96" s="243">
        <v>606482</v>
      </c>
      <c r="CE96" s="243">
        <v>709007</v>
      </c>
      <c r="CF96" s="243">
        <v>448346</v>
      </c>
      <c r="CG96" s="1283">
        <v>0</v>
      </c>
    </row>
    <row r="97" spans="1:85" ht="13.2">
      <c r="A97" s="609"/>
      <c r="B97" s="181"/>
      <c r="C97" s="181"/>
      <c r="D97" s="181"/>
      <c r="E97" s="1272"/>
      <c r="F97" s="181"/>
      <c r="G97" s="181"/>
      <c r="H97" s="178"/>
      <c r="I97" s="178"/>
      <c r="J97" s="179"/>
      <c r="K97" s="181"/>
      <c r="L97" s="181"/>
      <c r="M97" s="182"/>
      <c r="N97" s="181"/>
      <c r="O97" s="181"/>
      <c r="P97" s="181"/>
      <c r="Q97" s="181"/>
      <c r="R97" s="366"/>
      <c r="S97" s="181"/>
      <c r="T97" s="181"/>
      <c r="U97" s="181"/>
      <c r="V97" s="181"/>
      <c r="W97" s="181"/>
      <c r="X97" s="181"/>
      <c r="Y97" s="182"/>
      <c r="Z97" s="181"/>
      <c r="AA97" s="181"/>
      <c r="AB97" s="178"/>
      <c r="AC97" s="180"/>
      <c r="AD97" s="178"/>
      <c r="AE97" s="181"/>
      <c r="AF97" s="181"/>
      <c r="AG97" s="181"/>
      <c r="AH97" s="181"/>
      <c r="AI97" s="181"/>
      <c r="AJ97" s="181"/>
      <c r="AK97" s="181"/>
      <c r="AL97" s="181"/>
      <c r="AM97" s="182"/>
      <c r="AN97" s="182"/>
      <c r="AO97" s="181"/>
      <c r="AP97" s="181"/>
      <c r="AQ97" s="181"/>
      <c r="AR97" s="181"/>
      <c r="AS97" s="630"/>
      <c r="AT97" s="653"/>
      <c r="AU97" s="181"/>
      <c r="AV97" s="181"/>
      <c r="AW97" s="181"/>
      <c r="AX97" s="181"/>
      <c r="AY97" s="181"/>
      <c r="AZ97" s="181"/>
      <c r="BA97" s="181"/>
      <c r="BB97" s="181"/>
      <c r="BC97" s="181"/>
      <c r="BD97" s="1746"/>
      <c r="BE97" s="181"/>
      <c r="BF97" s="181"/>
      <c r="BG97" s="181"/>
      <c r="BH97" s="181"/>
      <c r="BI97" s="983"/>
      <c r="BJ97" s="181"/>
      <c r="BK97" s="653"/>
      <c r="BL97" s="653"/>
      <c r="BM97" s="653"/>
      <c r="BN97" s="653"/>
      <c r="BO97" s="181"/>
      <c r="BP97" s="181"/>
      <c r="BQ97" s="181"/>
      <c r="BR97" s="181"/>
      <c r="BS97" s="181"/>
      <c r="BT97" s="181"/>
      <c r="BU97" s="181"/>
      <c r="BV97" s="181"/>
      <c r="BW97" s="181"/>
      <c r="BX97" s="181"/>
      <c r="BY97" s="181"/>
      <c r="BZ97" s="181"/>
      <c r="CA97" s="181"/>
      <c r="CB97" s="181"/>
      <c r="CC97" s="181"/>
      <c r="CD97" s="181"/>
      <c r="CE97" s="181"/>
      <c r="CF97" s="983"/>
      <c r="CG97" s="1372"/>
    </row>
    <row r="98" spans="1:85" ht="13.2">
      <c r="A98" s="618">
        <v>45016</v>
      </c>
      <c r="B98" s="243">
        <v>1061.329</v>
      </c>
      <c r="C98" s="243">
        <v>586.18700000000001</v>
      </c>
      <c r="D98" s="243">
        <v>6850.7</v>
      </c>
      <c r="E98" s="1271">
        <v>0</v>
      </c>
      <c r="F98" s="243">
        <v>17646.599999999999</v>
      </c>
      <c r="G98" s="243">
        <v>5592.6</v>
      </c>
      <c r="H98" s="243">
        <v>577370</v>
      </c>
      <c r="I98" s="243">
        <v>267038</v>
      </c>
      <c r="J98" s="244">
        <v>204934.6</v>
      </c>
      <c r="K98" s="981"/>
      <c r="L98" s="981"/>
      <c r="M98" s="213">
        <v>14958.9</v>
      </c>
      <c r="N98" s="243">
        <v>7011</v>
      </c>
      <c r="O98" s="243">
        <v>45388.7</v>
      </c>
      <c r="P98" s="243">
        <v>36095.599999999999</v>
      </c>
      <c r="Q98" s="243">
        <v>137260.6</v>
      </c>
      <c r="R98" s="243">
        <v>113878.2</v>
      </c>
      <c r="S98" s="243">
        <v>139506</v>
      </c>
      <c r="T98" s="243">
        <v>95703.2</v>
      </c>
      <c r="U98" s="981">
        <v>14051.63</v>
      </c>
      <c r="V98" s="981">
        <v>10671.64</v>
      </c>
      <c r="W98" s="243">
        <v>30700.799999999999</v>
      </c>
      <c r="X98" s="243">
        <v>15939.1</v>
      </c>
      <c r="Y98" s="243">
        <v>210515.5</v>
      </c>
      <c r="Z98" s="981">
        <v>345.9</v>
      </c>
      <c r="AA98" s="981">
        <v>50716</v>
      </c>
      <c r="AB98" s="243">
        <v>575660</v>
      </c>
      <c r="AC98" s="243">
        <v>293341</v>
      </c>
      <c r="AD98" s="243">
        <v>210468.1</v>
      </c>
      <c r="AE98" s="981">
        <v>1112.4000000000001</v>
      </c>
      <c r="AF98" s="1051">
        <v>942</v>
      </c>
      <c r="AG98" s="243">
        <v>35464.400000000001</v>
      </c>
      <c r="AH98" s="243">
        <v>25284.3</v>
      </c>
      <c r="AI98" s="243">
        <v>82247.899999999994</v>
      </c>
      <c r="AJ98" s="243">
        <v>63589.4</v>
      </c>
      <c r="AK98" s="244">
        <v>65438.5</v>
      </c>
      <c r="AL98" s="244">
        <v>53290.6</v>
      </c>
      <c r="AM98" s="243">
        <v>59153</v>
      </c>
      <c r="AN98" s="243">
        <v>23260.6</v>
      </c>
      <c r="AO98" s="243">
        <v>16.5</v>
      </c>
      <c r="AP98" s="243">
        <v>17.7</v>
      </c>
      <c r="AQ98" s="243">
        <v>487146</v>
      </c>
      <c r="AR98" s="243">
        <v>224808</v>
      </c>
      <c r="AS98" s="402">
        <v>64972.9</v>
      </c>
      <c r="AT98" s="981"/>
      <c r="AU98" s="243">
        <v>455130</v>
      </c>
      <c r="AV98" s="243">
        <v>200350</v>
      </c>
      <c r="AW98" s="244">
        <v>78835</v>
      </c>
      <c r="AX98" s="243">
        <v>4299.8999999999996</v>
      </c>
      <c r="AY98" s="243">
        <v>2864.4</v>
      </c>
      <c r="AZ98" s="981">
        <v>220.6</v>
      </c>
      <c r="BA98" s="981">
        <v>133.5</v>
      </c>
      <c r="BB98" s="243">
        <v>793.58799999999997</v>
      </c>
      <c r="BC98" s="243">
        <v>338.04500000000002</v>
      </c>
      <c r="BD98" s="367">
        <v>1792.2</v>
      </c>
      <c r="BE98" s="1763">
        <v>2925.6</v>
      </c>
      <c r="BF98" s="1763">
        <v>455</v>
      </c>
      <c r="BG98" s="243">
        <v>5744.58</v>
      </c>
      <c r="BH98" s="243">
        <v>31353.4762308998</v>
      </c>
      <c r="BI98" s="981">
        <v>8610.2825506172194</v>
      </c>
      <c r="BJ98" s="243">
        <v>6173.96</v>
      </c>
      <c r="BK98" s="654">
        <v>6617771</v>
      </c>
      <c r="BL98" s="654">
        <v>5036387</v>
      </c>
      <c r="BM98" s="654">
        <v>216309</v>
      </c>
      <c r="BN98" s="654">
        <v>179613</v>
      </c>
      <c r="BO98" s="243">
        <v>130.412812715538</v>
      </c>
      <c r="BP98" s="243">
        <v>45.589890160538197</v>
      </c>
      <c r="BQ98" s="243">
        <v>664.95577543561501</v>
      </c>
      <c r="BR98" s="243">
        <v>2507168</v>
      </c>
      <c r="BS98" s="243">
        <v>501</v>
      </c>
      <c r="BT98" s="243">
        <v>19435</v>
      </c>
      <c r="BU98" s="243">
        <v>3225038</v>
      </c>
      <c r="BV98" s="243">
        <v>101854</v>
      </c>
      <c r="BW98" s="243">
        <v>20054.900000000001</v>
      </c>
      <c r="BX98" s="243">
        <v>2887948</v>
      </c>
      <c r="BY98" s="243">
        <v>130026</v>
      </c>
      <c r="BZ98" s="243">
        <v>17022.099999999999</v>
      </c>
      <c r="CA98" s="243">
        <v>8367.2999999999993</v>
      </c>
      <c r="CB98" s="243">
        <v>5702</v>
      </c>
      <c r="CC98" s="243">
        <v>1066648</v>
      </c>
      <c r="CD98" s="243">
        <v>606482</v>
      </c>
      <c r="CE98" s="243">
        <v>709007</v>
      </c>
      <c r="CF98" s="243">
        <v>448346</v>
      </c>
      <c r="CG98" s="1283">
        <v>0</v>
      </c>
    </row>
    <row r="99" spans="1:85" ht="13.2">
      <c r="A99" s="618">
        <v>45017</v>
      </c>
      <c r="B99" s="243">
        <v>1061.329</v>
      </c>
      <c r="C99" s="243">
        <v>586.18700000000001</v>
      </c>
      <c r="D99" s="243">
        <v>6850.7</v>
      </c>
      <c r="E99" s="1271">
        <v>0</v>
      </c>
      <c r="F99" s="243">
        <v>17657.400000000001</v>
      </c>
      <c r="G99" s="243">
        <v>5597.4</v>
      </c>
      <c r="H99" s="243">
        <v>577536</v>
      </c>
      <c r="I99" s="243">
        <v>267122</v>
      </c>
      <c r="J99" s="243">
        <v>204958.6</v>
      </c>
      <c r="K99" s="243"/>
      <c r="L99" s="243"/>
      <c r="M99" s="213">
        <v>14958.9</v>
      </c>
      <c r="N99" s="243">
        <v>7011</v>
      </c>
      <c r="O99" s="243">
        <v>45427.8</v>
      </c>
      <c r="P99" s="243">
        <v>36127.1</v>
      </c>
      <c r="Q99" s="243">
        <v>137285</v>
      </c>
      <c r="R99" s="243">
        <v>113890</v>
      </c>
      <c r="S99" s="243">
        <v>139521</v>
      </c>
      <c r="T99" s="243">
        <v>95714.3</v>
      </c>
      <c r="U99" s="981">
        <v>14051.63</v>
      </c>
      <c r="V99" s="981">
        <v>10671.64</v>
      </c>
      <c r="W99" s="243">
        <v>30848</v>
      </c>
      <c r="X99" s="243">
        <v>16008.5</v>
      </c>
      <c r="Y99" s="243">
        <v>210539.5</v>
      </c>
      <c r="Z99" s="981">
        <v>345.9</v>
      </c>
      <c r="AA99" s="981">
        <v>50716</v>
      </c>
      <c r="AB99" s="243">
        <v>575967</v>
      </c>
      <c r="AC99" s="243">
        <v>293506</v>
      </c>
      <c r="AD99" s="243">
        <v>210492.1</v>
      </c>
      <c r="AE99" s="981">
        <v>1112.4000000000001</v>
      </c>
      <c r="AF99" s="1051">
        <v>942</v>
      </c>
      <c r="AG99" s="243">
        <v>35467</v>
      </c>
      <c r="AH99" s="243">
        <v>25286.1</v>
      </c>
      <c r="AI99" s="243">
        <v>82254.899999999994</v>
      </c>
      <c r="AJ99" s="243">
        <v>63594.7</v>
      </c>
      <c r="AK99" s="243">
        <v>65438.5</v>
      </c>
      <c r="AL99" s="243">
        <v>53290.6</v>
      </c>
      <c r="AM99" s="243">
        <v>59163.4</v>
      </c>
      <c r="AN99" s="243">
        <v>23264.5</v>
      </c>
      <c r="AO99" s="243">
        <v>16.5</v>
      </c>
      <c r="AP99" s="243">
        <v>17.7</v>
      </c>
      <c r="AQ99" s="243">
        <v>487318</v>
      </c>
      <c r="AR99" s="243">
        <v>224887</v>
      </c>
      <c r="AS99" s="243">
        <v>64977.4</v>
      </c>
      <c r="AT99" s="243"/>
      <c r="AU99" s="243">
        <v>455283</v>
      </c>
      <c r="AV99" s="243">
        <v>200417</v>
      </c>
      <c r="AW99" s="243">
        <v>78859</v>
      </c>
      <c r="AX99" s="243">
        <v>4302.3</v>
      </c>
      <c r="AY99" s="243">
        <v>2866</v>
      </c>
      <c r="AZ99" s="981">
        <v>220.6</v>
      </c>
      <c r="BA99" s="981">
        <v>133.5</v>
      </c>
      <c r="BB99" s="243">
        <v>793.58799999999997</v>
      </c>
      <c r="BC99" s="243">
        <v>338.04500000000002</v>
      </c>
      <c r="BD99" s="367">
        <v>1792.2</v>
      </c>
      <c r="BE99" s="243">
        <v>2928</v>
      </c>
      <c r="BF99" s="243">
        <v>455</v>
      </c>
      <c r="BG99" s="243">
        <v>5823.93</v>
      </c>
      <c r="BH99" s="243">
        <v>32326.485964912299</v>
      </c>
      <c r="BI99" s="243">
        <v>9995.3979890534993</v>
      </c>
      <c r="BJ99" s="243">
        <v>5572.87</v>
      </c>
      <c r="BK99" s="243">
        <v>6619204</v>
      </c>
      <c r="BL99" s="243">
        <v>5037800</v>
      </c>
      <c r="BM99" s="243">
        <v>216309</v>
      </c>
      <c r="BN99" s="243">
        <v>179613</v>
      </c>
      <c r="BO99" s="243">
        <v>130.32623534070501</v>
      </c>
      <c r="BP99" s="243">
        <v>45.645950755511997</v>
      </c>
      <c r="BQ99" s="243">
        <v>662.71155775227101</v>
      </c>
      <c r="BR99" s="243">
        <v>2510504</v>
      </c>
      <c r="BS99" s="243">
        <v>502</v>
      </c>
      <c r="BT99" s="243">
        <v>19459</v>
      </c>
      <c r="BU99" s="243">
        <v>3225038</v>
      </c>
      <c r="BV99" s="243">
        <v>101854</v>
      </c>
      <c r="BW99" s="243">
        <v>20054.900000000001</v>
      </c>
      <c r="BX99" s="243">
        <v>2893034</v>
      </c>
      <c r="BY99" s="243">
        <v>130972</v>
      </c>
      <c r="BZ99" s="243">
        <v>17046.099999999999</v>
      </c>
      <c r="CA99" s="243">
        <v>8372.7999999999993</v>
      </c>
      <c r="CB99" s="243">
        <v>5705.9</v>
      </c>
      <c r="CC99" s="243">
        <v>1068666</v>
      </c>
      <c r="CD99" s="243">
        <v>607253</v>
      </c>
      <c r="CE99" s="243">
        <v>709007</v>
      </c>
      <c r="CF99" s="243">
        <v>448347</v>
      </c>
      <c r="CG99" s="1762">
        <v>0</v>
      </c>
    </row>
    <row r="100" spans="1:85" ht="13.2">
      <c r="A100" s="618">
        <v>45018</v>
      </c>
      <c r="B100" s="243">
        <v>1061.329</v>
      </c>
      <c r="C100" s="243">
        <v>586.18700000000001</v>
      </c>
      <c r="D100" s="243">
        <v>6850.7</v>
      </c>
      <c r="E100" s="1271">
        <v>0</v>
      </c>
      <c r="F100" s="243">
        <v>17668.8</v>
      </c>
      <c r="G100" s="243">
        <v>5601.2</v>
      </c>
      <c r="H100" s="243">
        <v>577701</v>
      </c>
      <c r="I100" s="243">
        <v>267206</v>
      </c>
      <c r="J100" s="243">
        <v>204982.6</v>
      </c>
      <c r="K100" s="243"/>
      <c r="L100" s="243"/>
      <c r="M100" s="213">
        <v>14958.9</v>
      </c>
      <c r="N100" s="243">
        <v>7011</v>
      </c>
      <c r="O100" s="243">
        <v>45466.9</v>
      </c>
      <c r="P100" s="243">
        <v>36158.5</v>
      </c>
      <c r="Q100" s="243">
        <v>137301</v>
      </c>
      <c r="R100" s="243">
        <v>113903</v>
      </c>
      <c r="S100" s="243">
        <v>139534</v>
      </c>
      <c r="T100" s="243">
        <v>95724.3</v>
      </c>
      <c r="U100" s="981">
        <v>14051.63</v>
      </c>
      <c r="V100" s="981">
        <v>10671.64</v>
      </c>
      <c r="W100" s="243">
        <v>30995</v>
      </c>
      <c r="X100" s="243">
        <v>16079</v>
      </c>
      <c r="Y100" s="243">
        <v>210563.5</v>
      </c>
      <c r="Z100" s="981">
        <v>345.9</v>
      </c>
      <c r="AA100" s="981">
        <v>50716</v>
      </c>
      <c r="AB100" s="243">
        <v>576275</v>
      </c>
      <c r="AC100" s="243">
        <v>293666</v>
      </c>
      <c r="AD100" s="243">
        <v>210516.1</v>
      </c>
      <c r="AE100" s="981">
        <v>1112.4000000000001</v>
      </c>
      <c r="AF100" s="1051">
        <v>942</v>
      </c>
      <c r="AG100" s="243">
        <v>35469.4</v>
      </c>
      <c r="AH100" s="243">
        <v>25287.8</v>
      </c>
      <c r="AI100" s="243">
        <v>82261.899999999994</v>
      </c>
      <c r="AJ100" s="243">
        <v>63600.1</v>
      </c>
      <c r="AK100" s="243">
        <v>65438.5</v>
      </c>
      <c r="AL100" s="243">
        <v>53290.6</v>
      </c>
      <c r="AM100" s="243">
        <v>59175.6</v>
      </c>
      <c r="AN100" s="243">
        <v>23269.200000000001</v>
      </c>
      <c r="AO100" s="243">
        <v>16.5</v>
      </c>
      <c r="AP100" s="243">
        <v>17.7</v>
      </c>
      <c r="AQ100" s="243">
        <v>487488</v>
      </c>
      <c r="AR100" s="243">
        <v>224966</v>
      </c>
      <c r="AS100" s="243">
        <v>64981.4</v>
      </c>
      <c r="AT100" s="243"/>
      <c r="AU100" s="243">
        <v>455436</v>
      </c>
      <c r="AV100" s="243">
        <v>200482</v>
      </c>
      <c r="AW100" s="243">
        <v>78883</v>
      </c>
      <c r="AX100" s="243">
        <v>4304.6000000000004</v>
      </c>
      <c r="AY100" s="243">
        <v>2867.5</v>
      </c>
      <c r="AZ100" s="981">
        <v>220.6</v>
      </c>
      <c r="BA100" s="981">
        <v>133.5</v>
      </c>
      <c r="BB100" s="243">
        <v>793.58799999999997</v>
      </c>
      <c r="BC100" s="243">
        <v>338.04500000000002</v>
      </c>
      <c r="BD100" s="367">
        <v>1792.2</v>
      </c>
      <c r="BE100" s="243">
        <v>2930.4</v>
      </c>
      <c r="BF100" s="243">
        <v>455.1</v>
      </c>
      <c r="BG100" s="243">
        <v>5520.96</v>
      </c>
      <c r="BH100" s="243">
        <v>31966.496491228099</v>
      </c>
      <c r="BI100" s="243">
        <v>9431.29354661867</v>
      </c>
      <c r="BJ100" s="243">
        <v>5526.36</v>
      </c>
      <c r="BK100" s="243">
        <v>6620580</v>
      </c>
      <c r="BL100" s="243">
        <v>5039139</v>
      </c>
      <c r="BM100" s="243">
        <v>216309</v>
      </c>
      <c r="BN100" s="243">
        <v>179613</v>
      </c>
      <c r="BO100" s="243">
        <v>130.28247650440201</v>
      </c>
      <c r="BP100" s="243">
        <v>45.592190698440703</v>
      </c>
      <c r="BQ100" s="243">
        <v>662.88881896539203</v>
      </c>
      <c r="BR100" s="243">
        <v>2512352.6</v>
      </c>
      <c r="BS100" s="243">
        <v>503</v>
      </c>
      <c r="BT100" s="243">
        <v>19482.400000000001</v>
      </c>
      <c r="BU100" s="243">
        <v>3226897</v>
      </c>
      <c r="BV100" s="243">
        <v>101899</v>
      </c>
      <c r="BW100" s="243">
        <v>20064.7</v>
      </c>
      <c r="BX100" s="243">
        <v>2897071</v>
      </c>
      <c r="BY100" s="243">
        <v>131513</v>
      </c>
      <c r="BZ100" s="243">
        <v>17070.099999999999</v>
      </c>
      <c r="CA100" s="243">
        <v>8378.2999999999993</v>
      </c>
      <c r="CB100" s="243">
        <v>5709.7</v>
      </c>
      <c r="CC100" s="243">
        <v>1069468</v>
      </c>
      <c r="CD100" s="243">
        <v>608018</v>
      </c>
      <c r="CE100" s="243">
        <v>709008</v>
      </c>
      <c r="CF100" s="243">
        <v>448347</v>
      </c>
      <c r="CG100" s="1762">
        <v>0</v>
      </c>
    </row>
    <row r="101" spans="1:85" ht="13.2">
      <c r="A101" s="618">
        <v>45019</v>
      </c>
      <c r="B101" s="243">
        <v>1061.4739999999999</v>
      </c>
      <c r="C101" s="243">
        <v>586.25699999999995</v>
      </c>
      <c r="D101" s="243">
        <v>6851.3</v>
      </c>
      <c r="E101" s="1271">
        <v>0.6</v>
      </c>
      <c r="F101" s="243">
        <v>17685.099999999999</v>
      </c>
      <c r="G101" s="243">
        <v>5605</v>
      </c>
      <c r="H101" s="243">
        <v>577870</v>
      </c>
      <c r="I101" s="243">
        <v>267291</v>
      </c>
      <c r="J101" s="243">
        <v>205006.6</v>
      </c>
      <c r="K101" s="243"/>
      <c r="L101" s="243"/>
      <c r="M101" s="213">
        <v>14958.9</v>
      </c>
      <c r="N101" s="243">
        <v>7011</v>
      </c>
      <c r="O101" s="243">
        <v>45505.3</v>
      </c>
      <c r="P101" s="243">
        <v>36189.4</v>
      </c>
      <c r="Q101" s="243">
        <v>137316.1</v>
      </c>
      <c r="R101" s="243">
        <v>113915.4</v>
      </c>
      <c r="S101" s="243">
        <v>139549</v>
      </c>
      <c r="T101" s="243">
        <v>95734.399999999994</v>
      </c>
      <c r="U101" s="981">
        <v>14051.63</v>
      </c>
      <c r="V101" s="981">
        <v>10671.64</v>
      </c>
      <c r="W101" s="243">
        <v>31142.2</v>
      </c>
      <c r="X101" s="243">
        <v>16150.8</v>
      </c>
      <c r="Y101" s="243">
        <v>210587.5</v>
      </c>
      <c r="Z101" s="981">
        <v>345.9</v>
      </c>
      <c r="AA101" s="981">
        <v>50716</v>
      </c>
      <c r="AB101" s="243">
        <v>576578</v>
      </c>
      <c r="AC101" s="243">
        <v>293819</v>
      </c>
      <c r="AD101" s="243">
        <v>210540.1</v>
      </c>
      <c r="AE101" s="981">
        <v>1112.4000000000001</v>
      </c>
      <c r="AF101" s="1051">
        <v>942</v>
      </c>
      <c r="AG101" s="243">
        <v>35471.800000000003</v>
      </c>
      <c r="AH101" s="243">
        <v>25289.5</v>
      </c>
      <c r="AI101" s="243">
        <v>82270.8</v>
      </c>
      <c r="AJ101" s="243">
        <v>63607</v>
      </c>
      <c r="AK101" s="243">
        <v>65438.5</v>
      </c>
      <c r="AL101" s="243">
        <v>53290.6</v>
      </c>
      <c r="AM101" s="243">
        <v>59180.6</v>
      </c>
      <c r="AN101" s="243">
        <v>23271.1</v>
      </c>
      <c r="AO101" s="243">
        <v>16.5</v>
      </c>
      <c r="AP101" s="243">
        <v>17.7</v>
      </c>
      <c r="AQ101" s="243">
        <v>487653</v>
      </c>
      <c r="AR101" s="243">
        <v>225038</v>
      </c>
      <c r="AS101" s="243">
        <v>64986.1</v>
      </c>
      <c r="AT101" s="243"/>
      <c r="AU101" s="243">
        <v>455589</v>
      </c>
      <c r="AV101" s="243">
        <v>200549</v>
      </c>
      <c r="AW101" s="243">
        <v>78907</v>
      </c>
      <c r="AX101" s="243">
        <v>4306.3999999999996</v>
      </c>
      <c r="AY101" s="243">
        <v>2868.8</v>
      </c>
      <c r="AZ101" s="981">
        <v>220.6</v>
      </c>
      <c r="BA101" s="981">
        <v>133.5</v>
      </c>
      <c r="BB101" s="243">
        <v>793.87400000000002</v>
      </c>
      <c r="BC101" s="243">
        <v>338.154</v>
      </c>
      <c r="BD101" s="243">
        <v>1792.6</v>
      </c>
      <c r="BE101" s="243">
        <v>2932.7</v>
      </c>
      <c r="BF101" s="243">
        <v>455.2</v>
      </c>
      <c r="BG101" s="243">
        <v>5807.6800000000012</v>
      </c>
      <c r="BH101" s="243">
        <v>31388.359649122809</v>
      </c>
      <c r="BI101" s="243">
        <v>9118.4701941348758</v>
      </c>
      <c r="BJ101" s="243">
        <v>4155.13</v>
      </c>
      <c r="BK101" s="243">
        <v>6621529</v>
      </c>
      <c r="BL101" s="243">
        <v>5039987</v>
      </c>
      <c r="BM101" s="243">
        <v>216309</v>
      </c>
      <c r="BN101" s="243">
        <v>179613</v>
      </c>
      <c r="BO101" s="243">
        <v>130.19357967594499</v>
      </c>
      <c r="BP101" s="243">
        <v>45.769488714425101</v>
      </c>
      <c r="BQ101" s="243">
        <v>664</v>
      </c>
      <c r="BR101" s="243">
        <v>2512352.6</v>
      </c>
      <c r="BS101" s="243">
        <v>504</v>
      </c>
      <c r="BT101" s="243">
        <v>19482.400000000001</v>
      </c>
      <c r="BU101" s="243">
        <v>3232840</v>
      </c>
      <c r="BV101" s="243">
        <v>101989</v>
      </c>
      <c r="BW101" s="243">
        <v>20088.7</v>
      </c>
      <c r="BX101" s="243">
        <v>2899688</v>
      </c>
      <c r="BY101" s="243">
        <v>131515</v>
      </c>
      <c r="BZ101" s="243">
        <v>17094.099999999999</v>
      </c>
      <c r="CA101" s="243">
        <v>8385.7999999999993</v>
      </c>
      <c r="CB101" s="243">
        <v>5714.4</v>
      </c>
      <c r="CC101" s="243">
        <v>1070808</v>
      </c>
      <c r="CD101" s="243">
        <v>608752</v>
      </c>
      <c r="CE101" s="243">
        <v>709009</v>
      </c>
      <c r="CF101" s="243">
        <v>448348</v>
      </c>
      <c r="CG101" s="1271">
        <v>0.4</v>
      </c>
    </row>
    <row r="102" spans="1:85" ht="12.75" customHeight="1">
      <c r="A102" s="618">
        <v>45020</v>
      </c>
      <c r="B102" s="367">
        <v>1061.73</v>
      </c>
      <c r="C102" s="243">
        <v>586.38</v>
      </c>
      <c r="D102" s="243">
        <v>6851.9</v>
      </c>
      <c r="E102" s="1271">
        <v>1</v>
      </c>
      <c r="F102" s="243">
        <v>17702</v>
      </c>
      <c r="G102" s="243">
        <v>5609</v>
      </c>
      <c r="H102" s="243">
        <v>578038.9</v>
      </c>
      <c r="I102" s="243">
        <v>267376.3</v>
      </c>
      <c r="J102" s="243">
        <v>205030.6</v>
      </c>
      <c r="K102" s="243"/>
      <c r="L102" s="243"/>
      <c r="M102" s="213">
        <v>14958.9</v>
      </c>
      <c r="N102" s="243">
        <v>7011</v>
      </c>
      <c r="O102" s="243">
        <v>45542.2</v>
      </c>
      <c r="P102" s="243">
        <v>36219</v>
      </c>
      <c r="Q102" s="243">
        <v>137333.4</v>
      </c>
      <c r="R102" s="243">
        <v>113929.1</v>
      </c>
      <c r="S102" s="243">
        <v>139565</v>
      </c>
      <c r="T102" s="243">
        <v>95745.8</v>
      </c>
      <c r="U102" s="981">
        <v>14051.63</v>
      </c>
      <c r="V102" s="981">
        <v>10671.64</v>
      </c>
      <c r="W102" s="243">
        <v>31290.3</v>
      </c>
      <c r="X102" s="243">
        <v>16229.7</v>
      </c>
      <c r="Y102" s="243">
        <v>210611.5</v>
      </c>
      <c r="Z102" s="981">
        <v>345.9</v>
      </c>
      <c r="AA102" s="981">
        <v>50716</v>
      </c>
      <c r="AB102" s="243">
        <v>576900.9</v>
      </c>
      <c r="AC102" s="243">
        <v>293973.3</v>
      </c>
      <c r="AD102" s="243">
        <v>210564.1</v>
      </c>
      <c r="AE102" s="981">
        <v>1112.4000000000001</v>
      </c>
      <c r="AF102" s="1051">
        <v>942</v>
      </c>
      <c r="AG102" s="243">
        <v>35474.1</v>
      </c>
      <c r="AH102" s="243">
        <v>25291.1</v>
      </c>
      <c r="AI102" s="243">
        <v>82280.7</v>
      </c>
      <c r="AJ102" s="243">
        <v>63614.6</v>
      </c>
      <c r="AK102" s="243">
        <v>65438.5</v>
      </c>
      <c r="AL102" s="243">
        <v>53290.6</v>
      </c>
      <c r="AM102" s="243">
        <v>59199.5</v>
      </c>
      <c r="AN102" s="243">
        <v>23278.5</v>
      </c>
      <c r="AO102" s="243">
        <v>16.5</v>
      </c>
      <c r="AP102" s="243">
        <v>17.7</v>
      </c>
      <c r="AQ102" s="243">
        <v>487819.7</v>
      </c>
      <c r="AR102" s="243">
        <v>225111.7</v>
      </c>
      <c r="AS102" s="243">
        <v>64991.1</v>
      </c>
      <c r="AT102" s="243"/>
      <c r="AU102" s="243">
        <v>455741.8</v>
      </c>
      <c r="AV102" s="243">
        <v>200615.1</v>
      </c>
      <c r="AW102" s="243">
        <v>78931</v>
      </c>
      <c r="AX102" s="243">
        <v>4308.3999999999996</v>
      </c>
      <c r="AY102" s="243">
        <v>2870.1</v>
      </c>
      <c r="AZ102" s="243">
        <v>220.67</v>
      </c>
      <c r="BA102" s="243">
        <v>133.55000000000001</v>
      </c>
      <c r="BB102" s="243">
        <v>793.87400000000002</v>
      </c>
      <c r="BC102" s="243">
        <v>338.154</v>
      </c>
      <c r="BD102" s="243">
        <v>1792.6</v>
      </c>
      <c r="BE102" s="243">
        <v>2935</v>
      </c>
      <c r="BF102" s="243">
        <v>455.3</v>
      </c>
      <c r="BG102" s="243">
        <v>5701</v>
      </c>
      <c r="BH102" s="243">
        <v>31970</v>
      </c>
      <c r="BI102" s="243">
        <v>9387</v>
      </c>
      <c r="BJ102" s="243">
        <v>5695</v>
      </c>
      <c r="BK102" s="243">
        <v>6622449</v>
      </c>
      <c r="BL102" s="243">
        <v>5040824</v>
      </c>
      <c r="BM102" s="243">
        <v>216309</v>
      </c>
      <c r="BN102" s="243">
        <v>179613</v>
      </c>
      <c r="BO102" s="243">
        <v>129.28020978440117</v>
      </c>
      <c r="BP102" s="243">
        <v>45.754192675398663</v>
      </c>
      <c r="BQ102" s="243">
        <v>663.38524597542994</v>
      </c>
      <c r="BR102" s="243">
        <v>2512442.6</v>
      </c>
      <c r="BS102" s="243">
        <v>505</v>
      </c>
      <c r="BT102" s="243">
        <v>19483.400000000001</v>
      </c>
      <c r="BU102" s="243">
        <v>3238879</v>
      </c>
      <c r="BV102" s="243">
        <v>102057</v>
      </c>
      <c r="BW102" s="243">
        <v>20112.7</v>
      </c>
      <c r="BX102" s="243">
        <v>2902338</v>
      </c>
      <c r="BY102" s="243">
        <v>131515</v>
      </c>
      <c r="BZ102" s="243">
        <v>17118.099999999999</v>
      </c>
      <c r="CA102" s="243">
        <v>8393.7999999999993</v>
      </c>
      <c r="CB102" s="243">
        <v>5719.4</v>
      </c>
      <c r="CC102" s="243">
        <v>1072220</v>
      </c>
      <c r="CD102" s="243">
        <v>609532</v>
      </c>
      <c r="CE102" s="243">
        <v>709045</v>
      </c>
      <c r="CF102" s="243">
        <v>448369</v>
      </c>
      <c r="CG102" s="1363">
        <v>0</v>
      </c>
    </row>
    <row r="103" spans="1:85" ht="13.2">
      <c r="A103" s="618">
        <v>45021</v>
      </c>
      <c r="B103" s="367">
        <v>1061.73</v>
      </c>
      <c r="C103" s="243">
        <v>586.38</v>
      </c>
      <c r="D103" s="243">
        <v>6851.9</v>
      </c>
      <c r="E103" s="1271">
        <v>0</v>
      </c>
      <c r="F103" s="243">
        <v>17715.3</v>
      </c>
      <c r="G103" s="243">
        <v>5613.1</v>
      </c>
      <c r="H103" s="243">
        <v>578207.19999999995</v>
      </c>
      <c r="I103" s="243">
        <v>267460.5</v>
      </c>
      <c r="J103" s="243">
        <v>205054.6</v>
      </c>
      <c r="K103" s="243"/>
      <c r="L103" s="243"/>
      <c r="M103" s="213">
        <v>14958.9</v>
      </c>
      <c r="N103" s="243">
        <v>7011</v>
      </c>
      <c r="O103" s="243">
        <v>45579.5</v>
      </c>
      <c r="P103" s="243">
        <v>36248.9</v>
      </c>
      <c r="Q103" s="243">
        <v>137348.5</v>
      </c>
      <c r="R103" s="243">
        <v>113941.6</v>
      </c>
      <c r="S103" s="243">
        <v>139581.9</v>
      </c>
      <c r="T103" s="243">
        <v>95757.2</v>
      </c>
      <c r="U103" s="981">
        <v>14051.63</v>
      </c>
      <c r="V103" s="981">
        <v>10671.64</v>
      </c>
      <c r="W103" s="243">
        <v>31440.7</v>
      </c>
      <c r="X103" s="243">
        <v>16307.8</v>
      </c>
      <c r="Y103" s="243">
        <v>210635.5</v>
      </c>
      <c r="Z103" s="981">
        <v>345.9</v>
      </c>
      <c r="AA103" s="981">
        <v>50716</v>
      </c>
      <c r="AB103" s="243">
        <v>577203.30000000005</v>
      </c>
      <c r="AC103" s="243">
        <v>294124.40000000002</v>
      </c>
      <c r="AD103" s="243">
        <v>210588.1</v>
      </c>
      <c r="AE103" s="981">
        <v>1112.4000000000001</v>
      </c>
      <c r="AF103" s="1051">
        <v>942</v>
      </c>
      <c r="AG103" s="243">
        <v>35476.199999999997</v>
      </c>
      <c r="AH103" s="243">
        <v>25292.7</v>
      </c>
      <c r="AI103" s="243">
        <v>82289.8</v>
      </c>
      <c r="AJ103" s="243">
        <v>63621.599999999999</v>
      </c>
      <c r="AK103" s="243">
        <v>65438.5</v>
      </c>
      <c r="AL103" s="243">
        <v>53290.6</v>
      </c>
      <c r="AM103" s="243">
        <v>59206.8</v>
      </c>
      <c r="AN103" s="243">
        <v>23281.4</v>
      </c>
      <c r="AO103" s="243">
        <v>16.5</v>
      </c>
      <c r="AP103" s="243">
        <v>17.7</v>
      </c>
      <c r="AQ103" s="243">
        <v>487987.4</v>
      </c>
      <c r="AR103" s="243">
        <v>225187.6</v>
      </c>
      <c r="AS103" s="243">
        <v>64995.7</v>
      </c>
      <c r="AT103" s="243"/>
      <c r="AU103" s="243">
        <v>455894.2</v>
      </c>
      <c r="AV103" s="243">
        <v>200680.9</v>
      </c>
      <c r="AW103" s="243">
        <v>78955</v>
      </c>
      <c r="AX103" s="243">
        <v>4310.8</v>
      </c>
      <c r="AY103" s="243">
        <v>2871.7</v>
      </c>
      <c r="AZ103" s="243">
        <v>220.67</v>
      </c>
      <c r="BA103" s="243">
        <v>133.55000000000001</v>
      </c>
      <c r="BB103" s="243">
        <v>793.87400000000002</v>
      </c>
      <c r="BC103" s="243">
        <v>338.154</v>
      </c>
      <c r="BD103" s="243">
        <v>1792.6</v>
      </c>
      <c r="BE103" s="243">
        <v>2937.2</v>
      </c>
      <c r="BF103" s="243">
        <v>455.3</v>
      </c>
      <c r="BG103" s="243">
        <v>6004.43</v>
      </c>
      <c r="BH103" s="243">
        <v>33390.356140350901</v>
      </c>
      <c r="BI103" s="243">
        <v>9692.8795700307091</v>
      </c>
      <c r="BJ103" s="243">
        <v>5404.25</v>
      </c>
      <c r="BK103" s="243">
        <v>6623342</v>
      </c>
      <c r="BL103" s="243">
        <v>5041663</v>
      </c>
      <c r="BM103" s="243">
        <v>216309</v>
      </c>
      <c r="BN103" s="243">
        <v>179613</v>
      </c>
      <c r="BO103" s="243">
        <v>130.2486999189401</v>
      </c>
      <c r="BP103" s="243">
        <v>45.53392308805585</v>
      </c>
      <c r="BQ103" s="243">
        <v>659.80857541728392</v>
      </c>
      <c r="BR103" s="243">
        <v>2514334.7000000002</v>
      </c>
      <c r="BS103" s="243">
        <v>506</v>
      </c>
      <c r="BT103" s="243">
        <v>19499.400000000001</v>
      </c>
      <c r="BU103" s="243">
        <v>3240547</v>
      </c>
      <c r="BV103" s="243">
        <v>102065</v>
      </c>
      <c r="BW103" s="243">
        <v>20119.2</v>
      </c>
      <c r="BX103" s="243">
        <v>2906809</v>
      </c>
      <c r="BY103" s="243">
        <v>132111</v>
      </c>
      <c r="BZ103" s="243">
        <v>17141.7</v>
      </c>
      <c r="CA103" s="243">
        <v>8400.7999999999993</v>
      </c>
      <c r="CB103" s="243">
        <v>5723.8</v>
      </c>
      <c r="CC103" s="243">
        <v>1073613</v>
      </c>
      <c r="CD103" s="243">
        <v>610294</v>
      </c>
      <c r="CE103" s="243">
        <v>709045</v>
      </c>
      <c r="CF103" s="243">
        <v>448370</v>
      </c>
      <c r="CG103" s="1363">
        <v>0</v>
      </c>
    </row>
    <row r="104" spans="1:85" ht="13.2">
      <c r="A104" s="618">
        <v>45022</v>
      </c>
      <c r="B104" s="367">
        <v>1061.73</v>
      </c>
      <c r="C104" s="243">
        <v>586.38</v>
      </c>
      <c r="D104" s="243">
        <v>6851.9</v>
      </c>
      <c r="E104" s="1271">
        <v>0</v>
      </c>
      <c r="F104" s="243">
        <v>17728.5</v>
      </c>
      <c r="G104" s="243">
        <v>5619.2</v>
      </c>
      <c r="H104" s="243">
        <v>578376</v>
      </c>
      <c r="I104" s="243">
        <v>267545</v>
      </c>
      <c r="J104" s="243">
        <v>205078.6</v>
      </c>
      <c r="K104" s="243"/>
      <c r="L104" s="243"/>
      <c r="M104" s="213">
        <v>14958.9</v>
      </c>
      <c r="N104" s="243">
        <v>7011</v>
      </c>
      <c r="O104" s="243">
        <v>45619.199999999997</v>
      </c>
      <c r="P104" s="243">
        <v>36281</v>
      </c>
      <c r="Q104" s="243">
        <v>137363.79999999999</v>
      </c>
      <c r="R104" s="243">
        <v>113954.2</v>
      </c>
      <c r="S104" s="243">
        <v>139597.5</v>
      </c>
      <c r="T104" s="243">
        <v>95768.4</v>
      </c>
      <c r="U104" s="981">
        <v>14051.63</v>
      </c>
      <c r="V104" s="981">
        <v>10671.64</v>
      </c>
      <c r="W104" s="243">
        <v>31592</v>
      </c>
      <c r="X104" s="243">
        <v>16381</v>
      </c>
      <c r="Y104" s="243">
        <v>210659.5</v>
      </c>
      <c r="Z104" s="981">
        <v>345.9</v>
      </c>
      <c r="AA104" s="981">
        <v>50716</v>
      </c>
      <c r="AB104" s="243">
        <v>577512</v>
      </c>
      <c r="AC104" s="243">
        <v>294286</v>
      </c>
      <c r="AD104" s="243">
        <v>210612.1</v>
      </c>
      <c r="AE104" s="981">
        <v>1112.4000000000001</v>
      </c>
      <c r="AF104" s="1051">
        <v>942</v>
      </c>
      <c r="AG104" s="243">
        <v>35478.400000000001</v>
      </c>
      <c r="AH104" s="243">
        <v>25294.3</v>
      </c>
      <c r="AI104" s="243">
        <v>82299</v>
      </c>
      <c r="AJ104" s="243">
        <v>63628.800000000003</v>
      </c>
      <c r="AK104" s="243">
        <v>65438.5</v>
      </c>
      <c r="AL104" s="243">
        <v>53290.6</v>
      </c>
      <c r="AM104" s="243">
        <v>59216.9</v>
      </c>
      <c r="AN104" s="243">
        <v>23285.3</v>
      </c>
      <c r="AO104" s="243">
        <v>16.5</v>
      </c>
      <c r="AP104" s="243">
        <v>17.7</v>
      </c>
      <c r="AQ104" s="243">
        <v>488156</v>
      </c>
      <c r="AR104" s="243">
        <v>225265</v>
      </c>
      <c r="AS104" s="243">
        <v>65000</v>
      </c>
      <c r="AT104" s="243"/>
      <c r="AU104" s="243">
        <v>456048</v>
      </c>
      <c r="AV104" s="243">
        <v>200748</v>
      </c>
      <c r="AW104" s="243">
        <v>78979</v>
      </c>
      <c r="AX104" s="243">
        <v>4313.3</v>
      </c>
      <c r="AY104" s="243">
        <v>2873.5</v>
      </c>
      <c r="AZ104" s="243">
        <v>220.8</v>
      </c>
      <c r="BA104" s="243">
        <v>133.63999999999999</v>
      </c>
      <c r="BB104" s="243">
        <v>793.87400000000002</v>
      </c>
      <c r="BC104" s="243">
        <v>338.154</v>
      </c>
      <c r="BD104" s="243">
        <v>1792.6</v>
      </c>
      <c r="BE104" s="243">
        <v>2939</v>
      </c>
      <c r="BF104" s="243">
        <v>455.3</v>
      </c>
      <c r="BG104" s="243">
        <v>6386.3</v>
      </c>
      <c r="BH104" s="243">
        <v>33356.677192982497</v>
      </c>
      <c r="BI104" s="243">
        <v>9489.9605797448403</v>
      </c>
      <c r="BJ104" s="243">
        <v>6600.88</v>
      </c>
      <c r="BK104" s="243">
        <v>6624196</v>
      </c>
      <c r="BL104" s="243">
        <v>5042487</v>
      </c>
      <c r="BM104" s="243">
        <v>216309</v>
      </c>
      <c r="BN104" s="243">
        <v>179613</v>
      </c>
      <c r="BO104" s="243">
        <v>129.69306315120127</v>
      </c>
      <c r="BP104" s="243">
        <v>45.306726928359346</v>
      </c>
      <c r="BQ104" s="243">
        <v>660.88650491377734</v>
      </c>
      <c r="BR104" s="243">
        <v>2516500</v>
      </c>
      <c r="BS104" s="243">
        <v>507</v>
      </c>
      <c r="BT104" s="243">
        <v>19523.400000000001</v>
      </c>
      <c r="BU104" s="243">
        <v>3240547</v>
      </c>
      <c r="BV104" s="243">
        <v>102065</v>
      </c>
      <c r="BW104" s="243">
        <v>20119.2</v>
      </c>
      <c r="BX104" s="243">
        <v>2911631</v>
      </c>
      <c r="BY104" s="243">
        <v>132987</v>
      </c>
      <c r="BZ104" s="243">
        <v>17165.7</v>
      </c>
      <c r="CA104" s="243">
        <v>8409</v>
      </c>
      <c r="CB104" s="243">
        <v>5729</v>
      </c>
      <c r="CC104" s="243">
        <v>1074768</v>
      </c>
      <c r="CD104" s="243">
        <v>610935</v>
      </c>
      <c r="CE104" s="243">
        <v>709195</v>
      </c>
      <c r="CF104" s="243">
        <v>448458</v>
      </c>
      <c r="CG104" s="1363">
        <v>0</v>
      </c>
    </row>
    <row r="105" spans="1:85" ht="13.2">
      <c r="A105" s="618">
        <v>45023</v>
      </c>
      <c r="B105" s="367">
        <v>1061.73</v>
      </c>
      <c r="C105" s="243">
        <v>586.38</v>
      </c>
      <c r="D105" s="243">
        <v>6851.9</v>
      </c>
      <c r="E105" s="1271">
        <v>0</v>
      </c>
      <c r="F105" s="243">
        <v>17741.099999999999</v>
      </c>
      <c r="G105" s="243">
        <v>5625</v>
      </c>
      <c r="H105" s="243">
        <v>578542</v>
      </c>
      <c r="I105" s="243">
        <v>267630</v>
      </c>
      <c r="J105" s="243">
        <v>205102.6</v>
      </c>
      <c r="K105" s="243"/>
      <c r="L105" s="243"/>
      <c r="M105" s="213">
        <v>14959</v>
      </c>
      <c r="N105" s="243">
        <v>7011</v>
      </c>
      <c r="O105" s="243">
        <v>45661.5</v>
      </c>
      <c r="P105" s="243">
        <v>36315.5</v>
      </c>
      <c r="Q105" s="243">
        <v>137378.70000000001</v>
      </c>
      <c r="R105" s="243">
        <v>113966.5</v>
      </c>
      <c r="S105" s="243">
        <v>139612.79999999999</v>
      </c>
      <c r="T105" s="243">
        <v>95779.5</v>
      </c>
      <c r="U105" s="981">
        <v>14051.63</v>
      </c>
      <c r="V105" s="981">
        <v>10671.64</v>
      </c>
      <c r="W105" s="243">
        <v>31740</v>
      </c>
      <c r="X105" s="243">
        <v>16457</v>
      </c>
      <c r="Y105" s="243">
        <v>210683.5</v>
      </c>
      <c r="Z105" s="981">
        <v>345.9</v>
      </c>
      <c r="AA105" s="981">
        <v>50716</v>
      </c>
      <c r="AB105" s="243">
        <v>577826</v>
      </c>
      <c r="AC105" s="243">
        <v>294450</v>
      </c>
      <c r="AD105" s="243">
        <v>210636.1</v>
      </c>
      <c r="AE105" s="981">
        <v>1112.4000000000001</v>
      </c>
      <c r="AF105" s="1051">
        <v>942</v>
      </c>
      <c r="AG105" s="243">
        <v>35480.6</v>
      </c>
      <c r="AH105" s="243">
        <v>25296</v>
      </c>
      <c r="AI105" s="243">
        <v>82309</v>
      </c>
      <c r="AJ105" s="243">
        <v>63636.4</v>
      </c>
      <c r="AK105" s="243">
        <v>65438.5</v>
      </c>
      <c r="AL105" s="243">
        <v>53290.6</v>
      </c>
      <c r="AM105" s="243">
        <v>59229.2</v>
      </c>
      <c r="AN105" s="243">
        <v>23290.2</v>
      </c>
      <c r="AO105" s="243">
        <v>16.5</v>
      </c>
      <c r="AP105" s="243">
        <v>17.7</v>
      </c>
      <c r="AQ105" s="243">
        <v>488326</v>
      </c>
      <c r="AR105" s="243">
        <v>225342</v>
      </c>
      <c r="AS105" s="243">
        <v>65004</v>
      </c>
      <c r="AT105" s="243"/>
      <c r="AU105" s="243">
        <v>456202</v>
      </c>
      <c r="AV105" s="243">
        <v>200814</v>
      </c>
      <c r="AW105" s="243">
        <v>79003</v>
      </c>
      <c r="AX105" s="243">
        <v>4316</v>
      </c>
      <c r="AY105" s="243">
        <v>2875.4</v>
      </c>
      <c r="AZ105" s="243">
        <v>220.8</v>
      </c>
      <c r="BA105" s="243">
        <v>133.63999999999999</v>
      </c>
      <c r="BB105" s="243">
        <v>793.87400000000002</v>
      </c>
      <c r="BC105" s="243">
        <v>338.154</v>
      </c>
      <c r="BD105" s="243">
        <v>1792.6</v>
      </c>
      <c r="BE105" s="243">
        <v>2941.1</v>
      </c>
      <c r="BF105" s="243">
        <v>455.3</v>
      </c>
      <c r="BG105" s="243">
        <v>6074.88</v>
      </c>
      <c r="BH105" s="243">
        <v>30799.2807017544</v>
      </c>
      <c r="BI105" s="243">
        <v>9930.7662402141996</v>
      </c>
      <c r="BJ105" s="243">
        <v>5754.63</v>
      </c>
      <c r="BK105" s="243">
        <v>6625081</v>
      </c>
      <c r="BL105" s="243">
        <v>5043340</v>
      </c>
      <c r="BM105" s="243">
        <v>216309</v>
      </c>
      <c r="BN105" s="243">
        <v>179613</v>
      </c>
      <c r="BO105" s="243">
        <v>129.69306315120127</v>
      </c>
      <c r="BP105" s="243">
        <v>45.368977783894763</v>
      </c>
      <c r="BQ105" s="243">
        <v>659.73858685067842</v>
      </c>
      <c r="BR105" s="243">
        <v>2518500</v>
      </c>
      <c r="BS105" s="243">
        <v>508</v>
      </c>
      <c r="BT105" s="243">
        <v>19547</v>
      </c>
      <c r="BU105" s="243">
        <v>3240547</v>
      </c>
      <c r="BV105" s="243">
        <v>102065</v>
      </c>
      <c r="BW105" s="243">
        <v>20119.2</v>
      </c>
      <c r="BX105" s="243">
        <v>2916630</v>
      </c>
      <c r="BY105" s="243">
        <v>133898</v>
      </c>
      <c r="BZ105" s="243">
        <v>17189.7</v>
      </c>
      <c r="CA105" s="243">
        <v>8416.7000000000007</v>
      </c>
      <c r="CB105" s="243">
        <v>5734.1</v>
      </c>
      <c r="CC105" s="243">
        <v>1076181</v>
      </c>
      <c r="CD105" s="243">
        <v>611710</v>
      </c>
      <c r="CE105" s="243">
        <v>709196</v>
      </c>
      <c r="CF105" s="243">
        <v>448459</v>
      </c>
      <c r="CG105" s="1363">
        <v>0</v>
      </c>
    </row>
    <row r="106" spans="1:85" ht="13.2">
      <c r="A106" s="618">
        <v>45024</v>
      </c>
      <c r="B106" s="367">
        <v>1061.73</v>
      </c>
      <c r="C106" s="243">
        <v>586.38</v>
      </c>
      <c r="D106" s="243">
        <v>6851.9</v>
      </c>
      <c r="E106" s="1271">
        <v>0</v>
      </c>
      <c r="F106" s="243">
        <v>17753.2</v>
      </c>
      <c r="G106" s="243">
        <v>5631</v>
      </c>
      <c r="H106" s="243">
        <v>578704</v>
      </c>
      <c r="I106" s="243">
        <v>267712</v>
      </c>
      <c r="J106" s="243">
        <v>205126.6</v>
      </c>
      <c r="K106" s="981"/>
      <c r="L106" s="981"/>
      <c r="M106" s="213">
        <v>14959</v>
      </c>
      <c r="N106" s="243">
        <v>7011</v>
      </c>
      <c r="O106" s="243">
        <v>45703.199999999997</v>
      </c>
      <c r="P106" s="243">
        <v>36349.4</v>
      </c>
      <c r="Q106" s="243">
        <v>137393.29999999999</v>
      </c>
      <c r="R106" s="243">
        <v>113978.3</v>
      </c>
      <c r="S106" s="243">
        <v>139626.70000000001</v>
      </c>
      <c r="T106" s="243">
        <v>95789.4</v>
      </c>
      <c r="U106" s="981">
        <v>14051.63</v>
      </c>
      <c r="V106" s="981">
        <v>10671.64</v>
      </c>
      <c r="W106" s="243">
        <v>31886</v>
      </c>
      <c r="X106" s="243">
        <v>16534</v>
      </c>
      <c r="Y106" s="243">
        <v>210707.5</v>
      </c>
      <c r="Z106" s="981">
        <v>345.9</v>
      </c>
      <c r="AA106" s="981">
        <v>50716</v>
      </c>
      <c r="AB106" s="243">
        <v>578134</v>
      </c>
      <c r="AC106" s="243">
        <v>294606</v>
      </c>
      <c r="AD106" s="243">
        <v>210660.1</v>
      </c>
      <c r="AE106" s="981">
        <v>1112.4000000000001</v>
      </c>
      <c r="AF106" s="1051">
        <v>942</v>
      </c>
      <c r="AG106" s="243">
        <v>35483</v>
      </c>
      <c r="AH106" s="243">
        <v>25297.599999999999</v>
      </c>
      <c r="AI106" s="243">
        <v>82316.3</v>
      </c>
      <c r="AJ106" s="243">
        <v>63642.1</v>
      </c>
      <c r="AK106" s="243">
        <v>65438.5</v>
      </c>
      <c r="AL106" s="243">
        <v>53290.6</v>
      </c>
      <c r="AM106" s="243">
        <v>59242.9</v>
      </c>
      <c r="AN106" s="243">
        <v>23295.599999999999</v>
      </c>
      <c r="AO106" s="243">
        <v>16.5</v>
      </c>
      <c r="AP106" s="243">
        <v>17.7</v>
      </c>
      <c r="AQ106" s="243">
        <v>488492</v>
      </c>
      <c r="AR106" s="243">
        <v>225418</v>
      </c>
      <c r="AS106" s="402">
        <v>65008</v>
      </c>
      <c r="AT106" s="981"/>
      <c r="AU106" s="243">
        <v>456352</v>
      </c>
      <c r="AV106" s="243">
        <v>200879</v>
      </c>
      <c r="AW106" s="243">
        <v>79027</v>
      </c>
      <c r="AX106" s="243">
        <v>4318.8</v>
      </c>
      <c r="AY106" s="243">
        <v>2877.3</v>
      </c>
      <c r="AZ106" s="243">
        <v>220.8</v>
      </c>
      <c r="BA106" s="243">
        <v>133.63999999999999</v>
      </c>
      <c r="BB106" s="243">
        <v>793.87400000000002</v>
      </c>
      <c r="BC106" s="243">
        <v>338.154</v>
      </c>
      <c r="BD106" s="243">
        <v>1792.6</v>
      </c>
      <c r="BE106" s="243">
        <v>2943.4</v>
      </c>
      <c r="BF106" s="243">
        <v>455.3</v>
      </c>
      <c r="BG106" s="243">
        <v>5798.71</v>
      </c>
      <c r="BH106" s="243">
        <v>30490.3543859649</v>
      </c>
      <c r="BI106" s="981">
        <v>10363.526500341301</v>
      </c>
      <c r="BJ106" s="243">
        <v>5635.8</v>
      </c>
      <c r="BK106" s="654">
        <v>6625937</v>
      </c>
      <c r="BL106" s="654">
        <v>5044183</v>
      </c>
      <c r="BM106" s="243">
        <v>216309</v>
      </c>
      <c r="BN106" s="243">
        <v>179613</v>
      </c>
      <c r="BO106" s="243">
        <v>130.85178095729799</v>
      </c>
      <c r="BP106" s="243">
        <v>44.930665393039895</v>
      </c>
      <c r="BQ106" s="243">
        <v>660.59702977318057</v>
      </c>
      <c r="BR106" s="243">
        <v>2520600</v>
      </c>
      <c r="BS106" s="243">
        <v>509</v>
      </c>
      <c r="BT106" s="243">
        <v>19571</v>
      </c>
      <c r="BU106" s="243">
        <v>3240547</v>
      </c>
      <c r="BV106" s="243">
        <v>102065</v>
      </c>
      <c r="BW106" s="243">
        <v>20119.2</v>
      </c>
      <c r="BX106" s="243">
        <v>2921350</v>
      </c>
      <c r="BY106" s="243">
        <v>134937</v>
      </c>
      <c r="BZ106" s="243">
        <v>17213.7</v>
      </c>
      <c r="CA106" s="243">
        <v>8424.2000000000007</v>
      </c>
      <c r="CB106" s="243">
        <v>5739.1</v>
      </c>
      <c r="CC106" s="243">
        <v>1077556</v>
      </c>
      <c r="CD106" s="243">
        <v>612462</v>
      </c>
      <c r="CE106" s="243">
        <v>709196</v>
      </c>
      <c r="CF106" s="243">
        <v>448459</v>
      </c>
      <c r="CG106" s="1363">
        <v>0</v>
      </c>
    </row>
    <row r="107" spans="1:85" ht="13.2">
      <c r="A107" s="618">
        <v>45025</v>
      </c>
      <c r="B107" s="367">
        <v>1061.73</v>
      </c>
      <c r="C107" s="243">
        <v>586.38</v>
      </c>
      <c r="D107" s="243">
        <v>6851.9</v>
      </c>
      <c r="E107" s="1271">
        <v>0</v>
      </c>
      <c r="F107" s="243">
        <v>17765.5</v>
      </c>
      <c r="G107" s="243">
        <v>5636.8</v>
      </c>
      <c r="H107" s="243">
        <v>578870</v>
      </c>
      <c r="I107" s="243">
        <v>267796</v>
      </c>
      <c r="J107" s="243">
        <v>205150.6</v>
      </c>
      <c r="K107" s="981"/>
      <c r="L107" s="981"/>
      <c r="M107" s="213">
        <v>14959</v>
      </c>
      <c r="N107" s="243">
        <v>7011</v>
      </c>
      <c r="O107" s="243">
        <v>45743.6</v>
      </c>
      <c r="P107" s="243">
        <v>36382.300000000003</v>
      </c>
      <c r="Q107" s="243">
        <v>137407.79999999999</v>
      </c>
      <c r="R107" s="243">
        <v>113989.8</v>
      </c>
      <c r="S107" s="243">
        <v>139640.6</v>
      </c>
      <c r="T107" s="243">
        <v>95799.4</v>
      </c>
      <c r="U107" s="981">
        <v>14051.63</v>
      </c>
      <c r="V107" s="981">
        <v>10671.64</v>
      </c>
      <c r="W107" s="243">
        <v>32035</v>
      </c>
      <c r="X107" s="243">
        <v>16612</v>
      </c>
      <c r="Y107" s="243">
        <v>210731.5</v>
      </c>
      <c r="Z107" s="981">
        <v>345.9</v>
      </c>
      <c r="AA107" s="981">
        <v>50716</v>
      </c>
      <c r="AB107" s="243">
        <v>578433</v>
      </c>
      <c r="AC107" s="243">
        <v>294758</v>
      </c>
      <c r="AD107" s="243">
        <v>210684.1</v>
      </c>
      <c r="AE107" s="981">
        <v>1112.4000000000001</v>
      </c>
      <c r="AF107" s="1051">
        <v>942</v>
      </c>
      <c r="AG107" s="243">
        <v>35485.4</v>
      </c>
      <c r="AH107" s="243">
        <v>25299.3</v>
      </c>
      <c r="AI107" s="243">
        <v>82322.600000000006</v>
      </c>
      <c r="AJ107" s="243">
        <v>63646.9</v>
      </c>
      <c r="AK107" s="243">
        <v>65438.5</v>
      </c>
      <c r="AL107" s="243">
        <v>53290.6</v>
      </c>
      <c r="AM107" s="243">
        <v>59255.1</v>
      </c>
      <c r="AN107" s="243">
        <v>23300.3</v>
      </c>
      <c r="AO107" s="243">
        <v>16.5</v>
      </c>
      <c r="AP107" s="243">
        <v>17.7</v>
      </c>
      <c r="AQ107" s="243">
        <v>488654</v>
      </c>
      <c r="AR107" s="243">
        <v>225492</v>
      </c>
      <c r="AS107" s="402">
        <v>65012</v>
      </c>
      <c r="AT107" s="981"/>
      <c r="AU107" s="243">
        <v>456501</v>
      </c>
      <c r="AV107" s="243">
        <v>200943</v>
      </c>
      <c r="AW107" s="243">
        <v>79051</v>
      </c>
      <c r="AX107" s="243">
        <v>4321.5</v>
      </c>
      <c r="AY107" s="243">
        <v>2879.2</v>
      </c>
      <c r="AZ107" s="981">
        <v>221.11</v>
      </c>
      <c r="BA107" s="981">
        <v>133.79</v>
      </c>
      <c r="BB107" s="243">
        <v>793.87400000000002</v>
      </c>
      <c r="BC107" s="243">
        <v>338.154</v>
      </c>
      <c r="BD107" s="243">
        <v>1792.6</v>
      </c>
      <c r="BE107" s="243">
        <v>2945.7</v>
      </c>
      <c r="BF107" s="243">
        <v>455.3</v>
      </c>
      <c r="BG107" s="243">
        <v>5734.93</v>
      </c>
      <c r="BH107" s="243">
        <v>29387.143859649099</v>
      </c>
      <c r="BI107" s="981">
        <v>10087.747131124501</v>
      </c>
      <c r="BJ107" s="243">
        <v>5437.47</v>
      </c>
      <c r="BK107" s="654">
        <v>6626798</v>
      </c>
      <c r="BL107" s="654">
        <v>5045026</v>
      </c>
      <c r="BM107" s="243">
        <v>216309</v>
      </c>
      <c r="BN107" s="243">
        <v>179613</v>
      </c>
      <c r="BO107" s="243">
        <v>129.29385016975945</v>
      </c>
      <c r="BP107" s="243">
        <v>45.123441264453724</v>
      </c>
      <c r="BQ107" s="243">
        <v>660.08776074191076</v>
      </c>
      <c r="BR107" s="243">
        <v>2522700</v>
      </c>
      <c r="BS107" s="243">
        <v>510</v>
      </c>
      <c r="BT107" s="243">
        <v>19595</v>
      </c>
      <c r="BU107" s="243">
        <v>3240547</v>
      </c>
      <c r="BV107" s="243">
        <v>102065</v>
      </c>
      <c r="BW107" s="243">
        <v>20119.2</v>
      </c>
      <c r="BX107" s="243">
        <v>2926212</v>
      </c>
      <c r="BY107" s="243">
        <v>136000</v>
      </c>
      <c r="BZ107" s="243">
        <v>17237.7</v>
      </c>
      <c r="CA107" s="243">
        <v>8431.7999999999993</v>
      </c>
      <c r="CB107" s="243">
        <v>5744</v>
      </c>
      <c r="CC107" s="243">
        <v>1078976</v>
      </c>
      <c r="CD107" s="243">
        <v>613240</v>
      </c>
      <c r="CE107" s="243">
        <v>709482</v>
      </c>
      <c r="CF107" s="243">
        <v>448616</v>
      </c>
      <c r="CG107" s="1363">
        <v>0</v>
      </c>
    </row>
    <row r="108" spans="1:85" ht="13.2">
      <c r="A108" s="618">
        <v>45026</v>
      </c>
      <c r="B108" s="367">
        <v>1061.73</v>
      </c>
      <c r="C108" s="243">
        <v>586.38</v>
      </c>
      <c r="D108" s="243">
        <v>6851.9</v>
      </c>
      <c r="E108" s="1271">
        <v>0</v>
      </c>
      <c r="F108" s="243">
        <v>17777.7</v>
      </c>
      <c r="G108" s="243">
        <v>5642.2</v>
      </c>
      <c r="H108" s="243">
        <v>579032</v>
      </c>
      <c r="I108" s="243">
        <v>267880</v>
      </c>
      <c r="J108" s="243">
        <v>205174.6</v>
      </c>
      <c r="K108" s="981"/>
      <c r="L108" s="981"/>
      <c r="M108" s="213">
        <v>14959</v>
      </c>
      <c r="N108" s="243">
        <v>7011</v>
      </c>
      <c r="O108" s="243">
        <v>45783.7</v>
      </c>
      <c r="P108" s="243">
        <v>36414.800000000003</v>
      </c>
      <c r="Q108" s="243">
        <v>137422.39999999999</v>
      </c>
      <c r="R108" s="243">
        <v>114001.4</v>
      </c>
      <c r="S108" s="243">
        <v>139655.29999999999</v>
      </c>
      <c r="T108" s="243">
        <v>95809.4</v>
      </c>
      <c r="U108" s="981">
        <v>14051.63</v>
      </c>
      <c r="V108" s="981">
        <v>10671.64</v>
      </c>
      <c r="W108" s="243">
        <v>32181</v>
      </c>
      <c r="X108" s="243">
        <v>16690</v>
      </c>
      <c r="Y108" s="243">
        <v>210755.5</v>
      </c>
      <c r="Z108" s="981">
        <v>345.9</v>
      </c>
      <c r="AA108" s="981">
        <v>50716</v>
      </c>
      <c r="AB108" s="243">
        <v>578736</v>
      </c>
      <c r="AC108" s="243">
        <v>294911</v>
      </c>
      <c r="AD108" s="243">
        <v>210708.1</v>
      </c>
      <c r="AE108" s="981">
        <v>1112.4000000000001</v>
      </c>
      <c r="AF108" s="1051">
        <v>942</v>
      </c>
      <c r="AG108" s="243">
        <v>35488</v>
      </c>
      <c r="AH108" s="243">
        <v>25301.1</v>
      </c>
      <c r="AI108" s="243">
        <v>82330.2</v>
      </c>
      <c r="AJ108" s="243">
        <v>63652.7</v>
      </c>
      <c r="AK108" s="243">
        <v>65438.5</v>
      </c>
      <c r="AL108" s="243">
        <v>53290.6</v>
      </c>
      <c r="AM108" s="243">
        <v>59266.3</v>
      </c>
      <c r="AN108" s="243">
        <v>23304.7</v>
      </c>
      <c r="AO108" s="243">
        <v>16.5</v>
      </c>
      <c r="AP108" s="243">
        <v>17.7</v>
      </c>
      <c r="AQ108" s="243">
        <v>488822</v>
      </c>
      <c r="AR108" s="243">
        <v>225569</v>
      </c>
      <c r="AS108" s="402">
        <v>65017</v>
      </c>
      <c r="AT108" s="981"/>
      <c r="AU108" s="243">
        <v>456651</v>
      </c>
      <c r="AV108" s="243">
        <v>201008</v>
      </c>
      <c r="AW108" s="243">
        <v>79075</v>
      </c>
      <c r="AX108" s="243">
        <v>4324.3</v>
      </c>
      <c r="AY108" s="243">
        <v>2881.2</v>
      </c>
      <c r="AZ108" s="981">
        <v>221.11</v>
      </c>
      <c r="BA108" s="981">
        <v>133.79</v>
      </c>
      <c r="BB108" s="243">
        <v>793.87400000000002</v>
      </c>
      <c r="BC108" s="243">
        <v>338.154</v>
      </c>
      <c r="BD108" s="243">
        <v>1792.6</v>
      </c>
      <c r="BE108" s="243">
        <v>2948</v>
      </c>
      <c r="BF108" s="243">
        <v>455.3</v>
      </c>
      <c r="BG108" s="243">
        <v>6193.27</v>
      </c>
      <c r="BH108" s="243">
        <v>32679.3438596491</v>
      </c>
      <c r="BI108" s="981">
        <v>5600.5547354546597</v>
      </c>
      <c r="BJ108" s="243">
        <v>5864.78</v>
      </c>
      <c r="BK108" s="654">
        <v>6627677</v>
      </c>
      <c r="BL108" s="654">
        <v>5045862</v>
      </c>
      <c r="BM108" s="243">
        <v>216309</v>
      </c>
      <c r="BN108" s="243">
        <v>179613</v>
      </c>
      <c r="BO108" s="243">
        <v>130.62138786160733</v>
      </c>
      <c r="BP108" s="243">
        <v>44.943074935112932</v>
      </c>
      <c r="BQ108" s="243">
        <v>662.41372473420563</v>
      </c>
      <c r="BR108" s="243">
        <v>2525000</v>
      </c>
      <c r="BS108" s="243">
        <v>511</v>
      </c>
      <c r="BT108" s="243">
        <v>19619</v>
      </c>
      <c r="BU108" s="243">
        <v>3240547</v>
      </c>
      <c r="BV108" s="243">
        <v>102065</v>
      </c>
      <c r="BW108" s="243">
        <v>20119.2</v>
      </c>
      <c r="BX108" s="243">
        <v>2930966</v>
      </c>
      <c r="BY108" s="243">
        <v>136949</v>
      </c>
      <c r="BZ108" s="243">
        <v>17261.7</v>
      </c>
      <c r="CA108" s="243">
        <v>8439</v>
      </c>
      <c r="CB108" s="243">
        <v>5748.7</v>
      </c>
      <c r="CC108" s="243">
        <v>1080347</v>
      </c>
      <c r="CD108" s="243">
        <v>613989</v>
      </c>
      <c r="CE108" s="243">
        <v>709493</v>
      </c>
      <c r="CF108" s="243">
        <v>448617</v>
      </c>
      <c r="CG108" s="1363">
        <v>0</v>
      </c>
    </row>
    <row r="109" spans="1:85" ht="13.2">
      <c r="A109" s="618">
        <v>45027</v>
      </c>
      <c r="B109" s="367">
        <v>1062.06</v>
      </c>
      <c r="C109" s="243">
        <v>586.548</v>
      </c>
      <c r="D109" s="243">
        <v>6852.5</v>
      </c>
      <c r="E109" s="1271">
        <v>0.6</v>
      </c>
      <c r="F109" s="243">
        <v>17790</v>
      </c>
      <c r="G109" s="243">
        <v>5647.3</v>
      </c>
      <c r="H109" s="243">
        <v>579195</v>
      </c>
      <c r="I109" s="243">
        <v>267963</v>
      </c>
      <c r="J109" s="243">
        <v>205198.6</v>
      </c>
      <c r="K109" s="981"/>
      <c r="L109" s="981"/>
      <c r="M109" s="213">
        <v>14959</v>
      </c>
      <c r="N109" s="243">
        <v>7011</v>
      </c>
      <c r="O109" s="243">
        <v>45824</v>
      </c>
      <c r="P109" s="243">
        <v>36447.300000000003</v>
      </c>
      <c r="Q109" s="243">
        <v>137436.6</v>
      </c>
      <c r="R109" s="243">
        <v>114012.9</v>
      </c>
      <c r="S109" s="243">
        <v>139670.1</v>
      </c>
      <c r="T109" s="243">
        <v>95819.5</v>
      </c>
      <c r="U109" s="981">
        <v>14051.63</v>
      </c>
      <c r="V109" s="981">
        <v>10671.64</v>
      </c>
      <c r="W109" s="243">
        <v>32330</v>
      </c>
      <c r="X109" s="243">
        <v>16766</v>
      </c>
      <c r="Y109" s="243">
        <v>210779.5</v>
      </c>
      <c r="Z109" s="981">
        <v>345.9</v>
      </c>
      <c r="AA109" s="981">
        <v>50716</v>
      </c>
      <c r="AB109" s="243">
        <v>579032</v>
      </c>
      <c r="AC109" s="243">
        <v>295063</v>
      </c>
      <c r="AD109" s="243">
        <v>210732.1</v>
      </c>
      <c r="AE109" s="981">
        <v>1112.4000000000001</v>
      </c>
      <c r="AF109" s="1051">
        <v>942</v>
      </c>
      <c r="AG109" s="243">
        <v>35490.5</v>
      </c>
      <c r="AH109" s="243">
        <v>25302.9</v>
      </c>
      <c r="AI109" s="243">
        <v>82335.8</v>
      </c>
      <c r="AJ109" s="243">
        <v>63657</v>
      </c>
      <c r="AK109" s="243">
        <v>65438.5</v>
      </c>
      <c r="AL109" s="243">
        <v>53290.6</v>
      </c>
      <c r="AM109" s="243">
        <v>59274.400000000001</v>
      </c>
      <c r="AN109" s="243">
        <v>23307.8</v>
      </c>
      <c r="AO109" s="243">
        <v>16.5</v>
      </c>
      <c r="AP109" s="243">
        <v>17.7</v>
      </c>
      <c r="AQ109" s="243">
        <v>488990</v>
      </c>
      <c r="AR109" s="243">
        <v>225646</v>
      </c>
      <c r="AS109" s="402">
        <v>65022</v>
      </c>
      <c r="AT109" s="981"/>
      <c r="AU109" s="243">
        <v>456803</v>
      </c>
      <c r="AV109" s="243">
        <v>201074</v>
      </c>
      <c r="AW109" s="243">
        <v>79099</v>
      </c>
      <c r="AX109" s="243">
        <v>4327.2</v>
      </c>
      <c r="AY109" s="243">
        <v>2883.2</v>
      </c>
      <c r="AZ109" s="981">
        <v>221.15</v>
      </c>
      <c r="BA109" s="981">
        <v>133.81</v>
      </c>
      <c r="BB109" s="243">
        <v>794.27700000000004</v>
      </c>
      <c r="BC109" s="243">
        <v>338.30700000000002</v>
      </c>
      <c r="BD109" s="243">
        <v>1793.2</v>
      </c>
      <c r="BE109" s="243">
        <v>2950.4</v>
      </c>
      <c r="BF109" s="243">
        <v>455.3</v>
      </c>
      <c r="BG109" s="243">
        <v>5678.48</v>
      </c>
      <c r="BH109" s="243">
        <v>32058.159649122801</v>
      </c>
      <c r="BI109" s="981">
        <v>7377.2743725119899</v>
      </c>
      <c r="BJ109" s="243">
        <v>5245.77</v>
      </c>
      <c r="BK109" s="654">
        <v>6628157</v>
      </c>
      <c r="BL109" s="654">
        <v>5046292</v>
      </c>
      <c r="BM109" s="654">
        <v>216399</v>
      </c>
      <c r="BN109" s="654">
        <v>179684</v>
      </c>
      <c r="BO109" s="243">
        <v>129.8438605139018</v>
      </c>
      <c r="BP109" s="243">
        <v>44.941819399338584</v>
      </c>
      <c r="BQ109" s="243">
        <v>658.33196238456151</v>
      </c>
      <c r="BR109" s="243">
        <v>2527200</v>
      </c>
      <c r="BS109" s="243">
        <v>512</v>
      </c>
      <c r="BT109" s="243">
        <v>19643</v>
      </c>
      <c r="BU109" s="243">
        <v>3240547</v>
      </c>
      <c r="BV109" s="243">
        <v>102065</v>
      </c>
      <c r="BW109" s="243">
        <v>20119.2</v>
      </c>
      <c r="BX109" s="243">
        <v>2935728</v>
      </c>
      <c r="BY109" s="243">
        <v>137579</v>
      </c>
      <c r="BZ109" s="243">
        <v>17285.7</v>
      </c>
      <c r="CA109" s="243">
        <v>8446.2999999999993</v>
      </c>
      <c r="CB109" s="243">
        <v>5753.5</v>
      </c>
      <c r="CC109" s="243">
        <v>1081724</v>
      </c>
      <c r="CD109" s="243">
        <v>614755</v>
      </c>
      <c r="CE109" s="243">
        <v>709518</v>
      </c>
      <c r="CF109" s="243">
        <v>448640</v>
      </c>
      <c r="CG109" s="1283">
        <v>0.5</v>
      </c>
    </row>
    <row r="110" spans="1:85" ht="13.2">
      <c r="A110" s="618">
        <v>45028</v>
      </c>
      <c r="B110" s="367">
        <v>1062.06</v>
      </c>
      <c r="C110" s="243">
        <v>586.548</v>
      </c>
      <c r="D110" s="243">
        <v>6852.5</v>
      </c>
      <c r="E110" s="1271">
        <v>0</v>
      </c>
      <c r="F110" s="243">
        <v>17801.400000000001</v>
      </c>
      <c r="G110" s="243">
        <v>5652.2</v>
      </c>
      <c r="H110" s="243">
        <v>579357</v>
      </c>
      <c r="I110" s="243">
        <v>268047</v>
      </c>
      <c r="J110" s="243">
        <v>205222.6</v>
      </c>
      <c r="K110" s="981"/>
      <c r="L110" s="981"/>
      <c r="M110" s="213">
        <v>14959</v>
      </c>
      <c r="N110" s="243">
        <v>7011</v>
      </c>
      <c r="O110" s="243">
        <v>45862.400000000001</v>
      </c>
      <c r="P110" s="243">
        <v>36478.400000000001</v>
      </c>
      <c r="Q110" s="243">
        <v>137450.79999999999</v>
      </c>
      <c r="R110" s="243">
        <v>114024.2</v>
      </c>
      <c r="S110" s="243">
        <v>139685.1</v>
      </c>
      <c r="T110" s="243">
        <v>95829.6</v>
      </c>
      <c r="U110" s="981">
        <v>14051.63</v>
      </c>
      <c r="V110" s="981">
        <v>10671.64</v>
      </c>
      <c r="W110" s="243">
        <v>32478</v>
      </c>
      <c r="X110" s="243">
        <v>16843</v>
      </c>
      <c r="Y110" s="243">
        <v>210803.5</v>
      </c>
      <c r="Z110" s="981">
        <v>345.9</v>
      </c>
      <c r="AA110" s="981">
        <v>50716</v>
      </c>
      <c r="AB110" s="243">
        <v>579324</v>
      </c>
      <c r="AC110" s="243">
        <v>295213</v>
      </c>
      <c r="AD110" s="243">
        <v>210756.1</v>
      </c>
      <c r="AE110" s="981">
        <v>1112.4000000000001</v>
      </c>
      <c r="AF110" s="1051">
        <v>942</v>
      </c>
      <c r="AG110" s="243">
        <v>35493</v>
      </c>
      <c r="AH110" s="243">
        <v>25304.7</v>
      </c>
      <c r="AI110" s="243">
        <v>82341.5</v>
      </c>
      <c r="AJ110" s="243">
        <v>63661.4</v>
      </c>
      <c r="AK110" s="243">
        <v>65438.5</v>
      </c>
      <c r="AL110" s="243">
        <v>53290.6</v>
      </c>
      <c r="AM110" s="243">
        <v>59284.3</v>
      </c>
      <c r="AN110" s="243">
        <v>23311.4</v>
      </c>
      <c r="AO110" s="243">
        <v>16.5</v>
      </c>
      <c r="AP110" s="243">
        <v>17.7</v>
      </c>
      <c r="AQ110" s="243">
        <v>489155</v>
      </c>
      <c r="AR110" s="243">
        <v>225721</v>
      </c>
      <c r="AS110" s="402">
        <v>65026</v>
      </c>
      <c r="AT110" s="981"/>
      <c r="AU110" s="243">
        <v>456953</v>
      </c>
      <c r="AV110" s="243">
        <v>201138</v>
      </c>
      <c r="AW110" s="243">
        <v>79123</v>
      </c>
      <c r="AX110" s="243">
        <v>4330.1000000000004</v>
      </c>
      <c r="AY110" s="243">
        <v>2885.2</v>
      </c>
      <c r="AZ110" s="981">
        <v>221.15</v>
      </c>
      <c r="BA110" s="981">
        <v>133.81</v>
      </c>
      <c r="BB110" s="243">
        <v>794.27700000000004</v>
      </c>
      <c r="BC110" s="243">
        <v>338.30700000000002</v>
      </c>
      <c r="BD110" s="243">
        <v>1793.2</v>
      </c>
      <c r="BE110" s="243">
        <v>2952.8</v>
      </c>
      <c r="BF110" s="243">
        <v>455.3</v>
      </c>
      <c r="BG110" s="243">
        <v>6036.13</v>
      </c>
      <c r="BH110" s="243">
        <v>33018.115789473697</v>
      </c>
      <c r="BI110" s="981">
        <v>9477.5478687720406</v>
      </c>
      <c r="BJ110" s="243">
        <v>5409.52</v>
      </c>
      <c r="BK110" s="654">
        <v>6628157</v>
      </c>
      <c r="BL110" s="654">
        <v>5046292</v>
      </c>
      <c r="BM110" s="654">
        <v>216640</v>
      </c>
      <c r="BN110" s="654">
        <v>179819</v>
      </c>
      <c r="BO110" s="243">
        <v>114</v>
      </c>
      <c r="BP110" s="243">
        <v>39.555999999999997</v>
      </c>
      <c r="BQ110" s="243">
        <v>580</v>
      </c>
      <c r="BR110" s="244">
        <v>2529200</v>
      </c>
      <c r="BS110" s="243">
        <v>513</v>
      </c>
      <c r="BT110" s="243">
        <v>19667</v>
      </c>
      <c r="BU110" s="243">
        <v>3240547</v>
      </c>
      <c r="BV110" s="243">
        <v>102065</v>
      </c>
      <c r="BW110" s="243">
        <v>20119.2</v>
      </c>
      <c r="BX110" s="243">
        <v>2940449</v>
      </c>
      <c r="BY110" s="243">
        <v>138305</v>
      </c>
      <c r="BZ110" s="243">
        <v>17309.7</v>
      </c>
      <c r="CA110" s="243">
        <v>8453</v>
      </c>
      <c r="CB110" s="243">
        <v>5757.9</v>
      </c>
      <c r="CC110" s="243">
        <v>1083144</v>
      </c>
      <c r="CD110" s="243">
        <v>615537</v>
      </c>
      <c r="CE110" s="243">
        <v>709519</v>
      </c>
      <c r="CF110" s="243">
        <v>448641</v>
      </c>
      <c r="CG110" s="1283">
        <v>0</v>
      </c>
    </row>
    <row r="111" spans="1:85" ht="13.2">
      <c r="A111" s="618">
        <v>45029</v>
      </c>
      <c r="B111" s="367">
        <v>1062.06</v>
      </c>
      <c r="C111" s="243">
        <v>586.548</v>
      </c>
      <c r="D111" s="243">
        <v>6852.5</v>
      </c>
      <c r="E111" s="1271">
        <v>0</v>
      </c>
      <c r="F111" s="243">
        <v>17811.599999999999</v>
      </c>
      <c r="G111" s="243">
        <v>5656.1</v>
      </c>
      <c r="H111" s="243">
        <v>579520</v>
      </c>
      <c r="I111" s="243">
        <v>268130</v>
      </c>
      <c r="J111" s="243">
        <v>205246.6</v>
      </c>
      <c r="K111" s="981"/>
      <c r="L111" s="981"/>
      <c r="M111" s="213">
        <v>14959</v>
      </c>
      <c r="N111" s="243">
        <v>7011</v>
      </c>
      <c r="O111" s="243">
        <v>45900.4</v>
      </c>
      <c r="P111" s="243">
        <v>36509.4</v>
      </c>
      <c r="Q111" s="243">
        <v>137465.79999999999</v>
      </c>
      <c r="R111" s="243">
        <v>114036.1</v>
      </c>
      <c r="S111" s="243">
        <v>139700</v>
      </c>
      <c r="T111" s="243">
        <v>95840</v>
      </c>
      <c r="U111" s="981">
        <v>14051.63</v>
      </c>
      <c r="V111" s="981">
        <v>10671.64</v>
      </c>
      <c r="W111" s="243">
        <v>32625</v>
      </c>
      <c r="X111" s="243">
        <v>16919</v>
      </c>
      <c r="Y111" s="243">
        <v>210827.5</v>
      </c>
      <c r="Z111" s="981">
        <v>345.9</v>
      </c>
      <c r="AA111" s="981">
        <v>50716</v>
      </c>
      <c r="AB111" s="243">
        <v>579622</v>
      </c>
      <c r="AC111" s="243">
        <v>295364</v>
      </c>
      <c r="AD111" s="243">
        <v>210780.1</v>
      </c>
      <c r="AE111" s="981">
        <v>1112.4000000000001</v>
      </c>
      <c r="AF111" s="1051">
        <v>942</v>
      </c>
      <c r="AG111" s="243">
        <v>35495.300000000003</v>
      </c>
      <c r="AH111" s="243">
        <v>25306.3</v>
      </c>
      <c r="AI111" s="243">
        <v>82348.899999999994</v>
      </c>
      <c r="AJ111" s="243">
        <v>63667</v>
      </c>
      <c r="AK111" s="243">
        <v>65438.5</v>
      </c>
      <c r="AL111" s="243">
        <v>53290.6</v>
      </c>
      <c r="AM111" s="243">
        <v>59296.3</v>
      </c>
      <c r="AN111" s="243">
        <v>23316.2</v>
      </c>
      <c r="AO111" s="243">
        <v>16.5</v>
      </c>
      <c r="AP111" s="243">
        <v>17.7</v>
      </c>
      <c r="AQ111" s="243">
        <v>489322</v>
      </c>
      <c r="AR111" s="243">
        <v>225797</v>
      </c>
      <c r="AS111" s="402">
        <v>65031</v>
      </c>
      <c r="AT111" s="981"/>
      <c r="AU111" s="243">
        <v>457102</v>
      </c>
      <c r="AV111" s="243">
        <v>201203</v>
      </c>
      <c r="AW111" s="243">
        <v>79147</v>
      </c>
      <c r="AX111" s="243">
        <v>4332.8999999999996</v>
      </c>
      <c r="AY111" s="243">
        <v>2887.2</v>
      </c>
      <c r="AZ111" s="981">
        <v>221.15</v>
      </c>
      <c r="BA111" s="981">
        <v>133.81</v>
      </c>
      <c r="BB111" s="243">
        <v>794.27700000000004</v>
      </c>
      <c r="BC111" s="243">
        <v>338.30700000000002</v>
      </c>
      <c r="BD111" s="243">
        <v>1793.2</v>
      </c>
      <c r="BE111" s="243">
        <v>2955.1</v>
      </c>
      <c r="BF111" s="243">
        <v>455.4</v>
      </c>
      <c r="BG111" s="243">
        <v>5997.6</v>
      </c>
      <c r="BH111" s="243">
        <v>33611.922807017501</v>
      </c>
      <c r="BI111" s="981">
        <v>9442.1045044965194</v>
      </c>
      <c r="BJ111" s="243">
        <v>5417.49</v>
      </c>
      <c r="BK111" s="654">
        <v>6628157</v>
      </c>
      <c r="BL111" s="654">
        <v>5046292</v>
      </c>
      <c r="BM111" s="654">
        <v>216881</v>
      </c>
      <c r="BN111" s="654">
        <v>179949</v>
      </c>
      <c r="BO111" s="243">
        <v>61</v>
      </c>
      <c r="BP111" s="243">
        <v>20.395</v>
      </c>
      <c r="BQ111" s="243">
        <v>309</v>
      </c>
      <c r="BR111" s="243">
        <v>2532200</v>
      </c>
      <c r="BS111" s="243">
        <v>514</v>
      </c>
      <c r="BT111" s="243">
        <v>19691</v>
      </c>
      <c r="BU111" s="243">
        <v>3240547</v>
      </c>
      <c r="BV111" s="243">
        <v>102065</v>
      </c>
      <c r="BW111" s="243">
        <v>20119.2</v>
      </c>
      <c r="BX111" s="243">
        <v>2945101</v>
      </c>
      <c r="BY111" s="243">
        <v>138686</v>
      </c>
      <c r="BZ111" s="243">
        <v>17333.7</v>
      </c>
      <c r="CA111" s="243">
        <v>8458.6</v>
      </c>
      <c r="CB111" s="243">
        <v>5761.8</v>
      </c>
      <c r="CC111" s="243">
        <v>1084532</v>
      </c>
      <c r="CD111" s="243">
        <v>616300</v>
      </c>
      <c r="CE111" s="243">
        <v>709519</v>
      </c>
      <c r="CF111" s="243">
        <v>448641</v>
      </c>
      <c r="CG111" s="1283">
        <v>0</v>
      </c>
    </row>
    <row r="112" spans="1:85" ht="13.2">
      <c r="A112" s="618">
        <v>45030</v>
      </c>
      <c r="B112" s="367">
        <v>1062.06</v>
      </c>
      <c r="C112" s="243">
        <v>586.548</v>
      </c>
      <c r="D112" s="243">
        <v>6852.5</v>
      </c>
      <c r="E112" s="1271">
        <v>0</v>
      </c>
      <c r="F112" s="243">
        <v>17821.900000000001</v>
      </c>
      <c r="G112" s="243">
        <v>5660.1</v>
      </c>
      <c r="H112" s="243">
        <v>579680</v>
      </c>
      <c r="I112" s="243">
        <v>268212</v>
      </c>
      <c r="J112" s="243">
        <v>205270.6</v>
      </c>
      <c r="K112" s="981"/>
      <c r="L112" s="981"/>
      <c r="M112" s="213">
        <v>14959</v>
      </c>
      <c r="N112" s="243">
        <v>7011</v>
      </c>
      <c r="O112" s="243">
        <v>45940.1</v>
      </c>
      <c r="P112" s="243">
        <v>36541.800000000003</v>
      </c>
      <c r="Q112" s="243">
        <v>137480.1</v>
      </c>
      <c r="R112" s="243">
        <v>114048</v>
      </c>
      <c r="S112" s="243">
        <v>139715.29999999999</v>
      </c>
      <c r="T112" s="243">
        <v>95850.7</v>
      </c>
      <c r="U112" s="981">
        <v>14051.63</v>
      </c>
      <c r="V112" s="981">
        <v>10671.64</v>
      </c>
      <c r="W112" s="243">
        <v>32742</v>
      </c>
      <c r="X112" s="243">
        <v>16982</v>
      </c>
      <c r="Y112" s="243">
        <v>210851.5</v>
      </c>
      <c r="Z112" s="981">
        <v>345.9</v>
      </c>
      <c r="AA112" s="981">
        <v>50716</v>
      </c>
      <c r="AB112" s="243">
        <v>579942</v>
      </c>
      <c r="AC112" s="243">
        <v>295529</v>
      </c>
      <c r="AD112" s="243">
        <v>210804.1</v>
      </c>
      <c r="AE112" s="981">
        <v>1112.4000000000001</v>
      </c>
      <c r="AF112" s="1051">
        <v>942</v>
      </c>
      <c r="AG112" s="243">
        <v>35497.4</v>
      </c>
      <c r="AH112" s="243">
        <v>25307.8</v>
      </c>
      <c r="AI112" s="243">
        <v>82356.5</v>
      </c>
      <c r="AJ112" s="243">
        <v>63672.6</v>
      </c>
      <c r="AK112" s="243">
        <v>65438.5</v>
      </c>
      <c r="AL112" s="243">
        <v>53290.6</v>
      </c>
      <c r="AM112" s="243">
        <v>59302.2</v>
      </c>
      <c r="AN112" s="243">
        <v>23318.400000000001</v>
      </c>
      <c r="AO112" s="243">
        <v>16.5</v>
      </c>
      <c r="AP112" s="243">
        <v>17.7</v>
      </c>
      <c r="AQ112" s="243">
        <v>489490</v>
      </c>
      <c r="AR112" s="243">
        <v>225874</v>
      </c>
      <c r="AS112" s="402">
        <v>65036</v>
      </c>
      <c r="AT112" s="981"/>
      <c r="AU112" s="243">
        <v>457252</v>
      </c>
      <c r="AV112" s="243">
        <v>201268</v>
      </c>
      <c r="AW112" s="243">
        <v>79171</v>
      </c>
      <c r="AX112" s="243">
        <v>4335.6000000000004</v>
      </c>
      <c r="AY112" s="243">
        <v>2889.1</v>
      </c>
      <c r="AZ112" s="981">
        <v>221.15</v>
      </c>
      <c r="BA112" s="981">
        <v>133.81</v>
      </c>
      <c r="BB112" s="243">
        <v>794.27700000000004</v>
      </c>
      <c r="BC112" s="243">
        <v>338.30700000000002</v>
      </c>
      <c r="BD112" s="243">
        <v>1793.2</v>
      </c>
      <c r="BE112" s="243">
        <v>2957.5</v>
      </c>
      <c r="BF112" s="243">
        <v>455.4</v>
      </c>
      <c r="BG112" s="243">
        <v>6226.59</v>
      </c>
      <c r="BH112" s="243">
        <v>33448.592982456103</v>
      </c>
      <c r="BI112" s="981">
        <v>8867.2385318864108</v>
      </c>
      <c r="BJ112" s="243">
        <v>4974.82</v>
      </c>
      <c r="BK112" s="654">
        <v>6628369</v>
      </c>
      <c r="BL112" s="654">
        <v>5046491</v>
      </c>
      <c r="BM112" s="654">
        <v>217123</v>
      </c>
      <c r="BN112" s="654">
        <v>180069</v>
      </c>
      <c r="BO112" s="243">
        <v>129</v>
      </c>
      <c r="BP112" s="243">
        <v>44.43</v>
      </c>
      <c r="BQ112" s="243">
        <v>655</v>
      </c>
      <c r="BR112" s="243">
        <v>2534500</v>
      </c>
      <c r="BS112" s="243">
        <v>515</v>
      </c>
      <c r="BT112" s="243">
        <v>19715</v>
      </c>
      <c r="BU112" s="243">
        <v>3240547</v>
      </c>
      <c r="BV112" s="243">
        <v>102065</v>
      </c>
      <c r="BW112" s="243">
        <v>20119.2</v>
      </c>
      <c r="BX112" s="243">
        <v>2949670</v>
      </c>
      <c r="BY112" s="243">
        <v>139150</v>
      </c>
      <c r="BZ112" s="243">
        <v>17357.7</v>
      </c>
      <c r="CA112" s="243">
        <v>8464.1</v>
      </c>
      <c r="CB112" s="243">
        <v>5765.7</v>
      </c>
      <c r="CC112" s="243">
        <v>1085931</v>
      </c>
      <c r="CD112" s="243">
        <v>617065</v>
      </c>
      <c r="CE112" s="243">
        <v>709520</v>
      </c>
      <c r="CF112" s="243">
        <v>448642</v>
      </c>
      <c r="CG112" s="1283">
        <v>0</v>
      </c>
    </row>
    <row r="113" spans="1:85" s="403" customFormat="1" ht="13.2">
      <c r="A113" s="618">
        <v>45031</v>
      </c>
      <c r="B113" s="367">
        <v>1062.06</v>
      </c>
      <c r="C113" s="243">
        <v>586.548</v>
      </c>
      <c r="D113" s="243">
        <v>6852.5</v>
      </c>
      <c r="E113" s="1271">
        <v>0</v>
      </c>
      <c r="F113" s="244">
        <v>17832.2</v>
      </c>
      <c r="G113" s="244">
        <v>5664.1</v>
      </c>
      <c r="H113" s="244">
        <v>579842</v>
      </c>
      <c r="I113" s="244">
        <v>268295</v>
      </c>
      <c r="J113" s="244">
        <v>205294.6</v>
      </c>
      <c r="K113" s="244"/>
      <c r="L113" s="244"/>
      <c r="M113" s="213">
        <v>14959</v>
      </c>
      <c r="N113" s="243">
        <v>7011</v>
      </c>
      <c r="O113" s="244">
        <v>45981.2</v>
      </c>
      <c r="P113" s="244">
        <v>36575.699999999997</v>
      </c>
      <c r="Q113" s="244">
        <v>137495.29999999999</v>
      </c>
      <c r="R113" s="244">
        <v>114060.1</v>
      </c>
      <c r="S113" s="244">
        <v>139730.29999999999</v>
      </c>
      <c r="T113" s="244">
        <v>95861.2</v>
      </c>
      <c r="U113" s="981">
        <v>14051.63</v>
      </c>
      <c r="V113" s="981">
        <v>10671.64</v>
      </c>
      <c r="W113" s="244">
        <v>32828</v>
      </c>
      <c r="X113" s="244">
        <v>17025</v>
      </c>
      <c r="Y113" s="244">
        <v>210875.5</v>
      </c>
      <c r="Z113" s="981">
        <v>345.9</v>
      </c>
      <c r="AA113" s="981">
        <v>50716</v>
      </c>
      <c r="AB113" s="244">
        <v>580306</v>
      </c>
      <c r="AC113" s="244">
        <v>295719</v>
      </c>
      <c r="AD113" s="244">
        <v>210828.1</v>
      </c>
      <c r="AE113" s="981">
        <v>1112.4000000000001</v>
      </c>
      <c r="AF113" s="1051">
        <v>942</v>
      </c>
      <c r="AG113" s="244">
        <v>35499.9</v>
      </c>
      <c r="AH113" s="244">
        <v>25309.5</v>
      </c>
      <c r="AI113" s="244">
        <v>82364.5</v>
      </c>
      <c r="AJ113" s="244">
        <v>63678.7</v>
      </c>
      <c r="AK113" s="243">
        <v>65438.5</v>
      </c>
      <c r="AL113" s="243">
        <v>53290.6</v>
      </c>
      <c r="AM113" s="244">
        <v>59314.400000000001</v>
      </c>
      <c r="AN113" s="244">
        <v>23322.799999999999</v>
      </c>
      <c r="AO113" s="243">
        <v>16.5</v>
      </c>
      <c r="AP113" s="243">
        <v>17.7</v>
      </c>
      <c r="AQ113" s="244">
        <v>489658</v>
      </c>
      <c r="AR113" s="244">
        <v>225951</v>
      </c>
      <c r="AS113" s="244">
        <v>65041</v>
      </c>
      <c r="AT113" s="244"/>
      <c r="AU113" s="244">
        <v>457402</v>
      </c>
      <c r="AV113" s="244">
        <v>201333</v>
      </c>
      <c r="AW113" s="244">
        <v>79195</v>
      </c>
      <c r="AX113" s="244">
        <v>4338.5</v>
      </c>
      <c r="AY113" s="244">
        <v>2891.1</v>
      </c>
      <c r="AZ113" s="981">
        <v>221.2</v>
      </c>
      <c r="BA113" s="981">
        <v>133.84</v>
      </c>
      <c r="BB113" s="243">
        <v>794.27700000000004</v>
      </c>
      <c r="BC113" s="243">
        <v>338.30700000000002</v>
      </c>
      <c r="BD113" s="243">
        <v>1793.2</v>
      </c>
      <c r="BE113" s="244">
        <v>2959.9</v>
      </c>
      <c r="BF113" s="244">
        <v>455.4</v>
      </c>
      <c r="BG113" s="244">
        <v>5856.83</v>
      </c>
      <c r="BH113" s="244">
        <v>33527.743859649097</v>
      </c>
      <c r="BI113" s="981">
        <v>9779.0691189899899</v>
      </c>
      <c r="BJ113" s="244">
        <v>4760.01</v>
      </c>
      <c r="BK113" s="244">
        <v>6629965</v>
      </c>
      <c r="BL113" s="244">
        <v>5047985</v>
      </c>
      <c r="BM113" s="654">
        <v>217123</v>
      </c>
      <c r="BN113" s="654">
        <v>180069</v>
      </c>
      <c r="BO113" s="244">
        <v>130</v>
      </c>
      <c r="BP113" s="244">
        <v>45.965000000000003</v>
      </c>
      <c r="BQ113" s="244">
        <v>659</v>
      </c>
      <c r="BR113" s="244">
        <v>2536700</v>
      </c>
      <c r="BS113" s="244">
        <v>516</v>
      </c>
      <c r="BT113" s="244">
        <v>19739</v>
      </c>
      <c r="BU113" s="243">
        <v>3240547</v>
      </c>
      <c r="BV113" s="243">
        <v>102065</v>
      </c>
      <c r="BW113" s="243">
        <v>20119.2</v>
      </c>
      <c r="BX113" s="244">
        <v>2954311</v>
      </c>
      <c r="BY113" s="244">
        <v>139572</v>
      </c>
      <c r="BZ113" s="244">
        <v>17381.7</v>
      </c>
      <c r="CA113" s="244">
        <v>8469.7000000000007</v>
      </c>
      <c r="CB113" s="244">
        <v>5769.6</v>
      </c>
      <c r="CC113" s="244">
        <v>1087346</v>
      </c>
      <c r="CD113" s="244">
        <v>617842</v>
      </c>
      <c r="CE113" s="244">
        <v>709568</v>
      </c>
      <c r="CF113" s="244">
        <v>448672</v>
      </c>
      <c r="CG113" s="1283">
        <v>0</v>
      </c>
    </row>
    <row r="114" spans="1:85" s="403" customFormat="1" ht="13.2">
      <c r="A114" s="618">
        <v>45032</v>
      </c>
      <c r="B114" s="367">
        <v>1062.06</v>
      </c>
      <c r="C114" s="243">
        <v>586.548</v>
      </c>
      <c r="D114" s="243">
        <v>6852.5</v>
      </c>
      <c r="E114" s="1271">
        <v>0</v>
      </c>
      <c r="F114" s="244">
        <v>17842.5</v>
      </c>
      <c r="G114" s="244">
        <v>5668</v>
      </c>
      <c r="H114" s="244">
        <v>580004</v>
      </c>
      <c r="I114" s="244">
        <v>268378</v>
      </c>
      <c r="J114" s="244">
        <v>205318.6</v>
      </c>
      <c r="K114" s="981"/>
      <c r="L114" s="981"/>
      <c r="M114" s="213">
        <v>14959</v>
      </c>
      <c r="N114" s="243">
        <v>7011</v>
      </c>
      <c r="O114" s="244">
        <v>46022.5</v>
      </c>
      <c r="P114" s="244">
        <v>36609.5</v>
      </c>
      <c r="Q114" s="244">
        <v>137509.79999999999</v>
      </c>
      <c r="R114" s="244">
        <v>114071.8</v>
      </c>
      <c r="S114" s="244">
        <v>139744.6</v>
      </c>
      <c r="T114" s="244">
        <v>95871.3</v>
      </c>
      <c r="U114" s="981">
        <v>14051.63</v>
      </c>
      <c r="V114" s="981">
        <v>10671.64</v>
      </c>
      <c r="W114" s="244">
        <v>32890.6</v>
      </c>
      <c r="X114" s="244">
        <v>17057</v>
      </c>
      <c r="Y114" s="244">
        <v>210893.5</v>
      </c>
      <c r="Z114" s="981">
        <v>345.9</v>
      </c>
      <c r="AA114" s="981">
        <v>50716</v>
      </c>
      <c r="AB114" s="244">
        <v>580686</v>
      </c>
      <c r="AC114" s="244">
        <v>295918</v>
      </c>
      <c r="AD114" s="244">
        <v>210852.1</v>
      </c>
      <c r="AE114" s="981">
        <v>1112.4000000000001</v>
      </c>
      <c r="AF114" s="1051">
        <v>942</v>
      </c>
      <c r="AG114" s="243">
        <v>35502.300000000003</v>
      </c>
      <c r="AH114" s="243">
        <v>25311.200000000001</v>
      </c>
      <c r="AI114" s="243">
        <v>82371.5</v>
      </c>
      <c r="AJ114" s="243">
        <v>63683.9</v>
      </c>
      <c r="AK114" s="243">
        <v>65438.5</v>
      </c>
      <c r="AL114" s="243">
        <v>53290.6</v>
      </c>
      <c r="AM114" s="244">
        <v>59323.6</v>
      </c>
      <c r="AN114" s="244">
        <v>23326.2</v>
      </c>
      <c r="AO114" s="243">
        <v>16.5</v>
      </c>
      <c r="AP114" s="243">
        <v>17.7</v>
      </c>
      <c r="AQ114" s="244">
        <v>489823</v>
      </c>
      <c r="AR114" s="244">
        <v>226027</v>
      </c>
      <c r="AS114" s="701">
        <v>65045</v>
      </c>
      <c r="AT114" s="981"/>
      <c r="AU114" s="244">
        <v>457552</v>
      </c>
      <c r="AV114" s="244">
        <v>201398</v>
      </c>
      <c r="AW114" s="243">
        <v>79219</v>
      </c>
      <c r="AX114" s="244">
        <v>4341.3999999999996</v>
      </c>
      <c r="AY114" s="244">
        <v>2893.2</v>
      </c>
      <c r="AZ114" s="981">
        <v>221.2</v>
      </c>
      <c r="BA114" s="981">
        <v>133.84</v>
      </c>
      <c r="BB114" s="243">
        <v>797.91300000000001</v>
      </c>
      <c r="BC114" s="243">
        <v>339.702</v>
      </c>
      <c r="BD114" s="243">
        <v>1797.2</v>
      </c>
      <c r="BE114" s="244">
        <v>2962.2</v>
      </c>
      <c r="BF114" s="244">
        <v>455.4</v>
      </c>
      <c r="BG114" s="244">
        <v>5404.84</v>
      </c>
      <c r="BH114" s="244">
        <v>33610.575438596497</v>
      </c>
      <c r="BI114" s="981">
        <v>9960.2949223194501</v>
      </c>
      <c r="BJ114" s="244">
        <v>5376.88</v>
      </c>
      <c r="BK114" s="702">
        <v>6631419</v>
      </c>
      <c r="BL114" s="702">
        <v>5049358</v>
      </c>
      <c r="BM114" s="654">
        <v>217123</v>
      </c>
      <c r="BN114" s="654">
        <v>180069</v>
      </c>
      <c r="BO114" s="244">
        <v>129</v>
      </c>
      <c r="BP114" s="244">
        <v>45.613999999999997</v>
      </c>
      <c r="BQ114" s="244">
        <v>660</v>
      </c>
      <c r="BR114" s="244">
        <v>2539000</v>
      </c>
      <c r="BS114" s="244">
        <v>517</v>
      </c>
      <c r="BT114" s="244">
        <v>19763</v>
      </c>
      <c r="BU114" s="243">
        <v>3240547</v>
      </c>
      <c r="BV114" s="243">
        <v>102065</v>
      </c>
      <c r="BW114" s="243">
        <v>20119.2</v>
      </c>
      <c r="BX114" s="243">
        <v>2958935</v>
      </c>
      <c r="BY114" s="243">
        <v>140008</v>
      </c>
      <c r="BZ114" s="243">
        <v>17405.7</v>
      </c>
      <c r="CA114" s="244">
        <v>8475.6</v>
      </c>
      <c r="CB114" s="244">
        <v>5773.5</v>
      </c>
      <c r="CC114" s="244">
        <v>1088687</v>
      </c>
      <c r="CD114" s="244">
        <v>618583</v>
      </c>
      <c r="CE114" s="244">
        <v>709569</v>
      </c>
      <c r="CF114" s="244">
        <v>448672</v>
      </c>
      <c r="CG114" s="1283">
        <v>1</v>
      </c>
    </row>
    <row r="115" spans="1:85" ht="13.2">
      <c r="A115" s="618">
        <v>45033</v>
      </c>
      <c r="B115" s="367">
        <v>1063.79</v>
      </c>
      <c r="C115" s="243">
        <v>587.41700000000003</v>
      </c>
      <c r="D115" s="243">
        <v>6854.6</v>
      </c>
      <c r="E115" s="1271">
        <v>0.4</v>
      </c>
      <c r="F115" s="243">
        <v>17852.900000000001</v>
      </c>
      <c r="G115" s="243">
        <v>5672.3</v>
      </c>
      <c r="H115" s="402">
        <v>580167</v>
      </c>
      <c r="I115" s="402">
        <v>268460</v>
      </c>
      <c r="J115" s="402">
        <v>205342.6</v>
      </c>
      <c r="K115" s="981"/>
      <c r="L115" s="981"/>
      <c r="M115" s="213">
        <v>14959</v>
      </c>
      <c r="N115" s="243">
        <v>7011</v>
      </c>
      <c r="O115" s="402">
        <v>46061.8</v>
      </c>
      <c r="P115" s="402">
        <v>36641.599999999999</v>
      </c>
      <c r="Q115" s="402">
        <v>137523.6</v>
      </c>
      <c r="R115" s="402">
        <v>114082.9</v>
      </c>
      <c r="S115" s="402">
        <v>139757.79999999999</v>
      </c>
      <c r="T115" s="402">
        <v>95880.4</v>
      </c>
      <c r="U115" s="981">
        <v>14051.63</v>
      </c>
      <c r="V115" s="981">
        <v>10671.64</v>
      </c>
      <c r="W115" s="244">
        <v>32890.6</v>
      </c>
      <c r="X115" s="244">
        <v>17057</v>
      </c>
      <c r="Y115" s="244">
        <v>210893.5</v>
      </c>
      <c r="Z115" s="981">
        <v>345.9</v>
      </c>
      <c r="AA115" s="981">
        <v>50716</v>
      </c>
      <c r="AB115" s="402">
        <v>581113</v>
      </c>
      <c r="AC115" s="402">
        <v>296143</v>
      </c>
      <c r="AD115" s="243">
        <v>210876.1</v>
      </c>
      <c r="AE115" s="981">
        <v>1112.4000000000001</v>
      </c>
      <c r="AF115" s="1051">
        <v>942</v>
      </c>
      <c r="AG115" s="243">
        <v>35504.400000000001</v>
      </c>
      <c r="AH115" s="243">
        <v>25312.5</v>
      </c>
      <c r="AI115" s="243">
        <v>82378.5</v>
      </c>
      <c r="AJ115" s="243">
        <v>63689.2</v>
      </c>
      <c r="AK115" s="243">
        <v>65438.5</v>
      </c>
      <c r="AL115" s="243">
        <v>53290.6</v>
      </c>
      <c r="AM115" s="402">
        <v>59331.199999999997</v>
      </c>
      <c r="AN115" s="402">
        <v>23329.1</v>
      </c>
      <c r="AO115" s="243">
        <v>16.5</v>
      </c>
      <c r="AP115" s="243">
        <v>17.7</v>
      </c>
      <c r="AQ115" s="402">
        <v>489980</v>
      </c>
      <c r="AR115" s="402">
        <v>226099</v>
      </c>
      <c r="AS115" s="402">
        <v>65050</v>
      </c>
      <c r="AT115" s="981"/>
      <c r="AU115" s="402">
        <v>457699</v>
      </c>
      <c r="AV115" s="402">
        <v>201461</v>
      </c>
      <c r="AW115" s="243">
        <v>79243</v>
      </c>
      <c r="AX115" s="243">
        <v>4344.2</v>
      </c>
      <c r="AY115" s="243">
        <v>2895.1</v>
      </c>
      <c r="AZ115" s="981">
        <v>221.2</v>
      </c>
      <c r="BA115" s="981">
        <v>133.84</v>
      </c>
      <c r="BB115" s="243">
        <v>805.827</v>
      </c>
      <c r="BC115" s="243">
        <v>342.74</v>
      </c>
      <c r="BD115" s="367">
        <v>1805.8</v>
      </c>
      <c r="BE115" s="243">
        <v>2964.6</v>
      </c>
      <c r="BF115" s="243">
        <v>455.4</v>
      </c>
      <c r="BG115" s="402">
        <v>5892.79</v>
      </c>
      <c r="BH115" s="402">
        <v>31634.173684210498</v>
      </c>
      <c r="BI115" s="981">
        <v>10484.473646685799</v>
      </c>
      <c r="BJ115" s="402">
        <v>4959.7</v>
      </c>
      <c r="BK115" s="702">
        <v>6632466</v>
      </c>
      <c r="BL115" s="702">
        <v>5050308</v>
      </c>
      <c r="BM115" s="654">
        <v>217123</v>
      </c>
      <c r="BN115" s="654">
        <v>180069</v>
      </c>
      <c r="BO115" s="243">
        <v>131</v>
      </c>
      <c r="BP115" s="243">
        <v>45.276000000000003</v>
      </c>
      <c r="BQ115" s="243">
        <v>660</v>
      </c>
      <c r="BR115" s="243">
        <v>2541200</v>
      </c>
      <c r="BS115" s="243">
        <v>518</v>
      </c>
      <c r="BT115" s="243">
        <v>19787</v>
      </c>
      <c r="BU115" s="243">
        <v>3240547</v>
      </c>
      <c r="BV115" s="243">
        <v>102065</v>
      </c>
      <c r="BW115" s="243">
        <v>20119.2</v>
      </c>
      <c r="BX115" s="243">
        <v>2963696</v>
      </c>
      <c r="BY115" s="243">
        <v>140773</v>
      </c>
      <c r="BZ115" s="243">
        <v>17429.7</v>
      </c>
      <c r="CA115" s="243">
        <v>8480.7999999999993</v>
      </c>
      <c r="CB115" s="243">
        <v>5777.4</v>
      </c>
      <c r="CC115" s="243">
        <v>1090042</v>
      </c>
      <c r="CD115" s="243">
        <v>619324</v>
      </c>
      <c r="CE115" s="243">
        <v>709570</v>
      </c>
      <c r="CF115" s="243">
        <v>448673</v>
      </c>
      <c r="CG115" s="1283">
        <v>1</v>
      </c>
    </row>
    <row r="116" spans="1:85" ht="13.2">
      <c r="A116" s="618">
        <v>45034</v>
      </c>
      <c r="B116" s="367">
        <v>1063.79</v>
      </c>
      <c r="C116" s="243">
        <v>587.41700000000003</v>
      </c>
      <c r="D116" s="243">
        <v>6854.6</v>
      </c>
      <c r="E116" s="1271">
        <v>0</v>
      </c>
      <c r="F116" s="243">
        <v>17863.099999999999</v>
      </c>
      <c r="G116" s="243">
        <v>5677.1</v>
      </c>
      <c r="H116" s="402">
        <v>580333</v>
      </c>
      <c r="I116" s="402">
        <v>268543</v>
      </c>
      <c r="J116" s="402">
        <v>205366.6</v>
      </c>
      <c r="K116" s="981"/>
      <c r="L116" s="981"/>
      <c r="M116" s="213">
        <v>14959</v>
      </c>
      <c r="N116" s="243">
        <v>7011</v>
      </c>
      <c r="O116" s="402">
        <v>46101.599999999999</v>
      </c>
      <c r="P116" s="402">
        <v>36674.1</v>
      </c>
      <c r="Q116" s="402">
        <v>137538</v>
      </c>
      <c r="R116" s="402">
        <v>114094</v>
      </c>
      <c r="S116" s="402">
        <v>139772</v>
      </c>
      <c r="T116" s="402">
        <v>95890.3</v>
      </c>
      <c r="U116" s="981">
        <v>14051.63</v>
      </c>
      <c r="V116" s="981">
        <v>10671.64</v>
      </c>
      <c r="W116" s="244">
        <v>32890.6</v>
      </c>
      <c r="X116" s="244">
        <v>17057</v>
      </c>
      <c r="Y116" s="244">
        <v>210893.5</v>
      </c>
      <c r="Z116" s="981">
        <v>345.9</v>
      </c>
      <c r="AA116" s="981">
        <v>50716</v>
      </c>
      <c r="AB116" s="402">
        <v>581551</v>
      </c>
      <c r="AC116" s="402">
        <v>296372</v>
      </c>
      <c r="AD116" s="402">
        <v>210900.1</v>
      </c>
      <c r="AE116" s="981">
        <v>1112.4000000000001</v>
      </c>
      <c r="AF116" s="1051">
        <v>942</v>
      </c>
      <c r="AG116" s="243">
        <v>35506.300000000003</v>
      </c>
      <c r="AH116" s="243">
        <v>25313.8</v>
      </c>
      <c r="AI116" s="243">
        <v>82384.100000000006</v>
      </c>
      <c r="AJ116" s="243">
        <v>63693.4</v>
      </c>
      <c r="AK116" s="243">
        <v>65438.5</v>
      </c>
      <c r="AL116" s="243">
        <v>53290.6</v>
      </c>
      <c r="AM116" s="402">
        <v>59346.8</v>
      </c>
      <c r="AN116" s="402">
        <v>23335.1</v>
      </c>
      <c r="AO116" s="243">
        <v>16.5</v>
      </c>
      <c r="AP116" s="243">
        <v>17.7</v>
      </c>
      <c r="AQ116" s="402">
        <v>490135</v>
      </c>
      <c r="AR116" s="402">
        <v>226171</v>
      </c>
      <c r="AS116" s="402">
        <v>65055</v>
      </c>
      <c r="AT116" s="981"/>
      <c r="AU116" s="402">
        <v>457846</v>
      </c>
      <c r="AV116" s="402">
        <v>201524</v>
      </c>
      <c r="AW116" s="243">
        <v>79267</v>
      </c>
      <c r="AX116" s="243">
        <v>4347</v>
      </c>
      <c r="AY116" s="243">
        <v>2897</v>
      </c>
      <c r="AZ116" s="981">
        <v>221.2</v>
      </c>
      <c r="BA116" s="981">
        <v>133.84</v>
      </c>
      <c r="BB116" s="243">
        <v>816.20899999999995</v>
      </c>
      <c r="BC116" s="243">
        <v>346.73200000000003</v>
      </c>
      <c r="BD116" s="367">
        <v>1817</v>
      </c>
      <c r="BE116" s="243">
        <v>2966.9</v>
      </c>
      <c r="BF116" s="243">
        <v>455.4</v>
      </c>
      <c r="BG116" s="402">
        <v>5880.04</v>
      </c>
      <c r="BH116" s="402">
        <v>32593.391228070199</v>
      </c>
      <c r="BI116" s="981">
        <v>10830.358417338301</v>
      </c>
      <c r="BJ116" s="402">
        <v>5797.72</v>
      </c>
      <c r="BK116" s="702">
        <v>6633332</v>
      </c>
      <c r="BL116" s="702">
        <v>5051096</v>
      </c>
      <c r="BM116" s="654">
        <v>217123</v>
      </c>
      <c r="BN116" s="654">
        <v>180069</v>
      </c>
      <c r="BO116" s="402">
        <v>130</v>
      </c>
      <c r="BP116" s="402">
        <v>44.606999999999999</v>
      </c>
      <c r="BQ116" s="402">
        <v>656</v>
      </c>
      <c r="BR116" s="243">
        <v>2543400</v>
      </c>
      <c r="BS116" s="243">
        <v>519</v>
      </c>
      <c r="BT116" s="243">
        <v>19811</v>
      </c>
      <c r="BU116" s="243">
        <v>3240547</v>
      </c>
      <c r="BV116" s="243">
        <v>102065</v>
      </c>
      <c r="BW116" s="243">
        <v>20119.2</v>
      </c>
      <c r="BX116" s="243">
        <v>2968533</v>
      </c>
      <c r="BY116" s="243">
        <v>141862</v>
      </c>
      <c r="BZ116" s="243">
        <v>17453.7</v>
      </c>
      <c r="CA116" s="402">
        <v>8486.2999999999993</v>
      </c>
      <c r="CB116" s="402">
        <v>5781.1</v>
      </c>
      <c r="CC116" s="402">
        <v>1091439</v>
      </c>
      <c r="CD116" s="402">
        <v>620086</v>
      </c>
      <c r="CE116" s="402">
        <v>709571</v>
      </c>
      <c r="CF116" s="402">
        <v>448674</v>
      </c>
      <c r="CG116" s="1283">
        <v>1</v>
      </c>
    </row>
    <row r="117" spans="1:85" ht="13.2">
      <c r="A117" s="618">
        <v>45035</v>
      </c>
      <c r="B117" s="367">
        <v>1063.79</v>
      </c>
      <c r="C117" s="243">
        <v>587.41700000000003</v>
      </c>
      <c r="D117" s="243">
        <v>6854.6</v>
      </c>
      <c r="E117" s="1271">
        <v>0</v>
      </c>
      <c r="F117" s="243">
        <v>17873.099999999999</v>
      </c>
      <c r="G117" s="243">
        <v>5681.4</v>
      </c>
      <c r="H117" s="402">
        <v>580499</v>
      </c>
      <c r="I117" s="402">
        <v>268626</v>
      </c>
      <c r="J117" s="402">
        <v>205390.6</v>
      </c>
      <c r="K117" s="981"/>
      <c r="L117" s="981"/>
      <c r="M117" s="213">
        <v>14959</v>
      </c>
      <c r="N117" s="243">
        <v>7011</v>
      </c>
      <c r="O117" s="402">
        <v>46142.1</v>
      </c>
      <c r="P117" s="402">
        <v>36707.300000000003</v>
      </c>
      <c r="Q117" s="402">
        <v>137548</v>
      </c>
      <c r="R117" s="402">
        <v>114103</v>
      </c>
      <c r="S117" s="402">
        <v>139787</v>
      </c>
      <c r="T117" s="402">
        <v>95900.800000000003</v>
      </c>
      <c r="U117" s="981">
        <v>14051.63</v>
      </c>
      <c r="V117" s="981">
        <v>10671.64</v>
      </c>
      <c r="W117" s="244">
        <v>32890.6</v>
      </c>
      <c r="X117" s="244">
        <v>17057</v>
      </c>
      <c r="Y117" s="244">
        <v>210893.5</v>
      </c>
      <c r="Z117" s="981">
        <v>345.9</v>
      </c>
      <c r="AA117" s="981">
        <v>50716</v>
      </c>
      <c r="AB117" s="402">
        <v>581877</v>
      </c>
      <c r="AC117" s="402">
        <v>296550</v>
      </c>
      <c r="AD117" s="402">
        <v>210924.1</v>
      </c>
      <c r="AE117" s="981">
        <v>1112.4000000000001</v>
      </c>
      <c r="AF117" s="1051">
        <v>942</v>
      </c>
      <c r="AG117" s="243">
        <v>35508.400000000001</v>
      </c>
      <c r="AH117" s="243">
        <v>25315.1</v>
      </c>
      <c r="AI117" s="243">
        <v>82390.7</v>
      </c>
      <c r="AJ117" s="243">
        <v>63698.400000000001</v>
      </c>
      <c r="AK117" s="243">
        <v>65438.5</v>
      </c>
      <c r="AL117" s="243">
        <v>53290.6</v>
      </c>
      <c r="AM117" s="402">
        <v>59354</v>
      </c>
      <c r="AN117" s="402">
        <v>23337.8</v>
      </c>
      <c r="AO117" s="243">
        <v>16.5</v>
      </c>
      <c r="AP117" s="243">
        <v>17.7</v>
      </c>
      <c r="AQ117" s="402">
        <v>490188</v>
      </c>
      <c r="AR117" s="402">
        <v>226195</v>
      </c>
      <c r="AS117" s="402">
        <v>65060</v>
      </c>
      <c r="AT117" s="981"/>
      <c r="AU117" s="402">
        <v>457887</v>
      </c>
      <c r="AV117" s="402">
        <v>201542</v>
      </c>
      <c r="AW117" s="243">
        <v>79273.399999999994</v>
      </c>
      <c r="AX117" s="243">
        <v>4349.6000000000004</v>
      </c>
      <c r="AY117" s="243">
        <v>2898.9</v>
      </c>
      <c r="AZ117" s="981">
        <v>221.2</v>
      </c>
      <c r="BA117" s="981">
        <v>133.84</v>
      </c>
      <c r="BB117" s="243">
        <v>819.154</v>
      </c>
      <c r="BC117" s="243">
        <v>347.86200000000002</v>
      </c>
      <c r="BD117" s="367">
        <v>1820.1</v>
      </c>
      <c r="BE117" s="243">
        <v>2969.2</v>
      </c>
      <c r="BF117" s="243">
        <v>455.4</v>
      </c>
      <c r="BG117" s="402">
        <v>5590.6</v>
      </c>
      <c r="BH117" s="402">
        <v>29024.963157894701</v>
      </c>
      <c r="BI117" s="981">
        <v>9443.8835803979691</v>
      </c>
      <c r="BJ117" s="402">
        <v>5155.2700000000004</v>
      </c>
      <c r="BK117" s="702">
        <v>6634265</v>
      </c>
      <c r="BL117" s="702">
        <v>5051925</v>
      </c>
      <c r="BM117" s="654">
        <v>217123</v>
      </c>
      <c r="BN117" s="654">
        <v>180069</v>
      </c>
      <c r="BO117" s="402">
        <v>129.69988749225317</v>
      </c>
      <c r="BP117" s="402">
        <v>45.275405983889954</v>
      </c>
      <c r="BQ117" s="402">
        <v>657.14702474552973</v>
      </c>
      <c r="BR117" s="243">
        <v>2545600</v>
      </c>
      <c r="BS117" s="243">
        <v>520</v>
      </c>
      <c r="BT117" s="243">
        <v>19835</v>
      </c>
      <c r="BU117" s="243">
        <v>3240547</v>
      </c>
      <c r="BV117" s="243">
        <v>102065</v>
      </c>
      <c r="BW117" s="243">
        <v>20119.2</v>
      </c>
      <c r="BX117" s="243">
        <v>2973227</v>
      </c>
      <c r="BY117" s="243">
        <v>142573</v>
      </c>
      <c r="BZ117" s="243">
        <v>17477.7</v>
      </c>
      <c r="CA117" s="402">
        <v>8491.9</v>
      </c>
      <c r="CB117" s="402">
        <v>5785</v>
      </c>
      <c r="CC117" s="402">
        <v>1092755</v>
      </c>
      <c r="CD117" s="402">
        <v>620807</v>
      </c>
      <c r="CE117" s="402">
        <v>709571</v>
      </c>
      <c r="CF117" s="402">
        <v>448675</v>
      </c>
      <c r="CG117" s="1283">
        <v>0</v>
      </c>
    </row>
    <row r="118" spans="1:85" ht="13.2">
      <c r="A118" s="618">
        <v>45036</v>
      </c>
      <c r="B118" s="367">
        <v>1063.79</v>
      </c>
      <c r="C118" s="243">
        <v>587.41700000000003</v>
      </c>
      <c r="D118" s="243">
        <v>6854.6</v>
      </c>
      <c r="E118" s="1271">
        <v>0</v>
      </c>
      <c r="F118" s="243">
        <v>17883.3</v>
      </c>
      <c r="G118" s="243">
        <v>5685.4</v>
      </c>
      <c r="H118" s="402">
        <v>580662.46900000004</v>
      </c>
      <c r="I118" s="402">
        <v>268708.60399999999</v>
      </c>
      <c r="J118" s="402">
        <v>205414.6</v>
      </c>
      <c r="K118" s="402"/>
      <c r="L118" s="402"/>
      <c r="M118" s="213">
        <v>14959</v>
      </c>
      <c r="N118" s="243">
        <v>7011</v>
      </c>
      <c r="O118" s="402">
        <v>46181.5</v>
      </c>
      <c r="P118" s="402">
        <v>36739.5</v>
      </c>
      <c r="Q118" s="402">
        <v>137558</v>
      </c>
      <c r="R118" s="402">
        <v>114110</v>
      </c>
      <c r="S118" s="402">
        <v>139803</v>
      </c>
      <c r="T118" s="402">
        <v>95911.3</v>
      </c>
      <c r="U118" s="981">
        <v>14051.63</v>
      </c>
      <c r="V118" s="981">
        <v>10671.64</v>
      </c>
      <c r="W118" s="244">
        <v>32990.800000000003</v>
      </c>
      <c r="X118" s="244">
        <v>17115.3</v>
      </c>
      <c r="Y118" s="244">
        <v>210912.8</v>
      </c>
      <c r="Z118" s="981">
        <v>345.9</v>
      </c>
      <c r="AA118" s="981">
        <v>50716</v>
      </c>
      <c r="AB118" s="402">
        <v>582142</v>
      </c>
      <c r="AC118" s="402">
        <v>296685</v>
      </c>
      <c r="AD118" s="402">
        <v>210948.1</v>
      </c>
      <c r="AE118" s="981">
        <v>1112.4000000000001</v>
      </c>
      <c r="AF118" s="1051">
        <v>942</v>
      </c>
      <c r="AG118" s="243">
        <v>35510.9</v>
      </c>
      <c r="AH118" s="243">
        <v>25316.799999999999</v>
      </c>
      <c r="AI118" s="243">
        <v>82397.3</v>
      </c>
      <c r="AJ118" s="243">
        <v>63703.4</v>
      </c>
      <c r="AK118" s="243">
        <v>65438.5</v>
      </c>
      <c r="AL118" s="243">
        <v>53290.6</v>
      </c>
      <c r="AM118" s="402">
        <v>59361.2</v>
      </c>
      <c r="AN118" s="402">
        <v>23340.6</v>
      </c>
      <c r="AO118" s="243">
        <v>16.5</v>
      </c>
      <c r="AP118" s="243">
        <v>17.7</v>
      </c>
      <c r="AQ118" s="402">
        <v>490284</v>
      </c>
      <c r="AR118" s="402">
        <v>226240</v>
      </c>
      <c r="AS118" s="402">
        <v>65064.7</v>
      </c>
      <c r="AT118" s="402"/>
      <c r="AU118" s="402">
        <v>457965</v>
      </c>
      <c r="AV118" s="402">
        <v>201576</v>
      </c>
      <c r="AW118" s="243">
        <v>79286.399999999994</v>
      </c>
      <c r="AX118" s="243">
        <v>4351.8999999999996</v>
      </c>
      <c r="AY118" s="243">
        <v>2900.5</v>
      </c>
      <c r="AZ118" s="981">
        <v>221.2</v>
      </c>
      <c r="BA118" s="981">
        <v>133.84</v>
      </c>
      <c r="BB118" s="243">
        <v>819.154</v>
      </c>
      <c r="BC118" s="243">
        <v>347.86200000000002</v>
      </c>
      <c r="BD118" s="367">
        <v>1820.1</v>
      </c>
      <c r="BE118" s="243">
        <v>2971.1</v>
      </c>
      <c r="BF118" s="243">
        <v>455.4</v>
      </c>
      <c r="BG118" s="402">
        <v>6260.92</v>
      </c>
      <c r="BH118" s="402">
        <v>28498.985964912299</v>
      </c>
      <c r="BI118" s="981">
        <v>9236.9576916597998</v>
      </c>
      <c r="BJ118" s="402">
        <v>5711.28</v>
      </c>
      <c r="BK118" s="702">
        <v>6635146</v>
      </c>
      <c r="BL118" s="702">
        <v>5052712</v>
      </c>
      <c r="BM118" s="654">
        <v>217123</v>
      </c>
      <c r="BN118" s="654">
        <v>180069</v>
      </c>
      <c r="BO118" s="402">
        <v>128.34628767629732</v>
      </c>
      <c r="BP118" s="402">
        <v>44.99303214787215</v>
      </c>
      <c r="BQ118" s="402">
        <v>655.60694171786474</v>
      </c>
      <c r="BR118" s="402">
        <v>2547760</v>
      </c>
      <c r="BS118" s="243">
        <v>521</v>
      </c>
      <c r="BT118" s="402">
        <v>19859</v>
      </c>
      <c r="BU118" s="243">
        <v>3240547</v>
      </c>
      <c r="BV118" s="243">
        <v>102065</v>
      </c>
      <c r="BW118" s="243">
        <v>20119.2</v>
      </c>
      <c r="BX118" s="402">
        <v>2977662</v>
      </c>
      <c r="BY118" s="402">
        <v>143119</v>
      </c>
      <c r="BZ118" s="402">
        <v>17502.09</v>
      </c>
      <c r="CA118" s="402">
        <v>8497.2999999999993</v>
      </c>
      <c r="CB118" s="402">
        <v>5788.8</v>
      </c>
      <c r="CC118" s="402">
        <v>1094155</v>
      </c>
      <c r="CD118" s="402">
        <v>621571</v>
      </c>
      <c r="CE118" s="402">
        <v>709572</v>
      </c>
      <c r="CF118" s="402">
        <v>448675</v>
      </c>
      <c r="CG118" s="1283">
        <v>0</v>
      </c>
    </row>
    <row r="119" spans="1:85" ht="13.2">
      <c r="A119" s="618">
        <v>45037</v>
      </c>
      <c r="B119" s="243">
        <v>1066.1389999999999</v>
      </c>
      <c r="C119" s="243">
        <v>588.84</v>
      </c>
      <c r="D119" s="243">
        <v>6857.6</v>
      </c>
      <c r="E119" s="1271">
        <v>2.2999999999999998</v>
      </c>
      <c r="F119" s="243">
        <v>17889.400000000001</v>
      </c>
      <c r="G119" s="243">
        <v>5687.7</v>
      </c>
      <c r="H119" s="402">
        <v>580788</v>
      </c>
      <c r="I119" s="402">
        <v>268771.20000000001</v>
      </c>
      <c r="J119" s="402">
        <v>205432.5</v>
      </c>
      <c r="K119" s="981"/>
      <c r="L119" s="981"/>
      <c r="M119" s="213">
        <v>14959</v>
      </c>
      <c r="N119" s="243">
        <v>7011</v>
      </c>
      <c r="O119" s="402">
        <v>46196</v>
      </c>
      <c r="P119" s="402">
        <v>36751.300000000003</v>
      </c>
      <c r="Q119" s="402">
        <v>137570</v>
      </c>
      <c r="R119" s="402">
        <v>114120</v>
      </c>
      <c r="S119" s="402">
        <v>139817</v>
      </c>
      <c r="T119" s="402">
        <v>95920.8</v>
      </c>
      <c r="U119" s="981">
        <v>14051.63</v>
      </c>
      <c r="V119" s="981">
        <v>10671.64</v>
      </c>
      <c r="W119" s="402">
        <v>33104.6</v>
      </c>
      <c r="X119" s="402">
        <v>17176.099999999999</v>
      </c>
      <c r="Y119" s="402">
        <v>210931.4</v>
      </c>
      <c r="Z119" s="981">
        <v>345.9</v>
      </c>
      <c r="AA119" s="981">
        <v>50716</v>
      </c>
      <c r="AB119" s="402">
        <v>582358</v>
      </c>
      <c r="AC119" s="402">
        <v>296796</v>
      </c>
      <c r="AD119" s="402">
        <v>210970.1</v>
      </c>
      <c r="AE119" s="981">
        <v>1112.4000000000001</v>
      </c>
      <c r="AF119" s="1051">
        <v>942</v>
      </c>
      <c r="AG119" s="243">
        <v>35513.199999999997</v>
      </c>
      <c r="AH119" s="243">
        <v>25318.400000000001</v>
      </c>
      <c r="AI119" s="243">
        <v>82403.600000000006</v>
      </c>
      <c r="AJ119" s="243">
        <v>63708.3</v>
      </c>
      <c r="AK119" s="402">
        <v>65461.9</v>
      </c>
      <c r="AL119" s="402">
        <v>53310</v>
      </c>
      <c r="AM119" s="402">
        <v>59375.5</v>
      </c>
      <c r="AN119" s="402">
        <v>23346.1</v>
      </c>
      <c r="AO119" s="243">
        <v>16.600000000000001</v>
      </c>
      <c r="AP119" s="243">
        <v>17.8</v>
      </c>
      <c r="AQ119" s="402">
        <v>490381</v>
      </c>
      <c r="AR119" s="402">
        <v>226285</v>
      </c>
      <c r="AS119" s="402">
        <v>65069.599999999999</v>
      </c>
      <c r="AT119" s="981"/>
      <c r="AU119" s="402">
        <v>458049</v>
      </c>
      <c r="AV119" s="402">
        <v>201614</v>
      </c>
      <c r="AW119" s="243">
        <v>79300.800000000003</v>
      </c>
      <c r="AX119" s="243">
        <v>4352.6000000000004</v>
      </c>
      <c r="AY119" s="243">
        <v>2901.2</v>
      </c>
      <c r="AZ119" s="981">
        <v>221.2</v>
      </c>
      <c r="BA119" s="981">
        <v>133.84</v>
      </c>
      <c r="BB119" s="243">
        <v>819.399</v>
      </c>
      <c r="BC119" s="243">
        <v>348.01</v>
      </c>
      <c r="BD119" s="367">
        <v>1821.6</v>
      </c>
      <c r="BE119" s="243">
        <v>2972</v>
      </c>
      <c r="BF119" s="243">
        <v>455.4</v>
      </c>
      <c r="BG119" s="402">
        <v>6343.2</v>
      </c>
      <c r="BH119" s="402">
        <v>20825.6578947368</v>
      </c>
      <c r="BI119" s="981">
        <v>6676.55566120819</v>
      </c>
      <c r="BJ119" s="402">
        <v>4649.9799999999996</v>
      </c>
      <c r="BK119" s="702">
        <v>6636035</v>
      </c>
      <c r="BL119" s="702">
        <v>5053500</v>
      </c>
      <c r="BM119" s="654">
        <v>217123</v>
      </c>
      <c r="BN119" s="654">
        <v>180069</v>
      </c>
      <c r="BO119" s="402">
        <v>128.995421219246</v>
      </c>
      <c r="BP119" s="402">
        <v>44.96095179897037</v>
      </c>
      <c r="BQ119" s="402">
        <v>660.3204663335008</v>
      </c>
      <c r="BR119" s="402">
        <v>2549601.5</v>
      </c>
      <c r="BS119" s="243">
        <v>522</v>
      </c>
      <c r="BT119" s="402">
        <v>19873.5</v>
      </c>
      <c r="BU119" s="243">
        <v>3240547</v>
      </c>
      <c r="BV119" s="243">
        <v>102065</v>
      </c>
      <c r="BW119" s="243">
        <v>20119.2</v>
      </c>
      <c r="BX119" s="243">
        <v>2980257</v>
      </c>
      <c r="BY119" s="243">
        <v>143393</v>
      </c>
      <c r="BZ119" s="243">
        <v>17516.740000000002</v>
      </c>
      <c r="CA119" s="402">
        <v>8501.5</v>
      </c>
      <c r="CB119" s="402">
        <v>5791.6</v>
      </c>
      <c r="CC119" s="402">
        <v>1095187</v>
      </c>
      <c r="CD119" s="402">
        <v>622156</v>
      </c>
      <c r="CE119" s="402">
        <v>709616</v>
      </c>
      <c r="CF119" s="402">
        <v>448706</v>
      </c>
      <c r="CG119" s="1283">
        <v>0.2</v>
      </c>
    </row>
    <row r="120" spans="1:85" ht="13.2">
      <c r="A120" s="618">
        <v>45038</v>
      </c>
      <c r="B120" s="243">
        <v>1066.1389999999999</v>
      </c>
      <c r="C120" s="243">
        <v>588.84</v>
      </c>
      <c r="D120" s="243">
        <v>6857.6</v>
      </c>
      <c r="E120" s="1271">
        <v>0</v>
      </c>
      <c r="F120" s="243">
        <v>17901.400000000001</v>
      </c>
      <c r="G120" s="243">
        <v>5692.6</v>
      </c>
      <c r="H120" s="402">
        <v>580953.80000000005</v>
      </c>
      <c r="I120" s="402">
        <v>268858.40000000002</v>
      </c>
      <c r="J120" s="402">
        <v>205456.5</v>
      </c>
      <c r="K120" s="981"/>
      <c r="L120" s="981"/>
      <c r="M120" s="213">
        <v>14959</v>
      </c>
      <c r="N120" s="243">
        <v>7011</v>
      </c>
      <c r="O120" s="402">
        <v>46196</v>
      </c>
      <c r="P120" s="402">
        <v>36751.300000000003</v>
      </c>
      <c r="Q120" s="402">
        <v>137583</v>
      </c>
      <c r="R120" s="402">
        <v>114130</v>
      </c>
      <c r="S120" s="402">
        <v>139830</v>
      </c>
      <c r="T120" s="402">
        <v>95930</v>
      </c>
      <c r="U120" s="981">
        <v>14051.63</v>
      </c>
      <c r="V120" s="981">
        <v>10671.64</v>
      </c>
      <c r="W120" s="402">
        <v>33257.599999999999</v>
      </c>
      <c r="X120" s="402">
        <v>17257.2</v>
      </c>
      <c r="Y120" s="402">
        <v>210955.4</v>
      </c>
      <c r="Z120" s="981">
        <v>345.9</v>
      </c>
      <c r="AA120" s="981">
        <v>50716</v>
      </c>
      <c r="AB120" s="402">
        <v>582646</v>
      </c>
      <c r="AC120" s="402">
        <v>296938</v>
      </c>
      <c r="AD120" s="402">
        <v>210994.1</v>
      </c>
      <c r="AE120" s="981">
        <v>1112.4000000000001</v>
      </c>
      <c r="AF120" s="1051">
        <v>942</v>
      </c>
      <c r="AG120" s="243">
        <v>35515.599999999999</v>
      </c>
      <c r="AH120" s="243">
        <v>25320</v>
      </c>
      <c r="AI120" s="243">
        <v>82409.899999999994</v>
      </c>
      <c r="AJ120" s="243">
        <v>63713</v>
      </c>
      <c r="AK120" s="402">
        <v>65497.5</v>
      </c>
      <c r="AL120" s="402">
        <v>53339</v>
      </c>
      <c r="AM120" s="402">
        <v>59385.5</v>
      </c>
      <c r="AN120" s="402">
        <v>23350.1</v>
      </c>
      <c r="AO120" s="243">
        <v>16.600000000000001</v>
      </c>
      <c r="AP120" s="243">
        <v>17.8</v>
      </c>
      <c r="AQ120" s="402">
        <v>490546.9</v>
      </c>
      <c r="AR120" s="402">
        <v>226362</v>
      </c>
      <c r="AS120" s="402">
        <v>65074.1</v>
      </c>
      <c r="AT120" s="981"/>
      <c r="AU120" s="402">
        <v>458198</v>
      </c>
      <c r="AV120" s="402">
        <v>201678</v>
      </c>
      <c r="AW120" s="243">
        <v>79324.800000000003</v>
      </c>
      <c r="AX120" s="243">
        <v>4354.5</v>
      </c>
      <c r="AY120" s="243">
        <v>2902.3</v>
      </c>
      <c r="AZ120" s="981">
        <v>221.2</v>
      </c>
      <c r="BA120" s="981">
        <v>133.84</v>
      </c>
      <c r="BB120" s="243">
        <v>819.399</v>
      </c>
      <c r="BC120" s="243">
        <v>348.01</v>
      </c>
      <c r="BD120" s="367">
        <v>1821.6</v>
      </c>
      <c r="BE120" s="243">
        <v>2974.3</v>
      </c>
      <c r="BF120" s="243">
        <v>455.6</v>
      </c>
      <c r="BG120" s="402">
        <v>5474.48</v>
      </c>
      <c r="BH120" s="402">
        <v>32821.905263157903</v>
      </c>
      <c r="BI120" s="981">
        <v>9853.2864287339708</v>
      </c>
      <c r="BJ120" s="402">
        <v>5279.85</v>
      </c>
      <c r="BK120" s="702">
        <v>6636901</v>
      </c>
      <c r="BL120" s="702">
        <v>5054286</v>
      </c>
      <c r="BM120" s="654">
        <v>217123</v>
      </c>
      <c r="BN120" s="654">
        <v>180069</v>
      </c>
      <c r="BO120" s="402">
        <v>125.93026278630199</v>
      </c>
      <c r="BP120" s="402">
        <v>44.283502881374197</v>
      </c>
      <c r="BQ120" s="402">
        <v>645.80348578578401</v>
      </c>
      <c r="BR120" s="402">
        <v>2552985.5</v>
      </c>
      <c r="BS120" s="243">
        <v>523</v>
      </c>
      <c r="BT120" s="402">
        <v>19897.5</v>
      </c>
      <c r="BU120" s="243">
        <v>3240547</v>
      </c>
      <c r="BV120" s="243">
        <v>102065</v>
      </c>
      <c r="BW120" s="243">
        <v>20119.2</v>
      </c>
      <c r="BX120" s="243">
        <v>2985159</v>
      </c>
      <c r="BY120" s="243">
        <v>144270</v>
      </c>
      <c r="BZ120" s="243">
        <v>17540.7</v>
      </c>
      <c r="CA120" s="402">
        <v>8508.5</v>
      </c>
      <c r="CB120" s="402">
        <v>5796</v>
      </c>
      <c r="CC120" s="402">
        <v>1096583</v>
      </c>
      <c r="CD120" s="402">
        <v>622928</v>
      </c>
      <c r="CE120" s="402">
        <v>709616</v>
      </c>
      <c r="CF120" s="402">
        <v>448706</v>
      </c>
      <c r="CG120" s="1283">
        <v>0</v>
      </c>
    </row>
    <row r="121" spans="1:85" ht="13.2">
      <c r="A121" s="618">
        <v>45039</v>
      </c>
      <c r="B121" s="243">
        <v>1066.1389999999999</v>
      </c>
      <c r="C121" s="243">
        <v>588.84</v>
      </c>
      <c r="D121" s="243">
        <v>6857.6</v>
      </c>
      <c r="E121" s="1271">
        <v>0</v>
      </c>
      <c r="F121" s="243">
        <v>17913.3</v>
      </c>
      <c r="G121" s="243">
        <v>5697.5</v>
      </c>
      <c r="H121" s="402">
        <v>581124</v>
      </c>
      <c r="I121" s="402">
        <v>268939.5</v>
      </c>
      <c r="J121" s="402">
        <v>205480.5</v>
      </c>
      <c r="K121" s="402"/>
      <c r="L121" s="402"/>
      <c r="M121" s="213">
        <v>14959</v>
      </c>
      <c r="N121" s="243">
        <v>7011</v>
      </c>
      <c r="O121" s="402">
        <v>46196</v>
      </c>
      <c r="P121" s="402">
        <v>36751.300000000003</v>
      </c>
      <c r="Q121" s="402">
        <v>137596</v>
      </c>
      <c r="R121" s="402">
        <v>114141</v>
      </c>
      <c r="S121" s="402">
        <v>139845</v>
      </c>
      <c r="T121" s="402">
        <v>95940.800000000003</v>
      </c>
      <c r="U121" s="981">
        <v>14051.63</v>
      </c>
      <c r="V121" s="981">
        <v>10671.64</v>
      </c>
      <c r="W121" s="402">
        <v>33413</v>
      </c>
      <c r="X121" s="402">
        <v>17331</v>
      </c>
      <c r="Y121" s="402">
        <v>210979.4</v>
      </c>
      <c r="Z121" s="981">
        <v>345.9</v>
      </c>
      <c r="AA121" s="981">
        <v>50716</v>
      </c>
      <c r="AB121" s="402">
        <v>582941</v>
      </c>
      <c r="AC121" s="402">
        <v>297092</v>
      </c>
      <c r="AD121" s="402">
        <v>211018.1</v>
      </c>
      <c r="AE121" s="981">
        <v>1112.4000000000001</v>
      </c>
      <c r="AF121" s="1051">
        <v>942</v>
      </c>
      <c r="AG121" s="402">
        <v>35518.1</v>
      </c>
      <c r="AH121" s="402">
        <v>25321.8</v>
      </c>
      <c r="AI121" s="402">
        <v>82416.100000000006</v>
      </c>
      <c r="AJ121" s="402">
        <v>63717.599999999999</v>
      </c>
      <c r="AK121" s="402">
        <v>65532.9</v>
      </c>
      <c r="AL121" s="402">
        <v>53369.3</v>
      </c>
      <c r="AM121" s="402">
        <v>59392.2</v>
      </c>
      <c r="AN121" s="402">
        <v>23352.7</v>
      </c>
      <c r="AO121" s="243">
        <v>16.600000000000001</v>
      </c>
      <c r="AP121" s="243">
        <v>17.8</v>
      </c>
      <c r="AQ121" s="402">
        <v>490720</v>
      </c>
      <c r="AR121" s="402">
        <v>226441</v>
      </c>
      <c r="AS121" s="402">
        <v>65078.5</v>
      </c>
      <c r="AT121" s="402"/>
      <c r="AU121" s="402">
        <v>458354.5</v>
      </c>
      <c r="AV121" s="402">
        <v>201746.5</v>
      </c>
      <c r="AW121" s="402">
        <v>79348.800000000003</v>
      </c>
      <c r="AX121" s="402">
        <v>4356.1000000000004</v>
      </c>
      <c r="AY121" s="402">
        <v>2903.5</v>
      </c>
      <c r="AZ121" s="981">
        <v>221.2</v>
      </c>
      <c r="BA121" s="981">
        <v>133.84</v>
      </c>
      <c r="BB121" s="243">
        <v>819.399</v>
      </c>
      <c r="BC121" s="243">
        <v>348.01</v>
      </c>
      <c r="BD121" s="367">
        <v>1821.6</v>
      </c>
      <c r="BE121" s="402">
        <v>2976.5</v>
      </c>
      <c r="BF121" s="402">
        <v>455.7</v>
      </c>
      <c r="BG121" s="402">
        <v>5985.85</v>
      </c>
      <c r="BH121" s="402">
        <v>32664.349122807002</v>
      </c>
      <c r="BI121" s="402">
        <v>8053.07625386777</v>
      </c>
      <c r="BJ121" s="402">
        <v>5380.24</v>
      </c>
      <c r="BK121" s="702">
        <v>6638352</v>
      </c>
      <c r="BL121" s="702">
        <v>5055705</v>
      </c>
      <c r="BM121" s="654">
        <v>217123</v>
      </c>
      <c r="BN121" s="654">
        <v>180069</v>
      </c>
      <c r="BO121" s="402">
        <v>129.94017089930799</v>
      </c>
      <c r="BP121" s="402">
        <v>44.137556039713161</v>
      </c>
      <c r="BQ121" s="402">
        <v>658.16644766729155</v>
      </c>
      <c r="BR121" s="402">
        <v>2556273.5</v>
      </c>
      <c r="BS121" s="243">
        <v>524</v>
      </c>
      <c r="BT121" s="402">
        <v>19921.5</v>
      </c>
      <c r="BU121" s="243">
        <v>3240547</v>
      </c>
      <c r="BV121" s="243">
        <v>102065</v>
      </c>
      <c r="BW121" s="243">
        <v>20119.2</v>
      </c>
      <c r="BX121" s="402">
        <v>2990078</v>
      </c>
      <c r="BY121" s="402">
        <v>145010</v>
      </c>
      <c r="BZ121" s="402">
        <v>17564.7</v>
      </c>
      <c r="CA121" s="402">
        <v>8515.2999999999993</v>
      </c>
      <c r="CB121" s="402">
        <v>5800.5</v>
      </c>
      <c r="CC121" s="402">
        <v>1097988</v>
      </c>
      <c r="CD121" s="402">
        <v>623703</v>
      </c>
      <c r="CE121" s="402">
        <v>709617</v>
      </c>
      <c r="CF121" s="402">
        <v>448707</v>
      </c>
      <c r="CG121" s="1283">
        <v>0</v>
      </c>
    </row>
    <row r="122" spans="1:85" ht="13.2">
      <c r="A122" s="618">
        <v>45040</v>
      </c>
      <c r="B122" s="243">
        <v>1066.1389999999999</v>
      </c>
      <c r="C122" s="243">
        <v>588.84</v>
      </c>
      <c r="D122" s="243">
        <v>6857.6</v>
      </c>
      <c r="E122" s="1271">
        <v>0</v>
      </c>
      <c r="F122" s="243">
        <v>17924.900000000001</v>
      </c>
      <c r="G122" s="243">
        <v>5702.9</v>
      </c>
      <c r="H122" s="243">
        <v>581287.1</v>
      </c>
      <c r="I122" s="243">
        <v>269021.90000000002</v>
      </c>
      <c r="J122" s="243">
        <v>205504.5</v>
      </c>
      <c r="K122" s="243"/>
      <c r="L122" s="243"/>
      <c r="M122" s="213">
        <v>14959</v>
      </c>
      <c r="N122" s="243">
        <v>7011</v>
      </c>
      <c r="O122" s="402">
        <v>46196</v>
      </c>
      <c r="P122" s="402">
        <v>36751.300000000003</v>
      </c>
      <c r="Q122" s="243">
        <v>137610.29999999999</v>
      </c>
      <c r="R122" s="243">
        <v>114152</v>
      </c>
      <c r="S122" s="243">
        <v>139860</v>
      </c>
      <c r="T122" s="243">
        <v>95950.9</v>
      </c>
      <c r="U122" s="981">
        <v>14051.63</v>
      </c>
      <c r="V122" s="981">
        <v>10671.64</v>
      </c>
      <c r="W122" s="243">
        <v>33566</v>
      </c>
      <c r="X122" s="243">
        <v>17407</v>
      </c>
      <c r="Y122" s="243">
        <v>211003.4</v>
      </c>
      <c r="Z122" s="981">
        <v>345.9</v>
      </c>
      <c r="AA122" s="981">
        <v>50716</v>
      </c>
      <c r="AB122" s="243">
        <v>583243</v>
      </c>
      <c r="AC122" s="243">
        <v>297246</v>
      </c>
      <c r="AD122" s="243">
        <v>211042.1</v>
      </c>
      <c r="AE122" s="981">
        <v>1112.4000000000001</v>
      </c>
      <c r="AF122" s="1051">
        <v>942</v>
      </c>
      <c r="AG122" s="243">
        <v>35520.5</v>
      </c>
      <c r="AH122" s="243">
        <v>25323.5</v>
      </c>
      <c r="AI122" s="243">
        <v>82422</v>
      </c>
      <c r="AJ122" s="243">
        <v>63721.9</v>
      </c>
      <c r="AK122" s="243">
        <v>65567.8</v>
      </c>
      <c r="AL122" s="243">
        <v>53398.6</v>
      </c>
      <c r="AM122" s="243">
        <v>59411</v>
      </c>
      <c r="AN122" s="243">
        <v>23360.1</v>
      </c>
      <c r="AO122" s="243">
        <v>16.600000000000001</v>
      </c>
      <c r="AP122" s="243">
        <v>17.8</v>
      </c>
      <c r="AQ122" s="243">
        <v>490891</v>
      </c>
      <c r="AR122" s="243">
        <v>226520</v>
      </c>
      <c r="AS122" s="243">
        <v>65083.7</v>
      </c>
      <c r="AT122" s="243"/>
      <c r="AU122" s="243">
        <v>458509</v>
      </c>
      <c r="AV122" s="243">
        <v>201813</v>
      </c>
      <c r="AW122" s="243">
        <v>79372.800000000003</v>
      </c>
      <c r="AX122" s="243">
        <v>4357</v>
      </c>
      <c r="AY122" s="243">
        <v>2904.2</v>
      </c>
      <c r="AZ122" s="243">
        <v>222.43</v>
      </c>
      <c r="BA122" s="243">
        <v>134.77000000000001</v>
      </c>
      <c r="BB122" s="243">
        <v>819.399</v>
      </c>
      <c r="BC122" s="243">
        <v>348.01</v>
      </c>
      <c r="BD122" s="367">
        <v>1821.6</v>
      </c>
      <c r="BE122" s="243">
        <v>2978.8</v>
      </c>
      <c r="BF122" s="243">
        <v>455.7</v>
      </c>
      <c r="BG122" s="243">
        <v>5797.38</v>
      </c>
      <c r="BH122" s="243">
        <v>31199.435087719299</v>
      </c>
      <c r="BI122" s="243">
        <v>10028.583781802899</v>
      </c>
      <c r="BJ122" s="243">
        <v>4739.2</v>
      </c>
      <c r="BK122" s="243">
        <v>6639816</v>
      </c>
      <c r="BL122" s="243">
        <v>5057120</v>
      </c>
      <c r="BM122" s="654">
        <v>217123</v>
      </c>
      <c r="BN122" s="654">
        <v>180069</v>
      </c>
      <c r="BO122" s="243">
        <v>129.431980553985</v>
      </c>
      <c r="BP122" s="243">
        <v>43.380620366443516</v>
      </c>
      <c r="BQ122" s="243">
        <v>656.97515090355535</v>
      </c>
      <c r="BR122" s="243">
        <v>2559393.5</v>
      </c>
      <c r="BS122" s="243">
        <v>525</v>
      </c>
      <c r="BT122" s="243">
        <v>19945.5</v>
      </c>
      <c r="BU122" s="243">
        <v>3240547</v>
      </c>
      <c r="BV122" s="243">
        <v>102065</v>
      </c>
      <c r="BW122" s="243">
        <v>20119.2</v>
      </c>
      <c r="BX122" s="243">
        <v>2994976</v>
      </c>
      <c r="BY122" s="243">
        <v>145784</v>
      </c>
      <c r="BZ122" s="243">
        <v>17588.240000000002</v>
      </c>
      <c r="CA122" s="243">
        <v>8520.7999999999993</v>
      </c>
      <c r="CB122" s="243">
        <v>5804.2</v>
      </c>
      <c r="CC122" s="243">
        <v>1099405</v>
      </c>
      <c r="CD122" s="243">
        <v>624481</v>
      </c>
      <c r="CE122" s="243">
        <v>709618</v>
      </c>
      <c r="CF122" s="243">
        <v>448709</v>
      </c>
      <c r="CG122" s="1283">
        <v>0</v>
      </c>
    </row>
    <row r="123" spans="1:85" ht="13.2">
      <c r="A123" s="618">
        <v>45041</v>
      </c>
      <c r="B123" s="243">
        <v>1066.521</v>
      </c>
      <c r="C123" s="243">
        <v>589.03200000000004</v>
      </c>
      <c r="D123" s="243">
        <v>6858.3</v>
      </c>
      <c r="E123" s="1271">
        <v>0.4</v>
      </c>
      <c r="F123" s="243">
        <v>17939.3</v>
      </c>
      <c r="G123" s="243">
        <v>5709.2</v>
      </c>
      <c r="H123" s="243">
        <v>581455.6</v>
      </c>
      <c r="I123" s="243">
        <v>269106.8</v>
      </c>
      <c r="J123" s="243">
        <v>205528.5</v>
      </c>
      <c r="K123" s="243"/>
      <c r="L123" s="243"/>
      <c r="M123" s="213">
        <v>14959</v>
      </c>
      <c r="N123" s="243">
        <v>7011</v>
      </c>
      <c r="O123" s="402">
        <v>46196</v>
      </c>
      <c r="P123" s="402">
        <v>36751.300000000003</v>
      </c>
      <c r="Q123" s="243">
        <v>137622</v>
      </c>
      <c r="R123" s="243">
        <v>114161</v>
      </c>
      <c r="S123" s="243">
        <v>139874</v>
      </c>
      <c r="T123" s="243">
        <v>95961.2</v>
      </c>
      <c r="U123" s="981">
        <v>14051.63</v>
      </c>
      <c r="V123" s="981">
        <v>10671.64</v>
      </c>
      <c r="W123" s="243">
        <v>33723</v>
      </c>
      <c r="X123" s="243">
        <v>17481</v>
      </c>
      <c r="Y123" s="243">
        <v>211027.4</v>
      </c>
      <c r="Z123" s="981">
        <v>345.9</v>
      </c>
      <c r="AA123" s="981">
        <v>50716</v>
      </c>
      <c r="AB123" s="243">
        <v>583534</v>
      </c>
      <c r="AC123" s="243">
        <v>297400</v>
      </c>
      <c r="AD123" s="243">
        <v>211066.1</v>
      </c>
      <c r="AE123" s="981">
        <v>1112.4000000000001</v>
      </c>
      <c r="AF123" s="1051">
        <v>942</v>
      </c>
      <c r="AG123" s="243">
        <v>35523.1</v>
      </c>
      <c r="AH123" s="243">
        <v>25325.200000000001</v>
      </c>
      <c r="AI123" s="243">
        <v>82427.3</v>
      </c>
      <c r="AJ123" s="243">
        <v>63726</v>
      </c>
      <c r="AK123" s="243">
        <v>65603.899999999994</v>
      </c>
      <c r="AL123" s="243">
        <v>53428.9</v>
      </c>
      <c r="AM123" s="243">
        <v>59416</v>
      </c>
      <c r="AN123" s="243">
        <v>23362.1</v>
      </c>
      <c r="AO123" s="243">
        <v>16.600000000000001</v>
      </c>
      <c r="AP123" s="243">
        <v>17.8</v>
      </c>
      <c r="AQ123" s="243">
        <v>491065</v>
      </c>
      <c r="AR123" s="243">
        <v>226599</v>
      </c>
      <c r="AS123" s="243">
        <v>65088.5</v>
      </c>
      <c r="AT123" s="243"/>
      <c r="AU123" s="243">
        <v>458668</v>
      </c>
      <c r="AV123" s="243">
        <v>201882</v>
      </c>
      <c r="AW123" s="243">
        <v>79396.800000000003</v>
      </c>
      <c r="AX123" s="243">
        <v>4358.3</v>
      </c>
      <c r="AY123" s="243">
        <v>2905.2</v>
      </c>
      <c r="AZ123" s="243">
        <v>223.5</v>
      </c>
      <c r="BA123" s="243">
        <v>135.5</v>
      </c>
      <c r="BB123" s="243">
        <v>820.08900000000006</v>
      </c>
      <c r="BC123" s="243">
        <v>348.27600000000001</v>
      </c>
      <c r="BD123" s="243">
        <v>1822.4</v>
      </c>
      <c r="BE123" s="243">
        <v>2981.2</v>
      </c>
      <c r="BF123" s="243">
        <v>455.7</v>
      </c>
      <c r="BG123" s="243">
        <v>6134.89</v>
      </c>
      <c r="BH123" s="243">
        <v>31580.7368421053</v>
      </c>
      <c r="BI123" s="243">
        <v>8926.8647690566395</v>
      </c>
      <c r="BJ123" s="243">
        <v>5338.3</v>
      </c>
      <c r="BK123" s="243">
        <v>6641273</v>
      </c>
      <c r="BL123" s="243">
        <v>5058357</v>
      </c>
      <c r="BM123" s="654">
        <v>217123</v>
      </c>
      <c r="BN123" s="654">
        <v>180069</v>
      </c>
      <c r="BO123" s="243">
        <v>128.54187628231799</v>
      </c>
      <c r="BP123" s="243">
        <v>44.24261154176196</v>
      </c>
      <c r="BQ123" s="243">
        <v>660.39790557230572</v>
      </c>
      <c r="BR123" s="243">
        <v>2562129.5</v>
      </c>
      <c r="BS123" s="243">
        <v>526</v>
      </c>
      <c r="BT123" s="243">
        <v>19969.5</v>
      </c>
      <c r="BU123" s="243">
        <v>3240547</v>
      </c>
      <c r="BV123" s="243">
        <v>102065</v>
      </c>
      <c r="BW123" s="243">
        <v>20119.2</v>
      </c>
      <c r="BX123" s="243">
        <v>2999914</v>
      </c>
      <c r="BY123" s="243">
        <v>146462</v>
      </c>
      <c r="BZ123" s="243">
        <v>17612.2</v>
      </c>
      <c r="CA123" s="243">
        <v>8528.9</v>
      </c>
      <c r="CB123" s="243">
        <v>5809.2</v>
      </c>
      <c r="CC123" s="243">
        <v>1100821</v>
      </c>
      <c r="CD123" s="243">
        <v>625265</v>
      </c>
      <c r="CE123" s="243">
        <v>709654</v>
      </c>
      <c r="CF123" s="243">
        <v>448732</v>
      </c>
      <c r="CG123" s="1283">
        <v>0.7</v>
      </c>
    </row>
    <row r="124" spans="1:85" ht="13.2">
      <c r="A124" s="618">
        <v>45042</v>
      </c>
      <c r="B124" s="243">
        <v>1066.521</v>
      </c>
      <c r="C124" s="243">
        <v>589.03200000000004</v>
      </c>
      <c r="D124" s="243">
        <v>6858.3</v>
      </c>
      <c r="E124" s="1271">
        <v>0</v>
      </c>
      <c r="F124" s="243">
        <v>17953</v>
      </c>
      <c r="G124" s="243">
        <v>5715.1</v>
      </c>
      <c r="H124" s="402">
        <v>581616</v>
      </c>
      <c r="I124" s="402">
        <v>269187.40000000002</v>
      </c>
      <c r="J124" s="402">
        <v>205552.5</v>
      </c>
      <c r="K124" s="981"/>
      <c r="L124" s="981"/>
      <c r="M124" s="213">
        <v>14959</v>
      </c>
      <c r="N124" s="243">
        <v>7011</v>
      </c>
      <c r="O124" s="402">
        <v>46196</v>
      </c>
      <c r="P124" s="402">
        <v>36751.300000000003</v>
      </c>
      <c r="Q124" s="402">
        <v>137633.26</v>
      </c>
      <c r="R124" s="402">
        <v>114170.97</v>
      </c>
      <c r="S124" s="402">
        <v>139889.15</v>
      </c>
      <c r="T124" s="402">
        <v>95971.22</v>
      </c>
      <c r="U124" s="981">
        <v>14051.63</v>
      </c>
      <c r="V124" s="981">
        <v>10671.64</v>
      </c>
      <c r="W124" s="402">
        <v>33871.910000000003</v>
      </c>
      <c r="X124" s="402">
        <v>17553.560000000001</v>
      </c>
      <c r="Y124" s="402">
        <v>211051.4</v>
      </c>
      <c r="Z124" s="981">
        <v>345.9</v>
      </c>
      <c r="AA124" s="981">
        <v>50716</v>
      </c>
      <c r="AB124" s="402">
        <v>583816.13</v>
      </c>
      <c r="AC124" s="402">
        <v>297546.26</v>
      </c>
      <c r="AD124" s="402">
        <v>211090.1</v>
      </c>
      <c r="AE124" s="981">
        <v>1112.4000000000001</v>
      </c>
      <c r="AF124" s="1051">
        <v>942</v>
      </c>
      <c r="AG124" s="243">
        <v>35525.57</v>
      </c>
      <c r="AH124" s="243">
        <v>25326.95</v>
      </c>
      <c r="AI124" s="402">
        <v>82433.649999999994</v>
      </c>
      <c r="AJ124" s="402">
        <v>63730.78</v>
      </c>
      <c r="AK124" s="402">
        <v>65638.559999999998</v>
      </c>
      <c r="AL124" s="402">
        <v>53457.96</v>
      </c>
      <c r="AM124" s="402">
        <v>59420.6</v>
      </c>
      <c r="AN124" s="402">
        <v>23364</v>
      </c>
      <c r="AO124" s="243">
        <v>16.600000000000001</v>
      </c>
      <c r="AP124" s="243">
        <v>17.8</v>
      </c>
      <c r="AQ124" s="402">
        <v>491231.3</v>
      </c>
      <c r="AR124" s="402">
        <v>226675.6</v>
      </c>
      <c r="AS124" s="402">
        <v>65093.607000000004</v>
      </c>
      <c r="AT124" s="981"/>
      <c r="AU124" s="402">
        <v>458819.01</v>
      </c>
      <c r="AV124" s="402">
        <v>201947.59</v>
      </c>
      <c r="AW124" s="402">
        <v>79420.800000000003</v>
      </c>
      <c r="AX124" s="243">
        <v>4360.8500000000004</v>
      </c>
      <c r="AY124" s="243">
        <v>2907.01</v>
      </c>
      <c r="AZ124" s="243">
        <v>223.5</v>
      </c>
      <c r="BA124" s="243">
        <v>135.5</v>
      </c>
      <c r="BB124" s="243">
        <v>820.08900000000006</v>
      </c>
      <c r="BC124" s="243">
        <v>348.27600000000001</v>
      </c>
      <c r="BD124" s="243">
        <v>1822.4</v>
      </c>
      <c r="BE124" s="402">
        <v>2983.5</v>
      </c>
      <c r="BF124" s="402">
        <v>455.7</v>
      </c>
      <c r="BG124" s="402">
        <v>6214.34</v>
      </c>
      <c r="BH124" s="402">
        <v>32825.263157894697</v>
      </c>
      <c r="BI124" s="981">
        <v>8978.7398152334899</v>
      </c>
      <c r="BJ124" s="402">
        <v>6730.87</v>
      </c>
      <c r="BK124" s="702">
        <v>6642731</v>
      </c>
      <c r="BL124" s="702">
        <v>5059935</v>
      </c>
      <c r="BM124" s="654">
        <v>217123</v>
      </c>
      <c r="BN124" s="654">
        <v>180069</v>
      </c>
      <c r="BO124" s="402">
        <v>129.17926576624299</v>
      </c>
      <c r="BP124" s="402">
        <v>44.218274851092929</v>
      </c>
      <c r="BQ124" s="402">
        <v>657.67237462041362</v>
      </c>
      <c r="BR124" s="402">
        <v>2564937.5</v>
      </c>
      <c r="BS124" s="402">
        <v>527</v>
      </c>
      <c r="BT124" s="402">
        <v>19993.5</v>
      </c>
      <c r="BU124" s="243">
        <v>3240547</v>
      </c>
      <c r="BV124" s="243">
        <v>102065</v>
      </c>
      <c r="BW124" s="243">
        <v>20119.2</v>
      </c>
      <c r="BX124" s="243">
        <v>3004712</v>
      </c>
      <c r="BY124" s="243">
        <v>147225</v>
      </c>
      <c r="BZ124" s="243">
        <v>17636.2</v>
      </c>
      <c r="CA124" s="402">
        <v>8537.24</v>
      </c>
      <c r="CB124" s="402">
        <v>5814.33</v>
      </c>
      <c r="CC124" s="402">
        <v>1101966</v>
      </c>
      <c r="CD124" s="402">
        <v>625896</v>
      </c>
      <c r="CE124" s="402">
        <v>709813</v>
      </c>
      <c r="CF124" s="402">
        <v>448829</v>
      </c>
      <c r="CG124" s="1283">
        <v>0</v>
      </c>
    </row>
    <row r="125" spans="1:85" ht="13.2">
      <c r="A125" s="618">
        <v>45043</v>
      </c>
      <c r="B125" s="243">
        <v>1066.521</v>
      </c>
      <c r="C125" s="243">
        <v>589.03200000000004</v>
      </c>
      <c r="D125" s="243">
        <v>6858.3</v>
      </c>
      <c r="E125" s="1271">
        <v>0</v>
      </c>
      <c r="F125" s="243">
        <v>17967.900000000001</v>
      </c>
      <c r="G125" s="243">
        <v>5722</v>
      </c>
      <c r="H125" s="402">
        <v>581781.28</v>
      </c>
      <c r="I125" s="402">
        <v>269270.57</v>
      </c>
      <c r="J125" s="402">
        <v>205576.5</v>
      </c>
      <c r="K125" s="981"/>
      <c r="L125" s="981"/>
      <c r="M125" s="213">
        <v>14959</v>
      </c>
      <c r="N125" s="243">
        <v>7011</v>
      </c>
      <c r="O125" s="402">
        <v>46196</v>
      </c>
      <c r="P125" s="402">
        <v>36751.300000000003</v>
      </c>
      <c r="Q125" s="402">
        <v>137646.24</v>
      </c>
      <c r="R125" s="402">
        <v>114181.09</v>
      </c>
      <c r="S125" s="402">
        <v>139904.34</v>
      </c>
      <c r="T125" s="402">
        <v>95181.7</v>
      </c>
      <c r="U125" s="981">
        <v>14051.63</v>
      </c>
      <c r="V125" s="981">
        <v>10671.64</v>
      </c>
      <c r="W125" s="402">
        <v>34023.07</v>
      </c>
      <c r="X125" s="402">
        <v>17631.61</v>
      </c>
      <c r="Y125" s="402">
        <v>211075.4</v>
      </c>
      <c r="Z125" s="981">
        <v>345.9</v>
      </c>
      <c r="AA125" s="981">
        <v>50716</v>
      </c>
      <c r="AB125" s="402">
        <v>584123.64</v>
      </c>
      <c r="AC125" s="402">
        <v>297701.56</v>
      </c>
      <c r="AD125" s="402">
        <v>211114.1</v>
      </c>
      <c r="AE125" s="981">
        <v>1112.4000000000001</v>
      </c>
      <c r="AF125" s="1051">
        <v>942</v>
      </c>
      <c r="AG125" s="243">
        <v>35528.080000000002</v>
      </c>
      <c r="AH125" s="243">
        <v>25328.66</v>
      </c>
      <c r="AI125" s="402">
        <v>82440.210000000006</v>
      </c>
      <c r="AJ125" s="402">
        <v>63735.71</v>
      </c>
      <c r="AK125" s="402">
        <v>65677.94</v>
      </c>
      <c r="AL125" s="402">
        <v>53491.27</v>
      </c>
      <c r="AM125" s="402">
        <v>59434</v>
      </c>
      <c r="AN125" s="402">
        <v>23369.3</v>
      </c>
      <c r="AO125" s="243">
        <v>16.600000000000001</v>
      </c>
      <c r="AP125" s="243">
        <v>17.8</v>
      </c>
      <c r="AQ125" s="402">
        <v>491402.2</v>
      </c>
      <c r="AR125" s="402">
        <v>226754</v>
      </c>
      <c r="AS125" s="402">
        <v>65098.707000000002</v>
      </c>
      <c r="AT125" s="981"/>
      <c r="AU125" s="402">
        <v>458975.9</v>
      </c>
      <c r="AV125" s="402">
        <v>202015.5</v>
      </c>
      <c r="AW125" s="402">
        <v>79444.800000000003</v>
      </c>
      <c r="AX125" s="243">
        <v>4360.8599999999997</v>
      </c>
      <c r="AY125" s="243">
        <v>2908.85</v>
      </c>
      <c r="AZ125" s="981">
        <v>224.08</v>
      </c>
      <c r="BA125" s="981">
        <v>135.87</v>
      </c>
      <c r="BB125" s="243">
        <v>820.08900000000006</v>
      </c>
      <c r="BC125" s="243">
        <v>348.27600000000001</v>
      </c>
      <c r="BD125" s="243">
        <v>1822.4</v>
      </c>
      <c r="BE125" s="402">
        <v>2985.6</v>
      </c>
      <c r="BF125" s="402">
        <v>455.7</v>
      </c>
      <c r="BG125" s="402">
        <v>6038.57</v>
      </c>
      <c r="BH125" s="402">
        <v>33383.052631578903</v>
      </c>
      <c r="BI125" s="981">
        <v>8297.4321643570893</v>
      </c>
      <c r="BJ125" s="402">
        <v>7164.13</v>
      </c>
      <c r="BK125" s="402">
        <v>6644135</v>
      </c>
      <c r="BL125" s="402">
        <v>5061314</v>
      </c>
      <c r="BM125" s="654">
        <v>217123</v>
      </c>
      <c r="BN125" s="654">
        <v>180069</v>
      </c>
      <c r="BO125" s="402">
        <v>122.52083263889</v>
      </c>
      <c r="BP125" s="402">
        <v>41.208231951143794</v>
      </c>
      <c r="BQ125" s="402">
        <v>620.77309544929801</v>
      </c>
      <c r="BR125" s="402">
        <v>2567457.5</v>
      </c>
      <c r="BS125" s="402">
        <v>528</v>
      </c>
      <c r="BT125" s="402">
        <v>20017.5</v>
      </c>
      <c r="BU125" s="243">
        <v>3240547</v>
      </c>
      <c r="BV125" s="243">
        <v>102065</v>
      </c>
      <c r="BW125" s="243">
        <v>20119.2</v>
      </c>
      <c r="BX125" s="243">
        <v>3009727</v>
      </c>
      <c r="BY125" s="243">
        <v>148039</v>
      </c>
      <c r="BZ125" s="243">
        <v>17660.09</v>
      </c>
      <c r="CA125" s="402">
        <v>8546</v>
      </c>
      <c r="CB125" s="402">
        <v>5819.71</v>
      </c>
      <c r="CC125" s="402">
        <v>1102694</v>
      </c>
      <c r="CD125" s="402">
        <v>626323</v>
      </c>
      <c r="CE125" s="402">
        <v>710979</v>
      </c>
      <c r="CF125" s="402">
        <v>449511</v>
      </c>
      <c r="CG125" s="1283">
        <v>0</v>
      </c>
    </row>
    <row r="126" spans="1:85" ht="13.2">
      <c r="A126" s="618">
        <v>45044</v>
      </c>
      <c r="B126" s="243">
        <v>1066.521</v>
      </c>
      <c r="C126" s="243">
        <v>589.03200000000004</v>
      </c>
      <c r="D126" s="243">
        <v>6858.3</v>
      </c>
      <c r="E126" s="1271">
        <v>0</v>
      </c>
      <c r="F126" s="243">
        <v>17982.7</v>
      </c>
      <c r="G126" s="243">
        <v>5729</v>
      </c>
      <c r="H126" s="243">
        <v>581948.21000000008</v>
      </c>
      <c r="I126" s="243">
        <v>269354.38</v>
      </c>
      <c r="J126" s="243">
        <v>205600.5</v>
      </c>
      <c r="K126" s="243"/>
      <c r="L126" s="243"/>
      <c r="M126" s="213">
        <v>14959</v>
      </c>
      <c r="N126" s="243">
        <v>7011</v>
      </c>
      <c r="O126" s="402">
        <v>46196</v>
      </c>
      <c r="P126" s="402">
        <v>36751.300000000003</v>
      </c>
      <c r="Q126" s="243">
        <v>137657.17000000001</v>
      </c>
      <c r="R126" s="243">
        <v>114190.02</v>
      </c>
      <c r="S126" s="243">
        <v>139919.49</v>
      </c>
      <c r="T126" s="243">
        <v>95922.17</v>
      </c>
      <c r="U126" s="243">
        <v>14051.63</v>
      </c>
      <c r="V126" s="243">
        <v>10671.64</v>
      </c>
      <c r="W126" s="243">
        <v>34175.01</v>
      </c>
      <c r="X126" s="243">
        <v>17705.439999999999</v>
      </c>
      <c r="Y126" s="243">
        <v>211099.4</v>
      </c>
      <c r="Z126" s="981">
        <v>345.9</v>
      </c>
      <c r="AA126" s="981">
        <v>50716</v>
      </c>
      <c r="AB126" s="243">
        <v>584422.5</v>
      </c>
      <c r="AC126" s="402">
        <v>297857.59999999998</v>
      </c>
      <c r="AD126" s="243">
        <v>211138.1</v>
      </c>
      <c r="AE126" s="981">
        <v>1112.4000000000001</v>
      </c>
      <c r="AF126" s="1051">
        <v>942</v>
      </c>
      <c r="AG126" s="243">
        <v>35530.6</v>
      </c>
      <c r="AH126" s="243">
        <v>25330.3</v>
      </c>
      <c r="AI126" s="243">
        <v>82446.600000000006</v>
      </c>
      <c r="AJ126" s="243">
        <v>63740.53</v>
      </c>
      <c r="AK126" s="243">
        <v>65716.149999999994</v>
      </c>
      <c r="AL126" s="243">
        <v>53523.8</v>
      </c>
      <c r="AM126" s="243">
        <v>59444.7</v>
      </c>
      <c r="AN126" s="243">
        <v>23373</v>
      </c>
      <c r="AO126" s="243">
        <v>16.600000000000001</v>
      </c>
      <c r="AP126" s="243">
        <v>17.8</v>
      </c>
      <c r="AQ126" s="243">
        <v>491570.6</v>
      </c>
      <c r="AR126" s="243">
        <v>226831.3</v>
      </c>
      <c r="AS126" s="243">
        <v>65103.906999999999</v>
      </c>
      <c r="AT126" s="243"/>
      <c r="AU126" s="243">
        <v>459130.7</v>
      </c>
      <c r="AV126" s="243">
        <v>202082.6</v>
      </c>
      <c r="AW126" s="243">
        <v>79468.800000000003</v>
      </c>
      <c r="AX126" s="243">
        <v>4365.8100000000004</v>
      </c>
      <c r="AY126" s="243">
        <v>2910.66</v>
      </c>
      <c r="AZ126" s="243">
        <v>224.08</v>
      </c>
      <c r="BA126" s="243">
        <v>135.88</v>
      </c>
      <c r="BB126" s="243">
        <v>820.08900000000006</v>
      </c>
      <c r="BC126" s="243">
        <v>348.27600000000001</v>
      </c>
      <c r="BD126" s="243">
        <v>1822.4</v>
      </c>
      <c r="BE126" s="243">
        <v>2987.7</v>
      </c>
      <c r="BF126" s="243">
        <v>455.7</v>
      </c>
      <c r="BG126" s="243">
        <v>5857.72</v>
      </c>
      <c r="BH126" s="243">
        <v>34187.477192982398</v>
      </c>
      <c r="BI126" s="243">
        <v>9094.1833088041894</v>
      </c>
      <c r="BJ126" s="243">
        <v>6739.38</v>
      </c>
      <c r="BK126" s="243">
        <v>6645658</v>
      </c>
      <c r="BL126" s="243">
        <v>5062805</v>
      </c>
      <c r="BM126" s="654">
        <v>217123</v>
      </c>
      <c r="BN126" s="654">
        <v>180069</v>
      </c>
      <c r="BO126" s="243">
        <v>129.48772586628905</v>
      </c>
      <c r="BP126" s="243">
        <v>43.084051010367354</v>
      </c>
      <c r="BQ126" s="243">
        <v>663.04138305065226</v>
      </c>
      <c r="BR126" s="243">
        <v>2570217.5</v>
      </c>
      <c r="BS126" s="243">
        <v>529</v>
      </c>
      <c r="BT126" s="243">
        <v>20041.5</v>
      </c>
      <c r="BU126" s="243">
        <v>3240547</v>
      </c>
      <c r="BV126" s="243">
        <v>102065</v>
      </c>
      <c r="BW126" s="243">
        <v>20119.2</v>
      </c>
      <c r="BX126" s="243">
        <v>3014797</v>
      </c>
      <c r="BY126" s="243">
        <v>149023</v>
      </c>
      <c r="BZ126" s="243">
        <v>17684.32</v>
      </c>
      <c r="CA126" s="243">
        <v>8554.83</v>
      </c>
      <c r="CB126" s="243">
        <v>5825.13</v>
      </c>
      <c r="CC126" s="243">
        <v>1103235</v>
      </c>
      <c r="CD126" s="243">
        <v>626642</v>
      </c>
      <c r="CE126" s="243">
        <v>712009</v>
      </c>
      <c r="CF126" s="243">
        <v>450141</v>
      </c>
      <c r="CG126" s="1283">
        <v>0</v>
      </c>
    </row>
    <row r="127" spans="1:85" ht="13.2">
      <c r="A127" s="618">
        <v>45045</v>
      </c>
      <c r="B127" s="243">
        <v>1066.521</v>
      </c>
      <c r="C127" s="243">
        <v>589.03200000000004</v>
      </c>
      <c r="D127" s="243">
        <v>6858.3</v>
      </c>
      <c r="E127" s="1271">
        <v>0</v>
      </c>
      <c r="F127" s="243">
        <v>17997.599999999999</v>
      </c>
      <c r="G127" s="243">
        <v>5733.6</v>
      </c>
      <c r="H127" s="243">
        <v>582113.75000000012</v>
      </c>
      <c r="I127" s="243">
        <v>269437.84000000003</v>
      </c>
      <c r="J127" s="243">
        <v>205624.5</v>
      </c>
      <c r="K127" s="243"/>
      <c r="L127" s="243"/>
      <c r="M127" s="213">
        <v>14959</v>
      </c>
      <c r="N127" s="243">
        <v>7011</v>
      </c>
      <c r="O127" s="402">
        <v>46196</v>
      </c>
      <c r="P127" s="402">
        <v>36751.300000000003</v>
      </c>
      <c r="Q127" s="243">
        <v>137669.67000000001</v>
      </c>
      <c r="R127" s="243">
        <v>114200</v>
      </c>
      <c r="S127" s="243">
        <v>139934.03</v>
      </c>
      <c r="T127" s="243">
        <v>96002.559999999998</v>
      </c>
      <c r="U127" s="243">
        <v>14051.63</v>
      </c>
      <c r="V127" s="243">
        <v>10671.64</v>
      </c>
      <c r="W127" s="243">
        <v>34322.9</v>
      </c>
      <c r="X127" s="243">
        <v>17778.5</v>
      </c>
      <c r="Y127" s="243">
        <v>211123.4</v>
      </c>
      <c r="Z127" s="981">
        <v>345.9</v>
      </c>
      <c r="AA127" s="981">
        <v>50716</v>
      </c>
      <c r="AB127" s="243">
        <v>584714.16</v>
      </c>
      <c r="AC127" s="243">
        <v>298008.09999999998</v>
      </c>
      <c r="AD127" s="243">
        <v>211162.1</v>
      </c>
      <c r="AE127" s="981">
        <v>1112.4000000000001</v>
      </c>
      <c r="AF127" s="1051">
        <v>942</v>
      </c>
      <c r="AG127" s="243">
        <v>35533.08</v>
      </c>
      <c r="AH127" s="243">
        <v>25332</v>
      </c>
      <c r="AI127" s="243">
        <v>82453.13</v>
      </c>
      <c r="AJ127" s="243">
        <v>63745.48</v>
      </c>
      <c r="AK127" s="243">
        <v>65754.31</v>
      </c>
      <c r="AL127" s="243">
        <v>53556.22</v>
      </c>
      <c r="AM127" s="243">
        <v>59453.9</v>
      </c>
      <c r="AN127" s="243">
        <v>23376.9</v>
      </c>
      <c r="AO127" s="243">
        <v>16.600000000000001</v>
      </c>
      <c r="AP127" s="243">
        <v>17.8</v>
      </c>
      <c r="AQ127" s="243">
        <v>491729.5</v>
      </c>
      <c r="AR127" s="243">
        <v>226904.2</v>
      </c>
      <c r="AS127" s="243">
        <v>65108.6</v>
      </c>
      <c r="AT127" s="243"/>
      <c r="AU127" s="243">
        <v>459274.56</v>
      </c>
      <c r="AV127" s="243">
        <v>202145.07</v>
      </c>
      <c r="AW127" s="243">
        <v>79491.400000000009</v>
      </c>
      <c r="AX127" s="243">
        <v>4368.54</v>
      </c>
      <c r="AY127" s="243">
        <v>2912.67</v>
      </c>
      <c r="AZ127" s="243">
        <v>224.08</v>
      </c>
      <c r="BA127" s="243">
        <v>135.88</v>
      </c>
      <c r="BB127" s="243">
        <v>820.08900000000006</v>
      </c>
      <c r="BC127" s="243">
        <v>348.27600000000001</v>
      </c>
      <c r="BD127" s="243">
        <v>1822.4</v>
      </c>
      <c r="BE127" s="243">
        <v>2990</v>
      </c>
      <c r="BF127" s="243">
        <v>455.7</v>
      </c>
      <c r="BG127" s="243">
        <v>6073.63</v>
      </c>
      <c r="BH127" s="243">
        <v>33829.589473684202</v>
      </c>
      <c r="BI127" s="243">
        <v>9644.5303851075605</v>
      </c>
      <c r="BJ127" s="243">
        <v>6956.41</v>
      </c>
      <c r="BK127" s="243">
        <v>6647222</v>
      </c>
      <c r="BL127" s="243">
        <v>5064289</v>
      </c>
      <c r="BM127" s="654">
        <v>217123</v>
      </c>
      <c r="BN127" s="654">
        <v>180069</v>
      </c>
      <c r="BO127" s="243">
        <v>127.26679615701511</v>
      </c>
      <c r="BP127" s="243">
        <v>43.355926760939361</v>
      </c>
      <c r="BQ127" s="243">
        <v>652.65758019151099</v>
      </c>
      <c r="BR127" s="243">
        <v>2572185.5</v>
      </c>
      <c r="BS127" s="243">
        <v>530</v>
      </c>
      <c r="BT127" s="243">
        <v>20065.5</v>
      </c>
      <c r="BU127" s="243">
        <v>3240547</v>
      </c>
      <c r="BV127" s="243">
        <v>102065</v>
      </c>
      <c r="BW127" s="243">
        <v>20119.2</v>
      </c>
      <c r="BX127" s="243">
        <v>3019750</v>
      </c>
      <c r="BY127" s="243">
        <v>149746</v>
      </c>
      <c r="BZ127" s="243">
        <v>17708.32</v>
      </c>
      <c r="CA127" s="243">
        <v>8563.68</v>
      </c>
      <c r="CB127" s="243">
        <v>5830.59</v>
      </c>
      <c r="CC127" s="243">
        <v>1103641</v>
      </c>
      <c r="CD127" s="243">
        <v>626891</v>
      </c>
      <c r="CE127" s="243">
        <v>713118</v>
      </c>
      <c r="CF127" s="243">
        <v>450820</v>
      </c>
      <c r="CG127" s="1283">
        <v>0</v>
      </c>
    </row>
    <row r="128" spans="1:85" ht="13.2">
      <c r="A128" s="618">
        <v>45046</v>
      </c>
      <c r="B128" s="243">
        <v>1066.521</v>
      </c>
      <c r="C128" s="243">
        <v>589.03200000000004</v>
      </c>
      <c r="D128" s="243">
        <v>6858.3</v>
      </c>
      <c r="E128" s="1271">
        <v>0</v>
      </c>
      <c r="F128" s="243">
        <v>18011.900000000001</v>
      </c>
      <c r="G128" s="243">
        <v>5735.5</v>
      </c>
      <c r="H128" s="243">
        <v>582276.95000000007</v>
      </c>
      <c r="I128" s="243">
        <v>269519.66000000003</v>
      </c>
      <c r="J128" s="243">
        <v>205648.5</v>
      </c>
      <c r="K128" s="243"/>
      <c r="L128" s="243"/>
      <c r="M128" s="213">
        <v>14959</v>
      </c>
      <c r="N128" s="243">
        <v>7011</v>
      </c>
      <c r="O128" s="402">
        <v>46196</v>
      </c>
      <c r="P128" s="402">
        <v>36751.300000000003</v>
      </c>
      <c r="Q128" s="243">
        <v>137682.1</v>
      </c>
      <c r="R128" s="243">
        <v>114209.7</v>
      </c>
      <c r="S128" s="243">
        <v>139948.10999999999</v>
      </c>
      <c r="T128" s="243">
        <v>96012.67</v>
      </c>
      <c r="U128" s="243">
        <v>14051.63</v>
      </c>
      <c r="V128" s="243">
        <v>10671.64</v>
      </c>
      <c r="W128" s="243">
        <v>34466.9</v>
      </c>
      <c r="X128" s="243">
        <v>17853.060000000001</v>
      </c>
      <c r="Y128" s="243">
        <v>211147.4</v>
      </c>
      <c r="Z128" s="981">
        <v>345.9</v>
      </c>
      <c r="AA128" s="981">
        <v>50716</v>
      </c>
      <c r="AB128" s="243">
        <v>585017.15</v>
      </c>
      <c r="AC128" s="243">
        <v>298156.38</v>
      </c>
      <c r="AD128" s="243">
        <v>211186.1</v>
      </c>
      <c r="AE128" s="981">
        <v>1112.4000000000001</v>
      </c>
      <c r="AF128" s="1051">
        <v>942</v>
      </c>
      <c r="AG128" s="243">
        <v>35535.47</v>
      </c>
      <c r="AH128" s="243">
        <v>25333.7</v>
      </c>
      <c r="AI128" s="243">
        <v>82459.83</v>
      </c>
      <c r="AJ128" s="243">
        <v>63750.43</v>
      </c>
      <c r="AK128" s="243">
        <v>65792.59</v>
      </c>
      <c r="AL128" s="243">
        <v>53588.55</v>
      </c>
      <c r="AM128" s="243">
        <v>59467.1</v>
      </c>
      <c r="AN128" s="243">
        <v>23382.1</v>
      </c>
      <c r="AO128" s="243">
        <v>16.600000000000001</v>
      </c>
      <c r="AP128" s="243">
        <v>17.8</v>
      </c>
      <c r="AQ128" s="243">
        <v>491895.1</v>
      </c>
      <c r="AR128" s="243">
        <v>226980.2</v>
      </c>
      <c r="AS128" s="243">
        <v>65113.3</v>
      </c>
      <c r="AT128" s="243"/>
      <c r="AU128" s="243">
        <v>459427.2</v>
      </c>
      <c r="AV128" s="243">
        <v>202211.29</v>
      </c>
      <c r="AW128" s="243">
        <v>79515.400000000009</v>
      </c>
      <c r="AX128" s="243">
        <v>4370.49</v>
      </c>
      <c r="AY128" s="243">
        <v>2914.15</v>
      </c>
      <c r="AZ128" s="243">
        <v>224.08</v>
      </c>
      <c r="BA128" s="243">
        <v>135.88</v>
      </c>
      <c r="BB128" s="243">
        <v>820.08900000000006</v>
      </c>
      <c r="BC128" s="243">
        <v>348.27600000000001</v>
      </c>
      <c r="BD128" s="243">
        <v>1822.4</v>
      </c>
      <c r="BE128" s="243">
        <v>2992.2</v>
      </c>
      <c r="BF128" s="243">
        <v>455.7</v>
      </c>
      <c r="BG128" s="243">
        <v>6517.29</v>
      </c>
      <c r="BH128" s="243">
        <v>31535.787719298241</v>
      </c>
      <c r="BI128" s="243">
        <v>7608.1909239212346</v>
      </c>
      <c r="BJ128" s="243">
        <v>7583.88</v>
      </c>
      <c r="BK128" s="243">
        <v>6648695</v>
      </c>
      <c r="BL128" s="243">
        <v>5065705</v>
      </c>
      <c r="BM128" s="654">
        <v>217123</v>
      </c>
      <c r="BN128" s="654">
        <v>180069</v>
      </c>
      <c r="BO128" s="243">
        <v>127.528825340876</v>
      </c>
      <c r="BP128" s="243">
        <v>43.163697067008741</v>
      </c>
      <c r="BQ128" s="243">
        <v>647.31505238714817</v>
      </c>
      <c r="BR128" s="243">
        <v>2575089.5</v>
      </c>
      <c r="BS128" s="243">
        <v>531</v>
      </c>
      <c r="BT128" s="243">
        <v>20088.650000000001</v>
      </c>
      <c r="BU128" s="243">
        <v>3240547</v>
      </c>
      <c r="BV128" s="243">
        <v>102065</v>
      </c>
      <c r="BW128" s="243">
        <v>20119.2</v>
      </c>
      <c r="BX128" s="243">
        <v>3024723</v>
      </c>
      <c r="BY128" s="243">
        <v>150465</v>
      </c>
      <c r="BZ128" s="243">
        <v>17732.32</v>
      </c>
      <c r="CA128" s="243">
        <v>8572.4</v>
      </c>
      <c r="CB128" s="243">
        <v>5835.95</v>
      </c>
      <c r="CC128" s="243">
        <v>1104023</v>
      </c>
      <c r="CD128" s="243">
        <v>627125</v>
      </c>
      <c r="CE128" s="243">
        <v>714211</v>
      </c>
      <c r="CF128" s="243">
        <v>451488</v>
      </c>
      <c r="CG128" s="1283">
        <v>0</v>
      </c>
    </row>
    <row r="129" spans="1:99" ht="13.2">
      <c r="A129" s="177"/>
      <c r="B129" s="630"/>
      <c r="C129" s="630"/>
      <c r="D129" s="630"/>
      <c r="E129" s="1275"/>
      <c r="F129" s="630"/>
      <c r="G129" s="630"/>
      <c r="H129" s="631"/>
      <c r="I129" s="631"/>
      <c r="J129" s="830"/>
      <c r="K129" s="630"/>
      <c r="L129" s="630"/>
      <c r="M129" s="831"/>
      <c r="N129" s="630"/>
      <c r="O129" s="630"/>
      <c r="P129" s="630"/>
      <c r="Q129" s="630"/>
      <c r="R129" s="832"/>
      <c r="S129" s="630"/>
      <c r="T129" s="630"/>
      <c r="U129" s="630"/>
      <c r="V129" s="630"/>
      <c r="W129" s="630"/>
      <c r="X129" s="630"/>
      <c r="Y129" s="831"/>
      <c r="Z129" s="630"/>
      <c r="AA129" s="630"/>
      <c r="AB129" s="631"/>
      <c r="AC129" s="833"/>
      <c r="AD129" s="630"/>
      <c r="AE129" s="630"/>
      <c r="AF129" s="630"/>
      <c r="AG129" s="630"/>
      <c r="AH129" s="630"/>
      <c r="AI129" s="630"/>
      <c r="AJ129" s="630"/>
      <c r="AK129" s="630"/>
      <c r="AL129" s="630"/>
      <c r="AM129" s="831"/>
      <c r="AN129" s="831"/>
      <c r="AO129" s="630"/>
      <c r="AP129" s="630"/>
      <c r="AQ129" s="630"/>
      <c r="AR129" s="630"/>
      <c r="AS129" s="630"/>
      <c r="AT129" s="630"/>
      <c r="AU129" s="630"/>
      <c r="AV129" s="630"/>
      <c r="AW129" s="630"/>
      <c r="AX129" s="630"/>
      <c r="AY129" s="630"/>
      <c r="AZ129" s="630"/>
      <c r="BA129" s="630"/>
      <c r="BB129" s="630"/>
      <c r="BC129" s="630"/>
      <c r="BD129" s="1748"/>
      <c r="BE129" s="630"/>
      <c r="BF129" s="630"/>
      <c r="BG129" s="630"/>
      <c r="BH129" s="630"/>
      <c r="BI129" s="983"/>
      <c r="BJ129" s="630"/>
      <c r="BK129" s="630"/>
      <c r="BL129" s="630"/>
      <c r="BM129" s="630"/>
      <c r="BN129" s="630"/>
      <c r="BO129" s="630"/>
      <c r="BP129" s="630"/>
      <c r="BQ129" s="630"/>
      <c r="BR129" s="630"/>
      <c r="BS129" s="630"/>
      <c r="BT129" s="630"/>
      <c r="BU129" s="630"/>
      <c r="BV129" s="630"/>
      <c r="BW129" s="630"/>
      <c r="BX129" s="630"/>
      <c r="BY129" s="630"/>
      <c r="BZ129" s="630"/>
      <c r="CA129" s="630"/>
      <c r="CB129" s="630"/>
      <c r="CC129" s="630"/>
      <c r="CD129" s="630"/>
      <c r="CE129" s="630"/>
      <c r="CF129" s="984"/>
      <c r="CG129" s="984"/>
    </row>
    <row r="130" spans="1:99" ht="13.2">
      <c r="A130" s="155">
        <v>45046</v>
      </c>
      <c r="B130" s="243">
        <v>1066.521</v>
      </c>
      <c r="C130" s="243">
        <v>589.03200000000004</v>
      </c>
      <c r="D130" s="243">
        <v>6858.3</v>
      </c>
      <c r="E130" s="1271">
        <v>0</v>
      </c>
      <c r="F130" s="243">
        <v>18011.900000000001</v>
      </c>
      <c r="G130" s="243">
        <v>5735.5</v>
      </c>
      <c r="H130" s="402">
        <v>2839.3</v>
      </c>
      <c r="I130" s="402">
        <v>1431.6</v>
      </c>
      <c r="J130" s="402">
        <v>205648.5</v>
      </c>
      <c r="K130" s="402"/>
      <c r="L130" s="402"/>
      <c r="M130" s="402">
        <v>14959</v>
      </c>
      <c r="N130" s="402">
        <v>7011</v>
      </c>
      <c r="O130" s="402">
        <v>46196</v>
      </c>
      <c r="P130" s="402">
        <v>36751.300000000003</v>
      </c>
      <c r="Q130" s="402">
        <v>137682.1</v>
      </c>
      <c r="R130" s="402">
        <v>114209.7</v>
      </c>
      <c r="S130" s="402">
        <v>139948.10999999999</v>
      </c>
      <c r="T130" s="402">
        <v>96012.67</v>
      </c>
      <c r="U130" s="243">
        <v>14051.63</v>
      </c>
      <c r="V130" s="243">
        <v>10671.64</v>
      </c>
      <c r="W130" s="402">
        <v>34466.9</v>
      </c>
      <c r="X130" s="402">
        <v>17853.060000000001</v>
      </c>
      <c r="Y130" s="402">
        <v>211147.4</v>
      </c>
      <c r="Z130" s="981">
        <v>345.9</v>
      </c>
      <c r="AA130" s="981">
        <v>50716</v>
      </c>
      <c r="AB130" s="402">
        <v>585017.15</v>
      </c>
      <c r="AC130" s="402">
        <v>298156.38</v>
      </c>
      <c r="AD130" s="402">
        <v>211186.1</v>
      </c>
      <c r="AE130" s="981">
        <v>1112.4000000000001</v>
      </c>
      <c r="AF130" s="1051">
        <v>942</v>
      </c>
      <c r="AG130" s="402">
        <v>35535.47</v>
      </c>
      <c r="AH130" s="402">
        <v>25333.7</v>
      </c>
      <c r="AI130" s="402">
        <v>82459.83</v>
      </c>
      <c r="AJ130" s="402">
        <v>63750.43</v>
      </c>
      <c r="AK130" s="402">
        <v>65792.59</v>
      </c>
      <c r="AL130" s="402">
        <v>53588.55</v>
      </c>
      <c r="AM130" s="402">
        <v>59467.1</v>
      </c>
      <c r="AN130" s="402">
        <v>23382.1</v>
      </c>
      <c r="AO130" s="243">
        <v>16.600000000000001</v>
      </c>
      <c r="AP130" s="243">
        <v>17.8</v>
      </c>
      <c r="AQ130" s="402">
        <v>491895.1</v>
      </c>
      <c r="AR130" s="402">
        <v>226980.2</v>
      </c>
      <c r="AS130" s="402">
        <v>65113.3</v>
      </c>
      <c r="AT130" s="981"/>
      <c r="AU130" s="402">
        <v>459427.2</v>
      </c>
      <c r="AV130" s="402">
        <v>202211.29</v>
      </c>
      <c r="AW130" s="402">
        <v>79515.400000000009</v>
      </c>
      <c r="AX130" s="402">
        <v>4370.49</v>
      </c>
      <c r="AY130" s="402">
        <v>2914.15</v>
      </c>
      <c r="AZ130" s="981">
        <v>224.08</v>
      </c>
      <c r="BA130" s="981">
        <v>135.88</v>
      </c>
      <c r="BB130" s="243">
        <v>820.08900000000006</v>
      </c>
      <c r="BC130" s="243">
        <v>348.27600000000001</v>
      </c>
      <c r="BD130" s="367">
        <v>1822.4</v>
      </c>
      <c r="BE130" s="402">
        <v>2992.2</v>
      </c>
      <c r="BF130" s="402">
        <v>455.7</v>
      </c>
      <c r="BG130" s="402">
        <v>6517.29</v>
      </c>
      <c r="BH130" s="402">
        <v>31535.787719298241</v>
      </c>
      <c r="BI130" s="402">
        <v>7608.1909239212346</v>
      </c>
      <c r="BJ130" s="402">
        <v>7583.88</v>
      </c>
      <c r="BK130" s="402">
        <v>6648695</v>
      </c>
      <c r="BL130" s="402">
        <v>5065705</v>
      </c>
      <c r="BM130" s="654">
        <v>217123</v>
      </c>
      <c r="BN130" s="654">
        <v>180069</v>
      </c>
      <c r="BO130" s="402">
        <v>127.528825340876</v>
      </c>
      <c r="BP130" s="402">
        <v>43.163697067008741</v>
      </c>
      <c r="BQ130" s="402">
        <v>647.31505238714817</v>
      </c>
      <c r="BR130" s="402">
        <v>2575089.5</v>
      </c>
      <c r="BS130" s="402">
        <v>531</v>
      </c>
      <c r="BT130" s="402">
        <v>20088.650000000001</v>
      </c>
      <c r="BU130" s="243">
        <v>3240547</v>
      </c>
      <c r="BV130" s="243">
        <v>102065</v>
      </c>
      <c r="BW130" s="243">
        <v>20119.2</v>
      </c>
      <c r="BX130" s="402">
        <v>3024723</v>
      </c>
      <c r="BY130" s="402">
        <v>150465</v>
      </c>
      <c r="BZ130" s="402">
        <v>17732.32</v>
      </c>
      <c r="CA130" s="402">
        <v>8572.4</v>
      </c>
      <c r="CB130" s="402">
        <v>5835.95</v>
      </c>
      <c r="CC130" s="402">
        <v>1104023</v>
      </c>
      <c r="CD130" s="402">
        <v>627125</v>
      </c>
      <c r="CE130" s="402">
        <v>714211</v>
      </c>
      <c r="CF130" s="402">
        <v>451488</v>
      </c>
      <c r="CG130" s="1283">
        <v>0</v>
      </c>
    </row>
    <row r="131" spans="1:99" ht="13.2">
      <c r="A131" s="155">
        <v>45047</v>
      </c>
      <c r="B131" s="243">
        <v>1066.521</v>
      </c>
      <c r="C131" s="243">
        <v>589.03200000000004</v>
      </c>
      <c r="D131" s="243">
        <v>6858.3</v>
      </c>
      <c r="E131" s="1271">
        <v>0</v>
      </c>
      <c r="F131" s="243">
        <v>18026.5</v>
      </c>
      <c r="G131" s="243">
        <v>5737.6</v>
      </c>
      <c r="H131" s="402">
        <v>3003</v>
      </c>
      <c r="I131" s="402">
        <v>1513.88</v>
      </c>
      <c r="J131" s="402">
        <v>205672.5</v>
      </c>
      <c r="K131" s="402"/>
      <c r="L131" s="402"/>
      <c r="M131" s="402">
        <v>14959</v>
      </c>
      <c r="N131" s="402">
        <v>7011</v>
      </c>
      <c r="O131" s="402">
        <v>46196</v>
      </c>
      <c r="P131" s="402">
        <v>36751.300000000003</v>
      </c>
      <c r="Q131" s="402">
        <v>137695.72</v>
      </c>
      <c r="R131" s="402">
        <v>114220.34</v>
      </c>
      <c r="S131" s="402">
        <v>139962.42000000001</v>
      </c>
      <c r="T131" s="402">
        <v>96022.88</v>
      </c>
      <c r="U131" s="243">
        <v>14051.63</v>
      </c>
      <c r="V131" s="243">
        <v>10671.64</v>
      </c>
      <c r="W131" s="402">
        <v>34612</v>
      </c>
      <c r="X131" s="402">
        <v>17924.599999999999</v>
      </c>
      <c r="Y131" s="402">
        <v>211171.4</v>
      </c>
      <c r="Z131" s="981">
        <v>345.9</v>
      </c>
      <c r="AA131" s="981">
        <v>50716</v>
      </c>
      <c r="AB131" s="402">
        <v>585324.30000000005</v>
      </c>
      <c r="AC131" s="402">
        <v>298311.8</v>
      </c>
      <c r="AD131" s="402">
        <v>211210.1</v>
      </c>
      <c r="AE131" s="981">
        <v>1112.4000000000001</v>
      </c>
      <c r="AF131" s="1051">
        <v>942</v>
      </c>
      <c r="AG131" s="402">
        <v>35537.9</v>
      </c>
      <c r="AH131" s="402">
        <v>25335.4</v>
      </c>
      <c r="AI131" s="402">
        <v>82468</v>
      </c>
      <c r="AJ131" s="402">
        <v>63756.73</v>
      </c>
      <c r="AK131" s="402">
        <v>65830.77</v>
      </c>
      <c r="AL131" s="402">
        <v>53620.9</v>
      </c>
      <c r="AM131" s="402">
        <v>59480</v>
      </c>
      <c r="AN131" s="402">
        <v>23387.1</v>
      </c>
      <c r="AO131" s="243">
        <v>16.600000000000001</v>
      </c>
      <c r="AP131" s="243">
        <v>17.8</v>
      </c>
      <c r="AQ131" s="402">
        <v>492062.1</v>
      </c>
      <c r="AR131" s="402">
        <v>227056.9</v>
      </c>
      <c r="AS131" s="402">
        <v>65118.400000000001</v>
      </c>
      <c r="AT131" s="402"/>
      <c r="AU131" s="402">
        <v>459580.26</v>
      </c>
      <c r="AV131" s="402">
        <v>202277.6</v>
      </c>
      <c r="AW131" s="402">
        <v>79539.400000000009</v>
      </c>
      <c r="AX131" s="402">
        <v>4372.8999999999996</v>
      </c>
      <c r="AY131" s="402">
        <v>2915.96</v>
      </c>
      <c r="AZ131" s="981">
        <v>224.08</v>
      </c>
      <c r="BA131" s="981">
        <v>135.88</v>
      </c>
      <c r="BB131" s="243">
        <v>820.08900000000006</v>
      </c>
      <c r="BC131" s="243">
        <v>348.27600000000001</v>
      </c>
      <c r="BD131" s="367">
        <v>1822.4</v>
      </c>
      <c r="BE131" s="402">
        <v>2994.4</v>
      </c>
      <c r="BF131" s="402">
        <v>455.7</v>
      </c>
      <c r="BG131" s="402">
        <v>6464.8</v>
      </c>
      <c r="BH131" s="402">
        <v>31984.514035087701</v>
      </c>
      <c r="BI131" s="402">
        <v>7677.3688134100503</v>
      </c>
      <c r="BJ131" s="402">
        <v>6806.3</v>
      </c>
      <c r="BK131" s="402">
        <v>6650212</v>
      </c>
      <c r="BL131" s="402">
        <v>5067135</v>
      </c>
      <c r="BM131" s="654">
        <v>217123</v>
      </c>
      <c r="BN131" s="654">
        <v>180069</v>
      </c>
      <c r="BO131" s="402">
        <v>127.528825340876</v>
      </c>
      <c r="BP131" s="402">
        <v>42.899039622060492</v>
      </c>
      <c r="BQ131" s="402">
        <v>644.26913276066671</v>
      </c>
      <c r="BR131" s="402">
        <v>2577945.5</v>
      </c>
      <c r="BS131" s="402">
        <v>532</v>
      </c>
      <c r="BT131" s="402">
        <v>20112.650000000001</v>
      </c>
      <c r="BU131" s="243">
        <v>3240547</v>
      </c>
      <c r="BV131" s="243">
        <v>102065</v>
      </c>
      <c r="BW131" s="243">
        <v>20119.2</v>
      </c>
      <c r="BX131" s="402">
        <v>3029877</v>
      </c>
      <c r="BY131" s="402">
        <v>151321</v>
      </c>
      <c r="BZ131" s="402">
        <v>17756.32</v>
      </c>
      <c r="CA131" s="402">
        <v>8581.19</v>
      </c>
      <c r="CB131" s="402">
        <v>5841.38</v>
      </c>
      <c r="CC131" s="402">
        <v>1104457</v>
      </c>
      <c r="CD131" s="402">
        <v>627390</v>
      </c>
      <c r="CE131" s="402">
        <v>715189</v>
      </c>
      <c r="CF131" s="402">
        <v>452078</v>
      </c>
      <c r="CG131" s="1283">
        <v>0</v>
      </c>
    </row>
    <row r="132" spans="1:99" ht="13.2">
      <c r="A132" s="155">
        <v>45048</v>
      </c>
      <c r="B132" s="243">
        <v>1066.6969999999999</v>
      </c>
      <c r="C132" s="243">
        <v>589.12</v>
      </c>
      <c r="D132" s="243">
        <v>6858.9</v>
      </c>
      <c r="E132" s="1274">
        <v>1</v>
      </c>
      <c r="F132" s="243">
        <v>18041.2</v>
      </c>
      <c r="G132" s="243">
        <v>5739.7</v>
      </c>
      <c r="H132" s="402">
        <v>3170.6</v>
      </c>
      <c r="I132" s="402">
        <v>1597.6</v>
      </c>
      <c r="J132" s="402">
        <v>205696.5</v>
      </c>
      <c r="K132" s="402"/>
      <c r="L132" s="402"/>
      <c r="M132" s="402">
        <v>14959</v>
      </c>
      <c r="N132" s="402">
        <v>7011</v>
      </c>
      <c r="O132" s="402">
        <v>46196</v>
      </c>
      <c r="P132" s="402">
        <v>36751.300000000003</v>
      </c>
      <c r="Q132" s="402">
        <v>137710.6</v>
      </c>
      <c r="R132" s="402">
        <v>114231.9</v>
      </c>
      <c r="S132" s="402">
        <v>139977.24</v>
      </c>
      <c r="T132" s="402">
        <v>96033.2</v>
      </c>
      <c r="U132" s="243">
        <v>14051.63</v>
      </c>
      <c r="V132" s="243">
        <v>10671.64</v>
      </c>
      <c r="W132" s="402">
        <v>34760</v>
      </c>
      <c r="X132" s="402">
        <v>18000</v>
      </c>
      <c r="Y132" s="402">
        <v>211195.4</v>
      </c>
      <c r="Z132" s="981">
        <v>345.9</v>
      </c>
      <c r="AA132" s="981">
        <v>50716</v>
      </c>
      <c r="AB132" s="402">
        <v>585637</v>
      </c>
      <c r="AC132" s="402">
        <v>298467</v>
      </c>
      <c r="AD132" s="402">
        <v>211234.1</v>
      </c>
      <c r="AE132" s="981">
        <v>1112.4000000000001</v>
      </c>
      <c r="AF132" s="1051">
        <v>942</v>
      </c>
      <c r="AG132" s="402">
        <v>35540.400000000001</v>
      </c>
      <c r="AH132" s="402">
        <v>25337.200000000001</v>
      </c>
      <c r="AI132" s="402">
        <v>82475.100000000006</v>
      </c>
      <c r="AJ132" s="402">
        <v>63762.400000000001</v>
      </c>
      <c r="AK132" s="402">
        <v>65869.3</v>
      </c>
      <c r="AL132" s="402">
        <v>53653.599999999999</v>
      </c>
      <c r="AM132" s="402">
        <v>59494.3</v>
      </c>
      <c r="AN132" s="402">
        <v>23392.799999999999</v>
      </c>
      <c r="AO132" s="243">
        <v>16.600000000000001</v>
      </c>
      <c r="AP132" s="243">
        <v>17.8</v>
      </c>
      <c r="AQ132" s="402">
        <v>492230</v>
      </c>
      <c r="AR132" s="402">
        <v>227134</v>
      </c>
      <c r="AS132" s="402">
        <v>65123.3</v>
      </c>
      <c r="AT132" s="981"/>
      <c r="AU132" s="402">
        <v>459734</v>
      </c>
      <c r="AV132" s="402">
        <v>202344</v>
      </c>
      <c r="AW132" s="402">
        <v>79563.400000000009</v>
      </c>
      <c r="AX132" s="402">
        <v>4376.3999999999996</v>
      </c>
      <c r="AY132" s="402">
        <v>2918.6</v>
      </c>
      <c r="AZ132" s="981">
        <v>224.1</v>
      </c>
      <c r="BA132" s="981">
        <v>135.9</v>
      </c>
      <c r="BB132" s="243">
        <v>820.29200000000003</v>
      </c>
      <c r="BC132" s="243">
        <v>348.35300000000001</v>
      </c>
      <c r="BD132" s="367">
        <v>1822.7</v>
      </c>
      <c r="BE132" s="402">
        <v>2995.5</v>
      </c>
      <c r="BF132" s="402">
        <v>455.7</v>
      </c>
      <c r="BG132" s="402">
        <v>6386.78</v>
      </c>
      <c r="BH132" s="402">
        <v>30225.768421052599</v>
      </c>
      <c r="BI132" s="402">
        <v>5970.7538574295204</v>
      </c>
      <c r="BJ132" s="402">
        <v>7587.6</v>
      </c>
      <c r="BK132" s="402">
        <v>6651733</v>
      </c>
      <c r="BL132" s="402">
        <v>5068571</v>
      </c>
      <c r="BM132" s="654">
        <v>217123</v>
      </c>
      <c r="BN132" s="654">
        <v>180069</v>
      </c>
      <c r="BO132" s="402">
        <v>126.88072282516499</v>
      </c>
      <c r="BP132" s="402">
        <v>43.320134322908515</v>
      </c>
      <c r="BQ132" s="402">
        <v>645.58039392356091</v>
      </c>
      <c r="BR132" s="402">
        <v>2580777.5</v>
      </c>
      <c r="BS132" s="402">
        <v>533</v>
      </c>
      <c r="BT132" s="402">
        <v>20136.599999999999</v>
      </c>
      <c r="BU132" s="243">
        <v>3240547</v>
      </c>
      <c r="BV132" s="243">
        <v>102065</v>
      </c>
      <c r="BW132" s="243">
        <v>20119.2</v>
      </c>
      <c r="BX132" s="402">
        <v>3035094</v>
      </c>
      <c r="BY132" s="402">
        <v>152214</v>
      </c>
      <c r="BZ132" s="402">
        <v>17780.3</v>
      </c>
      <c r="CA132" s="402">
        <v>8589.9</v>
      </c>
      <c r="CB132" s="402">
        <v>5846.7</v>
      </c>
      <c r="CC132" s="402">
        <v>1104894</v>
      </c>
      <c r="CD132" s="402">
        <v>627662</v>
      </c>
      <c r="CE132" s="402">
        <v>716258</v>
      </c>
      <c r="CF132" s="402">
        <v>452715</v>
      </c>
      <c r="CG132" s="1283">
        <v>1</v>
      </c>
    </row>
    <row r="133" spans="1:99" ht="13.2">
      <c r="A133" s="155">
        <v>45049</v>
      </c>
      <c r="B133" s="243">
        <v>1066.6969999999999</v>
      </c>
      <c r="C133" s="243">
        <v>589.12</v>
      </c>
      <c r="D133" s="243">
        <v>6858.9</v>
      </c>
      <c r="E133" s="1274">
        <v>0</v>
      </c>
      <c r="F133" s="243">
        <v>18055.900000000001</v>
      </c>
      <c r="G133" s="243">
        <v>5741.7</v>
      </c>
      <c r="H133" s="243">
        <v>3325.6</v>
      </c>
      <c r="I133" s="243">
        <v>1676.5</v>
      </c>
      <c r="J133" s="243">
        <v>205718.9</v>
      </c>
      <c r="K133" s="243"/>
      <c r="L133" s="243"/>
      <c r="M133" s="243">
        <v>14959.1</v>
      </c>
      <c r="N133" s="243">
        <v>7011</v>
      </c>
      <c r="O133" s="402">
        <v>46196</v>
      </c>
      <c r="P133" s="402">
        <v>36751.300000000003</v>
      </c>
      <c r="Q133" s="243">
        <v>137724</v>
      </c>
      <c r="R133" s="243">
        <v>114242.6</v>
      </c>
      <c r="S133" s="243">
        <v>139992.20000000001</v>
      </c>
      <c r="T133" s="243">
        <v>96043.4</v>
      </c>
      <c r="U133" s="243">
        <v>14051.63</v>
      </c>
      <c r="V133" s="243">
        <v>10671.64</v>
      </c>
      <c r="W133" s="243">
        <v>34906</v>
      </c>
      <c r="X133" s="243">
        <v>18074</v>
      </c>
      <c r="Y133" s="243">
        <v>211219.4</v>
      </c>
      <c r="Z133" s="981">
        <v>345.9</v>
      </c>
      <c r="AA133" s="981">
        <v>50716</v>
      </c>
      <c r="AB133" s="243">
        <v>585923</v>
      </c>
      <c r="AC133" s="243">
        <v>298610</v>
      </c>
      <c r="AD133" s="243">
        <v>211258.1</v>
      </c>
      <c r="AE133" s="981">
        <v>1112.4000000000001</v>
      </c>
      <c r="AF133" s="1051">
        <v>942</v>
      </c>
      <c r="AG133" s="243">
        <v>35542.9</v>
      </c>
      <c r="AH133" s="243">
        <v>25338.9</v>
      </c>
      <c r="AI133" s="243">
        <v>82479.3</v>
      </c>
      <c r="AJ133" s="243">
        <v>63765.7</v>
      </c>
      <c r="AK133" s="243">
        <v>65907.8</v>
      </c>
      <c r="AL133" s="243">
        <v>53686.3</v>
      </c>
      <c r="AM133" s="243">
        <v>59500.4</v>
      </c>
      <c r="AN133" s="243">
        <v>23395.200000000001</v>
      </c>
      <c r="AO133" s="243">
        <v>16.600000000000001</v>
      </c>
      <c r="AP133" s="243">
        <v>17.8</v>
      </c>
      <c r="AQ133" s="243">
        <v>492397</v>
      </c>
      <c r="AR133" s="243">
        <v>227211</v>
      </c>
      <c r="AS133" s="243">
        <v>65128.6</v>
      </c>
      <c r="AT133" s="243"/>
      <c r="AU133" s="243">
        <v>459886</v>
      </c>
      <c r="AV133" s="243">
        <v>202410</v>
      </c>
      <c r="AW133" s="243">
        <v>79587.400000000009</v>
      </c>
      <c r="AX133" s="243">
        <v>4379.8999999999996</v>
      </c>
      <c r="AY133" s="243">
        <v>2921.1</v>
      </c>
      <c r="AZ133" s="981">
        <v>224.1</v>
      </c>
      <c r="BA133" s="243">
        <v>135.96</v>
      </c>
      <c r="BB133" s="243">
        <v>820.29200000000003</v>
      </c>
      <c r="BC133" s="243">
        <v>348.35300000000001</v>
      </c>
      <c r="BD133" s="367">
        <v>1822.7</v>
      </c>
      <c r="BE133" s="243">
        <v>2996.9</v>
      </c>
      <c r="BF133" s="402">
        <v>455.7</v>
      </c>
      <c r="BG133" s="243">
        <v>6240.02</v>
      </c>
      <c r="BH133" s="243">
        <v>30956.035087719294</v>
      </c>
      <c r="BI133" s="243">
        <v>8966.2605874286655</v>
      </c>
      <c r="BJ133" s="243">
        <v>7128.04</v>
      </c>
      <c r="BK133" s="243">
        <v>6653316</v>
      </c>
      <c r="BL133" s="243">
        <v>5070078</v>
      </c>
      <c r="BM133" s="654">
        <v>217123</v>
      </c>
      <c r="BN133" s="654">
        <v>180069</v>
      </c>
      <c r="BO133" s="243">
        <v>128</v>
      </c>
      <c r="BP133" s="243">
        <v>43.244999999999997</v>
      </c>
      <c r="BQ133" s="243">
        <v>649</v>
      </c>
      <c r="BR133" s="243">
        <v>2583657.5</v>
      </c>
      <c r="BS133" s="243">
        <v>534</v>
      </c>
      <c r="BT133" s="243">
        <v>20160.599999999999</v>
      </c>
      <c r="BU133" s="243">
        <v>3240547</v>
      </c>
      <c r="BV133" s="243">
        <v>102065</v>
      </c>
      <c r="BW133" s="243">
        <v>20119.2</v>
      </c>
      <c r="BX133" s="243">
        <v>3040398</v>
      </c>
      <c r="BY133" s="243">
        <v>152975</v>
      </c>
      <c r="BZ133" s="243">
        <v>17804.3</v>
      </c>
      <c r="CA133" s="243">
        <v>8598.6</v>
      </c>
      <c r="CB133" s="243">
        <v>5852.1</v>
      </c>
      <c r="CC133" s="243">
        <v>1105304</v>
      </c>
      <c r="CD133" s="243">
        <v>627912</v>
      </c>
      <c r="CE133" s="243">
        <v>717393</v>
      </c>
      <c r="CF133" s="243">
        <v>453394</v>
      </c>
      <c r="CG133" s="1283">
        <v>0</v>
      </c>
    </row>
    <row r="134" spans="1:99" ht="13.2">
      <c r="A134" s="155">
        <v>45050</v>
      </c>
      <c r="B134" s="243">
        <v>1066.6969999999999</v>
      </c>
      <c r="C134" s="243">
        <v>589.12</v>
      </c>
      <c r="D134" s="243">
        <v>6858.9</v>
      </c>
      <c r="E134" s="1274">
        <v>0</v>
      </c>
      <c r="F134" s="243">
        <v>18071</v>
      </c>
      <c r="G134" s="243">
        <v>5743.8</v>
      </c>
      <c r="H134" s="243">
        <v>3491</v>
      </c>
      <c r="I134" s="243">
        <v>1760</v>
      </c>
      <c r="J134" s="243">
        <v>205742.9</v>
      </c>
      <c r="K134" s="243"/>
      <c r="L134" s="243"/>
      <c r="M134" s="243">
        <v>14959.1</v>
      </c>
      <c r="N134" s="243">
        <v>7011</v>
      </c>
      <c r="O134" s="402">
        <v>46196</v>
      </c>
      <c r="P134" s="402">
        <v>36751.300000000003</v>
      </c>
      <c r="Q134" s="243">
        <v>137736.70000000001</v>
      </c>
      <c r="R134" s="243">
        <v>114252.8</v>
      </c>
      <c r="S134" s="243">
        <v>140006.29999999999</v>
      </c>
      <c r="T134" s="243">
        <v>96053.2</v>
      </c>
      <c r="U134" s="243">
        <v>14051.63</v>
      </c>
      <c r="V134" s="243">
        <v>10671.64</v>
      </c>
      <c r="W134" s="243">
        <v>35056</v>
      </c>
      <c r="X134" s="243">
        <v>18148</v>
      </c>
      <c r="Y134" s="243">
        <v>211243.4</v>
      </c>
      <c r="Z134" s="981"/>
      <c r="AA134" s="981">
        <v>50716</v>
      </c>
      <c r="AB134" s="243">
        <v>586218</v>
      </c>
      <c r="AC134" s="243">
        <v>298758</v>
      </c>
      <c r="AD134" s="243">
        <v>211282.1</v>
      </c>
      <c r="AE134" s="981">
        <v>1112.4000000000001</v>
      </c>
      <c r="AF134" s="1051">
        <v>942</v>
      </c>
      <c r="AG134" s="243">
        <v>35545.4</v>
      </c>
      <c r="AH134" s="243">
        <v>25340.6</v>
      </c>
      <c r="AI134" s="243">
        <v>82484.100000000006</v>
      </c>
      <c r="AJ134" s="243">
        <v>63769.2</v>
      </c>
      <c r="AK134" s="243">
        <v>65946.399999999994</v>
      </c>
      <c r="AL134" s="243">
        <v>53719</v>
      </c>
      <c r="AM134" s="243">
        <v>59507.7</v>
      </c>
      <c r="AN134" s="243">
        <v>23398</v>
      </c>
      <c r="AO134" s="243">
        <v>16.600000000000001</v>
      </c>
      <c r="AP134" s="243">
        <v>17.8</v>
      </c>
      <c r="AQ134" s="243">
        <v>492564</v>
      </c>
      <c r="AR134" s="243">
        <v>227287</v>
      </c>
      <c r="AS134" s="243">
        <v>65134</v>
      </c>
      <c r="AT134" s="243"/>
      <c r="AU134" s="243">
        <v>460040</v>
      </c>
      <c r="AV134" s="243">
        <v>202476</v>
      </c>
      <c r="AW134" s="243">
        <v>79611.400000000009</v>
      </c>
      <c r="AX134" s="243">
        <v>4382.8999999999996</v>
      </c>
      <c r="AY134" s="243">
        <v>2923.1</v>
      </c>
      <c r="AZ134" s="243">
        <v>224.32</v>
      </c>
      <c r="BA134" s="243">
        <v>136</v>
      </c>
      <c r="BB134" s="243">
        <v>820.29200000000003</v>
      </c>
      <c r="BC134" s="243">
        <v>348.35300000000001</v>
      </c>
      <c r="BD134" s="367">
        <v>1822.7</v>
      </c>
      <c r="BE134" s="243">
        <v>2999</v>
      </c>
      <c r="BF134" s="402">
        <v>455.7</v>
      </c>
      <c r="BG134" s="243">
        <v>6067.45</v>
      </c>
      <c r="BH134" s="243">
        <v>31565.14736842105</v>
      </c>
      <c r="BI134" s="243">
        <v>11404.249954931394</v>
      </c>
      <c r="BJ134" s="243">
        <v>6754.2100000000009</v>
      </c>
      <c r="BK134" s="243">
        <v>6654788</v>
      </c>
      <c r="BL134" s="243">
        <v>5071501</v>
      </c>
      <c r="BM134" s="243">
        <v>217123</v>
      </c>
      <c r="BN134" s="243">
        <v>180069</v>
      </c>
      <c r="BO134" s="243">
        <v>126</v>
      </c>
      <c r="BP134" s="243">
        <v>43.695999999999998</v>
      </c>
      <c r="BQ134" s="243">
        <v>643</v>
      </c>
      <c r="BR134" s="243">
        <v>2586297.5</v>
      </c>
      <c r="BS134" s="243">
        <v>535</v>
      </c>
      <c r="BT134" s="243">
        <v>20184.599999999999</v>
      </c>
      <c r="BU134" s="243">
        <v>3240547</v>
      </c>
      <c r="BV134" s="243">
        <v>102065</v>
      </c>
      <c r="BW134" s="243">
        <v>20119.2</v>
      </c>
      <c r="BX134" s="243">
        <v>3045686</v>
      </c>
      <c r="BY134" s="243">
        <v>153726</v>
      </c>
      <c r="BZ134" s="243">
        <v>17828.3</v>
      </c>
      <c r="CA134" s="243">
        <v>8607.5</v>
      </c>
      <c r="CB134" s="243">
        <v>5857.6</v>
      </c>
      <c r="CC134" s="243">
        <v>1105719</v>
      </c>
      <c r="CD134" s="243">
        <v>628165</v>
      </c>
      <c r="CE134" s="243">
        <v>718434</v>
      </c>
      <c r="CF134" s="243">
        <v>453994</v>
      </c>
      <c r="CG134" s="1283">
        <v>0</v>
      </c>
    </row>
    <row r="135" spans="1:99" ht="13.2">
      <c r="A135" s="155">
        <v>45051</v>
      </c>
      <c r="B135" s="243">
        <v>1066.6969999999999</v>
      </c>
      <c r="C135" s="243">
        <v>589.12</v>
      </c>
      <c r="D135" s="243">
        <v>6858.9</v>
      </c>
      <c r="E135" s="1274">
        <v>0</v>
      </c>
      <c r="F135" s="243">
        <v>18086</v>
      </c>
      <c r="G135" s="243">
        <v>5746</v>
      </c>
      <c r="H135" s="243">
        <v>3655</v>
      </c>
      <c r="I135" s="243">
        <v>1843</v>
      </c>
      <c r="J135" s="243">
        <v>205766.9</v>
      </c>
      <c r="K135" s="243"/>
      <c r="L135" s="243"/>
      <c r="M135" s="243">
        <v>14959.1</v>
      </c>
      <c r="N135" s="243">
        <v>7011</v>
      </c>
      <c r="O135" s="402">
        <v>46196</v>
      </c>
      <c r="P135" s="402">
        <v>36751.300000000003</v>
      </c>
      <c r="Q135" s="243">
        <v>137751.79999999999</v>
      </c>
      <c r="R135" s="243">
        <v>114264.6</v>
      </c>
      <c r="S135" s="243">
        <v>140021</v>
      </c>
      <c r="T135" s="243">
        <v>96063.5</v>
      </c>
      <c r="U135" s="243">
        <v>14051.63</v>
      </c>
      <c r="V135" s="243">
        <v>10671.64</v>
      </c>
      <c r="W135" s="243">
        <v>35204</v>
      </c>
      <c r="X135" s="243">
        <v>18227</v>
      </c>
      <c r="Y135" s="243">
        <v>211267.4</v>
      </c>
      <c r="Z135" s="981"/>
      <c r="AA135" s="981">
        <v>50716</v>
      </c>
      <c r="AB135" s="243">
        <v>586532</v>
      </c>
      <c r="AC135" s="243">
        <v>298910</v>
      </c>
      <c r="AD135" s="243">
        <v>211306.1</v>
      </c>
      <c r="AE135" s="981">
        <v>1112.4000000000001</v>
      </c>
      <c r="AF135" s="1051">
        <v>942</v>
      </c>
      <c r="AG135" s="243">
        <v>35547.800000000003</v>
      </c>
      <c r="AH135" s="243">
        <v>25342.3</v>
      </c>
      <c r="AI135" s="243">
        <v>82492.2</v>
      </c>
      <c r="AJ135" s="243">
        <v>63775.3</v>
      </c>
      <c r="AK135" s="243">
        <v>65985.2</v>
      </c>
      <c r="AL135" s="243">
        <v>53751.9</v>
      </c>
      <c r="AM135" s="243">
        <v>59527.8</v>
      </c>
      <c r="AN135" s="243">
        <v>23406</v>
      </c>
      <c r="AO135" s="243">
        <v>16.7</v>
      </c>
      <c r="AP135" s="243">
        <v>17.899999999999999</v>
      </c>
      <c r="AQ135" s="243">
        <v>492730</v>
      </c>
      <c r="AR135" s="243">
        <v>227363</v>
      </c>
      <c r="AS135" s="243">
        <v>65139</v>
      </c>
      <c r="AT135" s="243"/>
      <c r="AU135" s="243">
        <v>460192</v>
      </c>
      <c r="AV135" s="243">
        <v>202542</v>
      </c>
      <c r="AW135" s="243">
        <v>79635.400000000009</v>
      </c>
      <c r="AX135" s="243">
        <v>4386.2</v>
      </c>
      <c r="AY135" s="243">
        <v>2925.5</v>
      </c>
      <c r="AZ135" s="243">
        <v>224.32</v>
      </c>
      <c r="BA135" s="243">
        <v>136.01</v>
      </c>
      <c r="BB135" s="243">
        <v>820.29200000000003</v>
      </c>
      <c r="BC135" s="243">
        <v>348.35300000000001</v>
      </c>
      <c r="BD135" s="367">
        <v>1822.7</v>
      </c>
      <c r="BE135" s="243">
        <v>3000.8</v>
      </c>
      <c r="BF135" s="243">
        <v>455.7</v>
      </c>
      <c r="BG135" s="243">
        <v>6089.87</v>
      </c>
      <c r="BH135" s="243">
        <v>30634.694736842099</v>
      </c>
      <c r="BI135" s="243">
        <v>9095.0709682805682</v>
      </c>
      <c r="BJ135" s="243">
        <v>6586.1699999999992</v>
      </c>
      <c r="BK135" s="243">
        <v>6656301</v>
      </c>
      <c r="BL135" s="243">
        <v>5072960</v>
      </c>
      <c r="BM135" s="243">
        <v>217123</v>
      </c>
      <c r="BN135" s="243">
        <v>180069</v>
      </c>
      <c r="BO135" s="243">
        <v>126</v>
      </c>
      <c r="BP135" s="243">
        <v>43.548999999999999</v>
      </c>
      <c r="BQ135" s="243">
        <v>639</v>
      </c>
      <c r="BR135" s="243">
        <v>2589105.5</v>
      </c>
      <c r="BS135" s="243">
        <v>536</v>
      </c>
      <c r="BT135" s="243">
        <v>20208.599999999999</v>
      </c>
      <c r="BU135" s="243">
        <v>3240547</v>
      </c>
      <c r="BV135" s="243">
        <v>102065</v>
      </c>
      <c r="BW135" s="243">
        <v>20119.2</v>
      </c>
      <c r="BX135" s="243">
        <v>3050954</v>
      </c>
      <c r="BY135" s="243">
        <v>154554</v>
      </c>
      <c r="BZ135" s="243">
        <v>17852.3</v>
      </c>
      <c r="CA135" s="243">
        <v>8616.5</v>
      </c>
      <c r="CB135" s="243">
        <v>5863.2</v>
      </c>
      <c r="CC135" s="243">
        <v>1106152</v>
      </c>
      <c r="CD135" s="243">
        <v>628428</v>
      </c>
      <c r="CE135" s="243">
        <v>719540</v>
      </c>
      <c r="CF135" s="243">
        <v>454667</v>
      </c>
      <c r="CG135" s="1283">
        <v>0</v>
      </c>
    </row>
    <row r="136" spans="1:99" s="1017" customFormat="1" ht="13.2">
      <c r="A136" s="155">
        <v>45052</v>
      </c>
      <c r="B136" s="243">
        <v>1066.6969999999999</v>
      </c>
      <c r="C136" s="243">
        <v>589.12</v>
      </c>
      <c r="D136" s="243">
        <v>6858.9</v>
      </c>
      <c r="E136" s="1274">
        <v>0</v>
      </c>
      <c r="F136" s="243">
        <v>18101</v>
      </c>
      <c r="G136" s="243">
        <v>5748.2</v>
      </c>
      <c r="H136" s="243">
        <v>3820</v>
      </c>
      <c r="I136" s="243">
        <v>1926</v>
      </c>
      <c r="J136" s="243">
        <v>205790.9</v>
      </c>
      <c r="K136" s="243"/>
      <c r="L136" s="243"/>
      <c r="M136" s="243">
        <v>14959.1</v>
      </c>
      <c r="N136" s="243">
        <v>7011</v>
      </c>
      <c r="O136" s="402">
        <v>46196</v>
      </c>
      <c r="P136" s="402">
        <v>36751.300000000003</v>
      </c>
      <c r="Q136" s="243">
        <v>137765.29999999999</v>
      </c>
      <c r="R136" s="243">
        <v>114275.3</v>
      </c>
      <c r="S136" s="243">
        <v>140035.4</v>
      </c>
      <c r="T136" s="243">
        <v>96073.9</v>
      </c>
      <c r="U136" s="243">
        <v>14051.63</v>
      </c>
      <c r="V136" s="243">
        <v>10671.64</v>
      </c>
      <c r="W136" s="243">
        <v>35442</v>
      </c>
      <c r="X136" s="243">
        <v>18344</v>
      </c>
      <c r="Y136" s="243">
        <v>211291.4</v>
      </c>
      <c r="Z136" s="981"/>
      <c r="AA136" s="981">
        <v>50716</v>
      </c>
      <c r="AB136" s="243">
        <v>586748</v>
      </c>
      <c r="AC136" s="243">
        <v>299022</v>
      </c>
      <c r="AD136" s="243">
        <v>211330.1</v>
      </c>
      <c r="AE136" s="981">
        <v>1112.4000000000001</v>
      </c>
      <c r="AF136" s="1051">
        <v>942</v>
      </c>
      <c r="AG136" s="243">
        <v>35550.400000000001</v>
      </c>
      <c r="AH136" s="243">
        <v>25344.1</v>
      </c>
      <c r="AI136" s="243">
        <v>82500</v>
      </c>
      <c r="AJ136" s="243">
        <v>63781.2</v>
      </c>
      <c r="AK136" s="243">
        <v>66025.7</v>
      </c>
      <c r="AL136" s="243">
        <v>53786.6</v>
      </c>
      <c r="AM136" s="243">
        <v>59540</v>
      </c>
      <c r="AN136" s="243">
        <v>23410.799999999999</v>
      </c>
      <c r="AO136" s="243">
        <v>16.600000000000001</v>
      </c>
      <c r="AP136" s="243">
        <v>17.8</v>
      </c>
      <c r="AQ136" s="243">
        <v>492896</v>
      </c>
      <c r="AR136" s="243">
        <v>227439</v>
      </c>
      <c r="AS136" s="243">
        <v>65144</v>
      </c>
      <c r="AT136" s="243"/>
      <c r="AU136" s="243">
        <v>460344</v>
      </c>
      <c r="AV136" s="243">
        <v>202608</v>
      </c>
      <c r="AW136" s="243">
        <v>79659.400000000009</v>
      </c>
      <c r="AX136" s="243">
        <v>4389.6000000000004</v>
      </c>
      <c r="AY136" s="243">
        <v>2928</v>
      </c>
      <c r="AZ136" s="243">
        <v>224.32</v>
      </c>
      <c r="BA136" s="243">
        <v>136.01</v>
      </c>
      <c r="BB136" s="243">
        <v>820.29200000000003</v>
      </c>
      <c r="BC136" s="243">
        <v>348.35300000000001</v>
      </c>
      <c r="BD136" s="367">
        <v>1822.7</v>
      </c>
      <c r="BE136" s="243">
        <v>3002</v>
      </c>
      <c r="BF136" s="243">
        <v>455.7</v>
      </c>
      <c r="BG136" s="243">
        <v>5765.8899999999994</v>
      </c>
      <c r="BH136" s="243">
        <v>30284.508771929824</v>
      </c>
      <c r="BI136" s="243">
        <v>8715.8118260026677</v>
      </c>
      <c r="BJ136" s="243">
        <v>5880.92</v>
      </c>
      <c r="BK136" s="243">
        <v>6657846</v>
      </c>
      <c r="BL136" s="243">
        <v>5074435</v>
      </c>
      <c r="BM136" s="243">
        <v>217123</v>
      </c>
      <c r="BN136" s="243">
        <v>180069</v>
      </c>
      <c r="BO136" s="243">
        <v>116</v>
      </c>
      <c r="BP136" s="243">
        <v>40.255000000000003</v>
      </c>
      <c r="BQ136" s="243">
        <v>589</v>
      </c>
      <c r="BR136" s="243">
        <v>2592225.5</v>
      </c>
      <c r="BS136" s="243">
        <v>537</v>
      </c>
      <c r="BT136" s="243">
        <v>20232.599999999999</v>
      </c>
      <c r="BU136" s="243">
        <v>3240547</v>
      </c>
      <c r="BV136" s="243">
        <v>102065</v>
      </c>
      <c r="BW136" s="243">
        <v>20119.2</v>
      </c>
      <c r="BX136" s="243">
        <v>3056286</v>
      </c>
      <c r="BY136" s="243">
        <v>155350</v>
      </c>
      <c r="BZ136" s="243">
        <v>17876.3</v>
      </c>
      <c r="CA136" s="243">
        <v>8625.4</v>
      </c>
      <c r="CB136" s="243">
        <v>5868.7</v>
      </c>
      <c r="CC136" s="243">
        <v>1106568</v>
      </c>
      <c r="CD136" s="243">
        <v>628682</v>
      </c>
      <c r="CE136" s="243">
        <v>720634</v>
      </c>
      <c r="CF136" s="243">
        <v>455337</v>
      </c>
      <c r="CG136" s="1283">
        <v>0</v>
      </c>
      <c r="CH136" s="22"/>
      <c r="CI136" s="22"/>
      <c r="CJ136" s="22"/>
      <c r="CK136" s="22"/>
      <c r="CL136" s="22"/>
      <c r="CM136" s="22"/>
      <c r="CN136" s="22"/>
      <c r="CO136" s="22"/>
      <c r="CP136" s="22"/>
      <c r="CQ136" s="22"/>
      <c r="CR136" s="22"/>
      <c r="CS136" s="22"/>
      <c r="CT136" s="22"/>
      <c r="CU136" s="22"/>
    </row>
    <row r="137" spans="1:99" s="1017" customFormat="1" ht="13.2">
      <c r="A137" s="155">
        <v>45053</v>
      </c>
      <c r="B137" s="243">
        <v>1066.6969999999999</v>
      </c>
      <c r="C137" s="243">
        <v>589.12</v>
      </c>
      <c r="D137" s="243">
        <v>6858.9</v>
      </c>
      <c r="E137" s="1274">
        <v>0</v>
      </c>
      <c r="F137" s="243">
        <v>18116</v>
      </c>
      <c r="G137" s="243">
        <v>5750.2</v>
      </c>
      <c r="H137" s="243">
        <v>3988</v>
      </c>
      <c r="I137" s="243">
        <v>2010</v>
      </c>
      <c r="J137" s="243">
        <v>205814.9</v>
      </c>
      <c r="K137" s="243"/>
      <c r="L137" s="243"/>
      <c r="M137" s="243">
        <v>14959.1</v>
      </c>
      <c r="N137" s="243">
        <v>7011</v>
      </c>
      <c r="O137" s="402">
        <v>46196</v>
      </c>
      <c r="P137" s="402">
        <v>36751.300000000003</v>
      </c>
      <c r="Q137" s="243">
        <v>137777.79999999999</v>
      </c>
      <c r="R137" s="243">
        <v>114285.4</v>
      </c>
      <c r="S137" s="243">
        <v>140049.29999999999</v>
      </c>
      <c r="T137" s="243">
        <v>96084</v>
      </c>
      <c r="U137" s="243">
        <v>14051.63</v>
      </c>
      <c r="V137" s="243">
        <v>10671.64</v>
      </c>
      <c r="W137" s="243">
        <v>35743</v>
      </c>
      <c r="X137" s="243">
        <v>18498</v>
      </c>
      <c r="Y137" s="243">
        <v>211315.4</v>
      </c>
      <c r="Z137" s="243"/>
      <c r="AA137" s="981">
        <v>50716</v>
      </c>
      <c r="AB137" s="243">
        <v>586897</v>
      </c>
      <c r="AC137" s="243">
        <v>299095</v>
      </c>
      <c r="AD137" s="243">
        <v>211354.1</v>
      </c>
      <c r="AE137" s="981">
        <v>1112.4000000000001</v>
      </c>
      <c r="AF137" s="1051">
        <v>942</v>
      </c>
      <c r="AG137" s="243">
        <v>35552.800000000003</v>
      </c>
      <c r="AH137" s="243">
        <v>25345.8</v>
      </c>
      <c r="AI137" s="243">
        <v>82507.3</v>
      </c>
      <c r="AJ137" s="243">
        <v>63786.8</v>
      </c>
      <c r="AK137" s="243">
        <v>66066</v>
      </c>
      <c r="AL137" s="243">
        <v>53821</v>
      </c>
      <c r="AM137" s="243">
        <v>59547.4</v>
      </c>
      <c r="AN137" s="243">
        <v>23413.7</v>
      </c>
      <c r="AO137" s="243">
        <v>16.600000000000001</v>
      </c>
      <c r="AP137" s="243">
        <v>17.8</v>
      </c>
      <c r="AQ137" s="243">
        <v>493063</v>
      </c>
      <c r="AR137" s="243">
        <v>227515</v>
      </c>
      <c r="AS137" s="243">
        <v>65149</v>
      </c>
      <c r="AT137" s="243"/>
      <c r="AU137" s="243">
        <v>460496</v>
      </c>
      <c r="AV137" s="243">
        <v>202674</v>
      </c>
      <c r="AW137" s="243">
        <v>79683.399999999994</v>
      </c>
      <c r="AX137" s="243">
        <v>4392.6000000000004</v>
      </c>
      <c r="AY137" s="243">
        <v>2930.1</v>
      </c>
      <c r="AZ137" s="243">
        <v>224.32</v>
      </c>
      <c r="BA137" s="243">
        <v>136.01</v>
      </c>
      <c r="BB137" s="243">
        <v>820.29200000000003</v>
      </c>
      <c r="BC137" s="243">
        <v>348.35300000000001</v>
      </c>
      <c r="BD137" s="367">
        <v>1822.7</v>
      </c>
      <c r="BE137" s="243">
        <v>3003</v>
      </c>
      <c r="BF137" s="243">
        <v>455.7</v>
      </c>
      <c r="BG137" s="243">
        <v>5638.51</v>
      </c>
      <c r="BH137" s="243">
        <v>29489.107017543858</v>
      </c>
      <c r="BI137" s="243">
        <v>8837.5347951816475</v>
      </c>
      <c r="BJ137" s="243">
        <v>6530.3099999999995</v>
      </c>
      <c r="BK137" s="243">
        <v>6659357</v>
      </c>
      <c r="BL137" s="243">
        <v>5075903</v>
      </c>
      <c r="BM137" s="243">
        <v>217123</v>
      </c>
      <c r="BN137" s="243">
        <v>180069</v>
      </c>
      <c r="BO137" s="243">
        <v>81</v>
      </c>
      <c r="BP137" s="243">
        <v>28.899000000000001</v>
      </c>
      <c r="BQ137" s="243">
        <v>408</v>
      </c>
      <c r="BR137" s="243">
        <v>2594865.5</v>
      </c>
      <c r="BS137" s="243">
        <v>538</v>
      </c>
      <c r="BT137" s="243">
        <v>20256.599999999999</v>
      </c>
      <c r="BU137" s="243">
        <v>3240547</v>
      </c>
      <c r="BV137" s="243">
        <v>102065</v>
      </c>
      <c r="BW137" s="243">
        <v>20119.2</v>
      </c>
      <c r="BX137" s="243">
        <v>3061698</v>
      </c>
      <c r="BY137" s="243">
        <v>156056</v>
      </c>
      <c r="BZ137" s="243">
        <v>17900.3</v>
      </c>
      <c r="CA137" s="243">
        <v>8634.2000000000007</v>
      </c>
      <c r="CB137" s="243">
        <v>5874.2</v>
      </c>
      <c r="CC137" s="243">
        <v>1106978</v>
      </c>
      <c r="CD137" s="243">
        <v>628928</v>
      </c>
      <c r="CE137" s="243">
        <v>721718</v>
      </c>
      <c r="CF137" s="243">
        <v>456000</v>
      </c>
      <c r="CG137" s="1283">
        <v>0</v>
      </c>
      <c r="CH137" s="22"/>
      <c r="CI137" s="22"/>
      <c r="CJ137" s="22"/>
      <c r="CK137" s="22"/>
      <c r="CL137" s="22"/>
      <c r="CM137" s="22"/>
      <c r="CN137" s="22"/>
      <c r="CO137" s="22"/>
      <c r="CP137" s="22"/>
      <c r="CQ137" s="22"/>
      <c r="CR137" s="22"/>
      <c r="CS137" s="22"/>
      <c r="CT137" s="22"/>
      <c r="CU137" s="22"/>
    </row>
    <row r="138" spans="1:99" ht="13.2">
      <c r="A138" s="155">
        <v>45054</v>
      </c>
      <c r="B138" s="243">
        <v>1067.0650000000001</v>
      </c>
      <c r="C138" s="243">
        <v>589.31200000000001</v>
      </c>
      <c r="D138" s="243">
        <v>6859.6</v>
      </c>
      <c r="E138" s="1274">
        <v>1</v>
      </c>
      <c r="F138" s="243">
        <v>18131</v>
      </c>
      <c r="G138" s="243">
        <v>5752.1</v>
      </c>
      <c r="H138" s="243">
        <v>4144</v>
      </c>
      <c r="I138" s="243">
        <v>2087</v>
      </c>
      <c r="J138" s="243">
        <v>205836.79999999999</v>
      </c>
      <c r="K138" s="243"/>
      <c r="L138" s="243"/>
      <c r="M138" s="243">
        <v>14959.1</v>
      </c>
      <c r="N138" s="243">
        <v>7011</v>
      </c>
      <c r="O138" s="402">
        <v>46196</v>
      </c>
      <c r="P138" s="402">
        <v>36751.300000000003</v>
      </c>
      <c r="Q138" s="243">
        <v>137791.20000000001</v>
      </c>
      <c r="R138" s="243">
        <v>114296</v>
      </c>
      <c r="S138" s="243">
        <v>140063.79999999999</v>
      </c>
      <c r="T138" s="243">
        <v>96094.1</v>
      </c>
      <c r="U138" s="243">
        <v>14051.63</v>
      </c>
      <c r="V138" s="243">
        <v>10671.64</v>
      </c>
      <c r="W138" s="243">
        <v>36035</v>
      </c>
      <c r="X138" s="243">
        <v>18651</v>
      </c>
      <c r="Y138" s="243">
        <v>211339.4</v>
      </c>
      <c r="Z138" s="981"/>
      <c r="AA138" s="981">
        <v>50716</v>
      </c>
      <c r="AB138" s="243">
        <v>587045</v>
      </c>
      <c r="AC138" s="243">
        <v>299163</v>
      </c>
      <c r="AD138" s="243">
        <v>211378.1</v>
      </c>
      <c r="AE138" s="981">
        <v>1112.4000000000001</v>
      </c>
      <c r="AF138" s="1051">
        <v>942</v>
      </c>
      <c r="AG138" s="243">
        <v>35555.199999999997</v>
      </c>
      <c r="AH138" s="243">
        <v>25347.4</v>
      </c>
      <c r="AI138" s="243">
        <v>82513.899999999994</v>
      </c>
      <c r="AJ138" s="243">
        <v>63791.8</v>
      </c>
      <c r="AK138" s="243">
        <v>66104.600000000006</v>
      </c>
      <c r="AL138" s="243">
        <v>53853.9</v>
      </c>
      <c r="AM138" s="243">
        <v>59559.4</v>
      </c>
      <c r="AN138" s="243">
        <v>23418.400000000001</v>
      </c>
      <c r="AO138" s="243">
        <v>16.600000000000001</v>
      </c>
      <c r="AP138" s="243">
        <v>17.8</v>
      </c>
      <c r="AQ138" s="243">
        <v>493228</v>
      </c>
      <c r="AR138" s="243">
        <v>227591</v>
      </c>
      <c r="AS138" s="243">
        <v>65155</v>
      </c>
      <c r="AT138" s="243"/>
      <c r="AU138" s="243">
        <v>460648</v>
      </c>
      <c r="AV138" s="243">
        <v>202740</v>
      </c>
      <c r="AW138" s="243">
        <v>79707.399999999994</v>
      </c>
      <c r="AX138" s="243">
        <v>4396.2</v>
      </c>
      <c r="AY138" s="243">
        <v>2932.7</v>
      </c>
      <c r="AZ138" s="243">
        <v>224.32</v>
      </c>
      <c r="BA138" s="243">
        <v>136.01</v>
      </c>
      <c r="BB138" s="243">
        <v>820.61900000000003</v>
      </c>
      <c r="BC138" s="243">
        <v>348.47699999999998</v>
      </c>
      <c r="BD138" s="367">
        <v>1823.3</v>
      </c>
      <c r="BE138" s="243">
        <v>3004.2</v>
      </c>
      <c r="BF138" s="243">
        <v>455.7</v>
      </c>
      <c r="BG138" s="243">
        <v>5588.0599999999995</v>
      </c>
      <c r="BH138" s="243">
        <v>30372.764912280705</v>
      </c>
      <c r="BI138" s="243">
        <v>8792.6011974950743</v>
      </c>
      <c r="BJ138" s="243">
        <v>6202.95</v>
      </c>
      <c r="BK138" s="243">
        <v>6660893</v>
      </c>
      <c r="BL138" s="243">
        <v>5077388</v>
      </c>
      <c r="BM138" s="243">
        <v>217123</v>
      </c>
      <c r="BN138" s="243">
        <v>180069</v>
      </c>
      <c r="BO138" s="243">
        <v>126</v>
      </c>
      <c r="BP138" s="243">
        <v>43.377000000000002</v>
      </c>
      <c r="BQ138" s="243">
        <v>639</v>
      </c>
      <c r="BR138" s="243">
        <v>2597121.5</v>
      </c>
      <c r="BS138" s="243">
        <v>539</v>
      </c>
      <c r="BT138" s="243">
        <v>20280.599999999999</v>
      </c>
      <c r="BU138" s="243">
        <v>3240547</v>
      </c>
      <c r="BV138" s="243">
        <v>102065</v>
      </c>
      <c r="BW138" s="243">
        <v>20119.2</v>
      </c>
      <c r="BX138" s="243">
        <v>3067206</v>
      </c>
      <c r="BY138" s="243">
        <v>156657</v>
      </c>
      <c r="BZ138" s="243">
        <v>17924.3</v>
      </c>
      <c r="CA138" s="243">
        <v>8643.1</v>
      </c>
      <c r="CB138" s="243">
        <v>5879.6</v>
      </c>
      <c r="CC138" s="243">
        <v>1107408</v>
      </c>
      <c r="CD138" s="243">
        <v>629190</v>
      </c>
      <c r="CE138" s="243">
        <v>722822</v>
      </c>
      <c r="CF138" s="243">
        <v>456676</v>
      </c>
      <c r="CG138" s="1283">
        <v>1</v>
      </c>
    </row>
    <row r="139" spans="1:99" ht="13.2">
      <c r="A139" s="155">
        <v>45055</v>
      </c>
      <c r="B139" s="243">
        <v>1067.0650000000001</v>
      </c>
      <c r="C139" s="243">
        <v>589.31200000000001</v>
      </c>
      <c r="D139" s="243">
        <v>6859.6</v>
      </c>
      <c r="E139" s="1274">
        <v>0</v>
      </c>
      <c r="F139" s="243">
        <v>18144.599999999999</v>
      </c>
      <c r="G139" s="243">
        <v>5753.1</v>
      </c>
      <c r="H139" s="243">
        <v>4311.8</v>
      </c>
      <c r="I139" s="243">
        <v>2170.6999999999998</v>
      </c>
      <c r="J139" s="243">
        <v>205860.8</v>
      </c>
      <c r="K139" s="243"/>
      <c r="L139" s="243"/>
      <c r="M139" s="243">
        <v>14959.1</v>
      </c>
      <c r="N139" s="243">
        <v>7011</v>
      </c>
      <c r="O139" s="402">
        <v>46196</v>
      </c>
      <c r="P139" s="402">
        <v>36751.300000000003</v>
      </c>
      <c r="Q139" s="243">
        <v>137803.29999999999</v>
      </c>
      <c r="R139" s="243">
        <v>114305.8</v>
      </c>
      <c r="S139" s="243">
        <v>140078.29999999999</v>
      </c>
      <c r="T139" s="243">
        <v>96094</v>
      </c>
      <c r="U139" s="243">
        <v>14051.63</v>
      </c>
      <c r="V139" s="243">
        <v>10671.64</v>
      </c>
      <c r="W139" s="243">
        <v>36330.9</v>
      </c>
      <c r="X139" s="243">
        <v>18803</v>
      </c>
      <c r="Y139" s="243">
        <v>211363.4</v>
      </c>
      <c r="Z139" s="981"/>
      <c r="AA139" s="981">
        <v>50716</v>
      </c>
      <c r="AB139" s="243">
        <v>587197.30000000005</v>
      </c>
      <c r="AC139" s="243">
        <v>299234.40000000002</v>
      </c>
      <c r="AD139" s="243">
        <v>211402.1</v>
      </c>
      <c r="AE139" s="981">
        <v>1112.4000000000001</v>
      </c>
      <c r="AF139" s="1051">
        <v>942</v>
      </c>
      <c r="AG139" s="243">
        <v>35557.699999999997</v>
      </c>
      <c r="AH139" s="243">
        <v>25349.1</v>
      </c>
      <c r="AI139" s="243">
        <v>82519.199999999997</v>
      </c>
      <c r="AJ139" s="243">
        <v>63795.6</v>
      </c>
      <c r="AK139" s="243">
        <v>66142.8</v>
      </c>
      <c r="AL139" s="243">
        <v>53886.1</v>
      </c>
      <c r="AM139" s="243">
        <v>59564.9</v>
      </c>
      <c r="AN139" s="243">
        <v>23420.5</v>
      </c>
      <c r="AO139" s="243">
        <v>16.600000000000001</v>
      </c>
      <c r="AP139" s="243">
        <v>17.8</v>
      </c>
      <c r="AQ139" s="243">
        <v>493397.3</v>
      </c>
      <c r="AR139" s="243">
        <v>227668</v>
      </c>
      <c r="AS139" s="243">
        <v>65160</v>
      </c>
      <c r="AT139" s="243"/>
      <c r="AU139" s="243">
        <v>460800.2</v>
      </c>
      <c r="AV139" s="243">
        <v>202806.39999999999</v>
      </c>
      <c r="AW139" s="243">
        <v>79731.399999999994</v>
      </c>
      <c r="AX139" s="243">
        <v>4399.7</v>
      </c>
      <c r="AY139" s="243">
        <v>2935.2</v>
      </c>
      <c r="AZ139" s="243">
        <v>224.32</v>
      </c>
      <c r="BA139" s="243">
        <v>136.01</v>
      </c>
      <c r="BB139" s="243">
        <v>820.61900000000003</v>
      </c>
      <c r="BC139" s="243">
        <v>348.47699999999998</v>
      </c>
      <c r="BD139" s="367">
        <v>1823.3</v>
      </c>
      <c r="BE139" s="243">
        <v>3005.4</v>
      </c>
      <c r="BF139" s="243">
        <v>455.7</v>
      </c>
      <c r="BG139" s="243">
        <v>5954.67</v>
      </c>
      <c r="BH139" s="243">
        <v>29295.264912280705</v>
      </c>
      <c r="BI139" s="243">
        <v>8261.0734566587762</v>
      </c>
      <c r="BJ139" s="243">
        <v>6183.32</v>
      </c>
      <c r="BK139" s="243">
        <v>6662409</v>
      </c>
      <c r="BL139" s="243">
        <v>5078865</v>
      </c>
      <c r="BM139" s="243">
        <v>217123</v>
      </c>
      <c r="BN139" s="243">
        <v>180069</v>
      </c>
      <c r="BO139" s="243">
        <v>125</v>
      </c>
      <c r="BP139" s="243">
        <v>42.612000000000002</v>
      </c>
      <c r="BQ139" s="243">
        <v>635</v>
      </c>
      <c r="BR139" s="243">
        <v>2599737.5</v>
      </c>
      <c r="BS139" s="243">
        <v>540</v>
      </c>
      <c r="BT139" s="243">
        <v>20304.599999999999</v>
      </c>
      <c r="BU139" s="243">
        <v>3240547</v>
      </c>
      <c r="BV139" s="243">
        <v>102065</v>
      </c>
      <c r="BW139" s="243">
        <v>20119.2</v>
      </c>
      <c r="BX139" s="243">
        <v>3072654</v>
      </c>
      <c r="BY139" s="243">
        <v>157393</v>
      </c>
      <c r="BZ139" s="243">
        <v>17948.3</v>
      </c>
      <c r="CA139" s="243">
        <v>8650.4</v>
      </c>
      <c r="CB139" s="243">
        <v>5884.4</v>
      </c>
      <c r="CC139" s="243">
        <v>1107739</v>
      </c>
      <c r="CD139" s="243">
        <v>629396</v>
      </c>
      <c r="CE139" s="243">
        <v>723941</v>
      </c>
      <c r="CF139" s="243">
        <v>457370</v>
      </c>
      <c r="CG139" s="1283">
        <v>0</v>
      </c>
    </row>
    <row r="140" spans="1:99" ht="13.2">
      <c r="A140" s="155">
        <v>45056</v>
      </c>
      <c r="B140" s="243">
        <v>1067.0650000000001</v>
      </c>
      <c r="C140" s="243">
        <v>589.31200000000001</v>
      </c>
      <c r="D140" s="243">
        <v>6859.6</v>
      </c>
      <c r="E140" s="1274">
        <v>0</v>
      </c>
      <c r="F140" s="243">
        <v>18159.7</v>
      </c>
      <c r="G140" s="243">
        <v>5757.2</v>
      </c>
      <c r="H140" s="243">
        <v>4477.2</v>
      </c>
      <c r="I140" s="243">
        <v>2253.3000000000002</v>
      </c>
      <c r="J140" s="243">
        <v>205884.79999999999</v>
      </c>
      <c r="K140" s="243"/>
      <c r="L140" s="243"/>
      <c r="M140" s="243">
        <v>14959.1</v>
      </c>
      <c r="N140" s="243">
        <v>7011</v>
      </c>
      <c r="O140" s="402">
        <v>46196</v>
      </c>
      <c r="P140" s="402">
        <v>36751.300000000003</v>
      </c>
      <c r="Q140" s="243">
        <v>137814.1</v>
      </c>
      <c r="R140" s="243">
        <v>114314.4</v>
      </c>
      <c r="S140" s="243">
        <v>140092.4</v>
      </c>
      <c r="T140" s="243">
        <v>96114</v>
      </c>
      <c r="U140" s="243">
        <v>14051.63</v>
      </c>
      <c r="V140" s="243">
        <v>10671.64</v>
      </c>
      <c r="W140" s="243">
        <v>36622.800000000003</v>
      </c>
      <c r="X140" s="243">
        <v>18946.2</v>
      </c>
      <c r="Y140" s="243">
        <v>211387.4</v>
      </c>
      <c r="Z140" s="981"/>
      <c r="AA140" s="981">
        <v>50716</v>
      </c>
      <c r="AB140" s="243">
        <v>587344.9</v>
      </c>
      <c r="AC140" s="243">
        <v>299309.5</v>
      </c>
      <c r="AD140" s="243">
        <v>211426.1</v>
      </c>
      <c r="AE140" s="981">
        <v>1112.4000000000001</v>
      </c>
      <c r="AF140" s="1051">
        <v>942</v>
      </c>
      <c r="AG140" s="243">
        <v>35560.1</v>
      </c>
      <c r="AH140" s="243">
        <v>25350.799999999999</v>
      </c>
      <c r="AI140" s="243">
        <v>82524.399999999994</v>
      </c>
      <c r="AJ140" s="243">
        <v>63799.5</v>
      </c>
      <c r="AK140" s="243">
        <v>66179.899999999994</v>
      </c>
      <c r="AL140" s="243">
        <v>53917.599999999999</v>
      </c>
      <c r="AM140" s="243">
        <v>59577.2</v>
      </c>
      <c r="AN140" s="243">
        <v>23425.4</v>
      </c>
      <c r="AO140" s="243">
        <v>16.600000000000001</v>
      </c>
      <c r="AP140" s="243">
        <v>17.8</v>
      </c>
      <c r="AQ140" s="243">
        <v>493557.4</v>
      </c>
      <c r="AR140" s="243">
        <v>227738.4</v>
      </c>
      <c r="AS140" s="243">
        <v>65165</v>
      </c>
      <c r="AT140" s="243"/>
      <c r="AU140" s="243">
        <v>460947.7</v>
      </c>
      <c r="AV140" s="243">
        <v>202870.39999999999</v>
      </c>
      <c r="AW140" s="243">
        <v>79755.399999999994</v>
      </c>
      <c r="AX140" s="243">
        <v>4403.2</v>
      </c>
      <c r="AY140" s="243">
        <v>2937.7</v>
      </c>
      <c r="AZ140" s="243">
        <v>224.32</v>
      </c>
      <c r="BA140" s="243">
        <v>136.01</v>
      </c>
      <c r="BB140" s="243">
        <v>820.61900000000003</v>
      </c>
      <c r="BC140" s="243">
        <v>348.47699999999998</v>
      </c>
      <c r="BD140" s="367">
        <v>1823.3</v>
      </c>
      <c r="BE140" s="243">
        <v>3006.6</v>
      </c>
      <c r="BF140" s="243">
        <v>455.7</v>
      </c>
      <c r="BG140" s="243">
        <v>5799.84</v>
      </c>
      <c r="BH140" s="243">
        <v>29341.110526315792</v>
      </c>
      <c r="BI140" s="243">
        <v>7576.1774173766835</v>
      </c>
      <c r="BJ140" s="243">
        <v>5967.74</v>
      </c>
      <c r="BK140" s="243">
        <v>6663562</v>
      </c>
      <c r="BL140" s="243">
        <v>5079961</v>
      </c>
      <c r="BM140" s="654">
        <v>217123</v>
      </c>
      <c r="BN140" s="654">
        <v>180069</v>
      </c>
      <c r="BO140" s="243">
        <v>126</v>
      </c>
      <c r="BP140" s="243">
        <v>43.603000000000002</v>
      </c>
      <c r="BQ140" s="243">
        <v>642</v>
      </c>
      <c r="BR140" s="243">
        <v>2600084</v>
      </c>
      <c r="BS140" s="243">
        <v>541</v>
      </c>
      <c r="BT140" s="243">
        <v>20307.93</v>
      </c>
      <c r="BU140" s="243">
        <v>3244580</v>
      </c>
      <c r="BV140" s="243">
        <v>102314</v>
      </c>
      <c r="BW140" s="243">
        <v>20139.599999999999</v>
      </c>
      <c r="BX140" s="243">
        <v>3076579</v>
      </c>
      <c r="BY140" s="243">
        <v>157581</v>
      </c>
      <c r="BZ140" s="243">
        <v>17972.3</v>
      </c>
      <c r="CA140" s="243">
        <v>8656.5</v>
      </c>
      <c r="CB140" s="243">
        <v>5888.7</v>
      </c>
      <c r="CC140" s="243">
        <v>1108084</v>
      </c>
      <c r="CD140" s="243">
        <v>629611</v>
      </c>
      <c r="CE140" s="243">
        <v>724977</v>
      </c>
      <c r="CF140" s="243">
        <v>458010</v>
      </c>
      <c r="CG140" s="1283">
        <v>0</v>
      </c>
    </row>
    <row r="141" spans="1:99" ht="13.2">
      <c r="A141" s="155">
        <v>45057</v>
      </c>
      <c r="B141" s="243">
        <v>1067.0650000000001</v>
      </c>
      <c r="C141" s="243">
        <v>589.31200000000001</v>
      </c>
      <c r="D141" s="243">
        <v>6859.6</v>
      </c>
      <c r="E141" s="1274">
        <v>0</v>
      </c>
      <c r="F141" s="243">
        <v>18175.5</v>
      </c>
      <c r="G141" s="243">
        <v>5762.1</v>
      </c>
      <c r="H141" s="243">
        <v>4645.6000000000004</v>
      </c>
      <c r="I141" s="243">
        <v>2336.8000000000002</v>
      </c>
      <c r="J141" s="243">
        <v>205908.8</v>
      </c>
      <c r="K141" s="243"/>
      <c r="L141" s="243"/>
      <c r="M141" s="243">
        <v>14959.1</v>
      </c>
      <c r="N141" s="243">
        <v>7011</v>
      </c>
      <c r="O141" s="402">
        <v>46196</v>
      </c>
      <c r="P141" s="402">
        <v>36751.300000000003</v>
      </c>
      <c r="Q141" s="243">
        <v>137827.5</v>
      </c>
      <c r="R141" s="243">
        <v>114324.3</v>
      </c>
      <c r="S141" s="243">
        <v>140107.20000000001</v>
      </c>
      <c r="T141" s="243">
        <v>96124.2</v>
      </c>
      <c r="U141" s="243">
        <v>14051.63</v>
      </c>
      <c r="V141" s="243">
        <v>10671.64</v>
      </c>
      <c r="W141" s="243">
        <v>36928.9</v>
      </c>
      <c r="X141" s="243">
        <v>19101.900000000001</v>
      </c>
      <c r="Y141" s="243">
        <v>211411.4</v>
      </c>
      <c r="Z141" s="981"/>
      <c r="AA141" s="981">
        <v>50716</v>
      </c>
      <c r="AB141" s="243">
        <v>587494</v>
      </c>
      <c r="AC141" s="243">
        <v>299380</v>
      </c>
      <c r="AD141" s="243">
        <v>211450.1</v>
      </c>
      <c r="AE141" s="981">
        <v>1112.4000000000001</v>
      </c>
      <c r="AF141" s="1051">
        <v>942</v>
      </c>
      <c r="AG141" s="243">
        <v>35562.699999999997</v>
      </c>
      <c r="AH141" s="243">
        <v>25352.5</v>
      </c>
      <c r="AI141" s="243">
        <v>82530.5</v>
      </c>
      <c r="AJ141" s="243">
        <v>63804</v>
      </c>
      <c r="AK141" s="243">
        <v>66217.8</v>
      </c>
      <c r="AL141" s="243">
        <v>53949.7</v>
      </c>
      <c r="AM141" s="243">
        <v>59595</v>
      </c>
      <c r="AN141" s="243">
        <v>23432.5</v>
      </c>
      <c r="AO141" s="243">
        <v>16.600000000000001</v>
      </c>
      <c r="AP141" s="243">
        <v>17.8</v>
      </c>
      <c r="AQ141" s="243">
        <v>493718.1</v>
      </c>
      <c r="AR141" s="243">
        <v>227809</v>
      </c>
      <c r="AS141" s="243">
        <v>65170</v>
      </c>
      <c r="AT141" s="243"/>
      <c r="AU141" s="243">
        <v>461095.1</v>
      </c>
      <c r="AV141" s="243">
        <v>202934.39999999999</v>
      </c>
      <c r="AW141" s="243">
        <v>79779.399999999994</v>
      </c>
      <c r="AX141" s="243">
        <v>4406.6000000000004</v>
      </c>
      <c r="AY141" s="243">
        <v>2940.1</v>
      </c>
      <c r="AZ141" s="243">
        <v>224.32</v>
      </c>
      <c r="BA141" s="243">
        <v>136.01</v>
      </c>
      <c r="BB141" s="243">
        <v>820.61900000000003</v>
      </c>
      <c r="BC141" s="243">
        <v>348.47699999999998</v>
      </c>
      <c r="BD141" s="367">
        <v>1823.3</v>
      </c>
      <c r="BE141" s="243">
        <v>3008.1</v>
      </c>
      <c r="BF141" s="243">
        <v>455.7</v>
      </c>
      <c r="BG141" s="243">
        <v>5573.84</v>
      </c>
      <c r="BH141" s="243">
        <v>30119.514035087701</v>
      </c>
      <c r="BI141" s="243">
        <v>7321.9405397298297</v>
      </c>
      <c r="BJ141" s="243">
        <v>5586.58</v>
      </c>
      <c r="BK141" s="243">
        <v>6664494</v>
      </c>
      <c r="BL141" s="243">
        <v>5080814</v>
      </c>
      <c r="BM141" s="654">
        <v>217123</v>
      </c>
      <c r="BN141" s="654">
        <v>180069</v>
      </c>
      <c r="BO141" s="243">
        <v>126</v>
      </c>
      <c r="BP141" s="243">
        <v>43.372</v>
      </c>
      <c r="BQ141" s="243">
        <v>641</v>
      </c>
      <c r="BR141" s="243">
        <v>2600084</v>
      </c>
      <c r="BS141" s="243">
        <v>541</v>
      </c>
      <c r="BT141" s="243">
        <v>20307.93</v>
      </c>
      <c r="BU141" s="243">
        <v>3249353</v>
      </c>
      <c r="BV141" s="243">
        <v>102707</v>
      </c>
      <c r="BW141" s="243">
        <v>20163.599999999999</v>
      </c>
      <c r="BX141" s="243">
        <v>3080257</v>
      </c>
      <c r="BY141" s="243">
        <v>157685</v>
      </c>
      <c r="BZ141" s="243">
        <v>17996.3</v>
      </c>
      <c r="CA141" s="243">
        <v>8662.7999999999993</v>
      </c>
      <c r="CB141" s="243">
        <v>5893.1</v>
      </c>
      <c r="CC141" s="243">
        <v>1108509</v>
      </c>
      <c r="CD141" s="243">
        <v>629870</v>
      </c>
      <c r="CE141" s="243">
        <v>726080</v>
      </c>
      <c r="CF141" s="243">
        <v>458684</v>
      </c>
      <c r="CG141" s="1283">
        <v>0</v>
      </c>
    </row>
    <row r="142" spans="1:99" ht="13.2">
      <c r="A142" s="155">
        <v>45058</v>
      </c>
      <c r="B142" s="243">
        <v>1067.0650000000001</v>
      </c>
      <c r="C142" s="243">
        <v>589.31200000000001</v>
      </c>
      <c r="D142" s="243">
        <v>6859.6</v>
      </c>
      <c r="E142" s="1274">
        <v>0</v>
      </c>
      <c r="F142" s="243">
        <v>18190.7</v>
      </c>
      <c r="G142" s="243">
        <v>5766.9</v>
      </c>
      <c r="H142" s="243">
        <v>4815</v>
      </c>
      <c r="I142" s="243">
        <v>2421</v>
      </c>
      <c r="J142" s="243">
        <v>205932.79999999999</v>
      </c>
      <c r="K142" s="243"/>
      <c r="L142" s="243"/>
      <c r="M142" s="243">
        <v>14959.1</v>
      </c>
      <c r="N142" s="243">
        <v>7011</v>
      </c>
      <c r="O142" s="402">
        <v>46196</v>
      </c>
      <c r="P142" s="402">
        <v>36751.300000000003</v>
      </c>
      <c r="Q142" s="243">
        <v>137839.5</v>
      </c>
      <c r="R142" s="243">
        <v>114333.6</v>
      </c>
      <c r="S142" s="243">
        <v>140121.79999999999</v>
      </c>
      <c r="T142" s="243">
        <v>96134.399999999994</v>
      </c>
      <c r="U142" s="243">
        <v>14051.63</v>
      </c>
      <c r="V142" s="243">
        <v>10671.64</v>
      </c>
      <c r="W142" s="243">
        <v>37225</v>
      </c>
      <c r="X142" s="243">
        <v>19249</v>
      </c>
      <c r="Y142" s="243">
        <v>211435.4</v>
      </c>
      <c r="Z142" s="981"/>
      <c r="AA142" s="981">
        <v>50716</v>
      </c>
      <c r="AB142" s="243">
        <v>587644</v>
      </c>
      <c r="AC142" s="243">
        <v>299455</v>
      </c>
      <c r="AD142" s="243">
        <v>211474.1</v>
      </c>
      <c r="AE142" s="981">
        <v>1112.4000000000001</v>
      </c>
      <c r="AF142" s="1051">
        <v>942</v>
      </c>
      <c r="AG142" s="243">
        <v>35565.199999999997</v>
      </c>
      <c r="AH142" s="243">
        <v>25354.3</v>
      </c>
      <c r="AI142" s="243">
        <v>82536.399999999994</v>
      </c>
      <c r="AJ142" s="243">
        <v>63808.3</v>
      </c>
      <c r="AK142" s="243">
        <v>66254.7</v>
      </c>
      <c r="AL142" s="243">
        <v>53980.9</v>
      </c>
      <c r="AM142" s="243">
        <v>59605.7</v>
      </c>
      <c r="AN142" s="243">
        <v>23436.799999999999</v>
      </c>
      <c r="AO142" s="243">
        <v>16.600000000000001</v>
      </c>
      <c r="AP142" s="243">
        <v>17.8</v>
      </c>
      <c r="AQ142" s="243">
        <v>493880</v>
      </c>
      <c r="AR142" s="243">
        <v>227880</v>
      </c>
      <c r="AS142" s="243">
        <v>65175</v>
      </c>
      <c r="AT142" s="243"/>
      <c r="AU142" s="243">
        <v>461242</v>
      </c>
      <c r="AV142" s="243">
        <v>202998</v>
      </c>
      <c r="AW142" s="243">
        <v>79803.399999999994</v>
      </c>
      <c r="AX142" s="243">
        <v>4409.7</v>
      </c>
      <c r="AY142" s="243">
        <v>2942.3</v>
      </c>
      <c r="AZ142" s="243">
        <v>224.32</v>
      </c>
      <c r="BA142" s="243">
        <v>136.01</v>
      </c>
      <c r="BB142" s="243">
        <v>820.61900000000003</v>
      </c>
      <c r="BC142" s="243">
        <v>348.47699999999998</v>
      </c>
      <c r="BD142" s="367">
        <v>1823.3</v>
      </c>
      <c r="BE142" s="243">
        <v>3009.9</v>
      </c>
      <c r="BF142" s="243">
        <v>455.7</v>
      </c>
      <c r="BG142" s="243">
        <v>5838.4</v>
      </c>
      <c r="BH142" s="243">
        <v>30944.549122806999</v>
      </c>
      <c r="BI142" s="243">
        <v>8745.8427386345793</v>
      </c>
      <c r="BJ142" s="243">
        <v>5979.91</v>
      </c>
      <c r="BK142" s="243">
        <v>6665462</v>
      </c>
      <c r="BL142" s="243">
        <v>5081656</v>
      </c>
      <c r="BM142" s="654">
        <v>217123</v>
      </c>
      <c r="BN142" s="654">
        <v>180069</v>
      </c>
      <c r="BO142" s="243">
        <v>125</v>
      </c>
      <c r="BP142" s="243">
        <v>42.79</v>
      </c>
      <c r="BQ142" s="243">
        <v>640</v>
      </c>
      <c r="BR142" s="243">
        <v>2600084</v>
      </c>
      <c r="BS142" s="243">
        <v>541</v>
      </c>
      <c r="BT142" s="243">
        <v>20307.93</v>
      </c>
      <c r="BU142" s="243">
        <v>3254010</v>
      </c>
      <c r="BV142" s="243">
        <v>103108</v>
      </c>
      <c r="BW142" s="243">
        <v>20187.599999999999</v>
      </c>
      <c r="BX142" s="243">
        <v>3083916</v>
      </c>
      <c r="BY142" s="243">
        <v>157771</v>
      </c>
      <c r="BZ142" s="243">
        <v>18020.3</v>
      </c>
      <c r="CA142" s="243">
        <v>8669.1</v>
      </c>
      <c r="CB142" s="243">
        <v>5897.4</v>
      </c>
      <c r="CC142" s="243">
        <v>1109216</v>
      </c>
      <c r="CD142" s="243">
        <v>630282</v>
      </c>
      <c r="CE142" s="243">
        <v>726935</v>
      </c>
      <c r="CF142" s="243">
        <v>459226</v>
      </c>
      <c r="CG142" s="1283">
        <v>0</v>
      </c>
    </row>
    <row r="143" spans="1:99" ht="13.2">
      <c r="A143" s="155">
        <v>45059</v>
      </c>
      <c r="B143" s="243">
        <v>1067.0650000000001</v>
      </c>
      <c r="C143" s="243">
        <v>589.31200000000001</v>
      </c>
      <c r="D143" s="243">
        <v>6859.6</v>
      </c>
      <c r="E143" s="1274">
        <v>0</v>
      </c>
      <c r="F143" s="243">
        <v>18206.099999999999</v>
      </c>
      <c r="G143" s="243">
        <v>5771.7</v>
      </c>
      <c r="H143" s="243">
        <v>4983</v>
      </c>
      <c r="I143" s="243">
        <v>2504</v>
      </c>
      <c r="J143" s="243">
        <v>205956.8</v>
      </c>
      <c r="K143" s="243"/>
      <c r="L143" s="243"/>
      <c r="M143" s="243">
        <v>14959.1</v>
      </c>
      <c r="N143" s="243">
        <v>7011</v>
      </c>
      <c r="O143" s="402">
        <v>46196</v>
      </c>
      <c r="P143" s="402">
        <v>36751.300000000003</v>
      </c>
      <c r="Q143" s="243">
        <v>137849.29999999999</v>
      </c>
      <c r="R143" s="243">
        <v>114341.7</v>
      </c>
      <c r="S143" s="243">
        <v>140135.6</v>
      </c>
      <c r="T143" s="243">
        <v>96144.3</v>
      </c>
      <c r="U143" s="243">
        <v>14051.63</v>
      </c>
      <c r="V143" s="243">
        <v>10671.64</v>
      </c>
      <c r="W143" s="243">
        <v>37505</v>
      </c>
      <c r="X143" s="243">
        <v>19391</v>
      </c>
      <c r="Y143" s="243">
        <v>211459.4</v>
      </c>
      <c r="Z143" s="981"/>
      <c r="AA143" s="981">
        <v>50716</v>
      </c>
      <c r="AB143" s="243">
        <v>587794</v>
      </c>
      <c r="AC143" s="243">
        <v>299523</v>
      </c>
      <c r="AD143" s="243">
        <v>211498.1</v>
      </c>
      <c r="AE143" s="981">
        <v>1112.4000000000001</v>
      </c>
      <c r="AF143" s="1051">
        <v>942</v>
      </c>
      <c r="AG143" s="243">
        <v>35567.599999999999</v>
      </c>
      <c r="AH143" s="243">
        <v>25356</v>
      </c>
      <c r="AI143" s="243">
        <v>82541.100000000006</v>
      </c>
      <c r="AJ143" s="243">
        <v>63811.8</v>
      </c>
      <c r="AK143" s="243">
        <v>66291.600000000006</v>
      </c>
      <c r="AL143" s="243">
        <v>54012.1</v>
      </c>
      <c r="AM143" s="243">
        <v>59605.7</v>
      </c>
      <c r="AN143" s="243">
        <v>23436.799999999999</v>
      </c>
      <c r="AO143" s="243">
        <v>16.600000000000001</v>
      </c>
      <c r="AP143" s="243">
        <v>17.8</v>
      </c>
      <c r="AQ143" s="243">
        <v>494040</v>
      </c>
      <c r="AR143" s="243">
        <v>227950</v>
      </c>
      <c r="AS143" s="243">
        <v>65180</v>
      </c>
      <c r="AT143" s="243"/>
      <c r="AU143" s="243">
        <v>461390</v>
      </c>
      <c r="AV143" s="243">
        <v>203062</v>
      </c>
      <c r="AW143" s="243">
        <v>79827.399999999994</v>
      </c>
      <c r="AX143" s="243">
        <v>4412.8</v>
      </c>
      <c r="AY143" s="243">
        <v>2944.5</v>
      </c>
      <c r="AZ143" s="243">
        <v>224.32</v>
      </c>
      <c r="BA143" s="243">
        <v>136.01</v>
      </c>
      <c r="BB143" s="243">
        <v>820.61900000000003</v>
      </c>
      <c r="BC143" s="243">
        <v>348.47699999999998</v>
      </c>
      <c r="BD143" s="367">
        <v>1823.3</v>
      </c>
      <c r="BE143" s="243">
        <v>3011.2</v>
      </c>
      <c r="BF143" s="243">
        <v>455.7</v>
      </c>
      <c r="BG143" s="243">
        <v>6266.05</v>
      </c>
      <c r="BH143" s="243">
        <v>31651.029824561399</v>
      </c>
      <c r="BI143" s="243">
        <v>9201.1224669225994</v>
      </c>
      <c r="BJ143" s="243">
        <v>6045.46</v>
      </c>
      <c r="BK143" s="243">
        <v>6666214</v>
      </c>
      <c r="BL143" s="243">
        <v>5082367</v>
      </c>
      <c r="BM143" s="654">
        <v>217123</v>
      </c>
      <c r="BN143" s="654">
        <v>180069</v>
      </c>
      <c r="BO143" s="243">
        <v>127</v>
      </c>
      <c r="BP143" s="243">
        <v>42.929000000000002</v>
      </c>
      <c r="BQ143" s="243">
        <v>646</v>
      </c>
      <c r="BR143" s="243">
        <v>2600084</v>
      </c>
      <c r="BS143" s="243">
        <v>541</v>
      </c>
      <c r="BT143" s="243">
        <v>20307.93</v>
      </c>
      <c r="BU143" s="243">
        <v>3258682</v>
      </c>
      <c r="BV143" s="243">
        <v>103464</v>
      </c>
      <c r="BW143" s="243">
        <v>20211.599999999999</v>
      </c>
      <c r="BX143" s="243">
        <v>3087680</v>
      </c>
      <c r="BY143" s="243">
        <v>157864</v>
      </c>
      <c r="BZ143" s="243">
        <v>18044.3</v>
      </c>
      <c r="CA143" s="243">
        <v>8675.4</v>
      </c>
      <c r="CB143" s="243">
        <v>5901.8</v>
      </c>
      <c r="CC143" s="243">
        <v>1109928</v>
      </c>
      <c r="CD143" s="243">
        <v>630694</v>
      </c>
      <c r="CE143" s="243">
        <v>727786</v>
      </c>
      <c r="CF143" s="243">
        <v>459766</v>
      </c>
      <c r="CG143" s="1283">
        <v>0</v>
      </c>
    </row>
    <row r="144" spans="1:99" ht="13.2">
      <c r="A144" s="155">
        <v>45060</v>
      </c>
      <c r="B144" s="243">
        <v>1067.0650000000001</v>
      </c>
      <c r="C144" s="243">
        <v>589.31200000000001</v>
      </c>
      <c r="D144" s="243">
        <v>6859.6</v>
      </c>
      <c r="E144" s="1274">
        <v>0</v>
      </c>
      <c r="F144" s="243">
        <v>18222.099999999999</v>
      </c>
      <c r="G144" s="243">
        <v>5776.7</v>
      </c>
      <c r="H144" s="243">
        <v>5139</v>
      </c>
      <c r="I144" s="243">
        <v>2583</v>
      </c>
      <c r="J144" s="243">
        <v>205979</v>
      </c>
      <c r="K144" s="243"/>
      <c r="L144" s="243"/>
      <c r="M144" s="243">
        <v>14959.2</v>
      </c>
      <c r="N144" s="243">
        <v>7011</v>
      </c>
      <c r="O144" s="402">
        <v>46196</v>
      </c>
      <c r="P144" s="402">
        <v>36751.300000000003</v>
      </c>
      <c r="Q144" s="243">
        <v>137861.20000000001</v>
      </c>
      <c r="R144" s="243">
        <v>114351.2</v>
      </c>
      <c r="S144" s="243">
        <v>140149.6</v>
      </c>
      <c r="T144" s="243">
        <v>96154.3</v>
      </c>
      <c r="U144" s="243">
        <v>14051.63</v>
      </c>
      <c r="V144" s="243">
        <v>10671.64</v>
      </c>
      <c r="W144" s="243">
        <v>37899</v>
      </c>
      <c r="X144" s="243">
        <v>19590</v>
      </c>
      <c r="Y144" s="243">
        <v>211483.4</v>
      </c>
      <c r="Z144" s="981"/>
      <c r="AA144" s="981">
        <v>50716</v>
      </c>
      <c r="AB144" s="243">
        <v>587826</v>
      </c>
      <c r="AC144" s="243">
        <v>299543</v>
      </c>
      <c r="AD144" s="243">
        <v>211503.3</v>
      </c>
      <c r="AE144" s="981">
        <v>1112.4000000000001</v>
      </c>
      <c r="AF144" s="1051">
        <v>942</v>
      </c>
      <c r="AG144" s="243">
        <v>35569.800000000003</v>
      </c>
      <c r="AH144" s="243">
        <v>25357.4</v>
      </c>
      <c r="AI144" s="402">
        <v>82545</v>
      </c>
      <c r="AJ144" s="402">
        <v>63814.6</v>
      </c>
      <c r="AK144" s="243">
        <v>66327.5</v>
      </c>
      <c r="AL144" s="243">
        <v>54042.2</v>
      </c>
      <c r="AM144" s="243">
        <v>59616.2</v>
      </c>
      <c r="AN144" s="243">
        <v>23440.9</v>
      </c>
      <c r="AO144" s="243">
        <v>16.8</v>
      </c>
      <c r="AP144" s="243">
        <v>18</v>
      </c>
      <c r="AQ144" s="243">
        <v>494202</v>
      </c>
      <c r="AR144" s="243">
        <v>228021</v>
      </c>
      <c r="AS144" s="402">
        <v>65185</v>
      </c>
      <c r="AT144" s="981"/>
      <c r="AU144" s="243">
        <v>461540</v>
      </c>
      <c r="AV144" s="243">
        <v>203128</v>
      </c>
      <c r="AW144" s="402">
        <v>79851.399999999994</v>
      </c>
      <c r="AX144" s="243">
        <v>4416.1000000000004</v>
      </c>
      <c r="AY144" s="243">
        <v>2946.8</v>
      </c>
      <c r="AZ144" s="243">
        <v>224.32</v>
      </c>
      <c r="BA144" s="243">
        <v>136.01</v>
      </c>
      <c r="BB144" s="243">
        <v>822.5</v>
      </c>
      <c r="BC144" s="243">
        <v>349.19900000000001</v>
      </c>
      <c r="BD144" s="367">
        <v>1825.4</v>
      </c>
      <c r="BE144" s="243">
        <v>3012.5</v>
      </c>
      <c r="BF144" s="243">
        <v>455.7</v>
      </c>
      <c r="BG144" s="243">
        <v>5862.03</v>
      </c>
      <c r="BH144" s="243">
        <v>31216.312280701801</v>
      </c>
      <c r="BI144" s="243">
        <v>8672.3310111917908</v>
      </c>
      <c r="BJ144" s="243">
        <v>6767.44</v>
      </c>
      <c r="BK144" s="654">
        <v>6667052</v>
      </c>
      <c r="BL144" s="654">
        <v>5083250</v>
      </c>
      <c r="BM144" s="654">
        <v>217123</v>
      </c>
      <c r="BN144" s="654">
        <v>180069</v>
      </c>
      <c r="BO144" s="243">
        <v>127</v>
      </c>
      <c r="BP144" s="243">
        <v>43.009</v>
      </c>
      <c r="BQ144" s="243">
        <v>641</v>
      </c>
      <c r="BR144" s="243">
        <v>2600084</v>
      </c>
      <c r="BS144" s="243">
        <v>541</v>
      </c>
      <c r="BT144" s="243">
        <v>20307.93</v>
      </c>
      <c r="BU144" s="243">
        <v>3263307</v>
      </c>
      <c r="BV144" s="243">
        <v>103854</v>
      </c>
      <c r="BW144" s="243">
        <v>20235.599999999999</v>
      </c>
      <c r="BX144" s="243">
        <v>3091388</v>
      </c>
      <c r="BY144" s="243">
        <v>157958</v>
      </c>
      <c r="BZ144" s="243">
        <v>18068.3</v>
      </c>
      <c r="CA144" s="243">
        <v>8681.7999999999993</v>
      </c>
      <c r="CB144" s="243">
        <v>5906.3</v>
      </c>
      <c r="CC144" s="243">
        <v>1110603</v>
      </c>
      <c r="CD144" s="243">
        <v>631102</v>
      </c>
      <c r="CE144" s="243">
        <v>729128</v>
      </c>
      <c r="CF144" s="243">
        <v>460580</v>
      </c>
      <c r="CG144" s="1283">
        <v>1.88</v>
      </c>
    </row>
    <row r="145" spans="1:85" ht="13.2">
      <c r="A145" s="155">
        <v>45061</v>
      </c>
      <c r="B145" s="243">
        <v>1067.0650000000001</v>
      </c>
      <c r="C145" s="243">
        <v>589.31200000000001</v>
      </c>
      <c r="D145" s="243">
        <v>6859.6</v>
      </c>
      <c r="E145" s="1274">
        <v>0</v>
      </c>
      <c r="F145" s="243">
        <v>18236.900000000001</v>
      </c>
      <c r="G145" s="243">
        <v>5781.3</v>
      </c>
      <c r="H145" s="243">
        <v>5302</v>
      </c>
      <c r="I145" s="243">
        <v>2665</v>
      </c>
      <c r="J145" s="243">
        <v>206003</v>
      </c>
      <c r="K145" s="243"/>
      <c r="L145" s="243"/>
      <c r="M145" s="243">
        <v>14959.2</v>
      </c>
      <c r="N145" s="243">
        <v>7011</v>
      </c>
      <c r="O145" s="402">
        <v>46196</v>
      </c>
      <c r="P145" s="402">
        <v>36751.300000000003</v>
      </c>
      <c r="Q145" s="243">
        <v>137875</v>
      </c>
      <c r="R145" s="243">
        <v>114361.60000000001</v>
      </c>
      <c r="S145" s="243">
        <v>140162.79999999999</v>
      </c>
      <c r="T145" s="243">
        <v>96163.8</v>
      </c>
      <c r="U145" s="243">
        <v>14051.63</v>
      </c>
      <c r="V145" s="243">
        <v>10671.64</v>
      </c>
      <c r="W145" s="243">
        <v>38201</v>
      </c>
      <c r="X145" s="243">
        <v>19741</v>
      </c>
      <c r="Y145" s="243">
        <v>211507.4</v>
      </c>
      <c r="Z145" s="981"/>
      <c r="AA145" s="981">
        <v>50716</v>
      </c>
      <c r="AB145" s="243">
        <v>587972</v>
      </c>
      <c r="AC145" s="243">
        <v>299615</v>
      </c>
      <c r="AD145" s="243">
        <v>211527.3</v>
      </c>
      <c r="AE145" s="981">
        <v>1112.4000000000001</v>
      </c>
      <c r="AF145" s="1051">
        <v>942</v>
      </c>
      <c r="AG145" s="243">
        <v>35572.199999999997</v>
      </c>
      <c r="AH145" s="243">
        <v>25359.1</v>
      </c>
      <c r="AI145" s="402">
        <v>82550.5</v>
      </c>
      <c r="AJ145" s="402">
        <v>63818.7</v>
      </c>
      <c r="AK145" s="243">
        <v>66362.399999999994</v>
      </c>
      <c r="AL145" s="243">
        <v>54071.5</v>
      </c>
      <c r="AM145" s="243">
        <v>59637.3</v>
      </c>
      <c r="AN145" s="243">
        <v>23449.200000000001</v>
      </c>
      <c r="AO145" s="243">
        <v>16.8</v>
      </c>
      <c r="AP145" s="243">
        <v>18</v>
      </c>
      <c r="AQ145" s="243">
        <v>494361</v>
      </c>
      <c r="AR145" s="243">
        <v>228091</v>
      </c>
      <c r="AS145" s="402">
        <v>65190</v>
      </c>
      <c r="AT145" s="981"/>
      <c r="AU145" s="243">
        <v>461686</v>
      </c>
      <c r="AV145" s="243">
        <v>203191</v>
      </c>
      <c r="AW145" s="402">
        <v>79875.399999999994</v>
      </c>
      <c r="AX145" s="243">
        <v>4419.6000000000004</v>
      </c>
      <c r="AY145" s="243">
        <v>2949.3</v>
      </c>
      <c r="AZ145" s="243">
        <v>224.32</v>
      </c>
      <c r="BA145" s="243">
        <v>136.01</v>
      </c>
      <c r="BB145" s="243">
        <v>822.5</v>
      </c>
      <c r="BC145" s="243">
        <v>349.19900000000001</v>
      </c>
      <c r="BD145" s="367">
        <v>1825.4</v>
      </c>
      <c r="BE145" s="243">
        <v>3013.6</v>
      </c>
      <c r="BF145" s="243">
        <v>455.7</v>
      </c>
      <c r="BG145" s="243">
        <v>5861.16</v>
      </c>
      <c r="BH145" s="243">
        <v>31373.6456140351</v>
      </c>
      <c r="BI145" s="243">
        <v>6637.3947574126796</v>
      </c>
      <c r="BJ145" s="243">
        <v>6170.5</v>
      </c>
      <c r="BK145" s="654">
        <v>6668007</v>
      </c>
      <c r="BL145" s="654">
        <v>5084095</v>
      </c>
      <c r="BM145" s="654">
        <v>217123</v>
      </c>
      <c r="BN145" s="654">
        <v>180069</v>
      </c>
      <c r="BO145" s="243">
        <v>128</v>
      </c>
      <c r="BP145" s="243">
        <v>43.220999999999997</v>
      </c>
      <c r="BQ145" s="243">
        <v>644</v>
      </c>
      <c r="BR145" s="243">
        <v>2600084</v>
      </c>
      <c r="BS145" s="243">
        <v>541</v>
      </c>
      <c r="BT145" s="243">
        <v>20307.93</v>
      </c>
      <c r="BU145" s="243">
        <v>3267898</v>
      </c>
      <c r="BV145" s="243">
        <v>104138</v>
      </c>
      <c r="BW145" s="243">
        <v>20259.599999999999</v>
      </c>
      <c r="BX145" s="243">
        <v>3094959</v>
      </c>
      <c r="BY145" s="243">
        <v>158064</v>
      </c>
      <c r="BZ145" s="243">
        <v>18092.3</v>
      </c>
      <c r="CA145" s="243">
        <v>8688.1</v>
      </c>
      <c r="CB145" s="243">
        <v>5910.6</v>
      </c>
      <c r="CC145" s="243">
        <v>1110934</v>
      </c>
      <c r="CD145" s="243">
        <v>631308</v>
      </c>
      <c r="CE145" s="243">
        <v>729619</v>
      </c>
      <c r="CF145" s="243">
        <v>460874</v>
      </c>
      <c r="CG145" s="1283">
        <v>0</v>
      </c>
    </row>
    <row r="146" spans="1:85" ht="13.2">
      <c r="A146" s="155">
        <v>45062</v>
      </c>
      <c r="B146" s="243">
        <v>1067.7529999999999</v>
      </c>
      <c r="C146" s="243">
        <v>589.65700000000004</v>
      </c>
      <c r="D146" s="243">
        <v>6860.6</v>
      </c>
      <c r="E146" s="1274">
        <v>0.7</v>
      </c>
      <c r="F146" s="243">
        <v>18253.099999999999</v>
      </c>
      <c r="G146" s="243">
        <v>5786.4</v>
      </c>
      <c r="H146" s="243">
        <v>5468</v>
      </c>
      <c r="I146" s="243">
        <v>2748</v>
      </c>
      <c r="J146" s="243">
        <v>206027</v>
      </c>
      <c r="K146" s="243"/>
      <c r="L146" s="243"/>
      <c r="M146" s="243">
        <v>14959.2</v>
      </c>
      <c r="N146" s="243">
        <v>7011</v>
      </c>
      <c r="O146" s="402">
        <v>46196</v>
      </c>
      <c r="P146" s="402">
        <v>36751.300000000003</v>
      </c>
      <c r="Q146" s="243">
        <v>137887.29999999999</v>
      </c>
      <c r="R146" s="243">
        <v>114371.6</v>
      </c>
      <c r="S146" s="243">
        <v>140177.20000000001</v>
      </c>
      <c r="T146" s="243">
        <v>96173.8</v>
      </c>
      <c r="U146" s="243">
        <v>14051.63</v>
      </c>
      <c r="V146" s="243">
        <v>10671.64</v>
      </c>
      <c r="W146" s="243">
        <v>38499</v>
      </c>
      <c r="X146" s="243">
        <v>19889</v>
      </c>
      <c r="Y146" s="243">
        <v>211531.4</v>
      </c>
      <c r="Z146" s="981"/>
      <c r="AA146" s="981">
        <v>50716</v>
      </c>
      <c r="AB146" s="243">
        <v>588110</v>
      </c>
      <c r="AC146" s="243">
        <v>299686</v>
      </c>
      <c r="AD146" s="243">
        <v>211551.3</v>
      </c>
      <c r="AE146" s="981">
        <v>1112.4000000000001</v>
      </c>
      <c r="AF146" s="1051">
        <v>942</v>
      </c>
      <c r="AG146" s="243">
        <v>35574.800000000003</v>
      </c>
      <c r="AH146" s="243">
        <v>25360.799999999999</v>
      </c>
      <c r="AI146" s="243">
        <v>82557.2</v>
      </c>
      <c r="AJ146" s="243">
        <v>63823.8</v>
      </c>
      <c r="AK146" s="243">
        <v>66397.5</v>
      </c>
      <c r="AL146" s="243">
        <v>54101.2</v>
      </c>
      <c r="AM146" s="243">
        <v>59643.8</v>
      </c>
      <c r="AN146" s="243">
        <v>23451.7</v>
      </c>
      <c r="AO146" s="243">
        <v>16.8</v>
      </c>
      <c r="AP146" s="243">
        <v>18</v>
      </c>
      <c r="AQ146" s="243">
        <v>494521</v>
      </c>
      <c r="AR146" s="243">
        <v>228161</v>
      </c>
      <c r="AS146" s="243">
        <v>65195</v>
      </c>
      <c r="AT146" s="243"/>
      <c r="AU146" s="243">
        <v>461833</v>
      </c>
      <c r="AV146" s="243">
        <v>203255</v>
      </c>
      <c r="AW146" s="243">
        <v>79899.399999999994</v>
      </c>
      <c r="AX146" s="243">
        <v>4423.2</v>
      </c>
      <c r="AY146" s="243">
        <v>2951.8</v>
      </c>
      <c r="AZ146" s="243">
        <v>225</v>
      </c>
      <c r="BA146" s="243">
        <v>136.37</v>
      </c>
      <c r="BB146" s="243">
        <v>822.5</v>
      </c>
      <c r="BC146" s="243">
        <v>349.19900000000001</v>
      </c>
      <c r="BD146" s="367">
        <v>1825.4</v>
      </c>
      <c r="BE146" s="243">
        <v>3014.8</v>
      </c>
      <c r="BF146" s="243">
        <v>455.7</v>
      </c>
      <c r="BG146" s="243">
        <v>5755.4299999999994</v>
      </c>
      <c r="BH146" s="243">
        <v>31916.333333333336</v>
      </c>
      <c r="BI146" s="243">
        <v>11411.131561915401</v>
      </c>
      <c r="BJ146" s="1375">
        <v>4883.4900000000007</v>
      </c>
      <c r="BK146" s="243">
        <v>6668988</v>
      </c>
      <c r="BL146" s="243">
        <v>5084867</v>
      </c>
      <c r="BM146" s="654">
        <v>217123</v>
      </c>
      <c r="BN146" s="654">
        <v>180069</v>
      </c>
      <c r="BO146" s="243">
        <v>127</v>
      </c>
      <c r="BP146" s="243">
        <v>43.119</v>
      </c>
      <c r="BQ146" s="243">
        <v>640</v>
      </c>
      <c r="BR146" s="243">
        <v>2600084</v>
      </c>
      <c r="BS146" s="243">
        <v>541</v>
      </c>
      <c r="BT146" s="243">
        <v>20307.93</v>
      </c>
      <c r="BU146" s="243">
        <v>3272446</v>
      </c>
      <c r="BV146" s="243">
        <v>104414</v>
      </c>
      <c r="BW146" s="243">
        <v>20283.599999999999</v>
      </c>
      <c r="BX146" s="243">
        <v>3098444</v>
      </c>
      <c r="BY146" s="243">
        <v>158180</v>
      </c>
      <c r="BZ146" s="243">
        <v>18116.3</v>
      </c>
      <c r="CA146" s="243">
        <v>8695.5</v>
      </c>
      <c r="CB146" s="243">
        <v>5915.5</v>
      </c>
      <c r="CC146" s="243">
        <v>1111304</v>
      </c>
      <c r="CD146" s="243">
        <v>631540</v>
      </c>
      <c r="CE146" s="243">
        <v>730722</v>
      </c>
      <c r="CF146" s="243">
        <v>461551</v>
      </c>
      <c r="CG146" s="1283">
        <v>0</v>
      </c>
    </row>
    <row r="147" spans="1:85" ht="13.2">
      <c r="A147" s="155">
        <v>45063</v>
      </c>
      <c r="B147" s="243">
        <v>1067.7529999999999</v>
      </c>
      <c r="C147" s="243">
        <v>589.65700000000004</v>
      </c>
      <c r="D147" s="243">
        <v>6860.6</v>
      </c>
      <c r="E147" s="1274">
        <v>0</v>
      </c>
      <c r="F147" s="243">
        <v>18269.099999999999</v>
      </c>
      <c r="G147" s="243">
        <v>5791.2</v>
      </c>
      <c r="H147" s="243">
        <v>5633.77</v>
      </c>
      <c r="I147" s="243">
        <v>2830.86</v>
      </c>
      <c r="J147" s="243">
        <v>206051</v>
      </c>
      <c r="K147" s="243"/>
      <c r="L147" s="243"/>
      <c r="M147" s="243">
        <v>14959.2</v>
      </c>
      <c r="N147" s="243">
        <v>7011</v>
      </c>
      <c r="O147" s="402">
        <v>46196</v>
      </c>
      <c r="P147" s="402">
        <v>36751.300000000003</v>
      </c>
      <c r="Q147" s="243">
        <v>137900.51999999999</v>
      </c>
      <c r="R147" s="243">
        <v>114382.15</v>
      </c>
      <c r="S147" s="243">
        <v>140191.74</v>
      </c>
      <c r="T147" s="243">
        <v>96184.02</v>
      </c>
      <c r="U147" s="243">
        <v>14051.63</v>
      </c>
      <c r="V147" s="243">
        <v>10671.64</v>
      </c>
      <c r="W147" s="243">
        <v>38803.449999999997</v>
      </c>
      <c r="X147" s="243">
        <v>20040.84</v>
      </c>
      <c r="Y147" s="243">
        <v>211555.4</v>
      </c>
      <c r="Z147" s="981">
        <v>345.9</v>
      </c>
      <c r="AA147" s="981">
        <v>50716</v>
      </c>
      <c r="AB147" s="243">
        <v>588244.99</v>
      </c>
      <c r="AC147" s="243">
        <v>299753.7</v>
      </c>
      <c r="AD147" s="243">
        <v>211575.3</v>
      </c>
      <c r="AE147" s="981">
        <v>1112.4000000000001</v>
      </c>
      <c r="AF147" s="1051">
        <v>942</v>
      </c>
      <c r="AG147" s="243">
        <v>35577.160000000003</v>
      </c>
      <c r="AH147" s="243">
        <v>25362.5</v>
      </c>
      <c r="AI147" s="243">
        <v>82562.570000000007</v>
      </c>
      <c r="AJ147" s="243">
        <v>63827.75</v>
      </c>
      <c r="AK147" s="243">
        <v>66433.100000000006</v>
      </c>
      <c r="AL147" s="243">
        <v>54131.39</v>
      </c>
      <c r="AM147" s="243">
        <v>59653.8</v>
      </c>
      <c r="AN147" s="243">
        <v>23455.7</v>
      </c>
      <c r="AO147" s="243">
        <v>16.8</v>
      </c>
      <c r="AP147" s="243">
        <v>18</v>
      </c>
      <c r="AQ147" s="243">
        <v>494679.8</v>
      </c>
      <c r="AR147" s="243">
        <v>228230.7</v>
      </c>
      <c r="AS147" s="243">
        <v>65199.692000000003</v>
      </c>
      <c r="AT147" s="243"/>
      <c r="AU147" s="243">
        <v>461979.95</v>
      </c>
      <c r="AV147" s="243">
        <v>203318.55</v>
      </c>
      <c r="AW147" s="243">
        <v>79923.399999999994</v>
      </c>
      <c r="AX147" s="243">
        <v>4426.28</v>
      </c>
      <c r="AY147" s="243">
        <v>2954.01</v>
      </c>
      <c r="AZ147" s="243">
        <v>225.13</v>
      </c>
      <c r="BA147" s="243">
        <v>136.44999999999999</v>
      </c>
      <c r="BB147" s="243">
        <v>822.5</v>
      </c>
      <c r="BC147" s="243">
        <v>349.19900000000001</v>
      </c>
      <c r="BD147" s="367">
        <v>1825.4</v>
      </c>
      <c r="BE147" s="243">
        <v>3016</v>
      </c>
      <c r="BF147" s="243">
        <v>455.7</v>
      </c>
      <c r="BG147" s="243">
        <v>5687.95</v>
      </c>
      <c r="BH147" s="243">
        <v>28775.877192982502</v>
      </c>
      <c r="BI147" s="243">
        <v>8044.7365776820297</v>
      </c>
      <c r="BJ147" s="243">
        <v>4801.01</v>
      </c>
      <c r="BK147" s="243">
        <v>6669936</v>
      </c>
      <c r="BL147" s="243">
        <v>5085740</v>
      </c>
      <c r="BM147" s="654">
        <v>217123</v>
      </c>
      <c r="BN147" s="654">
        <v>180069</v>
      </c>
      <c r="BO147" s="243">
        <v>126</v>
      </c>
      <c r="BP147" s="243">
        <v>42.57</v>
      </c>
      <c r="BQ147" s="243">
        <v>642</v>
      </c>
      <c r="BR147" s="243">
        <v>2600084</v>
      </c>
      <c r="BS147" s="243">
        <v>541</v>
      </c>
      <c r="BT147" s="243">
        <v>20307.93</v>
      </c>
      <c r="BU147" s="243">
        <v>3276983</v>
      </c>
      <c r="BV147" s="243">
        <v>104717</v>
      </c>
      <c r="BW147" s="243">
        <v>20307.599999999999</v>
      </c>
      <c r="BX147" s="243">
        <v>3101983</v>
      </c>
      <c r="BY147" s="243">
        <v>158288</v>
      </c>
      <c r="BZ147" s="243">
        <v>18140.3</v>
      </c>
      <c r="CA147" s="243">
        <v>8702.57</v>
      </c>
      <c r="CB147" s="243">
        <v>5920.25</v>
      </c>
      <c r="CC147" s="243">
        <v>1111645</v>
      </c>
      <c r="CD147" s="243">
        <v>631753</v>
      </c>
      <c r="CE147" s="243">
        <v>731445</v>
      </c>
      <c r="CF147" s="243">
        <v>461992</v>
      </c>
      <c r="CG147" s="1283">
        <v>0</v>
      </c>
    </row>
    <row r="148" spans="1:85" ht="13.2">
      <c r="A148" s="155">
        <v>45064</v>
      </c>
      <c r="B148" s="243">
        <v>1067.7529999999999</v>
      </c>
      <c r="C148" s="243">
        <v>589.65700000000004</v>
      </c>
      <c r="D148" s="243">
        <v>6860.6</v>
      </c>
      <c r="E148" s="1274">
        <v>0</v>
      </c>
      <c r="F148" s="243">
        <v>18283</v>
      </c>
      <c r="G148" s="243">
        <v>5796.3</v>
      </c>
      <c r="H148" s="243">
        <v>5801.5020000000004</v>
      </c>
      <c r="I148" s="243">
        <v>2914.6689999999999</v>
      </c>
      <c r="J148" s="243">
        <v>206075</v>
      </c>
      <c r="K148" s="402"/>
      <c r="L148" s="402"/>
      <c r="M148" s="243">
        <v>14959.2</v>
      </c>
      <c r="N148" s="243">
        <v>7011</v>
      </c>
      <c r="O148" s="402">
        <v>46196</v>
      </c>
      <c r="P148" s="402">
        <v>36751.300000000003</v>
      </c>
      <c r="Q148" s="243">
        <v>137913.07</v>
      </c>
      <c r="R148" s="243">
        <v>114392.216</v>
      </c>
      <c r="S148" s="243">
        <v>140206.62</v>
      </c>
      <c r="T148" s="243">
        <v>96194.26</v>
      </c>
      <c r="U148" s="243">
        <v>14051.63</v>
      </c>
      <c r="V148" s="243">
        <v>10671.64</v>
      </c>
      <c r="W148" s="243">
        <v>39071.828000000001</v>
      </c>
      <c r="X148" s="243">
        <v>20175.737000000001</v>
      </c>
      <c r="Y148" s="243">
        <v>211579.4</v>
      </c>
      <c r="Z148" s="981">
        <v>345.9</v>
      </c>
      <c r="AA148" s="981">
        <v>50716</v>
      </c>
      <c r="AB148" s="243">
        <v>588421.76500000001</v>
      </c>
      <c r="AC148" s="243">
        <v>299843.55699999997</v>
      </c>
      <c r="AD148" s="243">
        <v>211599.3</v>
      </c>
      <c r="AE148" s="981">
        <v>1112.4000000000001</v>
      </c>
      <c r="AF148" s="1051">
        <v>942</v>
      </c>
      <c r="AG148" s="243">
        <v>35579.69</v>
      </c>
      <c r="AH148" s="243">
        <v>25364.22</v>
      </c>
      <c r="AI148" s="243">
        <v>82567.45</v>
      </c>
      <c r="AJ148" s="243">
        <v>63831.41</v>
      </c>
      <c r="AK148" s="243">
        <v>66469.820000000007</v>
      </c>
      <c r="AL148" s="243">
        <v>54162.6</v>
      </c>
      <c r="AM148" s="243">
        <v>59664.2</v>
      </c>
      <c r="AN148" s="243">
        <v>23459.8</v>
      </c>
      <c r="AO148" s="243">
        <v>16.8</v>
      </c>
      <c r="AP148" s="243">
        <v>18</v>
      </c>
      <c r="AQ148" s="243">
        <v>494843.2</v>
      </c>
      <c r="AR148" s="243">
        <v>228304.1</v>
      </c>
      <c r="AS148" s="243">
        <v>65204.93</v>
      </c>
      <c r="AT148" s="243"/>
      <c r="AU148" s="243">
        <v>462130.6</v>
      </c>
      <c r="AV148" s="243">
        <v>203383.9</v>
      </c>
      <c r="AW148" s="243">
        <v>79947.399999999994</v>
      </c>
      <c r="AX148" s="243">
        <v>4430.17</v>
      </c>
      <c r="AY148" s="243">
        <v>2956.76</v>
      </c>
      <c r="AZ148" s="243">
        <v>225.19</v>
      </c>
      <c r="BA148" s="243">
        <v>136.5</v>
      </c>
      <c r="BB148" s="243">
        <v>822.5</v>
      </c>
      <c r="BC148" s="243">
        <v>349.19900000000001</v>
      </c>
      <c r="BD148" s="367">
        <v>1825.4</v>
      </c>
      <c r="BE148" s="243">
        <v>3016.5</v>
      </c>
      <c r="BF148" s="243">
        <v>455.7</v>
      </c>
      <c r="BG148" s="243">
        <v>5513.42</v>
      </c>
      <c r="BH148" s="243">
        <v>30427.087719298299</v>
      </c>
      <c r="BI148" s="243">
        <v>8342.5197304453995</v>
      </c>
      <c r="BJ148" s="243">
        <v>5136.8100000000004</v>
      </c>
      <c r="BK148" s="243">
        <v>6669946</v>
      </c>
      <c r="BL148" s="243">
        <v>5085746</v>
      </c>
      <c r="BM148" s="654">
        <v>217380</v>
      </c>
      <c r="BN148" s="654">
        <v>180200</v>
      </c>
      <c r="BO148" s="243">
        <v>125</v>
      </c>
      <c r="BP148" s="243">
        <v>42.527000000000001</v>
      </c>
      <c r="BQ148" s="243">
        <v>643</v>
      </c>
      <c r="BR148" s="243">
        <v>2601238.1</v>
      </c>
      <c r="BS148" s="243">
        <v>542</v>
      </c>
      <c r="BT148" s="243">
        <v>20321.400000000001</v>
      </c>
      <c r="BU148" s="243">
        <v>3278986</v>
      </c>
      <c r="BV148" s="243">
        <v>104867</v>
      </c>
      <c r="BW148" s="243">
        <v>20318.13</v>
      </c>
      <c r="BX148" s="243">
        <v>3106705</v>
      </c>
      <c r="BY148" s="243">
        <v>158718</v>
      </c>
      <c r="BZ148" s="243">
        <v>18164.3</v>
      </c>
      <c r="CA148" s="243">
        <v>8709.14</v>
      </c>
      <c r="CB148" s="243">
        <v>5924.87</v>
      </c>
      <c r="CC148" s="243">
        <v>1112025</v>
      </c>
      <c r="CD148" s="243">
        <v>631988</v>
      </c>
      <c r="CE148" s="243">
        <v>732486</v>
      </c>
      <c r="CF148" s="243">
        <v>462652</v>
      </c>
      <c r="CG148" s="1283">
        <v>0</v>
      </c>
    </row>
    <row r="149" spans="1:85" ht="13.2">
      <c r="A149" s="155">
        <v>45065</v>
      </c>
      <c r="B149" s="243">
        <v>1067.7529999999999</v>
      </c>
      <c r="C149" s="243">
        <v>589.65700000000004</v>
      </c>
      <c r="D149" s="243">
        <v>6860.6</v>
      </c>
      <c r="E149" s="1274">
        <v>0</v>
      </c>
      <c r="F149" s="243">
        <v>18295.900000000001</v>
      </c>
      <c r="G149" s="243">
        <v>5801.6</v>
      </c>
      <c r="H149" s="243">
        <v>5966.84</v>
      </c>
      <c r="I149" s="243">
        <v>2997.58</v>
      </c>
      <c r="J149" s="243">
        <v>206099</v>
      </c>
      <c r="K149" s="402"/>
      <c r="L149" s="402"/>
      <c r="M149" s="243">
        <v>14959.2</v>
      </c>
      <c r="N149" s="243">
        <v>7011</v>
      </c>
      <c r="O149" s="402">
        <v>46196</v>
      </c>
      <c r="P149" s="402">
        <v>36751.300000000003</v>
      </c>
      <c r="Q149" s="243">
        <v>137925.37</v>
      </c>
      <c r="R149" s="243">
        <v>114401.96</v>
      </c>
      <c r="S149" s="243">
        <v>140220.98000000001</v>
      </c>
      <c r="T149" s="243">
        <v>96204.33</v>
      </c>
      <c r="U149" s="243">
        <v>14051.63</v>
      </c>
      <c r="V149" s="243">
        <v>10671.64</v>
      </c>
      <c r="W149" s="243">
        <v>39219.330999999998</v>
      </c>
      <c r="X149" s="243">
        <v>20250.813999999998</v>
      </c>
      <c r="Y149" s="243">
        <v>211603.4</v>
      </c>
      <c r="Z149" s="981">
        <v>345.9</v>
      </c>
      <c r="AA149" s="981">
        <v>50716</v>
      </c>
      <c r="AB149" s="243">
        <v>588713.32999999996</v>
      </c>
      <c r="AC149" s="243">
        <v>299992.31</v>
      </c>
      <c r="AD149" s="243">
        <v>211623.3</v>
      </c>
      <c r="AE149" s="981">
        <v>1112.4000000000001</v>
      </c>
      <c r="AF149" s="1051">
        <v>942</v>
      </c>
      <c r="AG149" s="243">
        <v>35582.15</v>
      </c>
      <c r="AH149" s="243">
        <v>25365.95</v>
      </c>
      <c r="AI149" s="402">
        <v>82574.320000000007</v>
      </c>
      <c r="AJ149" s="243">
        <v>63836.57</v>
      </c>
      <c r="AK149" s="243">
        <v>66504.789999999994</v>
      </c>
      <c r="AL149" s="243">
        <v>54192.49</v>
      </c>
      <c r="AM149" s="243">
        <v>59674.6</v>
      </c>
      <c r="AN149" s="243">
        <v>23463.9</v>
      </c>
      <c r="AO149" s="243">
        <v>16.8</v>
      </c>
      <c r="AP149" s="243">
        <v>18</v>
      </c>
      <c r="AQ149" s="243">
        <v>495005.3</v>
      </c>
      <c r="AR149" s="243">
        <v>228377.9</v>
      </c>
      <c r="AS149" s="402">
        <v>65209.877999999997</v>
      </c>
      <c r="AT149" s="981"/>
      <c r="AU149" s="243">
        <v>462276.109</v>
      </c>
      <c r="AV149" s="243">
        <v>203447.05900000001</v>
      </c>
      <c r="AW149" s="402">
        <v>79971.399999999994</v>
      </c>
      <c r="AX149" s="243">
        <v>4432.2299999999996</v>
      </c>
      <c r="AY149" s="243">
        <v>2958.23</v>
      </c>
      <c r="AZ149" s="243">
        <v>225.21</v>
      </c>
      <c r="BA149" s="243">
        <v>136.51</v>
      </c>
      <c r="BB149" s="243">
        <v>822.5</v>
      </c>
      <c r="BC149" s="243">
        <v>349.19900000000001</v>
      </c>
      <c r="BD149" s="367">
        <v>1825.4</v>
      </c>
      <c r="BE149" s="243">
        <v>3016.7</v>
      </c>
      <c r="BF149" s="243">
        <v>455.7</v>
      </c>
      <c r="BG149" s="243">
        <v>5610.01</v>
      </c>
      <c r="BH149" s="243">
        <v>29876.659649122801</v>
      </c>
      <c r="BI149" s="243">
        <v>2487.85129502058</v>
      </c>
      <c r="BJ149" s="243">
        <v>4131.09</v>
      </c>
      <c r="BK149" s="654">
        <v>6669946</v>
      </c>
      <c r="BL149" s="654">
        <v>5085746</v>
      </c>
      <c r="BM149" s="654">
        <v>217552</v>
      </c>
      <c r="BN149" s="654">
        <v>180310</v>
      </c>
      <c r="BO149" s="243">
        <v>123.701260102197</v>
      </c>
      <c r="BP149" s="243">
        <v>42.644944021007461</v>
      </c>
      <c r="BQ149" s="243">
        <v>629.97309397759864</v>
      </c>
      <c r="BR149" s="243">
        <v>2603494.1</v>
      </c>
      <c r="BS149" s="243">
        <v>543</v>
      </c>
      <c r="BT149" s="243">
        <v>20345.400000000001</v>
      </c>
      <c r="BU149" s="243">
        <v>3278986</v>
      </c>
      <c r="BV149" s="243">
        <v>104867</v>
      </c>
      <c r="BW149" s="243">
        <v>20318.13</v>
      </c>
      <c r="BX149" s="243">
        <v>3111792</v>
      </c>
      <c r="BY149" s="243">
        <v>159356</v>
      </c>
      <c r="BZ149" s="243">
        <v>18188.3</v>
      </c>
      <c r="CA149" s="243">
        <v>8715.77</v>
      </c>
      <c r="CB149" s="243">
        <v>5929.56</v>
      </c>
      <c r="CC149" s="243">
        <v>1112422</v>
      </c>
      <c r="CD149" s="243">
        <v>632231</v>
      </c>
      <c r="CE149" s="243">
        <v>733586</v>
      </c>
      <c r="CF149" s="243">
        <v>463338</v>
      </c>
      <c r="CG149" s="1283">
        <v>0</v>
      </c>
    </row>
    <row r="150" spans="1:85" ht="13.2">
      <c r="A150" s="155">
        <v>45066</v>
      </c>
      <c r="B150" s="243">
        <v>1067.7529999999999</v>
      </c>
      <c r="C150" s="243">
        <v>589.65700000000004</v>
      </c>
      <c r="D150" s="243">
        <v>6860.6</v>
      </c>
      <c r="E150" s="1274">
        <v>0</v>
      </c>
      <c r="F150" s="243">
        <v>18306.400000000001</v>
      </c>
      <c r="G150" s="243">
        <v>5804.3</v>
      </c>
      <c r="H150" s="243">
        <v>6140.8</v>
      </c>
      <c r="I150" s="243">
        <v>3082.1</v>
      </c>
      <c r="J150" s="243">
        <v>206123</v>
      </c>
      <c r="K150" s="402"/>
      <c r="L150" s="402"/>
      <c r="M150" s="243">
        <v>14959.2</v>
      </c>
      <c r="N150" s="243">
        <v>7011</v>
      </c>
      <c r="O150" s="402">
        <v>46196</v>
      </c>
      <c r="P150" s="402">
        <v>36751.300000000003</v>
      </c>
      <c r="Q150" s="243">
        <v>137939.91</v>
      </c>
      <c r="R150" s="243">
        <v>114413.6</v>
      </c>
      <c r="S150" s="243">
        <v>140235.67000000001</v>
      </c>
      <c r="T150" s="243">
        <v>96214.58</v>
      </c>
      <c r="U150" s="243">
        <v>14051.63</v>
      </c>
      <c r="V150" s="243">
        <v>10671.64</v>
      </c>
      <c r="W150" s="243">
        <v>39366.972999999998</v>
      </c>
      <c r="X150" s="243">
        <v>20330</v>
      </c>
      <c r="Y150" s="243">
        <v>211627.4</v>
      </c>
      <c r="Z150" s="981">
        <v>345.9</v>
      </c>
      <c r="AA150" s="981">
        <v>50716</v>
      </c>
      <c r="AB150" s="243">
        <v>589021</v>
      </c>
      <c r="AC150" s="243">
        <v>300141.09999999998</v>
      </c>
      <c r="AD150" s="243">
        <v>211647.3</v>
      </c>
      <c r="AE150" s="981">
        <v>1112.4000000000001</v>
      </c>
      <c r="AF150" s="1051">
        <v>942</v>
      </c>
      <c r="AG150" s="243">
        <v>35584.61</v>
      </c>
      <c r="AH150" s="243">
        <v>25367.67</v>
      </c>
      <c r="AI150" s="402">
        <v>82584.69</v>
      </c>
      <c r="AJ150" s="243">
        <v>63844.53</v>
      </c>
      <c r="AK150" s="243">
        <v>66539.48</v>
      </c>
      <c r="AL150" s="243">
        <v>54222.080000000002</v>
      </c>
      <c r="AM150" s="243">
        <v>59687.9</v>
      </c>
      <c r="AN150" s="243">
        <v>23469.1</v>
      </c>
      <c r="AO150" s="243">
        <v>16.8</v>
      </c>
      <c r="AP150" s="243">
        <v>18</v>
      </c>
      <c r="AQ150" s="243">
        <v>495168.2</v>
      </c>
      <c r="AR150" s="243">
        <v>228451.6</v>
      </c>
      <c r="AS150" s="243">
        <v>65214.892</v>
      </c>
      <c r="AT150" s="981"/>
      <c r="AU150" s="243">
        <v>462426.5</v>
      </c>
      <c r="AV150" s="243">
        <v>203512.2</v>
      </c>
      <c r="AW150" s="243">
        <v>79995.399999999994</v>
      </c>
      <c r="AX150" s="243">
        <v>4432.2299999999996</v>
      </c>
      <c r="AY150" s="243">
        <v>2958.24</v>
      </c>
      <c r="AZ150" s="243">
        <v>225.21</v>
      </c>
      <c r="BA150" s="243">
        <v>136.51</v>
      </c>
      <c r="BB150" s="243">
        <v>822.5</v>
      </c>
      <c r="BC150" s="243">
        <v>349.19900000000001</v>
      </c>
      <c r="BD150" s="367">
        <v>1825.4</v>
      </c>
      <c r="BE150" s="243">
        <v>3017.8</v>
      </c>
      <c r="BF150" s="243">
        <v>455.7</v>
      </c>
      <c r="BG150" s="243">
        <v>6318.21</v>
      </c>
      <c r="BH150" s="243">
        <v>28646.8421052632</v>
      </c>
      <c r="BI150" s="243">
        <v>2562.15979850638</v>
      </c>
      <c r="BJ150" s="243">
        <v>4105.3900000000003</v>
      </c>
      <c r="BK150" s="654">
        <v>6669946</v>
      </c>
      <c r="BL150" s="654">
        <v>5085746</v>
      </c>
      <c r="BM150" s="654">
        <v>217805</v>
      </c>
      <c r="BN150" s="654">
        <v>180465</v>
      </c>
      <c r="BO150" s="243">
        <v>126.74116936970699</v>
      </c>
      <c r="BP150" s="243">
        <v>41.805094031479207</v>
      </c>
      <c r="BQ150" s="243">
        <v>641.76998235538724</v>
      </c>
      <c r="BR150" s="243">
        <v>2605562</v>
      </c>
      <c r="BS150" s="243">
        <v>544</v>
      </c>
      <c r="BT150" s="243">
        <v>20367.400000000001</v>
      </c>
      <c r="BU150" s="243">
        <v>3280126</v>
      </c>
      <c r="BV150" s="243">
        <v>104868</v>
      </c>
      <c r="BW150" s="243">
        <v>20327.5</v>
      </c>
      <c r="BX150" s="243">
        <v>3114046</v>
      </c>
      <c r="BY150" s="243">
        <v>159517</v>
      </c>
      <c r="BZ150" s="243">
        <v>18203.53</v>
      </c>
      <c r="CA150" s="243">
        <v>8722.33</v>
      </c>
      <c r="CB150" s="243">
        <v>5934.18</v>
      </c>
      <c r="CC150" s="243">
        <v>1112817</v>
      </c>
      <c r="CD150" s="243">
        <v>632472</v>
      </c>
      <c r="CE150" s="243">
        <v>734066</v>
      </c>
      <c r="CF150" s="243">
        <v>463612</v>
      </c>
      <c r="CG150" s="1283">
        <v>0</v>
      </c>
    </row>
    <row r="151" spans="1:85" ht="13.2">
      <c r="A151" s="155">
        <v>45067</v>
      </c>
      <c r="B151" s="243">
        <v>1067.7529999999999</v>
      </c>
      <c r="C151" s="243">
        <v>589.65700000000004</v>
      </c>
      <c r="D151" s="243">
        <v>6860.6</v>
      </c>
      <c r="E151" s="1274">
        <v>0</v>
      </c>
      <c r="F151" s="243">
        <v>18318.099999999999</v>
      </c>
      <c r="G151" s="243">
        <v>5804.9</v>
      </c>
      <c r="H151" s="243">
        <v>6318.4</v>
      </c>
      <c r="I151" s="243">
        <v>3167.6</v>
      </c>
      <c r="J151" s="243">
        <v>206147</v>
      </c>
      <c r="K151" s="402"/>
      <c r="L151" s="402"/>
      <c r="M151" s="243">
        <v>14959.2</v>
      </c>
      <c r="N151" s="243">
        <v>7011</v>
      </c>
      <c r="O151" s="402">
        <v>46196</v>
      </c>
      <c r="P151" s="402">
        <v>36751.300000000003</v>
      </c>
      <c r="Q151" s="243">
        <v>137953.96</v>
      </c>
      <c r="R151" s="243">
        <v>114424.89</v>
      </c>
      <c r="S151" s="243">
        <v>140250.01999999999</v>
      </c>
      <c r="T151" s="243">
        <v>96224.66</v>
      </c>
      <c r="U151" s="243">
        <v>14051.63</v>
      </c>
      <c r="V151" s="243">
        <v>10671.64</v>
      </c>
      <c r="W151" s="243">
        <v>39514.595999999998</v>
      </c>
      <c r="X151" s="243">
        <v>20400</v>
      </c>
      <c r="Y151" s="243">
        <v>211651.4</v>
      </c>
      <c r="Z151" s="981">
        <v>345.9</v>
      </c>
      <c r="AA151" s="981">
        <v>50716</v>
      </c>
      <c r="AB151" s="243">
        <v>589324.25</v>
      </c>
      <c r="AC151" s="243">
        <v>300291.88</v>
      </c>
      <c r="AD151" s="243">
        <v>211671.3</v>
      </c>
      <c r="AE151" s="981">
        <v>1112.4000000000001</v>
      </c>
      <c r="AF151" s="1051">
        <v>942</v>
      </c>
      <c r="AG151" s="243">
        <v>35587.050000000003</v>
      </c>
      <c r="AH151" s="243">
        <v>25369.37</v>
      </c>
      <c r="AI151" s="402">
        <v>82593.34</v>
      </c>
      <c r="AJ151" s="243">
        <v>63851.14</v>
      </c>
      <c r="AK151" s="243">
        <v>66574.149999999994</v>
      </c>
      <c r="AL151" s="243">
        <v>54251.41</v>
      </c>
      <c r="AM151" s="243">
        <v>59698.9</v>
      </c>
      <c r="AN151" s="243">
        <v>23473.3</v>
      </c>
      <c r="AO151" s="243">
        <v>16.8</v>
      </c>
      <c r="AP151" s="243">
        <v>18</v>
      </c>
      <c r="AQ151" s="243">
        <v>495330.1</v>
      </c>
      <c r="AR151" s="243">
        <v>228524.6</v>
      </c>
      <c r="AS151" s="243">
        <v>65219.576000000001</v>
      </c>
      <c r="AT151" s="981"/>
      <c r="AU151" s="243">
        <v>462573.6</v>
      </c>
      <c r="AV151" s="243">
        <v>203576.1</v>
      </c>
      <c r="AW151" s="243">
        <v>80019.399999999994</v>
      </c>
      <c r="AX151" s="243">
        <v>4432.2299999999996</v>
      </c>
      <c r="AY151" s="243">
        <v>2958.24</v>
      </c>
      <c r="AZ151" s="243">
        <v>225.21</v>
      </c>
      <c r="BA151" s="243">
        <v>136.51</v>
      </c>
      <c r="BB151" s="243">
        <v>822.5</v>
      </c>
      <c r="BC151" s="243">
        <v>349.19900000000001</v>
      </c>
      <c r="BD151" s="367">
        <v>1825.4</v>
      </c>
      <c r="BE151" s="243">
        <v>3020.1</v>
      </c>
      <c r="BF151" s="243">
        <v>455.7</v>
      </c>
      <c r="BG151" s="243">
        <v>6545.74</v>
      </c>
      <c r="BH151" s="243">
        <v>25277.633333333299</v>
      </c>
      <c r="BI151" s="243">
        <v>1369.3191721857199</v>
      </c>
      <c r="BJ151" s="243">
        <v>5032.6000000000004</v>
      </c>
      <c r="BK151" s="654">
        <v>6669946</v>
      </c>
      <c r="BL151" s="654">
        <v>5085746</v>
      </c>
      <c r="BM151" s="654">
        <v>218011</v>
      </c>
      <c r="BN151" s="654">
        <v>180606</v>
      </c>
      <c r="BO151" s="243">
        <v>126.127023187989</v>
      </c>
      <c r="BP151" s="243">
        <v>42.568092991101331</v>
      </c>
      <c r="BQ151" s="243">
        <v>641.93916170546902</v>
      </c>
      <c r="BR151" s="243">
        <v>2608226</v>
      </c>
      <c r="BS151" s="243">
        <v>545</v>
      </c>
      <c r="BT151" s="243">
        <v>20385</v>
      </c>
      <c r="BU151" s="243">
        <v>3284537</v>
      </c>
      <c r="BV151" s="243">
        <v>105248</v>
      </c>
      <c r="BW151" s="243">
        <v>20351.5</v>
      </c>
      <c r="BX151" s="243">
        <v>3114191</v>
      </c>
      <c r="BY151" s="243">
        <v>159517</v>
      </c>
      <c r="BZ151" s="243">
        <v>18204.5</v>
      </c>
      <c r="CA151" s="243">
        <v>8728.7199999999993</v>
      </c>
      <c r="CB151" s="243">
        <v>5938.61</v>
      </c>
      <c r="CC151" s="243">
        <v>1113249</v>
      </c>
      <c r="CD151" s="243">
        <v>632726</v>
      </c>
      <c r="CE151" s="243">
        <v>734706</v>
      </c>
      <c r="CF151" s="243">
        <v>464015</v>
      </c>
      <c r="CG151" s="1283">
        <v>0</v>
      </c>
    </row>
    <row r="152" spans="1:85" ht="13.2">
      <c r="A152" s="155">
        <v>45068</v>
      </c>
      <c r="B152" s="243">
        <v>1067.998</v>
      </c>
      <c r="C152" s="243">
        <v>589.774</v>
      </c>
      <c r="D152" s="243">
        <v>6861.1</v>
      </c>
      <c r="E152" s="1274">
        <v>0.2</v>
      </c>
      <c r="F152" s="243">
        <v>18330.3</v>
      </c>
      <c r="G152" s="243">
        <v>5807.1</v>
      </c>
      <c r="H152" s="243">
        <v>6496.4</v>
      </c>
      <c r="I152" s="243">
        <v>3252.8</v>
      </c>
      <c r="J152" s="243">
        <v>206171</v>
      </c>
      <c r="K152" s="402"/>
      <c r="L152" s="402"/>
      <c r="M152" s="243">
        <v>14959.2</v>
      </c>
      <c r="N152" s="243">
        <v>7011</v>
      </c>
      <c r="O152" s="402">
        <v>46196</v>
      </c>
      <c r="P152" s="402">
        <v>36751.300000000003</v>
      </c>
      <c r="Q152" s="243">
        <v>137967.95000000001</v>
      </c>
      <c r="R152" s="243">
        <v>114435.96</v>
      </c>
      <c r="S152" s="243">
        <v>140263.89000000001</v>
      </c>
      <c r="T152" s="243">
        <v>96234.41</v>
      </c>
      <c r="U152" s="243">
        <v>14051.63</v>
      </c>
      <c r="V152" s="243">
        <v>10671.64</v>
      </c>
      <c r="W152" s="243">
        <v>39664.79</v>
      </c>
      <c r="X152" s="243">
        <v>20477</v>
      </c>
      <c r="Y152" s="243">
        <v>211675.4</v>
      </c>
      <c r="Z152" s="981">
        <v>345.9</v>
      </c>
      <c r="AA152" s="981">
        <v>50716</v>
      </c>
      <c r="AB152" s="243">
        <v>589631.06000000006</v>
      </c>
      <c r="AC152" s="243">
        <v>300441.63</v>
      </c>
      <c r="AD152" s="243">
        <v>211695.3</v>
      </c>
      <c r="AE152" s="981">
        <v>1112.4000000000001</v>
      </c>
      <c r="AF152" s="1051">
        <v>942</v>
      </c>
      <c r="AG152" s="243">
        <v>35589.440000000002</v>
      </c>
      <c r="AH152" s="243">
        <v>25371.05</v>
      </c>
      <c r="AI152" s="402">
        <v>82602.009999999995</v>
      </c>
      <c r="AJ152" s="243">
        <v>63857.8</v>
      </c>
      <c r="AK152" s="243">
        <v>66606.539999999994</v>
      </c>
      <c r="AL152" s="243">
        <v>54278.9</v>
      </c>
      <c r="AM152" s="243">
        <v>59713</v>
      </c>
      <c r="AN152" s="243">
        <v>23478.7</v>
      </c>
      <c r="AO152" s="243">
        <v>16.8</v>
      </c>
      <c r="AP152" s="243">
        <v>18</v>
      </c>
      <c r="AQ152" s="243">
        <v>495488.3</v>
      </c>
      <c r="AR152" s="243">
        <v>228597.2</v>
      </c>
      <c r="AS152" s="243">
        <v>65224.247000000003</v>
      </c>
      <c r="AT152" s="981"/>
      <c r="AU152" s="243">
        <v>462720.8</v>
      </c>
      <c r="AV152" s="243">
        <v>203639.9</v>
      </c>
      <c r="AW152" s="243">
        <v>80043.399999999994</v>
      </c>
      <c r="AX152" s="243">
        <v>4432.4799999999996</v>
      </c>
      <c r="AY152" s="243">
        <v>2958.41</v>
      </c>
      <c r="AZ152" s="243">
        <v>225.21</v>
      </c>
      <c r="BA152" s="243">
        <v>136.51</v>
      </c>
      <c r="BB152" s="243">
        <v>822.90899999999999</v>
      </c>
      <c r="BC152" s="243">
        <v>349.35500000000002</v>
      </c>
      <c r="BD152" s="367">
        <v>1825.9</v>
      </c>
      <c r="BE152" s="243">
        <v>3022.3</v>
      </c>
      <c r="BF152" s="243">
        <v>455.7</v>
      </c>
      <c r="BG152" s="243">
        <v>6389.46</v>
      </c>
      <c r="BH152" s="243">
        <v>26867.2192982456</v>
      </c>
      <c r="BI152" s="243">
        <v>4026.9658815862999</v>
      </c>
      <c r="BJ152" s="243">
        <v>4293.07</v>
      </c>
      <c r="BK152" s="654">
        <v>6669946</v>
      </c>
      <c r="BL152" s="654">
        <v>5085746</v>
      </c>
      <c r="BM152" s="654">
        <v>218227</v>
      </c>
      <c r="BN152" s="654">
        <v>180745</v>
      </c>
      <c r="BO152" s="243">
        <v>127.358912652238</v>
      </c>
      <c r="BP152" s="243">
        <v>42.695818945979894</v>
      </c>
      <c r="BQ152" s="243">
        <v>644.12304031523684</v>
      </c>
      <c r="BR152" s="243">
        <v>2610482</v>
      </c>
      <c r="BS152" s="243">
        <v>546</v>
      </c>
      <c r="BT152" s="243">
        <v>20409</v>
      </c>
      <c r="BU152" s="243">
        <v>3288841</v>
      </c>
      <c r="BV152" s="243">
        <v>106131</v>
      </c>
      <c r="BW152" s="243">
        <v>20375.5</v>
      </c>
      <c r="BX152" s="243">
        <v>3115237</v>
      </c>
      <c r="BY152" s="243">
        <v>159517</v>
      </c>
      <c r="BZ152" s="243">
        <v>18215.43</v>
      </c>
      <c r="CA152" s="243">
        <v>8734.82</v>
      </c>
      <c r="CB152" s="243">
        <v>5942.84</v>
      </c>
      <c r="CC152" s="243">
        <v>1114241</v>
      </c>
      <c r="CD152" s="243">
        <v>633270</v>
      </c>
      <c r="CE152" s="243">
        <v>735142</v>
      </c>
      <c r="CF152" s="243">
        <v>464284</v>
      </c>
      <c r="CG152" s="1283">
        <v>0.4</v>
      </c>
    </row>
    <row r="153" spans="1:85" ht="13.2">
      <c r="A153" s="155">
        <v>45069</v>
      </c>
      <c r="B153" s="243">
        <v>1067.998</v>
      </c>
      <c r="C153" s="243">
        <v>589.774</v>
      </c>
      <c r="D153" s="243">
        <v>6861.1</v>
      </c>
      <c r="E153" s="1274">
        <v>0</v>
      </c>
      <c r="F153" s="243">
        <v>18341.7</v>
      </c>
      <c r="G153" s="243">
        <v>5807.7</v>
      </c>
      <c r="H153" s="243">
        <v>6599.5</v>
      </c>
      <c r="I153" s="243">
        <v>3303.9</v>
      </c>
      <c r="J153" s="243">
        <v>206186</v>
      </c>
      <c r="K153" s="402"/>
      <c r="L153" s="402"/>
      <c r="M153" s="243">
        <v>14959.2</v>
      </c>
      <c r="N153" s="243">
        <v>7011</v>
      </c>
      <c r="O153" s="402">
        <v>46196</v>
      </c>
      <c r="P153" s="402">
        <v>36751.300000000003</v>
      </c>
      <c r="Q153" s="243">
        <v>137980</v>
      </c>
      <c r="R153" s="243">
        <v>114446</v>
      </c>
      <c r="S153" s="243">
        <v>140279</v>
      </c>
      <c r="T153" s="243">
        <v>96244.6</v>
      </c>
      <c r="U153" s="243">
        <v>14051.63</v>
      </c>
      <c r="V153" s="243">
        <v>10671.64</v>
      </c>
      <c r="W153" s="243">
        <v>39792</v>
      </c>
      <c r="X153" s="243">
        <v>20539</v>
      </c>
      <c r="Y153" s="243">
        <v>211699.4</v>
      </c>
      <c r="Z153" s="981">
        <v>345.9</v>
      </c>
      <c r="AA153" s="981">
        <v>50716</v>
      </c>
      <c r="AB153" s="243">
        <v>589878</v>
      </c>
      <c r="AC153" s="243">
        <v>300566</v>
      </c>
      <c r="AD153" s="243">
        <v>211719.3</v>
      </c>
      <c r="AE153" s="981">
        <v>1112.4000000000001</v>
      </c>
      <c r="AF153" s="1051">
        <v>942</v>
      </c>
      <c r="AG153" s="243">
        <v>35591.9</v>
      </c>
      <c r="AH153" s="243">
        <v>25372.7</v>
      </c>
      <c r="AI153" s="402">
        <v>82610</v>
      </c>
      <c r="AJ153" s="243">
        <v>63863.9</v>
      </c>
      <c r="AK153" s="243">
        <v>66639.3</v>
      </c>
      <c r="AL153" s="243">
        <v>54306.6</v>
      </c>
      <c r="AM153" s="243">
        <v>59722.1</v>
      </c>
      <c r="AN153" s="243">
        <v>23482.2</v>
      </c>
      <c r="AO153" s="243">
        <v>16.8</v>
      </c>
      <c r="AP153" s="243">
        <v>18</v>
      </c>
      <c r="AQ153" s="243">
        <v>495651</v>
      </c>
      <c r="AR153" s="243">
        <v>228672</v>
      </c>
      <c r="AS153" s="243">
        <v>65230</v>
      </c>
      <c r="AT153" s="981"/>
      <c r="AU153" s="243">
        <v>462864</v>
      </c>
      <c r="AV153" s="243">
        <v>203702</v>
      </c>
      <c r="AW153" s="243">
        <v>80067.399999999994</v>
      </c>
      <c r="AX153" s="243">
        <v>4435.7</v>
      </c>
      <c r="AY153" s="243">
        <v>2960.6</v>
      </c>
      <c r="AZ153" s="243">
        <v>225.3</v>
      </c>
      <c r="BA153" s="243">
        <v>136.5</v>
      </c>
      <c r="BB153" s="243">
        <v>822.90899999999999</v>
      </c>
      <c r="BC153" s="243">
        <v>349.35500000000002</v>
      </c>
      <c r="BD153" s="367">
        <v>1825.9</v>
      </c>
      <c r="BE153" s="243">
        <v>3023.7</v>
      </c>
      <c r="BF153" s="243">
        <v>455.7</v>
      </c>
      <c r="BG153" s="243">
        <v>5483.98</v>
      </c>
      <c r="BH153" s="243">
        <v>29353.9385964912</v>
      </c>
      <c r="BI153" s="243">
        <v>16392.339300860302</v>
      </c>
      <c r="BJ153" s="243">
        <v>3518.36</v>
      </c>
      <c r="BK153" s="243">
        <v>6670050</v>
      </c>
      <c r="BL153" s="243">
        <v>5085869</v>
      </c>
      <c r="BM153" s="654">
        <v>218439</v>
      </c>
      <c r="BN153" s="654">
        <v>180870</v>
      </c>
      <c r="BO153" s="243">
        <v>127.39522803069747</v>
      </c>
      <c r="BP153" s="243">
        <v>42.985598180893739</v>
      </c>
      <c r="BQ153" s="243">
        <v>641.0294303915266</v>
      </c>
      <c r="BR153" s="243">
        <v>2612900</v>
      </c>
      <c r="BS153" s="243">
        <v>547</v>
      </c>
      <c r="BT153" s="243">
        <v>20433</v>
      </c>
      <c r="BU153" s="243">
        <v>3293296</v>
      </c>
      <c r="BV153" s="243">
        <v>106872</v>
      </c>
      <c r="BW153" s="243">
        <v>20399.5</v>
      </c>
      <c r="BX153" s="243">
        <v>3115237</v>
      </c>
      <c r="BY153" s="243">
        <v>159517</v>
      </c>
      <c r="BZ153" s="243">
        <v>18215.43</v>
      </c>
      <c r="CA153" s="243">
        <v>8741.2999999999993</v>
      </c>
      <c r="CB153" s="243">
        <v>5947.4</v>
      </c>
      <c r="CC153" s="243">
        <v>1115447</v>
      </c>
      <c r="CD153" s="243">
        <v>633944</v>
      </c>
      <c r="CE153" s="243">
        <v>735512</v>
      </c>
      <c r="CF153" s="243">
        <v>464514</v>
      </c>
      <c r="CG153" s="1283">
        <v>0</v>
      </c>
    </row>
    <row r="154" spans="1:85" ht="13.2">
      <c r="A154" s="155">
        <v>45070</v>
      </c>
      <c r="B154" s="243">
        <v>1067.998</v>
      </c>
      <c r="C154" s="243">
        <v>589.774</v>
      </c>
      <c r="D154" s="243">
        <v>6861.1</v>
      </c>
      <c r="E154" s="1274">
        <v>0</v>
      </c>
      <c r="F154" s="243">
        <v>18352.8</v>
      </c>
      <c r="G154" s="243">
        <v>5808.2</v>
      </c>
      <c r="H154" s="243">
        <v>6599.5</v>
      </c>
      <c r="I154" s="243">
        <v>3303.9</v>
      </c>
      <c r="J154" s="243">
        <v>206186</v>
      </c>
      <c r="K154" s="402"/>
      <c r="L154" s="402"/>
      <c r="M154" s="243">
        <v>14959.2</v>
      </c>
      <c r="N154" s="243">
        <v>7011</v>
      </c>
      <c r="O154" s="402">
        <v>46196</v>
      </c>
      <c r="P154" s="402">
        <v>36751.300000000003</v>
      </c>
      <c r="Q154" s="243">
        <v>137992</v>
      </c>
      <c r="R154" s="243">
        <v>114455</v>
      </c>
      <c r="S154" s="243">
        <v>140294</v>
      </c>
      <c r="T154" s="243">
        <v>96255.1</v>
      </c>
      <c r="U154" s="243">
        <v>14051.63</v>
      </c>
      <c r="V154" s="243">
        <v>10671.64</v>
      </c>
      <c r="W154" s="243">
        <v>39876</v>
      </c>
      <c r="X154" s="243">
        <v>20583</v>
      </c>
      <c r="Y154" s="243">
        <v>211723.4</v>
      </c>
      <c r="Z154" s="981">
        <v>345.9</v>
      </c>
      <c r="AA154" s="981">
        <v>50716</v>
      </c>
      <c r="AB154" s="243">
        <v>590044</v>
      </c>
      <c r="AC154" s="243">
        <v>300651</v>
      </c>
      <c r="AD154" s="243">
        <v>211743.3</v>
      </c>
      <c r="AE154" s="981">
        <v>1112.4000000000001</v>
      </c>
      <c r="AF154" s="1051">
        <v>942</v>
      </c>
      <c r="AG154" s="243">
        <v>35594.400000000001</v>
      </c>
      <c r="AH154" s="243">
        <v>25374.5</v>
      </c>
      <c r="AI154" s="402">
        <v>82615.3</v>
      </c>
      <c r="AJ154" s="243">
        <v>63867.9</v>
      </c>
      <c r="AK154" s="243">
        <v>66674.100000000006</v>
      </c>
      <c r="AL154" s="243">
        <v>54336.4</v>
      </c>
      <c r="AM154" s="243">
        <v>59727.3</v>
      </c>
      <c r="AN154" s="243">
        <v>23484.3</v>
      </c>
      <c r="AO154" s="243">
        <v>16.8</v>
      </c>
      <c r="AP154" s="243">
        <v>18</v>
      </c>
      <c r="AQ154" s="243">
        <v>495801</v>
      </c>
      <c r="AR154" s="243">
        <v>228742</v>
      </c>
      <c r="AS154" s="243">
        <v>65235</v>
      </c>
      <c r="AT154" s="981"/>
      <c r="AU154" s="243">
        <v>462998</v>
      </c>
      <c r="AV154" s="243">
        <v>203761</v>
      </c>
      <c r="AW154" s="243">
        <v>80091.399999999994</v>
      </c>
      <c r="AX154" s="243">
        <v>4438.8</v>
      </c>
      <c r="AY154" s="243">
        <v>2962.8</v>
      </c>
      <c r="AZ154" s="243">
        <v>225.3</v>
      </c>
      <c r="BA154" s="243">
        <v>136.5</v>
      </c>
      <c r="BB154" s="243">
        <v>822.90899999999999</v>
      </c>
      <c r="BC154" s="243">
        <v>349.35500000000002</v>
      </c>
      <c r="BD154" s="367">
        <v>1825.9</v>
      </c>
      <c r="BE154" s="243">
        <v>3025.5</v>
      </c>
      <c r="BF154" s="243">
        <v>455.7</v>
      </c>
      <c r="BG154" s="243">
        <v>5710.47</v>
      </c>
      <c r="BH154" s="243">
        <v>26294.419298245601</v>
      </c>
      <c r="BI154" s="243">
        <v>13235.0252605852</v>
      </c>
      <c r="BJ154" s="243">
        <v>4110.7299999999996</v>
      </c>
      <c r="BK154" s="243">
        <v>6670361</v>
      </c>
      <c r="BL154" s="243">
        <v>5086070</v>
      </c>
      <c r="BM154" s="654">
        <v>218439</v>
      </c>
      <c r="BN154" s="654">
        <v>180870</v>
      </c>
      <c r="BO154" s="243">
        <v>127</v>
      </c>
      <c r="BP154" s="243">
        <v>42.981000000000002</v>
      </c>
      <c r="BQ154" s="243">
        <v>646</v>
      </c>
      <c r="BR154" s="243">
        <v>2615000</v>
      </c>
      <c r="BS154" s="243">
        <v>548</v>
      </c>
      <c r="BT154" s="243">
        <v>20457</v>
      </c>
      <c r="BU154" s="243">
        <v>3297313</v>
      </c>
      <c r="BV154" s="243">
        <v>107052</v>
      </c>
      <c r="BW154" s="243">
        <v>20423.5</v>
      </c>
      <c r="BX154" s="243">
        <v>3115237</v>
      </c>
      <c r="BY154" s="243">
        <v>159517</v>
      </c>
      <c r="BZ154" s="243">
        <v>18215.43</v>
      </c>
      <c r="CA154" s="243">
        <v>8747.6</v>
      </c>
      <c r="CB154" s="243">
        <v>5951.8</v>
      </c>
      <c r="CC154" s="243">
        <v>1116678</v>
      </c>
      <c r="CD154" s="243">
        <v>634613</v>
      </c>
      <c r="CE154" s="243">
        <v>736225</v>
      </c>
      <c r="CF154" s="243">
        <v>464922</v>
      </c>
      <c r="CG154" s="1283">
        <v>0</v>
      </c>
    </row>
    <row r="155" spans="1:85" ht="13.2">
      <c r="A155" s="155">
        <v>45071</v>
      </c>
      <c r="B155" s="243">
        <v>1067.998</v>
      </c>
      <c r="C155" s="243">
        <v>589.774</v>
      </c>
      <c r="D155" s="243">
        <v>6861.1</v>
      </c>
      <c r="E155" s="1274">
        <v>0</v>
      </c>
      <c r="F155" s="243">
        <v>18363.400000000001</v>
      </c>
      <c r="G155" s="243">
        <v>5808.2</v>
      </c>
      <c r="H155" s="243">
        <v>6599.5</v>
      </c>
      <c r="I155" s="243">
        <v>3303.9</v>
      </c>
      <c r="J155" s="243">
        <v>206186</v>
      </c>
      <c r="K155" s="402"/>
      <c r="L155" s="402"/>
      <c r="M155" s="243">
        <v>14959.2</v>
      </c>
      <c r="N155" s="243">
        <v>7011</v>
      </c>
      <c r="O155" s="402">
        <v>46196</v>
      </c>
      <c r="P155" s="402">
        <v>36751.300000000003</v>
      </c>
      <c r="Q155" s="243">
        <v>138003</v>
      </c>
      <c r="R155" s="243">
        <v>114464</v>
      </c>
      <c r="S155" s="243">
        <v>140309</v>
      </c>
      <c r="T155" s="243">
        <v>96265.5</v>
      </c>
      <c r="U155" s="243">
        <v>14051.63</v>
      </c>
      <c r="V155" s="243">
        <v>10671.64</v>
      </c>
      <c r="W155" s="243">
        <v>39960</v>
      </c>
      <c r="X155" s="243">
        <v>20624</v>
      </c>
      <c r="Y155" s="243">
        <v>211747.4</v>
      </c>
      <c r="Z155" s="981">
        <v>345.9</v>
      </c>
      <c r="AA155" s="981">
        <v>50716</v>
      </c>
      <c r="AB155" s="243">
        <v>590232</v>
      </c>
      <c r="AC155" s="243">
        <v>300748</v>
      </c>
      <c r="AD155" s="243">
        <v>211767.3</v>
      </c>
      <c r="AE155" s="981">
        <v>1112.4000000000001</v>
      </c>
      <c r="AF155" s="1051">
        <v>942</v>
      </c>
      <c r="AG155" s="243">
        <v>35596.9</v>
      </c>
      <c r="AH155" s="243">
        <v>25376.2</v>
      </c>
      <c r="AI155" s="402">
        <v>82621.600000000006</v>
      </c>
      <c r="AJ155" s="243">
        <v>63872.6</v>
      </c>
      <c r="AK155" s="243">
        <v>66710.5</v>
      </c>
      <c r="AL155" s="243">
        <v>54367.7</v>
      </c>
      <c r="AM155" s="243">
        <v>59736.4</v>
      </c>
      <c r="AN155" s="243">
        <v>23487.9</v>
      </c>
      <c r="AO155" s="243">
        <v>16.8</v>
      </c>
      <c r="AP155" s="243">
        <v>18</v>
      </c>
      <c r="AQ155" s="243">
        <v>495966</v>
      </c>
      <c r="AR155" s="243">
        <v>228818</v>
      </c>
      <c r="AS155" s="402">
        <v>65241</v>
      </c>
      <c r="AT155" s="981"/>
      <c r="AU155" s="243">
        <v>463145</v>
      </c>
      <c r="AV155" s="243">
        <v>203825</v>
      </c>
      <c r="AW155" s="243">
        <v>80115.399999999994</v>
      </c>
      <c r="AX155" s="243">
        <v>4442.2</v>
      </c>
      <c r="AY155" s="243">
        <v>2965.2</v>
      </c>
      <c r="AZ155" s="243">
        <v>225.3</v>
      </c>
      <c r="BA155" s="243">
        <v>136.5</v>
      </c>
      <c r="BB155" s="243">
        <v>822.90899999999999</v>
      </c>
      <c r="BC155" s="243">
        <v>349.35500000000002</v>
      </c>
      <c r="BD155" s="367">
        <v>1825.9</v>
      </c>
      <c r="BE155" s="243">
        <v>3027.7</v>
      </c>
      <c r="BF155" s="243">
        <v>455.7</v>
      </c>
      <c r="BG155" s="243">
        <v>5217.12</v>
      </c>
      <c r="BH155" s="243">
        <v>29149.498245613999</v>
      </c>
      <c r="BI155" s="981">
        <v>7335.02262296342</v>
      </c>
      <c r="BJ155" s="243">
        <v>4472.88</v>
      </c>
      <c r="BK155" s="654">
        <v>6670708</v>
      </c>
      <c r="BL155" s="654">
        <v>5086343</v>
      </c>
      <c r="BM155" s="654">
        <v>218439</v>
      </c>
      <c r="BN155" s="654">
        <v>180870</v>
      </c>
      <c r="BO155" s="243">
        <v>104</v>
      </c>
      <c r="BP155" s="243">
        <v>37.265000000000001</v>
      </c>
      <c r="BQ155" s="243">
        <v>531</v>
      </c>
      <c r="BR155" s="243">
        <v>2617000</v>
      </c>
      <c r="BS155" s="243">
        <v>549</v>
      </c>
      <c r="BT155" s="243">
        <v>20481</v>
      </c>
      <c r="BU155" s="243">
        <v>3301503</v>
      </c>
      <c r="BV155" s="243">
        <v>107169</v>
      </c>
      <c r="BW155" s="243">
        <v>20447.5</v>
      </c>
      <c r="BX155" s="243">
        <v>3115237</v>
      </c>
      <c r="BY155" s="243">
        <v>159517</v>
      </c>
      <c r="BZ155" s="243">
        <v>18215.43</v>
      </c>
      <c r="CA155" s="243">
        <v>8753.9</v>
      </c>
      <c r="CB155" s="243">
        <v>5956.1</v>
      </c>
      <c r="CC155" s="243">
        <v>1117909</v>
      </c>
      <c r="CD155" s="243">
        <v>635285</v>
      </c>
      <c r="CE155" s="243">
        <v>736435</v>
      </c>
      <c r="CF155" s="243">
        <v>465059</v>
      </c>
      <c r="CG155" s="1283">
        <v>0</v>
      </c>
    </row>
    <row r="156" spans="1:85" ht="13.2">
      <c r="A156" s="155">
        <v>45072</v>
      </c>
      <c r="B156" s="243">
        <v>1067.998</v>
      </c>
      <c r="C156" s="243">
        <v>589.774</v>
      </c>
      <c r="D156" s="243">
        <v>6861.1</v>
      </c>
      <c r="E156" s="1274">
        <v>0</v>
      </c>
      <c r="F156" s="243">
        <v>18373.900000000001</v>
      </c>
      <c r="G156" s="243">
        <v>5808.3</v>
      </c>
      <c r="H156" s="243">
        <v>6599.5</v>
      </c>
      <c r="I156" s="243">
        <v>3303.9</v>
      </c>
      <c r="J156" s="243">
        <v>206186</v>
      </c>
      <c r="K156" s="243"/>
      <c r="L156" s="243"/>
      <c r="M156" s="243">
        <v>14961.7</v>
      </c>
      <c r="N156" s="243">
        <v>7011.1</v>
      </c>
      <c r="O156" s="402">
        <v>46196</v>
      </c>
      <c r="P156" s="402">
        <v>36751.300000000003</v>
      </c>
      <c r="Q156" s="243">
        <v>138015</v>
      </c>
      <c r="R156" s="243">
        <v>114472</v>
      </c>
      <c r="S156" s="243">
        <v>140324</v>
      </c>
      <c r="T156" s="243">
        <v>96275.6</v>
      </c>
      <c r="U156" s="243">
        <v>14051.63</v>
      </c>
      <c r="V156" s="243">
        <v>10671.64</v>
      </c>
      <c r="W156" s="243">
        <v>40044</v>
      </c>
      <c r="X156" s="243">
        <v>20668</v>
      </c>
      <c r="Y156" s="243">
        <v>211771.4</v>
      </c>
      <c r="Z156" s="981">
        <v>345.9</v>
      </c>
      <c r="AA156" s="981">
        <v>50716</v>
      </c>
      <c r="AB156" s="243">
        <v>590426</v>
      </c>
      <c r="AC156" s="243">
        <v>300842</v>
      </c>
      <c r="AD156" s="243">
        <v>211791.3</v>
      </c>
      <c r="AE156" s="981">
        <v>1112.4000000000001</v>
      </c>
      <c r="AF156" s="1051">
        <v>942</v>
      </c>
      <c r="AG156" s="243">
        <v>35599.300000000003</v>
      </c>
      <c r="AH156" s="243">
        <v>25377.9</v>
      </c>
      <c r="AI156" s="243">
        <v>82629.3</v>
      </c>
      <c r="AJ156" s="243">
        <v>63878.5</v>
      </c>
      <c r="AK156" s="243">
        <v>66744.5</v>
      </c>
      <c r="AL156" s="243">
        <v>54396.5</v>
      </c>
      <c r="AM156" s="243">
        <v>59750.2</v>
      </c>
      <c r="AN156" s="243">
        <v>23492.9</v>
      </c>
      <c r="AO156" s="243">
        <v>16.8</v>
      </c>
      <c r="AP156" s="243">
        <v>18</v>
      </c>
      <c r="AQ156" s="243">
        <v>496136</v>
      </c>
      <c r="AR156" s="243">
        <v>228896</v>
      </c>
      <c r="AS156" s="243">
        <v>65246</v>
      </c>
      <c r="AT156" s="243"/>
      <c r="AU156" s="243">
        <v>463298</v>
      </c>
      <c r="AV156" s="243">
        <v>203891</v>
      </c>
      <c r="AW156" s="243">
        <v>80139.399999999994</v>
      </c>
      <c r="AX156" s="243">
        <v>4445.6000000000004</v>
      </c>
      <c r="AY156" s="243">
        <v>2967.7</v>
      </c>
      <c r="AZ156" s="243">
        <v>225.3</v>
      </c>
      <c r="BA156" s="243">
        <v>136.5</v>
      </c>
      <c r="BB156" s="243">
        <v>822.90899999999999</v>
      </c>
      <c r="BC156" s="243">
        <v>349.35500000000002</v>
      </c>
      <c r="BD156" s="367">
        <v>1825.9</v>
      </c>
      <c r="BE156" s="243">
        <v>3030</v>
      </c>
      <c r="BF156" s="243">
        <v>455.7</v>
      </c>
      <c r="BG156" s="243">
        <v>5650.24</v>
      </c>
      <c r="BH156" s="243">
        <v>30304.161403508799</v>
      </c>
      <c r="BI156" s="243">
        <v>7638.2416962937396</v>
      </c>
      <c r="BJ156" s="243">
        <v>6422.38</v>
      </c>
      <c r="BK156" s="243">
        <v>6670988</v>
      </c>
      <c r="BL156" s="243">
        <v>5086553</v>
      </c>
      <c r="BM156" s="654">
        <v>218439</v>
      </c>
      <c r="BN156" s="654">
        <v>180870</v>
      </c>
      <c r="BO156" s="243">
        <v>125</v>
      </c>
      <c r="BP156" s="243">
        <v>42.914999999999999</v>
      </c>
      <c r="BQ156" s="243">
        <v>639</v>
      </c>
      <c r="BR156" s="243">
        <v>2619000</v>
      </c>
      <c r="BS156" s="243">
        <v>550</v>
      </c>
      <c r="BT156" s="243">
        <v>20505</v>
      </c>
      <c r="BU156" s="243">
        <v>3305530</v>
      </c>
      <c r="BV156" s="243">
        <v>107405</v>
      </c>
      <c r="BW156" s="243">
        <v>20471.5</v>
      </c>
      <c r="BX156" s="243">
        <v>3115237</v>
      </c>
      <c r="BY156" s="243">
        <v>159517</v>
      </c>
      <c r="BZ156" s="243">
        <v>18215.43</v>
      </c>
      <c r="CA156" s="243">
        <v>8760</v>
      </c>
      <c r="CB156" s="243">
        <v>5960.4</v>
      </c>
      <c r="CC156" s="243">
        <v>1119119</v>
      </c>
      <c r="CD156" s="243">
        <v>635938</v>
      </c>
      <c r="CE156" s="243">
        <v>736697</v>
      </c>
      <c r="CF156" s="243">
        <v>465225</v>
      </c>
      <c r="CG156" s="1283">
        <v>0</v>
      </c>
    </row>
    <row r="157" spans="1:85" ht="13.2">
      <c r="A157" s="155">
        <v>45073</v>
      </c>
      <c r="B157" s="243">
        <v>1067.998</v>
      </c>
      <c r="C157" s="243">
        <v>589.774</v>
      </c>
      <c r="D157" s="243">
        <v>6861.1</v>
      </c>
      <c r="E157" s="1274">
        <v>0</v>
      </c>
      <c r="F157" s="243">
        <v>18385.3</v>
      </c>
      <c r="G157" s="243">
        <v>5808.6</v>
      </c>
      <c r="H157" s="243">
        <v>6642.5</v>
      </c>
      <c r="I157" s="243">
        <v>3325.3</v>
      </c>
      <c r="J157" s="243">
        <v>206192</v>
      </c>
      <c r="K157" s="243"/>
      <c r="L157" s="243"/>
      <c r="M157" s="243">
        <v>14962.8</v>
      </c>
      <c r="N157" s="243">
        <v>7011.1</v>
      </c>
      <c r="O157" s="402">
        <v>46196</v>
      </c>
      <c r="P157" s="402">
        <v>36751.300000000003</v>
      </c>
      <c r="Q157" s="243">
        <v>138024</v>
      </c>
      <c r="R157" s="243">
        <v>114479</v>
      </c>
      <c r="S157" s="243">
        <v>140338</v>
      </c>
      <c r="T157" s="243">
        <v>96286</v>
      </c>
      <c r="U157" s="243">
        <v>14051.63</v>
      </c>
      <c r="V157" s="243">
        <v>10671.64</v>
      </c>
      <c r="W157" s="243">
        <v>40145</v>
      </c>
      <c r="X157" s="243">
        <v>20722</v>
      </c>
      <c r="Y157" s="243">
        <v>211795.4</v>
      </c>
      <c r="Z157" s="981">
        <v>345.9</v>
      </c>
      <c r="AA157" s="981">
        <v>50716</v>
      </c>
      <c r="AB157" s="243">
        <v>590648</v>
      </c>
      <c r="AC157" s="243">
        <v>300948</v>
      </c>
      <c r="AD157" s="243">
        <v>211815.3</v>
      </c>
      <c r="AE157" s="981">
        <v>1112.4000000000001</v>
      </c>
      <c r="AF157" s="1051">
        <v>942</v>
      </c>
      <c r="AG157" s="243">
        <v>35601.800000000003</v>
      </c>
      <c r="AH157" s="243">
        <v>25379.599999999999</v>
      </c>
      <c r="AI157" s="402">
        <v>82637.7</v>
      </c>
      <c r="AJ157" s="243">
        <v>63885</v>
      </c>
      <c r="AK157" s="243">
        <v>66778.7</v>
      </c>
      <c r="AL157" s="243">
        <v>54425.4</v>
      </c>
      <c r="AM157" s="243">
        <v>59758.6</v>
      </c>
      <c r="AN157" s="243">
        <v>23496</v>
      </c>
      <c r="AO157" s="243">
        <v>16.8</v>
      </c>
      <c r="AP157" s="243">
        <v>18.100000000000001</v>
      </c>
      <c r="AQ157" s="243">
        <v>496311</v>
      </c>
      <c r="AR157" s="243">
        <v>228975</v>
      </c>
      <c r="AS157" s="402">
        <v>65251</v>
      </c>
      <c r="AT157" s="981"/>
      <c r="AU157" s="243">
        <v>463456</v>
      </c>
      <c r="AV157" s="243">
        <v>203959</v>
      </c>
      <c r="AW157" s="243">
        <v>80163.399999999994</v>
      </c>
      <c r="AX157" s="243">
        <v>4449.2</v>
      </c>
      <c r="AY157" s="243">
        <v>2970.2</v>
      </c>
      <c r="AZ157" s="243">
        <v>225.88</v>
      </c>
      <c r="BA157" s="243">
        <v>136.87</v>
      </c>
      <c r="BB157" s="243">
        <v>822.90899999999999</v>
      </c>
      <c r="BC157" s="243">
        <v>349.35500000000002</v>
      </c>
      <c r="BD157" s="367">
        <v>1825.9</v>
      </c>
      <c r="BE157" s="243">
        <v>3032.1</v>
      </c>
      <c r="BF157" s="243">
        <v>455.7</v>
      </c>
      <c r="BG157" s="243">
        <v>5505.11</v>
      </c>
      <c r="BH157" s="243">
        <v>31047.6754385965</v>
      </c>
      <c r="BI157" s="981">
        <v>7472.8917644138301</v>
      </c>
      <c r="BJ157" s="243">
        <v>7784.51</v>
      </c>
      <c r="BK157" s="243">
        <v>6671306</v>
      </c>
      <c r="BL157" s="243">
        <v>5086776</v>
      </c>
      <c r="BM157" s="654">
        <v>218439</v>
      </c>
      <c r="BN157" s="654">
        <v>180870</v>
      </c>
      <c r="BO157" s="243">
        <v>126</v>
      </c>
      <c r="BP157" s="243">
        <v>43.003999999999998</v>
      </c>
      <c r="BQ157" s="243">
        <v>640</v>
      </c>
      <c r="BR157" s="243">
        <v>2622000</v>
      </c>
      <c r="BS157" s="243">
        <v>551</v>
      </c>
      <c r="BT157" s="243">
        <v>20529</v>
      </c>
      <c r="BU157" s="243">
        <v>3310100</v>
      </c>
      <c r="BV157" s="243">
        <v>107851</v>
      </c>
      <c r="BW157" s="243">
        <v>20495.5</v>
      </c>
      <c r="BX157" s="243">
        <v>3115237</v>
      </c>
      <c r="BY157" s="243">
        <v>159517</v>
      </c>
      <c r="BZ157" s="243">
        <v>18215.43</v>
      </c>
      <c r="CA157" s="243">
        <v>8766.2999999999993</v>
      </c>
      <c r="CB157" s="243">
        <v>5964.7</v>
      </c>
      <c r="CC157" s="243">
        <v>1120347</v>
      </c>
      <c r="CD157" s="243">
        <v>636602</v>
      </c>
      <c r="CE157" s="243">
        <v>736930</v>
      </c>
      <c r="CF157" s="243">
        <v>465368</v>
      </c>
      <c r="CG157" s="1283">
        <v>0</v>
      </c>
    </row>
    <row r="158" spans="1:85" ht="13.2">
      <c r="A158" s="155">
        <v>45074</v>
      </c>
      <c r="B158" s="243">
        <v>1067.998</v>
      </c>
      <c r="C158" s="243">
        <v>589.774</v>
      </c>
      <c r="D158" s="243">
        <v>6861.1</v>
      </c>
      <c r="E158" s="1274">
        <v>0</v>
      </c>
      <c r="F158" s="243">
        <v>18396.8</v>
      </c>
      <c r="G158" s="243">
        <v>5808.9</v>
      </c>
      <c r="H158" s="243">
        <v>6808.665</v>
      </c>
      <c r="I158" s="243">
        <v>3407.9639999999999</v>
      </c>
      <c r="J158" s="243">
        <v>206216</v>
      </c>
      <c r="K158" s="243"/>
      <c r="L158" s="243"/>
      <c r="M158" s="243">
        <v>14963</v>
      </c>
      <c r="N158" s="243">
        <v>7011.1</v>
      </c>
      <c r="O158" s="402">
        <v>46196</v>
      </c>
      <c r="P158" s="402">
        <v>36751.300000000003</v>
      </c>
      <c r="Q158" s="243">
        <v>138037</v>
      </c>
      <c r="R158" s="243">
        <v>114489</v>
      </c>
      <c r="S158" s="243">
        <v>140353</v>
      </c>
      <c r="T158" s="243">
        <v>96296.4</v>
      </c>
      <c r="U158" s="243">
        <v>14051.63</v>
      </c>
      <c r="V158" s="243">
        <v>10671.64</v>
      </c>
      <c r="W158" s="243">
        <v>40289.599999999999</v>
      </c>
      <c r="X158" s="243">
        <v>20800.7</v>
      </c>
      <c r="Y158" s="243">
        <v>211819.4</v>
      </c>
      <c r="Z158" s="981">
        <v>345.9</v>
      </c>
      <c r="AA158" s="981">
        <v>50716</v>
      </c>
      <c r="AB158" s="243">
        <v>590957</v>
      </c>
      <c r="AC158" s="243">
        <v>301093</v>
      </c>
      <c r="AD158" s="243">
        <v>211839.3</v>
      </c>
      <c r="AE158" s="981">
        <v>1112.4000000000001</v>
      </c>
      <c r="AF158" s="1051">
        <v>942</v>
      </c>
      <c r="AG158" s="243">
        <v>35604.199999999997</v>
      </c>
      <c r="AH158" s="243">
        <v>25381.3</v>
      </c>
      <c r="AI158" s="402">
        <v>82644.800000000003</v>
      </c>
      <c r="AJ158" s="243">
        <v>63890.3</v>
      </c>
      <c r="AK158" s="243">
        <v>66813.899999999994</v>
      </c>
      <c r="AL158" s="243">
        <v>54455.1</v>
      </c>
      <c r="AM158" s="243">
        <v>59770.2</v>
      </c>
      <c r="AN158" s="243">
        <v>23500.3</v>
      </c>
      <c r="AO158" s="243">
        <v>16.8</v>
      </c>
      <c r="AP158" s="243">
        <v>18.100000000000001</v>
      </c>
      <c r="AQ158" s="243">
        <v>496485</v>
      </c>
      <c r="AR158" s="243">
        <v>229055</v>
      </c>
      <c r="AS158" s="402">
        <v>65255.8</v>
      </c>
      <c r="AT158" s="981"/>
      <c r="AU158" s="243">
        <v>463611</v>
      </c>
      <c r="AV158" s="243">
        <v>204026</v>
      </c>
      <c r="AW158" s="243">
        <v>80187.399999999994</v>
      </c>
      <c r="AX158" s="402">
        <v>4452.7</v>
      </c>
      <c r="AY158" s="402">
        <v>2972.7</v>
      </c>
      <c r="AZ158" s="243">
        <v>225.88</v>
      </c>
      <c r="BA158" s="243">
        <v>136.87</v>
      </c>
      <c r="BB158" s="243">
        <v>822.90899999999999</v>
      </c>
      <c r="BC158" s="243">
        <v>349.35500000000002</v>
      </c>
      <c r="BD158" s="367">
        <v>1825.9</v>
      </c>
      <c r="BE158" s="243">
        <v>3034.3</v>
      </c>
      <c r="BF158" s="243">
        <v>455.7</v>
      </c>
      <c r="BG158" s="243">
        <v>5952.86</v>
      </c>
      <c r="BH158" s="243">
        <v>30759.2929824561</v>
      </c>
      <c r="BI158" s="981">
        <v>8802.9058723656999</v>
      </c>
      <c r="BJ158" s="243">
        <v>7299.22</v>
      </c>
      <c r="BK158" s="654">
        <v>6671624</v>
      </c>
      <c r="BL158" s="654">
        <v>5086995</v>
      </c>
      <c r="BM158" s="654">
        <v>218439</v>
      </c>
      <c r="BN158" s="654">
        <v>180870</v>
      </c>
      <c r="BO158" s="243">
        <v>128</v>
      </c>
      <c r="BP158" s="243">
        <v>42.899000000000001</v>
      </c>
      <c r="BQ158" s="243">
        <v>649</v>
      </c>
      <c r="BR158" s="243">
        <v>2624640</v>
      </c>
      <c r="BS158" s="243">
        <v>552</v>
      </c>
      <c r="BT158" s="243">
        <f>24+BT157</f>
        <v>20553</v>
      </c>
      <c r="BU158" s="243">
        <v>3314652</v>
      </c>
      <c r="BV158" s="243">
        <v>108590</v>
      </c>
      <c r="BW158" s="243">
        <v>20519.5</v>
      </c>
      <c r="BX158" s="243">
        <v>3115237</v>
      </c>
      <c r="BY158" s="243">
        <v>159517</v>
      </c>
      <c r="BZ158" s="243">
        <v>18215.43</v>
      </c>
      <c r="CA158" s="243">
        <v>8772.7000000000007</v>
      </c>
      <c r="CB158" s="243">
        <v>5969.2</v>
      </c>
      <c r="CC158" s="243">
        <v>1121419</v>
      </c>
      <c r="CD158" s="243">
        <v>637189</v>
      </c>
      <c r="CE158" s="243">
        <v>737125</v>
      </c>
      <c r="CF158" s="243">
        <v>465483</v>
      </c>
      <c r="CG158" s="1283">
        <v>0</v>
      </c>
    </row>
    <row r="159" spans="1:85" ht="13.2">
      <c r="A159" s="155">
        <v>45075</v>
      </c>
      <c r="B159" s="243">
        <v>1067.998</v>
      </c>
      <c r="C159" s="243">
        <v>589.774</v>
      </c>
      <c r="D159" s="243">
        <v>6861.1</v>
      </c>
      <c r="E159" s="1274">
        <v>0</v>
      </c>
      <c r="F159" s="243">
        <v>18409.3</v>
      </c>
      <c r="G159" s="243">
        <v>5810.7</v>
      </c>
      <c r="H159" s="243">
        <v>6973.2209999999995</v>
      </c>
      <c r="I159" s="243">
        <v>3490.53</v>
      </c>
      <c r="J159" s="243">
        <v>206240</v>
      </c>
      <c r="K159" s="402"/>
      <c r="L159" s="402"/>
      <c r="M159" s="243">
        <v>14963</v>
      </c>
      <c r="N159" s="243">
        <v>7011.1</v>
      </c>
      <c r="O159" s="402">
        <v>46196</v>
      </c>
      <c r="P159" s="402">
        <v>36751.300000000003</v>
      </c>
      <c r="Q159" s="243">
        <v>138049</v>
      </c>
      <c r="R159" s="243">
        <v>114499</v>
      </c>
      <c r="S159" s="243">
        <v>140368</v>
      </c>
      <c r="T159" s="243">
        <v>96306.7</v>
      </c>
      <c r="U159" s="243">
        <v>14054</v>
      </c>
      <c r="V159" s="243">
        <v>10673.3</v>
      </c>
      <c r="W159" s="243">
        <v>40437.9</v>
      </c>
      <c r="X159" s="243">
        <v>20875.7</v>
      </c>
      <c r="Y159" s="243">
        <v>211843.4</v>
      </c>
      <c r="Z159" s="981">
        <v>345.9</v>
      </c>
      <c r="AA159" s="981">
        <v>50716</v>
      </c>
      <c r="AB159" s="243">
        <v>591259</v>
      </c>
      <c r="AC159" s="243">
        <v>301240</v>
      </c>
      <c r="AD159" s="243">
        <v>211863.3</v>
      </c>
      <c r="AE159" s="981">
        <v>1112.4000000000001</v>
      </c>
      <c r="AF159" s="1051">
        <v>942</v>
      </c>
      <c r="AG159" s="243">
        <v>35604.199999999997</v>
      </c>
      <c r="AH159" s="243">
        <v>25381.3</v>
      </c>
      <c r="AI159" s="402">
        <v>82651.3</v>
      </c>
      <c r="AJ159" s="243">
        <v>63895</v>
      </c>
      <c r="AK159" s="243">
        <v>66849.3</v>
      </c>
      <c r="AL159" s="243">
        <v>54485</v>
      </c>
      <c r="AM159" s="243">
        <v>59781.2</v>
      </c>
      <c r="AN159" s="243">
        <v>23504.7</v>
      </c>
      <c r="AO159" s="243">
        <v>16.8</v>
      </c>
      <c r="AP159" s="243">
        <v>18.100000000000001</v>
      </c>
      <c r="AQ159" s="243">
        <v>496658</v>
      </c>
      <c r="AR159" s="243">
        <v>229132</v>
      </c>
      <c r="AS159" s="402">
        <v>65261.1</v>
      </c>
      <c r="AT159" s="981"/>
      <c r="AU159" s="243">
        <v>463765</v>
      </c>
      <c r="AV159" s="243">
        <v>204092</v>
      </c>
      <c r="AW159" s="243">
        <v>80211.399999999994</v>
      </c>
      <c r="AX159" s="402">
        <v>4456.2</v>
      </c>
      <c r="AY159" s="402">
        <v>2975.2</v>
      </c>
      <c r="AZ159" s="243">
        <v>225.88</v>
      </c>
      <c r="BA159" s="243">
        <v>136.87</v>
      </c>
      <c r="BB159" s="243">
        <v>822.90899999999999</v>
      </c>
      <c r="BC159" s="243">
        <v>349.35500000000002</v>
      </c>
      <c r="BD159" s="367">
        <v>1825.9</v>
      </c>
      <c r="BE159" s="243">
        <v>3036.5</v>
      </c>
      <c r="BF159" s="243">
        <v>455.7</v>
      </c>
      <c r="BG159" s="243">
        <v>5698.03</v>
      </c>
      <c r="BH159" s="243">
        <v>31638.859649122805</v>
      </c>
      <c r="BI159" s="981">
        <v>8816.8883857459077</v>
      </c>
      <c r="BJ159" s="243">
        <v>5524.079999999999</v>
      </c>
      <c r="BK159" s="654">
        <v>6671912</v>
      </c>
      <c r="BL159" s="654">
        <v>5087210</v>
      </c>
      <c r="BM159" s="654">
        <v>218439</v>
      </c>
      <c r="BN159" s="654">
        <v>180870</v>
      </c>
      <c r="BO159" s="243">
        <v>128</v>
      </c>
      <c r="BP159" s="243">
        <v>43.365000000000002</v>
      </c>
      <c r="BQ159" s="243">
        <v>648</v>
      </c>
      <c r="BR159" s="243">
        <v>2624640</v>
      </c>
      <c r="BS159" s="243">
        <v>552</v>
      </c>
      <c r="BT159" s="243">
        <v>20566</v>
      </c>
      <c r="BU159" s="243">
        <v>3318660</v>
      </c>
      <c r="BV159" s="243">
        <v>109053</v>
      </c>
      <c r="BW159" s="243">
        <v>20543.5</v>
      </c>
      <c r="BX159" s="243">
        <v>3117017</v>
      </c>
      <c r="BY159" s="243">
        <v>159669</v>
      </c>
      <c r="BZ159" s="243">
        <v>18223.099999999999</v>
      </c>
      <c r="CA159" s="243">
        <v>8778.9</v>
      </c>
      <c r="CB159" s="243">
        <v>5973.5</v>
      </c>
      <c r="CC159" s="243">
        <v>1122601</v>
      </c>
      <c r="CD159" s="243">
        <v>637829</v>
      </c>
      <c r="CE159" s="243">
        <v>737360</v>
      </c>
      <c r="CF159" s="243">
        <v>465619</v>
      </c>
      <c r="CG159" s="1283">
        <v>0</v>
      </c>
    </row>
    <row r="160" spans="1:85" ht="13.2">
      <c r="A160" s="155">
        <v>45076</v>
      </c>
      <c r="B160" s="243">
        <v>1067.998</v>
      </c>
      <c r="C160" s="243">
        <v>589.774</v>
      </c>
      <c r="D160" s="243">
        <v>6861.1</v>
      </c>
      <c r="E160" s="1274">
        <v>0</v>
      </c>
      <c r="F160" s="243">
        <v>18422.900000000001</v>
      </c>
      <c r="G160" s="243">
        <v>5813.8</v>
      </c>
      <c r="H160" s="243">
        <v>7137.09</v>
      </c>
      <c r="I160" s="243">
        <v>3573.4</v>
      </c>
      <c r="J160" s="243">
        <v>206264</v>
      </c>
      <c r="K160" s="243"/>
      <c r="L160" s="243"/>
      <c r="M160" s="243">
        <v>14963</v>
      </c>
      <c r="N160" s="243">
        <v>7011.1</v>
      </c>
      <c r="O160" s="402">
        <v>46196</v>
      </c>
      <c r="P160" s="402">
        <v>36751.300000000003</v>
      </c>
      <c r="Q160" s="243">
        <v>138063.4</v>
      </c>
      <c r="R160" s="243">
        <v>114510.1</v>
      </c>
      <c r="S160" s="243">
        <v>140383.6</v>
      </c>
      <c r="T160" s="243">
        <v>96317</v>
      </c>
      <c r="U160" s="243">
        <v>14058.1</v>
      </c>
      <c r="V160" s="243">
        <v>10676.3</v>
      </c>
      <c r="W160" s="243">
        <v>40588.9</v>
      </c>
      <c r="X160" s="243">
        <v>20953.400000000001</v>
      </c>
      <c r="Y160" s="243">
        <v>211867.4</v>
      </c>
      <c r="Z160" s="243"/>
      <c r="AA160" s="981">
        <v>50716</v>
      </c>
      <c r="AB160" s="243">
        <v>591566.30000000005</v>
      </c>
      <c r="AC160" s="243">
        <v>301390.8</v>
      </c>
      <c r="AD160" s="243">
        <v>211887.3</v>
      </c>
      <c r="AE160" s="243"/>
      <c r="AF160" s="1051">
        <v>942</v>
      </c>
      <c r="AG160" s="243">
        <v>35604.199999999997</v>
      </c>
      <c r="AH160" s="243">
        <v>25381.3</v>
      </c>
      <c r="AI160" s="243">
        <v>82659.100000000006</v>
      </c>
      <c r="AJ160" s="243">
        <v>63901</v>
      </c>
      <c r="AK160" s="243">
        <v>66884.800000000003</v>
      </c>
      <c r="AL160" s="243">
        <v>54514.9</v>
      </c>
      <c r="AM160" s="243">
        <v>59792.7</v>
      </c>
      <c r="AN160" s="243">
        <v>23509.200000000001</v>
      </c>
      <c r="AO160" s="243">
        <v>16.8</v>
      </c>
      <c r="AP160" s="243">
        <v>18.100000000000001</v>
      </c>
      <c r="AQ160" s="243">
        <v>496834.2</v>
      </c>
      <c r="AR160" s="243">
        <v>229210.7</v>
      </c>
      <c r="AS160" s="243">
        <v>65267</v>
      </c>
      <c r="AT160" s="243"/>
      <c r="AU160" s="243">
        <v>463925</v>
      </c>
      <c r="AV160" s="243">
        <v>204161</v>
      </c>
      <c r="AW160" s="243">
        <v>80235.399999999994</v>
      </c>
      <c r="AX160" s="243">
        <v>4459.7</v>
      </c>
      <c r="AY160" s="243">
        <v>2977.6</v>
      </c>
      <c r="AZ160" s="243">
        <v>225.88</v>
      </c>
      <c r="BA160" s="243">
        <v>136.87</v>
      </c>
      <c r="BB160" s="243">
        <v>822.90899999999999</v>
      </c>
      <c r="BC160" s="243">
        <v>349.35500000000002</v>
      </c>
      <c r="BD160" s="367">
        <v>1825.9</v>
      </c>
      <c r="BE160" s="243">
        <v>3038.8</v>
      </c>
      <c r="BF160" s="243">
        <v>455.7</v>
      </c>
      <c r="BG160" s="243">
        <v>5968.94</v>
      </c>
      <c r="BH160" s="243">
        <v>30440.475438596499</v>
      </c>
      <c r="BI160" s="243">
        <v>8767.6283199309692</v>
      </c>
      <c r="BJ160" s="243">
        <v>8331.84</v>
      </c>
      <c r="BK160" s="243">
        <v>6672107</v>
      </c>
      <c r="BL160" s="243">
        <v>5087373</v>
      </c>
      <c r="BM160" s="243">
        <v>218461</v>
      </c>
      <c r="BN160" s="243">
        <v>180885</v>
      </c>
      <c r="BO160" s="243">
        <v>63</v>
      </c>
      <c r="BP160" s="243">
        <v>21.643000000000001</v>
      </c>
      <c r="BQ160" s="243">
        <v>321</v>
      </c>
      <c r="BR160" s="243">
        <v>2625475.2000000002</v>
      </c>
      <c r="BS160" s="243">
        <v>553</v>
      </c>
      <c r="BT160" s="243">
        <v>20574.8</v>
      </c>
      <c r="BU160" s="243">
        <v>3321922</v>
      </c>
      <c r="BV160" s="243">
        <v>109406</v>
      </c>
      <c r="BW160" s="243">
        <v>20567.2</v>
      </c>
      <c r="BX160" s="243">
        <v>3120668</v>
      </c>
      <c r="BY160" s="243">
        <v>159975</v>
      </c>
      <c r="BZ160" s="243">
        <v>18238.900000000001</v>
      </c>
      <c r="CA160" s="243">
        <v>8785.5</v>
      </c>
      <c r="CB160" s="243">
        <v>5978.1</v>
      </c>
      <c r="CC160" s="243">
        <v>1123855</v>
      </c>
      <c r="CD160" s="243">
        <v>638514</v>
      </c>
      <c r="CE160" s="243">
        <v>737559</v>
      </c>
      <c r="CF160" s="243">
        <v>465739</v>
      </c>
      <c r="CG160" s="1283">
        <v>0</v>
      </c>
    </row>
    <row r="161" spans="1:85" ht="13.2">
      <c r="A161" s="155">
        <v>45077</v>
      </c>
      <c r="B161" s="243">
        <v>1067.998</v>
      </c>
      <c r="C161" s="243">
        <v>589.774</v>
      </c>
      <c r="D161" s="243">
        <v>6861.1</v>
      </c>
      <c r="E161" s="1274">
        <v>0</v>
      </c>
      <c r="F161" s="243">
        <v>18434.2</v>
      </c>
      <c r="G161" s="243">
        <v>5814.1</v>
      </c>
      <c r="H161" s="243">
        <v>7302</v>
      </c>
      <c r="I161" s="243">
        <v>3656</v>
      </c>
      <c r="J161" s="243">
        <v>206288</v>
      </c>
      <c r="K161" s="243"/>
      <c r="L161" s="243"/>
      <c r="M161" s="243">
        <v>14963</v>
      </c>
      <c r="N161" s="243">
        <v>7011.1</v>
      </c>
      <c r="O161" s="402">
        <v>46196</v>
      </c>
      <c r="P161" s="402">
        <v>36751.300000000003</v>
      </c>
      <c r="Q161" s="243">
        <v>138076.6</v>
      </c>
      <c r="R161" s="243">
        <v>114520.4</v>
      </c>
      <c r="S161" s="243">
        <v>140398.5</v>
      </c>
      <c r="T161" s="243">
        <v>96327.3</v>
      </c>
      <c r="U161" s="243">
        <v>14062.2</v>
      </c>
      <c r="V161" s="243">
        <v>10679.2</v>
      </c>
      <c r="W161" s="243">
        <v>40738</v>
      </c>
      <c r="X161" s="243">
        <v>21030</v>
      </c>
      <c r="Y161" s="243">
        <v>211891.4</v>
      </c>
      <c r="Z161" s="243"/>
      <c r="AA161" s="981">
        <v>50716</v>
      </c>
      <c r="AB161" s="243">
        <v>591868</v>
      </c>
      <c r="AC161" s="243">
        <v>301539</v>
      </c>
      <c r="AD161" s="243">
        <v>211911.3</v>
      </c>
      <c r="AE161" s="243"/>
      <c r="AF161" s="1051">
        <v>942</v>
      </c>
      <c r="AG161" s="243">
        <v>35604.199999999997</v>
      </c>
      <c r="AH161" s="243">
        <v>25381.3</v>
      </c>
      <c r="AI161" s="243">
        <v>82665.899999999994</v>
      </c>
      <c r="AJ161" s="243">
        <v>63906.2</v>
      </c>
      <c r="AK161" s="243">
        <v>66921.100000000006</v>
      </c>
      <c r="AL161" s="243">
        <v>54545.599999999999</v>
      </c>
      <c r="AM161" s="243">
        <v>59803.8</v>
      </c>
      <c r="AN161" s="243">
        <v>23513.200000000001</v>
      </c>
      <c r="AO161" s="243">
        <v>16.8</v>
      </c>
      <c r="AP161" s="243">
        <v>18.100000000000001</v>
      </c>
      <c r="AQ161" s="243">
        <v>497006</v>
      </c>
      <c r="AR161" s="243">
        <v>229289</v>
      </c>
      <c r="AS161" s="243">
        <v>65272</v>
      </c>
      <c r="AT161" s="243"/>
      <c r="AU161" s="243">
        <v>464078</v>
      </c>
      <c r="AV161" s="243">
        <v>204227</v>
      </c>
      <c r="AW161" s="243">
        <v>80259.399999999994</v>
      </c>
      <c r="AX161" s="243">
        <v>4463.5</v>
      </c>
      <c r="AY161" s="243">
        <v>2980.2</v>
      </c>
      <c r="AZ161" s="243">
        <v>225.92</v>
      </c>
      <c r="BA161" s="243">
        <v>136.9</v>
      </c>
      <c r="BB161" s="243">
        <v>822.90899999999999</v>
      </c>
      <c r="BC161" s="243">
        <v>349.35500000000002</v>
      </c>
      <c r="BD161" s="367">
        <v>1825.9</v>
      </c>
      <c r="BE161" s="243">
        <v>3041.2</v>
      </c>
      <c r="BF161" s="243">
        <v>455.7</v>
      </c>
      <c r="BG161" s="243">
        <v>5815.34</v>
      </c>
      <c r="BH161" s="243">
        <v>30099.5105263158</v>
      </c>
      <c r="BI161" s="243">
        <v>8988.8021687605105</v>
      </c>
      <c r="BJ161" s="243">
        <v>7461.17</v>
      </c>
      <c r="BK161" s="243">
        <v>6672107</v>
      </c>
      <c r="BL161" s="243">
        <v>5087373</v>
      </c>
      <c r="BM161" s="243">
        <v>218461</v>
      </c>
      <c r="BN161" s="243">
        <v>180885</v>
      </c>
      <c r="BO161" s="243">
        <v>0</v>
      </c>
      <c r="BP161" s="243">
        <v>0</v>
      </c>
      <c r="BQ161" s="243">
        <v>0</v>
      </c>
      <c r="BR161" s="243">
        <v>2628300</v>
      </c>
      <c r="BS161" s="243">
        <v>554</v>
      </c>
      <c r="BT161" s="243">
        <v>20598.8</v>
      </c>
      <c r="BU161" s="243">
        <v>3326487</v>
      </c>
      <c r="BV161" s="243">
        <v>110240</v>
      </c>
      <c r="BW161" s="243">
        <v>20591.2</v>
      </c>
      <c r="BX161" s="243">
        <v>3120668</v>
      </c>
      <c r="BY161" s="243">
        <v>159975</v>
      </c>
      <c r="BZ161" s="243">
        <v>18238.900000000001</v>
      </c>
      <c r="CA161" s="243">
        <v>8791.9</v>
      </c>
      <c r="CB161" s="243">
        <v>5982.6</v>
      </c>
      <c r="CC161" s="243">
        <v>1125081</v>
      </c>
      <c r="CD161" s="243">
        <v>639178</v>
      </c>
      <c r="CE161" s="243">
        <v>737739</v>
      </c>
      <c r="CF161" s="243">
        <v>465845</v>
      </c>
      <c r="CG161" s="1283">
        <v>0</v>
      </c>
    </row>
    <row r="162" spans="1:85" ht="13.2">
      <c r="A162" s="177"/>
      <c r="B162" s="181"/>
      <c r="C162" s="181"/>
      <c r="D162" s="181"/>
      <c r="E162" s="1364"/>
      <c r="F162" s="181"/>
      <c r="G162" s="181"/>
      <c r="H162" s="181"/>
      <c r="I162" s="181"/>
      <c r="J162" s="181"/>
      <c r="K162" s="181"/>
      <c r="L162" s="181"/>
      <c r="M162" s="181"/>
      <c r="N162" s="181"/>
      <c r="O162" s="181"/>
      <c r="P162" s="181"/>
      <c r="Q162" s="181"/>
      <c r="R162" s="181"/>
      <c r="S162" s="181"/>
      <c r="T162" s="181"/>
      <c r="U162" s="181"/>
      <c r="V162" s="181"/>
      <c r="W162" s="181"/>
      <c r="X162" s="181"/>
      <c r="Y162" s="181"/>
      <c r="Z162" s="181"/>
      <c r="AA162" s="181"/>
      <c r="AB162" s="181"/>
      <c r="AC162" s="181"/>
      <c r="AD162" s="181"/>
      <c r="AE162" s="181"/>
      <c r="AF162" s="181"/>
      <c r="AG162" s="181"/>
      <c r="AH162" s="181"/>
      <c r="AI162" s="181"/>
      <c r="AJ162" s="181"/>
      <c r="AK162" s="181"/>
      <c r="AL162" s="181"/>
      <c r="AM162" s="181"/>
      <c r="AN162" s="181"/>
      <c r="AO162" s="181"/>
      <c r="AP162" s="181"/>
      <c r="AQ162" s="181"/>
      <c r="AR162" s="181"/>
      <c r="AS162" s="181"/>
      <c r="AT162" s="181"/>
      <c r="AU162" s="181"/>
      <c r="AV162" s="181"/>
      <c r="AW162" s="181"/>
      <c r="AX162" s="181"/>
      <c r="AY162" s="181"/>
      <c r="AZ162" s="181"/>
      <c r="BA162" s="181"/>
      <c r="BB162" s="181"/>
      <c r="BC162" s="181"/>
      <c r="BD162" s="1746"/>
      <c r="BE162" s="181"/>
      <c r="BF162" s="181"/>
      <c r="BG162" s="181"/>
      <c r="BH162" s="181"/>
      <c r="BI162" s="181"/>
      <c r="BJ162" s="181"/>
      <c r="BK162" s="181"/>
      <c r="BL162" s="181"/>
      <c r="BM162" s="181"/>
      <c r="BN162" s="181"/>
      <c r="BO162" s="181"/>
      <c r="BP162" s="181"/>
      <c r="BQ162" s="181"/>
      <c r="BR162" s="181"/>
      <c r="BS162" s="181"/>
      <c r="BT162" s="181"/>
      <c r="BU162" s="181"/>
      <c r="BV162" s="181"/>
      <c r="BW162" s="181"/>
      <c r="BX162" s="181"/>
      <c r="BY162" s="181"/>
      <c r="BZ162" s="181"/>
      <c r="CA162" s="181"/>
      <c r="CB162" s="181"/>
      <c r="CC162" s="181"/>
      <c r="CD162" s="181"/>
      <c r="CE162" s="181"/>
      <c r="CF162" s="181"/>
      <c r="CG162" s="1372"/>
    </row>
    <row r="163" spans="1:85" ht="13.2">
      <c r="A163" s="155">
        <v>45077</v>
      </c>
      <c r="B163" s="243">
        <v>1067.998</v>
      </c>
      <c r="C163" s="243">
        <v>589.774</v>
      </c>
      <c r="D163" s="243">
        <v>6861.1</v>
      </c>
      <c r="E163" s="1274">
        <v>0</v>
      </c>
      <c r="F163" s="243">
        <v>18434.2</v>
      </c>
      <c r="G163" s="243">
        <v>5814.1</v>
      </c>
      <c r="H163" s="243">
        <v>7302</v>
      </c>
      <c r="I163" s="243">
        <v>3656</v>
      </c>
      <c r="J163" s="243">
        <v>206288</v>
      </c>
      <c r="K163" s="243"/>
      <c r="L163" s="243"/>
      <c r="M163" s="243">
        <v>14963</v>
      </c>
      <c r="N163" s="243">
        <v>7011.1</v>
      </c>
      <c r="O163" s="402">
        <v>46196.1</v>
      </c>
      <c r="P163" s="402">
        <v>36751.4</v>
      </c>
      <c r="Q163" s="243">
        <v>138076.6</v>
      </c>
      <c r="R163" s="243">
        <v>114520.4</v>
      </c>
      <c r="S163" s="243">
        <v>140398.5</v>
      </c>
      <c r="T163" s="243">
        <v>96327.3</v>
      </c>
      <c r="U163" s="243">
        <v>14062.2</v>
      </c>
      <c r="V163" s="243">
        <v>10679.2</v>
      </c>
      <c r="W163" s="243">
        <v>40738</v>
      </c>
      <c r="X163" s="243">
        <v>21030</v>
      </c>
      <c r="Y163" s="243">
        <v>211891.4</v>
      </c>
      <c r="Z163" s="243"/>
      <c r="AA163" s="981">
        <v>50716</v>
      </c>
      <c r="AB163" s="243">
        <v>591868</v>
      </c>
      <c r="AC163" s="243">
        <v>301539</v>
      </c>
      <c r="AD163" s="243">
        <v>211911.3</v>
      </c>
      <c r="AE163" s="243"/>
      <c r="AF163" s="1051">
        <v>942</v>
      </c>
      <c r="AG163" s="243">
        <v>0</v>
      </c>
      <c r="AH163" s="243">
        <v>0</v>
      </c>
      <c r="AI163" s="243">
        <v>82665.899999999994</v>
      </c>
      <c r="AJ163" s="243">
        <v>63906.2</v>
      </c>
      <c r="AK163" s="243">
        <v>66921.100000000006</v>
      </c>
      <c r="AL163" s="243">
        <v>54545.599999999999</v>
      </c>
      <c r="AM163" s="243">
        <v>59803.8</v>
      </c>
      <c r="AN163" s="243">
        <v>23513.200000000001</v>
      </c>
      <c r="AO163" s="243">
        <v>16.8</v>
      </c>
      <c r="AP163" s="243">
        <v>18.100000000000001</v>
      </c>
      <c r="AQ163" s="243">
        <v>497006</v>
      </c>
      <c r="AR163" s="243">
        <v>229289</v>
      </c>
      <c r="AS163" s="243">
        <v>65272</v>
      </c>
      <c r="AT163" s="243"/>
      <c r="AU163" s="243">
        <v>464078</v>
      </c>
      <c r="AV163" s="243">
        <v>204227</v>
      </c>
      <c r="AW163" s="243">
        <v>80259.399999999994</v>
      </c>
      <c r="AX163" s="243">
        <v>4463.5</v>
      </c>
      <c r="AY163" s="243">
        <v>2980.2</v>
      </c>
      <c r="AZ163" s="243">
        <v>225.92</v>
      </c>
      <c r="BA163" s="243">
        <v>136.9</v>
      </c>
      <c r="BB163" s="243">
        <v>822.90899999999999</v>
      </c>
      <c r="BC163" s="243">
        <v>349.35500000000002</v>
      </c>
      <c r="BD163" s="367">
        <v>1825.9</v>
      </c>
      <c r="BE163" s="243">
        <v>3041.2</v>
      </c>
      <c r="BF163" s="243">
        <v>455.7</v>
      </c>
      <c r="BG163" s="243">
        <v>5815.34</v>
      </c>
      <c r="BH163" s="243">
        <v>30099.5105263158</v>
      </c>
      <c r="BI163" s="243">
        <v>8988.8021687605105</v>
      </c>
      <c r="BJ163" s="243">
        <v>7461.17</v>
      </c>
      <c r="BK163" s="243">
        <v>0</v>
      </c>
      <c r="BL163" s="243">
        <v>0</v>
      </c>
      <c r="BM163" s="243">
        <v>0</v>
      </c>
      <c r="BN163" s="243">
        <v>0</v>
      </c>
      <c r="BO163" s="243">
        <v>0</v>
      </c>
      <c r="BP163" s="243">
        <v>0</v>
      </c>
      <c r="BQ163" s="243">
        <v>0</v>
      </c>
      <c r="BR163" s="243">
        <v>2628300</v>
      </c>
      <c r="BS163" s="243">
        <v>554</v>
      </c>
      <c r="BT163" s="243">
        <v>20598.8</v>
      </c>
      <c r="BU163" s="243">
        <v>3326487</v>
      </c>
      <c r="BV163" s="243">
        <v>110240</v>
      </c>
      <c r="BW163" s="243">
        <v>20591.2</v>
      </c>
      <c r="BX163" s="243">
        <v>3120668</v>
      </c>
      <c r="BY163" s="243">
        <v>159975</v>
      </c>
      <c r="BZ163" s="243">
        <v>18238.900000000001</v>
      </c>
      <c r="CA163" s="243">
        <v>8791.9</v>
      </c>
      <c r="CB163" s="243">
        <v>5982.6</v>
      </c>
      <c r="CC163" s="243">
        <v>1125081</v>
      </c>
      <c r="CD163" s="243">
        <v>639178</v>
      </c>
      <c r="CE163" s="243">
        <v>737739</v>
      </c>
      <c r="CF163" s="243">
        <v>465845</v>
      </c>
      <c r="CG163" s="1283">
        <v>0</v>
      </c>
    </row>
    <row r="164" spans="1:85" ht="13.2">
      <c r="A164" s="155">
        <v>45078</v>
      </c>
      <c r="B164" s="243">
        <v>1067.998</v>
      </c>
      <c r="C164" s="243">
        <v>589.774</v>
      </c>
      <c r="D164" s="243">
        <v>6861.1</v>
      </c>
      <c r="E164" s="1274">
        <v>0</v>
      </c>
      <c r="F164" s="243">
        <v>18445.5</v>
      </c>
      <c r="G164" s="243">
        <v>5814.2</v>
      </c>
      <c r="H164" s="243">
        <v>7468</v>
      </c>
      <c r="I164" s="243">
        <v>3738</v>
      </c>
      <c r="J164" s="243">
        <v>206312</v>
      </c>
      <c r="K164" s="402"/>
      <c r="L164" s="402"/>
      <c r="M164" s="243">
        <v>14963</v>
      </c>
      <c r="N164" s="243">
        <v>7011.1</v>
      </c>
      <c r="O164" s="402">
        <v>46196.1</v>
      </c>
      <c r="P164" s="402">
        <v>36751.4</v>
      </c>
      <c r="Q164" s="243">
        <v>138089.60000000001</v>
      </c>
      <c r="R164" s="243">
        <v>114530.5</v>
      </c>
      <c r="S164" s="243">
        <v>140413.4</v>
      </c>
      <c r="T164" s="243">
        <v>96337.5</v>
      </c>
      <c r="U164" s="243">
        <v>14063.6</v>
      </c>
      <c r="V164" s="243">
        <v>10680.14</v>
      </c>
      <c r="W164" s="243">
        <v>40886</v>
      </c>
      <c r="X164" s="243">
        <v>21104</v>
      </c>
      <c r="Y164" s="243">
        <v>211915.4</v>
      </c>
      <c r="Z164" s="981"/>
      <c r="AA164" s="981">
        <v>50716</v>
      </c>
      <c r="AB164" s="243">
        <v>592164</v>
      </c>
      <c r="AC164" s="243">
        <v>301686</v>
      </c>
      <c r="AD164" s="243">
        <v>211935.3</v>
      </c>
      <c r="AE164" s="981"/>
      <c r="AF164" s="1051">
        <v>942</v>
      </c>
      <c r="AG164" s="243">
        <v>1.93</v>
      </c>
      <c r="AH164" s="243">
        <v>1.38</v>
      </c>
      <c r="AI164" s="402">
        <v>82671.3</v>
      </c>
      <c r="AJ164" s="243">
        <v>63910.3</v>
      </c>
      <c r="AK164" s="243">
        <v>66957.8</v>
      </c>
      <c r="AL164" s="243">
        <v>54576.800000000003</v>
      </c>
      <c r="AM164" s="243">
        <v>59816.4</v>
      </c>
      <c r="AN164" s="243">
        <v>23518.2</v>
      </c>
      <c r="AO164" s="243">
        <v>16.8</v>
      </c>
      <c r="AP164" s="243">
        <v>18.100000000000001</v>
      </c>
      <c r="AQ164" s="243">
        <v>497170</v>
      </c>
      <c r="AR164" s="243">
        <v>229365</v>
      </c>
      <c r="AS164" s="402">
        <v>65278</v>
      </c>
      <c r="AT164" s="981"/>
      <c r="AU164" s="243">
        <v>464223</v>
      </c>
      <c r="AV164" s="243">
        <v>204291</v>
      </c>
      <c r="AW164" s="243">
        <v>80283.399999999994</v>
      </c>
      <c r="AX164" s="402">
        <v>4467.7</v>
      </c>
      <c r="AY164" s="402">
        <v>2983.2</v>
      </c>
      <c r="AZ164" s="243">
        <v>225.92</v>
      </c>
      <c r="BA164" s="243">
        <v>136.9</v>
      </c>
      <c r="BB164" s="243">
        <v>822.90899999999999</v>
      </c>
      <c r="BC164" s="243">
        <v>349.35500000000002</v>
      </c>
      <c r="BD164" s="367">
        <v>1825.9</v>
      </c>
      <c r="BE164" s="243">
        <v>3042.7</v>
      </c>
      <c r="BF164" s="243">
        <v>455.7</v>
      </c>
      <c r="BG164" s="243">
        <v>5641.34</v>
      </c>
      <c r="BH164" s="243">
        <v>30333.952631578901</v>
      </c>
      <c r="BI164" s="243">
        <v>4292.71940284834</v>
      </c>
      <c r="BJ164" s="243">
        <v>6702.79</v>
      </c>
      <c r="BK164" s="243">
        <v>0</v>
      </c>
      <c r="BL164" s="243">
        <v>0</v>
      </c>
      <c r="BM164" s="243">
        <v>0</v>
      </c>
      <c r="BN164" s="243">
        <v>0</v>
      </c>
      <c r="BO164" s="243">
        <v>0</v>
      </c>
      <c r="BP164" s="243">
        <v>0</v>
      </c>
      <c r="BQ164" s="243">
        <v>0</v>
      </c>
      <c r="BR164" s="243">
        <v>2630800</v>
      </c>
      <c r="BS164" s="243">
        <v>555</v>
      </c>
      <c r="BT164" s="243">
        <v>20622.8</v>
      </c>
      <c r="BU164" s="243">
        <v>3331031</v>
      </c>
      <c r="BV164" s="243">
        <v>110944</v>
      </c>
      <c r="BW164" s="243">
        <v>20615.2</v>
      </c>
      <c r="BX164" s="243">
        <v>3120668</v>
      </c>
      <c r="BY164" s="243">
        <v>159975</v>
      </c>
      <c r="BZ164" s="243">
        <v>18238.900000000001</v>
      </c>
      <c r="CA164" s="243">
        <v>8798.2000000000007</v>
      </c>
      <c r="CB164" s="243">
        <v>5986.9</v>
      </c>
      <c r="CC164" s="243">
        <v>1126266</v>
      </c>
      <c r="CD164" s="243">
        <v>639819</v>
      </c>
      <c r="CE164" s="243">
        <v>737907</v>
      </c>
      <c r="CF164" s="243">
        <v>465944</v>
      </c>
      <c r="CG164" s="1283">
        <v>0</v>
      </c>
    </row>
    <row r="165" spans="1:85" ht="13.2">
      <c r="A165" s="155">
        <v>45079</v>
      </c>
      <c r="B165" s="243">
        <v>1067.998</v>
      </c>
      <c r="C165" s="243">
        <v>589.774</v>
      </c>
      <c r="D165" s="243">
        <v>6861.1</v>
      </c>
      <c r="E165" s="1274">
        <v>0</v>
      </c>
      <c r="F165" s="243">
        <v>18457</v>
      </c>
      <c r="G165" s="243">
        <v>5814.6</v>
      </c>
      <c r="H165" s="243">
        <v>7638</v>
      </c>
      <c r="I165" s="243">
        <v>3822</v>
      </c>
      <c r="J165" s="243">
        <v>206336</v>
      </c>
      <c r="K165" s="402"/>
      <c r="L165" s="402"/>
      <c r="M165" s="243">
        <v>14963</v>
      </c>
      <c r="N165" s="243">
        <v>7011.1</v>
      </c>
      <c r="O165" s="402">
        <v>46196.1</v>
      </c>
      <c r="P165" s="402">
        <v>36751.4</v>
      </c>
      <c r="Q165" s="243">
        <v>138102.6</v>
      </c>
      <c r="R165" s="243">
        <v>114540.8</v>
      </c>
      <c r="S165" s="243">
        <v>140428</v>
      </c>
      <c r="T165" s="243">
        <v>96347.7</v>
      </c>
      <c r="U165" s="243">
        <v>14063.6</v>
      </c>
      <c r="V165" s="243">
        <v>10680.14</v>
      </c>
      <c r="W165" s="243">
        <v>41036</v>
      </c>
      <c r="X165" s="243">
        <v>21180</v>
      </c>
      <c r="Y165" s="243">
        <v>211939.4</v>
      </c>
      <c r="Z165" s="981"/>
      <c r="AA165" s="981">
        <v>50716</v>
      </c>
      <c r="AB165" s="243">
        <v>592456</v>
      </c>
      <c r="AC165" s="243">
        <v>301829</v>
      </c>
      <c r="AD165" s="243">
        <v>211959.3</v>
      </c>
      <c r="AE165" s="981"/>
      <c r="AF165" s="1051">
        <v>942</v>
      </c>
      <c r="AG165" s="243">
        <v>5.2</v>
      </c>
      <c r="AH165" s="243">
        <v>3.7</v>
      </c>
      <c r="AI165" s="402">
        <v>82676.800000000003</v>
      </c>
      <c r="AJ165" s="243">
        <v>63914.2</v>
      </c>
      <c r="AK165" s="243">
        <v>66993.399999999994</v>
      </c>
      <c r="AL165" s="243">
        <v>54607</v>
      </c>
      <c r="AM165" s="243">
        <v>59826.1</v>
      </c>
      <c r="AN165" s="243">
        <v>23521.9</v>
      </c>
      <c r="AO165" s="243">
        <v>16.8</v>
      </c>
      <c r="AP165" s="243">
        <v>18.100000000000001</v>
      </c>
      <c r="AQ165" s="243">
        <v>497334</v>
      </c>
      <c r="AR165" s="243">
        <v>229440</v>
      </c>
      <c r="AS165" s="402">
        <v>65283</v>
      </c>
      <c r="AT165" s="981"/>
      <c r="AU165" s="243">
        <v>464370</v>
      </c>
      <c r="AV165" s="243">
        <v>204354</v>
      </c>
      <c r="AW165" s="243">
        <v>80307.399999999994</v>
      </c>
      <c r="AX165" s="402">
        <v>4472</v>
      </c>
      <c r="AY165" s="402">
        <v>2986.1</v>
      </c>
      <c r="AZ165" s="243">
        <v>225.92</v>
      </c>
      <c r="BA165" s="243">
        <v>136.9</v>
      </c>
      <c r="BB165" s="243">
        <v>822.90899999999999</v>
      </c>
      <c r="BC165" s="243">
        <v>349.35500000000002</v>
      </c>
      <c r="BD165" s="367">
        <v>1825.9</v>
      </c>
      <c r="BE165" s="243">
        <v>3044.6</v>
      </c>
      <c r="BF165" s="243">
        <v>455.7</v>
      </c>
      <c r="BG165" s="243">
        <v>5796.19</v>
      </c>
      <c r="BH165" s="243">
        <v>30951.3438596491</v>
      </c>
      <c r="BI165" s="243">
        <v>8880.9331418286893</v>
      </c>
      <c r="BJ165" s="243">
        <v>6801.68</v>
      </c>
      <c r="BK165" s="243">
        <v>0</v>
      </c>
      <c r="BL165" s="243">
        <v>0</v>
      </c>
      <c r="BM165" s="243">
        <v>0</v>
      </c>
      <c r="BN165" s="243">
        <v>0</v>
      </c>
      <c r="BO165" s="243">
        <v>0</v>
      </c>
      <c r="BP165" s="243">
        <v>0</v>
      </c>
      <c r="BQ165" s="243">
        <v>0</v>
      </c>
      <c r="BR165" s="243">
        <v>2633000</v>
      </c>
      <c r="BS165" s="243">
        <v>556</v>
      </c>
      <c r="BT165" s="243">
        <v>20646.8</v>
      </c>
      <c r="BU165" s="243">
        <v>3335724</v>
      </c>
      <c r="BV165" s="243">
        <v>111800</v>
      </c>
      <c r="BW165" s="243">
        <v>20639.2</v>
      </c>
      <c r="BX165" s="243">
        <v>3120668</v>
      </c>
      <c r="BY165" s="243">
        <v>159975</v>
      </c>
      <c r="BZ165" s="243">
        <v>18238.900000000001</v>
      </c>
      <c r="CA165" s="243">
        <v>8804.6</v>
      </c>
      <c r="CB165" s="243">
        <v>5991.5</v>
      </c>
      <c r="CC165" s="243">
        <v>1127480</v>
      </c>
      <c r="CD165" s="243">
        <v>640481</v>
      </c>
      <c r="CE165" s="243">
        <v>738083</v>
      </c>
      <c r="CF165" s="243">
        <v>466047</v>
      </c>
      <c r="CG165" s="1283">
        <v>0</v>
      </c>
    </row>
    <row r="166" spans="1:85" ht="13.2">
      <c r="A166" s="155">
        <v>45080</v>
      </c>
      <c r="B166" s="243">
        <v>1067.998</v>
      </c>
      <c r="C166" s="243">
        <v>589.774</v>
      </c>
      <c r="D166" s="243">
        <v>6861.1</v>
      </c>
      <c r="E166" s="1274">
        <v>0</v>
      </c>
      <c r="F166" s="243">
        <v>18468.099999999999</v>
      </c>
      <c r="G166" s="243">
        <v>5814.9</v>
      </c>
      <c r="H166" s="243">
        <v>7802</v>
      </c>
      <c r="I166" s="243">
        <v>3904</v>
      </c>
      <c r="J166" s="243">
        <v>206360</v>
      </c>
      <c r="K166" s="402"/>
      <c r="L166" s="402"/>
      <c r="M166" s="243">
        <v>14963.1</v>
      </c>
      <c r="N166" s="243">
        <v>7011.1</v>
      </c>
      <c r="O166" s="402">
        <v>46196.1</v>
      </c>
      <c r="P166" s="402">
        <v>36751.4</v>
      </c>
      <c r="Q166" s="243">
        <v>138115.6</v>
      </c>
      <c r="R166" s="243">
        <v>114551</v>
      </c>
      <c r="S166" s="243">
        <v>140443.1</v>
      </c>
      <c r="T166" s="243">
        <v>96358.399999999994</v>
      </c>
      <c r="U166" s="243">
        <v>14063.6</v>
      </c>
      <c r="V166" s="243">
        <v>10680.14</v>
      </c>
      <c r="W166" s="243">
        <v>41184</v>
      </c>
      <c r="X166" s="243">
        <v>21255</v>
      </c>
      <c r="Y166" s="243">
        <v>211963.4</v>
      </c>
      <c r="Z166" s="981"/>
      <c r="AA166" s="981">
        <v>50716</v>
      </c>
      <c r="AB166" s="243">
        <v>592746</v>
      </c>
      <c r="AC166" s="243">
        <v>301974</v>
      </c>
      <c r="AD166" s="243">
        <v>211983.3</v>
      </c>
      <c r="AE166" s="981"/>
      <c r="AF166" s="1051">
        <v>942</v>
      </c>
      <c r="AG166" s="243">
        <v>8.1999999999999993</v>
      </c>
      <c r="AH166" s="243">
        <v>6</v>
      </c>
      <c r="AI166" s="402">
        <v>82682.5</v>
      </c>
      <c r="AJ166" s="243">
        <v>63918.6</v>
      </c>
      <c r="AK166" s="243">
        <v>67028.399999999994</v>
      </c>
      <c r="AL166" s="243">
        <v>54636.7</v>
      </c>
      <c r="AM166" s="243">
        <v>59835.8</v>
      </c>
      <c r="AN166" s="243">
        <v>23525.5</v>
      </c>
      <c r="AO166" s="243">
        <v>16.8</v>
      </c>
      <c r="AP166" s="243">
        <v>18.100000000000001</v>
      </c>
      <c r="AQ166" s="243">
        <v>497497</v>
      </c>
      <c r="AR166" s="243">
        <v>229515</v>
      </c>
      <c r="AS166" s="402">
        <v>65288</v>
      </c>
      <c r="AT166" s="981"/>
      <c r="AU166" s="243">
        <v>464515</v>
      </c>
      <c r="AV166" s="243">
        <v>204417</v>
      </c>
      <c r="AW166" s="243">
        <v>80331.399999999994</v>
      </c>
      <c r="AX166" s="402">
        <v>4476.2</v>
      </c>
      <c r="AY166" s="402">
        <v>2989</v>
      </c>
      <c r="AZ166" s="402">
        <v>226</v>
      </c>
      <c r="BA166" s="402">
        <v>136.94</v>
      </c>
      <c r="BB166" s="243">
        <v>822.90899999999999</v>
      </c>
      <c r="BC166" s="243">
        <v>349.35500000000002</v>
      </c>
      <c r="BD166" s="367">
        <v>1825.9</v>
      </c>
      <c r="BE166" s="243">
        <v>3046.4</v>
      </c>
      <c r="BF166" s="243">
        <v>455.7</v>
      </c>
      <c r="BG166" s="243">
        <v>5260.75</v>
      </c>
      <c r="BH166" s="243">
        <v>29760.5438596491</v>
      </c>
      <c r="BI166" s="243">
        <v>9659.0103894223303</v>
      </c>
      <c r="BJ166" s="243">
        <v>6875.34</v>
      </c>
      <c r="BK166" s="243">
        <v>0</v>
      </c>
      <c r="BL166" s="243">
        <v>0</v>
      </c>
      <c r="BM166" s="243">
        <v>0</v>
      </c>
      <c r="BN166" s="243">
        <v>0</v>
      </c>
      <c r="BO166" s="243">
        <v>0</v>
      </c>
      <c r="BP166" s="243">
        <v>0</v>
      </c>
      <c r="BQ166" s="243">
        <v>0</v>
      </c>
      <c r="BR166" s="243">
        <v>2635200</v>
      </c>
      <c r="BS166" s="243">
        <v>557</v>
      </c>
      <c r="BT166" s="243">
        <v>20670</v>
      </c>
      <c r="BU166" s="243">
        <v>3340070</v>
      </c>
      <c r="BV166" s="243">
        <v>112610</v>
      </c>
      <c r="BW166" s="243">
        <v>20663.2</v>
      </c>
      <c r="BX166" s="243">
        <v>3120668</v>
      </c>
      <c r="BY166" s="243">
        <v>159975</v>
      </c>
      <c r="BZ166" s="243">
        <v>18238.900000000001</v>
      </c>
      <c r="CA166" s="243">
        <v>8810.7999999999993</v>
      </c>
      <c r="CB166" s="243">
        <v>5995.8</v>
      </c>
      <c r="CC166" s="243">
        <v>1128646</v>
      </c>
      <c r="CD166" s="243">
        <v>641123</v>
      </c>
      <c r="CE166" s="243">
        <v>738363</v>
      </c>
      <c r="CF166" s="243">
        <v>466216</v>
      </c>
      <c r="CG166" s="1283">
        <v>0</v>
      </c>
    </row>
    <row r="167" spans="1:85" ht="13.2">
      <c r="A167" s="155">
        <v>45081</v>
      </c>
      <c r="B167" s="243">
        <v>1067.998</v>
      </c>
      <c r="C167" s="243">
        <v>589.774</v>
      </c>
      <c r="D167" s="243">
        <v>6861.1</v>
      </c>
      <c r="E167" s="1274">
        <v>0</v>
      </c>
      <c r="F167" s="243">
        <v>18480.099999999999</v>
      </c>
      <c r="G167" s="243">
        <v>5815</v>
      </c>
      <c r="H167" s="243">
        <v>7966</v>
      </c>
      <c r="I167" s="243">
        <v>3986</v>
      </c>
      <c r="J167" s="243">
        <v>206384</v>
      </c>
      <c r="K167" s="402"/>
      <c r="L167" s="402"/>
      <c r="M167" s="243">
        <v>14963.1</v>
      </c>
      <c r="N167" s="243">
        <v>7011.1</v>
      </c>
      <c r="O167" s="402">
        <v>46196.1</v>
      </c>
      <c r="P167" s="402">
        <v>36751.4</v>
      </c>
      <c r="Q167" s="243">
        <v>138128.5</v>
      </c>
      <c r="R167" s="243">
        <v>114561.4</v>
      </c>
      <c r="S167" s="243">
        <v>140457.60000000001</v>
      </c>
      <c r="T167" s="243">
        <v>96368.8</v>
      </c>
      <c r="U167" s="243">
        <v>14063.6</v>
      </c>
      <c r="V167" s="243">
        <v>10680.14</v>
      </c>
      <c r="W167" s="243">
        <v>41334</v>
      </c>
      <c r="X167" s="243">
        <v>21329</v>
      </c>
      <c r="Y167" s="243">
        <v>211987.4</v>
      </c>
      <c r="Z167" s="981"/>
      <c r="AA167" s="981">
        <v>50716</v>
      </c>
      <c r="AB167" s="243">
        <v>593044</v>
      </c>
      <c r="AC167" s="243">
        <v>302126</v>
      </c>
      <c r="AD167" s="243">
        <v>212007.3</v>
      </c>
      <c r="AE167" s="981"/>
      <c r="AF167" s="1051">
        <v>942</v>
      </c>
      <c r="AG167" s="243">
        <v>11.5</v>
      </c>
      <c r="AH167" s="243">
        <v>8.3000000000000007</v>
      </c>
      <c r="AI167" s="402">
        <v>82690</v>
      </c>
      <c r="AJ167" s="243">
        <v>63924.4</v>
      </c>
      <c r="AK167" s="243">
        <v>67065.7</v>
      </c>
      <c r="AL167" s="243">
        <v>54668.4</v>
      </c>
      <c r="AM167" s="243">
        <v>59846.5</v>
      </c>
      <c r="AN167" s="243">
        <v>23529.7</v>
      </c>
      <c r="AO167" s="243">
        <v>16.8</v>
      </c>
      <c r="AP167" s="243">
        <v>18.100000000000001</v>
      </c>
      <c r="AQ167" s="243">
        <v>497668</v>
      </c>
      <c r="AR167" s="243">
        <v>229594</v>
      </c>
      <c r="AS167" s="402">
        <v>65293</v>
      </c>
      <c r="AT167" s="981"/>
      <c r="AU167" s="243">
        <v>464667</v>
      </c>
      <c r="AV167" s="243">
        <v>204483</v>
      </c>
      <c r="AW167" s="243">
        <v>80355.399999999994</v>
      </c>
      <c r="AX167" s="402">
        <v>4480.3</v>
      </c>
      <c r="AY167" s="402">
        <v>2992</v>
      </c>
      <c r="AZ167" s="402">
        <v>226</v>
      </c>
      <c r="BA167" s="402">
        <v>136.94</v>
      </c>
      <c r="BB167" s="243">
        <v>822.90899999999999</v>
      </c>
      <c r="BC167" s="243">
        <v>349.35500000000002</v>
      </c>
      <c r="BD167" s="367">
        <v>1825.9</v>
      </c>
      <c r="BE167" s="243">
        <v>3048.5</v>
      </c>
      <c r="BF167" s="243">
        <v>455.7</v>
      </c>
      <c r="BG167" s="243"/>
      <c r="BH167" s="243"/>
      <c r="BI167" s="243"/>
      <c r="BJ167" s="243"/>
      <c r="BK167" s="243">
        <v>0</v>
      </c>
      <c r="BL167" s="243">
        <v>0</v>
      </c>
      <c r="BM167" s="243">
        <v>0</v>
      </c>
      <c r="BN167" s="243">
        <v>0</v>
      </c>
      <c r="BO167" s="243">
        <v>0</v>
      </c>
      <c r="BP167" s="243">
        <v>0</v>
      </c>
      <c r="BQ167" s="243">
        <v>0</v>
      </c>
      <c r="BR167" s="243">
        <v>2637200</v>
      </c>
      <c r="BS167" s="243">
        <v>558</v>
      </c>
      <c r="BT167" s="243">
        <v>20694</v>
      </c>
      <c r="BU167" s="243">
        <v>3345131</v>
      </c>
      <c r="BV167" s="243">
        <v>113312</v>
      </c>
      <c r="BW167" s="243">
        <v>20686.8</v>
      </c>
      <c r="BX167" s="243">
        <v>3120668</v>
      </c>
      <c r="BY167" s="243">
        <v>159975</v>
      </c>
      <c r="BZ167" s="243">
        <v>18238.900000000001</v>
      </c>
      <c r="CA167" s="243">
        <v>8817.2999999999993</v>
      </c>
      <c r="CB167" s="243">
        <v>6000.4</v>
      </c>
      <c r="CC167" s="243">
        <v>1129890</v>
      </c>
      <c r="CD167" s="243">
        <v>641806</v>
      </c>
      <c r="CE167" s="243">
        <v>738582</v>
      </c>
      <c r="CF167" s="243">
        <v>466349</v>
      </c>
      <c r="CG167" s="1283">
        <v>0</v>
      </c>
    </row>
    <row r="168" spans="1:85" ht="13.2">
      <c r="A168" s="155">
        <v>45082</v>
      </c>
      <c r="B168" s="243">
        <v>1067.998</v>
      </c>
      <c r="C168" s="243">
        <v>589.774</v>
      </c>
      <c r="D168" s="243">
        <v>6861.1</v>
      </c>
      <c r="E168" s="1274">
        <v>0</v>
      </c>
      <c r="F168" s="243"/>
      <c r="G168" s="243"/>
      <c r="H168" s="243"/>
      <c r="I168" s="243"/>
      <c r="J168" s="243"/>
      <c r="K168" s="243"/>
      <c r="L168" s="243"/>
      <c r="M168" s="243">
        <v>14963.1</v>
      </c>
      <c r="N168" s="243">
        <v>7011.1</v>
      </c>
      <c r="O168" s="402">
        <v>46196.1</v>
      </c>
      <c r="P168" s="402">
        <v>36751.4</v>
      </c>
      <c r="Q168" s="243"/>
      <c r="R168" s="243"/>
      <c r="S168" s="243"/>
      <c r="T168" s="243"/>
      <c r="U168" s="243">
        <v>14063.6</v>
      </c>
      <c r="V168" s="243">
        <v>10680.14</v>
      </c>
      <c r="W168" s="243"/>
      <c r="X168" s="243"/>
      <c r="Y168" s="243"/>
      <c r="Z168" s="981"/>
      <c r="AA168" s="981">
        <v>50716</v>
      </c>
      <c r="AB168" s="243"/>
      <c r="AC168" s="243"/>
      <c r="AD168" s="243"/>
      <c r="AE168" s="981"/>
      <c r="AF168" s="1051">
        <v>942</v>
      </c>
      <c r="AG168" s="243"/>
      <c r="AH168" s="243"/>
      <c r="AI168" s="243"/>
      <c r="AJ168" s="243"/>
      <c r="AK168" s="243"/>
      <c r="AL168" s="243"/>
      <c r="AM168" s="243"/>
      <c r="AN168" s="243"/>
      <c r="AO168" s="243">
        <v>16.8</v>
      </c>
      <c r="AP168" s="243">
        <v>18.100000000000001</v>
      </c>
      <c r="AQ168" s="243"/>
      <c r="AR168" s="243"/>
      <c r="AS168" s="243"/>
      <c r="AT168" s="243"/>
      <c r="AU168" s="243"/>
      <c r="AV168" s="243"/>
      <c r="AW168" s="243"/>
      <c r="AX168" s="243"/>
      <c r="AY168" s="243"/>
      <c r="AZ168" s="402"/>
      <c r="BA168" s="402"/>
      <c r="BB168" s="243">
        <v>822.90899999999999</v>
      </c>
      <c r="BC168" s="243">
        <v>349.35500000000002</v>
      </c>
      <c r="BD168" s="367">
        <v>1825.9</v>
      </c>
      <c r="BE168" s="243"/>
      <c r="BF168" s="243">
        <v>455.7</v>
      </c>
      <c r="BG168" s="243"/>
      <c r="BH168" s="243"/>
      <c r="BI168" s="243"/>
      <c r="BJ168" s="243"/>
      <c r="BK168" s="243">
        <v>0</v>
      </c>
      <c r="BL168" s="243">
        <v>0</v>
      </c>
      <c r="BM168" s="243">
        <v>0</v>
      </c>
      <c r="BN168" s="243">
        <v>0</v>
      </c>
      <c r="BO168" s="243">
        <v>0</v>
      </c>
      <c r="BP168" s="243">
        <v>0</v>
      </c>
      <c r="BQ168" s="243">
        <v>0</v>
      </c>
      <c r="BR168" s="243"/>
      <c r="BS168" s="243"/>
      <c r="BT168" s="243"/>
      <c r="BU168" s="243"/>
      <c r="BV168" s="243"/>
      <c r="BW168" s="243"/>
      <c r="BX168" s="243">
        <v>3120668</v>
      </c>
      <c r="BY168" s="243">
        <v>159975</v>
      </c>
      <c r="BZ168" s="243">
        <v>18238.900000000001</v>
      </c>
      <c r="CA168" s="243"/>
      <c r="CB168" s="243"/>
      <c r="CC168" s="243"/>
      <c r="CD168" s="243"/>
      <c r="CE168" s="243"/>
      <c r="CF168" s="243"/>
      <c r="CG168" s="1283"/>
    </row>
    <row r="169" spans="1:85" ht="13.2">
      <c r="A169" s="155">
        <v>45083</v>
      </c>
      <c r="B169" s="243"/>
      <c r="C169" s="243"/>
      <c r="D169" s="402"/>
      <c r="E169" s="1271"/>
      <c r="F169" s="243"/>
      <c r="G169" s="243"/>
      <c r="H169" s="243"/>
      <c r="I169" s="243"/>
      <c r="J169" s="243"/>
      <c r="K169" s="243"/>
      <c r="L169" s="243"/>
      <c r="M169" s="402"/>
      <c r="N169" s="402"/>
      <c r="O169" s="243"/>
      <c r="P169" s="243"/>
      <c r="Q169" s="243"/>
      <c r="R169" s="243"/>
      <c r="S169" s="243"/>
      <c r="T169" s="243"/>
      <c r="U169" s="243">
        <v>14063.6</v>
      </c>
      <c r="V169" s="243">
        <v>10680.14</v>
      </c>
      <c r="W169" s="243"/>
      <c r="X169" s="243"/>
      <c r="Y169" s="243"/>
      <c r="Z169" s="981"/>
      <c r="AA169" s="981">
        <v>50716</v>
      </c>
      <c r="AB169" s="243"/>
      <c r="AC169" s="243"/>
      <c r="AD169" s="243"/>
      <c r="AE169" s="981"/>
      <c r="AF169" s="1051">
        <v>942</v>
      </c>
      <c r="AG169" s="243"/>
      <c r="AH169" s="243"/>
      <c r="AI169" s="243"/>
      <c r="AJ169" s="243"/>
      <c r="AK169" s="243"/>
      <c r="AL169" s="243"/>
      <c r="AM169" s="243"/>
      <c r="AN169" s="243"/>
      <c r="AO169" s="243">
        <v>16.8</v>
      </c>
      <c r="AP169" s="243">
        <v>18.100000000000001</v>
      </c>
      <c r="AQ169" s="243"/>
      <c r="AR169" s="243"/>
      <c r="AS169" s="243"/>
      <c r="AT169" s="243"/>
      <c r="AU169" s="243"/>
      <c r="AV169" s="243"/>
      <c r="AW169" s="243"/>
      <c r="AX169" s="243"/>
      <c r="AY169" s="243"/>
      <c r="AZ169" s="402"/>
      <c r="BA169" s="402"/>
      <c r="BB169" s="243">
        <v>822.90899999999999</v>
      </c>
      <c r="BC169" s="243">
        <v>349.35500000000002</v>
      </c>
      <c r="BD169" s="367">
        <v>1825.9</v>
      </c>
      <c r="BE169" s="243"/>
      <c r="BF169" s="243">
        <v>455.7</v>
      </c>
      <c r="BG169" s="243"/>
      <c r="BH169" s="243"/>
      <c r="BI169" s="243"/>
      <c r="BJ169" s="243"/>
      <c r="BK169" s="243">
        <v>0</v>
      </c>
      <c r="BL169" s="243">
        <v>0</v>
      </c>
      <c r="BM169" s="243">
        <v>0</v>
      </c>
      <c r="BN169" s="243">
        <v>0</v>
      </c>
      <c r="BO169" s="243">
        <v>0</v>
      </c>
      <c r="BP169" s="243">
        <v>0</v>
      </c>
      <c r="BQ169" s="243">
        <v>0</v>
      </c>
      <c r="BR169" s="243"/>
      <c r="BS169" s="243"/>
      <c r="BT169" s="243"/>
      <c r="BU169" s="243"/>
      <c r="BV169" s="243"/>
      <c r="BW169" s="243"/>
      <c r="BX169" s="243">
        <v>3120668</v>
      </c>
      <c r="BY169" s="243">
        <v>159975</v>
      </c>
      <c r="BZ169" s="243">
        <v>18238.900000000001</v>
      </c>
      <c r="CA169" s="243"/>
      <c r="CB169" s="243"/>
      <c r="CC169" s="243"/>
      <c r="CD169" s="243"/>
      <c r="CE169" s="243"/>
      <c r="CF169" s="243"/>
      <c r="CG169" s="1283"/>
    </row>
    <row r="170" spans="1:85" ht="13.2">
      <c r="A170" s="155">
        <v>45084</v>
      </c>
      <c r="B170" s="243"/>
      <c r="C170" s="243"/>
      <c r="D170" s="402"/>
      <c r="E170" s="1363"/>
      <c r="F170" s="243"/>
      <c r="G170" s="243"/>
      <c r="H170" s="243"/>
      <c r="I170" s="243"/>
      <c r="J170" s="243"/>
      <c r="K170" s="243"/>
      <c r="L170" s="243"/>
      <c r="M170" s="402"/>
      <c r="N170" s="402"/>
      <c r="O170" s="243"/>
      <c r="P170" s="243"/>
      <c r="Q170" s="243"/>
      <c r="R170" s="243"/>
      <c r="S170" s="243"/>
      <c r="T170" s="243"/>
      <c r="U170" s="243"/>
      <c r="V170" s="243"/>
      <c r="W170" s="243"/>
      <c r="X170" s="243"/>
      <c r="Y170" s="243"/>
      <c r="Z170" s="981"/>
      <c r="AA170" s="981">
        <v>50716</v>
      </c>
      <c r="AB170" s="243"/>
      <c r="AC170" s="243"/>
      <c r="AD170" s="243"/>
      <c r="AE170" s="981"/>
      <c r="AF170" s="1051">
        <v>942</v>
      </c>
      <c r="AG170" s="243"/>
      <c r="AH170" s="243"/>
      <c r="AI170" s="243"/>
      <c r="AJ170" s="243"/>
      <c r="AK170" s="243"/>
      <c r="AL170" s="243"/>
      <c r="AM170" s="243"/>
      <c r="AN170" s="243"/>
      <c r="AO170" s="243"/>
      <c r="AP170" s="243"/>
      <c r="AQ170" s="243"/>
      <c r="AR170" s="243"/>
      <c r="AS170" s="243"/>
      <c r="AT170" s="243"/>
      <c r="AU170" s="243"/>
      <c r="AV170" s="243"/>
      <c r="AW170" s="243"/>
      <c r="AX170" s="243"/>
      <c r="AY170" s="243"/>
      <c r="AZ170" s="243"/>
      <c r="BA170" s="402"/>
      <c r="BB170" s="243"/>
      <c r="BC170" s="243"/>
      <c r="BD170" s="367"/>
      <c r="BE170" s="243"/>
      <c r="BF170" s="243"/>
      <c r="BG170" s="243"/>
      <c r="BH170" s="243"/>
      <c r="BI170" s="243"/>
      <c r="BJ170" s="243"/>
      <c r="BK170" s="243">
        <v>0</v>
      </c>
      <c r="BL170" s="243">
        <v>0</v>
      </c>
      <c r="BM170" s="243">
        <v>0</v>
      </c>
      <c r="BN170" s="243">
        <v>0</v>
      </c>
      <c r="BO170" s="243">
        <v>0</v>
      </c>
      <c r="BP170" s="243">
        <v>0</v>
      </c>
      <c r="BQ170" s="243">
        <v>0</v>
      </c>
      <c r="BR170" s="243"/>
      <c r="BS170" s="243"/>
      <c r="BT170" s="243"/>
      <c r="BU170" s="243"/>
      <c r="BV170" s="243"/>
      <c r="BW170" s="243"/>
      <c r="BX170" s="243"/>
      <c r="BY170" s="243"/>
      <c r="BZ170" s="243"/>
      <c r="CA170" s="243"/>
      <c r="CB170" s="243"/>
      <c r="CC170" s="243"/>
      <c r="CD170" s="243"/>
      <c r="CE170" s="243"/>
      <c r="CF170" s="243"/>
      <c r="CG170" s="1283"/>
    </row>
    <row r="171" spans="1:85" ht="13.2">
      <c r="A171" s="155">
        <v>45085</v>
      </c>
      <c r="B171" s="243"/>
      <c r="C171" s="243"/>
      <c r="D171" s="402"/>
      <c r="E171" s="1363"/>
      <c r="F171" s="243"/>
      <c r="G171" s="243"/>
      <c r="H171" s="243"/>
      <c r="I171" s="243"/>
      <c r="J171" s="243"/>
      <c r="K171" s="402"/>
      <c r="L171" s="402"/>
      <c r="M171" s="402"/>
      <c r="N171" s="402"/>
      <c r="O171" s="243"/>
      <c r="P171" s="243"/>
      <c r="Q171" s="243"/>
      <c r="R171" s="243"/>
      <c r="S171" s="243"/>
      <c r="T171" s="243"/>
      <c r="U171" s="243"/>
      <c r="V171" s="243"/>
      <c r="W171" s="243"/>
      <c r="X171" s="243"/>
      <c r="Y171" s="243"/>
      <c r="Z171" s="981"/>
      <c r="AA171" s="981">
        <v>50716</v>
      </c>
      <c r="AB171" s="243"/>
      <c r="AC171" s="243"/>
      <c r="AD171" s="243"/>
      <c r="AE171" s="981"/>
      <c r="AF171" s="1051">
        <v>942</v>
      </c>
      <c r="AG171" s="243"/>
      <c r="AH171" s="243"/>
      <c r="AI171" s="402"/>
      <c r="AJ171" s="243"/>
      <c r="AK171" s="243"/>
      <c r="AL171" s="243"/>
      <c r="AM171" s="243"/>
      <c r="AN171" s="243"/>
      <c r="AO171" s="243"/>
      <c r="AP171" s="243"/>
      <c r="AQ171" s="243"/>
      <c r="AR171" s="243"/>
      <c r="AS171" s="402"/>
      <c r="AT171" s="981"/>
      <c r="AU171" s="243"/>
      <c r="AV171" s="243"/>
      <c r="AW171" s="243"/>
      <c r="AX171" s="402"/>
      <c r="AY171" s="402"/>
      <c r="AZ171" s="243"/>
      <c r="BA171" s="402"/>
      <c r="BB171" s="243"/>
      <c r="BC171" s="243"/>
      <c r="BD171" s="367"/>
      <c r="BE171" s="243"/>
      <c r="BF171" s="243"/>
      <c r="BG171" s="243"/>
      <c r="BH171" s="243"/>
      <c r="BI171" s="243"/>
      <c r="BJ171" s="243"/>
      <c r="BK171" s="243">
        <v>0</v>
      </c>
      <c r="BL171" s="243">
        <v>0</v>
      </c>
      <c r="BM171" s="243">
        <v>0</v>
      </c>
      <c r="BN171" s="243">
        <v>0</v>
      </c>
      <c r="BO171" s="243">
        <v>0</v>
      </c>
      <c r="BP171" s="243">
        <v>0</v>
      </c>
      <c r="BQ171" s="243">
        <v>0</v>
      </c>
      <c r="BR171" s="243"/>
      <c r="BS171" s="243"/>
      <c r="BT171" s="243"/>
      <c r="BU171" s="243"/>
      <c r="BV171" s="243"/>
      <c r="BW171" s="243"/>
      <c r="BX171" s="243"/>
      <c r="BY171" s="243"/>
      <c r="BZ171" s="243"/>
      <c r="CA171" s="243"/>
      <c r="CB171" s="243"/>
      <c r="CC171" s="243"/>
      <c r="CD171" s="243"/>
      <c r="CE171" s="243"/>
      <c r="CF171" s="243"/>
      <c r="CG171" s="1283"/>
    </row>
    <row r="172" spans="1:85" ht="13.2">
      <c r="A172" s="155">
        <v>45086</v>
      </c>
      <c r="B172" s="243"/>
      <c r="C172" s="243"/>
      <c r="D172" s="402"/>
      <c r="E172" s="1363"/>
      <c r="F172" s="243"/>
      <c r="G172" s="243"/>
      <c r="H172" s="243"/>
      <c r="I172" s="243"/>
      <c r="J172" s="243"/>
      <c r="K172" s="243"/>
      <c r="L172" s="243"/>
      <c r="M172" s="243"/>
      <c r="N172" s="243"/>
      <c r="O172" s="243"/>
      <c r="P172" s="243"/>
      <c r="Q172" s="243"/>
      <c r="R172" s="243"/>
      <c r="S172" s="243"/>
      <c r="T172" s="243"/>
      <c r="U172" s="243"/>
      <c r="V172" s="243"/>
      <c r="W172" s="243"/>
      <c r="X172" s="243"/>
      <c r="Y172" s="243"/>
      <c r="Z172" s="981"/>
      <c r="AA172" s="981">
        <v>50716</v>
      </c>
      <c r="AB172" s="243"/>
      <c r="AC172" s="243"/>
      <c r="AD172" s="243"/>
      <c r="AE172" s="981"/>
      <c r="AF172" s="1051">
        <v>942</v>
      </c>
      <c r="AG172" s="243"/>
      <c r="AH172" s="243"/>
      <c r="AI172" s="243"/>
      <c r="AJ172" s="243"/>
      <c r="AK172" s="243"/>
      <c r="AL172" s="243"/>
      <c r="AM172" s="243"/>
      <c r="AN172" s="243"/>
      <c r="AO172" s="243"/>
      <c r="AP172" s="243"/>
      <c r="AQ172" s="243"/>
      <c r="AR172" s="243"/>
      <c r="AS172" s="243"/>
      <c r="AT172" s="243"/>
      <c r="AU172" s="243"/>
      <c r="AV172" s="243"/>
      <c r="AW172" s="243"/>
      <c r="AX172" s="243"/>
      <c r="AY172" s="243"/>
      <c r="AZ172" s="243"/>
      <c r="BA172" s="402"/>
      <c r="BB172" s="243"/>
      <c r="BC172" s="243"/>
      <c r="BD172" s="367"/>
      <c r="BE172" s="243"/>
      <c r="BF172" s="243"/>
      <c r="BG172" s="243"/>
      <c r="BH172" s="243"/>
      <c r="BI172" s="243"/>
      <c r="BJ172" s="243"/>
      <c r="BK172" s="243">
        <v>0</v>
      </c>
      <c r="BL172" s="243">
        <v>0</v>
      </c>
      <c r="BM172" s="243">
        <v>0</v>
      </c>
      <c r="BN172" s="243">
        <v>0</v>
      </c>
      <c r="BO172" s="243">
        <v>0</v>
      </c>
      <c r="BP172" s="243">
        <v>0</v>
      </c>
      <c r="BQ172" s="243">
        <v>0</v>
      </c>
      <c r="BR172" s="243"/>
      <c r="BS172" s="243"/>
      <c r="BT172" s="243"/>
      <c r="BU172" s="243"/>
      <c r="BV172" s="243"/>
      <c r="BW172" s="243"/>
      <c r="BX172" s="243"/>
      <c r="BY172" s="243"/>
      <c r="BZ172" s="243"/>
      <c r="CA172" s="243"/>
      <c r="CB172" s="243"/>
      <c r="CC172" s="243"/>
      <c r="CD172" s="243"/>
      <c r="CE172" s="243"/>
      <c r="CF172" s="243"/>
      <c r="CG172" s="1283"/>
    </row>
    <row r="173" spans="1:85" ht="13.2">
      <c r="A173" s="155">
        <v>45087</v>
      </c>
      <c r="B173" s="243"/>
      <c r="C173" s="243"/>
      <c r="D173" s="402"/>
      <c r="E173" s="1363"/>
      <c r="F173" s="243"/>
      <c r="G173" s="243"/>
      <c r="H173" s="243"/>
      <c r="I173" s="243"/>
      <c r="J173" s="243"/>
      <c r="K173" s="402"/>
      <c r="L173" s="402"/>
      <c r="M173" s="243"/>
      <c r="N173" s="243"/>
      <c r="O173" s="243"/>
      <c r="P173" s="243"/>
      <c r="Q173" s="243"/>
      <c r="R173" s="243"/>
      <c r="S173" s="243"/>
      <c r="T173" s="243"/>
      <c r="U173" s="243"/>
      <c r="V173" s="243"/>
      <c r="W173" s="243"/>
      <c r="X173" s="243"/>
      <c r="Y173" s="243"/>
      <c r="Z173" s="981"/>
      <c r="AA173" s="981">
        <v>50716</v>
      </c>
      <c r="AB173" s="243"/>
      <c r="AC173" s="243"/>
      <c r="AD173" s="243"/>
      <c r="AE173" s="981"/>
      <c r="AF173" s="1051">
        <v>942</v>
      </c>
      <c r="AG173" s="243"/>
      <c r="AH173" s="243"/>
      <c r="AI173" s="402"/>
      <c r="AJ173" s="243"/>
      <c r="AK173" s="243"/>
      <c r="AL173" s="243"/>
      <c r="AM173" s="243"/>
      <c r="AN173" s="243"/>
      <c r="AO173" s="243"/>
      <c r="AP173" s="243"/>
      <c r="AQ173" s="243"/>
      <c r="AR173" s="243"/>
      <c r="AS173" s="402"/>
      <c r="AT173" s="981"/>
      <c r="AU173" s="243"/>
      <c r="AV173" s="243"/>
      <c r="AW173" s="243"/>
      <c r="AX173" s="402"/>
      <c r="AY173" s="402"/>
      <c r="AZ173" s="243"/>
      <c r="BA173" s="402"/>
      <c r="BB173" s="243"/>
      <c r="BC173" s="243"/>
      <c r="BD173" s="367"/>
      <c r="BE173" s="243"/>
      <c r="BF173" s="243"/>
      <c r="BG173" s="243"/>
      <c r="BH173" s="243"/>
      <c r="BI173" s="243"/>
      <c r="BJ173" s="243"/>
      <c r="BK173" s="243">
        <v>0</v>
      </c>
      <c r="BL173" s="243">
        <v>0</v>
      </c>
      <c r="BM173" s="243">
        <v>0</v>
      </c>
      <c r="BN173" s="243">
        <v>0</v>
      </c>
      <c r="BO173" s="243">
        <v>0</v>
      </c>
      <c r="BP173" s="243">
        <v>0</v>
      </c>
      <c r="BQ173" s="243">
        <v>0</v>
      </c>
      <c r="BR173" s="243"/>
      <c r="BS173" s="243"/>
      <c r="BT173" s="243"/>
      <c r="BU173" s="243"/>
      <c r="BV173" s="243"/>
      <c r="BW173" s="243"/>
      <c r="BX173" s="243"/>
      <c r="BY173" s="243"/>
      <c r="BZ173" s="243"/>
      <c r="CA173" s="243"/>
      <c r="CB173" s="243"/>
      <c r="CC173" s="243"/>
      <c r="CD173" s="243"/>
      <c r="CE173" s="243"/>
      <c r="CF173" s="243"/>
      <c r="CG173" s="1283"/>
    </row>
    <row r="174" spans="1:85" ht="13.2">
      <c r="A174" s="155">
        <v>45088</v>
      </c>
      <c r="B174" s="243"/>
      <c r="C174" s="243"/>
      <c r="D174" s="402"/>
      <c r="E174" s="1363"/>
      <c r="F174" s="243"/>
      <c r="G174" s="243"/>
      <c r="H174" s="243"/>
      <c r="I174" s="243"/>
      <c r="J174" s="243"/>
      <c r="K174" s="243"/>
      <c r="L174" s="243"/>
      <c r="M174" s="243"/>
      <c r="N174" s="243"/>
      <c r="O174" s="243"/>
      <c r="P174" s="243"/>
      <c r="Q174" s="243"/>
      <c r="R174" s="243"/>
      <c r="S174" s="243"/>
      <c r="T174" s="243"/>
      <c r="U174" s="243"/>
      <c r="V174" s="243"/>
      <c r="W174" s="243"/>
      <c r="X174" s="243"/>
      <c r="Y174" s="243"/>
      <c r="Z174" s="981"/>
      <c r="AA174" s="981">
        <v>50716</v>
      </c>
      <c r="AB174" s="243"/>
      <c r="AC174" s="243"/>
      <c r="AD174" s="243"/>
      <c r="AE174" s="981"/>
      <c r="AF174" s="1051">
        <v>942</v>
      </c>
      <c r="AG174" s="243"/>
      <c r="AH174" s="243"/>
      <c r="AI174" s="243"/>
      <c r="AJ174" s="243"/>
      <c r="AK174" s="243"/>
      <c r="AL174" s="243"/>
      <c r="AM174" s="243"/>
      <c r="AN174" s="243"/>
      <c r="AO174" s="243"/>
      <c r="AP174" s="243"/>
      <c r="AQ174" s="243"/>
      <c r="AR174" s="243"/>
      <c r="AS174" s="243"/>
      <c r="AT174" s="243"/>
      <c r="AU174" s="243"/>
      <c r="AV174" s="243"/>
      <c r="AW174" s="243"/>
      <c r="AX174" s="243"/>
      <c r="AY174" s="243"/>
      <c r="AZ174" s="243"/>
      <c r="BA174" s="402"/>
      <c r="BB174" s="243"/>
      <c r="BC174" s="243"/>
      <c r="BD174" s="367"/>
      <c r="BE174" s="243"/>
      <c r="BF174" s="243"/>
      <c r="BG174" s="243"/>
      <c r="BH174" s="243"/>
      <c r="BI174" s="243"/>
      <c r="BJ174" s="243"/>
      <c r="BK174" s="243">
        <v>0</v>
      </c>
      <c r="BL174" s="243">
        <v>0</v>
      </c>
      <c r="BM174" s="243">
        <v>0</v>
      </c>
      <c r="BN174" s="243">
        <v>0</v>
      </c>
      <c r="BO174" s="243">
        <v>0</v>
      </c>
      <c r="BP174" s="243">
        <v>0</v>
      </c>
      <c r="BQ174" s="243">
        <v>0</v>
      </c>
      <c r="BR174" s="243"/>
      <c r="BS174" s="243"/>
      <c r="BT174" s="243"/>
      <c r="BU174" s="243"/>
      <c r="BV174" s="243"/>
      <c r="BW174" s="243"/>
      <c r="BX174" s="243"/>
      <c r="BY174" s="243"/>
      <c r="BZ174" s="243"/>
      <c r="CA174" s="243"/>
      <c r="CB174" s="243"/>
      <c r="CC174" s="243"/>
      <c r="CD174" s="243"/>
      <c r="CE174" s="243"/>
      <c r="CF174" s="243"/>
      <c r="CG174" s="1283"/>
    </row>
    <row r="175" spans="1:85" ht="13.2">
      <c r="A175" s="155">
        <v>45089</v>
      </c>
      <c r="B175" s="243"/>
      <c r="C175" s="243"/>
      <c r="D175" s="402"/>
      <c r="E175" s="1363"/>
      <c r="F175" s="243"/>
      <c r="G175" s="243"/>
      <c r="H175" s="243"/>
      <c r="I175" s="243"/>
      <c r="J175" s="243"/>
      <c r="K175" s="402"/>
      <c r="L175" s="402"/>
      <c r="M175" s="243"/>
      <c r="N175" s="243"/>
      <c r="O175" s="243"/>
      <c r="P175" s="243"/>
      <c r="Q175" s="243"/>
      <c r="R175" s="243"/>
      <c r="S175" s="243"/>
      <c r="T175" s="243"/>
      <c r="U175" s="243"/>
      <c r="V175" s="243"/>
      <c r="W175" s="243"/>
      <c r="X175" s="243"/>
      <c r="Y175" s="243"/>
      <c r="Z175" s="981"/>
      <c r="AA175" s="981">
        <v>50716</v>
      </c>
      <c r="AB175" s="243"/>
      <c r="AC175" s="243"/>
      <c r="AD175" s="243"/>
      <c r="AE175" s="981"/>
      <c r="AF175" s="1051">
        <v>942</v>
      </c>
      <c r="AG175" s="243"/>
      <c r="AH175" s="243"/>
      <c r="AI175" s="402"/>
      <c r="AJ175" s="243"/>
      <c r="AK175" s="243"/>
      <c r="AL175" s="243"/>
      <c r="AM175" s="243"/>
      <c r="AN175" s="243"/>
      <c r="AO175" s="243"/>
      <c r="AP175" s="243"/>
      <c r="AQ175" s="243"/>
      <c r="AR175" s="243"/>
      <c r="AS175" s="402"/>
      <c r="AT175" s="981"/>
      <c r="AU175" s="243"/>
      <c r="AV175" s="243"/>
      <c r="AW175" s="243"/>
      <c r="AX175" s="402"/>
      <c r="AY175" s="402"/>
      <c r="AZ175" s="243"/>
      <c r="BA175" s="402"/>
      <c r="BB175" s="243"/>
      <c r="BC175" s="243"/>
      <c r="BD175" s="367"/>
      <c r="BE175" s="243"/>
      <c r="BF175" s="243"/>
      <c r="BG175" s="243"/>
      <c r="BH175" s="243"/>
      <c r="BI175" s="243"/>
      <c r="BJ175" s="243"/>
      <c r="BK175" s="243">
        <v>0</v>
      </c>
      <c r="BL175" s="243">
        <v>0</v>
      </c>
      <c r="BM175" s="243">
        <v>0</v>
      </c>
      <c r="BN175" s="243">
        <v>0</v>
      </c>
      <c r="BO175" s="243">
        <v>0</v>
      </c>
      <c r="BP175" s="243">
        <v>0</v>
      </c>
      <c r="BQ175" s="243">
        <v>0</v>
      </c>
      <c r="BR175" s="243"/>
      <c r="BS175" s="243"/>
      <c r="BT175" s="243"/>
      <c r="BU175" s="243"/>
      <c r="BV175" s="243"/>
      <c r="BW175" s="243"/>
      <c r="BX175" s="243"/>
      <c r="BY175" s="243"/>
      <c r="BZ175" s="243"/>
      <c r="CA175" s="243"/>
      <c r="CB175" s="243"/>
      <c r="CC175" s="243"/>
      <c r="CD175" s="243"/>
      <c r="CE175" s="243"/>
      <c r="CF175" s="243"/>
      <c r="CG175" s="1283"/>
    </row>
    <row r="176" spans="1:85" ht="13.2">
      <c r="A176" s="155">
        <v>45090</v>
      </c>
      <c r="B176" s="243"/>
      <c r="C176" s="243"/>
      <c r="D176" s="402"/>
      <c r="E176" s="1363"/>
      <c r="F176" s="243"/>
      <c r="G176" s="243"/>
      <c r="H176" s="243"/>
      <c r="I176" s="243"/>
      <c r="J176" s="243"/>
      <c r="K176" s="402"/>
      <c r="L176" s="402"/>
      <c r="M176" s="243"/>
      <c r="N176" s="243"/>
      <c r="O176" s="243"/>
      <c r="P176" s="243"/>
      <c r="Q176" s="243"/>
      <c r="R176" s="243"/>
      <c r="S176" s="243"/>
      <c r="T176" s="243"/>
      <c r="U176" s="243"/>
      <c r="V176" s="243"/>
      <c r="W176" s="243"/>
      <c r="X176" s="243"/>
      <c r="Y176" s="243"/>
      <c r="Z176" s="981"/>
      <c r="AA176" s="981">
        <v>50716</v>
      </c>
      <c r="AB176" s="243"/>
      <c r="AC176" s="243"/>
      <c r="AD176" s="243"/>
      <c r="AE176" s="981"/>
      <c r="AF176" s="1051">
        <v>942</v>
      </c>
      <c r="AG176" s="243"/>
      <c r="AH176" s="243"/>
      <c r="AI176" s="402"/>
      <c r="AJ176" s="243"/>
      <c r="AK176" s="243"/>
      <c r="AL176" s="243"/>
      <c r="AM176" s="243"/>
      <c r="AN176" s="243"/>
      <c r="AO176" s="243"/>
      <c r="AP176" s="243"/>
      <c r="AQ176" s="243"/>
      <c r="AR176" s="243"/>
      <c r="AS176" s="402"/>
      <c r="AT176" s="981"/>
      <c r="AU176" s="243"/>
      <c r="AV176" s="243"/>
      <c r="AW176" s="243"/>
      <c r="AX176" s="402"/>
      <c r="AY176" s="402"/>
      <c r="AZ176" s="243"/>
      <c r="BA176" s="402"/>
      <c r="BB176" s="243"/>
      <c r="BC176" s="243"/>
      <c r="BD176" s="367"/>
      <c r="BE176" s="243"/>
      <c r="BF176" s="243"/>
      <c r="BG176" s="243"/>
      <c r="BH176" s="243"/>
      <c r="BI176" s="243"/>
      <c r="BJ176" s="243"/>
      <c r="BK176" s="243">
        <v>0</v>
      </c>
      <c r="BL176" s="243">
        <v>0</v>
      </c>
      <c r="BM176" s="243">
        <v>0</v>
      </c>
      <c r="BN176" s="243">
        <v>0</v>
      </c>
      <c r="BO176" s="243">
        <v>0</v>
      </c>
      <c r="BP176" s="243">
        <v>0</v>
      </c>
      <c r="BQ176" s="243">
        <v>0</v>
      </c>
      <c r="BR176" s="243"/>
      <c r="BS176" s="243"/>
      <c r="BT176" s="243"/>
      <c r="BU176" s="243"/>
      <c r="BV176" s="243"/>
      <c r="BW176" s="243"/>
      <c r="BX176" s="243"/>
      <c r="BY176" s="243"/>
      <c r="BZ176" s="243"/>
      <c r="CA176" s="243"/>
      <c r="CB176" s="243"/>
      <c r="CC176" s="243"/>
      <c r="CD176" s="243"/>
      <c r="CE176" s="243"/>
      <c r="CF176" s="243"/>
      <c r="CG176" s="1283"/>
    </row>
    <row r="177" spans="1:85" ht="13.2">
      <c r="A177" s="155">
        <v>45091</v>
      </c>
      <c r="B177" s="243"/>
      <c r="C177" s="243"/>
      <c r="D177" s="1379"/>
      <c r="E177" s="1363"/>
      <c r="F177" s="243"/>
      <c r="G177" s="243"/>
      <c r="H177" s="243"/>
      <c r="I177" s="243"/>
      <c r="J177" s="243"/>
      <c r="K177" s="402"/>
      <c r="L177" s="402"/>
      <c r="M177" s="243"/>
      <c r="N177" s="243"/>
      <c r="O177" s="243"/>
      <c r="P177" s="243"/>
      <c r="Q177" s="243"/>
      <c r="R177" s="243"/>
      <c r="S177" s="243"/>
      <c r="T177" s="243"/>
      <c r="U177" s="243"/>
      <c r="V177" s="243"/>
      <c r="W177" s="243"/>
      <c r="X177" s="243"/>
      <c r="Y177" s="243"/>
      <c r="Z177" s="981"/>
      <c r="AA177" s="981">
        <v>50716</v>
      </c>
      <c r="AB177" s="243"/>
      <c r="AC177" s="243"/>
      <c r="AD177" s="243"/>
      <c r="AE177" s="981"/>
      <c r="AF177" s="1051">
        <v>942</v>
      </c>
      <c r="AG177" s="243"/>
      <c r="AH177" s="243"/>
      <c r="AI177" s="402"/>
      <c r="AJ177" s="243"/>
      <c r="AK177" s="243"/>
      <c r="AL177" s="243"/>
      <c r="AM177" s="243"/>
      <c r="AN177" s="243"/>
      <c r="AO177" s="243"/>
      <c r="AP177" s="243"/>
      <c r="AQ177" s="243"/>
      <c r="AR177" s="243"/>
      <c r="AS177" s="402"/>
      <c r="AT177" s="981"/>
      <c r="AU177" s="243"/>
      <c r="AV177" s="243"/>
      <c r="AW177" s="243"/>
      <c r="AX177" s="402"/>
      <c r="AY177" s="402"/>
      <c r="AZ177" s="243"/>
      <c r="BA177" s="402"/>
      <c r="BB177" s="243"/>
      <c r="BC177" s="243"/>
      <c r="BD177" s="629"/>
      <c r="BE177" s="243"/>
      <c r="BF177" s="243"/>
      <c r="BG177" s="243"/>
      <c r="BH177" s="243"/>
      <c r="BI177" s="243"/>
      <c r="BJ177" s="243"/>
      <c r="BK177" s="243">
        <v>0</v>
      </c>
      <c r="BL177" s="243">
        <v>0</v>
      </c>
      <c r="BM177" s="243">
        <v>0</v>
      </c>
      <c r="BN177" s="243">
        <v>0</v>
      </c>
      <c r="BO177" s="243">
        <v>0</v>
      </c>
      <c r="BP177" s="243">
        <v>0</v>
      </c>
      <c r="BQ177" s="243">
        <v>0</v>
      </c>
      <c r="BR177" s="243"/>
      <c r="BS177" s="243"/>
      <c r="BT177" s="243"/>
      <c r="BU177" s="243"/>
      <c r="BV177" s="243"/>
      <c r="BW177" s="243"/>
      <c r="BX177" s="243"/>
      <c r="BY177" s="243"/>
      <c r="BZ177" s="243"/>
      <c r="CA177" s="243"/>
      <c r="CB177" s="243"/>
      <c r="CC177" s="243"/>
      <c r="CD177" s="243"/>
      <c r="CE177" s="243"/>
      <c r="CF177" s="243"/>
      <c r="CG177" s="1283"/>
    </row>
    <row r="178" spans="1:85" ht="13.2">
      <c r="A178" s="155">
        <v>45092</v>
      </c>
      <c r="B178" s="243"/>
      <c r="C178" s="243"/>
      <c r="D178" s="1379"/>
      <c r="E178" s="1363"/>
      <c r="F178" s="243"/>
      <c r="G178" s="243"/>
      <c r="H178" s="243"/>
      <c r="I178" s="243"/>
      <c r="J178" s="243"/>
      <c r="K178" s="402"/>
      <c r="L178" s="402"/>
      <c r="M178" s="243"/>
      <c r="N178" s="243"/>
      <c r="O178" s="243"/>
      <c r="P178" s="243"/>
      <c r="Q178" s="243"/>
      <c r="R178" s="243"/>
      <c r="S178" s="243"/>
      <c r="T178" s="243"/>
      <c r="U178" s="243"/>
      <c r="V178" s="243"/>
      <c r="W178" s="243"/>
      <c r="X178" s="243"/>
      <c r="Y178" s="243"/>
      <c r="Z178" s="981"/>
      <c r="AA178" s="981">
        <v>50716</v>
      </c>
      <c r="AB178" s="243"/>
      <c r="AC178" s="243"/>
      <c r="AD178" s="243"/>
      <c r="AE178" s="981"/>
      <c r="AF178" s="1051">
        <v>942</v>
      </c>
      <c r="AG178" s="243"/>
      <c r="AH178" s="243"/>
      <c r="AI178" s="402"/>
      <c r="AJ178" s="243"/>
      <c r="AK178" s="243"/>
      <c r="AL178" s="243"/>
      <c r="AM178" s="243"/>
      <c r="AN178" s="243"/>
      <c r="AO178" s="243"/>
      <c r="AP178" s="243"/>
      <c r="AQ178" s="243"/>
      <c r="AR178" s="243"/>
      <c r="AS178" s="243"/>
      <c r="AT178" s="981"/>
      <c r="AU178" s="243"/>
      <c r="AV178" s="243"/>
      <c r="AW178" s="243"/>
      <c r="AX178" s="243"/>
      <c r="AY178" s="243"/>
      <c r="AZ178" s="243"/>
      <c r="BA178" s="402"/>
      <c r="BB178" s="243"/>
      <c r="BC178" s="243"/>
      <c r="BD178" s="629"/>
      <c r="BE178" s="243"/>
      <c r="BF178" s="243"/>
      <c r="BG178" s="243"/>
      <c r="BH178" s="243"/>
      <c r="BI178" s="243"/>
      <c r="BJ178" s="243"/>
      <c r="BK178" s="243">
        <v>0</v>
      </c>
      <c r="BL178" s="243">
        <v>0</v>
      </c>
      <c r="BM178" s="243">
        <v>0</v>
      </c>
      <c r="BN178" s="243">
        <v>0</v>
      </c>
      <c r="BO178" s="243">
        <v>0</v>
      </c>
      <c r="BP178" s="243">
        <v>0</v>
      </c>
      <c r="BQ178" s="243">
        <v>0</v>
      </c>
      <c r="BR178" s="243"/>
      <c r="BS178" s="243"/>
      <c r="BT178" s="243"/>
      <c r="BU178" s="243"/>
      <c r="BV178" s="243"/>
      <c r="BW178" s="243"/>
      <c r="BX178" s="243"/>
      <c r="BY178" s="243"/>
      <c r="BZ178" s="243"/>
      <c r="CA178" s="243"/>
      <c r="CB178" s="243"/>
      <c r="CC178" s="243"/>
      <c r="CD178" s="243"/>
      <c r="CE178" s="243"/>
      <c r="CF178" s="243"/>
      <c r="CG178" s="1283"/>
    </row>
    <row r="179" spans="1:85" ht="13.2">
      <c r="A179" s="155">
        <v>45093</v>
      </c>
      <c r="B179" s="243"/>
      <c r="C179" s="243"/>
      <c r="D179" s="1379"/>
      <c r="E179" s="1363"/>
      <c r="F179" s="243"/>
      <c r="G179" s="243"/>
      <c r="H179" s="243"/>
      <c r="I179" s="243"/>
      <c r="J179" s="243"/>
      <c r="K179" s="402"/>
      <c r="L179" s="402"/>
      <c r="M179" s="243"/>
      <c r="N179" s="243"/>
      <c r="O179" s="243"/>
      <c r="P179" s="243"/>
      <c r="Q179" s="243"/>
      <c r="R179" s="243"/>
      <c r="S179" s="243"/>
      <c r="T179" s="243"/>
      <c r="U179" s="243"/>
      <c r="V179" s="243"/>
      <c r="W179" s="243"/>
      <c r="X179" s="243"/>
      <c r="Y179" s="243"/>
      <c r="Z179" s="981"/>
      <c r="AA179" s="981">
        <v>50716</v>
      </c>
      <c r="AB179" s="243"/>
      <c r="AC179" s="243"/>
      <c r="AD179" s="243"/>
      <c r="AE179" s="981"/>
      <c r="AF179" s="1051">
        <v>942</v>
      </c>
      <c r="AG179" s="243"/>
      <c r="AH179" s="243"/>
      <c r="AI179" s="402"/>
      <c r="AJ179" s="243"/>
      <c r="AK179" s="243"/>
      <c r="AL179" s="243"/>
      <c r="AM179" s="243"/>
      <c r="AN179" s="243"/>
      <c r="AO179" s="243"/>
      <c r="AP179" s="243"/>
      <c r="AQ179" s="243"/>
      <c r="AR179" s="243"/>
      <c r="AS179" s="402"/>
      <c r="AT179" s="981"/>
      <c r="AU179" s="243"/>
      <c r="AV179" s="243"/>
      <c r="AW179" s="243"/>
      <c r="AX179" s="402"/>
      <c r="AY179" s="402"/>
      <c r="AZ179" s="243"/>
      <c r="BA179" s="402"/>
      <c r="BB179" s="243"/>
      <c r="BC179" s="243"/>
      <c r="BD179" s="629"/>
      <c r="BE179" s="243"/>
      <c r="BF179" s="243"/>
      <c r="BG179" s="243"/>
      <c r="BH179" s="243"/>
      <c r="BI179" s="981"/>
      <c r="BJ179" s="243"/>
      <c r="BK179" s="243">
        <v>0</v>
      </c>
      <c r="BL179" s="243">
        <v>0</v>
      </c>
      <c r="BM179" s="243">
        <v>0</v>
      </c>
      <c r="BN179" s="243">
        <v>0</v>
      </c>
      <c r="BO179" s="243">
        <v>0</v>
      </c>
      <c r="BP179" s="243">
        <v>0</v>
      </c>
      <c r="BQ179" s="243">
        <v>0</v>
      </c>
      <c r="BR179" s="243"/>
      <c r="BS179" s="243"/>
      <c r="BT179" s="243"/>
      <c r="BU179" s="243"/>
      <c r="BV179" s="243"/>
      <c r="BW179" s="243"/>
      <c r="BX179" s="243"/>
      <c r="BY179" s="243"/>
      <c r="BZ179" s="243"/>
      <c r="CA179" s="243"/>
      <c r="CB179" s="243"/>
      <c r="CC179" s="243"/>
      <c r="CD179" s="243"/>
      <c r="CE179" s="243"/>
      <c r="CF179" s="243"/>
      <c r="CG179" s="1283"/>
    </row>
    <row r="180" spans="1:85" ht="13.2">
      <c r="A180" s="155">
        <v>45094</v>
      </c>
      <c r="B180" s="243"/>
      <c r="C180" s="243"/>
      <c r="D180" s="1379"/>
      <c r="E180" s="1363"/>
      <c r="F180" s="243"/>
      <c r="G180" s="243"/>
      <c r="H180" s="243"/>
      <c r="I180" s="243"/>
      <c r="J180" s="243"/>
      <c r="K180" s="402"/>
      <c r="L180" s="402"/>
      <c r="M180" s="243"/>
      <c r="N180" s="243"/>
      <c r="O180" s="243"/>
      <c r="P180" s="243"/>
      <c r="Q180" s="243"/>
      <c r="R180" s="243"/>
      <c r="S180" s="243"/>
      <c r="T180" s="243"/>
      <c r="U180" s="243"/>
      <c r="V180" s="243"/>
      <c r="W180" s="243"/>
      <c r="X180" s="243"/>
      <c r="Y180" s="243"/>
      <c r="Z180" s="981"/>
      <c r="AA180" s="981">
        <v>50716</v>
      </c>
      <c r="AB180" s="243"/>
      <c r="AC180" s="243"/>
      <c r="AD180" s="243"/>
      <c r="AE180" s="981"/>
      <c r="AF180" s="1051">
        <v>942</v>
      </c>
      <c r="AG180" s="243"/>
      <c r="AH180" s="243"/>
      <c r="AI180" s="402"/>
      <c r="AJ180" s="243"/>
      <c r="AK180" s="243"/>
      <c r="AL180" s="243"/>
      <c r="AM180" s="243"/>
      <c r="AN180" s="243"/>
      <c r="AO180" s="243"/>
      <c r="AP180" s="243"/>
      <c r="AQ180" s="243"/>
      <c r="AR180" s="243"/>
      <c r="AS180" s="243"/>
      <c r="AT180" s="981"/>
      <c r="AU180" s="243"/>
      <c r="AV180" s="243"/>
      <c r="AW180" s="243"/>
      <c r="AX180" s="243"/>
      <c r="AY180" s="243"/>
      <c r="AZ180" s="243"/>
      <c r="BA180" s="402"/>
      <c r="BB180" s="243"/>
      <c r="BC180" s="243"/>
      <c r="BD180" s="629"/>
      <c r="BE180" s="243"/>
      <c r="BF180" s="243"/>
      <c r="BG180" s="243"/>
      <c r="BH180" s="243"/>
      <c r="BI180" s="243"/>
      <c r="BJ180" s="243"/>
      <c r="BK180" s="243">
        <v>0</v>
      </c>
      <c r="BL180" s="243">
        <v>0</v>
      </c>
      <c r="BM180" s="243">
        <v>0</v>
      </c>
      <c r="BN180" s="243">
        <v>0</v>
      </c>
      <c r="BO180" s="243">
        <v>0</v>
      </c>
      <c r="BP180" s="243">
        <v>0</v>
      </c>
      <c r="BQ180" s="243">
        <v>0</v>
      </c>
      <c r="BR180" s="243"/>
      <c r="BS180" s="243"/>
      <c r="BT180" s="243"/>
      <c r="BU180" s="243"/>
      <c r="BV180" s="243"/>
      <c r="BW180" s="243"/>
      <c r="BX180" s="243"/>
      <c r="BY180" s="243"/>
      <c r="BZ180" s="243"/>
      <c r="CA180" s="243"/>
      <c r="CB180" s="243"/>
      <c r="CC180" s="243"/>
      <c r="CD180" s="243"/>
      <c r="CE180" s="243"/>
      <c r="CF180" s="243"/>
      <c r="CG180" s="1283"/>
    </row>
    <row r="181" spans="1:85" ht="13.5" customHeight="1">
      <c r="A181" s="155">
        <v>45095</v>
      </c>
      <c r="B181" s="243"/>
      <c r="C181" s="243"/>
      <c r="D181" s="1379"/>
      <c r="E181" s="1363"/>
      <c r="F181" s="243"/>
      <c r="G181" s="243"/>
      <c r="H181" s="243"/>
      <c r="I181" s="243"/>
      <c r="J181" s="243"/>
      <c r="K181" s="402"/>
      <c r="L181" s="402"/>
      <c r="M181" s="243"/>
      <c r="N181" s="243"/>
      <c r="O181" s="243"/>
      <c r="P181" s="243"/>
      <c r="Q181" s="243"/>
      <c r="R181" s="243"/>
      <c r="S181" s="243"/>
      <c r="T181" s="243"/>
      <c r="U181" s="243"/>
      <c r="V181" s="243"/>
      <c r="W181" s="243"/>
      <c r="X181" s="243"/>
      <c r="Y181" s="243"/>
      <c r="Z181" s="981"/>
      <c r="AA181" s="981">
        <v>50716</v>
      </c>
      <c r="AB181" s="243"/>
      <c r="AC181" s="243"/>
      <c r="AD181" s="243"/>
      <c r="AE181" s="981"/>
      <c r="AF181" s="1051">
        <v>942</v>
      </c>
      <c r="AG181" s="243"/>
      <c r="AH181" s="243"/>
      <c r="AI181" s="402"/>
      <c r="AJ181" s="243"/>
      <c r="AK181" s="243"/>
      <c r="AL181" s="243"/>
      <c r="AM181" s="243"/>
      <c r="AN181" s="243"/>
      <c r="AO181" s="243"/>
      <c r="AP181" s="243"/>
      <c r="AQ181" s="243"/>
      <c r="AR181" s="243"/>
      <c r="AS181" s="402"/>
      <c r="AT181" s="981"/>
      <c r="AU181" s="243"/>
      <c r="AV181" s="243"/>
      <c r="AW181" s="243"/>
      <c r="AX181" s="402"/>
      <c r="AY181" s="402"/>
      <c r="AZ181" s="243"/>
      <c r="BA181" s="402"/>
      <c r="BB181" s="243"/>
      <c r="BC181" s="243"/>
      <c r="BD181" s="629"/>
      <c r="BE181" s="243"/>
      <c r="BF181" s="243"/>
      <c r="BG181" s="243"/>
      <c r="BH181" s="243"/>
      <c r="BI181" s="981"/>
      <c r="BJ181" s="243"/>
      <c r="BK181" s="243">
        <v>0</v>
      </c>
      <c r="BL181" s="243">
        <v>0</v>
      </c>
      <c r="BM181" s="243">
        <v>0</v>
      </c>
      <c r="BN181" s="243">
        <v>0</v>
      </c>
      <c r="BO181" s="243">
        <v>0</v>
      </c>
      <c r="BP181" s="243">
        <v>0</v>
      </c>
      <c r="BQ181" s="243">
        <v>0</v>
      </c>
      <c r="BR181" s="243"/>
      <c r="BS181" s="243"/>
      <c r="BT181" s="243"/>
      <c r="BU181" s="243"/>
      <c r="BV181" s="243"/>
      <c r="BW181" s="243"/>
      <c r="BX181" s="243"/>
      <c r="BY181" s="243"/>
      <c r="BZ181" s="243"/>
      <c r="CA181" s="243"/>
      <c r="CB181" s="243"/>
      <c r="CC181" s="243"/>
      <c r="CD181" s="243"/>
      <c r="CE181" s="243"/>
      <c r="CF181" s="243"/>
      <c r="CG181" s="1283"/>
    </row>
    <row r="182" spans="1:85" ht="13.2">
      <c r="A182" s="155">
        <v>45096</v>
      </c>
      <c r="B182" s="243"/>
      <c r="C182" s="243"/>
      <c r="D182" s="1379"/>
      <c r="E182" s="1363"/>
      <c r="F182" s="243"/>
      <c r="G182" s="243"/>
      <c r="H182" s="243"/>
      <c r="I182" s="243"/>
      <c r="J182" s="243"/>
      <c r="K182" s="402"/>
      <c r="L182" s="402"/>
      <c r="M182" s="243"/>
      <c r="N182" s="243"/>
      <c r="O182" s="243"/>
      <c r="P182" s="243"/>
      <c r="Q182" s="243"/>
      <c r="R182" s="243"/>
      <c r="S182" s="243"/>
      <c r="T182" s="243"/>
      <c r="U182" s="243"/>
      <c r="V182" s="243"/>
      <c r="W182" s="243"/>
      <c r="X182" s="243"/>
      <c r="Y182" s="243"/>
      <c r="Z182" s="981"/>
      <c r="AA182" s="981">
        <v>50716</v>
      </c>
      <c r="AB182" s="243"/>
      <c r="AC182" s="243"/>
      <c r="AD182" s="243"/>
      <c r="AE182" s="981"/>
      <c r="AF182" s="1051">
        <v>942</v>
      </c>
      <c r="AG182" s="243"/>
      <c r="AH182" s="243"/>
      <c r="AI182" s="402"/>
      <c r="AJ182" s="243"/>
      <c r="AK182" s="243"/>
      <c r="AL182" s="243"/>
      <c r="AM182" s="243"/>
      <c r="AN182" s="243"/>
      <c r="AO182" s="243"/>
      <c r="AP182" s="243"/>
      <c r="AQ182" s="243"/>
      <c r="AR182" s="243"/>
      <c r="AS182" s="402"/>
      <c r="AT182" s="981"/>
      <c r="AU182" s="243"/>
      <c r="AV182" s="243"/>
      <c r="AW182" s="243"/>
      <c r="AX182" s="402"/>
      <c r="AY182" s="402"/>
      <c r="AZ182" s="243"/>
      <c r="BA182" s="402"/>
      <c r="BB182" s="243"/>
      <c r="BC182" s="243"/>
      <c r="BD182" s="629"/>
      <c r="BE182" s="243"/>
      <c r="BF182" s="243"/>
      <c r="BG182" s="243"/>
      <c r="BH182" s="243"/>
      <c r="BI182" s="981"/>
      <c r="BJ182" s="243"/>
      <c r="BK182" s="243">
        <v>0</v>
      </c>
      <c r="BL182" s="243">
        <v>0</v>
      </c>
      <c r="BM182" s="243">
        <v>0</v>
      </c>
      <c r="BN182" s="243">
        <v>0</v>
      </c>
      <c r="BO182" s="243">
        <v>0</v>
      </c>
      <c r="BP182" s="243">
        <v>0</v>
      </c>
      <c r="BQ182" s="243">
        <v>0</v>
      </c>
      <c r="BR182" s="243"/>
      <c r="BS182" s="243"/>
      <c r="BT182" s="243"/>
      <c r="BU182" s="243"/>
      <c r="BV182" s="243"/>
      <c r="BW182" s="243"/>
      <c r="BX182" s="243"/>
      <c r="BY182" s="243"/>
      <c r="BZ182" s="243"/>
      <c r="CA182" s="243"/>
      <c r="CB182" s="243"/>
      <c r="CC182" s="243"/>
      <c r="CD182" s="243"/>
      <c r="CE182" s="243"/>
      <c r="CF182" s="243"/>
      <c r="CG182" s="1283"/>
    </row>
    <row r="183" spans="1:85" ht="13.2">
      <c r="A183" s="155">
        <v>45097</v>
      </c>
      <c r="B183" s="243"/>
      <c r="C183" s="243"/>
      <c r="D183" s="629"/>
      <c r="E183" s="1271"/>
      <c r="F183" s="243"/>
      <c r="G183" s="243"/>
      <c r="H183" s="243"/>
      <c r="I183" s="243"/>
      <c r="J183" s="243"/>
      <c r="K183" s="402"/>
      <c r="L183" s="402"/>
      <c r="M183" s="243"/>
      <c r="N183" s="243"/>
      <c r="O183" s="243"/>
      <c r="P183" s="243"/>
      <c r="Q183" s="243"/>
      <c r="R183" s="243"/>
      <c r="S183" s="243"/>
      <c r="T183" s="243"/>
      <c r="U183" s="243"/>
      <c r="V183" s="243"/>
      <c r="W183" s="243"/>
      <c r="X183" s="243"/>
      <c r="Y183" s="243"/>
      <c r="Z183" s="981"/>
      <c r="AA183" s="981">
        <v>50716</v>
      </c>
      <c r="AB183" s="243"/>
      <c r="AC183" s="243"/>
      <c r="AD183" s="243"/>
      <c r="AE183" s="981"/>
      <c r="AF183" s="1051">
        <v>942</v>
      </c>
      <c r="AG183" s="243"/>
      <c r="AH183" s="243"/>
      <c r="AI183" s="402"/>
      <c r="AJ183" s="243"/>
      <c r="AK183" s="243"/>
      <c r="AL183" s="243"/>
      <c r="AM183" s="243"/>
      <c r="AN183" s="243"/>
      <c r="AO183" s="243"/>
      <c r="AP183" s="243"/>
      <c r="AQ183" s="243"/>
      <c r="AR183" s="243"/>
      <c r="AS183" s="402"/>
      <c r="AT183" s="981"/>
      <c r="AU183" s="243"/>
      <c r="AV183" s="243"/>
      <c r="AW183" s="243"/>
      <c r="AX183" s="402"/>
      <c r="AY183" s="402"/>
      <c r="AZ183" s="243"/>
      <c r="BA183" s="402"/>
      <c r="BB183" s="243"/>
      <c r="BC183" s="243"/>
      <c r="BD183" s="629"/>
      <c r="BE183" s="243"/>
      <c r="BF183" s="243"/>
      <c r="BG183" s="243"/>
      <c r="BH183" s="243"/>
      <c r="BI183" s="981"/>
      <c r="BJ183" s="243"/>
      <c r="BK183" s="243">
        <v>0</v>
      </c>
      <c r="BL183" s="243">
        <v>0</v>
      </c>
      <c r="BM183" s="243">
        <v>0</v>
      </c>
      <c r="BN183" s="243">
        <v>0</v>
      </c>
      <c r="BO183" s="243">
        <v>0</v>
      </c>
      <c r="BP183" s="243">
        <v>0</v>
      </c>
      <c r="BQ183" s="243">
        <v>0</v>
      </c>
      <c r="BR183" s="243"/>
      <c r="BS183" s="243"/>
      <c r="BT183" s="243"/>
      <c r="BU183" s="243"/>
      <c r="BV183" s="243"/>
      <c r="BW183" s="243"/>
      <c r="BX183" s="243"/>
      <c r="BY183" s="243"/>
      <c r="BZ183" s="243"/>
      <c r="CA183" s="243"/>
      <c r="CB183" s="243"/>
      <c r="CC183" s="243"/>
      <c r="CD183" s="243"/>
      <c r="CE183" s="243"/>
      <c r="CF183" s="243"/>
      <c r="CG183" s="1283"/>
    </row>
    <row r="184" spans="1:85" ht="13.2">
      <c r="A184" s="155">
        <v>45098</v>
      </c>
      <c r="B184" s="243"/>
      <c r="C184" s="243"/>
      <c r="D184" s="629"/>
      <c r="E184" s="1271"/>
      <c r="F184" s="243"/>
      <c r="G184" s="243"/>
      <c r="H184" s="243"/>
      <c r="I184" s="243"/>
      <c r="J184" s="243"/>
      <c r="K184" s="402"/>
      <c r="L184" s="402"/>
      <c r="M184" s="243"/>
      <c r="N184" s="243"/>
      <c r="O184" s="243"/>
      <c r="P184" s="243"/>
      <c r="Q184" s="243"/>
      <c r="R184" s="243"/>
      <c r="S184" s="243"/>
      <c r="T184" s="243"/>
      <c r="U184" s="243"/>
      <c r="V184" s="243"/>
      <c r="W184" s="243"/>
      <c r="X184" s="243"/>
      <c r="Y184" s="243"/>
      <c r="Z184" s="981"/>
      <c r="AA184" s="981">
        <v>50716</v>
      </c>
      <c r="AB184" s="243"/>
      <c r="AC184" s="243"/>
      <c r="AD184" s="243"/>
      <c r="AE184" s="981"/>
      <c r="AF184" s="1051">
        <v>942</v>
      </c>
      <c r="AG184" s="243"/>
      <c r="AH184" s="243"/>
      <c r="AI184" s="402"/>
      <c r="AJ184" s="243"/>
      <c r="AK184" s="243"/>
      <c r="AL184" s="243"/>
      <c r="AM184" s="243"/>
      <c r="AN184" s="243"/>
      <c r="AO184" s="243"/>
      <c r="AP184" s="243"/>
      <c r="AQ184" s="243"/>
      <c r="AR184" s="243"/>
      <c r="AS184" s="402"/>
      <c r="AT184" s="981"/>
      <c r="AU184" s="243"/>
      <c r="AV184" s="243"/>
      <c r="AW184" s="243"/>
      <c r="AX184" s="402"/>
      <c r="AY184" s="402"/>
      <c r="AZ184" s="243"/>
      <c r="BA184" s="402"/>
      <c r="BB184" s="402"/>
      <c r="BC184" s="402"/>
      <c r="BD184" s="629"/>
      <c r="BE184" s="243"/>
      <c r="BF184" s="243"/>
      <c r="BG184" s="243"/>
      <c r="BH184" s="243"/>
      <c r="BI184" s="981"/>
      <c r="BJ184" s="243"/>
      <c r="BK184" s="243">
        <v>0</v>
      </c>
      <c r="BL184" s="243">
        <v>0</v>
      </c>
      <c r="BM184" s="243">
        <v>0</v>
      </c>
      <c r="BN184" s="243">
        <v>0</v>
      </c>
      <c r="BO184" s="243">
        <v>0</v>
      </c>
      <c r="BP184" s="243">
        <v>0</v>
      </c>
      <c r="BQ184" s="243">
        <v>0</v>
      </c>
      <c r="BR184" s="243"/>
      <c r="BS184" s="243"/>
      <c r="BT184" s="243"/>
      <c r="BU184" s="243"/>
      <c r="BV184" s="243"/>
      <c r="BW184" s="243"/>
      <c r="BX184" s="243"/>
      <c r="BY184" s="243"/>
      <c r="BZ184" s="243"/>
      <c r="CA184" s="243"/>
      <c r="CB184" s="243"/>
      <c r="CC184" s="243"/>
      <c r="CD184" s="243"/>
      <c r="CE184" s="243"/>
      <c r="CF184" s="243"/>
      <c r="CG184" s="1283"/>
    </row>
    <row r="185" spans="1:85" ht="13.2">
      <c r="A185" s="155">
        <v>45099</v>
      </c>
      <c r="B185" s="243"/>
      <c r="C185" s="243"/>
      <c r="D185" s="629"/>
      <c r="E185" s="1271"/>
      <c r="F185" s="243"/>
      <c r="G185" s="243"/>
      <c r="H185" s="243"/>
      <c r="I185" s="243"/>
      <c r="J185" s="244"/>
      <c r="K185" s="402"/>
      <c r="L185" s="402"/>
      <c r="M185" s="243"/>
      <c r="N185" s="243"/>
      <c r="O185" s="243"/>
      <c r="P185" s="243"/>
      <c r="Q185" s="243"/>
      <c r="R185" s="243"/>
      <c r="S185" s="243"/>
      <c r="T185" s="243"/>
      <c r="U185" s="243"/>
      <c r="V185" s="243"/>
      <c r="W185" s="243"/>
      <c r="X185" s="243"/>
      <c r="Y185" s="243"/>
      <c r="Z185" s="981"/>
      <c r="AA185" s="981">
        <v>50716</v>
      </c>
      <c r="AB185" s="243"/>
      <c r="AC185" s="243"/>
      <c r="AD185" s="243"/>
      <c r="AE185" s="981"/>
      <c r="AF185" s="1051">
        <v>942</v>
      </c>
      <c r="AG185" s="243"/>
      <c r="AH185" s="243"/>
      <c r="AI185" s="402"/>
      <c r="AJ185" s="243"/>
      <c r="AK185" s="243"/>
      <c r="AL185" s="243"/>
      <c r="AM185" s="243"/>
      <c r="AN185" s="243"/>
      <c r="AO185" s="243"/>
      <c r="AP185" s="243"/>
      <c r="AQ185" s="243"/>
      <c r="AR185" s="243"/>
      <c r="AS185" s="402"/>
      <c r="AT185" s="981"/>
      <c r="AU185" s="243"/>
      <c r="AV185" s="243"/>
      <c r="AW185" s="243"/>
      <c r="AX185" s="402"/>
      <c r="AY185" s="402"/>
      <c r="AZ185" s="243"/>
      <c r="BA185" s="402"/>
      <c r="BB185" s="402"/>
      <c r="BC185" s="402"/>
      <c r="BD185" s="629"/>
      <c r="BE185" s="243"/>
      <c r="BF185" s="243"/>
      <c r="BG185" s="243"/>
      <c r="BH185" s="243"/>
      <c r="BI185" s="981"/>
      <c r="BJ185" s="243"/>
      <c r="BK185" s="243">
        <v>0</v>
      </c>
      <c r="BL185" s="243">
        <v>0</v>
      </c>
      <c r="BM185" s="243">
        <v>0</v>
      </c>
      <c r="BN185" s="243">
        <v>0</v>
      </c>
      <c r="BO185" s="243">
        <v>0</v>
      </c>
      <c r="BP185" s="243">
        <v>0</v>
      </c>
      <c r="BQ185" s="243">
        <v>0</v>
      </c>
      <c r="BR185" s="243"/>
      <c r="BS185" s="243"/>
      <c r="BT185" s="243"/>
      <c r="BU185" s="243"/>
      <c r="BV185" s="243"/>
      <c r="BW185" s="243"/>
      <c r="BX185" s="243"/>
      <c r="BY185" s="243"/>
      <c r="BZ185" s="243"/>
      <c r="CA185" s="243"/>
      <c r="CB185" s="243"/>
      <c r="CC185" s="243"/>
      <c r="CD185" s="243"/>
      <c r="CE185" s="243"/>
      <c r="CF185" s="243"/>
      <c r="CG185" s="1283"/>
    </row>
    <row r="186" spans="1:85" ht="13.2">
      <c r="A186" s="155">
        <v>45100</v>
      </c>
      <c r="B186" s="243"/>
      <c r="C186" s="243"/>
      <c r="D186" s="629"/>
      <c r="E186" s="1271"/>
      <c r="F186" s="243"/>
      <c r="G186" s="243"/>
      <c r="H186" s="243"/>
      <c r="I186" s="243"/>
      <c r="J186" s="243"/>
      <c r="K186" s="402"/>
      <c r="L186" s="402"/>
      <c r="M186" s="243"/>
      <c r="N186" s="243"/>
      <c r="O186" s="243"/>
      <c r="P186" s="243"/>
      <c r="Q186" s="243"/>
      <c r="R186" s="243"/>
      <c r="S186" s="243"/>
      <c r="T186" s="243"/>
      <c r="U186" s="243"/>
      <c r="V186" s="243"/>
      <c r="W186" s="243"/>
      <c r="X186" s="243"/>
      <c r="Y186" s="243"/>
      <c r="Z186" s="981"/>
      <c r="AA186" s="981">
        <v>50716</v>
      </c>
      <c r="AB186" s="243"/>
      <c r="AC186" s="243"/>
      <c r="AD186" s="243"/>
      <c r="AE186" s="981"/>
      <c r="AF186" s="1051">
        <v>942</v>
      </c>
      <c r="AG186" s="243"/>
      <c r="AH186" s="243"/>
      <c r="AI186" s="402"/>
      <c r="AJ186" s="243"/>
      <c r="AK186" s="243"/>
      <c r="AL186" s="243"/>
      <c r="AM186" s="243"/>
      <c r="AN186" s="243"/>
      <c r="AO186" s="243"/>
      <c r="AP186" s="243"/>
      <c r="AQ186" s="243"/>
      <c r="AR186" s="243"/>
      <c r="AS186" s="402"/>
      <c r="AT186" s="981"/>
      <c r="AU186" s="243"/>
      <c r="AV186" s="243"/>
      <c r="AW186" s="243"/>
      <c r="AX186" s="402"/>
      <c r="AY186" s="402"/>
      <c r="AZ186" s="243"/>
      <c r="BA186" s="243"/>
      <c r="BB186" s="402"/>
      <c r="BC186" s="402"/>
      <c r="BD186" s="629"/>
      <c r="BE186" s="243"/>
      <c r="BF186" s="243"/>
      <c r="BG186" s="243"/>
      <c r="BH186" s="243"/>
      <c r="BI186" s="981"/>
      <c r="BJ186" s="243"/>
      <c r="BK186" s="243">
        <v>0</v>
      </c>
      <c r="BL186" s="243">
        <v>0</v>
      </c>
      <c r="BM186" s="243">
        <v>0</v>
      </c>
      <c r="BN186" s="243">
        <v>0</v>
      </c>
      <c r="BO186" s="243">
        <v>0</v>
      </c>
      <c r="BP186" s="243">
        <v>0</v>
      </c>
      <c r="BQ186" s="243">
        <v>0</v>
      </c>
      <c r="BR186" s="243"/>
      <c r="BS186" s="243"/>
      <c r="BT186" s="243"/>
      <c r="BU186" s="243"/>
      <c r="BV186" s="243"/>
      <c r="BW186" s="243"/>
      <c r="BX186" s="243"/>
      <c r="BY186" s="243"/>
      <c r="BZ186" s="243"/>
      <c r="CA186" s="243"/>
      <c r="CB186" s="243"/>
      <c r="CC186" s="243"/>
      <c r="CD186" s="243"/>
      <c r="CE186" s="243"/>
      <c r="CF186" s="243"/>
      <c r="CG186" s="1283"/>
    </row>
    <row r="187" spans="1:85" ht="13.2">
      <c r="A187" s="155">
        <v>45101</v>
      </c>
      <c r="B187" s="243"/>
      <c r="C187" s="243"/>
      <c r="D187" s="629"/>
      <c r="E187" s="1271"/>
      <c r="F187" s="243"/>
      <c r="G187" s="243"/>
      <c r="H187" s="243"/>
      <c r="I187" s="243"/>
      <c r="J187" s="243"/>
      <c r="K187" s="402"/>
      <c r="L187" s="402"/>
      <c r="M187" s="243"/>
      <c r="N187" s="243"/>
      <c r="O187" s="243"/>
      <c r="P187" s="243"/>
      <c r="Q187" s="243"/>
      <c r="R187" s="243"/>
      <c r="S187" s="243"/>
      <c r="T187" s="243"/>
      <c r="U187" s="243"/>
      <c r="V187" s="243"/>
      <c r="W187" s="243"/>
      <c r="X187" s="243"/>
      <c r="Y187" s="243"/>
      <c r="Z187" s="981"/>
      <c r="AA187" s="981">
        <v>50716</v>
      </c>
      <c r="AB187" s="243"/>
      <c r="AC187" s="243"/>
      <c r="AD187" s="243"/>
      <c r="AE187" s="981"/>
      <c r="AF187" s="1051">
        <v>942</v>
      </c>
      <c r="AG187" s="243"/>
      <c r="AH187" s="243"/>
      <c r="AI187" s="402"/>
      <c r="AJ187" s="243"/>
      <c r="AK187" s="243"/>
      <c r="AL187" s="243"/>
      <c r="AM187" s="243"/>
      <c r="AN187" s="243"/>
      <c r="AO187" s="243"/>
      <c r="AP187" s="243"/>
      <c r="AQ187" s="243"/>
      <c r="AR187" s="243"/>
      <c r="AS187" s="402"/>
      <c r="AT187" s="981"/>
      <c r="AU187" s="243"/>
      <c r="AV187" s="243"/>
      <c r="AW187" s="243"/>
      <c r="AX187" s="402"/>
      <c r="AY187" s="402"/>
      <c r="AZ187" s="243"/>
      <c r="BA187" s="243"/>
      <c r="BB187" s="402"/>
      <c r="BC187" s="402"/>
      <c r="BD187" s="629"/>
      <c r="BE187" s="243"/>
      <c r="BF187" s="243"/>
      <c r="BG187" s="243"/>
      <c r="BH187" s="243"/>
      <c r="BI187" s="981"/>
      <c r="BJ187" s="243"/>
      <c r="BK187" s="243">
        <v>0</v>
      </c>
      <c r="BL187" s="243">
        <v>0</v>
      </c>
      <c r="BM187" s="243">
        <v>0</v>
      </c>
      <c r="BN187" s="243">
        <v>0</v>
      </c>
      <c r="BO187" s="243">
        <v>0</v>
      </c>
      <c r="BP187" s="243">
        <v>0</v>
      </c>
      <c r="BQ187" s="243">
        <v>0</v>
      </c>
      <c r="BR187" s="243"/>
      <c r="BS187" s="243"/>
      <c r="BT187" s="243"/>
      <c r="BU187" s="243"/>
      <c r="BV187" s="243"/>
      <c r="BW187" s="243"/>
      <c r="BX187" s="243"/>
      <c r="BY187" s="243"/>
      <c r="BZ187" s="243"/>
      <c r="CA187" s="243"/>
      <c r="CB187" s="243"/>
      <c r="CC187" s="243"/>
      <c r="CD187" s="243"/>
      <c r="CE187" s="243"/>
      <c r="CF187" s="243"/>
      <c r="CG187" s="1283"/>
    </row>
    <row r="188" spans="1:85" ht="13.2">
      <c r="A188" s="155">
        <v>45102</v>
      </c>
      <c r="B188" s="243"/>
      <c r="C188" s="243"/>
      <c r="D188" s="629"/>
      <c r="E188" s="1363"/>
      <c r="F188" s="243"/>
      <c r="G188" s="243"/>
      <c r="H188" s="243"/>
      <c r="I188" s="243"/>
      <c r="J188" s="243"/>
      <c r="K188" s="243"/>
      <c r="L188" s="243"/>
      <c r="M188" s="243"/>
      <c r="N188" s="243"/>
      <c r="O188" s="243"/>
      <c r="P188" s="243"/>
      <c r="Q188" s="243"/>
      <c r="R188" s="243"/>
      <c r="S188" s="243"/>
      <c r="T188" s="243"/>
      <c r="U188" s="243"/>
      <c r="V188" s="243"/>
      <c r="W188" s="243"/>
      <c r="X188" s="243"/>
      <c r="Y188" s="243"/>
      <c r="Z188" s="981"/>
      <c r="AA188" s="981">
        <v>50716</v>
      </c>
      <c r="AB188" s="243"/>
      <c r="AC188" s="243"/>
      <c r="AD188" s="243"/>
      <c r="AE188" s="981"/>
      <c r="AF188" s="1051">
        <v>942</v>
      </c>
      <c r="AG188" s="243"/>
      <c r="AH188" s="243"/>
      <c r="AI188" s="243"/>
      <c r="AJ188" s="243"/>
      <c r="AK188" s="243"/>
      <c r="AL188" s="243"/>
      <c r="AM188" s="243"/>
      <c r="AN188" s="243"/>
      <c r="AO188" s="243"/>
      <c r="AP188" s="243"/>
      <c r="AQ188" s="243"/>
      <c r="AR188" s="243"/>
      <c r="AS188" s="243"/>
      <c r="AT188" s="243"/>
      <c r="AU188" s="243"/>
      <c r="AV188" s="243"/>
      <c r="AW188" s="243"/>
      <c r="AX188" s="243"/>
      <c r="AY188" s="243"/>
      <c r="AZ188" s="243"/>
      <c r="BA188" s="243"/>
      <c r="BB188" s="243"/>
      <c r="BC188" s="243"/>
      <c r="BD188" s="367"/>
      <c r="BE188" s="243"/>
      <c r="BF188" s="243"/>
      <c r="BG188" s="243"/>
      <c r="BH188" s="243"/>
      <c r="BI188" s="243"/>
      <c r="BJ188" s="243"/>
      <c r="BK188" s="243">
        <v>0</v>
      </c>
      <c r="BL188" s="243">
        <v>0</v>
      </c>
      <c r="BM188" s="243">
        <v>0</v>
      </c>
      <c r="BN188" s="243">
        <v>0</v>
      </c>
      <c r="BO188" s="243">
        <v>0</v>
      </c>
      <c r="BP188" s="243">
        <v>0</v>
      </c>
      <c r="BQ188" s="243">
        <v>0</v>
      </c>
      <c r="BR188" s="243"/>
      <c r="BS188" s="243"/>
      <c r="BT188" s="243"/>
      <c r="BU188" s="243"/>
      <c r="BV188" s="243"/>
      <c r="BW188" s="243"/>
      <c r="BX188" s="243"/>
      <c r="BY188" s="243"/>
      <c r="BZ188" s="243"/>
      <c r="CA188" s="243"/>
      <c r="CB188" s="243"/>
      <c r="CC188" s="243"/>
      <c r="CD188" s="243"/>
      <c r="CE188" s="243"/>
      <c r="CF188" s="243"/>
      <c r="CG188" s="1283"/>
    </row>
    <row r="189" spans="1:85" ht="13.2">
      <c r="A189" s="155">
        <v>45103</v>
      </c>
      <c r="B189" s="243"/>
      <c r="C189" s="243"/>
      <c r="D189" s="629"/>
      <c r="E189" s="1271"/>
      <c r="F189" s="243"/>
      <c r="G189" s="243"/>
      <c r="H189" s="243"/>
      <c r="I189" s="243"/>
      <c r="J189" s="243"/>
      <c r="K189" s="402"/>
      <c r="L189" s="402"/>
      <c r="M189" s="243"/>
      <c r="N189" s="243"/>
      <c r="O189" s="243"/>
      <c r="P189" s="243"/>
      <c r="Q189" s="243"/>
      <c r="R189" s="243"/>
      <c r="S189" s="243"/>
      <c r="T189" s="243"/>
      <c r="U189" s="243"/>
      <c r="V189" s="243"/>
      <c r="W189" s="243"/>
      <c r="X189" s="243"/>
      <c r="Y189" s="243"/>
      <c r="Z189" s="981"/>
      <c r="AA189" s="981">
        <v>50716</v>
      </c>
      <c r="AB189" s="243"/>
      <c r="AC189" s="243"/>
      <c r="AD189" s="243"/>
      <c r="AE189" s="981"/>
      <c r="AF189" s="1051">
        <v>942</v>
      </c>
      <c r="AG189" s="243"/>
      <c r="AH189" s="243"/>
      <c r="AI189" s="402"/>
      <c r="AJ189" s="243"/>
      <c r="AK189" s="243"/>
      <c r="AL189" s="243"/>
      <c r="AM189" s="243"/>
      <c r="AN189" s="243"/>
      <c r="AO189" s="243"/>
      <c r="AP189" s="243"/>
      <c r="AQ189" s="243"/>
      <c r="AR189" s="243"/>
      <c r="AS189" s="402"/>
      <c r="AT189" s="981"/>
      <c r="AU189" s="243"/>
      <c r="AV189" s="243"/>
      <c r="AW189" s="243"/>
      <c r="AX189" s="402"/>
      <c r="AY189" s="402"/>
      <c r="AZ189" s="243"/>
      <c r="BA189" s="243"/>
      <c r="BB189" s="243"/>
      <c r="BC189" s="243"/>
      <c r="BD189" s="367"/>
      <c r="BE189" s="243"/>
      <c r="BF189" s="243"/>
      <c r="BG189" s="243"/>
      <c r="BH189" s="243"/>
      <c r="BI189" s="981"/>
      <c r="BJ189" s="243"/>
      <c r="BK189" s="243">
        <v>0</v>
      </c>
      <c r="BL189" s="243">
        <v>0</v>
      </c>
      <c r="BM189" s="243">
        <v>0</v>
      </c>
      <c r="BN189" s="243">
        <v>0</v>
      </c>
      <c r="BO189" s="243">
        <v>0</v>
      </c>
      <c r="BP189" s="243">
        <v>0</v>
      </c>
      <c r="BQ189" s="243">
        <v>0</v>
      </c>
      <c r="BR189" s="243"/>
      <c r="BS189" s="243"/>
      <c r="BT189" s="243"/>
      <c r="BU189" s="243"/>
      <c r="BV189" s="243"/>
      <c r="BW189" s="243"/>
      <c r="BX189" s="243"/>
      <c r="BY189" s="243"/>
      <c r="BZ189" s="243"/>
      <c r="CA189" s="243"/>
      <c r="CB189" s="243"/>
      <c r="CC189" s="243"/>
      <c r="CD189" s="243"/>
      <c r="CE189" s="243"/>
      <c r="CF189" s="243"/>
      <c r="CG189" s="1283"/>
    </row>
    <row r="190" spans="1:85" ht="13.2">
      <c r="A190" s="155">
        <v>45104</v>
      </c>
      <c r="B190" s="243"/>
      <c r="C190" s="243"/>
      <c r="D190" s="629"/>
      <c r="E190" s="1271"/>
      <c r="F190" s="243"/>
      <c r="G190" s="243"/>
      <c r="H190" s="243"/>
      <c r="I190" s="243"/>
      <c r="J190" s="243"/>
      <c r="K190" s="243"/>
      <c r="L190" s="243"/>
      <c r="M190" s="243"/>
      <c r="N190" s="243"/>
      <c r="O190" s="243"/>
      <c r="P190" s="243"/>
      <c r="Q190" s="243"/>
      <c r="R190" s="243"/>
      <c r="S190" s="243"/>
      <c r="T190" s="243"/>
      <c r="U190" s="243"/>
      <c r="V190" s="243"/>
      <c r="W190" s="243"/>
      <c r="X190" s="243"/>
      <c r="Y190" s="243"/>
      <c r="Z190" s="981"/>
      <c r="AA190" s="981">
        <v>50716</v>
      </c>
      <c r="AB190" s="243"/>
      <c r="AC190" s="243"/>
      <c r="AD190" s="243"/>
      <c r="AE190" s="981"/>
      <c r="AF190" s="1051">
        <v>942</v>
      </c>
      <c r="AG190" s="243"/>
      <c r="AH190" s="243"/>
      <c r="AI190" s="243"/>
      <c r="AJ190" s="243"/>
      <c r="AK190" s="243"/>
      <c r="AL190" s="243"/>
      <c r="AM190" s="243"/>
      <c r="AN190" s="243"/>
      <c r="AO190" s="243"/>
      <c r="AP190" s="243"/>
      <c r="AQ190" s="243"/>
      <c r="AR190" s="243"/>
      <c r="AS190" s="243"/>
      <c r="AT190" s="243"/>
      <c r="AU190" s="243"/>
      <c r="AV190" s="243"/>
      <c r="AW190" s="243"/>
      <c r="AX190" s="243"/>
      <c r="AY190" s="243"/>
      <c r="AZ190" s="243"/>
      <c r="BA190" s="243"/>
      <c r="BB190" s="243"/>
      <c r="BC190" s="243"/>
      <c r="BD190" s="367"/>
      <c r="BE190" s="243"/>
      <c r="BF190" s="243"/>
      <c r="BG190" s="243"/>
      <c r="BH190" s="243"/>
      <c r="BI190" s="243"/>
      <c r="BJ190" s="243"/>
      <c r="BK190" s="243">
        <v>0</v>
      </c>
      <c r="BL190" s="243">
        <v>0</v>
      </c>
      <c r="BM190" s="243">
        <v>0</v>
      </c>
      <c r="BN190" s="243">
        <v>0</v>
      </c>
      <c r="BO190" s="243">
        <v>0</v>
      </c>
      <c r="BP190" s="243">
        <v>0</v>
      </c>
      <c r="BQ190" s="243">
        <v>0</v>
      </c>
      <c r="BR190" s="243"/>
      <c r="BS190" s="243"/>
      <c r="BT190" s="243"/>
      <c r="BU190" s="243"/>
      <c r="BV190" s="243"/>
      <c r="BW190" s="243"/>
      <c r="BX190" s="243"/>
      <c r="BY190" s="243"/>
      <c r="BZ190" s="243"/>
      <c r="CA190" s="243"/>
      <c r="CB190" s="243"/>
      <c r="CC190" s="243"/>
      <c r="CD190" s="243"/>
      <c r="CE190" s="243"/>
      <c r="CF190" s="243"/>
      <c r="CG190" s="1283"/>
    </row>
    <row r="191" spans="1:85" ht="13.2">
      <c r="A191" s="155">
        <v>45105</v>
      </c>
      <c r="B191" s="243"/>
      <c r="C191" s="243"/>
      <c r="D191" s="402"/>
      <c r="E191" s="1271"/>
      <c r="F191" s="243"/>
      <c r="G191" s="243"/>
      <c r="H191" s="402"/>
      <c r="I191" s="243"/>
      <c r="J191" s="243"/>
      <c r="K191" s="243"/>
      <c r="L191" s="243"/>
      <c r="M191" s="243"/>
      <c r="N191" s="243"/>
      <c r="O191" s="243"/>
      <c r="P191" s="243"/>
      <c r="Q191" s="243"/>
      <c r="R191" s="243"/>
      <c r="S191" s="243"/>
      <c r="T191" s="243"/>
      <c r="U191" s="243"/>
      <c r="V191" s="243"/>
      <c r="W191" s="243"/>
      <c r="X191" s="243"/>
      <c r="Y191" s="243"/>
      <c r="Z191" s="981"/>
      <c r="AA191" s="981">
        <v>50716</v>
      </c>
      <c r="AB191" s="243"/>
      <c r="AC191" s="243"/>
      <c r="AD191" s="243"/>
      <c r="AE191" s="981"/>
      <c r="AF191" s="1051">
        <v>942</v>
      </c>
      <c r="AG191" s="243"/>
      <c r="AH191" s="243"/>
      <c r="AI191" s="243"/>
      <c r="AJ191" s="243"/>
      <c r="AK191" s="243"/>
      <c r="AL191" s="243"/>
      <c r="AM191" s="243"/>
      <c r="AN191" s="243"/>
      <c r="AO191" s="243"/>
      <c r="AP191" s="243"/>
      <c r="AQ191" s="243"/>
      <c r="AR191" s="243"/>
      <c r="AS191" s="243"/>
      <c r="AT191" s="243"/>
      <c r="AU191" s="243"/>
      <c r="AV191" s="243"/>
      <c r="AW191" s="243"/>
      <c r="AX191" s="243"/>
      <c r="AY191" s="243"/>
      <c r="AZ191" s="243"/>
      <c r="BA191" s="243"/>
      <c r="BB191" s="243"/>
      <c r="BC191" s="243"/>
      <c r="BD191" s="367"/>
      <c r="BE191" s="243"/>
      <c r="BF191" s="243"/>
      <c r="BG191" s="243"/>
      <c r="BH191" s="243"/>
      <c r="BI191" s="243"/>
      <c r="BJ191" s="243"/>
      <c r="BK191" s="243">
        <v>0</v>
      </c>
      <c r="BL191" s="243">
        <v>0</v>
      </c>
      <c r="BM191" s="243">
        <v>0</v>
      </c>
      <c r="BN191" s="243">
        <v>0</v>
      </c>
      <c r="BO191" s="243">
        <v>0</v>
      </c>
      <c r="BP191" s="243">
        <v>0</v>
      </c>
      <c r="BQ191" s="243">
        <v>0</v>
      </c>
      <c r="BR191" s="243"/>
      <c r="BS191" s="243"/>
      <c r="BT191" s="243"/>
      <c r="BU191" s="243"/>
      <c r="BV191" s="243"/>
      <c r="BW191" s="243"/>
      <c r="BX191" s="243"/>
      <c r="BY191" s="243"/>
      <c r="BZ191" s="243"/>
      <c r="CA191" s="243"/>
      <c r="CB191" s="243"/>
      <c r="CC191" s="243"/>
      <c r="CD191" s="243"/>
      <c r="CE191" s="243"/>
      <c r="CF191" s="243"/>
      <c r="CG191" s="1283"/>
    </row>
    <row r="192" spans="1:85" ht="13.2">
      <c r="A192" s="155">
        <v>45106</v>
      </c>
      <c r="B192" s="243"/>
      <c r="C192" s="243"/>
      <c r="D192" s="402"/>
      <c r="E192" s="1271"/>
      <c r="F192" s="243"/>
      <c r="G192" s="243"/>
      <c r="H192" s="402"/>
      <c r="I192" s="402"/>
      <c r="J192" s="243"/>
      <c r="K192" s="243"/>
      <c r="L192" s="243"/>
      <c r="M192" s="243"/>
      <c r="N192" s="243"/>
      <c r="O192" s="243"/>
      <c r="P192" s="243"/>
      <c r="Q192" s="243"/>
      <c r="R192" s="243"/>
      <c r="S192" s="243"/>
      <c r="T192" s="243"/>
      <c r="U192" s="243"/>
      <c r="V192" s="243"/>
      <c r="W192" s="243"/>
      <c r="X192" s="243"/>
      <c r="Y192" s="243"/>
      <c r="Z192" s="981"/>
      <c r="AA192" s="981">
        <v>50716</v>
      </c>
      <c r="AB192" s="243"/>
      <c r="AC192" s="243"/>
      <c r="AD192" s="243"/>
      <c r="AE192" s="981"/>
      <c r="AF192" s="1051">
        <v>942</v>
      </c>
      <c r="AG192" s="243"/>
      <c r="AH192" s="243"/>
      <c r="AI192" s="243"/>
      <c r="AJ192" s="243"/>
      <c r="AK192" s="243"/>
      <c r="AL192" s="243"/>
      <c r="AM192" s="243"/>
      <c r="AN192" s="243"/>
      <c r="AO192" s="243"/>
      <c r="AP192" s="243"/>
      <c r="AQ192" s="243"/>
      <c r="AR192" s="243"/>
      <c r="AS192" s="243"/>
      <c r="AT192" s="243"/>
      <c r="AU192" s="243"/>
      <c r="AV192" s="243"/>
      <c r="AW192" s="243"/>
      <c r="AX192" s="243"/>
      <c r="AY192" s="243"/>
      <c r="AZ192" s="243"/>
      <c r="BA192" s="243"/>
      <c r="BB192" s="243"/>
      <c r="BC192" s="243"/>
      <c r="BD192" s="367"/>
      <c r="BE192" s="243"/>
      <c r="BF192" s="243"/>
      <c r="BG192" s="243"/>
      <c r="BH192" s="243"/>
      <c r="BI192" s="243"/>
      <c r="BJ192" s="243"/>
      <c r="BK192" s="243">
        <v>0</v>
      </c>
      <c r="BL192" s="243">
        <v>0</v>
      </c>
      <c r="BM192" s="243">
        <v>0</v>
      </c>
      <c r="BN192" s="243">
        <v>0</v>
      </c>
      <c r="BO192" s="243">
        <v>0</v>
      </c>
      <c r="BP192" s="243">
        <v>0</v>
      </c>
      <c r="BQ192" s="243">
        <v>0</v>
      </c>
      <c r="BR192" s="243"/>
      <c r="BS192" s="243"/>
      <c r="BT192" s="243"/>
      <c r="BU192" s="243"/>
      <c r="BV192" s="243"/>
      <c r="BW192" s="243"/>
      <c r="BX192" s="243"/>
      <c r="BY192" s="243"/>
      <c r="BZ192" s="243"/>
      <c r="CA192" s="243"/>
      <c r="CB192" s="243"/>
      <c r="CC192" s="243"/>
      <c r="CD192" s="243"/>
      <c r="CE192" s="243"/>
      <c r="CF192" s="243"/>
      <c r="CG192" s="1283"/>
    </row>
    <row r="193" spans="1:85" ht="13.2">
      <c r="A193" s="155">
        <v>45107</v>
      </c>
      <c r="B193" s="243"/>
      <c r="C193" s="243"/>
      <c r="D193" s="402"/>
      <c r="E193" s="1271"/>
      <c r="F193" s="243"/>
      <c r="G193" s="243"/>
      <c r="H193" s="402"/>
      <c r="I193" s="402"/>
      <c r="J193" s="402"/>
      <c r="K193" s="402"/>
      <c r="L193" s="402"/>
      <c r="M193" s="243"/>
      <c r="N193" s="243"/>
      <c r="O193" s="629"/>
      <c r="P193" s="402"/>
      <c r="Q193" s="402"/>
      <c r="R193" s="402"/>
      <c r="S193" s="402"/>
      <c r="T193" s="402"/>
      <c r="U193" s="243"/>
      <c r="V193" s="243"/>
      <c r="W193" s="402"/>
      <c r="X193" s="402"/>
      <c r="Y193" s="402"/>
      <c r="Z193" s="981"/>
      <c r="AA193" s="981">
        <v>50716</v>
      </c>
      <c r="AB193" s="402"/>
      <c r="AC193" s="402"/>
      <c r="AD193" s="402"/>
      <c r="AE193" s="981"/>
      <c r="AF193" s="1051">
        <v>942</v>
      </c>
      <c r="AG193" s="243"/>
      <c r="AH193" s="243"/>
      <c r="AI193" s="402"/>
      <c r="AJ193" s="243"/>
      <c r="AK193" s="402"/>
      <c r="AL193" s="629"/>
      <c r="AM193" s="402"/>
      <c r="AN193" s="402"/>
      <c r="AO193" s="243"/>
      <c r="AP193" s="243"/>
      <c r="AQ193" s="402"/>
      <c r="AR193" s="402"/>
      <c r="AS193" s="402"/>
      <c r="AT193" s="981"/>
      <c r="AU193" s="402"/>
      <c r="AV193" s="402"/>
      <c r="AW193" s="402"/>
      <c r="AX193" s="402"/>
      <c r="AY193" s="402"/>
      <c r="AZ193" s="243"/>
      <c r="BA193" s="243"/>
      <c r="BB193" s="243"/>
      <c r="BC193" s="243"/>
      <c r="BD193" s="367"/>
      <c r="BE193" s="243"/>
      <c r="BF193" s="243"/>
      <c r="BG193" s="243"/>
      <c r="BH193" s="243"/>
      <c r="BI193" s="981"/>
      <c r="BJ193" s="243"/>
      <c r="BK193" s="243">
        <v>0</v>
      </c>
      <c r="BL193" s="243">
        <v>0</v>
      </c>
      <c r="BM193" s="243">
        <v>0</v>
      </c>
      <c r="BN193" s="243">
        <v>0</v>
      </c>
      <c r="BO193" s="243">
        <v>0</v>
      </c>
      <c r="BP193" s="243">
        <v>0</v>
      </c>
      <c r="BQ193" s="243">
        <v>0</v>
      </c>
      <c r="BR193" s="243"/>
      <c r="BS193" s="243"/>
      <c r="BT193" s="243"/>
      <c r="BU193" s="243"/>
      <c r="BV193" s="243"/>
      <c r="BW193" s="243"/>
      <c r="BX193" s="243"/>
      <c r="BY193" s="243"/>
      <c r="BZ193" s="243"/>
      <c r="CA193" s="243"/>
      <c r="CB193" s="243"/>
      <c r="CC193" s="243"/>
      <c r="CD193" s="243"/>
      <c r="CE193" s="243"/>
      <c r="CF193" s="243"/>
      <c r="CG193" s="1283"/>
    </row>
    <row r="194" spans="1:85" ht="13.2">
      <c r="A194" s="1054"/>
      <c r="B194" s="1054"/>
      <c r="C194" s="1054"/>
      <c r="D194" s="1054"/>
      <c r="E194" s="1377"/>
      <c r="F194" s="1054"/>
      <c r="G194" s="1054"/>
      <c r="H194" s="1054"/>
      <c r="I194" s="1054"/>
      <c r="J194" s="1054"/>
      <c r="K194" s="1054"/>
      <c r="L194" s="1054"/>
      <c r="M194" s="1054"/>
      <c r="N194" s="1054"/>
      <c r="O194" s="1054"/>
      <c r="P194" s="1054"/>
      <c r="Q194" s="1054"/>
      <c r="R194" s="1054"/>
      <c r="S194" s="1054"/>
      <c r="T194" s="1054"/>
      <c r="U194" s="1054"/>
      <c r="V194" s="1054"/>
      <c r="W194" s="1054"/>
      <c r="X194" s="1054"/>
      <c r="Y194" s="1054"/>
      <c r="Z194" s="1054"/>
      <c r="AA194" s="1054"/>
      <c r="AB194" s="1054"/>
      <c r="AC194" s="1054"/>
      <c r="AD194" s="1054"/>
      <c r="AE194" s="1054"/>
      <c r="AF194" s="1054"/>
      <c r="AG194" s="1054"/>
      <c r="AH194" s="1054"/>
      <c r="AI194" s="1054"/>
      <c r="AJ194" s="1054"/>
      <c r="AK194" s="1054"/>
      <c r="AL194" s="1054"/>
      <c r="AM194" s="1054"/>
      <c r="AN194" s="1054"/>
      <c r="AO194" s="1054"/>
      <c r="AP194" s="1054"/>
      <c r="AQ194" s="1054"/>
      <c r="AR194" s="1054"/>
      <c r="AS194" s="1054"/>
      <c r="AT194" s="1054"/>
      <c r="AU194" s="1054"/>
      <c r="AV194" s="1054"/>
      <c r="AW194" s="1054"/>
      <c r="AX194" s="1054"/>
      <c r="AY194" s="1054"/>
      <c r="AZ194" s="1054"/>
      <c r="BA194" s="1054"/>
      <c r="BB194" s="1054"/>
      <c r="BC194" s="1054"/>
      <c r="BD194" s="1749"/>
      <c r="BE194" s="1054"/>
      <c r="BF194" s="1054"/>
      <c r="BG194" s="1054"/>
      <c r="BH194" s="1054"/>
      <c r="BI194" s="1054"/>
      <c r="BJ194" s="1054"/>
      <c r="BK194" s="1054"/>
      <c r="BL194" s="1054"/>
      <c r="BM194" s="1054"/>
      <c r="BN194" s="1054"/>
      <c r="BO194" s="1054"/>
      <c r="BP194" s="1054"/>
      <c r="BQ194" s="1054"/>
      <c r="BR194" s="1054"/>
      <c r="BS194" s="1054"/>
      <c r="BT194" s="1054"/>
      <c r="BU194" s="1054"/>
      <c r="BV194" s="1054"/>
      <c r="BW194" s="1054"/>
      <c r="BX194" s="1054"/>
      <c r="BY194" s="1054"/>
      <c r="BZ194" s="1054"/>
      <c r="CA194" s="1054"/>
      <c r="CB194" s="1054"/>
      <c r="CC194" s="1054"/>
      <c r="CD194" s="1054"/>
      <c r="CE194" s="1054"/>
      <c r="CF194" s="1054"/>
      <c r="CG194" s="1374"/>
    </row>
    <row r="195" spans="1:85" ht="13.2">
      <c r="A195" s="155">
        <v>45107</v>
      </c>
      <c r="B195" s="243"/>
      <c r="C195" s="243"/>
      <c r="D195" s="243"/>
      <c r="E195" s="1271"/>
      <c r="F195" s="243"/>
      <c r="G195" s="243"/>
      <c r="H195" s="243"/>
      <c r="I195" s="243"/>
      <c r="J195" s="243"/>
      <c r="K195" s="402"/>
      <c r="L195" s="402"/>
      <c r="M195" s="243"/>
      <c r="N195" s="243"/>
      <c r="O195" s="367"/>
      <c r="P195" s="367"/>
      <c r="Q195" s="243"/>
      <c r="R195" s="243"/>
      <c r="S195" s="243"/>
      <c r="T195" s="243"/>
      <c r="U195" s="243"/>
      <c r="V195" s="243"/>
      <c r="W195" s="243"/>
      <c r="X195" s="243"/>
      <c r="Y195" s="243"/>
      <c r="Z195" s="243"/>
      <c r="AA195" s="243"/>
      <c r="AB195" s="243"/>
      <c r="AC195" s="243"/>
      <c r="AD195" s="243"/>
      <c r="AE195" s="243"/>
      <c r="AF195" s="244"/>
      <c r="AG195" s="243"/>
      <c r="AH195" s="243"/>
      <c r="AI195" s="402"/>
      <c r="AJ195" s="243"/>
      <c r="AK195" s="243"/>
      <c r="AL195" s="367"/>
      <c r="AM195" s="243"/>
      <c r="AN195" s="243"/>
      <c r="AO195" s="243"/>
      <c r="AP195" s="402"/>
      <c r="AQ195" s="243"/>
      <c r="AR195" s="243"/>
      <c r="AS195" s="402"/>
      <c r="AT195" s="981"/>
      <c r="AU195" s="243"/>
      <c r="AV195" s="243"/>
      <c r="AW195" s="243"/>
      <c r="AX195" s="402"/>
      <c r="AY195" s="402"/>
      <c r="AZ195" s="402"/>
      <c r="BA195" s="402"/>
      <c r="BB195" s="402"/>
      <c r="BC195" s="402"/>
      <c r="BD195" s="629"/>
      <c r="BE195" s="243"/>
      <c r="BF195" s="243"/>
      <c r="BG195" s="243"/>
      <c r="BH195" s="243"/>
      <c r="BI195" s="981"/>
      <c r="BJ195" s="243"/>
      <c r="BK195" s="654"/>
      <c r="BL195" s="654"/>
      <c r="BM195" s="654"/>
      <c r="BN195" s="654"/>
      <c r="BO195" s="243"/>
      <c r="BP195" s="243"/>
      <c r="BQ195" s="243"/>
      <c r="BR195" s="243"/>
      <c r="BS195" s="243"/>
      <c r="BT195" s="243"/>
      <c r="BU195" s="243"/>
      <c r="BV195" s="243"/>
      <c r="BW195" s="243"/>
      <c r="BX195" s="243"/>
      <c r="BY195" s="243"/>
      <c r="BZ195" s="243"/>
      <c r="CA195" s="243"/>
      <c r="CB195" s="243"/>
      <c r="CC195" s="243"/>
      <c r="CD195" s="243"/>
      <c r="CE195" s="243"/>
      <c r="CF195" s="243"/>
      <c r="CG195" s="1283"/>
    </row>
    <row r="196" spans="1:85" ht="13.2">
      <c r="A196" s="155">
        <v>45108</v>
      </c>
      <c r="B196" s="243"/>
      <c r="C196" s="243"/>
      <c r="D196" s="243"/>
      <c r="E196" s="1271"/>
      <c r="F196" s="243"/>
      <c r="G196" s="243"/>
      <c r="H196" s="243"/>
      <c r="I196" s="243"/>
      <c r="J196" s="243"/>
      <c r="K196" s="402"/>
      <c r="L196" s="402"/>
      <c r="M196" s="243"/>
      <c r="N196" s="243"/>
      <c r="O196" s="243"/>
      <c r="P196" s="243"/>
      <c r="Q196" s="243"/>
      <c r="R196" s="243"/>
      <c r="S196" s="243"/>
      <c r="T196" s="243"/>
      <c r="U196" s="243"/>
      <c r="V196" s="243"/>
      <c r="W196" s="243"/>
      <c r="X196" s="243"/>
      <c r="Y196" s="243"/>
      <c r="Z196" s="243"/>
      <c r="AA196" s="243"/>
      <c r="AB196" s="243"/>
      <c r="AC196" s="243"/>
      <c r="AD196" s="243"/>
      <c r="AE196" s="243"/>
      <c r="AF196" s="244"/>
      <c r="AG196" s="243"/>
      <c r="AH196" s="243"/>
      <c r="AI196" s="402"/>
      <c r="AJ196" s="243"/>
      <c r="AK196" s="243"/>
      <c r="AL196" s="243"/>
      <c r="AM196" s="243"/>
      <c r="AN196" s="243"/>
      <c r="AO196" s="243"/>
      <c r="AP196" s="402"/>
      <c r="AQ196" s="243"/>
      <c r="AR196" s="243"/>
      <c r="AS196" s="243"/>
      <c r="AT196" s="981"/>
      <c r="AU196" s="243"/>
      <c r="AV196" s="243"/>
      <c r="AW196" s="243"/>
      <c r="AX196" s="243"/>
      <c r="AY196" s="243"/>
      <c r="AZ196" s="402"/>
      <c r="BA196" s="402"/>
      <c r="BB196" s="402"/>
      <c r="BC196" s="402"/>
      <c r="BD196" s="629"/>
      <c r="BE196" s="243"/>
      <c r="BF196" s="243"/>
      <c r="BG196" s="243"/>
      <c r="BH196" s="243"/>
      <c r="BI196" s="243"/>
      <c r="BJ196" s="243"/>
      <c r="BK196" s="243"/>
      <c r="BL196" s="243"/>
      <c r="BM196" s="654"/>
      <c r="BN196" s="654"/>
      <c r="BO196" s="243"/>
      <c r="BP196" s="243"/>
      <c r="BQ196" s="243"/>
      <c r="BR196" s="243"/>
      <c r="BS196" s="243"/>
      <c r="BT196" s="243"/>
      <c r="BU196" s="243"/>
      <c r="BV196" s="243"/>
      <c r="BW196" s="243"/>
      <c r="BX196" s="243"/>
      <c r="BY196" s="243"/>
      <c r="BZ196" s="243"/>
      <c r="CA196" s="243"/>
      <c r="CB196" s="243"/>
      <c r="CC196" s="243"/>
      <c r="CD196" s="243"/>
      <c r="CE196" s="243"/>
      <c r="CF196" s="243"/>
      <c r="CG196" s="1283"/>
    </row>
    <row r="197" spans="1:85" ht="13.2">
      <c r="A197" s="155">
        <v>45109</v>
      </c>
      <c r="B197" s="243"/>
      <c r="C197" s="243"/>
      <c r="D197" s="243"/>
      <c r="E197" s="1271"/>
      <c r="F197" s="243"/>
      <c r="G197" s="243"/>
      <c r="H197" s="244"/>
      <c r="I197" s="244"/>
      <c r="J197" s="244"/>
      <c r="K197" s="402"/>
      <c r="L197" s="402"/>
      <c r="M197" s="243"/>
      <c r="N197" s="243"/>
      <c r="O197" s="976"/>
      <c r="P197" s="976"/>
      <c r="Q197" s="244"/>
      <c r="R197" s="244"/>
      <c r="S197" s="244"/>
      <c r="T197" s="244"/>
      <c r="U197" s="243"/>
      <c r="V197" s="243"/>
      <c r="W197" s="244"/>
      <c r="X197" s="244"/>
      <c r="Y197" s="244"/>
      <c r="Z197" s="243"/>
      <c r="AA197" s="243"/>
      <c r="AB197" s="244"/>
      <c r="AC197" s="244"/>
      <c r="AD197" s="244"/>
      <c r="AE197" s="243"/>
      <c r="AF197" s="244"/>
      <c r="AG197" s="243"/>
      <c r="AH197" s="243"/>
      <c r="AI197" s="402"/>
      <c r="AJ197" s="243"/>
      <c r="AK197" s="244"/>
      <c r="AL197" s="976"/>
      <c r="AM197" s="244"/>
      <c r="AN197" s="244"/>
      <c r="AO197" s="243"/>
      <c r="AP197" s="402"/>
      <c r="AQ197" s="244"/>
      <c r="AR197" s="244"/>
      <c r="AS197" s="701"/>
      <c r="AT197" s="981"/>
      <c r="AU197" s="244"/>
      <c r="AV197" s="244"/>
      <c r="AW197" s="244"/>
      <c r="AX197" s="402"/>
      <c r="AY197" s="402"/>
      <c r="AZ197" s="402"/>
      <c r="BA197" s="402"/>
      <c r="BB197" s="402"/>
      <c r="BC197" s="402"/>
      <c r="BD197" s="629"/>
      <c r="BE197" s="243"/>
      <c r="BF197" s="243"/>
      <c r="BG197" s="244"/>
      <c r="BH197" s="244"/>
      <c r="BI197" s="1051"/>
      <c r="BJ197" s="244"/>
      <c r="BK197" s="702"/>
      <c r="BL197" s="702"/>
      <c r="BM197" s="654"/>
      <c r="BN197" s="654"/>
      <c r="BO197" s="244"/>
      <c r="BP197" s="244"/>
      <c r="BQ197" s="244"/>
      <c r="BR197" s="243"/>
      <c r="BS197" s="243"/>
      <c r="BT197" s="243"/>
      <c r="BU197" s="243"/>
      <c r="BV197" s="243"/>
      <c r="BW197" s="243"/>
      <c r="BX197" s="243"/>
      <c r="BY197" s="243"/>
      <c r="BZ197" s="243"/>
      <c r="CA197" s="244"/>
      <c r="CB197" s="244"/>
      <c r="CC197" s="244"/>
      <c r="CD197" s="244"/>
      <c r="CE197" s="243"/>
      <c r="CF197" s="243"/>
      <c r="CG197" s="1283"/>
    </row>
    <row r="198" spans="1:85" ht="13.2">
      <c r="A198" s="155">
        <v>45110</v>
      </c>
      <c r="B198" s="243"/>
      <c r="C198" s="243"/>
      <c r="D198" s="243"/>
      <c r="E198" s="1271"/>
      <c r="F198" s="243"/>
      <c r="G198" s="243"/>
      <c r="H198" s="244"/>
      <c r="I198" s="244"/>
      <c r="J198" s="244"/>
      <c r="K198" s="402"/>
      <c r="L198" s="402"/>
      <c r="M198" s="243"/>
      <c r="N198" s="243"/>
      <c r="O198" s="367"/>
      <c r="P198" s="367"/>
      <c r="Q198" s="243"/>
      <c r="R198" s="243"/>
      <c r="S198" s="243"/>
      <c r="T198" s="243"/>
      <c r="U198" s="243"/>
      <c r="V198" s="243"/>
      <c r="W198" s="243"/>
      <c r="X198" s="243"/>
      <c r="Y198" s="243"/>
      <c r="Z198" s="243"/>
      <c r="AA198" s="243"/>
      <c r="AB198" s="243"/>
      <c r="AC198" s="243"/>
      <c r="AD198" s="243"/>
      <c r="AE198" s="243"/>
      <c r="AF198" s="244"/>
      <c r="AG198" s="243"/>
      <c r="AH198" s="243"/>
      <c r="AI198" s="402"/>
      <c r="AJ198" s="243"/>
      <c r="AK198" s="243"/>
      <c r="AL198" s="367"/>
      <c r="AM198" s="243"/>
      <c r="AN198" s="243"/>
      <c r="AO198" s="243"/>
      <c r="AP198" s="402"/>
      <c r="AQ198" s="243"/>
      <c r="AR198" s="243"/>
      <c r="AS198" s="402"/>
      <c r="AT198" s="981"/>
      <c r="AU198" s="243"/>
      <c r="AV198" s="243"/>
      <c r="AW198" s="243"/>
      <c r="AX198" s="402"/>
      <c r="AY198" s="402"/>
      <c r="AZ198" s="402"/>
      <c r="BA198" s="402"/>
      <c r="BB198" s="402"/>
      <c r="BC198" s="402"/>
      <c r="BD198" s="629"/>
      <c r="BE198" s="244"/>
      <c r="BF198" s="402"/>
      <c r="BG198" s="243"/>
      <c r="BH198" s="243"/>
      <c r="BI198" s="981"/>
      <c r="BJ198" s="243"/>
      <c r="BK198" s="654"/>
      <c r="BL198" s="654"/>
      <c r="BM198" s="654"/>
      <c r="BN198" s="654"/>
      <c r="BO198" s="243"/>
      <c r="BP198" s="243"/>
      <c r="BQ198" s="243"/>
      <c r="BR198" s="243"/>
      <c r="BS198" s="243"/>
      <c r="BT198" s="243"/>
      <c r="BU198" s="243"/>
      <c r="BV198" s="243"/>
      <c r="BW198" s="243"/>
      <c r="BX198" s="243"/>
      <c r="BY198" s="243"/>
      <c r="BZ198" s="243"/>
      <c r="CA198" s="243"/>
      <c r="CB198" s="243"/>
      <c r="CC198" s="243"/>
      <c r="CD198" s="243"/>
      <c r="CE198" s="243"/>
      <c r="CF198" s="243"/>
      <c r="CG198" s="1283"/>
    </row>
    <row r="199" spans="1:85" ht="13.2">
      <c r="A199" s="155">
        <v>45111</v>
      </c>
      <c r="B199" s="243"/>
      <c r="C199" s="243"/>
      <c r="D199" s="243"/>
      <c r="E199" s="1271"/>
      <c r="F199" s="243"/>
      <c r="G199" s="243"/>
      <c r="H199" s="243"/>
      <c r="I199" s="243"/>
      <c r="J199" s="243"/>
      <c r="K199" s="402"/>
      <c r="L199" s="402"/>
      <c r="M199" s="243"/>
      <c r="N199" s="243"/>
      <c r="O199" s="243"/>
      <c r="P199" s="243"/>
      <c r="Q199" s="243"/>
      <c r="R199" s="243"/>
      <c r="S199" s="243"/>
      <c r="T199" s="243"/>
      <c r="U199" s="243"/>
      <c r="V199" s="243"/>
      <c r="W199" s="243"/>
      <c r="X199" s="243"/>
      <c r="Y199" s="243"/>
      <c r="Z199" s="243"/>
      <c r="AA199" s="243"/>
      <c r="AB199" s="243"/>
      <c r="AC199" s="243"/>
      <c r="AD199" s="243"/>
      <c r="AE199" s="243"/>
      <c r="AF199" s="244"/>
      <c r="AG199" s="243"/>
      <c r="AH199" s="243"/>
      <c r="AI199" s="402"/>
      <c r="AJ199" s="243"/>
      <c r="AK199" s="243"/>
      <c r="AL199" s="243"/>
      <c r="AM199" s="243"/>
      <c r="AN199" s="243"/>
      <c r="AO199" s="243"/>
      <c r="AP199" s="402"/>
      <c r="AQ199" s="243"/>
      <c r="AR199" s="243"/>
      <c r="AS199" s="243"/>
      <c r="AT199" s="981"/>
      <c r="AU199" s="243"/>
      <c r="AV199" s="243"/>
      <c r="AW199" s="243"/>
      <c r="AX199" s="243"/>
      <c r="AY199" s="243"/>
      <c r="AZ199" s="402"/>
      <c r="BA199" s="402"/>
      <c r="BB199" s="402"/>
      <c r="BC199" s="402"/>
      <c r="BD199" s="629"/>
      <c r="BE199" s="243"/>
      <c r="BF199" s="243"/>
      <c r="BG199" s="243"/>
      <c r="BH199" s="243"/>
      <c r="BI199" s="243"/>
      <c r="BJ199" s="243"/>
      <c r="BK199" s="243"/>
      <c r="BL199" s="243"/>
      <c r="BM199" s="654"/>
      <c r="BN199" s="654"/>
      <c r="BO199" s="243"/>
      <c r="BP199" s="243"/>
      <c r="BQ199" s="243"/>
      <c r="BR199" s="243"/>
      <c r="BS199" s="243"/>
      <c r="BT199" s="243"/>
      <c r="BU199" s="243"/>
      <c r="BV199" s="243"/>
      <c r="BW199" s="243"/>
      <c r="BX199" s="243"/>
      <c r="BY199" s="243"/>
      <c r="BZ199" s="243"/>
      <c r="CA199" s="243"/>
      <c r="CB199" s="243"/>
      <c r="CC199" s="243"/>
      <c r="CD199" s="243"/>
      <c r="CE199" s="243"/>
      <c r="CF199" s="243"/>
      <c r="CG199" s="1283"/>
    </row>
    <row r="200" spans="1:85" ht="13.2">
      <c r="A200" s="155">
        <v>45112</v>
      </c>
      <c r="B200" s="243"/>
      <c r="C200" s="243"/>
      <c r="D200" s="243"/>
      <c r="E200" s="1271"/>
      <c r="F200" s="243"/>
      <c r="G200" s="243"/>
      <c r="H200" s="243"/>
      <c r="I200" s="243"/>
      <c r="J200" s="243"/>
      <c r="K200" s="402"/>
      <c r="L200" s="402"/>
      <c r="M200" s="243"/>
      <c r="N200" s="243"/>
      <c r="O200" s="243"/>
      <c r="P200" s="243"/>
      <c r="Q200" s="243"/>
      <c r="R200" s="243"/>
      <c r="S200" s="243"/>
      <c r="T200" s="243"/>
      <c r="U200" s="243"/>
      <c r="V200" s="243"/>
      <c r="W200" s="243"/>
      <c r="X200" s="243"/>
      <c r="Y200" s="243"/>
      <c r="Z200" s="243"/>
      <c r="AA200" s="243"/>
      <c r="AB200" s="243"/>
      <c r="AC200" s="243"/>
      <c r="AD200" s="243"/>
      <c r="AE200" s="243"/>
      <c r="AF200" s="244"/>
      <c r="AG200" s="243"/>
      <c r="AH200" s="243"/>
      <c r="AI200" s="402"/>
      <c r="AJ200" s="243"/>
      <c r="AK200" s="243"/>
      <c r="AL200" s="243"/>
      <c r="AM200" s="243"/>
      <c r="AN200" s="243"/>
      <c r="AO200" s="243"/>
      <c r="AP200" s="402"/>
      <c r="AQ200" s="243"/>
      <c r="AR200" s="243"/>
      <c r="AS200" s="243"/>
      <c r="AT200" s="981"/>
      <c r="AU200" s="243"/>
      <c r="AV200" s="243"/>
      <c r="AW200" s="243"/>
      <c r="AX200" s="243"/>
      <c r="AY200" s="243"/>
      <c r="AZ200" s="402"/>
      <c r="BA200" s="402"/>
      <c r="BB200" s="402"/>
      <c r="BC200" s="402"/>
      <c r="BD200" s="629"/>
      <c r="BE200" s="243"/>
      <c r="BF200" s="243"/>
      <c r="BG200" s="243"/>
      <c r="BH200" s="243"/>
      <c r="BI200" s="243"/>
      <c r="BJ200" s="243"/>
      <c r="BK200" s="243"/>
      <c r="BL200" s="243"/>
      <c r="BM200" s="654"/>
      <c r="BN200" s="654"/>
      <c r="BO200" s="243"/>
      <c r="BP200" s="243"/>
      <c r="BQ200" s="243"/>
      <c r="BR200" s="243"/>
      <c r="BS200" s="243"/>
      <c r="BT200" s="243"/>
      <c r="BU200" s="243"/>
      <c r="BV200" s="243"/>
      <c r="BW200" s="243"/>
      <c r="BX200" s="243"/>
      <c r="BY200" s="243"/>
      <c r="BZ200" s="243"/>
      <c r="CA200" s="243"/>
      <c r="CB200" s="243"/>
      <c r="CC200" s="243"/>
      <c r="CD200" s="243"/>
      <c r="CE200" s="243"/>
      <c r="CF200" s="243"/>
      <c r="CG200" s="1283"/>
    </row>
    <row r="201" spans="1:85" ht="13.2">
      <c r="A201" s="155">
        <v>45113</v>
      </c>
      <c r="B201" s="243"/>
      <c r="C201" s="243"/>
      <c r="D201" s="243"/>
      <c r="E201" s="1271"/>
      <c r="F201" s="243"/>
      <c r="G201" s="243"/>
      <c r="H201" s="243"/>
      <c r="I201" s="243"/>
      <c r="J201" s="243"/>
      <c r="K201" s="402"/>
      <c r="L201" s="402"/>
      <c r="M201" s="243"/>
      <c r="N201" s="243"/>
      <c r="O201" s="243"/>
      <c r="P201" s="243"/>
      <c r="Q201" s="243"/>
      <c r="R201" s="243"/>
      <c r="S201" s="243"/>
      <c r="T201" s="243"/>
      <c r="U201" s="243"/>
      <c r="V201" s="243"/>
      <c r="W201" s="243"/>
      <c r="X201" s="243"/>
      <c r="Y201" s="243"/>
      <c r="Z201" s="243"/>
      <c r="AA201" s="243"/>
      <c r="AB201" s="243"/>
      <c r="AC201" s="243"/>
      <c r="AD201" s="243"/>
      <c r="AE201" s="243"/>
      <c r="AF201" s="244"/>
      <c r="AG201" s="243"/>
      <c r="AH201" s="243"/>
      <c r="AI201" s="402"/>
      <c r="AJ201" s="243"/>
      <c r="AK201" s="243"/>
      <c r="AL201" s="243"/>
      <c r="AM201" s="243"/>
      <c r="AN201" s="243"/>
      <c r="AO201" s="243"/>
      <c r="AP201" s="402"/>
      <c r="AQ201" s="243"/>
      <c r="AR201" s="243"/>
      <c r="AS201" s="243"/>
      <c r="AT201" s="981"/>
      <c r="AU201" s="243"/>
      <c r="AV201" s="243"/>
      <c r="AW201" s="243"/>
      <c r="AX201" s="243"/>
      <c r="AY201" s="243"/>
      <c r="AZ201" s="402"/>
      <c r="BA201" s="402"/>
      <c r="BB201" s="402"/>
      <c r="BC201" s="402"/>
      <c r="BD201" s="629"/>
      <c r="BE201" s="243"/>
      <c r="BF201" s="243"/>
      <c r="BG201" s="243"/>
      <c r="BH201" s="243"/>
      <c r="BI201" s="243"/>
      <c r="BJ201" s="243"/>
      <c r="BK201" s="243"/>
      <c r="BL201" s="243"/>
      <c r="BM201" s="654"/>
      <c r="BN201" s="654"/>
      <c r="BO201" s="243"/>
      <c r="BP201" s="243"/>
      <c r="BQ201" s="243"/>
      <c r="BR201" s="243"/>
      <c r="BS201" s="243"/>
      <c r="BT201" s="243"/>
      <c r="BU201" s="243"/>
      <c r="BV201" s="243"/>
      <c r="BW201" s="243"/>
      <c r="BX201" s="243"/>
      <c r="BY201" s="243"/>
      <c r="BZ201" s="243"/>
      <c r="CA201" s="243"/>
      <c r="CB201" s="243"/>
      <c r="CC201" s="243"/>
      <c r="CD201" s="243"/>
      <c r="CE201" s="243"/>
      <c r="CF201" s="243"/>
      <c r="CG201" s="1283"/>
    </row>
    <row r="202" spans="1:85" ht="13.2">
      <c r="A202" s="155">
        <v>45114</v>
      </c>
      <c r="B202" s="243"/>
      <c r="C202" s="243"/>
      <c r="D202" s="243"/>
      <c r="E202" s="1271"/>
      <c r="F202" s="243"/>
      <c r="G202" s="243"/>
      <c r="H202" s="243"/>
      <c r="I202" s="243"/>
      <c r="J202" s="243"/>
      <c r="K202" s="402"/>
      <c r="L202" s="402"/>
      <c r="M202" s="243"/>
      <c r="N202" s="243"/>
      <c r="O202" s="367"/>
      <c r="P202" s="367"/>
      <c r="Q202" s="243"/>
      <c r="R202" s="243"/>
      <c r="S202" s="243"/>
      <c r="T202" s="243"/>
      <c r="U202" s="243"/>
      <c r="V202" s="243"/>
      <c r="W202" s="243"/>
      <c r="X202" s="243"/>
      <c r="Y202" s="243"/>
      <c r="Z202" s="243"/>
      <c r="AA202" s="243"/>
      <c r="AB202" s="243"/>
      <c r="AC202" s="243"/>
      <c r="AD202" s="243"/>
      <c r="AE202" s="243"/>
      <c r="AF202" s="244"/>
      <c r="AG202" s="243"/>
      <c r="AH202" s="243"/>
      <c r="AI202" s="402"/>
      <c r="AJ202" s="243"/>
      <c r="AK202" s="243"/>
      <c r="AL202" s="367"/>
      <c r="AM202" s="243"/>
      <c r="AN202" s="243"/>
      <c r="AO202" s="243"/>
      <c r="AP202" s="402"/>
      <c r="AQ202" s="243"/>
      <c r="AR202" s="243"/>
      <c r="AS202" s="402"/>
      <c r="AT202" s="981"/>
      <c r="AU202" s="243"/>
      <c r="AV202" s="243"/>
      <c r="AW202" s="243"/>
      <c r="AX202" s="402"/>
      <c r="AY202" s="402"/>
      <c r="AZ202" s="402"/>
      <c r="BA202" s="402"/>
      <c r="BB202" s="402"/>
      <c r="BC202" s="402"/>
      <c r="BD202" s="629"/>
      <c r="BE202" s="244"/>
      <c r="BF202" s="402"/>
      <c r="BG202" s="243"/>
      <c r="BH202" s="243"/>
      <c r="BI202" s="981"/>
      <c r="BJ202" s="243"/>
      <c r="BK202" s="654"/>
      <c r="BL202" s="654"/>
      <c r="BM202" s="654"/>
      <c r="BN202" s="654"/>
      <c r="BO202" s="243"/>
      <c r="BP202" s="243"/>
      <c r="BQ202" s="243"/>
      <c r="BR202" s="243"/>
      <c r="BS202" s="243"/>
      <c r="BT202" s="243"/>
      <c r="BU202" s="243"/>
      <c r="BV202" s="243"/>
      <c r="BW202" s="243"/>
      <c r="BX202" s="243"/>
      <c r="BY202" s="243"/>
      <c r="BZ202" s="243"/>
      <c r="CA202" s="243"/>
      <c r="CB202" s="243"/>
      <c r="CC202" s="243"/>
      <c r="CD202" s="243"/>
      <c r="CE202" s="243"/>
      <c r="CF202" s="981"/>
      <c r="CG202" s="1283"/>
    </row>
    <row r="203" spans="1:85" s="403" customFormat="1" ht="13.2">
      <c r="A203" s="155">
        <v>45115</v>
      </c>
      <c r="B203" s="243"/>
      <c r="C203" s="243"/>
      <c r="D203" s="243"/>
      <c r="E203" s="1271"/>
      <c r="F203" s="243"/>
      <c r="G203" s="243"/>
      <c r="H203" s="243"/>
      <c r="I203" s="243"/>
      <c r="J203" s="243"/>
      <c r="K203" s="402"/>
      <c r="L203" s="402"/>
      <c r="M203" s="243"/>
      <c r="N203" s="243"/>
      <c r="O203" s="367"/>
      <c r="P203" s="367"/>
      <c r="Q203" s="243"/>
      <c r="R203" s="243"/>
      <c r="S203" s="243"/>
      <c r="T203" s="243"/>
      <c r="U203" s="243"/>
      <c r="V203" s="243"/>
      <c r="W203" s="243"/>
      <c r="X203" s="243"/>
      <c r="Y203" s="243"/>
      <c r="Z203" s="243"/>
      <c r="AA203" s="243"/>
      <c r="AB203" s="243"/>
      <c r="AC203" s="243"/>
      <c r="AD203" s="243"/>
      <c r="AE203" s="243"/>
      <c r="AF203" s="244"/>
      <c r="AG203" s="243"/>
      <c r="AH203" s="243"/>
      <c r="AI203" s="402"/>
      <c r="AJ203" s="243"/>
      <c r="AK203" s="243"/>
      <c r="AL203" s="367"/>
      <c r="AM203" s="243"/>
      <c r="AN203" s="243"/>
      <c r="AO203" s="243"/>
      <c r="AP203" s="402"/>
      <c r="AQ203" s="243"/>
      <c r="AR203" s="243"/>
      <c r="AS203" s="402"/>
      <c r="AT203" s="981"/>
      <c r="AU203" s="243"/>
      <c r="AV203" s="243"/>
      <c r="AW203" s="243"/>
      <c r="AX203" s="402"/>
      <c r="AY203" s="402"/>
      <c r="AZ203" s="402"/>
      <c r="BA203" s="402"/>
      <c r="BB203" s="402"/>
      <c r="BC203" s="402"/>
      <c r="BD203" s="629"/>
      <c r="BE203" s="244"/>
      <c r="BF203" s="402"/>
      <c r="BG203" s="243"/>
      <c r="BH203" s="243"/>
      <c r="BI203" s="981"/>
      <c r="BJ203" s="243"/>
      <c r="BK203" s="654"/>
      <c r="BL203" s="654"/>
      <c r="BM203" s="654"/>
      <c r="BN203" s="654"/>
      <c r="BO203" s="243"/>
      <c r="BP203" s="243"/>
      <c r="BQ203" s="243"/>
      <c r="BR203" s="243"/>
      <c r="BS203" s="243"/>
      <c r="BT203" s="243"/>
      <c r="BU203" s="243"/>
      <c r="BV203" s="243"/>
      <c r="BW203" s="243"/>
      <c r="BX203" s="243"/>
      <c r="BY203" s="243"/>
      <c r="BZ203" s="243"/>
      <c r="CA203" s="243"/>
      <c r="CB203" s="243"/>
      <c r="CC203" s="243"/>
      <c r="CD203" s="243"/>
      <c r="CE203" s="243"/>
      <c r="CF203" s="243"/>
      <c r="CG203" s="1283"/>
    </row>
    <row r="204" spans="1:85" ht="13.2">
      <c r="A204" s="155">
        <v>45116</v>
      </c>
      <c r="B204" s="243"/>
      <c r="C204" s="243"/>
      <c r="D204" s="243"/>
      <c r="E204" s="1271"/>
      <c r="F204" s="243"/>
      <c r="G204" s="243"/>
      <c r="H204" s="243"/>
      <c r="I204" s="243"/>
      <c r="J204" s="243"/>
      <c r="K204" s="402"/>
      <c r="L204" s="402"/>
      <c r="M204" s="243"/>
      <c r="N204" s="243"/>
      <c r="O204" s="367"/>
      <c r="P204" s="367"/>
      <c r="Q204" s="243"/>
      <c r="R204" s="243"/>
      <c r="S204" s="243"/>
      <c r="T204" s="243"/>
      <c r="U204" s="243"/>
      <c r="V204" s="243"/>
      <c r="W204" s="243"/>
      <c r="X204" s="243"/>
      <c r="Y204" s="243"/>
      <c r="Z204" s="243"/>
      <c r="AA204" s="243"/>
      <c r="AB204" s="243"/>
      <c r="AC204" s="243"/>
      <c r="AD204" s="243"/>
      <c r="AE204" s="243"/>
      <c r="AF204" s="244"/>
      <c r="AG204" s="243"/>
      <c r="AH204" s="243"/>
      <c r="AI204" s="402"/>
      <c r="AJ204" s="243"/>
      <c r="AK204" s="243"/>
      <c r="AL204" s="367"/>
      <c r="AM204" s="243"/>
      <c r="AN204" s="243"/>
      <c r="AO204" s="243"/>
      <c r="AP204" s="402"/>
      <c r="AQ204" s="243"/>
      <c r="AR204" s="243"/>
      <c r="AS204" s="402"/>
      <c r="AT204" s="981"/>
      <c r="AU204" s="243"/>
      <c r="AV204" s="243"/>
      <c r="AW204" s="243"/>
      <c r="AX204" s="402"/>
      <c r="AY204" s="402"/>
      <c r="AZ204" s="402"/>
      <c r="BA204" s="402"/>
      <c r="BB204" s="402"/>
      <c r="BC204" s="402"/>
      <c r="BD204" s="629"/>
      <c r="BE204" s="244"/>
      <c r="BF204" s="402"/>
      <c r="BG204" s="981"/>
      <c r="BH204" s="981"/>
      <c r="BI204" s="981"/>
      <c r="BJ204" s="981"/>
      <c r="BK204" s="654"/>
      <c r="BL204" s="654"/>
      <c r="BM204" s="654"/>
      <c r="BN204" s="654"/>
      <c r="BO204" s="243"/>
      <c r="BP204" s="243"/>
      <c r="BQ204" s="243"/>
      <c r="BR204" s="243"/>
      <c r="BS204" s="243"/>
      <c r="BT204" s="243"/>
      <c r="BU204" s="243"/>
      <c r="BV204" s="243"/>
      <c r="BW204" s="243"/>
      <c r="BX204" s="243"/>
      <c r="BY204" s="243"/>
      <c r="BZ204" s="243"/>
      <c r="CA204" s="243"/>
      <c r="CB204" s="243"/>
      <c r="CC204" s="243"/>
      <c r="CD204" s="243"/>
      <c r="CE204" s="243"/>
      <c r="CF204" s="243"/>
      <c r="CG204" s="1283"/>
    </row>
    <row r="205" spans="1:85" ht="13.2">
      <c r="A205" s="155">
        <v>45117</v>
      </c>
      <c r="B205" s="243"/>
      <c r="C205" s="243"/>
      <c r="D205" s="243"/>
      <c r="E205" s="1271"/>
      <c r="F205" s="243"/>
      <c r="G205" s="243"/>
      <c r="H205" s="656"/>
      <c r="I205" s="656"/>
      <c r="J205" s="243"/>
      <c r="K205" s="402"/>
      <c r="L205" s="402"/>
      <c r="M205" s="243"/>
      <c r="N205" s="243"/>
      <c r="O205" s="657"/>
      <c r="P205" s="657"/>
      <c r="Q205" s="656"/>
      <c r="R205" s="656"/>
      <c r="S205" s="656"/>
      <c r="T205" s="656"/>
      <c r="U205" s="243"/>
      <c r="V205" s="243"/>
      <c r="W205" s="243"/>
      <c r="X205" s="243"/>
      <c r="Y205" s="656"/>
      <c r="Z205" s="243"/>
      <c r="AA205" s="243"/>
      <c r="AB205" s="656"/>
      <c r="AC205" s="656"/>
      <c r="AD205" s="243"/>
      <c r="AE205" s="243"/>
      <c r="AF205" s="244"/>
      <c r="AG205" s="243"/>
      <c r="AH205" s="243"/>
      <c r="AI205" s="402"/>
      <c r="AJ205" s="243"/>
      <c r="AK205" s="656"/>
      <c r="AL205" s="657"/>
      <c r="AM205" s="656"/>
      <c r="AN205" s="656"/>
      <c r="AO205" s="243"/>
      <c r="AP205" s="402"/>
      <c r="AQ205" s="656"/>
      <c r="AR205" s="656"/>
      <c r="AS205" s="656"/>
      <c r="AT205" s="981"/>
      <c r="AU205" s="656"/>
      <c r="AV205" s="656"/>
      <c r="AW205" s="656"/>
      <c r="AX205" s="402"/>
      <c r="AY205" s="402"/>
      <c r="AZ205" s="402"/>
      <c r="BA205" s="402"/>
      <c r="BB205" s="402"/>
      <c r="BC205" s="402"/>
      <c r="BD205" s="629"/>
      <c r="BE205" s="244"/>
      <c r="BF205" s="402"/>
      <c r="BG205" s="981"/>
      <c r="BH205" s="981"/>
      <c r="BI205" s="981"/>
      <c r="BJ205" s="981"/>
      <c r="BK205" s="656"/>
      <c r="BL205" s="656"/>
      <c r="BM205" s="654"/>
      <c r="BN205" s="654"/>
      <c r="BO205" s="656"/>
      <c r="BP205" s="656"/>
      <c r="BQ205" s="656"/>
      <c r="BR205" s="243"/>
      <c r="BS205" s="243"/>
      <c r="BT205" s="243"/>
      <c r="BU205" s="243"/>
      <c r="BV205" s="243"/>
      <c r="BW205" s="243"/>
      <c r="BX205" s="243"/>
      <c r="BY205" s="243"/>
      <c r="BZ205" s="243"/>
      <c r="CA205" s="656"/>
      <c r="CB205" s="656"/>
      <c r="CC205" s="656"/>
      <c r="CD205" s="656"/>
      <c r="CE205" s="656"/>
      <c r="CF205" s="656"/>
      <c r="CG205" s="1283"/>
    </row>
    <row r="206" spans="1:85" ht="13.2">
      <c r="A206" s="155">
        <v>45118</v>
      </c>
      <c r="B206" s="243"/>
      <c r="C206" s="243"/>
      <c r="D206" s="243"/>
      <c r="E206" s="1271"/>
      <c r="F206" s="243"/>
      <c r="G206" s="243"/>
      <c r="H206" s="656"/>
      <c r="I206" s="656"/>
      <c r="J206" s="243"/>
      <c r="K206" s="402"/>
      <c r="L206" s="402"/>
      <c r="M206" s="243"/>
      <c r="N206" s="243"/>
      <c r="O206" s="657"/>
      <c r="P206" s="657"/>
      <c r="Q206" s="656"/>
      <c r="R206" s="656"/>
      <c r="S206" s="656"/>
      <c r="T206" s="656"/>
      <c r="U206" s="243"/>
      <c r="V206" s="243"/>
      <c r="W206" s="656"/>
      <c r="X206" s="656"/>
      <c r="Y206" s="656"/>
      <c r="Z206" s="243"/>
      <c r="AA206" s="243"/>
      <c r="AB206" s="656"/>
      <c r="AC206" s="656"/>
      <c r="AD206" s="243"/>
      <c r="AE206" s="243"/>
      <c r="AF206" s="244"/>
      <c r="AG206" s="243"/>
      <c r="AH206" s="243"/>
      <c r="AI206" s="402"/>
      <c r="AJ206" s="243"/>
      <c r="AK206" s="656"/>
      <c r="AL206" s="657"/>
      <c r="AM206" s="656"/>
      <c r="AN206" s="656"/>
      <c r="AO206" s="243"/>
      <c r="AP206" s="402"/>
      <c r="AQ206" s="656"/>
      <c r="AR206" s="656"/>
      <c r="AS206" s="656"/>
      <c r="AT206" s="981"/>
      <c r="AU206" s="656"/>
      <c r="AV206" s="656"/>
      <c r="AW206" s="656"/>
      <c r="AX206" s="402"/>
      <c r="AY206" s="402"/>
      <c r="AZ206" s="402"/>
      <c r="BA206" s="402"/>
      <c r="BB206" s="402"/>
      <c r="BC206" s="402"/>
      <c r="BD206" s="629"/>
      <c r="BE206" s="244"/>
      <c r="BF206" s="402"/>
      <c r="BG206" s="981"/>
      <c r="BH206" s="981"/>
      <c r="BI206" s="981"/>
      <c r="BJ206" s="981"/>
      <c r="BK206" s="656"/>
      <c r="BL206" s="656"/>
      <c r="BM206" s="654"/>
      <c r="BN206" s="654"/>
      <c r="BO206" s="656"/>
      <c r="BP206" s="656"/>
      <c r="BQ206" s="656"/>
      <c r="BR206" s="243"/>
      <c r="BS206" s="243"/>
      <c r="BT206" s="243"/>
      <c r="BU206" s="243"/>
      <c r="BV206" s="243"/>
      <c r="BW206" s="243"/>
      <c r="BX206" s="243"/>
      <c r="BY206" s="243"/>
      <c r="BZ206" s="243"/>
      <c r="CA206" s="656"/>
      <c r="CB206" s="656"/>
      <c r="CC206" s="656"/>
      <c r="CD206" s="656"/>
      <c r="CE206" s="656"/>
      <c r="CF206" s="656"/>
      <c r="CG206" s="1283"/>
    </row>
    <row r="207" spans="1:85" ht="13.2">
      <c r="A207" s="155">
        <v>45119</v>
      </c>
      <c r="B207" s="243"/>
      <c r="C207" s="243"/>
      <c r="D207" s="243"/>
      <c r="E207" s="1271"/>
      <c r="F207" s="243"/>
      <c r="G207" s="243"/>
      <c r="H207" s="656"/>
      <c r="I207" s="656"/>
      <c r="J207" s="243"/>
      <c r="K207" s="402"/>
      <c r="L207" s="402"/>
      <c r="M207" s="243"/>
      <c r="N207" s="243"/>
      <c r="O207" s="657"/>
      <c r="P207" s="657"/>
      <c r="Q207" s="656"/>
      <c r="R207" s="656"/>
      <c r="S207" s="656"/>
      <c r="T207" s="656"/>
      <c r="U207" s="243"/>
      <c r="V207" s="243"/>
      <c r="W207" s="656"/>
      <c r="X207" s="656"/>
      <c r="Y207" s="656"/>
      <c r="Z207" s="243"/>
      <c r="AA207" s="243"/>
      <c r="AB207" s="656"/>
      <c r="AC207" s="656"/>
      <c r="AD207" s="243"/>
      <c r="AE207" s="243"/>
      <c r="AF207" s="244"/>
      <c r="AG207" s="243"/>
      <c r="AH207" s="243"/>
      <c r="AI207" s="402"/>
      <c r="AJ207" s="243"/>
      <c r="AK207" s="656"/>
      <c r="AL207" s="657"/>
      <c r="AM207" s="656"/>
      <c r="AN207" s="656"/>
      <c r="AO207" s="243"/>
      <c r="AP207" s="402"/>
      <c r="AQ207" s="656"/>
      <c r="AR207" s="656"/>
      <c r="AS207" s="656"/>
      <c r="AT207" s="981"/>
      <c r="AU207" s="656"/>
      <c r="AV207" s="656"/>
      <c r="AW207" s="656"/>
      <c r="AX207" s="402"/>
      <c r="AY207" s="402"/>
      <c r="AZ207" s="402"/>
      <c r="BA207" s="402"/>
      <c r="BB207" s="402"/>
      <c r="BC207" s="402"/>
      <c r="BD207" s="629"/>
      <c r="BE207" s="244"/>
      <c r="BF207" s="402"/>
      <c r="BG207" s="981"/>
      <c r="BH207" s="981"/>
      <c r="BI207" s="981"/>
      <c r="BJ207" s="981"/>
      <c r="BK207" s="656"/>
      <c r="BL207" s="656"/>
      <c r="BM207" s="654"/>
      <c r="BN207" s="654"/>
      <c r="BO207" s="656"/>
      <c r="BP207" s="656"/>
      <c r="BQ207" s="656"/>
      <c r="BR207" s="243"/>
      <c r="BS207" s="243"/>
      <c r="BT207" s="243"/>
      <c r="BU207" s="243"/>
      <c r="BV207" s="243"/>
      <c r="BW207" s="243"/>
      <c r="BX207" s="243"/>
      <c r="BY207" s="243"/>
      <c r="BZ207" s="243"/>
      <c r="CA207" s="656"/>
      <c r="CB207" s="656"/>
      <c r="CC207" s="656"/>
      <c r="CD207" s="656"/>
      <c r="CE207" s="656"/>
      <c r="CF207" s="656"/>
      <c r="CG207" s="1283"/>
    </row>
    <row r="208" spans="1:85" ht="13.2">
      <c r="A208" s="155">
        <v>45120</v>
      </c>
      <c r="B208" s="243"/>
      <c r="C208" s="243"/>
      <c r="D208" s="243"/>
      <c r="E208" s="1271"/>
      <c r="F208" s="243"/>
      <c r="G208" s="243"/>
      <c r="H208" s="981"/>
      <c r="I208" s="981"/>
      <c r="J208" s="981"/>
      <c r="K208" s="402"/>
      <c r="L208" s="402"/>
      <c r="M208" s="243"/>
      <c r="N208" s="243"/>
      <c r="O208" s="1056"/>
      <c r="P208" s="1056"/>
      <c r="Q208" s="981"/>
      <c r="R208" s="981"/>
      <c r="S208" s="981"/>
      <c r="T208" s="981"/>
      <c r="U208" s="243"/>
      <c r="V208" s="243"/>
      <c r="W208" s="981"/>
      <c r="X208" s="981"/>
      <c r="Y208" s="981"/>
      <c r="Z208" s="243"/>
      <c r="AA208" s="243"/>
      <c r="AB208" s="981"/>
      <c r="AC208" s="981"/>
      <c r="AD208" s="981"/>
      <c r="AE208" s="243"/>
      <c r="AF208" s="244"/>
      <c r="AG208" s="243"/>
      <c r="AH208" s="243"/>
      <c r="AI208" s="402"/>
      <c r="AJ208" s="243"/>
      <c r="AK208" s="981"/>
      <c r="AL208" s="1056"/>
      <c r="AM208" s="981"/>
      <c r="AN208" s="981"/>
      <c r="AO208" s="243"/>
      <c r="AP208" s="402"/>
      <c r="AQ208" s="981"/>
      <c r="AR208" s="981"/>
      <c r="AS208" s="981"/>
      <c r="AT208" s="981"/>
      <c r="AU208" s="981"/>
      <c r="AV208" s="981"/>
      <c r="AW208" s="981"/>
      <c r="AX208" s="402"/>
      <c r="AY208" s="402"/>
      <c r="AZ208" s="402"/>
      <c r="BA208" s="402"/>
      <c r="BB208" s="402"/>
      <c r="BC208" s="402"/>
      <c r="BD208" s="629"/>
      <c r="BE208" s="1051"/>
      <c r="BF208" s="981"/>
      <c r="BG208" s="981"/>
      <c r="BH208" s="981"/>
      <c r="BI208" s="981"/>
      <c r="BJ208" s="981"/>
      <c r="BK208" s="981"/>
      <c r="BL208" s="981"/>
      <c r="BM208" s="654"/>
      <c r="BN208" s="654"/>
      <c r="BO208" s="981"/>
      <c r="BP208" s="981"/>
      <c r="BQ208" s="981"/>
      <c r="BR208" s="243"/>
      <c r="BS208" s="243"/>
      <c r="BT208" s="243"/>
      <c r="BU208" s="243"/>
      <c r="BV208" s="243"/>
      <c r="BW208" s="243"/>
      <c r="BX208" s="981"/>
      <c r="BY208" s="981"/>
      <c r="BZ208" s="981"/>
      <c r="CA208" s="981"/>
      <c r="CB208" s="981"/>
      <c r="CC208" s="981"/>
      <c r="CD208" s="981"/>
      <c r="CE208" s="981"/>
      <c r="CF208" s="981"/>
      <c r="CG208" s="1283"/>
    </row>
    <row r="209" spans="1:85" ht="13.2">
      <c r="A209" s="155">
        <v>45121</v>
      </c>
      <c r="B209" s="243"/>
      <c r="C209" s="243"/>
      <c r="D209" s="243"/>
      <c r="E209" s="1271"/>
      <c r="F209" s="243"/>
      <c r="G209" s="243"/>
      <c r="H209" s="656"/>
      <c r="I209" s="656"/>
      <c r="J209" s="656"/>
      <c r="K209" s="402"/>
      <c r="L209" s="402"/>
      <c r="M209" s="243"/>
      <c r="N209" s="243"/>
      <c r="O209" s="657"/>
      <c r="P209" s="657"/>
      <c r="Q209" s="656"/>
      <c r="R209" s="656"/>
      <c r="S209" s="656"/>
      <c r="T209" s="656"/>
      <c r="U209" s="243"/>
      <c r="V209" s="243"/>
      <c r="W209" s="656"/>
      <c r="X209" s="656"/>
      <c r="Y209" s="656"/>
      <c r="Z209" s="243"/>
      <c r="AA209" s="243"/>
      <c r="AB209" s="656"/>
      <c r="AC209" s="656"/>
      <c r="AD209" s="656"/>
      <c r="AE209" s="243"/>
      <c r="AF209" s="244"/>
      <c r="AG209" s="243"/>
      <c r="AH209" s="243"/>
      <c r="AI209" s="402"/>
      <c r="AJ209" s="243"/>
      <c r="AK209" s="656"/>
      <c r="AL209" s="657"/>
      <c r="AM209" s="656"/>
      <c r="AN209" s="656"/>
      <c r="AO209" s="243"/>
      <c r="AP209" s="402"/>
      <c r="AQ209" s="656"/>
      <c r="AR209" s="656"/>
      <c r="AS209" s="656"/>
      <c r="AT209" s="981"/>
      <c r="AU209" s="656"/>
      <c r="AV209" s="656"/>
      <c r="AW209" s="656"/>
      <c r="AX209" s="402"/>
      <c r="AY209" s="402"/>
      <c r="AZ209" s="402"/>
      <c r="BA209" s="402"/>
      <c r="BB209" s="402"/>
      <c r="BC209" s="402"/>
      <c r="BD209" s="629"/>
      <c r="BE209" s="244"/>
      <c r="BF209" s="402"/>
      <c r="BG209" s="981"/>
      <c r="BH209" s="981"/>
      <c r="BI209" s="981"/>
      <c r="BJ209" s="981"/>
      <c r="BK209" s="656"/>
      <c r="BL209" s="656"/>
      <c r="BM209" s="654"/>
      <c r="BN209" s="654"/>
      <c r="BO209" s="981"/>
      <c r="BP209" s="656"/>
      <c r="BQ209" s="656"/>
      <c r="BR209" s="243"/>
      <c r="BS209" s="243"/>
      <c r="BT209" s="243"/>
      <c r="BU209" s="243"/>
      <c r="BV209" s="243"/>
      <c r="BW209" s="243"/>
      <c r="BX209" s="981"/>
      <c r="BY209" s="981"/>
      <c r="BZ209" s="981"/>
      <c r="CA209" s="656"/>
      <c r="CB209" s="656"/>
      <c r="CC209" s="656"/>
      <c r="CD209" s="656"/>
      <c r="CE209" s="656"/>
      <c r="CF209" s="656"/>
      <c r="CG209" s="1283"/>
    </row>
    <row r="210" spans="1:85" ht="13.2">
      <c r="A210" s="155">
        <v>45122</v>
      </c>
      <c r="B210" s="243"/>
      <c r="C210" s="243"/>
      <c r="D210" s="243"/>
      <c r="E210" s="1271"/>
      <c r="F210" s="243"/>
      <c r="G210" s="243"/>
      <c r="H210" s="243"/>
      <c r="I210" s="243"/>
      <c r="J210" s="243"/>
      <c r="K210" s="243"/>
      <c r="L210" s="243"/>
      <c r="M210" s="243"/>
      <c r="N210" s="243"/>
      <c r="O210" s="243"/>
      <c r="P210" s="243"/>
      <c r="Q210" s="243"/>
      <c r="R210" s="243"/>
      <c r="S210" s="243"/>
      <c r="T210" s="243"/>
      <c r="U210" s="243"/>
      <c r="V210" s="243"/>
      <c r="W210" s="243"/>
      <c r="X210" s="243"/>
      <c r="Y210" s="243"/>
      <c r="Z210" s="243"/>
      <c r="AA210" s="243"/>
      <c r="AB210" s="243"/>
      <c r="AC210" s="243"/>
      <c r="AD210" s="243"/>
      <c r="AE210" s="243"/>
      <c r="AF210" s="244"/>
      <c r="AG210" s="243"/>
      <c r="AH210" s="243"/>
      <c r="AI210" s="243"/>
      <c r="AJ210" s="243"/>
      <c r="AK210" s="243"/>
      <c r="AL210" s="243"/>
      <c r="AM210" s="243"/>
      <c r="AN210" s="243"/>
      <c r="AO210" s="243"/>
      <c r="AP210" s="402"/>
      <c r="AQ210" s="243"/>
      <c r="AR210" s="243"/>
      <c r="AS210" s="243"/>
      <c r="AT210" s="243"/>
      <c r="AU210" s="243"/>
      <c r="AV210" s="243"/>
      <c r="AW210" s="243"/>
      <c r="AX210" s="243"/>
      <c r="AY210" s="243"/>
      <c r="AZ210" s="402"/>
      <c r="BA210" s="402"/>
      <c r="BB210" s="402"/>
      <c r="BC210" s="402"/>
      <c r="BD210" s="629"/>
      <c r="BE210" s="243"/>
      <c r="BF210" s="243"/>
      <c r="BG210" s="981"/>
      <c r="BH210" s="981"/>
      <c r="BI210" s="981"/>
      <c r="BJ210" s="981"/>
      <c r="BK210" s="243"/>
      <c r="BL210" s="243"/>
      <c r="BM210" s="654"/>
      <c r="BN210" s="654"/>
      <c r="BO210" s="243"/>
      <c r="BP210" s="243"/>
      <c r="BQ210" s="243"/>
      <c r="BR210" s="243"/>
      <c r="BS210" s="243"/>
      <c r="BT210" s="243"/>
      <c r="BU210" s="243"/>
      <c r="BV210" s="243"/>
      <c r="BW210" s="243"/>
      <c r="BX210" s="243"/>
      <c r="BY210" s="243"/>
      <c r="BZ210" s="243"/>
      <c r="CA210" s="243"/>
      <c r="CB210" s="243"/>
      <c r="CC210" s="243"/>
      <c r="CD210" s="243"/>
      <c r="CE210" s="243"/>
      <c r="CF210" s="243"/>
      <c r="CG210" s="1283"/>
    </row>
    <row r="211" spans="1:85" ht="13.2">
      <c r="A211" s="155">
        <v>45123</v>
      </c>
      <c r="B211" s="243"/>
      <c r="C211" s="243"/>
      <c r="D211" s="243"/>
      <c r="E211" s="1271"/>
      <c r="F211" s="243"/>
      <c r="G211" s="243"/>
      <c r="H211" s="656"/>
      <c r="I211" s="656"/>
      <c r="J211" s="656"/>
      <c r="K211" s="402"/>
      <c r="L211" s="402"/>
      <c r="M211" s="243"/>
      <c r="N211" s="243"/>
      <c r="O211" s="657"/>
      <c r="P211" s="657"/>
      <c r="Q211" s="656"/>
      <c r="R211" s="656"/>
      <c r="S211" s="656"/>
      <c r="T211" s="656"/>
      <c r="U211" s="243"/>
      <c r="V211" s="243"/>
      <c r="W211" s="656"/>
      <c r="X211" s="656"/>
      <c r="Y211" s="656"/>
      <c r="Z211" s="243"/>
      <c r="AA211" s="243"/>
      <c r="AB211" s="656"/>
      <c r="AC211" s="656"/>
      <c r="AD211" s="656"/>
      <c r="AE211" s="243"/>
      <c r="AF211" s="244"/>
      <c r="AG211" s="243"/>
      <c r="AH211" s="243"/>
      <c r="AI211" s="402"/>
      <c r="AJ211" s="243"/>
      <c r="AK211" s="656"/>
      <c r="AL211" s="657"/>
      <c r="AM211" s="656"/>
      <c r="AN211" s="656"/>
      <c r="AO211" s="243"/>
      <c r="AP211" s="402"/>
      <c r="AQ211" s="656"/>
      <c r="AR211" s="656"/>
      <c r="AS211" s="656"/>
      <c r="AT211" s="981"/>
      <c r="AU211" s="656"/>
      <c r="AV211" s="656"/>
      <c r="AW211" s="656"/>
      <c r="AX211" s="402"/>
      <c r="AY211" s="402"/>
      <c r="AZ211" s="402"/>
      <c r="BA211" s="402"/>
      <c r="BB211" s="402"/>
      <c r="BC211" s="402"/>
      <c r="BD211" s="629"/>
      <c r="BE211" s="244"/>
      <c r="BF211" s="402"/>
      <c r="BG211" s="981"/>
      <c r="BH211" s="981"/>
      <c r="BI211" s="981"/>
      <c r="BJ211" s="981"/>
      <c r="BK211" s="656"/>
      <c r="BL211" s="656"/>
      <c r="BM211" s="654"/>
      <c r="BN211" s="654"/>
      <c r="BO211" s="656"/>
      <c r="BP211" s="656"/>
      <c r="BQ211" s="656"/>
      <c r="BR211" s="243"/>
      <c r="BS211" s="243"/>
      <c r="BT211" s="243"/>
      <c r="BU211" s="243"/>
      <c r="BV211" s="243"/>
      <c r="BW211" s="243"/>
      <c r="BX211" s="981"/>
      <c r="BY211" s="981"/>
      <c r="BZ211" s="981"/>
      <c r="CA211" s="656"/>
      <c r="CB211" s="656"/>
      <c r="CC211" s="656"/>
      <c r="CD211" s="656"/>
      <c r="CE211" s="656"/>
      <c r="CF211" s="656"/>
      <c r="CG211" s="1283"/>
    </row>
    <row r="212" spans="1:85" ht="13.2">
      <c r="A212" s="155">
        <v>45124</v>
      </c>
      <c r="B212" s="243"/>
      <c r="C212" s="243"/>
      <c r="D212" s="243"/>
      <c r="E212" s="1271"/>
      <c r="F212" s="243"/>
      <c r="G212" s="243"/>
      <c r="H212" s="656"/>
      <c r="I212" s="656"/>
      <c r="J212" s="656"/>
      <c r="K212" s="656"/>
      <c r="L212" s="656"/>
      <c r="M212" s="243"/>
      <c r="N212" s="243"/>
      <c r="O212" s="656"/>
      <c r="P212" s="656"/>
      <c r="Q212" s="656"/>
      <c r="R212" s="656"/>
      <c r="S212" s="656"/>
      <c r="T212" s="656"/>
      <c r="U212" s="243"/>
      <c r="V212" s="243"/>
      <c r="W212" s="656"/>
      <c r="X212" s="656"/>
      <c r="Y212" s="656"/>
      <c r="Z212" s="243"/>
      <c r="AA212" s="243"/>
      <c r="AB212" s="656"/>
      <c r="AC212" s="656"/>
      <c r="AD212" s="656"/>
      <c r="AE212" s="243"/>
      <c r="AF212" s="244"/>
      <c r="AG212" s="656"/>
      <c r="AH212" s="656"/>
      <c r="AI212" s="656"/>
      <c r="AJ212" s="656"/>
      <c r="AK212" s="656"/>
      <c r="AL212" s="656"/>
      <c r="AM212" s="656"/>
      <c r="AN212" s="656"/>
      <c r="AO212" s="243"/>
      <c r="AP212" s="402"/>
      <c r="AQ212" s="656"/>
      <c r="AR212" s="656"/>
      <c r="AS212" s="656"/>
      <c r="AT212" s="656"/>
      <c r="AU212" s="656"/>
      <c r="AV212" s="656"/>
      <c r="AW212" s="656"/>
      <c r="AX212" s="656"/>
      <c r="AY212" s="656"/>
      <c r="AZ212" s="402"/>
      <c r="BA212" s="402"/>
      <c r="BB212" s="402"/>
      <c r="BC212" s="402"/>
      <c r="BD212" s="629"/>
      <c r="BE212" s="656"/>
      <c r="BF212" s="656"/>
      <c r="BG212" s="981"/>
      <c r="BH212" s="981"/>
      <c r="BI212" s="981"/>
      <c r="BJ212" s="981"/>
      <c r="BK212" s="656"/>
      <c r="BL212" s="656"/>
      <c r="BM212" s="654"/>
      <c r="BN212" s="654"/>
      <c r="BO212" s="656"/>
      <c r="BP212" s="656"/>
      <c r="BQ212" s="656"/>
      <c r="BR212" s="656"/>
      <c r="BS212" s="656"/>
      <c r="BT212" s="656"/>
      <c r="BU212" s="243"/>
      <c r="BV212" s="243"/>
      <c r="BW212" s="243"/>
      <c r="BX212" s="656"/>
      <c r="BY212" s="656"/>
      <c r="BZ212" s="656"/>
      <c r="CA212" s="656"/>
      <c r="CB212" s="656"/>
      <c r="CC212" s="656"/>
      <c r="CD212" s="656"/>
      <c r="CE212" s="656"/>
      <c r="CF212" s="656"/>
      <c r="CG212" s="1283"/>
    </row>
    <row r="213" spans="1:85" ht="13.2">
      <c r="A213" s="155">
        <v>45125</v>
      </c>
      <c r="B213" s="243"/>
      <c r="C213" s="243"/>
      <c r="D213" s="243"/>
      <c r="E213" s="1271"/>
      <c r="F213" s="243"/>
      <c r="G213" s="243"/>
      <c r="H213" s="656"/>
      <c r="I213" s="656"/>
      <c r="J213" s="656"/>
      <c r="K213" s="402"/>
      <c r="L213" s="402"/>
      <c r="M213" s="243"/>
      <c r="N213" s="243"/>
      <c r="O213" s="656"/>
      <c r="P213" s="656"/>
      <c r="Q213" s="656"/>
      <c r="R213" s="656"/>
      <c r="S213" s="656"/>
      <c r="T213" s="656"/>
      <c r="U213" s="243"/>
      <c r="V213" s="243"/>
      <c r="W213" s="656"/>
      <c r="X213" s="656"/>
      <c r="Y213" s="656"/>
      <c r="Z213" s="243"/>
      <c r="AA213" s="243"/>
      <c r="AB213" s="656"/>
      <c r="AC213" s="656"/>
      <c r="AD213" s="656"/>
      <c r="AE213" s="243"/>
      <c r="AF213" s="244"/>
      <c r="AG213" s="243"/>
      <c r="AH213" s="243"/>
      <c r="AI213" s="402"/>
      <c r="AJ213" s="243"/>
      <c r="AK213" s="656"/>
      <c r="AL213" s="656"/>
      <c r="AM213" s="656"/>
      <c r="AN213" s="656"/>
      <c r="AO213" s="243"/>
      <c r="AP213" s="402"/>
      <c r="AQ213" s="656"/>
      <c r="AR213" s="656"/>
      <c r="AS213" s="656"/>
      <c r="AT213" s="981"/>
      <c r="AU213" s="656"/>
      <c r="AV213" s="656"/>
      <c r="AW213" s="656"/>
      <c r="AX213" s="402"/>
      <c r="AY213" s="402"/>
      <c r="AZ213" s="402"/>
      <c r="BA213" s="402"/>
      <c r="BB213" s="402"/>
      <c r="BC213" s="981"/>
      <c r="BD213" s="1056"/>
      <c r="BE213" s="244"/>
      <c r="BF213" s="402"/>
      <c r="BG213" s="981"/>
      <c r="BH213" s="981"/>
      <c r="BI213" s="981"/>
      <c r="BJ213" s="981"/>
      <c r="BK213" s="654"/>
      <c r="BL213" s="654"/>
      <c r="BM213" s="654"/>
      <c r="BN213" s="654"/>
      <c r="BO213" s="656"/>
      <c r="BP213" s="656"/>
      <c r="BQ213" s="656"/>
      <c r="BR213" s="243"/>
      <c r="BS213" s="243"/>
      <c r="BT213" s="243"/>
      <c r="BU213" s="243"/>
      <c r="BV213" s="243"/>
      <c r="BW213" s="243"/>
      <c r="BX213" s="981"/>
      <c r="BY213" s="981"/>
      <c r="BZ213" s="981"/>
      <c r="CA213" s="656"/>
      <c r="CB213" s="656"/>
      <c r="CC213" s="656"/>
      <c r="CD213" s="656"/>
      <c r="CE213" s="656"/>
      <c r="CF213" s="656"/>
      <c r="CG213" s="1283"/>
    </row>
    <row r="214" spans="1:85" ht="13.2">
      <c r="A214" s="155">
        <v>45126</v>
      </c>
      <c r="B214" s="243"/>
      <c r="C214" s="243"/>
      <c r="D214" s="243"/>
      <c r="E214" s="1271"/>
      <c r="F214" s="243"/>
      <c r="G214" s="243"/>
      <c r="H214" s="656"/>
      <c r="I214" s="656"/>
      <c r="J214" s="656"/>
      <c r="K214" s="656"/>
      <c r="L214" s="656"/>
      <c r="M214" s="243"/>
      <c r="N214" s="243"/>
      <c r="O214" s="656"/>
      <c r="P214" s="656"/>
      <c r="Q214" s="656"/>
      <c r="R214" s="656"/>
      <c r="S214" s="656"/>
      <c r="T214" s="656"/>
      <c r="U214" s="243"/>
      <c r="V214" s="243"/>
      <c r="W214" s="656"/>
      <c r="X214" s="656"/>
      <c r="Y214" s="656"/>
      <c r="Z214" s="243"/>
      <c r="AA214" s="243"/>
      <c r="AB214" s="656"/>
      <c r="AC214" s="656"/>
      <c r="AD214" s="656"/>
      <c r="AE214" s="243"/>
      <c r="AF214" s="244"/>
      <c r="AG214" s="656"/>
      <c r="AH214" s="656"/>
      <c r="AI214" s="656"/>
      <c r="AJ214" s="656"/>
      <c r="AK214" s="656"/>
      <c r="AL214" s="656"/>
      <c r="AM214" s="656"/>
      <c r="AN214" s="656"/>
      <c r="AO214" s="243"/>
      <c r="AP214" s="402"/>
      <c r="AQ214" s="656"/>
      <c r="AR214" s="656"/>
      <c r="AS214" s="656"/>
      <c r="AT214" s="656"/>
      <c r="AU214" s="656"/>
      <c r="AV214" s="656"/>
      <c r="AW214" s="656"/>
      <c r="AX214" s="656"/>
      <c r="AY214" s="656"/>
      <c r="AZ214" s="402"/>
      <c r="BA214" s="402"/>
      <c r="BB214" s="402"/>
      <c r="BC214" s="981"/>
      <c r="BD214" s="1056"/>
      <c r="BE214" s="656"/>
      <c r="BF214" s="656"/>
      <c r="BG214" s="1282"/>
      <c r="BH214" s="981"/>
      <c r="BI214" s="981"/>
      <c r="BJ214" s="981"/>
      <c r="BK214" s="656"/>
      <c r="BL214" s="656"/>
      <c r="BM214" s="654"/>
      <c r="BN214" s="654"/>
      <c r="BO214" s="656"/>
      <c r="BP214" s="656"/>
      <c r="BQ214" s="656"/>
      <c r="BR214" s="656"/>
      <c r="BS214" s="656"/>
      <c r="BT214" s="656"/>
      <c r="BU214" s="243"/>
      <c r="BV214" s="243"/>
      <c r="BW214" s="243"/>
      <c r="BX214" s="656"/>
      <c r="BY214" s="656"/>
      <c r="BZ214" s="656"/>
      <c r="CA214" s="656"/>
      <c r="CB214" s="656"/>
      <c r="CC214" s="656"/>
      <c r="CD214" s="656"/>
      <c r="CE214" s="656"/>
      <c r="CF214" s="656"/>
      <c r="CG214" s="1283"/>
    </row>
    <row r="215" spans="1:85" ht="13.2">
      <c r="A215" s="155">
        <v>45127</v>
      </c>
      <c r="B215" s="243"/>
      <c r="C215" s="243"/>
      <c r="D215" s="243"/>
      <c r="E215" s="1271"/>
      <c r="F215" s="243"/>
      <c r="G215" s="243"/>
      <c r="H215" s="656"/>
      <c r="I215" s="656"/>
      <c r="J215" s="656"/>
      <c r="K215" s="402"/>
      <c r="L215" s="402"/>
      <c r="M215" s="243"/>
      <c r="N215" s="243"/>
      <c r="O215" s="656"/>
      <c r="P215" s="656"/>
      <c r="Q215" s="656"/>
      <c r="R215" s="656"/>
      <c r="S215" s="656"/>
      <c r="T215" s="656"/>
      <c r="U215" s="243"/>
      <c r="V215" s="243"/>
      <c r="W215" s="656"/>
      <c r="X215" s="656"/>
      <c r="Y215" s="656"/>
      <c r="Z215" s="243"/>
      <c r="AA215" s="243"/>
      <c r="AB215" s="656"/>
      <c r="AC215" s="656"/>
      <c r="AD215" s="656"/>
      <c r="AE215" s="243"/>
      <c r="AF215" s="244"/>
      <c r="AG215" s="243"/>
      <c r="AH215" s="243"/>
      <c r="AI215" s="402"/>
      <c r="AJ215" s="243"/>
      <c r="AK215" s="656"/>
      <c r="AL215" s="656"/>
      <c r="AM215" s="656"/>
      <c r="AN215" s="656"/>
      <c r="AO215" s="243"/>
      <c r="AP215" s="402"/>
      <c r="AQ215" s="656"/>
      <c r="AR215" s="656"/>
      <c r="AS215" s="656"/>
      <c r="AT215" s="981"/>
      <c r="AU215" s="656"/>
      <c r="AV215" s="656"/>
      <c r="AW215" s="656"/>
      <c r="AX215" s="402"/>
      <c r="AY215" s="402"/>
      <c r="AZ215" s="402"/>
      <c r="BA215" s="402"/>
      <c r="BB215" s="402"/>
      <c r="BC215" s="981"/>
      <c r="BD215" s="1056"/>
      <c r="BE215" s="244"/>
      <c r="BF215" s="402"/>
      <c r="BG215" s="656"/>
      <c r="BH215" s="981"/>
      <c r="BI215" s="981"/>
      <c r="BJ215" s="981"/>
      <c r="BK215" s="656"/>
      <c r="BL215" s="656"/>
      <c r="BM215" s="654"/>
      <c r="BN215" s="654"/>
      <c r="BO215" s="656"/>
      <c r="BP215" s="656"/>
      <c r="BQ215" s="656"/>
      <c r="BR215" s="243"/>
      <c r="BS215" s="243"/>
      <c r="BT215" s="243"/>
      <c r="BU215" s="243"/>
      <c r="BV215" s="243"/>
      <c r="BW215" s="243"/>
      <c r="BX215" s="981"/>
      <c r="BY215" s="981"/>
      <c r="BZ215" s="981"/>
      <c r="CA215" s="656"/>
      <c r="CB215" s="656"/>
      <c r="CC215" s="656"/>
      <c r="CD215" s="656"/>
      <c r="CE215" s="656"/>
      <c r="CF215" s="656"/>
      <c r="CG215" s="1283"/>
    </row>
    <row r="216" spans="1:85" ht="13.2">
      <c r="A216" s="155">
        <v>45128</v>
      </c>
      <c r="B216" s="243"/>
      <c r="C216" s="243"/>
      <c r="D216" s="243"/>
      <c r="E216" s="1271"/>
      <c r="F216" s="243"/>
      <c r="G216" s="243"/>
      <c r="H216" s="656"/>
      <c r="I216" s="656"/>
      <c r="J216" s="656"/>
      <c r="K216" s="656"/>
      <c r="L216" s="656"/>
      <c r="M216" s="243"/>
      <c r="N216" s="243"/>
      <c r="O216" s="656"/>
      <c r="P216" s="656"/>
      <c r="Q216" s="656"/>
      <c r="R216" s="656"/>
      <c r="S216" s="656"/>
      <c r="T216" s="656"/>
      <c r="U216" s="243"/>
      <c r="V216" s="243"/>
      <c r="W216" s="656"/>
      <c r="X216" s="656"/>
      <c r="Y216" s="656"/>
      <c r="Z216" s="243"/>
      <c r="AA216" s="243"/>
      <c r="AB216" s="656"/>
      <c r="AC216" s="656"/>
      <c r="AD216" s="656"/>
      <c r="AE216" s="243"/>
      <c r="AF216" s="244"/>
      <c r="AG216" s="656"/>
      <c r="AH216" s="656"/>
      <c r="AI216" s="656"/>
      <c r="AJ216" s="656"/>
      <c r="AK216" s="656"/>
      <c r="AL216" s="656"/>
      <c r="AM216" s="656"/>
      <c r="AN216" s="656"/>
      <c r="AO216" s="243"/>
      <c r="AP216" s="402"/>
      <c r="AQ216" s="656"/>
      <c r="AR216" s="656"/>
      <c r="AS216" s="656"/>
      <c r="AT216" s="656"/>
      <c r="AU216" s="656"/>
      <c r="AV216" s="656"/>
      <c r="AW216" s="656"/>
      <c r="AX216" s="656"/>
      <c r="AY216" s="656"/>
      <c r="AZ216" s="402"/>
      <c r="BA216" s="402"/>
      <c r="BB216" s="402"/>
      <c r="BC216" s="981"/>
      <c r="BD216" s="1056"/>
      <c r="BE216" s="656"/>
      <c r="BF216" s="656"/>
      <c r="BG216" s="656"/>
      <c r="BH216" s="981"/>
      <c r="BI216" s="981"/>
      <c r="BJ216" s="981"/>
      <c r="BK216" s="656"/>
      <c r="BL216" s="656"/>
      <c r="BM216" s="656"/>
      <c r="BN216" s="656"/>
      <c r="BO216" s="656"/>
      <c r="BP216" s="656"/>
      <c r="BQ216" s="656"/>
      <c r="BR216" s="656"/>
      <c r="BS216" s="656"/>
      <c r="BT216" s="656"/>
      <c r="BU216" s="243"/>
      <c r="BV216" s="243"/>
      <c r="BW216" s="243"/>
      <c r="BX216" s="656"/>
      <c r="BY216" s="656"/>
      <c r="BZ216" s="656"/>
      <c r="CA216" s="656"/>
      <c r="CB216" s="656"/>
      <c r="CC216" s="656"/>
      <c r="CD216" s="656"/>
      <c r="CE216" s="656"/>
      <c r="CF216" s="656"/>
      <c r="CG216" s="1283"/>
    </row>
    <row r="217" spans="1:85" ht="13.2">
      <c r="A217" s="155">
        <v>45129</v>
      </c>
      <c r="B217" s="243"/>
      <c r="C217" s="243"/>
      <c r="D217" s="243"/>
      <c r="E217" s="1271"/>
      <c r="F217" s="243"/>
      <c r="G217" s="243"/>
      <c r="H217" s="656"/>
      <c r="I217" s="656"/>
      <c r="J217" s="656"/>
      <c r="K217" s="656"/>
      <c r="L217" s="656"/>
      <c r="M217" s="243"/>
      <c r="N217" s="243"/>
      <c r="O217" s="656"/>
      <c r="P217" s="656"/>
      <c r="Q217" s="656"/>
      <c r="R217" s="656"/>
      <c r="S217" s="656"/>
      <c r="T217" s="656"/>
      <c r="U217" s="243"/>
      <c r="V217" s="243"/>
      <c r="W217" s="656"/>
      <c r="X217" s="656"/>
      <c r="Y217" s="656"/>
      <c r="Z217" s="243"/>
      <c r="AA217" s="243"/>
      <c r="AB217" s="656"/>
      <c r="AC217" s="656"/>
      <c r="AD217" s="656"/>
      <c r="AE217" s="243"/>
      <c r="AF217" s="244"/>
      <c r="AG217" s="656"/>
      <c r="AH217" s="656"/>
      <c r="AI217" s="656"/>
      <c r="AJ217" s="656"/>
      <c r="AK217" s="656"/>
      <c r="AL217" s="656"/>
      <c r="AM217" s="656"/>
      <c r="AN217" s="656"/>
      <c r="AO217" s="243"/>
      <c r="AP217" s="402"/>
      <c r="AQ217" s="656"/>
      <c r="AR217" s="656"/>
      <c r="AS217" s="656"/>
      <c r="AT217" s="656"/>
      <c r="AU217" s="656"/>
      <c r="AV217" s="656"/>
      <c r="AW217" s="656"/>
      <c r="AX217" s="656"/>
      <c r="AY217" s="656"/>
      <c r="AZ217" s="402"/>
      <c r="BA217" s="402"/>
      <c r="BB217" s="402"/>
      <c r="BC217" s="981"/>
      <c r="BD217" s="1056"/>
      <c r="BE217" s="656"/>
      <c r="BF217" s="656"/>
      <c r="BG217" s="656"/>
      <c r="BH217" s="981"/>
      <c r="BI217" s="981"/>
      <c r="BJ217" s="981"/>
      <c r="BK217" s="656"/>
      <c r="BL217" s="656"/>
      <c r="BM217" s="656"/>
      <c r="BN217" s="656"/>
      <c r="BO217" s="656"/>
      <c r="BP217" s="656"/>
      <c r="BQ217" s="656"/>
      <c r="BR217" s="656"/>
      <c r="BS217" s="656"/>
      <c r="BT217" s="656"/>
      <c r="BU217" s="243"/>
      <c r="BV217" s="243"/>
      <c r="BW217" s="243"/>
      <c r="BX217" s="656"/>
      <c r="BY217" s="656"/>
      <c r="BZ217" s="656"/>
      <c r="CA217" s="656"/>
      <c r="CB217" s="656"/>
      <c r="CC217" s="656"/>
      <c r="CD217" s="656"/>
      <c r="CE217" s="656"/>
      <c r="CF217" s="656"/>
      <c r="CG217" s="1283"/>
    </row>
    <row r="218" spans="1:85" ht="13.2">
      <c r="A218" s="155">
        <v>45130</v>
      </c>
      <c r="B218" s="243"/>
      <c r="C218" s="243"/>
      <c r="D218" s="243"/>
      <c r="E218" s="1271"/>
      <c r="F218" s="243"/>
      <c r="G218" s="243"/>
      <c r="H218" s="656"/>
      <c r="I218" s="656"/>
      <c r="J218" s="656"/>
      <c r="K218" s="656"/>
      <c r="L218" s="656"/>
      <c r="M218" s="243"/>
      <c r="N218" s="243"/>
      <c r="O218" s="656"/>
      <c r="P218" s="656"/>
      <c r="Q218" s="656"/>
      <c r="R218" s="656"/>
      <c r="S218" s="656"/>
      <c r="T218" s="656"/>
      <c r="U218" s="243"/>
      <c r="V218" s="243"/>
      <c r="W218" s="656"/>
      <c r="X218" s="656"/>
      <c r="Y218" s="656"/>
      <c r="Z218" s="243"/>
      <c r="AA218" s="243"/>
      <c r="AB218" s="656"/>
      <c r="AC218" s="656"/>
      <c r="AD218" s="656"/>
      <c r="AE218" s="243"/>
      <c r="AF218" s="244"/>
      <c r="AG218" s="656"/>
      <c r="AH218" s="656"/>
      <c r="AI218" s="656"/>
      <c r="AJ218" s="656"/>
      <c r="AK218" s="656"/>
      <c r="AL218" s="656"/>
      <c r="AM218" s="656"/>
      <c r="AN218" s="656"/>
      <c r="AO218" s="243"/>
      <c r="AP218" s="402"/>
      <c r="AQ218" s="656"/>
      <c r="AR218" s="656"/>
      <c r="AS218" s="656"/>
      <c r="AT218" s="656"/>
      <c r="AU218" s="656"/>
      <c r="AV218" s="656"/>
      <c r="AW218" s="656"/>
      <c r="AX218" s="656"/>
      <c r="AY218" s="656"/>
      <c r="AZ218" s="402"/>
      <c r="BA218" s="402"/>
      <c r="BB218" s="402"/>
      <c r="BC218" s="981"/>
      <c r="BD218" s="1056"/>
      <c r="BE218" s="656"/>
      <c r="BF218" s="656"/>
      <c r="BG218" s="656"/>
      <c r="BH218" s="981"/>
      <c r="BI218" s="981"/>
      <c r="BJ218" s="981"/>
      <c r="BK218" s="656"/>
      <c r="BL218" s="656"/>
      <c r="BM218" s="656"/>
      <c r="BN218" s="656"/>
      <c r="BO218" s="656"/>
      <c r="BP218" s="656"/>
      <c r="BQ218" s="656"/>
      <c r="BR218" s="656"/>
      <c r="BS218" s="656"/>
      <c r="BT218" s="656"/>
      <c r="BU218" s="243"/>
      <c r="BV218" s="243"/>
      <c r="BW218" s="243"/>
      <c r="BX218" s="656"/>
      <c r="BY218" s="656"/>
      <c r="BZ218" s="656"/>
      <c r="CA218" s="656"/>
      <c r="CB218" s="656"/>
      <c r="CC218" s="656"/>
      <c r="CD218" s="656"/>
      <c r="CE218" s="656"/>
      <c r="CF218" s="656"/>
      <c r="CG218" s="1283"/>
    </row>
    <row r="219" spans="1:85" ht="13.2">
      <c r="A219" s="155">
        <v>45131</v>
      </c>
      <c r="B219" s="243"/>
      <c r="C219" s="243"/>
      <c r="D219" s="243"/>
      <c r="E219" s="1271"/>
      <c r="F219" s="243"/>
      <c r="G219" s="243"/>
      <c r="H219" s="656"/>
      <c r="I219" s="656"/>
      <c r="J219" s="656"/>
      <c r="K219" s="656"/>
      <c r="L219" s="656"/>
      <c r="M219" s="243"/>
      <c r="N219" s="243"/>
      <c r="O219" s="656"/>
      <c r="P219" s="656"/>
      <c r="Q219" s="656"/>
      <c r="R219" s="656"/>
      <c r="S219" s="656"/>
      <c r="T219" s="656"/>
      <c r="U219" s="243"/>
      <c r="V219" s="243"/>
      <c r="W219" s="656"/>
      <c r="X219" s="656"/>
      <c r="Y219" s="656"/>
      <c r="Z219" s="243"/>
      <c r="AA219" s="243"/>
      <c r="AB219" s="656"/>
      <c r="AC219" s="656"/>
      <c r="AD219" s="656"/>
      <c r="AE219" s="243"/>
      <c r="AF219" s="244"/>
      <c r="AG219" s="656"/>
      <c r="AH219" s="656"/>
      <c r="AI219" s="656"/>
      <c r="AJ219" s="656"/>
      <c r="AK219" s="656"/>
      <c r="AL219" s="656"/>
      <c r="AM219" s="656"/>
      <c r="AN219" s="656"/>
      <c r="AO219" s="243"/>
      <c r="AP219" s="402"/>
      <c r="AQ219" s="656"/>
      <c r="AR219" s="656"/>
      <c r="AS219" s="656"/>
      <c r="AT219" s="656"/>
      <c r="AU219" s="656"/>
      <c r="AV219" s="656"/>
      <c r="AW219" s="656"/>
      <c r="AX219" s="656"/>
      <c r="AY219" s="656"/>
      <c r="AZ219" s="402"/>
      <c r="BA219" s="402"/>
      <c r="BB219" s="402"/>
      <c r="BC219" s="981"/>
      <c r="BD219" s="1056"/>
      <c r="BE219" s="656"/>
      <c r="BF219" s="656"/>
      <c r="BG219" s="656"/>
      <c r="BH219" s="656"/>
      <c r="BI219" s="656"/>
      <c r="BJ219" s="656"/>
      <c r="BK219" s="656"/>
      <c r="BL219" s="656"/>
      <c r="BM219" s="656"/>
      <c r="BN219" s="656"/>
      <c r="BO219" s="656"/>
      <c r="BP219" s="656"/>
      <c r="BQ219" s="656"/>
      <c r="BR219" s="656"/>
      <c r="BS219" s="656"/>
      <c r="BT219" s="656"/>
      <c r="BU219" s="243"/>
      <c r="BV219" s="243"/>
      <c r="BW219" s="243"/>
      <c r="BX219" s="656"/>
      <c r="BY219" s="656"/>
      <c r="BZ219" s="981"/>
      <c r="CA219" s="656"/>
      <c r="CB219" s="656"/>
      <c r="CC219" s="656"/>
      <c r="CD219" s="656"/>
      <c r="CE219" s="656"/>
      <c r="CF219" s="656"/>
      <c r="CG219" s="1283"/>
    </row>
    <row r="220" spans="1:85" ht="13.2">
      <c r="A220" s="155">
        <v>45132</v>
      </c>
      <c r="B220" s="243"/>
      <c r="C220" s="243"/>
      <c r="D220" s="243"/>
      <c r="E220" s="1271"/>
      <c r="F220" s="243"/>
      <c r="G220" s="243"/>
      <c r="H220" s="656"/>
      <c r="I220" s="656"/>
      <c r="J220" s="656"/>
      <c r="K220" s="402"/>
      <c r="L220" s="402"/>
      <c r="M220" s="243"/>
      <c r="N220" s="243"/>
      <c r="O220" s="656"/>
      <c r="P220" s="656"/>
      <c r="Q220" s="656"/>
      <c r="R220" s="656"/>
      <c r="S220" s="656"/>
      <c r="T220" s="656"/>
      <c r="U220" s="243"/>
      <c r="V220" s="243"/>
      <c r="W220" s="656"/>
      <c r="X220" s="656"/>
      <c r="Y220" s="656"/>
      <c r="Z220" s="243"/>
      <c r="AA220" s="243"/>
      <c r="AB220" s="656"/>
      <c r="AC220" s="656"/>
      <c r="AD220" s="656"/>
      <c r="AE220" s="243"/>
      <c r="AF220" s="244"/>
      <c r="AG220" s="243"/>
      <c r="AH220" s="243"/>
      <c r="AI220" s="402"/>
      <c r="AJ220" s="243"/>
      <c r="AK220" s="656"/>
      <c r="AL220" s="656"/>
      <c r="AM220" s="656"/>
      <c r="AN220" s="656"/>
      <c r="AO220" s="243"/>
      <c r="AP220" s="402"/>
      <c r="AQ220" s="656"/>
      <c r="AR220" s="656"/>
      <c r="AS220" s="656"/>
      <c r="AT220" s="981"/>
      <c r="AU220" s="656"/>
      <c r="AV220" s="656"/>
      <c r="AW220" s="656"/>
      <c r="AX220" s="656"/>
      <c r="AY220" s="656"/>
      <c r="AZ220" s="402"/>
      <c r="BA220" s="402"/>
      <c r="BB220" s="402"/>
      <c r="BC220" s="981"/>
      <c r="BD220" s="1056"/>
      <c r="BE220" s="656"/>
      <c r="BF220" s="656"/>
      <c r="BG220" s="656"/>
      <c r="BH220" s="656"/>
      <c r="BI220" s="656"/>
      <c r="BJ220" s="656"/>
      <c r="BK220" s="656"/>
      <c r="BL220" s="656"/>
      <c r="BM220" s="656"/>
      <c r="BN220" s="656"/>
      <c r="BO220" s="656"/>
      <c r="BP220" s="656"/>
      <c r="BQ220" s="656"/>
      <c r="BR220" s="243"/>
      <c r="BS220" s="243"/>
      <c r="BT220" s="243"/>
      <c r="BU220" s="243"/>
      <c r="BV220" s="243"/>
      <c r="BW220" s="243"/>
      <c r="BX220" s="981"/>
      <c r="BY220" s="981"/>
      <c r="BZ220" s="981"/>
      <c r="CA220" s="656"/>
      <c r="CB220" s="656"/>
      <c r="CC220" s="656"/>
      <c r="CD220" s="656"/>
      <c r="CE220" s="656"/>
      <c r="CF220" s="656"/>
      <c r="CG220" s="1283"/>
    </row>
    <row r="221" spans="1:85" ht="13.2">
      <c r="A221" s="155">
        <v>45133</v>
      </c>
      <c r="B221" s="243"/>
      <c r="C221" s="243"/>
      <c r="D221" s="243"/>
      <c r="E221" s="1271"/>
      <c r="F221" s="981"/>
      <c r="G221" s="981"/>
      <c r="H221" s="981"/>
      <c r="I221" s="981"/>
      <c r="J221" s="981"/>
      <c r="K221" s="981"/>
      <c r="L221" s="981"/>
      <c r="M221" s="243"/>
      <c r="N221" s="243"/>
      <c r="O221" s="981"/>
      <c r="P221" s="981"/>
      <c r="Q221" s="981"/>
      <c r="R221" s="981"/>
      <c r="S221" s="981"/>
      <c r="T221" s="981"/>
      <c r="U221" s="243"/>
      <c r="V221" s="243"/>
      <c r="W221" s="981"/>
      <c r="X221" s="981"/>
      <c r="Y221" s="981"/>
      <c r="Z221" s="243"/>
      <c r="AA221" s="243"/>
      <c r="AB221" s="981"/>
      <c r="AC221" s="981"/>
      <c r="AD221" s="981"/>
      <c r="AE221" s="243"/>
      <c r="AF221" s="244"/>
      <c r="AG221" s="981"/>
      <c r="AH221" s="981"/>
      <c r="AI221" s="981"/>
      <c r="AJ221" s="981"/>
      <c r="AK221" s="981"/>
      <c r="AL221" s="981"/>
      <c r="AM221" s="981"/>
      <c r="AN221" s="981"/>
      <c r="AO221" s="243"/>
      <c r="AP221" s="402"/>
      <c r="AQ221" s="981"/>
      <c r="AR221" s="981"/>
      <c r="AS221" s="981"/>
      <c r="AT221" s="981"/>
      <c r="AU221" s="981"/>
      <c r="AV221" s="981"/>
      <c r="AW221" s="981"/>
      <c r="AX221" s="981"/>
      <c r="AY221" s="981"/>
      <c r="AZ221" s="402"/>
      <c r="BA221" s="402"/>
      <c r="BB221" s="402"/>
      <c r="BC221" s="981"/>
      <c r="BD221" s="1056"/>
      <c r="BE221" s="981"/>
      <c r="BF221" s="981"/>
      <c r="BG221" s="981"/>
      <c r="BH221" s="981"/>
      <c r="BI221" s="981"/>
      <c r="BJ221" s="981"/>
      <c r="BK221" s="981"/>
      <c r="BL221" s="981"/>
      <c r="BM221" s="981"/>
      <c r="BN221" s="981"/>
      <c r="BO221" s="656"/>
      <c r="BP221" s="981"/>
      <c r="BQ221" s="981"/>
      <c r="BR221" s="981"/>
      <c r="BS221" s="981"/>
      <c r="BT221" s="981"/>
      <c r="BU221" s="243"/>
      <c r="BV221" s="243"/>
      <c r="BW221" s="243"/>
      <c r="BX221" s="981"/>
      <c r="BY221" s="981"/>
      <c r="BZ221" s="981"/>
      <c r="CA221" s="981"/>
      <c r="CB221" s="981"/>
      <c r="CC221" s="981"/>
      <c r="CD221" s="981"/>
      <c r="CE221" s="981"/>
      <c r="CF221" s="981"/>
      <c r="CG221" s="1380"/>
    </row>
    <row r="222" spans="1:85" ht="13.2">
      <c r="A222" s="155">
        <v>45134</v>
      </c>
      <c r="B222" s="243"/>
      <c r="C222" s="243"/>
      <c r="D222" s="243"/>
      <c r="E222" s="1276"/>
      <c r="F222" s="243"/>
      <c r="G222" s="243"/>
      <c r="H222" s="656"/>
      <c r="I222" s="656"/>
      <c r="J222" s="656"/>
      <c r="K222" s="402"/>
      <c r="L222" s="402"/>
      <c r="M222" s="243"/>
      <c r="N222" s="243"/>
      <c r="O222" s="656"/>
      <c r="P222" s="656"/>
      <c r="Q222" s="656"/>
      <c r="R222" s="656"/>
      <c r="S222" s="656"/>
      <c r="T222" s="656"/>
      <c r="U222" s="243"/>
      <c r="V222" s="243"/>
      <c r="W222" s="656"/>
      <c r="X222" s="656"/>
      <c r="Y222" s="656"/>
      <c r="Z222" s="243"/>
      <c r="AA222" s="243"/>
      <c r="AB222" s="656"/>
      <c r="AC222" s="656"/>
      <c r="AD222" s="656"/>
      <c r="AE222" s="243"/>
      <c r="AF222" s="244"/>
      <c r="AG222" s="243"/>
      <c r="AH222" s="243"/>
      <c r="AI222" s="402"/>
      <c r="AJ222" s="243"/>
      <c r="AK222" s="656"/>
      <c r="AL222" s="656"/>
      <c r="AM222" s="656"/>
      <c r="AN222" s="656"/>
      <c r="AO222" s="243"/>
      <c r="AP222" s="402"/>
      <c r="AQ222" s="656"/>
      <c r="AR222" s="656"/>
      <c r="AS222" s="656"/>
      <c r="AT222" s="981"/>
      <c r="AU222" s="656"/>
      <c r="AV222" s="656"/>
      <c r="AW222" s="656"/>
      <c r="AX222" s="656"/>
      <c r="AY222" s="656"/>
      <c r="AZ222" s="402"/>
      <c r="BA222" s="402"/>
      <c r="BB222" s="402"/>
      <c r="BC222" s="981"/>
      <c r="BD222" s="1056"/>
      <c r="BE222" s="656"/>
      <c r="BF222" s="656"/>
      <c r="BG222" s="656"/>
      <c r="BH222" s="656"/>
      <c r="BI222" s="656"/>
      <c r="BJ222" s="656"/>
      <c r="BK222" s="656"/>
      <c r="BL222" s="656"/>
      <c r="BM222" s="656"/>
      <c r="BN222" s="656"/>
      <c r="BO222" s="656"/>
      <c r="BP222" s="656"/>
      <c r="BQ222" s="656"/>
      <c r="BR222" s="243"/>
      <c r="BS222" s="243"/>
      <c r="BT222" s="243"/>
      <c r="BU222" s="243"/>
      <c r="BV222" s="243"/>
      <c r="BW222" s="243"/>
      <c r="BX222" s="981"/>
      <c r="BY222" s="981"/>
      <c r="BZ222" s="656"/>
      <c r="CA222" s="656"/>
      <c r="CB222" s="656"/>
      <c r="CC222" s="656"/>
      <c r="CD222" s="656"/>
      <c r="CE222" s="656"/>
      <c r="CF222" s="656"/>
      <c r="CG222" s="1283"/>
    </row>
    <row r="223" spans="1:85" ht="13.2">
      <c r="A223" s="155">
        <v>45135</v>
      </c>
      <c r="B223" s="243"/>
      <c r="C223" s="243"/>
      <c r="D223" s="243"/>
      <c r="E223" s="1276"/>
      <c r="F223" s="243"/>
      <c r="G223" s="243"/>
      <c r="H223" s="656"/>
      <c r="I223" s="656"/>
      <c r="J223" s="656"/>
      <c r="K223" s="402"/>
      <c r="L223" s="402"/>
      <c r="M223" s="243"/>
      <c r="N223" s="243"/>
      <c r="O223" s="656"/>
      <c r="P223" s="656"/>
      <c r="Q223" s="656"/>
      <c r="R223" s="656"/>
      <c r="S223" s="656"/>
      <c r="T223" s="656"/>
      <c r="U223" s="243"/>
      <c r="V223" s="243"/>
      <c r="W223" s="656"/>
      <c r="X223" s="656"/>
      <c r="Y223" s="656"/>
      <c r="Z223" s="243"/>
      <c r="AA223" s="243"/>
      <c r="AB223" s="656"/>
      <c r="AC223" s="656"/>
      <c r="AD223" s="656"/>
      <c r="AE223" s="243"/>
      <c r="AF223" s="244"/>
      <c r="AG223" s="243"/>
      <c r="AH223" s="243"/>
      <c r="AI223" s="402"/>
      <c r="AJ223" s="243"/>
      <c r="AK223" s="656"/>
      <c r="AL223" s="656"/>
      <c r="AM223" s="656"/>
      <c r="AN223" s="656"/>
      <c r="AO223" s="243"/>
      <c r="AP223" s="402"/>
      <c r="AQ223" s="656"/>
      <c r="AR223" s="656"/>
      <c r="AS223" s="656"/>
      <c r="AT223" s="981"/>
      <c r="AU223" s="656"/>
      <c r="AV223" s="656"/>
      <c r="AW223" s="656"/>
      <c r="AX223" s="656"/>
      <c r="AY223" s="656"/>
      <c r="AZ223" s="402"/>
      <c r="BA223" s="402"/>
      <c r="BB223" s="402"/>
      <c r="BC223" s="981"/>
      <c r="BD223" s="1056"/>
      <c r="BE223" s="656"/>
      <c r="BF223" s="656"/>
      <c r="BG223" s="656"/>
      <c r="BH223" s="656"/>
      <c r="BI223" s="981"/>
      <c r="BJ223" s="656"/>
      <c r="BK223" s="656"/>
      <c r="BL223" s="656"/>
      <c r="BM223" s="656"/>
      <c r="BN223" s="656"/>
      <c r="BO223" s="656"/>
      <c r="BP223" s="656"/>
      <c r="BQ223" s="656"/>
      <c r="BR223" s="243"/>
      <c r="BS223" s="243"/>
      <c r="BT223" s="243"/>
      <c r="BU223" s="243"/>
      <c r="BV223" s="243"/>
      <c r="BW223" s="243"/>
      <c r="BX223" s="981"/>
      <c r="BY223" s="981"/>
      <c r="BZ223" s="981"/>
      <c r="CA223" s="656"/>
      <c r="CB223" s="656"/>
      <c r="CC223" s="656"/>
      <c r="CD223" s="656"/>
      <c r="CE223" s="656"/>
      <c r="CF223" s="656"/>
      <c r="CG223" s="1283"/>
    </row>
    <row r="224" spans="1:85" ht="13.2">
      <c r="A224" s="155">
        <v>45136</v>
      </c>
      <c r="B224" s="243"/>
      <c r="C224" s="243"/>
      <c r="D224" s="243"/>
      <c r="E224" s="1276"/>
      <c r="F224" s="243"/>
      <c r="G224" s="243"/>
      <c r="H224" s="656"/>
      <c r="I224" s="656"/>
      <c r="J224" s="656"/>
      <c r="K224" s="402"/>
      <c r="L224" s="402"/>
      <c r="M224" s="243"/>
      <c r="N224" s="243"/>
      <c r="O224" s="656"/>
      <c r="P224" s="656"/>
      <c r="Q224" s="656"/>
      <c r="R224" s="656"/>
      <c r="S224" s="656"/>
      <c r="T224" s="656"/>
      <c r="U224" s="243"/>
      <c r="V224" s="243"/>
      <c r="W224" s="656"/>
      <c r="X224" s="656"/>
      <c r="Y224" s="656"/>
      <c r="Z224" s="243"/>
      <c r="AA224" s="243"/>
      <c r="AB224" s="656"/>
      <c r="AC224" s="656"/>
      <c r="AD224" s="656"/>
      <c r="AE224" s="243"/>
      <c r="AF224" s="244"/>
      <c r="AG224" s="243"/>
      <c r="AH224" s="243"/>
      <c r="AI224" s="402"/>
      <c r="AJ224" s="243"/>
      <c r="AK224" s="656"/>
      <c r="AL224" s="656"/>
      <c r="AM224" s="656"/>
      <c r="AN224" s="656"/>
      <c r="AO224" s="243"/>
      <c r="AP224" s="402"/>
      <c r="AQ224" s="656"/>
      <c r="AR224" s="656"/>
      <c r="AS224" s="656"/>
      <c r="AT224" s="981"/>
      <c r="AU224" s="656"/>
      <c r="AV224" s="656"/>
      <c r="AW224" s="656"/>
      <c r="AX224" s="656"/>
      <c r="AY224" s="656"/>
      <c r="AZ224" s="402"/>
      <c r="BA224" s="402"/>
      <c r="BB224" s="402"/>
      <c r="BC224" s="981"/>
      <c r="BD224" s="1056"/>
      <c r="BE224" s="656"/>
      <c r="BF224" s="656"/>
      <c r="BG224" s="656"/>
      <c r="BH224" s="656"/>
      <c r="BI224" s="981"/>
      <c r="BJ224" s="656"/>
      <c r="BK224" s="656"/>
      <c r="BL224" s="656"/>
      <c r="BM224" s="656"/>
      <c r="BN224" s="656"/>
      <c r="BO224" s="656"/>
      <c r="BP224" s="656"/>
      <c r="BQ224" s="656"/>
      <c r="BR224" s="243"/>
      <c r="BS224" s="243"/>
      <c r="BT224" s="243"/>
      <c r="BU224" s="243"/>
      <c r="BV224" s="243"/>
      <c r="BW224" s="243"/>
      <c r="BX224" s="981"/>
      <c r="BY224" s="981"/>
      <c r="BZ224" s="981"/>
      <c r="CA224" s="656"/>
      <c r="CB224" s="656"/>
      <c r="CC224" s="656"/>
      <c r="CD224" s="656"/>
      <c r="CE224" s="656"/>
      <c r="CF224" s="656"/>
      <c r="CG224" s="1283"/>
    </row>
    <row r="225" spans="1:85" ht="13.2">
      <c r="A225" s="155">
        <v>45137</v>
      </c>
      <c r="B225" s="243"/>
      <c r="C225" s="243"/>
      <c r="D225" s="243"/>
      <c r="E225" s="1276"/>
      <c r="F225" s="243"/>
      <c r="G225" s="243"/>
      <c r="H225" s="656"/>
      <c r="I225" s="656"/>
      <c r="J225" s="656"/>
      <c r="K225" s="402"/>
      <c r="L225" s="402"/>
      <c r="M225" s="243"/>
      <c r="N225" s="243"/>
      <c r="O225" s="656"/>
      <c r="P225" s="656"/>
      <c r="Q225" s="656"/>
      <c r="R225" s="656"/>
      <c r="S225" s="656"/>
      <c r="T225" s="656"/>
      <c r="U225" s="243"/>
      <c r="V225" s="243"/>
      <c r="W225" s="656"/>
      <c r="X225" s="656"/>
      <c r="Y225" s="656"/>
      <c r="Z225" s="243"/>
      <c r="AA225" s="243"/>
      <c r="AB225" s="656"/>
      <c r="AC225" s="656"/>
      <c r="AD225" s="656"/>
      <c r="AE225" s="243"/>
      <c r="AF225" s="244"/>
      <c r="AG225" s="243"/>
      <c r="AH225" s="243"/>
      <c r="AI225" s="402"/>
      <c r="AJ225" s="243"/>
      <c r="AK225" s="656"/>
      <c r="AL225" s="656"/>
      <c r="AM225" s="656"/>
      <c r="AN225" s="656"/>
      <c r="AO225" s="243"/>
      <c r="AP225" s="402"/>
      <c r="AQ225" s="656"/>
      <c r="AR225" s="656"/>
      <c r="AS225" s="656"/>
      <c r="AT225" s="981"/>
      <c r="AU225" s="656"/>
      <c r="AV225" s="656"/>
      <c r="AW225" s="656"/>
      <c r="AX225" s="656"/>
      <c r="AY225" s="656"/>
      <c r="AZ225" s="402"/>
      <c r="BA225" s="402"/>
      <c r="BB225" s="402"/>
      <c r="BC225" s="981"/>
      <c r="BD225" s="1056"/>
      <c r="BE225" s="656"/>
      <c r="BF225" s="656"/>
      <c r="BG225" s="656"/>
      <c r="BH225" s="656"/>
      <c r="BI225" s="981"/>
      <c r="BJ225" s="656"/>
      <c r="BK225" s="656"/>
      <c r="BL225" s="656"/>
      <c r="BM225" s="656"/>
      <c r="BN225" s="656"/>
      <c r="BO225" s="656"/>
      <c r="BP225" s="656"/>
      <c r="BQ225" s="656"/>
      <c r="BR225" s="243"/>
      <c r="BS225" s="243"/>
      <c r="BT225" s="243"/>
      <c r="BU225" s="243"/>
      <c r="BV225" s="243"/>
      <c r="BW225" s="243"/>
      <c r="BX225" s="981"/>
      <c r="BY225" s="981"/>
      <c r="BZ225" s="981"/>
      <c r="CA225" s="656"/>
      <c r="CB225" s="656"/>
      <c r="CC225" s="656"/>
      <c r="CD225" s="656"/>
      <c r="CE225" s="656"/>
      <c r="CF225" s="656"/>
      <c r="CG225" s="1283"/>
    </row>
    <row r="226" spans="1:85" ht="13.2">
      <c r="A226" s="155">
        <v>45138</v>
      </c>
      <c r="B226" s="243"/>
      <c r="C226" s="243"/>
      <c r="D226" s="243"/>
      <c r="E226" s="1276"/>
      <c r="F226" s="243"/>
      <c r="G226" s="243"/>
      <c r="H226" s="656"/>
      <c r="I226" s="656"/>
      <c r="J226" s="656"/>
      <c r="K226" s="402"/>
      <c r="L226" s="402"/>
      <c r="M226" s="243"/>
      <c r="N226" s="243"/>
      <c r="O226" s="656"/>
      <c r="P226" s="656"/>
      <c r="Q226" s="656"/>
      <c r="R226" s="656"/>
      <c r="S226" s="656"/>
      <c r="T226" s="656"/>
      <c r="U226" s="243"/>
      <c r="V226" s="243"/>
      <c r="W226" s="656"/>
      <c r="X226" s="656"/>
      <c r="Y226" s="656"/>
      <c r="Z226" s="243"/>
      <c r="AA226" s="243"/>
      <c r="AB226" s="656"/>
      <c r="AC226" s="656"/>
      <c r="AD226" s="656"/>
      <c r="AE226" s="243"/>
      <c r="AF226" s="244"/>
      <c r="AG226" s="243"/>
      <c r="AH226" s="243"/>
      <c r="AI226" s="402"/>
      <c r="AJ226" s="243"/>
      <c r="AK226" s="656"/>
      <c r="AL226" s="656"/>
      <c r="AM226" s="656"/>
      <c r="AN226" s="656"/>
      <c r="AO226" s="243"/>
      <c r="AP226" s="402"/>
      <c r="AQ226" s="656"/>
      <c r="AR226" s="656"/>
      <c r="AS226" s="656"/>
      <c r="AT226" s="981"/>
      <c r="AU226" s="656"/>
      <c r="AV226" s="656"/>
      <c r="AW226" s="656"/>
      <c r="AX226" s="656"/>
      <c r="AY226" s="656"/>
      <c r="AZ226" s="402"/>
      <c r="BA226" s="402"/>
      <c r="BB226" s="402"/>
      <c r="BC226" s="981"/>
      <c r="BD226" s="1056"/>
      <c r="BE226" s="656"/>
      <c r="BF226" s="656"/>
      <c r="BG226" s="656"/>
      <c r="BH226" s="656"/>
      <c r="BI226" s="981"/>
      <c r="BJ226" s="656"/>
      <c r="BK226" s="656"/>
      <c r="BL226" s="656"/>
      <c r="BM226" s="656"/>
      <c r="BN226" s="656"/>
      <c r="BO226" s="656"/>
      <c r="BP226" s="656"/>
      <c r="BQ226" s="656"/>
      <c r="BR226" s="243"/>
      <c r="BS226" s="243"/>
      <c r="BT226" s="243"/>
      <c r="BU226" s="243"/>
      <c r="BV226" s="243"/>
      <c r="BW226" s="243"/>
      <c r="BX226" s="981"/>
      <c r="BY226" s="981"/>
      <c r="BZ226" s="981"/>
      <c r="CA226" s="656"/>
      <c r="CB226" s="656"/>
      <c r="CC226" s="656"/>
      <c r="CD226" s="656"/>
      <c r="CE226" s="656"/>
      <c r="CF226" s="656"/>
      <c r="CG226" s="1283"/>
    </row>
    <row r="227" spans="1:85" ht="13.2">
      <c r="A227" s="177"/>
      <c r="B227" s="181"/>
      <c r="C227" s="181"/>
      <c r="D227" s="181"/>
      <c r="E227" s="1364"/>
      <c r="F227" s="181"/>
      <c r="G227" s="181"/>
      <c r="H227" s="181"/>
      <c r="I227" s="181"/>
      <c r="J227" s="181"/>
      <c r="K227" s="181"/>
      <c r="L227" s="181"/>
      <c r="M227" s="181"/>
      <c r="N227" s="181"/>
      <c r="O227" s="181"/>
      <c r="P227" s="181"/>
      <c r="Q227" s="181"/>
      <c r="R227" s="181"/>
      <c r="S227" s="181"/>
      <c r="T227" s="181"/>
      <c r="U227" s="181"/>
      <c r="V227" s="181"/>
      <c r="W227" s="181"/>
      <c r="X227" s="181"/>
      <c r="Y227" s="181"/>
      <c r="Z227" s="181"/>
      <c r="AA227" s="181"/>
      <c r="AB227" s="181"/>
      <c r="AC227" s="181"/>
      <c r="AD227" s="181"/>
      <c r="AE227" s="181"/>
      <c r="AF227" s="181"/>
      <c r="AG227" s="181"/>
      <c r="AH227" s="181"/>
      <c r="AI227" s="181"/>
      <c r="AJ227" s="181"/>
      <c r="AK227" s="181"/>
      <c r="AL227" s="181"/>
      <c r="AM227" s="181"/>
      <c r="AN227" s="181"/>
      <c r="AO227" s="181"/>
      <c r="AP227" s="181"/>
      <c r="AQ227" s="181"/>
      <c r="AR227" s="181"/>
      <c r="AS227" s="181"/>
      <c r="AT227" s="181"/>
      <c r="AU227" s="181"/>
      <c r="AV227" s="181"/>
      <c r="AW227" s="181"/>
      <c r="AX227" s="181"/>
      <c r="AY227" s="181"/>
      <c r="AZ227" s="181"/>
      <c r="BA227" s="181"/>
      <c r="BB227" s="181"/>
      <c r="BC227" s="181"/>
      <c r="BD227" s="1746"/>
      <c r="BE227" s="181"/>
      <c r="BF227" s="181"/>
      <c r="BG227" s="181"/>
      <c r="BH227" s="181"/>
      <c r="BI227" s="181"/>
      <c r="BJ227" s="181"/>
      <c r="BK227" s="181"/>
      <c r="BL227" s="181"/>
      <c r="BM227" s="181"/>
      <c r="BN227" s="181"/>
      <c r="BO227" s="181"/>
      <c r="BP227" s="181"/>
      <c r="BQ227" s="181"/>
      <c r="BR227" s="181"/>
      <c r="BS227" s="181"/>
      <c r="BT227" s="181"/>
      <c r="BU227" s="181"/>
      <c r="BV227" s="181"/>
      <c r="BW227" s="181"/>
      <c r="BX227" s="181"/>
      <c r="BY227" s="181"/>
      <c r="BZ227" s="181"/>
      <c r="CA227" s="181"/>
      <c r="CB227" s="181"/>
      <c r="CC227" s="181"/>
      <c r="CD227" s="181"/>
      <c r="CE227" s="181"/>
      <c r="CF227" s="181"/>
      <c r="CG227" s="1372"/>
    </row>
    <row r="228" spans="1:85" ht="13.2">
      <c r="A228" s="155">
        <v>45138</v>
      </c>
      <c r="B228" s="243"/>
      <c r="C228" s="243"/>
      <c r="D228" s="243"/>
      <c r="E228" s="1276"/>
      <c r="F228" s="243"/>
      <c r="G228" s="243"/>
      <c r="H228" s="656"/>
      <c r="I228" s="656"/>
      <c r="J228" s="656"/>
      <c r="K228" s="402"/>
      <c r="L228" s="402"/>
      <c r="M228" s="243"/>
      <c r="N228" s="243"/>
      <c r="O228" s="656"/>
      <c r="P228" s="656"/>
      <c r="Q228" s="656"/>
      <c r="R228" s="656"/>
      <c r="S228" s="656"/>
      <c r="T228" s="656"/>
      <c r="U228" s="243"/>
      <c r="V228" s="243"/>
      <c r="W228" s="656"/>
      <c r="X228" s="656"/>
      <c r="Y228" s="656"/>
      <c r="Z228" s="243"/>
      <c r="AA228" s="243"/>
      <c r="AB228" s="656"/>
      <c r="AC228" s="656"/>
      <c r="AD228" s="656"/>
      <c r="AE228" s="243"/>
      <c r="AF228" s="244"/>
      <c r="AG228" s="243"/>
      <c r="AH228" s="243"/>
      <c r="AI228" s="402"/>
      <c r="AJ228" s="243"/>
      <c r="AK228" s="656"/>
      <c r="AL228" s="656"/>
      <c r="AM228" s="656"/>
      <c r="AN228" s="656"/>
      <c r="AO228" s="243"/>
      <c r="AP228" s="402"/>
      <c r="AQ228" s="656"/>
      <c r="AR228" s="656"/>
      <c r="AS228" s="656"/>
      <c r="AT228" s="981"/>
      <c r="AU228" s="656"/>
      <c r="AV228" s="656"/>
      <c r="AW228" s="656"/>
      <c r="AX228" s="656"/>
      <c r="AY228" s="656"/>
      <c r="AZ228" s="402"/>
      <c r="BA228" s="402"/>
      <c r="BB228" s="402"/>
      <c r="BC228" s="981"/>
      <c r="BD228" s="1056"/>
      <c r="BE228" s="656"/>
      <c r="BF228" s="656"/>
      <c r="BG228" s="656"/>
      <c r="BH228" s="656"/>
      <c r="BI228" s="981"/>
      <c r="BJ228" s="656"/>
      <c r="BK228" s="656"/>
      <c r="BL228" s="656"/>
      <c r="BM228" s="656"/>
      <c r="BN228" s="656"/>
      <c r="BO228" s="656"/>
      <c r="BP228" s="656"/>
      <c r="BQ228" s="656"/>
      <c r="BR228" s="243"/>
      <c r="BS228" s="243"/>
      <c r="BT228" s="243"/>
      <c r="BU228" s="243"/>
      <c r="BV228" s="243"/>
      <c r="BW228" s="243"/>
      <c r="BX228" s="981"/>
      <c r="BY228" s="981"/>
      <c r="BZ228" s="981"/>
      <c r="CA228" s="656"/>
      <c r="CB228" s="656"/>
      <c r="CC228" s="656"/>
      <c r="CD228" s="656"/>
      <c r="CE228" s="656"/>
      <c r="CF228" s="656"/>
      <c r="CG228" s="1283"/>
    </row>
    <row r="229" spans="1:85" ht="13.2">
      <c r="A229" s="155">
        <v>45139</v>
      </c>
      <c r="B229" s="243"/>
      <c r="C229" s="243"/>
      <c r="D229" s="243"/>
      <c r="E229" s="1276"/>
      <c r="F229" s="243"/>
      <c r="G229" s="243"/>
      <c r="H229" s="656"/>
      <c r="I229" s="656"/>
      <c r="J229" s="656"/>
      <c r="K229" s="402"/>
      <c r="L229" s="402"/>
      <c r="M229" s="243"/>
      <c r="N229" s="243"/>
      <c r="O229" s="656"/>
      <c r="P229" s="656"/>
      <c r="Q229" s="656"/>
      <c r="R229" s="656"/>
      <c r="S229" s="656"/>
      <c r="T229" s="656"/>
      <c r="U229" s="243"/>
      <c r="V229" s="243"/>
      <c r="W229" s="656"/>
      <c r="X229" s="656"/>
      <c r="Y229" s="656"/>
      <c r="Z229" s="243"/>
      <c r="AA229" s="243"/>
      <c r="AB229" s="656"/>
      <c r="AC229" s="656"/>
      <c r="AD229" s="656"/>
      <c r="AE229" s="243"/>
      <c r="AF229" s="244"/>
      <c r="AG229" s="243"/>
      <c r="AH229" s="243"/>
      <c r="AI229" s="402"/>
      <c r="AJ229" s="243"/>
      <c r="AK229" s="656"/>
      <c r="AL229" s="656"/>
      <c r="AM229" s="656"/>
      <c r="AN229" s="656"/>
      <c r="AO229" s="243"/>
      <c r="AP229" s="402"/>
      <c r="AQ229" s="656"/>
      <c r="AR229" s="656"/>
      <c r="AS229" s="656"/>
      <c r="AT229" s="981"/>
      <c r="AU229" s="656"/>
      <c r="AV229" s="656"/>
      <c r="AW229" s="656"/>
      <c r="AX229" s="656"/>
      <c r="AY229" s="656"/>
      <c r="AZ229" s="656"/>
      <c r="BA229" s="656"/>
      <c r="BB229" s="402"/>
      <c r="BC229" s="981"/>
      <c r="BD229" s="1056"/>
      <c r="BE229" s="656"/>
      <c r="BF229" s="656"/>
      <c r="BG229" s="656"/>
      <c r="BH229" s="656"/>
      <c r="BI229" s="981"/>
      <c r="BJ229" s="656"/>
      <c r="BK229" s="656"/>
      <c r="BL229" s="656"/>
      <c r="BM229" s="656"/>
      <c r="BN229" s="656"/>
      <c r="BO229" s="656"/>
      <c r="BP229" s="656"/>
      <c r="BQ229" s="656"/>
      <c r="BR229" s="243"/>
      <c r="BS229" s="243"/>
      <c r="BT229" s="243"/>
      <c r="BU229" s="243"/>
      <c r="BV229" s="243"/>
      <c r="BW229" s="243"/>
      <c r="BX229" s="656"/>
      <c r="BY229" s="656"/>
      <c r="BZ229" s="656"/>
      <c r="CA229" s="656"/>
      <c r="CB229" s="656"/>
      <c r="CC229" s="656"/>
      <c r="CD229" s="656"/>
      <c r="CE229" s="656"/>
      <c r="CF229" s="656"/>
      <c r="CG229" s="1283"/>
    </row>
    <row r="230" spans="1:85" ht="13.2">
      <c r="A230" s="155">
        <v>45140</v>
      </c>
      <c r="B230" s="243"/>
      <c r="C230" s="243"/>
      <c r="D230" s="243"/>
      <c r="E230" s="1276"/>
      <c r="F230" s="243"/>
      <c r="G230" s="243"/>
      <c r="H230" s="656"/>
      <c r="I230" s="656"/>
      <c r="J230" s="656"/>
      <c r="K230" s="402"/>
      <c r="L230" s="402"/>
      <c r="M230" s="243"/>
      <c r="N230" s="243"/>
      <c r="O230" s="656"/>
      <c r="P230" s="656"/>
      <c r="Q230" s="656"/>
      <c r="R230" s="656"/>
      <c r="S230" s="656"/>
      <c r="T230" s="657"/>
      <c r="U230" s="243"/>
      <c r="V230" s="243"/>
      <c r="W230" s="656"/>
      <c r="X230" s="656"/>
      <c r="Y230" s="656"/>
      <c r="Z230" s="243"/>
      <c r="AA230" s="243"/>
      <c r="AB230" s="656"/>
      <c r="AC230" s="656"/>
      <c r="AD230" s="656"/>
      <c r="AE230" s="243"/>
      <c r="AF230" s="244"/>
      <c r="AG230" s="243"/>
      <c r="AH230" s="243"/>
      <c r="AI230" s="402"/>
      <c r="AJ230" s="243"/>
      <c r="AK230" s="656"/>
      <c r="AL230" s="656"/>
      <c r="AM230" s="656"/>
      <c r="AN230" s="656"/>
      <c r="AO230" s="243"/>
      <c r="AP230" s="402"/>
      <c r="AQ230" s="656"/>
      <c r="AR230" s="656"/>
      <c r="AS230" s="656"/>
      <c r="AT230" s="981"/>
      <c r="AU230" s="656"/>
      <c r="AV230" s="656"/>
      <c r="AW230" s="656"/>
      <c r="AX230" s="656"/>
      <c r="AY230" s="656"/>
      <c r="AZ230" s="656"/>
      <c r="BA230" s="656"/>
      <c r="BB230" s="402"/>
      <c r="BC230" s="981"/>
      <c r="BD230" s="1056"/>
      <c r="BE230" s="656"/>
      <c r="BF230" s="656"/>
      <c r="BG230" s="656"/>
      <c r="BH230" s="656"/>
      <c r="BI230" s="981"/>
      <c r="BJ230" s="656"/>
      <c r="BK230" s="656"/>
      <c r="BL230" s="656"/>
      <c r="BM230" s="656"/>
      <c r="BN230" s="656"/>
      <c r="BO230" s="243"/>
      <c r="BP230" s="243"/>
      <c r="BQ230" s="243"/>
      <c r="BR230" s="243"/>
      <c r="BS230" s="243"/>
      <c r="BT230" s="243"/>
      <c r="BU230" s="243"/>
      <c r="BV230" s="243"/>
      <c r="BW230" s="243"/>
      <c r="BX230" s="656"/>
      <c r="BY230" s="656"/>
      <c r="BZ230" s="656"/>
      <c r="CA230" s="243"/>
      <c r="CB230" s="243"/>
      <c r="CC230" s="243"/>
      <c r="CD230" s="243"/>
      <c r="CE230" s="243"/>
      <c r="CF230" s="243"/>
      <c r="CG230" s="1283"/>
    </row>
    <row r="231" spans="1:85" ht="13.2">
      <c r="A231" s="155">
        <v>45141</v>
      </c>
      <c r="B231" s="243"/>
      <c r="C231" s="243"/>
      <c r="D231" s="243"/>
      <c r="E231" s="1276"/>
      <c r="F231" s="243"/>
      <c r="G231" s="243"/>
      <c r="H231" s="656"/>
      <c r="I231" s="656"/>
      <c r="J231" s="656"/>
      <c r="K231" s="402"/>
      <c r="L231" s="402"/>
      <c r="M231" s="243"/>
      <c r="N231" s="243"/>
      <c r="O231" s="656"/>
      <c r="P231" s="656"/>
      <c r="Q231" s="656"/>
      <c r="R231" s="656"/>
      <c r="S231" s="656"/>
      <c r="T231" s="656"/>
      <c r="U231" s="243"/>
      <c r="V231" s="243"/>
      <c r="W231" s="656"/>
      <c r="X231" s="656"/>
      <c r="Y231" s="656"/>
      <c r="Z231" s="243"/>
      <c r="AA231" s="243"/>
      <c r="AB231" s="656"/>
      <c r="AC231" s="656"/>
      <c r="AD231" s="656"/>
      <c r="AE231" s="243"/>
      <c r="AF231" s="244"/>
      <c r="AG231" s="243"/>
      <c r="AH231" s="243"/>
      <c r="AI231" s="402"/>
      <c r="AJ231" s="243"/>
      <c r="AK231" s="656"/>
      <c r="AL231" s="656"/>
      <c r="AM231" s="656"/>
      <c r="AN231" s="656"/>
      <c r="AO231" s="243"/>
      <c r="AP231" s="402"/>
      <c r="AQ231" s="656"/>
      <c r="AR231" s="656"/>
      <c r="AS231" s="656"/>
      <c r="AT231" s="981"/>
      <c r="AU231" s="656"/>
      <c r="AV231" s="656"/>
      <c r="AW231" s="656"/>
      <c r="AX231" s="656"/>
      <c r="AY231" s="656"/>
      <c r="AZ231" s="656"/>
      <c r="BA231" s="656"/>
      <c r="BB231" s="402"/>
      <c r="BC231" s="981"/>
      <c r="BD231" s="1056"/>
      <c r="BE231" s="656"/>
      <c r="BF231" s="656"/>
      <c r="BG231" s="656"/>
      <c r="BH231" s="656"/>
      <c r="BI231" s="656"/>
      <c r="BJ231" s="656"/>
      <c r="BK231" s="656"/>
      <c r="BL231" s="656"/>
      <c r="BM231" s="656"/>
      <c r="BN231" s="656"/>
      <c r="BO231" s="243"/>
      <c r="BP231" s="243"/>
      <c r="BQ231" s="243"/>
      <c r="BR231" s="243"/>
      <c r="BS231" s="243"/>
      <c r="BT231" s="243"/>
      <c r="BU231" s="243"/>
      <c r="BV231" s="243"/>
      <c r="BW231" s="243"/>
      <c r="BX231" s="656"/>
      <c r="BY231" s="656"/>
      <c r="BZ231" s="656"/>
      <c r="CA231" s="243"/>
      <c r="CB231" s="243"/>
      <c r="CC231" s="243"/>
      <c r="CD231" s="243"/>
      <c r="CE231" s="243"/>
      <c r="CF231" s="243"/>
      <c r="CG231" s="1283"/>
    </row>
    <row r="232" spans="1:85" ht="13.2">
      <c r="A232" s="155">
        <v>45142</v>
      </c>
      <c r="B232" s="243"/>
      <c r="C232" s="243"/>
      <c r="D232" s="243"/>
      <c r="E232" s="1276"/>
      <c r="F232" s="243"/>
      <c r="G232" s="243"/>
      <c r="H232" s="656"/>
      <c r="I232" s="656"/>
      <c r="J232" s="656"/>
      <c r="K232" s="402"/>
      <c r="L232" s="402"/>
      <c r="M232" s="243"/>
      <c r="N232" s="243"/>
      <c r="O232" s="656"/>
      <c r="P232" s="656"/>
      <c r="Q232" s="656"/>
      <c r="R232" s="656"/>
      <c r="S232" s="656"/>
      <c r="T232" s="656"/>
      <c r="U232" s="243"/>
      <c r="V232" s="243"/>
      <c r="W232" s="656"/>
      <c r="X232" s="656"/>
      <c r="Y232" s="656"/>
      <c r="Z232" s="243"/>
      <c r="AA232" s="243"/>
      <c r="AB232" s="656"/>
      <c r="AC232" s="656"/>
      <c r="AD232" s="656"/>
      <c r="AE232" s="243"/>
      <c r="AF232" s="244"/>
      <c r="AG232" s="243"/>
      <c r="AH232" s="243"/>
      <c r="AI232" s="402"/>
      <c r="AJ232" s="243"/>
      <c r="AK232" s="656"/>
      <c r="AL232" s="656"/>
      <c r="AM232" s="656"/>
      <c r="AN232" s="656"/>
      <c r="AO232" s="243"/>
      <c r="AP232" s="402"/>
      <c r="AQ232" s="656"/>
      <c r="AR232" s="656"/>
      <c r="AS232" s="402"/>
      <c r="AT232" s="981"/>
      <c r="AU232" s="656"/>
      <c r="AV232" s="656"/>
      <c r="AW232" s="656"/>
      <c r="AX232" s="656"/>
      <c r="AY232" s="656"/>
      <c r="AZ232" s="656"/>
      <c r="BA232" s="656"/>
      <c r="BB232" s="402"/>
      <c r="BC232" s="981"/>
      <c r="BD232" s="1056"/>
      <c r="BE232" s="656"/>
      <c r="BF232" s="656"/>
      <c r="BG232" s="656"/>
      <c r="BH232" s="656"/>
      <c r="BI232" s="656"/>
      <c r="BJ232" s="656"/>
      <c r="BK232" s="656"/>
      <c r="BL232" s="656"/>
      <c r="BM232" s="656"/>
      <c r="BN232" s="656"/>
      <c r="BO232" s="243"/>
      <c r="BP232" s="243"/>
      <c r="BQ232" s="243"/>
      <c r="BR232" s="243"/>
      <c r="BS232" s="243"/>
      <c r="BT232" s="243"/>
      <c r="BU232" s="243"/>
      <c r="BV232" s="243"/>
      <c r="BW232" s="243"/>
      <c r="BX232" s="656"/>
      <c r="BY232" s="656"/>
      <c r="BZ232" s="656"/>
      <c r="CA232" s="243"/>
      <c r="CB232" s="243"/>
      <c r="CC232" s="243"/>
      <c r="CD232" s="243"/>
      <c r="CE232" s="243"/>
      <c r="CF232" s="243"/>
      <c r="CG232" s="1283"/>
    </row>
    <row r="233" spans="1:85" ht="13.2">
      <c r="A233" s="155">
        <v>45143</v>
      </c>
      <c r="B233" s="243"/>
      <c r="C233" s="243"/>
      <c r="D233" s="243"/>
      <c r="E233" s="1276"/>
      <c r="F233" s="243"/>
      <c r="G233" s="243"/>
      <c r="H233" s="656"/>
      <c r="I233" s="656"/>
      <c r="J233" s="656"/>
      <c r="K233" s="402"/>
      <c r="L233" s="402"/>
      <c r="M233" s="243"/>
      <c r="N233" s="243"/>
      <c r="O233" s="656"/>
      <c r="P233" s="656"/>
      <c r="Q233" s="656"/>
      <c r="R233" s="656"/>
      <c r="S233" s="656"/>
      <c r="T233" s="656"/>
      <c r="U233" s="243"/>
      <c r="V233" s="243"/>
      <c r="W233" s="656"/>
      <c r="X233" s="656"/>
      <c r="Y233" s="656"/>
      <c r="Z233" s="243"/>
      <c r="AA233" s="243"/>
      <c r="AB233" s="656"/>
      <c r="AC233" s="656"/>
      <c r="AD233" s="656"/>
      <c r="AE233" s="243"/>
      <c r="AF233" s="244"/>
      <c r="AG233" s="243"/>
      <c r="AH233" s="243"/>
      <c r="AI233" s="402"/>
      <c r="AJ233" s="243"/>
      <c r="AK233" s="656"/>
      <c r="AL233" s="656"/>
      <c r="AM233" s="656"/>
      <c r="AN233" s="656"/>
      <c r="AO233" s="243"/>
      <c r="AP233" s="402"/>
      <c r="AQ233" s="656"/>
      <c r="AR233" s="656"/>
      <c r="AS233" s="656"/>
      <c r="AT233" s="981"/>
      <c r="AU233" s="656"/>
      <c r="AV233" s="656"/>
      <c r="AW233" s="656"/>
      <c r="AX233" s="656"/>
      <c r="AY233" s="656"/>
      <c r="AZ233" s="656"/>
      <c r="BA233" s="656"/>
      <c r="BB233" s="402"/>
      <c r="BC233" s="981"/>
      <c r="BD233" s="1056"/>
      <c r="BE233" s="656"/>
      <c r="BF233" s="656"/>
      <c r="BG233" s="656"/>
      <c r="BH233" s="656"/>
      <c r="BI233" s="656"/>
      <c r="BJ233" s="656"/>
      <c r="BK233" s="656"/>
      <c r="BL233" s="656"/>
      <c r="BM233" s="656"/>
      <c r="BN233" s="656"/>
      <c r="BO233" s="243"/>
      <c r="BP233" s="243"/>
      <c r="BQ233" s="243"/>
      <c r="BR233" s="243"/>
      <c r="BS233" s="243"/>
      <c r="BT233" s="243"/>
      <c r="BU233" s="243"/>
      <c r="BV233" s="243"/>
      <c r="BW233" s="243"/>
      <c r="BX233" s="656"/>
      <c r="BY233" s="656"/>
      <c r="BZ233" s="656"/>
      <c r="CA233" s="243"/>
      <c r="CB233" s="243"/>
      <c r="CC233" s="243"/>
      <c r="CD233" s="243"/>
      <c r="CE233" s="243"/>
      <c r="CF233" s="243"/>
      <c r="CG233" s="1283"/>
    </row>
    <row r="234" spans="1:85" ht="13.2">
      <c r="A234" s="155">
        <v>45144</v>
      </c>
      <c r="B234" s="243"/>
      <c r="C234" s="243"/>
      <c r="D234" s="243"/>
      <c r="E234" s="1276"/>
      <c r="F234" s="243"/>
      <c r="G234" s="243"/>
      <c r="H234" s="243"/>
      <c r="I234" s="243"/>
      <c r="J234" s="243"/>
      <c r="K234" s="402"/>
      <c r="L234" s="402"/>
      <c r="M234" s="243"/>
      <c r="N234" s="243"/>
      <c r="O234" s="243"/>
      <c r="P234" s="243"/>
      <c r="Q234" s="243"/>
      <c r="R234" s="243"/>
      <c r="S234" s="243"/>
      <c r="T234" s="243"/>
      <c r="U234" s="243"/>
      <c r="V234" s="243"/>
      <c r="W234" s="243"/>
      <c r="X234" s="243"/>
      <c r="Y234" s="243"/>
      <c r="Z234" s="243"/>
      <c r="AA234" s="243"/>
      <c r="AB234" s="243"/>
      <c r="AC234" s="243"/>
      <c r="AD234" s="243"/>
      <c r="AE234" s="243"/>
      <c r="AF234" s="244"/>
      <c r="AG234" s="243"/>
      <c r="AH234" s="243"/>
      <c r="AI234" s="402"/>
      <c r="AJ234" s="243"/>
      <c r="AK234" s="243"/>
      <c r="AL234" s="243"/>
      <c r="AM234" s="243"/>
      <c r="AN234" s="243"/>
      <c r="AO234" s="402"/>
      <c r="AP234" s="402"/>
      <c r="AQ234" s="243"/>
      <c r="AR234" s="243"/>
      <c r="AS234" s="402"/>
      <c r="AT234" s="981"/>
      <c r="AU234" s="243"/>
      <c r="AV234" s="243"/>
      <c r="AW234" s="656"/>
      <c r="AX234" s="656"/>
      <c r="AY234" s="656"/>
      <c r="AZ234" s="656"/>
      <c r="BA234" s="656"/>
      <c r="BB234" s="402"/>
      <c r="BC234" s="981"/>
      <c r="BD234" s="1056"/>
      <c r="BE234" s="656"/>
      <c r="BF234" s="656"/>
      <c r="BG234" s="656"/>
      <c r="BH234" s="656"/>
      <c r="BI234" s="656"/>
      <c r="BJ234" s="656"/>
      <c r="BK234" s="656"/>
      <c r="BL234" s="656"/>
      <c r="BM234" s="656"/>
      <c r="BN234" s="656"/>
      <c r="BO234" s="243"/>
      <c r="BP234" s="243"/>
      <c r="BQ234" s="243"/>
      <c r="BR234" s="243"/>
      <c r="BS234" s="243"/>
      <c r="BT234" s="243"/>
      <c r="BU234" s="243"/>
      <c r="BV234" s="243"/>
      <c r="BW234" s="243"/>
      <c r="BX234" s="656"/>
      <c r="BY234" s="656"/>
      <c r="BZ234" s="656"/>
      <c r="CA234" s="243"/>
      <c r="CB234" s="243"/>
      <c r="CC234" s="243"/>
      <c r="CD234" s="243"/>
      <c r="CE234" s="243"/>
      <c r="CF234" s="243"/>
      <c r="CG234" s="1283"/>
    </row>
    <row r="235" spans="1:85" ht="13.2">
      <c r="A235" s="155">
        <v>45145</v>
      </c>
      <c r="B235" s="243"/>
      <c r="C235" s="243"/>
      <c r="D235" s="243"/>
      <c r="E235" s="1276"/>
      <c r="F235" s="243"/>
      <c r="G235" s="243"/>
      <c r="H235" s="244"/>
      <c r="I235" s="244"/>
      <c r="J235" s="244"/>
      <c r="K235" s="402"/>
      <c r="L235" s="402"/>
      <c r="M235" s="243"/>
      <c r="N235" s="243"/>
      <c r="O235" s="244"/>
      <c r="P235" s="244"/>
      <c r="Q235" s="244"/>
      <c r="R235" s="244"/>
      <c r="S235" s="244"/>
      <c r="T235" s="244"/>
      <c r="U235" s="243"/>
      <c r="V235" s="243"/>
      <c r="W235" s="244"/>
      <c r="X235" s="244"/>
      <c r="Y235" s="244"/>
      <c r="Z235" s="243"/>
      <c r="AA235" s="243"/>
      <c r="AB235" s="244"/>
      <c r="AC235" s="244"/>
      <c r="AD235" s="244"/>
      <c r="AE235" s="243"/>
      <c r="AF235" s="244"/>
      <c r="AG235" s="243"/>
      <c r="AH235" s="243"/>
      <c r="AI235" s="402"/>
      <c r="AJ235" s="243"/>
      <c r="AK235" s="244"/>
      <c r="AL235" s="244"/>
      <c r="AM235" s="244"/>
      <c r="AN235" s="244"/>
      <c r="AO235" s="402"/>
      <c r="AP235" s="402"/>
      <c r="AQ235" s="244"/>
      <c r="AR235" s="244"/>
      <c r="AS235" s="701"/>
      <c r="AT235" s="981"/>
      <c r="AU235" s="244"/>
      <c r="AV235" s="244"/>
      <c r="AW235" s="656"/>
      <c r="AX235" s="656"/>
      <c r="AY235" s="656"/>
      <c r="AZ235" s="656"/>
      <c r="BA235" s="656"/>
      <c r="BB235" s="402"/>
      <c r="BC235" s="981"/>
      <c r="BD235" s="1056"/>
      <c r="BE235" s="656"/>
      <c r="BF235" s="656"/>
      <c r="BG235" s="244"/>
      <c r="BH235" s="244"/>
      <c r="BI235" s="1051"/>
      <c r="BJ235" s="244"/>
      <c r="BK235" s="656"/>
      <c r="BL235" s="656"/>
      <c r="BM235" s="656"/>
      <c r="BN235" s="656"/>
      <c r="BO235" s="244"/>
      <c r="BP235" s="244"/>
      <c r="BQ235" s="244"/>
      <c r="BR235" s="243"/>
      <c r="BS235" s="243"/>
      <c r="BT235" s="243"/>
      <c r="BU235" s="243"/>
      <c r="BV235" s="243"/>
      <c r="BW235" s="243"/>
      <c r="BX235" s="656"/>
      <c r="BY235" s="656"/>
      <c r="BZ235" s="656"/>
      <c r="CA235" s="244"/>
      <c r="CB235" s="244"/>
      <c r="CC235" s="244"/>
      <c r="CD235" s="244"/>
      <c r="CE235" s="244"/>
      <c r="CF235" s="244"/>
      <c r="CG235" s="1284"/>
    </row>
    <row r="236" spans="1:85" ht="13.2">
      <c r="A236" s="155">
        <v>45146</v>
      </c>
      <c r="B236" s="243"/>
      <c r="C236" s="243"/>
      <c r="D236" s="243"/>
      <c r="E236" s="1276"/>
      <c r="F236" s="243"/>
      <c r="G236" s="243"/>
      <c r="H236" s="243"/>
      <c r="I236" s="243"/>
      <c r="J236" s="243"/>
      <c r="K236" s="402"/>
      <c r="L236" s="402"/>
      <c r="M236" s="243"/>
      <c r="N236" s="243"/>
      <c r="O236" s="243"/>
      <c r="P236" s="243"/>
      <c r="Q236" s="243"/>
      <c r="R236" s="243"/>
      <c r="S236" s="243"/>
      <c r="T236" s="243"/>
      <c r="U236" s="243"/>
      <c r="V236" s="243"/>
      <c r="W236" s="243"/>
      <c r="X236" s="243"/>
      <c r="Y236" s="243"/>
      <c r="Z236" s="243"/>
      <c r="AA236" s="243"/>
      <c r="AB236" s="243"/>
      <c r="AC236" s="243"/>
      <c r="AD236" s="243"/>
      <c r="AE236" s="243"/>
      <c r="AF236" s="244"/>
      <c r="AG236" s="243"/>
      <c r="AH236" s="243"/>
      <c r="AI236" s="402"/>
      <c r="AJ236" s="243"/>
      <c r="AK236" s="243"/>
      <c r="AL236" s="243"/>
      <c r="AM236" s="243"/>
      <c r="AN236" s="243"/>
      <c r="AO236" s="402"/>
      <c r="AP236" s="402"/>
      <c r="AQ236" s="243"/>
      <c r="AR236" s="243"/>
      <c r="AS236" s="402"/>
      <c r="AT236" s="981"/>
      <c r="AU236" s="243"/>
      <c r="AV236" s="243"/>
      <c r="AW236" s="243"/>
      <c r="AX236" s="656"/>
      <c r="AY236" s="656"/>
      <c r="AZ236" s="656"/>
      <c r="BA236" s="656"/>
      <c r="BB236" s="402"/>
      <c r="BC236" s="402"/>
      <c r="BD236" s="629"/>
      <c r="BE236" s="656"/>
      <c r="BF236" s="656"/>
      <c r="BG236" s="243"/>
      <c r="BH236" s="243"/>
      <c r="BI236" s="981"/>
      <c r="BJ236" s="243"/>
      <c r="BK236" s="656"/>
      <c r="BL236" s="656"/>
      <c r="BM236" s="656"/>
      <c r="BN236" s="656"/>
      <c r="BO236" s="243"/>
      <c r="BP236" s="243"/>
      <c r="BQ236" s="243"/>
      <c r="BR236" s="243"/>
      <c r="BS236" s="243"/>
      <c r="BT236" s="243"/>
      <c r="BU236" s="243"/>
      <c r="BV236" s="243"/>
      <c r="BW236" s="243"/>
      <c r="BX236" s="656"/>
      <c r="BY236" s="656"/>
      <c r="BZ236" s="656"/>
      <c r="CA236" s="243"/>
      <c r="CB236" s="243"/>
      <c r="CC236" s="243"/>
      <c r="CD236" s="243"/>
      <c r="CE236" s="243"/>
      <c r="CF236" s="243"/>
      <c r="CG236" s="1283"/>
    </row>
    <row r="237" spans="1:85" ht="13.2">
      <c r="A237" s="155">
        <v>45147</v>
      </c>
      <c r="B237" s="243"/>
      <c r="C237" s="243"/>
      <c r="D237" s="243"/>
      <c r="E237" s="1276"/>
      <c r="F237" s="243"/>
      <c r="G237" s="243"/>
      <c r="H237" s="243"/>
      <c r="I237" s="243"/>
      <c r="J237" s="243"/>
      <c r="K237" s="243"/>
      <c r="L237" s="243"/>
      <c r="M237" s="243"/>
      <c r="N237" s="243"/>
      <c r="O237" s="243"/>
      <c r="P237" s="243"/>
      <c r="Q237" s="243"/>
      <c r="R237" s="243"/>
      <c r="S237" s="243"/>
      <c r="T237" s="243"/>
      <c r="U237" s="243"/>
      <c r="V237" s="243"/>
      <c r="W237" s="243"/>
      <c r="X237" s="243"/>
      <c r="Y237" s="243"/>
      <c r="Z237" s="243"/>
      <c r="AA237" s="243"/>
      <c r="AB237" s="243"/>
      <c r="AC237" s="243"/>
      <c r="AD237" s="243"/>
      <c r="AE237" s="243"/>
      <c r="AF237" s="244"/>
      <c r="AG237" s="243"/>
      <c r="AH237" s="243"/>
      <c r="AI237" s="243"/>
      <c r="AJ237" s="243"/>
      <c r="AK237" s="243"/>
      <c r="AL237" s="243"/>
      <c r="AM237" s="243"/>
      <c r="AN237" s="243"/>
      <c r="AO237" s="402"/>
      <c r="AP237" s="402"/>
      <c r="AQ237" s="243"/>
      <c r="AR237" s="243"/>
      <c r="AS237" s="243"/>
      <c r="AT237" s="243"/>
      <c r="AU237" s="243"/>
      <c r="AV237" s="243"/>
      <c r="AW237" s="243"/>
      <c r="AX237" s="243"/>
      <c r="AY237" s="243"/>
      <c r="AZ237" s="243"/>
      <c r="BA237" s="243"/>
      <c r="BB237" s="402"/>
      <c r="BC237" s="402"/>
      <c r="BD237" s="629"/>
      <c r="BE237" s="243"/>
      <c r="BF237" s="243"/>
      <c r="BG237" s="243"/>
      <c r="BH237" s="243"/>
      <c r="BI237" s="243"/>
      <c r="BJ237" s="243"/>
      <c r="BK237" s="243"/>
      <c r="BL237" s="243"/>
      <c r="BM237" s="243"/>
      <c r="BN237" s="243"/>
      <c r="BO237" s="243"/>
      <c r="BP237" s="243"/>
      <c r="BQ237" s="243"/>
      <c r="BR237" s="243"/>
      <c r="BS237" s="243"/>
      <c r="BT237" s="243"/>
      <c r="BU237" s="243"/>
      <c r="BV237" s="243"/>
      <c r="BW237" s="243"/>
      <c r="BX237" s="243"/>
      <c r="BY237" s="243"/>
      <c r="BZ237" s="243"/>
      <c r="CA237" s="243"/>
      <c r="CB237" s="243"/>
      <c r="CC237" s="243"/>
      <c r="CD237" s="243"/>
      <c r="CE237" s="243"/>
      <c r="CF237" s="243"/>
      <c r="CG237" s="1283"/>
    </row>
    <row r="238" spans="1:85" ht="13.2">
      <c r="A238" s="155">
        <v>45148</v>
      </c>
      <c r="B238" s="243"/>
      <c r="C238" s="243"/>
      <c r="D238" s="243"/>
      <c r="E238" s="1276"/>
      <c r="F238" s="243"/>
      <c r="G238" s="243"/>
      <c r="H238" s="243"/>
      <c r="I238" s="243"/>
      <c r="J238" s="243"/>
      <c r="K238" s="243"/>
      <c r="L238" s="243"/>
      <c r="M238" s="243"/>
      <c r="N238" s="243"/>
      <c r="O238" s="243"/>
      <c r="P238" s="243"/>
      <c r="Q238" s="243"/>
      <c r="R238" s="243"/>
      <c r="S238" s="243"/>
      <c r="T238" s="243"/>
      <c r="U238" s="243"/>
      <c r="V238" s="243"/>
      <c r="W238" s="243"/>
      <c r="X238" s="243"/>
      <c r="Y238" s="243"/>
      <c r="Z238" s="243"/>
      <c r="AA238" s="243"/>
      <c r="AB238" s="243"/>
      <c r="AC238" s="243"/>
      <c r="AD238" s="243"/>
      <c r="AE238" s="243"/>
      <c r="AF238" s="244"/>
      <c r="AG238" s="243"/>
      <c r="AH238" s="243"/>
      <c r="AI238" s="243"/>
      <c r="AJ238" s="243"/>
      <c r="AK238" s="243"/>
      <c r="AL238" s="243"/>
      <c r="AM238" s="243"/>
      <c r="AN238" s="243"/>
      <c r="AO238" s="402"/>
      <c r="AP238" s="402"/>
      <c r="AQ238" s="243"/>
      <c r="AR238" s="243"/>
      <c r="AS238" s="243"/>
      <c r="AT238" s="243"/>
      <c r="AU238" s="243"/>
      <c r="AV238" s="243"/>
      <c r="AW238" s="243"/>
      <c r="AX238" s="243"/>
      <c r="AY238" s="243"/>
      <c r="AZ238" s="243"/>
      <c r="BA238" s="243"/>
      <c r="BB238" s="402"/>
      <c r="BC238" s="402"/>
      <c r="BD238" s="629"/>
      <c r="BE238" s="243"/>
      <c r="BF238" s="243"/>
      <c r="BG238" s="243"/>
      <c r="BH238" s="243"/>
      <c r="BI238" s="243"/>
      <c r="BJ238" s="243"/>
      <c r="BK238" s="243"/>
      <c r="BL238" s="243"/>
      <c r="BM238" s="243"/>
      <c r="BN238" s="243"/>
      <c r="BO238" s="243"/>
      <c r="BP238" s="243"/>
      <c r="BQ238" s="243"/>
      <c r="BR238" s="243"/>
      <c r="BS238" s="243"/>
      <c r="BT238" s="243"/>
      <c r="BU238" s="243"/>
      <c r="BV238" s="243"/>
      <c r="BW238" s="243"/>
      <c r="BX238" s="243"/>
      <c r="BY238" s="243"/>
      <c r="BZ238" s="243"/>
      <c r="CA238" s="243"/>
      <c r="CB238" s="243"/>
      <c r="CC238" s="243"/>
      <c r="CD238" s="243"/>
      <c r="CE238" s="243"/>
      <c r="CF238" s="243"/>
      <c r="CG238" s="1283"/>
    </row>
    <row r="239" spans="1:85" ht="13.2">
      <c r="A239" s="155">
        <v>45149</v>
      </c>
      <c r="B239" s="243"/>
      <c r="C239" s="243"/>
      <c r="D239" s="243"/>
      <c r="E239" s="1276"/>
      <c r="F239" s="656"/>
      <c r="G239" s="656"/>
      <c r="H239" s="243"/>
      <c r="I239" s="243"/>
      <c r="J239" s="243"/>
      <c r="K239" s="402"/>
      <c r="L239" s="402"/>
      <c r="M239" s="243"/>
      <c r="N239" s="243"/>
      <c r="O239" s="243"/>
      <c r="P239" s="243"/>
      <c r="Q239" s="243"/>
      <c r="R239" s="243"/>
      <c r="S239" s="243"/>
      <c r="T239" s="243"/>
      <c r="U239" s="243"/>
      <c r="V239" s="243"/>
      <c r="W239" s="243"/>
      <c r="X239" s="243"/>
      <c r="Y239" s="243"/>
      <c r="Z239" s="243"/>
      <c r="AA239" s="243"/>
      <c r="AB239" s="243"/>
      <c r="AC239" s="243"/>
      <c r="AD239" s="243"/>
      <c r="AE239" s="243"/>
      <c r="AF239" s="244"/>
      <c r="AG239" s="243"/>
      <c r="AH239" s="243"/>
      <c r="AI239" s="402"/>
      <c r="AJ239" s="243"/>
      <c r="AK239" s="243"/>
      <c r="AL239" s="243"/>
      <c r="AM239" s="243"/>
      <c r="AN239" s="243"/>
      <c r="AO239" s="402"/>
      <c r="AP239" s="402"/>
      <c r="AQ239" s="243"/>
      <c r="AR239" s="243"/>
      <c r="AS239" s="402"/>
      <c r="AT239" s="981"/>
      <c r="AU239" s="243"/>
      <c r="AV239" s="243"/>
      <c r="AW239" s="243"/>
      <c r="AX239" s="656"/>
      <c r="AY239" s="656"/>
      <c r="AZ239" s="243"/>
      <c r="BA239" s="243"/>
      <c r="BB239" s="402"/>
      <c r="BC239" s="402"/>
      <c r="BD239" s="629"/>
      <c r="BE239" s="656"/>
      <c r="BF239" s="656"/>
      <c r="BG239" s="243"/>
      <c r="BH239" s="243"/>
      <c r="BI239" s="981"/>
      <c r="BJ239" s="243"/>
      <c r="BK239" s="654"/>
      <c r="BL239" s="654"/>
      <c r="BM239" s="656"/>
      <c r="BN239" s="656"/>
      <c r="BO239" s="243"/>
      <c r="BP239" s="243"/>
      <c r="BQ239" s="243"/>
      <c r="BR239" s="243"/>
      <c r="BS239" s="243"/>
      <c r="BT239" s="243"/>
      <c r="BU239" s="243"/>
      <c r="BV239" s="243"/>
      <c r="BW239" s="243"/>
      <c r="BX239" s="656"/>
      <c r="BY239" s="656"/>
      <c r="BZ239" s="656"/>
      <c r="CA239" s="243"/>
      <c r="CB239" s="243"/>
      <c r="CC239" s="243"/>
      <c r="CD239" s="243"/>
      <c r="CE239" s="243"/>
      <c r="CF239" s="243"/>
      <c r="CG239" s="1283"/>
    </row>
    <row r="240" spans="1:85" ht="13.2">
      <c r="A240" s="155">
        <v>45150</v>
      </c>
      <c r="B240" s="243"/>
      <c r="C240" s="243"/>
      <c r="D240" s="243"/>
      <c r="E240" s="1276"/>
      <c r="F240" s="981"/>
      <c r="G240" s="981"/>
      <c r="H240" s="981"/>
      <c r="I240" s="981"/>
      <c r="J240" s="981"/>
      <c r="K240" s="981"/>
      <c r="L240" s="981"/>
      <c r="M240" s="243"/>
      <c r="N240" s="243"/>
      <c r="O240" s="981"/>
      <c r="P240" s="981"/>
      <c r="Q240" s="981"/>
      <c r="R240" s="981"/>
      <c r="S240" s="981"/>
      <c r="T240" s="981"/>
      <c r="U240" s="243"/>
      <c r="V240" s="243"/>
      <c r="W240" s="981"/>
      <c r="X240" s="981"/>
      <c r="Y240" s="981"/>
      <c r="Z240" s="243"/>
      <c r="AA240" s="243"/>
      <c r="AB240" s="981"/>
      <c r="AC240" s="981"/>
      <c r="AD240" s="981"/>
      <c r="AE240" s="243"/>
      <c r="AF240" s="244"/>
      <c r="AG240" s="981"/>
      <c r="AH240" s="981"/>
      <c r="AI240" s="981"/>
      <c r="AJ240" s="981"/>
      <c r="AK240" s="981"/>
      <c r="AL240" s="981"/>
      <c r="AM240" s="981"/>
      <c r="AN240" s="981"/>
      <c r="AO240" s="402"/>
      <c r="AP240" s="402"/>
      <c r="AQ240" s="981"/>
      <c r="AR240" s="981"/>
      <c r="AS240" s="981"/>
      <c r="AT240" s="981"/>
      <c r="AU240" s="981"/>
      <c r="AV240" s="981"/>
      <c r="AW240" s="981"/>
      <c r="AX240" s="981"/>
      <c r="AY240" s="981"/>
      <c r="AZ240" s="243"/>
      <c r="BA240" s="243"/>
      <c r="BB240" s="402"/>
      <c r="BC240" s="402"/>
      <c r="BD240" s="629"/>
      <c r="BE240" s="981"/>
      <c r="BF240" s="981"/>
      <c r="BG240" s="981"/>
      <c r="BH240" s="981"/>
      <c r="BI240" s="981"/>
      <c r="BJ240" s="981"/>
      <c r="BK240" s="981"/>
      <c r="BL240" s="981"/>
      <c r="BM240" s="981"/>
      <c r="BN240" s="981"/>
      <c r="BO240" s="981"/>
      <c r="BP240" s="981"/>
      <c r="BQ240" s="981"/>
      <c r="BR240" s="981"/>
      <c r="BS240" s="981"/>
      <c r="BT240" s="981"/>
      <c r="BU240" s="243"/>
      <c r="BV240" s="243"/>
      <c r="BW240" s="243"/>
      <c r="BX240" s="981"/>
      <c r="BY240" s="981"/>
      <c r="BZ240" s="981"/>
      <c r="CA240" s="981"/>
      <c r="CB240" s="981"/>
      <c r="CC240" s="981"/>
      <c r="CD240" s="981"/>
      <c r="CE240" s="981"/>
      <c r="CF240" s="981"/>
      <c r="CG240" s="1283"/>
    </row>
    <row r="241" spans="1:139" s="403" customFormat="1" ht="13.2">
      <c r="A241" s="155">
        <v>45151</v>
      </c>
      <c r="B241" s="243"/>
      <c r="C241" s="243"/>
      <c r="D241" s="243"/>
      <c r="E241" s="1276"/>
      <c r="F241" s="981"/>
      <c r="G241" s="981"/>
      <c r="H241" s="981"/>
      <c r="I241" s="981"/>
      <c r="J241" s="981"/>
      <c r="K241" s="981"/>
      <c r="L241" s="981"/>
      <c r="M241" s="243"/>
      <c r="N241" s="243"/>
      <c r="O241" s="981"/>
      <c r="P241" s="981"/>
      <c r="Q241" s="981"/>
      <c r="R241" s="981"/>
      <c r="S241" s="981"/>
      <c r="T241" s="981"/>
      <c r="U241" s="243"/>
      <c r="V241" s="243"/>
      <c r="W241" s="981"/>
      <c r="X241" s="981"/>
      <c r="Y241" s="981"/>
      <c r="Z241" s="243"/>
      <c r="AA241" s="243"/>
      <c r="AB241" s="981"/>
      <c r="AC241" s="981"/>
      <c r="AD241" s="981"/>
      <c r="AE241" s="243"/>
      <c r="AF241" s="244"/>
      <c r="AG241" s="981"/>
      <c r="AH241" s="981"/>
      <c r="AI241" s="981"/>
      <c r="AJ241" s="981"/>
      <c r="AK241" s="981"/>
      <c r="AL241" s="981"/>
      <c r="AM241" s="981"/>
      <c r="AN241" s="981"/>
      <c r="AO241" s="402"/>
      <c r="AP241" s="402"/>
      <c r="AQ241" s="981"/>
      <c r="AR241" s="981"/>
      <c r="AS241" s="981"/>
      <c r="AT241" s="981"/>
      <c r="AU241" s="981"/>
      <c r="AV241" s="981"/>
      <c r="AW241" s="981"/>
      <c r="AX241" s="981"/>
      <c r="AY241" s="981"/>
      <c r="AZ241" s="243"/>
      <c r="BA241" s="243"/>
      <c r="BB241" s="402"/>
      <c r="BC241" s="402"/>
      <c r="BD241" s="629"/>
      <c r="BE241" s="981"/>
      <c r="BF241" s="981"/>
      <c r="BG241" s="981"/>
      <c r="BH241" s="981"/>
      <c r="BI241" s="981"/>
      <c r="BJ241" s="981"/>
      <c r="BK241" s="981"/>
      <c r="BL241" s="981"/>
      <c r="BM241" s="981"/>
      <c r="BN241" s="981"/>
      <c r="BO241" s="981"/>
      <c r="BP241" s="981"/>
      <c r="BQ241" s="981"/>
      <c r="BR241" s="981"/>
      <c r="BS241" s="981"/>
      <c r="BT241" s="981"/>
      <c r="BU241" s="243"/>
      <c r="BV241" s="243"/>
      <c r="BW241" s="243"/>
      <c r="BX241" s="981"/>
      <c r="BY241" s="981"/>
      <c r="BZ241" s="981"/>
      <c r="CA241" s="981"/>
      <c r="CB241" s="981"/>
      <c r="CC241" s="981"/>
      <c r="CD241" s="981"/>
      <c r="CE241" s="981"/>
      <c r="CF241" s="981"/>
      <c r="CG241" s="1283"/>
    </row>
    <row r="242" spans="1:139" ht="13.2">
      <c r="A242" s="155">
        <v>45152</v>
      </c>
      <c r="B242" s="243"/>
      <c r="C242" s="243"/>
      <c r="D242" s="243"/>
      <c r="E242" s="1276"/>
      <c r="F242" s="981"/>
      <c r="G242" s="981"/>
      <c r="H242" s="981"/>
      <c r="I242" s="981"/>
      <c r="J242" s="981"/>
      <c r="K242" s="402"/>
      <c r="L242" s="402"/>
      <c r="M242" s="243"/>
      <c r="N242" s="243"/>
      <c r="O242" s="981"/>
      <c r="P242" s="981"/>
      <c r="Q242" s="981"/>
      <c r="R242" s="981"/>
      <c r="S242" s="981"/>
      <c r="T242" s="981"/>
      <c r="U242" s="243"/>
      <c r="V242" s="243"/>
      <c r="W242" s="981"/>
      <c r="X242" s="981"/>
      <c r="Y242" s="981"/>
      <c r="Z242" s="243"/>
      <c r="AA242" s="243"/>
      <c r="AB242" s="981"/>
      <c r="AC242" s="981"/>
      <c r="AD242" s="981"/>
      <c r="AE242" s="243"/>
      <c r="AF242" s="244"/>
      <c r="AG242" s="243"/>
      <c r="AH242" s="243"/>
      <c r="AI242" s="402"/>
      <c r="AJ242" s="243"/>
      <c r="AK242" s="981"/>
      <c r="AL242" s="981"/>
      <c r="AM242" s="981"/>
      <c r="AN242" s="981"/>
      <c r="AO242" s="402"/>
      <c r="AP242" s="402"/>
      <c r="AQ242" s="981"/>
      <c r="AR242" s="981"/>
      <c r="AS242" s="981"/>
      <c r="AT242" s="981"/>
      <c r="AU242" s="981"/>
      <c r="AV242" s="981"/>
      <c r="AW242" s="981"/>
      <c r="AX242" s="981"/>
      <c r="AY242" s="981"/>
      <c r="AZ242" s="243"/>
      <c r="BA242" s="243"/>
      <c r="BB242" s="402"/>
      <c r="BC242" s="402"/>
      <c r="BD242" s="629"/>
      <c r="BE242" s="656"/>
      <c r="BF242" s="656"/>
      <c r="BG242" s="981"/>
      <c r="BH242" s="981"/>
      <c r="BI242" s="981"/>
      <c r="BJ242" s="981"/>
      <c r="BK242" s="981"/>
      <c r="BL242" s="981"/>
      <c r="BM242" s="656"/>
      <c r="BN242" s="656"/>
      <c r="BO242" s="981"/>
      <c r="BP242" s="656"/>
      <c r="BQ242" s="656"/>
      <c r="BR242" s="243"/>
      <c r="BS242" s="243"/>
      <c r="BT242" s="243"/>
      <c r="BU242" s="243"/>
      <c r="BV242" s="243"/>
      <c r="BW242" s="243"/>
      <c r="BX242" s="243"/>
      <c r="BY242" s="243"/>
      <c r="BZ242" s="243"/>
      <c r="CA242" s="243"/>
      <c r="CB242" s="243"/>
      <c r="CC242" s="243"/>
      <c r="CD242" s="243"/>
      <c r="CE242" s="243"/>
      <c r="CF242" s="243"/>
      <c r="CG242" s="1283"/>
    </row>
    <row r="243" spans="1:139" ht="13.2">
      <c r="A243" s="155">
        <v>45153</v>
      </c>
      <c r="B243" s="243"/>
      <c r="C243" s="243"/>
      <c r="D243" s="243"/>
      <c r="E243" s="1276"/>
      <c r="F243" s="694"/>
      <c r="G243" s="694"/>
      <c r="H243" s="694"/>
      <c r="I243" s="694"/>
      <c r="J243" s="981"/>
      <c r="K243" s="402"/>
      <c r="L243" s="402"/>
      <c r="M243" s="243"/>
      <c r="N243" s="243"/>
      <c r="O243" s="694"/>
      <c r="P243" s="694"/>
      <c r="Q243" s="694"/>
      <c r="R243" s="694"/>
      <c r="S243" s="694"/>
      <c r="T243" s="694"/>
      <c r="U243" s="243"/>
      <c r="V243" s="243"/>
      <c r="W243" s="694"/>
      <c r="X243" s="694"/>
      <c r="Y243" s="694"/>
      <c r="Z243" s="243"/>
      <c r="AA243" s="243"/>
      <c r="AB243" s="694"/>
      <c r="AC243" s="694"/>
      <c r="AD243" s="981"/>
      <c r="AE243" s="243"/>
      <c r="AF243" s="244"/>
      <c r="AG243" s="243"/>
      <c r="AH243" s="243"/>
      <c r="AI243" s="402"/>
      <c r="AJ243" s="243"/>
      <c r="AK243" s="694"/>
      <c r="AL243" s="694"/>
      <c r="AM243" s="694"/>
      <c r="AN243" s="694"/>
      <c r="AO243" s="402"/>
      <c r="AP243" s="402"/>
      <c r="AQ243" s="694"/>
      <c r="AR243" s="694"/>
      <c r="AS243" s="694"/>
      <c r="AT243" s="981"/>
      <c r="AU243" s="694"/>
      <c r="AV243" s="694"/>
      <c r="AW243" s="694"/>
      <c r="AX243" s="694"/>
      <c r="AY243" s="694"/>
      <c r="AZ243" s="243"/>
      <c r="BA243" s="243"/>
      <c r="BB243" s="402"/>
      <c r="BC243" s="402"/>
      <c r="BD243" s="629"/>
      <c r="BE243" s="694"/>
      <c r="BF243" s="694"/>
      <c r="BG243" s="694"/>
      <c r="BH243" s="694"/>
      <c r="BI243" s="694"/>
      <c r="BJ243" s="694"/>
      <c r="BK243" s="694"/>
      <c r="BL243" s="694"/>
      <c r="BM243" s="656"/>
      <c r="BN243" s="656"/>
      <c r="BO243" s="694"/>
      <c r="BP243" s="694"/>
      <c r="BQ243" s="694"/>
      <c r="BR243" s="243"/>
      <c r="BS243" s="243"/>
      <c r="BT243" s="243"/>
      <c r="BU243" s="243"/>
      <c r="BV243" s="243"/>
      <c r="BW243" s="243"/>
      <c r="BX243" s="656"/>
      <c r="BY243" s="656"/>
      <c r="BZ243" s="656"/>
      <c r="CA243" s="694"/>
      <c r="CB243" s="694"/>
      <c r="CC243" s="694"/>
      <c r="CD243" s="694"/>
      <c r="CE243" s="694"/>
      <c r="CF243" s="694"/>
      <c r="CG243" s="1381"/>
    </row>
    <row r="244" spans="1:139" ht="13.2">
      <c r="A244" s="155">
        <v>45154</v>
      </c>
      <c r="B244" s="243"/>
      <c r="C244" s="243"/>
      <c r="D244" s="243"/>
      <c r="E244" s="1276"/>
      <c r="F244" s="656"/>
      <c r="G244" s="656"/>
      <c r="H244" s="656"/>
      <c r="I244" s="656"/>
      <c r="J244" s="656"/>
      <c r="K244" s="402"/>
      <c r="L244" s="402"/>
      <c r="M244" s="243"/>
      <c r="N244" s="243"/>
      <c r="O244" s="656"/>
      <c r="P244" s="656"/>
      <c r="Q244" s="656"/>
      <c r="R244" s="656"/>
      <c r="S244" s="656"/>
      <c r="T244" s="656"/>
      <c r="U244" s="243"/>
      <c r="V244" s="243"/>
      <c r="W244" s="656"/>
      <c r="X244" s="656"/>
      <c r="Y244" s="656"/>
      <c r="Z244" s="243"/>
      <c r="AA244" s="243"/>
      <c r="AB244" s="656"/>
      <c r="AC244" s="656"/>
      <c r="AD244" s="981"/>
      <c r="AE244" s="243"/>
      <c r="AF244" s="244"/>
      <c r="AG244" s="243"/>
      <c r="AH244" s="243"/>
      <c r="AI244" s="402"/>
      <c r="AJ244" s="243"/>
      <c r="AK244" s="656"/>
      <c r="AL244" s="656"/>
      <c r="AM244" s="656"/>
      <c r="AN244" s="656"/>
      <c r="AO244" s="402"/>
      <c r="AP244" s="402"/>
      <c r="AQ244" s="656"/>
      <c r="AR244" s="656"/>
      <c r="AS244" s="656"/>
      <c r="AT244" s="981"/>
      <c r="AU244" s="656"/>
      <c r="AV244" s="656"/>
      <c r="AW244" s="656"/>
      <c r="AX244" s="656"/>
      <c r="AY244" s="656"/>
      <c r="AZ244" s="243"/>
      <c r="BA244" s="243"/>
      <c r="BB244" s="402"/>
      <c r="BC244" s="402"/>
      <c r="BD244" s="629"/>
      <c r="BE244" s="656"/>
      <c r="BF244" s="694"/>
      <c r="BG244" s="656"/>
      <c r="BH244" s="656"/>
      <c r="BI244" s="656"/>
      <c r="BJ244" s="694"/>
      <c r="BK244" s="656"/>
      <c r="BL244" s="656"/>
      <c r="BM244" s="656"/>
      <c r="BN244" s="656"/>
      <c r="BO244" s="656"/>
      <c r="BP244" s="656"/>
      <c r="BQ244" s="694"/>
      <c r="BR244" s="243"/>
      <c r="BS244" s="243"/>
      <c r="BT244" s="243"/>
      <c r="BU244" s="243"/>
      <c r="BV244" s="243"/>
      <c r="BW244" s="243"/>
      <c r="BX244" s="243"/>
      <c r="BY244" s="243"/>
      <c r="BZ244" s="243"/>
      <c r="CA244" s="243"/>
      <c r="CB244" s="243"/>
      <c r="CC244" s="243"/>
      <c r="CD244" s="243"/>
      <c r="CE244" s="243"/>
      <c r="CF244" s="243"/>
      <c r="CG244" s="1381"/>
    </row>
    <row r="245" spans="1:139" ht="13.2">
      <c r="A245" s="155">
        <v>45155</v>
      </c>
      <c r="B245" s="243"/>
      <c r="C245" s="243"/>
      <c r="D245" s="243"/>
      <c r="E245" s="1276"/>
      <c r="F245" s="656"/>
      <c r="G245" s="656"/>
      <c r="H245" s="243"/>
      <c r="I245" s="656"/>
      <c r="J245" s="243"/>
      <c r="K245" s="243"/>
      <c r="L245" s="243"/>
      <c r="M245" s="243"/>
      <c r="N245" s="243"/>
      <c r="O245" s="243"/>
      <c r="P245" s="243"/>
      <c r="Q245" s="243"/>
      <c r="R245" s="243"/>
      <c r="S245" s="243"/>
      <c r="T245" s="243"/>
      <c r="U245" s="243"/>
      <c r="V245" s="243"/>
      <c r="W245" s="243"/>
      <c r="X245" s="243"/>
      <c r="Y245" s="243"/>
      <c r="Z245" s="243"/>
      <c r="AA245" s="243"/>
      <c r="AB245" s="243"/>
      <c r="AC245" s="243"/>
      <c r="AD245" s="243"/>
      <c r="AE245" s="243"/>
      <c r="AF245" s="244"/>
      <c r="AG245" s="243"/>
      <c r="AH245" s="243"/>
      <c r="AI245" s="402"/>
      <c r="AJ245" s="243"/>
      <c r="AK245" s="243"/>
      <c r="AL245" s="243"/>
      <c r="AM245" s="243"/>
      <c r="AN245" s="243"/>
      <c r="AO245" s="402"/>
      <c r="AP245" s="402"/>
      <c r="AQ245" s="243"/>
      <c r="AR245" s="243"/>
      <c r="AS245" s="243"/>
      <c r="AT245" s="243"/>
      <c r="AU245" s="243"/>
      <c r="AV245" s="243"/>
      <c r="AW245" s="243"/>
      <c r="AX245" s="243"/>
      <c r="AY245" s="243"/>
      <c r="AZ245" s="243"/>
      <c r="BA245" s="243"/>
      <c r="BB245" s="402"/>
      <c r="BC245" s="402"/>
      <c r="BD245" s="629"/>
      <c r="BE245" s="243"/>
      <c r="BF245" s="694"/>
      <c r="BG245" s="243"/>
      <c r="BH245" s="243"/>
      <c r="BI245" s="243"/>
      <c r="BJ245" s="243"/>
      <c r="BK245" s="243"/>
      <c r="BL245" s="243"/>
      <c r="BM245" s="656"/>
      <c r="BN245" s="656"/>
      <c r="BO245" s="243"/>
      <c r="BP245" s="243"/>
      <c r="BQ245" s="243"/>
      <c r="BR245" s="243"/>
      <c r="BS245" s="243"/>
      <c r="BT245" s="243"/>
      <c r="BU245" s="243"/>
      <c r="BV245" s="243"/>
      <c r="BW245" s="243"/>
      <c r="BX245" s="243"/>
      <c r="BY245" s="243"/>
      <c r="BZ245" s="243"/>
      <c r="CA245" s="243"/>
      <c r="CB245" s="243"/>
      <c r="CC245" s="243"/>
      <c r="CD245" s="243"/>
      <c r="CE245" s="243"/>
      <c r="CF245" s="243"/>
      <c r="CG245" s="1381"/>
    </row>
    <row r="246" spans="1:139" ht="13.2">
      <c r="A246" s="155">
        <v>45156</v>
      </c>
      <c r="B246" s="243"/>
      <c r="C246" s="243"/>
      <c r="D246" s="243"/>
      <c r="E246" s="1276"/>
      <c r="F246" s="656"/>
      <c r="G246" s="656"/>
      <c r="H246" s="656"/>
      <c r="I246" s="656"/>
      <c r="J246" s="656"/>
      <c r="K246" s="402"/>
      <c r="L246" s="402"/>
      <c r="M246" s="243"/>
      <c r="N246" s="243"/>
      <c r="O246" s="656"/>
      <c r="P246" s="656"/>
      <c r="Q246" s="656"/>
      <c r="R246" s="656"/>
      <c r="S246" s="656"/>
      <c r="T246" s="656"/>
      <c r="U246" s="243"/>
      <c r="V246" s="243"/>
      <c r="W246" s="656"/>
      <c r="X246" s="656"/>
      <c r="Y246" s="656"/>
      <c r="Z246" s="243"/>
      <c r="AA246" s="243"/>
      <c r="AB246" s="656"/>
      <c r="AC246" s="656"/>
      <c r="AD246" s="656"/>
      <c r="AE246" s="243"/>
      <c r="AF246" s="244"/>
      <c r="AG246" s="243"/>
      <c r="AH246" s="243"/>
      <c r="AI246" s="402"/>
      <c r="AJ246" s="243"/>
      <c r="AK246" s="656"/>
      <c r="AL246" s="656"/>
      <c r="AM246" s="656"/>
      <c r="AN246" s="656"/>
      <c r="AO246" s="402"/>
      <c r="AP246" s="402"/>
      <c r="AQ246" s="656"/>
      <c r="AR246" s="656"/>
      <c r="AS246" s="656"/>
      <c r="AT246" s="981"/>
      <c r="AU246" s="656"/>
      <c r="AV246" s="656"/>
      <c r="AW246" s="656"/>
      <c r="AX246" s="656"/>
      <c r="AY246" s="656"/>
      <c r="AZ246" s="243"/>
      <c r="BA246" s="243"/>
      <c r="BB246" s="402"/>
      <c r="BC246" s="402"/>
      <c r="BD246" s="629"/>
      <c r="BE246" s="656"/>
      <c r="BF246" s="656"/>
      <c r="BG246" s="656"/>
      <c r="BH246" s="656"/>
      <c r="BI246" s="656"/>
      <c r="BJ246" s="656"/>
      <c r="BK246" s="656"/>
      <c r="BL246" s="656"/>
      <c r="BM246" s="656"/>
      <c r="BN246" s="656"/>
      <c r="BO246" s="656"/>
      <c r="BP246" s="243"/>
      <c r="BQ246" s="243"/>
      <c r="BR246" s="243"/>
      <c r="BS246" s="243"/>
      <c r="BT246" s="243"/>
      <c r="BU246" s="656"/>
      <c r="BV246" s="656"/>
      <c r="BW246" s="656"/>
      <c r="BX246" s="656"/>
      <c r="BY246" s="656"/>
      <c r="BZ246" s="243"/>
      <c r="CA246" s="656"/>
      <c r="CB246" s="656"/>
      <c r="CC246" s="656"/>
      <c r="CD246" s="656"/>
      <c r="CE246" s="656"/>
      <c r="CF246" s="656"/>
      <c r="CG246" s="1381"/>
    </row>
    <row r="247" spans="1:139" ht="13.2">
      <c r="A247" s="155">
        <v>45157</v>
      </c>
      <c r="B247" s="243"/>
      <c r="C247" s="243"/>
      <c r="D247" s="243"/>
      <c r="E247" s="1276"/>
      <c r="F247" s="656"/>
      <c r="G247" s="656"/>
      <c r="H247" s="656"/>
      <c r="I247" s="656"/>
      <c r="J247" s="656"/>
      <c r="K247" s="402"/>
      <c r="L247" s="402"/>
      <c r="M247" s="243"/>
      <c r="N247" s="243"/>
      <c r="O247" s="656"/>
      <c r="P247" s="656"/>
      <c r="Q247" s="656"/>
      <c r="R247" s="656"/>
      <c r="S247" s="656"/>
      <c r="T247" s="656"/>
      <c r="U247" s="243"/>
      <c r="V247" s="243"/>
      <c r="W247" s="656"/>
      <c r="X247" s="656"/>
      <c r="Y247" s="656"/>
      <c r="Z247" s="243"/>
      <c r="AA247" s="243"/>
      <c r="AB247" s="656"/>
      <c r="AC247" s="656"/>
      <c r="AD247" s="656"/>
      <c r="AE247" s="243"/>
      <c r="AF247" s="244"/>
      <c r="AG247" s="243"/>
      <c r="AH247" s="243"/>
      <c r="AI247" s="402"/>
      <c r="AJ247" s="243"/>
      <c r="AK247" s="656"/>
      <c r="AL247" s="656"/>
      <c r="AM247" s="656"/>
      <c r="AN247" s="656"/>
      <c r="AO247" s="402"/>
      <c r="AP247" s="402"/>
      <c r="AQ247" s="656"/>
      <c r="AR247" s="656"/>
      <c r="AS247" s="656"/>
      <c r="AT247" s="981"/>
      <c r="AU247" s="656"/>
      <c r="AV247" s="656"/>
      <c r="AW247" s="656"/>
      <c r="AX247" s="656"/>
      <c r="AY247" s="656"/>
      <c r="AZ247" s="243"/>
      <c r="BA247" s="243"/>
      <c r="BB247" s="402"/>
      <c r="BC247" s="402"/>
      <c r="BD247" s="629"/>
      <c r="BE247" s="656"/>
      <c r="BF247" s="656"/>
      <c r="BG247" s="656"/>
      <c r="BH247" s="656"/>
      <c r="BI247" s="656"/>
      <c r="BJ247" s="656"/>
      <c r="BK247" s="656"/>
      <c r="BL247" s="656"/>
      <c r="BM247" s="656"/>
      <c r="BN247" s="656"/>
      <c r="BO247" s="656"/>
      <c r="BP247" s="656"/>
      <c r="BQ247" s="656"/>
      <c r="BR247" s="243"/>
      <c r="BS247" s="243"/>
      <c r="BT247" s="243"/>
      <c r="BU247" s="656"/>
      <c r="BV247" s="656"/>
      <c r="BW247" s="656"/>
      <c r="BX247" s="656"/>
      <c r="BY247" s="656"/>
      <c r="BZ247" s="656"/>
      <c r="CA247" s="656"/>
      <c r="CB247" s="656"/>
      <c r="CC247" s="656"/>
      <c r="CD247" s="656"/>
      <c r="CE247" s="656"/>
      <c r="CF247" s="656"/>
      <c r="CG247" s="1381"/>
    </row>
    <row r="248" spans="1:139" ht="13.2">
      <c r="A248" s="155">
        <v>45158</v>
      </c>
      <c r="B248" s="243"/>
      <c r="C248" s="243"/>
      <c r="D248" s="243"/>
      <c r="E248" s="1276"/>
      <c r="F248" s="656"/>
      <c r="G248" s="656"/>
      <c r="H248" s="656"/>
      <c r="I248" s="656"/>
      <c r="J248" s="656"/>
      <c r="K248" s="402"/>
      <c r="L248" s="402"/>
      <c r="M248" s="243"/>
      <c r="N248" s="243"/>
      <c r="O248" s="656"/>
      <c r="P248" s="656"/>
      <c r="Q248" s="656"/>
      <c r="R248" s="656"/>
      <c r="S248" s="656"/>
      <c r="T248" s="656"/>
      <c r="U248" s="243"/>
      <c r="V248" s="243"/>
      <c r="W248" s="656"/>
      <c r="X248" s="656"/>
      <c r="Y248" s="656"/>
      <c r="Z248" s="243"/>
      <c r="AA248" s="243"/>
      <c r="AB248" s="656"/>
      <c r="AC248" s="656"/>
      <c r="AD248" s="656"/>
      <c r="AE248" s="243"/>
      <c r="AF248" s="244"/>
      <c r="AG248" s="243"/>
      <c r="AH248" s="243"/>
      <c r="AI248" s="402"/>
      <c r="AJ248" s="243"/>
      <c r="AK248" s="656"/>
      <c r="AL248" s="656"/>
      <c r="AM248" s="656"/>
      <c r="AN248" s="656"/>
      <c r="AO248" s="402"/>
      <c r="AP248" s="402"/>
      <c r="AQ248" s="656"/>
      <c r="AR248" s="656"/>
      <c r="AS248" s="656"/>
      <c r="AT248" s="981"/>
      <c r="AU248" s="656"/>
      <c r="AV248" s="656"/>
      <c r="AW248" s="656"/>
      <c r="AX248" s="656"/>
      <c r="AY248" s="656"/>
      <c r="AZ248" s="243"/>
      <c r="BA248" s="243"/>
      <c r="BB248" s="402"/>
      <c r="BC248" s="402"/>
      <c r="BD248" s="629"/>
      <c r="BE248" s="656"/>
      <c r="BF248" s="656"/>
      <c r="BG248" s="656"/>
      <c r="BH248" s="656"/>
      <c r="BI248" s="656"/>
      <c r="BJ248" s="656"/>
      <c r="BK248" s="656"/>
      <c r="BL248" s="656"/>
      <c r="BM248" s="656"/>
      <c r="BN248" s="656"/>
      <c r="BO248" s="656"/>
      <c r="BP248" s="656"/>
      <c r="BQ248" s="656"/>
      <c r="BR248" s="243"/>
      <c r="BS248" s="243"/>
      <c r="BT248" s="243"/>
      <c r="BU248" s="656"/>
      <c r="BV248" s="656"/>
      <c r="BW248" s="656"/>
      <c r="BX248" s="656"/>
      <c r="BY248" s="656"/>
      <c r="BZ248" s="656"/>
      <c r="CA248" s="656"/>
      <c r="CB248" s="656"/>
      <c r="CC248" s="656"/>
      <c r="CD248" s="656"/>
      <c r="CE248" s="656"/>
      <c r="CF248" s="656"/>
      <c r="CG248" s="1381"/>
    </row>
    <row r="249" spans="1:139" s="403" customFormat="1" ht="13.2">
      <c r="A249" s="155">
        <v>45159</v>
      </c>
      <c r="B249" s="243"/>
      <c r="C249" s="243"/>
      <c r="D249" s="243"/>
      <c r="E249" s="1276"/>
      <c r="F249" s="694"/>
      <c r="G249" s="694"/>
      <c r="H249" s="694"/>
      <c r="I249" s="656"/>
      <c r="J249" s="694"/>
      <c r="K249" s="402"/>
      <c r="L249" s="402"/>
      <c r="M249" s="243"/>
      <c r="N249" s="243"/>
      <c r="O249" s="694"/>
      <c r="P249" s="694"/>
      <c r="Q249" s="694"/>
      <c r="R249" s="694"/>
      <c r="S249" s="694"/>
      <c r="T249" s="694"/>
      <c r="U249" s="243"/>
      <c r="V249" s="243"/>
      <c r="W249" s="694"/>
      <c r="X249" s="694"/>
      <c r="Y249" s="694"/>
      <c r="Z249" s="243"/>
      <c r="AA249" s="243"/>
      <c r="AB249" s="694"/>
      <c r="AC249" s="694"/>
      <c r="AD249" s="694"/>
      <c r="AE249" s="243"/>
      <c r="AF249" s="244"/>
      <c r="AG249" s="243"/>
      <c r="AH249" s="243"/>
      <c r="AI249" s="402"/>
      <c r="AJ249" s="243"/>
      <c r="AK249" s="694"/>
      <c r="AL249" s="694"/>
      <c r="AM249" s="694"/>
      <c r="AN249" s="694"/>
      <c r="AO249" s="402"/>
      <c r="AP249" s="402"/>
      <c r="AQ249" s="694"/>
      <c r="AR249" s="694"/>
      <c r="AS249" s="694"/>
      <c r="AT249" s="981"/>
      <c r="AU249" s="694"/>
      <c r="AV249" s="694"/>
      <c r="AW249" s="694"/>
      <c r="AX249" s="694"/>
      <c r="AY249" s="694"/>
      <c r="AZ249" s="243"/>
      <c r="BA249" s="243"/>
      <c r="BB249" s="402"/>
      <c r="BC249" s="402"/>
      <c r="BD249" s="629"/>
      <c r="BE249" s="694"/>
      <c r="BF249" s="656"/>
      <c r="BG249" s="694"/>
      <c r="BH249" s="694"/>
      <c r="BI249" s="694"/>
      <c r="BJ249" s="694"/>
      <c r="BK249" s="694"/>
      <c r="BL249" s="694"/>
      <c r="BM249" s="656"/>
      <c r="BN249" s="656"/>
      <c r="BO249" s="694"/>
      <c r="BP249" s="694"/>
      <c r="BQ249" s="694"/>
      <c r="BR249" s="243"/>
      <c r="BS249" s="243"/>
      <c r="BT249" s="243"/>
      <c r="BU249" s="656"/>
      <c r="BV249" s="656"/>
      <c r="BW249" s="656"/>
      <c r="BX249" s="656"/>
      <c r="BY249" s="656"/>
      <c r="BZ249" s="656"/>
      <c r="CA249" s="694"/>
      <c r="CB249" s="694"/>
      <c r="CC249" s="694"/>
      <c r="CD249" s="694"/>
      <c r="CE249" s="694"/>
      <c r="CF249" s="694"/>
      <c r="CG249" s="1381"/>
      <c r="DF249" s="22"/>
      <c r="DG249" s="22"/>
      <c r="DH249" s="22"/>
      <c r="DI249" s="22"/>
      <c r="DJ249" s="22"/>
      <c r="DK249" s="22"/>
      <c r="DL249" s="22"/>
      <c r="DM249" s="22"/>
      <c r="DN249" s="22"/>
      <c r="DO249" s="22"/>
      <c r="DP249" s="22"/>
      <c r="DQ249" s="22"/>
      <c r="DR249" s="22"/>
      <c r="DS249" s="22"/>
      <c r="DT249" s="22"/>
      <c r="DU249" s="22"/>
      <c r="DV249" s="22"/>
      <c r="DW249" s="22"/>
      <c r="DX249" s="22"/>
      <c r="DY249" s="22"/>
      <c r="DZ249" s="22"/>
      <c r="EA249" s="22"/>
      <c r="EB249" s="22"/>
      <c r="EC249" s="22"/>
      <c r="ED249" s="22"/>
      <c r="EE249" s="22"/>
      <c r="EF249" s="22"/>
      <c r="EG249" s="22"/>
      <c r="EH249" s="22"/>
      <c r="EI249" s="22"/>
    </row>
    <row r="250" spans="1:139" ht="13.5" customHeight="1">
      <c r="A250" s="155">
        <v>45160</v>
      </c>
      <c r="B250" s="243"/>
      <c r="C250" s="243"/>
      <c r="D250" s="243"/>
      <c r="E250" s="1276"/>
      <c r="F250" s="694"/>
      <c r="G250" s="694"/>
      <c r="H250" s="694"/>
      <c r="I250" s="656"/>
      <c r="J250" s="694"/>
      <c r="K250" s="701"/>
      <c r="L250" s="701"/>
      <c r="M250" s="243"/>
      <c r="N250" s="243"/>
      <c r="O250" s="694"/>
      <c r="P250" s="694"/>
      <c r="Q250" s="694"/>
      <c r="R250" s="694"/>
      <c r="S250" s="694"/>
      <c r="T250" s="694"/>
      <c r="U250" s="243"/>
      <c r="V250" s="243"/>
      <c r="W250" s="694"/>
      <c r="X250" s="694"/>
      <c r="Y250" s="694"/>
      <c r="Z250" s="243"/>
      <c r="AA250" s="243"/>
      <c r="AB250" s="694"/>
      <c r="AC250" s="694"/>
      <c r="AD250" s="694"/>
      <c r="AE250" s="243"/>
      <c r="AF250" s="244"/>
      <c r="AG250" s="244"/>
      <c r="AH250" s="244"/>
      <c r="AI250" s="701"/>
      <c r="AJ250" s="244"/>
      <c r="AK250" s="694"/>
      <c r="AL250" s="694"/>
      <c r="AM250" s="694"/>
      <c r="AN250" s="694"/>
      <c r="AO250" s="402"/>
      <c r="AP250" s="402"/>
      <c r="AQ250" s="694"/>
      <c r="AR250" s="694"/>
      <c r="AS250" s="694"/>
      <c r="AT250" s="1051"/>
      <c r="AU250" s="694"/>
      <c r="AV250" s="694"/>
      <c r="AW250" s="694"/>
      <c r="AX250" s="694"/>
      <c r="AY250" s="694"/>
      <c r="AZ250" s="243"/>
      <c r="BA250" s="243"/>
      <c r="BB250" s="402"/>
      <c r="BC250" s="402"/>
      <c r="BD250" s="629"/>
      <c r="BE250" s="694"/>
      <c r="BF250" s="694"/>
      <c r="BG250" s="694"/>
      <c r="BH250" s="694"/>
      <c r="BI250" s="694"/>
      <c r="BJ250" s="694"/>
      <c r="BK250" s="694"/>
      <c r="BL250" s="694"/>
      <c r="BM250" s="656"/>
      <c r="BN250" s="656"/>
      <c r="BO250" s="694"/>
      <c r="BP250" s="694"/>
      <c r="BQ250" s="694"/>
      <c r="BR250" s="243"/>
      <c r="BS250" s="243"/>
      <c r="BT250" s="243"/>
      <c r="BU250" s="656"/>
      <c r="BV250" s="656"/>
      <c r="BW250" s="656"/>
      <c r="BX250" s="694"/>
      <c r="BY250" s="694"/>
      <c r="BZ250" s="694"/>
      <c r="CA250" s="694"/>
      <c r="CB250" s="694"/>
      <c r="CC250" s="694"/>
      <c r="CD250" s="694"/>
      <c r="CE250" s="694"/>
      <c r="CF250" s="694"/>
      <c r="CG250" s="1381"/>
    </row>
    <row r="251" spans="1:139" ht="13.5" customHeight="1">
      <c r="A251" s="155">
        <v>45161</v>
      </c>
      <c r="B251" s="243"/>
      <c r="C251" s="243"/>
      <c r="D251" s="243"/>
      <c r="E251" s="1276"/>
      <c r="F251" s="694"/>
      <c r="G251" s="694"/>
      <c r="H251" s="694"/>
      <c r="I251" s="656"/>
      <c r="J251" s="694"/>
      <c r="K251" s="701"/>
      <c r="L251" s="701"/>
      <c r="M251" s="243"/>
      <c r="N251" s="243"/>
      <c r="O251" s="694"/>
      <c r="P251" s="694"/>
      <c r="Q251" s="694"/>
      <c r="R251" s="694"/>
      <c r="S251" s="694"/>
      <c r="T251" s="694"/>
      <c r="U251" s="243"/>
      <c r="V251" s="243"/>
      <c r="W251" s="694"/>
      <c r="X251" s="694"/>
      <c r="Y251" s="694"/>
      <c r="Z251" s="243"/>
      <c r="AA251" s="243"/>
      <c r="AB251" s="694"/>
      <c r="AC251" s="694"/>
      <c r="AD251" s="694"/>
      <c r="AE251" s="243"/>
      <c r="AF251" s="244"/>
      <c r="AG251" s="244"/>
      <c r="AH251" s="244"/>
      <c r="AI251" s="701"/>
      <c r="AJ251" s="244"/>
      <c r="AK251" s="694"/>
      <c r="AL251" s="694"/>
      <c r="AM251" s="694"/>
      <c r="AN251" s="694"/>
      <c r="AO251" s="402"/>
      <c r="AP251" s="402"/>
      <c r="AQ251" s="694"/>
      <c r="AR251" s="694"/>
      <c r="AS251" s="694"/>
      <c r="AT251" s="1051"/>
      <c r="AU251" s="694"/>
      <c r="AV251" s="694"/>
      <c r="AW251" s="694"/>
      <c r="AX251" s="694"/>
      <c r="AY251" s="694"/>
      <c r="AZ251" s="243"/>
      <c r="BA251" s="243"/>
      <c r="BB251" s="402"/>
      <c r="BC251" s="402"/>
      <c r="BD251" s="629"/>
      <c r="BE251" s="694"/>
      <c r="BF251" s="694"/>
      <c r="BG251" s="244"/>
      <c r="BH251" s="244"/>
      <c r="BI251" s="1051"/>
      <c r="BJ251" s="244"/>
      <c r="BK251" s="702"/>
      <c r="BL251" s="702"/>
      <c r="BM251" s="656"/>
      <c r="BN251" s="656"/>
      <c r="BO251" s="244"/>
      <c r="BP251" s="244"/>
      <c r="BQ251" s="244"/>
      <c r="BR251" s="244"/>
      <c r="BS251" s="244"/>
      <c r="BT251" s="244"/>
      <c r="BU251" s="656"/>
      <c r="BV251" s="656"/>
      <c r="BW251" s="656"/>
      <c r="BX251" s="694"/>
      <c r="BY251" s="694"/>
      <c r="BZ251" s="694"/>
      <c r="CA251" s="694"/>
      <c r="CB251" s="694"/>
      <c r="CC251" s="244"/>
      <c r="CD251" s="244"/>
      <c r="CE251" s="694"/>
      <c r="CF251" s="694"/>
      <c r="CG251" s="1381"/>
    </row>
    <row r="252" spans="1:139" ht="13.5" customHeight="1">
      <c r="A252" s="155">
        <v>45162</v>
      </c>
      <c r="B252" s="656"/>
      <c r="C252" s="656"/>
      <c r="D252" s="694"/>
      <c r="E252" s="1352"/>
      <c r="F252" s="694"/>
      <c r="G252" s="694"/>
      <c r="H252" s="694"/>
      <c r="I252" s="694"/>
      <c r="J252" s="694"/>
      <c r="K252" s="701"/>
      <c r="L252" s="701"/>
      <c r="M252" s="243"/>
      <c r="N252" s="243"/>
      <c r="O252" s="694"/>
      <c r="P252" s="694"/>
      <c r="Q252" s="694"/>
      <c r="R252" s="694"/>
      <c r="S252" s="694"/>
      <c r="T252" s="694"/>
      <c r="U252" s="243"/>
      <c r="V252" s="243"/>
      <c r="W252" s="694"/>
      <c r="X252" s="694"/>
      <c r="Y252" s="694"/>
      <c r="Z252" s="243"/>
      <c r="AA252" s="243"/>
      <c r="AB252" s="694"/>
      <c r="AC252" s="694"/>
      <c r="AD252" s="694"/>
      <c r="AE252" s="243"/>
      <c r="AF252" s="244"/>
      <c r="AG252" s="244"/>
      <c r="AH252" s="244"/>
      <c r="AI252" s="701"/>
      <c r="AJ252" s="244"/>
      <c r="AK252" s="694"/>
      <c r="AL252" s="694"/>
      <c r="AM252" s="694"/>
      <c r="AN252" s="694"/>
      <c r="AO252" s="694"/>
      <c r="AP252" s="694"/>
      <c r="AQ252" s="694"/>
      <c r="AR252" s="694"/>
      <c r="AS252" s="701"/>
      <c r="AT252" s="1051"/>
      <c r="AU252" s="694"/>
      <c r="AV252" s="694"/>
      <c r="AW252" s="694"/>
      <c r="AX252" s="694"/>
      <c r="AY252" s="694"/>
      <c r="AZ252" s="243"/>
      <c r="BA252" s="243"/>
      <c r="BB252" s="694"/>
      <c r="BC252" s="694"/>
      <c r="BD252" s="1353"/>
      <c r="BE252" s="694"/>
      <c r="BF252" s="694"/>
      <c r="BG252" s="244"/>
      <c r="BH252" s="244"/>
      <c r="BI252" s="244"/>
      <c r="BJ252" s="244"/>
      <c r="BK252" s="702"/>
      <c r="BL252" s="702"/>
      <c r="BM252" s="656"/>
      <c r="BN252" s="656"/>
      <c r="BO252" s="244"/>
      <c r="BP252" s="244"/>
      <c r="BQ252" s="244"/>
      <c r="BR252" s="244"/>
      <c r="BS252" s="244"/>
      <c r="BT252" s="244"/>
      <c r="BU252" s="656"/>
      <c r="BV252" s="656"/>
      <c r="BW252" s="656"/>
      <c r="BX252" s="694"/>
      <c r="BY252" s="694"/>
      <c r="BZ252" s="694"/>
      <c r="CA252" s="694"/>
      <c r="CB252" s="694"/>
      <c r="CC252" s="244"/>
      <c r="CD252" s="244"/>
      <c r="CE252" s="694"/>
      <c r="CF252" s="694"/>
      <c r="CG252" s="1381"/>
    </row>
    <row r="253" spans="1:139" ht="13.5" customHeight="1">
      <c r="A253" s="155">
        <v>45163</v>
      </c>
      <c r="B253" s="656"/>
      <c r="C253" s="656"/>
      <c r="D253" s="694"/>
      <c r="E253" s="1352"/>
      <c r="F253" s="694"/>
      <c r="G253" s="694"/>
      <c r="H253" s="694"/>
      <c r="I253" s="694"/>
      <c r="J253" s="694"/>
      <c r="K253" s="701"/>
      <c r="L253" s="701"/>
      <c r="M253" s="243"/>
      <c r="N253" s="243"/>
      <c r="O253" s="694"/>
      <c r="P253" s="694"/>
      <c r="Q253" s="694"/>
      <c r="R253" s="694"/>
      <c r="S253" s="694"/>
      <c r="T253" s="694"/>
      <c r="U253" s="243"/>
      <c r="V253" s="243"/>
      <c r="W253" s="694"/>
      <c r="X253" s="694"/>
      <c r="Y253" s="694"/>
      <c r="Z253" s="243"/>
      <c r="AA253" s="243"/>
      <c r="AB253" s="694"/>
      <c r="AC253" s="694"/>
      <c r="AD253" s="694"/>
      <c r="AE253" s="243"/>
      <c r="AF253" s="244"/>
      <c r="AG253" s="244"/>
      <c r="AH253" s="244"/>
      <c r="AI253" s="701"/>
      <c r="AJ253" s="244"/>
      <c r="AK253" s="694"/>
      <c r="AL253" s="694"/>
      <c r="AM253" s="694"/>
      <c r="AN253" s="694"/>
      <c r="AO253" s="694"/>
      <c r="AP253" s="694"/>
      <c r="AQ253" s="694"/>
      <c r="AR253" s="694"/>
      <c r="AS253" s="701"/>
      <c r="AT253" s="1051"/>
      <c r="AU253" s="694"/>
      <c r="AV253" s="694"/>
      <c r="AW253" s="694"/>
      <c r="AX253" s="694"/>
      <c r="AY253" s="694"/>
      <c r="AZ253" s="243"/>
      <c r="BA253" s="243"/>
      <c r="BB253" s="694"/>
      <c r="BC253" s="694"/>
      <c r="BD253" s="1353"/>
      <c r="BE253" s="694"/>
      <c r="BF253" s="694"/>
      <c r="BG253" s="244"/>
      <c r="BH253" s="244"/>
      <c r="BI253" s="244"/>
      <c r="BJ253" s="244"/>
      <c r="BK253" s="702"/>
      <c r="BL253" s="702"/>
      <c r="BM253" s="694"/>
      <c r="BN253" s="694"/>
      <c r="BO253" s="244"/>
      <c r="BP253" s="244"/>
      <c r="BQ253" s="244"/>
      <c r="BR253" s="244"/>
      <c r="BS253" s="244"/>
      <c r="BT253" s="244"/>
      <c r="BU253" s="656"/>
      <c r="BV253" s="656"/>
      <c r="BW253" s="656"/>
      <c r="BX253" s="694"/>
      <c r="BY253" s="694"/>
      <c r="BZ253" s="694"/>
      <c r="CA253" s="694"/>
      <c r="CB253" s="694"/>
      <c r="CC253" s="244"/>
      <c r="CD253" s="244"/>
      <c r="CE253" s="694"/>
      <c r="CF253" s="694"/>
      <c r="CG253" s="1381"/>
    </row>
    <row r="254" spans="1:139" ht="13.5" customHeight="1">
      <c r="A254" s="155">
        <v>45164</v>
      </c>
      <c r="B254" s="656"/>
      <c r="C254" s="656"/>
      <c r="D254" s="694"/>
      <c r="E254" s="1352"/>
      <c r="F254" s="656"/>
      <c r="G254" s="656"/>
      <c r="H254" s="656"/>
      <c r="I254" s="656"/>
      <c r="J254" s="656"/>
      <c r="K254" s="656"/>
      <c r="L254" s="656"/>
      <c r="M254" s="243"/>
      <c r="N254" s="243"/>
      <c r="O254" s="656"/>
      <c r="P254" s="656"/>
      <c r="Q254" s="656"/>
      <c r="R254" s="656"/>
      <c r="S254" s="656"/>
      <c r="T254" s="656"/>
      <c r="U254" s="243"/>
      <c r="V254" s="243"/>
      <c r="W254" s="656"/>
      <c r="X254" s="656"/>
      <c r="Y254" s="656"/>
      <c r="Z254" s="243"/>
      <c r="AA254" s="243"/>
      <c r="AB254" s="656"/>
      <c r="AC254" s="656"/>
      <c r="AD254" s="656"/>
      <c r="AE254" s="243"/>
      <c r="AF254" s="244"/>
      <c r="AG254" s="656"/>
      <c r="AH254" s="656"/>
      <c r="AI254" s="656"/>
      <c r="AJ254" s="656"/>
      <c r="AK254" s="656"/>
      <c r="AL254" s="656"/>
      <c r="AM254" s="656"/>
      <c r="AN254" s="656"/>
      <c r="AO254" s="694"/>
      <c r="AP254" s="694"/>
      <c r="AQ254" s="656"/>
      <c r="AR254" s="656"/>
      <c r="AS254" s="656"/>
      <c r="AT254" s="656"/>
      <c r="AU254" s="656"/>
      <c r="AV254" s="656"/>
      <c r="AW254" s="656"/>
      <c r="AX254" s="656"/>
      <c r="AY254" s="656"/>
      <c r="AZ254" s="243"/>
      <c r="BA254" s="243"/>
      <c r="BB254" s="694"/>
      <c r="BC254" s="694"/>
      <c r="BD254" s="1353"/>
      <c r="BE254" s="656"/>
      <c r="BF254" s="656"/>
      <c r="BG254" s="244"/>
      <c r="BH254" s="244"/>
      <c r="BI254" s="244"/>
      <c r="BJ254" s="244"/>
      <c r="BK254" s="656"/>
      <c r="BL254" s="656"/>
      <c r="BM254" s="656"/>
      <c r="BN254" s="656"/>
      <c r="BO254" s="656"/>
      <c r="BP254" s="656"/>
      <c r="BQ254" s="656"/>
      <c r="BR254" s="244"/>
      <c r="BS254" s="656"/>
      <c r="BT254" s="656"/>
      <c r="BU254" s="656"/>
      <c r="BV254" s="656"/>
      <c r="BW254" s="656"/>
      <c r="BX254" s="656"/>
      <c r="BY254" s="656"/>
      <c r="BZ254" s="656"/>
      <c r="CA254" s="656"/>
      <c r="CB254" s="656"/>
      <c r="CC254" s="656"/>
      <c r="CD254" s="656"/>
      <c r="CE254" s="656"/>
      <c r="CF254" s="656"/>
      <c r="CG254" s="1381"/>
    </row>
    <row r="255" spans="1:139" ht="13.2">
      <c r="A255" s="155">
        <v>45165</v>
      </c>
      <c r="B255" s="656"/>
      <c r="C255" s="656"/>
      <c r="D255" s="694"/>
      <c r="E255" s="1352"/>
      <c r="F255" s="694"/>
      <c r="G255" s="694"/>
      <c r="H255" s="694"/>
      <c r="I255" s="694"/>
      <c r="J255" s="694"/>
      <c r="K255" s="701"/>
      <c r="L255" s="701"/>
      <c r="M255" s="243"/>
      <c r="N255" s="243"/>
      <c r="O255" s="694"/>
      <c r="P255" s="694"/>
      <c r="Q255" s="694"/>
      <c r="R255" s="694"/>
      <c r="S255" s="694"/>
      <c r="T255" s="694"/>
      <c r="U255" s="243"/>
      <c r="V255" s="243"/>
      <c r="W255" s="694"/>
      <c r="X255" s="694"/>
      <c r="Y255" s="694"/>
      <c r="Z255" s="243"/>
      <c r="AA255" s="243"/>
      <c r="AB255" s="694"/>
      <c r="AC255" s="694"/>
      <c r="AD255" s="694"/>
      <c r="AE255" s="243"/>
      <c r="AF255" s="244"/>
      <c r="AG255" s="244"/>
      <c r="AH255" s="244"/>
      <c r="AI255" s="701"/>
      <c r="AJ255" s="244"/>
      <c r="AK255" s="694"/>
      <c r="AL255" s="694"/>
      <c r="AM255" s="694"/>
      <c r="AN255" s="694"/>
      <c r="AO255" s="694"/>
      <c r="AP255" s="694"/>
      <c r="AQ255" s="694"/>
      <c r="AR255" s="694"/>
      <c r="AS255" s="701"/>
      <c r="AT255" s="1051"/>
      <c r="AU255" s="694"/>
      <c r="AV255" s="694"/>
      <c r="AW255" s="694"/>
      <c r="AX255" s="694"/>
      <c r="AY255" s="694"/>
      <c r="AZ255" s="243"/>
      <c r="BA255" s="243"/>
      <c r="BB255" s="694"/>
      <c r="BC255" s="694"/>
      <c r="BD255" s="1353"/>
      <c r="BE255" s="694"/>
      <c r="BF255" s="694"/>
      <c r="BG255" s="244"/>
      <c r="BH255" s="244"/>
      <c r="BI255" s="244"/>
      <c r="BJ255" s="244"/>
      <c r="BK255" s="702"/>
      <c r="BL255" s="702"/>
      <c r="BM255" s="656"/>
      <c r="BN255" s="656"/>
      <c r="BO255" s="244"/>
      <c r="BP255" s="244"/>
      <c r="BQ255" s="244"/>
      <c r="BR255" s="244"/>
      <c r="BS255" s="244"/>
      <c r="BT255" s="244"/>
      <c r="BU255" s="656"/>
      <c r="BV255" s="656"/>
      <c r="BW255" s="656"/>
      <c r="BX255" s="694"/>
      <c r="BY255" s="694"/>
      <c r="BZ255" s="694"/>
      <c r="CA255" s="694"/>
      <c r="CB255" s="694"/>
      <c r="CC255" s="244"/>
      <c r="CD255" s="244"/>
      <c r="CE255" s="694"/>
      <c r="CF255" s="694"/>
      <c r="CG255" s="1381"/>
    </row>
    <row r="256" spans="1:139" s="403" customFormat="1" ht="13.2">
      <c r="A256" s="155">
        <v>45166</v>
      </c>
      <c r="B256" s="656"/>
      <c r="C256" s="656"/>
      <c r="D256" s="694"/>
      <c r="E256" s="1352"/>
      <c r="F256" s="694"/>
      <c r="G256" s="694"/>
      <c r="H256" s="694"/>
      <c r="I256" s="694"/>
      <c r="J256" s="694"/>
      <c r="K256" s="694"/>
      <c r="L256" s="694"/>
      <c r="M256" s="243"/>
      <c r="N256" s="243"/>
      <c r="O256" s="694"/>
      <c r="P256" s="694"/>
      <c r="Q256" s="694"/>
      <c r="R256" s="694"/>
      <c r="S256" s="694"/>
      <c r="T256" s="694"/>
      <c r="U256" s="243"/>
      <c r="V256" s="243"/>
      <c r="W256" s="694"/>
      <c r="X256" s="694"/>
      <c r="Y256" s="694"/>
      <c r="Z256" s="243"/>
      <c r="AA256" s="243"/>
      <c r="AB256" s="694"/>
      <c r="AC256" s="694"/>
      <c r="AD256" s="694"/>
      <c r="AE256" s="243"/>
      <c r="AF256" s="244"/>
      <c r="AG256" s="694"/>
      <c r="AH256" s="694"/>
      <c r="AI256" s="694"/>
      <c r="AJ256" s="694"/>
      <c r="AK256" s="694"/>
      <c r="AL256" s="694"/>
      <c r="AM256" s="694"/>
      <c r="AN256" s="694"/>
      <c r="AO256" s="694"/>
      <c r="AP256" s="694"/>
      <c r="AQ256" s="694"/>
      <c r="AR256" s="694"/>
      <c r="AS256" s="694"/>
      <c r="AT256" s="694"/>
      <c r="AU256" s="694"/>
      <c r="AV256" s="694"/>
      <c r="AW256" s="694"/>
      <c r="AX256" s="694"/>
      <c r="AY256" s="694"/>
      <c r="AZ256" s="243"/>
      <c r="BA256" s="243"/>
      <c r="BB256" s="694"/>
      <c r="BC256" s="694"/>
      <c r="BD256" s="1353"/>
      <c r="BE256" s="694"/>
      <c r="BF256" s="694"/>
      <c r="BG256" s="244"/>
      <c r="BH256" s="244"/>
      <c r="BI256" s="244"/>
      <c r="BJ256" s="244"/>
      <c r="BK256" s="694"/>
      <c r="BL256" s="694"/>
      <c r="BM256" s="656"/>
      <c r="BN256" s="656"/>
      <c r="BO256" s="694"/>
      <c r="BP256" s="694"/>
      <c r="BQ256" s="694"/>
      <c r="BR256" s="694"/>
      <c r="BS256" s="694"/>
      <c r="BT256" s="694"/>
      <c r="BU256" s="656"/>
      <c r="BV256" s="656"/>
      <c r="BW256" s="656"/>
      <c r="BX256" s="694"/>
      <c r="BY256" s="694"/>
      <c r="BZ256" s="694"/>
      <c r="CA256" s="694"/>
      <c r="CB256" s="694"/>
      <c r="CC256" s="694"/>
      <c r="CD256" s="694"/>
      <c r="CE256" s="694"/>
      <c r="CF256" s="694"/>
      <c r="CG256" s="1381"/>
      <c r="CH256" s="22"/>
      <c r="CI256" s="22"/>
      <c r="CJ256" s="22"/>
      <c r="CK256" s="22"/>
      <c r="CL256" s="22"/>
      <c r="CM256" s="22"/>
      <c r="CN256" s="22"/>
      <c r="CO256" s="22"/>
      <c r="CP256" s="22"/>
      <c r="CQ256" s="22"/>
      <c r="CR256" s="22"/>
      <c r="CS256" s="22"/>
      <c r="CT256" s="22"/>
      <c r="CU256" s="22"/>
      <c r="CV256" s="22"/>
      <c r="CW256" s="22"/>
      <c r="CX256" s="22"/>
      <c r="CY256" s="22"/>
      <c r="CZ256" s="22"/>
      <c r="DA256" s="22"/>
      <c r="DB256" s="22"/>
      <c r="DC256" s="22"/>
      <c r="DD256" s="22"/>
      <c r="DE256" s="22"/>
      <c r="DF256" s="22"/>
      <c r="DG256" s="22"/>
      <c r="DH256" s="22"/>
      <c r="DI256" s="22"/>
      <c r="DJ256" s="22"/>
      <c r="DK256" s="22"/>
      <c r="DL256" s="22"/>
      <c r="DM256" s="22"/>
      <c r="DN256" s="22"/>
      <c r="DO256" s="22"/>
      <c r="DP256" s="22"/>
      <c r="DQ256" s="22"/>
      <c r="DR256" s="22"/>
      <c r="DS256" s="22"/>
      <c r="DT256" s="22"/>
      <c r="DU256" s="22"/>
      <c r="DV256" s="22"/>
      <c r="DW256" s="22"/>
    </row>
    <row r="257" spans="1:127" s="403" customFormat="1" ht="13.2">
      <c r="A257" s="155">
        <v>45167</v>
      </c>
      <c r="B257" s="656"/>
      <c r="C257" s="656"/>
      <c r="D257" s="694"/>
      <c r="E257" s="1352"/>
      <c r="F257" s="694"/>
      <c r="G257" s="694"/>
      <c r="H257" s="694"/>
      <c r="I257" s="694"/>
      <c r="J257" s="694"/>
      <c r="K257" s="694"/>
      <c r="L257" s="694"/>
      <c r="M257" s="243"/>
      <c r="N257" s="243"/>
      <c r="O257" s="694"/>
      <c r="P257" s="694"/>
      <c r="Q257" s="694"/>
      <c r="R257" s="694"/>
      <c r="S257" s="694"/>
      <c r="T257" s="694"/>
      <c r="U257" s="243"/>
      <c r="V257" s="243"/>
      <c r="W257" s="694"/>
      <c r="X257" s="694"/>
      <c r="Y257" s="694"/>
      <c r="Z257" s="243"/>
      <c r="AA257" s="243"/>
      <c r="AB257" s="694"/>
      <c r="AC257" s="694"/>
      <c r="AD257" s="694"/>
      <c r="AE257" s="243"/>
      <c r="AF257" s="244"/>
      <c r="AG257" s="694"/>
      <c r="AH257" s="694"/>
      <c r="AI257" s="694"/>
      <c r="AJ257" s="694"/>
      <c r="AK257" s="694"/>
      <c r="AL257" s="694"/>
      <c r="AM257" s="694"/>
      <c r="AN257" s="694"/>
      <c r="AO257" s="694"/>
      <c r="AP257" s="694"/>
      <c r="AQ257" s="694"/>
      <c r="AR257" s="694"/>
      <c r="AS257" s="694"/>
      <c r="AT257" s="694"/>
      <c r="AU257" s="694"/>
      <c r="AV257" s="694"/>
      <c r="AW257" s="694"/>
      <c r="AX257" s="694"/>
      <c r="AY257" s="694"/>
      <c r="AZ257" s="694"/>
      <c r="BA257" s="694"/>
      <c r="BB257" s="694"/>
      <c r="BC257" s="694"/>
      <c r="BD257" s="1353"/>
      <c r="BE257" s="694"/>
      <c r="BF257" s="694"/>
      <c r="BG257" s="244"/>
      <c r="BH257" s="244"/>
      <c r="BI257" s="244"/>
      <c r="BJ257" s="244"/>
      <c r="BK257" s="694"/>
      <c r="BL257" s="694"/>
      <c r="BM257" s="656"/>
      <c r="BN257" s="656"/>
      <c r="BO257" s="694"/>
      <c r="BP257" s="694"/>
      <c r="BQ257" s="694"/>
      <c r="BR257" s="694"/>
      <c r="BS257" s="694"/>
      <c r="BT257" s="694"/>
      <c r="BU257" s="656"/>
      <c r="BV257" s="656"/>
      <c r="BW257" s="656"/>
      <c r="BX257" s="694"/>
      <c r="BY257" s="694"/>
      <c r="BZ257" s="694"/>
      <c r="CA257" s="694"/>
      <c r="CB257" s="694"/>
      <c r="CC257" s="694"/>
      <c r="CD257" s="694"/>
      <c r="CE257" s="694"/>
      <c r="CF257" s="694"/>
      <c r="CG257" s="1381"/>
      <c r="CH257" s="22"/>
      <c r="CI257" s="22"/>
      <c r="CJ257" s="22"/>
      <c r="CK257" s="22"/>
      <c r="CL257" s="22"/>
      <c r="CM257" s="22"/>
      <c r="CN257" s="22"/>
      <c r="CO257" s="22"/>
      <c r="CP257" s="22"/>
      <c r="CQ257" s="22"/>
      <c r="CR257" s="22"/>
      <c r="CS257" s="22"/>
      <c r="CT257" s="22"/>
      <c r="CU257" s="22"/>
      <c r="CV257" s="22"/>
      <c r="CW257" s="22"/>
      <c r="CX257" s="22"/>
      <c r="CY257" s="22"/>
      <c r="CZ257" s="22"/>
      <c r="DA257" s="22"/>
      <c r="DB257" s="22"/>
      <c r="DC257" s="22"/>
      <c r="DD257" s="22"/>
      <c r="DE257" s="22"/>
      <c r="DF257" s="22"/>
      <c r="DG257" s="22"/>
      <c r="DH257" s="22"/>
      <c r="DI257" s="22"/>
      <c r="DJ257" s="22"/>
      <c r="DK257" s="22"/>
      <c r="DL257" s="22"/>
      <c r="DM257" s="22"/>
      <c r="DN257" s="22"/>
      <c r="DO257" s="22"/>
      <c r="DP257" s="22"/>
      <c r="DQ257" s="22"/>
      <c r="DR257" s="22"/>
      <c r="DS257" s="22"/>
      <c r="DT257" s="22"/>
      <c r="DU257" s="22"/>
      <c r="DV257" s="22"/>
      <c r="DW257" s="22"/>
    </row>
    <row r="258" spans="1:127" s="403" customFormat="1" ht="13.2">
      <c r="A258" s="155">
        <v>45168</v>
      </c>
      <c r="B258" s="694"/>
      <c r="C258" s="694"/>
      <c r="D258" s="1051"/>
      <c r="E258" s="1277"/>
      <c r="F258" s="694"/>
      <c r="G258" s="694"/>
      <c r="H258" s="694"/>
      <c r="I258" s="694"/>
      <c r="J258" s="694"/>
      <c r="K258" s="694"/>
      <c r="L258" s="694"/>
      <c r="M258" s="243"/>
      <c r="N258" s="243"/>
      <c r="O258" s="1355"/>
      <c r="P258" s="1051"/>
      <c r="Q258" s="1051"/>
      <c r="R258" s="1051"/>
      <c r="S258" s="1051"/>
      <c r="T258" s="1051"/>
      <c r="U258" s="243"/>
      <c r="V258" s="243"/>
      <c r="W258" s="1051"/>
      <c r="X258" s="1051"/>
      <c r="Y258" s="1051"/>
      <c r="Z258" s="243"/>
      <c r="AA258" s="243"/>
      <c r="AB258" s="1051"/>
      <c r="AC258" s="1051"/>
      <c r="AD258" s="1051"/>
      <c r="AE258" s="243"/>
      <c r="AF258" s="244"/>
      <c r="AG258" s="244"/>
      <c r="AH258" s="244"/>
      <c r="AI258" s="1051"/>
      <c r="AJ258" s="1051"/>
      <c r="AK258" s="1051"/>
      <c r="AL258" s="1355"/>
      <c r="AM258" s="694"/>
      <c r="AN258" s="694"/>
      <c r="AO258" s="694"/>
      <c r="AP258" s="694"/>
      <c r="AQ258" s="1051"/>
      <c r="AR258" s="1051"/>
      <c r="AS258" s="1051"/>
      <c r="AT258" s="694"/>
      <c r="AU258" s="694"/>
      <c r="AV258" s="694"/>
      <c r="AW258" s="694"/>
      <c r="AX258" s="694"/>
      <c r="AY258" s="694"/>
      <c r="AZ258" s="694"/>
      <c r="BA258" s="694"/>
      <c r="BB258" s="1051"/>
      <c r="BC258" s="1051"/>
      <c r="BD258" s="1353"/>
      <c r="BE258" s="1051"/>
      <c r="BF258" s="1051"/>
      <c r="BG258" s="1051"/>
      <c r="BH258" s="1051"/>
      <c r="BI258" s="1051"/>
      <c r="BJ258" s="1051"/>
      <c r="BK258" s="1051"/>
      <c r="BL258" s="1051"/>
      <c r="BM258" s="656"/>
      <c r="BN258" s="656"/>
      <c r="BO258" s="1051"/>
      <c r="BP258" s="1051"/>
      <c r="BQ258" s="1051"/>
      <c r="BR258" s="244"/>
      <c r="BS258" s="244"/>
      <c r="BT258" s="244"/>
      <c r="BU258" s="694"/>
      <c r="BV258" s="694"/>
      <c r="BW258" s="694"/>
      <c r="BX258" s="694"/>
      <c r="BY258" s="694"/>
      <c r="BZ258" s="694"/>
      <c r="CA258" s="1051"/>
      <c r="CB258" s="1051"/>
      <c r="CC258" s="1051"/>
      <c r="CD258" s="1051"/>
      <c r="CE258" s="694"/>
      <c r="CF258" s="694"/>
      <c r="CG258" s="1381"/>
      <c r="CH258" s="22"/>
      <c r="CI258" s="22"/>
      <c r="CJ258" s="22"/>
      <c r="CK258" s="22"/>
      <c r="CL258" s="22"/>
      <c r="CM258" s="22"/>
      <c r="CN258" s="22"/>
      <c r="CO258" s="22"/>
      <c r="CP258" s="22"/>
      <c r="CQ258" s="22"/>
      <c r="CR258" s="22"/>
      <c r="CS258" s="22"/>
      <c r="CT258" s="22"/>
      <c r="CU258" s="22"/>
      <c r="CV258" s="22"/>
      <c r="CW258" s="22"/>
      <c r="CX258" s="22"/>
      <c r="CY258" s="22"/>
      <c r="CZ258" s="22"/>
      <c r="DA258" s="22"/>
      <c r="DB258" s="22"/>
      <c r="DC258" s="22"/>
      <c r="DD258" s="22"/>
      <c r="DE258" s="22"/>
      <c r="DF258" s="22"/>
      <c r="DG258" s="22"/>
      <c r="DH258" s="22"/>
      <c r="DI258" s="22"/>
      <c r="DJ258" s="22"/>
      <c r="DK258" s="22"/>
      <c r="DL258" s="22"/>
      <c r="DM258" s="22"/>
      <c r="DN258" s="22"/>
      <c r="DO258" s="22"/>
      <c r="DP258" s="22"/>
      <c r="DQ258" s="22"/>
      <c r="DR258" s="22"/>
      <c r="DS258" s="22"/>
      <c r="DT258" s="22"/>
      <c r="DU258" s="22"/>
      <c r="DV258" s="22"/>
      <c r="DW258" s="22"/>
    </row>
    <row r="259" spans="1:127" s="403" customFormat="1" ht="13.2">
      <c r="A259" s="155">
        <v>45169</v>
      </c>
      <c r="B259" s="694"/>
      <c r="C259" s="694"/>
      <c r="D259" s="1051"/>
      <c r="E259" s="1270"/>
      <c r="F259" s="981"/>
      <c r="G259" s="981"/>
      <c r="H259" s="981"/>
      <c r="I259" s="981"/>
      <c r="J259" s="981"/>
      <c r="K259" s="656"/>
      <c r="L259" s="656"/>
      <c r="M259" s="243"/>
      <c r="N259" s="243"/>
      <c r="O259" s="981"/>
      <c r="P259" s="981"/>
      <c r="Q259" s="981"/>
      <c r="R259" s="981"/>
      <c r="S259" s="981"/>
      <c r="T259" s="981"/>
      <c r="U259" s="243"/>
      <c r="V259" s="243"/>
      <c r="W259" s="981"/>
      <c r="X259" s="981"/>
      <c r="Y259" s="981"/>
      <c r="Z259" s="243"/>
      <c r="AA259" s="243"/>
      <c r="AB259" s="981"/>
      <c r="AC259" s="981"/>
      <c r="AD259" s="981"/>
      <c r="AE259" s="243"/>
      <c r="AF259" s="244"/>
      <c r="AG259" s="243"/>
      <c r="AH259" s="243"/>
      <c r="AI259" s="981"/>
      <c r="AJ259" s="981"/>
      <c r="AK259" s="981"/>
      <c r="AL259" s="981"/>
      <c r="AM259" s="694"/>
      <c r="AN259" s="694"/>
      <c r="AO259" s="694"/>
      <c r="AP259" s="694"/>
      <c r="AQ259" s="981"/>
      <c r="AR259" s="981"/>
      <c r="AS259" s="981"/>
      <c r="AT259" s="656"/>
      <c r="AU259" s="981"/>
      <c r="AV259" s="981"/>
      <c r="AW259" s="981"/>
      <c r="AX259" s="981"/>
      <c r="AY259" s="981"/>
      <c r="AZ259" s="694"/>
      <c r="BA259" s="694"/>
      <c r="BB259" s="1051"/>
      <c r="BC259" s="1051"/>
      <c r="BD259" s="1353"/>
      <c r="BE259" s="1051"/>
      <c r="BF259" s="1051"/>
      <c r="BG259" s="981"/>
      <c r="BH259" s="981"/>
      <c r="BI259" s="981"/>
      <c r="BJ259" s="981"/>
      <c r="BK259" s="981"/>
      <c r="BL259" s="981"/>
      <c r="BM259" s="656"/>
      <c r="BN259" s="656"/>
      <c r="BO259" s="981"/>
      <c r="BP259" s="981"/>
      <c r="BQ259" s="981"/>
      <c r="BR259" s="981"/>
      <c r="BS259" s="981"/>
      <c r="BT259" s="981"/>
      <c r="BU259" s="694"/>
      <c r="BV259" s="694"/>
      <c r="BW259" s="694"/>
      <c r="BX259" s="694"/>
      <c r="BY259" s="694"/>
      <c r="BZ259" s="694"/>
      <c r="CA259" s="981"/>
      <c r="CB259" s="981"/>
      <c r="CC259" s="981"/>
      <c r="CD259" s="981"/>
      <c r="CE259" s="981"/>
      <c r="CF259" s="981"/>
      <c r="CG259" s="1381"/>
      <c r="CH259" s="22"/>
      <c r="CI259" s="22"/>
      <c r="CJ259" s="22"/>
      <c r="CK259" s="22"/>
      <c r="CL259" s="22"/>
      <c r="CM259" s="22"/>
      <c r="CN259" s="22"/>
      <c r="CO259" s="22"/>
      <c r="CP259" s="22"/>
      <c r="CQ259" s="22"/>
      <c r="CR259" s="22"/>
      <c r="CS259" s="22"/>
      <c r="CT259" s="22"/>
      <c r="CU259" s="22"/>
      <c r="CV259" s="22"/>
      <c r="CW259" s="22"/>
      <c r="CX259" s="22"/>
      <c r="CY259" s="22"/>
      <c r="CZ259" s="22"/>
      <c r="DA259" s="22"/>
      <c r="DB259" s="22"/>
      <c r="DC259" s="22"/>
      <c r="DD259" s="22"/>
      <c r="DE259" s="22"/>
      <c r="DF259" s="22"/>
      <c r="DG259" s="22"/>
      <c r="DH259" s="22"/>
      <c r="DI259" s="22"/>
      <c r="DJ259" s="22"/>
      <c r="DK259" s="22"/>
      <c r="DL259" s="22"/>
      <c r="DM259" s="22"/>
      <c r="DN259" s="22"/>
      <c r="DO259" s="22"/>
      <c r="DP259" s="22"/>
      <c r="DQ259" s="22"/>
      <c r="DR259" s="22"/>
      <c r="DS259" s="22"/>
      <c r="DT259" s="22"/>
      <c r="DU259" s="22"/>
      <c r="DV259" s="22"/>
      <c r="DW259" s="22"/>
    </row>
    <row r="260" spans="1:127" ht="13.2">
      <c r="A260" s="177"/>
      <c r="B260" s="181"/>
      <c r="C260" s="181"/>
      <c r="D260" s="181"/>
      <c r="E260" s="1364"/>
      <c r="F260" s="181"/>
      <c r="G260" s="181"/>
      <c r="H260" s="181"/>
      <c r="I260" s="181"/>
      <c r="J260" s="181"/>
      <c r="K260" s="181"/>
      <c r="L260" s="181"/>
      <c r="M260" s="181"/>
      <c r="N260" s="181"/>
      <c r="O260" s="181"/>
      <c r="P260" s="181"/>
      <c r="Q260" s="181"/>
      <c r="R260" s="181"/>
      <c r="S260" s="181"/>
      <c r="T260" s="181"/>
      <c r="U260" s="181"/>
      <c r="V260" s="181"/>
      <c r="W260" s="181"/>
      <c r="X260" s="181"/>
      <c r="Y260" s="181"/>
      <c r="Z260" s="181"/>
      <c r="AA260" s="181"/>
      <c r="AB260" s="181"/>
      <c r="AC260" s="181"/>
      <c r="AD260" s="181"/>
      <c r="AE260" s="181"/>
      <c r="AF260" s="181"/>
      <c r="AG260" s="181"/>
      <c r="AH260" s="181"/>
      <c r="AI260" s="181"/>
      <c r="AJ260" s="181"/>
      <c r="AK260" s="181"/>
      <c r="AL260" s="181"/>
      <c r="AM260" s="181"/>
      <c r="AN260" s="181"/>
      <c r="AO260" s="181"/>
      <c r="AP260" s="181"/>
      <c r="AQ260" s="181"/>
      <c r="AR260" s="181"/>
      <c r="AS260" s="181"/>
      <c r="AT260" s="181"/>
      <c r="AU260" s="181"/>
      <c r="AV260" s="181"/>
      <c r="AW260" s="181"/>
      <c r="AX260" s="181"/>
      <c r="AY260" s="181"/>
      <c r="AZ260" s="181"/>
      <c r="BA260" s="181"/>
      <c r="BB260" s="181"/>
      <c r="BC260" s="181"/>
      <c r="BD260" s="1746"/>
      <c r="BE260" s="181"/>
      <c r="BF260" s="181"/>
      <c r="BG260" s="181"/>
      <c r="BH260" s="181"/>
      <c r="BI260" s="181"/>
      <c r="BJ260" s="181"/>
      <c r="BK260" s="181"/>
      <c r="BL260" s="181"/>
      <c r="BM260" s="181"/>
      <c r="BN260" s="181"/>
      <c r="BO260" s="181"/>
      <c r="BP260" s="181"/>
      <c r="BQ260" s="181"/>
      <c r="BR260" s="181"/>
      <c r="BS260" s="181"/>
      <c r="BT260" s="181"/>
      <c r="BU260" s="181"/>
      <c r="BV260" s="181"/>
      <c r="BW260" s="181"/>
      <c r="BX260" s="181"/>
      <c r="BY260" s="181"/>
      <c r="BZ260" s="181"/>
      <c r="CA260" s="181"/>
      <c r="CB260" s="181"/>
      <c r="CC260" s="181"/>
      <c r="CD260" s="181"/>
      <c r="CE260" s="181"/>
      <c r="CF260" s="181"/>
      <c r="CG260" s="1372"/>
    </row>
    <row r="261" spans="1:127" s="403" customFormat="1" ht="13.2">
      <c r="A261" s="1351">
        <v>45169</v>
      </c>
      <c r="B261" s="694"/>
      <c r="C261" s="694"/>
      <c r="D261" s="1051"/>
      <c r="E261" s="1270"/>
      <c r="F261" s="981"/>
      <c r="G261" s="981"/>
      <c r="H261" s="981"/>
      <c r="I261" s="981"/>
      <c r="J261" s="981"/>
      <c r="K261" s="656"/>
      <c r="L261" s="656"/>
      <c r="M261" s="981"/>
      <c r="N261" s="981"/>
      <c r="O261" s="981"/>
      <c r="P261" s="981"/>
      <c r="Q261" s="981"/>
      <c r="R261" s="981"/>
      <c r="S261" s="981"/>
      <c r="T261" s="981"/>
      <c r="U261" s="1051"/>
      <c r="V261" s="1051"/>
      <c r="W261" s="981"/>
      <c r="X261" s="981"/>
      <c r="Y261" s="981"/>
      <c r="Z261" s="656"/>
      <c r="AA261" s="701"/>
      <c r="AB261" s="981"/>
      <c r="AC261" s="981"/>
      <c r="AD261" s="981"/>
      <c r="AE261" s="656"/>
      <c r="AF261" s="694"/>
      <c r="AG261" s="243"/>
      <c r="AH261" s="243"/>
      <c r="AI261" s="981"/>
      <c r="AJ261" s="981"/>
      <c r="AK261" s="981"/>
      <c r="AL261" s="981"/>
      <c r="AM261" s="694"/>
      <c r="AN261" s="694"/>
      <c r="AO261" s="243"/>
      <c r="AP261" s="243"/>
      <c r="AQ261" s="981"/>
      <c r="AR261" s="981"/>
      <c r="AS261" s="981"/>
      <c r="AT261" s="656"/>
      <c r="AU261" s="981"/>
      <c r="AV261" s="981"/>
      <c r="AW261" s="981"/>
      <c r="AX261" s="981"/>
      <c r="AY261" s="981"/>
      <c r="AZ261" s="694"/>
      <c r="BA261" s="694"/>
      <c r="BB261" s="981"/>
      <c r="BC261" s="981"/>
      <c r="BD261" s="1353"/>
      <c r="BE261" s="1051"/>
      <c r="BF261" s="981"/>
      <c r="BG261" s="981"/>
      <c r="BH261" s="981"/>
      <c r="BI261" s="981"/>
      <c r="BJ261" s="981"/>
      <c r="BK261" s="981"/>
      <c r="BL261" s="981"/>
      <c r="BM261" s="656"/>
      <c r="BN261" s="656"/>
      <c r="BO261" s="981"/>
      <c r="BP261" s="981"/>
      <c r="BQ261" s="981"/>
      <c r="BR261" s="981"/>
      <c r="BS261" s="981"/>
      <c r="BT261" s="981"/>
      <c r="BU261" s="981"/>
      <c r="BV261" s="981"/>
      <c r="BW261" s="981"/>
      <c r="BX261" s="694"/>
      <c r="BY261" s="694"/>
      <c r="BZ261" s="694"/>
      <c r="CA261" s="981"/>
      <c r="CB261" s="981"/>
      <c r="CC261" s="981"/>
      <c r="CD261" s="981"/>
      <c r="CE261" s="981"/>
      <c r="CF261" s="981"/>
      <c r="CG261" s="1283"/>
      <c r="CH261" s="22"/>
      <c r="CI261" s="22"/>
      <c r="CJ261" s="22"/>
      <c r="CK261" s="22"/>
      <c r="CL261" s="22"/>
      <c r="CM261" s="22"/>
      <c r="CN261" s="22"/>
      <c r="CO261" s="22"/>
      <c r="CP261" s="22"/>
      <c r="CQ261" s="22"/>
      <c r="CR261" s="22"/>
      <c r="CS261" s="22"/>
      <c r="CT261" s="22"/>
      <c r="CU261" s="22"/>
      <c r="CV261" s="22"/>
      <c r="CW261" s="22"/>
      <c r="CX261" s="22"/>
      <c r="CY261" s="22"/>
      <c r="CZ261" s="22"/>
      <c r="DA261" s="22"/>
      <c r="DB261" s="22"/>
      <c r="DC261" s="22"/>
      <c r="DD261" s="22"/>
      <c r="DE261" s="22"/>
      <c r="DF261" s="22"/>
      <c r="DG261" s="22"/>
      <c r="DH261" s="22"/>
      <c r="DI261" s="22"/>
      <c r="DJ261" s="22"/>
      <c r="DK261" s="22"/>
      <c r="DL261" s="22"/>
      <c r="DM261" s="22"/>
      <c r="DN261" s="22"/>
      <c r="DO261" s="22"/>
      <c r="DP261" s="22"/>
      <c r="DQ261" s="22"/>
      <c r="DR261" s="22"/>
      <c r="DS261" s="22"/>
      <c r="DT261" s="22"/>
      <c r="DU261" s="22"/>
      <c r="DV261" s="22"/>
      <c r="DW261" s="22"/>
    </row>
    <row r="262" spans="1:127" s="403" customFormat="1" ht="13.2">
      <c r="A262" s="1351">
        <v>45170</v>
      </c>
      <c r="B262" s="694"/>
      <c r="C262" s="694"/>
      <c r="D262" s="1051"/>
      <c r="E262" s="1270"/>
      <c r="F262" s="981"/>
      <c r="G262" s="981"/>
      <c r="H262" s="981"/>
      <c r="I262" s="981"/>
      <c r="J262" s="981"/>
      <c r="K262" s="656"/>
      <c r="L262" s="656"/>
      <c r="M262" s="981"/>
      <c r="N262" s="981"/>
      <c r="O262" s="981"/>
      <c r="P262" s="981"/>
      <c r="Q262" s="981"/>
      <c r="R262" s="981"/>
      <c r="S262" s="981"/>
      <c r="T262" s="981"/>
      <c r="U262" s="1051"/>
      <c r="V262" s="1051"/>
      <c r="W262" s="981"/>
      <c r="X262" s="981"/>
      <c r="Y262" s="981"/>
      <c r="Z262" s="656"/>
      <c r="AA262" s="701"/>
      <c r="AB262" s="981"/>
      <c r="AC262" s="981"/>
      <c r="AD262" s="981"/>
      <c r="AE262" s="656"/>
      <c r="AF262" s="694"/>
      <c r="AG262" s="243"/>
      <c r="AH262" s="243"/>
      <c r="AI262" s="981"/>
      <c r="AJ262" s="981"/>
      <c r="AK262" s="981"/>
      <c r="AL262" s="981"/>
      <c r="AM262" s="694"/>
      <c r="AN262" s="694"/>
      <c r="AO262" s="243"/>
      <c r="AP262" s="243"/>
      <c r="AQ262" s="981"/>
      <c r="AR262" s="981"/>
      <c r="AS262" s="981"/>
      <c r="AT262" s="656"/>
      <c r="AU262" s="981"/>
      <c r="AV262" s="981"/>
      <c r="AW262" s="981"/>
      <c r="AX262" s="981"/>
      <c r="AY262" s="981"/>
      <c r="AZ262" s="694"/>
      <c r="BA262" s="694"/>
      <c r="BB262" s="981"/>
      <c r="BC262" s="981"/>
      <c r="BD262" s="1353"/>
      <c r="BE262" s="1051"/>
      <c r="BF262" s="981"/>
      <c r="BG262" s="981"/>
      <c r="BH262" s="981"/>
      <c r="BI262" s="981"/>
      <c r="BJ262" s="981"/>
      <c r="BK262" s="981"/>
      <c r="BL262" s="981"/>
      <c r="BM262" s="656"/>
      <c r="BN262" s="656"/>
      <c r="BO262" s="981"/>
      <c r="BP262" s="981"/>
      <c r="BQ262" s="981"/>
      <c r="BR262" s="981"/>
      <c r="BS262" s="981"/>
      <c r="BT262" s="981"/>
      <c r="BU262" s="981"/>
      <c r="BV262" s="981"/>
      <c r="BW262" s="981"/>
      <c r="BX262" s="694"/>
      <c r="BY262" s="694"/>
      <c r="BZ262" s="694"/>
      <c r="CA262" s="981"/>
      <c r="CB262" s="981"/>
      <c r="CC262" s="981"/>
      <c r="CD262" s="981"/>
      <c r="CE262" s="981"/>
      <c r="CF262" s="981"/>
      <c r="CG262" s="1283"/>
      <c r="CH262" s="22"/>
      <c r="CI262" s="22"/>
      <c r="CJ262" s="22"/>
      <c r="CK262" s="22"/>
      <c r="CL262" s="22"/>
      <c r="CM262" s="22"/>
      <c r="CN262" s="22"/>
      <c r="CO262" s="22"/>
      <c r="CP262" s="22"/>
      <c r="CQ262" s="22"/>
      <c r="CR262" s="22"/>
      <c r="CS262" s="22"/>
      <c r="CT262" s="22"/>
      <c r="CU262" s="22"/>
      <c r="CV262" s="22"/>
      <c r="CW262" s="22"/>
      <c r="CX262" s="22"/>
      <c r="CY262" s="22"/>
      <c r="CZ262" s="22"/>
      <c r="DA262" s="22"/>
      <c r="DB262" s="22"/>
      <c r="DC262" s="22"/>
      <c r="DD262" s="22"/>
      <c r="DE262" s="22"/>
      <c r="DF262" s="22"/>
      <c r="DG262" s="22"/>
      <c r="DH262" s="22"/>
      <c r="DI262" s="22"/>
      <c r="DJ262" s="22"/>
      <c r="DK262" s="22"/>
      <c r="DL262" s="22"/>
      <c r="DM262" s="22"/>
      <c r="DN262" s="22"/>
      <c r="DO262" s="22"/>
      <c r="DP262" s="22"/>
      <c r="DQ262" s="22"/>
      <c r="DR262" s="22"/>
      <c r="DS262" s="22"/>
      <c r="DT262" s="22"/>
      <c r="DU262" s="22"/>
      <c r="DV262" s="22"/>
      <c r="DW262" s="22"/>
    </row>
    <row r="263" spans="1:127" s="403" customFormat="1" ht="13.2">
      <c r="A263" s="1351">
        <v>45171</v>
      </c>
      <c r="B263" s="694"/>
      <c r="C263" s="694"/>
      <c r="D263" s="1051"/>
      <c r="E263" s="1270"/>
      <c r="F263" s="981"/>
      <c r="G263" s="981"/>
      <c r="H263" s="981"/>
      <c r="I263" s="981"/>
      <c r="J263" s="981"/>
      <c r="K263" s="981"/>
      <c r="L263" s="981"/>
      <c r="M263" s="981"/>
      <c r="N263" s="981"/>
      <c r="O263" s="981"/>
      <c r="P263" s="981"/>
      <c r="Q263" s="981"/>
      <c r="R263" s="981"/>
      <c r="S263" s="981"/>
      <c r="T263" s="981"/>
      <c r="U263" s="1051"/>
      <c r="V263" s="1051"/>
      <c r="W263" s="981"/>
      <c r="X263" s="981"/>
      <c r="Y263" s="981"/>
      <c r="Z263" s="656"/>
      <c r="AA263" s="701"/>
      <c r="AB263" s="981"/>
      <c r="AC263" s="981"/>
      <c r="AD263" s="981"/>
      <c r="AE263" s="656"/>
      <c r="AF263" s="694"/>
      <c r="AG263" s="981"/>
      <c r="AH263" s="981"/>
      <c r="AI263" s="981"/>
      <c r="AJ263" s="981"/>
      <c r="AK263" s="981"/>
      <c r="AL263" s="981"/>
      <c r="AM263" s="981"/>
      <c r="AN263" s="981"/>
      <c r="AO263" s="243"/>
      <c r="AP263" s="243"/>
      <c r="AQ263" s="981"/>
      <c r="AR263" s="981"/>
      <c r="AS263" s="981"/>
      <c r="AT263" s="981"/>
      <c r="AU263" s="981"/>
      <c r="AV263" s="981"/>
      <c r="AW263" s="981"/>
      <c r="AX263" s="981"/>
      <c r="AY263" s="981"/>
      <c r="AZ263" s="694"/>
      <c r="BA263" s="694"/>
      <c r="BB263" s="981"/>
      <c r="BC263" s="981"/>
      <c r="BD263" s="1353"/>
      <c r="BE263" s="981"/>
      <c r="BF263" s="981"/>
      <c r="BG263" s="981"/>
      <c r="BH263" s="981"/>
      <c r="BI263" s="981"/>
      <c r="BJ263" s="981"/>
      <c r="BK263" s="981"/>
      <c r="BL263" s="981"/>
      <c r="BM263" s="981"/>
      <c r="BN263" s="981"/>
      <c r="BO263" s="981"/>
      <c r="BP263" s="981"/>
      <c r="BQ263" s="981"/>
      <c r="BR263" s="981"/>
      <c r="BS263" s="981"/>
      <c r="BT263" s="981"/>
      <c r="BU263" s="981"/>
      <c r="BV263" s="981"/>
      <c r="BW263" s="981"/>
      <c r="BX263" s="981"/>
      <c r="BY263" s="981"/>
      <c r="BZ263" s="981"/>
      <c r="CA263" s="981"/>
      <c r="CB263" s="981"/>
      <c r="CC263" s="981"/>
      <c r="CD263" s="981"/>
      <c r="CE263" s="981"/>
      <c r="CF263" s="981"/>
      <c r="CG263" s="1283"/>
      <c r="CH263" s="22"/>
      <c r="CI263" s="22"/>
      <c r="CJ263" s="22"/>
      <c r="CK263" s="22"/>
      <c r="CL263" s="22"/>
      <c r="CM263" s="22"/>
      <c r="CN263" s="22"/>
      <c r="CO263" s="22"/>
      <c r="CP263" s="22"/>
      <c r="CQ263" s="22"/>
      <c r="CR263" s="22"/>
      <c r="CS263" s="22"/>
      <c r="CT263" s="22"/>
      <c r="CU263" s="22"/>
      <c r="CV263" s="22"/>
      <c r="CW263" s="22"/>
      <c r="CX263" s="22"/>
      <c r="CY263" s="22"/>
      <c r="CZ263" s="22"/>
      <c r="DA263" s="22"/>
      <c r="DB263" s="22"/>
      <c r="DC263" s="22"/>
      <c r="DD263" s="22"/>
      <c r="DE263" s="22"/>
      <c r="DF263" s="22"/>
      <c r="DG263" s="22"/>
      <c r="DH263" s="22"/>
      <c r="DI263" s="22"/>
      <c r="DJ263" s="22"/>
      <c r="DK263" s="22"/>
      <c r="DL263" s="22"/>
      <c r="DM263" s="22"/>
      <c r="DN263" s="22"/>
      <c r="DO263" s="22"/>
      <c r="DP263" s="22"/>
      <c r="DQ263" s="22"/>
      <c r="DR263" s="22"/>
      <c r="DS263" s="22"/>
      <c r="DT263" s="22"/>
      <c r="DU263" s="22"/>
      <c r="DV263" s="22"/>
      <c r="DW263" s="22"/>
    </row>
    <row r="264" spans="1:127" s="403" customFormat="1" ht="13.2">
      <c r="A264" s="1351">
        <v>45172</v>
      </c>
      <c r="B264" s="694"/>
      <c r="C264" s="694"/>
      <c r="D264" s="1051"/>
      <c r="E264" s="1270"/>
      <c r="F264" s="981"/>
      <c r="G264" s="981"/>
      <c r="H264" s="981"/>
      <c r="I264" s="981"/>
      <c r="J264" s="981"/>
      <c r="K264" s="981"/>
      <c r="L264" s="981"/>
      <c r="M264" s="981"/>
      <c r="N264" s="981"/>
      <c r="O264" s="981"/>
      <c r="P264" s="981"/>
      <c r="Q264" s="981"/>
      <c r="R264" s="981"/>
      <c r="S264" s="981"/>
      <c r="T264" s="981"/>
      <c r="U264" s="1051"/>
      <c r="V264" s="1051"/>
      <c r="W264" s="981"/>
      <c r="X264" s="981"/>
      <c r="Y264" s="981"/>
      <c r="Z264" s="656"/>
      <c r="AA264" s="701"/>
      <c r="AB264" s="981"/>
      <c r="AC264" s="981"/>
      <c r="AD264" s="981"/>
      <c r="AE264" s="656"/>
      <c r="AF264" s="694"/>
      <c r="AG264" s="981"/>
      <c r="AH264" s="981"/>
      <c r="AI264" s="981"/>
      <c r="AJ264" s="981"/>
      <c r="AK264" s="981"/>
      <c r="AL264" s="981"/>
      <c r="AM264" s="981"/>
      <c r="AN264" s="981"/>
      <c r="AO264" s="243"/>
      <c r="AP264" s="243"/>
      <c r="AQ264" s="981"/>
      <c r="AR264" s="981"/>
      <c r="AS264" s="981"/>
      <c r="AT264" s="981"/>
      <c r="AU264" s="981"/>
      <c r="AV264" s="981"/>
      <c r="AW264" s="981"/>
      <c r="AX264" s="981"/>
      <c r="AY264" s="981"/>
      <c r="AZ264" s="694"/>
      <c r="BA264" s="694"/>
      <c r="BB264" s="981"/>
      <c r="BC264" s="981"/>
      <c r="BD264" s="1353"/>
      <c r="BE264" s="981"/>
      <c r="BF264" s="981"/>
      <c r="BG264" s="981"/>
      <c r="BH264" s="981"/>
      <c r="BI264" s="981"/>
      <c r="BJ264" s="981"/>
      <c r="BK264" s="981"/>
      <c r="BL264" s="981"/>
      <c r="BM264" s="981"/>
      <c r="BN264" s="981"/>
      <c r="BO264" s="981"/>
      <c r="BP264" s="981"/>
      <c r="BQ264" s="981"/>
      <c r="BR264" s="981"/>
      <c r="BS264" s="981"/>
      <c r="BT264" s="981"/>
      <c r="BU264" s="981"/>
      <c r="BV264" s="981"/>
      <c r="BW264" s="981"/>
      <c r="BX264" s="981"/>
      <c r="BY264" s="981"/>
      <c r="BZ264" s="981"/>
      <c r="CA264" s="981"/>
      <c r="CB264" s="981"/>
      <c r="CC264" s="981"/>
      <c r="CD264" s="981"/>
      <c r="CE264" s="981"/>
      <c r="CF264" s="981"/>
      <c r="CG264" s="1283"/>
      <c r="CH264" s="22"/>
      <c r="CI264" s="22"/>
      <c r="CJ264" s="22"/>
      <c r="CK264" s="22"/>
      <c r="CL264" s="22"/>
      <c r="CM264" s="22"/>
      <c r="CN264" s="22"/>
      <c r="CO264" s="22"/>
      <c r="CP264" s="22"/>
      <c r="CQ264" s="22"/>
      <c r="CR264" s="22"/>
      <c r="CS264" s="22"/>
      <c r="CT264" s="22"/>
      <c r="CU264" s="22"/>
      <c r="CV264" s="22"/>
      <c r="CW264" s="22"/>
      <c r="CX264" s="22"/>
      <c r="CY264" s="22"/>
      <c r="CZ264" s="22"/>
      <c r="DA264" s="22"/>
      <c r="DB264" s="22"/>
      <c r="DC264" s="22"/>
      <c r="DD264" s="22"/>
      <c r="DE264" s="22"/>
      <c r="DF264" s="22"/>
      <c r="DG264" s="22"/>
      <c r="DH264" s="22"/>
      <c r="DI264" s="22"/>
      <c r="DJ264" s="22"/>
      <c r="DK264" s="22"/>
      <c r="DL264" s="22"/>
      <c r="DM264" s="22"/>
      <c r="DN264" s="22"/>
      <c r="DO264" s="22"/>
      <c r="DP264" s="22"/>
      <c r="DQ264" s="22"/>
      <c r="DR264" s="22"/>
      <c r="DS264" s="22"/>
      <c r="DT264" s="22"/>
      <c r="DU264" s="22"/>
      <c r="DV264" s="22"/>
      <c r="DW264" s="22"/>
    </row>
    <row r="265" spans="1:127" ht="13.2">
      <c r="A265" s="1351">
        <v>45173</v>
      </c>
      <c r="B265" s="694"/>
      <c r="C265" s="694"/>
      <c r="D265" s="1051"/>
      <c r="E265" s="1270"/>
      <c r="F265" s="981"/>
      <c r="G265" s="981"/>
      <c r="H265" s="981"/>
      <c r="I265" s="981"/>
      <c r="J265" s="981"/>
      <c r="K265" s="981"/>
      <c r="L265" s="981"/>
      <c r="M265" s="981"/>
      <c r="N265" s="981"/>
      <c r="O265" s="981"/>
      <c r="P265" s="981"/>
      <c r="Q265" s="981"/>
      <c r="R265" s="981"/>
      <c r="S265" s="981"/>
      <c r="T265" s="981"/>
      <c r="U265" s="1051"/>
      <c r="V265" s="1051"/>
      <c r="W265" s="981"/>
      <c r="X265" s="981"/>
      <c r="Y265" s="981"/>
      <c r="Z265" s="656"/>
      <c r="AA265" s="701"/>
      <c r="AB265" s="981"/>
      <c r="AC265" s="981"/>
      <c r="AD265" s="981"/>
      <c r="AE265" s="656"/>
      <c r="AF265" s="694"/>
      <c r="AG265" s="981"/>
      <c r="AH265" s="981"/>
      <c r="AI265" s="981"/>
      <c r="AJ265" s="981"/>
      <c r="AK265" s="981"/>
      <c r="AL265" s="981"/>
      <c r="AM265" s="981"/>
      <c r="AN265" s="981"/>
      <c r="AO265" s="243"/>
      <c r="AP265" s="243"/>
      <c r="AQ265" s="981"/>
      <c r="AR265" s="981"/>
      <c r="AS265" s="981"/>
      <c r="AT265" s="981"/>
      <c r="AU265" s="981"/>
      <c r="AV265" s="981"/>
      <c r="AW265" s="981"/>
      <c r="AX265" s="981"/>
      <c r="AY265" s="981"/>
      <c r="AZ265" s="694"/>
      <c r="BA265" s="694"/>
      <c r="BB265" s="981"/>
      <c r="BC265" s="981"/>
      <c r="BD265" s="1353"/>
      <c r="BE265" s="981"/>
      <c r="BF265" s="981"/>
      <c r="BG265" s="981"/>
      <c r="BH265" s="981"/>
      <c r="BI265" s="981"/>
      <c r="BJ265" s="981"/>
      <c r="BK265" s="981"/>
      <c r="BL265" s="981"/>
      <c r="BM265" s="981"/>
      <c r="BN265" s="981"/>
      <c r="BO265" s="981"/>
      <c r="BP265" s="981"/>
      <c r="BQ265" s="981"/>
      <c r="BR265" s="981"/>
      <c r="BS265" s="981"/>
      <c r="BT265" s="981"/>
      <c r="BU265" s="981"/>
      <c r="BV265" s="981"/>
      <c r="BW265" s="981"/>
      <c r="BX265" s="981"/>
      <c r="BY265" s="981"/>
      <c r="BZ265" s="981"/>
      <c r="CA265" s="981"/>
      <c r="CB265" s="981"/>
      <c r="CC265" s="981"/>
      <c r="CD265" s="981"/>
      <c r="CE265" s="981"/>
      <c r="CF265" s="981"/>
      <c r="CG265" s="1283"/>
    </row>
    <row r="266" spans="1:127" ht="13.2">
      <c r="A266" s="1351">
        <v>45174</v>
      </c>
      <c r="B266" s="694"/>
      <c r="C266" s="694"/>
      <c r="D266" s="1051"/>
      <c r="E266" s="1270"/>
      <c r="F266" s="1051"/>
      <c r="G266" s="1051"/>
      <c r="H266" s="981"/>
      <c r="I266" s="1051"/>
      <c r="J266" s="1051"/>
      <c r="K266" s="656"/>
      <c r="L266" s="656"/>
      <c r="M266" s="981"/>
      <c r="N266" s="981"/>
      <c r="O266" s="1051"/>
      <c r="P266" s="1051"/>
      <c r="Q266" s="1051"/>
      <c r="R266" s="1051"/>
      <c r="S266" s="1051"/>
      <c r="T266" s="1051"/>
      <c r="U266" s="1051"/>
      <c r="V266" s="1051"/>
      <c r="W266" s="1051"/>
      <c r="X266" s="1051"/>
      <c r="Y266" s="1051"/>
      <c r="Z266" s="656"/>
      <c r="AA266" s="701"/>
      <c r="AB266" s="981"/>
      <c r="AC266" s="1051"/>
      <c r="AD266" s="1051"/>
      <c r="AE266" s="656"/>
      <c r="AF266" s="694"/>
      <c r="AG266" s="1051"/>
      <c r="AH266" s="1051"/>
      <c r="AI266" s="1051"/>
      <c r="AJ266" s="1051"/>
      <c r="AK266" s="1051"/>
      <c r="AL266" s="1051"/>
      <c r="AM266" s="694"/>
      <c r="AN266" s="694"/>
      <c r="AO266" s="243"/>
      <c r="AP266" s="243"/>
      <c r="AQ266" s="1051"/>
      <c r="AR266" s="1051"/>
      <c r="AS266" s="1051"/>
      <c r="AT266" s="656"/>
      <c r="AU266" s="1051"/>
      <c r="AV266" s="1051"/>
      <c r="AW266" s="1051"/>
      <c r="AX266" s="1051"/>
      <c r="AY266" s="1051"/>
      <c r="AZ266" s="694"/>
      <c r="BA266" s="694"/>
      <c r="BB266" s="981"/>
      <c r="BC266" s="981"/>
      <c r="BD266" s="1353"/>
      <c r="BE266" s="1051"/>
      <c r="BF266" s="981"/>
      <c r="BG266" s="1051"/>
      <c r="BH266" s="1051"/>
      <c r="BI266" s="1051"/>
      <c r="BJ266" s="1051"/>
      <c r="BK266" s="1051"/>
      <c r="BL266" s="1051"/>
      <c r="BM266" s="656"/>
      <c r="BN266" s="656"/>
      <c r="BO266" s="1051"/>
      <c r="BP266" s="1051"/>
      <c r="BQ266" s="1051"/>
      <c r="BR266" s="1051"/>
      <c r="BS266" s="1051"/>
      <c r="BT266" s="1051"/>
      <c r="BU266" s="981"/>
      <c r="BV266" s="981"/>
      <c r="BW266" s="981"/>
      <c r="BX266" s="694"/>
      <c r="BY266" s="694"/>
      <c r="BZ266" s="694"/>
      <c r="CA266" s="1051"/>
      <c r="CB266" s="1051"/>
      <c r="CC266" s="1051"/>
      <c r="CD266" s="1051"/>
      <c r="CE266" s="1051"/>
      <c r="CF266" s="981"/>
      <c r="CG266" s="1283"/>
    </row>
    <row r="267" spans="1:127" ht="13.2">
      <c r="A267" s="1351">
        <v>45175</v>
      </c>
      <c r="B267" s="694"/>
      <c r="C267" s="694"/>
      <c r="D267" s="1051"/>
      <c r="E267" s="1270"/>
      <c r="F267" s="1051"/>
      <c r="G267" s="1051"/>
      <c r="H267" s="1051"/>
      <c r="I267" s="1051"/>
      <c r="J267" s="1051"/>
      <c r="K267" s="1051"/>
      <c r="L267" s="1051"/>
      <c r="M267" s="981"/>
      <c r="N267" s="981"/>
      <c r="O267" s="1051"/>
      <c r="P267" s="1051"/>
      <c r="Q267" s="1051"/>
      <c r="R267" s="1051"/>
      <c r="S267" s="1051"/>
      <c r="T267" s="1051"/>
      <c r="U267" s="1051"/>
      <c r="V267" s="1051"/>
      <c r="W267" s="1051"/>
      <c r="X267" s="1051"/>
      <c r="Y267" s="1051"/>
      <c r="Z267" s="656"/>
      <c r="AA267" s="701"/>
      <c r="AB267" s="981"/>
      <c r="AC267" s="1051"/>
      <c r="AD267" s="1051"/>
      <c r="AE267" s="656"/>
      <c r="AF267" s="694"/>
      <c r="AG267" s="1051"/>
      <c r="AH267" s="1051"/>
      <c r="AI267" s="1051"/>
      <c r="AJ267" s="1051"/>
      <c r="AK267" s="1051"/>
      <c r="AL267" s="1051"/>
      <c r="AM267" s="1051"/>
      <c r="AN267" s="1051"/>
      <c r="AO267" s="243"/>
      <c r="AP267" s="243"/>
      <c r="AQ267" s="1051"/>
      <c r="AR267" s="1051"/>
      <c r="AS267" s="1051"/>
      <c r="AT267" s="1051"/>
      <c r="AU267" s="1051"/>
      <c r="AV267" s="1051"/>
      <c r="AW267" s="1051"/>
      <c r="AX267" s="1051"/>
      <c r="AY267" s="1051"/>
      <c r="AZ267" s="694"/>
      <c r="BA267" s="694"/>
      <c r="BB267" s="981"/>
      <c r="BC267" s="981"/>
      <c r="BD267" s="1353"/>
      <c r="BE267" s="1051"/>
      <c r="BF267" s="1051"/>
      <c r="BG267" s="1051"/>
      <c r="BH267" s="1051"/>
      <c r="BI267" s="1051"/>
      <c r="BJ267" s="1051"/>
      <c r="BK267" s="1051"/>
      <c r="BL267" s="1051"/>
      <c r="BM267" s="1051"/>
      <c r="BN267" s="1051"/>
      <c r="BO267" s="1051"/>
      <c r="BP267" s="1051"/>
      <c r="BQ267" s="1051"/>
      <c r="BR267" s="1051"/>
      <c r="BS267" s="1051"/>
      <c r="BT267" s="1051"/>
      <c r="BU267" s="981"/>
      <c r="BV267" s="981"/>
      <c r="BW267" s="981"/>
      <c r="BX267" s="1051"/>
      <c r="BY267" s="1051"/>
      <c r="BZ267" s="1051"/>
      <c r="CA267" s="1051"/>
      <c r="CB267" s="1051"/>
      <c r="CC267" s="1051"/>
      <c r="CD267" s="1051"/>
      <c r="CE267" s="1051"/>
      <c r="CF267" s="1051"/>
      <c r="CG267" s="1283"/>
    </row>
    <row r="268" spans="1:127" ht="13.2">
      <c r="A268" s="1351">
        <v>45176</v>
      </c>
      <c r="B268" s="694"/>
      <c r="C268" s="694"/>
      <c r="D268" s="1051"/>
      <c r="E268" s="1270"/>
      <c r="F268" s="981"/>
      <c r="G268" s="981"/>
      <c r="H268" s="981"/>
      <c r="I268" s="981"/>
      <c r="J268" s="981"/>
      <c r="K268" s="656"/>
      <c r="L268" s="656"/>
      <c r="M268" s="981"/>
      <c r="N268" s="981"/>
      <c r="O268" s="981"/>
      <c r="P268" s="981"/>
      <c r="Q268" s="981"/>
      <c r="R268" s="981"/>
      <c r="S268" s="981"/>
      <c r="T268" s="981"/>
      <c r="U268" s="1051"/>
      <c r="V268" s="1051"/>
      <c r="W268" s="981"/>
      <c r="X268" s="981"/>
      <c r="Y268" s="981"/>
      <c r="Z268" s="656"/>
      <c r="AA268" s="701"/>
      <c r="AB268" s="981"/>
      <c r="AC268" s="981"/>
      <c r="AD268" s="981"/>
      <c r="AE268" s="656"/>
      <c r="AF268" s="694"/>
      <c r="AG268" s="981"/>
      <c r="AH268" s="981"/>
      <c r="AI268" s="981"/>
      <c r="AJ268" s="981"/>
      <c r="AK268" s="981"/>
      <c r="AL268" s="981"/>
      <c r="AM268" s="694"/>
      <c r="AN268" s="694"/>
      <c r="AO268" s="243"/>
      <c r="AP268" s="243"/>
      <c r="AQ268" s="981"/>
      <c r="AR268" s="981"/>
      <c r="AS268" s="981"/>
      <c r="AT268" s="656"/>
      <c r="AU268" s="981"/>
      <c r="AV268" s="981"/>
      <c r="AW268" s="981"/>
      <c r="AX268" s="981"/>
      <c r="AY268" s="981"/>
      <c r="AZ268" s="694"/>
      <c r="BA268" s="694"/>
      <c r="BB268" s="981"/>
      <c r="BC268" s="981"/>
      <c r="BD268" s="1353"/>
      <c r="BE268" s="981"/>
      <c r="BF268" s="981"/>
      <c r="BG268" s="981"/>
      <c r="BH268" s="981"/>
      <c r="BI268" s="981"/>
      <c r="BJ268" s="981"/>
      <c r="BK268" s="981"/>
      <c r="BL268" s="981"/>
      <c r="BM268" s="656"/>
      <c r="BN268" s="656"/>
      <c r="BO268" s="981"/>
      <c r="BP268" s="981"/>
      <c r="BQ268" s="981"/>
      <c r="BR268" s="981"/>
      <c r="BS268" s="981"/>
      <c r="BT268" s="981"/>
      <c r="BU268" s="981"/>
      <c r="BV268" s="981"/>
      <c r="BW268" s="981"/>
      <c r="BX268" s="694"/>
      <c r="BY268" s="694"/>
      <c r="BZ268" s="694"/>
      <c r="CA268" s="981"/>
      <c r="CB268" s="981"/>
      <c r="CC268" s="981"/>
      <c r="CD268" s="981"/>
      <c r="CE268" s="981"/>
      <c r="CF268" s="981"/>
      <c r="CG268" s="1283"/>
    </row>
    <row r="269" spans="1:127" ht="13.2">
      <c r="A269" s="1351">
        <v>45177</v>
      </c>
      <c r="B269" s="694"/>
      <c r="C269" s="694"/>
      <c r="D269" s="1051"/>
      <c r="E269" s="1270"/>
      <c r="F269" s="656"/>
      <c r="G269" s="656"/>
      <c r="H269" s="981"/>
      <c r="I269" s="243"/>
      <c r="J269" s="243"/>
      <c r="K269" s="656"/>
      <c r="L269" s="656"/>
      <c r="M269" s="981"/>
      <c r="N269" s="981"/>
      <c r="O269" s="243"/>
      <c r="P269" s="243"/>
      <c r="Q269" s="243"/>
      <c r="R269" s="243"/>
      <c r="S269" s="243"/>
      <c r="T269" s="243"/>
      <c r="U269" s="1051"/>
      <c r="V269" s="1051"/>
      <c r="W269" s="243"/>
      <c r="X269" s="243"/>
      <c r="Y269" s="981"/>
      <c r="Z269" s="656"/>
      <c r="AA269" s="701"/>
      <c r="AB269" s="981"/>
      <c r="AC269" s="243"/>
      <c r="AD269" s="243"/>
      <c r="AE269" s="656"/>
      <c r="AF269" s="694"/>
      <c r="AG269" s="981"/>
      <c r="AH269" s="981"/>
      <c r="AI269" s="243"/>
      <c r="AJ269" s="243"/>
      <c r="AK269" s="243"/>
      <c r="AL269" s="243"/>
      <c r="AM269" s="243"/>
      <c r="AN269" s="243"/>
      <c r="AO269" s="243"/>
      <c r="AP269" s="243"/>
      <c r="AQ269" s="243"/>
      <c r="AR269" s="243"/>
      <c r="AS269" s="402"/>
      <c r="AT269" s="656"/>
      <c r="AU269" s="243"/>
      <c r="AV269" s="243"/>
      <c r="AW269" s="243"/>
      <c r="AX269" s="656"/>
      <c r="AY269" s="656"/>
      <c r="AZ269" s="694"/>
      <c r="BA269" s="694"/>
      <c r="BB269" s="981"/>
      <c r="BC269" s="981"/>
      <c r="BD269" s="1353"/>
      <c r="BE269" s="694"/>
      <c r="BF269" s="694"/>
      <c r="BG269" s="402"/>
      <c r="BH269" s="402"/>
      <c r="BI269" s="981"/>
      <c r="BJ269" s="402"/>
      <c r="BK269" s="654"/>
      <c r="BL269" s="654"/>
      <c r="BM269" s="656"/>
      <c r="BN269" s="656"/>
      <c r="BO269" s="402"/>
      <c r="BP269" s="402"/>
      <c r="BQ269" s="402"/>
      <c r="BR269" s="402"/>
      <c r="BS269" s="402"/>
      <c r="BT269" s="402"/>
      <c r="BU269" s="981"/>
      <c r="BV269" s="981"/>
      <c r="BW269" s="981"/>
      <c r="BX269" s="694"/>
      <c r="BY269" s="694"/>
      <c r="BZ269" s="694"/>
      <c r="CA269" s="402"/>
      <c r="CB269" s="402"/>
      <c r="CC269" s="402"/>
      <c r="CD269" s="402"/>
      <c r="CE269" s="402"/>
      <c r="CF269" s="402"/>
      <c r="CG269" s="1283"/>
    </row>
    <row r="270" spans="1:127" ht="13.2">
      <c r="A270" s="1351">
        <v>45178</v>
      </c>
      <c r="B270" s="694"/>
      <c r="C270" s="694"/>
      <c r="D270" s="1051"/>
      <c r="E270" s="1270"/>
      <c r="F270" s="656"/>
      <c r="G270" s="656"/>
      <c r="H270" s="981"/>
      <c r="I270" s="243"/>
      <c r="J270" s="981"/>
      <c r="K270" s="656"/>
      <c r="L270" s="656"/>
      <c r="M270" s="981"/>
      <c r="N270" s="981"/>
      <c r="O270" s="243"/>
      <c r="P270" s="243"/>
      <c r="Q270" s="243"/>
      <c r="R270" s="243"/>
      <c r="S270" s="243"/>
      <c r="T270" s="243"/>
      <c r="U270" s="1051"/>
      <c r="V270" s="1051"/>
      <c r="W270" s="243"/>
      <c r="X270" s="243"/>
      <c r="Y270" s="981"/>
      <c r="Z270" s="656"/>
      <c r="AA270" s="701"/>
      <c r="AB270" s="981"/>
      <c r="AC270" s="243"/>
      <c r="AD270" s="243"/>
      <c r="AE270" s="656"/>
      <c r="AF270" s="694"/>
      <c r="AG270" s="981"/>
      <c r="AH270" s="981"/>
      <c r="AI270" s="243"/>
      <c r="AJ270" s="243"/>
      <c r="AK270" s="243"/>
      <c r="AL270" s="243"/>
      <c r="AM270" s="243"/>
      <c r="AN270" s="243"/>
      <c r="AO270" s="243"/>
      <c r="AP270" s="243"/>
      <c r="AQ270" s="243"/>
      <c r="AR270" s="243"/>
      <c r="AS270" s="402"/>
      <c r="AT270" s="656"/>
      <c r="AU270" s="243"/>
      <c r="AV270" s="243"/>
      <c r="AW270" s="243"/>
      <c r="AX270" s="656"/>
      <c r="AY270" s="656"/>
      <c r="AZ270" s="694"/>
      <c r="BA270" s="694"/>
      <c r="BB270" s="981"/>
      <c r="BC270" s="981"/>
      <c r="BD270" s="1353"/>
      <c r="BE270" s="694"/>
      <c r="BF270" s="694"/>
      <c r="BG270" s="402"/>
      <c r="BH270" s="402"/>
      <c r="BI270" s="981"/>
      <c r="BJ270" s="402"/>
      <c r="BK270" s="654"/>
      <c r="BL270" s="654"/>
      <c r="BM270" s="656"/>
      <c r="BN270" s="656"/>
      <c r="BO270" s="402"/>
      <c r="BP270" s="402"/>
      <c r="BQ270" s="402"/>
      <c r="BR270" s="402"/>
      <c r="BS270" s="402"/>
      <c r="BT270" s="402"/>
      <c r="BU270" s="981"/>
      <c r="BV270" s="981"/>
      <c r="BW270" s="981"/>
      <c r="BX270" s="694"/>
      <c r="BY270" s="694"/>
      <c r="BZ270" s="694"/>
      <c r="CA270" s="402"/>
      <c r="CB270" s="402"/>
      <c r="CC270" s="402"/>
      <c r="CD270" s="402"/>
      <c r="CE270" s="402"/>
      <c r="CF270" s="402"/>
      <c r="CG270" s="1283"/>
    </row>
    <row r="271" spans="1:127" ht="13.2">
      <c r="A271" s="1351">
        <v>45179</v>
      </c>
      <c r="B271" s="694"/>
      <c r="C271" s="694"/>
      <c r="D271" s="1051"/>
      <c r="E271" s="1270"/>
      <c r="F271" s="243"/>
      <c r="G271" s="243"/>
      <c r="H271" s="243"/>
      <c r="I271" s="243"/>
      <c r="J271" s="243"/>
      <c r="K271" s="656"/>
      <c r="L271" s="656"/>
      <c r="M271" s="981"/>
      <c r="N271" s="981"/>
      <c r="O271" s="243"/>
      <c r="P271" s="243"/>
      <c r="Q271" s="243"/>
      <c r="R271" s="243"/>
      <c r="S271" s="243"/>
      <c r="T271" s="243"/>
      <c r="U271" s="1051"/>
      <c r="V271" s="1051"/>
      <c r="W271" s="243"/>
      <c r="X271" s="243"/>
      <c r="Y271" s="981"/>
      <c r="Z271" s="656"/>
      <c r="AA271" s="701"/>
      <c r="AB271" s="243"/>
      <c r="AC271" s="243"/>
      <c r="AD271" s="1051"/>
      <c r="AE271" s="656"/>
      <c r="AF271" s="694"/>
      <c r="AG271" s="981"/>
      <c r="AH271" s="981"/>
      <c r="AI271" s="243"/>
      <c r="AJ271" s="243"/>
      <c r="AK271" s="243"/>
      <c r="AL271" s="243"/>
      <c r="AM271" s="243"/>
      <c r="AN271" s="243"/>
      <c r="AO271" s="243"/>
      <c r="AP271" s="243"/>
      <c r="AQ271" s="243"/>
      <c r="AR271" s="243"/>
      <c r="AS271" s="243"/>
      <c r="AT271" s="656"/>
      <c r="AU271" s="243"/>
      <c r="AV271" s="243"/>
      <c r="AW271" s="243"/>
      <c r="AX271" s="243"/>
      <c r="AY271" s="243"/>
      <c r="AZ271" s="694"/>
      <c r="BA271" s="694"/>
      <c r="BB271" s="981"/>
      <c r="BC271" s="981"/>
      <c r="BD271" s="1353"/>
      <c r="BE271" s="243"/>
      <c r="BF271" s="694"/>
      <c r="BG271" s="243"/>
      <c r="BH271" s="243"/>
      <c r="BI271" s="243"/>
      <c r="BJ271" s="243"/>
      <c r="BK271" s="243"/>
      <c r="BL271" s="243"/>
      <c r="BM271" s="656"/>
      <c r="BN271" s="656"/>
      <c r="BO271" s="243"/>
      <c r="BP271" s="243"/>
      <c r="BQ271" s="243"/>
      <c r="BR271" s="243"/>
      <c r="BS271" s="243"/>
      <c r="BT271" s="243"/>
      <c r="BU271" s="981"/>
      <c r="BV271" s="981"/>
      <c r="BW271" s="981"/>
      <c r="BX271" s="694"/>
      <c r="BY271" s="694"/>
      <c r="BZ271" s="694"/>
      <c r="CA271" s="243"/>
      <c r="CB271" s="243"/>
      <c r="CC271" s="243"/>
      <c r="CD271" s="243"/>
      <c r="CE271" s="243"/>
      <c r="CF271" s="243"/>
      <c r="CG271" s="1283"/>
    </row>
    <row r="272" spans="1:127" ht="13.2">
      <c r="A272" s="1351">
        <v>45180</v>
      </c>
      <c r="B272" s="694"/>
      <c r="C272" s="694"/>
      <c r="D272" s="1051"/>
      <c r="E272" s="1270"/>
      <c r="F272" s="656"/>
      <c r="G272" s="656"/>
      <c r="H272" s="243"/>
      <c r="I272" s="243"/>
      <c r="J272" s="243"/>
      <c r="K272" s="656"/>
      <c r="L272" s="656"/>
      <c r="M272" s="981"/>
      <c r="N272" s="981"/>
      <c r="O272" s="243"/>
      <c r="P272" s="243"/>
      <c r="Q272" s="243"/>
      <c r="R272" s="243"/>
      <c r="S272" s="243"/>
      <c r="T272" s="243"/>
      <c r="U272" s="1051"/>
      <c r="V272" s="1051"/>
      <c r="W272" s="243"/>
      <c r="X272" s="243"/>
      <c r="Y272" s="981"/>
      <c r="Z272" s="656"/>
      <c r="AA272" s="701"/>
      <c r="AB272" s="243"/>
      <c r="AC272" s="243"/>
      <c r="AD272" s="243"/>
      <c r="AE272" s="656"/>
      <c r="AF272" s="694"/>
      <c r="AG272" s="981"/>
      <c r="AH272" s="981"/>
      <c r="AI272" s="243"/>
      <c r="AJ272" s="243"/>
      <c r="AK272" s="243"/>
      <c r="AL272" s="243"/>
      <c r="AM272" s="243"/>
      <c r="AN272" s="243"/>
      <c r="AO272" s="243"/>
      <c r="AP272" s="243"/>
      <c r="AQ272" s="243"/>
      <c r="AR272" s="243"/>
      <c r="AS272" s="243"/>
      <c r="AT272" s="656"/>
      <c r="AU272" s="243"/>
      <c r="AV272" s="243"/>
      <c r="AW272" s="243"/>
      <c r="AX272" s="243"/>
      <c r="AY272" s="243"/>
      <c r="AZ272" s="694"/>
      <c r="BA272" s="694"/>
      <c r="BB272" s="981"/>
      <c r="BC272" s="981"/>
      <c r="BD272" s="1353"/>
      <c r="BE272" s="243"/>
      <c r="BF272" s="694"/>
      <c r="BG272" s="243"/>
      <c r="BH272" s="243"/>
      <c r="BI272" s="243"/>
      <c r="BJ272" s="243"/>
      <c r="BK272" s="243"/>
      <c r="BL272" s="243"/>
      <c r="BM272" s="656"/>
      <c r="BN272" s="656"/>
      <c r="BO272" s="243"/>
      <c r="BP272" s="243"/>
      <c r="BQ272" s="243"/>
      <c r="BR272" s="243"/>
      <c r="BS272" s="243"/>
      <c r="BT272" s="243"/>
      <c r="BU272" s="981"/>
      <c r="BV272" s="981"/>
      <c r="BW272" s="981"/>
      <c r="BX272" s="694"/>
      <c r="BY272" s="694"/>
      <c r="BZ272" s="694"/>
      <c r="CA272" s="981"/>
      <c r="CB272" s="243"/>
      <c r="CC272" s="243"/>
      <c r="CD272" s="243"/>
      <c r="CE272" s="243"/>
      <c r="CF272" s="243"/>
      <c r="CG272" s="1283"/>
    </row>
    <row r="273" spans="1:85" ht="13.2">
      <c r="A273" s="1351">
        <v>45181</v>
      </c>
      <c r="B273" s="694"/>
      <c r="C273" s="694"/>
      <c r="D273" s="1051"/>
      <c r="E273" s="1270"/>
      <c r="F273" s="1051"/>
      <c r="G273" s="1051"/>
      <c r="H273" s="1051"/>
      <c r="I273" s="1051"/>
      <c r="J273" s="1051"/>
      <c r="K273" s="656"/>
      <c r="L273" s="656"/>
      <c r="M273" s="981"/>
      <c r="N273" s="981"/>
      <c r="O273" s="1051"/>
      <c r="P273" s="1051"/>
      <c r="Q273" s="1051"/>
      <c r="R273" s="1051"/>
      <c r="S273" s="1051"/>
      <c r="T273" s="1051"/>
      <c r="U273" s="1051"/>
      <c r="V273" s="1051"/>
      <c r="W273" s="1051"/>
      <c r="X273" s="1051"/>
      <c r="Y273" s="1051"/>
      <c r="Z273" s="656"/>
      <c r="AA273" s="701"/>
      <c r="AB273" s="1051"/>
      <c r="AC273" s="1051"/>
      <c r="AD273" s="243"/>
      <c r="AE273" s="656"/>
      <c r="AF273" s="694"/>
      <c r="AG273" s="981"/>
      <c r="AH273" s="981"/>
      <c r="AI273" s="1051"/>
      <c r="AJ273" s="1051"/>
      <c r="AK273" s="1051"/>
      <c r="AL273" s="1051"/>
      <c r="AM273" s="243"/>
      <c r="AN273" s="243"/>
      <c r="AO273" s="243"/>
      <c r="AP273" s="243"/>
      <c r="AQ273" s="1051"/>
      <c r="AR273" s="1051"/>
      <c r="AS273" s="1051"/>
      <c r="AT273" s="656"/>
      <c r="AU273" s="1051"/>
      <c r="AV273" s="1051"/>
      <c r="AW273" s="1051"/>
      <c r="AX273" s="1051"/>
      <c r="AY273" s="1051"/>
      <c r="AZ273" s="694"/>
      <c r="BA273" s="694"/>
      <c r="BB273" s="981"/>
      <c r="BC273" s="981"/>
      <c r="BD273" s="1353"/>
      <c r="BE273" s="1051"/>
      <c r="BF273" s="694"/>
      <c r="BG273" s="1051"/>
      <c r="BH273" s="1051"/>
      <c r="BI273" s="1051"/>
      <c r="BJ273" s="1051"/>
      <c r="BK273" s="1051"/>
      <c r="BL273" s="1051"/>
      <c r="BM273" s="656"/>
      <c r="BN273" s="656"/>
      <c r="BO273" s="1051"/>
      <c r="BP273" s="1051"/>
      <c r="BQ273" s="1051"/>
      <c r="BR273" s="1051"/>
      <c r="BS273" s="1051"/>
      <c r="BT273" s="1051"/>
      <c r="BU273" s="981"/>
      <c r="BV273" s="981"/>
      <c r="BW273" s="981"/>
      <c r="BX273" s="694"/>
      <c r="BY273" s="694"/>
      <c r="BZ273" s="694"/>
      <c r="CA273" s="981"/>
      <c r="CB273" s="1051"/>
      <c r="CC273" s="1051"/>
      <c r="CD273" s="1051"/>
      <c r="CE273" s="1051"/>
      <c r="CF273" s="1051"/>
      <c r="CG273" s="1283"/>
    </row>
    <row r="274" spans="1:85" ht="13.2">
      <c r="A274" s="1351">
        <v>45182</v>
      </c>
      <c r="B274" s="1051"/>
      <c r="C274" s="1051"/>
      <c r="D274" s="1051"/>
      <c r="E274" s="1271"/>
      <c r="F274" s="981"/>
      <c r="G274" s="981"/>
      <c r="H274" s="981"/>
      <c r="I274" s="981"/>
      <c r="J274" s="981"/>
      <c r="K274" s="656"/>
      <c r="L274" s="656"/>
      <c r="M274" s="981"/>
      <c r="N274" s="981"/>
      <c r="O274" s="981"/>
      <c r="P274" s="981"/>
      <c r="Q274" s="981"/>
      <c r="R274" s="981"/>
      <c r="S274" s="981"/>
      <c r="T274" s="981"/>
      <c r="U274" s="1051"/>
      <c r="V274" s="1051"/>
      <c r="W274" s="981"/>
      <c r="X274" s="981"/>
      <c r="Y274" s="981"/>
      <c r="Z274" s="656"/>
      <c r="AA274" s="701"/>
      <c r="AB274" s="981"/>
      <c r="AC274" s="981"/>
      <c r="AD274" s="981"/>
      <c r="AE274" s="656"/>
      <c r="AF274" s="694"/>
      <c r="AG274" s="981"/>
      <c r="AH274" s="981"/>
      <c r="AI274" s="981"/>
      <c r="AJ274" s="981"/>
      <c r="AK274" s="981"/>
      <c r="AL274" s="981"/>
      <c r="AM274" s="243"/>
      <c r="AN274" s="243"/>
      <c r="AO274" s="243"/>
      <c r="AP274" s="243"/>
      <c r="AQ274" s="981"/>
      <c r="AR274" s="981"/>
      <c r="AS274" s="981"/>
      <c r="AT274" s="656"/>
      <c r="AU274" s="981"/>
      <c r="AV274" s="981"/>
      <c r="AW274" s="981"/>
      <c r="AX274" s="981"/>
      <c r="AY274" s="981"/>
      <c r="AZ274" s="694"/>
      <c r="BA274" s="694"/>
      <c r="BB274" s="981"/>
      <c r="BC274" s="981"/>
      <c r="BD274" s="1353"/>
      <c r="BE274" s="1051"/>
      <c r="BF274" s="981"/>
      <c r="BG274" s="981"/>
      <c r="BH274" s="981"/>
      <c r="BI274" s="981"/>
      <c r="BJ274" s="981"/>
      <c r="BK274" s="981"/>
      <c r="BL274" s="981"/>
      <c r="BM274" s="656"/>
      <c r="BN274" s="656"/>
      <c r="BO274" s="981"/>
      <c r="BP274" s="981"/>
      <c r="BQ274" s="981"/>
      <c r="BR274" s="981"/>
      <c r="BS274" s="981"/>
      <c r="BT274" s="981"/>
      <c r="BU274" s="981"/>
      <c r="BV274" s="981"/>
      <c r="BW274" s="981"/>
      <c r="BX274" s="694"/>
      <c r="BY274" s="694"/>
      <c r="BZ274" s="694"/>
      <c r="CA274" s="981"/>
      <c r="CB274" s="981"/>
      <c r="CC274" s="981"/>
      <c r="CD274" s="981"/>
      <c r="CE274" s="981"/>
      <c r="CF274" s="981"/>
      <c r="CG274" s="1283"/>
    </row>
    <row r="275" spans="1:85" ht="13.2">
      <c r="A275" s="1351">
        <v>45183</v>
      </c>
      <c r="B275" s="1051"/>
      <c r="C275" s="1051"/>
      <c r="D275" s="1051"/>
      <c r="E275" s="1271"/>
      <c r="F275" s="981"/>
      <c r="G275" s="981"/>
      <c r="H275" s="981"/>
      <c r="I275" s="981"/>
      <c r="J275" s="981"/>
      <c r="K275" s="656"/>
      <c r="L275" s="656"/>
      <c r="M275" s="981"/>
      <c r="N275" s="981"/>
      <c r="O275" s="981"/>
      <c r="P275" s="981"/>
      <c r="Q275" s="981"/>
      <c r="R275" s="981"/>
      <c r="S275" s="981"/>
      <c r="T275" s="981"/>
      <c r="U275" s="1051"/>
      <c r="V275" s="1051"/>
      <c r="W275" s="981"/>
      <c r="X275" s="981"/>
      <c r="Y275" s="981"/>
      <c r="Z275" s="656"/>
      <c r="AA275" s="701"/>
      <c r="AB275" s="981"/>
      <c r="AC275" s="981"/>
      <c r="AD275" s="981"/>
      <c r="AE275" s="656"/>
      <c r="AF275" s="694"/>
      <c r="AG275" s="981"/>
      <c r="AH275" s="981"/>
      <c r="AI275" s="981"/>
      <c r="AJ275" s="981"/>
      <c r="AK275" s="981"/>
      <c r="AL275" s="981"/>
      <c r="AM275" s="243"/>
      <c r="AN275" s="243"/>
      <c r="AO275" s="243"/>
      <c r="AP275" s="243"/>
      <c r="AQ275" s="981"/>
      <c r="AR275" s="981"/>
      <c r="AS275" s="981"/>
      <c r="AT275" s="656"/>
      <c r="AU275" s="981"/>
      <c r="AV275" s="981"/>
      <c r="AW275" s="981"/>
      <c r="AX275" s="981"/>
      <c r="AY275" s="981"/>
      <c r="AZ275" s="694"/>
      <c r="BA275" s="694"/>
      <c r="BB275" s="981"/>
      <c r="BC275" s="981"/>
      <c r="BD275" s="1353"/>
      <c r="BE275" s="1051"/>
      <c r="BF275" s="981"/>
      <c r="BG275" s="402"/>
      <c r="BH275" s="402"/>
      <c r="BI275" s="981"/>
      <c r="BJ275" s="402"/>
      <c r="BK275" s="981"/>
      <c r="BL275" s="981"/>
      <c r="BM275" s="656"/>
      <c r="BN275" s="656"/>
      <c r="BO275" s="981"/>
      <c r="BP275" s="981"/>
      <c r="BQ275" s="981"/>
      <c r="BR275" s="402"/>
      <c r="BS275" s="981"/>
      <c r="BT275" s="981"/>
      <c r="BU275" s="981"/>
      <c r="BV275" s="981"/>
      <c r="BW275" s="981"/>
      <c r="BX275" s="694"/>
      <c r="BY275" s="694"/>
      <c r="BZ275" s="694"/>
      <c r="CA275" s="981"/>
      <c r="CB275" s="981"/>
      <c r="CC275" s="981"/>
      <c r="CD275" s="981"/>
      <c r="CE275" s="981"/>
      <c r="CF275" s="981"/>
      <c r="CG275" s="1283"/>
    </row>
    <row r="276" spans="1:85" ht="13.2">
      <c r="A276" s="1351">
        <v>45184</v>
      </c>
      <c r="B276" s="1051"/>
      <c r="C276" s="1051"/>
      <c r="D276" s="1051"/>
      <c r="E276" s="1271"/>
      <c r="F276" s="656"/>
      <c r="G276" s="656"/>
      <c r="H276" s="243"/>
      <c r="I276" s="243"/>
      <c r="J276" s="243"/>
      <c r="K276" s="243"/>
      <c r="L276" s="243"/>
      <c r="M276" s="981"/>
      <c r="N276" s="981"/>
      <c r="O276" s="243"/>
      <c r="P276" s="243"/>
      <c r="Q276" s="243"/>
      <c r="R276" s="243"/>
      <c r="S276" s="243"/>
      <c r="T276" s="243"/>
      <c r="U276" s="1051"/>
      <c r="V276" s="1051"/>
      <c r="W276" s="243"/>
      <c r="X276" s="243"/>
      <c r="Y276" s="243"/>
      <c r="Z276" s="656"/>
      <c r="AA276" s="701"/>
      <c r="AB276" s="243"/>
      <c r="AC276" s="243"/>
      <c r="AD276" s="243"/>
      <c r="AE276" s="656"/>
      <c r="AF276" s="694"/>
      <c r="AG276" s="243"/>
      <c r="AH276" s="243"/>
      <c r="AI276" s="243"/>
      <c r="AJ276" s="243"/>
      <c r="AK276" s="243"/>
      <c r="AL276" s="243"/>
      <c r="AM276" s="243"/>
      <c r="AN276" s="243"/>
      <c r="AO276" s="243"/>
      <c r="AP276" s="243"/>
      <c r="AQ276" s="243"/>
      <c r="AR276" s="243"/>
      <c r="AS276" s="243"/>
      <c r="AT276" s="243"/>
      <c r="AU276" s="243"/>
      <c r="AV276" s="243"/>
      <c r="AW276" s="243"/>
      <c r="AX276" s="243"/>
      <c r="AY276" s="243"/>
      <c r="AZ276" s="694"/>
      <c r="BA276" s="694"/>
      <c r="BB276" s="981"/>
      <c r="BC276" s="981"/>
      <c r="BD276" s="1353"/>
      <c r="BE276" s="243"/>
      <c r="BF276" s="981"/>
      <c r="BG276" s="243"/>
      <c r="BH276" s="243"/>
      <c r="BI276" s="243"/>
      <c r="BJ276" s="243"/>
      <c r="BK276" s="243"/>
      <c r="BL276" s="243"/>
      <c r="BM276" s="1051"/>
      <c r="BN276" s="1051"/>
      <c r="BO276" s="243"/>
      <c r="BP276" s="243"/>
      <c r="BQ276" s="243"/>
      <c r="BR276" s="243"/>
      <c r="BS276" s="243"/>
      <c r="BT276" s="243"/>
      <c r="BU276" s="981"/>
      <c r="BV276" s="981"/>
      <c r="BW276" s="981"/>
      <c r="BX276" s="243"/>
      <c r="BY276" s="243"/>
      <c r="BZ276" s="243"/>
      <c r="CA276" s="243"/>
      <c r="CB276" s="243"/>
      <c r="CC276" s="243"/>
      <c r="CD276" s="243"/>
      <c r="CE276" s="243"/>
      <c r="CF276" s="243"/>
      <c r="CG276" s="1283"/>
    </row>
    <row r="277" spans="1:85" ht="13.2">
      <c r="A277" s="1351">
        <v>45185</v>
      </c>
      <c r="B277" s="1051"/>
      <c r="C277" s="1051"/>
      <c r="D277" s="1051"/>
      <c r="E277" s="1271"/>
      <c r="F277" s="656"/>
      <c r="G277" s="656"/>
      <c r="H277" s="243"/>
      <c r="I277" s="243"/>
      <c r="J277" s="243"/>
      <c r="K277" s="243"/>
      <c r="L277" s="243"/>
      <c r="M277" s="981"/>
      <c r="N277" s="981"/>
      <c r="O277" s="243"/>
      <c r="P277" s="243"/>
      <c r="Q277" s="243"/>
      <c r="R277" s="243"/>
      <c r="S277" s="243"/>
      <c r="T277" s="243"/>
      <c r="U277" s="1051"/>
      <c r="V277" s="1051"/>
      <c r="W277" s="243"/>
      <c r="X277" s="243"/>
      <c r="Y277" s="243"/>
      <c r="Z277" s="656"/>
      <c r="AA277" s="701"/>
      <c r="AB277" s="243"/>
      <c r="AC277" s="243"/>
      <c r="AD277" s="243"/>
      <c r="AE277" s="656"/>
      <c r="AF277" s="694"/>
      <c r="AG277" s="243"/>
      <c r="AH277" s="243"/>
      <c r="AI277" s="243"/>
      <c r="AJ277" s="243"/>
      <c r="AK277" s="243"/>
      <c r="AL277" s="243"/>
      <c r="AM277" s="243"/>
      <c r="AN277" s="243"/>
      <c r="AO277" s="243"/>
      <c r="AP277" s="243"/>
      <c r="AQ277" s="243"/>
      <c r="AR277" s="243"/>
      <c r="AS277" s="243"/>
      <c r="AT277" s="243"/>
      <c r="AU277" s="243"/>
      <c r="AV277" s="243"/>
      <c r="AW277" s="243"/>
      <c r="AX277" s="243"/>
      <c r="AY277" s="243"/>
      <c r="AZ277" s="694"/>
      <c r="BA277" s="694"/>
      <c r="BB277" s="981"/>
      <c r="BC277" s="981"/>
      <c r="BD277" s="1353"/>
      <c r="BE277" s="243"/>
      <c r="BF277" s="981"/>
      <c r="BG277" s="243"/>
      <c r="BH277" s="243"/>
      <c r="BI277" s="243"/>
      <c r="BJ277" s="243"/>
      <c r="BK277" s="243"/>
      <c r="BL277" s="243"/>
      <c r="BM277" s="1051"/>
      <c r="BN277" s="1051"/>
      <c r="BO277" s="243"/>
      <c r="BP277" s="243"/>
      <c r="BQ277" s="243"/>
      <c r="BR277" s="1051"/>
      <c r="BS277" s="243"/>
      <c r="BT277" s="243"/>
      <c r="BU277" s="981"/>
      <c r="BV277" s="981"/>
      <c r="BW277" s="981"/>
      <c r="BX277" s="243"/>
      <c r="BY277" s="243"/>
      <c r="BZ277" s="243"/>
      <c r="CA277" s="243"/>
      <c r="CB277" s="243"/>
      <c r="CC277" s="243"/>
      <c r="CD277" s="243"/>
      <c r="CE277" s="243"/>
      <c r="CF277" s="243"/>
      <c r="CG277" s="1283"/>
    </row>
    <row r="278" spans="1:85" ht="13.2">
      <c r="A278" s="1351">
        <v>45186</v>
      </c>
      <c r="B278" s="243"/>
      <c r="C278" s="1051"/>
      <c r="D278" s="243"/>
      <c r="E278" s="1271"/>
      <c r="F278" s="656"/>
      <c r="G278" s="656"/>
      <c r="H278" s="243"/>
      <c r="I278" s="243"/>
      <c r="J278" s="243"/>
      <c r="K278" s="243"/>
      <c r="L278" s="243"/>
      <c r="M278" s="981"/>
      <c r="N278" s="981"/>
      <c r="O278" s="243"/>
      <c r="P278" s="243"/>
      <c r="Q278" s="243"/>
      <c r="R278" s="243"/>
      <c r="S278" s="243"/>
      <c r="T278" s="243"/>
      <c r="U278" s="1051"/>
      <c r="V278" s="1051"/>
      <c r="W278" s="243"/>
      <c r="X278" s="243"/>
      <c r="Y278" s="243"/>
      <c r="Z278" s="656"/>
      <c r="AA278" s="701"/>
      <c r="AB278" s="243"/>
      <c r="AC278" s="243"/>
      <c r="AD278" s="243"/>
      <c r="AE278" s="656"/>
      <c r="AF278" s="694"/>
      <c r="AG278" s="243"/>
      <c r="AH278" s="243"/>
      <c r="AI278" s="243"/>
      <c r="AJ278" s="243"/>
      <c r="AK278" s="243"/>
      <c r="AL278" s="243"/>
      <c r="AM278" s="243"/>
      <c r="AN278" s="243"/>
      <c r="AO278" s="243"/>
      <c r="AP278" s="243"/>
      <c r="AQ278" s="243"/>
      <c r="AR278" s="243"/>
      <c r="AS278" s="243"/>
      <c r="AT278" s="243"/>
      <c r="AU278" s="243"/>
      <c r="AV278" s="243"/>
      <c r="AW278" s="243"/>
      <c r="AX278" s="243"/>
      <c r="AY278" s="243"/>
      <c r="AZ278" s="694"/>
      <c r="BA278" s="694"/>
      <c r="BB278" s="981"/>
      <c r="BC278" s="981"/>
      <c r="BD278" s="1353"/>
      <c r="BE278" s="243"/>
      <c r="BF278" s="981"/>
      <c r="BG278" s="243"/>
      <c r="BH278" s="243"/>
      <c r="BI278" s="243"/>
      <c r="BJ278" s="243"/>
      <c r="BK278" s="243"/>
      <c r="BL278" s="243"/>
      <c r="BM278" s="1051"/>
      <c r="BN278" s="1051"/>
      <c r="BO278" s="243"/>
      <c r="BP278" s="243"/>
      <c r="BQ278" s="243"/>
      <c r="BR278" s="981"/>
      <c r="BS278" s="243"/>
      <c r="BT278" s="243"/>
      <c r="BU278" s="981"/>
      <c r="BV278" s="981"/>
      <c r="BW278" s="981"/>
      <c r="BX278" s="243"/>
      <c r="BY278" s="243"/>
      <c r="BZ278" s="243"/>
      <c r="CA278" s="243"/>
      <c r="CB278" s="243"/>
      <c r="CC278" s="243"/>
      <c r="CD278" s="243"/>
      <c r="CE278" s="243"/>
      <c r="CF278" s="243"/>
      <c r="CG278" s="1283"/>
    </row>
    <row r="279" spans="1:85" ht="13.2">
      <c r="A279" s="1351">
        <v>45187</v>
      </c>
      <c r="B279" s="243"/>
      <c r="C279" s="1051"/>
      <c r="D279" s="243"/>
      <c r="E279" s="1271"/>
      <c r="F279" s="656"/>
      <c r="G279" s="656"/>
      <c r="H279" s="243"/>
      <c r="I279" s="243"/>
      <c r="J279" s="243"/>
      <c r="K279" s="243"/>
      <c r="L279" s="243"/>
      <c r="M279" s="981"/>
      <c r="N279" s="981"/>
      <c r="O279" s="243"/>
      <c r="P279" s="243"/>
      <c r="Q279" s="243"/>
      <c r="R279" s="243"/>
      <c r="S279" s="243"/>
      <c r="T279" s="243"/>
      <c r="U279" s="1051"/>
      <c r="V279" s="1051"/>
      <c r="W279" s="243"/>
      <c r="X279" s="243"/>
      <c r="Y279" s="243"/>
      <c r="Z279" s="656"/>
      <c r="AA279" s="701"/>
      <c r="AB279" s="243"/>
      <c r="AC279" s="243"/>
      <c r="AD279" s="243"/>
      <c r="AE279" s="656"/>
      <c r="AF279" s="694"/>
      <c r="AG279" s="243"/>
      <c r="AH279" s="243"/>
      <c r="AI279" s="243"/>
      <c r="AJ279" s="243"/>
      <c r="AK279" s="243"/>
      <c r="AL279" s="243"/>
      <c r="AM279" s="243"/>
      <c r="AN279" s="243"/>
      <c r="AO279" s="243"/>
      <c r="AP279" s="243"/>
      <c r="AQ279" s="243"/>
      <c r="AR279" s="243"/>
      <c r="AS279" s="243"/>
      <c r="AT279" s="243"/>
      <c r="AU279" s="243"/>
      <c r="AV279" s="243"/>
      <c r="AW279" s="243"/>
      <c r="AX279" s="243"/>
      <c r="AY279" s="243"/>
      <c r="AZ279" s="243"/>
      <c r="BA279" s="243"/>
      <c r="BB279" s="981"/>
      <c r="BC279" s="981"/>
      <c r="BD279" s="1353"/>
      <c r="BE279" s="243"/>
      <c r="BF279" s="243"/>
      <c r="BG279" s="243"/>
      <c r="BH279" s="243"/>
      <c r="BI279" s="243"/>
      <c r="BJ279" s="243"/>
      <c r="BK279" s="243"/>
      <c r="BL279" s="243"/>
      <c r="BM279" s="1051"/>
      <c r="BN279" s="1051"/>
      <c r="BO279" s="243"/>
      <c r="BP279" s="243"/>
      <c r="BQ279" s="243"/>
      <c r="BR279" s="402"/>
      <c r="BS279" s="243"/>
      <c r="BT279" s="243"/>
      <c r="BU279" s="981"/>
      <c r="BV279" s="981"/>
      <c r="BW279" s="981"/>
      <c r="BX279" s="243"/>
      <c r="BY279" s="243"/>
      <c r="BZ279" s="243"/>
      <c r="CA279" s="243"/>
      <c r="CB279" s="243"/>
      <c r="CC279" s="243"/>
      <c r="CD279" s="243"/>
      <c r="CE279" s="243"/>
      <c r="CF279" s="243"/>
      <c r="CG279" s="1283"/>
    </row>
    <row r="280" spans="1:85" ht="13.2">
      <c r="A280" s="1351">
        <v>45188</v>
      </c>
      <c r="B280" s="243"/>
      <c r="C280" s="1051"/>
      <c r="D280" s="243"/>
      <c r="E280" s="1271"/>
      <c r="F280" s="981"/>
      <c r="G280" s="981"/>
      <c r="H280" s="981"/>
      <c r="I280" s="981"/>
      <c r="J280" s="981"/>
      <c r="K280" s="981"/>
      <c r="L280" s="981"/>
      <c r="M280" s="981"/>
      <c r="N280" s="981"/>
      <c r="O280" s="981"/>
      <c r="P280" s="981"/>
      <c r="Q280" s="981"/>
      <c r="R280" s="981"/>
      <c r="S280" s="981"/>
      <c r="T280" s="981"/>
      <c r="U280" s="1051"/>
      <c r="V280" s="1051"/>
      <c r="W280" s="243"/>
      <c r="X280" s="243"/>
      <c r="Y280" s="243"/>
      <c r="Z280" s="656"/>
      <c r="AA280" s="701"/>
      <c r="AB280" s="981"/>
      <c r="AC280" s="981"/>
      <c r="AD280" s="981"/>
      <c r="AE280" s="656"/>
      <c r="AF280" s="694"/>
      <c r="AG280" s="981"/>
      <c r="AH280" s="981"/>
      <c r="AI280" s="981"/>
      <c r="AJ280" s="981"/>
      <c r="AK280" s="981"/>
      <c r="AL280" s="981"/>
      <c r="AM280" s="981"/>
      <c r="AN280" s="981"/>
      <c r="AO280" s="243"/>
      <c r="AP280" s="243"/>
      <c r="AQ280" s="981"/>
      <c r="AR280" s="981"/>
      <c r="AS280" s="981"/>
      <c r="AT280" s="981"/>
      <c r="AU280" s="981"/>
      <c r="AV280" s="981"/>
      <c r="AW280" s="981"/>
      <c r="AX280" s="981"/>
      <c r="AY280" s="981"/>
      <c r="AZ280" s="243"/>
      <c r="BA280" s="243"/>
      <c r="BB280" s="981"/>
      <c r="BC280" s="981"/>
      <c r="BD280" s="1353"/>
      <c r="BE280" s="981"/>
      <c r="BF280" s="243"/>
      <c r="BG280" s="981"/>
      <c r="BH280" s="981"/>
      <c r="BI280" s="981"/>
      <c r="BJ280" s="981"/>
      <c r="BK280" s="981"/>
      <c r="BL280" s="981"/>
      <c r="BM280" s="1051"/>
      <c r="BN280" s="1051"/>
      <c r="BO280" s="981"/>
      <c r="BP280" s="981"/>
      <c r="BQ280" s="981"/>
      <c r="BR280" s="243"/>
      <c r="BS280" s="243"/>
      <c r="BT280" s="243"/>
      <c r="BU280" s="981"/>
      <c r="BV280" s="981"/>
      <c r="BW280" s="981"/>
      <c r="BX280" s="981"/>
      <c r="BY280" s="981"/>
      <c r="BZ280" s="981"/>
      <c r="CA280" s="981"/>
      <c r="CB280" s="981"/>
      <c r="CC280" s="981"/>
      <c r="CD280" s="981"/>
      <c r="CE280" s="981"/>
      <c r="CF280" s="981"/>
      <c r="CG280" s="1283"/>
    </row>
    <row r="281" spans="1:85" ht="13.2">
      <c r="A281" s="1351">
        <v>45189</v>
      </c>
      <c r="B281" s="243"/>
      <c r="C281" s="1051"/>
      <c r="D281" s="243"/>
      <c r="E281" s="1270"/>
      <c r="F281" s="981"/>
      <c r="G281" s="981"/>
      <c r="H281" s="981"/>
      <c r="I281" s="981"/>
      <c r="J281" s="981"/>
      <c r="K281" s="981"/>
      <c r="L281" s="981"/>
      <c r="M281" s="981"/>
      <c r="N281" s="981"/>
      <c r="O281" s="981"/>
      <c r="P281" s="981"/>
      <c r="Q281" s="981"/>
      <c r="R281" s="981"/>
      <c r="S281" s="981"/>
      <c r="T281" s="981"/>
      <c r="U281" s="1051"/>
      <c r="V281" s="1051"/>
      <c r="W281" s="981"/>
      <c r="X281" s="981"/>
      <c r="Y281" s="981"/>
      <c r="Z281" s="656"/>
      <c r="AA281" s="701"/>
      <c r="AB281" s="981"/>
      <c r="AC281" s="981"/>
      <c r="AD281" s="981"/>
      <c r="AE281" s="656"/>
      <c r="AF281" s="694"/>
      <c r="AG281" s="981"/>
      <c r="AH281" s="981"/>
      <c r="AI281" s="981"/>
      <c r="AJ281" s="981"/>
      <c r="AK281" s="981"/>
      <c r="AL281" s="981"/>
      <c r="AM281" s="981"/>
      <c r="AN281" s="981"/>
      <c r="AO281" s="981"/>
      <c r="AP281" s="981"/>
      <c r="AQ281" s="981"/>
      <c r="AR281" s="981"/>
      <c r="AS281" s="981"/>
      <c r="AT281" s="981"/>
      <c r="AU281" s="981"/>
      <c r="AV281" s="981"/>
      <c r="AW281" s="981"/>
      <c r="AX281" s="981"/>
      <c r="AY281" s="981"/>
      <c r="AZ281" s="243"/>
      <c r="BA281" s="243"/>
      <c r="BB281" s="981"/>
      <c r="BC281" s="981"/>
      <c r="BD281" s="1056"/>
      <c r="BE281" s="981"/>
      <c r="BF281" s="981"/>
      <c r="BG281" s="981"/>
      <c r="BH281" s="981"/>
      <c r="BI281" s="981"/>
      <c r="BJ281" s="981"/>
      <c r="BK281" s="981"/>
      <c r="BL281" s="981"/>
      <c r="BM281" s="1051"/>
      <c r="BN281" s="1051"/>
      <c r="BO281" s="981"/>
      <c r="BP281" s="981"/>
      <c r="BQ281" s="981"/>
      <c r="BR281" s="981"/>
      <c r="BS281" s="981"/>
      <c r="BT281" s="981"/>
      <c r="BU281" s="981"/>
      <c r="BV281" s="981"/>
      <c r="BW281" s="981"/>
      <c r="BX281" s="981"/>
      <c r="BY281" s="981"/>
      <c r="BZ281" s="981"/>
      <c r="CA281" s="981"/>
      <c r="CB281" s="981"/>
      <c r="CC281" s="981"/>
      <c r="CD281" s="981"/>
      <c r="CE281" s="981"/>
      <c r="CF281" s="981"/>
      <c r="CG281" s="1283"/>
    </row>
    <row r="282" spans="1:85" ht="13.2">
      <c r="A282" s="1351">
        <v>45190</v>
      </c>
      <c r="B282" s="243"/>
      <c r="C282" s="1051"/>
      <c r="D282" s="243"/>
      <c r="E282" s="1270"/>
      <c r="F282" s="243"/>
      <c r="G282" s="243"/>
      <c r="H282" s="243"/>
      <c r="I282" s="243"/>
      <c r="J282" s="243"/>
      <c r="K282" s="243"/>
      <c r="L282" s="243"/>
      <c r="M282" s="981"/>
      <c r="N282" s="981"/>
      <c r="O282" s="243"/>
      <c r="P282" s="243"/>
      <c r="Q282" s="243"/>
      <c r="R282" s="243"/>
      <c r="S282" s="243"/>
      <c r="T282" s="243"/>
      <c r="U282" s="1051"/>
      <c r="V282" s="1051"/>
      <c r="W282" s="243"/>
      <c r="X282" s="243"/>
      <c r="Y282" s="243"/>
      <c r="Z282" s="656"/>
      <c r="AA282" s="701"/>
      <c r="AB282" s="243"/>
      <c r="AC282" s="243"/>
      <c r="AD282" s="243"/>
      <c r="AE282" s="656"/>
      <c r="AF282" s="694"/>
      <c r="AG282" s="243"/>
      <c r="AH282" s="243"/>
      <c r="AI282" s="243"/>
      <c r="AJ282" s="243"/>
      <c r="AK282" s="243"/>
      <c r="AL282" s="243"/>
      <c r="AM282" s="243"/>
      <c r="AN282" s="243"/>
      <c r="AO282" s="981"/>
      <c r="AP282" s="981"/>
      <c r="AQ282" s="243"/>
      <c r="AR282" s="243"/>
      <c r="AS282" s="243"/>
      <c r="AT282" s="243"/>
      <c r="AU282" s="243"/>
      <c r="AV282" s="243"/>
      <c r="AW282" s="243"/>
      <c r="AX282" s="243"/>
      <c r="AY282" s="243"/>
      <c r="AZ282" s="243"/>
      <c r="BA282" s="243"/>
      <c r="BB282" s="981"/>
      <c r="BC282" s="981"/>
      <c r="BD282" s="1056"/>
      <c r="BE282" s="243"/>
      <c r="BF282" s="243"/>
      <c r="BG282" s="243"/>
      <c r="BH282" s="243"/>
      <c r="BI282" s="243"/>
      <c r="BJ282" s="243"/>
      <c r="BK282" s="243"/>
      <c r="BL282" s="243"/>
      <c r="BM282" s="1051"/>
      <c r="BN282" s="1051"/>
      <c r="BO282" s="243"/>
      <c r="BP282" s="243"/>
      <c r="BQ282" s="243"/>
      <c r="BR282" s="243"/>
      <c r="BS282" s="243"/>
      <c r="BT282" s="243"/>
      <c r="BU282" s="981"/>
      <c r="BV282" s="981"/>
      <c r="BW282" s="981"/>
      <c r="BX282" s="243"/>
      <c r="BY282" s="243"/>
      <c r="BZ282" s="243"/>
      <c r="CA282" s="243"/>
      <c r="CB282" s="243"/>
      <c r="CC282" s="243"/>
      <c r="CD282" s="243"/>
      <c r="CE282" s="243"/>
      <c r="CF282" s="243"/>
      <c r="CG282" s="1283"/>
    </row>
    <row r="283" spans="1:85" ht="13.2">
      <c r="A283" s="1351">
        <v>45191</v>
      </c>
      <c r="B283" s="243"/>
      <c r="C283" s="1051"/>
      <c r="D283" s="243"/>
      <c r="E283" s="1270"/>
      <c r="F283" s="981"/>
      <c r="G283" s="1051"/>
      <c r="H283" s="1051"/>
      <c r="I283" s="1051"/>
      <c r="J283" s="1051"/>
      <c r="K283" s="1051"/>
      <c r="L283" s="1051"/>
      <c r="M283" s="981"/>
      <c r="N283" s="981"/>
      <c r="O283" s="1051"/>
      <c r="P283" s="1051"/>
      <c r="Q283" s="1051"/>
      <c r="R283" s="1051"/>
      <c r="S283" s="1051"/>
      <c r="T283" s="1051"/>
      <c r="U283" s="1051"/>
      <c r="V283" s="1051"/>
      <c r="W283" s="1051"/>
      <c r="X283" s="1051"/>
      <c r="Y283" s="1051"/>
      <c r="Z283" s="656"/>
      <c r="AA283" s="701"/>
      <c r="AB283" s="1051"/>
      <c r="AC283" s="1051"/>
      <c r="AD283" s="1051"/>
      <c r="AE283" s="656"/>
      <c r="AF283" s="694"/>
      <c r="AG283" s="1051"/>
      <c r="AH283" s="1051"/>
      <c r="AI283" s="1051"/>
      <c r="AJ283" s="1051"/>
      <c r="AK283" s="1051"/>
      <c r="AL283" s="1051"/>
      <c r="AM283" s="1051"/>
      <c r="AN283" s="1051"/>
      <c r="AO283" s="981"/>
      <c r="AP283" s="981"/>
      <c r="AQ283" s="1051"/>
      <c r="AR283" s="1051"/>
      <c r="AS283" s="1051"/>
      <c r="AT283" s="1051"/>
      <c r="AU283" s="1051"/>
      <c r="AV283" s="1051"/>
      <c r="AW283" s="1051"/>
      <c r="AX283" s="1051"/>
      <c r="AY283" s="1051"/>
      <c r="AZ283" s="243"/>
      <c r="BA283" s="243"/>
      <c r="BB283" s="1051"/>
      <c r="BC283" s="1051"/>
      <c r="BD283" s="1355"/>
      <c r="BE283" s="1051"/>
      <c r="BF283" s="243"/>
      <c r="BG283" s="1051"/>
      <c r="BH283" s="1051"/>
      <c r="BI283" s="1051"/>
      <c r="BJ283" s="1051"/>
      <c r="BK283" s="1051"/>
      <c r="BL283" s="1051"/>
      <c r="BM283" s="1051"/>
      <c r="BN283" s="1051"/>
      <c r="BO283" s="1051"/>
      <c r="BP283" s="1051"/>
      <c r="BQ283" s="1051"/>
      <c r="BR283" s="1051"/>
      <c r="BS283" s="243"/>
      <c r="BT283" s="1051"/>
      <c r="BU283" s="981"/>
      <c r="BV283" s="981"/>
      <c r="BW283" s="981"/>
      <c r="BX283" s="1051"/>
      <c r="BY283" s="1051"/>
      <c r="BZ283" s="1051"/>
      <c r="CA283" s="1051"/>
      <c r="CB283" s="1051"/>
      <c r="CC283" s="1051"/>
      <c r="CD283" s="1051"/>
      <c r="CE283" s="1051"/>
      <c r="CF283" s="1051"/>
      <c r="CG283" s="1283"/>
    </row>
    <row r="284" spans="1:85" ht="13.2">
      <c r="A284" s="1351">
        <v>45192</v>
      </c>
      <c r="B284" s="243"/>
      <c r="C284" s="1051"/>
      <c r="D284" s="243"/>
      <c r="E284" s="1270"/>
      <c r="F284" s="243"/>
      <c r="G284" s="243"/>
      <c r="H284" s="243"/>
      <c r="I284" s="243"/>
      <c r="J284" s="243"/>
      <c r="K284" s="243"/>
      <c r="L284" s="243"/>
      <c r="M284" s="981"/>
      <c r="N284" s="981"/>
      <c r="O284" s="243"/>
      <c r="P284" s="243"/>
      <c r="Q284" s="243"/>
      <c r="R284" s="243"/>
      <c r="S284" s="243"/>
      <c r="T284" s="243"/>
      <c r="U284" s="1051"/>
      <c r="V284" s="1051"/>
      <c r="W284" s="243"/>
      <c r="X284" s="243"/>
      <c r="Y284" s="243"/>
      <c r="Z284" s="656"/>
      <c r="AA284" s="701"/>
      <c r="AB284" s="243"/>
      <c r="AC284" s="243"/>
      <c r="AD284" s="243"/>
      <c r="AE284" s="656"/>
      <c r="AF284" s="694"/>
      <c r="AG284" s="243"/>
      <c r="AH284" s="243"/>
      <c r="AI284" s="243"/>
      <c r="AJ284" s="243"/>
      <c r="AK284" s="243"/>
      <c r="AL284" s="243"/>
      <c r="AM284" s="243"/>
      <c r="AN284" s="243"/>
      <c r="AO284" s="981"/>
      <c r="AP284" s="981"/>
      <c r="AQ284" s="243"/>
      <c r="AR284" s="243"/>
      <c r="AS284" s="243"/>
      <c r="AT284" s="243"/>
      <c r="AU284" s="243"/>
      <c r="AV284" s="243"/>
      <c r="AW284" s="243"/>
      <c r="AX284" s="243"/>
      <c r="AY284" s="243"/>
      <c r="AZ284" s="243"/>
      <c r="BA284" s="243"/>
      <c r="BB284" s="1051"/>
      <c r="BC284" s="1051"/>
      <c r="BD284" s="1355"/>
      <c r="BE284" s="243"/>
      <c r="BF284" s="243"/>
      <c r="BG284" s="243"/>
      <c r="BH284" s="243"/>
      <c r="BI284" s="243"/>
      <c r="BJ284" s="243"/>
      <c r="BK284" s="243"/>
      <c r="BL284" s="243"/>
      <c r="BM284" s="243"/>
      <c r="BN284" s="243"/>
      <c r="BO284" s="243"/>
      <c r="BP284" s="243"/>
      <c r="BQ284" s="243"/>
      <c r="BR284" s="243"/>
      <c r="BS284" s="243"/>
      <c r="BT284" s="243"/>
      <c r="BU284" s="981"/>
      <c r="BV284" s="981"/>
      <c r="BW284" s="981"/>
      <c r="BX284" s="243"/>
      <c r="BY284" s="243"/>
      <c r="BZ284" s="243"/>
      <c r="CA284" s="243"/>
      <c r="CB284" s="243"/>
      <c r="CC284" s="243"/>
      <c r="CD284" s="243"/>
      <c r="CE284" s="243"/>
      <c r="CF284" s="243"/>
      <c r="CG284" s="1283"/>
    </row>
    <row r="285" spans="1:85" ht="13.2">
      <c r="A285" s="1351">
        <v>45193</v>
      </c>
      <c r="B285" s="243"/>
      <c r="C285" s="1051"/>
      <c r="D285" s="243"/>
      <c r="E285" s="1270"/>
      <c r="F285" s="243"/>
      <c r="G285" s="243"/>
      <c r="H285" s="243"/>
      <c r="I285" s="243"/>
      <c r="J285" s="243"/>
      <c r="K285" s="243"/>
      <c r="L285" s="243"/>
      <c r="M285" s="981"/>
      <c r="N285" s="981"/>
      <c r="O285" s="243"/>
      <c r="P285" s="243"/>
      <c r="Q285" s="243"/>
      <c r="R285" s="243"/>
      <c r="S285" s="243"/>
      <c r="T285" s="243"/>
      <c r="U285" s="1051"/>
      <c r="V285" s="1051"/>
      <c r="W285" s="243"/>
      <c r="X285" s="243"/>
      <c r="Y285" s="243"/>
      <c r="Z285" s="656"/>
      <c r="AA285" s="701"/>
      <c r="AB285" s="243"/>
      <c r="AC285" s="243"/>
      <c r="AD285" s="243"/>
      <c r="AE285" s="656"/>
      <c r="AF285" s="694"/>
      <c r="AG285" s="243"/>
      <c r="AH285" s="243"/>
      <c r="AI285" s="243"/>
      <c r="AJ285" s="243"/>
      <c r="AK285" s="243"/>
      <c r="AL285" s="243"/>
      <c r="AM285" s="243"/>
      <c r="AN285" s="243"/>
      <c r="AO285" s="981"/>
      <c r="AP285" s="981"/>
      <c r="AQ285" s="243"/>
      <c r="AR285" s="243"/>
      <c r="AS285" s="243"/>
      <c r="AT285" s="243"/>
      <c r="AU285" s="243"/>
      <c r="AV285" s="243"/>
      <c r="AW285" s="243"/>
      <c r="AX285" s="243"/>
      <c r="AY285" s="243"/>
      <c r="AZ285" s="243"/>
      <c r="BA285" s="243"/>
      <c r="BB285" s="1051"/>
      <c r="BC285" s="1051"/>
      <c r="BD285" s="1355"/>
      <c r="BE285" s="243"/>
      <c r="BF285" s="243"/>
      <c r="BG285" s="243"/>
      <c r="BH285" s="243"/>
      <c r="BI285" s="243"/>
      <c r="BJ285" s="243"/>
      <c r="BK285" s="243"/>
      <c r="BL285" s="243"/>
      <c r="BM285" s="243"/>
      <c r="BN285" s="243"/>
      <c r="BO285" s="243"/>
      <c r="BP285" s="243"/>
      <c r="BQ285" s="243"/>
      <c r="BR285" s="243"/>
      <c r="BS285" s="243"/>
      <c r="BT285" s="243"/>
      <c r="BU285" s="981"/>
      <c r="BV285" s="981"/>
      <c r="BW285" s="981"/>
      <c r="BX285" s="243"/>
      <c r="BY285" s="243"/>
      <c r="BZ285" s="243"/>
      <c r="CA285" s="243"/>
      <c r="CB285" s="243"/>
      <c r="CC285" s="243"/>
      <c r="CD285" s="243"/>
      <c r="CE285" s="243"/>
      <c r="CF285" s="243"/>
      <c r="CG285" s="1283"/>
    </row>
    <row r="286" spans="1:85" ht="13.2">
      <c r="A286" s="1351">
        <v>45194</v>
      </c>
      <c r="B286" s="243"/>
      <c r="C286" s="1051"/>
      <c r="D286" s="243"/>
      <c r="E286" s="1270"/>
      <c r="F286" s="243"/>
      <c r="G286" s="243"/>
      <c r="H286" s="243"/>
      <c r="I286" s="243"/>
      <c r="J286" s="243"/>
      <c r="K286" s="243"/>
      <c r="L286" s="243"/>
      <c r="M286" s="981"/>
      <c r="N286" s="981"/>
      <c r="O286" s="243"/>
      <c r="P286" s="243"/>
      <c r="Q286" s="243"/>
      <c r="R286" s="243"/>
      <c r="S286" s="243"/>
      <c r="T286" s="243"/>
      <c r="U286" s="1051"/>
      <c r="V286" s="1051"/>
      <c r="W286" s="243"/>
      <c r="X286" s="243"/>
      <c r="Y286" s="243"/>
      <c r="Z286" s="656"/>
      <c r="AA286" s="701"/>
      <c r="AB286" s="243"/>
      <c r="AC286" s="243"/>
      <c r="AD286" s="243"/>
      <c r="AE286" s="656"/>
      <c r="AF286" s="694"/>
      <c r="AG286" s="243"/>
      <c r="AH286" s="243"/>
      <c r="AI286" s="243"/>
      <c r="AJ286" s="243"/>
      <c r="AK286" s="243"/>
      <c r="AL286" s="243"/>
      <c r="AM286" s="243"/>
      <c r="AN286" s="243"/>
      <c r="AO286" s="981"/>
      <c r="AP286" s="981"/>
      <c r="AQ286" s="243"/>
      <c r="AR286" s="243"/>
      <c r="AS286" s="243"/>
      <c r="AT286" s="243"/>
      <c r="AU286" s="243"/>
      <c r="AV286" s="243"/>
      <c r="AW286" s="243"/>
      <c r="AX286" s="243"/>
      <c r="AY286" s="243"/>
      <c r="AZ286" s="243"/>
      <c r="BA286" s="243"/>
      <c r="BB286" s="1051"/>
      <c r="BC286" s="1051"/>
      <c r="BD286" s="1355"/>
      <c r="BE286" s="243"/>
      <c r="BF286" s="243"/>
      <c r="BG286" s="243"/>
      <c r="BH286" s="243"/>
      <c r="BI286" s="243"/>
      <c r="BJ286" s="243"/>
      <c r="BK286" s="243"/>
      <c r="BL286" s="243"/>
      <c r="BM286" s="243"/>
      <c r="BN286" s="243"/>
      <c r="BO286" s="243"/>
      <c r="BP286" s="243"/>
      <c r="BQ286" s="243"/>
      <c r="BR286" s="243"/>
      <c r="BS286" s="243"/>
      <c r="BT286" s="243"/>
      <c r="BU286" s="981"/>
      <c r="BV286" s="981"/>
      <c r="BW286" s="981"/>
      <c r="BX286" s="243"/>
      <c r="BY286" s="243"/>
      <c r="BZ286" s="243"/>
      <c r="CA286" s="243"/>
      <c r="CB286" s="243"/>
      <c r="CC286" s="243"/>
      <c r="CD286" s="243"/>
      <c r="CE286" s="243"/>
      <c r="CF286" s="243"/>
      <c r="CG286" s="1283"/>
    </row>
    <row r="287" spans="1:85" ht="13.2">
      <c r="A287" s="1351">
        <v>45195</v>
      </c>
      <c r="B287" s="243"/>
      <c r="C287" s="1051"/>
      <c r="D287" s="243"/>
      <c r="E287" s="1270"/>
      <c r="F287" s="243"/>
      <c r="G287" s="243"/>
      <c r="H287" s="243"/>
      <c r="I287" s="243"/>
      <c r="J287" s="243"/>
      <c r="K287" s="243"/>
      <c r="L287" s="243"/>
      <c r="M287" s="981"/>
      <c r="N287" s="981"/>
      <c r="O287" s="243"/>
      <c r="P287" s="243"/>
      <c r="Q287" s="243"/>
      <c r="R287" s="243"/>
      <c r="S287" s="243"/>
      <c r="T287" s="243"/>
      <c r="U287" s="1051"/>
      <c r="V287" s="1051"/>
      <c r="W287" s="243"/>
      <c r="X287" s="243"/>
      <c r="Y287" s="243"/>
      <c r="Z287" s="656"/>
      <c r="AA287" s="701"/>
      <c r="AB287" s="243"/>
      <c r="AC287" s="243"/>
      <c r="AD287" s="243"/>
      <c r="AE287" s="656"/>
      <c r="AF287" s="694"/>
      <c r="AG287" s="243"/>
      <c r="AH287" s="243"/>
      <c r="AI287" s="243"/>
      <c r="AJ287" s="243"/>
      <c r="AK287" s="243"/>
      <c r="AL287" s="243"/>
      <c r="AM287" s="243"/>
      <c r="AN287" s="243"/>
      <c r="AO287" s="981"/>
      <c r="AP287" s="981"/>
      <c r="AQ287" s="243"/>
      <c r="AR287" s="243"/>
      <c r="AS287" s="243"/>
      <c r="AT287" s="243"/>
      <c r="AU287" s="243"/>
      <c r="AV287" s="243"/>
      <c r="AW287" s="243"/>
      <c r="AX287" s="243"/>
      <c r="AY287" s="243"/>
      <c r="AZ287" s="243"/>
      <c r="BA287" s="243"/>
      <c r="BB287" s="1051"/>
      <c r="BC287" s="1051"/>
      <c r="BD287" s="1355"/>
      <c r="BE287" s="243"/>
      <c r="BF287" s="243"/>
      <c r="BG287" s="243"/>
      <c r="BH287" s="243"/>
      <c r="BI287" s="243"/>
      <c r="BJ287" s="243"/>
      <c r="BK287" s="243"/>
      <c r="BL287" s="243"/>
      <c r="BM287" s="243"/>
      <c r="BN287" s="243"/>
      <c r="BO287" s="243"/>
      <c r="BP287" s="243"/>
      <c r="BQ287" s="243"/>
      <c r="BR287" s="243"/>
      <c r="BS287" s="243"/>
      <c r="BT287" s="243"/>
      <c r="BU287" s="981"/>
      <c r="BV287" s="981"/>
      <c r="BW287" s="981"/>
      <c r="BX287" s="243"/>
      <c r="BY287" s="243"/>
      <c r="BZ287" s="243"/>
      <c r="CA287" s="243"/>
      <c r="CB287" s="243"/>
      <c r="CC287" s="243"/>
      <c r="CD287" s="243"/>
      <c r="CE287" s="243"/>
      <c r="CF287" s="243"/>
      <c r="CG287" s="1283"/>
    </row>
    <row r="288" spans="1:85" ht="13.2">
      <c r="A288" s="1351">
        <v>45196</v>
      </c>
      <c r="B288" s="243"/>
      <c r="C288" s="1051"/>
      <c r="D288" s="243"/>
      <c r="E288" s="1270"/>
      <c r="F288" s="243"/>
      <c r="G288" s="243"/>
      <c r="H288" s="243"/>
      <c r="I288" s="243"/>
      <c r="J288" s="243"/>
      <c r="K288" s="243"/>
      <c r="L288" s="243"/>
      <c r="M288" s="981"/>
      <c r="N288" s="981"/>
      <c r="O288" s="243"/>
      <c r="P288" s="243"/>
      <c r="Q288" s="243"/>
      <c r="R288" s="243"/>
      <c r="S288" s="243"/>
      <c r="T288" s="243"/>
      <c r="U288" s="1051"/>
      <c r="V288" s="1051"/>
      <c r="W288" s="243"/>
      <c r="X288" s="243"/>
      <c r="Y288" s="243"/>
      <c r="Z288" s="656"/>
      <c r="AA288" s="701"/>
      <c r="AB288" s="243"/>
      <c r="AC288" s="243"/>
      <c r="AD288" s="243"/>
      <c r="AE288" s="656"/>
      <c r="AF288" s="694"/>
      <c r="AG288" s="243"/>
      <c r="AH288" s="243"/>
      <c r="AI288" s="243"/>
      <c r="AJ288" s="243"/>
      <c r="AK288" s="243"/>
      <c r="AL288" s="243"/>
      <c r="AM288" s="243"/>
      <c r="AN288" s="243"/>
      <c r="AO288" s="981"/>
      <c r="AP288" s="981"/>
      <c r="AQ288" s="243"/>
      <c r="AR288" s="243"/>
      <c r="AS288" s="243"/>
      <c r="AT288" s="243"/>
      <c r="AU288" s="243"/>
      <c r="AV288" s="243"/>
      <c r="AW288" s="243"/>
      <c r="AX288" s="243"/>
      <c r="AY288" s="243"/>
      <c r="AZ288" s="243"/>
      <c r="BA288" s="243"/>
      <c r="BB288" s="1051"/>
      <c r="BC288" s="1051"/>
      <c r="BD288" s="1355"/>
      <c r="BE288" s="243"/>
      <c r="BF288" s="243"/>
      <c r="BG288" s="243"/>
      <c r="BH288" s="243"/>
      <c r="BI288" s="243"/>
      <c r="BJ288" s="243"/>
      <c r="BK288" s="243"/>
      <c r="BL288" s="243"/>
      <c r="BM288" s="243"/>
      <c r="BN288" s="243"/>
      <c r="BO288" s="243"/>
      <c r="BP288" s="243"/>
      <c r="BQ288" s="243"/>
      <c r="BR288" s="243"/>
      <c r="BS288" s="243"/>
      <c r="BT288" s="243"/>
      <c r="BU288" s="981"/>
      <c r="BV288" s="981"/>
      <c r="BW288" s="981"/>
      <c r="BX288" s="243"/>
      <c r="BY288" s="243"/>
      <c r="BZ288" s="243"/>
      <c r="CA288" s="243"/>
      <c r="CB288" s="243"/>
      <c r="CC288" s="243"/>
      <c r="CD288" s="243"/>
      <c r="CE288" s="243"/>
      <c r="CF288" s="243"/>
      <c r="CG288" s="1283"/>
    </row>
    <row r="289" spans="1:85" ht="13.2">
      <c r="A289" s="1351">
        <v>45197</v>
      </c>
      <c r="B289" s="243"/>
      <c r="C289" s="1051"/>
      <c r="D289" s="243"/>
      <c r="E289" s="1270"/>
      <c r="F289" s="981"/>
      <c r="G289" s="981"/>
      <c r="H289" s="981"/>
      <c r="I289" s="981"/>
      <c r="J289" s="981"/>
      <c r="K289" s="1051"/>
      <c r="L289" s="1051"/>
      <c r="M289" s="981"/>
      <c r="N289" s="981"/>
      <c r="O289" s="981"/>
      <c r="P289" s="981"/>
      <c r="Q289" s="243"/>
      <c r="R289" s="981"/>
      <c r="S289" s="243"/>
      <c r="T289" s="981"/>
      <c r="U289" s="1051"/>
      <c r="V289" s="1051"/>
      <c r="W289" s="981"/>
      <c r="X289" s="981"/>
      <c r="Y289" s="981"/>
      <c r="Z289" s="656"/>
      <c r="AA289" s="701"/>
      <c r="AB289" s="981"/>
      <c r="AC289" s="981"/>
      <c r="AD289" s="981"/>
      <c r="AE289" s="656"/>
      <c r="AF289" s="694"/>
      <c r="AG289" s="1051"/>
      <c r="AH289" s="1051"/>
      <c r="AI289" s="981"/>
      <c r="AJ289" s="981"/>
      <c r="AK289" s="981"/>
      <c r="AL289" s="981"/>
      <c r="AM289" s="981"/>
      <c r="AN289" s="981"/>
      <c r="AO289" s="981"/>
      <c r="AP289" s="981"/>
      <c r="AQ289" s="981"/>
      <c r="AR289" s="981"/>
      <c r="AS289" s="981"/>
      <c r="AT289" s="1051"/>
      <c r="AU289" s="981"/>
      <c r="AV289" s="981"/>
      <c r="AW289" s="981"/>
      <c r="AX289" s="981"/>
      <c r="AY289" s="981"/>
      <c r="AZ289" s="243"/>
      <c r="BA289" s="243"/>
      <c r="BB289" s="1051"/>
      <c r="BC289" s="1051"/>
      <c r="BD289" s="1355"/>
      <c r="BE289" s="1051"/>
      <c r="BF289" s="243"/>
      <c r="BG289" s="981"/>
      <c r="BH289" s="981"/>
      <c r="BI289" s="981"/>
      <c r="BJ289" s="981"/>
      <c r="BK289" s="981"/>
      <c r="BL289" s="981"/>
      <c r="BM289" s="1051"/>
      <c r="BN289" s="1051"/>
      <c r="BO289" s="981"/>
      <c r="BP289" s="981"/>
      <c r="BQ289" s="981"/>
      <c r="BR289" s="981"/>
      <c r="BS289" s="243"/>
      <c r="BT289" s="981"/>
      <c r="BU289" s="981"/>
      <c r="BV289" s="981"/>
      <c r="BW289" s="981"/>
      <c r="BX289" s="1051"/>
      <c r="BY289" s="1051"/>
      <c r="BZ289" s="1051"/>
      <c r="CA289" s="981"/>
      <c r="CB289" s="981"/>
      <c r="CC289" s="1051"/>
      <c r="CD289" s="1051"/>
      <c r="CE289" s="981"/>
      <c r="CF289" s="981"/>
      <c r="CG289" s="1283"/>
    </row>
    <row r="290" spans="1:85" ht="13.2">
      <c r="A290" s="1351">
        <v>45198</v>
      </c>
      <c r="B290" s="243"/>
      <c r="C290" s="1051"/>
      <c r="D290" s="243"/>
      <c r="E290" s="1270"/>
      <c r="F290" s="981"/>
      <c r="G290" s="981"/>
      <c r="H290" s="981"/>
      <c r="I290" s="981"/>
      <c r="J290" s="981"/>
      <c r="K290" s="1051"/>
      <c r="L290" s="1051"/>
      <c r="M290" s="981"/>
      <c r="N290" s="981"/>
      <c r="O290" s="981"/>
      <c r="P290" s="981"/>
      <c r="Q290" s="243"/>
      <c r="R290" s="981"/>
      <c r="S290" s="243"/>
      <c r="T290" s="981"/>
      <c r="U290" s="1051"/>
      <c r="V290" s="1051"/>
      <c r="W290" s="981"/>
      <c r="X290" s="981"/>
      <c r="Y290" s="981"/>
      <c r="Z290" s="656"/>
      <c r="AA290" s="701"/>
      <c r="AB290" s="981"/>
      <c r="AC290" s="981"/>
      <c r="AD290" s="981"/>
      <c r="AE290" s="656"/>
      <c r="AF290" s="694"/>
      <c r="AG290" s="1051"/>
      <c r="AH290" s="1051"/>
      <c r="AI290" s="981"/>
      <c r="AJ290" s="981"/>
      <c r="AK290" s="981"/>
      <c r="AL290" s="981"/>
      <c r="AM290" s="981"/>
      <c r="AN290" s="981"/>
      <c r="AO290" s="981"/>
      <c r="AP290" s="981"/>
      <c r="AQ290" s="981"/>
      <c r="AR290" s="981"/>
      <c r="AS290" s="981"/>
      <c r="AT290" s="1051"/>
      <c r="AU290" s="981"/>
      <c r="AV290" s="981"/>
      <c r="AW290" s="981"/>
      <c r="AX290" s="981"/>
      <c r="AY290" s="981"/>
      <c r="AZ290" s="243"/>
      <c r="BA290" s="243"/>
      <c r="BB290" s="1051"/>
      <c r="BC290" s="1051"/>
      <c r="BD290" s="1355"/>
      <c r="BE290" s="981"/>
      <c r="BF290" s="1051"/>
      <c r="BG290" s="981"/>
      <c r="BH290" s="981"/>
      <c r="BI290" s="981"/>
      <c r="BJ290" s="981"/>
      <c r="BK290" s="981"/>
      <c r="BL290" s="981"/>
      <c r="BM290" s="1051"/>
      <c r="BN290" s="1051"/>
      <c r="BO290" s="981"/>
      <c r="BP290" s="981"/>
      <c r="BQ290" s="981"/>
      <c r="BR290" s="981"/>
      <c r="BS290" s="981"/>
      <c r="BT290" s="981"/>
      <c r="BU290" s="981"/>
      <c r="BV290" s="981"/>
      <c r="BW290" s="981"/>
      <c r="BX290" s="1051"/>
      <c r="BY290" s="1051"/>
      <c r="BZ290" s="1051"/>
      <c r="CA290" s="981"/>
      <c r="CB290" s="981"/>
      <c r="CC290" s="1051"/>
      <c r="CD290" s="1051"/>
      <c r="CE290" s="981"/>
      <c r="CF290" s="981"/>
      <c r="CG290" s="1283"/>
    </row>
    <row r="291" spans="1:85" ht="13.2">
      <c r="A291" s="1351">
        <v>45199</v>
      </c>
      <c r="B291" s="243"/>
      <c r="C291" s="1051"/>
      <c r="D291" s="243"/>
      <c r="E291" s="1270"/>
      <c r="F291" s="981"/>
      <c r="G291" s="981"/>
      <c r="H291" s="981"/>
      <c r="I291" s="981"/>
      <c r="J291" s="981"/>
      <c r="K291" s="1051"/>
      <c r="L291" s="1051"/>
      <c r="M291" s="981"/>
      <c r="N291" s="981"/>
      <c r="O291" s="981"/>
      <c r="P291" s="981"/>
      <c r="Q291" s="981"/>
      <c r="R291" s="981"/>
      <c r="S291" s="243"/>
      <c r="T291" s="981"/>
      <c r="U291" s="1051"/>
      <c r="V291" s="1051"/>
      <c r="W291" s="981"/>
      <c r="X291" s="981"/>
      <c r="Y291" s="981"/>
      <c r="Z291" s="656"/>
      <c r="AA291" s="701"/>
      <c r="AB291" s="981"/>
      <c r="AC291" s="981"/>
      <c r="AD291" s="981"/>
      <c r="AE291" s="656"/>
      <c r="AF291" s="694"/>
      <c r="AG291" s="1051"/>
      <c r="AH291" s="1051"/>
      <c r="AI291" s="981"/>
      <c r="AJ291" s="981"/>
      <c r="AK291" s="981"/>
      <c r="AL291" s="981"/>
      <c r="AM291" s="981"/>
      <c r="AN291" s="981"/>
      <c r="AO291" s="981"/>
      <c r="AP291" s="981"/>
      <c r="AQ291" s="981"/>
      <c r="AR291" s="981"/>
      <c r="AS291" s="981"/>
      <c r="AT291" s="1051"/>
      <c r="AU291" s="981"/>
      <c r="AV291" s="981"/>
      <c r="AW291" s="981"/>
      <c r="AX291" s="981"/>
      <c r="AY291" s="981"/>
      <c r="AZ291" s="243"/>
      <c r="BA291" s="243"/>
      <c r="BB291" s="1051"/>
      <c r="BC291" s="1051"/>
      <c r="BD291" s="1355"/>
      <c r="BE291" s="1051"/>
      <c r="BF291" s="1051"/>
      <c r="BG291" s="981"/>
      <c r="BH291" s="981"/>
      <c r="BI291" s="981"/>
      <c r="BJ291" s="981"/>
      <c r="BK291" s="981"/>
      <c r="BL291" s="981"/>
      <c r="BM291" s="1051"/>
      <c r="BN291" s="1051"/>
      <c r="BO291" s="981"/>
      <c r="BP291" s="981"/>
      <c r="BQ291" s="981"/>
      <c r="BR291" s="981"/>
      <c r="BS291" s="981"/>
      <c r="BT291" s="981"/>
      <c r="BU291" s="981"/>
      <c r="BV291" s="981"/>
      <c r="BW291" s="981"/>
      <c r="BX291" s="1051"/>
      <c r="BY291" s="1051"/>
      <c r="BZ291" s="1051"/>
      <c r="CA291" s="981"/>
      <c r="CB291" s="981"/>
      <c r="CC291" s="1051"/>
      <c r="CD291" s="1051"/>
      <c r="CE291" s="981"/>
      <c r="CF291" s="981"/>
      <c r="CG291" s="1283"/>
    </row>
    <row r="292" spans="1:85" ht="13.2">
      <c r="A292" s="177"/>
      <c r="B292" s="181"/>
      <c r="C292" s="181"/>
      <c r="D292" s="181"/>
      <c r="E292" s="1364"/>
      <c r="F292" s="181"/>
      <c r="G292" s="181"/>
      <c r="H292" s="181"/>
      <c r="I292" s="181"/>
      <c r="J292" s="181"/>
      <c r="K292" s="181"/>
      <c r="L292" s="181"/>
      <c r="M292" s="181"/>
      <c r="N292" s="181"/>
      <c r="O292" s="181"/>
      <c r="P292" s="181"/>
      <c r="Q292" s="181"/>
      <c r="R292" s="181"/>
      <c r="S292" s="181"/>
      <c r="T292" s="181"/>
      <c r="U292" s="181"/>
      <c r="V292" s="181"/>
      <c r="W292" s="181"/>
      <c r="X292" s="181"/>
      <c r="Y292" s="181"/>
      <c r="Z292" s="181"/>
      <c r="AA292" s="181"/>
      <c r="AB292" s="181"/>
      <c r="AC292" s="181"/>
      <c r="AD292" s="181"/>
      <c r="AE292" s="181"/>
      <c r="AF292" s="181"/>
      <c r="AG292" s="181"/>
      <c r="AH292" s="181"/>
      <c r="AI292" s="181"/>
      <c r="AJ292" s="181"/>
      <c r="AK292" s="181"/>
      <c r="AL292" s="181"/>
      <c r="AM292" s="181"/>
      <c r="AN292" s="181"/>
      <c r="AO292" s="181"/>
      <c r="AP292" s="181"/>
      <c r="AQ292" s="181"/>
      <c r="AR292" s="181"/>
      <c r="AS292" s="181"/>
      <c r="AT292" s="181"/>
      <c r="AU292" s="181"/>
      <c r="AV292" s="181"/>
      <c r="AW292" s="181"/>
      <c r="AX292" s="181"/>
      <c r="AY292" s="181"/>
      <c r="AZ292" s="181"/>
      <c r="BA292" s="181"/>
      <c r="BB292" s="181"/>
      <c r="BC292" s="181"/>
      <c r="BD292" s="1746"/>
      <c r="BE292" s="181"/>
      <c r="BF292" s="181"/>
      <c r="BG292" s="181"/>
      <c r="BH292" s="181"/>
      <c r="BI292" s="181"/>
      <c r="BJ292" s="181"/>
      <c r="BK292" s="181"/>
      <c r="BL292" s="181"/>
      <c r="BM292" s="181"/>
      <c r="BN292" s="181"/>
      <c r="BO292" s="181"/>
      <c r="BP292" s="181"/>
      <c r="BQ292" s="181"/>
      <c r="BR292" s="181"/>
      <c r="BS292" s="181"/>
      <c r="BT292" s="181"/>
      <c r="BU292" s="181"/>
      <c r="BV292" s="181"/>
      <c r="BW292" s="181"/>
      <c r="BX292" s="181"/>
      <c r="BY292" s="181"/>
      <c r="BZ292" s="181"/>
      <c r="CA292" s="181"/>
      <c r="CB292" s="181"/>
      <c r="CC292" s="181"/>
      <c r="CD292" s="181"/>
      <c r="CE292" s="181"/>
      <c r="CF292" s="181"/>
      <c r="CG292" s="1372"/>
    </row>
    <row r="293" spans="1:85" ht="13.2">
      <c r="A293" s="155">
        <v>45199</v>
      </c>
      <c r="B293" s="1051"/>
      <c r="C293" s="1051"/>
      <c r="D293" s="1051"/>
      <c r="E293" s="1270"/>
      <c r="F293" s="981"/>
      <c r="G293" s="981"/>
      <c r="H293" s="981"/>
      <c r="I293" s="981"/>
      <c r="J293" s="981"/>
      <c r="K293" s="1051"/>
      <c r="L293" s="1051"/>
      <c r="M293" s="1051"/>
      <c r="N293" s="1051"/>
      <c r="O293" s="981"/>
      <c r="P293" s="981"/>
      <c r="Q293" s="981"/>
      <c r="R293" s="981"/>
      <c r="S293" s="981"/>
      <c r="T293" s="981"/>
      <c r="U293" s="1051"/>
      <c r="V293" s="1051"/>
      <c r="W293" s="981"/>
      <c r="X293" s="981"/>
      <c r="Y293" s="981"/>
      <c r="Z293" s="1051"/>
      <c r="AA293" s="1051"/>
      <c r="AB293" s="981"/>
      <c r="AC293" s="981"/>
      <c r="AD293" s="981"/>
      <c r="AE293" s="656"/>
      <c r="AF293" s="1051"/>
      <c r="AG293" s="1051"/>
      <c r="AH293" s="1051"/>
      <c r="AI293" s="981"/>
      <c r="AJ293" s="981"/>
      <c r="AK293" s="981"/>
      <c r="AL293" s="981"/>
      <c r="AM293" s="981"/>
      <c r="AN293" s="981"/>
      <c r="AO293" s="1051"/>
      <c r="AP293" s="1051"/>
      <c r="AQ293" s="981"/>
      <c r="AR293" s="981"/>
      <c r="AS293" s="981"/>
      <c r="AT293" s="1051"/>
      <c r="AU293" s="981"/>
      <c r="AV293" s="981"/>
      <c r="AW293" s="981"/>
      <c r="AX293" s="981"/>
      <c r="AY293" s="981"/>
      <c r="AZ293" s="1051"/>
      <c r="BA293" s="1051"/>
      <c r="BB293" s="1051"/>
      <c r="BC293" s="1051"/>
      <c r="BD293" s="1355"/>
      <c r="BE293" s="1051"/>
      <c r="BF293" s="981"/>
      <c r="BG293" s="981"/>
      <c r="BH293" s="981"/>
      <c r="BI293" s="981"/>
      <c r="BJ293" s="981"/>
      <c r="BK293" s="981"/>
      <c r="BL293" s="981"/>
      <c r="BM293" s="981"/>
      <c r="BN293" s="1051"/>
      <c r="BO293" s="981"/>
      <c r="BP293" s="981"/>
      <c r="BQ293" s="981"/>
      <c r="BR293" s="981"/>
      <c r="BS293" s="981"/>
      <c r="BT293" s="981"/>
      <c r="BU293" s="981"/>
      <c r="BV293" s="981"/>
      <c r="BW293" s="981"/>
      <c r="BX293" s="1051"/>
      <c r="BY293" s="1051"/>
      <c r="BZ293" s="1051"/>
      <c r="CA293" s="981"/>
      <c r="CB293" s="981"/>
      <c r="CC293" s="1051"/>
      <c r="CD293" s="1051"/>
      <c r="CE293" s="981"/>
      <c r="CF293" s="981"/>
      <c r="CG293" s="1283"/>
    </row>
    <row r="294" spans="1:85" ht="13.2">
      <c r="A294" s="155">
        <v>45200</v>
      </c>
      <c r="B294" s="1051"/>
      <c r="C294" s="1051"/>
      <c r="D294" s="1051"/>
      <c r="E294" s="1270"/>
      <c r="F294" s="981"/>
      <c r="G294" s="981"/>
      <c r="H294" s="981"/>
      <c r="I294" s="981"/>
      <c r="J294" s="981"/>
      <c r="K294" s="1051"/>
      <c r="L294" s="1051"/>
      <c r="M294" s="1051"/>
      <c r="N294" s="1051"/>
      <c r="O294" s="981"/>
      <c r="P294" s="981"/>
      <c r="Q294" s="981"/>
      <c r="R294" s="981"/>
      <c r="S294" s="981"/>
      <c r="T294" s="981"/>
      <c r="U294" s="1051"/>
      <c r="V294" s="1051"/>
      <c r="W294" s="981"/>
      <c r="X294" s="981"/>
      <c r="Y294" s="981"/>
      <c r="Z294" s="1051"/>
      <c r="AA294" s="1051"/>
      <c r="AB294" s="981"/>
      <c r="AC294" s="981"/>
      <c r="AD294" s="981"/>
      <c r="AE294" s="656"/>
      <c r="AF294" s="1051"/>
      <c r="AG294" s="1051"/>
      <c r="AH294" s="1051"/>
      <c r="AI294" s="981"/>
      <c r="AJ294" s="981"/>
      <c r="AK294" s="981"/>
      <c r="AL294" s="981"/>
      <c r="AM294" s="981"/>
      <c r="AN294" s="981"/>
      <c r="AO294" s="1051"/>
      <c r="AP294" s="1051"/>
      <c r="AQ294" s="981"/>
      <c r="AR294" s="981"/>
      <c r="AS294" s="981"/>
      <c r="AT294" s="1051"/>
      <c r="AU294" s="981"/>
      <c r="AV294" s="981"/>
      <c r="AW294" s="981"/>
      <c r="AX294" s="981"/>
      <c r="AY294" s="981"/>
      <c r="AZ294" s="1051"/>
      <c r="BA294" s="1051"/>
      <c r="BB294" s="1051"/>
      <c r="BC294" s="1051"/>
      <c r="BD294" s="1355"/>
      <c r="BE294" s="1051"/>
      <c r="BF294" s="981"/>
      <c r="BG294" s="981"/>
      <c r="BH294" s="981"/>
      <c r="BI294" s="981"/>
      <c r="BJ294" s="981"/>
      <c r="BK294" s="981"/>
      <c r="BL294" s="981"/>
      <c r="BM294" s="981"/>
      <c r="BN294" s="1051"/>
      <c r="BO294" s="981"/>
      <c r="BP294" s="981"/>
      <c r="BQ294" s="981"/>
      <c r="BR294" s="981"/>
      <c r="BS294" s="981"/>
      <c r="BT294" s="981"/>
      <c r="BU294" s="981"/>
      <c r="BV294" s="981"/>
      <c r="BW294" s="981"/>
      <c r="BX294" s="1051"/>
      <c r="BY294" s="1051"/>
      <c r="BZ294" s="1051"/>
      <c r="CA294" s="981"/>
      <c r="CB294" s="981"/>
      <c r="CC294" s="1051"/>
      <c r="CD294" s="1051"/>
      <c r="CE294" s="981"/>
      <c r="CF294" s="981"/>
      <c r="CG294" s="1283"/>
    </row>
    <row r="295" spans="1:85" ht="13.2">
      <c r="A295" s="155">
        <v>45201</v>
      </c>
      <c r="B295" s="1051"/>
      <c r="C295" s="1051"/>
      <c r="D295" s="1051"/>
      <c r="E295" s="1270"/>
      <c r="F295" s="981"/>
      <c r="G295" s="981"/>
      <c r="H295" s="981"/>
      <c r="I295" s="981"/>
      <c r="J295" s="981"/>
      <c r="K295" s="1051"/>
      <c r="L295" s="1051"/>
      <c r="M295" s="1051"/>
      <c r="N295" s="1051"/>
      <c r="O295" s="981"/>
      <c r="P295" s="981"/>
      <c r="Q295" s="981"/>
      <c r="R295" s="981"/>
      <c r="S295" s="981"/>
      <c r="T295" s="981"/>
      <c r="U295" s="1051"/>
      <c r="V295" s="1051"/>
      <c r="W295" s="981"/>
      <c r="X295" s="981"/>
      <c r="Y295" s="981"/>
      <c r="Z295" s="1051"/>
      <c r="AA295" s="1051"/>
      <c r="AB295" s="981"/>
      <c r="AC295" s="981"/>
      <c r="AD295" s="981"/>
      <c r="AE295" s="656"/>
      <c r="AF295" s="1051"/>
      <c r="AG295" s="1051"/>
      <c r="AH295" s="1051"/>
      <c r="AI295" s="981"/>
      <c r="AJ295" s="981"/>
      <c r="AK295" s="981"/>
      <c r="AL295" s="981"/>
      <c r="AM295" s="981"/>
      <c r="AN295" s="981"/>
      <c r="AO295" s="1051"/>
      <c r="AP295" s="1051"/>
      <c r="AQ295" s="981"/>
      <c r="AR295" s="981"/>
      <c r="AS295" s="981"/>
      <c r="AT295" s="1051"/>
      <c r="AU295" s="981"/>
      <c r="AV295" s="981"/>
      <c r="AW295" s="981"/>
      <c r="AX295" s="981"/>
      <c r="AY295" s="981"/>
      <c r="AZ295" s="1051"/>
      <c r="BA295" s="1051"/>
      <c r="BB295" s="1051"/>
      <c r="BC295" s="1051"/>
      <c r="BD295" s="1355"/>
      <c r="BE295" s="1051"/>
      <c r="BF295" s="1051"/>
      <c r="BG295" s="981"/>
      <c r="BH295" s="981"/>
      <c r="BI295" s="981"/>
      <c r="BJ295" s="981"/>
      <c r="BK295" s="981"/>
      <c r="BL295" s="981"/>
      <c r="BM295" s="981"/>
      <c r="BN295" s="1051"/>
      <c r="BO295" s="981"/>
      <c r="BP295" s="981"/>
      <c r="BQ295" s="981"/>
      <c r="BR295" s="981"/>
      <c r="BS295" s="981"/>
      <c r="BT295" s="981"/>
      <c r="BU295" s="981"/>
      <c r="BV295" s="981"/>
      <c r="BW295" s="981"/>
      <c r="BX295" s="1051"/>
      <c r="BY295" s="1051"/>
      <c r="BZ295" s="1051"/>
      <c r="CA295" s="981"/>
      <c r="CB295" s="981"/>
      <c r="CC295" s="1051"/>
      <c r="CD295" s="1051"/>
      <c r="CE295" s="981"/>
      <c r="CF295" s="981"/>
      <c r="CG295" s="1283"/>
    </row>
    <row r="296" spans="1:85" ht="13.2">
      <c r="A296" s="155">
        <v>45202</v>
      </c>
      <c r="B296" s="1051"/>
      <c r="C296" s="1051"/>
      <c r="D296" s="1051"/>
      <c r="E296" s="1270"/>
      <c r="F296" s="656"/>
      <c r="G296" s="656"/>
      <c r="H296" s="243"/>
      <c r="I296" s="243"/>
      <c r="J296" s="243"/>
      <c r="K296" s="1051"/>
      <c r="L296" s="1051"/>
      <c r="M296" s="1051"/>
      <c r="N296" s="1051"/>
      <c r="O296" s="243"/>
      <c r="P296" s="243"/>
      <c r="Q296" s="243"/>
      <c r="R296" s="243"/>
      <c r="S296" s="243"/>
      <c r="T296" s="243"/>
      <c r="U296" s="1051"/>
      <c r="V296" s="1051"/>
      <c r="W296" s="243"/>
      <c r="X296" s="243"/>
      <c r="Y296" s="243"/>
      <c r="Z296" s="1051"/>
      <c r="AA296" s="1051"/>
      <c r="AB296" s="243"/>
      <c r="AC296" s="243"/>
      <c r="AD296" s="243"/>
      <c r="AE296" s="656"/>
      <c r="AF296" s="1051"/>
      <c r="AG296" s="1051"/>
      <c r="AH296" s="1051"/>
      <c r="AI296" s="243"/>
      <c r="AJ296" s="243"/>
      <c r="AK296" s="243"/>
      <c r="AL296" s="243"/>
      <c r="AM296" s="243"/>
      <c r="AN296" s="243"/>
      <c r="AO296" s="1051"/>
      <c r="AP296" s="1051"/>
      <c r="AQ296" s="243"/>
      <c r="AR296" s="243"/>
      <c r="AS296" s="402"/>
      <c r="AT296" s="1051"/>
      <c r="AU296" s="243"/>
      <c r="AV296" s="243"/>
      <c r="AW296" s="243"/>
      <c r="AX296" s="656"/>
      <c r="AY296" s="656"/>
      <c r="AZ296" s="1051"/>
      <c r="BA296" s="1051"/>
      <c r="BB296" s="1051"/>
      <c r="BC296" s="1051"/>
      <c r="BD296" s="1355"/>
      <c r="BE296" s="694"/>
      <c r="BF296" s="1051"/>
      <c r="BG296" s="243"/>
      <c r="BH296" s="243"/>
      <c r="BI296" s="981"/>
      <c r="BJ296" s="243"/>
      <c r="BK296" s="654"/>
      <c r="BL296" s="654"/>
      <c r="BM296" s="981"/>
      <c r="BN296" s="1051"/>
      <c r="BO296" s="654"/>
      <c r="BP296" s="243"/>
      <c r="BQ296" s="243"/>
      <c r="BR296" s="981"/>
      <c r="BS296" s="981"/>
      <c r="BT296" s="981"/>
      <c r="BU296" s="981"/>
      <c r="BV296" s="981"/>
      <c r="BW296" s="981"/>
      <c r="BX296" s="1051"/>
      <c r="BY296" s="1051"/>
      <c r="BZ296" s="1051"/>
      <c r="CA296" s="243"/>
      <c r="CB296" s="243"/>
      <c r="CC296" s="1051"/>
      <c r="CD296" s="1051"/>
      <c r="CE296" s="243"/>
      <c r="CF296" s="243"/>
      <c r="CG296" s="1283"/>
    </row>
    <row r="297" spans="1:85" ht="13.2">
      <c r="A297" s="155">
        <v>45203</v>
      </c>
      <c r="B297" s="1051"/>
      <c r="C297" s="1051"/>
      <c r="D297" s="1051"/>
      <c r="E297" s="1270"/>
      <c r="F297" s="656"/>
      <c r="G297" s="656"/>
      <c r="H297" s="243"/>
      <c r="I297" s="243"/>
      <c r="J297" s="243"/>
      <c r="K297" s="1051"/>
      <c r="L297" s="1051"/>
      <c r="M297" s="1051"/>
      <c r="N297" s="1051"/>
      <c r="O297" s="243"/>
      <c r="P297" s="243"/>
      <c r="Q297" s="243"/>
      <c r="R297" s="243"/>
      <c r="S297" s="243"/>
      <c r="T297" s="243"/>
      <c r="U297" s="1051"/>
      <c r="V297" s="1051"/>
      <c r="W297" s="243"/>
      <c r="X297" s="243"/>
      <c r="Y297" s="243"/>
      <c r="Z297" s="1051"/>
      <c r="AA297" s="1051"/>
      <c r="AB297" s="243"/>
      <c r="AC297" s="243"/>
      <c r="AD297" s="243"/>
      <c r="AE297" s="656"/>
      <c r="AF297" s="1051"/>
      <c r="AG297" s="1051"/>
      <c r="AH297" s="1051"/>
      <c r="AI297" s="243"/>
      <c r="AJ297" s="243"/>
      <c r="AK297" s="243"/>
      <c r="AL297" s="243"/>
      <c r="AM297" s="243"/>
      <c r="AN297" s="243"/>
      <c r="AO297" s="1051"/>
      <c r="AP297" s="1051"/>
      <c r="AQ297" s="243"/>
      <c r="AR297" s="243"/>
      <c r="AS297" s="402"/>
      <c r="AT297" s="1051"/>
      <c r="AU297" s="243"/>
      <c r="AV297" s="243"/>
      <c r="AW297" s="243"/>
      <c r="AX297" s="656"/>
      <c r="AY297" s="656"/>
      <c r="AZ297" s="1051"/>
      <c r="BA297" s="1051"/>
      <c r="BB297" s="1051"/>
      <c r="BC297" s="1051"/>
      <c r="BD297" s="1355"/>
      <c r="BE297" s="694"/>
      <c r="BF297" s="694"/>
      <c r="BG297" s="243"/>
      <c r="BH297" s="243"/>
      <c r="BI297" s="981"/>
      <c r="BJ297" s="243"/>
      <c r="BK297" s="654"/>
      <c r="BL297" s="654"/>
      <c r="BM297" s="981"/>
      <c r="BN297" s="1051"/>
      <c r="BO297" s="243"/>
      <c r="BP297" s="243"/>
      <c r="BQ297" s="243"/>
      <c r="BR297" s="981"/>
      <c r="BS297" s="981"/>
      <c r="BT297" s="981"/>
      <c r="BU297" s="981"/>
      <c r="BV297" s="981"/>
      <c r="BW297" s="981"/>
      <c r="BX297" s="1051"/>
      <c r="BY297" s="1051"/>
      <c r="BZ297" s="1051"/>
      <c r="CA297" s="243"/>
      <c r="CB297" s="243"/>
      <c r="CC297" s="1051"/>
      <c r="CD297" s="1051"/>
      <c r="CE297" s="243"/>
      <c r="CF297" s="243"/>
      <c r="CG297" s="1283"/>
    </row>
    <row r="298" spans="1:85" ht="13.2">
      <c r="A298" s="155">
        <v>45204</v>
      </c>
      <c r="B298" s="1051"/>
      <c r="C298" s="1051"/>
      <c r="D298" s="1051"/>
      <c r="E298" s="1270"/>
      <c r="F298" s="656"/>
      <c r="G298" s="656"/>
      <c r="H298" s="243"/>
      <c r="I298" s="243"/>
      <c r="J298" s="243"/>
      <c r="K298" s="243"/>
      <c r="L298" s="243"/>
      <c r="M298" s="1051"/>
      <c r="N298" s="1051"/>
      <c r="O298" s="243"/>
      <c r="P298" s="243"/>
      <c r="Q298" s="243"/>
      <c r="R298" s="243"/>
      <c r="S298" s="243"/>
      <c r="T298" s="243"/>
      <c r="U298" s="1051"/>
      <c r="V298" s="1051"/>
      <c r="W298" s="243"/>
      <c r="X298" s="243"/>
      <c r="Y298" s="243"/>
      <c r="Z298" s="1051"/>
      <c r="AA298" s="1051"/>
      <c r="AB298" s="243"/>
      <c r="AC298" s="243"/>
      <c r="AD298" s="243"/>
      <c r="AE298" s="656"/>
      <c r="AF298" s="1051"/>
      <c r="AG298" s="243"/>
      <c r="AH298" s="243"/>
      <c r="AI298" s="243"/>
      <c r="AJ298" s="243"/>
      <c r="AK298" s="243"/>
      <c r="AL298" s="243"/>
      <c r="AM298" s="243"/>
      <c r="AN298" s="243"/>
      <c r="AO298" s="1051"/>
      <c r="AP298" s="1051"/>
      <c r="AQ298" s="243"/>
      <c r="AR298" s="243"/>
      <c r="AS298" s="243"/>
      <c r="AT298" s="243"/>
      <c r="AU298" s="243"/>
      <c r="AV298" s="243"/>
      <c r="AW298" s="243"/>
      <c r="AX298" s="243"/>
      <c r="AY298" s="243"/>
      <c r="AZ298" s="1051"/>
      <c r="BA298" s="1051"/>
      <c r="BB298" s="1051"/>
      <c r="BC298" s="1051"/>
      <c r="BD298" s="1355"/>
      <c r="BE298" s="243"/>
      <c r="BF298" s="694"/>
      <c r="BG298" s="243"/>
      <c r="BH298" s="243"/>
      <c r="BI298" s="243"/>
      <c r="BJ298" s="243"/>
      <c r="BK298" s="243"/>
      <c r="BL298" s="243"/>
      <c r="BM298" s="1051"/>
      <c r="BN298" s="1051"/>
      <c r="BO298" s="243"/>
      <c r="BP298" s="243"/>
      <c r="BQ298" s="243"/>
      <c r="BR298" s="981"/>
      <c r="BS298" s="981"/>
      <c r="BT298" s="981"/>
      <c r="BU298" s="981"/>
      <c r="BV298" s="981"/>
      <c r="BW298" s="981"/>
      <c r="BX298" s="243"/>
      <c r="BY298" s="243"/>
      <c r="BZ298" s="243"/>
      <c r="CA298" s="243"/>
      <c r="CB298" s="243"/>
      <c r="CC298" s="243"/>
      <c r="CD298" s="243"/>
      <c r="CE298" s="243"/>
      <c r="CF298" s="243"/>
      <c r="CG298" s="1283"/>
    </row>
    <row r="299" spans="1:85" ht="13.2">
      <c r="A299" s="155">
        <v>45205</v>
      </c>
      <c r="B299" s="1051"/>
      <c r="C299" s="1051"/>
      <c r="D299" s="1051"/>
      <c r="E299" s="1270"/>
      <c r="F299" s="656"/>
      <c r="G299" s="656"/>
      <c r="H299" s="243"/>
      <c r="I299" s="243"/>
      <c r="J299" s="243"/>
      <c r="K299" s="1051"/>
      <c r="L299" s="1051"/>
      <c r="M299" s="1051"/>
      <c r="N299" s="1051"/>
      <c r="O299" s="243"/>
      <c r="P299" s="243"/>
      <c r="Q299" s="243"/>
      <c r="R299" s="243"/>
      <c r="S299" s="243"/>
      <c r="T299" s="243"/>
      <c r="U299" s="1051"/>
      <c r="V299" s="1051"/>
      <c r="W299" s="243"/>
      <c r="X299" s="243"/>
      <c r="Y299" s="243"/>
      <c r="Z299" s="1051"/>
      <c r="AA299" s="1051"/>
      <c r="AB299" s="243"/>
      <c r="AC299" s="243"/>
      <c r="AD299" s="243"/>
      <c r="AE299" s="656"/>
      <c r="AF299" s="1051"/>
      <c r="AG299" s="1051"/>
      <c r="AH299" s="1051"/>
      <c r="AI299" s="243"/>
      <c r="AJ299" s="243"/>
      <c r="AK299" s="243"/>
      <c r="AL299" s="243"/>
      <c r="AM299" s="243"/>
      <c r="AN299" s="243"/>
      <c r="AO299" s="1051"/>
      <c r="AP299" s="1051"/>
      <c r="AQ299" s="243"/>
      <c r="AR299" s="243"/>
      <c r="AS299" s="402"/>
      <c r="AT299" s="1051"/>
      <c r="AU299" s="243"/>
      <c r="AV299" s="243"/>
      <c r="AW299" s="243"/>
      <c r="AX299" s="656"/>
      <c r="AY299" s="656"/>
      <c r="AZ299" s="1051"/>
      <c r="BA299" s="1051"/>
      <c r="BB299" s="1051"/>
      <c r="BC299" s="1051"/>
      <c r="BD299" s="1355"/>
      <c r="BE299" s="694"/>
      <c r="BF299" s="694"/>
      <c r="BG299" s="243"/>
      <c r="BH299" s="243"/>
      <c r="BI299" s="981"/>
      <c r="BJ299" s="243"/>
      <c r="BK299" s="654"/>
      <c r="BL299" s="654"/>
      <c r="BM299" s="1051"/>
      <c r="BN299" s="1051"/>
      <c r="BO299" s="243"/>
      <c r="BP299" s="243"/>
      <c r="BQ299" s="243"/>
      <c r="BR299" s="981"/>
      <c r="BS299" s="981"/>
      <c r="BT299" s="981"/>
      <c r="BU299" s="981"/>
      <c r="BV299" s="981"/>
      <c r="BW299" s="981"/>
      <c r="BX299" s="1051"/>
      <c r="BY299" s="1051"/>
      <c r="BZ299" s="1051"/>
      <c r="CA299" s="243"/>
      <c r="CB299" s="243"/>
      <c r="CC299" s="1051"/>
      <c r="CD299" s="1051"/>
      <c r="CE299" s="243"/>
      <c r="CF299" s="243"/>
      <c r="CG299" s="1283"/>
    </row>
    <row r="300" spans="1:85" ht="13.2">
      <c r="A300" s="155">
        <v>45206</v>
      </c>
      <c r="B300" s="1051"/>
      <c r="C300" s="1051"/>
      <c r="D300" s="1051"/>
      <c r="E300" s="1270"/>
      <c r="F300" s="656"/>
      <c r="G300" s="656"/>
      <c r="H300" s="243"/>
      <c r="I300" s="243"/>
      <c r="J300" s="243"/>
      <c r="K300" s="243"/>
      <c r="L300" s="243"/>
      <c r="M300" s="1051"/>
      <c r="N300" s="1051"/>
      <c r="O300" s="243"/>
      <c r="P300" s="243"/>
      <c r="Q300" s="243"/>
      <c r="R300" s="243"/>
      <c r="S300" s="243"/>
      <c r="T300" s="243"/>
      <c r="U300" s="1051"/>
      <c r="V300" s="1051"/>
      <c r="W300" s="243"/>
      <c r="X300" s="243"/>
      <c r="Y300" s="243"/>
      <c r="Z300" s="1051"/>
      <c r="AA300" s="1051"/>
      <c r="AB300" s="243"/>
      <c r="AC300" s="243"/>
      <c r="AD300" s="243"/>
      <c r="AE300" s="656"/>
      <c r="AF300" s="1051"/>
      <c r="AG300" s="243"/>
      <c r="AH300" s="243"/>
      <c r="AI300" s="243"/>
      <c r="AJ300" s="243"/>
      <c r="AK300" s="243"/>
      <c r="AL300" s="243"/>
      <c r="AM300" s="243"/>
      <c r="AN300" s="243"/>
      <c r="AO300" s="1051"/>
      <c r="AP300" s="1051"/>
      <c r="AQ300" s="243"/>
      <c r="AR300" s="243"/>
      <c r="AS300" s="243"/>
      <c r="AT300" s="243"/>
      <c r="AU300" s="243"/>
      <c r="AV300" s="243"/>
      <c r="AW300" s="243"/>
      <c r="AX300" s="243"/>
      <c r="AY300" s="243"/>
      <c r="AZ300" s="1051"/>
      <c r="BA300" s="1051"/>
      <c r="BB300" s="1051"/>
      <c r="BC300" s="1051"/>
      <c r="BD300" s="1355"/>
      <c r="BE300" s="243"/>
      <c r="BF300" s="694"/>
      <c r="BG300" s="243"/>
      <c r="BH300" s="243"/>
      <c r="BI300" s="243"/>
      <c r="BJ300" s="243"/>
      <c r="BK300" s="243"/>
      <c r="BL300" s="243"/>
      <c r="BM300" s="1051"/>
      <c r="BN300" s="1051"/>
      <c r="BO300" s="243"/>
      <c r="BP300" s="243"/>
      <c r="BQ300" s="243"/>
      <c r="BR300" s="981"/>
      <c r="BS300" s="981"/>
      <c r="BT300" s="981"/>
      <c r="BU300" s="981"/>
      <c r="BV300" s="981"/>
      <c r="BW300" s="981"/>
      <c r="BX300" s="243"/>
      <c r="BY300" s="243"/>
      <c r="BZ300" s="243"/>
      <c r="CA300" s="243"/>
      <c r="CB300" s="243"/>
      <c r="CC300" s="243"/>
      <c r="CD300" s="243"/>
      <c r="CE300" s="243"/>
      <c r="CF300" s="243"/>
      <c r="CG300" s="1283"/>
    </row>
    <row r="301" spans="1:85" ht="13.2">
      <c r="A301" s="155">
        <v>45207</v>
      </c>
      <c r="B301" s="1051"/>
      <c r="C301" s="1051"/>
      <c r="D301" s="1051"/>
      <c r="E301" s="1270"/>
      <c r="F301" s="656"/>
      <c r="G301" s="656"/>
      <c r="H301" s="243"/>
      <c r="I301" s="243"/>
      <c r="J301" s="243"/>
      <c r="K301" s="243"/>
      <c r="L301" s="243"/>
      <c r="M301" s="1051"/>
      <c r="N301" s="1051"/>
      <c r="O301" s="243"/>
      <c r="P301" s="243"/>
      <c r="Q301" s="243"/>
      <c r="R301" s="243"/>
      <c r="S301" s="243"/>
      <c r="T301" s="243"/>
      <c r="U301" s="1051"/>
      <c r="V301" s="1051"/>
      <c r="W301" s="243"/>
      <c r="X301" s="243"/>
      <c r="Y301" s="243"/>
      <c r="Z301" s="1051"/>
      <c r="AA301" s="1051"/>
      <c r="AB301" s="243"/>
      <c r="AC301" s="243"/>
      <c r="AD301" s="243"/>
      <c r="AE301" s="656"/>
      <c r="AF301" s="1051"/>
      <c r="AG301" s="243"/>
      <c r="AH301" s="243"/>
      <c r="AI301" s="243"/>
      <c r="AJ301" s="243"/>
      <c r="AK301" s="243"/>
      <c r="AL301" s="243"/>
      <c r="AM301" s="243"/>
      <c r="AN301" s="243"/>
      <c r="AO301" s="1051"/>
      <c r="AP301" s="1051"/>
      <c r="AQ301" s="243"/>
      <c r="AR301" s="243"/>
      <c r="AS301" s="243"/>
      <c r="AT301" s="243"/>
      <c r="AU301" s="243"/>
      <c r="AV301" s="243"/>
      <c r="AW301" s="243"/>
      <c r="AX301" s="243"/>
      <c r="AY301" s="243"/>
      <c r="AZ301" s="1051"/>
      <c r="BA301" s="1051"/>
      <c r="BB301" s="1051"/>
      <c r="BC301" s="1051"/>
      <c r="BD301" s="1355"/>
      <c r="BE301" s="243"/>
      <c r="BF301" s="694"/>
      <c r="BG301" s="981"/>
      <c r="BH301" s="1375"/>
      <c r="BI301" s="981"/>
      <c r="BJ301" s="1375"/>
      <c r="BK301" s="243"/>
      <c r="BL301" s="243"/>
      <c r="BM301" s="1051"/>
      <c r="BN301" s="1051"/>
      <c r="BO301" s="243"/>
      <c r="BP301" s="243"/>
      <c r="BQ301" s="243"/>
      <c r="BR301" s="981"/>
      <c r="BS301" s="981"/>
      <c r="BT301" s="981"/>
      <c r="BU301" s="981"/>
      <c r="BV301" s="981"/>
      <c r="BW301" s="981"/>
      <c r="BX301" s="243"/>
      <c r="BY301" s="243"/>
      <c r="BZ301" s="243"/>
      <c r="CA301" s="243"/>
      <c r="CB301" s="243"/>
      <c r="CC301" s="243"/>
      <c r="CD301" s="243"/>
      <c r="CE301" s="243"/>
      <c r="CF301" s="243"/>
      <c r="CG301" s="1283"/>
    </row>
    <row r="302" spans="1:85" ht="13.2">
      <c r="A302" s="155">
        <v>45208</v>
      </c>
      <c r="B302" s="1051"/>
      <c r="C302" s="1051"/>
      <c r="D302" s="1051"/>
      <c r="E302" s="1270"/>
      <c r="F302" s="981"/>
      <c r="G302" s="981"/>
      <c r="H302" s="981"/>
      <c r="I302" s="981"/>
      <c r="J302" s="981"/>
      <c r="K302" s="981"/>
      <c r="L302" s="981"/>
      <c r="M302" s="1051"/>
      <c r="N302" s="1051"/>
      <c r="O302" s="981"/>
      <c r="P302" s="981"/>
      <c r="Q302" s="981"/>
      <c r="R302" s="981"/>
      <c r="S302" s="981"/>
      <c r="T302" s="981"/>
      <c r="U302" s="1051"/>
      <c r="V302" s="1051"/>
      <c r="W302" s="981"/>
      <c r="X302" s="981"/>
      <c r="Y302" s="981"/>
      <c r="Z302" s="1051"/>
      <c r="AA302" s="1051"/>
      <c r="AB302" s="981"/>
      <c r="AC302" s="981"/>
      <c r="AD302" s="1051"/>
      <c r="AE302" s="656"/>
      <c r="AF302" s="1051"/>
      <c r="AG302" s="1051"/>
      <c r="AH302" s="981"/>
      <c r="AI302" s="981"/>
      <c r="AJ302" s="981"/>
      <c r="AK302" s="981"/>
      <c r="AL302" s="981"/>
      <c r="AM302" s="243"/>
      <c r="AN302" s="243"/>
      <c r="AO302" s="1051"/>
      <c r="AP302" s="1051"/>
      <c r="AQ302" s="981"/>
      <c r="AR302" s="981"/>
      <c r="AS302" s="981"/>
      <c r="AT302" s="981"/>
      <c r="AU302" s="981"/>
      <c r="AV302" s="981"/>
      <c r="AW302" s="981"/>
      <c r="AX302" s="981"/>
      <c r="AY302" s="981"/>
      <c r="AZ302" s="656"/>
      <c r="BA302" s="1051"/>
      <c r="BB302" s="1051"/>
      <c r="BC302" s="1051"/>
      <c r="BD302" s="1355"/>
      <c r="BE302" s="981"/>
      <c r="BF302" s="694"/>
      <c r="BG302" s="243"/>
      <c r="BH302" s="981"/>
      <c r="BI302" s="981"/>
      <c r="BJ302" s="981"/>
      <c r="BK302" s="981"/>
      <c r="BL302" s="981"/>
      <c r="BM302" s="1051"/>
      <c r="BN302" s="1051"/>
      <c r="BO302" s="243"/>
      <c r="BP302" s="243"/>
      <c r="BQ302" s="243"/>
      <c r="BR302" s="981"/>
      <c r="BS302" s="981"/>
      <c r="BT302" s="981"/>
      <c r="BU302" s="981"/>
      <c r="BV302" s="981"/>
      <c r="BW302" s="981"/>
      <c r="BX302" s="981"/>
      <c r="BY302" s="981"/>
      <c r="BZ302" s="981"/>
      <c r="CA302" s="981"/>
      <c r="CB302" s="981"/>
      <c r="CC302" s="981"/>
      <c r="CD302" s="981"/>
      <c r="CE302" s="981"/>
      <c r="CF302" s="981"/>
      <c r="CG302" s="1283"/>
    </row>
    <row r="303" spans="1:85" ht="13.2">
      <c r="A303" s="155">
        <v>45209</v>
      </c>
      <c r="B303" s="1051"/>
      <c r="C303" s="1051"/>
      <c r="D303" s="1051"/>
      <c r="E303" s="1270"/>
      <c r="F303" s="981"/>
      <c r="G303" s="981"/>
      <c r="H303" s="981"/>
      <c r="I303" s="981"/>
      <c r="J303" s="1051"/>
      <c r="K303" s="981"/>
      <c r="L303" s="981"/>
      <c r="M303" s="1051"/>
      <c r="N303" s="1051"/>
      <c r="O303" s="981"/>
      <c r="P303" s="981"/>
      <c r="Q303" s="981"/>
      <c r="R303" s="981"/>
      <c r="S303" s="981"/>
      <c r="T303" s="981"/>
      <c r="U303" s="1051"/>
      <c r="V303" s="1051"/>
      <c r="W303" s="981"/>
      <c r="X303" s="981"/>
      <c r="Y303" s="981"/>
      <c r="Z303" s="1051"/>
      <c r="AA303" s="1051"/>
      <c r="AB303" s="981"/>
      <c r="AC303" s="981"/>
      <c r="AD303" s="981"/>
      <c r="AE303" s="656"/>
      <c r="AF303" s="1051"/>
      <c r="AG303" s="981"/>
      <c r="AH303" s="981"/>
      <c r="AI303" s="981"/>
      <c r="AJ303" s="981"/>
      <c r="AK303" s="981"/>
      <c r="AL303" s="981"/>
      <c r="AM303" s="981"/>
      <c r="AN303" s="981"/>
      <c r="AO303" s="1051"/>
      <c r="AP303" s="1051"/>
      <c r="AQ303" s="981"/>
      <c r="AR303" s="981"/>
      <c r="AS303" s="981"/>
      <c r="AT303" s="981"/>
      <c r="AU303" s="981"/>
      <c r="AV303" s="981"/>
      <c r="AW303" s="981"/>
      <c r="AX303" s="981"/>
      <c r="AY303" s="981"/>
      <c r="AZ303" s="656"/>
      <c r="BA303" s="1051"/>
      <c r="BB303" s="1051"/>
      <c r="BC303" s="1051"/>
      <c r="BD303" s="1355"/>
      <c r="BE303" s="981"/>
      <c r="BF303" s="694"/>
      <c r="BG303" s="981"/>
      <c r="BH303" s="981"/>
      <c r="BI303" s="981"/>
      <c r="BJ303" s="981"/>
      <c r="BK303" s="981"/>
      <c r="BL303" s="981"/>
      <c r="BM303" s="981"/>
      <c r="BN303" s="981"/>
      <c r="BO303" s="243"/>
      <c r="BP303" s="243"/>
      <c r="BQ303" s="243"/>
      <c r="BR303" s="981"/>
      <c r="BS303" s="981"/>
      <c r="BT303" s="981"/>
      <c r="BU303" s="981"/>
      <c r="BV303" s="981"/>
      <c r="BW303" s="981"/>
      <c r="BX303" s="981"/>
      <c r="BY303" s="981"/>
      <c r="BZ303" s="981"/>
      <c r="CA303" s="981"/>
      <c r="CB303" s="981"/>
      <c r="CC303" s="981"/>
      <c r="CD303" s="981"/>
      <c r="CE303" s="981"/>
      <c r="CF303" s="981"/>
      <c r="CG303" s="1283"/>
    </row>
    <row r="304" spans="1:85" ht="13.2">
      <c r="A304" s="155">
        <v>45210</v>
      </c>
      <c r="B304" s="1051"/>
      <c r="C304" s="1051"/>
      <c r="D304" s="1051"/>
      <c r="E304" s="1270"/>
      <c r="F304" s="1051"/>
      <c r="G304" s="1051"/>
      <c r="H304" s="1051"/>
      <c r="I304" s="1051"/>
      <c r="J304" s="1051"/>
      <c r="K304" s="1051"/>
      <c r="L304" s="1051"/>
      <c r="M304" s="1051"/>
      <c r="N304" s="1051"/>
      <c r="O304" s="1051"/>
      <c r="P304" s="1051"/>
      <c r="Q304" s="1051"/>
      <c r="R304" s="1051"/>
      <c r="S304" s="1051"/>
      <c r="T304" s="1051"/>
      <c r="U304" s="1051"/>
      <c r="V304" s="1051"/>
      <c r="W304" s="1051"/>
      <c r="X304" s="1051"/>
      <c r="Y304" s="1051"/>
      <c r="Z304" s="1051"/>
      <c r="AA304" s="1051"/>
      <c r="AB304" s="1051"/>
      <c r="AC304" s="1051"/>
      <c r="AD304" s="1051"/>
      <c r="AE304" s="656"/>
      <c r="AF304" s="1051"/>
      <c r="AG304" s="1051"/>
      <c r="AH304" s="1051"/>
      <c r="AI304" s="1051"/>
      <c r="AJ304" s="1051"/>
      <c r="AK304" s="1051"/>
      <c r="AL304" s="1051"/>
      <c r="AM304" s="1051"/>
      <c r="AN304" s="1051"/>
      <c r="AO304" s="1051"/>
      <c r="AP304" s="1051"/>
      <c r="AQ304" s="1051"/>
      <c r="AR304" s="1051"/>
      <c r="AS304" s="1051"/>
      <c r="AT304" s="1051"/>
      <c r="AU304" s="1051"/>
      <c r="AV304" s="1051"/>
      <c r="AW304" s="1051"/>
      <c r="AX304" s="1051"/>
      <c r="AY304" s="1051"/>
      <c r="AZ304" s="1051"/>
      <c r="BA304" s="1051"/>
      <c r="BB304" s="1051"/>
      <c r="BC304" s="1051"/>
      <c r="BD304" s="1355"/>
      <c r="BE304" s="1051"/>
      <c r="BF304" s="694"/>
      <c r="BG304" s="1051"/>
      <c r="BH304" s="1051"/>
      <c r="BI304" s="1051"/>
      <c r="BJ304" s="1051"/>
      <c r="BK304" s="1051"/>
      <c r="BL304" s="1051"/>
      <c r="BM304" s="1051"/>
      <c r="BN304" s="1051"/>
      <c r="BO304" s="243"/>
      <c r="BP304" s="243"/>
      <c r="BQ304" s="243"/>
      <c r="BR304" s="981"/>
      <c r="BS304" s="981"/>
      <c r="BT304" s="981"/>
      <c r="BU304" s="1051"/>
      <c r="BV304" s="1051"/>
      <c r="BW304" s="1051"/>
      <c r="BX304" s="1051"/>
      <c r="BY304" s="1051"/>
      <c r="BZ304" s="1051"/>
      <c r="CA304" s="1051"/>
      <c r="CB304" s="1051"/>
      <c r="CC304" s="1051"/>
      <c r="CD304" s="1051"/>
      <c r="CE304" s="1051"/>
      <c r="CF304" s="1051"/>
      <c r="CG304" s="1283"/>
    </row>
    <row r="305" spans="1:85" ht="13.2">
      <c r="A305" s="155">
        <v>45211</v>
      </c>
      <c r="B305" s="1051"/>
      <c r="C305" s="1051"/>
      <c r="D305" s="1051"/>
      <c r="E305" s="1354"/>
      <c r="F305" s="1051"/>
      <c r="G305" s="1051"/>
      <c r="H305" s="1051"/>
      <c r="I305" s="1051"/>
      <c r="J305" s="1051"/>
      <c r="K305" s="1051"/>
      <c r="L305" s="1051"/>
      <c r="M305" s="1051"/>
      <c r="N305" s="1051"/>
      <c r="O305" s="1051"/>
      <c r="P305" s="1051"/>
      <c r="Q305" s="1051"/>
      <c r="R305" s="1051"/>
      <c r="S305" s="1051"/>
      <c r="T305" s="1051"/>
      <c r="U305" s="1051"/>
      <c r="V305" s="1051"/>
      <c r="W305" s="1051"/>
      <c r="X305" s="1051"/>
      <c r="Y305" s="1051"/>
      <c r="Z305" s="1051"/>
      <c r="AA305" s="1051"/>
      <c r="AB305" s="1051"/>
      <c r="AC305" s="1051"/>
      <c r="AD305" s="1051"/>
      <c r="AE305" s="656"/>
      <c r="AF305" s="1051"/>
      <c r="AG305" s="1051"/>
      <c r="AH305" s="1051"/>
      <c r="AI305" s="1051"/>
      <c r="AJ305" s="1051"/>
      <c r="AK305" s="1051"/>
      <c r="AL305" s="1051"/>
      <c r="AM305" s="1051"/>
      <c r="AN305" s="1051"/>
      <c r="AO305" s="1051"/>
      <c r="AP305" s="1051"/>
      <c r="AQ305" s="1051"/>
      <c r="AR305" s="1051"/>
      <c r="AS305" s="1051"/>
      <c r="AT305" s="1051"/>
      <c r="AU305" s="1051"/>
      <c r="AV305" s="1051"/>
      <c r="AW305" s="1051"/>
      <c r="AX305" s="1051"/>
      <c r="AY305" s="1051"/>
      <c r="AZ305" s="1051"/>
      <c r="BA305" s="1051"/>
      <c r="BB305" s="1051"/>
      <c r="BC305" s="1051"/>
      <c r="BD305" s="1355"/>
      <c r="BE305" s="1051"/>
      <c r="BF305" s="694"/>
      <c r="BG305" s="1051"/>
      <c r="BH305" s="1051"/>
      <c r="BI305" s="1051"/>
      <c r="BJ305" s="1051"/>
      <c r="BK305" s="1051"/>
      <c r="BL305" s="1051"/>
      <c r="BM305" s="1051"/>
      <c r="BN305" s="1051"/>
      <c r="BO305" s="243"/>
      <c r="BP305" s="243"/>
      <c r="BQ305" s="243"/>
      <c r="BR305" s="981"/>
      <c r="BS305" s="981"/>
      <c r="BT305" s="981"/>
      <c r="BU305" s="1051"/>
      <c r="BV305" s="1051"/>
      <c r="BW305" s="1051"/>
      <c r="BX305" s="1051"/>
      <c r="BY305" s="1051"/>
      <c r="BZ305" s="1051"/>
      <c r="CA305" s="1051"/>
      <c r="CB305" s="1051"/>
      <c r="CC305" s="1051"/>
      <c r="CD305" s="1051"/>
      <c r="CE305" s="1051"/>
      <c r="CF305" s="1051"/>
      <c r="CG305" s="1283"/>
    </row>
    <row r="306" spans="1:85" ht="13.2">
      <c r="A306" s="155">
        <v>45212</v>
      </c>
      <c r="B306" s="1051"/>
      <c r="C306" s="1051"/>
      <c r="D306" s="1051"/>
      <c r="E306" s="1270"/>
      <c r="F306" s="1051"/>
      <c r="G306" s="1051"/>
      <c r="H306" s="1051"/>
      <c r="I306" s="1051"/>
      <c r="J306" s="1051"/>
      <c r="K306" s="1051"/>
      <c r="L306" s="1051"/>
      <c r="M306" s="1051"/>
      <c r="N306" s="1051"/>
      <c r="O306" s="1051"/>
      <c r="P306" s="1051"/>
      <c r="Q306" s="1051"/>
      <c r="R306" s="1051"/>
      <c r="S306" s="1051"/>
      <c r="T306" s="1051"/>
      <c r="U306" s="1051"/>
      <c r="V306" s="1051"/>
      <c r="W306" s="1051"/>
      <c r="X306" s="1051"/>
      <c r="Y306" s="1051"/>
      <c r="Z306" s="1051"/>
      <c r="AA306" s="1051"/>
      <c r="AB306" s="1051"/>
      <c r="AC306" s="1051"/>
      <c r="AD306" s="1051"/>
      <c r="AE306" s="656"/>
      <c r="AF306" s="1051"/>
      <c r="AG306" s="1051"/>
      <c r="AH306" s="1051"/>
      <c r="AI306" s="1051"/>
      <c r="AJ306" s="1051"/>
      <c r="AK306" s="1051"/>
      <c r="AL306" s="1051"/>
      <c r="AM306" s="1051"/>
      <c r="AN306" s="1051"/>
      <c r="AO306" s="1051"/>
      <c r="AP306" s="1051"/>
      <c r="AQ306" s="1051"/>
      <c r="AR306" s="1051"/>
      <c r="AS306" s="1051"/>
      <c r="AT306" s="1051"/>
      <c r="AU306" s="1051"/>
      <c r="AV306" s="1051"/>
      <c r="AW306" s="1051"/>
      <c r="AX306" s="1051"/>
      <c r="AY306" s="1051"/>
      <c r="AZ306" s="1051"/>
      <c r="BA306" s="1051"/>
      <c r="BB306" s="1051"/>
      <c r="BC306" s="1051"/>
      <c r="BD306" s="1355"/>
      <c r="BE306" s="1051"/>
      <c r="BF306" s="1051"/>
      <c r="BG306" s="1051"/>
      <c r="BH306" s="1051"/>
      <c r="BI306" s="1051"/>
      <c r="BJ306" s="1051"/>
      <c r="BK306" s="1051"/>
      <c r="BL306" s="1051"/>
      <c r="BM306" s="1051"/>
      <c r="BN306" s="1051"/>
      <c r="BO306" s="1051"/>
      <c r="BP306" s="1051"/>
      <c r="BQ306" s="1051"/>
      <c r="BR306" s="981"/>
      <c r="BS306" s="981"/>
      <c r="BT306" s="981"/>
      <c r="BU306" s="1051"/>
      <c r="BV306" s="1051"/>
      <c r="BW306" s="1051"/>
      <c r="BX306" s="1051"/>
      <c r="BY306" s="1051"/>
      <c r="BZ306" s="1051"/>
      <c r="CA306" s="1051"/>
      <c r="CB306" s="1051"/>
      <c r="CC306" s="1051"/>
      <c r="CD306" s="1051"/>
      <c r="CE306" s="1051"/>
      <c r="CF306" s="1051"/>
      <c r="CG306" s="1283"/>
    </row>
    <row r="307" spans="1:85" ht="13.2">
      <c r="A307" s="155">
        <v>45213</v>
      </c>
      <c r="B307" s="1051"/>
      <c r="C307" s="1051"/>
      <c r="D307" s="1051"/>
      <c r="E307" s="1270"/>
      <c r="F307" s="1051"/>
      <c r="G307" s="1051"/>
      <c r="H307" s="1051"/>
      <c r="I307" s="1051"/>
      <c r="J307" s="1051"/>
      <c r="K307" s="1051"/>
      <c r="L307" s="1051"/>
      <c r="M307" s="1051"/>
      <c r="N307" s="1051"/>
      <c r="O307" s="1051"/>
      <c r="P307" s="1051"/>
      <c r="Q307" s="1051"/>
      <c r="R307" s="1051"/>
      <c r="S307" s="1051"/>
      <c r="T307" s="1051"/>
      <c r="U307" s="1051"/>
      <c r="V307" s="1051"/>
      <c r="W307" s="1051"/>
      <c r="X307" s="1051"/>
      <c r="Y307" s="1051"/>
      <c r="Z307" s="1051"/>
      <c r="AA307" s="1051"/>
      <c r="AB307" s="1051"/>
      <c r="AC307" s="1051"/>
      <c r="AD307" s="1051"/>
      <c r="AE307" s="656"/>
      <c r="AF307" s="1051"/>
      <c r="AG307" s="1051"/>
      <c r="AH307" s="1051"/>
      <c r="AI307" s="1051"/>
      <c r="AJ307" s="1051"/>
      <c r="AK307" s="1051"/>
      <c r="AL307" s="1051"/>
      <c r="AM307" s="1051"/>
      <c r="AN307" s="1051"/>
      <c r="AO307" s="1051"/>
      <c r="AP307" s="1051"/>
      <c r="AQ307" s="1051"/>
      <c r="AR307" s="1051"/>
      <c r="AS307" s="1051"/>
      <c r="AT307" s="1051"/>
      <c r="AU307" s="1051"/>
      <c r="AV307" s="1051"/>
      <c r="AW307" s="1051"/>
      <c r="AX307" s="1051"/>
      <c r="AY307" s="1051"/>
      <c r="AZ307" s="1051"/>
      <c r="BA307" s="1051"/>
      <c r="BB307" s="1051"/>
      <c r="BC307" s="1051"/>
      <c r="BD307" s="1355"/>
      <c r="BE307" s="1051"/>
      <c r="BF307" s="1051"/>
      <c r="BG307" s="1051"/>
      <c r="BH307" s="1051"/>
      <c r="BI307" s="1051"/>
      <c r="BJ307" s="1051"/>
      <c r="BK307" s="1051"/>
      <c r="BL307" s="1051"/>
      <c r="BM307" s="1051"/>
      <c r="BN307" s="1051"/>
      <c r="BO307" s="1051"/>
      <c r="BP307" s="1051"/>
      <c r="BQ307" s="1051"/>
      <c r="BR307" s="981"/>
      <c r="BS307" s="981"/>
      <c r="BT307" s="981"/>
      <c r="BU307" s="1051"/>
      <c r="BV307" s="1051"/>
      <c r="BW307" s="1051"/>
      <c r="BX307" s="1051"/>
      <c r="BY307" s="1051"/>
      <c r="BZ307" s="1051"/>
      <c r="CA307" s="1051"/>
      <c r="CB307" s="1051"/>
      <c r="CC307" s="1051"/>
      <c r="CD307" s="1051"/>
      <c r="CE307" s="1051"/>
      <c r="CF307" s="1051"/>
      <c r="CG307" s="1283"/>
    </row>
    <row r="308" spans="1:85" ht="13.2">
      <c r="A308" s="155">
        <v>45214</v>
      </c>
      <c r="B308" s="1051"/>
      <c r="C308" s="1051"/>
      <c r="D308" s="1051"/>
      <c r="E308" s="1270"/>
      <c r="F308" s="1051"/>
      <c r="G308" s="1051"/>
      <c r="H308" s="1051"/>
      <c r="I308" s="1051"/>
      <c r="J308" s="1051"/>
      <c r="K308" s="1051"/>
      <c r="L308" s="1051"/>
      <c r="M308" s="1051"/>
      <c r="N308" s="1051"/>
      <c r="O308" s="1051"/>
      <c r="P308" s="1051"/>
      <c r="Q308" s="1051"/>
      <c r="R308" s="1051"/>
      <c r="S308" s="1051"/>
      <c r="T308" s="1051"/>
      <c r="U308" s="1051"/>
      <c r="V308" s="1051"/>
      <c r="W308" s="1051"/>
      <c r="X308" s="1051"/>
      <c r="Y308" s="1051"/>
      <c r="Z308" s="1051"/>
      <c r="AA308" s="1051"/>
      <c r="AB308" s="1051"/>
      <c r="AC308" s="1051"/>
      <c r="AD308" s="1051"/>
      <c r="AE308" s="656"/>
      <c r="AF308" s="1051"/>
      <c r="AG308" s="1051"/>
      <c r="AH308" s="1051"/>
      <c r="AI308" s="1051"/>
      <c r="AJ308" s="1051"/>
      <c r="AK308" s="1051"/>
      <c r="AL308" s="1051"/>
      <c r="AM308" s="1051"/>
      <c r="AN308" s="1051"/>
      <c r="AO308" s="1051"/>
      <c r="AP308" s="1051"/>
      <c r="AQ308" s="1051"/>
      <c r="AR308" s="1051"/>
      <c r="AS308" s="1051"/>
      <c r="AT308" s="1051"/>
      <c r="AU308" s="1051"/>
      <c r="AV308" s="1051"/>
      <c r="AW308" s="1051"/>
      <c r="AX308" s="1051"/>
      <c r="AY308" s="1051"/>
      <c r="AZ308" s="1051"/>
      <c r="BA308" s="1051"/>
      <c r="BB308" s="1051"/>
      <c r="BC308" s="1051"/>
      <c r="BD308" s="1355"/>
      <c r="BE308" s="1051"/>
      <c r="BF308" s="1051"/>
      <c r="BG308" s="1051"/>
      <c r="BH308" s="1051"/>
      <c r="BI308" s="1051"/>
      <c r="BJ308" s="1051"/>
      <c r="BK308" s="1051"/>
      <c r="BL308" s="1051"/>
      <c r="BM308" s="1051"/>
      <c r="BN308" s="1051"/>
      <c r="BO308" s="1051"/>
      <c r="BP308" s="1051"/>
      <c r="BQ308" s="1051"/>
      <c r="BR308" s="981"/>
      <c r="BS308" s="981"/>
      <c r="BT308" s="981"/>
      <c r="BU308" s="1051"/>
      <c r="BV308" s="1051"/>
      <c r="BW308" s="1051"/>
      <c r="BX308" s="1051"/>
      <c r="BY308" s="1051"/>
      <c r="BZ308" s="1051"/>
      <c r="CA308" s="1051"/>
      <c r="CB308" s="1051"/>
      <c r="CC308" s="1051"/>
      <c r="CD308" s="1051"/>
      <c r="CE308" s="1051"/>
      <c r="CF308" s="1051"/>
      <c r="CG308" s="1283"/>
    </row>
    <row r="309" spans="1:85" ht="13.2">
      <c r="A309" s="155">
        <v>45215</v>
      </c>
      <c r="B309" s="1051"/>
      <c r="C309" s="1051"/>
      <c r="D309" s="1051"/>
      <c r="E309" s="1270"/>
      <c r="F309" s="1051"/>
      <c r="G309" s="1051"/>
      <c r="H309" s="1051"/>
      <c r="I309" s="1051"/>
      <c r="J309" s="1051"/>
      <c r="K309" s="1051"/>
      <c r="L309" s="1051"/>
      <c r="M309" s="1051"/>
      <c r="N309" s="1051"/>
      <c r="O309" s="1051"/>
      <c r="P309" s="1051"/>
      <c r="Q309" s="1051"/>
      <c r="R309" s="1051"/>
      <c r="S309" s="1051"/>
      <c r="T309" s="1051"/>
      <c r="U309" s="1051"/>
      <c r="V309" s="1051"/>
      <c r="W309" s="1051"/>
      <c r="X309" s="1051"/>
      <c r="Y309" s="1051"/>
      <c r="Z309" s="1051"/>
      <c r="AA309" s="1051"/>
      <c r="AB309" s="1051"/>
      <c r="AC309" s="1051"/>
      <c r="AD309" s="1051"/>
      <c r="AE309" s="656"/>
      <c r="AF309" s="1051"/>
      <c r="AG309" s="1051"/>
      <c r="AH309" s="1051"/>
      <c r="AI309" s="1051"/>
      <c r="AJ309" s="1051"/>
      <c r="AK309" s="1051"/>
      <c r="AL309" s="1051"/>
      <c r="AM309" s="1051"/>
      <c r="AN309" s="1051"/>
      <c r="AO309" s="1051"/>
      <c r="AP309" s="1051"/>
      <c r="AQ309" s="1051"/>
      <c r="AR309" s="1051"/>
      <c r="AS309" s="1051"/>
      <c r="AT309" s="1051"/>
      <c r="AU309" s="1051"/>
      <c r="AV309" s="1051"/>
      <c r="AW309" s="1051"/>
      <c r="AX309" s="1051"/>
      <c r="AY309" s="1051"/>
      <c r="AZ309" s="1051"/>
      <c r="BA309" s="1051"/>
      <c r="BB309" s="1051"/>
      <c r="BC309" s="1051"/>
      <c r="BD309" s="1355"/>
      <c r="BE309" s="1051"/>
      <c r="BF309" s="1051"/>
      <c r="BG309" s="1051"/>
      <c r="BH309" s="1051"/>
      <c r="BI309" s="1051"/>
      <c r="BJ309" s="1051"/>
      <c r="BK309" s="1051"/>
      <c r="BL309" s="1051"/>
      <c r="BM309" s="1051"/>
      <c r="BN309" s="1051"/>
      <c r="BO309" s="1051"/>
      <c r="BP309" s="1051"/>
      <c r="BQ309" s="1051"/>
      <c r="BR309" s="981"/>
      <c r="BS309" s="981"/>
      <c r="BT309" s="981"/>
      <c r="BU309" s="1051"/>
      <c r="BV309" s="1051"/>
      <c r="BW309" s="1051"/>
      <c r="BX309" s="1051"/>
      <c r="BY309" s="1051"/>
      <c r="BZ309" s="1051"/>
      <c r="CA309" s="1051"/>
      <c r="CB309" s="1051"/>
      <c r="CC309" s="1051"/>
      <c r="CD309" s="1051"/>
      <c r="CE309" s="1051"/>
      <c r="CF309" s="1051"/>
      <c r="CG309" s="1283"/>
    </row>
    <row r="310" spans="1:85" ht="13.2">
      <c r="A310" s="155">
        <v>45216</v>
      </c>
      <c r="B310" s="1051"/>
      <c r="C310" s="1051"/>
      <c r="D310" s="1051"/>
      <c r="E310" s="1270"/>
      <c r="F310" s="1051"/>
      <c r="G310" s="1051"/>
      <c r="H310" s="1051"/>
      <c r="I310" s="1051"/>
      <c r="J310" s="1051"/>
      <c r="K310" s="1051"/>
      <c r="L310" s="1051"/>
      <c r="M310" s="1051"/>
      <c r="N310" s="1051"/>
      <c r="O310" s="1051"/>
      <c r="P310" s="1051"/>
      <c r="Q310" s="1051"/>
      <c r="R310" s="1051"/>
      <c r="S310" s="1051"/>
      <c r="T310" s="1051"/>
      <c r="U310" s="1051"/>
      <c r="V310" s="1051"/>
      <c r="W310" s="1051"/>
      <c r="X310" s="1051"/>
      <c r="Y310" s="1051"/>
      <c r="Z310" s="1051"/>
      <c r="AA310" s="1051"/>
      <c r="AB310" s="1051"/>
      <c r="AC310" s="1051"/>
      <c r="AD310" s="1051"/>
      <c r="AE310" s="656"/>
      <c r="AF310" s="1051"/>
      <c r="AG310" s="1051"/>
      <c r="AH310" s="1051"/>
      <c r="AI310" s="1051"/>
      <c r="AJ310" s="1051"/>
      <c r="AK310" s="1051"/>
      <c r="AL310" s="1051"/>
      <c r="AM310" s="1051"/>
      <c r="AN310" s="1051"/>
      <c r="AO310" s="1051"/>
      <c r="AP310" s="1051"/>
      <c r="AQ310" s="1051"/>
      <c r="AR310" s="1051"/>
      <c r="AS310" s="1051"/>
      <c r="AT310" s="1051"/>
      <c r="AU310" s="1051"/>
      <c r="AV310" s="1051"/>
      <c r="AW310" s="1051"/>
      <c r="AX310" s="1051"/>
      <c r="AY310" s="1051"/>
      <c r="AZ310" s="1051"/>
      <c r="BA310" s="1051"/>
      <c r="BB310" s="1051"/>
      <c r="BC310" s="1051"/>
      <c r="BD310" s="1355"/>
      <c r="BE310" s="1051"/>
      <c r="BF310" s="1051"/>
      <c r="BG310" s="1051"/>
      <c r="BH310" s="1051"/>
      <c r="BI310" s="1051"/>
      <c r="BJ310" s="1051"/>
      <c r="BK310" s="1051"/>
      <c r="BL310" s="1051"/>
      <c r="BM310" s="1051"/>
      <c r="BN310" s="1051"/>
      <c r="BO310" s="1051"/>
      <c r="BP310" s="1051"/>
      <c r="BQ310" s="1051"/>
      <c r="BR310" s="981"/>
      <c r="BS310" s="981"/>
      <c r="BT310" s="981"/>
      <c r="BU310" s="1051"/>
      <c r="BV310" s="1051"/>
      <c r="BW310" s="1051"/>
      <c r="BX310" s="1051"/>
      <c r="BY310" s="1051"/>
      <c r="BZ310" s="1051"/>
      <c r="CA310" s="1051"/>
      <c r="CB310" s="1051"/>
      <c r="CC310" s="1051"/>
      <c r="CD310" s="1051"/>
      <c r="CE310" s="1051"/>
      <c r="CF310" s="1051"/>
      <c r="CG310" s="1283"/>
    </row>
    <row r="311" spans="1:85" ht="13.2">
      <c r="A311" s="155">
        <v>45217</v>
      </c>
      <c r="B311" s="1051"/>
      <c r="C311" s="1051"/>
      <c r="D311" s="1051"/>
      <c r="E311" s="1270"/>
      <c r="F311" s="1051"/>
      <c r="G311" s="1051"/>
      <c r="H311" s="1051"/>
      <c r="I311" s="1051"/>
      <c r="J311" s="1051"/>
      <c r="K311" s="1051"/>
      <c r="L311" s="1051"/>
      <c r="M311" s="981"/>
      <c r="N311" s="981"/>
      <c r="O311" s="1051"/>
      <c r="P311" s="1051"/>
      <c r="Q311" s="1051"/>
      <c r="R311" s="1051"/>
      <c r="S311" s="1051"/>
      <c r="T311" s="1051"/>
      <c r="U311" s="1051"/>
      <c r="V311" s="1051"/>
      <c r="W311" s="1051"/>
      <c r="X311" s="1051"/>
      <c r="Y311" s="1051"/>
      <c r="Z311" s="1051"/>
      <c r="AA311" s="1051"/>
      <c r="AB311" s="1051"/>
      <c r="AC311" s="1051"/>
      <c r="AD311" s="1051"/>
      <c r="AE311" s="656"/>
      <c r="AF311" s="1051"/>
      <c r="AG311" s="1051"/>
      <c r="AH311" s="1051"/>
      <c r="AI311" s="1051"/>
      <c r="AJ311" s="1051"/>
      <c r="AK311" s="1051"/>
      <c r="AL311" s="1051"/>
      <c r="AM311" s="1051"/>
      <c r="AN311" s="1051"/>
      <c r="AO311" s="1051"/>
      <c r="AP311" s="1051"/>
      <c r="AQ311" s="1051"/>
      <c r="AR311" s="1051"/>
      <c r="AS311" s="1051"/>
      <c r="AT311" s="1051"/>
      <c r="AU311" s="1051"/>
      <c r="AV311" s="1051"/>
      <c r="AW311" s="1051"/>
      <c r="AX311" s="1051"/>
      <c r="AY311" s="1051"/>
      <c r="AZ311" s="1051"/>
      <c r="BA311" s="1051"/>
      <c r="BB311" s="1051"/>
      <c r="BC311" s="1051"/>
      <c r="BD311" s="1355"/>
      <c r="BE311" s="1051"/>
      <c r="BF311" s="1051"/>
      <c r="BG311" s="1051"/>
      <c r="BH311" s="1051"/>
      <c r="BI311" s="1051"/>
      <c r="BJ311" s="1051"/>
      <c r="BK311" s="1051"/>
      <c r="BL311" s="1051"/>
      <c r="BM311" s="1051"/>
      <c r="BN311" s="1051"/>
      <c r="BO311" s="1051"/>
      <c r="BP311" s="1051"/>
      <c r="BQ311" s="1051"/>
      <c r="BR311" s="981"/>
      <c r="BS311" s="981"/>
      <c r="BT311" s="981"/>
      <c r="BU311" s="243"/>
      <c r="BV311" s="243"/>
      <c r="BW311" s="243"/>
      <c r="BX311" s="1051"/>
      <c r="BY311" s="1051"/>
      <c r="BZ311" s="1051"/>
      <c r="CA311" s="1051"/>
      <c r="CB311" s="1051"/>
      <c r="CC311" s="1051"/>
      <c r="CD311" s="1051"/>
      <c r="CE311" s="1051"/>
      <c r="CF311" s="1051"/>
      <c r="CG311" s="1283"/>
    </row>
    <row r="312" spans="1:85" ht="13.2">
      <c r="A312" s="155">
        <v>45218</v>
      </c>
      <c r="B312" s="1051"/>
      <c r="C312" s="1051"/>
      <c r="D312" s="1051"/>
      <c r="E312" s="1270"/>
      <c r="F312" s="243"/>
      <c r="G312" s="243"/>
      <c r="H312" s="1051"/>
      <c r="I312" s="243"/>
      <c r="J312" s="243"/>
      <c r="K312" s="1051"/>
      <c r="L312" s="1051"/>
      <c r="M312" s="981"/>
      <c r="N312" s="981"/>
      <c r="O312" s="243"/>
      <c r="P312" s="243"/>
      <c r="Q312" s="243"/>
      <c r="R312" s="243"/>
      <c r="S312" s="243"/>
      <c r="T312" s="243"/>
      <c r="U312" s="1051"/>
      <c r="V312" s="1051"/>
      <c r="W312" s="243"/>
      <c r="X312" s="243"/>
      <c r="Y312" s="243"/>
      <c r="Z312" s="1051"/>
      <c r="AA312" s="1051"/>
      <c r="AB312" s="243"/>
      <c r="AC312" s="243"/>
      <c r="AD312" s="243"/>
      <c r="AE312" s="656"/>
      <c r="AF312" s="1051"/>
      <c r="AG312" s="243"/>
      <c r="AH312" s="243"/>
      <c r="AI312" s="243"/>
      <c r="AJ312" s="243"/>
      <c r="AK312" s="243"/>
      <c r="AL312" s="243"/>
      <c r="AM312" s="243"/>
      <c r="AN312" s="243"/>
      <c r="AO312" s="1051"/>
      <c r="AP312" s="1051"/>
      <c r="AQ312" s="243"/>
      <c r="AR312" s="243"/>
      <c r="AS312" s="243"/>
      <c r="AT312" s="1051"/>
      <c r="AU312" s="243"/>
      <c r="AV312" s="243"/>
      <c r="AW312" s="243"/>
      <c r="AX312" s="243"/>
      <c r="AY312" s="243"/>
      <c r="AZ312" s="1051"/>
      <c r="BA312" s="1051"/>
      <c r="BB312" s="1051"/>
      <c r="BC312" s="1051"/>
      <c r="BD312" s="1355"/>
      <c r="BE312" s="1051"/>
      <c r="BF312" s="243"/>
      <c r="BG312" s="243"/>
      <c r="BH312" s="243"/>
      <c r="BI312" s="243"/>
      <c r="BJ312" s="243"/>
      <c r="BK312" s="243"/>
      <c r="BL312" s="243"/>
      <c r="BM312" s="1051"/>
      <c r="BN312" s="1051"/>
      <c r="BO312" s="243"/>
      <c r="BP312" s="243"/>
      <c r="BQ312" s="243"/>
      <c r="BR312" s="981"/>
      <c r="BS312" s="981"/>
      <c r="BT312" s="981"/>
      <c r="BU312" s="243"/>
      <c r="BV312" s="243"/>
      <c r="BW312" s="243"/>
      <c r="BX312" s="1051"/>
      <c r="BY312" s="1051"/>
      <c r="BZ312" s="1051"/>
      <c r="CA312" s="243"/>
      <c r="CB312" s="243"/>
      <c r="CC312" s="1051"/>
      <c r="CD312" s="1051"/>
      <c r="CE312" s="243"/>
      <c r="CF312" s="243"/>
      <c r="CG312" s="1283"/>
    </row>
    <row r="313" spans="1:85" ht="13.2">
      <c r="A313" s="155">
        <v>45219</v>
      </c>
      <c r="B313" s="1051"/>
      <c r="C313" s="1051"/>
      <c r="D313" s="1051"/>
      <c r="E313" s="1270"/>
      <c r="F313" s="243"/>
      <c r="G313" s="243"/>
      <c r="H313" s="1051"/>
      <c r="I313" s="243"/>
      <c r="J313" s="243"/>
      <c r="K313" s="1051"/>
      <c r="L313" s="1051"/>
      <c r="M313" s="981"/>
      <c r="N313" s="981"/>
      <c r="O313" s="243"/>
      <c r="P313" s="243"/>
      <c r="Q313" s="243"/>
      <c r="R313" s="243"/>
      <c r="S313" s="243"/>
      <c r="T313" s="243"/>
      <c r="U313" s="1051"/>
      <c r="V313" s="1051"/>
      <c r="W313" s="243"/>
      <c r="X313" s="243"/>
      <c r="Y313" s="243"/>
      <c r="Z313" s="1051"/>
      <c r="AA313" s="1051"/>
      <c r="AB313" s="243"/>
      <c r="AC313" s="243"/>
      <c r="AD313" s="243"/>
      <c r="AE313" s="656"/>
      <c r="AF313" s="1051"/>
      <c r="AG313" s="243"/>
      <c r="AH313" s="243"/>
      <c r="AI313" s="243"/>
      <c r="AJ313" s="243"/>
      <c r="AK313" s="243"/>
      <c r="AL313" s="243"/>
      <c r="AM313" s="243"/>
      <c r="AN313" s="243"/>
      <c r="AO313" s="1051"/>
      <c r="AP313" s="1051"/>
      <c r="AQ313" s="243"/>
      <c r="AR313" s="243"/>
      <c r="AS313" s="243"/>
      <c r="AT313" s="1051"/>
      <c r="AU313" s="243"/>
      <c r="AV313" s="243"/>
      <c r="AW313" s="243"/>
      <c r="AX313" s="243"/>
      <c r="AY313" s="243"/>
      <c r="AZ313" s="1051"/>
      <c r="BA313" s="1051"/>
      <c r="BB313" s="1051"/>
      <c r="BC313" s="1051"/>
      <c r="BD313" s="1355"/>
      <c r="BE313" s="243"/>
      <c r="BF313" s="243"/>
      <c r="BG313" s="243"/>
      <c r="BH313" s="243"/>
      <c r="BI313" s="243"/>
      <c r="BJ313" s="243"/>
      <c r="BK313" s="243"/>
      <c r="BL313" s="243"/>
      <c r="BM313" s="1051"/>
      <c r="BN313" s="1051"/>
      <c r="BO313" s="243"/>
      <c r="BP313" s="243"/>
      <c r="BQ313" s="243"/>
      <c r="BR313" s="981"/>
      <c r="BS313" s="981"/>
      <c r="BT313" s="981"/>
      <c r="BU313" s="243"/>
      <c r="BV313" s="243"/>
      <c r="BW313" s="243"/>
      <c r="BX313" s="1051"/>
      <c r="BY313" s="1051"/>
      <c r="BZ313" s="1051"/>
      <c r="CA313" s="243"/>
      <c r="CB313" s="243"/>
      <c r="CC313" s="243"/>
      <c r="CD313" s="243"/>
      <c r="CE313" s="243"/>
      <c r="CF313" s="243"/>
      <c r="CG313" s="1283"/>
    </row>
    <row r="314" spans="1:85" ht="13.2">
      <c r="A314" s="155">
        <v>45220</v>
      </c>
      <c r="B314" s="1051"/>
      <c r="C314" s="1051"/>
      <c r="D314" s="1051"/>
      <c r="E314" s="1270"/>
      <c r="F314" s="243"/>
      <c r="G314" s="243"/>
      <c r="H314" s="1051"/>
      <c r="I314" s="243"/>
      <c r="J314" s="243"/>
      <c r="K314" s="1051"/>
      <c r="L314" s="1051"/>
      <c r="M314" s="981"/>
      <c r="N314" s="981"/>
      <c r="O314" s="243"/>
      <c r="P314" s="243"/>
      <c r="Q314" s="243"/>
      <c r="R314" s="243"/>
      <c r="S314" s="243"/>
      <c r="T314" s="243"/>
      <c r="U314" s="1051"/>
      <c r="V314" s="1051"/>
      <c r="W314" s="243"/>
      <c r="X314" s="243"/>
      <c r="Y314" s="243"/>
      <c r="Z314" s="1051"/>
      <c r="AA314" s="1051"/>
      <c r="AB314" s="243"/>
      <c r="AC314" s="243"/>
      <c r="AD314" s="243"/>
      <c r="AE314" s="656"/>
      <c r="AF314" s="1051"/>
      <c r="AG314" s="243"/>
      <c r="AH314" s="243"/>
      <c r="AI314" s="243"/>
      <c r="AJ314" s="243"/>
      <c r="AK314" s="243"/>
      <c r="AL314" s="243"/>
      <c r="AM314" s="243"/>
      <c r="AN314" s="243"/>
      <c r="AO314" s="1051"/>
      <c r="AP314" s="1051"/>
      <c r="AQ314" s="243"/>
      <c r="AR314" s="243"/>
      <c r="AS314" s="243"/>
      <c r="AT314" s="1051"/>
      <c r="AU314" s="243"/>
      <c r="AV314" s="243"/>
      <c r="AW314" s="243"/>
      <c r="AX314" s="243"/>
      <c r="AY314" s="243"/>
      <c r="AZ314" s="1051"/>
      <c r="BA314" s="1051"/>
      <c r="BB314" s="1051"/>
      <c r="BC314" s="1051"/>
      <c r="BD314" s="1355"/>
      <c r="BE314" s="243"/>
      <c r="BF314" s="243"/>
      <c r="BG314" s="243"/>
      <c r="BH314" s="243"/>
      <c r="BI314" s="243"/>
      <c r="BJ314" s="243"/>
      <c r="BK314" s="243"/>
      <c r="BL314" s="243"/>
      <c r="BM314" s="1051"/>
      <c r="BN314" s="1051"/>
      <c r="BO314" s="243"/>
      <c r="BP314" s="243"/>
      <c r="BQ314" s="243"/>
      <c r="BR314" s="981"/>
      <c r="BS314" s="981"/>
      <c r="BT314" s="981"/>
      <c r="BU314" s="243"/>
      <c r="BV314" s="243"/>
      <c r="BW314" s="243"/>
      <c r="BX314" s="1051"/>
      <c r="BY314" s="1051"/>
      <c r="BZ314" s="1051"/>
      <c r="CA314" s="243"/>
      <c r="CB314" s="243"/>
      <c r="CC314" s="243"/>
      <c r="CD314" s="243"/>
      <c r="CE314" s="243"/>
      <c r="CF314" s="243"/>
      <c r="CG314" s="1283"/>
    </row>
    <row r="315" spans="1:85" ht="13.2">
      <c r="A315" s="155">
        <v>45221</v>
      </c>
      <c r="B315" s="1051"/>
      <c r="C315" s="1051"/>
      <c r="D315" s="1051"/>
      <c r="E315" s="1270"/>
      <c r="F315" s="243"/>
      <c r="G315" s="243"/>
      <c r="H315" s="1051"/>
      <c r="I315" s="243"/>
      <c r="J315" s="243"/>
      <c r="K315" s="1051"/>
      <c r="L315" s="1051"/>
      <c r="M315" s="981"/>
      <c r="N315" s="981"/>
      <c r="O315" s="243"/>
      <c r="P315" s="243"/>
      <c r="Q315" s="243"/>
      <c r="R315" s="243"/>
      <c r="S315" s="243"/>
      <c r="T315" s="243"/>
      <c r="U315" s="1051"/>
      <c r="V315" s="1051"/>
      <c r="W315" s="243"/>
      <c r="X315" s="243"/>
      <c r="Y315" s="243"/>
      <c r="Z315" s="1051"/>
      <c r="AA315" s="1051"/>
      <c r="AB315" s="243"/>
      <c r="AC315" s="243"/>
      <c r="AD315" s="243"/>
      <c r="AE315" s="656"/>
      <c r="AF315" s="1051"/>
      <c r="AG315" s="243"/>
      <c r="AH315" s="243"/>
      <c r="AI315" s="243"/>
      <c r="AJ315" s="243"/>
      <c r="AK315" s="243"/>
      <c r="AL315" s="243"/>
      <c r="AM315" s="243"/>
      <c r="AN315" s="243"/>
      <c r="AO315" s="1051"/>
      <c r="AP315" s="1051"/>
      <c r="AQ315" s="243"/>
      <c r="AR315" s="243"/>
      <c r="AS315" s="243"/>
      <c r="AT315" s="1051"/>
      <c r="AU315" s="243"/>
      <c r="AV315" s="243"/>
      <c r="AW315" s="243"/>
      <c r="AX315" s="243"/>
      <c r="AY315" s="243"/>
      <c r="AZ315" s="1051"/>
      <c r="BA315" s="1051"/>
      <c r="BB315" s="1051"/>
      <c r="BC315" s="1051"/>
      <c r="BD315" s="1355"/>
      <c r="BE315" s="243"/>
      <c r="BF315" s="243"/>
      <c r="BG315" s="243"/>
      <c r="BH315" s="243"/>
      <c r="BI315" s="243"/>
      <c r="BJ315" s="243"/>
      <c r="BK315" s="243"/>
      <c r="BL315" s="243"/>
      <c r="BM315" s="1051"/>
      <c r="BN315" s="1051"/>
      <c r="BO315" s="243"/>
      <c r="BP315" s="243"/>
      <c r="BQ315" s="243"/>
      <c r="BR315" s="981"/>
      <c r="BS315" s="981"/>
      <c r="BT315" s="981"/>
      <c r="BU315" s="243"/>
      <c r="BV315" s="243"/>
      <c r="BW315" s="243"/>
      <c r="BX315" s="1051"/>
      <c r="BY315" s="1051"/>
      <c r="BZ315" s="1051"/>
      <c r="CA315" s="243"/>
      <c r="CB315" s="243"/>
      <c r="CC315" s="243"/>
      <c r="CD315" s="243"/>
      <c r="CE315" s="243"/>
      <c r="CF315" s="243"/>
      <c r="CG315" s="1283"/>
    </row>
    <row r="316" spans="1:85" ht="13.2">
      <c r="A316" s="155">
        <v>45222</v>
      </c>
      <c r="B316" s="1051"/>
      <c r="C316" s="1051"/>
      <c r="D316" s="1051"/>
      <c r="E316" s="1270"/>
      <c r="F316" s="243"/>
      <c r="G316" s="243"/>
      <c r="H316" s="1051"/>
      <c r="I316" s="243"/>
      <c r="J316" s="243"/>
      <c r="K316" s="1051"/>
      <c r="L316" s="1051"/>
      <c r="M316" s="981"/>
      <c r="N316" s="981"/>
      <c r="O316" s="244"/>
      <c r="P316" s="244"/>
      <c r="Q316" s="244"/>
      <c r="R316" s="244"/>
      <c r="S316" s="244"/>
      <c r="T316" s="244"/>
      <c r="U316" s="1051"/>
      <c r="V316" s="1051"/>
      <c r="W316" s="244"/>
      <c r="X316" s="244"/>
      <c r="Y316" s="244"/>
      <c r="Z316" s="1051"/>
      <c r="AA316" s="1051"/>
      <c r="AB316" s="244"/>
      <c r="AC316" s="244"/>
      <c r="AD316" s="244"/>
      <c r="AE316" s="656"/>
      <c r="AF316" s="1051"/>
      <c r="AG316" s="244"/>
      <c r="AH316" s="244"/>
      <c r="AI316" s="244"/>
      <c r="AJ316" s="244"/>
      <c r="AK316" s="244"/>
      <c r="AL316" s="244"/>
      <c r="AM316" s="244"/>
      <c r="AN316" s="244"/>
      <c r="AO316" s="1051"/>
      <c r="AP316" s="1051"/>
      <c r="AQ316" s="244"/>
      <c r="AR316" s="244"/>
      <c r="AS316" s="701"/>
      <c r="AT316" s="1051"/>
      <c r="AU316" s="244"/>
      <c r="AV316" s="244"/>
      <c r="AW316" s="244"/>
      <c r="AX316" s="656"/>
      <c r="AY316" s="656"/>
      <c r="AZ316" s="1051"/>
      <c r="BA316" s="1051"/>
      <c r="BB316" s="1051"/>
      <c r="BC316" s="1051"/>
      <c r="BD316" s="1355"/>
      <c r="BE316" s="1051"/>
      <c r="BF316" s="243"/>
      <c r="BG316" s="244"/>
      <c r="BH316" s="244"/>
      <c r="BI316" s="1051"/>
      <c r="BJ316" s="244"/>
      <c r="BK316" s="243"/>
      <c r="BL316" s="243"/>
      <c r="BM316" s="1051"/>
      <c r="BN316" s="1051"/>
      <c r="BO316" s="244"/>
      <c r="BP316" s="244"/>
      <c r="BQ316" s="244"/>
      <c r="BR316" s="981"/>
      <c r="BS316" s="981"/>
      <c r="BT316" s="981"/>
      <c r="BU316" s="243"/>
      <c r="BV316" s="243"/>
      <c r="BW316" s="243"/>
      <c r="BX316" s="1051"/>
      <c r="BY316" s="1051"/>
      <c r="BZ316" s="1051"/>
      <c r="CA316" s="244"/>
      <c r="CB316" s="244"/>
      <c r="CC316" s="244"/>
      <c r="CD316" s="244"/>
      <c r="CE316" s="244"/>
      <c r="CF316" s="244"/>
      <c r="CG316" s="1283"/>
    </row>
    <row r="317" spans="1:85" ht="13.2">
      <c r="A317" s="155">
        <v>45223</v>
      </c>
      <c r="B317" s="1051"/>
      <c r="C317" s="1051"/>
      <c r="D317" s="1051"/>
      <c r="E317" s="1270"/>
      <c r="F317" s="243"/>
      <c r="G317" s="243"/>
      <c r="H317" s="1051"/>
      <c r="I317" s="243"/>
      <c r="J317" s="243"/>
      <c r="K317" s="1051"/>
      <c r="L317" s="1051"/>
      <c r="M317" s="981"/>
      <c r="N317" s="981"/>
      <c r="O317" s="243"/>
      <c r="P317" s="243"/>
      <c r="Q317" s="243"/>
      <c r="R317" s="243"/>
      <c r="S317" s="243"/>
      <c r="T317" s="243"/>
      <c r="U317" s="1051"/>
      <c r="V317" s="1051"/>
      <c r="W317" s="243"/>
      <c r="X317" s="243"/>
      <c r="Y317" s="243"/>
      <c r="Z317" s="1051"/>
      <c r="AA317" s="1051"/>
      <c r="AB317" s="243"/>
      <c r="AC317" s="243"/>
      <c r="AD317" s="243"/>
      <c r="AE317" s="656"/>
      <c r="AF317" s="1051"/>
      <c r="AG317" s="243"/>
      <c r="AH317" s="243"/>
      <c r="AI317" s="243"/>
      <c r="AJ317" s="243"/>
      <c r="AK317" s="243"/>
      <c r="AL317" s="243"/>
      <c r="AM317" s="243"/>
      <c r="AN317" s="243"/>
      <c r="AO317" s="1051"/>
      <c r="AP317" s="1051"/>
      <c r="AQ317" s="243"/>
      <c r="AR317" s="243"/>
      <c r="AS317" s="243"/>
      <c r="AT317" s="1051"/>
      <c r="AU317" s="243"/>
      <c r="AV317" s="243"/>
      <c r="AW317" s="243"/>
      <c r="AX317" s="244"/>
      <c r="AY317" s="243"/>
      <c r="AZ317" s="1051"/>
      <c r="BA317" s="1051"/>
      <c r="BB317" s="1051"/>
      <c r="BC317" s="1051"/>
      <c r="BD317" s="1355"/>
      <c r="BE317" s="243"/>
      <c r="BF317" s="243"/>
      <c r="BG317" s="243"/>
      <c r="BH317" s="243"/>
      <c r="BI317" s="243"/>
      <c r="BJ317" s="243"/>
      <c r="BK317" s="243"/>
      <c r="BL317" s="243"/>
      <c r="BM317" s="1051"/>
      <c r="BN317" s="1051"/>
      <c r="BO317" s="243"/>
      <c r="BP317" s="243"/>
      <c r="BQ317" s="243"/>
      <c r="BR317" s="981"/>
      <c r="BS317" s="981"/>
      <c r="BT317" s="981"/>
      <c r="BU317" s="243"/>
      <c r="BV317" s="243"/>
      <c r="BW317" s="243"/>
      <c r="BX317" s="1051"/>
      <c r="BY317" s="1051"/>
      <c r="BZ317" s="1051"/>
      <c r="CA317" s="243"/>
      <c r="CB317" s="243"/>
      <c r="CC317" s="243"/>
      <c r="CD317" s="243"/>
      <c r="CE317" s="243"/>
      <c r="CF317" s="243"/>
      <c r="CG317" s="1283"/>
    </row>
    <row r="318" spans="1:85" ht="13.2">
      <c r="A318" s="155">
        <v>45224</v>
      </c>
      <c r="B318" s="1051"/>
      <c r="C318" s="1051"/>
      <c r="D318" s="1051"/>
      <c r="E318" s="1271"/>
      <c r="F318" s="243"/>
      <c r="G318" s="243"/>
      <c r="H318" s="1051"/>
      <c r="I318" s="243"/>
      <c r="J318" s="243"/>
      <c r="K318" s="1051"/>
      <c r="L318" s="1051"/>
      <c r="M318" s="981"/>
      <c r="N318" s="981"/>
      <c r="O318" s="243"/>
      <c r="P318" s="243"/>
      <c r="Q318" s="243"/>
      <c r="R318" s="243"/>
      <c r="S318" s="243"/>
      <c r="T318" s="243"/>
      <c r="U318" s="1051"/>
      <c r="V318" s="1051"/>
      <c r="W318" s="243"/>
      <c r="X318" s="243"/>
      <c r="Y318" s="243"/>
      <c r="Z318" s="1051"/>
      <c r="AA318" s="1051"/>
      <c r="AB318" s="243"/>
      <c r="AC318" s="243"/>
      <c r="AD318" s="243"/>
      <c r="AE318" s="656"/>
      <c r="AF318" s="1051"/>
      <c r="AG318" s="243"/>
      <c r="AH318" s="243"/>
      <c r="AI318" s="243"/>
      <c r="AJ318" s="243"/>
      <c r="AK318" s="243"/>
      <c r="AL318" s="243"/>
      <c r="AM318" s="243"/>
      <c r="AN318" s="243"/>
      <c r="AO318" s="1051"/>
      <c r="AP318" s="1051"/>
      <c r="AQ318" s="243"/>
      <c r="AR318" s="243"/>
      <c r="AS318" s="243"/>
      <c r="AT318" s="1051"/>
      <c r="AU318" s="243"/>
      <c r="AV318" s="243"/>
      <c r="AW318" s="243"/>
      <c r="AX318" s="243"/>
      <c r="AY318" s="243"/>
      <c r="AZ318" s="1051"/>
      <c r="BA318" s="1051"/>
      <c r="BB318" s="1051"/>
      <c r="BC318" s="1051"/>
      <c r="BD318" s="1355"/>
      <c r="BE318" s="243"/>
      <c r="BF318" s="243"/>
      <c r="BG318" s="243"/>
      <c r="BH318" s="243"/>
      <c r="BI318" s="243"/>
      <c r="BJ318" s="243"/>
      <c r="BK318" s="243"/>
      <c r="BL318" s="243"/>
      <c r="BM318" s="1051"/>
      <c r="BN318" s="1051"/>
      <c r="BO318" s="243"/>
      <c r="BP318" s="243"/>
      <c r="BQ318" s="243"/>
      <c r="BR318" s="981"/>
      <c r="BS318" s="981"/>
      <c r="BT318" s="981"/>
      <c r="BU318" s="243"/>
      <c r="BV318" s="243"/>
      <c r="BW318" s="243"/>
      <c r="BX318" s="1051"/>
      <c r="BY318" s="1051"/>
      <c r="BZ318" s="1051"/>
      <c r="CA318" s="243"/>
      <c r="CB318" s="243"/>
      <c r="CC318" s="243"/>
      <c r="CD318" s="243"/>
      <c r="CE318" s="243"/>
      <c r="CF318" s="243"/>
      <c r="CG318" s="1283"/>
    </row>
    <row r="319" spans="1:85" ht="13.2">
      <c r="A319" s="155">
        <v>45225</v>
      </c>
      <c r="B319" s="1051"/>
      <c r="C319" s="1051"/>
      <c r="D319" s="1051"/>
      <c r="E319" s="1271"/>
      <c r="F319" s="1051"/>
      <c r="G319" s="1051"/>
      <c r="H319" s="1051"/>
      <c r="I319" s="1051"/>
      <c r="J319" s="1051"/>
      <c r="K319" s="1051"/>
      <c r="L319" s="1051"/>
      <c r="M319" s="1051"/>
      <c r="N319" s="1051"/>
      <c r="O319" s="1051"/>
      <c r="P319" s="1051"/>
      <c r="Q319" s="1051"/>
      <c r="R319" s="1051"/>
      <c r="S319" s="1051"/>
      <c r="T319" s="1051"/>
      <c r="U319" s="1051"/>
      <c r="V319" s="1051"/>
      <c r="W319" s="1051"/>
      <c r="X319" s="1051"/>
      <c r="Y319" s="1051"/>
      <c r="Z319" s="1051"/>
      <c r="AA319" s="1051"/>
      <c r="AB319" s="1051"/>
      <c r="AC319" s="1051"/>
      <c r="AD319" s="1051"/>
      <c r="AE319" s="656"/>
      <c r="AF319" s="1051"/>
      <c r="AG319" s="1051"/>
      <c r="AH319" s="1051"/>
      <c r="AI319" s="1051"/>
      <c r="AJ319" s="1051"/>
      <c r="AK319" s="1051"/>
      <c r="AL319" s="1051"/>
      <c r="AM319" s="1051"/>
      <c r="AN319" s="1051"/>
      <c r="AO319" s="1051"/>
      <c r="AP319" s="1051"/>
      <c r="AQ319" s="1051"/>
      <c r="AR319" s="1051"/>
      <c r="AS319" s="1051"/>
      <c r="AT319" s="1051"/>
      <c r="AU319" s="1051"/>
      <c r="AV319" s="1051"/>
      <c r="AW319" s="1051"/>
      <c r="AX319" s="1051"/>
      <c r="AY319" s="1051"/>
      <c r="AZ319" s="1051"/>
      <c r="BA319" s="1051"/>
      <c r="BB319" s="1051"/>
      <c r="BC319" s="1051"/>
      <c r="BD319" s="1355"/>
      <c r="BF319" s="243"/>
      <c r="BG319" s="1051"/>
      <c r="BH319" s="1051"/>
      <c r="BI319" s="1051"/>
      <c r="BJ319" s="1051"/>
      <c r="BK319" s="1051"/>
      <c r="BL319" s="1051"/>
      <c r="BM319" s="1051"/>
      <c r="BN319" s="1051"/>
      <c r="BO319" s="1051"/>
      <c r="BP319" s="1051"/>
      <c r="BQ319" s="1051"/>
      <c r="BR319" s="981"/>
      <c r="BS319" s="981"/>
      <c r="BT319" s="981"/>
      <c r="BU319" s="1051"/>
      <c r="BV319" s="1051"/>
      <c r="BW319" s="1051"/>
      <c r="BX319" s="1051"/>
      <c r="BY319" s="1051"/>
      <c r="BZ319" s="1051"/>
      <c r="CA319" s="1051"/>
      <c r="CB319" s="1051"/>
      <c r="CC319" s="1051"/>
      <c r="CD319" s="1051"/>
      <c r="CE319" s="1051"/>
      <c r="CF319" s="1051"/>
      <c r="CG319" s="1658"/>
    </row>
    <row r="320" spans="1:85" ht="13.2">
      <c r="A320" s="155">
        <v>45226</v>
      </c>
      <c r="B320" s="1051"/>
      <c r="C320" s="1051"/>
      <c r="D320" s="1051"/>
      <c r="E320" s="1271"/>
      <c r="F320" s="243"/>
      <c r="G320" s="243"/>
      <c r="H320" s="243"/>
      <c r="I320" s="243"/>
      <c r="J320" s="243"/>
      <c r="K320" s="1051"/>
      <c r="L320" s="1051"/>
      <c r="M320" s="243"/>
      <c r="N320" s="243"/>
      <c r="O320" s="243"/>
      <c r="P320" s="243"/>
      <c r="Q320" s="243"/>
      <c r="R320" s="243"/>
      <c r="S320" s="243"/>
      <c r="T320" s="243"/>
      <c r="U320" s="1051"/>
      <c r="V320" s="1051"/>
      <c r="W320" s="243"/>
      <c r="X320" s="243"/>
      <c r="Y320" s="243"/>
      <c r="Z320" s="1051"/>
      <c r="AA320" s="1051"/>
      <c r="AB320" s="243"/>
      <c r="AC320" s="243"/>
      <c r="AD320" s="243"/>
      <c r="AE320" s="656"/>
      <c r="AF320" s="1051"/>
      <c r="AG320" s="243"/>
      <c r="AH320" s="243"/>
      <c r="AI320" s="243"/>
      <c r="AJ320" s="243"/>
      <c r="AK320" s="243"/>
      <c r="AL320" s="243"/>
      <c r="AM320" s="243"/>
      <c r="AN320" s="243"/>
      <c r="AO320" s="1051"/>
      <c r="AP320" s="1051"/>
      <c r="AQ320" s="243"/>
      <c r="AR320" s="243"/>
      <c r="AS320" s="243"/>
      <c r="AT320" s="1051"/>
      <c r="AU320" s="243"/>
      <c r="AV320" s="243"/>
      <c r="AW320" s="243"/>
      <c r="AX320" s="243"/>
      <c r="AY320" s="243"/>
      <c r="AZ320" s="1051"/>
      <c r="BA320" s="1051"/>
      <c r="BB320" s="1051"/>
      <c r="BC320" s="1051"/>
      <c r="BD320" s="1355"/>
      <c r="BE320" s="1051"/>
      <c r="BF320" s="243"/>
      <c r="BG320" s="243"/>
      <c r="BH320" s="243"/>
      <c r="BI320" s="243"/>
      <c r="BJ320" s="243"/>
      <c r="BK320" s="243"/>
      <c r="BL320" s="243"/>
      <c r="BM320" s="1051"/>
      <c r="BN320" s="1051"/>
      <c r="BO320" s="243"/>
      <c r="BP320" s="243"/>
      <c r="BQ320" s="243"/>
      <c r="BR320" s="981"/>
      <c r="BS320" s="981"/>
      <c r="BT320" s="981"/>
      <c r="BU320" s="243"/>
      <c r="BV320" s="243"/>
      <c r="BW320" s="243"/>
      <c r="BX320" s="1051"/>
      <c r="BY320" s="1051"/>
      <c r="BZ320" s="1051"/>
      <c r="CA320" s="243"/>
      <c r="CB320" s="243"/>
      <c r="CC320" s="243"/>
      <c r="CD320" s="243"/>
      <c r="CE320" s="243"/>
      <c r="CF320" s="243"/>
      <c r="CG320" s="1658"/>
    </row>
    <row r="321" spans="1:118" ht="13.2">
      <c r="A321" s="155">
        <v>45227</v>
      </c>
      <c r="B321" s="1051"/>
      <c r="C321" s="1051"/>
      <c r="D321" s="1051"/>
      <c r="E321" s="1271"/>
      <c r="F321" s="1051"/>
      <c r="G321" s="1051"/>
      <c r="H321" s="1051"/>
      <c r="I321" s="1051"/>
      <c r="J321" s="1051"/>
      <c r="K321" s="1051"/>
      <c r="L321" s="1051"/>
      <c r="M321" s="1051"/>
      <c r="N321" s="1051"/>
      <c r="O321" s="1051"/>
      <c r="P321" s="1051"/>
      <c r="Q321" s="1051"/>
      <c r="R321" s="1051"/>
      <c r="S321" s="1051"/>
      <c r="T321" s="1051"/>
      <c r="U321" s="1051"/>
      <c r="V321" s="1051"/>
      <c r="W321" s="1051"/>
      <c r="X321" s="1051"/>
      <c r="Y321" s="1051"/>
      <c r="Z321" s="1051"/>
      <c r="AA321" s="1051"/>
      <c r="AB321" s="1051"/>
      <c r="AC321" s="1051"/>
      <c r="AD321" s="1051"/>
      <c r="AE321" s="656"/>
      <c r="AF321" s="1051"/>
      <c r="AG321" s="1051"/>
      <c r="AH321" s="1051"/>
      <c r="AI321" s="1051"/>
      <c r="AJ321" s="1051"/>
      <c r="AK321" s="1051"/>
      <c r="AL321" s="1051"/>
      <c r="AM321" s="1051"/>
      <c r="AN321" s="1051"/>
      <c r="AO321" s="1051"/>
      <c r="AP321" s="1051"/>
      <c r="AQ321" s="1051"/>
      <c r="AR321" s="1051"/>
      <c r="AS321" s="1051"/>
      <c r="AT321" s="1051"/>
      <c r="AU321" s="1051"/>
      <c r="AV321" s="1051"/>
      <c r="AW321" s="1051"/>
      <c r="AX321" s="1051"/>
      <c r="AY321" s="1051"/>
      <c r="AZ321" s="1051"/>
      <c r="BA321" s="1051"/>
      <c r="BB321" s="1051"/>
      <c r="BC321" s="1051"/>
      <c r="BD321" s="1355"/>
      <c r="BE321" s="1051"/>
      <c r="BF321" s="243"/>
      <c r="BG321" s="1051"/>
      <c r="BH321" s="1051"/>
      <c r="BI321" s="1051"/>
      <c r="BJ321" s="243"/>
      <c r="BK321" s="1051"/>
      <c r="BL321" s="1051"/>
      <c r="BM321" s="1051"/>
      <c r="BN321" s="1051"/>
      <c r="BO321" s="1051"/>
      <c r="BP321" s="1051"/>
      <c r="BQ321" s="1051"/>
      <c r="BR321" s="981"/>
      <c r="BS321" s="981"/>
      <c r="BT321" s="981"/>
      <c r="BU321" s="1051"/>
      <c r="BV321" s="1051"/>
      <c r="BW321" s="1051"/>
      <c r="BX321" s="1051"/>
      <c r="BY321" s="1051"/>
      <c r="BZ321" s="1051"/>
      <c r="CA321" s="1051"/>
      <c r="CB321" s="1051"/>
      <c r="CC321" s="1051"/>
      <c r="CD321" s="1051"/>
      <c r="CE321" s="1051"/>
      <c r="CF321" s="1051"/>
      <c r="CG321" s="1658"/>
    </row>
    <row r="322" spans="1:118" s="403" customFormat="1" ht="13.2">
      <c r="A322" s="155">
        <v>45228</v>
      </c>
      <c r="B322" s="1051"/>
      <c r="C322" s="1051"/>
      <c r="D322" s="1051"/>
      <c r="E322" s="1271"/>
      <c r="F322" s="243"/>
      <c r="G322" s="243"/>
      <c r="H322" s="243"/>
      <c r="I322" s="243"/>
      <c r="J322" s="243"/>
      <c r="K322" s="1051"/>
      <c r="L322" s="1051"/>
      <c r="M322" s="243"/>
      <c r="N322" s="243"/>
      <c r="O322" s="367"/>
      <c r="P322" s="367"/>
      <c r="Q322" s="243"/>
      <c r="R322" s="243"/>
      <c r="S322" s="243"/>
      <c r="T322" s="243"/>
      <c r="U322" s="1051"/>
      <c r="V322" s="1051"/>
      <c r="W322" s="243"/>
      <c r="X322" s="243"/>
      <c r="Y322" s="243"/>
      <c r="Z322" s="1051"/>
      <c r="AA322" s="1051"/>
      <c r="AB322" s="243"/>
      <c r="AC322" s="243"/>
      <c r="AD322" s="243"/>
      <c r="AE322" s="656"/>
      <c r="AF322" s="1051"/>
      <c r="AG322" s="243"/>
      <c r="AH322" s="243"/>
      <c r="AI322" s="243"/>
      <c r="AJ322" s="243"/>
      <c r="AK322" s="243"/>
      <c r="AL322" s="243"/>
      <c r="AM322" s="243"/>
      <c r="AN322" s="243"/>
      <c r="AO322" s="1051"/>
      <c r="AP322" s="1051"/>
      <c r="AQ322" s="243"/>
      <c r="AR322" s="243"/>
      <c r="AS322" s="402"/>
      <c r="AT322" s="1051"/>
      <c r="AU322" s="243"/>
      <c r="AV322" s="243"/>
      <c r="AW322" s="243"/>
      <c r="AX322" s="243"/>
      <c r="AY322" s="243"/>
      <c r="AZ322" s="243"/>
      <c r="BA322" s="243"/>
      <c r="BB322" s="1051"/>
      <c r="BC322" s="1051"/>
      <c r="BD322" s="1355"/>
      <c r="BE322" s="243"/>
      <c r="BF322" s="243"/>
      <c r="BG322" s="1051"/>
      <c r="BH322" s="1051"/>
      <c r="BI322" s="1051"/>
      <c r="BJ322" s="243"/>
      <c r="BK322" s="243"/>
      <c r="BL322" s="243"/>
      <c r="BM322" s="1051"/>
      <c r="BN322" s="1051"/>
      <c r="BO322" s="243"/>
      <c r="BP322" s="243"/>
      <c r="BQ322" s="243"/>
      <c r="BR322" s="981"/>
      <c r="BS322" s="981"/>
      <c r="BT322" s="981"/>
      <c r="BU322" s="243"/>
      <c r="BV322" s="243"/>
      <c r="BW322" s="243"/>
      <c r="BX322" s="1051"/>
      <c r="BY322" s="1051"/>
      <c r="BZ322" s="1051"/>
      <c r="CA322" s="243"/>
      <c r="CB322" s="243"/>
      <c r="CC322" s="243"/>
      <c r="CD322" s="243"/>
      <c r="CE322" s="243"/>
      <c r="CF322" s="243"/>
      <c r="CG322" s="1658"/>
      <c r="CH322" s="22"/>
      <c r="CI322" s="22"/>
      <c r="CJ322" s="22"/>
      <c r="CK322" s="22"/>
      <c r="CL322" s="22"/>
      <c r="CM322" s="22"/>
      <c r="CN322" s="22"/>
      <c r="CO322" s="22"/>
      <c r="CP322" s="22"/>
      <c r="CQ322" s="22"/>
      <c r="CR322" s="22"/>
      <c r="CS322" s="22"/>
      <c r="CT322" s="22"/>
      <c r="CU322" s="22"/>
      <c r="CV322" s="22"/>
      <c r="CW322" s="22"/>
      <c r="CX322" s="22"/>
      <c r="CY322" s="22"/>
      <c r="CZ322" s="22"/>
      <c r="DA322" s="22"/>
      <c r="DB322" s="22"/>
      <c r="DC322" s="22"/>
      <c r="DD322" s="22"/>
      <c r="DE322" s="22"/>
      <c r="DF322" s="22"/>
      <c r="DG322" s="22"/>
      <c r="DH322" s="22"/>
      <c r="DI322" s="22"/>
      <c r="DJ322" s="22"/>
      <c r="DK322" s="22"/>
      <c r="DL322" s="22"/>
      <c r="DM322" s="22"/>
      <c r="DN322" s="22"/>
    </row>
    <row r="323" spans="1:118" ht="13.2">
      <c r="A323" s="155">
        <v>45229</v>
      </c>
      <c r="B323" s="1051"/>
      <c r="C323" s="1051"/>
      <c r="D323" s="1051"/>
      <c r="E323" s="1271"/>
      <c r="F323" s="243"/>
      <c r="G323" s="243"/>
      <c r="H323" s="243"/>
      <c r="I323" s="243"/>
      <c r="J323" s="243"/>
      <c r="K323" s="1051"/>
      <c r="L323" s="1051"/>
      <c r="M323" s="243"/>
      <c r="N323" s="243"/>
      <c r="O323" s="367"/>
      <c r="P323" s="367"/>
      <c r="Q323" s="243"/>
      <c r="R323" s="243"/>
      <c r="S323" s="243"/>
      <c r="T323" s="243"/>
      <c r="U323" s="1051"/>
      <c r="V323" s="1051"/>
      <c r="W323" s="243"/>
      <c r="X323" s="243"/>
      <c r="Y323" s="243"/>
      <c r="Z323" s="1051"/>
      <c r="AA323" s="1051"/>
      <c r="AB323" s="243"/>
      <c r="AC323" s="243"/>
      <c r="AD323" s="243"/>
      <c r="AE323" s="656"/>
      <c r="AF323" s="1051"/>
      <c r="AG323" s="243"/>
      <c r="AH323" s="243"/>
      <c r="AI323" s="243"/>
      <c r="AJ323" s="243"/>
      <c r="AK323" s="243"/>
      <c r="AL323" s="243"/>
      <c r="AM323" s="243"/>
      <c r="AN323" s="243"/>
      <c r="AO323" s="1051"/>
      <c r="AP323" s="1051"/>
      <c r="AQ323" s="243"/>
      <c r="AR323" s="243"/>
      <c r="AS323" s="402"/>
      <c r="AT323" s="1051"/>
      <c r="AU323" s="243"/>
      <c r="AV323" s="243"/>
      <c r="AW323" s="243"/>
      <c r="AX323" s="243"/>
      <c r="AY323" s="243"/>
      <c r="AZ323" s="243"/>
      <c r="BA323" s="243"/>
      <c r="BB323" s="1051"/>
      <c r="BC323" s="1051"/>
      <c r="BD323" s="1355"/>
      <c r="BE323" s="243"/>
      <c r="BF323" s="243"/>
      <c r="BG323" s="1051"/>
      <c r="BH323" s="1051"/>
      <c r="BI323" s="1051"/>
      <c r="BJ323" s="243"/>
      <c r="BK323" s="243"/>
      <c r="BL323" s="243"/>
      <c r="BM323" s="1051"/>
      <c r="BN323" s="1051"/>
      <c r="BO323" s="243"/>
      <c r="BP323" s="243"/>
      <c r="BQ323" s="243"/>
      <c r="BR323" s="981"/>
      <c r="BS323" s="981"/>
      <c r="BT323" s="981"/>
      <c r="BU323" s="243"/>
      <c r="BV323" s="243"/>
      <c r="BW323" s="243"/>
      <c r="BX323" s="1051"/>
      <c r="BY323" s="1051"/>
      <c r="BZ323" s="1051"/>
      <c r="CA323" s="243"/>
      <c r="CB323" s="243"/>
      <c r="CC323" s="243"/>
      <c r="CD323" s="243"/>
      <c r="CE323" s="243"/>
      <c r="CF323" s="243"/>
      <c r="CG323" s="1658"/>
    </row>
    <row r="324" spans="1:118" ht="13.2">
      <c r="A324" s="155">
        <v>45230</v>
      </c>
      <c r="B324" s="1051"/>
      <c r="C324" s="1051"/>
      <c r="D324" s="1051"/>
      <c r="E324" s="1271"/>
      <c r="F324" s="243"/>
      <c r="G324" s="243"/>
      <c r="H324" s="243"/>
      <c r="I324" s="243"/>
      <c r="J324" s="243"/>
      <c r="K324" s="1051"/>
      <c r="L324" s="1051"/>
      <c r="M324" s="243"/>
      <c r="N324" s="243"/>
      <c r="O324" s="367"/>
      <c r="P324" s="367"/>
      <c r="Q324" s="243"/>
      <c r="R324" s="243"/>
      <c r="S324" s="243"/>
      <c r="T324" s="243"/>
      <c r="U324" s="1051"/>
      <c r="V324" s="1051"/>
      <c r="W324" s="243"/>
      <c r="X324" s="243"/>
      <c r="Y324" s="243"/>
      <c r="Z324" s="1051"/>
      <c r="AA324" s="1051"/>
      <c r="AB324" s="243"/>
      <c r="AC324" s="243"/>
      <c r="AD324" s="243"/>
      <c r="AE324" s="656"/>
      <c r="AF324" s="1051"/>
      <c r="AG324" s="243"/>
      <c r="AH324" s="243"/>
      <c r="AI324" s="243"/>
      <c r="AJ324" s="243"/>
      <c r="AK324" s="243"/>
      <c r="AL324" s="243"/>
      <c r="AM324" s="243"/>
      <c r="AN324" s="243"/>
      <c r="AO324" s="1051"/>
      <c r="AP324" s="1051"/>
      <c r="AQ324" s="243"/>
      <c r="AR324" s="243"/>
      <c r="AS324" s="402"/>
      <c r="AT324" s="1051"/>
      <c r="AU324" s="243"/>
      <c r="AV324" s="243"/>
      <c r="AW324" s="243"/>
      <c r="AX324" s="243"/>
      <c r="AY324" s="243"/>
      <c r="AZ324" s="243"/>
      <c r="BA324" s="243"/>
      <c r="BB324" s="1051"/>
      <c r="BC324" s="1051"/>
      <c r="BD324" s="1355"/>
      <c r="BE324" s="243"/>
      <c r="BG324" s="243"/>
      <c r="BH324" s="243"/>
      <c r="BI324" s="981"/>
      <c r="BJ324" s="243"/>
      <c r="BK324" s="243"/>
      <c r="BL324" s="243"/>
      <c r="BM324" s="1051"/>
      <c r="BN324" s="1051"/>
      <c r="BO324" s="243"/>
      <c r="BP324" s="243"/>
      <c r="BQ324" s="243"/>
      <c r="BR324" s="981"/>
      <c r="BS324" s="981"/>
      <c r="BT324" s="981"/>
      <c r="BU324" s="243"/>
      <c r="BV324" s="243"/>
      <c r="BW324" s="243"/>
      <c r="BX324" s="1051"/>
      <c r="BY324" s="1051"/>
      <c r="BZ324" s="1051"/>
      <c r="CA324" s="243"/>
      <c r="CB324" s="243"/>
      <c r="CC324" s="243"/>
      <c r="CD324" s="243"/>
      <c r="CE324" s="243"/>
      <c r="CF324" s="243"/>
      <c r="CG324" s="1658"/>
    </row>
    <row r="325" spans="1:118" ht="13.2">
      <c r="A325" s="177"/>
      <c r="B325" s="181"/>
      <c r="C325" s="181"/>
      <c r="D325" s="181"/>
      <c r="E325" s="1364"/>
      <c r="F325" s="181"/>
      <c r="G325" s="181"/>
      <c r="H325" s="181"/>
      <c r="I325" s="181"/>
      <c r="J325" s="181"/>
      <c r="K325" s="181"/>
      <c r="L325" s="181"/>
      <c r="M325" s="181"/>
      <c r="N325" s="181"/>
      <c r="O325" s="181"/>
      <c r="P325" s="181"/>
      <c r="Q325" s="181"/>
      <c r="R325" s="181"/>
      <c r="S325" s="181"/>
      <c r="T325" s="181"/>
      <c r="U325" s="181"/>
      <c r="V325" s="181"/>
      <c r="W325" s="181"/>
      <c r="X325" s="181"/>
      <c r="Y325" s="181"/>
      <c r="Z325" s="181"/>
      <c r="AA325" s="181"/>
      <c r="AB325" s="181"/>
      <c r="AC325" s="181"/>
      <c r="AD325" s="181"/>
      <c r="AE325" s="181"/>
      <c r="AF325" s="181"/>
      <c r="AG325" s="181"/>
      <c r="AH325" s="181"/>
      <c r="AI325" s="181"/>
      <c r="AJ325" s="181"/>
      <c r="AK325" s="181"/>
      <c r="AL325" s="181"/>
      <c r="AM325" s="181"/>
      <c r="AN325" s="181"/>
      <c r="AO325" s="181"/>
      <c r="AP325" s="181"/>
      <c r="AQ325" s="181"/>
      <c r="AR325" s="181"/>
      <c r="AS325" s="181"/>
      <c r="AT325" s="181"/>
      <c r="AU325" s="181"/>
      <c r="AV325" s="181"/>
      <c r="AW325" s="181"/>
      <c r="AX325" s="181"/>
      <c r="AY325" s="181"/>
      <c r="AZ325" s="181"/>
      <c r="BA325" s="181"/>
      <c r="BB325" s="181"/>
      <c r="BC325" s="181"/>
      <c r="BD325" s="1746"/>
      <c r="BE325" s="181"/>
      <c r="BF325" s="181"/>
      <c r="BG325" s="181"/>
      <c r="BH325" s="181"/>
      <c r="BI325" s="181"/>
      <c r="BJ325" s="181"/>
      <c r="BK325" s="181"/>
      <c r="BL325" s="181"/>
      <c r="BM325" s="181"/>
      <c r="BN325" s="181"/>
      <c r="BO325" s="181"/>
      <c r="BP325" s="181"/>
      <c r="BQ325" s="181"/>
      <c r="BR325" s="181"/>
      <c r="BS325" s="181"/>
      <c r="BT325" s="181"/>
      <c r="BU325" s="181"/>
      <c r="BV325" s="181"/>
      <c r="BW325" s="181"/>
      <c r="BX325" s="181"/>
      <c r="BY325" s="181"/>
      <c r="BZ325" s="181"/>
      <c r="CA325" s="181"/>
      <c r="CB325" s="181"/>
      <c r="CC325" s="181"/>
      <c r="CD325" s="181"/>
      <c r="CE325" s="181"/>
      <c r="CF325" s="181"/>
      <c r="CG325" s="181"/>
    </row>
    <row r="326" spans="1:118" ht="13.2">
      <c r="A326" s="155">
        <v>45230</v>
      </c>
      <c r="B326" s="1051"/>
      <c r="C326" s="1051"/>
      <c r="D326" s="981"/>
      <c r="E326" s="1271"/>
      <c r="F326" s="243"/>
      <c r="G326" s="243"/>
      <c r="H326" s="243"/>
      <c r="I326" s="243"/>
      <c r="J326" s="243"/>
      <c r="K326" s="1051"/>
      <c r="L326" s="1051"/>
      <c r="M326" s="243"/>
      <c r="N326" s="243"/>
      <c r="O326" s="367"/>
      <c r="P326" s="367"/>
      <c r="Q326" s="243"/>
      <c r="R326" s="243"/>
      <c r="S326" s="243"/>
      <c r="T326" s="243"/>
      <c r="U326" s="243"/>
      <c r="V326" s="243"/>
      <c r="W326" s="243"/>
      <c r="X326" s="243"/>
      <c r="Y326" s="243"/>
      <c r="Z326" s="1051"/>
      <c r="AA326" s="1051"/>
      <c r="AB326" s="243"/>
      <c r="AC326" s="243"/>
      <c r="AD326" s="243"/>
      <c r="AE326" s="1051"/>
      <c r="AF326" s="1051"/>
      <c r="AG326" s="243"/>
      <c r="AH326" s="243"/>
      <c r="AI326" s="243"/>
      <c r="AJ326" s="243"/>
      <c r="AK326" s="243"/>
      <c r="AL326" s="243"/>
      <c r="AM326" s="243"/>
      <c r="AN326" s="243"/>
      <c r="AO326" s="243"/>
      <c r="AP326" s="243"/>
      <c r="AQ326" s="243"/>
      <c r="AR326" s="243"/>
      <c r="AS326" s="402"/>
      <c r="AT326" s="1051"/>
      <c r="AU326" s="243"/>
      <c r="AV326" s="243"/>
      <c r="AW326" s="243"/>
      <c r="AX326" s="243"/>
      <c r="AY326" s="243"/>
      <c r="AZ326" s="243"/>
      <c r="BA326" s="243"/>
      <c r="BB326" s="243"/>
      <c r="BC326" s="243"/>
      <c r="BD326" s="367"/>
      <c r="BE326" s="243"/>
      <c r="BF326" s="243"/>
      <c r="BG326" s="243"/>
      <c r="BH326" s="243"/>
      <c r="BI326" s="243"/>
      <c r="BJ326" s="243"/>
      <c r="BK326" s="243"/>
      <c r="BL326" s="243"/>
      <c r="BM326" s="654"/>
      <c r="BN326" s="654"/>
      <c r="BO326" s="243"/>
      <c r="BP326" s="243"/>
      <c r="BQ326" s="243"/>
      <c r="BR326" s="243"/>
      <c r="BS326" s="243"/>
      <c r="BT326" s="243"/>
      <c r="BU326" s="243"/>
      <c r="BV326" s="243"/>
      <c r="BW326" s="243"/>
      <c r="BX326" s="1051"/>
      <c r="BY326" s="1051"/>
      <c r="BZ326" s="1051"/>
      <c r="CA326" s="243"/>
      <c r="CB326" s="243"/>
      <c r="CC326" s="243"/>
      <c r="CD326" s="243"/>
      <c r="CE326" s="243"/>
      <c r="CF326" s="243"/>
      <c r="CG326" s="1283"/>
    </row>
    <row r="327" spans="1:118" ht="13.2">
      <c r="A327" s="155">
        <v>45231</v>
      </c>
      <c r="B327" s="1051"/>
      <c r="C327" s="1051"/>
      <c r="D327" s="1051"/>
      <c r="E327" s="1271"/>
      <c r="F327" s="1051"/>
      <c r="G327" s="1051"/>
      <c r="H327" s="1051"/>
      <c r="I327" s="1051"/>
      <c r="J327" s="1051"/>
      <c r="K327" s="1051"/>
      <c r="L327" s="1051"/>
      <c r="M327" s="1051"/>
      <c r="N327" s="1051"/>
      <c r="O327" s="1051"/>
      <c r="P327" s="1051"/>
      <c r="Q327" s="1051"/>
      <c r="R327" s="1051"/>
      <c r="S327" s="1051"/>
      <c r="T327" s="1051"/>
      <c r="U327" s="243"/>
      <c r="V327" s="243"/>
      <c r="W327" s="1051"/>
      <c r="X327" s="1051"/>
      <c r="Y327" s="1051"/>
      <c r="Z327" s="1051"/>
      <c r="AA327" s="1051"/>
      <c r="AB327" s="1051"/>
      <c r="AC327" s="1051"/>
      <c r="AD327" s="1051"/>
      <c r="AE327" s="1051"/>
      <c r="AF327" s="1051"/>
      <c r="AG327" s="1051"/>
      <c r="AH327" s="1051"/>
      <c r="AI327" s="1051"/>
      <c r="AJ327" s="1051"/>
      <c r="AK327" s="1051"/>
      <c r="AL327" s="1051"/>
      <c r="AM327" s="1051"/>
      <c r="AN327" s="1051"/>
      <c r="AO327" s="243"/>
      <c r="AP327" s="243"/>
      <c r="AQ327" s="1051"/>
      <c r="AR327" s="1051"/>
      <c r="AS327" s="1051"/>
      <c r="AT327" s="1051"/>
      <c r="AU327" s="1051"/>
      <c r="AV327" s="1051"/>
      <c r="AW327" s="1051"/>
      <c r="AX327" s="1051"/>
      <c r="AY327" s="1051"/>
      <c r="AZ327" s="1051"/>
      <c r="BA327" s="1051"/>
      <c r="BB327" s="1051"/>
      <c r="BC327" s="1051"/>
      <c r="BD327" s="1355"/>
      <c r="BE327" s="243"/>
      <c r="BF327" s="243"/>
      <c r="BG327" s="243"/>
      <c r="BH327" s="243"/>
      <c r="BI327" s="243"/>
      <c r="BJ327" s="243"/>
      <c r="BK327" s="1051"/>
      <c r="BL327" s="1051"/>
      <c r="BM327" s="654"/>
      <c r="BN327" s="654"/>
      <c r="BO327" s="1051"/>
      <c r="BP327" s="1051"/>
      <c r="BQ327" s="1051"/>
      <c r="BR327" s="243"/>
      <c r="BS327" s="243"/>
      <c r="BT327" s="243"/>
      <c r="BU327" s="1051"/>
      <c r="BV327" s="1051"/>
      <c r="BW327" s="1051"/>
      <c r="BX327" s="1051"/>
      <c r="BY327" s="1051"/>
      <c r="BZ327" s="1051"/>
      <c r="CA327" s="1051"/>
      <c r="CB327" s="1051"/>
      <c r="CC327" s="1051"/>
      <c r="CD327" s="1051"/>
      <c r="CE327" s="1051"/>
      <c r="CF327" s="1051"/>
      <c r="CG327" s="1283"/>
    </row>
    <row r="328" spans="1:118" ht="13.2">
      <c r="A328" s="155">
        <v>45232</v>
      </c>
      <c r="B328" s="1051"/>
      <c r="C328" s="1051"/>
      <c r="D328" s="1051"/>
      <c r="E328" s="1271"/>
      <c r="F328" s="1051"/>
      <c r="G328" s="1051"/>
      <c r="H328" s="1051"/>
      <c r="I328" s="1051"/>
      <c r="J328" s="1051"/>
      <c r="K328" s="1051"/>
      <c r="L328" s="1051"/>
      <c r="M328" s="1051"/>
      <c r="N328" s="1051"/>
      <c r="O328" s="1051"/>
      <c r="P328" s="1051"/>
      <c r="Q328" s="1051"/>
      <c r="R328" s="1051"/>
      <c r="S328" s="1051"/>
      <c r="T328" s="1051"/>
      <c r="U328" s="243"/>
      <c r="V328" s="243"/>
      <c r="W328" s="1051"/>
      <c r="X328" s="1051"/>
      <c r="Y328" s="1051"/>
      <c r="Z328" s="1051"/>
      <c r="AA328" s="1051"/>
      <c r="AB328" s="1051"/>
      <c r="AC328" s="1051"/>
      <c r="AD328" s="1051"/>
      <c r="AE328" s="1051"/>
      <c r="AF328" s="1051"/>
      <c r="AG328" s="1051"/>
      <c r="AH328" s="1051"/>
      <c r="AI328" s="1051"/>
      <c r="AJ328" s="1051"/>
      <c r="AK328" s="1051"/>
      <c r="AL328" s="1051"/>
      <c r="AM328" s="1051"/>
      <c r="AN328" s="1051"/>
      <c r="AO328" s="243"/>
      <c r="AP328" s="243"/>
      <c r="AQ328" s="1051"/>
      <c r="AR328" s="1051"/>
      <c r="AS328" s="1051"/>
      <c r="AT328" s="1051"/>
      <c r="AU328" s="1051"/>
      <c r="AV328" s="1051"/>
      <c r="AW328" s="1051"/>
      <c r="AX328" s="1051"/>
      <c r="AY328" s="1051"/>
      <c r="AZ328" s="1051"/>
      <c r="BA328" s="1051"/>
      <c r="BB328" s="1051"/>
      <c r="BC328" s="1051"/>
      <c r="BD328" s="1355"/>
      <c r="BE328" s="1051"/>
      <c r="BF328" s="243"/>
      <c r="BG328" s="243"/>
      <c r="BH328" s="243"/>
      <c r="BI328" s="243"/>
      <c r="BJ328" s="243"/>
      <c r="BK328" s="1051"/>
      <c r="BL328" s="1051"/>
      <c r="BM328" s="654"/>
      <c r="BN328" s="654"/>
      <c r="BO328" s="1051"/>
      <c r="BP328" s="1051"/>
      <c r="BQ328" s="1051"/>
      <c r="BR328" s="243"/>
      <c r="BS328" s="243"/>
      <c r="BT328" s="243"/>
      <c r="BU328" s="1051"/>
      <c r="BV328" s="1051"/>
      <c r="BW328" s="1051"/>
      <c r="BX328" s="1051"/>
      <c r="BY328" s="1051"/>
      <c r="BZ328" s="1051"/>
      <c r="CA328" s="1051"/>
      <c r="CB328" s="1051"/>
      <c r="CC328" s="1051"/>
      <c r="CD328" s="1051"/>
      <c r="CE328" s="1051"/>
      <c r="CF328" s="1051"/>
      <c r="CG328" s="1283"/>
    </row>
    <row r="329" spans="1:118" ht="13.2">
      <c r="A329" s="155">
        <v>45233</v>
      </c>
      <c r="B329" s="1051"/>
      <c r="C329" s="1051"/>
      <c r="D329" s="1051"/>
      <c r="E329" s="1271"/>
      <c r="F329" s="1051"/>
      <c r="G329" s="1051"/>
      <c r="H329" s="1051"/>
      <c r="I329" s="1051"/>
      <c r="J329" s="1051"/>
      <c r="K329" s="1051"/>
      <c r="L329" s="1051"/>
      <c r="M329" s="1051"/>
      <c r="N329" s="1051"/>
      <c r="O329" s="1051"/>
      <c r="P329" s="1051"/>
      <c r="Q329" s="1051"/>
      <c r="R329" s="1051"/>
      <c r="S329" s="1051"/>
      <c r="T329" s="1051"/>
      <c r="U329" s="243"/>
      <c r="V329" s="243"/>
      <c r="W329" s="1051"/>
      <c r="X329" s="1051"/>
      <c r="Y329" s="1051"/>
      <c r="Z329" s="1051"/>
      <c r="AA329" s="1051"/>
      <c r="AB329" s="1051"/>
      <c r="AC329" s="1051"/>
      <c r="AD329" s="1051"/>
      <c r="AE329" s="1051"/>
      <c r="AF329" s="1051"/>
      <c r="AG329" s="1051"/>
      <c r="AH329" s="1051"/>
      <c r="AI329" s="1051"/>
      <c r="AJ329" s="1051"/>
      <c r="AK329" s="1051"/>
      <c r="AL329" s="1051"/>
      <c r="AM329" s="1051"/>
      <c r="AN329" s="1051"/>
      <c r="AO329" s="243"/>
      <c r="AP329" s="243"/>
      <c r="AQ329" s="1051"/>
      <c r="AR329" s="1051"/>
      <c r="AS329" s="1051"/>
      <c r="AT329" s="1051"/>
      <c r="AU329" s="1051"/>
      <c r="AV329" s="1051"/>
      <c r="AW329" s="1051"/>
      <c r="AX329" s="1051"/>
      <c r="AY329" s="1051"/>
      <c r="AZ329" s="1051"/>
      <c r="BA329" s="1051"/>
      <c r="BB329" s="1051"/>
      <c r="BC329" s="1051"/>
      <c r="BD329" s="1355"/>
      <c r="BE329" s="1051"/>
      <c r="BF329" s="243"/>
      <c r="BG329" s="243"/>
      <c r="BH329" s="243"/>
      <c r="BI329" s="243"/>
      <c r="BJ329" s="243"/>
      <c r="BK329" s="1051"/>
      <c r="BL329" s="1051"/>
      <c r="BM329" s="654"/>
      <c r="BN329" s="654"/>
      <c r="BO329" s="1051"/>
      <c r="BP329" s="1051"/>
      <c r="BQ329" s="1051"/>
      <c r="BR329" s="243"/>
      <c r="BS329" s="243"/>
      <c r="BT329" s="243"/>
      <c r="BU329" s="1051"/>
      <c r="BV329" s="1051"/>
      <c r="BW329" s="1051"/>
      <c r="BX329" s="1051"/>
      <c r="BY329" s="1051"/>
      <c r="BZ329" s="1051"/>
      <c r="CA329" s="1051"/>
      <c r="CB329" s="1051"/>
      <c r="CC329" s="1051"/>
      <c r="CD329" s="1051"/>
      <c r="CE329" s="1051"/>
      <c r="CF329" s="1051"/>
      <c r="CG329" s="1283"/>
    </row>
    <row r="330" spans="1:118" ht="13.2">
      <c r="A330" s="155">
        <v>45234</v>
      </c>
      <c r="B330" s="1051"/>
      <c r="C330" s="1051"/>
      <c r="D330" s="1051"/>
      <c r="E330" s="1271"/>
      <c r="F330" s="1051"/>
      <c r="G330" s="1051"/>
      <c r="H330" s="1051"/>
      <c r="I330" s="1051"/>
      <c r="J330" s="1051"/>
      <c r="K330" s="1051"/>
      <c r="L330" s="1051"/>
      <c r="M330" s="1051"/>
      <c r="N330" s="1051"/>
      <c r="O330" s="1051"/>
      <c r="P330" s="1051"/>
      <c r="Q330" s="1051"/>
      <c r="R330" s="1051"/>
      <c r="S330" s="1051"/>
      <c r="T330" s="1051"/>
      <c r="U330" s="243"/>
      <c r="V330" s="243"/>
      <c r="W330" s="1051"/>
      <c r="X330" s="1051"/>
      <c r="Y330" s="1051"/>
      <c r="Z330" s="1051"/>
      <c r="AA330" s="1051"/>
      <c r="AB330" s="1051"/>
      <c r="AC330" s="1051"/>
      <c r="AD330" s="1051"/>
      <c r="AE330" s="1051"/>
      <c r="AF330" s="1051"/>
      <c r="AG330" s="1051"/>
      <c r="AH330" s="1051"/>
      <c r="AI330" s="1051"/>
      <c r="AJ330" s="1051"/>
      <c r="AK330" s="1051"/>
      <c r="AL330" s="1051"/>
      <c r="AM330" s="1051"/>
      <c r="AN330" s="1051"/>
      <c r="AO330" s="243"/>
      <c r="AP330" s="243"/>
      <c r="AQ330" s="1051"/>
      <c r="AR330" s="1051"/>
      <c r="AS330" s="1051"/>
      <c r="AT330" s="1051"/>
      <c r="AU330" s="1051"/>
      <c r="AV330" s="1051"/>
      <c r="AW330" s="1051"/>
      <c r="AX330" s="1051"/>
      <c r="AY330" s="1051"/>
      <c r="AZ330" s="1051"/>
      <c r="BA330" s="1051"/>
      <c r="BB330" s="1051"/>
      <c r="BC330" s="1051"/>
      <c r="BD330" s="1355"/>
      <c r="BE330" s="1051"/>
      <c r="BF330" s="243"/>
      <c r="BG330" s="243"/>
      <c r="BH330" s="243"/>
      <c r="BI330" s="243"/>
      <c r="BJ330" s="243"/>
      <c r="BK330" s="1051"/>
      <c r="BL330" s="1051"/>
      <c r="BM330" s="654"/>
      <c r="BN330" s="654"/>
      <c r="BO330" s="1051"/>
      <c r="BP330" s="1051"/>
      <c r="BQ330" s="1051"/>
      <c r="BR330" s="243"/>
      <c r="BS330" s="243"/>
      <c r="BT330" s="243"/>
      <c r="BU330" s="1051"/>
      <c r="BV330" s="1051"/>
      <c r="BW330" s="1051"/>
      <c r="BX330" s="1051"/>
      <c r="BY330" s="1051"/>
      <c r="BZ330" s="1051"/>
      <c r="CA330" s="1051"/>
      <c r="CB330" s="1051"/>
      <c r="CC330" s="1051"/>
      <c r="CD330" s="1051"/>
      <c r="CE330" s="1051"/>
      <c r="CF330" s="1051"/>
      <c r="CG330" s="1283"/>
    </row>
    <row r="331" spans="1:118" ht="13.2">
      <c r="A331" s="155">
        <v>45235</v>
      </c>
      <c r="B331" s="1051"/>
      <c r="C331" s="1051"/>
      <c r="D331" s="1051"/>
      <c r="E331" s="1271"/>
      <c r="F331" s="1051"/>
      <c r="G331" s="1051"/>
      <c r="H331" s="1051"/>
      <c r="I331" s="1051"/>
      <c r="J331" s="1051"/>
      <c r="K331" s="1051"/>
      <c r="L331" s="1051"/>
      <c r="M331" s="1051"/>
      <c r="N331" s="1051"/>
      <c r="O331" s="1051"/>
      <c r="P331" s="1051"/>
      <c r="Q331" s="1051"/>
      <c r="R331" s="1051"/>
      <c r="S331" s="1051"/>
      <c r="T331" s="1051"/>
      <c r="U331" s="243"/>
      <c r="V331" s="243"/>
      <c r="W331" s="1051"/>
      <c r="X331" s="1051"/>
      <c r="Y331" s="1051"/>
      <c r="Z331" s="1051"/>
      <c r="AA331" s="1051"/>
      <c r="AB331" s="1051"/>
      <c r="AC331" s="1051"/>
      <c r="AD331" s="1051"/>
      <c r="AE331" s="1051"/>
      <c r="AF331" s="1051"/>
      <c r="AG331" s="1051"/>
      <c r="AH331" s="1051"/>
      <c r="AI331" s="1051"/>
      <c r="AJ331" s="1051"/>
      <c r="AK331" s="1051"/>
      <c r="AL331" s="1051"/>
      <c r="AM331" s="1051"/>
      <c r="AN331" s="1051"/>
      <c r="AO331" s="243"/>
      <c r="AP331" s="243"/>
      <c r="AQ331" s="1051"/>
      <c r="AR331" s="1051"/>
      <c r="AS331" s="1051"/>
      <c r="AT331" s="1051"/>
      <c r="AU331" s="1051"/>
      <c r="AV331" s="1051"/>
      <c r="AW331" s="1051"/>
      <c r="AX331" s="1051"/>
      <c r="AY331" s="1051"/>
      <c r="AZ331" s="1051"/>
      <c r="BA331" s="1051"/>
      <c r="BB331" s="1051"/>
      <c r="BC331" s="1051"/>
      <c r="BD331" s="1355"/>
      <c r="BE331" s="1051"/>
      <c r="BF331" s="1051"/>
      <c r="BG331" s="243"/>
      <c r="BH331" s="243"/>
      <c r="BI331" s="243"/>
      <c r="BJ331" s="243"/>
      <c r="BK331" s="1051"/>
      <c r="BL331" s="1051"/>
      <c r="BM331" s="654"/>
      <c r="BN331" s="654"/>
      <c r="BO331" s="1051"/>
      <c r="BP331" s="1051"/>
      <c r="BQ331" s="1051"/>
      <c r="BR331" s="243"/>
      <c r="BS331" s="243"/>
      <c r="BT331" s="243"/>
      <c r="BU331" s="1051"/>
      <c r="BV331" s="1051"/>
      <c r="BW331" s="1051"/>
      <c r="BX331" s="1051"/>
      <c r="BY331" s="1051"/>
      <c r="BZ331" s="1051"/>
      <c r="CA331" s="1051"/>
      <c r="CB331" s="1051"/>
      <c r="CC331" s="1051"/>
      <c r="CD331" s="1051"/>
      <c r="CE331" s="1051"/>
      <c r="CF331" s="1051"/>
      <c r="CG331" s="1283"/>
    </row>
    <row r="332" spans="1:118" ht="13.2">
      <c r="A332" s="155">
        <v>45236</v>
      </c>
      <c r="B332" s="1051"/>
      <c r="C332" s="1051"/>
      <c r="D332" s="1051"/>
      <c r="E332" s="1271"/>
      <c r="F332" s="243"/>
      <c r="G332" s="243"/>
      <c r="H332" s="243"/>
      <c r="I332" s="243"/>
      <c r="J332" s="243"/>
      <c r="K332" s="1051"/>
      <c r="L332" s="1051"/>
      <c r="M332" s="1051"/>
      <c r="N332" s="243"/>
      <c r="O332" s="367"/>
      <c r="P332" s="367"/>
      <c r="Q332" s="243"/>
      <c r="R332" s="243"/>
      <c r="S332" s="243"/>
      <c r="T332" s="243"/>
      <c r="U332" s="243"/>
      <c r="V332" s="243"/>
      <c r="W332" s="243"/>
      <c r="X332" s="243"/>
      <c r="Y332" s="243"/>
      <c r="Z332" s="1051"/>
      <c r="AA332" s="1051"/>
      <c r="AB332" s="243"/>
      <c r="AC332" s="243"/>
      <c r="AD332" s="243"/>
      <c r="AE332" s="1051"/>
      <c r="AF332" s="1051"/>
      <c r="AG332" s="243"/>
      <c r="AH332" s="243"/>
      <c r="AI332" s="243"/>
      <c r="AJ332" s="243"/>
      <c r="AK332" s="243"/>
      <c r="AL332" s="243"/>
      <c r="AM332" s="243"/>
      <c r="AN332" s="243"/>
      <c r="AO332" s="243"/>
      <c r="AP332" s="243"/>
      <c r="AQ332" s="243"/>
      <c r="AR332" s="243"/>
      <c r="AS332" s="402"/>
      <c r="AT332" s="1051"/>
      <c r="AU332" s="243"/>
      <c r="AV332" s="243"/>
      <c r="AW332" s="243"/>
      <c r="AX332" s="243"/>
      <c r="AY332" s="243"/>
      <c r="AZ332" s="1051"/>
      <c r="BA332" s="1051"/>
      <c r="BB332" s="1051"/>
      <c r="BC332" s="1051"/>
      <c r="BD332" s="1355"/>
      <c r="BE332" s="243"/>
      <c r="BF332" s="1051"/>
      <c r="BG332" s="243"/>
      <c r="BH332" s="243"/>
      <c r="BI332" s="367"/>
      <c r="BJ332" s="243"/>
      <c r="BK332" s="654"/>
      <c r="BL332" s="654"/>
      <c r="BM332" s="654"/>
      <c r="BN332" s="654"/>
      <c r="BO332" s="243"/>
      <c r="BP332" s="243"/>
      <c r="BQ332" s="243"/>
      <c r="BR332" s="243"/>
      <c r="BS332" s="243"/>
      <c r="BT332" s="243"/>
      <c r="BU332" s="243"/>
      <c r="BV332" s="1051"/>
      <c r="BW332" s="243"/>
      <c r="BX332" s="1051"/>
      <c r="BY332" s="1051"/>
      <c r="BZ332" s="1051"/>
      <c r="CA332" s="243"/>
      <c r="CB332" s="243"/>
      <c r="CC332" s="243"/>
      <c r="CD332" s="243"/>
      <c r="CE332" s="243"/>
      <c r="CF332" s="243"/>
      <c r="CG332" s="1283"/>
    </row>
    <row r="333" spans="1:118" ht="13.2">
      <c r="A333" s="155">
        <v>45237</v>
      </c>
      <c r="B333" s="1051"/>
      <c r="C333" s="1051"/>
      <c r="D333" s="1051"/>
      <c r="E333" s="1271"/>
      <c r="F333" s="243"/>
      <c r="G333" s="243"/>
      <c r="H333" s="243"/>
      <c r="I333" s="243"/>
      <c r="J333" s="243"/>
      <c r="K333" s="1051"/>
      <c r="L333" s="1051"/>
      <c r="M333" s="1051"/>
      <c r="N333" s="243"/>
      <c r="O333" s="367"/>
      <c r="P333" s="367"/>
      <c r="Q333" s="243"/>
      <c r="R333" s="243"/>
      <c r="S333" s="243"/>
      <c r="T333" s="243"/>
      <c r="U333" s="243"/>
      <c r="V333" s="243"/>
      <c r="W333" s="243"/>
      <c r="X333" s="243"/>
      <c r="Y333" s="243"/>
      <c r="Z333" s="1051"/>
      <c r="AA333" s="1051"/>
      <c r="AB333" s="243"/>
      <c r="AC333" s="243"/>
      <c r="AD333" s="243"/>
      <c r="AE333" s="1051"/>
      <c r="AF333" s="1051"/>
      <c r="AG333" s="243"/>
      <c r="AH333" s="243"/>
      <c r="AI333" s="243"/>
      <c r="AJ333" s="243"/>
      <c r="AK333" s="243"/>
      <c r="AL333" s="243"/>
      <c r="AM333" s="243"/>
      <c r="AN333" s="243"/>
      <c r="AO333" s="243"/>
      <c r="AP333" s="243"/>
      <c r="AQ333" s="243"/>
      <c r="AR333" s="243"/>
      <c r="AS333" s="402"/>
      <c r="AT333" s="1051"/>
      <c r="AU333" s="243"/>
      <c r="AV333" s="243"/>
      <c r="AW333" s="243"/>
      <c r="AX333" s="243"/>
      <c r="AY333" s="243"/>
      <c r="AZ333" s="1051"/>
      <c r="BA333" s="1051"/>
      <c r="BB333" s="1051"/>
      <c r="BC333" s="1051"/>
      <c r="BD333" s="1355"/>
      <c r="BE333" s="243"/>
      <c r="BF333" s="243"/>
      <c r="BG333" s="243"/>
      <c r="BH333" s="243"/>
      <c r="BI333" s="1056"/>
      <c r="BJ333" s="243"/>
      <c r="BK333" s="654"/>
      <c r="BL333" s="654"/>
      <c r="BM333" s="654"/>
      <c r="BN333" s="654"/>
      <c r="BO333" s="243"/>
      <c r="BP333" s="243"/>
      <c r="BQ333" s="243"/>
      <c r="BR333" s="243"/>
      <c r="BS333" s="243"/>
      <c r="BT333" s="243"/>
      <c r="BU333" s="243"/>
      <c r="BV333" s="243"/>
      <c r="BW333" s="243"/>
      <c r="BX333" s="1051"/>
      <c r="BY333" s="1051"/>
      <c r="BZ333" s="1051"/>
      <c r="CA333" s="243"/>
      <c r="CB333" s="243"/>
      <c r="CC333" s="243"/>
      <c r="CD333" s="243"/>
      <c r="CE333" s="243"/>
      <c r="CF333" s="243"/>
      <c r="CG333" s="1283"/>
    </row>
    <row r="334" spans="1:118" ht="13.2">
      <c r="A334" s="155">
        <v>45238</v>
      </c>
      <c r="B334" s="1051"/>
      <c r="C334" s="1051"/>
      <c r="D334" s="1051"/>
      <c r="E334" s="1271"/>
      <c r="F334" s="243"/>
      <c r="G334" s="243"/>
      <c r="H334" s="243"/>
      <c r="I334" s="243"/>
      <c r="J334" s="243"/>
      <c r="K334" s="1051"/>
      <c r="L334" s="1051"/>
      <c r="M334" s="1051"/>
      <c r="N334" s="243"/>
      <c r="O334" s="367"/>
      <c r="P334" s="367"/>
      <c r="Q334" s="243"/>
      <c r="R334" s="243"/>
      <c r="S334" s="243"/>
      <c r="T334" s="243"/>
      <c r="U334" s="243"/>
      <c r="V334" s="243"/>
      <c r="W334" s="244"/>
      <c r="X334" s="244"/>
      <c r="Y334" s="243"/>
      <c r="Z334" s="1051"/>
      <c r="AA334" s="1051"/>
      <c r="AB334" s="243"/>
      <c r="AC334" s="243"/>
      <c r="AD334" s="243"/>
      <c r="AE334" s="1051"/>
      <c r="AF334" s="1051"/>
      <c r="AG334" s="243"/>
      <c r="AH334" s="243"/>
      <c r="AI334" s="243"/>
      <c r="AJ334" s="243"/>
      <c r="AK334" s="243"/>
      <c r="AL334" s="243"/>
      <c r="AM334" s="243"/>
      <c r="AN334" s="243"/>
      <c r="AO334" s="243"/>
      <c r="AP334" s="243"/>
      <c r="AQ334" s="243"/>
      <c r="AR334" s="243"/>
      <c r="AS334" s="402"/>
      <c r="AT334" s="1051"/>
      <c r="AU334" s="243"/>
      <c r="AV334" s="243"/>
      <c r="AW334" s="243"/>
      <c r="AX334" s="243"/>
      <c r="AY334" s="243"/>
      <c r="AZ334" s="1051"/>
      <c r="BA334" s="1051"/>
      <c r="BB334" s="1051"/>
      <c r="BC334" s="1051"/>
      <c r="BD334" s="1355"/>
      <c r="BE334" s="243"/>
      <c r="BF334" s="243"/>
      <c r="BG334" s="243"/>
      <c r="BH334" s="243"/>
      <c r="BI334" s="1056"/>
      <c r="BJ334" s="243"/>
      <c r="BK334" s="654"/>
      <c r="BL334" s="654"/>
      <c r="BM334" s="654"/>
      <c r="BN334" s="654"/>
      <c r="BO334" s="243"/>
      <c r="BP334" s="243"/>
      <c r="BQ334" s="243"/>
      <c r="BR334" s="243"/>
      <c r="BS334" s="243"/>
      <c r="BT334" s="243"/>
      <c r="BU334" s="243"/>
      <c r="BV334" s="243"/>
      <c r="BW334" s="243"/>
      <c r="BX334" s="1051"/>
      <c r="BY334" s="1051"/>
      <c r="BZ334" s="1051"/>
      <c r="CA334" s="243"/>
      <c r="CB334" s="243"/>
      <c r="CC334" s="243"/>
      <c r="CD334" s="243"/>
      <c r="CE334" s="243"/>
      <c r="CF334" s="243"/>
      <c r="CG334" s="1283"/>
    </row>
    <row r="335" spans="1:118" ht="13.2">
      <c r="A335" s="155">
        <v>45239</v>
      </c>
      <c r="B335" s="1051"/>
      <c r="C335" s="1051"/>
      <c r="D335" s="1051"/>
      <c r="E335" s="1271"/>
      <c r="F335" s="243"/>
      <c r="G335" s="243"/>
      <c r="H335" s="243"/>
      <c r="I335" s="243"/>
      <c r="J335" s="243"/>
      <c r="K335" s="1051"/>
      <c r="L335" s="1051"/>
      <c r="M335" s="1051"/>
      <c r="N335" s="243"/>
      <c r="O335" s="367"/>
      <c r="P335" s="367"/>
      <c r="Q335" s="243"/>
      <c r="R335" s="243"/>
      <c r="S335" s="243"/>
      <c r="T335" s="243"/>
      <c r="U335" s="243"/>
      <c r="V335" s="243"/>
      <c r="W335" s="243"/>
      <c r="X335" s="243"/>
      <c r="Y335" s="243"/>
      <c r="Z335" s="1051"/>
      <c r="AA335" s="1051"/>
      <c r="AB335" s="243"/>
      <c r="AC335" s="243"/>
      <c r="AD335" s="243"/>
      <c r="AE335" s="1051"/>
      <c r="AF335" s="1051"/>
      <c r="AG335" s="243"/>
      <c r="AH335" s="243"/>
      <c r="AI335" s="243"/>
      <c r="AJ335" s="243"/>
      <c r="AK335" s="243"/>
      <c r="AL335" s="243"/>
      <c r="AM335" s="243"/>
      <c r="AN335" s="243"/>
      <c r="AO335" s="243"/>
      <c r="AP335" s="243"/>
      <c r="AQ335" s="243"/>
      <c r="AR335" s="243"/>
      <c r="AS335" s="402"/>
      <c r="AT335" s="1051"/>
      <c r="AU335" s="243"/>
      <c r="AV335" s="243"/>
      <c r="AW335" s="243"/>
      <c r="AX335" s="243"/>
      <c r="AY335" s="243"/>
      <c r="AZ335" s="1051"/>
      <c r="BA335" s="1051"/>
      <c r="BB335" s="1051"/>
      <c r="BC335" s="1051"/>
      <c r="BD335" s="1355"/>
      <c r="BE335" s="243"/>
      <c r="BF335" s="243"/>
      <c r="BG335" s="243"/>
      <c r="BH335" s="243"/>
      <c r="BI335" s="1056"/>
      <c r="BJ335" s="243"/>
      <c r="BK335" s="654"/>
      <c r="BL335" s="654"/>
      <c r="BM335" s="654"/>
      <c r="BN335" s="654"/>
      <c r="BO335" s="243"/>
      <c r="BP335" s="243"/>
      <c r="BQ335" s="243"/>
      <c r="BR335" s="243"/>
      <c r="BS335" s="243"/>
      <c r="BT335" s="243"/>
      <c r="BU335" s="243"/>
      <c r="BV335" s="243"/>
      <c r="BW335" s="243"/>
      <c r="BX335" s="1051"/>
      <c r="BY335" s="1051"/>
      <c r="BZ335" s="1051"/>
      <c r="CA335" s="243"/>
      <c r="CB335" s="243"/>
      <c r="CC335" s="243"/>
      <c r="CD335" s="243"/>
      <c r="CE335" s="243"/>
      <c r="CF335" s="243"/>
      <c r="CG335" s="1283"/>
    </row>
    <row r="336" spans="1:118" ht="13.2">
      <c r="A336" s="155">
        <v>45240</v>
      </c>
      <c r="B336" s="1051"/>
      <c r="C336" s="1051"/>
      <c r="D336" s="1051"/>
      <c r="E336" s="1271"/>
      <c r="F336" s="243"/>
      <c r="G336" s="243"/>
      <c r="H336" s="243"/>
      <c r="I336" s="243"/>
      <c r="J336" s="243"/>
      <c r="K336" s="1051"/>
      <c r="L336" s="1051"/>
      <c r="M336" s="1051"/>
      <c r="N336" s="243"/>
      <c r="O336" s="367"/>
      <c r="P336" s="367"/>
      <c r="Q336" s="243"/>
      <c r="R336" s="243"/>
      <c r="S336" s="243"/>
      <c r="T336" s="243"/>
      <c r="U336" s="243"/>
      <c r="V336" s="243"/>
      <c r="W336" s="243"/>
      <c r="X336" s="243"/>
      <c r="Y336" s="243"/>
      <c r="Z336" s="1051"/>
      <c r="AA336" s="1051"/>
      <c r="AB336" s="243"/>
      <c r="AC336" s="243"/>
      <c r="AD336" s="243"/>
      <c r="AE336" s="1051"/>
      <c r="AF336" s="1051"/>
      <c r="AG336" s="243"/>
      <c r="AH336" s="243"/>
      <c r="AI336" s="243"/>
      <c r="AJ336" s="243"/>
      <c r="AK336" s="243"/>
      <c r="AL336" s="243"/>
      <c r="AM336" s="243"/>
      <c r="AN336" s="243"/>
      <c r="AO336" s="243"/>
      <c r="AP336" s="243"/>
      <c r="AQ336" s="243"/>
      <c r="AR336" s="243"/>
      <c r="AS336" s="402"/>
      <c r="AT336" s="1051"/>
      <c r="AU336" s="243"/>
      <c r="AV336" s="243"/>
      <c r="AW336" s="243"/>
      <c r="AX336" s="243"/>
      <c r="AY336" s="243"/>
      <c r="AZ336" s="1051"/>
      <c r="BA336" s="1051"/>
      <c r="BB336" s="1051"/>
      <c r="BC336" s="1051"/>
      <c r="BD336" s="1355"/>
      <c r="BE336" s="243"/>
      <c r="BF336" s="243"/>
      <c r="BG336" s="243"/>
      <c r="BH336" s="243"/>
      <c r="BI336" s="1056"/>
      <c r="BJ336" s="243"/>
      <c r="BK336" s="654"/>
      <c r="BL336" s="654"/>
      <c r="BM336" s="654"/>
      <c r="BN336" s="654"/>
      <c r="BO336" s="243"/>
      <c r="BP336" s="243"/>
      <c r="BQ336" s="243"/>
      <c r="BR336" s="243"/>
      <c r="BS336" s="243"/>
      <c r="BT336" s="243"/>
      <c r="BU336" s="243"/>
      <c r="BV336" s="243"/>
      <c r="BW336" s="243"/>
      <c r="BX336" s="1051"/>
      <c r="BY336" s="1051"/>
      <c r="BZ336" s="1051"/>
      <c r="CA336" s="243"/>
      <c r="CB336" s="243"/>
      <c r="CC336" s="243"/>
      <c r="CD336" s="243"/>
      <c r="CE336" s="243"/>
      <c r="CF336" s="243"/>
      <c r="CG336" s="1283"/>
    </row>
    <row r="337" spans="1:85" ht="13.2">
      <c r="A337" s="155">
        <v>45241</v>
      </c>
      <c r="B337" s="1051"/>
      <c r="C337" s="1051"/>
      <c r="D337" s="1051"/>
      <c r="E337" s="1271"/>
      <c r="F337" s="243"/>
      <c r="G337" s="243"/>
      <c r="H337" s="243"/>
      <c r="I337" s="243"/>
      <c r="J337" s="243"/>
      <c r="K337" s="1051"/>
      <c r="L337" s="1051"/>
      <c r="M337" s="1051"/>
      <c r="N337" s="243"/>
      <c r="O337" s="367"/>
      <c r="P337" s="367"/>
      <c r="Q337" s="243"/>
      <c r="R337" s="243"/>
      <c r="S337" s="243"/>
      <c r="T337" s="243"/>
      <c r="U337" s="243"/>
      <c r="V337" s="243"/>
      <c r="W337" s="243"/>
      <c r="X337" s="243"/>
      <c r="Y337" s="243"/>
      <c r="Z337" s="1051"/>
      <c r="AA337" s="1051"/>
      <c r="AB337" s="243"/>
      <c r="AC337" s="243"/>
      <c r="AD337" s="243"/>
      <c r="AE337" s="1051"/>
      <c r="AF337" s="1051"/>
      <c r="AG337" s="243"/>
      <c r="AH337" s="243"/>
      <c r="AI337" s="243"/>
      <c r="AJ337" s="243"/>
      <c r="AK337" s="243"/>
      <c r="AL337" s="243"/>
      <c r="AM337" s="243"/>
      <c r="AN337" s="243"/>
      <c r="AO337" s="243"/>
      <c r="AP337" s="243"/>
      <c r="AQ337" s="243"/>
      <c r="AR337" s="243"/>
      <c r="AS337" s="402"/>
      <c r="AT337" s="1051"/>
      <c r="AU337" s="243"/>
      <c r="AV337" s="243"/>
      <c r="AW337" s="243"/>
      <c r="AX337" s="243"/>
      <c r="AY337" s="243"/>
      <c r="AZ337" s="1051"/>
      <c r="BA337" s="243"/>
      <c r="BB337" s="1051"/>
      <c r="BC337" s="1051"/>
      <c r="BD337" s="1355"/>
      <c r="BE337" s="243"/>
      <c r="BF337" s="243"/>
      <c r="BG337" s="243"/>
      <c r="BH337" s="243"/>
      <c r="BI337" s="1056"/>
      <c r="BJ337" s="243"/>
      <c r="BK337" s="654"/>
      <c r="BL337" s="654"/>
      <c r="BM337" s="654"/>
      <c r="BN337" s="654"/>
      <c r="BO337" s="243"/>
      <c r="BP337" s="243"/>
      <c r="BQ337" s="243"/>
      <c r="BR337" s="243"/>
      <c r="BS337" s="243"/>
      <c r="BT337" s="243"/>
      <c r="BU337" s="243"/>
      <c r="BV337" s="243"/>
      <c r="BW337" s="243"/>
      <c r="BX337" s="1051"/>
      <c r="BY337" s="1051"/>
      <c r="BZ337" s="1051"/>
      <c r="CA337" s="243"/>
      <c r="CB337" s="243"/>
      <c r="CC337" s="243"/>
      <c r="CD337" s="243"/>
      <c r="CE337" s="243"/>
      <c r="CF337" s="243"/>
      <c r="CG337" s="1283"/>
    </row>
    <row r="338" spans="1:85" ht="13.2">
      <c r="A338" s="155">
        <v>45242</v>
      </c>
      <c r="B338" s="1051"/>
      <c r="C338" s="1051"/>
      <c r="D338" s="1051"/>
      <c r="E338" s="1271"/>
      <c r="F338" s="243"/>
      <c r="G338" s="243"/>
      <c r="H338" s="243"/>
      <c r="I338" s="243"/>
      <c r="J338" s="243"/>
      <c r="K338" s="1051"/>
      <c r="L338" s="1051"/>
      <c r="M338" s="1051"/>
      <c r="N338" s="243"/>
      <c r="O338" s="367"/>
      <c r="P338" s="367"/>
      <c r="Q338" s="243"/>
      <c r="R338" s="243"/>
      <c r="S338" s="243"/>
      <c r="T338" s="243"/>
      <c r="U338" s="243"/>
      <c r="V338" s="243"/>
      <c r="W338" s="243"/>
      <c r="X338" s="243"/>
      <c r="Y338" s="243"/>
      <c r="Z338" s="1051"/>
      <c r="AA338" s="1051"/>
      <c r="AB338" s="243"/>
      <c r="AC338" s="243"/>
      <c r="AD338" s="243"/>
      <c r="AE338" s="1051"/>
      <c r="AF338" s="1051"/>
      <c r="AG338" s="243"/>
      <c r="AH338" s="243"/>
      <c r="AI338" s="243"/>
      <c r="AJ338" s="243"/>
      <c r="AK338" s="243"/>
      <c r="AL338" s="243"/>
      <c r="AM338" s="243"/>
      <c r="AN338" s="243"/>
      <c r="AO338" s="243"/>
      <c r="AP338" s="243"/>
      <c r="AQ338" s="243"/>
      <c r="AR338" s="243"/>
      <c r="AS338" s="402"/>
      <c r="AT338" s="1051"/>
      <c r="AU338" s="243"/>
      <c r="AV338" s="243"/>
      <c r="AW338" s="243"/>
      <c r="AX338" s="243"/>
      <c r="AY338" s="243"/>
      <c r="AZ338" s="1051"/>
      <c r="BA338" s="243"/>
      <c r="BB338" s="1051"/>
      <c r="BC338" s="1051"/>
      <c r="BD338" s="1355"/>
      <c r="BE338" s="243"/>
      <c r="BF338" s="243"/>
      <c r="BG338" s="243"/>
      <c r="BH338" s="243"/>
      <c r="BI338" s="1056"/>
      <c r="BJ338" s="243"/>
      <c r="BK338" s="654"/>
      <c r="BL338" s="654"/>
      <c r="BM338" s="654"/>
      <c r="BN338" s="654"/>
      <c r="BO338" s="243"/>
      <c r="BP338" s="243"/>
      <c r="BQ338" s="243"/>
      <c r="BR338" s="243"/>
      <c r="BS338" s="243"/>
      <c r="BT338" s="243"/>
      <c r="BU338" s="243"/>
      <c r="BV338" s="243"/>
      <c r="BW338" s="243"/>
      <c r="BX338" s="1051"/>
      <c r="BY338" s="1051"/>
      <c r="BZ338" s="1051"/>
      <c r="CA338" s="243"/>
      <c r="CB338" s="243"/>
      <c r="CC338" s="243"/>
      <c r="CD338" s="243"/>
      <c r="CE338" s="243"/>
      <c r="CF338" s="243"/>
      <c r="CG338" s="1283"/>
    </row>
    <row r="339" spans="1:85" ht="13.2">
      <c r="A339" s="155">
        <v>45243</v>
      </c>
      <c r="B339" s="1051"/>
      <c r="C339" s="1051"/>
      <c r="D339" s="1051"/>
      <c r="E339" s="1271"/>
      <c r="F339" s="243"/>
      <c r="G339" s="243"/>
      <c r="H339" s="243"/>
      <c r="I339" s="243"/>
      <c r="J339" s="243"/>
      <c r="K339" s="243"/>
      <c r="L339" s="243"/>
      <c r="M339" s="1051"/>
      <c r="N339" s="243"/>
      <c r="O339" s="243"/>
      <c r="P339" s="243"/>
      <c r="Q339" s="243"/>
      <c r="R339" s="243"/>
      <c r="S339" s="243"/>
      <c r="T339" s="243"/>
      <c r="U339" s="243"/>
      <c r="V339" s="243"/>
      <c r="W339" s="243"/>
      <c r="X339" s="243"/>
      <c r="Y339" s="243"/>
      <c r="Z339" s="1051"/>
      <c r="AA339" s="1051"/>
      <c r="AB339" s="243"/>
      <c r="AC339" s="243"/>
      <c r="AD339" s="243"/>
      <c r="AE339" s="1051"/>
      <c r="AF339" s="1051"/>
      <c r="AG339" s="243"/>
      <c r="AH339" s="243"/>
      <c r="AI339" s="243"/>
      <c r="AJ339" s="243"/>
      <c r="AK339" s="243"/>
      <c r="AL339" s="243"/>
      <c r="AM339" s="243"/>
      <c r="AN339" s="243"/>
      <c r="AO339" s="243"/>
      <c r="AP339" s="243"/>
      <c r="AQ339" s="243"/>
      <c r="AR339" s="243"/>
      <c r="AS339" s="243"/>
      <c r="AT339" s="243"/>
      <c r="AU339" s="243"/>
      <c r="AV339" s="243"/>
      <c r="AW339" s="243"/>
      <c r="AX339" s="243"/>
      <c r="AY339" s="243"/>
      <c r="AZ339" s="1051"/>
      <c r="BA339" s="243"/>
      <c r="BB339" s="1051"/>
      <c r="BC339" s="1051"/>
      <c r="BD339" s="1355"/>
      <c r="BE339" s="243"/>
      <c r="BF339" s="243"/>
      <c r="BG339" s="243"/>
      <c r="BH339" s="243"/>
      <c r="BI339" s="367"/>
      <c r="BJ339" s="243"/>
      <c r="BK339" s="243"/>
      <c r="BL339" s="243"/>
      <c r="BM339" s="654"/>
      <c r="BN339" s="654"/>
      <c r="BO339" s="243"/>
      <c r="BP339" s="243"/>
      <c r="BQ339" s="243"/>
      <c r="BR339" s="243"/>
      <c r="BS339" s="243"/>
      <c r="BT339" s="243"/>
      <c r="BU339" s="243"/>
      <c r="BV339" s="243"/>
      <c r="BW339" s="243"/>
      <c r="BX339" s="243"/>
      <c r="BY339" s="243"/>
      <c r="BZ339" s="243"/>
      <c r="CA339" s="243"/>
      <c r="CB339" s="243"/>
      <c r="CC339" s="243"/>
      <c r="CD339" s="243"/>
      <c r="CE339" s="243"/>
      <c r="CF339" s="243"/>
      <c r="CG339" s="1283"/>
    </row>
    <row r="340" spans="1:85" ht="13.2">
      <c r="A340" s="155">
        <v>45244</v>
      </c>
      <c r="B340" s="243"/>
      <c r="C340" s="243"/>
      <c r="D340" s="243"/>
      <c r="E340" s="1271"/>
      <c r="F340" s="243"/>
      <c r="G340" s="243"/>
      <c r="H340" s="243"/>
      <c r="I340" s="243"/>
      <c r="J340" s="243"/>
      <c r="K340" s="243"/>
      <c r="L340" s="243"/>
      <c r="M340" s="243"/>
      <c r="N340" s="243"/>
      <c r="O340" s="243"/>
      <c r="P340" s="243"/>
      <c r="Q340" s="243"/>
      <c r="R340" s="243"/>
      <c r="S340" s="243"/>
      <c r="T340" s="243"/>
      <c r="U340" s="243"/>
      <c r="V340" s="243"/>
      <c r="W340" s="243"/>
      <c r="X340" s="243"/>
      <c r="Y340" s="243"/>
      <c r="Z340" s="1051"/>
      <c r="AA340" s="1051"/>
      <c r="AB340" s="243"/>
      <c r="AC340" s="243"/>
      <c r="AD340" s="243"/>
      <c r="AE340" s="1051"/>
      <c r="AF340" s="1051"/>
      <c r="AG340" s="243"/>
      <c r="AH340" s="243"/>
      <c r="AI340" s="243"/>
      <c r="AJ340" s="243"/>
      <c r="AK340" s="243"/>
      <c r="AL340" s="243"/>
      <c r="AM340" s="243"/>
      <c r="AN340" s="243"/>
      <c r="AO340" s="243"/>
      <c r="AP340" s="243"/>
      <c r="AQ340" s="243"/>
      <c r="AR340" s="243"/>
      <c r="AS340" s="243"/>
      <c r="AT340" s="243"/>
      <c r="AU340" s="243"/>
      <c r="AV340" s="243"/>
      <c r="AW340" s="243"/>
      <c r="AX340" s="243"/>
      <c r="AY340" s="243"/>
      <c r="AZ340" s="1051"/>
      <c r="BA340" s="243"/>
      <c r="BB340" s="243"/>
      <c r="BC340" s="243"/>
      <c r="BD340" s="367"/>
      <c r="BE340" s="243"/>
      <c r="BF340" s="243"/>
      <c r="BG340" s="243"/>
      <c r="BH340" s="243"/>
      <c r="BI340" s="367"/>
      <c r="BJ340" s="243"/>
      <c r="BK340" s="243"/>
      <c r="BL340" s="243"/>
      <c r="BM340" s="654"/>
      <c r="BN340" s="654"/>
      <c r="BO340" s="243"/>
      <c r="BP340" s="243"/>
      <c r="BQ340" s="243"/>
      <c r="BR340" s="243"/>
      <c r="BS340" s="243"/>
      <c r="BT340" s="243"/>
      <c r="BU340" s="243"/>
      <c r="BV340" s="243"/>
      <c r="BW340" s="243"/>
      <c r="BX340" s="243"/>
      <c r="BY340" s="243"/>
      <c r="BZ340" s="243"/>
      <c r="CA340" s="243"/>
      <c r="CB340" s="243"/>
      <c r="CC340" s="243"/>
      <c r="CD340" s="243"/>
      <c r="CE340" s="243"/>
      <c r="CF340" s="243"/>
      <c r="CG340" s="1283"/>
    </row>
    <row r="341" spans="1:85" ht="13.2">
      <c r="A341" s="155">
        <v>45245</v>
      </c>
      <c r="B341" s="243"/>
      <c r="C341" s="243"/>
      <c r="D341" s="243"/>
      <c r="E341" s="1271"/>
      <c r="F341" s="243"/>
      <c r="G341" s="243"/>
      <c r="H341" s="243"/>
      <c r="I341" s="243"/>
      <c r="J341" s="243"/>
      <c r="K341" s="1051"/>
      <c r="L341" s="1051"/>
      <c r="M341" s="243"/>
      <c r="N341" s="243"/>
      <c r="O341" s="243"/>
      <c r="P341" s="243"/>
      <c r="Q341" s="243"/>
      <c r="R341" s="243"/>
      <c r="S341" s="243"/>
      <c r="T341" s="243"/>
      <c r="U341" s="243"/>
      <c r="V341" s="243"/>
      <c r="W341" s="243"/>
      <c r="X341" s="243"/>
      <c r="Y341" s="243"/>
      <c r="Z341" s="1051"/>
      <c r="AA341" s="1051"/>
      <c r="AB341" s="243"/>
      <c r="AC341" s="243"/>
      <c r="AD341" s="243"/>
      <c r="AE341" s="1051"/>
      <c r="AF341" s="1051"/>
      <c r="AG341" s="243"/>
      <c r="AH341" s="243"/>
      <c r="AI341" s="243"/>
      <c r="AJ341" s="243"/>
      <c r="AK341" s="243"/>
      <c r="AL341" s="243"/>
      <c r="AM341" s="243"/>
      <c r="AN341" s="243"/>
      <c r="AO341" s="243"/>
      <c r="AP341" s="243"/>
      <c r="AQ341" s="243"/>
      <c r="AR341" s="243"/>
      <c r="AS341" s="402"/>
      <c r="AT341" s="1051"/>
      <c r="AU341" s="243"/>
      <c r="AV341" s="243"/>
      <c r="AW341" s="243"/>
      <c r="AX341" s="243"/>
      <c r="AY341" s="243"/>
      <c r="AZ341" s="1051"/>
      <c r="BA341" s="243"/>
      <c r="BB341" s="243"/>
      <c r="BC341" s="243"/>
      <c r="BD341" s="367"/>
      <c r="BE341" s="243"/>
      <c r="BF341" s="243"/>
      <c r="BG341" s="243"/>
      <c r="BH341" s="243"/>
      <c r="BI341" s="1056"/>
      <c r="BJ341" s="243"/>
      <c r="BK341" s="243"/>
      <c r="BL341" s="654"/>
      <c r="BM341" s="654"/>
      <c r="BN341" s="654"/>
      <c r="BO341" s="243"/>
      <c r="BP341" s="243"/>
      <c r="BQ341" s="243"/>
      <c r="BR341" s="243"/>
      <c r="BS341" s="243"/>
      <c r="BT341" s="243"/>
      <c r="BU341" s="243"/>
      <c r="BV341" s="243"/>
      <c r="BW341" s="243"/>
      <c r="BX341" s="1051"/>
      <c r="BY341" s="1051"/>
      <c r="BZ341" s="1051"/>
      <c r="CA341" s="243"/>
      <c r="CB341" s="243"/>
      <c r="CC341" s="243"/>
      <c r="CD341" s="243"/>
      <c r="CE341" s="243"/>
      <c r="CF341" s="243"/>
      <c r="CG341" s="1283"/>
    </row>
    <row r="342" spans="1:85" ht="13.2">
      <c r="A342" s="155">
        <v>45246</v>
      </c>
      <c r="B342" s="243"/>
      <c r="C342" s="243"/>
      <c r="D342" s="243"/>
      <c r="E342" s="1271"/>
      <c r="F342" s="243"/>
      <c r="G342" s="243"/>
      <c r="H342" s="243"/>
      <c r="I342" s="243"/>
      <c r="J342" s="243"/>
      <c r="K342" s="1051"/>
      <c r="L342" s="1051"/>
      <c r="M342" s="243"/>
      <c r="N342" s="243"/>
      <c r="O342" s="243"/>
      <c r="P342" s="243"/>
      <c r="Q342" s="243"/>
      <c r="S342" s="243"/>
      <c r="T342" s="243"/>
      <c r="U342" s="243"/>
      <c r="V342" s="243"/>
      <c r="W342" s="243"/>
      <c r="X342" s="243"/>
      <c r="Y342" s="243"/>
      <c r="Z342" s="1051"/>
      <c r="AA342" s="1051"/>
      <c r="AB342" s="243"/>
      <c r="AC342" s="243"/>
      <c r="AD342" s="243"/>
      <c r="AE342" s="1051"/>
      <c r="AF342" s="1051"/>
      <c r="AG342" s="243"/>
      <c r="AH342" s="243"/>
      <c r="AI342" s="243"/>
      <c r="AJ342" s="243"/>
      <c r="AK342" s="243"/>
      <c r="AL342" s="243"/>
      <c r="AM342" s="243"/>
      <c r="AN342" s="243"/>
      <c r="AO342" s="243"/>
      <c r="AP342" s="243"/>
      <c r="AQ342" s="243"/>
      <c r="AR342" s="243"/>
      <c r="AS342" s="402"/>
      <c r="AT342" s="1051"/>
      <c r="AU342" s="243"/>
      <c r="AV342" s="243"/>
      <c r="AW342" s="243"/>
      <c r="AX342" s="243"/>
      <c r="AY342" s="243"/>
      <c r="AZ342" s="1051"/>
      <c r="BA342" s="243"/>
      <c r="BB342" s="243"/>
      <c r="BC342" s="243"/>
      <c r="BD342" s="367"/>
      <c r="BE342" s="243"/>
      <c r="BF342" s="243"/>
      <c r="BG342" s="243"/>
      <c r="BH342" s="981"/>
      <c r="BI342" s="1056"/>
      <c r="BJ342" s="243"/>
      <c r="BK342" s="243"/>
      <c r="BL342" s="654"/>
      <c r="BM342" s="654"/>
      <c r="BN342" s="654"/>
      <c r="BO342" s="243"/>
      <c r="BP342" s="243"/>
      <c r="BQ342" s="243"/>
      <c r="BR342" s="243"/>
      <c r="BS342" s="243"/>
      <c r="BT342" s="243"/>
      <c r="BU342" s="243"/>
      <c r="BV342" s="243"/>
      <c r="BW342" s="243"/>
      <c r="BX342" s="243"/>
      <c r="BY342" s="1051"/>
      <c r="BZ342" s="243"/>
      <c r="CA342" s="243"/>
      <c r="CB342" s="243"/>
      <c r="CC342" s="243"/>
      <c r="CD342" s="243"/>
      <c r="CE342" s="243"/>
      <c r="CF342" s="243"/>
      <c r="CG342" s="1283"/>
    </row>
    <row r="343" spans="1:85" ht="13.2">
      <c r="A343" s="155">
        <v>45247</v>
      </c>
      <c r="B343" s="243"/>
      <c r="C343" s="243"/>
      <c r="D343" s="243"/>
      <c r="E343" s="1271"/>
      <c r="F343" s="243"/>
      <c r="G343" s="243"/>
      <c r="H343" s="243"/>
      <c r="I343" s="243"/>
      <c r="J343" s="243"/>
      <c r="K343" s="1051"/>
      <c r="L343" s="1051"/>
      <c r="M343" s="243"/>
      <c r="N343" s="243"/>
      <c r="O343" s="243"/>
      <c r="P343" s="243"/>
      <c r="Q343" s="243"/>
      <c r="R343" s="243"/>
      <c r="S343" s="243"/>
      <c r="T343" s="243"/>
      <c r="U343" s="243"/>
      <c r="V343" s="243"/>
      <c r="W343" s="243"/>
      <c r="X343" s="243"/>
      <c r="Y343" s="243"/>
      <c r="Z343" s="1051"/>
      <c r="AA343" s="1051"/>
      <c r="AB343" s="243"/>
      <c r="AC343" s="243"/>
      <c r="AD343" s="243"/>
      <c r="AE343" s="1051"/>
      <c r="AF343" s="1051"/>
      <c r="AG343" s="243"/>
      <c r="AH343" s="243"/>
      <c r="AI343" s="243"/>
      <c r="AJ343" s="243"/>
      <c r="AK343" s="243"/>
      <c r="AL343" s="243"/>
      <c r="AM343" s="243"/>
      <c r="AN343" s="243"/>
      <c r="AO343" s="243"/>
      <c r="AP343" s="243"/>
      <c r="AQ343" s="243"/>
      <c r="AR343" s="243"/>
      <c r="AS343" s="402"/>
      <c r="AT343" s="1051"/>
      <c r="AU343" s="243"/>
      <c r="AV343" s="243"/>
      <c r="AW343" s="243"/>
      <c r="AX343" s="243"/>
      <c r="AY343" s="243"/>
      <c r="AZ343" s="1051"/>
      <c r="BA343" s="243"/>
      <c r="BB343" s="243"/>
      <c r="BC343" s="243"/>
      <c r="BD343" s="367"/>
      <c r="BE343" s="243"/>
      <c r="BF343" s="243"/>
      <c r="BG343" s="243"/>
      <c r="BH343" s="243"/>
      <c r="BI343" s="1056"/>
      <c r="BJ343" s="243"/>
      <c r="BK343" s="243"/>
      <c r="BL343" s="654"/>
      <c r="BM343" s="654"/>
      <c r="BN343" s="654"/>
      <c r="BO343" s="243"/>
      <c r="BP343" s="243"/>
      <c r="BQ343" s="243"/>
      <c r="BR343" s="243"/>
      <c r="BS343" s="243"/>
      <c r="BT343" s="243"/>
      <c r="BU343" s="243"/>
      <c r="BV343" s="243"/>
      <c r="BW343" s="243"/>
      <c r="BX343" s="243"/>
      <c r="BY343" s="243"/>
      <c r="BZ343" s="243"/>
      <c r="CA343" s="243"/>
      <c r="CB343" s="243"/>
      <c r="CC343" s="243"/>
      <c r="CD343" s="243"/>
      <c r="CE343" s="243"/>
      <c r="CF343" s="243"/>
      <c r="CG343" s="1283"/>
    </row>
    <row r="344" spans="1:85" ht="13.2">
      <c r="A344" s="155">
        <v>45248</v>
      </c>
      <c r="B344" s="243"/>
      <c r="C344" s="243"/>
      <c r="D344" s="243"/>
      <c r="E344" s="1271"/>
      <c r="F344" s="243"/>
      <c r="G344" s="243"/>
      <c r="H344" s="243"/>
      <c r="I344" s="243"/>
      <c r="J344" s="243"/>
      <c r="K344" s="1051"/>
      <c r="L344" s="1051"/>
      <c r="M344" s="243"/>
      <c r="N344" s="243"/>
      <c r="O344" s="243"/>
      <c r="P344" s="243"/>
      <c r="Q344" s="243"/>
      <c r="R344" s="243"/>
      <c r="S344" s="243"/>
      <c r="T344" s="243"/>
      <c r="U344" s="243"/>
      <c r="V344" s="243"/>
      <c r="W344" s="243"/>
      <c r="X344" s="243"/>
      <c r="Y344" s="243"/>
      <c r="Z344" s="1051"/>
      <c r="AA344" s="1051"/>
      <c r="AB344" s="243"/>
      <c r="AC344" s="243"/>
      <c r="AD344" s="243"/>
      <c r="AE344" s="1051"/>
      <c r="AF344" s="1051"/>
      <c r="AG344" s="243"/>
      <c r="AH344" s="243"/>
      <c r="AI344" s="243"/>
      <c r="AJ344" s="243"/>
      <c r="AK344" s="243"/>
      <c r="AL344" s="243"/>
      <c r="AM344" s="243"/>
      <c r="AN344" s="243"/>
      <c r="AO344" s="243"/>
      <c r="AP344" s="243"/>
      <c r="AQ344" s="243"/>
      <c r="AR344" s="243"/>
      <c r="AS344" s="402"/>
      <c r="AT344" s="1051"/>
      <c r="AU344" s="243"/>
      <c r="AV344" s="243"/>
      <c r="AW344" s="243"/>
      <c r="AX344" s="243"/>
      <c r="AY344" s="243"/>
      <c r="AZ344" s="1051"/>
      <c r="BA344" s="243"/>
      <c r="BB344" s="243"/>
      <c r="BC344" s="694"/>
      <c r="BD344" s="367"/>
      <c r="BE344" s="243"/>
      <c r="BF344" s="243"/>
      <c r="BG344" s="243"/>
      <c r="BH344" s="243"/>
      <c r="BI344" s="367"/>
      <c r="BJ344" s="243"/>
      <c r="BK344" s="243"/>
      <c r="BL344" s="654"/>
      <c r="BM344" s="654"/>
      <c r="BN344" s="654"/>
      <c r="BO344" s="243"/>
      <c r="BP344" s="243"/>
      <c r="BQ344" s="243"/>
      <c r="BR344" s="243"/>
      <c r="BS344" s="243"/>
      <c r="BT344" s="243"/>
      <c r="BU344" s="243"/>
      <c r="BV344" s="243"/>
      <c r="BW344" s="243"/>
      <c r="BX344" s="243"/>
      <c r="BY344" s="243"/>
      <c r="BZ344" s="243"/>
      <c r="CA344" s="243"/>
      <c r="CB344" s="243"/>
      <c r="CC344" s="243"/>
      <c r="CD344" s="243"/>
      <c r="CE344" s="243"/>
      <c r="CF344" s="243"/>
      <c r="CG344" s="1283"/>
    </row>
    <row r="345" spans="1:85" ht="13.2">
      <c r="A345" s="155">
        <v>45249</v>
      </c>
      <c r="B345" s="243"/>
      <c r="C345" s="243"/>
      <c r="D345" s="243"/>
      <c r="E345" s="1271"/>
      <c r="F345" s="243"/>
      <c r="G345" s="243"/>
      <c r="H345" s="243"/>
      <c r="I345" s="243"/>
      <c r="J345" s="243"/>
      <c r="K345" s="1051"/>
      <c r="L345" s="1051"/>
      <c r="M345" s="243"/>
      <c r="N345" s="243"/>
      <c r="O345" s="243"/>
      <c r="P345" s="243"/>
      <c r="Q345" s="243"/>
      <c r="R345" s="243"/>
      <c r="S345" s="243"/>
      <c r="T345" s="243"/>
      <c r="U345" s="243"/>
      <c r="V345" s="243"/>
      <c r="W345" s="243"/>
      <c r="X345" s="243"/>
      <c r="Y345" s="243"/>
      <c r="Z345" s="1051"/>
      <c r="AA345" s="1051"/>
      <c r="AB345" s="243"/>
      <c r="AC345" s="243"/>
      <c r="AD345" s="243"/>
      <c r="AE345" s="1051"/>
      <c r="AF345" s="1051"/>
      <c r="AG345" s="243"/>
      <c r="AH345" s="243"/>
      <c r="AI345" s="243"/>
      <c r="AJ345" s="243"/>
      <c r="AK345" s="243"/>
      <c r="AL345" s="243"/>
      <c r="AM345" s="243"/>
      <c r="AN345" s="243"/>
      <c r="AO345" s="243"/>
      <c r="AP345" s="243"/>
      <c r="AQ345" s="243"/>
      <c r="AR345" s="243"/>
      <c r="AS345" s="402"/>
      <c r="AT345" s="1051"/>
      <c r="AU345" s="243"/>
      <c r="AV345" s="243"/>
      <c r="AW345" s="243"/>
      <c r="AX345" s="243"/>
      <c r="AY345" s="243"/>
      <c r="AZ345" s="656"/>
      <c r="BA345" s="656"/>
      <c r="BB345" s="243"/>
      <c r="BC345" s="694"/>
      <c r="BD345" s="367"/>
      <c r="BE345" s="243"/>
      <c r="BF345" s="243"/>
      <c r="BG345" s="243"/>
      <c r="BH345" s="243"/>
      <c r="BI345" s="981"/>
      <c r="BJ345" s="243"/>
      <c r="BK345" s="243"/>
      <c r="BL345" s="654"/>
      <c r="BM345" s="654"/>
      <c r="BN345" s="654"/>
      <c r="BO345" s="243"/>
      <c r="BP345" s="243"/>
      <c r="BQ345" s="243"/>
      <c r="BR345" s="243"/>
      <c r="BS345" s="243"/>
      <c r="BT345" s="243"/>
      <c r="BU345" s="243"/>
      <c r="BV345" s="243"/>
      <c r="BW345" s="243"/>
      <c r="BX345" s="243"/>
      <c r="BY345" s="243"/>
      <c r="BZ345" s="243"/>
      <c r="CA345" s="243"/>
      <c r="CB345" s="243"/>
      <c r="CC345" s="243"/>
      <c r="CD345" s="243"/>
      <c r="CE345" s="243"/>
      <c r="CF345" s="243"/>
      <c r="CG345" s="1283"/>
    </row>
    <row r="346" spans="1:85" ht="13.2">
      <c r="A346" s="155">
        <v>45250</v>
      </c>
      <c r="B346" s="243"/>
      <c r="C346" s="243"/>
      <c r="D346" s="243"/>
      <c r="E346" s="1271"/>
      <c r="F346" s="243"/>
      <c r="G346" s="243"/>
      <c r="H346" s="243"/>
      <c r="I346" s="243"/>
      <c r="J346" s="243"/>
      <c r="K346" s="1051"/>
      <c r="L346" s="1051"/>
      <c r="M346" s="243"/>
      <c r="N346" s="243"/>
      <c r="O346" s="243"/>
      <c r="P346" s="243"/>
      <c r="Q346" s="243"/>
      <c r="R346" s="243"/>
      <c r="S346" s="243"/>
      <c r="T346" s="243"/>
      <c r="U346" s="243"/>
      <c r="V346" s="243"/>
      <c r="W346" s="243"/>
      <c r="X346" s="243"/>
      <c r="Y346" s="243"/>
      <c r="Z346" s="1051"/>
      <c r="AA346" s="1051"/>
      <c r="AB346" s="243"/>
      <c r="AC346" s="243"/>
      <c r="AD346" s="243"/>
      <c r="AE346" s="1051"/>
      <c r="AF346" s="1051"/>
      <c r="AG346" s="243"/>
      <c r="AH346" s="243"/>
      <c r="AI346" s="243"/>
      <c r="AJ346" s="243"/>
      <c r="AK346" s="243"/>
      <c r="AL346" s="243"/>
      <c r="AM346" s="243"/>
      <c r="AN346" s="243"/>
      <c r="AO346" s="243"/>
      <c r="AP346" s="243"/>
      <c r="AQ346" s="243"/>
      <c r="AR346" s="243"/>
      <c r="AS346" s="243"/>
      <c r="AT346" s="1051"/>
      <c r="AU346" s="243"/>
      <c r="AV346" s="243"/>
      <c r="AW346" s="243"/>
      <c r="AX346" s="243"/>
      <c r="AY346" s="243"/>
      <c r="AZ346" s="656"/>
      <c r="BA346" s="656"/>
      <c r="BB346" s="243"/>
      <c r="BC346" s="694"/>
      <c r="BD346" s="367"/>
      <c r="BE346" s="243"/>
      <c r="BF346" s="243"/>
      <c r="BG346" s="243"/>
      <c r="BH346" s="243"/>
      <c r="BI346" s="243"/>
      <c r="BJ346" s="243"/>
      <c r="BK346" s="243"/>
      <c r="BL346" s="243"/>
      <c r="BM346" s="654"/>
      <c r="BN346" s="654"/>
      <c r="BO346" s="243"/>
      <c r="BP346" s="243"/>
      <c r="BQ346" s="243"/>
      <c r="BR346" s="243"/>
      <c r="BS346" s="243"/>
      <c r="BT346" s="243"/>
      <c r="BU346" s="243"/>
      <c r="BV346" s="243"/>
      <c r="BW346" s="243"/>
      <c r="BX346" s="243"/>
      <c r="BY346" s="243"/>
      <c r="BZ346" s="243"/>
      <c r="CA346" s="243"/>
      <c r="CB346" s="243"/>
      <c r="CC346" s="243"/>
      <c r="CD346" s="243"/>
      <c r="CE346" s="243"/>
      <c r="CF346" s="243"/>
      <c r="CG346" s="1283"/>
    </row>
    <row r="347" spans="1:85" ht="13.2">
      <c r="A347" s="155">
        <v>45251</v>
      </c>
      <c r="B347" s="243"/>
      <c r="C347" s="243"/>
      <c r="D347" s="243"/>
      <c r="E347" s="1271"/>
      <c r="F347" s="243"/>
      <c r="G347" s="243"/>
      <c r="H347" s="243"/>
      <c r="I347" s="243"/>
      <c r="J347" s="243"/>
      <c r="K347" s="243"/>
      <c r="L347" s="243"/>
      <c r="M347" s="243"/>
      <c r="N347" s="243"/>
      <c r="O347" s="243"/>
      <c r="P347" s="243"/>
      <c r="Q347" s="243"/>
      <c r="R347" s="243"/>
      <c r="S347" s="243"/>
      <c r="T347" s="243"/>
      <c r="U347" s="243"/>
      <c r="V347" s="243"/>
      <c r="W347" s="243"/>
      <c r="X347" s="243"/>
      <c r="Y347" s="243"/>
      <c r="Z347" s="1051"/>
      <c r="AA347" s="1051"/>
      <c r="AB347" s="243"/>
      <c r="AC347" s="243"/>
      <c r="AD347" s="243"/>
      <c r="AE347" s="1051"/>
      <c r="AF347" s="1051"/>
      <c r="AG347" s="243"/>
      <c r="AH347" s="243"/>
      <c r="AI347" s="243"/>
      <c r="AJ347" s="243"/>
      <c r="AK347" s="243"/>
      <c r="AL347" s="243"/>
      <c r="AM347" s="243"/>
      <c r="AN347" s="243"/>
      <c r="AO347" s="243"/>
      <c r="AP347" s="243"/>
      <c r="AQ347" s="243"/>
      <c r="AR347" s="243"/>
      <c r="AS347" s="243"/>
      <c r="AT347" s="243"/>
      <c r="AU347" s="243"/>
      <c r="AV347" s="243"/>
      <c r="AW347" s="243"/>
      <c r="AX347" s="243"/>
      <c r="AY347" s="243"/>
      <c r="AZ347" s="656"/>
      <c r="BA347" s="656"/>
      <c r="BB347" s="243"/>
      <c r="BC347" s="243"/>
      <c r="BD347" s="367"/>
      <c r="BE347" s="243"/>
      <c r="BF347" s="243"/>
      <c r="BG347" s="243"/>
      <c r="BH347" s="243"/>
      <c r="BI347" s="243"/>
      <c r="BJ347" s="243"/>
      <c r="BK347" s="243"/>
      <c r="BL347" s="654"/>
      <c r="BM347" s="243"/>
      <c r="BN347" s="243"/>
      <c r="BO347" s="243"/>
      <c r="BP347" s="243"/>
      <c r="BQ347" s="243"/>
      <c r="BR347" s="243"/>
      <c r="BS347" s="243"/>
      <c r="BT347" s="243"/>
      <c r="BU347" s="243"/>
      <c r="BV347" s="243"/>
      <c r="BW347" s="243"/>
      <c r="BX347" s="243"/>
      <c r="BY347" s="243"/>
      <c r="BZ347" s="243"/>
      <c r="CA347" s="243"/>
      <c r="CB347" s="243"/>
      <c r="CC347" s="243"/>
      <c r="CD347" s="243"/>
      <c r="CE347" s="243"/>
      <c r="CF347" s="243"/>
      <c r="CG347" s="1283"/>
    </row>
    <row r="348" spans="1:85" ht="13.2">
      <c r="A348" s="155">
        <v>45252</v>
      </c>
      <c r="B348" s="243"/>
      <c r="C348" s="243"/>
      <c r="D348" s="243"/>
      <c r="E348" s="1271"/>
      <c r="F348" s="243"/>
      <c r="G348" s="243"/>
      <c r="H348" s="243"/>
      <c r="I348" s="243"/>
      <c r="J348" s="243"/>
      <c r="K348" s="243"/>
      <c r="L348" s="243"/>
      <c r="M348" s="243"/>
      <c r="N348" s="243"/>
      <c r="O348" s="243"/>
      <c r="P348" s="243"/>
      <c r="Q348" s="243"/>
      <c r="R348" s="243"/>
      <c r="S348" s="243"/>
      <c r="T348" s="243"/>
      <c r="U348" s="243"/>
      <c r="V348" s="243"/>
      <c r="W348" s="243"/>
      <c r="X348" s="243"/>
      <c r="Y348" s="243"/>
      <c r="Z348" s="1051"/>
      <c r="AA348" s="1051"/>
      <c r="AB348" s="243"/>
      <c r="AC348" s="243"/>
      <c r="AD348" s="243"/>
      <c r="AE348" s="1051"/>
      <c r="AF348" s="1051"/>
      <c r="AG348" s="243"/>
      <c r="AH348" s="243"/>
      <c r="AI348" s="243"/>
      <c r="AJ348" s="243"/>
      <c r="AK348" s="243"/>
      <c r="AL348" s="243"/>
      <c r="AM348" s="243"/>
      <c r="AN348" s="243"/>
      <c r="AO348" s="243"/>
      <c r="AP348" s="243"/>
      <c r="AQ348" s="243"/>
      <c r="AR348" s="243"/>
      <c r="AS348" s="243"/>
      <c r="AT348" s="243"/>
      <c r="AU348" s="243"/>
      <c r="AV348" s="243"/>
      <c r="AW348" s="243"/>
      <c r="AX348" s="243"/>
      <c r="AY348" s="243"/>
      <c r="AZ348" s="243"/>
      <c r="BA348" s="243"/>
      <c r="BB348" s="243"/>
      <c r="BC348" s="243"/>
      <c r="BD348" s="367"/>
      <c r="BE348" s="243"/>
      <c r="BF348" s="243"/>
      <c r="BG348" s="243"/>
      <c r="BH348" s="243"/>
      <c r="BI348" s="243"/>
      <c r="BJ348" s="243"/>
      <c r="BK348" s="243"/>
      <c r="BL348" s="654"/>
      <c r="BM348" s="243"/>
      <c r="BN348" s="243"/>
      <c r="BO348" s="243"/>
      <c r="BP348" s="243"/>
      <c r="BQ348" s="243"/>
      <c r="BR348" s="243"/>
      <c r="BS348" s="243"/>
      <c r="BT348" s="243"/>
      <c r="BU348" s="243"/>
      <c r="BV348" s="243"/>
      <c r="BW348" s="243"/>
      <c r="BX348" s="243"/>
      <c r="BY348" s="243"/>
      <c r="BZ348" s="243"/>
      <c r="CA348" s="243"/>
      <c r="CB348" s="243"/>
      <c r="CC348" s="243"/>
      <c r="CD348" s="243"/>
      <c r="CE348" s="243"/>
      <c r="CF348" s="243"/>
      <c r="CG348" s="1283"/>
    </row>
    <row r="349" spans="1:85" ht="13.2">
      <c r="A349" s="155">
        <v>45253</v>
      </c>
      <c r="B349" s="243"/>
      <c r="C349" s="243"/>
      <c r="D349" s="243"/>
      <c r="E349" s="1271"/>
      <c r="F349" s="243"/>
      <c r="G349" s="243"/>
      <c r="H349" s="243"/>
      <c r="I349" s="243"/>
      <c r="J349" s="243"/>
      <c r="K349" s="243"/>
      <c r="L349" s="243"/>
      <c r="M349" s="243"/>
      <c r="N349" s="243"/>
      <c r="O349" s="243"/>
      <c r="P349" s="243"/>
      <c r="Q349" s="243"/>
      <c r="R349" s="243"/>
      <c r="S349" s="243"/>
      <c r="T349" s="243"/>
      <c r="U349" s="243"/>
      <c r="V349" s="243"/>
      <c r="W349" s="243"/>
      <c r="X349" s="243"/>
      <c r="Y349" s="243"/>
      <c r="Z349" s="1051"/>
      <c r="AA349" s="1051"/>
      <c r="AB349" s="243"/>
      <c r="AC349" s="243"/>
      <c r="AD349" s="243"/>
      <c r="AE349" s="1051"/>
      <c r="AF349" s="1051"/>
      <c r="AG349" s="243"/>
      <c r="AH349" s="243"/>
      <c r="AI349" s="243"/>
      <c r="AJ349" s="243"/>
      <c r="AK349" s="243"/>
      <c r="AL349" s="243"/>
      <c r="AM349" s="243"/>
      <c r="AN349" s="243"/>
      <c r="AO349" s="243"/>
      <c r="AP349" s="243"/>
      <c r="AQ349" s="243"/>
      <c r="AR349" s="243"/>
      <c r="AS349" s="243"/>
      <c r="AT349" s="243"/>
      <c r="AU349" s="243"/>
      <c r="AV349" s="243"/>
      <c r="AW349" s="243"/>
      <c r="AX349" s="243"/>
      <c r="AY349" s="243"/>
      <c r="AZ349" s="243"/>
      <c r="BA349" s="243"/>
      <c r="BB349" s="243"/>
      <c r="BC349" s="243"/>
      <c r="BD349" s="367"/>
      <c r="BE349" s="243"/>
      <c r="BF349" s="243"/>
      <c r="BG349" s="243"/>
      <c r="BH349" s="243"/>
      <c r="BI349" s="243"/>
      <c r="BJ349" s="243"/>
      <c r="BK349" s="243"/>
      <c r="BL349" s="243"/>
      <c r="BM349" s="243"/>
      <c r="BN349" s="243"/>
      <c r="BO349" s="243"/>
      <c r="BP349" s="243"/>
      <c r="BQ349" s="243"/>
      <c r="BR349" s="243"/>
      <c r="BS349" s="243"/>
      <c r="BT349" s="243"/>
      <c r="BU349" s="243"/>
      <c r="BV349" s="243"/>
      <c r="BW349" s="243"/>
      <c r="BX349" s="243"/>
      <c r="BY349" s="243"/>
      <c r="BZ349" s="243"/>
      <c r="CA349" s="243"/>
      <c r="CB349" s="243"/>
      <c r="CC349" s="243"/>
      <c r="CD349" s="243"/>
      <c r="CE349" s="243"/>
      <c r="CF349" s="243"/>
      <c r="CG349" s="1283"/>
    </row>
    <row r="350" spans="1:85" ht="13.2">
      <c r="A350" s="155">
        <v>45254</v>
      </c>
      <c r="B350" s="243"/>
      <c r="C350" s="243"/>
      <c r="D350" s="243"/>
      <c r="E350" s="1271"/>
      <c r="F350" s="243"/>
      <c r="G350" s="243"/>
      <c r="H350" s="243"/>
      <c r="I350" s="243"/>
      <c r="J350" s="243"/>
      <c r="K350" s="243"/>
      <c r="L350" s="243"/>
      <c r="M350" s="243"/>
      <c r="N350" s="243"/>
      <c r="O350" s="243"/>
      <c r="P350" s="243"/>
      <c r="Q350" s="243"/>
      <c r="R350" s="243"/>
      <c r="S350" s="243"/>
      <c r="T350" s="243"/>
      <c r="U350" s="243"/>
      <c r="V350" s="243"/>
      <c r="W350" s="243"/>
      <c r="X350" s="243"/>
      <c r="Y350" s="243"/>
      <c r="Z350" s="1051"/>
      <c r="AA350" s="1051"/>
      <c r="AB350" s="243"/>
      <c r="AC350" s="243"/>
      <c r="AD350" s="243"/>
      <c r="AE350" s="1051"/>
      <c r="AF350" s="1051"/>
      <c r="AG350" s="243"/>
      <c r="AH350" s="243"/>
      <c r="AI350" s="243"/>
      <c r="AJ350" s="243"/>
      <c r="AK350" s="243"/>
      <c r="AL350" s="243"/>
      <c r="AM350" s="243"/>
      <c r="AN350" s="243"/>
      <c r="AO350" s="243"/>
      <c r="AP350" s="243"/>
      <c r="AQ350" s="243"/>
      <c r="AR350" s="243"/>
      <c r="AS350" s="243"/>
      <c r="AT350" s="243"/>
      <c r="AU350" s="243"/>
      <c r="AV350" s="243"/>
      <c r="AW350" s="243"/>
      <c r="AX350" s="243"/>
      <c r="AY350" s="243"/>
      <c r="AZ350" s="243"/>
      <c r="BA350" s="243"/>
      <c r="BB350" s="243"/>
      <c r="BC350" s="243"/>
      <c r="BD350" s="367"/>
      <c r="BE350" s="243"/>
      <c r="BF350" s="243"/>
      <c r="BG350" s="243"/>
      <c r="BH350" s="243"/>
      <c r="BI350" s="243"/>
      <c r="BJ350" s="243"/>
      <c r="BK350" s="243"/>
      <c r="BL350" s="243"/>
      <c r="BM350" s="243"/>
      <c r="BN350" s="243"/>
      <c r="BO350" s="243"/>
      <c r="BP350" s="243"/>
      <c r="BQ350" s="243"/>
      <c r="BR350" s="243"/>
      <c r="BS350" s="243"/>
      <c r="BT350" s="243"/>
      <c r="BU350" s="243"/>
      <c r="BV350" s="243"/>
      <c r="BW350" s="243"/>
      <c r="BX350" s="243"/>
      <c r="BY350" s="243"/>
      <c r="BZ350" s="243"/>
      <c r="CA350" s="243"/>
      <c r="CB350" s="243"/>
      <c r="CC350" s="243"/>
      <c r="CD350" s="243"/>
      <c r="CE350" s="243"/>
      <c r="CF350" s="243"/>
      <c r="CG350" s="1283"/>
    </row>
    <row r="351" spans="1:85" ht="13.2">
      <c r="A351" s="155">
        <v>45255</v>
      </c>
      <c r="B351" s="243"/>
      <c r="C351" s="243"/>
      <c r="D351" s="243"/>
      <c r="E351" s="1271"/>
      <c r="F351" s="243"/>
      <c r="G351" s="243"/>
      <c r="H351" s="243"/>
      <c r="I351" s="243"/>
      <c r="J351" s="243"/>
      <c r="K351" s="243"/>
      <c r="L351" s="243"/>
      <c r="M351" s="243"/>
      <c r="N351" s="243"/>
      <c r="O351" s="243"/>
      <c r="P351" s="243"/>
      <c r="Q351" s="243"/>
      <c r="R351" s="243"/>
      <c r="S351" s="243"/>
      <c r="T351" s="243"/>
      <c r="U351" s="243"/>
      <c r="V351" s="243"/>
      <c r="W351" s="243"/>
      <c r="X351" s="243"/>
      <c r="Y351" s="243"/>
      <c r="Z351" s="1051"/>
      <c r="AA351" s="1051"/>
      <c r="AB351" s="243"/>
      <c r="AC351" s="243"/>
      <c r="AD351" s="243"/>
      <c r="AE351" s="1051"/>
      <c r="AF351" s="1051"/>
      <c r="AG351" s="243"/>
      <c r="AH351" s="243"/>
      <c r="AI351" s="243"/>
      <c r="AJ351" s="243"/>
      <c r="AK351" s="243"/>
      <c r="AL351" s="243"/>
      <c r="AM351" s="243"/>
      <c r="AN351" s="243"/>
      <c r="AO351" s="243"/>
      <c r="AP351" s="243"/>
      <c r="AQ351" s="243"/>
      <c r="AR351" s="243"/>
      <c r="AS351" s="243"/>
      <c r="AT351" s="243"/>
      <c r="AU351" s="243"/>
      <c r="AV351" s="243"/>
      <c r="AW351" s="243"/>
      <c r="AX351" s="243"/>
      <c r="AY351" s="243"/>
      <c r="AZ351" s="243"/>
      <c r="BA351" s="243"/>
      <c r="BB351" s="243"/>
      <c r="BC351" s="243"/>
      <c r="BD351" s="367"/>
      <c r="BE351" s="243"/>
      <c r="BF351" s="243"/>
      <c r="BG351" s="243"/>
      <c r="BH351" s="243"/>
      <c r="BI351" s="243"/>
      <c r="BJ351" s="243"/>
      <c r="BK351" s="654"/>
      <c r="BL351" s="243"/>
      <c r="BM351" s="243"/>
      <c r="BN351" s="243"/>
      <c r="BO351" s="243"/>
      <c r="BP351" s="243"/>
      <c r="BQ351" s="243"/>
      <c r="BR351" s="243"/>
      <c r="BS351" s="243"/>
      <c r="BT351" s="243"/>
      <c r="BU351" s="243"/>
      <c r="BV351" s="243"/>
      <c r="BW351" s="243"/>
      <c r="BX351" s="243"/>
      <c r="BY351" s="243"/>
      <c r="BZ351" s="243"/>
      <c r="CA351" s="243"/>
      <c r="CB351" s="243"/>
      <c r="CC351" s="243"/>
      <c r="CD351" s="243"/>
      <c r="CE351" s="243"/>
      <c r="CF351" s="243"/>
      <c r="CG351" s="1283"/>
    </row>
    <row r="352" spans="1:85" ht="13.2">
      <c r="A352" s="155">
        <v>45256</v>
      </c>
      <c r="B352" s="243"/>
      <c r="C352" s="243"/>
      <c r="D352" s="243"/>
      <c r="E352" s="1271"/>
      <c r="F352" s="243"/>
      <c r="G352" s="243"/>
      <c r="H352" s="243"/>
      <c r="I352" s="243"/>
      <c r="J352" s="243"/>
      <c r="K352" s="243"/>
      <c r="L352" s="243"/>
      <c r="M352" s="243"/>
      <c r="N352" s="243"/>
      <c r="O352" s="243"/>
      <c r="P352" s="243"/>
      <c r="Q352" s="243"/>
      <c r="R352" s="243"/>
      <c r="S352" s="243"/>
      <c r="T352" s="243"/>
      <c r="U352" s="243"/>
      <c r="V352" s="243"/>
      <c r="W352" s="243"/>
      <c r="X352" s="243"/>
      <c r="Y352" s="243"/>
      <c r="Z352" s="1051"/>
      <c r="AA352" s="1051"/>
      <c r="AB352" s="243"/>
      <c r="AC352" s="243"/>
      <c r="AD352" s="243"/>
      <c r="AE352" s="1051"/>
      <c r="AF352" s="243"/>
      <c r="AG352" s="243"/>
      <c r="AH352" s="243"/>
      <c r="AI352" s="243"/>
      <c r="AJ352" s="243"/>
      <c r="AK352" s="243"/>
      <c r="AL352" s="243"/>
      <c r="AM352" s="243"/>
      <c r="AN352" s="243"/>
      <c r="AO352" s="243"/>
      <c r="AP352" s="243"/>
      <c r="AQ352" s="243"/>
      <c r="AR352" s="243"/>
      <c r="AS352" s="243"/>
      <c r="AT352" s="243"/>
      <c r="AU352" s="243"/>
      <c r="AV352" s="243"/>
      <c r="AW352" s="243"/>
      <c r="AX352" s="243"/>
      <c r="AY352" s="243"/>
      <c r="AZ352" s="243"/>
      <c r="BA352" s="243"/>
      <c r="BB352" s="243"/>
      <c r="BC352" s="243"/>
      <c r="BD352" s="367"/>
      <c r="BE352" s="243"/>
      <c r="BF352" s="243"/>
      <c r="BG352" s="243"/>
      <c r="BH352" s="243"/>
      <c r="BI352" s="243"/>
      <c r="BJ352" s="243"/>
      <c r="BK352" s="243"/>
      <c r="BL352" s="243"/>
      <c r="BM352" s="243"/>
      <c r="BN352" s="243"/>
      <c r="BO352" s="243"/>
      <c r="BP352" s="243"/>
      <c r="BQ352" s="243"/>
      <c r="BR352" s="243"/>
      <c r="BS352" s="243"/>
      <c r="BT352" s="243"/>
      <c r="BU352" s="243"/>
      <c r="BV352" s="243"/>
      <c r="BW352" s="243"/>
      <c r="BX352" s="243"/>
      <c r="BY352" s="243"/>
      <c r="BZ352" s="243"/>
      <c r="CA352" s="243"/>
      <c r="CB352" s="243"/>
      <c r="CC352" s="243"/>
      <c r="CD352" s="243"/>
      <c r="CE352" s="243"/>
      <c r="CF352" s="243"/>
      <c r="CG352" s="1283"/>
    </row>
    <row r="353" spans="1:85" ht="13.2">
      <c r="A353" s="155">
        <v>45257</v>
      </c>
      <c r="B353" s="243"/>
      <c r="C353" s="243"/>
      <c r="D353" s="243"/>
      <c r="E353" s="1271"/>
      <c r="F353" s="243"/>
      <c r="G353" s="243"/>
      <c r="H353" s="243"/>
      <c r="I353" s="243"/>
      <c r="J353" s="243"/>
      <c r="K353" s="243"/>
      <c r="L353" s="243"/>
      <c r="M353" s="243"/>
      <c r="N353" s="243"/>
      <c r="O353" s="243"/>
      <c r="P353" s="243"/>
      <c r="Q353" s="243"/>
      <c r="R353" s="243"/>
      <c r="S353" s="243"/>
      <c r="T353" s="243"/>
      <c r="U353" s="243"/>
      <c r="V353" s="243"/>
      <c r="W353" s="243"/>
      <c r="X353" s="243"/>
      <c r="Y353" s="243"/>
      <c r="Z353" s="1051"/>
      <c r="AA353" s="1051"/>
      <c r="AB353" s="243"/>
      <c r="AC353" s="243"/>
      <c r="AD353" s="243"/>
      <c r="AE353" s="1051"/>
      <c r="AF353" s="243"/>
      <c r="AG353" s="243"/>
      <c r="AH353" s="243"/>
      <c r="AI353" s="243"/>
      <c r="AJ353" s="243"/>
      <c r="AK353" s="243"/>
      <c r="AL353" s="243"/>
      <c r="AM353" s="243"/>
      <c r="AN353" s="243"/>
      <c r="AO353" s="243"/>
      <c r="AP353" s="243"/>
      <c r="AQ353" s="243"/>
      <c r="AR353" s="243"/>
      <c r="AS353" s="243"/>
      <c r="AT353" s="243"/>
      <c r="AU353" s="243"/>
      <c r="AV353" s="243"/>
      <c r="AW353" s="243"/>
      <c r="AX353" s="243"/>
      <c r="AY353" s="243"/>
      <c r="AZ353" s="243"/>
      <c r="BA353" s="243"/>
      <c r="BB353" s="243"/>
      <c r="BC353" s="243"/>
      <c r="BD353" s="367"/>
      <c r="BE353" s="243"/>
      <c r="BF353" s="243"/>
      <c r="BG353" s="243"/>
      <c r="BH353" s="243"/>
      <c r="BI353" s="243"/>
      <c r="BJ353" s="243"/>
      <c r="BK353" s="243"/>
      <c r="BL353" s="243"/>
      <c r="BM353" s="243"/>
      <c r="BN353" s="243"/>
      <c r="BO353" s="243"/>
      <c r="BP353" s="243"/>
      <c r="BQ353" s="243"/>
      <c r="BR353" s="243"/>
      <c r="BS353" s="243"/>
      <c r="BT353" s="243"/>
      <c r="BU353" s="243"/>
      <c r="BV353" s="243"/>
      <c r="BW353" s="243"/>
      <c r="BX353" s="243"/>
      <c r="BY353" s="243"/>
      <c r="BZ353" s="243"/>
      <c r="CA353" s="243"/>
      <c r="CB353" s="243"/>
      <c r="CC353" s="243"/>
      <c r="CD353" s="243"/>
      <c r="CE353" s="243"/>
      <c r="CF353" s="243"/>
      <c r="CG353" s="1283"/>
    </row>
    <row r="354" spans="1:85" ht="13.2">
      <c r="A354" s="155">
        <v>45258</v>
      </c>
      <c r="B354" s="243"/>
      <c r="C354" s="243"/>
      <c r="D354" s="243"/>
      <c r="E354" s="1271"/>
      <c r="F354" s="243"/>
      <c r="G354" s="243"/>
      <c r="H354" s="243"/>
      <c r="I354" s="243"/>
      <c r="J354" s="243"/>
      <c r="K354" s="656"/>
      <c r="L354" s="656"/>
      <c r="M354" s="243"/>
      <c r="N354" s="243"/>
      <c r="O354" s="243"/>
      <c r="P354" s="243"/>
      <c r="Q354" s="243"/>
      <c r="R354" s="243"/>
      <c r="S354" s="243"/>
      <c r="T354" s="243"/>
      <c r="U354" s="243"/>
      <c r="V354" s="243"/>
      <c r="W354" s="243"/>
      <c r="X354" s="243"/>
      <c r="Y354" s="243"/>
      <c r="Z354" s="1051"/>
      <c r="AA354" s="1051"/>
      <c r="AB354" s="243"/>
      <c r="AC354" s="243"/>
      <c r="AD354" s="243"/>
      <c r="AE354" s="1051"/>
      <c r="AF354" s="1051"/>
      <c r="AG354" s="981"/>
      <c r="AH354" s="981"/>
      <c r="AI354" s="243"/>
      <c r="AJ354" s="243"/>
      <c r="AK354" s="243"/>
      <c r="AL354" s="243"/>
      <c r="AM354" s="243"/>
      <c r="AN354" s="243"/>
      <c r="AO354" s="243"/>
      <c r="AP354" s="243"/>
      <c r="AQ354" s="243"/>
      <c r="AR354" s="243"/>
      <c r="AS354" s="981"/>
      <c r="AT354" s="656"/>
      <c r="AU354" s="243"/>
      <c r="AV354" s="243"/>
      <c r="AW354" s="243"/>
      <c r="AX354" s="243"/>
      <c r="AY354" s="243"/>
      <c r="AZ354" s="243"/>
      <c r="BA354" s="243"/>
      <c r="BB354" s="243"/>
      <c r="BC354" s="243"/>
      <c r="BD354" s="367"/>
      <c r="BE354" s="243"/>
      <c r="BF354" s="243"/>
      <c r="BG354" s="243"/>
      <c r="BH354" s="243"/>
      <c r="BI354" s="654"/>
      <c r="BJ354" s="243"/>
      <c r="BK354" s="981"/>
      <c r="BL354" s="981"/>
      <c r="BM354" s="654"/>
      <c r="BN354" s="654"/>
      <c r="BO354" s="243"/>
      <c r="BP354" s="243"/>
      <c r="BQ354" s="243"/>
      <c r="BR354" s="981"/>
      <c r="BS354" s="981"/>
      <c r="BT354" s="981"/>
      <c r="BU354" s="243"/>
      <c r="BV354" s="243"/>
      <c r="BW354" s="243"/>
      <c r="BX354" s="981"/>
      <c r="BY354" s="981"/>
      <c r="BZ354" s="981"/>
      <c r="CA354" s="243"/>
      <c r="CB354" s="243"/>
      <c r="CC354" s="243"/>
      <c r="CD354" s="243"/>
      <c r="CE354" s="243"/>
      <c r="CF354" s="243"/>
      <c r="CG354" s="1283"/>
    </row>
    <row r="355" spans="1:85" ht="13.2">
      <c r="A355" s="155">
        <v>45259</v>
      </c>
      <c r="B355" s="243"/>
      <c r="C355" s="243"/>
      <c r="D355" s="243"/>
      <c r="E355" s="1271"/>
      <c r="F355" s="243"/>
      <c r="G355" s="243"/>
      <c r="H355" s="243"/>
      <c r="I355" s="243"/>
      <c r="J355" s="243"/>
      <c r="K355" s="656"/>
      <c r="L355" s="656"/>
      <c r="M355" s="243"/>
      <c r="N355" s="243"/>
      <c r="O355" s="243"/>
      <c r="P355" s="243"/>
      <c r="Q355" s="243"/>
      <c r="R355" s="243"/>
      <c r="S355" s="243"/>
      <c r="T355" s="243"/>
      <c r="U355" s="243"/>
      <c r="V355" s="243"/>
      <c r="W355" s="243"/>
      <c r="X355" s="243"/>
      <c r="Y355" s="243"/>
      <c r="Z355" s="1051"/>
      <c r="AA355" s="1051"/>
      <c r="AB355" s="243"/>
      <c r="AC355" s="243"/>
      <c r="AD355" s="243"/>
      <c r="AE355" s="1051"/>
      <c r="AF355" s="1051"/>
      <c r="AG355" s="981"/>
      <c r="AH355" s="981"/>
      <c r="AI355" s="243"/>
      <c r="AJ355" s="243"/>
      <c r="AK355" s="243"/>
      <c r="AL355" s="243"/>
      <c r="AM355" s="243"/>
      <c r="AN355" s="243"/>
      <c r="AO355" s="243"/>
      <c r="AP355" s="243"/>
      <c r="AQ355" s="243"/>
      <c r="AR355" s="243"/>
      <c r="AS355" s="402"/>
      <c r="AT355" s="656"/>
      <c r="AU355" s="243"/>
      <c r="AV355" s="243"/>
      <c r="AW355" s="243"/>
      <c r="AX355" s="243"/>
      <c r="AY355" s="243"/>
      <c r="AZ355" s="243"/>
      <c r="BA355" s="243"/>
      <c r="BB355" s="243"/>
      <c r="BC355" s="243"/>
      <c r="BD355" s="367"/>
      <c r="BE355" s="243"/>
      <c r="BF355" s="243"/>
      <c r="BG355" s="243"/>
      <c r="BH355" s="243"/>
      <c r="BI355" s="981"/>
      <c r="BJ355" s="243"/>
      <c r="BK355" s="654"/>
      <c r="BL355" s="654"/>
      <c r="BM355" s="654"/>
      <c r="BN355" s="654"/>
      <c r="BO355" s="243"/>
      <c r="BP355" s="243"/>
      <c r="BQ355" s="243"/>
      <c r="BR355" s="981"/>
      <c r="BS355" s="981"/>
      <c r="BT355" s="981"/>
      <c r="BU355" s="243"/>
      <c r="BV355" s="243"/>
      <c r="BW355" s="243"/>
      <c r="BX355" s="243"/>
      <c r="BY355" s="243"/>
      <c r="BZ355" s="243"/>
      <c r="CA355" s="243"/>
      <c r="CB355" s="243"/>
      <c r="CC355" s="243"/>
      <c r="CD355" s="243"/>
      <c r="CE355" s="243"/>
      <c r="CF355" s="243"/>
      <c r="CG355" s="1283"/>
    </row>
    <row r="356" spans="1:85" ht="13.2">
      <c r="A356" s="155">
        <v>45260</v>
      </c>
      <c r="B356" s="243"/>
      <c r="C356" s="243"/>
      <c r="D356" s="243"/>
      <c r="E356" s="1271"/>
      <c r="F356" s="243"/>
      <c r="G356" s="243"/>
      <c r="H356" s="243"/>
      <c r="I356" s="243"/>
      <c r="J356" s="243"/>
      <c r="K356" s="243"/>
      <c r="L356" s="243"/>
      <c r="M356" s="243"/>
      <c r="N356" s="243"/>
      <c r="O356" s="243"/>
      <c r="P356" s="243"/>
      <c r="Q356" s="243"/>
      <c r="R356" s="243"/>
      <c r="S356" s="243"/>
      <c r="T356" s="243"/>
      <c r="U356" s="243"/>
      <c r="V356" s="243"/>
      <c r="W356" s="243"/>
      <c r="X356" s="243"/>
      <c r="Y356" s="243"/>
      <c r="Z356" s="1051"/>
      <c r="AA356" s="1051"/>
      <c r="AB356" s="243"/>
      <c r="AC356" s="243"/>
      <c r="AD356" s="243"/>
      <c r="AE356" s="1051"/>
      <c r="AF356" s="1051"/>
      <c r="AG356" s="243"/>
      <c r="AH356" s="243"/>
      <c r="AI356" s="243"/>
      <c r="AJ356" s="243"/>
      <c r="AK356" s="243"/>
      <c r="AL356" s="243"/>
      <c r="AM356" s="243"/>
      <c r="AN356" s="243"/>
      <c r="AO356" s="243"/>
      <c r="AP356" s="243"/>
      <c r="AQ356" s="243"/>
      <c r="AR356" s="243"/>
      <c r="AS356" s="243"/>
      <c r="AT356" s="243"/>
      <c r="AU356" s="243"/>
      <c r="AV356" s="243"/>
      <c r="AW356" s="243"/>
      <c r="AX356" s="243"/>
      <c r="AY356" s="243"/>
      <c r="AZ356" s="243"/>
      <c r="BA356" s="243"/>
      <c r="BB356" s="243"/>
      <c r="BC356" s="243"/>
      <c r="BD356" s="657"/>
      <c r="BE356" s="243"/>
      <c r="BF356" s="243"/>
      <c r="BG356" s="981"/>
      <c r="BH356" s="1375"/>
      <c r="BI356" s="243"/>
      <c r="BJ356" s="243"/>
      <c r="BK356" s="243"/>
      <c r="BL356" s="243"/>
      <c r="BM356" s="243"/>
      <c r="BN356" s="243"/>
      <c r="BO356" s="243"/>
      <c r="BP356" s="243"/>
      <c r="BQ356" s="243"/>
      <c r="BR356" s="981"/>
      <c r="BS356" s="981"/>
      <c r="BT356" s="981"/>
      <c r="BU356" s="243"/>
      <c r="BV356" s="243"/>
      <c r="BW356" s="243"/>
      <c r="BX356" s="243"/>
      <c r="BY356" s="243"/>
      <c r="BZ356" s="243"/>
      <c r="CA356" s="243"/>
      <c r="CB356" s="243"/>
      <c r="CC356" s="243"/>
      <c r="CD356" s="243"/>
      <c r="CE356" s="243"/>
      <c r="CF356" s="243"/>
      <c r="CG356" s="1283"/>
    </row>
    <row r="357" spans="1:85" ht="13.2">
      <c r="A357" s="177"/>
      <c r="B357" s="983"/>
      <c r="C357" s="983"/>
      <c r="D357" s="983"/>
      <c r="E357" s="1378"/>
      <c r="F357" s="983"/>
      <c r="G357" s="983"/>
      <c r="H357" s="983"/>
      <c r="I357" s="983"/>
      <c r="J357" s="983"/>
      <c r="K357" s="983"/>
      <c r="L357" s="983"/>
      <c r="M357" s="983"/>
      <c r="N357" s="983"/>
      <c r="O357" s="983"/>
      <c r="P357" s="983"/>
      <c r="Q357" s="983"/>
      <c r="R357" s="983"/>
      <c r="S357" s="983"/>
      <c r="T357" s="983"/>
      <c r="U357" s="983"/>
      <c r="V357" s="983"/>
      <c r="W357" s="983"/>
      <c r="X357" s="983"/>
      <c r="Y357" s="983"/>
      <c r="Z357" s="983"/>
      <c r="AA357" s="983"/>
      <c r="AB357" s="983"/>
      <c r="AC357" s="983"/>
      <c r="AD357" s="983"/>
      <c r="AE357" s="983"/>
      <c r="AF357" s="983"/>
      <c r="AG357" s="983"/>
      <c r="AH357" s="983"/>
      <c r="AI357" s="983"/>
      <c r="AJ357" s="983"/>
      <c r="AK357" s="983"/>
      <c r="AL357" s="983"/>
      <c r="AM357" s="983"/>
      <c r="AN357" s="983"/>
      <c r="AO357" s="983"/>
      <c r="AP357" s="983"/>
      <c r="AQ357" s="983"/>
      <c r="AR357" s="983"/>
      <c r="AS357" s="983"/>
      <c r="AT357" s="983"/>
      <c r="AU357" s="983"/>
      <c r="AV357" s="983"/>
      <c r="AW357" s="983"/>
      <c r="AX357" s="983"/>
      <c r="AY357" s="983"/>
      <c r="AZ357" s="983"/>
      <c r="BA357" s="983"/>
      <c r="BB357" s="983"/>
      <c r="BC357" s="983"/>
      <c r="BD357" s="1728"/>
      <c r="BE357" s="983"/>
      <c r="BF357" s="983"/>
      <c r="BG357" s="983"/>
      <c r="BH357" s="983"/>
      <c r="BI357" s="983"/>
      <c r="BJ357" s="983"/>
      <c r="BK357" s="983"/>
      <c r="BL357" s="983"/>
      <c r="BM357" s="983"/>
      <c r="BN357" s="983"/>
      <c r="BO357" s="983"/>
      <c r="BP357" s="983"/>
      <c r="BQ357" s="983"/>
      <c r="BR357" s="983"/>
      <c r="BS357" s="983"/>
      <c r="BT357" s="983"/>
      <c r="BU357" s="983"/>
      <c r="BV357" s="983"/>
      <c r="BW357" s="983"/>
      <c r="BX357" s="983"/>
      <c r="BY357" s="983"/>
      <c r="BZ357" s="983"/>
      <c r="CA357" s="983"/>
      <c r="CB357" s="983"/>
      <c r="CC357" s="983"/>
      <c r="CD357" s="983"/>
      <c r="CE357" s="983"/>
      <c r="CF357" s="983"/>
      <c r="CG357" s="1372"/>
    </row>
    <row r="358" spans="1:85" ht="13.2">
      <c r="A358" s="155">
        <v>45260</v>
      </c>
      <c r="B358" s="243"/>
      <c r="C358" s="243"/>
      <c r="D358" s="243"/>
      <c r="E358" s="1271"/>
      <c r="F358" s="243"/>
      <c r="G358" s="243"/>
      <c r="H358" s="243"/>
      <c r="I358" s="243"/>
      <c r="J358" s="243"/>
      <c r="K358" s="243"/>
      <c r="L358" s="243"/>
      <c r="M358" s="243"/>
      <c r="N358" s="243"/>
      <c r="O358" s="243"/>
      <c r="P358" s="243"/>
      <c r="Q358" s="243"/>
      <c r="R358" s="243"/>
      <c r="S358" s="243"/>
      <c r="T358" s="243"/>
      <c r="U358" s="243"/>
      <c r="V358" s="243"/>
      <c r="W358" s="243"/>
      <c r="X358" s="243"/>
      <c r="Y358" s="243"/>
      <c r="Z358" s="1051"/>
      <c r="AA358" s="1051"/>
      <c r="AB358" s="243"/>
      <c r="AC358" s="243"/>
      <c r="AD358" s="243"/>
      <c r="AE358" s="1051"/>
      <c r="AF358" s="1051"/>
      <c r="AG358" s="243"/>
      <c r="AH358" s="243"/>
      <c r="AI358" s="243"/>
      <c r="AJ358" s="243"/>
      <c r="AK358" s="243"/>
      <c r="AL358" s="243"/>
      <c r="AM358" s="243"/>
      <c r="AN358" s="243"/>
      <c r="AO358" s="243"/>
      <c r="AP358" s="243"/>
      <c r="AQ358" s="243"/>
      <c r="AR358" s="243"/>
      <c r="AS358" s="243"/>
      <c r="AT358" s="243"/>
      <c r="AU358" s="243"/>
      <c r="AV358" s="243"/>
      <c r="AW358" s="243"/>
      <c r="AX358" s="243"/>
      <c r="AY358" s="243"/>
      <c r="AZ358" s="243"/>
      <c r="BA358" s="243"/>
      <c r="BB358" s="243"/>
      <c r="BC358" s="243"/>
      <c r="BD358" s="657"/>
      <c r="BE358" s="243"/>
      <c r="BF358" s="243"/>
      <c r="BG358" s="981"/>
      <c r="BH358" s="1375"/>
      <c r="BI358" s="243"/>
      <c r="BJ358" s="243"/>
      <c r="BK358" s="243"/>
      <c r="BL358" s="243"/>
      <c r="BM358" s="243"/>
      <c r="BN358" s="243"/>
      <c r="BO358" s="243"/>
      <c r="BP358" s="243"/>
      <c r="BQ358" s="243"/>
      <c r="BR358" s="981"/>
      <c r="BS358" s="981"/>
      <c r="BT358" s="981"/>
      <c r="BU358" s="243"/>
      <c r="BV358" s="243"/>
      <c r="BW358" s="243"/>
      <c r="BX358" s="243"/>
      <c r="BY358" s="243"/>
      <c r="BZ358" s="243"/>
      <c r="CA358" s="243"/>
      <c r="CB358" s="243"/>
      <c r="CC358" s="243"/>
      <c r="CD358" s="243"/>
      <c r="CE358" s="243"/>
      <c r="CF358" s="243"/>
      <c r="CG358" s="1283"/>
    </row>
    <row r="359" spans="1:85" ht="13.2">
      <c r="A359" s="155">
        <v>45261</v>
      </c>
      <c r="B359" s="243"/>
      <c r="C359" s="243"/>
      <c r="D359" s="243"/>
      <c r="E359" s="1271"/>
      <c r="F359" s="243"/>
      <c r="G359" s="243"/>
      <c r="H359" s="243"/>
      <c r="I359" s="243"/>
      <c r="J359" s="243"/>
      <c r="K359" s="243"/>
      <c r="L359" s="243"/>
      <c r="M359" s="243"/>
      <c r="N359" s="243"/>
      <c r="O359" s="243"/>
      <c r="P359" s="243"/>
      <c r="Q359" s="243"/>
      <c r="R359" s="243"/>
      <c r="S359" s="243"/>
      <c r="T359" s="243"/>
      <c r="U359" s="243"/>
      <c r="V359" s="243"/>
      <c r="W359" s="243"/>
      <c r="X359" s="243"/>
      <c r="Y359" s="243"/>
      <c r="Z359" s="1051"/>
      <c r="AA359" s="1051"/>
      <c r="AB359" s="243"/>
      <c r="AC359" s="243"/>
      <c r="AD359" s="243"/>
      <c r="AE359" s="1051"/>
      <c r="AF359" s="1051"/>
      <c r="AG359" s="243"/>
      <c r="AH359" s="243"/>
      <c r="AI359" s="243"/>
      <c r="AJ359" s="243"/>
      <c r="AK359" s="243"/>
      <c r="AL359" s="243"/>
      <c r="AM359" s="243"/>
      <c r="AN359" s="243"/>
      <c r="AO359" s="243"/>
      <c r="AP359" s="243"/>
      <c r="AQ359" s="243"/>
      <c r="AR359" s="243"/>
      <c r="AS359" s="243"/>
      <c r="AT359" s="243"/>
      <c r="AU359" s="243"/>
      <c r="AV359" s="243"/>
      <c r="AW359" s="243"/>
      <c r="AX359" s="243"/>
      <c r="AY359" s="243"/>
      <c r="AZ359" s="243"/>
      <c r="BA359" s="243"/>
      <c r="BB359" s="243"/>
      <c r="BC359" s="243"/>
      <c r="BD359" s="657"/>
      <c r="BE359" s="243"/>
      <c r="BF359" s="243"/>
      <c r="BG359" s="243"/>
      <c r="BH359" s="243"/>
      <c r="BI359" s="243"/>
      <c r="BJ359" s="243"/>
      <c r="BK359" s="243"/>
      <c r="BL359" s="243"/>
      <c r="BM359" s="243"/>
      <c r="BN359" s="243"/>
      <c r="BO359" s="243"/>
      <c r="BP359" s="243"/>
      <c r="BQ359" s="243"/>
      <c r="BR359" s="981"/>
      <c r="BS359" s="981"/>
      <c r="BT359" s="243"/>
      <c r="BU359" s="243"/>
      <c r="BV359" s="243"/>
      <c r="BW359" s="243"/>
      <c r="BX359" s="243"/>
      <c r="BY359" s="243"/>
      <c r="BZ359" s="243"/>
      <c r="CA359" s="243"/>
      <c r="CB359" s="243"/>
      <c r="CC359" s="243"/>
      <c r="CD359" s="243"/>
      <c r="CE359" s="243"/>
      <c r="CF359" s="243"/>
      <c r="CG359" s="1283"/>
    </row>
    <row r="360" spans="1:85" ht="13.2">
      <c r="A360" s="155">
        <v>45262</v>
      </c>
      <c r="B360" s="243"/>
      <c r="C360" s="243"/>
      <c r="D360" s="243"/>
      <c r="E360" s="1271"/>
      <c r="F360" s="243"/>
      <c r="G360" s="243"/>
      <c r="H360" s="243"/>
      <c r="I360" s="243"/>
      <c r="J360" s="243"/>
      <c r="K360" s="243"/>
      <c r="L360" s="243"/>
      <c r="M360" s="243"/>
      <c r="N360" s="243"/>
      <c r="O360" s="243"/>
      <c r="P360" s="243"/>
      <c r="Q360" s="243"/>
      <c r="R360" s="243"/>
      <c r="S360" s="243"/>
      <c r="T360" s="243"/>
      <c r="U360" s="243"/>
      <c r="V360" s="243"/>
      <c r="W360" s="243"/>
      <c r="X360" s="243"/>
      <c r="Y360" s="243"/>
      <c r="Z360" s="1051"/>
      <c r="AA360" s="1051"/>
      <c r="AB360" s="243"/>
      <c r="AC360" s="243"/>
      <c r="AD360" s="243"/>
      <c r="AE360" s="1051"/>
      <c r="AF360" s="1051"/>
      <c r="AG360" s="243"/>
      <c r="AH360" s="243"/>
      <c r="AI360" s="243"/>
      <c r="AJ360" s="243"/>
      <c r="AK360" s="243"/>
      <c r="AL360" s="243"/>
      <c r="AM360" s="243"/>
      <c r="AN360" s="243"/>
      <c r="AO360" s="243"/>
      <c r="AP360" s="243"/>
      <c r="AQ360" s="243"/>
      <c r="AR360" s="243"/>
      <c r="AS360" s="243"/>
      <c r="AT360" s="243"/>
      <c r="AU360" s="243"/>
      <c r="AV360" s="243"/>
      <c r="AW360" s="243"/>
      <c r="AX360" s="243"/>
      <c r="AY360" s="243"/>
      <c r="AZ360" s="243"/>
      <c r="BA360" s="243"/>
      <c r="BB360" s="243"/>
      <c r="BC360" s="243"/>
      <c r="BD360" s="657"/>
      <c r="BE360" s="243"/>
      <c r="BF360" s="243"/>
      <c r="BG360" s="243"/>
      <c r="BH360" s="243"/>
      <c r="BI360" s="243"/>
      <c r="BJ360" s="243"/>
      <c r="BK360" s="243"/>
      <c r="BL360" s="243"/>
      <c r="BM360" s="243"/>
      <c r="BN360" s="243"/>
      <c r="BO360" s="243"/>
      <c r="BP360" s="243"/>
      <c r="BQ360" s="243"/>
      <c r="BR360" s="981"/>
      <c r="BS360" s="981"/>
      <c r="BT360" s="243"/>
      <c r="BU360" s="243"/>
      <c r="BV360" s="243"/>
      <c r="BW360" s="243"/>
      <c r="BX360" s="243"/>
      <c r="BY360" s="243"/>
      <c r="BZ360" s="243"/>
      <c r="CA360" s="243"/>
      <c r="CB360" s="243"/>
      <c r="CC360" s="243"/>
      <c r="CD360" s="243"/>
      <c r="CE360" s="243"/>
      <c r="CF360" s="243"/>
      <c r="CG360" s="1283"/>
    </row>
    <row r="361" spans="1:85" ht="13.2">
      <c r="A361" s="155">
        <v>45263</v>
      </c>
      <c r="B361" s="243"/>
      <c r="C361" s="243"/>
      <c r="D361" s="243"/>
      <c r="E361" s="1271"/>
      <c r="F361" s="243"/>
      <c r="G361" s="243"/>
      <c r="H361" s="243"/>
      <c r="I361" s="243"/>
      <c r="J361" s="243"/>
      <c r="K361" s="243"/>
      <c r="L361" s="243"/>
      <c r="M361" s="243"/>
      <c r="N361" s="243"/>
      <c r="O361" s="243"/>
      <c r="P361" s="243"/>
      <c r="Q361" s="243"/>
      <c r="R361" s="243"/>
      <c r="S361" s="243"/>
      <c r="T361" s="243"/>
      <c r="U361" s="243"/>
      <c r="V361" s="243"/>
      <c r="W361" s="243"/>
      <c r="X361" s="243"/>
      <c r="Y361" s="243"/>
      <c r="Z361" s="1051"/>
      <c r="AA361" s="1051"/>
      <c r="AB361" s="243"/>
      <c r="AC361" s="243"/>
      <c r="AD361" s="243"/>
      <c r="AE361" s="1051"/>
      <c r="AF361" s="1051"/>
      <c r="AG361" s="243"/>
      <c r="AH361" s="243"/>
      <c r="AI361" s="243"/>
      <c r="AJ361" s="243"/>
      <c r="AK361" s="243"/>
      <c r="AL361" s="243"/>
      <c r="AM361" s="243"/>
      <c r="AN361" s="243"/>
      <c r="AO361" s="243"/>
      <c r="AP361" s="243"/>
      <c r="AQ361" s="243"/>
      <c r="AR361" s="243"/>
      <c r="AS361" s="243"/>
      <c r="AT361" s="243"/>
      <c r="AU361" s="243"/>
      <c r="AV361" s="243"/>
      <c r="AW361" s="243"/>
      <c r="AX361" s="243"/>
      <c r="AY361" s="243"/>
      <c r="AZ361" s="243"/>
      <c r="BA361" s="243"/>
      <c r="BB361" s="243"/>
      <c r="BC361" s="243"/>
      <c r="BD361" s="657"/>
      <c r="BE361" s="243"/>
      <c r="BF361" s="243"/>
      <c r="BG361" s="243"/>
      <c r="BH361" s="243"/>
      <c r="BI361" s="243"/>
      <c r="BJ361" s="243"/>
      <c r="BK361" s="243"/>
      <c r="BL361" s="243"/>
      <c r="BM361" s="243"/>
      <c r="BN361" s="243"/>
      <c r="BO361" s="243"/>
      <c r="BP361" s="243"/>
      <c r="BQ361" s="243"/>
      <c r="BR361" s="981"/>
      <c r="BS361" s="981"/>
      <c r="BT361" s="243"/>
      <c r="BU361" s="243"/>
      <c r="BV361" s="243"/>
      <c r="BW361" s="243"/>
      <c r="BX361" s="243"/>
      <c r="BY361" s="243"/>
      <c r="BZ361" s="243"/>
      <c r="CA361" s="243"/>
      <c r="CB361" s="243"/>
      <c r="CC361" s="243"/>
      <c r="CD361" s="243"/>
      <c r="CE361" s="243"/>
      <c r="CF361" s="243"/>
      <c r="CG361" s="1283"/>
    </row>
    <row r="362" spans="1:85" ht="13.2">
      <c r="A362" s="155">
        <v>45264</v>
      </c>
      <c r="B362" s="243"/>
      <c r="C362" s="243"/>
      <c r="D362" s="243"/>
      <c r="E362" s="1271"/>
      <c r="F362" s="243"/>
      <c r="G362" s="243"/>
      <c r="H362" s="243"/>
      <c r="I362" s="243"/>
      <c r="J362" s="243"/>
      <c r="K362" s="243"/>
      <c r="L362" s="243"/>
      <c r="M362" s="243"/>
      <c r="N362" s="243"/>
      <c r="O362" s="243"/>
      <c r="P362" s="243"/>
      <c r="Q362" s="243"/>
      <c r="R362" s="243"/>
      <c r="S362" s="243"/>
      <c r="T362" s="243"/>
      <c r="U362" s="243"/>
      <c r="V362" s="243"/>
      <c r="W362" s="243"/>
      <c r="X362" s="243"/>
      <c r="Y362" s="243"/>
      <c r="Z362" s="1051"/>
      <c r="AA362" s="1051"/>
      <c r="AB362" s="243"/>
      <c r="AC362" s="243"/>
      <c r="AD362" s="243"/>
      <c r="AE362" s="1051"/>
      <c r="AF362" s="1051"/>
      <c r="AG362" s="243"/>
      <c r="AH362" s="243"/>
      <c r="AI362" s="243"/>
      <c r="AJ362" s="243"/>
      <c r="AK362" s="243"/>
      <c r="AL362" s="243"/>
      <c r="AM362" s="243"/>
      <c r="AN362" s="243"/>
      <c r="AO362" s="243"/>
      <c r="AP362" s="243"/>
      <c r="AQ362" s="243"/>
      <c r="AR362" s="243"/>
      <c r="AS362" s="243"/>
      <c r="AT362" s="243"/>
      <c r="AU362" s="243"/>
      <c r="AV362" s="243"/>
      <c r="AW362" s="243"/>
      <c r="AX362" s="243"/>
      <c r="AY362" s="243"/>
      <c r="AZ362" s="243"/>
      <c r="BA362" s="243"/>
      <c r="BB362" s="243"/>
      <c r="BC362" s="243"/>
      <c r="BD362" s="657"/>
      <c r="BE362" s="243"/>
      <c r="BF362" s="243"/>
      <c r="BG362" s="243"/>
      <c r="BH362" s="243"/>
      <c r="BI362" s="243"/>
      <c r="BJ362" s="243"/>
      <c r="BK362" s="243"/>
      <c r="BL362" s="243"/>
      <c r="BM362" s="243"/>
      <c r="BN362" s="243"/>
      <c r="BO362" s="243"/>
      <c r="BP362" s="243"/>
      <c r="BQ362" s="243"/>
      <c r="BR362" s="981"/>
      <c r="BS362" s="981"/>
      <c r="BT362" s="243"/>
      <c r="BU362" s="243"/>
      <c r="BV362" s="243"/>
      <c r="BW362" s="243"/>
      <c r="BX362" s="243"/>
      <c r="BY362" s="243"/>
      <c r="BZ362" s="243"/>
      <c r="CA362" s="243"/>
      <c r="CB362" s="243"/>
      <c r="CC362" s="243"/>
      <c r="CD362" s="243"/>
      <c r="CE362" s="243"/>
      <c r="CF362" s="243"/>
      <c r="CG362" s="1283"/>
    </row>
    <row r="363" spans="1:85" ht="13.2">
      <c r="A363" s="155">
        <v>45265</v>
      </c>
      <c r="B363" s="243"/>
      <c r="C363" s="243"/>
      <c r="D363" s="243"/>
      <c r="E363" s="1271"/>
      <c r="F363" s="243"/>
      <c r="G363" s="243"/>
      <c r="H363" s="243"/>
      <c r="I363" s="243"/>
      <c r="J363" s="243"/>
      <c r="K363" s="243"/>
      <c r="L363" s="243"/>
      <c r="M363" s="243"/>
      <c r="N363" s="243"/>
      <c r="O363" s="243"/>
      <c r="P363" s="243"/>
      <c r="Q363" s="243"/>
      <c r="R363" s="243"/>
      <c r="S363" s="243"/>
      <c r="T363" s="243"/>
      <c r="U363" s="243"/>
      <c r="V363" s="243"/>
      <c r="W363" s="243"/>
      <c r="X363" s="243"/>
      <c r="Y363" s="243"/>
      <c r="Z363" s="1051"/>
      <c r="AA363" s="1051"/>
      <c r="AB363" s="243"/>
      <c r="AC363" s="243"/>
      <c r="AD363" s="243"/>
      <c r="AE363" s="1051"/>
      <c r="AF363" s="1051"/>
      <c r="AG363" s="243"/>
      <c r="AH363" s="243"/>
      <c r="AI363" s="243"/>
      <c r="AJ363" s="243"/>
      <c r="AK363" s="243"/>
      <c r="AL363" s="243"/>
      <c r="AM363" s="243"/>
      <c r="AN363" s="243"/>
      <c r="AO363" s="243"/>
      <c r="AP363" s="243"/>
      <c r="AQ363" s="243"/>
      <c r="AR363" s="243"/>
      <c r="AS363" s="243"/>
      <c r="AT363" s="243"/>
      <c r="AU363" s="243"/>
      <c r="AV363" s="243"/>
      <c r="AW363" s="243"/>
      <c r="AX363" s="243"/>
      <c r="AY363" s="243"/>
      <c r="AZ363" s="243"/>
      <c r="BA363" s="243"/>
      <c r="BB363" s="243"/>
      <c r="BC363" s="243"/>
      <c r="BD363" s="657"/>
      <c r="BE363" s="243"/>
      <c r="BF363" s="243"/>
      <c r="BG363" s="243"/>
      <c r="BH363" s="243"/>
      <c r="BI363" s="243"/>
      <c r="BJ363" s="243"/>
      <c r="BK363" s="243"/>
      <c r="BL363" s="243"/>
      <c r="BM363" s="243"/>
      <c r="BN363" s="243"/>
      <c r="BO363" s="243"/>
      <c r="BP363" s="243"/>
      <c r="BQ363" s="243"/>
      <c r="BR363" s="981"/>
      <c r="BS363" s="981"/>
      <c r="BT363" s="243"/>
      <c r="BU363" s="243"/>
      <c r="BV363" s="243"/>
      <c r="BW363" s="243"/>
      <c r="BX363" s="243"/>
      <c r="BY363" s="243"/>
      <c r="BZ363" s="243"/>
      <c r="CA363" s="243"/>
      <c r="CB363" s="243"/>
      <c r="CC363" s="243"/>
      <c r="CD363" s="243"/>
      <c r="CE363" s="243"/>
      <c r="CF363" s="243"/>
      <c r="CG363" s="1283"/>
    </row>
    <row r="364" spans="1:85" ht="13.2">
      <c r="A364" s="155">
        <v>45266</v>
      </c>
      <c r="B364" s="243"/>
      <c r="C364" s="243"/>
      <c r="D364" s="243"/>
      <c r="E364" s="1271"/>
      <c r="F364" s="243"/>
      <c r="G364" s="243"/>
      <c r="H364" s="243"/>
      <c r="I364" s="243"/>
      <c r="J364" s="243"/>
      <c r="K364" s="243"/>
      <c r="L364" s="243"/>
      <c r="M364" s="243"/>
      <c r="N364" s="243"/>
      <c r="O364" s="243"/>
      <c r="P364" s="243"/>
      <c r="Q364" s="243"/>
      <c r="R364" s="243"/>
      <c r="S364" s="243"/>
      <c r="T364" s="243"/>
      <c r="U364" s="243"/>
      <c r="V364" s="243"/>
      <c r="W364" s="243"/>
      <c r="X364" s="243"/>
      <c r="Y364" s="243"/>
      <c r="Z364" s="1051"/>
      <c r="AA364" s="1051"/>
      <c r="AB364" s="243"/>
      <c r="AC364" s="243"/>
      <c r="AD364" s="243"/>
      <c r="AE364" s="1051"/>
      <c r="AF364" s="1051"/>
      <c r="AG364" s="243"/>
      <c r="AH364" s="243"/>
      <c r="AI364" s="243"/>
      <c r="AJ364" s="243"/>
      <c r="AK364" s="243"/>
      <c r="AL364" s="243"/>
      <c r="AM364" s="243"/>
      <c r="AN364" s="243"/>
      <c r="AO364" s="243"/>
      <c r="AP364" s="243"/>
      <c r="AQ364" s="243"/>
      <c r="AR364" s="243"/>
      <c r="AS364" s="243"/>
      <c r="AT364" s="243"/>
      <c r="AU364" s="243"/>
      <c r="AV364" s="243"/>
      <c r="AW364" s="243"/>
      <c r="AX364" s="243"/>
      <c r="AY364" s="243"/>
      <c r="AZ364" s="243"/>
      <c r="BA364" s="243"/>
      <c r="BB364" s="243"/>
      <c r="BC364" s="243"/>
      <c r="BD364" s="657"/>
      <c r="BE364" s="243"/>
      <c r="BF364" s="243"/>
      <c r="BG364" s="243"/>
      <c r="BH364" s="243"/>
      <c r="BI364" s="243"/>
      <c r="BJ364" s="243"/>
      <c r="BK364" s="243"/>
      <c r="BL364" s="243"/>
      <c r="BM364" s="243"/>
      <c r="BN364" s="243"/>
      <c r="BO364" s="243"/>
      <c r="BP364" s="243"/>
      <c r="BQ364" s="243"/>
      <c r="BR364" s="981"/>
      <c r="BS364" s="981"/>
      <c r="BT364" s="243"/>
      <c r="BU364" s="243"/>
      <c r="BV364" s="243"/>
      <c r="BW364" s="243"/>
      <c r="BX364" s="243"/>
      <c r="BY364" s="243"/>
      <c r="BZ364" s="243"/>
      <c r="CA364" s="243"/>
      <c r="CB364" s="243"/>
      <c r="CC364" s="243"/>
      <c r="CD364" s="243"/>
      <c r="CE364" s="243"/>
      <c r="CF364" s="243"/>
      <c r="CG364" s="1283"/>
    </row>
    <row r="365" spans="1:85" ht="13.2">
      <c r="A365" s="155">
        <v>45267</v>
      </c>
      <c r="B365" s="243"/>
      <c r="C365" s="243"/>
      <c r="D365" s="243"/>
      <c r="E365" s="1271"/>
      <c r="F365" s="243"/>
      <c r="G365" s="243"/>
      <c r="H365" s="243"/>
      <c r="I365" s="243"/>
      <c r="J365" s="243"/>
      <c r="K365" s="243"/>
      <c r="L365" s="243"/>
      <c r="M365" s="243"/>
      <c r="N365" s="243"/>
      <c r="O365" s="243"/>
      <c r="P365" s="243"/>
      <c r="Q365" s="243"/>
      <c r="R365" s="243"/>
      <c r="S365" s="243"/>
      <c r="T365" s="243"/>
      <c r="U365" s="243"/>
      <c r="V365" s="243"/>
      <c r="W365" s="243"/>
      <c r="X365" s="243"/>
      <c r="Y365" s="243"/>
      <c r="Z365" s="1051"/>
      <c r="AA365" s="1051"/>
      <c r="AB365" s="243"/>
      <c r="AC365" s="243"/>
      <c r="AD365" s="243"/>
      <c r="AE365" s="1051"/>
      <c r="AF365" s="1051"/>
      <c r="AG365" s="243"/>
      <c r="AH365" s="243"/>
      <c r="AI365" s="243"/>
      <c r="AJ365" s="243"/>
      <c r="AK365" s="243"/>
      <c r="AL365" s="243"/>
      <c r="AM365" s="243"/>
      <c r="AN365" s="243"/>
      <c r="AO365" s="243"/>
      <c r="AP365" s="243"/>
      <c r="AQ365" s="243"/>
      <c r="AR365" s="243"/>
      <c r="AS365" s="243"/>
      <c r="AT365" s="243"/>
      <c r="AU365" s="243"/>
      <c r="AV365" s="243"/>
      <c r="AW365" s="243"/>
      <c r="AX365" s="243"/>
      <c r="AY365" s="243"/>
      <c r="AZ365" s="243"/>
      <c r="BA365" s="243"/>
      <c r="BB365" s="243"/>
      <c r="BC365" s="243"/>
      <c r="BD365" s="657"/>
      <c r="BE365" s="243"/>
      <c r="BF365" s="243"/>
      <c r="BG365" s="243"/>
      <c r="BH365" s="243"/>
      <c r="BI365" s="243"/>
      <c r="BJ365" s="243"/>
      <c r="BK365" s="243"/>
      <c r="BL365" s="243"/>
      <c r="BM365" s="243"/>
      <c r="BN365" s="243"/>
      <c r="BO365" s="243"/>
      <c r="BP365" s="243"/>
      <c r="BQ365" s="243"/>
      <c r="BR365" s="243"/>
      <c r="BS365" s="243"/>
      <c r="BT365" s="243"/>
      <c r="BU365" s="243"/>
      <c r="BV365" s="243"/>
      <c r="BW365" s="243"/>
      <c r="BX365" s="243"/>
      <c r="BY365" s="243"/>
      <c r="BZ365" s="243"/>
      <c r="CA365" s="243"/>
      <c r="CB365" s="243"/>
      <c r="CC365" s="243"/>
      <c r="CD365" s="243"/>
      <c r="CE365" s="243"/>
      <c r="CF365" s="243"/>
      <c r="CG365" s="1283"/>
    </row>
    <row r="366" spans="1:85" ht="13.2">
      <c r="A366" s="155">
        <v>45268</v>
      </c>
      <c r="B366" s="243"/>
      <c r="C366" s="243"/>
      <c r="D366" s="243"/>
      <c r="E366" s="1271"/>
      <c r="F366" s="243"/>
      <c r="G366" s="243"/>
      <c r="H366" s="243"/>
      <c r="I366" s="243"/>
      <c r="J366" s="243"/>
      <c r="K366" s="243"/>
      <c r="L366" s="243"/>
      <c r="M366" s="243"/>
      <c r="N366" s="243"/>
      <c r="O366" s="243"/>
      <c r="P366" s="243"/>
      <c r="Q366" s="243"/>
      <c r="R366" s="243"/>
      <c r="S366" s="243"/>
      <c r="T366" s="243"/>
      <c r="U366" s="243"/>
      <c r="V366" s="243"/>
      <c r="W366" s="243"/>
      <c r="X366" s="243"/>
      <c r="Y366" s="243"/>
      <c r="Z366" s="1051"/>
      <c r="AA366" s="1051"/>
      <c r="AB366" s="243"/>
      <c r="AC366" s="243"/>
      <c r="AD366" s="243"/>
      <c r="AE366" s="1051"/>
      <c r="AF366" s="1051"/>
      <c r="AG366" s="243"/>
      <c r="AH366" s="243"/>
      <c r="AI366" s="243"/>
      <c r="AJ366" s="243"/>
      <c r="AK366" s="243"/>
      <c r="AL366" s="243"/>
      <c r="AM366" s="243"/>
      <c r="AN366" s="243"/>
      <c r="AO366" s="243"/>
      <c r="AP366" s="243"/>
      <c r="AQ366" s="243"/>
      <c r="AR366" s="243"/>
      <c r="AS366" s="243"/>
      <c r="AT366" s="243"/>
      <c r="AU366" s="243"/>
      <c r="AV366" s="243"/>
      <c r="AW366" s="243"/>
      <c r="AX366" s="243"/>
      <c r="AY366" s="243"/>
      <c r="AZ366" s="243"/>
      <c r="BA366" s="243"/>
      <c r="BB366" s="243"/>
      <c r="BC366" s="243"/>
      <c r="BD366" s="657"/>
      <c r="BE366" s="243"/>
      <c r="BF366" s="243"/>
      <c r="BG366" s="243"/>
      <c r="BH366" s="243"/>
      <c r="BI366" s="243"/>
      <c r="BJ366" s="243"/>
      <c r="BK366" s="243"/>
      <c r="BL366" s="243"/>
      <c r="BM366" s="243"/>
      <c r="BN366" s="243"/>
      <c r="BO366" s="243"/>
      <c r="BP366" s="243"/>
      <c r="BQ366" s="243"/>
      <c r="BR366" s="243"/>
      <c r="BS366" s="243"/>
      <c r="BT366" s="243"/>
      <c r="BU366" s="243"/>
      <c r="BV366" s="243"/>
      <c r="BW366" s="243"/>
      <c r="BX366" s="243"/>
      <c r="BY366" s="243"/>
      <c r="BZ366" s="243"/>
      <c r="CA366" s="243"/>
      <c r="CB366" s="243"/>
      <c r="CC366" s="243"/>
      <c r="CD366" s="243"/>
      <c r="CE366" s="243"/>
      <c r="CF366" s="243"/>
      <c r="CG366" s="1283"/>
    </row>
    <row r="367" spans="1:85" ht="13.2">
      <c r="A367" s="155">
        <v>45269</v>
      </c>
      <c r="B367" s="243"/>
      <c r="C367" s="243"/>
      <c r="D367" s="243"/>
      <c r="E367" s="1271"/>
      <c r="F367" s="243"/>
      <c r="G367" s="243"/>
      <c r="H367" s="243"/>
      <c r="I367" s="243"/>
      <c r="J367" s="243"/>
      <c r="K367" s="243"/>
      <c r="L367" s="243"/>
      <c r="M367" s="243"/>
      <c r="N367" s="243"/>
      <c r="O367" s="243"/>
      <c r="P367" s="243"/>
      <c r="Q367" s="243"/>
      <c r="R367" s="243"/>
      <c r="S367" s="243"/>
      <c r="T367" s="243"/>
      <c r="U367" s="243"/>
      <c r="V367" s="243"/>
      <c r="W367" s="243"/>
      <c r="X367" s="243"/>
      <c r="Y367" s="243"/>
      <c r="Z367" s="1051"/>
      <c r="AA367" s="1051"/>
      <c r="AB367" s="243"/>
      <c r="AC367" s="243"/>
      <c r="AD367" s="243"/>
      <c r="AE367" s="1051"/>
      <c r="AF367" s="1051"/>
      <c r="AG367" s="243"/>
      <c r="AH367" s="243"/>
      <c r="AI367" s="243"/>
      <c r="AJ367" s="243"/>
      <c r="AK367" s="243"/>
      <c r="AL367" s="243"/>
      <c r="AM367" s="243"/>
      <c r="AN367" s="243"/>
      <c r="AO367" s="243"/>
      <c r="AP367" s="243"/>
      <c r="AQ367" s="243"/>
      <c r="AR367" s="243"/>
      <c r="AS367" s="243"/>
      <c r="AT367" s="243"/>
      <c r="AU367" s="243"/>
      <c r="AV367" s="243"/>
      <c r="AW367" s="243"/>
      <c r="AX367" s="243"/>
      <c r="AY367" s="243"/>
      <c r="AZ367" s="243"/>
      <c r="BA367" s="243"/>
      <c r="BB367" s="243"/>
      <c r="BC367" s="243"/>
      <c r="BD367" s="657"/>
      <c r="BE367" s="243"/>
      <c r="BF367" s="243"/>
      <c r="BG367" s="243"/>
      <c r="BH367" s="243"/>
      <c r="BI367" s="243"/>
      <c r="BJ367" s="243"/>
      <c r="BK367" s="243"/>
      <c r="BL367" s="243"/>
      <c r="BM367" s="243"/>
      <c r="BN367" s="243"/>
      <c r="BO367" s="243"/>
      <c r="BP367" s="243"/>
      <c r="BQ367" s="243"/>
      <c r="BR367" s="243"/>
      <c r="BS367" s="243"/>
      <c r="BT367" s="243"/>
      <c r="BU367" s="243"/>
      <c r="BV367" s="243"/>
      <c r="BW367" s="243"/>
      <c r="BX367" s="243"/>
      <c r="BY367" s="243"/>
      <c r="BZ367" s="243"/>
      <c r="CA367" s="243"/>
      <c r="CB367" s="243"/>
      <c r="CC367" s="243"/>
      <c r="CD367" s="243"/>
      <c r="CE367" s="243"/>
      <c r="CF367" s="243"/>
      <c r="CG367" s="1283"/>
    </row>
    <row r="368" spans="1:85" ht="13.2">
      <c r="A368" s="155">
        <v>45270</v>
      </c>
      <c r="B368" s="243"/>
      <c r="C368" s="243"/>
      <c r="D368" s="243"/>
      <c r="E368" s="1271"/>
      <c r="F368" s="243"/>
      <c r="G368" s="243"/>
      <c r="H368" s="243"/>
      <c r="I368" s="243"/>
      <c r="J368" s="243"/>
      <c r="K368" s="243"/>
      <c r="L368" s="243"/>
      <c r="M368" s="243"/>
      <c r="N368" s="243"/>
      <c r="O368" s="243"/>
      <c r="P368" s="243"/>
      <c r="Q368" s="243"/>
      <c r="R368" s="243"/>
      <c r="S368" s="243"/>
      <c r="T368" s="243"/>
      <c r="U368" s="243"/>
      <c r="V368" s="243"/>
      <c r="W368" s="243"/>
      <c r="X368" s="243"/>
      <c r="Y368" s="243"/>
      <c r="Z368" s="1051"/>
      <c r="AA368" s="1051"/>
      <c r="AB368" s="243"/>
      <c r="AC368" s="243"/>
      <c r="AD368" s="243"/>
      <c r="AE368" s="1051"/>
      <c r="AF368" s="1051"/>
      <c r="AG368" s="243"/>
      <c r="AH368" s="243"/>
      <c r="AI368" s="243"/>
      <c r="AJ368" s="243"/>
      <c r="AK368" s="243"/>
      <c r="AL368" s="243"/>
      <c r="AM368" s="243"/>
      <c r="AN368" s="243"/>
      <c r="AO368" s="243"/>
      <c r="AP368" s="243"/>
      <c r="AQ368" s="243"/>
      <c r="AR368" s="243"/>
      <c r="AS368" s="243"/>
      <c r="AT368" s="243"/>
      <c r="AU368" s="243"/>
      <c r="AV368" s="243"/>
      <c r="AW368" s="243"/>
      <c r="AX368" s="243"/>
      <c r="AY368" s="243"/>
      <c r="AZ368" s="243"/>
      <c r="BA368" s="243"/>
      <c r="BB368" s="243"/>
      <c r="BC368" s="243"/>
      <c r="BD368" s="657"/>
      <c r="BE368" s="243"/>
      <c r="BF368" s="243"/>
      <c r="BG368" s="243"/>
      <c r="BH368" s="243"/>
      <c r="BI368" s="243"/>
      <c r="BJ368" s="243"/>
      <c r="BK368" s="243"/>
      <c r="BL368" s="243"/>
      <c r="BM368" s="243"/>
      <c r="BN368" s="243"/>
      <c r="BO368" s="243"/>
      <c r="BP368" s="243"/>
      <c r="BQ368" s="243"/>
      <c r="BR368" s="243"/>
      <c r="BS368" s="243"/>
      <c r="BT368" s="243"/>
      <c r="BU368" s="243"/>
      <c r="BV368" s="243"/>
      <c r="BW368" s="243"/>
      <c r="BX368" s="243"/>
      <c r="BY368" s="243"/>
      <c r="BZ368" s="243"/>
      <c r="CA368" s="243"/>
      <c r="CB368" s="243"/>
      <c r="CC368" s="243"/>
      <c r="CD368" s="243"/>
      <c r="CE368" s="243"/>
      <c r="CF368" s="243"/>
      <c r="CG368" s="1283"/>
    </row>
    <row r="369" spans="1:85" ht="13.2">
      <c r="A369" s="155">
        <v>45271</v>
      </c>
      <c r="B369" s="243"/>
      <c r="C369" s="243"/>
      <c r="D369" s="243"/>
      <c r="E369" s="1271"/>
      <c r="F369" s="243"/>
      <c r="G369" s="243"/>
      <c r="H369" s="243"/>
      <c r="I369" s="243"/>
      <c r="J369" s="243"/>
      <c r="K369" s="243"/>
      <c r="L369" s="243"/>
      <c r="M369" s="243"/>
      <c r="N369" s="243"/>
      <c r="O369" s="243"/>
      <c r="P369" s="243"/>
      <c r="Q369" s="243"/>
      <c r="R369" s="243"/>
      <c r="S369" s="243"/>
      <c r="T369" s="243"/>
      <c r="U369" s="243"/>
      <c r="V369" s="243"/>
      <c r="W369" s="243"/>
      <c r="X369" s="243"/>
      <c r="Y369" s="243"/>
      <c r="Z369" s="1051"/>
      <c r="AA369" s="1051"/>
      <c r="AB369" s="243"/>
      <c r="AC369" s="243"/>
      <c r="AD369" s="243"/>
      <c r="AE369" s="1051"/>
      <c r="AF369" s="1051"/>
      <c r="AG369" s="243"/>
      <c r="AH369" s="243"/>
      <c r="AI369" s="243"/>
      <c r="AJ369" s="243"/>
      <c r="AK369" s="243"/>
      <c r="AL369" s="243"/>
      <c r="AM369" s="243"/>
      <c r="AN369" s="243"/>
      <c r="AO369" s="243"/>
      <c r="AP369" s="243"/>
      <c r="AQ369" s="243"/>
      <c r="AR369" s="243"/>
      <c r="AS369" s="243"/>
      <c r="AT369" s="243"/>
      <c r="AU369" s="243"/>
      <c r="AV369" s="243"/>
      <c r="AW369" s="243"/>
      <c r="AX369" s="243"/>
      <c r="AY369" s="243"/>
      <c r="AZ369" s="243"/>
      <c r="BA369" s="243"/>
      <c r="BB369" s="243"/>
      <c r="BC369" s="243"/>
      <c r="BD369" s="657"/>
      <c r="BE369" s="243"/>
      <c r="BF369" s="243"/>
      <c r="BG369" s="243"/>
      <c r="BH369" s="243"/>
      <c r="BI369" s="243"/>
      <c r="BJ369" s="243"/>
      <c r="BK369" s="243"/>
      <c r="BL369" s="243"/>
      <c r="BM369" s="243"/>
      <c r="BN369" s="243"/>
      <c r="BO369" s="243"/>
      <c r="BP369" s="243"/>
      <c r="BQ369" s="243"/>
      <c r="BR369" s="243"/>
      <c r="BS369" s="243"/>
      <c r="BT369" s="243"/>
      <c r="BU369" s="243"/>
      <c r="BV369" s="243"/>
      <c r="BW369" s="243"/>
      <c r="BX369" s="243"/>
      <c r="BY369" s="243"/>
      <c r="BZ369" s="243"/>
      <c r="CA369" s="243"/>
      <c r="CB369" s="243"/>
      <c r="CC369" s="243"/>
      <c r="CD369" s="243"/>
      <c r="CE369" s="243"/>
      <c r="CF369" s="243"/>
      <c r="CG369" s="1283"/>
    </row>
    <row r="370" spans="1:85" ht="13.2">
      <c r="A370" s="155">
        <v>45272</v>
      </c>
      <c r="B370" s="367"/>
      <c r="C370" s="243"/>
      <c r="D370" s="243"/>
      <c r="E370" s="1271"/>
      <c r="F370" s="243"/>
      <c r="G370" s="243"/>
      <c r="H370" s="243"/>
      <c r="I370" s="243"/>
      <c r="J370" s="243"/>
      <c r="K370" s="243"/>
      <c r="L370" s="243"/>
      <c r="M370" s="243"/>
      <c r="N370" s="243"/>
      <c r="O370" s="243"/>
      <c r="P370" s="243"/>
      <c r="Q370" s="243"/>
      <c r="R370" s="243"/>
      <c r="S370" s="243"/>
      <c r="T370" s="243"/>
      <c r="U370" s="243"/>
      <c r="V370" s="243"/>
      <c r="W370" s="243"/>
      <c r="X370" s="243"/>
      <c r="Y370" s="243"/>
      <c r="Z370" s="1051"/>
      <c r="AA370" s="1051"/>
      <c r="AB370" s="243"/>
      <c r="AC370" s="243"/>
      <c r="AD370" s="243"/>
      <c r="AE370" s="1051"/>
      <c r="AF370" s="1051"/>
      <c r="AG370" s="243"/>
      <c r="AH370" s="243"/>
      <c r="AI370" s="243"/>
      <c r="AJ370" s="243"/>
      <c r="AK370" s="243"/>
      <c r="AL370" s="243"/>
      <c r="AM370" s="243"/>
      <c r="AN370" s="243"/>
      <c r="AO370" s="243"/>
      <c r="AP370" s="243"/>
      <c r="AQ370" s="243"/>
      <c r="AR370" s="243"/>
      <c r="AS370" s="243"/>
      <c r="AT370" s="243"/>
      <c r="AU370" s="243"/>
      <c r="AV370" s="243"/>
      <c r="AW370" s="243"/>
      <c r="AX370" s="243"/>
      <c r="AY370" s="243"/>
      <c r="AZ370" s="243"/>
      <c r="BA370" s="243"/>
      <c r="BB370" s="243"/>
      <c r="BC370" s="243"/>
      <c r="BD370" s="657"/>
      <c r="BE370" s="243"/>
      <c r="BF370" s="243"/>
      <c r="BG370" s="243"/>
      <c r="BH370" s="243"/>
      <c r="BI370" s="243"/>
      <c r="BJ370" s="243"/>
      <c r="BK370" s="243"/>
      <c r="BL370" s="243"/>
      <c r="BM370" s="243"/>
      <c r="BN370" s="243"/>
      <c r="BO370" s="243"/>
      <c r="BP370" s="243"/>
      <c r="BQ370" s="243"/>
      <c r="BR370" s="243"/>
      <c r="BS370" s="243"/>
      <c r="BT370" s="243"/>
      <c r="BU370" s="243"/>
      <c r="BV370" s="243"/>
      <c r="BW370" s="243"/>
      <c r="BX370" s="243"/>
      <c r="BY370" s="243"/>
      <c r="BZ370" s="243"/>
      <c r="CA370" s="243"/>
      <c r="CB370" s="243"/>
      <c r="CC370" s="243"/>
      <c r="CD370" s="243"/>
      <c r="CE370" s="243"/>
      <c r="CF370" s="243"/>
      <c r="CG370" s="1283"/>
    </row>
    <row r="371" spans="1:85" ht="13.2">
      <c r="A371" s="155">
        <v>45273</v>
      </c>
      <c r="B371" s="367"/>
      <c r="C371" s="243"/>
      <c r="D371" s="243"/>
      <c r="E371" s="1271"/>
      <c r="F371" s="243"/>
      <c r="G371" s="243"/>
      <c r="H371" s="243"/>
      <c r="I371" s="243"/>
      <c r="J371" s="243"/>
      <c r="K371" s="243"/>
      <c r="L371" s="243"/>
      <c r="M371" s="243"/>
      <c r="N371" s="243"/>
      <c r="O371" s="243"/>
      <c r="P371" s="243"/>
      <c r="Q371" s="243"/>
      <c r="R371" s="243"/>
      <c r="S371" s="243"/>
      <c r="T371" s="243"/>
      <c r="U371" s="243"/>
      <c r="V371" s="243"/>
      <c r="W371" s="243"/>
      <c r="X371" s="243"/>
      <c r="Y371" s="243"/>
      <c r="Z371" s="1051"/>
      <c r="AA371" s="1051"/>
      <c r="AB371" s="243"/>
      <c r="AC371" s="243"/>
      <c r="AD371" s="243"/>
      <c r="AE371" s="1051"/>
      <c r="AF371" s="1051"/>
      <c r="AG371" s="243"/>
      <c r="AH371" s="243"/>
      <c r="AI371" s="243"/>
      <c r="AJ371" s="243"/>
      <c r="AK371" s="243"/>
      <c r="AL371" s="243"/>
      <c r="AM371" s="243"/>
      <c r="AN371" s="243"/>
      <c r="AO371" s="243"/>
      <c r="AP371" s="243"/>
      <c r="AQ371" s="243"/>
      <c r="AR371" s="243"/>
      <c r="AS371" s="243"/>
      <c r="AT371" s="243"/>
      <c r="AU371" s="243"/>
      <c r="AV371" s="243"/>
      <c r="AW371" s="243"/>
      <c r="AX371" s="243"/>
      <c r="AY371" s="243"/>
      <c r="AZ371" s="243"/>
      <c r="BA371" s="243"/>
      <c r="BB371" s="243"/>
      <c r="BC371" s="243"/>
      <c r="BD371" s="657"/>
      <c r="BE371" s="243"/>
      <c r="BF371" s="243"/>
      <c r="BG371" s="243"/>
      <c r="BH371" s="243"/>
      <c r="BI371" s="243"/>
      <c r="BJ371" s="243"/>
      <c r="BK371" s="243"/>
      <c r="BL371" s="243"/>
      <c r="BM371" s="243"/>
      <c r="BN371" s="243"/>
      <c r="BO371" s="243"/>
      <c r="BP371" s="243"/>
      <c r="BQ371" s="243"/>
      <c r="BR371" s="243"/>
      <c r="BS371" s="243"/>
      <c r="BT371" s="243"/>
      <c r="BU371" s="243"/>
      <c r="BV371" s="243"/>
      <c r="BW371" s="243"/>
      <c r="BX371" s="243"/>
      <c r="BY371" s="243"/>
      <c r="BZ371" s="243"/>
      <c r="CA371" s="243"/>
      <c r="CB371" s="243"/>
      <c r="CC371" s="243"/>
      <c r="CD371" s="243"/>
      <c r="CE371" s="243"/>
      <c r="CF371" s="243"/>
      <c r="CG371" s="1283"/>
    </row>
    <row r="372" spans="1:85" ht="13.2">
      <c r="A372" s="155">
        <v>45274</v>
      </c>
      <c r="B372" s="367"/>
      <c r="C372" s="243"/>
      <c r="D372" s="243"/>
      <c r="E372" s="1271"/>
      <c r="F372" s="243"/>
      <c r="G372" s="243"/>
      <c r="H372" s="243"/>
      <c r="I372" s="243"/>
      <c r="J372" s="243"/>
      <c r="K372" s="243"/>
      <c r="L372" s="243"/>
      <c r="M372" s="243"/>
      <c r="N372" s="243"/>
      <c r="O372" s="243"/>
      <c r="P372" s="243"/>
      <c r="Q372" s="243"/>
      <c r="R372" s="243"/>
      <c r="S372" s="243"/>
      <c r="T372" s="243"/>
      <c r="U372" s="243"/>
      <c r="V372" s="243"/>
      <c r="W372" s="243"/>
      <c r="X372" s="243"/>
      <c r="Y372" s="243"/>
      <c r="Z372" s="1051"/>
      <c r="AA372" s="1051"/>
      <c r="AB372" s="243"/>
      <c r="AC372" s="243"/>
      <c r="AD372" s="243"/>
      <c r="AE372" s="1051"/>
      <c r="AF372" s="1051"/>
      <c r="AG372" s="243"/>
      <c r="AH372" s="243"/>
      <c r="AI372" s="243"/>
      <c r="AJ372" s="243"/>
      <c r="AK372" s="243"/>
      <c r="AL372" s="243"/>
      <c r="AM372" s="243"/>
      <c r="AN372" s="243"/>
      <c r="AO372" s="243"/>
      <c r="AP372" s="243"/>
      <c r="AQ372" s="243"/>
      <c r="AR372" s="243"/>
      <c r="AS372" s="243"/>
      <c r="AT372" s="243"/>
      <c r="AU372" s="243"/>
      <c r="AV372" s="243"/>
      <c r="AW372" s="243"/>
      <c r="AX372" s="243"/>
      <c r="AY372" s="243"/>
      <c r="AZ372" s="243"/>
      <c r="BA372" s="243"/>
      <c r="BB372" s="243"/>
      <c r="BC372" s="243"/>
      <c r="BD372" s="657"/>
      <c r="BE372" s="243"/>
      <c r="BF372" s="243"/>
      <c r="BG372" s="243"/>
      <c r="BH372" s="243"/>
      <c r="BI372" s="243"/>
      <c r="BJ372" s="243"/>
      <c r="BK372" s="243"/>
      <c r="BL372" s="243"/>
      <c r="BM372" s="243"/>
      <c r="BN372" s="243"/>
      <c r="BO372" s="243"/>
      <c r="BP372" s="243"/>
      <c r="BQ372" s="243"/>
      <c r="BR372" s="243"/>
      <c r="BS372" s="243"/>
      <c r="BT372" s="243"/>
      <c r="BU372" s="243"/>
      <c r="BV372" s="243"/>
      <c r="BW372" s="243"/>
      <c r="BX372" s="243"/>
      <c r="BY372" s="243"/>
      <c r="BZ372" s="243"/>
      <c r="CA372" s="243"/>
      <c r="CB372" s="243"/>
      <c r="CC372" s="243"/>
      <c r="CD372" s="243"/>
      <c r="CE372" s="243"/>
      <c r="CF372" s="243"/>
      <c r="CG372" s="1283"/>
    </row>
    <row r="373" spans="1:85" ht="13.2">
      <c r="A373" s="155">
        <v>45275</v>
      </c>
      <c r="B373" s="367"/>
      <c r="C373" s="243"/>
      <c r="D373" s="243"/>
      <c r="E373" s="1271"/>
      <c r="F373" s="981"/>
      <c r="G373" s="243"/>
      <c r="H373" s="243"/>
      <c r="I373" s="981"/>
      <c r="J373" s="981"/>
      <c r="K373" s="981"/>
      <c r="L373" s="981"/>
      <c r="M373" s="243"/>
      <c r="N373" s="243"/>
      <c r="O373" s="981"/>
      <c r="P373" s="981"/>
      <c r="Q373" s="981"/>
      <c r="R373" s="981"/>
      <c r="S373" s="981"/>
      <c r="T373" s="981"/>
      <c r="U373" s="243"/>
      <c r="V373" s="243"/>
      <c r="W373" s="981"/>
      <c r="X373" s="981"/>
      <c r="Y373" s="981"/>
      <c r="Z373" s="1051"/>
      <c r="AA373" s="1051"/>
      <c r="AB373" s="981"/>
      <c r="AC373" s="981"/>
      <c r="AD373" s="981"/>
      <c r="AE373" s="1051"/>
      <c r="AF373" s="1051"/>
      <c r="AG373" s="981"/>
      <c r="AH373" s="981"/>
      <c r="AI373" s="981"/>
      <c r="AJ373" s="981"/>
      <c r="AK373" s="981"/>
      <c r="AL373" s="981"/>
      <c r="AM373" s="981"/>
      <c r="AN373" s="981"/>
      <c r="AO373" s="243"/>
      <c r="AP373" s="243"/>
      <c r="AQ373" s="981"/>
      <c r="AR373" s="981"/>
      <c r="AS373" s="981"/>
      <c r="AT373" s="981"/>
      <c r="AU373" s="981"/>
      <c r="AV373" s="981"/>
      <c r="AW373" s="981"/>
      <c r="AX373" s="981"/>
      <c r="AY373" s="981"/>
      <c r="AZ373" s="243"/>
      <c r="BA373" s="243"/>
      <c r="BB373" s="243"/>
      <c r="BC373" s="243"/>
      <c r="BD373" s="657"/>
      <c r="BE373" s="981"/>
      <c r="BF373" s="981"/>
      <c r="BG373" s="981"/>
      <c r="BH373" s="981"/>
      <c r="BI373" s="981"/>
      <c r="BJ373" s="981"/>
      <c r="BK373" s="981"/>
      <c r="BL373" s="981"/>
      <c r="BM373" s="243"/>
      <c r="BN373" s="243"/>
      <c r="BO373" s="981"/>
      <c r="BP373" s="981"/>
      <c r="BQ373" s="981"/>
      <c r="BR373" s="243"/>
      <c r="BS373" s="243"/>
      <c r="BT373" s="243"/>
      <c r="BU373" s="243"/>
      <c r="BV373" s="243"/>
      <c r="BW373" s="243"/>
      <c r="BX373" s="981"/>
      <c r="BY373" s="981"/>
      <c r="BZ373" s="981"/>
      <c r="CA373" s="981"/>
      <c r="CB373" s="981"/>
      <c r="CC373" s="981"/>
      <c r="CD373" s="981"/>
      <c r="CE373" s="981"/>
      <c r="CF373" s="981"/>
      <c r="CG373" s="1283"/>
    </row>
    <row r="374" spans="1:85" ht="13.2">
      <c r="A374" s="155">
        <v>45276</v>
      </c>
      <c r="B374" s="367"/>
      <c r="C374" s="243"/>
      <c r="D374" s="243"/>
      <c r="E374" s="1271"/>
      <c r="F374" s="981"/>
      <c r="G374" s="243"/>
      <c r="H374" s="243"/>
      <c r="I374" s="981"/>
      <c r="J374" s="981"/>
      <c r="K374" s="243"/>
      <c r="L374" s="243"/>
      <c r="M374" s="243"/>
      <c r="N374" s="243"/>
      <c r="O374" s="981"/>
      <c r="P374" s="981"/>
      <c r="Q374" s="981"/>
      <c r="R374" s="981"/>
      <c r="S374" s="981"/>
      <c r="T374" s="981"/>
      <c r="U374" s="243"/>
      <c r="V374" s="243"/>
      <c r="W374" s="981"/>
      <c r="X374" s="981"/>
      <c r="Y374" s="981"/>
      <c r="Z374" s="1051"/>
      <c r="AA374" s="1051"/>
      <c r="AB374" s="981"/>
      <c r="AC374" s="981"/>
      <c r="AD374" s="981"/>
      <c r="AE374" s="1051"/>
      <c r="AF374" s="1051"/>
      <c r="AG374" s="243"/>
      <c r="AH374" s="243"/>
      <c r="AI374" s="981"/>
      <c r="AJ374" s="981"/>
      <c r="AK374" s="981"/>
      <c r="AL374" s="981"/>
      <c r="AM374" s="981"/>
      <c r="AN374" s="981"/>
      <c r="AO374" s="243"/>
      <c r="AP374" s="243"/>
      <c r="AQ374" s="981"/>
      <c r="AR374" s="981"/>
      <c r="AS374" s="981"/>
      <c r="AT374" s="243"/>
      <c r="AU374" s="981"/>
      <c r="AV374" s="981"/>
      <c r="AW374" s="981"/>
      <c r="AX374" s="981"/>
      <c r="AY374" s="981"/>
      <c r="AZ374" s="243"/>
      <c r="BA374" s="243"/>
      <c r="BB374" s="243"/>
      <c r="BC374" s="243"/>
      <c r="BD374" s="657"/>
      <c r="BE374" s="981"/>
      <c r="BF374" s="981"/>
      <c r="BG374" s="981"/>
      <c r="BH374" s="981"/>
      <c r="BI374" s="981"/>
      <c r="BJ374" s="981"/>
      <c r="BK374" s="981"/>
      <c r="BL374" s="981"/>
      <c r="BM374" s="243"/>
      <c r="BN374" s="243"/>
      <c r="BO374" s="981"/>
      <c r="BP374" s="981"/>
      <c r="BQ374" s="981"/>
      <c r="BR374" s="243"/>
      <c r="BS374" s="243"/>
      <c r="BT374" s="243"/>
      <c r="BU374" s="243"/>
      <c r="BV374" s="243"/>
      <c r="BW374" s="243"/>
      <c r="BX374" s="981"/>
      <c r="BY374" s="981"/>
      <c r="BZ374" s="981"/>
      <c r="CA374" s="981"/>
      <c r="CB374" s="981"/>
      <c r="CC374" s="981"/>
      <c r="CD374" s="981"/>
      <c r="CE374" s="981"/>
      <c r="CF374" s="981"/>
      <c r="CG374" s="1283"/>
    </row>
    <row r="375" spans="1:85" ht="13.2">
      <c r="A375" s="155">
        <v>45277</v>
      </c>
      <c r="B375" s="367"/>
      <c r="C375" s="243"/>
      <c r="D375" s="243"/>
      <c r="E375" s="1271"/>
      <c r="F375" s="243"/>
      <c r="G375" s="243"/>
      <c r="H375" s="243"/>
      <c r="I375" s="243"/>
      <c r="J375" s="243"/>
      <c r="K375" s="243"/>
      <c r="L375" s="243"/>
      <c r="M375" s="243"/>
      <c r="N375" s="243"/>
      <c r="O375" s="243"/>
      <c r="P375" s="243"/>
      <c r="Q375" s="243"/>
      <c r="R375" s="243"/>
      <c r="S375" s="243"/>
      <c r="T375" s="243"/>
      <c r="U375" s="243"/>
      <c r="V375" s="243"/>
      <c r="W375" s="243"/>
      <c r="X375" s="243"/>
      <c r="Y375" s="243"/>
      <c r="Z375" s="1051"/>
      <c r="AA375" s="1051"/>
      <c r="AB375" s="243"/>
      <c r="AC375" s="243"/>
      <c r="AD375" s="243"/>
      <c r="AE375" s="1051"/>
      <c r="AF375" s="1051"/>
      <c r="AG375" s="243"/>
      <c r="AH375" s="243"/>
      <c r="AI375" s="243"/>
      <c r="AJ375" s="243"/>
      <c r="AK375" s="243"/>
      <c r="AL375" s="243"/>
      <c r="AM375" s="243"/>
      <c r="AN375" s="243"/>
      <c r="AO375" s="243"/>
      <c r="AP375" s="243"/>
      <c r="AQ375" s="243"/>
      <c r="AR375" s="243"/>
      <c r="AS375" s="243"/>
      <c r="AT375" s="243"/>
      <c r="AU375" s="243"/>
      <c r="AV375" s="243"/>
      <c r="AW375" s="243"/>
      <c r="AX375" s="243"/>
      <c r="AY375" s="243"/>
      <c r="AZ375" s="243"/>
      <c r="BA375" s="243"/>
      <c r="BB375" s="243"/>
      <c r="BC375" s="243"/>
      <c r="BD375" s="657"/>
      <c r="BE375" s="243"/>
      <c r="BF375" s="243"/>
      <c r="BG375" s="243"/>
      <c r="BH375" s="243"/>
      <c r="BI375" s="243"/>
      <c r="BJ375" s="243"/>
      <c r="BK375" s="243"/>
      <c r="BL375" s="243"/>
      <c r="BM375" s="243"/>
      <c r="BN375" s="243"/>
      <c r="BO375" s="243"/>
      <c r="BP375" s="243"/>
      <c r="BQ375" s="243"/>
      <c r="BR375" s="243"/>
      <c r="BS375" s="243"/>
      <c r="BT375" s="243"/>
      <c r="BU375" s="243"/>
      <c r="BV375" s="243"/>
      <c r="BW375" s="243"/>
      <c r="BX375" s="243"/>
      <c r="BY375" s="243"/>
      <c r="BZ375" s="243"/>
      <c r="CA375" s="243"/>
      <c r="CB375" s="243"/>
      <c r="CC375" s="243"/>
      <c r="CD375" s="243"/>
      <c r="CE375" s="981"/>
      <c r="CF375" s="981"/>
      <c r="CG375" s="1283"/>
    </row>
    <row r="376" spans="1:85" ht="13.2">
      <c r="A376" s="155">
        <v>45278</v>
      </c>
      <c r="B376" s="367"/>
      <c r="C376" s="243"/>
      <c r="D376" s="243"/>
      <c r="E376" s="1271"/>
      <c r="F376" s="243"/>
      <c r="G376" s="243"/>
      <c r="H376" s="243"/>
      <c r="I376" s="243"/>
      <c r="J376" s="243"/>
      <c r="K376" s="243"/>
      <c r="L376" s="243"/>
      <c r="M376" s="243"/>
      <c r="N376" s="243"/>
      <c r="O376" s="243"/>
      <c r="P376" s="243"/>
      <c r="Q376" s="243"/>
      <c r="R376" s="243"/>
      <c r="S376" s="243"/>
      <c r="T376" s="243"/>
      <c r="U376" s="243"/>
      <c r="V376" s="243"/>
      <c r="W376" s="243"/>
      <c r="X376" s="243"/>
      <c r="Y376" s="243"/>
      <c r="Z376" s="1051"/>
      <c r="AA376" s="1051"/>
      <c r="AB376" s="243"/>
      <c r="AC376" s="243"/>
      <c r="AD376" s="243"/>
      <c r="AE376" s="1051"/>
      <c r="AF376" s="1051"/>
      <c r="AG376" s="243"/>
      <c r="AH376" s="243"/>
      <c r="AI376" s="243"/>
      <c r="AJ376" s="243"/>
      <c r="AK376" s="243"/>
      <c r="AL376" s="243"/>
      <c r="AM376" s="243"/>
      <c r="AN376" s="243"/>
      <c r="AO376" s="243"/>
      <c r="AP376" s="243"/>
      <c r="AQ376" s="243"/>
      <c r="AR376" s="243"/>
      <c r="AS376" s="243"/>
      <c r="AT376" s="243"/>
      <c r="AU376" s="243"/>
      <c r="AV376" s="243"/>
      <c r="AW376" s="243"/>
      <c r="AX376" s="243"/>
      <c r="AY376" s="243"/>
      <c r="AZ376" s="243"/>
      <c r="BA376" s="243"/>
      <c r="BB376" s="243"/>
      <c r="BC376" s="243"/>
      <c r="BD376" s="657"/>
      <c r="BE376" s="243"/>
      <c r="BF376" s="243"/>
      <c r="BG376" s="243"/>
      <c r="BH376" s="243"/>
      <c r="BI376" s="243"/>
      <c r="BJ376" s="243"/>
      <c r="BK376" s="243"/>
      <c r="BL376" s="243"/>
      <c r="BM376" s="243"/>
      <c r="BN376" s="243"/>
      <c r="BO376" s="243"/>
      <c r="BP376" s="243"/>
      <c r="BQ376" s="243"/>
      <c r="BR376" s="243"/>
      <c r="BS376" s="243"/>
      <c r="BT376" s="243"/>
      <c r="BU376" s="243"/>
      <c r="BV376" s="243"/>
      <c r="BW376" s="243"/>
      <c r="BX376" s="243"/>
      <c r="BY376" s="243"/>
      <c r="BZ376" s="243"/>
      <c r="CA376" s="243"/>
      <c r="CB376" s="243"/>
      <c r="CC376" s="243"/>
      <c r="CD376" s="243"/>
      <c r="CE376" s="243"/>
      <c r="CF376" s="243"/>
      <c r="CG376" s="1283"/>
    </row>
    <row r="377" spans="1:85" ht="13.2">
      <c r="A377" s="155">
        <v>45279</v>
      </c>
      <c r="B377" s="367"/>
      <c r="C377" s="243"/>
      <c r="D377" s="243"/>
      <c r="E377" s="1271"/>
      <c r="F377" s="243"/>
      <c r="G377" s="243"/>
      <c r="H377" s="243"/>
      <c r="I377" s="243"/>
      <c r="J377" s="243"/>
      <c r="K377" s="243"/>
      <c r="L377" s="243"/>
      <c r="M377" s="243"/>
      <c r="N377" s="243"/>
      <c r="O377" s="243"/>
      <c r="P377" s="243"/>
      <c r="Q377" s="243"/>
      <c r="R377" s="243"/>
      <c r="S377" s="243"/>
      <c r="T377" s="243"/>
      <c r="U377" s="243"/>
      <c r="V377" s="243"/>
      <c r="W377" s="243"/>
      <c r="X377" s="243"/>
      <c r="Y377" s="243"/>
      <c r="Z377" s="1051"/>
      <c r="AA377" s="1051"/>
      <c r="AB377" s="243"/>
      <c r="AC377" s="243"/>
      <c r="AD377" s="243"/>
      <c r="AE377" s="1051"/>
      <c r="AF377" s="1051"/>
      <c r="AG377" s="243"/>
      <c r="AH377" s="243"/>
      <c r="AI377" s="243"/>
      <c r="AJ377" s="243"/>
      <c r="AK377" s="243"/>
      <c r="AL377" s="243"/>
      <c r="AM377" s="243"/>
      <c r="AN377" s="243"/>
      <c r="AO377" s="243"/>
      <c r="AP377" s="243"/>
      <c r="AQ377" s="243"/>
      <c r="AR377" s="243"/>
      <c r="AS377" s="243"/>
      <c r="AT377" s="243"/>
      <c r="AU377" s="243"/>
      <c r="AV377" s="243"/>
      <c r="AW377" s="243"/>
      <c r="AX377" s="243"/>
      <c r="AY377" s="243"/>
      <c r="AZ377" s="243"/>
      <c r="BA377" s="243"/>
      <c r="BB377" s="243"/>
      <c r="BC377" s="243"/>
      <c r="BD377" s="657"/>
      <c r="BE377" s="243"/>
      <c r="BF377" s="243"/>
      <c r="BG377" s="243"/>
      <c r="BH377" s="243"/>
      <c r="BI377" s="243"/>
      <c r="BJ377" s="243"/>
      <c r="BK377" s="243"/>
      <c r="BL377" s="243"/>
      <c r="BM377" s="243"/>
      <c r="BN377" s="243"/>
      <c r="BO377" s="243"/>
      <c r="BP377" s="243"/>
      <c r="BQ377" s="243"/>
      <c r="BR377" s="243"/>
      <c r="BS377" s="243"/>
      <c r="BT377" s="243"/>
      <c r="BU377" s="243"/>
      <c r="BV377" s="243"/>
      <c r="BW377" s="243"/>
      <c r="BX377" s="243"/>
      <c r="BY377" s="243"/>
      <c r="BZ377" s="243"/>
      <c r="CA377" s="243"/>
      <c r="CB377" s="243"/>
      <c r="CC377" s="243"/>
      <c r="CD377" s="243"/>
      <c r="CE377" s="243"/>
      <c r="CF377" s="243"/>
      <c r="CG377" s="1283"/>
    </row>
    <row r="378" spans="1:85" ht="13.2">
      <c r="A378" s="155">
        <v>45280</v>
      </c>
      <c r="B378" s="367"/>
      <c r="C378" s="243"/>
      <c r="D378" s="243"/>
      <c r="E378" s="1270"/>
      <c r="F378" s="243"/>
      <c r="G378" s="243"/>
      <c r="H378" s="243"/>
      <c r="I378" s="243"/>
      <c r="J378" s="243"/>
      <c r="K378" s="243"/>
      <c r="L378" s="243"/>
      <c r="M378" s="243"/>
      <c r="N378" s="243"/>
      <c r="O378" s="243"/>
      <c r="P378" s="243"/>
      <c r="Q378" s="243"/>
      <c r="R378" s="243"/>
      <c r="S378" s="243"/>
      <c r="T378" s="243"/>
      <c r="U378" s="243"/>
      <c r="V378" s="243"/>
      <c r="W378" s="243"/>
      <c r="X378" s="243"/>
      <c r="Y378" s="243"/>
      <c r="Z378" s="1051"/>
      <c r="AA378" s="1051"/>
      <c r="AB378" s="243"/>
      <c r="AC378" s="243"/>
      <c r="AD378" s="243"/>
      <c r="AE378" s="1051"/>
      <c r="AF378" s="1051"/>
      <c r="AG378" s="243"/>
      <c r="AH378" s="243"/>
      <c r="AI378" s="243"/>
      <c r="AJ378" s="243"/>
      <c r="AK378" s="243"/>
      <c r="AL378" s="243"/>
      <c r="AM378" s="243"/>
      <c r="AN378" s="243"/>
      <c r="AO378" s="243"/>
      <c r="AP378" s="243"/>
      <c r="AQ378" s="243"/>
      <c r="AR378" s="243"/>
      <c r="AS378" s="243"/>
      <c r="AT378" s="243"/>
      <c r="AU378" s="243"/>
      <c r="AV378" s="243"/>
      <c r="AW378" s="243"/>
      <c r="AX378" s="243"/>
      <c r="AY378" s="243"/>
      <c r="AZ378" s="243"/>
      <c r="BA378" s="243"/>
      <c r="BB378" s="243"/>
      <c r="BC378" s="243"/>
      <c r="BD378" s="657"/>
      <c r="BE378" s="243"/>
      <c r="BF378" s="243"/>
      <c r="BG378" s="243"/>
      <c r="BH378" s="243"/>
      <c r="BI378" s="243"/>
      <c r="BJ378" s="243"/>
      <c r="BK378" s="243"/>
      <c r="BL378" s="243"/>
      <c r="BM378" s="243"/>
      <c r="BN378" s="243"/>
      <c r="BO378" s="243"/>
      <c r="BP378" s="243"/>
      <c r="BQ378" s="243"/>
      <c r="BR378" s="243"/>
      <c r="BS378" s="243"/>
      <c r="BT378" s="243"/>
      <c r="BU378" s="243"/>
      <c r="BV378" s="243"/>
      <c r="BW378" s="243"/>
      <c r="BX378" s="243"/>
      <c r="BY378" s="243"/>
      <c r="BZ378" s="243"/>
      <c r="CA378" s="243"/>
      <c r="CB378" s="243"/>
      <c r="CC378" s="243"/>
      <c r="CD378" s="243"/>
      <c r="CE378" s="243"/>
      <c r="CF378" s="243"/>
      <c r="CG378" s="1283"/>
    </row>
    <row r="379" spans="1:85" ht="13.2">
      <c r="A379" s="155">
        <v>45281</v>
      </c>
      <c r="B379" s="367"/>
      <c r="C379" s="243"/>
      <c r="D379" s="243"/>
      <c r="E379" s="1270"/>
      <c r="F379" s="243"/>
      <c r="G379" s="243"/>
      <c r="H379" s="243"/>
      <c r="I379" s="243"/>
      <c r="J379" s="243"/>
      <c r="K379" s="243"/>
      <c r="L379" s="243"/>
      <c r="M379" s="243"/>
      <c r="N379" s="243"/>
      <c r="O379" s="243"/>
      <c r="P379" s="243"/>
      <c r="Q379" s="243"/>
      <c r="R379" s="243"/>
      <c r="S379" s="243"/>
      <c r="T379" s="243"/>
      <c r="U379" s="243"/>
      <c r="V379" s="243"/>
      <c r="W379" s="243"/>
      <c r="X379" s="243"/>
      <c r="Y379" s="243"/>
      <c r="Z379" s="1051"/>
      <c r="AA379" s="1051"/>
      <c r="AB379" s="243"/>
      <c r="AC379" s="243"/>
      <c r="AD379" s="243"/>
      <c r="AE379" s="1051"/>
      <c r="AF379" s="1051"/>
      <c r="AG379" s="243"/>
      <c r="AH379" s="243"/>
      <c r="AI379" s="243"/>
      <c r="AJ379" s="243"/>
      <c r="AK379" s="243"/>
      <c r="AL379" s="243"/>
      <c r="AM379" s="243"/>
      <c r="AN379" s="243"/>
      <c r="AO379" s="243"/>
      <c r="AP379" s="243"/>
      <c r="AQ379" s="243"/>
      <c r="AR379" s="243"/>
      <c r="AS379" s="243"/>
      <c r="AT379" s="243"/>
      <c r="AU379" s="243"/>
      <c r="AV379" s="243"/>
      <c r="AW379" s="243"/>
      <c r="AX379" s="243"/>
      <c r="AY379" s="243"/>
      <c r="AZ379" s="243"/>
      <c r="BA379" s="243"/>
      <c r="BB379" s="243"/>
      <c r="BC379" s="243"/>
      <c r="BD379" s="657"/>
      <c r="BE379" s="243"/>
      <c r="BF379" s="243"/>
      <c r="BG379" s="243"/>
      <c r="BH379" s="243"/>
      <c r="BI379" s="243"/>
      <c r="BJ379" s="243"/>
      <c r="BK379" s="243"/>
      <c r="BL379" s="243"/>
      <c r="BM379" s="243"/>
      <c r="BN379" s="243"/>
      <c r="BO379" s="243"/>
      <c r="BP379" s="243"/>
      <c r="BQ379" s="243"/>
      <c r="BR379" s="243"/>
      <c r="BS379" s="243"/>
      <c r="BT379" s="243"/>
      <c r="BU379" s="243"/>
      <c r="BV379" s="243"/>
      <c r="BW379" s="243"/>
      <c r="BX379" s="243"/>
      <c r="BY379" s="243"/>
      <c r="BZ379" s="243"/>
      <c r="CA379" s="243"/>
      <c r="CB379" s="243"/>
      <c r="CC379" s="243"/>
      <c r="CD379" s="243"/>
      <c r="CE379" s="243"/>
      <c r="CF379" s="243"/>
      <c r="CG379" s="1283"/>
    </row>
    <row r="380" spans="1:85" ht="13.2">
      <c r="A380" s="155">
        <v>45282</v>
      </c>
      <c r="B380" s="367"/>
      <c r="C380" s="243"/>
      <c r="D380" s="243"/>
      <c r="E380" s="1270"/>
      <c r="F380" s="243"/>
      <c r="G380" s="243"/>
      <c r="H380" s="243"/>
      <c r="I380" s="243"/>
      <c r="J380" s="243"/>
      <c r="K380" s="243"/>
      <c r="L380" s="243"/>
      <c r="M380" s="243"/>
      <c r="N380" s="243"/>
      <c r="O380" s="243"/>
      <c r="P380" s="243"/>
      <c r="Q380" s="243"/>
      <c r="R380" s="243"/>
      <c r="S380" s="243"/>
      <c r="T380" s="243"/>
      <c r="U380" s="243"/>
      <c r="V380" s="243"/>
      <c r="W380" s="243"/>
      <c r="X380" s="243"/>
      <c r="Y380" s="243"/>
      <c r="Z380" s="1051"/>
      <c r="AA380" s="1051"/>
      <c r="AB380" s="243"/>
      <c r="AC380" s="243"/>
      <c r="AD380" s="243"/>
      <c r="AE380" s="1051"/>
      <c r="AF380" s="1051"/>
      <c r="AG380" s="243"/>
      <c r="AH380" s="243"/>
      <c r="AI380" s="243"/>
      <c r="AJ380" s="243"/>
      <c r="AK380" s="243"/>
      <c r="AL380" s="243"/>
      <c r="AM380" s="243"/>
      <c r="AN380" s="243"/>
      <c r="AO380" s="243"/>
      <c r="AP380" s="243"/>
      <c r="AQ380" s="243"/>
      <c r="AR380" s="243"/>
      <c r="AS380" s="243"/>
      <c r="AT380" s="243"/>
      <c r="AU380" s="243"/>
      <c r="AV380" s="243"/>
      <c r="AW380" s="243"/>
      <c r="AX380" s="243"/>
      <c r="AY380" s="243"/>
      <c r="AZ380" s="243"/>
      <c r="BA380" s="243"/>
      <c r="BB380" s="243"/>
      <c r="BC380" s="243"/>
      <c r="BD380" s="657"/>
      <c r="BE380" s="243"/>
      <c r="BF380" s="243"/>
      <c r="BG380" s="243"/>
      <c r="BH380" s="243"/>
      <c r="BI380" s="243"/>
      <c r="BJ380" s="243"/>
      <c r="BK380" s="243"/>
      <c r="BL380" s="243"/>
      <c r="BM380" s="243"/>
      <c r="BN380" s="243"/>
      <c r="BO380" s="243"/>
      <c r="BP380" s="243"/>
      <c r="BQ380" s="243"/>
      <c r="BR380" s="243"/>
      <c r="BS380" s="243"/>
      <c r="BT380" s="243"/>
      <c r="BU380" s="243"/>
      <c r="BV380" s="243"/>
      <c r="BW380" s="243"/>
      <c r="BX380" s="243"/>
      <c r="BY380" s="243"/>
      <c r="BZ380" s="243"/>
      <c r="CA380" s="243"/>
      <c r="CB380" s="243"/>
      <c r="CC380" s="243"/>
      <c r="CD380" s="243"/>
      <c r="CE380" s="243"/>
      <c r="CF380" s="243"/>
      <c r="CG380" s="1283"/>
    </row>
    <row r="381" spans="1:85" ht="13.2">
      <c r="A381" s="155">
        <v>45283</v>
      </c>
      <c r="B381" s="367"/>
      <c r="C381" s="243"/>
      <c r="D381" s="243"/>
      <c r="E381" s="1270"/>
      <c r="F381" s="243"/>
      <c r="G381" s="243"/>
      <c r="H381" s="243"/>
      <c r="I381" s="243"/>
      <c r="J381" s="243"/>
      <c r="K381" s="243"/>
      <c r="L381" s="243"/>
      <c r="M381" s="243"/>
      <c r="N381" s="243"/>
      <c r="O381" s="243"/>
      <c r="P381" s="243"/>
      <c r="Q381" s="243"/>
      <c r="R381" s="243"/>
      <c r="S381" s="243"/>
      <c r="T381" s="243"/>
      <c r="U381" s="243"/>
      <c r="V381" s="243"/>
      <c r="W381" s="243"/>
      <c r="X381" s="243"/>
      <c r="Y381" s="243"/>
      <c r="Z381" s="1051"/>
      <c r="AA381" s="1051"/>
      <c r="AB381" s="243"/>
      <c r="AC381" s="243"/>
      <c r="AD381" s="243"/>
      <c r="AE381" s="1051"/>
      <c r="AF381" s="1051"/>
      <c r="AG381" s="243"/>
      <c r="AH381" s="243"/>
      <c r="AI381" s="243"/>
      <c r="AJ381" s="243"/>
      <c r="AK381" s="243"/>
      <c r="AL381" s="243"/>
      <c r="AM381" s="243"/>
      <c r="AN381" s="243"/>
      <c r="AO381" s="243"/>
      <c r="AP381" s="243"/>
      <c r="AQ381" s="243"/>
      <c r="AR381" s="243"/>
      <c r="AS381" s="243"/>
      <c r="AT381" s="243"/>
      <c r="AU381" s="243"/>
      <c r="AV381" s="243"/>
      <c r="AW381" s="243"/>
      <c r="AX381" s="243"/>
      <c r="AY381" s="243"/>
      <c r="AZ381" s="243"/>
      <c r="BA381" s="243"/>
      <c r="BB381" s="243"/>
      <c r="BC381" s="243"/>
      <c r="BD381" s="657"/>
      <c r="BE381" s="243"/>
      <c r="BF381" s="243"/>
      <c r="BG381" s="243"/>
      <c r="BH381" s="243"/>
      <c r="BI381" s="243"/>
      <c r="BJ381" s="243"/>
      <c r="BK381" s="243"/>
      <c r="BL381" s="243"/>
      <c r="BM381" s="243"/>
      <c r="BN381" s="243"/>
      <c r="BO381" s="243"/>
      <c r="BP381" s="243"/>
      <c r="BQ381" s="243"/>
      <c r="BR381" s="243"/>
      <c r="BS381" s="243"/>
      <c r="BT381" s="243"/>
      <c r="BU381" s="243"/>
      <c r="BV381" s="243"/>
      <c r="BW381" s="243"/>
      <c r="BX381" s="243"/>
      <c r="BY381" s="243"/>
      <c r="BZ381" s="243"/>
      <c r="CA381" s="243"/>
      <c r="CB381" s="243"/>
      <c r="CC381" s="243"/>
      <c r="CD381" s="243"/>
      <c r="CE381" s="243"/>
      <c r="CF381" s="243"/>
      <c r="CG381" s="1283"/>
    </row>
    <row r="382" spans="1:85" ht="13.2">
      <c r="A382" s="155">
        <v>45284</v>
      </c>
      <c r="B382" s="367"/>
      <c r="C382" s="243"/>
      <c r="D382" s="243"/>
      <c r="E382" s="1270"/>
      <c r="F382" s="243"/>
      <c r="G382" s="243"/>
      <c r="H382" s="243"/>
      <c r="I382" s="243"/>
      <c r="J382" s="243"/>
      <c r="K382" s="243"/>
      <c r="L382" s="243"/>
      <c r="M382" s="243"/>
      <c r="N382" s="243"/>
      <c r="O382" s="243"/>
      <c r="P382" s="243"/>
      <c r="Q382" s="243"/>
      <c r="R382" s="243"/>
      <c r="S382" s="243"/>
      <c r="T382" s="243"/>
      <c r="U382" s="243"/>
      <c r="V382" s="243"/>
      <c r="W382" s="243"/>
      <c r="X382" s="243"/>
      <c r="Y382" s="243"/>
      <c r="Z382" s="1051"/>
      <c r="AA382" s="1051"/>
      <c r="AB382" s="243"/>
      <c r="AC382" s="243"/>
      <c r="AD382" s="243"/>
      <c r="AE382" s="1051"/>
      <c r="AF382" s="1051"/>
      <c r="AG382" s="243"/>
      <c r="AH382" s="243"/>
      <c r="AI382" s="243"/>
      <c r="AJ382" s="243"/>
      <c r="AK382" s="243"/>
      <c r="AL382" s="243"/>
      <c r="AM382" s="243"/>
      <c r="AN382" s="243"/>
      <c r="AO382" s="243"/>
      <c r="AP382" s="243"/>
      <c r="AQ382" s="243"/>
      <c r="AR382" s="243"/>
      <c r="AS382" s="243"/>
      <c r="AT382" s="243"/>
      <c r="AU382" s="243"/>
      <c r="AV382" s="243"/>
      <c r="AW382" s="243"/>
      <c r="AX382" s="243"/>
      <c r="AY382" s="243"/>
      <c r="AZ382" s="243"/>
      <c r="BA382" s="243"/>
      <c r="BB382" s="243"/>
      <c r="BC382" s="243"/>
      <c r="BD382" s="657"/>
      <c r="BE382" s="243"/>
      <c r="BF382" s="243"/>
      <c r="BG382" s="243"/>
      <c r="BH382" s="243"/>
      <c r="BI382" s="243"/>
      <c r="BJ382" s="243"/>
      <c r="BK382" s="243"/>
      <c r="BL382" s="243"/>
      <c r="BM382" s="243"/>
      <c r="BN382" s="243"/>
      <c r="BO382" s="243"/>
      <c r="BP382" s="243"/>
      <c r="BQ382" s="243"/>
      <c r="BR382" s="243"/>
      <c r="BS382" s="243"/>
      <c r="BT382" s="243"/>
      <c r="BU382" s="243"/>
      <c r="BV382" s="243"/>
      <c r="BW382" s="243"/>
      <c r="BX382" s="243"/>
      <c r="BY382" s="243"/>
      <c r="BZ382" s="243"/>
      <c r="CA382" s="243"/>
      <c r="CB382" s="243"/>
      <c r="CC382" s="243"/>
      <c r="CD382" s="243"/>
      <c r="CE382" s="243"/>
      <c r="CF382" s="243"/>
      <c r="CG382" s="1283"/>
    </row>
    <row r="383" spans="1:85" ht="13.2">
      <c r="A383" s="155">
        <v>45285</v>
      </c>
      <c r="B383" s="367"/>
      <c r="C383" s="243"/>
      <c r="D383" s="243"/>
      <c r="E383" s="1270"/>
      <c r="F383" s="981"/>
      <c r="G383" s="981"/>
      <c r="H383" s="243"/>
      <c r="I383" s="981"/>
      <c r="J383" s="981"/>
      <c r="K383" s="981"/>
      <c r="L383" s="981"/>
      <c r="M383" s="243"/>
      <c r="N383" s="243"/>
      <c r="O383" s="981"/>
      <c r="P383" s="981"/>
      <c r="Q383" s="981"/>
      <c r="R383" s="981"/>
      <c r="S383" s="981"/>
      <c r="T383" s="981"/>
      <c r="U383" s="243"/>
      <c r="V383" s="243"/>
      <c r="W383" s="981"/>
      <c r="X383" s="981"/>
      <c r="Y383" s="981"/>
      <c r="Z383" s="1051"/>
      <c r="AA383" s="1051"/>
      <c r="AB383" s="981"/>
      <c r="AC383" s="981"/>
      <c r="AD383" s="981"/>
      <c r="AE383" s="1051"/>
      <c r="AF383" s="1051"/>
      <c r="AG383" s="243"/>
      <c r="AH383" s="243"/>
      <c r="AI383" s="981"/>
      <c r="AJ383" s="981"/>
      <c r="AK383" s="981"/>
      <c r="AL383" s="981"/>
      <c r="AM383" s="981"/>
      <c r="AN383" s="981"/>
      <c r="AO383" s="243"/>
      <c r="AP383" s="243"/>
      <c r="AQ383" s="981"/>
      <c r="AR383" s="981"/>
      <c r="AS383" s="981"/>
      <c r="AT383" s="243"/>
      <c r="AU383" s="981"/>
      <c r="AV383" s="981"/>
      <c r="AW383" s="981"/>
      <c r="AX383" s="981"/>
      <c r="AY383" s="981"/>
      <c r="AZ383" s="243"/>
      <c r="BA383" s="243"/>
      <c r="BB383" s="243"/>
      <c r="BC383" s="243"/>
      <c r="BD383" s="657"/>
      <c r="BE383" s="981"/>
      <c r="BF383" s="243"/>
      <c r="BG383" s="981"/>
      <c r="BH383" s="981"/>
      <c r="BI383" s="981"/>
      <c r="BJ383" s="981"/>
      <c r="BK383" s="981"/>
      <c r="BL383" s="981"/>
      <c r="BM383" s="243"/>
      <c r="BN383" s="243"/>
      <c r="BO383" s="981"/>
      <c r="BP383" s="981"/>
      <c r="BQ383" s="981"/>
      <c r="BR383" s="243"/>
      <c r="BS383" s="243"/>
      <c r="BT383" s="243"/>
      <c r="BU383" s="243"/>
      <c r="BV383" s="243"/>
      <c r="BW383" s="243"/>
      <c r="BX383" s="981"/>
      <c r="BY383" s="981"/>
      <c r="BZ383" s="981"/>
      <c r="CA383" s="981"/>
      <c r="CB383" s="981"/>
      <c r="CC383" s="981"/>
      <c r="CD383" s="981"/>
      <c r="CE383" s="981"/>
      <c r="CF383" s="981"/>
      <c r="CG383" s="1283"/>
    </row>
    <row r="384" spans="1:85" ht="13.2">
      <c r="A384" s="155">
        <v>45286</v>
      </c>
      <c r="B384" s="367"/>
      <c r="C384" s="243"/>
      <c r="D384" s="243"/>
      <c r="E384" s="1270"/>
      <c r="F384" s="981"/>
      <c r="G384" s="981"/>
      <c r="H384" s="243"/>
      <c r="I384" s="981"/>
      <c r="J384" s="981"/>
      <c r="K384" s="981"/>
      <c r="L384" s="981"/>
      <c r="M384" s="243"/>
      <c r="N384" s="243"/>
      <c r="O384" s="981"/>
      <c r="P384" s="981"/>
      <c r="Q384" s="981"/>
      <c r="R384" s="981"/>
      <c r="S384" s="981"/>
      <c r="T384" s="981"/>
      <c r="U384" s="243"/>
      <c r="V384" s="243"/>
      <c r="W384" s="981"/>
      <c r="X384" s="981"/>
      <c r="Y384" s="981"/>
      <c r="Z384" s="1051"/>
      <c r="AA384" s="1051"/>
      <c r="AB384" s="981"/>
      <c r="AC384" s="981"/>
      <c r="AD384" s="981"/>
      <c r="AE384" s="1051"/>
      <c r="AF384" s="1051"/>
      <c r="AG384" s="243"/>
      <c r="AH384" s="243"/>
      <c r="AI384" s="981"/>
      <c r="AJ384" s="981"/>
      <c r="AK384" s="981"/>
      <c r="AL384" s="981"/>
      <c r="AM384" s="981"/>
      <c r="AN384" s="981"/>
      <c r="AO384" s="243"/>
      <c r="AP384" s="243"/>
      <c r="AQ384" s="981"/>
      <c r="AR384" s="981"/>
      <c r="AS384" s="981"/>
      <c r="AT384" s="243"/>
      <c r="AU384" s="981"/>
      <c r="AV384" s="981"/>
      <c r="AW384" s="981"/>
      <c r="AX384" s="981"/>
      <c r="AY384" s="981"/>
      <c r="AZ384" s="243"/>
      <c r="BA384" s="243"/>
      <c r="BB384" s="243"/>
      <c r="BC384" s="243"/>
      <c r="BD384" s="657"/>
      <c r="BE384" s="981"/>
      <c r="BF384" s="981"/>
      <c r="BG384" s="981"/>
      <c r="BH384" s="981"/>
      <c r="BI384" s="981"/>
      <c r="BJ384" s="981"/>
      <c r="BK384" s="981"/>
      <c r="BL384" s="981"/>
      <c r="BM384" s="243"/>
      <c r="BN384" s="243"/>
      <c r="BO384" s="981"/>
      <c r="BP384" s="981"/>
      <c r="BQ384" s="981"/>
      <c r="BR384" s="243"/>
      <c r="BS384" s="243"/>
      <c r="BT384" s="243"/>
      <c r="BU384" s="243"/>
      <c r="BV384" s="243"/>
      <c r="BW384" s="243"/>
      <c r="BX384" s="981"/>
      <c r="BY384" s="981"/>
      <c r="BZ384" s="981"/>
      <c r="CA384" s="981"/>
      <c r="CB384" s="981"/>
      <c r="CC384" s="981"/>
      <c r="CD384" s="981"/>
      <c r="CE384" s="981"/>
      <c r="CF384" s="981"/>
      <c r="CG384" s="1283"/>
    </row>
    <row r="385" spans="1:85" ht="13.2">
      <c r="A385" s="155">
        <v>45287</v>
      </c>
      <c r="B385" s="367"/>
      <c r="C385" s="243"/>
      <c r="D385" s="243"/>
      <c r="E385" s="1270"/>
      <c r="F385" s="981"/>
      <c r="G385" s="981"/>
      <c r="H385" s="243"/>
      <c r="I385" s="981"/>
      <c r="J385" s="981"/>
      <c r="K385" s="981"/>
      <c r="L385" s="981"/>
      <c r="M385" s="243"/>
      <c r="N385" s="243"/>
      <c r="O385" s="981"/>
      <c r="P385" s="981"/>
      <c r="Q385" s="981"/>
      <c r="R385" s="981"/>
      <c r="S385" s="981"/>
      <c r="T385" s="981"/>
      <c r="U385" s="243"/>
      <c r="V385" s="243"/>
      <c r="W385" s="981"/>
      <c r="X385" s="981"/>
      <c r="Y385" s="981"/>
      <c r="Z385" s="1051"/>
      <c r="AA385" s="1051"/>
      <c r="AB385" s="981"/>
      <c r="AC385" s="981"/>
      <c r="AD385" s="981"/>
      <c r="AE385" s="1051"/>
      <c r="AF385" s="1051"/>
      <c r="AG385" s="243"/>
      <c r="AH385" s="243"/>
      <c r="AI385" s="981"/>
      <c r="AJ385" s="981"/>
      <c r="AK385" s="981"/>
      <c r="AL385" s="981"/>
      <c r="AM385" s="981"/>
      <c r="AN385" s="981"/>
      <c r="AO385" s="243"/>
      <c r="AP385" s="243"/>
      <c r="AQ385" s="981"/>
      <c r="AR385" s="981"/>
      <c r="AS385" s="981"/>
      <c r="AT385" s="243"/>
      <c r="AU385" s="981"/>
      <c r="AV385" s="981"/>
      <c r="AW385" s="981"/>
      <c r="AX385" s="981"/>
      <c r="AY385" s="981"/>
      <c r="AZ385" s="243"/>
      <c r="BA385" s="243"/>
      <c r="BB385" s="243"/>
      <c r="BC385" s="243"/>
      <c r="BD385" s="657"/>
      <c r="BE385" s="981"/>
      <c r="BF385" s="981"/>
      <c r="BG385" s="981"/>
      <c r="BH385" s="981"/>
      <c r="BI385" s="981"/>
      <c r="BJ385" s="981"/>
      <c r="BK385" s="981"/>
      <c r="BL385" s="981"/>
      <c r="BM385" s="243"/>
      <c r="BN385" s="243"/>
      <c r="BO385" s="981"/>
      <c r="BP385" s="981"/>
      <c r="BQ385" s="981"/>
      <c r="BR385" s="243"/>
      <c r="BS385" s="243"/>
      <c r="BT385" s="243"/>
      <c r="BU385" s="243"/>
      <c r="BV385" s="243"/>
      <c r="BW385" s="243"/>
      <c r="BX385" s="981"/>
      <c r="BY385" s="981"/>
      <c r="BZ385" s="981"/>
      <c r="CA385" s="981"/>
      <c r="CB385" s="981"/>
      <c r="CC385" s="981"/>
      <c r="CD385" s="981"/>
      <c r="CE385" s="981"/>
      <c r="CF385" s="981"/>
      <c r="CG385" s="1283"/>
    </row>
    <row r="386" spans="1:85" ht="13.2">
      <c r="A386" s="155">
        <v>45288</v>
      </c>
      <c r="B386" s="367"/>
      <c r="C386" s="243"/>
      <c r="D386" s="243"/>
      <c r="E386" s="1270"/>
      <c r="F386" s="981"/>
      <c r="G386" s="981"/>
      <c r="H386" s="243"/>
      <c r="I386" s="981"/>
      <c r="J386" s="981"/>
      <c r="K386" s="981"/>
      <c r="L386" s="981"/>
      <c r="M386" s="243"/>
      <c r="N386" s="243"/>
      <c r="O386" s="981"/>
      <c r="P386" s="981"/>
      <c r="Q386" s="981"/>
      <c r="R386" s="981"/>
      <c r="S386" s="981"/>
      <c r="T386" s="981"/>
      <c r="U386" s="243"/>
      <c r="V386" s="243"/>
      <c r="W386" s="981"/>
      <c r="X386" s="981"/>
      <c r="Y386" s="981"/>
      <c r="Z386" s="1051"/>
      <c r="AA386" s="1051"/>
      <c r="AB386" s="981"/>
      <c r="AC386" s="981"/>
      <c r="AD386" s="981"/>
      <c r="AE386" s="1051"/>
      <c r="AF386" s="1051"/>
      <c r="AG386" s="243"/>
      <c r="AH386" s="243"/>
      <c r="AI386" s="981"/>
      <c r="AJ386" s="981"/>
      <c r="AK386" s="981"/>
      <c r="AL386" s="981"/>
      <c r="AM386" s="981"/>
      <c r="AN386" s="981"/>
      <c r="AO386" s="243"/>
      <c r="AP386" s="243"/>
      <c r="AQ386" s="981"/>
      <c r="AR386" s="981"/>
      <c r="AS386" s="981"/>
      <c r="AT386" s="243"/>
      <c r="AU386" s="981"/>
      <c r="AV386" s="981"/>
      <c r="AW386" s="981"/>
      <c r="AX386" s="981"/>
      <c r="AY386" s="981"/>
      <c r="AZ386" s="243"/>
      <c r="BA386" s="243"/>
      <c r="BB386" s="243"/>
      <c r="BC386" s="243"/>
      <c r="BD386" s="657"/>
      <c r="BE386" s="981"/>
      <c r="BF386" s="981"/>
      <c r="BG386" s="981"/>
      <c r="BH386" s="981"/>
      <c r="BI386" s="981"/>
      <c r="BJ386" s="981"/>
      <c r="BK386" s="981"/>
      <c r="BL386" s="981"/>
      <c r="BM386" s="243"/>
      <c r="BN386" s="243"/>
      <c r="BO386" s="981"/>
      <c r="BP386" s="981"/>
      <c r="BQ386" s="981"/>
      <c r="BR386" s="243"/>
      <c r="BS386" s="243"/>
      <c r="BT386" s="243"/>
      <c r="BU386" s="243"/>
      <c r="BV386" s="243"/>
      <c r="BW386" s="243"/>
      <c r="BX386" s="981"/>
      <c r="BY386" s="981"/>
      <c r="BZ386" s="981"/>
      <c r="CA386" s="981"/>
      <c r="CB386" s="981"/>
      <c r="CC386" s="981"/>
      <c r="CD386" s="981"/>
      <c r="CE386" s="981"/>
      <c r="CF386" s="981"/>
      <c r="CG386" s="1283"/>
    </row>
    <row r="387" spans="1:85" ht="13.2">
      <c r="A387" s="155">
        <v>45289</v>
      </c>
      <c r="B387" s="367"/>
      <c r="C387" s="243"/>
      <c r="D387" s="243"/>
      <c r="E387" s="1270"/>
      <c r="F387" s="981"/>
      <c r="G387" s="981"/>
      <c r="H387" s="243"/>
      <c r="I387" s="981"/>
      <c r="J387" s="981"/>
      <c r="K387" s="981"/>
      <c r="L387" s="981"/>
      <c r="M387" s="243"/>
      <c r="N387" s="243"/>
      <c r="O387" s="981"/>
      <c r="P387" s="981"/>
      <c r="Q387" s="981"/>
      <c r="R387" s="981"/>
      <c r="S387" s="981"/>
      <c r="T387" s="981"/>
      <c r="U387" s="243"/>
      <c r="V387" s="243"/>
      <c r="W387" s="981"/>
      <c r="X387" s="981"/>
      <c r="Y387" s="981"/>
      <c r="Z387" s="1051"/>
      <c r="AA387" s="1051"/>
      <c r="AB387" s="981"/>
      <c r="AC387" s="981"/>
      <c r="AD387" s="981"/>
      <c r="AE387" s="1051"/>
      <c r="AF387" s="1051"/>
      <c r="AG387" s="243"/>
      <c r="AH387" s="243"/>
      <c r="AI387" s="981"/>
      <c r="AJ387" s="981"/>
      <c r="AK387" s="981"/>
      <c r="AL387" s="981"/>
      <c r="AM387" s="981"/>
      <c r="AN387" s="981"/>
      <c r="AO387" s="243"/>
      <c r="AP387" s="243"/>
      <c r="AQ387" s="981"/>
      <c r="AR387" s="981"/>
      <c r="AS387" s="981"/>
      <c r="AT387" s="243"/>
      <c r="AU387" s="981"/>
      <c r="AV387" s="981"/>
      <c r="AW387" s="981"/>
      <c r="AX387" s="981"/>
      <c r="AY387" s="981"/>
      <c r="AZ387" s="243"/>
      <c r="BA387" s="243"/>
      <c r="BB387" s="243"/>
      <c r="BC387" s="243"/>
      <c r="BD387" s="657"/>
      <c r="BE387" s="981"/>
      <c r="BF387" s="981"/>
      <c r="BG387" s="981"/>
      <c r="BH387" s="981"/>
      <c r="BI387" s="981"/>
      <c r="BJ387" s="981"/>
      <c r="BK387" s="981"/>
      <c r="BL387" s="981"/>
      <c r="BM387" s="654"/>
      <c r="BN387" s="654"/>
      <c r="BO387" s="981"/>
      <c r="BP387" s="981"/>
      <c r="BQ387" s="981"/>
      <c r="BR387" s="243"/>
      <c r="BS387" s="243"/>
      <c r="BT387" s="243"/>
      <c r="BU387" s="243"/>
      <c r="BV387" s="243"/>
      <c r="BW387" s="243"/>
      <c r="BX387" s="981"/>
      <c r="BY387" s="981"/>
      <c r="BZ387" s="981"/>
      <c r="CA387" s="981"/>
      <c r="CB387" s="981"/>
      <c r="CC387" s="981"/>
      <c r="CD387" s="981"/>
      <c r="CE387" s="981"/>
      <c r="CF387" s="981"/>
      <c r="CG387" s="1283"/>
    </row>
    <row r="388" spans="1:85" ht="13.2">
      <c r="A388" s="155">
        <v>45290</v>
      </c>
      <c r="B388" s="367"/>
      <c r="C388" s="243"/>
      <c r="D388" s="243"/>
      <c r="E388" s="1270"/>
      <c r="F388" s="981"/>
      <c r="G388" s="981"/>
      <c r="H388" s="243"/>
      <c r="I388" s="981"/>
      <c r="J388" s="981"/>
      <c r="K388" s="981"/>
      <c r="L388" s="981"/>
      <c r="M388" s="243"/>
      <c r="N388" s="243"/>
      <c r="O388" s="981"/>
      <c r="P388" s="981"/>
      <c r="Q388" s="981"/>
      <c r="R388" s="981"/>
      <c r="S388" s="981"/>
      <c r="T388" s="981"/>
      <c r="U388" s="243"/>
      <c r="V388" s="243"/>
      <c r="W388" s="981"/>
      <c r="X388" s="981"/>
      <c r="Y388" s="981"/>
      <c r="Z388" s="1051"/>
      <c r="AA388" s="1051"/>
      <c r="AB388" s="981"/>
      <c r="AC388" s="981"/>
      <c r="AD388" s="981"/>
      <c r="AE388" s="1051"/>
      <c r="AF388" s="1051"/>
      <c r="AG388" s="981"/>
      <c r="AH388" s="981"/>
      <c r="AI388" s="981"/>
      <c r="AJ388" s="981"/>
      <c r="AK388" s="981"/>
      <c r="AL388" s="981"/>
      <c r="AM388" s="981"/>
      <c r="AN388" s="981"/>
      <c r="AO388" s="243"/>
      <c r="AP388" s="243"/>
      <c r="AQ388" s="981"/>
      <c r="AR388" s="981"/>
      <c r="AS388" s="981"/>
      <c r="AT388" s="981"/>
      <c r="AU388" s="981"/>
      <c r="AV388" s="981"/>
      <c r="AW388" s="981"/>
      <c r="AX388" s="981"/>
      <c r="AY388" s="981"/>
      <c r="AZ388" s="243"/>
      <c r="BA388" s="243"/>
      <c r="BB388" s="243"/>
      <c r="BC388" s="243"/>
      <c r="BD388" s="657"/>
      <c r="BE388" s="981"/>
      <c r="BF388" s="981"/>
      <c r="BG388" s="981"/>
      <c r="BH388" s="981"/>
      <c r="BI388" s="981"/>
      <c r="BJ388" s="981"/>
      <c r="BK388" s="981"/>
      <c r="BL388" s="981"/>
      <c r="BM388" s="654"/>
      <c r="BN388" s="654"/>
      <c r="BO388" s="981"/>
      <c r="BP388" s="981"/>
      <c r="BQ388" s="981"/>
      <c r="BR388" s="243"/>
      <c r="BS388" s="243"/>
      <c r="BT388" s="243"/>
      <c r="BU388" s="981"/>
      <c r="BV388" s="981"/>
      <c r="BW388" s="981"/>
      <c r="BX388" s="981"/>
      <c r="BY388" s="981"/>
      <c r="BZ388" s="981"/>
      <c r="CA388" s="981"/>
      <c r="CB388" s="981"/>
      <c r="CC388" s="981"/>
      <c r="CD388" s="981"/>
      <c r="CE388" s="981"/>
      <c r="CF388" s="981"/>
      <c r="CG388" s="1283"/>
    </row>
    <row r="389" spans="1:85" ht="13.2">
      <c r="A389" s="155">
        <v>45291</v>
      </c>
      <c r="B389" s="367"/>
      <c r="C389" s="243"/>
      <c r="D389" s="243"/>
      <c r="E389" s="1270"/>
      <c r="F389" s="981"/>
      <c r="G389" s="981"/>
      <c r="H389" s="243"/>
      <c r="I389" s="981"/>
      <c r="J389" s="981"/>
      <c r="K389" s="981"/>
      <c r="L389" s="981"/>
      <c r="M389" s="243"/>
      <c r="N389" s="243"/>
      <c r="O389" s="981"/>
      <c r="P389" s="981"/>
      <c r="Q389" s="981"/>
      <c r="R389" s="981"/>
      <c r="S389" s="981"/>
      <c r="T389" s="981"/>
      <c r="U389" s="981"/>
      <c r="V389" s="981"/>
      <c r="W389" s="981"/>
      <c r="X389" s="981"/>
      <c r="Y389" s="981"/>
      <c r="Z389" s="1051"/>
      <c r="AA389" s="1051"/>
      <c r="AB389" s="981"/>
      <c r="AC389" s="981"/>
      <c r="AD389" s="981"/>
      <c r="AE389" s="1051"/>
      <c r="AF389" s="1051"/>
      <c r="AG389" s="243"/>
      <c r="AH389" s="243"/>
      <c r="AI389" s="981"/>
      <c r="AJ389" s="981"/>
      <c r="AK389" s="981"/>
      <c r="AL389" s="981"/>
      <c r="AM389" s="981"/>
      <c r="AN389" s="981"/>
      <c r="AO389" s="981"/>
      <c r="AP389" s="981"/>
      <c r="AQ389" s="981"/>
      <c r="AR389" s="981"/>
      <c r="AS389" s="981"/>
      <c r="AT389" s="243"/>
      <c r="AU389" s="981"/>
      <c r="AV389" s="981"/>
      <c r="AW389" s="981"/>
      <c r="AX389" s="981"/>
      <c r="AY389" s="981"/>
      <c r="AZ389" s="243"/>
      <c r="BA389" s="243"/>
      <c r="BB389" s="243"/>
      <c r="BC389" s="243"/>
      <c r="BD389" s="657"/>
      <c r="BE389" s="981"/>
      <c r="BF389" s="981"/>
      <c r="BG389" s="981"/>
      <c r="BH389" s="981"/>
      <c r="BI389" s="981"/>
      <c r="BJ389" s="981"/>
      <c r="BK389" s="981"/>
      <c r="BL389" s="981"/>
      <c r="BM389" s="654"/>
      <c r="BN389" s="654"/>
      <c r="BO389" s="981"/>
      <c r="BP389" s="981"/>
      <c r="BQ389" s="981"/>
      <c r="BR389" s="243"/>
      <c r="BS389" s="243"/>
      <c r="BT389" s="243"/>
      <c r="BU389" s="243"/>
      <c r="BV389" s="243"/>
      <c r="BW389" s="243"/>
      <c r="BX389" s="981"/>
      <c r="BY389" s="981"/>
      <c r="BZ389" s="981"/>
      <c r="CA389" s="981"/>
      <c r="CB389" s="981"/>
      <c r="CC389" s="981"/>
      <c r="CD389" s="981"/>
      <c r="CE389" s="981"/>
      <c r="CF389" s="981"/>
      <c r="CG389" s="1283"/>
    </row>
    <row r="390" spans="1:85" ht="13.2" hidden="1">
      <c r="A390" s="177"/>
      <c r="B390" s="181"/>
      <c r="C390" s="181"/>
      <c r="D390" s="181"/>
      <c r="E390" s="1272"/>
      <c r="F390" s="181"/>
      <c r="G390" s="181"/>
      <c r="H390" s="178"/>
      <c r="I390" s="178"/>
      <c r="J390" s="179"/>
      <c r="K390" s="181"/>
      <c r="L390" s="181"/>
      <c r="M390" s="182"/>
      <c r="N390" s="181"/>
      <c r="O390" s="181"/>
      <c r="P390" s="181"/>
      <c r="Q390" s="181"/>
      <c r="R390" s="183"/>
      <c r="S390" s="181"/>
      <c r="T390" s="181"/>
      <c r="U390" s="181"/>
      <c r="V390" s="181"/>
      <c r="W390" s="181"/>
      <c r="X390" s="181"/>
      <c r="Y390" s="182"/>
      <c r="Z390" s="181"/>
      <c r="AA390" s="181"/>
      <c r="AB390" s="178"/>
      <c r="AC390" s="180"/>
      <c r="AD390" s="181"/>
      <c r="AE390" s="181"/>
      <c r="AF390" s="181"/>
      <c r="AG390" s="181"/>
      <c r="AH390" s="181"/>
      <c r="AI390" s="181"/>
      <c r="AJ390" s="181"/>
      <c r="AK390" s="181"/>
      <c r="AL390" s="181"/>
      <c r="AM390" s="182"/>
      <c r="AN390" s="182"/>
      <c r="AO390" s="181"/>
      <c r="AP390" s="181"/>
      <c r="AQ390" s="181"/>
      <c r="AR390" s="181"/>
      <c r="AS390" s="630"/>
      <c r="AT390" s="653"/>
      <c r="AU390" s="181"/>
      <c r="AV390" s="181"/>
      <c r="AW390" s="181"/>
      <c r="AX390" s="181"/>
      <c r="AY390" s="181"/>
      <c r="AZ390" s="181"/>
      <c r="BA390" s="181"/>
      <c r="BB390" s="181"/>
      <c r="BC390" s="181"/>
      <c r="BD390" s="1746"/>
      <c r="BE390" s="181"/>
      <c r="BF390" s="181"/>
      <c r="BG390" s="181"/>
      <c r="BH390" s="181"/>
      <c r="BI390" s="983"/>
      <c r="BJ390" s="181"/>
      <c r="BK390" s="653"/>
      <c r="BL390" s="653"/>
      <c r="BM390" s="653"/>
      <c r="BN390" s="653"/>
      <c r="BO390" s="181"/>
      <c r="BP390" s="181"/>
      <c r="BQ390" s="181"/>
      <c r="BR390" s="181"/>
      <c r="BS390" s="181"/>
      <c r="BT390" s="181"/>
      <c r="BU390" s="181"/>
      <c r="BV390" s="181"/>
      <c r="BW390" s="181"/>
      <c r="BX390" s="181"/>
      <c r="BY390" s="181"/>
      <c r="BZ390" s="181"/>
      <c r="CA390" s="181"/>
      <c r="CB390" s="181"/>
      <c r="CC390" s="181"/>
      <c r="CD390" s="181"/>
      <c r="CE390" s="181"/>
      <c r="CF390" s="983"/>
      <c r="CG390" s="1372"/>
    </row>
    <row r="391" spans="1:85" ht="13.2" hidden="1">
      <c r="A391" s="22" t="s">
        <v>176</v>
      </c>
      <c r="B391" s="22">
        <f>SUMIF(B2:B27,"&gt;0")</f>
        <v>27522.097999999998</v>
      </c>
      <c r="C391" s="22">
        <f t="shared" ref="C391:AC391" si="0">SUMIF(C2:C27,"&gt;0")</f>
        <v>15216.066999999999</v>
      </c>
      <c r="D391" s="22">
        <f t="shared" si="0"/>
        <v>177878.5</v>
      </c>
      <c r="E391" s="1278">
        <f t="shared" si="0"/>
        <v>4.5</v>
      </c>
      <c r="F391" s="22">
        <f t="shared" si="0"/>
        <v>408701.69999999995</v>
      </c>
      <c r="G391" s="22">
        <f t="shared" si="0"/>
        <v>126751.40000000001</v>
      </c>
      <c r="H391" s="22">
        <f t="shared" si="0"/>
        <v>14683981.6</v>
      </c>
      <c r="I391" s="22">
        <f t="shared" si="0"/>
        <v>6775978.2000000002</v>
      </c>
      <c r="J391" s="22">
        <f t="shared" si="0"/>
        <v>5280557.3000000007</v>
      </c>
      <c r="K391" s="22">
        <f t="shared" si="0"/>
        <v>0</v>
      </c>
      <c r="L391" s="22">
        <f t="shared" si="0"/>
        <v>0</v>
      </c>
      <c r="M391" s="22">
        <f t="shared" si="0"/>
        <v>388650.59999999986</v>
      </c>
      <c r="N391" s="22">
        <f t="shared" si="0"/>
        <v>182267.79999999996</v>
      </c>
      <c r="O391" s="22">
        <f t="shared" si="0"/>
        <v>1122843.4099999997</v>
      </c>
      <c r="P391" s="22">
        <f t="shared" si="0"/>
        <v>893205.69</v>
      </c>
      <c r="Q391" s="22">
        <f t="shared" si="0"/>
        <v>3538898.0300000003</v>
      </c>
      <c r="R391" s="22">
        <f t="shared" si="0"/>
        <v>2935864.26</v>
      </c>
      <c r="S391" s="22">
        <f t="shared" si="0"/>
        <v>3593167.1100000008</v>
      </c>
      <c r="T391" s="22">
        <f t="shared" si="0"/>
        <v>2464555.23</v>
      </c>
      <c r="U391" s="22">
        <f t="shared" si="0"/>
        <v>365342.38000000006</v>
      </c>
      <c r="V391" s="22">
        <f t="shared" si="0"/>
        <v>277462.64000000019</v>
      </c>
      <c r="W391" s="22">
        <f t="shared" si="0"/>
        <v>455741.05</v>
      </c>
      <c r="X391" s="22">
        <f t="shared" si="0"/>
        <v>236996.32</v>
      </c>
      <c r="Y391" s="22">
        <f t="shared" si="0"/>
        <v>5425126.200000002</v>
      </c>
      <c r="Z391" s="22">
        <f t="shared" si="0"/>
        <v>8993.399999999996</v>
      </c>
      <c r="AA391" s="22">
        <f t="shared" si="0"/>
        <v>1318616</v>
      </c>
      <c r="AB391" s="22">
        <f t="shared" si="0"/>
        <v>14422490.76</v>
      </c>
      <c r="AC391" s="22">
        <f t="shared" si="0"/>
        <v>7352192.4700000007</v>
      </c>
      <c r="AD391" s="22">
        <f>SUMIF(AD2:AD27,"&gt;0")</f>
        <v>5423810.5999999996</v>
      </c>
      <c r="AE391" s="22">
        <f t="shared" ref="AE391:BD391" si="1">SUMIF(AE2:AE27,"&gt;0")</f>
        <v>28922.400000000012</v>
      </c>
      <c r="AF391" s="403">
        <f t="shared" si="1"/>
        <v>24492</v>
      </c>
      <c r="AG391" s="22">
        <f t="shared" si="1"/>
        <v>917606.03999999992</v>
      </c>
      <c r="AH391" s="22">
        <f t="shared" si="1"/>
        <v>654165.86</v>
      </c>
      <c r="AI391" s="22">
        <f t="shared" si="1"/>
        <v>2121920.0699999998</v>
      </c>
      <c r="AJ391" s="22">
        <f t="shared" si="1"/>
        <v>1640456.3999999997</v>
      </c>
      <c r="AK391" s="22">
        <f t="shared" si="1"/>
        <v>1679048.4599999997</v>
      </c>
      <c r="AL391" s="22">
        <f t="shared" si="1"/>
        <v>1367440.85</v>
      </c>
      <c r="AM391" s="22">
        <f t="shared" si="1"/>
        <v>1518050.6999999997</v>
      </c>
      <c r="AN391" s="22">
        <f t="shared" si="1"/>
        <v>597036.20000000007</v>
      </c>
      <c r="AO391" s="22">
        <f t="shared" si="1"/>
        <v>423.80000000000018</v>
      </c>
      <c r="AP391" s="22">
        <f t="shared" si="1"/>
        <v>449.80000000000018</v>
      </c>
      <c r="AQ391" s="22">
        <f t="shared" si="1"/>
        <v>12370618.800000001</v>
      </c>
      <c r="AR391" s="22">
        <f t="shared" si="1"/>
        <v>5713270.0999999996</v>
      </c>
      <c r="AS391" s="22">
        <f t="shared" si="1"/>
        <v>1679414</v>
      </c>
      <c r="AT391" s="22">
        <f t="shared" si="1"/>
        <v>0</v>
      </c>
      <c r="AU391" s="22">
        <f t="shared" si="1"/>
        <v>11545309.9</v>
      </c>
      <c r="AV391" s="22">
        <f t="shared" si="1"/>
        <v>5083756.5999999996</v>
      </c>
      <c r="AW391" s="22">
        <f t="shared" si="1"/>
        <v>2001619.6600000006</v>
      </c>
      <c r="AX391" s="22">
        <f t="shared" si="1"/>
        <v>108172.46000000002</v>
      </c>
      <c r="AY391" s="22">
        <f t="shared" si="1"/>
        <v>71946.64</v>
      </c>
      <c r="AZ391" s="22">
        <f t="shared" si="1"/>
        <v>5709.7899999999981</v>
      </c>
      <c r="BA391" s="22">
        <f t="shared" si="1"/>
        <v>3456.1100000000006</v>
      </c>
      <c r="BB391" s="22">
        <f t="shared" si="1"/>
        <v>20486.634000000002</v>
      </c>
      <c r="BC391" s="22">
        <f t="shared" si="1"/>
        <v>8732.2299999999977</v>
      </c>
      <c r="BD391" s="1750">
        <f t="shared" si="1"/>
        <v>46368.269999999982</v>
      </c>
      <c r="BE391" s="22">
        <f>SUMIF(BE2:BE33,"&gt;0")</f>
        <v>99741.6</v>
      </c>
      <c r="BF391" s="22">
        <f>SUMIF(BF2:BF27,"&gt;0")</f>
        <v>12759.199999999999</v>
      </c>
      <c r="BG391" s="22">
        <f>SUMIF(BG2:BG27,"&gt;0")</f>
        <v>175417.82</v>
      </c>
      <c r="BH391" s="22">
        <f>SUMIF(BH2:BH33,"&gt;0")</f>
        <v>998748.83859649091</v>
      </c>
      <c r="BI391" s="22">
        <f>SUMIF(BI2:BI33,"&gt;0")</f>
        <v>320724.38934439846</v>
      </c>
      <c r="BJ391" s="22">
        <f t="shared" ref="BJ391:CF391" si="2">SUMIF(BJ2:BJ27,"&gt;0")</f>
        <v>161459.93000000002</v>
      </c>
      <c r="BK391" s="22">
        <f t="shared" si="2"/>
        <v>169187978</v>
      </c>
      <c r="BL391" s="22">
        <f t="shared" si="2"/>
        <v>128091820</v>
      </c>
      <c r="BM391" s="22">
        <f t="shared" si="2"/>
        <v>5622032</v>
      </c>
      <c r="BN391" s="22">
        <f t="shared" si="2"/>
        <v>4667806</v>
      </c>
      <c r="BO391" s="22">
        <f t="shared" si="2"/>
        <v>3509.5051819983141</v>
      </c>
      <c r="BP391" s="22">
        <f t="shared" si="2"/>
        <v>1173.6531707276397</v>
      </c>
      <c r="BQ391" s="22">
        <f t="shared" si="2"/>
        <v>16666.063065617942</v>
      </c>
      <c r="BR391" s="22">
        <f t="shared" si="2"/>
        <v>63343112.5</v>
      </c>
      <c r="BS391" s="22">
        <f t="shared" si="2"/>
        <v>12275</v>
      </c>
      <c r="BT391" s="22">
        <f t="shared" si="2"/>
        <v>487342.60000000003</v>
      </c>
      <c r="BU391" s="22">
        <f t="shared" si="2"/>
        <v>75875077</v>
      </c>
      <c r="BV391" s="22">
        <f t="shared" si="2"/>
        <v>2029391</v>
      </c>
      <c r="BW391" s="22">
        <f t="shared" si="2"/>
        <v>479928.71000000008</v>
      </c>
      <c r="BX391" s="22">
        <f t="shared" si="2"/>
        <v>68946096</v>
      </c>
      <c r="BY391" s="22">
        <f t="shared" si="2"/>
        <v>3242956</v>
      </c>
      <c r="BZ391" s="22">
        <f t="shared" si="2"/>
        <v>407499.80000000016</v>
      </c>
      <c r="CA391" s="22">
        <f t="shared" si="2"/>
        <v>204171.25000000003</v>
      </c>
      <c r="CB391" s="22">
        <f t="shared" si="2"/>
        <v>139180.72</v>
      </c>
      <c r="CC391" s="22">
        <f t="shared" si="2"/>
        <v>25921178</v>
      </c>
      <c r="CD391" s="22">
        <f t="shared" si="2"/>
        <v>14746863</v>
      </c>
      <c r="CE391" s="22">
        <f t="shared" si="2"/>
        <v>17455686</v>
      </c>
      <c r="CF391" s="22">
        <f t="shared" si="2"/>
        <v>11050412</v>
      </c>
      <c r="CG391" s="22">
        <f>SUMIF(CG2:CG33,"&gt;0")</f>
        <v>4.4000000000000004</v>
      </c>
    </row>
    <row r="392" spans="1:85" ht="13.2" hidden="1">
      <c r="A392" s="22" t="s">
        <v>177</v>
      </c>
      <c r="B392" s="22">
        <f t="shared" ref="B392:AC392" si="3">SUMIF(B27:B60,"&gt;0")</f>
        <v>34974.625000000015</v>
      </c>
      <c r="C392" s="22">
        <f t="shared" si="3"/>
        <v>19328.241000000009</v>
      </c>
      <c r="D392" s="22">
        <f t="shared" si="3"/>
        <v>225879.09999999998</v>
      </c>
      <c r="E392" s="1278">
        <f t="shared" si="3"/>
        <v>3.3</v>
      </c>
      <c r="F392" s="22">
        <f t="shared" si="3"/>
        <v>538383.79999999993</v>
      </c>
      <c r="G392" s="22">
        <f t="shared" si="3"/>
        <v>167664.40000000002</v>
      </c>
      <c r="H392" s="22">
        <f t="shared" si="3"/>
        <v>18785805.279999997</v>
      </c>
      <c r="I392" s="22">
        <f t="shared" si="3"/>
        <v>8675620.4000000004</v>
      </c>
      <c r="J392" s="22">
        <f t="shared" si="3"/>
        <v>6723666.549999998</v>
      </c>
      <c r="K392" s="22">
        <f t="shared" si="3"/>
        <v>0</v>
      </c>
      <c r="L392" s="22">
        <f t="shared" si="3"/>
        <v>0</v>
      </c>
      <c r="M392" s="22">
        <f t="shared" si="3"/>
        <v>493289.0999999998</v>
      </c>
      <c r="N392" s="22">
        <f t="shared" si="3"/>
        <v>231339.99999999988</v>
      </c>
      <c r="O392" s="22">
        <f t="shared" si="3"/>
        <v>1448798.0299999998</v>
      </c>
      <c r="P392" s="22">
        <f t="shared" si="3"/>
        <v>1152165.47</v>
      </c>
      <c r="Q392" s="22">
        <f t="shared" si="3"/>
        <v>4505112.3400000017</v>
      </c>
      <c r="R392" s="22">
        <f t="shared" si="3"/>
        <v>3737400.9100000006</v>
      </c>
      <c r="S392" s="22">
        <f t="shared" si="3"/>
        <v>4576266.5899999989</v>
      </c>
      <c r="T392" s="22">
        <f t="shared" si="3"/>
        <v>3139080.8800000004</v>
      </c>
      <c r="U392" s="22">
        <f t="shared" si="3"/>
        <v>463703.7900000001</v>
      </c>
      <c r="V392" s="22">
        <f t="shared" si="3"/>
        <v>352164.12000000029</v>
      </c>
      <c r="W392" s="22">
        <f t="shared" si="3"/>
        <v>766341.83</v>
      </c>
      <c r="X392" s="22">
        <f t="shared" si="3"/>
        <v>398689.58699999988</v>
      </c>
      <c r="Y392" s="22">
        <f t="shared" si="3"/>
        <v>6907627.5</v>
      </c>
      <c r="Z392" s="22">
        <f t="shared" si="3"/>
        <v>11414.699999999993</v>
      </c>
      <c r="AA392" s="22">
        <f t="shared" si="3"/>
        <v>1673628</v>
      </c>
      <c r="AB392" s="22">
        <f t="shared" si="3"/>
        <v>18519603.789999999</v>
      </c>
      <c r="AC392" s="22">
        <f t="shared" si="3"/>
        <v>9438022.0300000012</v>
      </c>
      <c r="AD392" s="22">
        <f t="shared" ref="AD392:BD392" si="4">SUMIF(AD27:AD60,"&gt;0")</f>
        <v>6906015.299999997</v>
      </c>
      <c r="AE392" s="22">
        <f t="shared" si="4"/>
        <v>36709.200000000019</v>
      </c>
      <c r="AF392" s="403">
        <f t="shared" si="4"/>
        <v>31086</v>
      </c>
      <c r="AG392" s="22">
        <f t="shared" si="4"/>
        <v>1166632.3000000003</v>
      </c>
      <c r="AH392" s="22">
        <f t="shared" si="4"/>
        <v>831716.36999999988</v>
      </c>
      <c r="AI392" s="22">
        <f t="shared" si="4"/>
        <v>2700878.96</v>
      </c>
      <c r="AJ392" s="22">
        <f t="shared" si="4"/>
        <v>2088151.2400000005</v>
      </c>
      <c r="AK392" s="22">
        <f t="shared" si="4"/>
        <v>2144807.4199999995</v>
      </c>
      <c r="AL392" s="22">
        <f t="shared" si="4"/>
        <v>1746559.3000000003</v>
      </c>
      <c r="AM392" s="22">
        <f t="shared" si="4"/>
        <v>1936353.9999999998</v>
      </c>
      <c r="AN392" s="22">
        <f t="shared" si="4"/>
        <v>761512.70000000007</v>
      </c>
      <c r="AO392" s="22">
        <f t="shared" si="4"/>
        <v>539.6999999999997</v>
      </c>
      <c r="AP392" s="22">
        <f t="shared" si="4"/>
        <v>572.6999999999997</v>
      </c>
      <c r="AQ392" s="22">
        <f t="shared" si="4"/>
        <v>15836966.4</v>
      </c>
      <c r="AR392" s="22">
        <f t="shared" si="4"/>
        <v>7311723.7999999998</v>
      </c>
      <c r="AS392" s="22">
        <f t="shared" si="4"/>
        <v>2136115.4859999996</v>
      </c>
      <c r="AT392" s="22">
        <f t="shared" si="4"/>
        <v>0</v>
      </c>
      <c r="AU392" s="22">
        <f t="shared" si="4"/>
        <v>14783845.800000001</v>
      </c>
      <c r="AV392" s="22">
        <f t="shared" si="4"/>
        <v>6509018.3440000005</v>
      </c>
      <c r="AW392" s="22">
        <f t="shared" si="4"/>
        <v>2562304</v>
      </c>
      <c r="AX392" s="22">
        <f t="shared" si="4"/>
        <v>138839.26999999996</v>
      </c>
      <c r="AY392" s="22">
        <f t="shared" si="4"/>
        <v>92425.44</v>
      </c>
      <c r="AZ392" s="22">
        <f t="shared" si="4"/>
        <v>7260.48</v>
      </c>
      <c r="BA392" s="22">
        <f t="shared" si="4"/>
        <v>4394.5099999999993</v>
      </c>
      <c r="BB392" s="22">
        <f t="shared" si="4"/>
        <v>26088.601999999995</v>
      </c>
      <c r="BC392" s="22">
        <f t="shared" si="4"/>
        <v>11117.246999999994</v>
      </c>
      <c r="BD392" s="1750">
        <f t="shared" si="4"/>
        <v>59000.999999999978</v>
      </c>
      <c r="BE392" s="22">
        <f>SUMIF(BE36:BE63,"&gt;0")</f>
        <v>89266.499999999985</v>
      </c>
      <c r="BF392" s="22">
        <f>SUMIF(BF27:BF60,"&gt;0")</f>
        <v>16623.700000000004</v>
      </c>
      <c r="BG392" s="22">
        <f>SUMIF(BG27:BG60,"&gt;0")</f>
        <v>228993.98044302539</v>
      </c>
      <c r="BH392" s="22">
        <f>SUMIF(BH35:BH63,"&gt;0")</f>
        <v>948466.35760440596</v>
      </c>
      <c r="BI392" s="22">
        <f>SUMIF(BI35:BI63,"&gt;0")</f>
        <v>274423.8789986695</v>
      </c>
      <c r="BJ392" s="22">
        <f t="shared" ref="BJ392:CG392" si="5">SUMIF(BJ27:BJ60,"&gt;0")</f>
        <v>285078.82133252197</v>
      </c>
      <c r="BK392" s="22">
        <f t="shared" si="5"/>
        <v>216028002</v>
      </c>
      <c r="BL392" s="22">
        <f t="shared" si="5"/>
        <v>163849890</v>
      </c>
      <c r="BM392" s="22">
        <f t="shared" si="5"/>
        <v>7137196</v>
      </c>
      <c r="BN392" s="22">
        <f t="shared" si="5"/>
        <v>5926163</v>
      </c>
      <c r="BO392" s="22">
        <f t="shared" si="5"/>
        <v>4408.0822184939343</v>
      </c>
      <c r="BP392" s="22">
        <f t="shared" si="5"/>
        <v>1465.8484966666776</v>
      </c>
      <c r="BQ392" s="22">
        <f t="shared" si="5"/>
        <v>21288.4376784786</v>
      </c>
      <c r="BR392" s="22">
        <f t="shared" si="5"/>
        <v>81112230.5</v>
      </c>
      <c r="BS392" s="22">
        <f t="shared" si="5"/>
        <v>15818</v>
      </c>
      <c r="BT392" s="22">
        <f t="shared" si="5"/>
        <v>624164.41999999993</v>
      </c>
      <c r="BU392" s="22">
        <f t="shared" si="5"/>
        <v>99668095</v>
      </c>
      <c r="BV392" s="22">
        <f t="shared" si="5"/>
        <v>3041306</v>
      </c>
      <c r="BW392" s="22">
        <f t="shared" si="5"/>
        <v>626700.56999999995</v>
      </c>
      <c r="BX392" s="22">
        <f t="shared" si="5"/>
        <v>90394961</v>
      </c>
      <c r="BY392" s="22">
        <f t="shared" si="5"/>
        <v>4161637</v>
      </c>
      <c r="BZ392" s="22">
        <f t="shared" si="5"/>
        <v>536745.58000000007</v>
      </c>
      <c r="CA392" s="22">
        <f t="shared" si="5"/>
        <v>265091.52999999997</v>
      </c>
      <c r="CB392" s="22">
        <f t="shared" si="5"/>
        <v>180726.50999999998</v>
      </c>
      <c r="CC392" s="22">
        <f t="shared" si="5"/>
        <v>33481956</v>
      </c>
      <c r="CD392" s="22">
        <f t="shared" si="5"/>
        <v>19057409</v>
      </c>
      <c r="CE392" s="22">
        <f t="shared" si="5"/>
        <v>22820175</v>
      </c>
      <c r="CF392" s="22">
        <f t="shared" si="5"/>
        <v>14439531</v>
      </c>
      <c r="CG392" s="22">
        <f t="shared" si="5"/>
        <v>3.6999999999999997</v>
      </c>
    </row>
    <row r="393" spans="1:85" ht="13.2" hidden="1">
      <c r="A393" s="22" t="s">
        <v>178</v>
      </c>
      <c r="B393" s="22">
        <f t="shared" ref="B393:AC393" si="6">SUMIF(B60:B90,"&gt;0")</f>
        <v>31822.758000000013</v>
      </c>
      <c r="C393" s="22">
        <f t="shared" si="6"/>
        <v>17580.171000000006</v>
      </c>
      <c r="D393" s="22">
        <f t="shared" si="6"/>
        <v>205451.90000000002</v>
      </c>
      <c r="E393" s="1278">
        <f t="shared" si="6"/>
        <v>1.2</v>
      </c>
      <c r="F393" s="22">
        <f t="shared" si="6"/>
        <v>515089.69999999995</v>
      </c>
      <c r="G393" s="22">
        <f t="shared" si="6"/>
        <v>162272.80000000002</v>
      </c>
      <c r="H393" s="22">
        <f t="shared" si="6"/>
        <v>17220641.899999999</v>
      </c>
      <c r="I393" s="22">
        <f t="shared" si="6"/>
        <v>7960020.3999999994</v>
      </c>
      <c r="J393" s="22">
        <f t="shared" si="6"/>
        <v>6133423.200000002</v>
      </c>
      <c r="K393" s="22">
        <f t="shared" si="6"/>
        <v>0</v>
      </c>
      <c r="L393" s="22">
        <f t="shared" si="6"/>
        <v>0</v>
      </c>
      <c r="M393" s="22">
        <f t="shared" si="6"/>
        <v>448672.90000000037</v>
      </c>
      <c r="N393" s="22">
        <f t="shared" si="6"/>
        <v>210324.29999999996</v>
      </c>
      <c r="O393" s="22">
        <f t="shared" si="6"/>
        <v>1339922.6900000004</v>
      </c>
      <c r="P393" s="22">
        <f t="shared" si="6"/>
        <v>1065303.4900000002</v>
      </c>
      <c r="Q393" s="22">
        <f t="shared" si="6"/>
        <v>4108996.19</v>
      </c>
      <c r="R393" s="22">
        <f t="shared" si="6"/>
        <v>3408806.94</v>
      </c>
      <c r="S393" s="22">
        <f t="shared" si="6"/>
        <v>4175206.4099999997</v>
      </c>
      <c r="T393" s="22">
        <f t="shared" si="6"/>
        <v>2864154.0200000005</v>
      </c>
      <c r="U393" s="22">
        <f t="shared" si="6"/>
        <v>421548.90000000008</v>
      </c>
      <c r="V393" s="22">
        <f t="shared" si="6"/>
        <v>320149.20000000024</v>
      </c>
      <c r="W393" s="22">
        <f t="shared" si="6"/>
        <v>828534.34000000008</v>
      </c>
      <c r="X393" s="22">
        <f t="shared" si="6"/>
        <v>430491.91</v>
      </c>
      <c r="Y393" s="22">
        <f t="shared" si="6"/>
        <v>6300801</v>
      </c>
      <c r="Z393" s="22">
        <f t="shared" si="6"/>
        <v>10376.999999999995</v>
      </c>
      <c r="AA393" s="22">
        <f t="shared" si="6"/>
        <v>1521480</v>
      </c>
      <c r="AB393" s="22">
        <f t="shared" si="6"/>
        <v>17090565.5</v>
      </c>
      <c r="AC393" s="22">
        <f t="shared" si="6"/>
        <v>8708966.6999999993</v>
      </c>
      <c r="AD393" s="22">
        <f t="shared" ref="AD393:BG393" si="7">SUMIF(AD60:AD90,"&gt;0")</f>
        <v>6299378.9999999972</v>
      </c>
      <c r="AE393" s="22">
        <f t="shared" si="7"/>
        <v>33372.000000000015</v>
      </c>
      <c r="AF393" s="403">
        <f t="shared" si="7"/>
        <v>28260</v>
      </c>
      <c r="AG393" s="22">
        <f t="shared" si="7"/>
        <v>1062512.5199999998</v>
      </c>
      <c r="AH393" s="22">
        <f t="shared" si="7"/>
        <v>757507.34999999986</v>
      </c>
      <c r="AI393" s="22">
        <f t="shared" si="7"/>
        <v>2462688.4500000002</v>
      </c>
      <c r="AJ393" s="22">
        <f t="shared" si="7"/>
        <v>1904020.71</v>
      </c>
      <c r="AK393" s="22">
        <f t="shared" si="7"/>
        <v>1960698.97</v>
      </c>
      <c r="AL393" s="22">
        <f t="shared" si="7"/>
        <v>1596695.8100000003</v>
      </c>
      <c r="AM393" s="22">
        <f t="shared" si="7"/>
        <v>1768852.0000000002</v>
      </c>
      <c r="AN393" s="22">
        <f t="shared" si="7"/>
        <v>695595.40000000014</v>
      </c>
      <c r="AO393" s="22">
        <f t="shared" si="7"/>
        <v>492.89999999999992</v>
      </c>
      <c r="AP393" s="22">
        <f t="shared" si="7"/>
        <v>523.80000000000007</v>
      </c>
      <c r="AQ393" s="22">
        <f t="shared" si="7"/>
        <v>14522505.700000001</v>
      </c>
      <c r="AR393" s="22">
        <f t="shared" si="7"/>
        <v>6702513</v>
      </c>
      <c r="AS393" s="22">
        <f t="shared" si="7"/>
        <v>1946234.9160000002</v>
      </c>
      <c r="AT393" s="22">
        <f t="shared" si="7"/>
        <v>0</v>
      </c>
      <c r="AU393" s="22">
        <f t="shared" si="7"/>
        <v>13565654.68</v>
      </c>
      <c r="AV393" s="22">
        <f t="shared" si="7"/>
        <v>5972047.8799999999</v>
      </c>
      <c r="AW393" s="22">
        <f t="shared" si="7"/>
        <v>2350399</v>
      </c>
      <c r="AX393" s="22">
        <f t="shared" si="7"/>
        <v>128038.1</v>
      </c>
      <c r="AY393" s="22">
        <f t="shared" si="7"/>
        <v>85283.36</v>
      </c>
      <c r="AZ393" s="22">
        <f t="shared" si="7"/>
        <v>6613.2900000000027</v>
      </c>
      <c r="BA393" s="22">
        <f t="shared" si="7"/>
        <v>4001.9500000000003</v>
      </c>
      <c r="BB393" s="22">
        <f t="shared" si="7"/>
        <v>23780.696000000004</v>
      </c>
      <c r="BC393" s="22">
        <f t="shared" si="7"/>
        <v>10131.119999999997</v>
      </c>
      <c r="BD393" s="1750">
        <f t="shared" si="7"/>
        <v>53726.420000000027</v>
      </c>
      <c r="BE393" s="22">
        <f t="shared" si="7"/>
        <v>88914.200000000012</v>
      </c>
      <c r="BF393" s="22">
        <f t="shared" si="7"/>
        <v>13934.1</v>
      </c>
      <c r="BG393" s="22">
        <f t="shared" si="7"/>
        <v>189340.98</v>
      </c>
      <c r="BH393" s="22">
        <f t="shared" ref="BH393:CB393" si="8">SUMIF(BH60:BH90,"&gt;0")</f>
        <v>1025075.3263157897</v>
      </c>
      <c r="BI393" s="22">
        <f>SUMIF(BI60:BI90,"&gt;0")</f>
        <v>301229.71885133535</v>
      </c>
      <c r="BJ393" s="22">
        <f t="shared" si="8"/>
        <v>166203.43000000002</v>
      </c>
      <c r="BK393" s="22">
        <f t="shared" si="8"/>
        <v>197663745</v>
      </c>
      <c r="BL393" s="22">
        <f t="shared" si="8"/>
        <v>150225071</v>
      </c>
      <c r="BM393" s="22">
        <f t="shared" si="8"/>
        <v>6489270</v>
      </c>
      <c r="BN393" s="22">
        <f t="shared" si="8"/>
        <v>5388390</v>
      </c>
      <c r="BO393" s="22">
        <f t="shared" si="8"/>
        <v>3806.9422975018738</v>
      </c>
      <c r="BP393" s="22">
        <f t="shared" si="8"/>
        <v>1324.6039900634159</v>
      </c>
      <c r="BQ393" s="22">
        <f t="shared" si="8"/>
        <v>19172.548540485099</v>
      </c>
      <c r="BR393" s="22">
        <f t="shared" si="8"/>
        <v>74107522</v>
      </c>
      <c r="BS393" s="22">
        <f t="shared" si="8"/>
        <v>14535</v>
      </c>
      <c r="BT393" s="22">
        <f t="shared" si="8"/>
        <v>571621.01</v>
      </c>
      <c r="BU393" s="22">
        <f t="shared" si="8"/>
        <v>94427008</v>
      </c>
      <c r="BV393" s="22">
        <f t="shared" si="8"/>
        <v>3007637</v>
      </c>
      <c r="BW393" s="22">
        <f t="shared" si="8"/>
        <v>590668.19999999995</v>
      </c>
      <c r="BX393" s="22">
        <f t="shared" si="8"/>
        <v>85051131</v>
      </c>
      <c r="BY393" s="22">
        <f t="shared" si="8"/>
        <v>3803557</v>
      </c>
      <c r="BZ393" s="22">
        <f t="shared" si="8"/>
        <v>503822.00000000023</v>
      </c>
      <c r="CA393" s="22">
        <f t="shared" si="8"/>
        <v>246894.72</v>
      </c>
      <c r="CB393" s="22">
        <f t="shared" si="8"/>
        <v>168295.13</v>
      </c>
      <c r="CC393" s="22">
        <f t="shared" ref="CC393:CG393" si="9">SUMIF(CC60:CC90,"&gt;0")</f>
        <v>31248534</v>
      </c>
      <c r="CD393" s="22">
        <f t="shared" si="9"/>
        <v>17781279</v>
      </c>
      <c r="CE393" s="22">
        <f t="shared" si="9"/>
        <v>21149038</v>
      </c>
      <c r="CF393" s="22">
        <f t="shared" si="9"/>
        <v>13375405</v>
      </c>
      <c r="CG393" s="22">
        <f t="shared" si="9"/>
        <v>2.5</v>
      </c>
    </row>
    <row r="394" spans="1:85" ht="13.2" hidden="1">
      <c r="A394" s="22" t="s">
        <v>179</v>
      </c>
      <c r="B394" s="22">
        <f>SUMIF(B90:B123,"&gt;0")</f>
        <v>35064.829000000012</v>
      </c>
      <c r="C394" s="22">
        <f>SUMIF(C90:C123,"&gt;0")</f>
        <v>19365.912999999997</v>
      </c>
      <c r="D394" s="22">
        <f>SUMIF(D90:D123,"&gt;0")</f>
        <v>226142.3</v>
      </c>
      <c r="E394" s="1278">
        <f>SUMIF(E90:E123,"&gt;0")</f>
        <v>5.6</v>
      </c>
      <c r="F394" s="22">
        <f t="shared" ref="F394:AI394" si="10">SUMIF(F90:F123,"&gt;0")</f>
        <v>586072.70000000007</v>
      </c>
      <c r="G394" s="22">
        <f t="shared" si="10"/>
        <v>185996.00000000003</v>
      </c>
      <c r="H394" s="22">
        <f t="shared" si="10"/>
        <v>19103290.069000006</v>
      </c>
      <c r="I394" s="22">
        <f t="shared" si="10"/>
        <v>8837636.2040000018</v>
      </c>
      <c r="J394" s="22">
        <f t="shared" si="10"/>
        <v>6770108.0999999987</v>
      </c>
      <c r="K394" s="22">
        <f t="shared" si="10"/>
        <v>0</v>
      </c>
      <c r="L394" s="22">
        <f t="shared" si="10"/>
        <v>0</v>
      </c>
      <c r="M394" s="22">
        <f t="shared" si="10"/>
        <v>493645.6</v>
      </c>
      <c r="N394" s="22">
        <f t="shared" si="10"/>
        <v>231363</v>
      </c>
      <c r="O394" s="22">
        <f t="shared" si="10"/>
        <v>1509294.8</v>
      </c>
      <c r="P394" s="22">
        <f t="shared" si="10"/>
        <v>1200445.4000000004</v>
      </c>
      <c r="Q394" s="22">
        <f t="shared" si="10"/>
        <v>4534378.3999999994</v>
      </c>
      <c r="R394" s="22">
        <f t="shared" si="10"/>
        <v>3761591.8000000003</v>
      </c>
      <c r="S394" s="22">
        <f t="shared" si="10"/>
        <v>4608187.1999999993</v>
      </c>
      <c r="T394" s="22">
        <f t="shared" si="10"/>
        <v>3161371.3999999985</v>
      </c>
      <c r="U394" s="22">
        <f t="shared" si="10"/>
        <v>463703.7900000001</v>
      </c>
      <c r="V394" s="22">
        <f t="shared" si="10"/>
        <v>352164.12000000029</v>
      </c>
      <c r="W394" s="22">
        <f t="shared" si="10"/>
        <v>1052265</v>
      </c>
      <c r="X394" s="22">
        <f t="shared" si="10"/>
        <v>545886.80000000005</v>
      </c>
      <c r="Y394" s="22">
        <f t="shared" si="10"/>
        <v>6953616.3000000017</v>
      </c>
      <c r="Z394" s="22">
        <f t="shared" si="10"/>
        <v>11414.699999999993</v>
      </c>
      <c r="AA394" s="22">
        <f t="shared" si="10"/>
        <v>1673628</v>
      </c>
      <c r="AB394" s="22">
        <f t="shared" si="10"/>
        <v>19092922.199999999</v>
      </c>
      <c r="AC394" s="22">
        <f t="shared" si="10"/>
        <v>9729661.6999999993</v>
      </c>
      <c r="AD394" s="22">
        <f t="shared" si="10"/>
        <v>6952733.2999999961</v>
      </c>
      <c r="AE394" s="22">
        <f t="shared" si="10"/>
        <v>36709.200000000019</v>
      </c>
      <c r="AF394" s="22">
        <f t="shared" si="10"/>
        <v>31086</v>
      </c>
      <c r="AG394" s="22">
        <f t="shared" si="10"/>
        <v>1171037.6000000006</v>
      </c>
      <c r="AH394" s="22">
        <f t="shared" si="10"/>
        <v>834884.10000000009</v>
      </c>
      <c r="AI394" s="22">
        <f t="shared" si="10"/>
        <v>2716508.4</v>
      </c>
      <c r="AJ394" s="22">
        <f t="shared" ref="AJ394:BJ394" si="11">SUMIF(AJ90:AJ123,"&gt;0")</f>
        <v>2100230.8999999994</v>
      </c>
      <c r="AK394" s="22">
        <f t="shared" si="11"/>
        <v>2159942</v>
      </c>
      <c r="AL394" s="22">
        <f t="shared" si="11"/>
        <v>1758982.6000000006</v>
      </c>
      <c r="AM394" s="22">
        <f t="shared" si="11"/>
        <v>1955342.4999999998</v>
      </c>
      <c r="AN394" s="22">
        <f t="shared" si="11"/>
        <v>768869.59999999986</v>
      </c>
      <c r="AO394" s="22">
        <f t="shared" si="11"/>
        <v>545.00000000000011</v>
      </c>
      <c r="AP394" s="22">
        <f t="shared" si="11"/>
        <v>584.49999999999955</v>
      </c>
      <c r="AQ394" s="22">
        <f t="shared" si="11"/>
        <v>16125037.000000002</v>
      </c>
      <c r="AR394" s="22">
        <f t="shared" si="11"/>
        <v>7441066.3000000007</v>
      </c>
      <c r="AS394" s="22">
        <f t="shared" si="11"/>
        <v>2145479.6</v>
      </c>
      <c r="AT394" s="22">
        <f t="shared" si="11"/>
        <v>0</v>
      </c>
      <c r="AU394" s="22">
        <f t="shared" si="11"/>
        <v>15063885.5</v>
      </c>
      <c r="AV394" s="22">
        <f t="shared" si="11"/>
        <v>6630845.5</v>
      </c>
      <c r="AW394" s="22">
        <f t="shared" si="11"/>
        <v>2608613.7999999989</v>
      </c>
      <c r="AX394" s="22">
        <f t="shared" si="11"/>
        <v>142660.4</v>
      </c>
      <c r="AY394" s="22">
        <f t="shared" si="11"/>
        <v>95054.599999999977</v>
      </c>
      <c r="AZ394" s="22">
        <f t="shared" si="11"/>
        <v>7293.8899999999976</v>
      </c>
      <c r="BA394" s="22">
        <f t="shared" si="11"/>
        <v>4414.170000000001</v>
      </c>
      <c r="BB394" s="22">
        <f t="shared" si="11"/>
        <v>26413.113000000005</v>
      </c>
      <c r="BC394" s="22">
        <f t="shared" si="11"/>
        <v>11242.017</v>
      </c>
      <c r="BD394" s="1750">
        <f t="shared" si="11"/>
        <v>59396.599999999969</v>
      </c>
      <c r="BE394" s="22">
        <f t="shared" si="11"/>
        <v>97559</v>
      </c>
      <c r="BF394" s="22">
        <f t="shared" si="11"/>
        <v>15166.4</v>
      </c>
      <c r="BG394" s="22">
        <f t="shared" si="11"/>
        <v>196999.08000000007</v>
      </c>
      <c r="BH394" s="22">
        <f t="shared" si="11"/>
        <v>1047405.9805319752</v>
      </c>
      <c r="BI394" s="22">
        <f>SUMIF(BI90:BI123,"&gt;0")</f>
        <v>306455.59603621508</v>
      </c>
      <c r="BJ394" s="22">
        <f t="shared" si="11"/>
        <v>178518.19000000003</v>
      </c>
      <c r="BK394" s="22">
        <f t="shared" ref="BK394:CF394" si="12">SUMIF(BK90:BK123,"&gt;0")</f>
        <v>218650539</v>
      </c>
      <c r="BL394" s="22">
        <f t="shared" si="12"/>
        <v>166449496</v>
      </c>
      <c r="BM394" s="22">
        <f t="shared" si="12"/>
        <v>7148958</v>
      </c>
      <c r="BN394" s="22">
        <f t="shared" si="12"/>
        <v>5933314</v>
      </c>
      <c r="BO394" s="22">
        <f t="shared" si="12"/>
        <v>4205.6492274293305</v>
      </c>
      <c r="BP394" s="22">
        <f t="shared" si="12"/>
        <v>1462.115717928848</v>
      </c>
      <c r="BQ394" s="22">
        <f t="shared" si="12"/>
        <v>21383.466246949538</v>
      </c>
      <c r="BR394" s="22">
        <f t="shared" si="12"/>
        <v>83324718</v>
      </c>
      <c r="BS394" s="22">
        <f t="shared" si="12"/>
        <v>16837</v>
      </c>
      <c r="BT394" s="22">
        <f t="shared" si="12"/>
        <v>647401.19999999995</v>
      </c>
      <c r="BU394" s="22">
        <f t="shared" si="12"/>
        <v>106762406</v>
      </c>
      <c r="BV394" s="22">
        <f t="shared" si="12"/>
        <v>3365934</v>
      </c>
      <c r="BW394" s="22">
        <f t="shared" si="12"/>
        <v>663210.39999999991</v>
      </c>
      <c r="BX394" s="22">
        <f t="shared" si="12"/>
        <v>96622583</v>
      </c>
      <c r="BY394" s="22">
        <f t="shared" si="12"/>
        <v>4483890</v>
      </c>
      <c r="BZ394" s="22">
        <f t="shared" si="12"/>
        <v>568977.9700000002</v>
      </c>
      <c r="CA394" s="22">
        <f t="shared" si="12"/>
        <v>278172.3</v>
      </c>
      <c r="CB394" s="22">
        <f t="shared" si="12"/>
        <v>189518.60000000003</v>
      </c>
      <c r="CC394" s="22">
        <f t="shared" si="12"/>
        <v>35616391</v>
      </c>
      <c r="CD394" s="22">
        <f t="shared" si="12"/>
        <v>20242566</v>
      </c>
      <c r="CE394" s="22">
        <f t="shared" si="12"/>
        <v>23407230</v>
      </c>
      <c r="CF394" s="22">
        <f t="shared" si="12"/>
        <v>14801246</v>
      </c>
      <c r="CG394" s="22">
        <f>SUMIF(CG90:CG117,"&gt;0")</f>
        <v>4.3</v>
      </c>
    </row>
    <row r="395" spans="1:85" ht="13.2" hidden="1">
      <c r="A395" s="22" t="s">
        <v>180</v>
      </c>
      <c r="B395" s="22">
        <f t="shared" ref="B395:I395" si="13">SUMIF(B123:B155,"&gt;0")</f>
        <v>34147.379999999997</v>
      </c>
      <c r="C395" s="22">
        <f t="shared" si="13"/>
        <v>18858.510000000002</v>
      </c>
      <c r="D395" s="22">
        <f t="shared" si="13"/>
        <v>219504.60000000009</v>
      </c>
      <c r="E395" s="1278">
        <f t="shared" si="13"/>
        <v>3.3</v>
      </c>
      <c r="F395" s="22">
        <f t="shared" si="13"/>
        <v>580942.30000000005</v>
      </c>
      <c r="G395" s="22">
        <f t="shared" si="13"/>
        <v>184424.10000000003</v>
      </c>
      <c r="H395" s="22">
        <f t="shared" si="13"/>
        <v>3617926.102</v>
      </c>
      <c r="I395" s="22">
        <f t="shared" si="13"/>
        <v>1679561.3390000002</v>
      </c>
      <c r="J395" s="22">
        <f>SUMIF(J123:L155,"&gt;0")</f>
        <v>6587996.7999999989</v>
      </c>
      <c r="K395" s="22">
        <f>SUMIF(K123:M155,"&gt;0")</f>
        <v>478691.50000000012</v>
      </c>
      <c r="L395" s="22">
        <f>SUMIF(L123:N155,"&gt;0")</f>
        <v>703043.49999999953</v>
      </c>
      <c r="M395" s="22">
        <f t="shared" ref="M395:X395" si="14">SUMIF(M123:M155,"&gt;0")</f>
        <v>478691.50000000012</v>
      </c>
      <c r="N395" s="22">
        <f t="shared" si="14"/>
        <v>224352</v>
      </c>
      <c r="O395" s="22">
        <f t="shared" si="14"/>
        <v>1478272</v>
      </c>
      <c r="P395" s="22">
        <f t="shared" si="14"/>
        <v>1176041.6000000006</v>
      </c>
      <c r="Q395" s="22">
        <f t="shared" si="14"/>
        <v>4409878.6400000006</v>
      </c>
      <c r="R395" s="22">
        <f t="shared" si="14"/>
        <v>3657911.3960000006</v>
      </c>
      <c r="S395" s="22">
        <f t="shared" si="14"/>
        <v>4482800.709999999</v>
      </c>
      <c r="T395" s="22">
        <f t="shared" si="14"/>
        <v>3074656.6300000004</v>
      </c>
      <c r="U395" s="22">
        <f t="shared" si="14"/>
        <v>449652.16000000009</v>
      </c>
      <c r="V395" s="22">
        <f t="shared" si="14"/>
        <v>341492.48000000027</v>
      </c>
      <c r="W395" s="22">
        <f t="shared" si="14"/>
        <v>1175288.2579999999</v>
      </c>
      <c r="X395" s="22">
        <f t="shared" si="14"/>
        <v>607854.321</v>
      </c>
      <c r="Y395" s="22">
        <f t="shared" ref="Y395:AS395" si="15">SUMIF(Y123:Y155,"&gt;0")</f>
        <v>6764156.8000000035</v>
      </c>
      <c r="Z395" s="22">
        <f t="shared" si="15"/>
        <v>6572.0999999999976</v>
      </c>
      <c r="AA395" s="22">
        <f t="shared" si="15"/>
        <v>1622912</v>
      </c>
      <c r="AB395" s="22">
        <f t="shared" si="15"/>
        <v>18785861.625000004</v>
      </c>
      <c r="AC395" s="22">
        <f t="shared" si="15"/>
        <v>9573338.1569999997</v>
      </c>
      <c r="AD395" s="22">
        <f t="shared" si="15"/>
        <v>6765169.5999999987</v>
      </c>
      <c r="AE395" s="22">
        <f t="shared" si="15"/>
        <v>35596.800000000017</v>
      </c>
      <c r="AF395" s="22">
        <f t="shared" si="15"/>
        <v>30144</v>
      </c>
      <c r="AG395" s="22">
        <f t="shared" si="15"/>
        <v>1137897.5699999996</v>
      </c>
      <c r="AH395" s="22">
        <f t="shared" si="15"/>
        <v>811206.36999999988</v>
      </c>
      <c r="AI395" s="22">
        <f t="shared" si="15"/>
        <v>2640676.0299999993</v>
      </c>
      <c r="AJ395" s="22">
        <f t="shared" si="15"/>
        <v>2041498.39</v>
      </c>
      <c r="AK395" s="22">
        <f t="shared" si="15"/>
        <v>2117037.79</v>
      </c>
      <c r="AL395" s="22">
        <f t="shared" si="15"/>
        <v>1724739.3199999998</v>
      </c>
      <c r="AM395" s="22">
        <f t="shared" si="15"/>
        <v>1906384.4</v>
      </c>
      <c r="AN395" s="22">
        <f t="shared" si="15"/>
        <v>749580.20000000007</v>
      </c>
      <c r="AO395" s="22">
        <f t="shared" si="15"/>
        <v>533.70000000000005</v>
      </c>
      <c r="AP395" s="22">
        <f t="shared" si="15"/>
        <v>572.10000000000014</v>
      </c>
      <c r="AQ395" s="22">
        <f t="shared" si="15"/>
        <v>15791568.600000001</v>
      </c>
      <c r="AR395" s="22">
        <f t="shared" si="15"/>
        <v>7286357.8999999985</v>
      </c>
      <c r="AS395" s="22">
        <f t="shared" si="15"/>
        <v>2085210.4359999998</v>
      </c>
      <c r="AT395" s="22">
        <f>SUMIF(AT117:AT149,"&gt;0")</f>
        <v>0</v>
      </c>
      <c r="AU395" s="22">
        <f>SUMIF(AU123:AU155,"&gt;0")</f>
        <v>14748291.388999999</v>
      </c>
      <c r="AV395" s="22">
        <f t="shared" ref="AV395:BP395" si="16">SUMIF(AV117:AV149,"&gt;0")</f>
        <v>6478931.1490000021</v>
      </c>
      <c r="AW395" s="22">
        <f t="shared" si="16"/>
        <v>2547512.9999999986</v>
      </c>
      <c r="AX395" s="22">
        <f t="shared" si="16"/>
        <v>140333.32000000004</v>
      </c>
      <c r="AY395" s="22">
        <f t="shared" si="16"/>
        <v>93595.049999999988</v>
      </c>
      <c r="AZ395" s="22">
        <f t="shared" si="16"/>
        <v>7160.4799999999968</v>
      </c>
      <c r="BA395" s="22">
        <f t="shared" si="16"/>
        <v>4340.0400000000027</v>
      </c>
      <c r="BB395" s="22">
        <f t="shared" si="16"/>
        <v>26257.081999999991</v>
      </c>
      <c r="BC395" s="22">
        <f t="shared" si="16"/>
        <v>11150.146000000004</v>
      </c>
      <c r="BD395" s="1750">
        <f t="shared" si="16"/>
        <v>58334.200000000026</v>
      </c>
      <c r="BE395" s="22">
        <f t="shared" si="16"/>
        <v>95881.4</v>
      </c>
      <c r="BF395" s="22">
        <f t="shared" si="16"/>
        <v>14581.400000000009</v>
      </c>
      <c r="BG395" s="22">
        <f t="shared" si="16"/>
        <v>190770.34</v>
      </c>
      <c r="BH395" s="22">
        <f t="shared" si="16"/>
        <v>984362.91578947357</v>
      </c>
      <c r="BI395" s="22">
        <f>SUMIF(BI123:BI155,"&gt;0")</f>
        <v>261240.73788023868</v>
      </c>
      <c r="BJ395" s="22">
        <f t="shared" si="16"/>
        <v>194142.52</v>
      </c>
      <c r="BK395" s="22">
        <f t="shared" si="16"/>
        <v>212919386</v>
      </c>
      <c r="BL395" s="22">
        <f t="shared" si="16"/>
        <v>162254436</v>
      </c>
      <c r="BM395" s="22">
        <f t="shared" si="16"/>
        <v>6948622</v>
      </c>
      <c r="BN395" s="22">
        <f t="shared" si="16"/>
        <v>5762580</v>
      </c>
      <c r="BO395" s="22">
        <f t="shared" si="16"/>
        <v>4007.5089662881364</v>
      </c>
      <c r="BP395" s="22">
        <f t="shared" si="16"/>
        <v>1371.1046774335628</v>
      </c>
      <c r="BQ395" s="22">
        <f t="shared" ref="BQ395:CG395" si="17">SUMIF(BQ117:BQ149,"&gt;0")</f>
        <v>20384.014581473828</v>
      </c>
      <c r="BR395" s="22">
        <f t="shared" si="17"/>
        <v>82605858.199999988</v>
      </c>
      <c r="BS395" s="22">
        <f t="shared" si="17"/>
        <v>17074</v>
      </c>
      <c r="BT395" s="22">
        <f t="shared" si="17"/>
        <v>644604.49</v>
      </c>
      <c r="BU395" s="22">
        <f t="shared" si="17"/>
        <v>103937265</v>
      </c>
      <c r="BV395" s="22">
        <f t="shared" si="17"/>
        <v>3283880</v>
      </c>
      <c r="BW395" s="22">
        <f t="shared" si="17"/>
        <v>645047.46</v>
      </c>
      <c r="BX395" s="22">
        <f t="shared" si="17"/>
        <v>97393261</v>
      </c>
      <c r="BY395" s="22">
        <f t="shared" si="17"/>
        <v>4877285</v>
      </c>
      <c r="BZ395" s="22">
        <f t="shared" si="17"/>
        <v>570429.66</v>
      </c>
      <c r="CA395" s="22">
        <f t="shared" si="17"/>
        <v>275314.22000000003</v>
      </c>
      <c r="CB395" s="22">
        <f t="shared" si="17"/>
        <v>187392.91999999998</v>
      </c>
      <c r="CC395" s="22">
        <f t="shared" si="17"/>
        <v>35356365</v>
      </c>
      <c r="CD395" s="22">
        <f t="shared" si="17"/>
        <v>20087045</v>
      </c>
      <c r="CE395" s="22">
        <f t="shared" si="17"/>
        <v>23010298</v>
      </c>
      <c r="CF395" s="22">
        <f t="shared" si="17"/>
        <v>14542091</v>
      </c>
      <c r="CG395" s="22">
        <f t="shared" si="17"/>
        <v>4.7799999999999994</v>
      </c>
    </row>
    <row r="396" spans="1:85" ht="13.2" hidden="1">
      <c r="A396" s="22" t="s">
        <v>182</v>
      </c>
      <c r="B396" s="22">
        <f>SUMIF(B155:B188,"&gt;0")</f>
        <v>13883.973999999997</v>
      </c>
      <c r="C396" s="22">
        <f>SUMIF(C155:C188,"&gt;0")</f>
        <v>7667.0620000000017</v>
      </c>
      <c r="D396" s="22">
        <f t="shared" ref="D396:L396" si="18">SUMIF(D149:D182,"&gt;0")</f>
        <v>130359.40000000005</v>
      </c>
      <c r="E396" s="1278">
        <f t="shared" si="18"/>
        <v>0.2</v>
      </c>
      <c r="F396" s="22">
        <f t="shared" si="18"/>
        <v>331015.89999999991</v>
      </c>
      <c r="G396" s="22">
        <f t="shared" si="18"/>
        <v>104579.20000000001</v>
      </c>
      <c r="H396" s="22">
        <f t="shared" si="18"/>
        <v>124359.916</v>
      </c>
      <c r="I396" s="22">
        <f t="shared" si="18"/>
        <v>62274.874000000003</v>
      </c>
      <c r="J396" s="22">
        <f t="shared" si="18"/>
        <v>3712164</v>
      </c>
      <c r="K396" s="22">
        <f t="shared" si="18"/>
        <v>0</v>
      </c>
      <c r="L396" s="22">
        <f t="shared" si="18"/>
        <v>0</v>
      </c>
      <c r="M396" s="22">
        <f>SUMIF(M155:M188,"&gt;0")</f>
        <v>194514.00000000003</v>
      </c>
      <c r="N396" s="22">
        <f t="shared" ref="N396:AP396" si="19">SUMIF(N149:N182,"&gt;0")</f>
        <v>133210.20000000004</v>
      </c>
      <c r="O396" s="22">
        <f t="shared" si="19"/>
        <v>877724.59999999986</v>
      </c>
      <c r="P396" s="22">
        <f t="shared" si="19"/>
        <v>698275.3</v>
      </c>
      <c r="Q396" s="22">
        <f t="shared" si="19"/>
        <v>2484540.0900000003</v>
      </c>
      <c r="R396" s="22">
        <f t="shared" si="19"/>
        <v>2060715.01</v>
      </c>
      <c r="S396" s="22">
        <f t="shared" si="19"/>
        <v>2526158.2600000002</v>
      </c>
      <c r="T396" s="22">
        <f t="shared" si="19"/>
        <v>1733191.88</v>
      </c>
      <c r="U396" s="22">
        <f t="shared" si="19"/>
        <v>281134.40000000002</v>
      </c>
      <c r="V396" s="22">
        <f t="shared" si="19"/>
        <v>213505.24000000011</v>
      </c>
      <c r="W396" s="22">
        <f t="shared" si="19"/>
        <v>724815.09000000008</v>
      </c>
      <c r="X396" s="22">
        <f t="shared" si="19"/>
        <v>374151.61400000006</v>
      </c>
      <c r="Y396" s="22">
        <f t="shared" si="19"/>
        <v>3812413.1999999988</v>
      </c>
      <c r="Z396" s="22">
        <f t="shared" si="19"/>
        <v>3804.9000000000005</v>
      </c>
      <c r="AA396" s="22">
        <f t="shared" si="19"/>
        <v>1673628</v>
      </c>
      <c r="AB396" s="22">
        <f t="shared" si="19"/>
        <v>10635845.940000001</v>
      </c>
      <c r="AC396" s="22">
        <f t="shared" si="19"/>
        <v>5419038.7199999997</v>
      </c>
      <c r="AD396" s="22">
        <f t="shared" si="19"/>
        <v>3812771.3999999985</v>
      </c>
      <c r="AE396" s="22">
        <f t="shared" si="19"/>
        <v>12236.399999999998</v>
      </c>
      <c r="AF396" s="403">
        <f t="shared" si="19"/>
        <v>31086</v>
      </c>
      <c r="AG396" s="22">
        <f t="shared" si="19"/>
        <v>462771.18000000005</v>
      </c>
      <c r="AH396" s="22">
        <f t="shared" si="19"/>
        <v>329899.51999999996</v>
      </c>
      <c r="AI396" s="22">
        <f t="shared" si="19"/>
        <v>1487475.86</v>
      </c>
      <c r="AJ396" s="22">
        <f t="shared" si="19"/>
        <v>1149924.1399999999</v>
      </c>
      <c r="AK396" s="22">
        <f t="shared" si="19"/>
        <v>1202207.5599999998</v>
      </c>
      <c r="AL396" s="22">
        <f t="shared" si="19"/>
        <v>979812.58000000007</v>
      </c>
      <c r="AM396" s="22">
        <f t="shared" si="19"/>
        <v>1075745.5</v>
      </c>
      <c r="AN396" s="22">
        <f t="shared" si="19"/>
        <v>422964.20000000007</v>
      </c>
      <c r="AO396" s="22">
        <f t="shared" si="19"/>
        <v>336.00000000000011</v>
      </c>
      <c r="AP396" s="22">
        <f t="shared" si="19"/>
        <v>361.2000000000001</v>
      </c>
      <c r="AQ396" s="22">
        <f t="shared" ref="AQ396:BG396" si="20">SUMIF(AQ149:AQ182,"&gt;0")</f>
        <v>8934515.1000000015</v>
      </c>
      <c r="AR396" s="22">
        <f t="shared" si="20"/>
        <v>4121944</v>
      </c>
      <c r="AS396" s="22">
        <f t="shared" si="20"/>
        <v>1174541.493</v>
      </c>
      <c r="AT396" s="22">
        <f t="shared" si="20"/>
        <v>0</v>
      </c>
      <c r="AU396" s="22">
        <f t="shared" si="20"/>
        <v>8342990.0089999996</v>
      </c>
      <c r="AV396" s="22">
        <f t="shared" si="20"/>
        <v>3671591.2590000001</v>
      </c>
      <c r="AW396" s="22">
        <f t="shared" si="20"/>
        <v>1443037.1999999997</v>
      </c>
      <c r="AX396" s="22">
        <f t="shared" si="20"/>
        <v>80132.469999999987</v>
      </c>
      <c r="AY396" s="22">
        <f t="shared" si="20"/>
        <v>53495.819999999992</v>
      </c>
      <c r="AZ396" s="22">
        <f t="shared" si="20"/>
        <v>4061.2400000000007</v>
      </c>
      <c r="BA396" s="22">
        <f t="shared" si="20"/>
        <v>2461</v>
      </c>
      <c r="BB396" s="22">
        <f t="shared" si="20"/>
        <v>16456.952999999998</v>
      </c>
      <c r="BC396" s="22">
        <f t="shared" si="20"/>
        <v>6986.6319999999978</v>
      </c>
      <c r="BD396" s="1750">
        <f t="shared" si="20"/>
        <v>36516.500000000015</v>
      </c>
      <c r="BE396" s="22">
        <f t="shared" si="20"/>
        <v>54590.099999999991</v>
      </c>
      <c r="BF396" s="22">
        <f t="shared" si="20"/>
        <v>9114</v>
      </c>
      <c r="BG396" s="22">
        <f t="shared" si="20"/>
        <v>98379.12999999999</v>
      </c>
      <c r="BH396" s="22">
        <f>SUMIF(BH155:BH188,"&gt;0")</f>
        <v>334584.82456140342</v>
      </c>
      <c r="BI396" s="22">
        <f>SUMIF(BI155:BI188,"&gt;0")</f>
        <v>89643.845933333942</v>
      </c>
      <c r="BJ396" s="22">
        <f t="shared" ref="BJ396:CG396" si="21">SUMIF(BJ149:BJ182,"&gt;0")</f>
        <v>100328.29999999999</v>
      </c>
      <c r="BK396" s="22">
        <f t="shared" si="21"/>
        <v>86720947</v>
      </c>
      <c r="BL396" s="22">
        <f t="shared" si="21"/>
        <v>66123546</v>
      </c>
      <c r="BM396" s="22">
        <f t="shared" si="21"/>
        <v>2837590</v>
      </c>
      <c r="BN396" s="22">
        <f t="shared" si="21"/>
        <v>2349986</v>
      </c>
      <c r="BO396" s="22">
        <f t="shared" si="21"/>
        <v>1432.3235933428284</v>
      </c>
      <c r="BP396" s="22">
        <f t="shared" si="21"/>
        <v>486.77154817046164</v>
      </c>
      <c r="BQ396" s="22">
        <f t="shared" si="21"/>
        <v>7272.8347087452184</v>
      </c>
      <c r="BR396" s="22">
        <f t="shared" si="21"/>
        <v>47181219.299999997</v>
      </c>
      <c r="BS396" s="22">
        <f t="shared" si="21"/>
        <v>9914</v>
      </c>
      <c r="BT396" s="22">
        <f t="shared" si="21"/>
        <v>369436.79999999993</v>
      </c>
      <c r="BU396" s="22">
        <f t="shared" si="21"/>
        <v>59600396</v>
      </c>
      <c r="BV396" s="22">
        <f t="shared" si="21"/>
        <v>1953658</v>
      </c>
      <c r="BW396" s="22">
        <f t="shared" si="21"/>
        <v>369027.13000000006</v>
      </c>
      <c r="BX396" s="22">
        <f t="shared" si="21"/>
        <v>62349717</v>
      </c>
      <c r="BY396" s="22">
        <f t="shared" si="21"/>
        <v>3194453</v>
      </c>
      <c r="BZ396" s="22">
        <f t="shared" si="21"/>
        <v>364477.5400000001</v>
      </c>
      <c r="CA396" s="22">
        <f t="shared" si="21"/>
        <v>157822.53999999998</v>
      </c>
      <c r="CB396" s="22">
        <f t="shared" si="21"/>
        <v>107386.19</v>
      </c>
      <c r="CC396" s="22">
        <f t="shared" si="21"/>
        <v>20172548</v>
      </c>
      <c r="CD396" s="22">
        <f t="shared" si="21"/>
        <v>11462198</v>
      </c>
      <c r="CE396" s="22">
        <f t="shared" si="21"/>
        <v>13259756</v>
      </c>
      <c r="CF396" s="22">
        <f t="shared" si="21"/>
        <v>8373424</v>
      </c>
      <c r="CG396" s="22">
        <f t="shared" si="21"/>
        <v>0.4</v>
      </c>
    </row>
    <row r="397" spans="1:85" ht="13.2" hidden="1">
      <c r="A397" s="22" t="s">
        <v>183</v>
      </c>
      <c r="B397" s="22">
        <f>SUMIF(B188:B220,"&gt;0")</f>
        <v>0</v>
      </c>
      <c r="C397" s="22">
        <f>SUMIF(C188:C220,"&gt;0")</f>
        <v>0</v>
      </c>
      <c r="D397" s="22">
        <f t="shared" ref="D397:AE397" si="22">SUMIF(D182:D214,"&gt;0")</f>
        <v>0</v>
      </c>
      <c r="E397" s="1278">
        <f t="shared" si="22"/>
        <v>0</v>
      </c>
      <c r="F397" s="22">
        <f t="shared" si="22"/>
        <v>0</v>
      </c>
      <c r="G397" s="22">
        <f t="shared" si="22"/>
        <v>0</v>
      </c>
      <c r="H397" s="22">
        <f t="shared" si="22"/>
        <v>0</v>
      </c>
      <c r="I397" s="22">
        <f t="shared" si="22"/>
        <v>0</v>
      </c>
      <c r="J397" s="22">
        <f t="shared" si="22"/>
        <v>0</v>
      </c>
      <c r="K397" s="22">
        <f t="shared" si="22"/>
        <v>0</v>
      </c>
      <c r="L397" s="22">
        <f t="shared" si="22"/>
        <v>0</v>
      </c>
      <c r="M397" s="22">
        <f t="shared" si="22"/>
        <v>0</v>
      </c>
      <c r="N397" s="22">
        <f t="shared" si="22"/>
        <v>0</v>
      </c>
      <c r="O397" s="22">
        <f t="shared" si="22"/>
        <v>0</v>
      </c>
      <c r="P397" s="22">
        <f t="shared" si="22"/>
        <v>0</v>
      </c>
      <c r="Q397" s="22">
        <f t="shared" si="22"/>
        <v>0</v>
      </c>
      <c r="R397" s="22">
        <f t="shared" si="22"/>
        <v>0</v>
      </c>
      <c r="S397" s="22">
        <f t="shared" si="22"/>
        <v>0</v>
      </c>
      <c r="T397" s="22">
        <f t="shared" si="22"/>
        <v>0</v>
      </c>
      <c r="U397" s="22">
        <f t="shared" si="22"/>
        <v>0</v>
      </c>
      <c r="V397" s="22">
        <f t="shared" si="22"/>
        <v>0</v>
      </c>
      <c r="W397" s="22">
        <f t="shared" si="22"/>
        <v>0</v>
      </c>
      <c r="X397" s="22">
        <f t="shared" si="22"/>
        <v>0</v>
      </c>
      <c r="Y397" s="22">
        <f t="shared" si="22"/>
        <v>0</v>
      </c>
      <c r="Z397" s="22">
        <f t="shared" si="22"/>
        <v>0</v>
      </c>
      <c r="AA397" s="22">
        <f t="shared" si="22"/>
        <v>608592</v>
      </c>
      <c r="AB397" s="22">
        <f t="shared" si="22"/>
        <v>0</v>
      </c>
      <c r="AC397" s="22">
        <f t="shared" si="22"/>
        <v>0</v>
      </c>
      <c r="AD397" s="22">
        <f t="shared" si="22"/>
        <v>0</v>
      </c>
      <c r="AE397" s="22">
        <f t="shared" si="22"/>
        <v>0</v>
      </c>
      <c r="AF397" s="403">
        <f t="shared" ref="AF397:BH397" si="23">SUMIF(AF182:AF214,"&gt;0")</f>
        <v>11304</v>
      </c>
      <c r="AG397" s="22">
        <f t="shared" si="23"/>
        <v>0</v>
      </c>
      <c r="AH397" s="22">
        <f t="shared" si="23"/>
        <v>0</v>
      </c>
      <c r="AI397" s="22">
        <f t="shared" si="23"/>
        <v>0</v>
      </c>
      <c r="AJ397" s="22">
        <f t="shared" si="23"/>
        <v>0</v>
      </c>
      <c r="AK397" s="22">
        <f t="shared" si="23"/>
        <v>0</v>
      </c>
      <c r="AL397" s="22">
        <f t="shared" si="23"/>
        <v>0</v>
      </c>
      <c r="AM397" s="22">
        <f t="shared" si="23"/>
        <v>0</v>
      </c>
      <c r="AN397" s="22">
        <f t="shared" si="23"/>
        <v>0</v>
      </c>
      <c r="AO397" s="22">
        <f t="shared" si="23"/>
        <v>0</v>
      </c>
      <c r="AP397" s="22">
        <f t="shared" si="23"/>
        <v>0</v>
      </c>
      <c r="AQ397" s="22">
        <f t="shared" si="23"/>
        <v>0</v>
      </c>
      <c r="AR397" s="22">
        <f t="shared" si="23"/>
        <v>0</v>
      </c>
      <c r="AS397" s="22">
        <f t="shared" si="23"/>
        <v>0</v>
      </c>
      <c r="AT397" s="22">
        <f t="shared" si="23"/>
        <v>0</v>
      </c>
      <c r="AU397" s="22">
        <f t="shared" si="23"/>
        <v>0</v>
      </c>
      <c r="AV397" s="22">
        <f t="shared" si="23"/>
        <v>0</v>
      </c>
      <c r="AW397" s="22">
        <f t="shared" si="23"/>
        <v>0</v>
      </c>
      <c r="AX397" s="22">
        <f t="shared" si="23"/>
        <v>0</v>
      </c>
      <c r="AY397" s="22">
        <f t="shared" si="23"/>
        <v>0</v>
      </c>
      <c r="AZ397" s="22">
        <f t="shared" si="23"/>
        <v>0</v>
      </c>
      <c r="BA397" s="22">
        <f t="shared" si="23"/>
        <v>0</v>
      </c>
      <c r="BB397" s="22">
        <f t="shared" si="23"/>
        <v>0</v>
      </c>
      <c r="BC397" s="22">
        <f t="shared" si="23"/>
        <v>0</v>
      </c>
      <c r="BD397" s="1750">
        <f t="shared" si="23"/>
        <v>0</v>
      </c>
      <c r="BE397" s="22">
        <f t="shared" si="23"/>
        <v>0</v>
      </c>
      <c r="BF397" s="22">
        <f t="shared" si="23"/>
        <v>0</v>
      </c>
      <c r="BG397" s="22">
        <f t="shared" si="23"/>
        <v>0</v>
      </c>
      <c r="BH397" s="22">
        <f t="shared" si="23"/>
        <v>0</v>
      </c>
      <c r="BJ397" s="22">
        <f t="shared" ref="BJ397:CF397" si="24">SUMIF(BJ182:BJ214,"&gt;0")</f>
        <v>0</v>
      </c>
      <c r="BK397" s="22">
        <f t="shared" si="24"/>
        <v>0</v>
      </c>
      <c r="BL397" s="22">
        <f t="shared" si="24"/>
        <v>0</v>
      </c>
      <c r="BM397" s="22">
        <f t="shared" si="24"/>
        <v>0</v>
      </c>
      <c r="BN397" s="22">
        <f t="shared" si="24"/>
        <v>0</v>
      </c>
      <c r="BO397" s="22">
        <f t="shared" si="24"/>
        <v>0</v>
      </c>
      <c r="BP397" s="22">
        <f t="shared" si="24"/>
        <v>0</v>
      </c>
      <c r="BQ397" s="22">
        <f t="shared" si="24"/>
        <v>0</v>
      </c>
      <c r="BR397" s="22">
        <f t="shared" si="24"/>
        <v>0</v>
      </c>
      <c r="BS397" s="22">
        <f t="shared" si="24"/>
        <v>0</v>
      </c>
      <c r="BT397" s="22">
        <f t="shared" si="24"/>
        <v>0</v>
      </c>
      <c r="BU397" s="22">
        <f t="shared" si="24"/>
        <v>0</v>
      </c>
      <c r="BV397" s="22">
        <f t="shared" si="24"/>
        <v>0</v>
      </c>
      <c r="BW397" s="22">
        <f t="shared" si="24"/>
        <v>0</v>
      </c>
      <c r="BX397" s="22">
        <f t="shared" si="24"/>
        <v>0</v>
      </c>
      <c r="BY397" s="22">
        <f t="shared" si="24"/>
        <v>0</v>
      </c>
      <c r="BZ397" s="22">
        <f t="shared" si="24"/>
        <v>0</v>
      </c>
      <c r="CA397" s="22">
        <f t="shared" si="24"/>
        <v>0</v>
      </c>
      <c r="CB397" s="22">
        <f t="shared" si="24"/>
        <v>0</v>
      </c>
      <c r="CC397" s="22">
        <f t="shared" si="24"/>
        <v>0</v>
      </c>
      <c r="CD397" s="22">
        <f t="shared" si="24"/>
        <v>0</v>
      </c>
      <c r="CE397" s="22">
        <f t="shared" si="24"/>
        <v>0</v>
      </c>
      <c r="CF397" s="22">
        <f t="shared" si="24"/>
        <v>0</v>
      </c>
      <c r="CG397" s="22">
        <f t="shared" ref="CG397:CG402" si="25">SUMIF(CG150:CG183,"&gt;0")</f>
        <v>0.4</v>
      </c>
    </row>
    <row r="398" spans="1:85" ht="13.2" hidden="1">
      <c r="A398" s="22" t="s">
        <v>184</v>
      </c>
      <c r="B398" s="22">
        <f>SUMIF(B220:B253,"&gt;0")</f>
        <v>0</v>
      </c>
      <c r="C398" s="22">
        <f>SUMIF(C220:C253,"&gt;0")</f>
        <v>0</v>
      </c>
      <c r="D398" s="22">
        <f t="shared" ref="D398:AE398" si="26">SUMIF(D214:D247,"&gt;0")</f>
        <v>0</v>
      </c>
      <c r="E398" s="1278">
        <f t="shared" si="26"/>
        <v>0</v>
      </c>
      <c r="F398" s="22">
        <f t="shared" si="26"/>
        <v>0</v>
      </c>
      <c r="G398" s="22">
        <f t="shared" si="26"/>
        <v>0</v>
      </c>
      <c r="H398" s="22">
        <f t="shared" si="26"/>
        <v>0</v>
      </c>
      <c r="I398" s="22">
        <f t="shared" si="26"/>
        <v>0</v>
      </c>
      <c r="J398" s="22">
        <f t="shared" si="26"/>
        <v>0</v>
      </c>
      <c r="K398" s="22">
        <f t="shared" si="26"/>
        <v>0</v>
      </c>
      <c r="L398" s="22">
        <f t="shared" si="26"/>
        <v>0</v>
      </c>
      <c r="M398" s="22">
        <f t="shared" si="26"/>
        <v>0</v>
      </c>
      <c r="N398" s="22">
        <f t="shared" si="26"/>
        <v>0</v>
      </c>
      <c r="O398" s="22">
        <f t="shared" si="26"/>
        <v>0</v>
      </c>
      <c r="P398" s="22">
        <f t="shared" si="26"/>
        <v>0</v>
      </c>
      <c r="Q398" s="22">
        <f t="shared" si="26"/>
        <v>0</v>
      </c>
      <c r="R398" s="22">
        <f t="shared" si="26"/>
        <v>0</v>
      </c>
      <c r="S398" s="22">
        <f t="shared" si="26"/>
        <v>0</v>
      </c>
      <c r="T398" s="22">
        <f t="shared" si="26"/>
        <v>0</v>
      </c>
      <c r="U398" s="22">
        <f t="shared" si="26"/>
        <v>0</v>
      </c>
      <c r="V398" s="22">
        <f t="shared" si="26"/>
        <v>0</v>
      </c>
      <c r="W398" s="22">
        <f t="shared" si="26"/>
        <v>0</v>
      </c>
      <c r="X398" s="22">
        <f t="shared" si="26"/>
        <v>0</v>
      </c>
      <c r="Y398" s="22">
        <f t="shared" si="26"/>
        <v>0</v>
      </c>
      <c r="Z398" s="22">
        <f t="shared" si="26"/>
        <v>0</v>
      </c>
      <c r="AA398" s="22">
        <f t="shared" si="26"/>
        <v>0</v>
      </c>
      <c r="AB398" s="22">
        <f t="shared" si="26"/>
        <v>0</v>
      </c>
      <c r="AC398" s="22">
        <f t="shared" si="26"/>
        <v>0</v>
      </c>
      <c r="AD398" s="22">
        <f t="shared" si="26"/>
        <v>0</v>
      </c>
      <c r="AE398" s="22">
        <f t="shared" si="26"/>
        <v>0</v>
      </c>
      <c r="AF398" s="403">
        <f t="shared" ref="AF398:BH398" si="27">SUMIF(AF214:AF247,"&gt;0")</f>
        <v>0</v>
      </c>
      <c r="AG398" s="22">
        <f t="shared" si="27"/>
        <v>0</v>
      </c>
      <c r="AH398" s="22">
        <f t="shared" si="27"/>
        <v>0</v>
      </c>
      <c r="AI398" s="22">
        <f t="shared" si="27"/>
        <v>0</v>
      </c>
      <c r="AJ398" s="22">
        <f t="shared" si="27"/>
        <v>0</v>
      </c>
      <c r="AK398" s="22">
        <f t="shared" si="27"/>
        <v>0</v>
      </c>
      <c r="AL398" s="22">
        <f t="shared" si="27"/>
        <v>0</v>
      </c>
      <c r="AM398" s="22">
        <f t="shared" si="27"/>
        <v>0</v>
      </c>
      <c r="AN398" s="22">
        <f t="shared" si="27"/>
        <v>0</v>
      </c>
      <c r="AO398" s="22">
        <f t="shared" si="27"/>
        <v>0</v>
      </c>
      <c r="AP398" s="22">
        <f t="shared" si="27"/>
        <v>0</v>
      </c>
      <c r="AQ398" s="22">
        <f t="shared" si="27"/>
        <v>0</v>
      </c>
      <c r="AR398" s="22">
        <f t="shared" si="27"/>
        <v>0</v>
      </c>
      <c r="AS398" s="22">
        <f t="shared" si="27"/>
        <v>0</v>
      </c>
      <c r="AT398" s="22">
        <f t="shared" si="27"/>
        <v>0</v>
      </c>
      <c r="AU398" s="22">
        <f t="shared" si="27"/>
        <v>0</v>
      </c>
      <c r="AV398" s="22">
        <f t="shared" si="27"/>
        <v>0</v>
      </c>
      <c r="AW398" s="22">
        <f t="shared" si="27"/>
        <v>0</v>
      </c>
      <c r="AX398" s="22">
        <f t="shared" si="27"/>
        <v>0</v>
      </c>
      <c r="AY398" s="22">
        <f t="shared" si="27"/>
        <v>0</v>
      </c>
      <c r="AZ398" s="22">
        <f t="shared" si="27"/>
        <v>0</v>
      </c>
      <c r="BA398" s="22">
        <f t="shared" si="27"/>
        <v>0</v>
      </c>
      <c r="BB398" s="22">
        <f t="shared" si="27"/>
        <v>0</v>
      </c>
      <c r="BC398" s="22">
        <f t="shared" si="27"/>
        <v>0</v>
      </c>
      <c r="BD398" s="1750">
        <f t="shared" si="27"/>
        <v>0</v>
      </c>
      <c r="BE398" s="22">
        <f t="shared" si="27"/>
        <v>0</v>
      </c>
      <c r="BF398" s="22">
        <f t="shared" si="27"/>
        <v>0</v>
      </c>
      <c r="BG398" s="22">
        <f t="shared" si="27"/>
        <v>0</v>
      </c>
      <c r="BH398" s="22">
        <f t="shared" si="27"/>
        <v>0</v>
      </c>
      <c r="BJ398" s="22">
        <f t="shared" ref="BJ398:CF398" si="28">SUMIF(BJ214:BJ247,"&gt;0")</f>
        <v>0</v>
      </c>
      <c r="BK398" s="22">
        <f t="shared" si="28"/>
        <v>0</v>
      </c>
      <c r="BL398" s="22">
        <f t="shared" si="28"/>
        <v>0</v>
      </c>
      <c r="BM398" s="22">
        <f t="shared" si="28"/>
        <v>0</v>
      </c>
      <c r="BN398" s="22">
        <f t="shared" si="28"/>
        <v>0</v>
      </c>
      <c r="BO398" s="22">
        <f t="shared" si="28"/>
        <v>0</v>
      </c>
      <c r="BP398" s="22">
        <f t="shared" si="28"/>
        <v>0</v>
      </c>
      <c r="BQ398" s="22">
        <f t="shared" si="28"/>
        <v>0</v>
      </c>
      <c r="BR398" s="22">
        <f t="shared" si="28"/>
        <v>0</v>
      </c>
      <c r="BS398" s="22">
        <f t="shared" si="28"/>
        <v>0</v>
      </c>
      <c r="BT398" s="22">
        <f t="shared" si="28"/>
        <v>0</v>
      </c>
      <c r="BU398" s="22">
        <f t="shared" si="28"/>
        <v>0</v>
      </c>
      <c r="BV398" s="22">
        <f t="shared" si="28"/>
        <v>0</v>
      </c>
      <c r="BW398" s="22">
        <f t="shared" si="28"/>
        <v>0</v>
      </c>
      <c r="BX398" s="22">
        <f t="shared" si="28"/>
        <v>0</v>
      </c>
      <c r="BY398" s="22">
        <f t="shared" si="28"/>
        <v>0</v>
      </c>
      <c r="BZ398" s="22">
        <f t="shared" si="28"/>
        <v>0</v>
      </c>
      <c r="CA398" s="22">
        <f t="shared" si="28"/>
        <v>0</v>
      </c>
      <c r="CB398" s="22">
        <f t="shared" si="28"/>
        <v>0</v>
      </c>
      <c r="CC398" s="22">
        <f t="shared" si="28"/>
        <v>0</v>
      </c>
      <c r="CD398" s="22">
        <f t="shared" si="28"/>
        <v>0</v>
      </c>
      <c r="CE398" s="22">
        <f t="shared" si="28"/>
        <v>0</v>
      </c>
      <c r="CF398" s="22">
        <f t="shared" si="28"/>
        <v>0</v>
      </c>
      <c r="CG398" s="22">
        <f t="shared" si="25"/>
        <v>0.4</v>
      </c>
    </row>
    <row r="399" spans="1:85" ht="13.2" hidden="1">
      <c r="A399" s="22" t="s">
        <v>185</v>
      </c>
      <c r="B399" s="22">
        <f>SUMIF(B253:B286,"&gt;0")</f>
        <v>0</v>
      </c>
      <c r="C399" s="22">
        <f>SUMIF(C253:C286,"&gt;0")</f>
        <v>0</v>
      </c>
      <c r="D399" s="22">
        <f t="shared" ref="D399:AE399" si="29">SUMIF(D247:D280,"&gt;0")</f>
        <v>0</v>
      </c>
      <c r="E399" s="1278">
        <f t="shared" si="29"/>
        <v>0</v>
      </c>
      <c r="F399" s="22">
        <f t="shared" si="29"/>
        <v>0</v>
      </c>
      <c r="G399" s="22">
        <f t="shared" si="29"/>
        <v>0</v>
      </c>
      <c r="H399" s="22">
        <f t="shared" si="29"/>
        <v>0</v>
      </c>
      <c r="I399" s="22">
        <f t="shared" si="29"/>
        <v>0</v>
      </c>
      <c r="J399" s="22">
        <f t="shared" si="29"/>
        <v>0</v>
      </c>
      <c r="K399" s="22">
        <f t="shared" si="29"/>
        <v>0</v>
      </c>
      <c r="L399" s="22">
        <f t="shared" si="29"/>
        <v>0</v>
      </c>
      <c r="M399" s="22">
        <f t="shared" si="29"/>
        <v>0</v>
      </c>
      <c r="N399" s="22">
        <f t="shared" si="29"/>
        <v>0</v>
      </c>
      <c r="O399" s="22">
        <f t="shared" si="29"/>
        <v>0</v>
      </c>
      <c r="P399" s="22">
        <f t="shared" si="29"/>
        <v>0</v>
      </c>
      <c r="Q399" s="22">
        <f t="shared" si="29"/>
        <v>0</v>
      </c>
      <c r="R399" s="22">
        <f t="shared" si="29"/>
        <v>0</v>
      </c>
      <c r="S399" s="22">
        <f t="shared" si="29"/>
        <v>0</v>
      </c>
      <c r="T399" s="22">
        <f t="shared" si="29"/>
        <v>0</v>
      </c>
      <c r="U399" s="22">
        <f t="shared" si="29"/>
        <v>0</v>
      </c>
      <c r="V399" s="22">
        <f t="shared" si="29"/>
        <v>0</v>
      </c>
      <c r="W399" s="22">
        <f t="shared" si="29"/>
        <v>0</v>
      </c>
      <c r="X399" s="22">
        <f t="shared" si="29"/>
        <v>0</v>
      </c>
      <c r="Y399" s="22">
        <f t="shared" si="29"/>
        <v>0</v>
      </c>
      <c r="Z399" s="22">
        <f t="shared" si="29"/>
        <v>0</v>
      </c>
      <c r="AA399" s="22">
        <f t="shared" si="29"/>
        <v>0</v>
      </c>
      <c r="AB399" s="22">
        <f t="shared" si="29"/>
        <v>0</v>
      </c>
      <c r="AC399" s="22">
        <f t="shared" si="29"/>
        <v>0</v>
      </c>
      <c r="AD399" s="22">
        <f t="shared" si="29"/>
        <v>0</v>
      </c>
      <c r="AE399" s="22">
        <f t="shared" si="29"/>
        <v>0</v>
      </c>
      <c r="AF399" s="403">
        <f t="shared" ref="AF399:BH399" si="30">SUMIF(AF247:AF280,"&gt;0")</f>
        <v>0</v>
      </c>
      <c r="AG399" s="22">
        <f t="shared" si="30"/>
        <v>0</v>
      </c>
      <c r="AH399" s="22">
        <f t="shared" si="30"/>
        <v>0</v>
      </c>
      <c r="AI399" s="22">
        <f t="shared" si="30"/>
        <v>0</v>
      </c>
      <c r="AJ399" s="22">
        <f t="shared" si="30"/>
        <v>0</v>
      </c>
      <c r="AK399" s="22">
        <f t="shared" si="30"/>
        <v>0</v>
      </c>
      <c r="AL399" s="22">
        <f t="shared" si="30"/>
        <v>0</v>
      </c>
      <c r="AM399" s="22">
        <f t="shared" si="30"/>
        <v>0</v>
      </c>
      <c r="AN399" s="22">
        <f t="shared" si="30"/>
        <v>0</v>
      </c>
      <c r="AO399" s="22">
        <f t="shared" si="30"/>
        <v>0</v>
      </c>
      <c r="AP399" s="22">
        <f t="shared" si="30"/>
        <v>0</v>
      </c>
      <c r="AQ399" s="22">
        <f t="shared" si="30"/>
        <v>0</v>
      </c>
      <c r="AR399" s="22">
        <f t="shared" si="30"/>
        <v>0</v>
      </c>
      <c r="AS399" s="22">
        <f t="shared" si="30"/>
        <v>0</v>
      </c>
      <c r="AT399" s="22">
        <f t="shared" si="30"/>
        <v>0</v>
      </c>
      <c r="AU399" s="22">
        <f t="shared" si="30"/>
        <v>0</v>
      </c>
      <c r="AV399" s="22">
        <f t="shared" si="30"/>
        <v>0</v>
      </c>
      <c r="AW399" s="22">
        <f t="shared" si="30"/>
        <v>0</v>
      </c>
      <c r="AX399" s="22">
        <f t="shared" si="30"/>
        <v>0</v>
      </c>
      <c r="AY399" s="22">
        <f t="shared" si="30"/>
        <v>0</v>
      </c>
      <c r="AZ399" s="22">
        <f t="shared" si="30"/>
        <v>0</v>
      </c>
      <c r="BA399" s="22">
        <f t="shared" si="30"/>
        <v>0</v>
      </c>
      <c r="BB399" s="22">
        <f t="shared" si="30"/>
        <v>0</v>
      </c>
      <c r="BC399" s="22">
        <f t="shared" si="30"/>
        <v>0</v>
      </c>
      <c r="BD399" s="1750">
        <f t="shared" si="30"/>
        <v>0</v>
      </c>
      <c r="BE399" s="22">
        <f t="shared" si="30"/>
        <v>0</v>
      </c>
      <c r="BF399" s="22">
        <f t="shared" si="30"/>
        <v>0</v>
      </c>
      <c r="BG399" s="22">
        <f t="shared" si="30"/>
        <v>0</v>
      </c>
      <c r="BH399" s="22">
        <f t="shared" si="30"/>
        <v>0</v>
      </c>
      <c r="BJ399" s="22">
        <f t="shared" ref="BJ399:CF399" si="31">SUMIF(BJ247:BJ280,"&gt;0")</f>
        <v>0</v>
      </c>
      <c r="BK399" s="22">
        <f t="shared" si="31"/>
        <v>0</v>
      </c>
      <c r="BL399" s="22">
        <f t="shared" si="31"/>
        <v>0</v>
      </c>
      <c r="BM399" s="22">
        <f t="shared" si="31"/>
        <v>0</v>
      </c>
      <c r="BN399" s="22">
        <f t="shared" si="31"/>
        <v>0</v>
      </c>
      <c r="BO399" s="22">
        <f t="shared" si="31"/>
        <v>0</v>
      </c>
      <c r="BP399" s="22">
        <f t="shared" si="31"/>
        <v>0</v>
      </c>
      <c r="BQ399" s="22">
        <f t="shared" si="31"/>
        <v>0</v>
      </c>
      <c r="BR399" s="22">
        <f t="shared" si="31"/>
        <v>0</v>
      </c>
      <c r="BS399" s="22">
        <f t="shared" si="31"/>
        <v>0</v>
      </c>
      <c r="BT399" s="22">
        <f t="shared" si="31"/>
        <v>0</v>
      </c>
      <c r="BU399" s="22">
        <f t="shared" si="31"/>
        <v>0</v>
      </c>
      <c r="BV399" s="22">
        <f t="shared" si="31"/>
        <v>0</v>
      </c>
      <c r="BW399" s="22">
        <f t="shared" si="31"/>
        <v>0</v>
      </c>
      <c r="BX399" s="22">
        <f t="shared" si="31"/>
        <v>0</v>
      </c>
      <c r="BY399" s="22">
        <f t="shared" si="31"/>
        <v>0</v>
      </c>
      <c r="BZ399" s="22">
        <f t="shared" si="31"/>
        <v>0</v>
      </c>
      <c r="CA399" s="22">
        <f t="shared" si="31"/>
        <v>0</v>
      </c>
      <c r="CB399" s="22">
        <f t="shared" si="31"/>
        <v>0</v>
      </c>
      <c r="CC399" s="22">
        <f t="shared" si="31"/>
        <v>0</v>
      </c>
      <c r="CD399" s="22">
        <f t="shared" si="31"/>
        <v>0</v>
      </c>
      <c r="CE399" s="22">
        <f t="shared" si="31"/>
        <v>0</v>
      </c>
      <c r="CF399" s="22">
        <f t="shared" si="31"/>
        <v>0</v>
      </c>
      <c r="CG399" s="22">
        <f t="shared" si="25"/>
        <v>0.4</v>
      </c>
    </row>
    <row r="400" spans="1:85" ht="13.2" hidden="1">
      <c r="A400" s="22" t="s">
        <v>186</v>
      </c>
      <c r="B400" s="22">
        <f>SUMIF(B286:B318,"&gt;0")</f>
        <v>0</v>
      </c>
      <c r="C400" s="22">
        <f>SUMIF(C286:C318,"&gt;0")</f>
        <v>0</v>
      </c>
      <c r="D400" s="22">
        <f t="shared" ref="D400:AA400" si="32">SUMIF(D280:D312,"&gt;0")</f>
        <v>0</v>
      </c>
      <c r="E400" s="1278">
        <f t="shared" si="32"/>
        <v>0</v>
      </c>
      <c r="F400" s="22">
        <f t="shared" si="32"/>
        <v>0</v>
      </c>
      <c r="G400" s="22">
        <f t="shared" si="32"/>
        <v>0</v>
      </c>
      <c r="H400" s="22">
        <f t="shared" si="32"/>
        <v>0</v>
      </c>
      <c r="I400" s="22">
        <f t="shared" si="32"/>
        <v>0</v>
      </c>
      <c r="J400" s="22">
        <f t="shared" si="32"/>
        <v>0</v>
      </c>
      <c r="K400" s="22">
        <f t="shared" si="32"/>
        <v>0</v>
      </c>
      <c r="L400" s="22">
        <f t="shared" si="32"/>
        <v>0</v>
      </c>
      <c r="M400" s="22">
        <f t="shared" si="32"/>
        <v>0</v>
      </c>
      <c r="N400" s="22">
        <f t="shared" si="32"/>
        <v>0</v>
      </c>
      <c r="O400" s="22">
        <f t="shared" si="32"/>
        <v>0</v>
      </c>
      <c r="P400" s="22">
        <f t="shared" si="32"/>
        <v>0</v>
      </c>
      <c r="Q400" s="22">
        <f t="shared" si="32"/>
        <v>0</v>
      </c>
      <c r="R400" s="22">
        <f t="shared" si="32"/>
        <v>0</v>
      </c>
      <c r="S400" s="22">
        <f t="shared" si="32"/>
        <v>0</v>
      </c>
      <c r="T400" s="22">
        <f t="shared" si="32"/>
        <v>0</v>
      </c>
      <c r="U400" s="22">
        <f t="shared" si="32"/>
        <v>0</v>
      </c>
      <c r="V400" s="22">
        <f t="shared" si="32"/>
        <v>0</v>
      </c>
      <c r="W400" s="22">
        <f t="shared" si="32"/>
        <v>0</v>
      </c>
      <c r="X400" s="22">
        <f t="shared" si="32"/>
        <v>0</v>
      </c>
      <c r="Y400" s="22">
        <f t="shared" si="32"/>
        <v>0</v>
      </c>
      <c r="Z400" s="22">
        <f t="shared" si="32"/>
        <v>0</v>
      </c>
      <c r="AA400" s="22">
        <f t="shared" si="32"/>
        <v>0</v>
      </c>
      <c r="AB400" s="22">
        <f>SUMIF(AB293:AB324,"&gt;0")</f>
        <v>0</v>
      </c>
      <c r="AC400" s="22">
        <f t="shared" ref="AC400:BH400" si="33">SUMIF(AC280:AC312,"&gt;0")</f>
        <v>0</v>
      </c>
      <c r="AD400" s="22">
        <f t="shared" si="33"/>
        <v>0</v>
      </c>
      <c r="AE400" s="22">
        <f t="shared" si="33"/>
        <v>0</v>
      </c>
      <c r="AF400" s="403">
        <f t="shared" si="33"/>
        <v>0</v>
      </c>
      <c r="AG400" s="22">
        <f t="shared" si="33"/>
        <v>0</v>
      </c>
      <c r="AH400" s="22">
        <f t="shared" si="33"/>
        <v>0</v>
      </c>
      <c r="AI400" s="22">
        <f t="shared" si="33"/>
        <v>0</v>
      </c>
      <c r="AJ400" s="22">
        <f t="shared" si="33"/>
        <v>0</v>
      </c>
      <c r="AK400" s="22">
        <f t="shared" si="33"/>
        <v>0</v>
      </c>
      <c r="AL400" s="22">
        <f t="shared" si="33"/>
        <v>0</v>
      </c>
      <c r="AM400" s="22">
        <f t="shared" si="33"/>
        <v>0</v>
      </c>
      <c r="AN400" s="22">
        <f t="shared" si="33"/>
        <v>0</v>
      </c>
      <c r="AO400" s="22">
        <f t="shared" si="33"/>
        <v>0</v>
      </c>
      <c r="AP400" s="22">
        <f t="shared" si="33"/>
        <v>0</v>
      </c>
      <c r="AQ400" s="22">
        <f t="shared" si="33"/>
        <v>0</v>
      </c>
      <c r="AR400" s="22">
        <f t="shared" si="33"/>
        <v>0</v>
      </c>
      <c r="AS400" s="22">
        <f t="shared" si="33"/>
        <v>0</v>
      </c>
      <c r="AT400" s="22">
        <f t="shared" si="33"/>
        <v>0</v>
      </c>
      <c r="AU400" s="22">
        <f t="shared" si="33"/>
        <v>0</v>
      </c>
      <c r="AV400" s="22">
        <f t="shared" si="33"/>
        <v>0</v>
      </c>
      <c r="AW400" s="22">
        <f t="shared" si="33"/>
        <v>0</v>
      </c>
      <c r="AX400" s="22">
        <f t="shared" si="33"/>
        <v>0</v>
      </c>
      <c r="AY400" s="22">
        <f t="shared" si="33"/>
        <v>0</v>
      </c>
      <c r="AZ400" s="22">
        <f t="shared" si="33"/>
        <v>0</v>
      </c>
      <c r="BA400" s="22">
        <f t="shared" si="33"/>
        <v>0</v>
      </c>
      <c r="BB400" s="22">
        <f t="shared" si="33"/>
        <v>0</v>
      </c>
      <c r="BC400" s="22">
        <f t="shared" si="33"/>
        <v>0</v>
      </c>
      <c r="BD400" s="1750">
        <f t="shared" si="33"/>
        <v>0</v>
      </c>
      <c r="BE400" s="22">
        <f t="shared" si="33"/>
        <v>0</v>
      </c>
      <c r="BF400" s="22">
        <f t="shared" si="33"/>
        <v>0</v>
      </c>
      <c r="BG400" s="22">
        <f t="shared" si="33"/>
        <v>0</v>
      </c>
      <c r="BH400" s="22">
        <f t="shared" si="33"/>
        <v>0</v>
      </c>
      <c r="BJ400" s="22">
        <f t="shared" ref="BJ400:CF400" si="34">SUMIF(BJ280:BJ312,"&gt;0")</f>
        <v>0</v>
      </c>
      <c r="BK400" s="22">
        <f t="shared" si="34"/>
        <v>0</v>
      </c>
      <c r="BL400" s="22">
        <f t="shared" si="34"/>
        <v>0</v>
      </c>
      <c r="BM400" s="22">
        <f t="shared" si="34"/>
        <v>0</v>
      </c>
      <c r="BN400" s="22">
        <f t="shared" si="34"/>
        <v>0</v>
      </c>
      <c r="BO400" s="22">
        <f t="shared" si="34"/>
        <v>0</v>
      </c>
      <c r="BP400" s="22">
        <f t="shared" si="34"/>
        <v>0</v>
      </c>
      <c r="BQ400" s="22">
        <f t="shared" si="34"/>
        <v>0</v>
      </c>
      <c r="BR400" s="22">
        <f t="shared" si="34"/>
        <v>0</v>
      </c>
      <c r="BS400" s="22">
        <f t="shared" si="34"/>
        <v>0</v>
      </c>
      <c r="BT400" s="22">
        <f t="shared" si="34"/>
        <v>0</v>
      </c>
      <c r="BU400" s="22">
        <f t="shared" si="34"/>
        <v>0</v>
      </c>
      <c r="BV400" s="22">
        <f t="shared" si="34"/>
        <v>0</v>
      </c>
      <c r="BW400" s="22">
        <f t="shared" si="34"/>
        <v>0</v>
      </c>
      <c r="BX400" s="22">
        <f t="shared" si="34"/>
        <v>0</v>
      </c>
      <c r="BY400" s="22">
        <f t="shared" si="34"/>
        <v>0</v>
      </c>
      <c r="BZ400" s="22">
        <f t="shared" si="34"/>
        <v>0</v>
      </c>
      <c r="CA400" s="22">
        <f t="shared" si="34"/>
        <v>0</v>
      </c>
      <c r="CB400" s="22">
        <f t="shared" si="34"/>
        <v>0</v>
      </c>
      <c r="CC400" s="22">
        <f t="shared" si="34"/>
        <v>0</v>
      </c>
      <c r="CD400" s="22">
        <f t="shared" si="34"/>
        <v>0</v>
      </c>
      <c r="CE400" s="22">
        <f t="shared" si="34"/>
        <v>0</v>
      </c>
      <c r="CF400" s="22">
        <f t="shared" si="34"/>
        <v>0</v>
      </c>
      <c r="CG400" s="22">
        <f t="shared" si="25"/>
        <v>0</v>
      </c>
    </row>
    <row r="401" spans="1:85" ht="13.2" hidden="1">
      <c r="A401" s="22" t="s">
        <v>187</v>
      </c>
      <c r="B401" s="22">
        <f>SUMIF(B318:B351,"&gt;0")</f>
        <v>0</v>
      </c>
      <c r="C401" s="22">
        <f>SUMIF(C318:C351,"&gt;0")</f>
        <v>0</v>
      </c>
      <c r="D401" s="22">
        <f t="shared" ref="D401:AE401" si="35">SUMIF(D312:D345,"&gt;0")</f>
        <v>0</v>
      </c>
      <c r="E401" s="1278">
        <f t="shared" si="35"/>
        <v>0</v>
      </c>
      <c r="F401" s="22">
        <f t="shared" si="35"/>
        <v>0</v>
      </c>
      <c r="G401" s="22">
        <f t="shared" si="35"/>
        <v>0</v>
      </c>
      <c r="H401" s="22">
        <f t="shared" si="35"/>
        <v>0</v>
      </c>
      <c r="I401" s="22">
        <f t="shared" si="35"/>
        <v>0</v>
      </c>
      <c r="J401" s="22">
        <f t="shared" si="35"/>
        <v>0</v>
      </c>
      <c r="K401" s="22">
        <f t="shared" si="35"/>
        <v>0</v>
      </c>
      <c r="L401" s="22">
        <f t="shared" si="35"/>
        <v>0</v>
      </c>
      <c r="M401" s="22">
        <f t="shared" si="35"/>
        <v>0</v>
      </c>
      <c r="N401" s="22">
        <f t="shared" si="35"/>
        <v>0</v>
      </c>
      <c r="O401" s="22">
        <f t="shared" si="35"/>
        <v>0</v>
      </c>
      <c r="P401" s="22">
        <f t="shared" si="35"/>
        <v>0</v>
      </c>
      <c r="Q401" s="22">
        <f t="shared" si="35"/>
        <v>0</v>
      </c>
      <c r="R401" s="22">
        <f t="shared" si="35"/>
        <v>0</v>
      </c>
      <c r="S401" s="22">
        <f t="shared" si="35"/>
        <v>0</v>
      </c>
      <c r="T401" s="22">
        <f t="shared" si="35"/>
        <v>0</v>
      </c>
      <c r="U401" s="22">
        <f t="shared" si="35"/>
        <v>0</v>
      </c>
      <c r="V401" s="22">
        <f t="shared" si="35"/>
        <v>0</v>
      </c>
      <c r="W401" s="22">
        <f t="shared" si="35"/>
        <v>0</v>
      </c>
      <c r="X401" s="22">
        <f t="shared" si="35"/>
        <v>0</v>
      </c>
      <c r="Y401" s="22">
        <f t="shared" si="35"/>
        <v>0</v>
      </c>
      <c r="Z401" s="22">
        <f t="shared" si="35"/>
        <v>0</v>
      </c>
      <c r="AA401" s="22">
        <f t="shared" si="35"/>
        <v>0</v>
      </c>
      <c r="AB401" s="22">
        <f t="shared" si="35"/>
        <v>0</v>
      </c>
      <c r="AC401" s="22">
        <f t="shared" si="35"/>
        <v>0</v>
      </c>
      <c r="AD401" s="22">
        <f t="shared" si="35"/>
        <v>0</v>
      </c>
      <c r="AE401" s="22">
        <f t="shared" si="35"/>
        <v>0</v>
      </c>
      <c r="AF401" s="403">
        <f t="shared" ref="AF401:BH401" si="36">SUMIF(AF312:AF345,"&gt;0")</f>
        <v>0</v>
      </c>
      <c r="AG401" s="22">
        <f t="shared" si="36"/>
        <v>0</v>
      </c>
      <c r="AH401" s="22">
        <f t="shared" si="36"/>
        <v>0</v>
      </c>
      <c r="AI401" s="22">
        <f t="shared" si="36"/>
        <v>0</v>
      </c>
      <c r="AJ401" s="22">
        <f t="shared" si="36"/>
        <v>0</v>
      </c>
      <c r="AK401" s="22">
        <f t="shared" si="36"/>
        <v>0</v>
      </c>
      <c r="AL401" s="22">
        <f t="shared" si="36"/>
        <v>0</v>
      </c>
      <c r="AM401" s="22">
        <f t="shared" si="36"/>
        <v>0</v>
      </c>
      <c r="AN401" s="22">
        <f t="shared" si="36"/>
        <v>0</v>
      </c>
      <c r="AO401" s="22">
        <f t="shared" si="36"/>
        <v>0</v>
      </c>
      <c r="AP401" s="22">
        <f t="shared" si="36"/>
        <v>0</v>
      </c>
      <c r="AQ401" s="22">
        <f t="shared" si="36"/>
        <v>0</v>
      </c>
      <c r="AR401" s="22">
        <f t="shared" si="36"/>
        <v>0</v>
      </c>
      <c r="AS401" s="22">
        <f t="shared" si="36"/>
        <v>0</v>
      </c>
      <c r="AT401" s="22">
        <f t="shared" si="36"/>
        <v>0</v>
      </c>
      <c r="AU401" s="22">
        <f t="shared" si="36"/>
        <v>0</v>
      </c>
      <c r="AV401" s="22">
        <f t="shared" si="36"/>
        <v>0</v>
      </c>
      <c r="AW401" s="22">
        <f t="shared" si="36"/>
        <v>0</v>
      </c>
      <c r="AX401" s="22">
        <f t="shared" si="36"/>
        <v>0</v>
      </c>
      <c r="AY401" s="22">
        <f t="shared" si="36"/>
        <v>0</v>
      </c>
      <c r="AZ401" s="22">
        <f t="shared" si="36"/>
        <v>0</v>
      </c>
      <c r="BA401" s="22">
        <f t="shared" si="36"/>
        <v>0</v>
      </c>
      <c r="BB401" s="22">
        <f t="shared" si="36"/>
        <v>0</v>
      </c>
      <c r="BC401" s="22">
        <f t="shared" si="36"/>
        <v>0</v>
      </c>
      <c r="BD401" s="1750">
        <f t="shared" si="36"/>
        <v>0</v>
      </c>
      <c r="BE401" s="22">
        <f t="shared" si="36"/>
        <v>0</v>
      </c>
      <c r="BF401" s="22">
        <f t="shared" si="36"/>
        <v>0</v>
      </c>
      <c r="BG401" s="22">
        <f t="shared" si="36"/>
        <v>0</v>
      </c>
      <c r="BH401" s="22">
        <f t="shared" si="36"/>
        <v>0</v>
      </c>
      <c r="BJ401" s="22">
        <f t="shared" ref="BJ401:CF401" si="37">SUMIF(BJ312:BJ345,"&gt;0")</f>
        <v>0</v>
      </c>
      <c r="BK401" s="22">
        <f>SUMIF(BK312:BK353,"&gt;0")</f>
        <v>0</v>
      </c>
      <c r="BL401" s="22">
        <f t="shared" si="37"/>
        <v>0</v>
      </c>
      <c r="BM401" s="22">
        <f t="shared" si="37"/>
        <v>0</v>
      </c>
      <c r="BN401" s="22">
        <f t="shared" si="37"/>
        <v>0</v>
      </c>
      <c r="BO401" s="22">
        <f t="shared" si="37"/>
        <v>0</v>
      </c>
      <c r="BP401" s="22">
        <f t="shared" si="37"/>
        <v>0</v>
      </c>
      <c r="BQ401" s="22">
        <f t="shared" si="37"/>
        <v>0</v>
      </c>
      <c r="BR401" s="22">
        <f t="shared" si="37"/>
        <v>0</v>
      </c>
      <c r="BS401" s="22">
        <f t="shared" si="37"/>
        <v>0</v>
      </c>
      <c r="BT401" s="22">
        <f t="shared" si="37"/>
        <v>0</v>
      </c>
      <c r="BU401" s="22">
        <f t="shared" si="37"/>
        <v>0</v>
      </c>
      <c r="BV401" s="22">
        <f t="shared" si="37"/>
        <v>0</v>
      </c>
      <c r="BW401" s="22">
        <f t="shared" si="37"/>
        <v>0</v>
      </c>
      <c r="BX401" s="22">
        <f t="shared" si="37"/>
        <v>0</v>
      </c>
      <c r="BY401" s="22">
        <f t="shared" si="37"/>
        <v>0</v>
      </c>
      <c r="BZ401" s="22">
        <f t="shared" si="37"/>
        <v>0</v>
      </c>
      <c r="CA401" s="22">
        <f t="shared" si="37"/>
        <v>0</v>
      </c>
      <c r="CB401" s="22">
        <f t="shared" si="37"/>
        <v>0</v>
      </c>
      <c r="CC401" s="22">
        <f t="shared" si="37"/>
        <v>0</v>
      </c>
      <c r="CD401" s="22">
        <f t="shared" si="37"/>
        <v>0</v>
      </c>
      <c r="CE401" s="22">
        <f t="shared" si="37"/>
        <v>0</v>
      </c>
      <c r="CF401" s="22">
        <f t="shared" si="37"/>
        <v>0</v>
      </c>
      <c r="CG401" s="22">
        <f t="shared" si="25"/>
        <v>0</v>
      </c>
    </row>
    <row r="402" spans="1:85" ht="13.2" hidden="1">
      <c r="A402" s="22" t="s">
        <v>188</v>
      </c>
      <c r="B402" s="22">
        <f>SUMIF(B351:B383,"&gt;0")</f>
        <v>0</v>
      </c>
      <c r="C402" s="22">
        <f>SUMIF(C351:C383,"&gt;0")</f>
        <v>0</v>
      </c>
      <c r="D402" s="22">
        <f t="shared" ref="D402:AE402" si="38">SUMIF(D345:D377,"&gt;0")</f>
        <v>0</v>
      </c>
      <c r="E402" s="1278">
        <f t="shared" si="38"/>
        <v>0</v>
      </c>
      <c r="F402" s="22">
        <f t="shared" si="38"/>
        <v>0</v>
      </c>
      <c r="G402" s="22">
        <f t="shared" si="38"/>
        <v>0</v>
      </c>
      <c r="H402" s="22">
        <f t="shared" si="38"/>
        <v>0</v>
      </c>
      <c r="I402" s="22">
        <f t="shared" si="38"/>
        <v>0</v>
      </c>
      <c r="J402" s="22">
        <f t="shared" si="38"/>
        <v>0</v>
      </c>
      <c r="K402" s="22">
        <f t="shared" si="38"/>
        <v>0</v>
      </c>
      <c r="L402" s="22">
        <f t="shared" si="38"/>
        <v>0</v>
      </c>
      <c r="M402" s="22">
        <f t="shared" si="38"/>
        <v>0</v>
      </c>
      <c r="N402" s="22">
        <f t="shared" si="38"/>
        <v>0</v>
      </c>
      <c r="O402" s="22">
        <f t="shared" si="38"/>
        <v>0</v>
      </c>
      <c r="P402" s="22">
        <f t="shared" si="38"/>
        <v>0</v>
      </c>
      <c r="Q402" s="22">
        <f t="shared" si="38"/>
        <v>0</v>
      </c>
      <c r="R402" s="22">
        <f t="shared" si="38"/>
        <v>0</v>
      </c>
      <c r="S402" s="22">
        <f t="shared" si="38"/>
        <v>0</v>
      </c>
      <c r="T402" s="22">
        <f t="shared" si="38"/>
        <v>0</v>
      </c>
      <c r="U402" s="22">
        <f t="shared" si="38"/>
        <v>0</v>
      </c>
      <c r="V402" s="22">
        <f t="shared" si="38"/>
        <v>0</v>
      </c>
      <c r="W402" s="22">
        <f t="shared" si="38"/>
        <v>0</v>
      </c>
      <c r="X402" s="22">
        <f t="shared" si="38"/>
        <v>0</v>
      </c>
      <c r="Y402" s="22">
        <f t="shared" si="38"/>
        <v>0</v>
      </c>
      <c r="Z402" s="22">
        <f t="shared" si="38"/>
        <v>0</v>
      </c>
      <c r="AA402" s="22">
        <f t="shared" si="38"/>
        <v>0</v>
      </c>
      <c r="AB402" s="22">
        <f t="shared" si="38"/>
        <v>0</v>
      </c>
      <c r="AC402" s="22">
        <f t="shared" si="38"/>
        <v>0</v>
      </c>
      <c r="AD402" s="22">
        <f t="shared" si="38"/>
        <v>0</v>
      </c>
      <c r="AE402" s="22">
        <f t="shared" si="38"/>
        <v>0</v>
      </c>
      <c r="AF402" s="403">
        <f t="shared" ref="AF402:BH402" si="39">SUMIF(AF345:AF377,"&gt;0")</f>
        <v>0</v>
      </c>
      <c r="AG402" s="22">
        <f t="shared" si="39"/>
        <v>0</v>
      </c>
      <c r="AH402" s="22">
        <f t="shared" si="39"/>
        <v>0</v>
      </c>
      <c r="AI402" s="22">
        <f t="shared" si="39"/>
        <v>0</v>
      </c>
      <c r="AJ402" s="22">
        <f t="shared" si="39"/>
        <v>0</v>
      </c>
      <c r="AK402" s="22">
        <f t="shared" si="39"/>
        <v>0</v>
      </c>
      <c r="AL402" s="22">
        <f t="shared" si="39"/>
        <v>0</v>
      </c>
      <c r="AM402" s="22">
        <f t="shared" si="39"/>
        <v>0</v>
      </c>
      <c r="AN402" s="22">
        <f t="shared" si="39"/>
        <v>0</v>
      </c>
      <c r="AO402" s="22">
        <f t="shared" si="39"/>
        <v>0</v>
      </c>
      <c r="AP402" s="22">
        <f t="shared" si="39"/>
        <v>0</v>
      </c>
      <c r="AQ402" s="22">
        <f t="shared" si="39"/>
        <v>0</v>
      </c>
      <c r="AR402" s="22">
        <f t="shared" si="39"/>
        <v>0</v>
      </c>
      <c r="AS402" s="22">
        <f t="shared" si="39"/>
        <v>0</v>
      </c>
      <c r="AT402" s="22">
        <f t="shared" si="39"/>
        <v>0</v>
      </c>
      <c r="AU402" s="22">
        <f t="shared" si="39"/>
        <v>0</v>
      </c>
      <c r="AV402" s="22">
        <f t="shared" si="39"/>
        <v>0</v>
      </c>
      <c r="AW402" s="22">
        <f t="shared" si="39"/>
        <v>0</v>
      </c>
      <c r="AX402" s="22">
        <f t="shared" si="39"/>
        <v>0</v>
      </c>
      <c r="AY402" s="22">
        <f t="shared" si="39"/>
        <v>0</v>
      </c>
      <c r="AZ402" s="22">
        <f t="shared" si="39"/>
        <v>0</v>
      </c>
      <c r="BA402" s="22">
        <f t="shared" si="39"/>
        <v>0</v>
      </c>
      <c r="BB402" s="22">
        <f t="shared" si="39"/>
        <v>0</v>
      </c>
      <c r="BC402" s="22">
        <f t="shared" si="39"/>
        <v>0</v>
      </c>
      <c r="BD402" s="1750">
        <f t="shared" si="39"/>
        <v>0</v>
      </c>
      <c r="BE402" s="22">
        <f t="shared" si="39"/>
        <v>0</v>
      </c>
      <c r="BF402" s="22">
        <f t="shared" si="39"/>
        <v>0</v>
      </c>
      <c r="BG402" s="22">
        <f t="shared" si="39"/>
        <v>0</v>
      </c>
      <c r="BH402" s="22">
        <f t="shared" si="39"/>
        <v>0</v>
      </c>
      <c r="BJ402" s="22">
        <f t="shared" ref="BJ402:CF402" si="40">SUMIF(BJ345:BJ377,"&gt;0")</f>
        <v>0</v>
      </c>
      <c r="BK402" s="22">
        <f>SUMIF(BK346:BK377,"&gt;0")</f>
        <v>0</v>
      </c>
      <c r="BL402" s="22">
        <f t="shared" si="40"/>
        <v>0</v>
      </c>
      <c r="BM402" s="22">
        <f t="shared" si="40"/>
        <v>0</v>
      </c>
      <c r="BN402" s="22">
        <f t="shared" si="40"/>
        <v>0</v>
      </c>
      <c r="BO402" s="22">
        <f t="shared" si="40"/>
        <v>0</v>
      </c>
      <c r="BP402" s="22">
        <f t="shared" si="40"/>
        <v>0</v>
      </c>
      <c r="BQ402" s="22">
        <f t="shared" si="40"/>
        <v>0</v>
      </c>
      <c r="BR402" s="22">
        <f t="shared" si="40"/>
        <v>0</v>
      </c>
      <c r="BS402" s="22">
        <f t="shared" si="40"/>
        <v>0</v>
      </c>
      <c r="BT402" s="22">
        <f t="shared" si="40"/>
        <v>0</v>
      </c>
      <c r="BU402" s="22">
        <f t="shared" si="40"/>
        <v>0</v>
      </c>
      <c r="BV402" s="22">
        <f t="shared" si="40"/>
        <v>0</v>
      </c>
      <c r="BW402" s="22">
        <f t="shared" si="40"/>
        <v>0</v>
      </c>
      <c r="BX402" s="22">
        <f t="shared" si="40"/>
        <v>0</v>
      </c>
      <c r="BY402" s="22">
        <f t="shared" si="40"/>
        <v>0</v>
      </c>
      <c r="BZ402" s="22">
        <f t="shared" si="40"/>
        <v>0</v>
      </c>
      <c r="CA402" s="22">
        <f t="shared" si="40"/>
        <v>0</v>
      </c>
      <c r="CB402" s="22">
        <f t="shared" si="40"/>
        <v>0</v>
      </c>
      <c r="CC402" s="22">
        <f t="shared" si="40"/>
        <v>0</v>
      </c>
      <c r="CD402" s="22">
        <f t="shared" si="40"/>
        <v>0</v>
      </c>
      <c r="CE402" s="22">
        <f t="shared" si="40"/>
        <v>0</v>
      </c>
      <c r="CF402" s="22">
        <f t="shared" si="40"/>
        <v>0</v>
      </c>
      <c r="CG402" s="22">
        <f t="shared" si="25"/>
        <v>0</v>
      </c>
    </row>
    <row r="403" spans="1:85" ht="13.2" hidden="1">
      <c r="A403" s="22" t="s">
        <v>230</v>
      </c>
      <c r="B403" s="1234">
        <f>SUM(B391:B402)</f>
        <v>177415.66400000002</v>
      </c>
      <c r="C403" s="1234">
        <f>SUM(C391:C402)</f>
        <v>98015.964000000007</v>
      </c>
      <c r="D403" s="1234">
        <f t="shared" ref="D403:AJ403" si="41">SUM(D391:D402)</f>
        <v>1185215.8000000003</v>
      </c>
      <c r="E403" s="1279">
        <f t="shared" si="41"/>
        <v>18.099999999999998</v>
      </c>
      <c r="F403" s="1234">
        <f t="shared" si="41"/>
        <v>2960206.1</v>
      </c>
      <c r="G403" s="1234">
        <f t="shared" si="41"/>
        <v>931687.90000000014</v>
      </c>
      <c r="H403" s="1234">
        <f t="shared" si="41"/>
        <v>73536004.866999999</v>
      </c>
      <c r="I403" s="1234">
        <f t="shared" si="41"/>
        <v>33991091.417000003</v>
      </c>
      <c r="J403" s="1234">
        <f t="shared" si="41"/>
        <v>35207915.949999996</v>
      </c>
      <c r="K403" s="1234">
        <f t="shared" si="41"/>
        <v>478691.50000000012</v>
      </c>
      <c r="L403" s="1234">
        <f t="shared" si="41"/>
        <v>703043.49999999953</v>
      </c>
      <c r="M403" s="1234">
        <f t="shared" si="41"/>
        <v>2497463.7000000002</v>
      </c>
      <c r="N403" s="1234">
        <f t="shared" si="41"/>
        <v>1212857.2999999996</v>
      </c>
      <c r="O403" s="1234">
        <f t="shared" si="41"/>
        <v>7776855.5299999993</v>
      </c>
      <c r="P403" s="1234">
        <f t="shared" si="41"/>
        <v>6185436.9500000011</v>
      </c>
      <c r="Q403" s="1234">
        <f t="shared" si="41"/>
        <v>23581803.690000001</v>
      </c>
      <c r="R403" s="1234">
        <f t="shared" si="41"/>
        <v>19562290.316000003</v>
      </c>
      <c r="S403" s="1234">
        <f t="shared" si="41"/>
        <v>23961786.279999997</v>
      </c>
      <c r="T403" s="1234">
        <f t="shared" si="41"/>
        <v>16437010.039999999</v>
      </c>
      <c r="U403" s="1234">
        <f t="shared" si="41"/>
        <v>2445085.4200000004</v>
      </c>
      <c r="V403" s="1234">
        <f t="shared" si="41"/>
        <v>1856937.8000000012</v>
      </c>
      <c r="W403" s="1234">
        <f t="shared" si="41"/>
        <v>5002985.568</v>
      </c>
      <c r="X403" s="1234">
        <f t="shared" si="41"/>
        <v>2594070.5520000001</v>
      </c>
      <c r="Y403" s="1234">
        <f t="shared" si="41"/>
        <v>36163741.000000007</v>
      </c>
      <c r="Z403" s="1234">
        <f t="shared" si="41"/>
        <v>52576.799999999974</v>
      </c>
      <c r="AA403" s="1234">
        <f t="shared" si="41"/>
        <v>10092484</v>
      </c>
      <c r="AB403" s="1234">
        <f t="shared" si="41"/>
        <v>98547289.814999998</v>
      </c>
      <c r="AC403" s="1234">
        <f t="shared" si="41"/>
        <v>50221219.776999995</v>
      </c>
      <c r="AD403" s="1234">
        <f t="shared" si="41"/>
        <v>36159879.199999988</v>
      </c>
      <c r="AE403" s="1234">
        <f t="shared" si="41"/>
        <v>183546.00000000009</v>
      </c>
      <c r="AF403" s="1235">
        <f t="shared" si="41"/>
        <v>187458</v>
      </c>
      <c r="AG403" s="1234">
        <f t="shared" si="41"/>
        <v>5918457.21</v>
      </c>
      <c r="AH403" s="1234">
        <f t="shared" si="41"/>
        <v>4219379.5699999994</v>
      </c>
      <c r="AI403" s="1234">
        <f t="shared" si="41"/>
        <v>14130147.769999998</v>
      </c>
      <c r="AJ403" s="1234">
        <f t="shared" si="41"/>
        <v>10924281.779999999</v>
      </c>
      <c r="AK403" s="1234">
        <f t="shared" ref="AK403:CF403" si="42">SUM(AK391:AK402)</f>
        <v>11263742.199999999</v>
      </c>
      <c r="AL403" s="1234">
        <f t="shared" si="42"/>
        <v>9174230.4600000009</v>
      </c>
      <c r="AM403" s="1234">
        <f t="shared" si="42"/>
        <v>10160729.1</v>
      </c>
      <c r="AN403" s="1234">
        <f t="shared" si="42"/>
        <v>3995558.3000000007</v>
      </c>
      <c r="AO403" s="1234">
        <f t="shared" si="42"/>
        <v>2871.1000000000004</v>
      </c>
      <c r="AP403" s="1234">
        <f t="shared" si="42"/>
        <v>3064.1</v>
      </c>
      <c r="AQ403" s="1234">
        <f t="shared" si="42"/>
        <v>83581211.599999994</v>
      </c>
      <c r="AR403" s="1234">
        <f t="shared" si="42"/>
        <v>38576875.099999994</v>
      </c>
      <c r="AS403" s="1234">
        <f t="shared" si="42"/>
        <v>11166995.931000002</v>
      </c>
      <c r="AT403" s="1234">
        <f t="shared" si="42"/>
        <v>0</v>
      </c>
      <c r="AU403" s="1234">
        <f>SUM(AU391:AU402)</f>
        <v>78049977.277999997</v>
      </c>
      <c r="AV403" s="1234">
        <f t="shared" si="42"/>
        <v>34346190.732000008</v>
      </c>
      <c r="AW403" s="1234">
        <f t="shared" si="42"/>
        <v>13513486.659999996</v>
      </c>
      <c r="AX403" s="1234">
        <f t="shared" si="42"/>
        <v>738176.02</v>
      </c>
      <c r="AY403" s="1234">
        <f t="shared" si="42"/>
        <v>491800.91</v>
      </c>
      <c r="AZ403" s="1234">
        <f t="shared" si="42"/>
        <v>38099.169999999991</v>
      </c>
      <c r="BA403" s="1234">
        <f t="shared" si="42"/>
        <v>23067.780000000006</v>
      </c>
      <c r="BB403" s="1234">
        <f t="shared" si="42"/>
        <v>139483.08000000002</v>
      </c>
      <c r="BC403" s="1234">
        <f t="shared" si="42"/>
        <v>59359.391999999993</v>
      </c>
      <c r="BD403" s="1751">
        <f t="shared" si="42"/>
        <v>313342.99</v>
      </c>
      <c r="BE403" s="1234">
        <f t="shared" si="42"/>
        <v>525952.79999999993</v>
      </c>
      <c r="BF403" s="1234">
        <f t="shared" si="42"/>
        <v>82178.800000000017</v>
      </c>
      <c r="BG403" s="1234">
        <f t="shared" si="42"/>
        <v>1079901.3304430253</v>
      </c>
      <c r="BH403" s="1234">
        <f t="shared" si="42"/>
        <v>5338644.2433995381</v>
      </c>
      <c r="BI403" s="1234">
        <f t="shared" si="42"/>
        <v>1553718.1670441912</v>
      </c>
      <c r="BJ403" s="1234">
        <f t="shared" si="42"/>
        <v>1085731.1913325221</v>
      </c>
      <c r="BK403" s="1234">
        <f t="shared" si="42"/>
        <v>1101170597</v>
      </c>
      <c r="BL403" s="1234">
        <f t="shared" si="42"/>
        <v>836994259</v>
      </c>
      <c r="BM403" s="1234">
        <f t="shared" si="42"/>
        <v>36183668</v>
      </c>
      <c r="BN403" s="1234">
        <f t="shared" si="42"/>
        <v>30028239</v>
      </c>
      <c r="BO403" s="1234">
        <f t="shared" si="42"/>
        <v>21370.01148505442</v>
      </c>
      <c r="BP403" s="1234">
        <f t="shared" si="42"/>
        <v>7284.0976009906062</v>
      </c>
      <c r="BQ403" s="1234">
        <f t="shared" si="42"/>
        <v>106167.36482175023</v>
      </c>
      <c r="BR403" s="1234">
        <f t="shared" si="42"/>
        <v>431674660.5</v>
      </c>
      <c r="BS403" s="1234">
        <f t="shared" si="42"/>
        <v>86453</v>
      </c>
      <c r="BT403" s="1234">
        <f t="shared" si="42"/>
        <v>3344570.5199999996</v>
      </c>
      <c r="BU403" s="1234">
        <f t="shared" si="42"/>
        <v>540270247</v>
      </c>
      <c r="BV403" s="1234">
        <f t="shared" si="42"/>
        <v>16681806</v>
      </c>
      <c r="BW403" s="1234">
        <f t="shared" si="42"/>
        <v>3374582.4699999997</v>
      </c>
      <c r="BX403" s="1234">
        <f t="shared" si="42"/>
        <v>500757749</v>
      </c>
      <c r="BY403" s="1234">
        <f t="shared" si="42"/>
        <v>23763778</v>
      </c>
      <c r="BZ403" s="1234">
        <f t="shared" si="42"/>
        <v>2951952.5500000007</v>
      </c>
      <c r="CA403" s="1234">
        <f t="shared" si="42"/>
        <v>1427466.56</v>
      </c>
      <c r="CB403" s="1234">
        <f t="shared" si="42"/>
        <v>972500.06999999983</v>
      </c>
      <c r="CC403" s="1234">
        <f t="shared" si="42"/>
        <v>181796972</v>
      </c>
      <c r="CD403" s="1234">
        <f t="shared" si="42"/>
        <v>103377360</v>
      </c>
      <c r="CE403" s="1234">
        <f t="shared" si="42"/>
        <v>121102183</v>
      </c>
      <c r="CF403" s="1234">
        <f t="shared" si="42"/>
        <v>76582109</v>
      </c>
    </row>
    <row r="404" spans="1:85" hidden="1"/>
    <row r="406" spans="1:85">
      <c r="AF406" s="22"/>
      <c r="AS406" s="608"/>
      <c r="BZ406" s="608"/>
    </row>
    <row r="407" spans="1:85">
      <c r="W407" s="608"/>
      <c r="X407" s="608"/>
      <c r="AF407" s="22"/>
      <c r="AQ407" s="608">
        <f>AQ389-AQ388</f>
        <v>0</v>
      </c>
      <c r="AR407" s="608">
        <f>AR389-AR388</f>
        <v>0</v>
      </c>
      <c r="BU407" s="608"/>
      <c r="BV407" s="608"/>
      <c r="BW407" s="608"/>
      <c r="BZ407" s="608"/>
      <c r="CC407" s="608"/>
      <c r="CD407" s="608"/>
      <c r="CE407" s="608"/>
      <c r="CF407" s="608"/>
    </row>
    <row r="408" spans="1:85" ht="13.2">
      <c r="F408" s="608"/>
      <c r="G408" s="608"/>
      <c r="H408" s="608"/>
      <c r="I408" s="608"/>
      <c r="J408" s="608"/>
      <c r="K408" s="608"/>
      <c r="L408" s="608"/>
      <c r="M408" s="608"/>
      <c r="N408" s="608"/>
      <c r="O408" s="608"/>
      <c r="P408" s="608"/>
      <c r="Q408" s="608"/>
      <c r="R408" s="608"/>
      <c r="S408" s="608"/>
      <c r="T408" s="608"/>
      <c r="U408" s="608"/>
      <c r="V408" s="608"/>
      <c r="W408" s="608"/>
      <c r="X408" s="608"/>
      <c r="Y408" s="608"/>
      <c r="Z408" s="608"/>
      <c r="AA408" s="608"/>
      <c r="AB408" s="608"/>
      <c r="AC408" s="608"/>
      <c r="AF408" s="22"/>
      <c r="AI408" s="608"/>
      <c r="AJ408" s="608"/>
      <c r="AK408" s="608"/>
      <c r="AL408" s="608"/>
      <c r="AM408" s="608"/>
      <c r="AN408" s="608"/>
      <c r="AO408" s="608"/>
      <c r="AP408" s="608"/>
      <c r="AQ408" s="608">
        <f>AQ388-AQ387</f>
        <v>0</v>
      </c>
      <c r="AR408" s="608">
        <f>AR388-AR387</f>
        <v>0</v>
      </c>
      <c r="AS408" s="608"/>
      <c r="AT408" s="608"/>
      <c r="AU408" s="608"/>
      <c r="AV408" s="608"/>
      <c r="AW408" s="608"/>
      <c r="AX408" s="608"/>
      <c r="AY408" s="608"/>
      <c r="AZ408" s="608"/>
      <c r="BA408" s="608"/>
      <c r="BB408" s="608"/>
      <c r="BC408" s="608"/>
      <c r="BD408" s="1752"/>
      <c r="BE408" s="608"/>
      <c r="BF408" s="608"/>
      <c r="BG408" s="608"/>
      <c r="BH408" s="608"/>
      <c r="BI408" s="608"/>
      <c r="BJ408" s="608"/>
      <c r="BK408" s="608"/>
      <c r="BL408" s="608"/>
      <c r="BM408" s="608"/>
      <c r="BN408" s="608"/>
      <c r="BO408" s="608"/>
      <c r="BP408" s="608"/>
      <c r="BQ408" s="608"/>
      <c r="BR408" s="608"/>
      <c r="BS408" s="608"/>
      <c r="BT408" s="608"/>
      <c r="BU408" s="608"/>
      <c r="BV408" s="608"/>
      <c r="BW408" s="608"/>
      <c r="BX408" s="608"/>
      <c r="BY408" s="608"/>
      <c r="BZ408" s="608"/>
      <c r="CA408" s="608"/>
      <c r="CB408" s="608"/>
      <c r="CC408" s="608"/>
      <c r="CD408" s="608"/>
      <c r="CE408" s="608"/>
      <c r="CF408" s="608"/>
    </row>
    <row r="409" spans="1:85" ht="13.2">
      <c r="B409" s="608"/>
      <c r="C409" s="608"/>
      <c r="D409" s="608"/>
      <c r="E409" s="608"/>
      <c r="F409" s="608"/>
      <c r="G409" s="608"/>
      <c r="H409" s="608"/>
      <c r="I409" s="608"/>
      <c r="J409" s="608"/>
      <c r="K409" s="608"/>
      <c r="L409" s="608"/>
      <c r="M409" s="608"/>
      <c r="N409" s="608"/>
      <c r="O409" s="608"/>
      <c r="P409" s="608"/>
      <c r="Q409" s="608"/>
      <c r="R409" s="608"/>
      <c r="S409" s="608"/>
      <c r="T409" s="608"/>
      <c r="U409" s="608"/>
      <c r="V409" s="608"/>
      <c r="W409" s="608"/>
      <c r="X409" s="608"/>
      <c r="Y409" s="608"/>
      <c r="Z409" s="608"/>
      <c r="AA409" s="608"/>
      <c r="AB409" s="608"/>
      <c r="AC409" s="608"/>
      <c r="AD409" s="608"/>
      <c r="AE409" s="608"/>
      <c r="AF409" s="608"/>
      <c r="AG409" s="608"/>
      <c r="AH409" s="608"/>
      <c r="AI409" s="608"/>
      <c r="AJ409" s="608"/>
      <c r="AK409" s="608"/>
      <c r="AL409" s="608"/>
      <c r="AM409" s="608"/>
      <c r="AN409" s="608"/>
      <c r="AO409" s="608"/>
      <c r="AP409" s="608"/>
      <c r="AQ409" s="608">
        <f>AQ387-AQ386</f>
        <v>0</v>
      </c>
      <c r="AR409" s="608"/>
      <c r="AS409" s="608"/>
      <c r="AT409" s="608"/>
      <c r="AU409" s="608"/>
      <c r="AV409" s="608"/>
      <c r="AW409" s="608"/>
      <c r="AX409" s="608"/>
      <c r="AY409" s="608"/>
      <c r="AZ409" s="608"/>
      <c r="BA409" s="608"/>
      <c r="BB409" s="608"/>
      <c r="BC409" s="608"/>
      <c r="BD409" s="1752"/>
      <c r="BE409" s="608"/>
      <c r="BF409" s="608"/>
      <c r="BG409" s="608"/>
      <c r="BH409" s="608"/>
      <c r="BI409" s="608"/>
      <c r="BJ409" s="608"/>
      <c r="BK409" s="608"/>
      <c r="BL409" s="608"/>
      <c r="BM409" s="608"/>
      <c r="BN409" s="608"/>
      <c r="BO409" s="608"/>
      <c r="BP409" s="608"/>
      <c r="BQ409" s="608"/>
      <c r="BR409" s="608"/>
      <c r="BS409" s="608"/>
      <c r="BT409" s="608"/>
      <c r="BU409" s="608"/>
      <c r="BV409" s="608"/>
      <c r="BW409" s="608"/>
      <c r="BX409" s="608"/>
      <c r="BY409" s="608"/>
      <c r="BZ409" s="608"/>
      <c r="CA409" s="608"/>
      <c r="CB409" s="608"/>
      <c r="CC409" s="608"/>
      <c r="CD409" s="608"/>
      <c r="CE409" s="608"/>
      <c r="CF409" s="608"/>
      <c r="CG409" s="608"/>
    </row>
    <row r="410" spans="1:85" ht="13.2">
      <c r="B410" s="608"/>
      <c r="C410" s="608"/>
      <c r="D410" s="608"/>
      <c r="E410" s="608"/>
      <c r="F410" s="608"/>
      <c r="G410" s="608"/>
      <c r="H410" s="608"/>
      <c r="I410" s="608"/>
      <c r="J410" s="608"/>
      <c r="K410" s="608"/>
      <c r="L410" s="608"/>
      <c r="M410" s="608"/>
      <c r="N410" s="608"/>
      <c r="O410" s="608"/>
      <c r="P410" s="608"/>
      <c r="Q410" s="608"/>
      <c r="R410" s="608"/>
      <c r="S410" s="608"/>
      <c r="T410" s="608"/>
      <c r="U410" s="608"/>
      <c r="V410" s="608"/>
      <c r="W410" s="608"/>
      <c r="X410" s="608"/>
      <c r="Y410" s="608"/>
      <c r="Z410" s="608"/>
      <c r="AA410" s="608"/>
      <c r="AB410" s="608"/>
      <c r="AC410" s="608"/>
      <c r="AD410" s="608"/>
      <c r="AE410" s="608"/>
      <c r="AF410" s="608"/>
      <c r="AG410" s="608"/>
      <c r="AH410" s="608"/>
      <c r="AI410" s="608"/>
      <c r="AJ410" s="608"/>
      <c r="AK410" s="608"/>
      <c r="AL410" s="608"/>
      <c r="AM410" s="608"/>
      <c r="AN410" s="608"/>
      <c r="AO410" s="608"/>
      <c r="AP410" s="608"/>
      <c r="AQ410" s="608"/>
      <c r="AR410" s="608"/>
      <c r="AS410" s="608"/>
      <c r="AT410" s="608"/>
      <c r="AU410" s="608"/>
      <c r="AV410" s="608"/>
      <c r="AW410" s="608"/>
      <c r="AX410" s="608"/>
      <c r="AY410" s="608"/>
      <c r="AZ410" s="608"/>
      <c r="BA410" s="608"/>
      <c r="BB410" s="608"/>
      <c r="BC410" s="608"/>
      <c r="BD410" s="1752"/>
      <c r="BE410" s="608"/>
      <c r="BF410" s="608"/>
      <c r="BG410" s="608"/>
      <c r="BH410" s="608"/>
      <c r="BI410" s="608"/>
      <c r="BJ410" s="608"/>
      <c r="BK410" s="608"/>
      <c r="BL410" s="608"/>
      <c r="BM410" s="608"/>
      <c r="BN410" s="608"/>
      <c r="BO410" s="608"/>
      <c r="BP410" s="608"/>
      <c r="BQ410" s="608"/>
      <c r="BR410" s="608"/>
      <c r="BS410" s="608"/>
      <c r="BT410" s="608"/>
      <c r="BU410" s="608"/>
      <c r="BV410" s="608"/>
      <c r="BW410" s="608"/>
      <c r="BX410" s="608"/>
      <c r="BY410" s="608"/>
      <c r="BZ410" s="608"/>
      <c r="CA410" s="608"/>
      <c r="CB410" s="608"/>
      <c r="CC410" s="608"/>
      <c r="CD410" s="608"/>
      <c r="CE410" s="608"/>
      <c r="CF410" s="608"/>
      <c r="CG410" s="608"/>
    </row>
    <row r="411" spans="1:85" ht="13.2">
      <c r="B411" s="608"/>
      <c r="C411" s="608"/>
      <c r="D411" s="608"/>
      <c r="E411" s="608"/>
      <c r="F411" s="608"/>
      <c r="G411" s="608"/>
      <c r="H411" s="608"/>
      <c r="I411" s="608"/>
      <c r="J411" s="608"/>
      <c r="K411" s="608"/>
      <c r="L411" s="608"/>
      <c r="M411" s="608"/>
      <c r="N411" s="608"/>
      <c r="O411" s="608"/>
      <c r="P411" s="608"/>
      <c r="Q411" s="608"/>
      <c r="R411" s="608"/>
      <c r="S411" s="608"/>
      <c r="T411" s="608"/>
      <c r="U411" s="608"/>
      <c r="V411" s="608"/>
      <c r="W411" s="608"/>
      <c r="X411" s="608"/>
      <c r="Y411" s="608"/>
      <c r="Z411" s="608"/>
      <c r="AA411" s="608"/>
      <c r="AB411" s="608"/>
      <c r="AC411" s="608"/>
      <c r="AD411" s="608"/>
      <c r="AE411" s="608"/>
      <c r="AF411" s="608"/>
      <c r="AG411" s="608"/>
      <c r="AH411" s="608"/>
      <c r="AI411" s="608"/>
      <c r="AJ411" s="608"/>
      <c r="AK411" s="608"/>
      <c r="AL411" s="608"/>
      <c r="AM411" s="608"/>
      <c r="AN411" s="608"/>
      <c r="AO411" s="608"/>
      <c r="AP411" s="608"/>
      <c r="AQ411" s="608"/>
      <c r="AR411" s="608"/>
      <c r="AS411" s="608"/>
      <c r="AT411" s="608"/>
      <c r="AU411" s="608"/>
      <c r="AV411" s="608"/>
      <c r="AW411" s="608"/>
      <c r="AX411" s="608"/>
      <c r="AY411" s="608"/>
      <c r="AZ411" s="608"/>
      <c r="BA411" s="608"/>
      <c r="BB411" s="608"/>
      <c r="BC411" s="608"/>
      <c r="BD411" s="1752"/>
      <c r="BE411" s="608"/>
      <c r="BF411" s="608"/>
      <c r="BG411" s="608"/>
      <c r="BH411" s="608"/>
      <c r="BI411" s="608"/>
      <c r="BJ411" s="608"/>
      <c r="BK411" s="608"/>
      <c r="BL411" s="608"/>
      <c r="BM411" s="608"/>
      <c r="BN411" s="608"/>
      <c r="BO411" s="608"/>
      <c r="BP411" s="608"/>
      <c r="BQ411" s="608"/>
      <c r="BR411" s="608"/>
      <c r="BS411" s="608"/>
      <c r="BT411" s="608"/>
      <c r="BU411" s="608"/>
      <c r="BV411" s="608"/>
      <c r="BW411" s="608"/>
      <c r="BX411" s="608"/>
      <c r="BY411" s="608"/>
      <c r="BZ411" s="608"/>
      <c r="CA411" s="608"/>
      <c r="CB411" s="608"/>
      <c r="CC411" s="608"/>
      <c r="CD411" s="608"/>
      <c r="CE411" s="608"/>
      <c r="CF411" s="608"/>
      <c r="CG411" s="608"/>
    </row>
    <row r="412" spans="1:85">
      <c r="B412" s="608"/>
      <c r="Y412" s="608"/>
      <c r="AF412" s="22"/>
      <c r="BU412" s="608"/>
      <c r="BV412" s="608"/>
      <c r="BX412" s="608"/>
      <c r="BY412" s="608"/>
    </row>
    <row r="413" spans="1:85">
      <c r="AF413" s="22"/>
    </row>
    <row r="414" spans="1:85">
      <c r="AB414" s="608"/>
      <c r="AF414" s="22"/>
      <c r="CE414" s="608"/>
    </row>
    <row r="415" spans="1:85">
      <c r="AF415" s="22"/>
      <c r="CA415" s="608"/>
      <c r="CE415" s="608"/>
    </row>
    <row r="416" spans="1:85">
      <c r="AF416" s="22"/>
      <c r="CC416" s="608">
        <f>+CC379-CC378</f>
        <v>0</v>
      </c>
      <c r="CE416" s="608">
        <f>+CE360-CE359</f>
        <v>0</v>
      </c>
    </row>
    <row r="417" spans="23:83">
      <c r="W417" s="608"/>
      <c r="X417" s="608"/>
      <c r="CC417" s="608">
        <f t="shared" ref="CC417:CC430" si="43">+CC380-CC379</f>
        <v>0</v>
      </c>
      <c r="CE417" s="608">
        <f t="shared" ref="CE417:CE480" si="44">+CE361-CE360</f>
        <v>0</v>
      </c>
    </row>
    <row r="418" spans="23:83">
      <c r="CC418" s="608">
        <f t="shared" si="43"/>
        <v>0</v>
      </c>
      <c r="CE418" s="608">
        <f t="shared" si="44"/>
        <v>0</v>
      </c>
    </row>
    <row r="419" spans="23:83">
      <c r="CC419" s="608">
        <f t="shared" si="43"/>
        <v>0</v>
      </c>
      <c r="CE419" s="608">
        <f t="shared" si="44"/>
        <v>0</v>
      </c>
    </row>
    <row r="420" spans="23:83">
      <c r="CC420" s="608">
        <f t="shared" si="43"/>
        <v>0</v>
      </c>
      <c r="CE420" s="608">
        <f t="shared" si="44"/>
        <v>0</v>
      </c>
    </row>
    <row r="421" spans="23:83">
      <c r="CC421" s="608">
        <f t="shared" si="43"/>
        <v>0</v>
      </c>
      <c r="CE421" s="608">
        <f t="shared" si="44"/>
        <v>0</v>
      </c>
    </row>
    <row r="422" spans="23:83">
      <c r="CC422" s="608">
        <f t="shared" si="43"/>
        <v>0</v>
      </c>
      <c r="CE422" s="608">
        <f t="shared" si="44"/>
        <v>0</v>
      </c>
    </row>
    <row r="423" spans="23:83">
      <c r="CC423" s="608">
        <f t="shared" si="43"/>
        <v>0</v>
      </c>
      <c r="CE423" s="608">
        <f t="shared" si="44"/>
        <v>0</v>
      </c>
    </row>
    <row r="424" spans="23:83">
      <c r="CC424" s="608">
        <f t="shared" si="43"/>
        <v>0</v>
      </c>
      <c r="CE424" s="608">
        <f t="shared" si="44"/>
        <v>0</v>
      </c>
    </row>
    <row r="425" spans="23:83">
      <c r="CC425" s="608">
        <f t="shared" si="43"/>
        <v>0</v>
      </c>
      <c r="CE425" s="608">
        <f t="shared" si="44"/>
        <v>0</v>
      </c>
    </row>
    <row r="426" spans="23:83">
      <c r="CC426" s="608">
        <f t="shared" si="43"/>
        <v>0</v>
      </c>
      <c r="CE426" s="608">
        <f t="shared" si="44"/>
        <v>0</v>
      </c>
    </row>
    <row r="427" spans="23:83">
      <c r="CC427" s="608">
        <f t="shared" si="43"/>
        <v>0</v>
      </c>
      <c r="CE427" s="608">
        <f t="shared" si="44"/>
        <v>0</v>
      </c>
    </row>
    <row r="428" spans="23:83">
      <c r="CC428" s="608">
        <f t="shared" si="43"/>
        <v>25921178</v>
      </c>
      <c r="CE428" s="608">
        <f t="shared" si="44"/>
        <v>0</v>
      </c>
    </row>
    <row r="429" spans="23:83">
      <c r="CC429" s="608">
        <f t="shared" si="43"/>
        <v>7560778</v>
      </c>
      <c r="CE429" s="608">
        <f t="shared" si="44"/>
        <v>0</v>
      </c>
    </row>
    <row r="430" spans="23:83">
      <c r="CC430" s="608">
        <f t="shared" si="43"/>
        <v>-2233422</v>
      </c>
      <c r="CE430" s="608">
        <f t="shared" si="44"/>
        <v>0</v>
      </c>
    </row>
    <row r="431" spans="23:83">
      <c r="CE431" s="608">
        <f t="shared" si="44"/>
        <v>0</v>
      </c>
    </row>
    <row r="432" spans="23:83">
      <c r="CE432" s="608">
        <f t="shared" si="44"/>
        <v>0</v>
      </c>
    </row>
    <row r="433" spans="83:83">
      <c r="CE433" s="608">
        <f t="shared" si="44"/>
        <v>0</v>
      </c>
    </row>
    <row r="434" spans="83:83">
      <c r="CE434" s="608">
        <f t="shared" si="44"/>
        <v>0</v>
      </c>
    </row>
    <row r="435" spans="83:83">
      <c r="CE435" s="608">
        <f t="shared" si="44"/>
        <v>0</v>
      </c>
    </row>
    <row r="436" spans="83:83">
      <c r="CE436" s="608">
        <f t="shared" si="44"/>
        <v>0</v>
      </c>
    </row>
    <row r="437" spans="83:83">
      <c r="CE437" s="608">
        <f t="shared" si="44"/>
        <v>0</v>
      </c>
    </row>
    <row r="438" spans="83:83">
      <c r="CE438" s="608">
        <f t="shared" si="44"/>
        <v>0</v>
      </c>
    </row>
    <row r="439" spans="83:83">
      <c r="CE439" s="608">
        <f t="shared" si="44"/>
        <v>0</v>
      </c>
    </row>
    <row r="440" spans="83:83">
      <c r="CE440" s="608">
        <f t="shared" si="44"/>
        <v>0</v>
      </c>
    </row>
    <row r="441" spans="83:83">
      <c r="CE441" s="608">
        <f t="shared" si="44"/>
        <v>0</v>
      </c>
    </row>
    <row r="442" spans="83:83">
      <c r="CE442" s="608">
        <f t="shared" si="44"/>
        <v>0</v>
      </c>
    </row>
    <row r="443" spans="83:83">
      <c r="CE443" s="608">
        <f t="shared" si="44"/>
        <v>0</v>
      </c>
    </row>
    <row r="444" spans="83:83">
      <c r="CE444" s="608">
        <f t="shared" si="44"/>
        <v>0</v>
      </c>
    </row>
    <row r="445" spans="83:83">
      <c r="CE445" s="608">
        <f t="shared" si="44"/>
        <v>0</v>
      </c>
    </row>
    <row r="446" spans="83:83">
      <c r="CE446" s="608">
        <f t="shared" si="44"/>
        <v>0</v>
      </c>
    </row>
    <row r="447" spans="83:83">
      <c r="CE447" s="608">
        <f t="shared" si="44"/>
        <v>17455686</v>
      </c>
    </row>
    <row r="448" spans="83:83">
      <c r="CE448" s="608">
        <f t="shared" si="44"/>
        <v>5364489</v>
      </c>
    </row>
    <row r="449" spans="83:83">
      <c r="CE449" s="608">
        <f t="shared" si="44"/>
        <v>-1671137</v>
      </c>
    </row>
    <row r="450" spans="83:83">
      <c r="CE450" s="608">
        <f t="shared" si="44"/>
        <v>2258192</v>
      </c>
    </row>
    <row r="451" spans="83:83">
      <c r="CE451" s="608">
        <f t="shared" si="44"/>
        <v>-396932</v>
      </c>
    </row>
    <row r="452" spans="83:83">
      <c r="CE452" s="608">
        <f t="shared" si="44"/>
        <v>-9750542</v>
      </c>
    </row>
    <row r="453" spans="83:83">
      <c r="CE453" s="608">
        <f t="shared" si="44"/>
        <v>-13259756</v>
      </c>
    </row>
    <row r="454" spans="83:83">
      <c r="CE454" s="608">
        <f t="shared" si="44"/>
        <v>0</v>
      </c>
    </row>
    <row r="455" spans="83:83">
      <c r="CE455" s="608">
        <f t="shared" si="44"/>
        <v>0</v>
      </c>
    </row>
    <row r="456" spans="83:83">
      <c r="CE456" s="608">
        <f t="shared" si="44"/>
        <v>0</v>
      </c>
    </row>
    <row r="457" spans="83:83">
      <c r="CE457" s="608">
        <f t="shared" si="44"/>
        <v>0</v>
      </c>
    </row>
    <row r="458" spans="83:83">
      <c r="CE458" s="608">
        <f t="shared" si="44"/>
        <v>0</v>
      </c>
    </row>
    <row r="459" spans="83:83">
      <c r="CE459" s="608">
        <f t="shared" si="44"/>
        <v>121102183</v>
      </c>
    </row>
    <row r="460" spans="83:83">
      <c r="CE460" s="608">
        <f t="shared" si="44"/>
        <v>-121102183</v>
      </c>
    </row>
    <row r="461" spans="83:83">
      <c r="CE461" s="608">
        <f t="shared" si="44"/>
        <v>0</v>
      </c>
    </row>
    <row r="462" spans="83:83">
      <c r="CE462" s="608">
        <f t="shared" si="44"/>
        <v>0</v>
      </c>
    </row>
    <row r="463" spans="83:83">
      <c r="CE463" s="608">
        <f t="shared" si="44"/>
        <v>0</v>
      </c>
    </row>
    <row r="464" spans="83:83">
      <c r="CE464" s="608">
        <f t="shared" si="44"/>
        <v>0</v>
      </c>
    </row>
    <row r="465" spans="83:83">
      <c r="CE465" s="608">
        <f t="shared" si="44"/>
        <v>0</v>
      </c>
    </row>
    <row r="466" spans="83:83">
      <c r="CE466" s="608">
        <f t="shared" si="44"/>
        <v>0</v>
      </c>
    </row>
    <row r="467" spans="83:83">
      <c r="CE467" s="608">
        <f t="shared" si="44"/>
        <v>0</v>
      </c>
    </row>
    <row r="468" spans="83:83">
      <c r="CE468" s="608">
        <f t="shared" si="44"/>
        <v>0</v>
      </c>
    </row>
    <row r="469" spans="83:83">
      <c r="CE469" s="608">
        <f t="shared" si="44"/>
        <v>0</v>
      </c>
    </row>
    <row r="470" spans="83:83">
      <c r="CE470" s="608">
        <f t="shared" si="44"/>
        <v>0</v>
      </c>
    </row>
    <row r="471" spans="83:83">
      <c r="CE471" s="608">
        <f t="shared" si="44"/>
        <v>0</v>
      </c>
    </row>
    <row r="472" spans="83:83">
      <c r="CE472" s="608">
        <f t="shared" si="44"/>
        <v>0</v>
      </c>
    </row>
    <row r="473" spans="83:83">
      <c r="CE473" s="608">
        <f t="shared" si="44"/>
        <v>0</v>
      </c>
    </row>
    <row r="474" spans="83:83">
      <c r="CE474" s="608">
        <f t="shared" si="44"/>
        <v>0</v>
      </c>
    </row>
    <row r="475" spans="83:83">
      <c r="CE475" s="608">
        <f t="shared" si="44"/>
        <v>0</v>
      </c>
    </row>
    <row r="476" spans="83:83">
      <c r="CE476" s="608">
        <f t="shared" si="44"/>
        <v>0</v>
      </c>
    </row>
    <row r="477" spans="83:83">
      <c r="CE477" s="608">
        <f t="shared" si="44"/>
        <v>0</v>
      </c>
    </row>
    <row r="478" spans="83:83">
      <c r="CE478" s="608">
        <f t="shared" si="44"/>
        <v>0</v>
      </c>
    </row>
    <row r="479" spans="83:83">
      <c r="CE479" s="608">
        <f t="shared" si="44"/>
        <v>0</v>
      </c>
    </row>
    <row r="480" spans="83:83">
      <c r="CE480" s="608">
        <f t="shared" si="44"/>
        <v>0</v>
      </c>
    </row>
    <row r="481" spans="83:83">
      <c r="CE481" s="608">
        <f t="shared" ref="CE481:CE490" si="45">+CE425-CE424</f>
        <v>0</v>
      </c>
    </row>
    <row r="482" spans="83:83">
      <c r="CE482" s="608">
        <f t="shared" si="45"/>
        <v>0</v>
      </c>
    </row>
    <row r="483" spans="83:83">
      <c r="CE483" s="608">
        <f t="shared" si="45"/>
        <v>0</v>
      </c>
    </row>
    <row r="484" spans="83:83">
      <c r="CE484" s="608">
        <f t="shared" si="45"/>
        <v>0</v>
      </c>
    </row>
    <row r="485" spans="83:83">
      <c r="CE485" s="608">
        <f t="shared" si="45"/>
        <v>0</v>
      </c>
    </row>
    <row r="486" spans="83:83">
      <c r="CE486" s="608">
        <f t="shared" si="45"/>
        <v>0</v>
      </c>
    </row>
    <row r="487" spans="83:83">
      <c r="CE487" s="608">
        <f t="shared" si="45"/>
        <v>0</v>
      </c>
    </row>
    <row r="488" spans="83:83">
      <c r="CE488" s="608">
        <f t="shared" si="45"/>
        <v>0</v>
      </c>
    </row>
    <row r="489" spans="83:83">
      <c r="CE489" s="608">
        <f t="shared" si="45"/>
        <v>0</v>
      </c>
    </row>
    <row r="490" spans="83:83">
      <c r="CE490" s="608">
        <f t="shared" si="45"/>
        <v>0</v>
      </c>
    </row>
  </sheetData>
  <phoneticPr fontId="244" type="noConversion"/>
  <pageMargins left="0.7" right="0.7" top="0.75" bottom="0.75" header="0.3" footer="0.3"/>
  <pageSetup orientation="portrait" r:id="rId1"/>
  <ignoredErrors>
    <ignoredError sqref="F394:F395 AU395 AB400 M396 BE391:BE392 BK401:BK402 BI395"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theme="7"/>
  </sheetPr>
  <dimension ref="A1:DO403"/>
  <sheetViews>
    <sheetView showGridLines="0" tabSelected="1" zoomScale="80" zoomScaleNormal="80" workbookViewId="0">
      <pane xSplit="2" ySplit="10" topLeftCell="X147" activePane="bottomRight" state="frozen"/>
      <selection activeCell="B24" sqref="B24"/>
      <selection pane="topRight" activeCell="B24" sqref="B24"/>
      <selection pane="bottomLeft" activeCell="B24" sqref="B24"/>
      <selection pane="bottomRight" activeCell="AL147" sqref="AL147"/>
    </sheetView>
  </sheetViews>
  <sheetFormatPr baseColWidth="10" defaultColWidth="9.21875" defaultRowHeight="14.4"/>
  <cols>
    <col min="1" max="1" width="1.33203125" style="1" customWidth="1"/>
    <col min="2" max="2" width="9.88671875" style="1" bestFit="1" customWidth="1"/>
    <col min="3" max="8" width="12.44140625" style="1" customWidth="1"/>
    <col min="9" max="9" width="14.21875" style="1" customWidth="1"/>
    <col min="10" max="15" width="12.44140625" style="1" customWidth="1"/>
    <col min="16" max="16" width="14.44140625" style="1" customWidth="1"/>
    <col min="17" max="21" width="12.44140625" style="1" customWidth="1"/>
    <col min="22" max="22" width="15.44140625" style="1" customWidth="1"/>
    <col min="23" max="29" width="12.44140625" style="1" customWidth="1"/>
    <col min="30" max="30" width="8.88671875" style="1" bestFit="1" customWidth="1"/>
    <col min="31" max="34" width="12.44140625" style="1" customWidth="1"/>
    <col min="35" max="35" width="13.44140625" style="1" customWidth="1"/>
    <col min="36" max="40" width="12.44140625" style="1" customWidth="1"/>
    <col min="41" max="44" width="14" style="1" hidden="1" customWidth="1"/>
    <col min="45" max="45" width="10" style="1" hidden="1" customWidth="1"/>
    <col min="46" max="46" width="11.44140625" style="1" hidden="1" customWidth="1"/>
    <col min="47" max="55" width="13" style="1" hidden="1" customWidth="1"/>
    <col min="56" max="56" width="13" style="1" customWidth="1"/>
    <col min="57" max="57" width="13.21875" style="1" customWidth="1"/>
    <col min="58" max="58" width="13" style="1" customWidth="1"/>
    <col min="59" max="59" width="10.6640625" style="1" customWidth="1"/>
    <col min="60" max="60" width="10.44140625" style="1" bestFit="1" customWidth="1"/>
    <col min="61" max="61" width="12.77734375" style="1" bestFit="1" customWidth="1"/>
    <col min="62" max="62" width="14.6640625" style="1" bestFit="1" customWidth="1"/>
    <col min="63" max="64" width="12.21875" style="1" customWidth="1"/>
    <col min="65" max="66" width="12.77734375" style="1" bestFit="1" customWidth="1"/>
    <col min="67" max="67" width="13" style="1" customWidth="1"/>
    <col min="68" max="68" width="12.44140625" style="1" customWidth="1"/>
    <col min="69" max="69" width="13.33203125" style="1" customWidth="1"/>
    <col min="70" max="70" width="10.88671875" style="1" bestFit="1" customWidth="1"/>
    <col min="71" max="71" width="8.21875" style="1" customWidth="1"/>
    <col min="72" max="73" width="10.44140625" style="1" customWidth="1"/>
    <col min="74" max="76" width="9.5546875" style="1" customWidth="1"/>
    <col min="77" max="77" width="9.77734375" style="1" customWidth="1"/>
    <col min="78" max="78" width="10.44140625" style="1" customWidth="1"/>
    <col min="79" max="79" width="11.21875" style="1" customWidth="1"/>
    <col min="80" max="83" width="9.21875" style="1"/>
    <col min="84" max="84" width="11.21875" style="1" bestFit="1" customWidth="1"/>
    <col min="85" max="85" width="9.21875" style="161"/>
    <col min="86" max="86" width="12" style="1" customWidth="1"/>
    <col min="87" max="87" width="10.44140625" style="1" customWidth="1"/>
    <col min="88" max="88" width="13.21875" style="1" customWidth="1"/>
    <col min="89" max="89" width="13.77734375" style="1" customWidth="1"/>
    <col min="90" max="90" width="19.77734375" style="1" customWidth="1"/>
    <col min="91" max="91" width="12.77734375" style="1" customWidth="1"/>
    <col min="92" max="92" width="17.5546875" style="1" customWidth="1"/>
    <col min="93" max="93" width="19" style="1" customWidth="1"/>
    <col min="94" max="94" width="9.21875" style="1"/>
    <col min="95" max="95" width="15" style="1" customWidth="1"/>
    <col min="96" max="96" width="18.77734375" style="1" customWidth="1"/>
    <col min="97" max="97" width="12.77734375" style="1" customWidth="1"/>
    <col min="98" max="98" width="9.21875" style="1"/>
    <col min="99" max="99" width="10.21875" style="1" customWidth="1"/>
    <col min="100" max="223" width="9.21875" style="1"/>
    <col min="224" max="224" width="0.77734375" style="1" customWidth="1"/>
    <col min="225" max="225" width="11.44140625" style="1" bestFit="1" customWidth="1"/>
    <col min="226" max="226" width="13.44140625" style="1" customWidth="1"/>
    <col min="227" max="229" width="13.21875" style="1" customWidth="1"/>
    <col min="230" max="243" width="13.44140625" style="1" customWidth="1"/>
    <col min="244" max="244" width="14" style="1" customWidth="1"/>
    <col min="245" max="245" width="13.5546875" style="1" customWidth="1"/>
    <col min="246" max="246" width="48.44140625" style="1" customWidth="1"/>
    <col min="247" max="479" width="9.21875" style="1"/>
    <col min="480" max="480" width="0.77734375" style="1" customWidth="1"/>
    <col min="481" max="481" width="11.44140625" style="1" bestFit="1" customWidth="1"/>
    <col min="482" max="482" width="13.44140625" style="1" customWidth="1"/>
    <col min="483" max="485" width="13.21875" style="1" customWidth="1"/>
    <col min="486" max="499" width="13.44140625" style="1" customWidth="1"/>
    <col min="500" max="500" width="14" style="1" customWidth="1"/>
    <col min="501" max="501" width="13.5546875" style="1" customWidth="1"/>
    <col min="502" max="502" width="48.44140625" style="1" customWidth="1"/>
    <col min="503" max="735" width="9.21875" style="1"/>
    <col min="736" max="736" width="0.77734375" style="1" customWidth="1"/>
    <col min="737" max="737" width="11.44140625" style="1" bestFit="1" customWidth="1"/>
    <col min="738" max="738" width="13.44140625" style="1" customWidth="1"/>
    <col min="739" max="741" width="13.21875" style="1" customWidth="1"/>
    <col min="742" max="755" width="13.44140625" style="1" customWidth="1"/>
    <col min="756" max="756" width="14" style="1" customWidth="1"/>
    <col min="757" max="757" width="13.5546875" style="1" customWidth="1"/>
    <col min="758" max="758" width="48.44140625" style="1" customWidth="1"/>
    <col min="759" max="991" width="9.21875" style="1"/>
    <col min="992" max="992" width="0.77734375" style="1" customWidth="1"/>
    <col min="993" max="993" width="11.44140625" style="1" bestFit="1" customWidth="1"/>
    <col min="994" max="994" width="13.44140625" style="1" customWidth="1"/>
    <col min="995" max="997" width="13.21875" style="1" customWidth="1"/>
    <col min="998" max="1011" width="13.44140625" style="1" customWidth="1"/>
    <col min="1012" max="1012" width="14" style="1" customWidth="1"/>
    <col min="1013" max="1013" width="13.5546875" style="1" customWidth="1"/>
    <col min="1014" max="1014" width="48.44140625" style="1" customWidth="1"/>
    <col min="1015" max="1247" width="9.21875" style="1"/>
    <col min="1248" max="1248" width="0.77734375" style="1" customWidth="1"/>
    <col min="1249" max="1249" width="11.44140625" style="1" bestFit="1" customWidth="1"/>
    <col min="1250" max="1250" width="13.44140625" style="1" customWidth="1"/>
    <col min="1251" max="1253" width="13.21875" style="1" customWidth="1"/>
    <col min="1254" max="1267" width="13.44140625" style="1" customWidth="1"/>
    <col min="1268" max="1268" width="14" style="1" customWidth="1"/>
    <col min="1269" max="1269" width="13.5546875" style="1" customWidth="1"/>
    <col min="1270" max="1270" width="48.44140625" style="1" customWidth="1"/>
    <col min="1271" max="1503" width="9.21875" style="1"/>
    <col min="1504" max="1504" width="0.77734375" style="1" customWidth="1"/>
    <col min="1505" max="1505" width="11.44140625" style="1" bestFit="1" customWidth="1"/>
    <col min="1506" max="1506" width="13.44140625" style="1" customWidth="1"/>
    <col min="1507" max="1509" width="13.21875" style="1" customWidth="1"/>
    <col min="1510" max="1523" width="13.44140625" style="1" customWidth="1"/>
    <col min="1524" max="1524" width="14" style="1" customWidth="1"/>
    <col min="1525" max="1525" width="13.5546875" style="1" customWidth="1"/>
    <col min="1526" max="1526" width="48.44140625" style="1" customWidth="1"/>
    <col min="1527" max="1759" width="9.21875" style="1"/>
    <col min="1760" max="1760" width="0.77734375" style="1" customWidth="1"/>
    <col min="1761" max="1761" width="11.44140625" style="1" bestFit="1" customWidth="1"/>
    <col min="1762" max="1762" width="13.44140625" style="1" customWidth="1"/>
    <col min="1763" max="1765" width="13.21875" style="1" customWidth="1"/>
    <col min="1766" max="1779" width="13.44140625" style="1" customWidth="1"/>
    <col min="1780" max="1780" width="14" style="1" customWidth="1"/>
    <col min="1781" max="1781" width="13.5546875" style="1" customWidth="1"/>
    <col min="1782" max="1782" width="48.44140625" style="1" customWidth="1"/>
    <col min="1783" max="2015" width="9.21875" style="1"/>
    <col min="2016" max="2016" width="0.77734375" style="1" customWidth="1"/>
    <col min="2017" max="2017" width="11.44140625" style="1" bestFit="1" customWidth="1"/>
    <col min="2018" max="2018" width="13.44140625" style="1" customWidth="1"/>
    <col min="2019" max="2021" width="13.21875" style="1" customWidth="1"/>
    <col min="2022" max="2035" width="13.44140625" style="1" customWidth="1"/>
    <col min="2036" max="2036" width="14" style="1" customWidth="1"/>
    <col min="2037" max="2037" width="13.5546875" style="1" customWidth="1"/>
    <col min="2038" max="2038" width="48.44140625" style="1" customWidth="1"/>
    <col min="2039" max="2271" width="9.21875" style="1"/>
    <col min="2272" max="2272" width="0.77734375" style="1" customWidth="1"/>
    <col min="2273" max="2273" width="11.44140625" style="1" bestFit="1" customWidth="1"/>
    <col min="2274" max="2274" width="13.44140625" style="1" customWidth="1"/>
    <col min="2275" max="2277" width="13.21875" style="1" customWidth="1"/>
    <col min="2278" max="2291" width="13.44140625" style="1" customWidth="1"/>
    <col min="2292" max="2292" width="14" style="1" customWidth="1"/>
    <col min="2293" max="2293" width="13.5546875" style="1" customWidth="1"/>
    <col min="2294" max="2294" width="48.44140625" style="1" customWidth="1"/>
    <col min="2295" max="2527" width="9.21875" style="1"/>
    <col min="2528" max="2528" width="0.77734375" style="1" customWidth="1"/>
    <col min="2529" max="2529" width="11.44140625" style="1" bestFit="1" customWidth="1"/>
    <col min="2530" max="2530" width="13.44140625" style="1" customWidth="1"/>
    <col min="2531" max="2533" width="13.21875" style="1" customWidth="1"/>
    <col min="2534" max="2547" width="13.44140625" style="1" customWidth="1"/>
    <col min="2548" max="2548" width="14" style="1" customWidth="1"/>
    <col min="2549" max="2549" width="13.5546875" style="1" customWidth="1"/>
    <col min="2550" max="2550" width="48.44140625" style="1" customWidth="1"/>
    <col min="2551" max="2783" width="9.21875" style="1"/>
    <col min="2784" max="2784" width="0.77734375" style="1" customWidth="1"/>
    <col min="2785" max="2785" width="11.44140625" style="1" bestFit="1" customWidth="1"/>
    <col min="2786" max="2786" width="13.44140625" style="1" customWidth="1"/>
    <col min="2787" max="2789" width="13.21875" style="1" customWidth="1"/>
    <col min="2790" max="2803" width="13.44140625" style="1" customWidth="1"/>
    <col min="2804" max="2804" width="14" style="1" customWidth="1"/>
    <col min="2805" max="2805" width="13.5546875" style="1" customWidth="1"/>
    <col min="2806" max="2806" width="48.44140625" style="1" customWidth="1"/>
    <col min="2807" max="3039" width="9.21875" style="1"/>
    <col min="3040" max="3040" width="0.77734375" style="1" customWidth="1"/>
    <col min="3041" max="3041" width="11.44140625" style="1" bestFit="1" customWidth="1"/>
    <col min="3042" max="3042" width="13.44140625" style="1" customWidth="1"/>
    <col min="3043" max="3045" width="13.21875" style="1" customWidth="1"/>
    <col min="3046" max="3059" width="13.44140625" style="1" customWidth="1"/>
    <col min="3060" max="3060" width="14" style="1" customWidth="1"/>
    <col min="3061" max="3061" width="13.5546875" style="1" customWidth="1"/>
    <col min="3062" max="3062" width="48.44140625" style="1" customWidth="1"/>
    <col min="3063" max="3295" width="9.21875" style="1"/>
    <col min="3296" max="3296" width="0.77734375" style="1" customWidth="1"/>
    <col min="3297" max="3297" width="11.44140625" style="1" bestFit="1" customWidth="1"/>
    <col min="3298" max="3298" width="13.44140625" style="1" customWidth="1"/>
    <col min="3299" max="3301" width="13.21875" style="1" customWidth="1"/>
    <col min="3302" max="3315" width="13.44140625" style="1" customWidth="1"/>
    <col min="3316" max="3316" width="14" style="1" customWidth="1"/>
    <col min="3317" max="3317" width="13.5546875" style="1" customWidth="1"/>
    <col min="3318" max="3318" width="48.44140625" style="1" customWidth="1"/>
    <col min="3319" max="3551" width="9.21875" style="1"/>
    <col min="3552" max="3552" width="0.77734375" style="1" customWidth="1"/>
    <col min="3553" max="3553" width="11.44140625" style="1" bestFit="1" customWidth="1"/>
    <col min="3554" max="3554" width="13.44140625" style="1" customWidth="1"/>
    <col min="3555" max="3557" width="13.21875" style="1" customWidth="1"/>
    <col min="3558" max="3571" width="13.44140625" style="1" customWidth="1"/>
    <col min="3572" max="3572" width="14" style="1" customWidth="1"/>
    <col min="3573" max="3573" width="13.5546875" style="1" customWidth="1"/>
    <col min="3574" max="3574" width="48.44140625" style="1" customWidth="1"/>
    <col min="3575" max="3807" width="9.21875" style="1"/>
    <col min="3808" max="3808" width="0.77734375" style="1" customWidth="1"/>
    <col min="3809" max="3809" width="11.44140625" style="1" bestFit="1" customWidth="1"/>
    <col min="3810" max="3810" width="13.44140625" style="1" customWidth="1"/>
    <col min="3811" max="3813" width="13.21875" style="1" customWidth="1"/>
    <col min="3814" max="3827" width="13.44140625" style="1" customWidth="1"/>
    <col min="3828" max="3828" width="14" style="1" customWidth="1"/>
    <col min="3829" max="3829" width="13.5546875" style="1" customWidth="1"/>
    <col min="3830" max="3830" width="48.44140625" style="1" customWidth="1"/>
    <col min="3831" max="4063" width="9.21875" style="1"/>
    <col min="4064" max="4064" width="0.77734375" style="1" customWidth="1"/>
    <col min="4065" max="4065" width="11.44140625" style="1" bestFit="1" customWidth="1"/>
    <col min="4066" max="4066" width="13.44140625" style="1" customWidth="1"/>
    <col min="4067" max="4069" width="13.21875" style="1" customWidth="1"/>
    <col min="4070" max="4083" width="13.44140625" style="1" customWidth="1"/>
    <col min="4084" max="4084" width="14" style="1" customWidth="1"/>
    <col min="4085" max="4085" width="13.5546875" style="1" customWidth="1"/>
    <col min="4086" max="4086" width="48.44140625" style="1" customWidth="1"/>
    <col min="4087" max="4319" width="9.21875" style="1"/>
    <col min="4320" max="4320" width="0.77734375" style="1" customWidth="1"/>
    <col min="4321" max="4321" width="11.44140625" style="1" bestFit="1" customWidth="1"/>
    <col min="4322" max="4322" width="13.44140625" style="1" customWidth="1"/>
    <col min="4323" max="4325" width="13.21875" style="1" customWidth="1"/>
    <col min="4326" max="4339" width="13.44140625" style="1" customWidth="1"/>
    <col min="4340" max="4340" width="14" style="1" customWidth="1"/>
    <col min="4341" max="4341" width="13.5546875" style="1" customWidth="1"/>
    <col min="4342" max="4342" width="48.44140625" style="1" customWidth="1"/>
    <col min="4343" max="4575" width="9.21875" style="1"/>
    <col min="4576" max="4576" width="0.77734375" style="1" customWidth="1"/>
    <col min="4577" max="4577" width="11.44140625" style="1" bestFit="1" customWidth="1"/>
    <col min="4578" max="4578" width="13.44140625" style="1" customWidth="1"/>
    <col min="4579" max="4581" width="13.21875" style="1" customWidth="1"/>
    <col min="4582" max="4595" width="13.44140625" style="1" customWidth="1"/>
    <col min="4596" max="4596" width="14" style="1" customWidth="1"/>
    <col min="4597" max="4597" width="13.5546875" style="1" customWidth="1"/>
    <col min="4598" max="4598" width="48.44140625" style="1" customWidth="1"/>
    <col min="4599" max="4831" width="9.21875" style="1"/>
    <col min="4832" max="4832" width="0.77734375" style="1" customWidth="1"/>
    <col min="4833" max="4833" width="11.44140625" style="1" bestFit="1" customWidth="1"/>
    <col min="4834" max="4834" width="13.44140625" style="1" customWidth="1"/>
    <col min="4835" max="4837" width="13.21875" style="1" customWidth="1"/>
    <col min="4838" max="4851" width="13.44140625" style="1" customWidth="1"/>
    <col min="4852" max="4852" width="14" style="1" customWidth="1"/>
    <col min="4853" max="4853" width="13.5546875" style="1" customWidth="1"/>
    <col min="4854" max="4854" width="48.44140625" style="1" customWidth="1"/>
    <col min="4855" max="5087" width="9.21875" style="1"/>
    <col min="5088" max="5088" width="0.77734375" style="1" customWidth="1"/>
    <col min="5089" max="5089" width="11.44140625" style="1" bestFit="1" customWidth="1"/>
    <col min="5090" max="5090" width="13.44140625" style="1" customWidth="1"/>
    <col min="5091" max="5093" width="13.21875" style="1" customWidth="1"/>
    <col min="5094" max="5107" width="13.44140625" style="1" customWidth="1"/>
    <col min="5108" max="5108" width="14" style="1" customWidth="1"/>
    <col min="5109" max="5109" width="13.5546875" style="1" customWidth="1"/>
    <col min="5110" max="5110" width="48.44140625" style="1" customWidth="1"/>
    <col min="5111" max="5343" width="9.21875" style="1"/>
    <col min="5344" max="5344" width="0.77734375" style="1" customWidth="1"/>
    <col min="5345" max="5345" width="11.44140625" style="1" bestFit="1" customWidth="1"/>
    <col min="5346" max="5346" width="13.44140625" style="1" customWidth="1"/>
    <col min="5347" max="5349" width="13.21875" style="1" customWidth="1"/>
    <col min="5350" max="5363" width="13.44140625" style="1" customWidth="1"/>
    <col min="5364" max="5364" width="14" style="1" customWidth="1"/>
    <col min="5365" max="5365" width="13.5546875" style="1" customWidth="1"/>
    <col min="5366" max="5366" width="48.44140625" style="1" customWidth="1"/>
    <col min="5367" max="5599" width="9.21875" style="1"/>
    <col min="5600" max="5600" width="0.77734375" style="1" customWidth="1"/>
    <col min="5601" max="5601" width="11.44140625" style="1" bestFit="1" customWidth="1"/>
    <col min="5602" max="5602" width="13.44140625" style="1" customWidth="1"/>
    <col min="5603" max="5605" width="13.21875" style="1" customWidth="1"/>
    <col min="5606" max="5619" width="13.44140625" style="1" customWidth="1"/>
    <col min="5620" max="5620" width="14" style="1" customWidth="1"/>
    <col min="5621" max="5621" width="13.5546875" style="1" customWidth="1"/>
    <col min="5622" max="5622" width="48.44140625" style="1" customWidth="1"/>
    <col min="5623" max="5855" width="9.21875" style="1"/>
    <col min="5856" max="5856" width="0.77734375" style="1" customWidth="1"/>
    <col min="5857" max="5857" width="11.44140625" style="1" bestFit="1" customWidth="1"/>
    <col min="5858" max="5858" width="13.44140625" style="1" customWidth="1"/>
    <col min="5859" max="5861" width="13.21875" style="1" customWidth="1"/>
    <col min="5862" max="5875" width="13.44140625" style="1" customWidth="1"/>
    <col min="5876" max="5876" width="14" style="1" customWidth="1"/>
    <col min="5877" max="5877" width="13.5546875" style="1" customWidth="1"/>
    <col min="5878" max="5878" width="48.44140625" style="1" customWidth="1"/>
    <col min="5879" max="6111" width="9.21875" style="1"/>
    <col min="6112" max="6112" width="0.77734375" style="1" customWidth="1"/>
    <col min="6113" max="6113" width="11.44140625" style="1" bestFit="1" customWidth="1"/>
    <col min="6114" max="6114" width="13.44140625" style="1" customWidth="1"/>
    <col min="6115" max="6117" width="13.21875" style="1" customWidth="1"/>
    <col min="6118" max="6131" width="13.44140625" style="1" customWidth="1"/>
    <col min="6132" max="6132" width="14" style="1" customWidth="1"/>
    <col min="6133" max="6133" width="13.5546875" style="1" customWidth="1"/>
    <col min="6134" max="6134" width="48.44140625" style="1" customWidth="1"/>
    <col min="6135" max="6367" width="9.21875" style="1"/>
    <col min="6368" max="6368" width="0.77734375" style="1" customWidth="1"/>
    <col min="6369" max="6369" width="11.44140625" style="1" bestFit="1" customWidth="1"/>
    <col min="6370" max="6370" width="13.44140625" style="1" customWidth="1"/>
    <col min="6371" max="6373" width="13.21875" style="1" customWidth="1"/>
    <col min="6374" max="6387" width="13.44140625" style="1" customWidth="1"/>
    <col min="6388" max="6388" width="14" style="1" customWidth="1"/>
    <col min="6389" max="6389" width="13.5546875" style="1" customWidth="1"/>
    <col min="6390" max="6390" width="48.44140625" style="1" customWidth="1"/>
    <col min="6391" max="6623" width="9.21875" style="1"/>
    <col min="6624" max="6624" width="0.77734375" style="1" customWidth="1"/>
    <col min="6625" max="6625" width="11.44140625" style="1" bestFit="1" customWidth="1"/>
    <col min="6626" max="6626" width="13.44140625" style="1" customWidth="1"/>
    <col min="6627" max="6629" width="13.21875" style="1" customWidth="1"/>
    <col min="6630" max="6643" width="13.44140625" style="1" customWidth="1"/>
    <col min="6644" max="6644" width="14" style="1" customWidth="1"/>
    <col min="6645" max="6645" width="13.5546875" style="1" customWidth="1"/>
    <col min="6646" max="6646" width="48.44140625" style="1" customWidth="1"/>
    <col min="6647" max="6879" width="9.21875" style="1"/>
    <col min="6880" max="6880" width="0.77734375" style="1" customWidth="1"/>
    <col min="6881" max="6881" width="11.44140625" style="1" bestFit="1" customWidth="1"/>
    <col min="6882" max="6882" width="13.44140625" style="1" customWidth="1"/>
    <col min="6883" max="6885" width="13.21875" style="1" customWidth="1"/>
    <col min="6886" max="6899" width="13.44140625" style="1" customWidth="1"/>
    <col min="6900" max="6900" width="14" style="1" customWidth="1"/>
    <col min="6901" max="6901" width="13.5546875" style="1" customWidth="1"/>
    <col min="6902" max="6902" width="48.44140625" style="1" customWidth="1"/>
    <col min="6903" max="7135" width="9.21875" style="1"/>
    <col min="7136" max="7136" width="0.77734375" style="1" customWidth="1"/>
    <col min="7137" max="7137" width="11.44140625" style="1" bestFit="1" customWidth="1"/>
    <col min="7138" max="7138" width="13.44140625" style="1" customWidth="1"/>
    <col min="7139" max="7141" width="13.21875" style="1" customWidth="1"/>
    <col min="7142" max="7155" width="13.44140625" style="1" customWidth="1"/>
    <col min="7156" max="7156" width="14" style="1" customWidth="1"/>
    <col min="7157" max="7157" width="13.5546875" style="1" customWidth="1"/>
    <col min="7158" max="7158" width="48.44140625" style="1" customWidth="1"/>
    <col min="7159" max="7391" width="9.21875" style="1"/>
    <col min="7392" max="7392" width="0.77734375" style="1" customWidth="1"/>
    <col min="7393" max="7393" width="11.44140625" style="1" bestFit="1" customWidth="1"/>
    <col min="7394" max="7394" width="13.44140625" style="1" customWidth="1"/>
    <col min="7395" max="7397" width="13.21875" style="1" customWidth="1"/>
    <col min="7398" max="7411" width="13.44140625" style="1" customWidth="1"/>
    <col min="7412" max="7412" width="14" style="1" customWidth="1"/>
    <col min="7413" max="7413" width="13.5546875" style="1" customWidth="1"/>
    <col min="7414" max="7414" width="48.44140625" style="1" customWidth="1"/>
    <col min="7415" max="7647" width="9.21875" style="1"/>
    <col min="7648" max="7648" width="0.77734375" style="1" customWidth="1"/>
    <col min="7649" max="7649" width="11.44140625" style="1" bestFit="1" customWidth="1"/>
    <col min="7650" max="7650" width="13.44140625" style="1" customWidth="1"/>
    <col min="7651" max="7653" width="13.21875" style="1" customWidth="1"/>
    <col min="7654" max="7667" width="13.44140625" style="1" customWidth="1"/>
    <col min="7668" max="7668" width="14" style="1" customWidth="1"/>
    <col min="7669" max="7669" width="13.5546875" style="1" customWidth="1"/>
    <col min="7670" max="7670" width="48.44140625" style="1" customWidth="1"/>
    <col min="7671" max="7903" width="9.21875" style="1"/>
    <col min="7904" max="7904" width="0.77734375" style="1" customWidth="1"/>
    <col min="7905" max="7905" width="11.44140625" style="1" bestFit="1" customWidth="1"/>
    <col min="7906" max="7906" width="13.44140625" style="1" customWidth="1"/>
    <col min="7907" max="7909" width="13.21875" style="1" customWidth="1"/>
    <col min="7910" max="7923" width="13.44140625" style="1" customWidth="1"/>
    <col min="7924" max="7924" width="14" style="1" customWidth="1"/>
    <col min="7925" max="7925" width="13.5546875" style="1" customWidth="1"/>
    <col min="7926" max="7926" width="48.44140625" style="1" customWidth="1"/>
    <col min="7927" max="8159" width="9.21875" style="1"/>
    <col min="8160" max="8160" width="0.77734375" style="1" customWidth="1"/>
    <col min="8161" max="8161" width="11.44140625" style="1" bestFit="1" customWidth="1"/>
    <col min="8162" max="8162" width="13.44140625" style="1" customWidth="1"/>
    <col min="8163" max="8165" width="13.21875" style="1" customWidth="1"/>
    <col min="8166" max="8179" width="13.44140625" style="1" customWidth="1"/>
    <col min="8180" max="8180" width="14" style="1" customWidth="1"/>
    <col min="8181" max="8181" width="13.5546875" style="1" customWidth="1"/>
    <col min="8182" max="8182" width="48.44140625" style="1" customWidth="1"/>
    <col min="8183" max="8415" width="9.21875" style="1"/>
    <col min="8416" max="8416" width="0.77734375" style="1" customWidth="1"/>
    <col min="8417" max="8417" width="11.44140625" style="1" bestFit="1" customWidth="1"/>
    <col min="8418" max="8418" width="13.44140625" style="1" customWidth="1"/>
    <col min="8419" max="8421" width="13.21875" style="1" customWidth="1"/>
    <col min="8422" max="8435" width="13.44140625" style="1" customWidth="1"/>
    <col min="8436" max="8436" width="14" style="1" customWidth="1"/>
    <col min="8437" max="8437" width="13.5546875" style="1" customWidth="1"/>
    <col min="8438" max="8438" width="48.44140625" style="1" customWidth="1"/>
    <col min="8439" max="8671" width="9.21875" style="1"/>
    <col min="8672" max="8672" width="0.77734375" style="1" customWidth="1"/>
    <col min="8673" max="8673" width="11.44140625" style="1" bestFit="1" customWidth="1"/>
    <col min="8674" max="8674" width="13.44140625" style="1" customWidth="1"/>
    <col min="8675" max="8677" width="13.21875" style="1" customWidth="1"/>
    <col min="8678" max="8691" width="13.44140625" style="1" customWidth="1"/>
    <col min="8692" max="8692" width="14" style="1" customWidth="1"/>
    <col min="8693" max="8693" width="13.5546875" style="1" customWidth="1"/>
    <col min="8694" max="8694" width="48.44140625" style="1" customWidth="1"/>
    <col min="8695" max="8927" width="9.21875" style="1"/>
    <col min="8928" max="8928" width="0.77734375" style="1" customWidth="1"/>
    <col min="8929" max="8929" width="11.44140625" style="1" bestFit="1" customWidth="1"/>
    <col min="8930" max="8930" width="13.44140625" style="1" customWidth="1"/>
    <col min="8931" max="8933" width="13.21875" style="1" customWidth="1"/>
    <col min="8934" max="8947" width="13.44140625" style="1" customWidth="1"/>
    <col min="8948" max="8948" width="14" style="1" customWidth="1"/>
    <col min="8949" max="8949" width="13.5546875" style="1" customWidth="1"/>
    <col min="8950" max="8950" width="48.44140625" style="1" customWidth="1"/>
    <col min="8951" max="9183" width="9.21875" style="1"/>
    <col min="9184" max="9184" width="0.77734375" style="1" customWidth="1"/>
    <col min="9185" max="9185" width="11.44140625" style="1" bestFit="1" customWidth="1"/>
    <col min="9186" max="9186" width="13.44140625" style="1" customWidth="1"/>
    <col min="9187" max="9189" width="13.21875" style="1" customWidth="1"/>
    <col min="9190" max="9203" width="13.44140625" style="1" customWidth="1"/>
    <col min="9204" max="9204" width="14" style="1" customWidth="1"/>
    <col min="9205" max="9205" width="13.5546875" style="1" customWidth="1"/>
    <col min="9206" max="9206" width="48.44140625" style="1" customWidth="1"/>
    <col min="9207" max="9439" width="9.21875" style="1"/>
    <col min="9440" max="9440" width="0.77734375" style="1" customWidth="1"/>
    <col min="9441" max="9441" width="11.44140625" style="1" bestFit="1" customWidth="1"/>
    <col min="9442" max="9442" width="13.44140625" style="1" customWidth="1"/>
    <col min="9443" max="9445" width="13.21875" style="1" customWidth="1"/>
    <col min="9446" max="9459" width="13.44140625" style="1" customWidth="1"/>
    <col min="9460" max="9460" width="14" style="1" customWidth="1"/>
    <col min="9461" max="9461" width="13.5546875" style="1" customWidth="1"/>
    <col min="9462" max="9462" width="48.44140625" style="1" customWidth="1"/>
    <col min="9463" max="9695" width="9.21875" style="1"/>
    <col min="9696" max="9696" width="0.77734375" style="1" customWidth="1"/>
    <col min="9697" max="9697" width="11.44140625" style="1" bestFit="1" customWidth="1"/>
    <col min="9698" max="9698" width="13.44140625" style="1" customWidth="1"/>
    <col min="9699" max="9701" width="13.21875" style="1" customWidth="1"/>
    <col min="9702" max="9715" width="13.44140625" style="1" customWidth="1"/>
    <col min="9716" max="9716" width="14" style="1" customWidth="1"/>
    <col min="9717" max="9717" width="13.5546875" style="1" customWidth="1"/>
    <col min="9718" max="9718" width="48.44140625" style="1" customWidth="1"/>
    <col min="9719" max="9951" width="9.21875" style="1"/>
    <col min="9952" max="9952" width="0.77734375" style="1" customWidth="1"/>
    <col min="9953" max="9953" width="11.44140625" style="1" bestFit="1" customWidth="1"/>
    <col min="9954" max="9954" width="13.44140625" style="1" customWidth="1"/>
    <col min="9955" max="9957" width="13.21875" style="1" customWidth="1"/>
    <col min="9958" max="9971" width="13.44140625" style="1" customWidth="1"/>
    <col min="9972" max="9972" width="14" style="1" customWidth="1"/>
    <col min="9973" max="9973" width="13.5546875" style="1" customWidth="1"/>
    <col min="9974" max="9974" width="48.44140625" style="1" customWidth="1"/>
    <col min="9975" max="10207" width="9.21875" style="1"/>
    <col min="10208" max="10208" width="0.77734375" style="1" customWidth="1"/>
    <col min="10209" max="10209" width="11.44140625" style="1" bestFit="1" customWidth="1"/>
    <col min="10210" max="10210" width="13.44140625" style="1" customWidth="1"/>
    <col min="10211" max="10213" width="13.21875" style="1" customWidth="1"/>
    <col min="10214" max="10227" width="13.44140625" style="1" customWidth="1"/>
    <col min="10228" max="10228" width="14" style="1" customWidth="1"/>
    <col min="10229" max="10229" width="13.5546875" style="1" customWidth="1"/>
    <col min="10230" max="10230" width="48.44140625" style="1" customWidth="1"/>
    <col min="10231" max="10463" width="9.21875" style="1"/>
    <col min="10464" max="10464" width="0.77734375" style="1" customWidth="1"/>
    <col min="10465" max="10465" width="11.44140625" style="1" bestFit="1" customWidth="1"/>
    <col min="10466" max="10466" width="13.44140625" style="1" customWidth="1"/>
    <col min="10467" max="10469" width="13.21875" style="1" customWidth="1"/>
    <col min="10470" max="10483" width="13.44140625" style="1" customWidth="1"/>
    <col min="10484" max="10484" width="14" style="1" customWidth="1"/>
    <col min="10485" max="10485" width="13.5546875" style="1" customWidth="1"/>
    <col min="10486" max="10486" width="48.44140625" style="1" customWidth="1"/>
    <col min="10487" max="10719" width="9.21875" style="1"/>
    <col min="10720" max="10720" width="0.77734375" style="1" customWidth="1"/>
    <col min="10721" max="10721" width="11.44140625" style="1" bestFit="1" customWidth="1"/>
    <col min="10722" max="10722" width="13.44140625" style="1" customWidth="1"/>
    <col min="10723" max="10725" width="13.21875" style="1" customWidth="1"/>
    <col min="10726" max="10739" width="13.44140625" style="1" customWidth="1"/>
    <col min="10740" max="10740" width="14" style="1" customWidth="1"/>
    <col min="10741" max="10741" width="13.5546875" style="1" customWidth="1"/>
    <col min="10742" max="10742" width="48.44140625" style="1" customWidth="1"/>
    <col min="10743" max="10975" width="9.21875" style="1"/>
    <col min="10976" max="10976" width="0.77734375" style="1" customWidth="1"/>
    <col min="10977" max="10977" width="11.44140625" style="1" bestFit="1" customWidth="1"/>
    <col min="10978" max="10978" width="13.44140625" style="1" customWidth="1"/>
    <col min="10979" max="10981" width="13.21875" style="1" customWidth="1"/>
    <col min="10982" max="10995" width="13.44140625" style="1" customWidth="1"/>
    <col min="10996" max="10996" width="14" style="1" customWidth="1"/>
    <col min="10997" max="10997" width="13.5546875" style="1" customWidth="1"/>
    <col min="10998" max="10998" width="48.44140625" style="1" customWidth="1"/>
    <col min="10999" max="11231" width="9.21875" style="1"/>
    <col min="11232" max="11232" width="0.77734375" style="1" customWidth="1"/>
    <col min="11233" max="11233" width="11.44140625" style="1" bestFit="1" customWidth="1"/>
    <col min="11234" max="11234" width="13.44140625" style="1" customWidth="1"/>
    <col min="11235" max="11237" width="13.21875" style="1" customWidth="1"/>
    <col min="11238" max="11251" width="13.44140625" style="1" customWidth="1"/>
    <col min="11252" max="11252" width="14" style="1" customWidth="1"/>
    <col min="11253" max="11253" width="13.5546875" style="1" customWidth="1"/>
    <col min="11254" max="11254" width="48.44140625" style="1" customWidth="1"/>
    <col min="11255" max="11487" width="9.21875" style="1"/>
    <col min="11488" max="11488" width="0.77734375" style="1" customWidth="1"/>
    <col min="11489" max="11489" width="11.44140625" style="1" bestFit="1" customWidth="1"/>
    <col min="11490" max="11490" width="13.44140625" style="1" customWidth="1"/>
    <col min="11491" max="11493" width="13.21875" style="1" customWidth="1"/>
    <col min="11494" max="11507" width="13.44140625" style="1" customWidth="1"/>
    <col min="11508" max="11508" width="14" style="1" customWidth="1"/>
    <col min="11509" max="11509" width="13.5546875" style="1" customWidth="1"/>
    <col min="11510" max="11510" width="48.44140625" style="1" customWidth="1"/>
    <col min="11511" max="11743" width="9.21875" style="1"/>
    <col min="11744" max="11744" width="0.77734375" style="1" customWidth="1"/>
    <col min="11745" max="11745" width="11.44140625" style="1" bestFit="1" customWidth="1"/>
    <col min="11746" max="11746" width="13.44140625" style="1" customWidth="1"/>
    <col min="11747" max="11749" width="13.21875" style="1" customWidth="1"/>
    <col min="11750" max="11763" width="13.44140625" style="1" customWidth="1"/>
    <col min="11764" max="11764" width="14" style="1" customWidth="1"/>
    <col min="11765" max="11765" width="13.5546875" style="1" customWidth="1"/>
    <col min="11766" max="11766" width="48.44140625" style="1" customWidth="1"/>
    <col min="11767" max="11999" width="9.21875" style="1"/>
    <col min="12000" max="12000" width="0.77734375" style="1" customWidth="1"/>
    <col min="12001" max="12001" width="11.44140625" style="1" bestFit="1" customWidth="1"/>
    <col min="12002" max="12002" width="13.44140625" style="1" customWidth="1"/>
    <col min="12003" max="12005" width="13.21875" style="1" customWidth="1"/>
    <col min="12006" max="12019" width="13.44140625" style="1" customWidth="1"/>
    <col min="12020" max="12020" width="14" style="1" customWidth="1"/>
    <col min="12021" max="12021" width="13.5546875" style="1" customWidth="1"/>
    <col min="12022" max="12022" width="48.44140625" style="1" customWidth="1"/>
    <col min="12023" max="12255" width="9.21875" style="1"/>
    <col min="12256" max="12256" width="0.77734375" style="1" customWidth="1"/>
    <col min="12257" max="12257" width="11.44140625" style="1" bestFit="1" customWidth="1"/>
    <col min="12258" max="12258" width="13.44140625" style="1" customWidth="1"/>
    <col min="12259" max="12261" width="13.21875" style="1" customWidth="1"/>
    <col min="12262" max="12275" width="13.44140625" style="1" customWidth="1"/>
    <col min="12276" max="12276" width="14" style="1" customWidth="1"/>
    <col min="12277" max="12277" width="13.5546875" style="1" customWidth="1"/>
    <col min="12278" max="12278" width="48.44140625" style="1" customWidth="1"/>
    <col min="12279" max="12511" width="9.21875" style="1"/>
    <col min="12512" max="12512" width="0.77734375" style="1" customWidth="1"/>
    <col min="12513" max="12513" width="11.44140625" style="1" bestFit="1" customWidth="1"/>
    <col min="12514" max="12514" width="13.44140625" style="1" customWidth="1"/>
    <col min="12515" max="12517" width="13.21875" style="1" customWidth="1"/>
    <col min="12518" max="12531" width="13.44140625" style="1" customWidth="1"/>
    <col min="12532" max="12532" width="14" style="1" customWidth="1"/>
    <col min="12533" max="12533" width="13.5546875" style="1" customWidth="1"/>
    <col min="12534" max="12534" width="48.44140625" style="1" customWidth="1"/>
    <col min="12535" max="12767" width="9.21875" style="1"/>
    <col min="12768" max="12768" width="0.77734375" style="1" customWidth="1"/>
    <col min="12769" max="12769" width="11.44140625" style="1" bestFit="1" customWidth="1"/>
    <col min="12770" max="12770" width="13.44140625" style="1" customWidth="1"/>
    <col min="12771" max="12773" width="13.21875" style="1" customWidth="1"/>
    <col min="12774" max="12787" width="13.44140625" style="1" customWidth="1"/>
    <col min="12788" max="12788" width="14" style="1" customWidth="1"/>
    <col min="12789" max="12789" width="13.5546875" style="1" customWidth="1"/>
    <col min="12790" max="12790" width="48.44140625" style="1" customWidth="1"/>
    <col min="12791" max="13023" width="9.21875" style="1"/>
    <col min="13024" max="13024" width="0.77734375" style="1" customWidth="1"/>
    <col min="13025" max="13025" width="11.44140625" style="1" bestFit="1" customWidth="1"/>
    <col min="13026" max="13026" width="13.44140625" style="1" customWidth="1"/>
    <col min="13027" max="13029" width="13.21875" style="1" customWidth="1"/>
    <col min="13030" max="13043" width="13.44140625" style="1" customWidth="1"/>
    <col min="13044" max="13044" width="14" style="1" customWidth="1"/>
    <col min="13045" max="13045" width="13.5546875" style="1" customWidth="1"/>
    <col min="13046" max="13046" width="48.44140625" style="1" customWidth="1"/>
    <col min="13047" max="13279" width="9.21875" style="1"/>
    <col min="13280" max="13280" width="0.77734375" style="1" customWidth="1"/>
    <col min="13281" max="13281" width="11.44140625" style="1" bestFit="1" customWidth="1"/>
    <col min="13282" max="13282" width="13.44140625" style="1" customWidth="1"/>
    <col min="13283" max="13285" width="13.21875" style="1" customWidth="1"/>
    <col min="13286" max="13299" width="13.44140625" style="1" customWidth="1"/>
    <col min="13300" max="13300" width="14" style="1" customWidth="1"/>
    <col min="13301" max="13301" width="13.5546875" style="1" customWidth="1"/>
    <col min="13302" max="13302" width="48.44140625" style="1" customWidth="1"/>
    <col min="13303" max="13535" width="9.21875" style="1"/>
    <col min="13536" max="13536" width="0.77734375" style="1" customWidth="1"/>
    <col min="13537" max="13537" width="11.44140625" style="1" bestFit="1" customWidth="1"/>
    <col min="13538" max="13538" width="13.44140625" style="1" customWidth="1"/>
    <col min="13539" max="13541" width="13.21875" style="1" customWidth="1"/>
    <col min="13542" max="13555" width="13.44140625" style="1" customWidth="1"/>
    <col min="13556" max="13556" width="14" style="1" customWidth="1"/>
    <col min="13557" max="13557" width="13.5546875" style="1" customWidth="1"/>
    <col min="13558" max="13558" width="48.44140625" style="1" customWidth="1"/>
    <col min="13559" max="13791" width="9.21875" style="1"/>
    <col min="13792" max="13792" width="0.77734375" style="1" customWidth="1"/>
    <col min="13793" max="13793" width="11.44140625" style="1" bestFit="1" customWidth="1"/>
    <col min="13794" max="13794" width="13.44140625" style="1" customWidth="1"/>
    <col min="13795" max="13797" width="13.21875" style="1" customWidth="1"/>
    <col min="13798" max="13811" width="13.44140625" style="1" customWidth="1"/>
    <col min="13812" max="13812" width="14" style="1" customWidth="1"/>
    <col min="13813" max="13813" width="13.5546875" style="1" customWidth="1"/>
    <col min="13814" max="13814" width="48.44140625" style="1" customWidth="1"/>
    <col min="13815" max="14047" width="9.21875" style="1"/>
    <col min="14048" max="14048" width="0.77734375" style="1" customWidth="1"/>
    <col min="14049" max="14049" width="11.44140625" style="1" bestFit="1" customWidth="1"/>
    <col min="14050" max="14050" width="13.44140625" style="1" customWidth="1"/>
    <col min="14051" max="14053" width="13.21875" style="1" customWidth="1"/>
    <col min="14054" max="14067" width="13.44140625" style="1" customWidth="1"/>
    <col min="14068" max="14068" width="14" style="1" customWidth="1"/>
    <col min="14069" max="14069" width="13.5546875" style="1" customWidth="1"/>
    <col min="14070" max="14070" width="48.44140625" style="1" customWidth="1"/>
    <col min="14071" max="14303" width="9.21875" style="1"/>
    <col min="14304" max="14304" width="0.77734375" style="1" customWidth="1"/>
    <col min="14305" max="14305" width="11.44140625" style="1" bestFit="1" customWidth="1"/>
    <col min="14306" max="14306" width="13.44140625" style="1" customWidth="1"/>
    <col min="14307" max="14309" width="13.21875" style="1" customWidth="1"/>
    <col min="14310" max="14323" width="13.44140625" style="1" customWidth="1"/>
    <col min="14324" max="14324" width="14" style="1" customWidth="1"/>
    <col min="14325" max="14325" width="13.5546875" style="1" customWidth="1"/>
    <col min="14326" max="14326" width="48.44140625" style="1" customWidth="1"/>
    <col min="14327" max="14559" width="9.21875" style="1"/>
    <col min="14560" max="14560" width="0.77734375" style="1" customWidth="1"/>
    <col min="14561" max="14561" width="11.44140625" style="1" bestFit="1" customWidth="1"/>
    <col min="14562" max="14562" width="13.44140625" style="1" customWidth="1"/>
    <col min="14563" max="14565" width="13.21875" style="1" customWidth="1"/>
    <col min="14566" max="14579" width="13.44140625" style="1" customWidth="1"/>
    <col min="14580" max="14580" width="14" style="1" customWidth="1"/>
    <col min="14581" max="14581" width="13.5546875" style="1" customWidth="1"/>
    <col min="14582" max="14582" width="48.44140625" style="1" customWidth="1"/>
    <col min="14583" max="14815" width="9.21875" style="1"/>
    <col min="14816" max="14816" width="0.77734375" style="1" customWidth="1"/>
    <col min="14817" max="14817" width="11.44140625" style="1" bestFit="1" customWidth="1"/>
    <col min="14818" max="14818" width="13.44140625" style="1" customWidth="1"/>
    <col min="14819" max="14821" width="13.21875" style="1" customWidth="1"/>
    <col min="14822" max="14835" width="13.44140625" style="1" customWidth="1"/>
    <col min="14836" max="14836" width="14" style="1" customWidth="1"/>
    <col min="14837" max="14837" width="13.5546875" style="1" customWidth="1"/>
    <col min="14838" max="14838" width="48.44140625" style="1" customWidth="1"/>
    <col min="14839" max="15071" width="9.21875" style="1"/>
    <col min="15072" max="15072" width="0.77734375" style="1" customWidth="1"/>
    <col min="15073" max="15073" width="11.44140625" style="1" bestFit="1" customWidth="1"/>
    <col min="15074" max="15074" width="13.44140625" style="1" customWidth="1"/>
    <col min="15075" max="15077" width="13.21875" style="1" customWidth="1"/>
    <col min="15078" max="15091" width="13.44140625" style="1" customWidth="1"/>
    <col min="15092" max="15092" width="14" style="1" customWidth="1"/>
    <col min="15093" max="15093" width="13.5546875" style="1" customWidth="1"/>
    <col min="15094" max="15094" width="48.44140625" style="1" customWidth="1"/>
    <col min="15095" max="15327" width="9.21875" style="1"/>
    <col min="15328" max="15328" width="0.77734375" style="1" customWidth="1"/>
    <col min="15329" max="15329" width="11.44140625" style="1" bestFit="1" customWidth="1"/>
    <col min="15330" max="15330" width="13.44140625" style="1" customWidth="1"/>
    <col min="15331" max="15333" width="13.21875" style="1" customWidth="1"/>
    <col min="15334" max="15347" width="13.44140625" style="1" customWidth="1"/>
    <col min="15348" max="15348" width="14" style="1" customWidth="1"/>
    <col min="15349" max="15349" width="13.5546875" style="1" customWidth="1"/>
    <col min="15350" max="15350" width="48.44140625" style="1" customWidth="1"/>
    <col min="15351" max="15583" width="9.21875" style="1"/>
    <col min="15584" max="15584" width="0.77734375" style="1" customWidth="1"/>
    <col min="15585" max="15585" width="11.44140625" style="1" bestFit="1" customWidth="1"/>
    <col min="15586" max="15586" width="13.44140625" style="1" customWidth="1"/>
    <col min="15587" max="15589" width="13.21875" style="1" customWidth="1"/>
    <col min="15590" max="15603" width="13.44140625" style="1" customWidth="1"/>
    <col min="15604" max="15604" width="14" style="1" customWidth="1"/>
    <col min="15605" max="15605" width="13.5546875" style="1" customWidth="1"/>
    <col min="15606" max="15606" width="48.44140625" style="1" customWidth="1"/>
    <col min="15607" max="15839" width="9.21875" style="1"/>
    <col min="15840" max="15840" width="0.77734375" style="1" customWidth="1"/>
    <col min="15841" max="15841" width="11.44140625" style="1" bestFit="1" customWidth="1"/>
    <col min="15842" max="15842" width="13.44140625" style="1" customWidth="1"/>
    <col min="15843" max="15845" width="13.21875" style="1" customWidth="1"/>
    <col min="15846" max="15859" width="13.44140625" style="1" customWidth="1"/>
    <col min="15860" max="15860" width="14" style="1" customWidth="1"/>
    <col min="15861" max="15861" width="13.5546875" style="1" customWidth="1"/>
    <col min="15862" max="15862" width="48.44140625" style="1" customWidth="1"/>
    <col min="15863" max="16095" width="9.21875" style="1"/>
    <col min="16096" max="16096" width="0.77734375" style="1" customWidth="1"/>
    <col min="16097" max="16097" width="11.44140625" style="1" bestFit="1" customWidth="1"/>
    <col min="16098" max="16098" width="13.44140625" style="1" customWidth="1"/>
    <col min="16099" max="16101" width="13.21875" style="1" customWidth="1"/>
    <col min="16102" max="16115" width="13.44140625" style="1" customWidth="1"/>
    <col min="16116" max="16116" width="14" style="1" customWidth="1"/>
    <col min="16117" max="16117" width="13.5546875" style="1" customWidth="1"/>
    <col min="16118" max="16118" width="48.44140625" style="1" customWidth="1"/>
    <col min="16119" max="16384" width="9.21875" style="1"/>
  </cols>
  <sheetData>
    <row r="1" spans="2:99" s="1735" customFormat="1" ht="10.199999999999999">
      <c r="H1" s="1736" t="s">
        <v>275</v>
      </c>
      <c r="I1" s="1736"/>
      <c r="CG1" s="1737"/>
    </row>
    <row r="2" spans="2:99" s="1735" customFormat="1" ht="10.199999999999999">
      <c r="H2" s="1736" t="s">
        <v>0</v>
      </c>
      <c r="I2" s="1736"/>
      <c r="K2" s="1738"/>
      <c r="L2" s="1738"/>
      <c r="M2" s="1738"/>
      <c r="N2" s="1738"/>
      <c r="O2" s="1738"/>
      <c r="P2" s="1738"/>
      <c r="Q2" s="1738"/>
      <c r="R2" s="1738"/>
      <c r="S2" s="1738"/>
      <c r="T2" s="1738"/>
      <c r="U2" s="1738"/>
      <c r="V2" s="1738"/>
      <c r="W2" s="1738"/>
      <c r="X2" s="1738"/>
      <c r="Y2" s="1738"/>
      <c r="Z2" s="1738"/>
      <c r="AA2" s="1738"/>
      <c r="AB2" s="1738"/>
      <c r="AC2" s="1738"/>
      <c r="CG2" s="1737"/>
    </row>
    <row r="3" spans="2:99">
      <c r="H3" s="4" t="s">
        <v>1</v>
      </c>
      <c r="I3" s="4"/>
      <c r="J3" s="5">
        <v>44927</v>
      </c>
      <c r="K3" s="3"/>
      <c r="L3" s="3"/>
      <c r="M3" s="3"/>
      <c r="N3" s="3"/>
      <c r="O3" s="3"/>
      <c r="P3" s="3"/>
      <c r="Q3" s="3"/>
      <c r="R3" s="3"/>
      <c r="S3" s="3"/>
      <c r="T3" s="165"/>
      <c r="U3" s="3"/>
      <c r="V3" s="3"/>
      <c r="W3" s="3"/>
      <c r="X3" s="1383"/>
      <c r="Y3" s="3"/>
      <c r="Z3" s="1384"/>
      <c r="AA3" s="3"/>
      <c r="AB3" s="3"/>
      <c r="AC3" s="165"/>
    </row>
    <row r="4" spans="2:99">
      <c r="H4" s="4" t="s">
        <v>2</v>
      </c>
      <c r="I4" s="4"/>
      <c r="J4" s="5">
        <v>45291</v>
      </c>
      <c r="K4" s="6"/>
      <c r="L4" s="6"/>
      <c r="M4" s="6"/>
      <c r="N4" s="6"/>
      <c r="O4" s="6"/>
      <c r="P4" s="6"/>
      <c r="Q4" s="6"/>
      <c r="R4" s="6"/>
      <c r="S4" s="6"/>
      <c r="T4" s="6"/>
      <c r="U4" s="6"/>
      <c r="V4" s="6"/>
      <c r="W4" s="6"/>
      <c r="X4" s="1385"/>
      <c r="Y4" s="6"/>
      <c r="Z4" s="6"/>
      <c r="AA4" s="6"/>
      <c r="AB4" s="6"/>
      <c r="AC4" s="6"/>
      <c r="AF4" s="1383">
        <f ca="1">744-AE376</f>
        <v>5.7000000000116415</v>
      </c>
      <c r="AH4" s="1383"/>
    </row>
    <row r="5" spans="2:99">
      <c r="H5" s="4" t="s">
        <v>3</v>
      </c>
      <c r="I5" s="4"/>
      <c r="J5" s="7">
        <f ca="1">TODAY()</f>
        <v>45126</v>
      </c>
      <c r="K5" s="7"/>
    </row>
    <row r="6" spans="2:99" ht="15" thickBot="1">
      <c r="B6" s="161">
        <v>1</v>
      </c>
      <c r="C6" s="161">
        <v>2</v>
      </c>
      <c r="D6" s="162">
        <v>3</v>
      </c>
      <c r="E6" s="162">
        <v>4</v>
      </c>
      <c r="F6" s="162">
        <v>5</v>
      </c>
      <c r="G6" s="162">
        <v>6</v>
      </c>
      <c r="H6" s="162">
        <v>7</v>
      </c>
      <c r="I6" s="162">
        <v>8</v>
      </c>
      <c r="J6" s="162">
        <v>9</v>
      </c>
      <c r="K6" s="162">
        <v>10</v>
      </c>
      <c r="L6" s="162">
        <v>11</v>
      </c>
      <c r="M6" s="162">
        <v>12</v>
      </c>
      <c r="N6" s="162">
        <v>13</v>
      </c>
      <c r="O6" s="162">
        <v>14</v>
      </c>
      <c r="P6" s="162">
        <v>15</v>
      </c>
      <c r="Q6" s="162">
        <v>16</v>
      </c>
      <c r="R6" s="162">
        <v>17</v>
      </c>
      <c r="S6" s="162">
        <v>18</v>
      </c>
      <c r="T6" s="162">
        <v>19</v>
      </c>
      <c r="U6" s="162">
        <v>20</v>
      </c>
      <c r="V6" s="162">
        <v>21</v>
      </c>
      <c r="W6" s="162">
        <v>22</v>
      </c>
      <c r="X6" s="162">
        <v>23</v>
      </c>
      <c r="Y6" s="162">
        <v>24</v>
      </c>
      <c r="Z6" s="162">
        <v>25</v>
      </c>
      <c r="AA6" s="162">
        <v>26</v>
      </c>
      <c r="AB6" s="162">
        <v>27</v>
      </c>
      <c r="AC6" s="162">
        <v>28</v>
      </c>
      <c r="AD6" s="162">
        <v>29</v>
      </c>
      <c r="AE6" s="162">
        <v>30</v>
      </c>
      <c r="AF6" s="1219">
        <v>31</v>
      </c>
      <c r="AG6" s="162">
        <v>32</v>
      </c>
      <c r="AH6" s="162">
        <v>33</v>
      </c>
      <c r="AI6" s="162">
        <v>34</v>
      </c>
      <c r="AJ6" s="162">
        <v>35</v>
      </c>
      <c r="AK6" s="162">
        <v>36</v>
      </c>
      <c r="AL6" s="162">
        <v>37</v>
      </c>
      <c r="AM6" s="162">
        <v>38</v>
      </c>
      <c r="AN6" s="162">
        <v>39</v>
      </c>
    </row>
    <row r="7" spans="2:99" ht="21.45" customHeight="1" thickBot="1">
      <c r="B7" s="1810" t="s">
        <v>1503</v>
      </c>
      <c r="C7" s="1811"/>
      <c r="D7" s="1811"/>
      <c r="E7" s="1811"/>
      <c r="F7" s="1811"/>
      <c r="G7" s="1811"/>
      <c r="H7" s="1811"/>
      <c r="I7" s="1811"/>
      <c r="J7" s="1811"/>
      <c r="K7" s="1811"/>
      <c r="L7" s="1811"/>
      <c r="M7" s="1811"/>
      <c r="N7" s="1811"/>
      <c r="O7" s="1811"/>
      <c r="P7" s="1811"/>
      <c r="Q7" s="1811"/>
      <c r="R7" s="1811"/>
      <c r="S7" s="1811"/>
      <c r="T7" s="1811"/>
      <c r="U7" s="1811"/>
      <c r="V7" s="1811"/>
      <c r="W7" s="1811"/>
      <c r="X7" s="1811"/>
      <c r="Y7" s="1811"/>
      <c r="Z7" s="1811"/>
      <c r="AA7" s="1811"/>
      <c r="AB7" s="1811"/>
      <c r="AC7" s="1811"/>
      <c r="AD7" s="1811"/>
      <c r="AE7" s="1811"/>
      <c r="AF7" s="1811"/>
      <c r="AG7" s="1811"/>
      <c r="AH7" s="1811"/>
      <c r="AI7" s="1811"/>
      <c r="AJ7" s="1811"/>
      <c r="AK7" s="1811"/>
      <c r="AL7" s="1811"/>
      <c r="AM7" s="1811"/>
      <c r="AN7" s="1812"/>
      <c r="AS7" s="405">
        <v>2</v>
      </c>
      <c r="AT7" s="405">
        <v>3</v>
      </c>
      <c r="AU7" s="405">
        <v>15</v>
      </c>
      <c r="AV7" s="405">
        <v>16</v>
      </c>
      <c r="AW7" s="405">
        <v>17</v>
      </c>
      <c r="AX7" s="405">
        <v>18</v>
      </c>
      <c r="AY7" s="405">
        <v>19</v>
      </c>
      <c r="AZ7" s="405">
        <v>20</v>
      </c>
      <c r="BA7" s="405">
        <v>21</v>
      </c>
      <c r="BB7" s="405">
        <v>22</v>
      </c>
      <c r="BC7" s="405">
        <v>23</v>
      </c>
      <c r="BD7" s="405">
        <v>24</v>
      </c>
      <c r="BE7" s="405">
        <v>12</v>
      </c>
      <c r="BF7" s="405">
        <v>13</v>
      </c>
      <c r="BG7" s="405">
        <v>14</v>
      </c>
      <c r="BH7" s="405">
        <v>25</v>
      </c>
      <c r="BI7" s="405"/>
      <c r="BJ7" s="405">
        <v>26</v>
      </c>
      <c r="BK7" s="405"/>
      <c r="BL7" s="405">
        <v>27</v>
      </c>
      <c r="BM7" s="405">
        <v>28</v>
      </c>
      <c r="BN7" s="405">
        <v>33</v>
      </c>
      <c r="BO7" s="405">
        <v>34</v>
      </c>
      <c r="BP7" s="405">
        <v>35</v>
      </c>
      <c r="BQ7" s="405">
        <v>36</v>
      </c>
      <c r="BR7" s="405">
        <v>37</v>
      </c>
      <c r="BS7" s="1">
        <v>38</v>
      </c>
      <c r="BT7" s="1">
        <v>39</v>
      </c>
      <c r="BU7" s="1">
        <v>40</v>
      </c>
      <c r="BV7" s="1">
        <v>41</v>
      </c>
      <c r="BW7" s="1">
        <v>42</v>
      </c>
      <c r="BX7" s="1">
        <v>43</v>
      </c>
      <c r="BY7" s="1">
        <v>44</v>
      </c>
      <c r="BZ7" s="1">
        <v>45</v>
      </c>
      <c r="CA7" s="1">
        <v>46</v>
      </c>
      <c r="CB7" s="1">
        <v>46</v>
      </c>
      <c r="CC7" s="1">
        <v>48</v>
      </c>
      <c r="CD7" s="1">
        <v>49</v>
      </c>
      <c r="CE7" s="1">
        <v>50</v>
      </c>
      <c r="CF7" s="1">
        <v>51</v>
      </c>
      <c r="CG7" s="161">
        <v>52</v>
      </c>
      <c r="CH7" s="1">
        <v>53</v>
      </c>
      <c r="CI7" s="1">
        <v>54</v>
      </c>
      <c r="CJ7" s="1">
        <v>55</v>
      </c>
      <c r="CK7" s="1">
        <v>56</v>
      </c>
      <c r="CL7" s="1">
        <v>57</v>
      </c>
      <c r="CM7" s="1">
        <v>58</v>
      </c>
      <c r="CN7" s="1">
        <v>59</v>
      </c>
      <c r="CO7" s="1">
        <v>60</v>
      </c>
      <c r="CP7" s="1">
        <v>61</v>
      </c>
      <c r="CQ7" s="1">
        <v>62</v>
      </c>
    </row>
    <row r="8" spans="2:99" ht="25.5" customHeight="1" thickBot="1">
      <c r="B8" s="1813" t="s">
        <v>4</v>
      </c>
      <c r="C8" s="1814" t="s">
        <v>5</v>
      </c>
      <c r="D8" s="1815"/>
      <c r="E8" s="1815"/>
      <c r="F8" s="1815"/>
      <c r="G8" s="1815"/>
      <c r="H8" s="1815"/>
      <c r="I8" s="1816"/>
      <c r="J8" s="1814" t="s">
        <v>6</v>
      </c>
      <c r="K8" s="1815"/>
      <c r="L8" s="1815"/>
      <c r="M8" s="1815"/>
      <c r="N8" s="1815"/>
      <c r="O8" s="1815"/>
      <c r="P8" s="1816"/>
      <c r="Q8" s="1814" t="s">
        <v>1398</v>
      </c>
      <c r="R8" s="1815"/>
      <c r="S8" s="1815"/>
      <c r="T8" s="1814" t="s">
        <v>1399</v>
      </c>
      <c r="U8" s="1815"/>
      <c r="V8" s="1815"/>
      <c r="W8" s="1817" t="s">
        <v>7</v>
      </c>
      <c r="X8" s="1818"/>
      <c r="Y8" s="1818"/>
      <c r="Z8" s="1818"/>
      <c r="AA8" s="1818"/>
      <c r="AB8" s="1818"/>
      <c r="AC8" s="1819"/>
      <c r="AD8" s="1820" t="s">
        <v>1400</v>
      </c>
      <c r="AE8" s="1821"/>
      <c r="AF8" s="1821"/>
      <c r="AG8" s="1821"/>
      <c r="AH8" s="1821"/>
      <c r="AI8" s="1821"/>
      <c r="AJ8" s="1821"/>
      <c r="AK8" s="1821"/>
      <c r="AL8" s="1821"/>
      <c r="AM8" s="1821"/>
      <c r="AN8" s="1822"/>
      <c r="AO8" s="161">
        <v>40</v>
      </c>
      <c r="AP8" s="161">
        <v>41</v>
      </c>
      <c r="AQ8" s="161">
        <v>42</v>
      </c>
      <c r="AR8" s="161">
        <v>43</v>
      </c>
      <c r="AS8" s="161">
        <v>44</v>
      </c>
      <c r="AT8" s="161">
        <v>45</v>
      </c>
      <c r="AU8" s="161">
        <v>46</v>
      </c>
      <c r="AV8" s="161">
        <v>47</v>
      </c>
      <c r="AW8" s="161">
        <v>48</v>
      </c>
      <c r="AX8" s="161">
        <v>49</v>
      </c>
      <c r="AY8" s="161">
        <v>50</v>
      </c>
      <c r="AZ8" s="161">
        <v>51</v>
      </c>
      <c r="BA8" s="161">
        <v>52</v>
      </c>
      <c r="BB8" s="161">
        <v>53</v>
      </c>
      <c r="BC8" s="161">
        <v>54</v>
      </c>
      <c r="BD8" s="161">
        <v>55</v>
      </c>
      <c r="BE8" s="161">
        <v>56</v>
      </c>
      <c r="BF8" s="161">
        <v>57</v>
      </c>
      <c r="BG8" s="161">
        <v>58</v>
      </c>
      <c r="BH8" s="161">
        <v>59</v>
      </c>
      <c r="BI8" s="161">
        <v>60</v>
      </c>
      <c r="BJ8" s="161">
        <v>61</v>
      </c>
      <c r="BK8" s="161">
        <v>62</v>
      </c>
      <c r="BL8" s="161">
        <v>63</v>
      </c>
      <c r="BM8" s="161">
        <v>64</v>
      </c>
      <c r="BN8" s="161">
        <v>65</v>
      </c>
      <c r="BO8" s="161">
        <v>66</v>
      </c>
      <c r="BP8" s="161">
        <v>67</v>
      </c>
      <c r="BQ8" s="161">
        <v>68</v>
      </c>
      <c r="BR8" s="161">
        <v>69</v>
      </c>
      <c r="BS8" s="161">
        <v>70</v>
      </c>
      <c r="BT8" s="161">
        <v>71</v>
      </c>
      <c r="BU8" s="161">
        <v>72</v>
      </c>
      <c r="BV8" s="161">
        <v>73</v>
      </c>
      <c r="BW8" s="161">
        <v>74</v>
      </c>
      <c r="BX8" s="161">
        <v>75</v>
      </c>
      <c r="BY8" s="161">
        <v>76</v>
      </c>
      <c r="BZ8" s="161">
        <v>77</v>
      </c>
      <c r="CA8" s="161">
        <v>78</v>
      </c>
      <c r="CB8" s="161">
        <v>79</v>
      </c>
      <c r="CC8" s="161">
        <v>80</v>
      </c>
      <c r="CD8" s="1">
        <v>81</v>
      </c>
      <c r="CE8" s="1">
        <v>82</v>
      </c>
      <c r="CF8" s="1">
        <v>83</v>
      </c>
      <c r="CG8" s="161">
        <v>84</v>
      </c>
      <c r="CH8" s="1">
        <v>85</v>
      </c>
      <c r="CI8" s="1">
        <v>86</v>
      </c>
      <c r="CJ8" s="1">
        <v>87</v>
      </c>
      <c r="CK8" s="1">
        <v>88</v>
      </c>
      <c r="CL8" s="1">
        <v>89</v>
      </c>
      <c r="CM8" s="1">
        <v>90</v>
      </c>
      <c r="CN8" s="1">
        <v>91</v>
      </c>
      <c r="CO8" s="1">
        <v>92</v>
      </c>
      <c r="CP8" s="1">
        <v>93</v>
      </c>
      <c r="CQ8" s="1">
        <v>94</v>
      </c>
      <c r="CR8" s="1">
        <v>95</v>
      </c>
      <c r="CS8" s="1">
        <v>96</v>
      </c>
      <c r="CT8" s="1">
        <v>97</v>
      </c>
      <c r="CU8" s="1">
        <v>98</v>
      </c>
    </row>
    <row r="9" spans="2:99" ht="25.95" customHeight="1" thickBot="1">
      <c r="B9" s="1813"/>
      <c r="C9" s="1823" t="s">
        <v>8</v>
      </c>
      <c r="D9" s="1823"/>
      <c r="E9" s="1824"/>
      <c r="F9" s="1823" t="s">
        <v>1401</v>
      </c>
      <c r="G9" s="1823"/>
      <c r="H9" s="1824"/>
      <c r="I9" s="1386" t="s">
        <v>1402</v>
      </c>
      <c r="J9" s="1824" t="s">
        <v>8</v>
      </c>
      <c r="K9" s="1808"/>
      <c r="L9" s="1808"/>
      <c r="M9" s="1808" t="s">
        <v>1401</v>
      </c>
      <c r="N9" s="1808"/>
      <c r="O9" s="1809"/>
      <c r="P9" s="1386" t="s">
        <v>1403</v>
      </c>
      <c r="Q9" s="1808" t="s">
        <v>1404</v>
      </c>
      <c r="R9" s="1808"/>
      <c r="S9" s="1809"/>
      <c r="T9" s="1808" t="s">
        <v>1405</v>
      </c>
      <c r="U9" s="1808"/>
      <c r="V9" s="1809"/>
      <c r="W9" s="1808" t="s">
        <v>1406</v>
      </c>
      <c r="X9" s="1808"/>
      <c r="Y9" s="1809"/>
      <c r="Z9" s="1387" t="s">
        <v>1407</v>
      </c>
      <c r="AA9" s="1387" t="s">
        <v>1408</v>
      </c>
      <c r="AB9" s="1387" t="s">
        <v>1409</v>
      </c>
      <c r="AC9" s="1387" t="s">
        <v>1410</v>
      </c>
      <c r="AD9" s="1828" t="s">
        <v>202</v>
      </c>
      <c r="AE9" s="1829"/>
      <c r="AF9" s="1830" t="s">
        <v>196</v>
      </c>
      <c r="AG9" s="1831"/>
      <c r="AH9" s="1387" t="s">
        <v>164</v>
      </c>
      <c r="AI9" s="1387" t="s">
        <v>197</v>
      </c>
      <c r="AJ9" s="1387" t="s">
        <v>161</v>
      </c>
      <c r="AK9" s="1387" t="s">
        <v>162</v>
      </c>
      <c r="AL9" s="1388" t="s">
        <v>163</v>
      </c>
      <c r="AM9" s="1388" t="s">
        <v>199</v>
      </c>
      <c r="AN9" s="1388" t="s">
        <v>200</v>
      </c>
      <c r="AO9" s="712" t="s">
        <v>1411</v>
      </c>
      <c r="AP9" s="712" t="s">
        <v>1412</v>
      </c>
      <c r="AQ9" s="712" t="s">
        <v>1413</v>
      </c>
      <c r="AR9" s="712" t="s">
        <v>1414</v>
      </c>
      <c r="AS9" s="712" t="s">
        <v>273</v>
      </c>
      <c r="AT9" s="712" t="s">
        <v>274</v>
      </c>
      <c r="AU9" s="712" t="s">
        <v>1415</v>
      </c>
      <c r="AV9" s="712" t="s">
        <v>1416</v>
      </c>
      <c r="AW9" s="166" t="s">
        <v>164</v>
      </c>
      <c r="AX9" s="1389" t="s">
        <v>197</v>
      </c>
      <c r="AY9" s="170" t="s">
        <v>161</v>
      </c>
      <c r="AZ9" s="170" t="s">
        <v>162</v>
      </c>
      <c r="BA9" s="1390" t="s">
        <v>163</v>
      </c>
      <c r="BB9" s="1742" t="s">
        <v>199</v>
      </c>
      <c r="BC9" s="1390" t="s">
        <v>200</v>
      </c>
      <c r="BD9" s="170" t="s">
        <v>1417</v>
      </c>
      <c r="BE9" s="712" t="s">
        <v>1418</v>
      </c>
      <c r="BF9" s="712" t="s">
        <v>1419</v>
      </c>
      <c r="BG9" s="712" t="s">
        <v>1420</v>
      </c>
      <c r="BH9" s="712" t="s">
        <v>1421</v>
      </c>
      <c r="BI9" s="712" t="s">
        <v>1422</v>
      </c>
      <c r="BJ9" s="712" t="s">
        <v>1423</v>
      </c>
      <c r="BK9" s="712" t="s">
        <v>1424</v>
      </c>
      <c r="BL9" s="712" t="s">
        <v>1425</v>
      </c>
      <c r="BM9" s="712" t="s">
        <v>1426</v>
      </c>
      <c r="BN9" s="712" t="s">
        <v>1427</v>
      </c>
      <c r="BO9" s="712" t="s">
        <v>1428</v>
      </c>
      <c r="BP9" s="712" t="s">
        <v>1429</v>
      </c>
      <c r="BQ9" s="712" t="s">
        <v>1095</v>
      </c>
      <c r="BR9" s="712" t="s">
        <v>1430</v>
      </c>
      <c r="BS9" s="1825" t="s">
        <v>1431</v>
      </c>
      <c r="BT9" s="1826"/>
      <c r="BU9" s="1827"/>
      <c r="BV9" s="1825" t="s">
        <v>1432</v>
      </c>
      <c r="BW9" s="1826"/>
      <c r="BX9" s="1827"/>
      <c r="BY9" s="1825" t="s">
        <v>1433</v>
      </c>
      <c r="BZ9" s="1826"/>
      <c r="CA9" s="1827"/>
      <c r="CB9" s="1825" t="s">
        <v>1434</v>
      </c>
      <c r="CC9" s="1826"/>
      <c r="CD9" s="1825" t="s">
        <v>1435</v>
      </c>
      <c r="CE9" s="1826"/>
      <c r="CF9" s="1825" t="s">
        <v>1436</v>
      </c>
      <c r="CG9" s="1827"/>
      <c r="CH9" s="1391" t="s">
        <v>1437</v>
      </c>
      <c r="CI9" s="1391" t="s">
        <v>218</v>
      </c>
      <c r="CJ9" s="1391" t="s">
        <v>1438</v>
      </c>
      <c r="CK9" s="1391" t="s">
        <v>1439</v>
      </c>
      <c r="CL9" s="1391" t="s">
        <v>1440</v>
      </c>
      <c r="CM9" s="1391" t="s">
        <v>1441</v>
      </c>
      <c r="CN9" s="166" t="s">
        <v>1442</v>
      </c>
      <c r="CO9" s="1391" t="s">
        <v>1443</v>
      </c>
      <c r="CP9" s="1391" t="s">
        <v>218</v>
      </c>
      <c r="CQ9" s="1391" t="s">
        <v>1439</v>
      </c>
      <c r="CR9" s="1391" t="s">
        <v>1440</v>
      </c>
      <c r="CS9" s="1392" t="s">
        <v>1444</v>
      </c>
      <c r="CT9" s="170" t="s">
        <v>74</v>
      </c>
      <c r="CU9" s="170" t="s">
        <v>166</v>
      </c>
    </row>
    <row r="10" spans="2:99" ht="27" thickBot="1">
      <c r="B10" s="1813"/>
      <c r="C10" s="16" t="s">
        <v>1445</v>
      </c>
      <c r="D10" s="14" t="s">
        <v>1446</v>
      </c>
      <c r="E10" s="14" t="s">
        <v>12</v>
      </c>
      <c r="F10" s="15" t="s">
        <v>1445</v>
      </c>
      <c r="G10" s="1393" t="s">
        <v>10</v>
      </c>
      <c r="H10" s="1394" t="s">
        <v>12</v>
      </c>
      <c r="I10" s="17" t="s">
        <v>1445</v>
      </c>
      <c r="J10" s="16" t="s">
        <v>1445</v>
      </c>
      <c r="K10" s="14" t="s">
        <v>1446</v>
      </c>
      <c r="L10" s="16" t="s">
        <v>12</v>
      </c>
      <c r="M10" s="14" t="s">
        <v>1445</v>
      </c>
      <c r="N10" s="14" t="s">
        <v>10</v>
      </c>
      <c r="O10" s="17" t="s">
        <v>12</v>
      </c>
      <c r="P10" s="13" t="s">
        <v>1445</v>
      </c>
      <c r="Q10" s="13" t="s">
        <v>1445</v>
      </c>
      <c r="R10" s="14" t="s">
        <v>1447</v>
      </c>
      <c r="S10" s="17" t="s">
        <v>12</v>
      </c>
      <c r="T10" s="13" t="s">
        <v>1445</v>
      </c>
      <c r="U10" s="14" t="s">
        <v>1447</v>
      </c>
      <c r="V10" s="17" t="s">
        <v>12</v>
      </c>
      <c r="W10" s="13" t="s">
        <v>1448</v>
      </c>
      <c r="X10" s="13" t="s">
        <v>1449</v>
      </c>
      <c r="Y10" s="18" t="s">
        <v>1450</v>
      </c>
      <c r="Z10" s="18" t="s">
        <v>1451</v>
      </c>
      <c r="AA10" s="18" t="s">
        <v>1452</v>
      </c>
      <c r="AB10" s="18" t="s">
        <v>1453</v>
      </c>
      <c r="AC10" s="18" t="s">
        <v>1453</v>
      </c>
      <c r="AD10" s="18" t="s">
        <v>1445</v>
      </c>
      <c r="AE10" s="18" t="s">
        <v>1454</v>
      </c>
      <c r="AF10" s="18" t="s">
        <v>1445</v>
      </c>
      <c r="AG10" s="18" t="s">
        <v>1454</v>
      </c>
      <c r="AH10" s="18" t="s">
        <v>1445</v>
      </c>
      <c r="AI10" s="19" t="s">
        <v>1445</v>
      </c>
      <c r="AJ10" s="19" t="s">
        <v>1445</v>
      </c>
      <c r="AK10" s="19" t="s">
        <v>1445</v>
      </c>
      <c r="AL10" s="19" t="s">
        <v>1445</v>
      </c>
      <c r="AM10" s="18" t="s">
        <v>1445</v>
      </c>
      <c r="AN10" s="18" t="s">
        <v>1445</v>
      </c>
      <c r="AO10" s="19" t="s">
        <v>165</v>
      </c>
      <c r="AP10" s="19" t="s">
        <v>165</v>
      </c>
      <c r="AQ10" s="19" t="s">
        <v>165</v>
      </c>
      <c r="AR10" s="19" t="s">
        <v>165</v>
      </c>
      <c r="AS10" s="18" t="s">
        <v>11</v>
      </c>
      <c r="AT10" s="18" t="s">
        <v>11</v>
      </c>
      <c r="AU10" s="19" t="s">
        <v>165</v>
      </c>
      <c r="AV10" s="19" t="s">
        <v>165</v>
      </c>
      <c r="AW10" s="19" t="s">
        <v>165</v>
      </c>
      <c r="AX10" s="19" t="s">
        <v>165</v>
      </c>
      <c r="AY10" s="19" t="s">
        <v>165</v>
      </c>
      <c r="AZ10" s="19" t="s">
        <v>165</v>
      </c>
      <c r="BA10" s="19" t="s">
        <v>165</v>
      </c>
      <c r="BB10" s="19" t="s">
        <v>165</v>
      </c>
      <c r="BC10" s="19" t="s">
        <v>165</v>
      </c>
      <c r="BD10" s="19" t="s">
        <v>165</v>
      </c>
      <c r="BE10" s="18" t="s">
        <v>1455</v>
      </c>
      <c r="BF10" s="18" t="s">
        <v>1455</v>
      </c>
      <c r="BG10" s="18" t="s">
        <v>1455</v>
      </c>
      <c r="BH10" s="18" t="s">
        <v>11</v>
      </c>
      <c r="BI10" s="19" t="s">
        <v>165</v>
      </c>
      <c r="BJ10" s="18" t="s">
        <v>11</v>
      </c>
      <c r="BK10" s="19" t="s">
        <v>165</v>
      </c>
      <c r="BL10" s="19" t="s">
        <v>11</v>
      </c>
      <c r="BM10" s="19" t="s">
        <v>165</v>
      </c>
      <c r="BN10" s="18" t="s">
        <v>1456</v>
      </c>
      <c r="BO10" s="18" t="s">
        <v>1457</v>
      </c>
      <c r="BP10" s="18" t="s">
        <v>1458</v>
      </c>
      <c r="BQ10" s="18" t="s">
        <v>11</v>
      </c>
      <c r="BR10" s="18" t="s">
        <v>11</v>
      </c>
      <c r="BS10" s="19" t="s">
        <v>11</v>
      </c>
      <c r="BT10" s="19" t="s">
        <v>165</v>
      </c>
      <c r="BU10" s="1382" t="s">
        <v>536</v>
      </c>
      <c r="BV10" s="19" t="s">
        <v>11</v>
      </c>
      <c r="BW10" s="19" t="s">
        <v>165</v>
      </c>
      <c r="BX10" s="1382" t="s">
        <v>536</v>
      </c>
      <c r="BY10" s="19" t="s">
        <v>11</v>
      </c>
      <c r="BZ10" s="19" t="s">
        <v>165</v>
      </c>
      <c r="CA10" s="19" t="s">
        <v>536</v>
      </c>
      <c r="CB10" s="19" t="s">
        <v>11</v>
      </c>
      <c r="CC10" s="19" t="s">
        <v>165</v>
      </c>
      <c r="CD10" s="19" t="s">
        <v>11</v>
      </c>
      <c r="CE10" s="19" t="s">
        <v>165</v>
      </c>
      <c r="CF10" s="18" t="s">
        <v>11</v>
      </c>
      <c r="CG10" s="19" t="s">
        <v>165</v>
      </c>
      <c r="CH10" s="18" t="s">
        <v>11</v>
      </c>
      <c r="CI10" s="18" t="s">
        <v>11</v>
      </c>
      <c r="CJ10" s="18" t="s">
        <v>11</v>
      </c>
      <c r="CK10" s="18" t="s">
        <v>11</v>
      </c>
      <c r="CL10" s="18" t="s">
        <v>11</v>
      </c>
      <c r="CM10" s="19" t="s">
        <v>165</v>
      </c>
      <c r="CN10" s="19" t="s">
        <v>165</v>
      </c>
      <c r="CO10" s="19" t="s">
        <v>165</v>
      </c>
      <c r="CP10" s="19" t="s">
        <v>165</v>
      </c>
      <c r="CQ10" s="19" t="s">
        <v>165</v>
      </c>
      <c r="CR10" s="19" t="s">
        <v>165</v>
      </c>
      <c r="CS10" s="19" t="s">
        <v>1455</v>
      </c>
      <c r="CT10" s="19" t="s">
        <v>581</v>
      </c>
      <c r="CU10" s="19" t="s">
        <v>581</v>
      </c>
    </row>
    <row r="11" spans="2:99">
      <c r="B11" s="1395">
        <v>44927</v>
      </c>
      <c r="C11" s="198">
        <f t="shared" ref="C11:C74" ca="1" si="0">I11-F11</f>
        <v>143.53999999992084</v>
      </c>
      <c r="D11" s="196">
        <f ca="1">'CALCULO DE GAS'!D4</f>
        <v>3.3164106404488516</v>
      </c>
      <c r="E11" s="196">
        <f ca="1">IF(B11&gt;=$J$5,0,(CONTADORES!$AD3-CONTADORES!$AD2)-$H11)</f>
        <v>24</v>
      </c>
      <c r="F11" s="198">
        <f t="shared" ref="F11:F19" ca="1" si="1">IF(H11=0,0,"ERROR")</f>
        <v>0</v>
      </c>
      <c r="G11" s="196">
        <f ca="1">IF(B11&gt;=$J$5,0,CONTADORES!$AF3-CONTADORES!$AF2)</f>
        <v>0</v>
      </c>
      <c r="H11" s="1396">
        <f ca="1">IF(G11&gt;0,CONTADORES!$AE3-CONTADORES!$AE2,0)</f>
        <v>0</v>
      </c>
      <c r="I11" s="199">
        <f ca="1">IF(B11&gt;=$J$5,0,CONTADORES!$AB3-CONTADORES!$AB2)</f>
        <v>143.53999999992084</v>
      </c>
      <c r="J11" s="198">
        <f t="shared" ref="J11:J74" ca="1" si="2">P11-M11</f>
        <v>281.23999999999978</v>
      </c>
      <c r="K11" s="196">
        <f ca="1">'CALCULO DE GAS'!E4</f>
        <v>4.3375567078651684</v>
      </c>
      <c r="L11" s="1396">
        <f ca="1">IF(B11&gt;=$J$5,0,(CONTADORES!$Y3-CONTADORES!$Y2)-$O11)</f>
        <v>24</v>
      </c>
      <c r="M11" s="1396">
        <f t="shared" ref="M11:M45" ca="1" si="3">IF(O11=0,0,"ERROR")</f>
        <v>0</v>
      </c>
      <c r="N11" s="1396">
        <f ca="1">IF(B11&gt;=$J$5,0,CONTADORES!$AA3-CONTADORES!$AA2)</f>
        <v>0</v>
      </c>
      <c r="O11" s="1396">
        <f ca="1">IF(N11&gt;0,CONTADORES!$Z3-CONTADORES!$Z2,0)</f>
        <v>0</v>
      </c>
      <c r="P11" s="202">
        <f ca="1">IF(B11&gt;=$J$5,0,CONTADORES!$W3-CONTADORES!$W2)</f>
        <v>281.23999999999978</v>
      </c>
      <c r="Q11" s="202">
        <f ca="1">IF(B11&gt;=$J$5,0,CONTADORES!$B3-CONTADORES!$B2)</f>
        <v>0</v>
      </c>
      <c r="R11" s="196">
        <f t="shared" ref="R11:R74" ca="1" si="4">$Q11*120</f>
        <v>0</v>
      </c>
      <c r="S11" s="11">
        <f ca="1">IF(B11&gt;=$J$5,0,CONTADORES!$D3-CONTADORES!$D2)</f>
        <v>0</v>
      </c>
      <c r="T11" s="211">
        <f ca="1">IF(B11&gt;=$J$5,0,CONTADORES!$BB3-CONTADORES!$BB2)</f>
        <v>0</v>
      </c>
      <c r="U11" s="204">
        <f t="shared" ref="U11:U42" ca="1" si="5">$T11*120</f>
        <v>0</v>
      </c>
      <c r="V11" s="212">
        <f ca="1">IF(B11&gt;=$J$5,0,CONTADORES!$BD3-CONTADORES!$BD2)</f>
        <v>0</v>
      </c>
      <c r="W11" s="1397">
        <f t="shared" ref="W11:W74" ca="1" si="6">C11+J11</f>
        <v>424.77999999992062</v>
      </c>
      <c r="X11" s="1397">
        <f t="shared" ref="X11:X74" ca="1" si="7">F11+M11+Q11+T11</f>
        <v>0</v>
      </c>
      <c r="Y11" s="1398">
        <f t="shared" ref="Y11:Y74" ca="1" si="8">W11+X11</f>
        <v>424.77999999992062</v>
      </c>
      <c r="Z11" s="1398">
        <f t="shared" ref="Z11:Z74" ca="1" si="9">D11+K11</f>
        <v>7.65396734831402</v>
      </c>
      <c r="AA11" s="1398">
        <f t="shared" ref="AA11:AA74" ca="1" si="10">G11+N11+R11+U11</f>
        <v>0</v>
      </c>
      <c r="AB11" s="1398">
        <f t="shared" ref="AB11:AB74" ca="1" si="11">E11+L11</f>
        <v>48</v>
      </c>
      <c r="AC11" s="1397">
        <f t="shared" ref="AC11:AC74" ca="1" si="12">H11+O11+S11+V11</f>
        <v>0</v>
      </c>
      <c r="AD11" s="1397">
        <f ca="1">IF(B11&gt;=$J$5,0,CONTADORES!H3-CONTADORES!H2)</f>
        <v>157.19999999995343</v>
      </c>
      <c r="AE11" s="1397">
        <f ca="1">IF(B11&gt;=$J$5,0,CONTADORES!J3-CONTADORES!J2)</f>
        <v>24</v>
      </c>
      <c r="AF11" s="1397">
        <f ca="1">IF(B11&gt;=$J$5,0,CONTADORES!AU3-CONTADORES!AU2)</f>
        <v>134.70000000001164</v>
      </c>
      <c r="AG11" s="1397">
        <f ca="1">IF(B11&gt;=$J$5,0,CONTADORES!AW3-CONTADORES!AW2)</f>
        <v>24</v>
      </c>
      <c r="AH11" s="1397">
        <f ca="1">IF(B11&gt;=$J$5,0,(CONTADORES!AM3-CONTADORES!AM2)+(CONTADORES!M3-CONTADORES!M2))</f>
        <v>8.0999999999985448</v>
      </c>
      <c r="AI11" s="1397">
        <f ca="1">IF(B11&gt;=$J$5,0,(CONTADORES!AK3-CONTADORES!AK2)+(CONTADORES!O3-CONTADORES!O2))</f>
        <v>41.92000000000553</v>
      </c>
      <c r="AJ11" s="1397">
        <f ca="1">IF(B11&gt;=$J$5,0,(CONTADORES!AI3-CONTADORES!AI2))</f>
        <v>7.2299999999959255</v>
      </c>
      <c r="AK11" s="1397">
        <f ca="1">IF(B11&gt;=$J$5,0,(CONTADORES!Q3-CONTADORES!Q2))</f>
        <v>14.880000000004657</v>
      </c>
      <c r="AL11" s="1397">
        <f t="shared" ref="AL11:AL74" ca="1" si="13">Y11-(AD11+AF11+AH11+AI11+AJ11+AK11+CJ11+CK11+BS11+BV11+BY11+CF11+CL11)</f>
        <v>31.64999999997417</v>
      </c>
      <c r="AM11" s="1397">
        <f ca="1">IF(B11&gt;=$J$5,0,(((CONTADORES!F3-CONTADORES!F2)+(CONTADORES!AQ3-CONTADORES!AQ2))))-BS11-AF11-AN11-BV11-BY11-CD11-CB11</f>
        <v>10.697999999976988</v>
      </c>
      <c r="AN11" s="1397">
        <f ca="1">IF(B11&gt;=$J$5,0,(CONTADORES!AX3-CONTADORES!AX2)+(CONTADORES!AZ3-CONTADORES!AZ2)+(CONTADORES!BE3-CONTADORES!BE2))-CB11</f>
        <v>3.0980000000000185</v>
      </c>
      <c r="AO11" s="1399">
        <f>CONTADORES!AC3-CONTADORES!AC2</f>
        <v>70.029999999969732</v>
      </c>
      <c r="AP11" s="1399">
        <f>CONTADORES!X3-CONTADORES!X2</f>
        <v>149.65000000000055</v>
      </c>
      <c r="AQ11" s="1404">
        <f ca="1">IF(B11&gt;=$J$5,0,(CONTADORES!C3-CONTADORES!C2))</f>
        <v>0</v>
      </c>
      <c r="AR11" s="1399">
        <f>(CONTADORES!BC3-CONTADORES!BC2)</f>
        <v>0</v>
      </c>
      <c r="AS11" s="1397">
        <f ca="1">IF(B11&gt;=$J$5,0,CONTADORES!S3-CONTADORES!S2)</f>
        <v>17.019999999989523</v>
      </c>
      <c r="AT11" s="1397">
        <f ca="1">IF(B11&gt;=$J$5,0,(CONTADORES!U3-CONTADORES!U2)+(CONTADORES!AG3-CONTADORES!AG2))</f>
        <v>2.0299999999988358</v>
      </c>
      <c r="AU11" s="1397">
        <f>CONTADORES!I3-CONTADORES!I2</f>
        <v>80.700000000011642</v>
      </c>
      <c r="AV11" s="1397">
        <f>CONTADORES!AV3-CONTADORES!AV2</f>
        <v>59</v>
      </c>
      <c r="AW11" s="1397">
        <f ca="1">IF(B11&gt;=$J$5,0,(CONTADORES!N3-CONTADORES!N2)+(CONTADORES!AN3-CONTADORES!AN2))</f>
        <v>3.2000000000007276</v>
      </c>
      <c r="AX11" s="1397">
        <f ca="1">IF(B11&gt;=$J$5,0,(CONTADORES!P3-CONTADORES!P2)+(CONTADORES!AL3-CONTADORES!AL2))</f>
        <v>33.189999999995052</v>
      </c>
      <c r="AY11" s="1397">
        <f ca="1">IF(B11&gt;=$J$5,0,(CONTADORES!AJ3-CONTADORES!AJ2))</f>
        <v>5.7699999999967986</v>
      </c>
      <c r="AZ11" s="1397">
        <f ca="1">IF(B11&gt;=$J$5,0,(CONTADORES!R3-CONTADORES!R2))</f>
        <v>12.789999999993597</v>
      </c>
      <c r="BA11" s="1400">
        <f t="shared" ref="BA11:BA74" ca="1" si="14">BD11-(AU11+AV11+AW11+AX11+AY11+AZ11+BT11+BW11+BZ11+CG11+CO11+CQ11+CR11)</f>
        <v>14.287999999983697</v>
      </c>
      <c r="BB11" s="1401">
        <f ca="1">IF(B11&gt;=$J$5,0,(((CONTADORES!G3-CONTADORES!G2)+(CONTADORES!AR3-CONTADORES!AR2))))-AV11-BC11-BT11-BW11-BZ11-CE11</f>
        <v>3.201999999988832</v>
      </c>
      <c r="BC11" s="1399">
        <f ca="1">IF(B11&gt;=$J$5,0,(CONTADORES!AY3-CONTADORES!AY2)+(CONTADORES!BA3-CONTADORES!BA2)+(CONTADORES!BF3-CONTADORES!BF2))-CC11</f>
        <v>1.8780000000002546</v>
      </c>
      <c r="BD11" s="1397">
        <f t="shared" ref="BD11:BD74" ca="1" si="15">SUM(AO11:AR11)</f>
        <v>219.67999999997028</v>
      </c>
      <c r="BE11" s="1397">
        <f ca="1">IF($B11&gt;=$J$5,0,CONTADORES!$BG3)</f>
        <v>6488</v>
      </c>
      <c r="BF11" s="1397">
        <f ca="1">IF($B11&gt;=$J$5,0,CONTADORES!$BH3)</f>
        <v>20926.280701754298</v>
      </c>
      <c r="BG11" s="1397">
        <f ca="1">IF($B11&gt;=$J$5,0,CONTADORES!$BJ3)</f>
        <v>6132.38</v>
      </c>
      <c r="BH11" s="1397">
        <f ca="1">IF(B11&gt;=$J$5,0,((CONTADORES!BK3-CONTADORES!BK2)/1000))</f>
        <v>1.407</v>
      </c>
      <c r="BI11" s="1397">
        <f ca="1">IF(C11&gt;=$J$5,0,((CONTADORES!BL3-CONTADORES!BL2)/1000))</f>
        <v>1.431</v>
      </c>
      <c r="BJ11" s="1397">
        <f ca="1">IF(C11&gt;=$J$5,0,((CONTADORES!BM3-CONTADORES!BM2)/1000))</f>
        <v>0</v>
      </c>
      <c r="BK11" s="1397">
        <f ca="1">IF(D11&gt;=$J$5,0,((CONTADORES!BN3-CONTADORES!BN2)/1000))</f>
        <v>0</v>
      </c>
      <c r="BL11" s="1399">
        <f t="shared" ref="BL11:BL74" ca="1" si="16">BH11+BJ11</f>
        <v>1.407</v>
      </c>
      <c r="BM11" s="1399">
        <f t="shared" ref="BM11:BM74" ca="1" si="17">BI11+BK11</f>
        <v>1.431</v>
      </c>
      <c r="BN11" s="1397">
        <f ca="1">IF(W11&gt;=$J$5,0,CONTADORES!$BO3)</f>
        <v>139</v>
      </c>
      <c r="BO11" s="1397">
        <f ca="1">IF(W11&gt;=$J$5,0,CONTADORES!$BP3)</f>
        <v>46.017000000000003</v>
      </c>
      <c r="BP11" s="1397">
        <f ca="1">IF(W11&gt;=$J$5,0,CONTADORES!$BQ3)</f>
        <v>656</v>
      </c>
      <c r="BQ11" s="1397">
        <f ca="1">IF(B11&gt;=$J$5,0,(CONTADORES!AS3-CONTADORES!AS2))</f>
        <v>5.8000000000029104</v>
      </c>
      <c r="BR11" s="1397">
        <f ca="1">IF(C11&gt;=$J$5,0,(CONTADORES!AT3-CONTADORES!AT2))</f>
        <v>0</v>
      </c>
      <c r="BS11" s="1397">
        <f ca="1">IF(B11&gt;=$J$5,0,CONTADORES!BR3-CONTADORES!BR2)/1000</f>
        <v>0</v>
      </c>
      <c r="BT11" s="1397">
        <f ca="1">IF(B11&gt;=$J$5,0,CONTADORES!BS3-CONTADORES!BS2)</f>
        <v>0</v>
      </c>
      <c r="BU11" s="1397">
        <f ca="1">IF(B11&gt;=$J$5,0,CONTADORES!BT3-CONTADORES!BT2)</f>
        <v>0</v>
      </c>
      <c r="BV11" s="1397">
        <f ca="1">IF(B11&gt;=$J$5,0,CONTADORES!BU3-CONTADORES!BU2)/1000</f>
        <v>3.738</v>
      </c>
      <c r="BW11" s="1397">
        <f ca="1">IF(B11&gt;=$J$5,0,CONTADORES!BV3-CONTADORES!BV2)/1000</f>
        <v>0.14399999999999999</v>
      </c>
      <c r="BX11" s="1397">
        <f ca="1">IF(B11&gt;=$J$5,0,CONTADORES!BW3-CONTADORES!BW2)</f>
        <v>24</v>
      </c>
      <c r="BY11" s="1397">
        <f ca="1">IF(B11&gt;=$J$5,0,CONTADORES!BX3-CONTADORES!BX2)/1000</f>
        <v>3.1139999999999999</v>
      </c>
      <c r="BZ11" s="1397">
        <f ca="1">IF(B11&gt;=$J$5,0,CONTADORES!BY3-CONTADORES!BY2)/1000</f>
        <v>2.5999999999999999E-2</v>
      </c>
      <c r="CA11" s="1397">
        <f ca="1">IF(B11&gt;=$J$5,0,CONTADORES!BZ3-CONTADORES!BZ2)</f>
        <v>24</v>
      </c>
      <c r="CB11" s="1397">
        <f ca="1">IF(B11&gt;=$J$5,0,(CONTADORES!CC3-CONTADORES!CC2)+(CONTADORES!CE3-CONTADORES!CE2))/1000</f>
        <v>1.3819999999999999</v>
      </c>
      <c r="CC11" s="1397">
        <f ca="1">IF(B11&gt;=$J$5,0,(CONTADORES!CD3-CONTADORES!CD2)+(CONTADORES!CF3-CONTADORES!CF2))/1000</f>
        <v>0.84199999999999997</v>
      </c>
      <c r="CD11" s="1397">
        <f ca="1">IF(B11&gt;=$J$5,0,CONTADORES!CA3-CONTADORES!CA2)</f>
        <v>7.069999999999709</v>
      </c>
      <c r="CE11" s="1397">
        <f ca="1">IF(B11&gt;=$J$5,0,CONTADORES!CB3-CONTADORES!CB2)</f>
        <v>4.6499999999996362</v>
      </c>
      <c r="CF11" s="1397">
        <f t="shared" ref="CF11:CF74" ca="1" si="18">CD11+CH11</f>
        <v>12.418999999988202</v>
      </c>
      <c r="CG11" s="1397">
        <f t="shared" ref="CG11:CG74" ca="1" si="19">CN11+CM11</f>
        <v>6.2509999999940522</v>
      </c>
      <c r="CH11" s="1397">
        <f t="shared" ref="CH11:CH74" ca="1" si="20">(AM11*0.5)</f>
        <v>5.3489999999884938</v>
      </c>
      <c r="CI11" s="1397">
        <f t="shared" ref="CI11:CI74" ca="1" si="21">(AN11*0.4)</f>
        <v>1.2392000000000074</v>
      </c>
      <c r="CJ11" s="1397">
        <f t="shared" ref="CJ11:CJ74" ca="1" si="22">AM11-CH11</f>
        <v>5.3489999999884938</v>
      </c>
      <c r="CK11" s="1397">
        <f t="shared" ref="CK11:CK74" ca="1" si="23">AN11-CI11</f>
        <v>1.8588000000000111</v>
      </c>
      <c r="CL11" s="1397">
        <f t="shared" ref="CL11:CL74" ca="1" si="24">CB11+CI11</f>
        <v>2.6212000000000071</v>
      </c>
      <c r="CM11" s="1397">
        <f t="shared" ref="CM11:CM74" ca="1" si="25">(BB11*0.5)</f>
        <v>1.600999999994416</v>
      </c>
      <c r="CN11" s="1402">
        <f ca="1">IF(B11&gt;=$J$5,0,CONTADORES!CB3-CONTADORES!CB2)</f>
        <v>4.6499999999996362</v>
      </c>
      <c r="CO11" s="1397">
        <f t="shared" ref="CO11:CO74" ca="1" si="26">BB11-CM11</f>
        <v>1.600999999994416</v>
      </c>
      <c r="CP11" s="1397">
        <f t="shared" ref="CP11:CP74" ca="1" si="27">BC11*0.5</f>
        <v>0.93900000000012729</v>
      </c>
      <c r="CQ11" s="1397">
        <f t="shared" ref="CQ11:CQ74" ca="1" si="28">BC11-CP11</f>
        <v>0.93900000000012729</v>
      </c>
      <c r="CR11" s="1397">
        <f t="shared" ref="CR11:CR74" ca="1" si="29">CC11+CP11</f>
        <v>1.7810000000001271</v>
      </c>
      <c r="CS11" s="1403">
        <f ca="1">IF($B11&gt;=$J$5,0,CONTADORES!$BI3)</f>
        <v>3242.204220151817</v>
      </c>
      <c r="CT11" s="1333">
        <f>CONTADORES!E3</f>
        <v>0</v>
      </c>
      <c r="CU11" s="1333">
        <f>CONTADORES!CG3</f>
        <v>0</v>
      </c>
    </row>
    <row r="12" spans="2:99">
      <c r="B12" s="214">
        <v>44928</v>
      </c>
      <c r="C12" s="198">
        <f t="shared" ca="1" si="0"/>
        <v>148.60000000009313</v>
      </c>
      <c r="D12" s="196">
        <f ca="1">'CALCULO DE GAS'!D5</f>
        <v>3.3539342359557471</v>
      </c>
      <c r="E12" s="196">
        <f ca="1">IF(B12&gt;=$J$5,0,(CONTADORES!$AD4-CONTADORES!$AD3)-$H12)</f>
        <v>24</v>
      </c>
      <c r="F12" s="198">
        <f t="shared" ca="1" si="1"/>
        <v>0</v>
      </c>
      <c r="G12" s="196">
        <f ca="1">IF(B12&gt;=$J$5,0,CONTADORES!$AF4-CONTADORES!$AF3)</f>
        <v>0</v>
      </c>
      <c r="H12" s="1396">
        <f ca="1">IF(G12&gt;0,CONTADORES!$AE4-CONTADORES!$AE3,0)</f>
        <v>0</v>
      </c>
      <c r="I12" s="199">
        <f ca="1">IF(B12&gt;=$J$5,0,CONTADORES!$AB4-CONTADORES!$AB3)</f>
        <v>148.60000000009313</v>
      </c>
      <c r="J12" s="198">
        <f t="shared" ca="1" si="2"/>
        <v>294.14999999999964</v>
      </c>
      <c r="K12" s="196">
        <f ca="1">'CALCULO DE GAS'!E5</f>
        <v>4.4332937865168525</v>
      </c>
      <c r="L12" s="1396">
        <f ca="1">IF(B12&gt;=$J$5,0,(CONTADORES!$Y4-CONTADORES!$Y3)-$O12)</f>
        <v>24</v>
      </c>
      <c r="M12" s="1396">
        <f t="shared" ca="1" si="3"/>
        <v>0</v>
      </c>
      <c r="N12" s="1396">
        <f ca="1">IF(B12&gt;=$J$5,0,CONTADORES!$AA4-CONTADORES!$AA3)</f>
        <v>0</v>
      </c>
      <c r="O12" s="1396">
        <f ca="1">IF(N12&gt;0,CONTADORES!$Z4-CONTADORES!$Z3,0)</f>
        <v>0</v>
      </c>
      <c r="P12" s="202">
        <f ca="1">IF(B12&gt;=$J$5,0,CONTADORES!$W4-CONTADORES!$W3)</f>
        <v>294.14999999999964</v>
      </c>
      <c r="Q12" s="202">
        <f ca="1">IF(B12&gt;=$J$5,0,CONTADORES!$B4-CONTADORES!$B3)</f>
        <v>0</v>
      </c>
      <c r="R12" s="196">
        <f t="shared" ca="1" si="4"/>
        <v>0</v>
      </c>
      <c r="S12" s="11">
        <f ca="1">IF(B12&gt;=$J$5,0,CONTADORES!$D4-CONTADORES!$D3)</f>
        <v>0</v>
      </c>
      <c r="T12" s="209">
        <f ca="1">IF(B12&gt;=$J$5,0,CONTADORES!$BB4-CONTADORES!$BB3)</f>
        <v>0</v>
      </c>
      <c r="U12" s="206">
        <f t="shared" ca="1" si="5"/>
        <v>0</v>
      </c>
      <c r="V12" s="208">
        <f ca="1">IF(B12&gt;=$J$5,0,CONTADORES!$BD4-CONTADORES!$BD3)</f>
        <v>0</v>
      </c>
      <c r="W12" s="1397">
        <f t="shared" ca="1" si="6"/>
        <v>442.75000000009277</v>
      </c>
      <c r="X12" s="1397">
        <f t="shared" ca="1" si="7"/>
        <v>0</v>
      </c>
      <c r="Y12" s="1398">
        <f t="shared" ca="1" si="8"/>
        <v>442.75000000009277</v>
      </c>
      <c r="Z12" s="1398">
        <f t="shared" ca="1" si="9"/>
        <v>7.7872280224725996</v>
      </c>
      <c r="AA12" s="1398">
        <f t="shared" ca="1" si="10"/>
        <v>0</v>
      </c>
      <c r="AB12" s="1398">
        <f t="shared" ca="1" si="11"/>
        <v>48</v>
      </c>
      <c r="AC12" s="1397">
        <f t="shared" ca="1" si="12"/>
        <v>0</v>
      </c>
      <c r="AD12" s="1397">
        <f ca="1">IF(B12&gt;=$J$5,0,CONTADORES!H4-CONTADORES!H3)</f>
        <v>162.30000000004657</v>
      </c>
      <c r="AE12" s="1397">
        <f ca="1">IF(B12&gt;=$J$5,0,CONTADORES!J4-CONTADORES!J3)</f>
        <v>24</v>
      </c>
      <c r="AF12" s="1397">
        <f ca="1">IF(B12&gt;=$J$5,0,CONTADORES!AU4-CONTADORES!AU3)</f>
        <v>142.09999999997672</v>
      </c>
      <c r="AG12" s="1397">
        <f ca="1">IF(B12&gt;=$J$5,0,CONTADORES!AW4-CONTADORES!AW3)</f>
        <v>24</v>
      </c>
      <c r="AH12" s="1397">
        <f ca="1">IF(B12&gt;=$J$5,0,(CONTADORES!AM4-CONTADORES!AM3)+(CONTADORES!M4-CONTADORES!M3))</f>
        <v>11.19999999999709</v>
      </c>
      <c r="AI12" s="1397">
        <f ca="1">IF(B12&gt;=$J$5,0,(CONTADORES!AK4-CONTADORES!AK3)+(CONTADORES!O4-CONTADORES!O3))</f>
        <v>43.020000000004075</v>
      </c>
      <c r="AJ12" s="1397">
        <f ca="1">IF(B12&gt;=$J$5,0,(CONTADORES!AI4-CONTADORES!AI3))</f>
        <v>7.3600000000005821</v>
      </c>
      <c r="AK12" s="1397">
        <f ca="1">IF(B12&gt;=$J$5,0,(CONTADORES!Q4-CONTADORES!Q3))</f>
        <v>16.100000000005821</v>
      </c>
      <c r="AL12" s="1397">
        <f t="shared" ca="1" si="13"/>
        <v>33.070000000027051</v>
      </c>
      <c r="AM12" s="1397">
        <f ca="1">IF(B12&gt;=$J$5,0,(((CONTADORES!F4-CONTADORES!F3)+(CONTADORES!AQ4-CONTADORES!AQ3))))-BS12-AF12-AN12-BV12-BY12-CD12-CB12</f>
        <v>7.6860000000346362</v>
      </c>
      <c r="AN12" s="1397">
        <f ca="1">IF(B12&gt;=$J$5,0,(CONTADORES!AX4-CONTADORES!AX3)+(CONTADORES!AZ4-CONTADORES!AZ3)+(CONTADORES!BE4-CONTADORES!BE3))-CB12</f>
        <v>4.6330000000002913</v>
      </c>
      <c r="AO12" s="1399">
        <f ca="1">IF(B12&gt;=$J$5,0,(CONTADORES!AC4-CONTADORES!AC3))</f>
        <v>79</v>
      </c>
      <c r="AP12" s="1399">
        <f ca="1">IF(B12&gt;=$J$5,0,(CONTADORES!X4-CONTADORES!X3))</f>
        <v>148</v>
      </c>
      <c r="AQ12" s="1404">
        <f ca="1">IF(B12&gt;=$J$5,0,(CONTADORES!C4-CONTADORES!C3))</f>
        <v>0</v>
      </c>
      <c r="AR12" s="1404">
        <f ca="1">IF(B12&gt;=$J$5,0,(CONTADORES!BC4-CONTADORES!BC3))</f>
        <v>0</v>
      </c>
      <c r="AS12" s="1397">
        <f ca="1">IF(B12&gt;=$J$5,0,CONTADORES!S4-CONTADORES!S3)</f>
        <v>17.320000000006985</v>
      </c>
      <c r="AT12" s="1397">
        <f ca="1">IF(B12&gt;=$J$5,0,(CONTADORES!U4-CONTADORES!U3)+(CONTADORES!AG4-CONTADORES!AG3))</f>
        <v>2.0800000000017462</v>
      </c>
      <c r="AU12" s="1397">
        <f>CONTADORES!I4-CONTADORES!I3</f>
        <v>83.299999999988358</v>
      </c>
      <c r="AV12" s="1397">
        <f>CONTADORES!AV4-CONTADORES!AV3</f>
        <v>62.200000000011642</v>
      </c>
      <c r="AW12" s="1397">
        <f ca="1">IF(B12&gt;=$J$5,0,(CONTADORES!N4-CONTADORES!N3)+(CONTADORES!AN4-CONTADORES!AN3))</f>
        <v>4.3999999999978172</v>
      </c>
      <c r="AX12" s="1397">
        <f ca="1">IF(B12&gt;=$J$5,0,(CONTADORES!P4-CONTADORES!P3)+(CONTADORES!AL4-CONTADORES!AL3))</f>
        <v>33.540000000000873</v>
      </c>
      <c r="AY12" s="1397">
        <f ca="1">IF(B12&gt;=$J$5,0,(CONTADORES!AJ4-CONTADORES!AJ3))</f>
        <v>5.8400000000037835</v>
      </c>
      <c r="AZ12" s="1397">
        <f ca="1">IF(B12&gt;=$J$5,0,(CONTADORES!R4-CONTADORES!R3))</f>
        <v>13.680000000007567</v>
      </c>
      <c r="BA12" s="1405">
        <f t="shared" ca="1" si="14"/>
        <v>13.596999999996143</v>
      </c>
      <c r="BB12" s="1406">
        <f ca="1">IF(B12&gt;=$J$5,0,(((CONTADORES!G4-CONTADORES!G3)+(CONTADORES!AR4-CONTADORES!AR3))))-AV12-BC12-BT12-BW12-BZ12-CE12</f>
        <v>2.7429999999939616</v>
      </c>
      <c r="BC12" s="1399">
        <f ca="1">IF(B12&gt;=$J$5,0,(CONTADORES!AY4-CONTADORES!AY3)+(CONTADORES!BA4-CONTADORES!BA3)+(CONTADORES!BF4-CONTADORES!BF3))-CC12</f>
        <v>1.9769999999998908</v>
      </c>
      <c r="BD12" s="1397">
        <f t="shared" ca="1" si="15"/>
        <v>227</v>
      </c>
      <c r="BE12" s="1397">
        <f ca="1">IF($B12&gt;=$J$5,0,CONTADORES!$BG4)</f>
        <v>6616.55</v>
      </c>
      <c r="BF12" s="1397">
        <f ca="1">IF($B12&gt;=$J$5,0,CONTADORES!$BH4)</f>
        <v>22869.699999999997</v>
      </c>
      <c r="BG12" s="1397">
        <f ca="1">IF($B12&gt;=$J$5,0,CONTADORES!$BJ4)</f>
        <v>6207.62</v>
      </c>
      <c r="BH12" s="1397">
        <f ca="1">IF(B12&gt;=$J$5,0,((CONTADORES!BK4-CONTADORES!BK3)/1000))</f>
        <v>1.4730000000000001</v>
      </c>
      <c r="BI12" s="1397">
        <f ca="1">IF(C12&gt;=$J$5,0,((CONTADORES!BL4-CONTADORES!BL3)/1000))</f>
        <v>1.466</v>
      </c>
      <c r="BJ12" s="1397">
        <f ca="1">IF(C12&gt;=$J$5,0,((CONTADORES!BM4-CONTADORES!BM3)/1000))</f>
        <v>0</v>
      </c>
      <c r="BK12" s="1397">
        <f ca="1">IF(D12&gt;=$J$5,0,((CONTADORES!BN4-CONTADORES!BN3)/1000))</f>
        <v>0</v>
      </c>
      <c r="BL12" s="1399">
        <f t="shared" ca="1" si="16"/>
        <v>1.4730000000000001</v>
      </c>
      <c r="BM12" s="1399">
        <f t="shared" ca="1" si="17"/>
        <v>1.466</v>
      </c>
      <c r="BN12" s="1397">
        <f ca="1">IF(W12&gt;=$J$5,0,CONTADORES!$BO4)</f>
        <v>140</v>
      </c>
      <c r="BO12" s="1397">
        <f ca="1">IF(W12&gt;=$J$5,0,CONTADORES!$BP4)</f>
        <v>46.487000000000002</v>
      </c>
      <c r="BP12" s="1397">
        <f ca="1">IF(W12&gt;=$J$5,0,CONTADORES!$BQ4)</f>
        <v>660</v>
      </c>
      <c r="BQ12" s="1397">
        <f ca="1">IF(B12&gt;=$J$5,0,(CONTADORES!AS4-CONTADORES!AS3))</f>
        <v>5</v>
      </c>
      <c r="BR12" s="1397">
        <f ca="1">IF(C12&gt;=$J$5,0,(CONTADORES!AT4-CONTADORES!AT3))</f>
        <v>0</v>
      </c>
      <c r="BS12" s="1397">
        <f ca="1">IF(B12&gt;=$J$5,0,CONTADORES!BR4-CONTADORES!BR3)/1000</f>
        <v>0</v>
      </c>
      <c r="BT12" s="1397">
        <f ca="1">IF(B12&gt;=$J$5,0,CONTADORES!BS4-CONTADORES!BS3)</f>
        <v>0</v>
      </c>
      <c r="BU12" s="1397">
        <f ca="1">IF(B12&gt;=$J$5,0,CONTADORES!BT4-CONTADORES!BT3)</f>
        <v>0</v>
      </c>
      <c r="BV12" s="1397">
        <f ca="1">IF(B12&gt;=$J$5,0,CONTADORES!BU4-CONTADORES!BU3)/1000</f>
        <v>4.0359999999999996</v>
      </c>
      <c r="BW12" s="1397">
        <f ca="1">IF(B12&gt;=$J$5,0,CONTADORES!BV4-CONTADORES!BV3)/1000</f>
        <v>0.26200000000000001</v>
      </c>
      <c r="BX12" s="1397">
        <f ca="1">IF(B12&gt;=$J$5,0,CONTADORES!BW4-CONTADORES!BW3)</f>
        <v>23.729999999999563</v>
      </c>
      <c r="BY12" s="1397">
        <f ca="1">IF(B12&gt;=$J$5,0,CONTADORES!BX4-CONTADORES!BX3)/1000</f>
        <v>2.948</v>
      </c>
      <c r="BZ12" s="1397">
        <f ca="1">IF(B12&gt;=$J$5,0,CONTADORES!BY4-CONTADORES!BY3)/1000</f>
        <v>2.8000000000000001E-2</v>
      </c>
      <c r="CA12" s="1397">
        <f ca="1">IF(B12&gt;=$J$5,0,CONTADORES!BZ4-CONTADORES!BZ3)</f>
        <v>21.199999999998909</v>
      </c>
      <c r="CB12" s="1397">
        <f ca="1">IF(B12&gt;=$J$5,0,(CONTADORES!CC4-CONTADORES!CC3)+(CONTADORES!CE4-CONTADORES!CE3))/1000</f>
        <v>1.0469999999999999</v>
      </c>
      <c r="CC12" s="1397">
        <f ca="1">IF(B12&gt;=$J$5,0,(CONTADORES!CD4-CONTADORES!CD3)+(CONTADORES!CF4-CONTADORES!CF3))/1000</f>
        <v>0.64300000000000002</v>
      </c>
      <c r="CD12" s="1397">
        <f ca="1">IF(B12&gt;=$J$5,0,CONTADORES!CA4-CONTADORES!CA3)</f>
        <v>7.25</v>
      </c>
      <c r="CE12" s="1397">
        <f ca="1">IF(B12&gt;=$J$5,0,CONTADORES!CB4-CONTADORES!CB3)</f>
        <v>4.7899999999999636</v>
      </c>
      <c r="CF12" s="1397">
        <f t="shared" ca="1" si="18"/>
        <v>11.093000000017318</v>
      </c>
      <c r="CG12" s="1397">
        <f t="shared" ca="1" si="19"/>
        <v>6.1614999999969449</v>
      </c>
      <c r="CH12" s="1397">
        <f t="shared" ca="1" si="20"/>
        <v>3.8430000000173181</v>
      </c>
      <c r="CI12" s="1397">
        <f t="shared" ca="1" si="21"/>
        <v>1.8532000000001165</v>
      </c>
      <c r="CJ12" s="1397">
        <f t="shared" ca="1" si="22"/>
        <v>3.8430000000173181</v>
      </c>
      <c r="CK12" s="1397">
        <f t="shared" ca="1" si="23"/>
        <v>2.7798000000001748</v>
      </c>
      <c r="CL12" s="1397">
        <f t="shared" ca="1" si="24"/>
        <v>2.9002000000001162</v>
      </c>
      <c r="CM12" s="1397">
        <f t="shared" ca="1" si="25"/>
        <v>1.3714999999969808</v>
      </c>
      <c r="CN12" s="1397">
        <f ca="1">IF(B12&gt;=$J$5,0,CONTADORES!CB4-CONTADORES!CB3)</f>
        <v>4.7899999999999636</v>
      </c>
      <c r="CO12" s="1397">
        <f t="shared" ca="1" si="26"/>
        <v>1.3714999999969808</v>
      </c>
      <c r="CP12" s="1397">
        <f t="shared" ca="1" si="27"/>
        <v>0.98849999999994542</v>
      </c>
      <c r="CQ12" s="1397">
        <f t="shared" ca="1" si="28"/>
        <v>0.98849999999994542</v>
      </c>
      <c r="CR12" s="1397">
        <f t="shared" ca="1" si="29"/>
        <v>1.6314999999999453</v>
      </c>
      <c r="CS12" s="1403">
        <f ca="1">IF($B12&gt;=$J$5,0,CONTADORES!$BI4)</f>
        <v>7986.8652899315266</v>
      </c>
      <c r="CT12" s="1334">
        <f>CONTADORES!E4</f>
        <v>0</v>
      </c>
      <c r="CU12" s="1334">
        <f>CONTADORES!CG4</f>
        <v>0</v>
      </c>
    </row>
    <row r="13" spans="2:99">
      <c r="B13" s="214">
        <v>44929</v>
      </c>
      <c r="C13" s="198">
        <f t="shared" ca="1" si="0"/>
        <v>148.29999999993015</v>
      </c>
      <c r="D13" s="196">
        <f ca="1">'CALCULO DE GAS'!D6</f>
        <v>3.3517095168534152</v>
      </c>
      <c r="E13" s="196">
        <f ca="1">IF(B13&gt;=$J$5,0,(CONTADORES!$AD5-CONTADORES!$AD4)-$H13)</f>
        <v>24</v>
      </c>
      <c r="F13" s="198">
        <f t="shared" ca="1" si="1"/>
        <v>0</v>
      </c>
      <c r="G13" s="196">
        <f ca="1">IF(B13&gt;=$J$5,0,CONTADORES!$AF5-CONTADORES!$AF4)</f>
        <v>0</v>
      </c>
      <c r="H13" s="1396">
        <f ca="1">IF(G13&gt;0,CONTADORES!$AE5-CONTADORES!$AE4,0)</f>
        <v>0</v>
      </c>
      <c r="I13" s="199">
        <f ca="1">IF(B13&gt;=$J$5,0,CONTADORES!$AB5-CONTADORES!$AB4)</f>
        <v>148.29999999993015</v>
      </c>
      <c r="J13" s="198">
        <f t="shared" ca="1" si="2"/>
        <v>298.82999999999993</v>
      </c>
      <c r="K13" s="196">
        <f ca="1">'CALCULO DE GAS'!E6</f>
        <v>4.4679994044943827</v>
      </c>
      <c r="L13" s="1396">
        <f ca="1">IF(B13&gt;=$J$5,0,(CONTADORES!$Y5-CONTADORES!$Y4)-$O13)</f>
        <v>24</v>
      </c>
      <c r="M13" s="1396">
        <f t="shared" ca="1" si="3"/>
        <v>0</v>
      </c>
      <c r="N13" s="1396">
        <f ca="1">IF(B13&gt;=$J$5,0,CONTADORES!$AA5-CONTADORES!$AA4)</f>
        <v>0</v>
      </c>
      <c r="O13" s="1396">
        <f ca="1">IF(N13&gt;0,CONTADORES!$Z5-CONTADORES!$Z4,0)</f>
        <v>0</v>
      </c>
      <c r="P13" s="202">
        <f ca="1">IF(B13&gt;=$J$5,0,CONTADORES!$W5-CONTADORES!$W4)</f>
        <v>298.82999999999993</v>
      </c>
      <c r="Q13" s="202">
        <f ca="1">IF(B13&gt;=$J$5,0,CONTADORES!$B5-CONTADORES!$B4)</f>
        <v>0.21199999999998909</v>
      </c>
      <c r="R13" s="196">
        <f t="shared" ca="1" si="4"/>
        <v>25.43999999999869</v>
      </c>
      <c r="S13" s="11">
        <f ca="1">IF(B13&gt;=$J$5,0,CONTADORES!$D5-CONTADORES!$D4)</f>
        <v>0.3000000000001819</v>
      </c>
      <c r="T13" s="209">
        <f ca="1">IF(B13&gt;=$J$5,0,CONTADORES!$BB5-CONTADORES!$BB4)</f>
        <v>0.2239999999999327</v>
      </c>
      <c r="U13" s="196">
        <f t="shared" ca="1" si="5"/>
        <v>26.879999999991924</v>
      </c>
      <c r="V13" s="199">
        <f ca="1">IF(B13&gt;=$J$5,0,CONTADORES!$BD5-CONTADORES!$BD4)</f>
        <v>0.23000000000001819</v>
      </c>
      <c r="W13" s="1397">
        <f t="shared" ca="1" si="6"/>
        <v>447.12999999993008</v>
      </c>
      <c r="X13" s="1397">
        <f t="shared" ca="1" si="7"/>
        <v>0.43599999999992178</v>
      </c>
      <c r="Y13" s="1407">
        <f t="shared" ca="1" si="8"/>
        <v>447.56599999993</v>
      </c>
      <c r="Z13" s="1398">
        <f t="shared" ca="1" si="9"/>
        <v>7.8197089213477984</v>
      </c>
      <c r="AA13" s="1398">
        <f t="shared" ca="1" si="10"/>
        <v>52.319999999990614</v>
      </c>
      <c r="AB13" s="1398">
        <f t="shared" ca="1" si="11"/>
        <v>48</v>
      </c>
      <c r="AC13" s="1397">
        <f t="shared" ca="1" si="12"/>
        <v>0.53000000000020009</v>
      </c>
      <c r="AD13" s="1402">
        <f ca="1">IF(B13&gt;=$J$5,0,CONTADORES!H5-CONTADORES!H4)</f>
        <v>162</v>
      </c>
      <c r="AE13" s="1397">
        <f ca="1">IF(B13&gt;=$J$5,0,CONTADORES!J5-CONTADORES!J4)</f>
        <v>24</v>
      </c>
      <c r="AF13" s="1397">
        <f ca="1">IF(B13&gt;=$J$5,0,CONTADORES!AU5-CONTADORES!AU4)</f>
        <v>148.90000000002328</v>
      </c>
      <c r="AG13" s="1397">
        <f ca="1">IF(B13&gt;=$J$5,0,CONTADORES!AW5-CONTADORES!AW4)</f>
        <v>24</v>
      </c>
      <c r="AH13" s="1402">
        <f ca="1">IF(B13&gt;=$J$5,0,(CONTADORES!AM5-CONTADORES!AM4)+(CONTADORES!M5-CONTADORES!M4))</f>
        <v>8.7000000000043656</v>
      </c>
      <c r="AI13" s="1402">
        <f ca="1">IF(B13&gt;=$J$5,0,(CONTADORES!AK5-CONTADORES!AK4)+(CONTADORES!O5-CONTADORES!O4))</f>
        <v>43.669999999998254</v>
      </c>
      <c r="AJ13" s="1402">
        <f ca="1">IF(B13&gt;=$J$5,0,(CONTADORES!AI5-CONTADORES!AI4))</f>
        <v>6.680000000007567</v>
      </c>
      <c r="AK13" s="1402">
        <f ca="1">IF(B13&gt;=$J$5,0,(CONTADORES!Q5-CONTADORES!Q4))</f>
        <v>15.649999999994179</v>
      </c>
      <c r="AL13" s="1402">
        <f t="shared" ca="1" si="13"/>
        <v>33.465999999889561</v>
      </c>
      <c r="AM13" s="1397">
        <f ca="1">IF(B13&gt;=$J$5,0,(((CONTADORES!F5-CONTADORES!F4)+(CONTADORES!AQ5-CONTADORES!AQ4))))-BS13-AF13-AN13-BV13-BY13-CD13-CB13</f>
        <v>8.1400000000128117</v>
      </c>
      <c r="AN13" s="1397">
        <f ca="1">IF(B13&gt;=$J$5,0,(CONTADORES!AX5-CONTADORES!AX4)+(CONTADORES!AZ5-CONTADORES!AZ4)+(CONTADORES!BE5-CONTADORES!BE4))-CB13</f>
        <v>3.9779999999996294</v>
      </c>
      <c r="AO13" s="1399">
        <f ca="1">IF(B13&gt;=$J$5,0,(CONTADORES!AC5-CONTADORES!AC4))</f>
        <v>79.600000000034925</v>
      </c>
      <c r="AP13" s="1399">
        <f ca="1">IF(B13&gt;=$J$5,0,(CONTADORES!X5-CONTADORES!X4))</f>
        <v>148.71000000000004</v>
      </c>
      <c r="AQ13" s="1404">
        <f ca="1">IF(B13&gt;=$J$5,0,(CONTADORES!C5-CONTADORES!C4))</f>
        <v>0.10500000000001819</v>
      </c>
      <c r="AR13" s="1404">
        <f ca="1">IF(B13&gt;=$J$5,0,(CONTADORES!BC5-CONTADORES!BC4))</f>
        <v>7.6999999999998181E-2</v>
      </c>
      <c r="AS13" s="1397">
        <f ca="1">IF(B13&gt;=$J$5,0,CONTADORES!S5-CONTADORES!S4)</f>
        <v>17.029999999998836</v>
      </c>
      <c r="AT13" s="1397">
        <f ca="1">IF(B13&gt;=$J$5,0,(CONTADORES!U5-CONTADORES!U4)+(CONTADORES!AG5-CONTADORES!AG4))</f>
        <v>2.1100000000005821</v>
      </c>
      <c r="AU13" s="1397">
        <f>CONTADORES!I5-CONTADORES!I4</f>
        <v>83</v>
      </c>
      <c r="AV13" s="1397">
        <f>CONTADORES!AV5-CONTADORES!AV4</f>
        <v>64.5</v>
      </c>
      <c r="AW13" s="1397">
        <f ca="1">IF(B13&gt;=$J$5,0,(CONTADORES!N5-CONTADORES!N4)+(CONTADORES!AN5-CONTADORES!AN4))</f>
        <v>3.2999999999992724</v>
      </c>
      <c r="AX13" s="1397">
        <f ca="1">IF(B13&gt;=$J$5,0,(CONTADORES!P5-CONTADORES!P4)+(CONTADORES!AL5-CONTADORES!AL4))</f>
        <v>34.160000000003492</v>
      </c>
      <c r="AY13" s="1397">
        <f ca="1">IF(B13&gt;=$J$5,0,(CONTADORES!AJ5-CONTADORES!AJ4))</f>
        <v>5.3099999999976717</v>
      </c>
      <c r="AZ13" s="1397">
        <f ca="1">IF(B13&gt;=$J$5,0,(CONTADORES!R5-CONTADORES!R4))</f>
        <v>13.5</v>
      </c>
      <c r="BA13" s="1405">
        <f t="shared" ca="1" si="14"/>
        <v>12.98600000003438</v>
      </c>
      <c r="BB13" s="1406">
        <f ca="1">IF(B13&gt;=$J$5,0,(((CONTADORES!G5-CONTADORES!G4)+(CONTADORES!AR5-CONTADORES!AR4))))-AV13-BC13-BT13-BW13-BZ13-CE13</f>
        <v>3.992999999999908</v>
      </c>
      <c r="BC13" s="1399">
        <f ca="1">IF(B13&gt;=$J$5,0,(CONTADORES!AY5-CONTADORES!AY4)+(CONTADORES!BA5-CONTADORES!BA4)+(CONTADORES!BF5-CONTADORES!BF4))-CC13</f>
        <v>1.5639999999998011</v>
      </c>
      <c r="BD13" s="1397">
        <f t="shared" ca="1" si="15"/>
        <v>228.49200000003498</v>
      </c>
      <c r="BE13" s="1397">
        <f ca="1">IF($B13&gt;=$J$5,0,CONTADORES!$BG5)</f>
        <v>6501.32</v>
      </c>
      <c r="BF13" s="1397">
        <f ca="1">IF($B13&gt;=$J$5,0,CONTADORES!$BH5)</f>
        <v>26209.403508771924</v>
      </c>
      <c r="BG13" s="1397">
        <f ca="1">IF($B13&gt;=$J$5,0,CONTADORES!$BJ5)</f>
        <v>6197.77</v>
      </c>
      <c r="BH13" s="1397">
        <f ca="1">IF(B13&gt;=$J$5,0,((CONTADORES!BK5-CONTADORES!BK4)/1000))</f>
        <v>1.44</v>
      </c>
      <c r="BI13" s="1397">
        <f ca="1">IF(C13&gt;=$J$5,0,((CONTADORES!BL5-CONTADORES!BL4)/1000))</f>
        <v>1.423</v>
      </c>
      <c r="BJ13" s="1397">
        <f ca="1">IF(C13&gt;=$J$5,0,((CONTADORES!BM5-CONTADORES!BM4)/1000))</f>
        <v>0</v>
      </c>
      <c r="BK13" s="1397">
        <f ca="1">IF(D13&gt;=$J$5,0,((CONTADORES!BN5-CONTADORES!BN4)/1000))</f>
        <v>0</v>
      </c>
      <c r="BL13" s="1399">
        <f t="shared" ca="1" si="16"/>
        <v>1.44</v>
      </c>
      <c r="BM13" s="1399">
        <f t="shared" ca="1" si="17"/>
        <v>1.423</v>
      </c>
      <c r="BN13" s="1397">
        <f ca="1">IF(W13&gt;=$J$5,0,CONTADORES!$BO5)</f>
        <v>141</v>
      </c>
      <c r="BO13" s="1397">
        <f ca="1">IF(W13&gt;=$J$5,0,CONTADORES!$BP5)</f>
        <v>46.165999999999997</v>
      </c>
      <c r="BP13" s="1397">
        <f ca="1">IF(W13&gt;=$J$5,0,CONTADORES!$BQ5)</f>
        <v>662</v>
      </c>
      <c r="BQ13" s="1397">
        <f ca="1">IF(B13&gt;=$J$5,0,(CONTADORES!AS5-CONTADORES!AS4))</f>
        <v>5</v>
      </c>
      <c r="BR13" s="1397">
        <f ca="1">IF(C13&gt;=$J$5,0,(CONTADORES!AT5-CONTADORES!AT4))</f>
        <v>0</v>
      </c>
      <c r="BS13" s="1397">
        <f ca="1">IF(B13&gt;=$J$5,0,CONTADORES!BR5-CONTADORES!BR4)/1000</f>
        <v>0</v>
      </c>
      <c r="BT13" s="1397">
        <f ca="1">IF(B13&gt;=$J$5,0,CONTADORES!BS5-CONTADORES!BS4)</f>
        <v>0</v>
      </c>
      <c r="BU13" s="1397">
        <f ca="1">IF(B13&gt;=$J$5,0,CONTADORES!BT5-CONTADORES!BT4)</f>
        <v>0</v>
      </c>
      <c r="BV13" s="1397">
        <f ca="1">IF(B13&gt;=$J$5,0,CONTADORES!BU5-CONTADORES!BU4)/1000</f>
        <v>4.218</v>
      </c>
      <c r="BW13" s="1397">
        <f ca="1">IF(B13&gt;=$J$5,0,CONTADORES!BV5-CONTADORES!BV4)/1000</f>
        <v>0.44</v>
      </c>
      <c r="BX13" s="1397">
        <f ca="1">IF(B13&gt;=$J$5,0,CONTADORES!BW5-CONTADORES!BW4)</f>
        <v>24.029999999998836</v>
      </c>
      <c r="BY13" s="1397">
        <f ca="1">IF(B13&gt;=$J$5,0,CONTADORES!BX5-CONTADORES!BX4)/1000</f>
        <v>3.492</v>
      </c>
      <c r="BZ13" s="1397">
        <f ca="1">IF(B13&gt;=$J$5,0,CONTADORES!BY5-CONTADORES!BY4)/1000</f>
        <v>7.2999999999999995E-2</v>
      </c>
      <c r="CA13" s="1397">
        <f ca="1">IF(B13&gt;=$J$5,0,CONTADORES!BZ5-CONTADORES!BZ4)</f>
        <v>24</v>
      </c>
      <c r="CB13" s="1397">
        <f ca="1">IF(B13&gt;=$J$5,0,(CONTADORES!CC5-CONTADORES!CC4)+(CONTADORES!CE5-CONTADORES!CE4))/1000</f>
        <v>1.492</v>
      </c>
      <c r="CC13" s="1397">
        <f ca="1">IF(B13&gt;=$J$5,0,(CONTADORES!CD5-CONTADORES!CD4)+(CONTADORES!CF5-CONTADORES!CF4))/1000</f>
        <v>0.93600000000000005</v>
      </c>
      <c r="CD13" s="1397">
        <f ca="1">IF(B13&gt;=$J$5,0,CONTADORES!CA5-CONTADORES!CA4)</f>
        <v>7.180000000000291</v>
      </c>
      <c r="CE13" s="1397">
        <f ca="1">IF(B13&gt;=$J$5,0,CONTADORES!CB5-CONTADORES!CB4)</f>
        <v>4.7300000000004729</v>
      </c>
      <c r="CF13" s="1397">
        <f t="shared" ca="1" si="18"/>
        <v>11.250000000006697</v>
      </c>
      <c r="CG13" s="1397">
        <f t="shared" ca="1" si="19"/>
        <v>6.7265000000004269</v>
      </c>
      <c r="CH13" s="1397">
        <f t="shared" ca="1" si="20"/>
        <v>4.0700000000064058</v>
      </c>
      <c r="CI13" s="1397">
        <f t="shared" ca="1" si="21"/>
        <v>1.5911999999998518</v>
      </c>
      <c r="CJ13" s="1397">
        <f t="shared" ca="1" si="22"/>
        <v>4.0700000000064058</v>
      </c>
      <c r="CK13" s="1397">
        <f t="shared" ca="1" si="23"/>
        <v>2.3867999999997775</v>
      </c>
      <c r="CL13" s="1397">
        <f t="shared" ca="1" si="24"/>
        <v>3.0831999999998518</v>
      </c>
      <c r="CM13" s="1397">
        <f t="shared" ca="1" si="25"/>
        <v>1.996499999999954</v>
      </c>
      <c r="CN13" s="1397">
        <f ca="1">IF(B13&gt;=$J$5,0,CONTADORES!CB5-CONTADORES!CB4)</f>
        <v>4.7300000000004729</v>
      </c>
      <c r="CO13" s="1397">
        <f t="shared" ca="1" si="26"/>
        <v>1.996499999999954</v>
      </c>
      <c r="CP13" s="1402">
        <f t="shared" ca="1" si="27"/>
        <v>0.78199999999990055</v>
      </c>
      <c r="CQ13" s="1402">
        <f t="shared" ca="1" si="28"/>
        <v>0.78199999999990055</v>
      </c>
      <c r="CR13" s="1402">
        <f t="shared" ca="1" si="29"/>
        <v>1.7179999999999005</v>
      </c>
      <c r="CS13" s="1403">
        <f ca="1">IF($B13&gt;=$J$5,0,CONTADORES!$BI5)</f>
        <v>12469.710258117209</v>
      </c>
      <c r="CT13" s="1334">
        <f>CONTADORES!E5</f>
        <v>1</v>
      </c>
      <c r="CU13" s="1334">
        <f>CONTADORES!CG5</f>
        <v>1</v>
      </c>
    </row>
    <row r="14" spans="2:99">
      <c r="B14" s="214">
        <v>44930</v>
      </c>
      <c r="C14" s="198">
        <f t="shared" ca="1" si="0"/>
        <v>147.90000000002328</v>
      </c>
      <c r="D14" s="196">
        <f ca="1">'CALCULO DE GAS'!D7</f>
        <v>3.3487432247192741</v>
      </c>
      <c r="E14" s="196">
        <f ca="1">IF(B14&gt;=$J$5,0,(CONTADORES!$AD6-CONTADORES!$AD5)-$H14)</f>
        <v>24</v>
      </c>
      <c r="F14" s="198">
        <f t="shared" ca="1" si="1"/>
        <v>0</v>
      </c>
      <c r="G14" s="196">
        <f ca="1">IF(B14&gt;=$J$5,0,CONTADORES!$AF6-CONTADORES!$AF5)</f>
        <v>0</v>
      </c>
      <c r="H14" s="1396">
        <f ca="1">IF(G14&gt;0,CONTADORES!$AE6-CONTADORES!$AE5,0)</f>
        <v>0</v>
      </c>
      <c r="I14" s="199">
        <f ca="1">IF(B14&gt;=$J$5,0,CONTADORES!$AB6-CONTADORES!$AB5)</f>
        <v>147.90000000002328</v>
      </c>
      <c r="J14" s="198">
        <f t="shared" ca="1" si="2"/>
        <v>300.38000000000102</v>
      </c>
      <c r="K14" s="196">
        <f ca="1">'CALCULO DE GAS'!E7</f>
        <v>4.4794937865168638</v>
      </c>
      <c r="L14" s="1396">
        <f ca="1">IF(B14&gt;=$J$5,0,(CONTADORES!$Y6-CONTADORES!$Y5)-$O14)</f>
        <v>24</v>
      </c>
      <c r="M14" s="1396">
        <f t="shared" ca="1" si="3"/>
        <v>0</v>
      </c>
      <c r="N14" s="1396">
        <f ca="1">IF(B14&gt;=$J$5,0,CONTADORES!$AA6-CONTADORES!$AA5)</f>
        <v>0</v>
      </c>
      <c r="O14" s="1396">
        <f ca="1">IF(N14&gt;0,CONTADORES!$Z6-CONTADORES!$Z5,0)</f>
        <v>0</v>
      </c>
      <c r="P14" s="202">
        <f ca="1">IF(B14&gt;=$J$5,0,CONTADORES!$W6-CONTADORES!$W5)</f>
        <v>300.38000000000102</v>
      </c>
      <c r="Q14" s="202">
        <f ca="1">IF(B14&gt;=$J$5,0,CONTADORES!$B6-CONTADORES!$B5)</f>
        <v>0</v>
      </c>
      <c r="R14" s="196">
        <f t="shared" ca="1" si="4"/>
        <v>0</v>
      </c>
      <c r="S14" s="11">
        <f ca="1">IF(B14&gt;=$J$5,0,CONTADORES!$D6-CONTADORES!$D5)</f>
        <v>0</v>
      </c>
      <c r="T14" s="209">
        <f ca="1">IF(B14&gt;=$J$5,0,CONTADORES!$BB6-CONTADORES!$BB5)</f>
        <v>0</v>
      </c>
      <c r="U14" s="196">
        <f t="shared" ca="1" si="5"/>
        <v>0</v>
      </c>
      <c r="V14" s="199">
        <f ca="1">IF(B14&gt;=$J$5,0,CONTADORES!$BD6-CONTADORES!$BD5)</f>
        <v>0</v>
      </c>
      <c r="W14" s="1397">
        <f t="shared" ca="1" si="6"/>
        <v>448.2800000000243</v>
      </c>
      <c r="X14" s="1397">
        <f t="shared" ca="1" si="7"/>
        <v>0</v>
      </c>
      <c r="Y14" s="1398">
        <f t="shared" ca="1" si="8"/>
        <v>448.2800000000243</v>
      </c>
      <c r="Z14" s="1398">
        <f t="shared" ca="1" si="9"/>
        <v>7.8282370112361379</v>
      </c>
      <c r="AA14" s="1398">
        <f t="shared" ca="1" si="10"/>
        <v>0</v>
      </c>
      <c r="AB14" s="1398">
        <f t="shared" ca="1" si="11"/>
        <v>48</v>
      </c>
      <c r="AC14" s="1397">
        <f t="shared" ca="1" si="12"/>
        <v>0</v>
      </c>
      <c r="AD14" s="1397">
        <f ca="1">IF(B14&gt;=$J$5,0,CONTADORES!H6-CONTADORES!H5)</f>
        <v>162</v>
      </c>
      <c r="AE14" s="1397">
        <f ca="1">IF(B14&gt;=$J$5,0,CONTADORES!J6-CONTADORES!J5)</f>
        <v>24</v>
      </c>
      <c r="AF14" s="1397">
        <f ca="1">IF(B14&gt;=$J$5,0,CONTADORES!AU6-CONTADORES!AU5)</f>
        <v>142.59999999997672</v>
      </c>
      <c r="AG14" s="1397">
        <f ca="1">IF(B14&gt;=$J$5,0,CONTADORES!AW6-CONTADORES!AW5)</f>
        <v>24</v>
      </c>
      <c r="AH14" s="1397">
        <f ca="1">IF(B14&gt;=$J$5,0,(CONTADORES!AM6-CONTADORES!AM5)+(CONTADORES!M6-CONTADORES!M5))</f>
        <v>13.19999999999709</v>
      </c>
      <c r="AI14" s="1397">
        <f ca="1">IF(B14&gt;=$J$5,0,(CONTADORES!AK6-CONTADORES!AK5)+(CONTADORES!O6-CONTADORES!O5))</f>
        <v>45.089999999996508</v>
      </c>
      <c r="AJ14" s="1397">
        <f ca="1">IF(B14&gt;=$J$5,0,(CONTADORES!AI6-CONTADORES!AI5))</f>
        <v>8.9099999999889405</v>
      </c>
      <c r="AK14" s="1397">
        <f ca="1">IF(B14&gt;=$J$5,0,(CONTADORES!Q6-CONTADORES!Q5))</f>
        <v>16.309999999997672</v>
      </c>
      <c r="AL14" s="1402">
        <f t="shared" ca="1" si="13"/>
        <v>33.270000000080472</v>
      </c>
      <c r="AM14" s="1397">
        <f ca="1">IF(B14&gt;=$J$5,0,(((CONTADORES!F6-CONTADORES!F5)+(CONTADORES!AQ6-CONTADORES!AQ5))))-BS14-AF14-AN14-BV14-BY14-CD14-CB14</f>
        <v>7.3659999999864674</v>
      </c>
      <c r="AN14" s="1397">
        <f ca="1">IF(B14&gt;=$J$5,0,(CONTADORES!AX6-CONTADORES!AX5)+(CONTADORES!AZ6-CONTADORES!AZ5)+(CONTADORES!BE6-CONTADORES!BE5))-CB14</f>
        <v>3.889000000000582</v>
      </c>
      <c r="AO14" s="1399">
        <f ca="1">IF(B14&gt;=$J$5,0,(CONTADORES!AC6-CONTADORES!AC5))</f>
        <v>80.199999999953434</v>
      </c>
      <c r="AP14" s="1399">
        <f ca="1">IF(B14&gt;=$J$5,0,(CONTADORES!X6-CONTADORES!X5))</f>
        <v>150.09999999999945</v>
      </c>
      <c r="AQ14" s="1404">
        <f ca="1">IF(B14&gt;=$J$5,0,(CONTADORES!C6-CONTADORES!C5))</f>
        <v>0</v>
      </c>
      <c r="AR14" s="1404">
        <f ca="1">IF(B14&gt;=$J$5,0,(CONTADORES!BC6-CONTADORES!BC5))</f>
        <v>0</v>
      </c>
      <c r="AS14" s="1397">
        <f ca="1">IF(B14&gt;=$J$5,0,CONTADORES!S6-CONTADORES!S5)</f>
        <v>17.260000000009313</v>
      </c>
      <c r="AT14" s="1397">
        <f ca="1">IF(B14&gt;=$J$5,0,(CONTADORES!U6-CONTADORES!U5)+(CONTADORES!AG6-CONTADORES!AG5))</f>
        <v>2.1100000000005821</v>
      </c>
      <c r="AU14" s="1397">
        <f>CONTADORES!I6-CONTADORES!I5</f>
        <v>82.800000000017462</v>
      </c>
      <c r="AV14" s="1397">
        <f>CONTADORES!AV6-CONTADORES!AV5</f>
        <v>62.199999999982538</v>
      </c>
      <c r="AW14" s="1397">
        <f ca="1">IF(B14&gt;=$J$5,0,(CONTADORES!N6-CONTADORES!N5)+(CONTADORES!AN6-CONTADORES!AN5))</f>
        <v>5.3000000000029104</v>
      </c>
      <c r="AX14" s="1397">
        <f ca="1">IF(B14&gt;=$J$5,0,(CONTADORES!P6-CONTADORES!P5)+(CONTADORES!AL6-CONTADORES!AL5))</f>
        <v>35.489999999997963</v>
      </c>
      <c r="AY14" s="1397">
        <f ca="1">IF(B14&gt;=$J$5,0,(CONTADORES!AJ6-CONTADORES!AJ5))</f>
        <v>7.0299999999988358</v>
      </c>
      <c r="AZ14" s="1397">
        <f ca="1">IF(B14&gt;=$J$5,0,(CONTADORES!R6-CONTADORES!R5))</f>
        <v>13.559999999997672</v>
      </c>
      <c r="BA14" s="1405">
        <f t="shared" ca="1" si="14"/>
        <v>12.806999999932032</v>
      </c>
      <c r="BB14" s="1406">
        <f ca="1">IF(B14&gt;=$J$5,0,(((CONTADORES!G6-CONTADORES!G5)+(CONTADORES!AR6-CONTADORES!AR5))))-AV14-BC14-BT14-BW14-BZ14-CE14</f>
        <v>3.2630000000240109</v>
      </c>
      <c r="BC14" s="1399">
        <f ca="1">IF(B14&gt;=$J$5,0,(CONTADORES!AY6-CONTADORES!AY5)+(CONTADORES!BA6-CONTADORES!BA5)+(CONTADORES!BF6-CONTADORES!BF5))-CC14</f>
        <v>1.5970000000002182</v>
      </c>
      <c r="BD14" s="1397">
        <f t="shared" ca="1" si="15"/>
        <v>230.29999999995289</v>
      </c>
      <c r="BE14" s="1397">
        <f ca="1">IF($B14&gt;=$J$5,0,CONTADORES!$BG6)</f>
        <v>6859.6699999999992</v>
      </c>
      <c r="BF14" s="1397">
        <f ca="1">IF($B14&gt;=$J$5,0,CONTADORES!$BH6)</f>
        <v>16406.077192982455</v>
      </c>
      <c r="BG14" s="1397">
        <f ca="1">IF($B14&gt;=$J$5,0,CONTADORES!$BJ6)</f>
        <v>6126.3400000000011</v>
      </c>
      <c r="BH14" s="1397">
        <f ca="1">IF(B14&gt;=$J$5,0,((CONTADORES!BK6-CONTADORES!BK5)/1000))</f>
        <v>1.538</v>
      </c>
      <c r="BI14" s="1397">
        <f ca="1">IF(C14&gt;=$J$5,0,((CONTADORES!BL6-CONTADORES!BL5)/1000))</f>
        <v>1.4770000000000001</v>
      </c>
      <c r="BJ14" s="1397">
        <f ca="1">IF(C14&gt;=$J$5,0,((CONTADORES!BM6-CONTADORES!BM5)/1000))</f>
        <v>0</v>
      </c>
      <c r="BK14" s="1397">
        <f ca="1">IF(D14&gt;=$J$5,0,((CONTADORES!BN6-CONTADORES!BN5)/1000))</f>
        <v>0</v>
      </c>
      <c r="BL14" s="1399">
        <f t="shared" ca="1" si="16"/>
        <v>1.538</v>
      </c>
      <c r="BM14" s="1399">
        <f t="shared" ca="1" si="17"/>
        <v>1.4770000000000001</v>
      </c>
      <c r="BN14" s="1397">
        <f ca="1">IF(W14&gt;=$J$5,0,CONTADORES!$BO6)</f>
        <v>138.99989039906302</v>
      </c>
      <c r="BO14" s="1397">
        <f ca="1">IF(W14&gt;=$J$5,0,CONTADORES!$BP6)</f>
        <v>46.159994197301529</v>
      </c>
      <c r="BP14" s="1397">
        <f ca="1">IF(W14&gt;=$J$5,0,CONTADORES!$BQ6)</f>
        <v>660.47371883100357</v>
      </c>
      <c r="BQ14" s="1397">
        <f ca="1">IF(B14&gt;=$J$5,0,(CONTADORES!AS6-CONTADORES!AS5))</f>
        <v>4.5999999999985448</v>
      </c>
      <c r="BR14" s="1397">
        <f ca="1">IF(C14&gt;=$J$5,0,(CONTADORES!AT6-CONTADORES!AT5))</f>
        <v>0</v>
      </c>
      <c r="BS14" s="1397">
        <f ca="1">IF(B14&gt;=$J$5,0,CONTADORES!BR6-CONTADORES!BR5)/1000</f>
        <v>0</v>
      </c>
      <c r="BT14" s="1397">
        <f ca="1">IF(B14&gt;=$J$5,0,CONTADORES!BS6-CONTADORES!BS5)</f>
        <v>0</v>
      </c>
      <c r="BU14" s="1397">
        <f ca="1">IF(B14&gt;=$J$5,0,CONTADORES!BT6-CONTADORES!BT5)</f>
        <v>0</v>
      </c>
      <c r="BV14" s="1397">
        <f ca="1">IF(B14&gt;=$J$5,0,CONTADORES!BU6-CONTADORES!BU5)/1000</f>
        <v>3.3420000000000001</v>
      </c>
      <c r="BW14" s="1397">
        <f ca="1">IF(B14&gt;=$J$5,0,CONTADORES!BV6-CONTADORES!BV5)/1000</f>
        <v>0.23</v>
      </c>
      <c r="BX14" s="1397">
        <f ca="1">IF(B14&gt;=$J$5,0,CONTADORES!BW6-CONTADORES!BW5)</f>
        <v>23.979999999999563</v>
      </c>
      <c r="BY14" s="1397">
        <f ca="1">IF(B14&gt;=$J$5,0,CONTADORES!BX6-CONTADORES!BX5)/1000</f>
        <v>2.9220000000000002</v>
      </c>
      <c r="BZ14" s="1397">
        <f ca="1">IF(B14&gt;=$J$5,0,CONTADORES!BY6-CONTADORES!BY5)/1000</f>
        <v>0.02</v>
      </c>
      <c r="CA14" s="1397">
        <f ca="1">IF(B14&gt;=$J$5,0,CONTADORES!BZ6-CONTADORES!BZ5)</f>
        <v>24</v>
      </c>
      <c r="CB14" s="1397">
        <f ca="1">IF(B14&gt;=$J$5,0,(CONTADORES!CC6-CONTADORES!CC5)+(CONTADORES!CE6-CONTADORES!CE5))/1000</f>
        <v>1.4710000000000001</v>
      </c>
      <c r="CC14" s="1397">
        <f ca="1">IF(B14&gt;=$J$5,0,(CONTADORES!CD6-CONTADORES!CD5)+(CONTADORES!CF6-CONTADORES!CF5))/1000</f>
        <v>0.91300000000000003</v>
      </c>
      <c r="CD14" s="1397">
        <f ca="1">IF(B14&gt;=$J$5,0,CONTADORES!CA6-CONTADORES!CA5)</f>
        <v>7.9099999999998545</v>
      </c>
      <c r="CE14" s="1397">
        <f ca="1">IF(B14&gt;=$J$5,0,CONTADORES!CB6-CONTADORES!CB5)</f>
        <v>5.089999999999236</v>
      </c>
      <c r="CF14" s="1397">
        <f t="shared" ca="1" si="18"/>
        <v>11.592999999993088</v>
      </c>
      <c r="CG14" s="1397">
        <f t="shared" ca="1" si="19"/>
        <v>6.7215000000112415</v>
      </c>
      <c r="CH14" s="1397">
        <f t="shared" ca="1" si="20"/>
        <v>3.6829999999932337</v>
      </c>
      <c r="CI14" s="1397">
        <f t="shared" ca="1" si="21"/>
        <v>1.5556000000002328</v>
      </c>
      <c r="CJ14" s="1397">
        <f t="shared" ca="1" si="22"/>
        <v>3.6829999999932337</v>
      </c>
      <c r="CK14" s="1397">
        <f t="shared" ca="1" si="23"/>
        <v>2.3334000000003492</v>
      </c>
      <c r="CL14" s="1397">
        <f t="shared" ca="1" si="24"/>
        <v>3.0266000000002329</v>
      </c>
      <c r="CM14" s="1397">
        <f t="shared" ca="1" si="25"/>
        <v>1.6315000000120055</v>
      </c>
      <c r="CN14" s="1397">
        <f ca="1">IF(B14&gt;=$J$5,0,CONTADORES!CB6-CONTADORES!CB5)</f>
        <v>5.089999999999236</v>
      </c>
      <c r="CO14" s="1397">
        <f t="shared" ca="1" si="26"/>
        <v>1.6315000000120055</v>
      </c>
      <c r="CP14" s="1402">
        <f t="shared" ca="1" si="27"/>
        <v>0.79850000000010912</v>
      </c>
      <c r="CQ14" s="1397">
        <f t="shared" ca="1" si="28"/>
        <v>0.79850000000010912</v>
      </c>
      <c r="CR14" s="1397">
        <f t="shared" ca="1" si="29"/>
        <v>1.7115000000001093</v>
      </c>
      <c r="CS14" s="1403">
        <f ca="1">IF($B14&gt;=$J$5,0,CONTADORES!$BI6)</f>
        <v>11155.524980049529</v>
      </c>
      <c r="CT14" s="1334">
        <f>CONTADORES!E6</f>
        <v>0</v>
      </c>
      <c r="CU14" s="1334">
        <f>CONTADORES!CG6</f>
        <v>0</v>
      </c>
    </row>
    <row r="15" spans="2:99">
      <c r="B15" s="214">
        <v>44931</v>
      </c>
      <c r="C15" s="198">
        <f t="shared" ca="1" si="0"/>
        <v>146.5</v>
      </c>
      <c r="D15" s="196">
        <f ca="1">'CALCULO DE GAS'!D8</f>
        <v>3.3383612022471914</v>
      </c>
      <c r="E15" s="196">
        <f ca="1">IF(B15&gt;=$J$5,0,(CONTADORES!$AD7-CONTADORES!$AD6)-$H15)</f>
        <v>24</v>
      </c>
      <c r="F15" s="198">
        <f t="shared" ca="1" si="1"/>
        <v>0</v>
      </c>
      <c r="G15" s="196">
        <f ca="1">IF(B15&gt;=$J$5,0,CONTADORES!$AF7-CONTADORES!$AF6)</f>
        <v>0</v>
      </c>
      <c r="H15" s="1396">
        <f ca="1">IF(G15&gt;0,CONTADORES!$AE7-CONTADORES!$AE6,0)</f>
        <v>0</v>
      </c>
      <c r="I15" s="199">
        <f ca="1">IF(B15&gt;=$J$5,0,CONTADORES!$AB7-CONTADORES!$AB6)</f>
        <v>146.5</v>
      </c>
      <c r="J15" s="198">
        <f t="shared" ca="1" si="2"/>
        <v>301.10000000000036</v>
      </c>
      <c r="K15" s="196">
        <f ca="1">'CALCULO DE GAS'!E8</f>
        <v>4.4848331123595546</v>
      </c>
      <c r="L15" s="1396">
        <f ca="1">IF(B15&gt;=$J$5,0,(CONTADORES!$Y7-CONTADORES!$Y6)-$O15)</f>
        <v>24</v>
      </c>
      <c r="M15" s="1396">
        <f t="shared" ca="1" si="3"/>
        <v>0</v>
      </c>
      <c r="N15" s="1396">
        <f ca="1">IF(B15&gt;=$J$5,0,CONTADORES!$AA7-CONTADORES!$AA6)</f>
        <v>0</v>
      </c>
      <c r="O15" s="1396">
        <f ca="1">IF(N15&gt;0,CONTADORES!$Z7-CONTADORES!$Z6,0)</f>
        <v>0</v>
      </c>
      <c r="P15" s="202">
        <f ca="1">IF(B15&gt;=$J$5,0,CONTADORES!$W7-CONTADORES!$W6)</f>
        <v>301.10000000000036</v>
      </c>
      <c r="Q15" s="202">
        <f ca="1">IF(B15&gt;=$J$5,0,CONTADORES!$B7-CONTADORES!$B6)</f>
        <v>0.39999999999986358</v>
      </c>
      <c r="R15" s="196">
        <f t="shared" ca="1" si="4"/>
        <v>47.999999999983629</v>
      </c>
      <c r="S15" s="11">
        <f ca="1">IF(B15&gt;=$J$5,0,CONTADORES!$D7-CONTADORES!$D6)</f>
        <v>0.6999999999998181</v>
      </c>
      <c r="T15" s="209">
        <f ca="1">IF(B15&gt;=$J$5,0,CONTADORES!$BB7-CONTADORES!$BB6)</f>
        <v>0</v>
      </c>
      <c r="U15" s="196">
        <f t="shared" ca="1" si="5"/>
        <v>0</v>
      </c>
      <c r="V15" s="199">
        <f ca="1">IF(B15&gt;=$J$5,0,CONTADORES!$BD7-CONTADORES!$BD6)</f>
        <v>0</v>
      </c>
      <c r="W15" s="1397">
        <f t="shared" ca="1" si="6"/>
        <v>447.60000000000036</v>
      </c>
      <c r="X15" s="1397">
        <f t="shared" ca="1" si="7"/>
        <v>0.39999999999986358</v>
      </c>
      <c r="Y15" s="1398">
        <f t="shared" ca="1" si="8"/>
        <v>448.00000000000023</v>
      </c>
      <c r="Z15" s="1398">
        <f t="shared" ca="1" si="9"/>
        <v>7.823194314606746</v>
      </c>
      <c r="AA15" s="1398">
        <f t="shared" ca="1" si="10"/>
        <v>47.999999999983629</v>
      </c>
      <c r="AB15" s="1398">
        <f t="shared" ca="1" si="11"/>
        <v>48</v>
      </c>
      <c r="AC15" s="1397">
        <f t="shared" ca="1" si="12"/>
        <v>0.6999999999998181</v>
      </c>
      <c r="AD15" s="1397">
        <f ca="1">IF(B15&gt;=$J$5,0,CONTADORES!H7-CONTADORES!H6)</f>
        <v>161.90000000002328</v>
      </c>
      <c r="AE15" s="1397">
        <f ca="1">IF(B15&gt;=$J$5,0,CONTADORES!J7-CONTADORES!J6)</f>
        <v>24</v>
      </c>
      <c r="AF15" s="1397">
        <f ca="1">IF(B15&gt;=$J$5,0,CONTADORES!AU7-CONTADORES!AU6)</f>
        <v>149.70000000001164</v>
      </c>
      <c r="AG15" s="1397">
        <f ca="1">IF(B15&gt;=$J$5,0,CONTADORES!AW7-CONTADORES!AW6)</f>
        <v>24</v>
      </c>
      <c r="AH15" s="1397">
        <f ca="1">IF(B15&gt;=$J$5,0,(CONTADORES!AM7-CONTADORES!AM6)+(CONTADORES!M7-CONTADORES!M6))</f>
        <v>4.4000000000014552</v>
      </c>
      <c r="AI15" s="1397">
        <f ca="1">IF(B15&gt;=$J$5,0,(CONTADORES!AK7-CONTADORES!AK6)+(CONTADORES!O7-CONTADORES!O6))</f>
        <v>46.279999999998836</v>
      </c>
      <c r="AJ15" s="1397">
        <f ca="1">IF(B15&gt;=$J$5,0,(CONTADORES!AI7-CONTADORES!AI6))</f>
        <v>10.660000000003492</v>
      </c>
      <c r="AK15" s="1397">
        <f ca="1">IF(B15&gt;=$J$5,0,(CONTADORES!Q7-CONTADORES!Q6))</f>
        <v>14.799999999988358</v>
      </c>
      <c r="AL15" s="1402">
        <f t="shared" ca="1" si="13"/>
        <v>35.15999999994915</v>
      </c>
      <c r="AM15" s="1397">
        <f ca="1">IF(B15&gt;=$J$5,0,(((CONTADORES!F7-CONTADORES!F6)+(CONTADORES!AQ7-CONTADORES!AQ6))))-BS15-AF15-AN15-BV15-BY15-CD15-CB15</f>
        <v>3.8860000000243557</v>
      </c>
      <c r="AN15" s="1397">
        <f ca="1">IF(B15&gt;=$J$5,0,(CONTADORES!AX7-CONTADORES!AX6)+(CONTADORES!AZ7-CONTADORES!AZ6)+(CONTADORES!BE7-CONTADORES!BE6))-CB15</f>
        <v>3.6429999999998364</v>
      </c>
      <c r="AO15" s="1399">
        <f ca="1">IF(B15&gt;=$J$5,0,(CONTADORES!AC7-CONTADORES!AC6))</f>
        <v>78.200000000011642</v>
      </c>
      <c r="AP15" s="1399">
        <f ca="1">IF(B15&gt;=$J$5,0,(CONTADORES!X7-CONTADORES!X6))</f>
        <v>152.14000000000033</v>
      </c>
      <c r="AQ15" s="1404">
        <f ca="1">IF(B15&gt;=$J$5,0,(CONTADORES!C7-CONTADORES!C6))</f>
        <v>0.22699999999997544</v>
      </c>
      <c r="AR15" s="1404">
        <f ca="1">IF(B15&gt;=$J$5,0,(CONTADORES!BC7-CONTADORES!BC6))</f>
        <v>0</v>
      </c>
      <c r="AS15" s="1397">
        <f ca="1">IF(B15&gt;=$J$5,0,CONTADORES!S7-CONTADORES!S6)</f>
        <v>17.299999999988358</v>
      </c>
      <c r="AT15" s="1397">
        <f ca="1">IF(B15&gt;=$J$5,0,(CONTADORES!U7-CONTADORES!U6)+(CONTADORES!AG7-CONTADORES!AG6))</f>
        <v>2.0599999999976717</v>
      </c>
      <c r="AU15" s="1397">
        <f>CONTADORES!I7-CONTADORES!I6</f>
        <v>82.199999999982538</v>
      </c>
      <c r="AV15" s="1397">
        <f>CONTADORES!AV7-CONTADORES!AV6</f>
        <v>65</v>
      </c>
      <c r="AW15" s="1397">
        <f ca="1">IF(B15&gt;=$J$5,0,(CONTADORES!N7-CONTADORES!N6)+(CONTADORES!AN7-CONTADORES!AN6))</f>
        <v>1.7999999999992724</v>
      </c>
      <c r="AX15" s="1397">
        <f ca="1">IF(B15&gt;=$J$5,0,(CONTADORES!P7-CONTADORES!P6)+(CONTADORES!AL7-CONTADORES!AL6))</f>
        <v>36.650000000001455</v>
      </c>
      <c r="AY15" s="1397">
        <f ca="1">IF(B15&gt;=$J$5,0,(CONTADORES!AJ7-CONTADORES!AJ6))</f>
        <v>8.3800000000046566</v>
      </c>
      <c r="AZ15" s="1397">
        <f ca="1">IF(B15&gt;=$J$5,0,(CONTADORES!R7-CONTADORES!R6))</f>
        <v>12.75</v>
      </c>
      <c r="BA15" s="1405">
        <f t="shared" ca="1" si="14"/>
        <v>13.93600000002985</v>
      </c>
      <c r="BB15" s="1406">
        <f ca="1">IF(B15&gt;=$J$5,0,(((CONTADORES!G7-CONTADORES!G6)+(CONTADORES!AR7-CONTADORES!AR6))))-AV15-BC15-BT15-BW15-BZ15-CE15</f>
        <v>1.3789999999943978</v>
      </c>
      <c r="BC15" s="1399">
        <f ca="1">IF(B15&gt;=$J$5,0,(CONTADORES!AY7-CONTADORES!AY6)+(CONTADORES!BA7-CONTADORES!BA6)+(CONTADORES!BF7-CONTADORES!BF6))-CC15</f>
        <v>1.6189999999997089</v>
      </c>
      <c r="BD15" s="1397">
        <f t="shared" ca="1" si="15"/>
        <v>230.56700000001194</v>
      </c>
      <c r="BE15" s="1397">
        <f ca="1">IF($B15&gt;=$J$5,0,CONTADORES!$BG7)</f>
        <v>7112.5199999999995</v>
      </c>
      <c r="BF15" s="1397">
        <f ca="1">IF($B15&gt;=$J$5,0,CONTADORES!$BH7)</f>
        <v>28167.83157894736</v>
      </c>
      <c r="BG15" s="1397">
        <f ca="1">IF($B15&gt;=$J$5,0,CONTADORES!$BJ7)</f>
        <v>5602.380000000001</v>
      </c>
      <c r="BH15" s="1397">
        <f ca="1">IF(B15&gt;=$J$5,0,((CONTADORES!BK7-CONTADORES!BK6)/1000))</f>
        <v>1.4319999999999999</v>
      </c>
      <c r="BI15" s="1397">
        <f ca="1">IF(C15&gt;=$J$5,0,((CONTADORES!BL7-CONTADORES!BL6)/1000))</f>
        <v>1.373</v>
      </c>
      <c r="BJ15" s="1397">
        <f ca="1">IF(C15&gt;=$J$5,0,((CONTADORES!BM7-CONTADORES!BM6)/1000))</f>
        <v>0</v>
      </c>
      <c r="BK15" s="1397">
        <f ca="1">IF(D15&gt;=$J$5,0,((CONTADORES!BN7-CONTADORES!BN6)/1000))</f>
        <v>0</v>
      </c>
      <c r="BL15" s="1399">
        <f t="shared" ca="1" si="16"/>
        <v>1.4319999999999999</v>
      </c>
      <c r="BM15" s="1399">
        <f t="shared" ca="1" si="17"/>
        <v>1.373</v>
      </c>
      <c r="BN15" s="1397">
        <f ca="1">IF(W15&gt;=$J$5,0,CONTADORES!$BO7)</f>
        <v>137.46206902750416</v>
      </c>
      <c r="BO15" s="1397">
        <f ca="1">IF(W15&gt;=$J$5,0,CONTADORES!$BP7)</f>
        <v>46.36221350028282</v>
      </c>
      <c r="BP15" s="1397">
        <f ca="1">IF(W15&gt;=$J$5,0,CONTADORES!$BQ7)</f>
        <v>652.60190112759221</v>
      </c>
      <c r="BQ15" s="1397">
        <f ca="1">IF(B15&gt;=$J$5,0,(CONTADORES!AS7-CONTADORES!AS6))</f>
        <v>5.4000000000014552</v>
      </c>
      <c r="BR15" s="1397">
        <f ca="1">IF(C15&gt;=$J$5,0,(CONTADORES!AT7-CONTADORES!AT6))</f>
        <v>0</v>
      </c>
      <c r="BS15" s="1397">
        <f ca="1">IF(B15&gt;=$J$5,0,CONTADORES!BR7-CONTADORES!BR6)/1000</f>
        <v>0</v>
      </c>
      <c r="BT15" s="1397">
        <f ca="1">IF(B15&gt;=$J$5,0,CONTADORES!BS7-CONTADORES!BS6)</f>
        <v>0</v>
      </c>
      <c r="BU15" s="1397">
        <f ca="1">IF(B15&gt;=$J$5,0,CONTADORES!BT7-CONTADORES!BT6)</f>
        <v>0</v>
      </c>
      <c r="BV15" s="1397">
        <f ca="1">IF(B15&gt;=$J$5,0,CONTADORES!BU7-CONTADORES!BU6)/1000</f>
        <v>4.1310000000000002</v>
      </c>
      <c r="BW15" s="1397">
        <f ca="1">IF(B15&gt;=$J$5,0,CONTADORES!BV7-CONTADORES!BV6)/1000</f>
        <v>0.46600000000000003</v>
      </c>
      <c r="BX15" s="1397">
        <f ca="1">IF(B15&gt;=$J$5,0,CONTADORES!BW7-CONTADORES!BW6)</f>
        <v>23.959999999999127</v>
      </c>
      <c r="BY15" s="1397">
        <f ca="1">IF(B15&gt;=$J$5,0,CONTADORES!BX7-CONTADORES!BX6)/1000</f>
        <v>3.2029999999999998</v>
      </c>
      <c r="BZ15" s="1397">
        <f ca="1">IF(B15&gt;=$J$5,0,CONTADORES!BY7-CONTADORES!BY6)/1000</f>
        <v>1.6E-2</v>
      </c>
      <c r="CA15" s="1397">
        <f ca="1">IF(B15&gt;=$J$5,0,CONTADORES!BZ7-CONTADORES!BZ6)</f>
        <v>24</v>
      </c>
      <c r="CB15" s="1397">
        <f ca="1">IF(B15&gt;=$J$5,0,(CONTADORES!CC7-CONTADORES!CC6)+(CONTADORES!CE7-CONTADORES!CE6))/1000</f>
        <v>1.5369999999999999</v>
      </c>
      <c r="CC15" s="1397">
        <f ca="1">IF(B15&gt;=$J$5,0,(CONTADORES!CD7-CONTADORES!CD6)+(CONTADORES!CF7-CONTADORES!CF6))/1000</f>
        <v>0.95099999999999996</v>
      </c>
      <c r="CD15" s="1397">
        <f ca="1">IF(B15&gt;=$J$5,0,CONTADORES!CA7-CONTADORES!CA6)</f>
        <v>8.6999999999998181</v>
      </c>
      <c r="CE15" s="1397">
        <f ca="1">IF(B15&gt;=$J$5,0,CONTADORES!CB7-CONTADORES!CB6)</f>
        <v>5.4200000000000728</v>
      </c>
      <c r="CF15" s="1397">
        <f t="shared" ca="1" si="18"/>
        <v>10.643000000011996</v>
      </c>
      <c r="CG15" s="1397">
        <f t="shared" ca="1" si="19"/>
        <v>6.1094999999972721</v>
      </c>
      <c r="CH15" s="1397">
        <f t="shared" ca="1" si="20"/>
        <v>1.9430000000121779</v>
      </c>
      <c r="CI15" s="1397">
        <f t="shared" ca="1" si="21"/>
        <v>1.4571999999999345</v>
      </c>
      <c r="CJ15" s="1397">
        <f t="shared" ca="1" si="22"/>
        <v>1.9430000000121779</v>
      </c>
      <c r="CK15" s="1397">
        <f t="shared" ca="1" si="23"/>
        <v>2.1857999999999018</v>
      </c>
      <c r="CL15" s="1397">
        <f t="shared" ca="1" si="24"/>
        <v>2.9941999999999345</v>
      </c>
      <c r="CM15" s="1397">
        <f t="shared" ca="1" si="25"/>
        <v>0.68949999999719891</v>
      </c>
      <c r="CN15" s="1397">
        <f ca="1">IF(B15&gt;=$J$5,0,CONTADORES!CB7-CONTADORES!CB6)</f>
        <v>5.4200000000000728</v>
      </c>
      <c r="CO15" s="1397">
        <f t="shared" ca="1" si="26"/>
        <v>0.68949999999719891</v>
      </c>
      <c r="CP15" s="1402">
        <f t="shared" ca="1" si="27"/>
        <v>0.80949999999985445</v>
      </c>
      <c r="CQ15" s="1397">
        <f t="shared" ca="1" si="28"/>
        <v>0.80949999999985445</v>
      </c>
      <c r="CR15" s="1397">
        <f t="shared" ca="1" si="29"/>
        <v>1.7604999999998543</v>
      </c>
      <c r="CS15" s="1403">
        <f ca="1">IF($B15&gt;=$J$5,0,CONTADORES!$BI7)</f>
        <v>10208.582955071874</v>
      </c>
      <c r="CT15" s="1334">
        <f>CONTADORES!E7</f>
        <v>1</v>
      </c>
      <c r="CU15" s="1334">
        <f>CONTADORES!CG7</f>
        <v>0</v>
      </c>
    </row>
    <row r="16" spans="2:99">
      <c r="B16" s="214">
        <v>44932</v>
      </c>
      <c r="C16" s="198">
        <f t="shared" ca="1" si="0"/>
        <v>108.80000000004657</v>
      </c>
      <c r="D16" s="196">
        <f ca="1">'CALCULO DE GAS'!D9</f>
        <v>3.0587881685396714</v>
      </c>
      <c r="E16" s="196">
        <f ca="1">IF(B16&gt;=$J$5,0,(CONTADORES!$AD8-CONTADORES!$AD7)-$H16)</f>
        <v>24</v>
      </c>
      <c r="F16" s="198">
        <f t="shared" ca="1" si="1"/>
        <v>0</v>
      </c>
      <c r="G16" s="196">
        <f ca="1">IF(B16&gt;=$J$5,0,CONTADORES!$AF8-CONTADORES!$AF7)</f>
        <v>0</v>
      </c>
      <c r="H16" s="1396">
        <f ca="1">IF(G16&gt;0,CONTADORES!$AE8-CONTADORES!$AE7,0)</f>
        <v>0</v>
      </c>
      <c r="I16" s="199">
        <f ca="1">IF(B16&gt;=$J$5,0,CONTADORES!$AB8-CONTADORES!$AB7)</f>
        <v>108.80000000004657</v>
      </c>
      <c r="J16" s="198">
        <f t="shared" ca="1" si="2"/>
        <v>212.69999999999891</v>
      </c>
      <c r="K16" s="196">
        <f ca="1">'CALCULO DE GAS'!E9</f>
        <v>3.8292825505617909</v>
      </c>
      <c r="L16" s="1396">
        <f ca="1">IF(B16&gt;=$J$5,0,(CONTADORES!$Y8-CONTADORES!$Y7)-$O16)</f>
        <v>24</v>
      </c>
      <c r="M16" s="1396">
        <f t="shared" ca="1" si="3"/>
        <v>0</v>
      </c>
      <c r="N16" s="1396">
        <f ca="1">IF(B16&gt;=$J$5,0,CONTADORES!$AA8-CONTADORES!$AA7)</f>
        <v>0</v>
      </c>
      <c r="O16" s="1396">
        <f ca="1">IF(N16&gt;0,CONTADORES!$Z8-CONTADORES!$Z7,0)</f>
        <v>0</v>
      </c>
      <c r="P16" s="202">
        <f ca="1">IF(B16&gt;=$J$5,0,CONTADORES!$W8-CONTADORES!$W7)</f>
        <v>212.69999999999891</v>
      </c>
      <c r="Q16" s="202">
        <f ca="1">IF(B16&gt;=$J$5,0,CONTADORES!$B8-CONTADORES!$B7)</f>
        <v>0</v>
      </c>
      <c r="R16" s="196">
        <f t="shared" ca="1" si="4"/>
        <v>0</v>
      </c>
      <c r="S16" s="11">
        <f ca="1">IF(B16&gt;=$J$5,0,CONTADORES!$D8-CONTADORES!$D7)</f>
        <v>0</v>
      </c>
      <c r="T16" s="209">
        <f ca="1">IF(B16&gt;=$J$5,0,CONTADORES!$BB8-CONTADORES!$BB7)</f>
        <v>0</v>
      </c>
      <c r="U16" s="196">
        <f t="shared" ca="1" si="5"/>
        <v>0</v>
      </c>
      <c r="V16" s="199">
        <f ca="1">IF(B16&gt;=$J$5,0,CONTADORES!$BD8-CONTADORES!$BD7)</f>
        <v>0</v>
      </c>
      <c r="W16" s="1397">
        <f t="shared" ca="1" si="6"/>
        <v>321.50000000004547</v>
      </c>
      <c r="X16" s="1397">
        <f t="shared" ca="1" si="7"/>
        <v>0</v>
      </c>
      <c r="Y16" s="1398">
        <f t="shared" ca="1" si="8"/>
        <v>321.50000000004547</v>
      </c>
      <c r="Z16" s="1398">
        <f t="shared" ca="1" si="9"/>
        <v>6.8880707191014618</v>
      </c>
      <c r="AA16" s="1398">
        <f t="shared" ca="1" si="10"/>
        <v>0</v>
      </c>
      <c r="AB16" s="1398">
        <f t="shared" ca="1" si="11"/>
        <v>48</v>
      </c>
      <c r="AC16" s="1397">
        <f t="shared" ca="1" si="12"/>
        <v>0</v>
      </c>
      <c r="AD16" s="1397">
        <f ca="1">IF(B16&gt;=$J$5,0,CONTADORES!H8-CONTADORES!H7)</f>
        <v>165.29999999993015</v>
      </c>
      <c r="AE16" s="1397">
        <f ca="1">IF(B16&gt;=$J$5,0,CONTADORES!J8-CONTADORES!J7)</f>
        <v>24</v>
      </c>
      <c r="AF16" s="1397">
        <f ca="1">IF(B16&gt;=$J$5,0,CONTADORES!AU8-CONTADORES!AU7)</f>
        <v>25.5</v>
      </c>
      <c r="AG16" s="1397">
        <f ca="1">IF(B16&gt;=$J$5,0,CONTADORES!AW8-CONTADORES!AW7)</f>
        <v>19.660000000003492</v>
      </c>
      <c r="AH16" s="1397">
        <f ca="1">IF(B16&gt;=$J$5,0,(CONTADORES!AM8-CONTADORES!AM7)+(CONTADORES!M8-CONTADORES!M7))</f>
        <v>10.599999999998545</v>
      </c>
      <c r="AI16" s="1397">
        <f ca="1">IF(B16&gt;=$J$5,0,(CONTADORES!AK8-CONTADORES!AK7)+(CONTADORES!O8-CONTADORES!O7))</f>
        <v>38.200000000004366</v>
      </c>
      <c r="AJ16" s="1397">
        <f ca="1">IF(B16&gt;=$J$5,0,(CONTADORES!AI8-CONTADORES!AI7))</f>
        <v>10.5</v>
      </c>
      <c r="AK16" s="1397">
        <f ca="1">IF(B16&gt;=$J$5,0,(CONTADORES!Q8-CONTADORES!Q7))</f>
        <v>15</v>
      </c>
      <c r="AL16" s="1402">
        <f t="shared" ca="1" si="13"/>
        <v>33.200000000135333</v>
      </c>
      <c r="AM16" s="1397">
        <f ca="1">IF(B16&gt;=$J$5,0,(((CONTADORES!F8-CONTADORES!F7)+(CONTADORES!AQ8-CONTADORES!AQ7))))-BS16-AF16-AN16-BV16-BY16-CD16-CB16</f>
        <v>6.1849999999770802</v>
      </c>
      <c r="AN16" s="1397">
        <f ca="1">IF(B16&gt;=$J$5,0,(CONTADORES!AX8-CONTADORES!AX7)+(CONTADORES!AZ8-CONTADORES!AZ7)+(CONTADORES!BE8-CONTADORES!BE7))-CB16</f>
        <v>2.7639999999998182</v>
      </c>
      <c r="AO16" s="1399">
        <f ca="1">IF(B16&gt;=$J$5,0,(CONTADORES!AC8-CONTADORES!AC7))</f>
        <v>55.100000000034925</v>
      </c>
      <c r="AP16" s="1399">
        <f ca="1">IF(B16&gt;=$J$5,0,(CONTADORES!X8-CONTADORES!X7))</f>
        <v>119.89999999999964</v>
      </c>
      <c r="AQ16" s="1404">
        <f ca="1">IF(B16&gt;=$J$5,0,(CONTADORES!C8-CONTADORES!C7))</f>
        <v>0</v>
      </c>
      <c r="AR16" s="1404">
        <f ca="1">IF(B16&gt;=$J$5,0,(CONTADORES!BC8-CONTADORES!BC7))</f>
        <v>0</v>
      </c>
      <c r="AS16" s="1397">
        <f ca="1">IF(B16&gt;=$J$5,0,CONTADORES!S8-CONTADORES!S7)</f>
        <v>18.300000000017462</v>
      </c>
      <c r="AT16" s="1397">
        <f ca="1">IF(B16&gt;=$J$5,0,(CONTADORES!U8-CONTADORES!U7)+(CONTADORES!AG8-CONTADORES!AG7))</f>
        <v>2.2000000000043656</v>
      </c>
      <c r="AU16" s="1397">
        <f>CONTADORES!I8-CONTADORES!I7</f>
        <v>85.100000000005821</v>
      </c>
      <c r="AV16" s="1397">
        <f>CONTADORES!AV8-CONTADORES!AV7</f>
        <v>11.100000000005821</v>
      </c>
      <c r="AW16" s="1397">
        <f ca="1">IF(B16&gt;=$J$5,0,(CONTADORES!N8-CONTADORES!N7)+(CONTADORES!AN8-CONTADORES!AN7))</f>
        <v>4.2000000000007276</v>
      </c>
      <c r="AX16" s="1397">
        <f ca="1">IF(B16&gt;=$J$5,0,(CONTADORES!P8-CONTADORES!P7)+(CONTADORES!AL8-CONTADORES!AL7))</f>
        <v>29.5</v>
      </c>
      <c r="AY16" s="1397">
        <f ca="1">IF(B16&gt;=$J$5,0,(CONTADORES!AJ8-CONTADORES!AJ7))</f>
        <v>8.4000000000014552</v>
      </c>
      <c r="AZ16" s="1397">
        <f ca="1">IF(B16&gt;=$J$5,0,(CONTADORES!R8-CONTADORES!R7))</f>
        <v>12.5</v>
      </c>
      <c r="BA16" s="1405">
        <f t="shared" ca="1" si="14"/>
        <v>15.275000000038034</v>
      </c>
      <c r="BB16" s="1406">
        <f ca="1">IF(B16&gt;=$J$5,0,(((CONTADORES!G8-CONTADORES!G7)+(CONTADORES!AR8-CONTADORES!AR7))))-AV16-BC16-BT16-BW16-BZ16-CE16</f>
        <v>1.6679999999819914</v>
      </c>
      <c r="BC16" s="1399">
        <f ca="1">IF(B16&gt;=$J$5,0,(CONTADORES!AY8-CONTADORES!AY7)+(CONTADORES!BA8-CONTADORES!BA7)+(CONTADORES!BF8-CONTADORES!BF7))-CC16</f>
        <v>1.575</v>
      </c>
      <c r="BD16" s="1397">
        <f t="shared" ca="1" si="15"/>
        <v>175.00000000003456</v>
      </c>
      <c r="BE16" s="1397">
        <f ca="1">IF($B16&gt;=$J$5,0,CONTADORES!$BG8)</f>
        <v>6356.6099999999979</v>
      </c>
      <c r="BF16" s="1397">
        <f ca="1">IF($B16&gt;=$J$5,0,CONTADORES!$BH8)</f>
        <v>22872.242105263158</v>
      </c>
      <c r="BG16" s="1397">
        <f ca="1">IF($B16&gt;=$J$5,0,CONTADORES!$BJ8)</f>
        <v>6049.03</v>
      </c>
      <c r="BH16" s="1397">
        <f ca="1">IF(B16&gt;=$J$5,0,((CONTADORES!BK8-CONTADORES!BK7)/1000))</f>
        <v>1.5149999999999999</v>
      </c>
      <c r="BI16" s="1397">
        <f ca="1">IF(C16&gt;=$J$5,0,((CONTADORES!BL8-CONTADORES!BL7)/1000))</f>
        <v>1.454</v>
      </c>
      <c r="BJ16" s="1397">
        <f ca="1">IF(C16&gt;=$J$5,0,((CONTADORES!BM8-CONTADORES!BM7)/1000))</f>
        <v>0</v>
      </c>
      <c r="BK16" s="1397">
        <f ca="1">IF(D16&gt;=$J$5,0,((CONTADORES!BN8-CONTADORES!BN7)/1000))</f>
        <v>0</v>
      </c>
      <c r="BL16" s="1399">
        <f t="shared" ca="1" si="16"/>
        <v>1.5149999999999999</v>
      </c>
      <c r="BM16" s="1399">
        <f t="shared" ca="1" si="17"/>
        <v>1.454</v>
      </c>
      <c r="BN16" s="1397">
        <f ca="1">IF(W16&gt;=$J$5,0,CONTADORES!$BO8)</f>
        <v>136.87589167033266</v>
      </c>
      <c r="BO16" s="1397">
        <f ca="1">IF(W16&gt;=$J$5,0,CONTADORES!$BP8)</f>
        <v>46.114894863660545</v>
      </c>
      <c r="BP16" s="1397">
        <f ca="1">IF(W16&gt;=$J$5,0,CONTADORES!$BQ8)</f>
        <v>654.15042006628346</v>
      </c>
      <c r="BQ16" s="1397">
        <f ca="1">IF(B16&gt;=$J$5,0,(CONTADORES!AS8-CONTADORES!AS7))</f>
        <v>5.6999999999970896</v>
      </c>
      <c r="BR16" s="1397">
        <f ca="1">IF(C16&gt;=$J$5,0,(CONTADORES!AT8-CONTADORES!AT7))</f>
        <v>0</v>
      </c>
      <c r="BS16" s="1397">
        <f ca="1">IF(B16&gt;=$J$5,0,CONTADORES!BR8-CONTADORES!BR7)/1000</f>
        <v>0</v>
      </c>
      <c r="BT16" s="1397">
        <f ca="1">IF(B16&gt;=$J$5,0,CONTADORES!BS8-CONTADORES!BS7)</f>
        <v>0</v>
      </c>
      <c r="BU16" s="1397">
        <f ca="1">IF(B16&gt;=$J$5,0,CONTADORES!BT8-CONTADORES!BT7)</f>
        <v>0</v>
      </c>
      <c r="BV16" s="1397">
        <f ca="1">IF(B16&gt;=$J$5,0,CONTADORES!BU8-CONTADORES!BU7)/1000</f>
        <v>3.387</v>
      </c>
      <c r="BW16" s="1397">
        <f ca="1">IF(B16&gt;=$J$5,0,CONTADORES!BV8-CONTADORES!BV7)/1000</f>
        <v>0.52200000000000002</v>
      </c>
      <c r="BX16" s="1397">
        <f ca="1">IF(B16&gt;=$J$5,0,CONTADORES!BW8-CONTADORES!BW7)</f>
        <v>18</v>
      </c>
      <c r="BY16" s="1397">
        <f ca="1">IF(B16&gt;=$J$5,0,CONTADORES!BX8-CONTADORES!BX7)/1000</f>
        <v>2.6280000000000001</v>
      </c>
      <c r="BZ16" s="1397">
        <f ca="1">IF(B16&gt;=$J$5,0,CONTADORES!BY8-CONTADORES!BY7)/1000</f>
        <v>3.5000000000000003E-2</v>
      </c>
      <c r="CA16" s="1397">
        <f ca="1">IF(B16&gt;=$J$5,0,CONTADORES!BZ8-CONTADORES!BZ7)</f>
        <v>18</v>
      </c>
      <c r="CB16" s="1397">
        <f ca="1">IF(B16&gt;=$J$5,0,(CONTADORES!CC8-CONTADORES!CC7)+(CONTADORES!CE8-CONTADORES!CE7))/1000</f>
        <v>1.4359999999999999</v>
      </c>
      <c r="CC16" s="1397">
        <f ca="1">IF(B16&gt;=$J$5,0,(CONTADORES!CD8-CONTADORES!CD7)+(CONTADORES!CF8-CONTADORES!CF7))/1000</f>
        <v>0.92500000000000004</v>
      </c>
      <c r="CD16" s="1397">
        <f ca="1">IF(B16&gt;=$J$5,0,CONTADORES!CA8-CONTADORES!CA7)</f>
        <v>6.8000000000001819</v>
      </c>
      <c r="CE16" s="1397">
        <f ca="1">IF(B16&gt;=$J$5,0,CONTADORES!CB8-CONTADORES!CB7)</f>
        <v>4.2000000000007276</v>
      </c>
      <c r="CF16" s="1397">
        <f t="shared" ca="1" si="18"/>
        <v>9.892499999988722</v>
      </c>
      <c r="CG16" s="1397">
        <f t="shared" ca="1" si="19"/>
        <v>5.0339999999917229</v>
      </c>
      <c r="CH16" s="1397">
        <f t="shared" ca="1" si="20"/>
        <v>3.0924999999885401</v>
      </c>
      <c r="CI16" s="1397">
        <f t="shared" ca="1" si="21"/>
        <v>1.1055999999999273</v>
      </c>
      <c r="CJ16" s="1397">
        <f t="shared" ca="1" si="22"/>
        <v>3.0924999999885401</v>
      </c>
      <c r="CK16" s="1397">
        <f t="shared" ca="1" si="23"/>
        <v>1.6583999999998909</v>
      </c>
      <c r="CL16" s="1397">
        <f t="shared" ca="1" si="24"/>
        <v>2.541599999999927</v>
      </c>
      <c r="CM16" s="1397">
        <f t="shared" ca="1" si="25"/>
        <v>0.83399999999099572</v>
      </c>
      <c r="CN16" s="1397">
        <f ca="1">IF(B16&gt;=$J$5,0,CONTADORES!CB8-CONTADORES!CB7)</f>
        <v>4.2000000000007276</v>
      </c>
      <c r="CO16" s="1397">
        <f t="shared" ca="1" si="26"/>
        <v>0.83399999999099572</v>
      </c>
      <c r="CP16" s="1402">
        <f t="shared" ca="1" si="27"/>
        <v>0.78749999999999998</v>
      </c>
      <c r="CQ16" s="1397">
        <f t="shared" ca="1" si="28"/>
        <v>0.78749999999999998</v>
      </c>
      <c r="CR16" s="1397">
        <f t="shared" ca="1" si="29"/>
        <v>1.7124999999999999</v>
      </c>
      <c r="CS16" s="1403">
        <f ca="1">IF($B16&gt;=$J$5,0,CONTADORES!$BI8)</f>
        <v>9248.1363284522613</v>
      </c>
      <c r="CT16" s="1334">
        <f>CONTADORES!E8</f>
        <v>0</v>
      </c>
      <c r="CU16" s="1334">
        <f>CONTADORES!CG8</f>
        <v>0</v>
      </c>
    </row>
    <row r="17" spans="1:119">
      <c r="B17" s="214">
        <v>44933</v>
      </c>
      <c r="C17" s="198">
        <f t="shared" ca="1" si="0"/>
        <v>124.89999999990687</v>
      </c>
      <c r="D17" s="196">
        <f ca="1">'CALCULO DE GAS'!D10</f>
        <v>3.1781814269656019</v>
      </c>
      <c r="E17" s="196">
        <f ca="1">IF(B17&gt;=$J$5,0,(CONTADORES!$AD9-CONTADORES!$AD8)-$H17)</f>
        <v>24</v>
      </c>
      <c r="F17" s="198">
        <f t="shared" ca="1" si="1"/>
        <v>0</v>
      </c>
      <c r="G17" s="196">
        <f ca="1">IF(B17&gt;=$J$5,0,CONTADORES!$AF9-CONTADORES!$AF8)</f>
        <v>0</v>
      </c>
      <c r="H17" s="1396">
        <f ca="1">IF(G17&gt;0,CONTADORES!$AE9-CONTADORES!$AE8,0)</f>
        <v>0</v>
      </c>
      <c r="I17" s="199">
        <f ca="1">IF(B17&gt;=$J$5,0,CONTADORES!$AB9-CONTADORES!$AB8)</f>
        <v>124.89999999990687</v>
      </c>
      <c r="J17" s="198">
        <f t="shared" ca="1" si="2"/>
        <v>246.20000000000073</v>
      </c>
      <c r="K17" s="196">
        <f ca="1">'CALCULO DE GAS'!E10</f>
        <v>4.0777095168539388</v>
      </c>
      <c r="L17" s="1396">
        <f ca="1">IF(B17&gt;=$J$5,0,(CONTADORES!$Y9-CONTADORES!$Y8)-$O17)</f>
        <v>24</v>
      </c>
      <c r="M17" s="1396">
        <f t="shared" ca="1" si="3"/>
        <v>0</v>
      </c>
      <c r="N17" s="1396">
        <f ca="1">IF(B17&gt;=$J$5,0,CONTADORES!$AA9-CONTADORES!$AA8)</f>
        <v>0</v>
      </c>
      <c r="O17" s="1396">
        <f ca="1">IF(N17&gt;0,CONTADORES!$Z9-CONTADORES!$Z8,0)</f>
        <v>0</v>
      </c>
      <c r="P17" s="202">
        <f ca="1">IF(B17&gt;=$J$5,0,CONTADORES!$W9-CONTADORES!$W8)</f>
        <v>246.20000000000073</v>
      </c>
      <c r="Q17" s="202">
        <f ca="1">IF(B17&gt;=$J$5,0,CONTADORES!$B9-CONTADORES!$B8)</f>
        <v>0</v>
      </c>
      <c r="R17" s="196">
        <f t="shared" ca="1" si="4"/>
        <v>0</v>
      </c>
      <c r="S17" s="11">
        <f ca="1">IF(B17&gt;=$J$5,0,CONTADORES!$D9-CONTADORES!$D8)</f>
        <v>0</v>
      </c>
      <c r="T17" s="209">
        <f ca="1">IF(B17&gt;=$J$5,0,CONTADORES!$BB9-CONTADORES!$BB8)</f>
        <v>1.0180000000000291</v>
      </c>
      <c r="U17" s="196">
        <f t="shared" ca="1" si="5"/>
        <v>122.16000000000349</v>
      </c>
      <c r="V17" s="199">
        <f ca="1">IF(B17&gt;=$J$5,0,CONTADORES!$BD9-CONTADORES!$BD8)</f>
        <v>6.2699999999999818</v>
      </c>
      <c r="W17" s="1397">
        <f t="shared" ca="1" si="6"/>
        <v>371.0999999999076</v>
      </c>
      <c r="X17" s="1397">
        <f t="shared" ca="1" si="7"/>
        <v>1.0180000000000291</v>
      </c>
      <c r="Y17" s="1398">
        <f t="shared" ca="1" si="8"/>
        <v>372.11799999990762</v>
      </c>
      <c r="Z17" s="1398">
        <f t="shared" ca="1" si="9"/>
        <v>7.2558909438195407</v>
      </c>
      <c r="AA17" s="1398">
        <f t="shared" ca="1" si="10"/>
        <v>122.16000000000349</v>
      </c>
      <c r="AB17" s="1398">
        <f t="shared" ca="1" si="11"/>
        <v>48</v>
      </c>
      <c r="AC17" s="1397">
        <f t="shared" ca="1" si="12"/>
        <v>6.2699999999999818</v>
      </c>
      <c r="AD17" s="1397">
        <f ca="1">IF(B17&gt;=$J$5,0,CONTADORES!H9-CONTADORES!H8)</f>
        <v>166.90000000002328</v>
      </c>
      <c r="AE17" s="1397">
        <f ca="1">IF(B17&gt;=$J$5,0,CONTADORES!J9-CONTADORES!J8)</f>
        <v>24</v>
      </c>
      <c r="AF17" s="1397">
        <f ca="1">IF(B17&gt;=$J$5,0,CONTADORES!AU9-CONTADORES!AU8)</f>
        <v>95.200000000011642</v>
      </c>
      <c r="AG17" s="1397">
        <f ca="1">IF(B17&gt;=$J$5,0,CONTADORES!AW9-CONTADORES!AW8)</f>
        <v>15.399999999994179</v>
      </c>
      <c r="AH17" s="1397">
        <f ca="1">IF(B17&gt;=$J$5,0,(CONTADORES!AM9-CONTADORES!AM8)+(CONTADORES!M9-CONTADORES!M8))</f>
        <v>5.5</v>
      </c>
      <c r="AI17" s="1397">
        <f ca="1">IF(B17&gt;=$J$5,0,(CONTADORES!AK9-CONTADORES!AK8)+(CONTADORES!O9-CONTADORES!O8))</f>
        <v>29.80000000000291</v>
      </c>
      <c r="AJ17" s="1397">
        <f ca="1">IF(B17&gt;=$J$5,0,(CONTADORES!AI9-CONTADORES!AI8))</f>
        <v>11</v>
      </c>
      <c r="AK17" s="1397">
        <f ca="1">IF(B17&gt;=$J$5,0,(CONTADORES!Q9-CONTADORES!Q8))</f>
        <v>14.899999999994179</v>
      </c>
      <c r="AL17" s="1402">
        <f t="shared" ca="1" si="13"/>
        <v>32.217999999911626</v>
      </c>
      <c r="AM17" s="1397">
        <f ca="1">IF(B17&gt;=$J$5,0,(((CONTADORES!F9-CONTADORES!F8)+(CONTADORES!AQ9-CONTADORES!AQ8))))-BS17-AF17-AN17-BV17-BY17-CD17-CB17</f>
        <v>4.4939999999637905</v>
      </c>
      <c r="AN17" s="1397">
        <f ca="1">IF(B17&gt;=$J$5,0,(CONTADORES!AX9-CONTADORES!AX8)+(CONTADORES!AZ9-CONTADORES!AZ8)+(CONTADORES!BE9-CONTADORES!BE8))-CB17</f>
        <v>2.6330000000000102</v>
      </c>
      <c r="AO17" s="1399">
        <f ca="1">IF(B17&gt;=$J$5,0,(CONTADORES!AC9-CONTADORES!AC8))</f>
        <v>66</v>
      </c>
      <c r="AP17" s="1399">
        <f ca="1">IF(B17&gt;=$J$5,0,(CONTADORES!X9-CONTADORES!X8))</f>
        <v>130.19999999999982</v>
      </c>
      <c r="AQ17" s="1404">
        <f ca="1">IF(B17&gt;=$J$5,0,(CONTADORES!C9-CONTADORES!C8))</f>
        <v>0</v>
      </c>
      <c r="AR17" s="1404">
        <f ca="1">IF(B17&gt;=$J$5,0,(CONTADORES!BC9-CONTADORES!BC8))</f>
        <v>0.47300000000001319</v>
      </c>
      <c r="AS17" s="1397">
        <f ca="1">IF(B17&gt;=$J$5,0,CONTADORES!S9-CONTADORES!S8)</f>
        <v>17.299999999988358</v>
      </c>
      <c r="AT17" s="1397">
        <f ca="1">IF(B17&gt;=$J$5,0,(CONTADORES!U9-CONTADORES!U8)+(CONTADORES!AG9-CONTADORES!AG8))</f>
        <v>2.0999999999985448</v>
      </c>
      <c r="AU17" s="1397">
        <f>CONTADORES!I9-CONTADORES!I8</f>
        <v>83.600000000005821</v>
      </c>
      <c r="AV17" s="1397">
        <f>CONTADORES!AV9-CONTADORES!AV8</f>
        <v>41.600000000005821</v>
      </c>
      <c r="AW17" s="1397">
        <f ca="1">IF(B17&gt;=$J$5,0,(CONTADORES!N9-CONTADORES!N8)+(CONTADORES!AN9-CONTADORES!AN8))</f>
        <v>2.1999999999970896</v>
      </c>
      <c r="AX17" s="1397">
        <f ca="1">IF(B17&gt;=$J$5,0,(CONTADORES!P9-CONTADORES!P8)+(CONTADORES!AL9-CONTADORES!AL8))</f>
        <v>23.5</v>
      </c>
      <c r="AY17" s="1397">
        <f ca="1">IF(B17&gt;=$J$5,0,(CONTADORES!AJ9-CONTADORES!AJ8))</f>
        <v>8.5999999999985448</v>
      </c>
      <c r="AZ17" s="1397">
        <f ca="1">IF(B17&gt;=$J$5,0,(CONTADORES!R9-CONTADORES!R8))</f>
        <v>12.80000000000291</v>
      </c>
      <c r="BA17" s="1405">
        <f t="shared" ca="1" si="14"/>
        <v>13.597999999972728</v>
      </c>
      <c r="BB17" s="1406">
        <f ca="1">IF(B17&gt;=$J$5,0,(((CONTADORES!G9-CONTADORES!G8)+(CONTADORES!AR9-CONTADORES!AR8))))-AV17-BC17-BT17-BW17-BZ17-CE17</f>
        <v>5.6730000000176428</v>
      </c>
      <c r="BC17" s="1399">
        <f ca="1">IF(B17&gt;=$J$5,0,(CONTADORES!AY9-CONTADORES!AY8)+(CONTADORES!BA9-CONTADORES!BA8)+(CONTADORES!BF9-CONTADORES!BF8))-CC17</f>
        <v>1.125</v>
      </c>
      <c r="BD17" s="1397">
        <f t="shared" ca="1" si="15"/>
        <v>196.67299999999983</v>
      </c>
      <c r="BE17" s="1397">
        <f ca="1">IF($B17&gt;=$J$5,0,CONTADORES!$BG9)</f>
        <v>6779.78</v>
      </c>
      <c r="BF17" s="1397">
        <f ca="1">IF($B17&gt;=$J$5,0,CONTADORES!$BH9)</f>
        <v>14289.931578947368</v>
      </c>
      <c r="BG17" s="1397">
        <f ca="1">IF($B17&gt;=$J$5,0,CONTADORES!$BJ9)</f>
        <v>5304.3499999999995</v>
      </c>
      <c r="BH17" s="1397">
        <f ca="1">IF(B17&gt;=$J$5,0,((CONTADORES!BK9-CONTADORES!BK8)/1000))</f>
        <v>1.46</v>
      </c>
      <c r="BI17" s="1397">
        <f ca="1">IF(C17&gt;=$J$5,0,((CONTADORES!BL9-CONTADORES!BL8)/1000))</f>
        <v>1.4</v>
      </c>
      <c r="BJ17" s="1397">
        <f ca="1">IF(C17&gt;=$J$5,0,((CONTADORES!BM9-CONTADORES!BM8)/1000))</f>
        <v>0</v>
      </c>
      <c r="BK17" s="1397">
        <f ca="1">IF(D17&gt;=$J$5,0,((CONTADORES!BN9-CONTADORES!BN8)/1000))</f>
        <v>0</v>
      </c>
      <c r="BL17" s="1399">
        <f t="shared" ca="1" si="16"/>
        <v>1.46</v>
      </c>
      <c r="BM17" s="1399">
        <f t="shared" ca="1" si="17"/>
        <v>1.4</v>
      </c>
      <c r="BN17" s="1397">
        <f ca="1">IF(W17&gt;=$J$5,0,CONTADORES!$BO9)</f>
        <v>137.53028599982156</v>
      </c>
      <c r="BO17" s="1397">
        <f ca="1">IF(W17&gt;=$J$5,0,CONTADORES!$BP9)</f>
        <v>46.053766251674901</v>
      </c>
      <c r="BP17" s="1397">
        <f ca="1">IF(W17&gt;=$J$5,0,CONTADORES!$BQ9)</f>
        <v>655.37978297583936</v>
      </c>
      <c r="BQ17" s="1397">
        <f ca="1">IF(B17&gt;=$J$5,0,(CONTADORES!AS9-CONTADORES!AS8))</f>
        <v>5.2000000000043656</v>
      </c>
      <c r="BR17" s="1397">
        <f ca="1">IF(C17&gt;=$J$5,0,(CONTADORES!AT9-CONTADORES!AT8))</f>
        <v>0</v>
      </c>
      <c r="BS17" s="1397">
        <f ca="1">IF(B17&gt;=$J$5,0,CONTADORES!BR9-CONTADORES!BR8)/1000</f>
        <v>0</v>
      </c>
      <c r="BT17" s="1397">
        <f ca="1">IF(B17&gt;=$J$5,0,CONTADORES!BS9-CONTADORES!BS8)</f>
        <v>0</v>
      </c>
      <c r="BU17" s="1397">
        <f ca="1">IF(B17&gt;=$J$5,0,CONTADORES!BT9-CONTADORES!BT8)</f>
        <v>0</v>
      </c>
      <c r="BV17" s="1397">
        <f ca="1">IF(B17&gt;=$J$5,0,CONTADORES!BU9-CONTADORES!BU8)/1000</f>
        <v>2.3380000000000001</v>
      </c>
      <c r="BW17" s="1397">
        <f ca="1">IF(B17&gt;=$J$5,0,CONTADORES!BV9-CONTADORES!BV8)/1000</f>
        <v>0.3</v>
      </c>
      <c r="BX17" s="1397">
        <f ca="1">IF(B17&gt;=$J$5,0,CONTADORES!BW9-CONTADORES!BW8)</f>
        <v>12.600000000002183</v>
      </c>
      <c r="BY17" s="1397">
        <f ca="1">IF(B17&gt;=$J$5,0,CONTADORES!BX9-CONTADORES!BX8)/1000</f>
        <v>1.448</v>
      </c>
      <c r="BZ17" s="1397">
        <f ca="1">IF(B17&gt;=$J$5,0,CONTADORES!BY9-CONTADORES!BY8)/1000</f>
        <v>2E-3</v>
      </c>
      <c r="CA17" s="1397">
        <f ca="1">IF(B17&gt;=$J$5,0,CONTADORES!BZ9-CONTADORES!BZ8)</f>
        <v>12.600000000000364</v>
      </c>
      <c r="CB17" s="1397">
        <f ca="1">IF(B17&gt;=$J$5,0,(CONTADORES!CC9-CONTADORES!CC8)+(CONTADORES!CE9-CONTADORES!CE8))/1000</f>
        <v>1.387</v>
      </c>
      <c r="CC17" s="1397">
        <f ca="1">IF(B17&gt;=$J$5,0,(CONTADORES!CD9-CONTADORES!CD8)+(CONTADORES!CF9-CONTADORES!CF8))/1000</f>
        <v>0.875</v>
      </c>
      <c r="CD17" s="1397">
        <f ca="1">IF(B17&gt;=$J$5,0,CONTADORES!CA9-CONTADORES!CA8)</f>
        <v>4.3000000000001819</v>
      </c>
      <c r="CE17" s="1397">
        <f ca="1">IF(B17&gt;=$J$5,0,CONTADORES!CB9-CONTADORES!CB8)</f>
        <v>2.7999999999992724</v>
      </c>
      <c r="CF17" s="1397">
        <f t="shared" ca="1" si="18"/>
        <v>6.5469999999820772</v>
      </c>
      <c r="CG17" s="1397">
        <f t="shared" ca="1" si="19"/>
        <v>5.6365000000080938</v>
      </c>
      <c r="CH17" s="1397">
        <f t="shared" ca="1" si="20"/>
        <v>2.2469999999818953</v>
      </c>
      <c r="CI17" s="1397">
        <f t="shared" ca="1" si="21"/>
        <v>1.0532000000000041</v>
      </c>
      <c r="CJ17" s="1397">
        <f t="shared" ca="1" si="22"/>
        <v>2.2469999999818953</v>
      </c>
      <c r="CK17" s="1397">
        <f t="shared" ca="1" si="23"/>
        <v>1.5798000000000061</v>
      </c>
      <c r="CL17" s="1397">
        <f t="shared" ca="1" si="24"/>
        <v>2.4402000000000044</v>
      </c>
      <c r="CM17" s="1397">
        <f t="shared" ca="1" si="25"/>
        <v>2.8365000000088214</v>
      </c>
      <c r="CN17" s="1397">
        <f ca="1">IF(B17&gt;=$J$5,0,CONTADORES!CB9-CONTADORES!CB8)</f>
        <v>2.7999999999992724</v>
      </c>
      <c r="CO17" s="1397">
        <f t="shared" ca="1" si="26"/>
        <v>2.8365000000088214</v>
      </c>
      <c r="CP17" s="1402">
        <f t="shared" ca="1" si="27"/>
        <v>0.5625</v>
      </c>
      <c r="CQ17" s="1397">
        <f t="shared" ca="1" si="28"/>
        <v>0.5625</v>
      </c>
      <c r="CR17" s="1397">
        <f t="shared" ca="1" si="29"/>
        <v>1.4375</v>
      </c>
      <c r="CS17" s="1403">
        <f ca="1">IF($B17&gt;=$J$5,0,CONTADORES!$BI9)</f>
        <v>4712.9045301954875</v>
      </c>
      <c r="CT17" s="1334">
        <f>CONTADORES!E9</f>
        <v>0</v>
      </c>
      <c r="CU17" s="1334">
        <f>CONTADORES!CG9</f>
        <v>1</v>
      </c>
    </row>
    <row r="18" spans="1:119">
      <c r="B18" s="214">
        <v>44934</v>
      </c>
      <c r="C18" s="198">
        <f t="shared" ca="1" si="0"/>
        <v>149.40000000002328</v>
      </c>
      <c r="D18" s="196">
        <f ca="1">'CALCULO DE GAS'!D11</f>
        <v>3.3598668202248922</v>
      </c>
      <c r="E18" s="196">
        <f ca="1">IF(B18&gt;=$J$5,0,(CONTADORES!$AD10-CONTADORES!$AD9)-$H18)</f>
        <v>24</v>
      </c>
      <c r="F18" s="198">
        <f t="shared" ca="1" si="1"/>
        <v>0</v>
      </c>
      <c r="G18" s="196">
        <f ca="1">IF(B18&gt;=$J$5,0,CONTADORES!$AF10-CONTADORES!$AF9)</f>
        <v>0</v>
      </c>
      <c r="H18" s="1396">
        <f ca="1">IF(G18&gt;0,CONTADORES!$AE10-CONTADORES!$AE9,0)</f>
        <v>0</v>
      </c>
      <c r="I18" s="199">
        <f ca="1">IF(B18&gt;=$J$5,0,CONTADORES!$AB10-CONTADORES!$AB9)</f>
        <v>149.40000000002328</v>
      </c>
      <c r="J18" s="198">
        <f t="shared" ca="1" si="2"/>
        <v>291.39999999999964</v>
      </c>
      <c r="K18" s="196">
        <f ca="1">'CALCULO DE GAS'!E11</f>
        <v>4.412900528089887</v>
      </c>
      <c r="L18" s="1396">
        <f ca="1">IF(B18&gt;=$J$5,0,(CONTADORES!$Y10-CONTADORES!$Y9)-$O18)</f>
        <v>24</v>
      </c>
      <c r="M18" s="1396">
        <f t="shared" ca="1" si="3"/>
        <v>0</v>
      </c>
      <c r="N18" s="1396">
        <f ca="1">IF(B18&gt;=$J$5,0,CONTADORES!$AA10-CONTADORES!$AA9)</f>
        <v>0</v>
      </c>
      <c r="O18" s="1396">
        <f ca="1">IF(N18&gt;0,CONTADORES!$Z10-CONTADORES!$Z9,0)</f>
        <v>0</v>
      </c>
      <c r="P18" s="202">
        <f ca="1">IF(B18&gt;=$J$5,0,CONTADORES!$W10-CONTADORES!$W9)</f>
        <v>291.39999999999964</v>
      </c>
      <c r="Q18" s="202">
        <f ca="1">IF(B18&gt;=$J$5,0,CONTADORES!$B10-CONTADORES!$B9)</f>
        <v>0</v>
      </c>
      <c r="R18" s="196">
        <f t="shared" ca="1" si="4"/>
        <v>0</v>
      </c>
      <c r="S18" s="11">
        <f ca="1">IF(B18&gt;=$J$5,0,CONTADORES!$D10-CONTADORES!$D9)</f>
        <v>0</v>
      </c>
      <c r="T18" s="209">
        <f ca="1">IF(B18&gt;=$J$5,0,CONTADORES!$BB10-CONTADORES!$BB9)</f>
        <v>0</v>
      </c>
      <c r="U18" s="196">
        <f t="shared" ca="1" si="5"/>
        <v>0</v>
      </c>
      <c r="V18" s="199">
        <f ca="1">IF(B18&gt;=$J$5,0,CONTADORES!$BD10-CONTADORES!$BD9)</f>
        <v>0</v>
      </c>
      <c r="W18" s="1397">
        <f t="shared" ca="1" si="6"/>
        <v>440.80000000002292</v>
      </c>
      <c r="X18" s="1397">
        <f t="shared" ca="1" si="7"/>
        <v>0</v>
      </c>
      <c r="Y18" s="1398">
        <f t="shared" ca="1" si="8"/>
        <v>440.80000000002292</v>
      </c>
      <c r="Z18" s="1398">
        <f t="shared" ca="1" si="9"/>
        <v>7.7727673483147797</v>
      </c>
      <c r="AA18" s="1398">
        <f t="shared" ca="1" si="10"/>
        <v>0</v>
      </c>
      <c r="AB18" s="1398">
        <f t="shared" ca="1" si="11"/>
        <v>48</v>
      </c>
      <c r="AC18" s="1397">
        <f t="shared" ca="1" si="12"/>
        <v>0</v>
      </c>
      <c r="AD18" s="1397">
        <f ca="1">IF(B18&gt;=$J$5,0,CONTADORES!H10-CONTADORES!H9)</f>
        <v>165.90000000002328</v>
      </c>
      <c r="AE18" s="1397">
        <f ca="1">IF(B18&gt;=$J$5,0,CONTADORES!J10-CONTADORES!J9)</f>
        <v>24</v>
      </c>
      <c r="AF18" s="1397">
        <f ca="1">IF(B18&gt;=$J$5,0,CONTADORES!AU10-CONTADORES!AU9)</f>
        <v>146.09999999997672</v>
      </c>
      <c r="AG18" s="1397">
        <f ca="1">IF(B18&gt;=$J$5,0,CONTADORES!AW10-CONTADORES!AW9)</f>
        <v>24</v>
      </c>
      <c r="AH18" s="1397">
        <f ca="1">IF(B18&gt;=$J$5,0,(CONTADORES!AM10-CONTADORES!AM9)+(CONTADORES!M10-CONTADORES!M9))</f>
        <v>14.30000000000291</v>
      </c>
      <c r="AI18" s="1397">
        <f ca="1">IF(B18&gt;=$J$5,0,(CONTADORES!AK10-CONTADORES!AK9)+(CONTADORES!O10-CONTADORES!O9))</f>
        <v>31.19999999999709</v>
      </c>
      <c r="AJ18" s="1397">
        <f ca="1">IF(B18&gt;=$J$5,0,(CONTADORES!AI10-CONTADORES!AI9))</f>
        <v>7.9000000000087311</v>
      </c>
      <c r="AK18" s="1397">
        <f ca="1">IF(B18&gt;=$J$5,0,(CONTADORES!Q10-CONTADORES!Q9))</f>
        <v>15.5</v>
      </c>
      <c r="AL18" s="1402">
        <f t="shared" ca="1" si="13"/>
        <v>32.099999999954946</v>
      </c>
      <c r="AM18" s="1397">
        <f ca="1">IF(B18&gt;=$J$5,0,(((CONTADORES!F10-CONTADORES!F9)+(CONTADORES!AQ10-CONTADORES!AQ9))))-BS18-AF18-AN18-BV18-BY18-CD18-CB18</f>
        <v>8.4870000000600267</v>
      </c>
      <c r="AN18" s="1397">
        <f ca="1">IF(B18&gt;=$J$5,0,(CONTADORES!AX10-CONTADORES!AX9)+(CONTADORES!AZ10-CONTADORES!AZ9)+(CONTADORES!BE10-CONTADORES!BE9))-CB18</f>
        <v>3.4329999999996361</v>
      </c>
      <c r="AO18" s="1399">
        <f ca="1">IF(B18&gt;=$J$5,0,(CONTADORES!AC10-CONTADORES!AC9))</f>
        <v>71.299999999988358</v>
      </c>
      <c r="AP18" s="1399">
        <f ca="1">IF(B18&gt;=$J$5,0,(CONTADORES!X10-CONTADORES!X9))</f>
        <v>152.60000000000036</v>
      </c>
      <c r="AQ18" s="1404">
        <f ca="1">IF(B18&gt;=$J$5,0,(CONTADORES!C10-CONTADORES!C9))</f>
        <v>0</v>
      </c>
      <c r="AR18" s="1404">
        <f ca="1">IF(B18&gt;=$J$5,0,(CONTADORES!BC10-CONTADORES!BC9))</f>
        <v>0</v>
      </c>
      <c r="AS18" s="1397">
        <f ca="1">IF(B18&gt;=$J$5,0,CONTADORES!S10-CONTADORES!S9)</f>
        <v>16.899999999994179</v>
      </c>
      <c r="AT18" s="1397">
        <f ca="1">IF(B18&gt;=$J$5,0,(CONTADORES!U10-CONTADORES!U9)+(CONTADORES!AG10-CONTADORES!AG9))</f>
        <v>2</v>
      </c>
      <c r="AU18" s="1397">
        <f>CONTADORES!I10-CONTADORES!I9</f>
        <v>84.200000000011642</v>
      </c>
      <c r="AV18" s="1397">
        <f>CONTADORES!AV10-CONTADORES!AV9</f>
        <v>63.399999999994179</v>
      </c>
      <c r="AW18" s="1397">
        <f ca="1">IF(B18&gt;=$J$5,0,(CONTADORES!N10-CONTADORES!N9)+(CONTADORES!AN10-CONTADORES!AN9))</f>
        <v>5.7000000000007276</v>
      </c>
      <c r="AX18" s="1397">
        <f ca="1">IF(B18&gt;=$J$5,0,(CONTADORES!P10-CONTADORES!P9)+(CONTADORES!AL10-CONTADORES!AL9))</f>
        <v>24.099999999998545</v>
      </c>
      <c r="AY18" s="1397">
        <f ca="1">IF(B18&gt;=$J$5,0,(CONTADORES!AJ10-CONTADORES!AJ9))</f>
        <v>6.2999999999956344</v>
      </c>
      <c r="AZ18" s="1397">
        <f ca="1">IF(B18&gt;=$J$5,0,(CONTADORES!R10-CONTADORES!R9))</f>
        <v>12.599999999991269</v>
      </c>
      <c r="BA18" s="1405">
        <f t="shared" ca="1" si="14"/>
        <v>11.590000000001794</v>
      </c>
      <c r="BB18" s="1406">
        <f ca="1">IF(B18&gt;=$J$5,0,(((CONTADORES!G10-CONTADORES!G9)+(CONTADORES!AR10-CONTADORES!AR9))))-AV18-BC18-BT18-BW18-BZ18-CE18</f>
        <v>8.4919999999945421</v>
      </c>
      <c r="BC18" s="1399">
        <f ca="1">IF(B18&gt;=$J$5,0,(CONTADORES!AY10-CONTADORES!AY9)+(CONTADORES!BA10-CONTADORES!BA9)+(CONTADORES!BF10-CONTADORES!BF9))-CC18</f>
        <v>1.1900000000003637</v>
      </c>
      <c r="BD18" s="1397">
        <f t="shared" ca="1" si="15"/>
        <v>223.89999999998872</v>
      </c>
      <c r="BE18" s="1397">
        <f ca="1">IF($B18&gt;=$J$5,0,CONTADORES!$BG10)</f>
        <v>6812.62</v>
      </c>
      <c r="BF18" s="1397">
        <f ca="1">IF($B18&gt;=$J$5,0,CONTADORES!$BH10)</f>
        <v>31890.489473684218</v>
      </c>
      <c r="BG18" s="1397">
        <f ca="1">IF($B18&gt;=$J$5,0,CONTADORES!$BJ10)</f>
        <v>6858.9599999999982</v>
      </c>
      <c r="BH18" s="1397">
        <f ca="1">IF(B18&gt;=$J$5,0,((CONTADORES!BK10-CONTADORES!BK9)/1000))</f>
        <v>1.5760000000000001</v>
      </c>
      <c r="BI18" s="1397">
        <f ca="1">IF(C18&gt;=$J$5,0,((CONTADORES!BL10-CONTADORES!BL9)/1000))</f>
        <v>1.5529999999999999</v>
      </c>
      <c r="BJ18" s="1397">
        <f ca="1">IF(C18&gt;=$J$5,0,((CONTADORES!BM10-CONTADORES!BM9)/1000))</f>
        <v>0</v>
      </c>
      <c r="BK18" s="1397">
        <f ca="1">IF(D18&gt;=$J$5,0,((CONTADORES!BN10-CONTADORES!BN9)/1000))</f>
        <v>0</v>
      </c>
      <c r="BL18" s="1399">
        <f t="shared" ca="1" si="16"/>
        <v>1.5760000000000001</v>
      </c>
      <c r="BM18" s="1399">
        <f t="shared" ca="1" si="17"/>
        <v>1.5529999999999999</v>
      </c>
      <c r="BN18" s="1397">
        <f ca="1">IF(W18&gt;=$J$5,0,CONTADORES!$BO10)</f>
        <v>138.83457178536267</v>
      </c>
      <c r="BO18" s="1397">
        <f ca="1">IF(W18&gt;=$J$5,0,CONTADORES!$BP10)</f>
        <v>46.005126331966892</v>
      </c>
      <c r="BP18" s="1397">
        <f ca="1">IF(W18&gt;=$J$5,0,CONTADORES!$BQ10)</f>
        <v>660.64053882464668</v>
      </c>
      <c r="BQ18" s="1397">
        <f ca="1">IF(B18&gt;=$J$5,0,(CONTADORES!AS10-CONTADORES!AS9))</f>
        <v>4.5</v>
      </c>
      <c r="BR18" s="1397">
        <f ca="1">IF(C18&gt;=$J$5,0,(CONTADORES!AT10-CONTADORES!AT9))</f>
        <v>0</v>
      </c>
      <c r="BS18" s="1397">
        <f ca="1">IF(B18&gt;=$J$5,0,CONTADORES!BR10-CONTADORES!BR9)/1000</f>
        <v>0</v>
      </c>
      <c r="BT18" s="1397">
        <f ca="1">IF(B18&gt;=$J$5,0,CONTADORES!BS10-CONTADORES!BS9)</f>
        <v>0</v>
      </c>
      <c r="BU18" s="1397">
        <f ca="1">IF(B18&gt;=$J$5,0,CONTADORES!BT10-CONTADORES!BT9)</f>
        <v>0</v>
      </c>
      <c r="BV18" s="1397">
        <f ca="1">IF(B18&gt;=$J$5,0,CONTADORES!BU10-CONTADORES!BU9)/1000</f>
        <v>4.5460000000000003</v>
      </c>
      <c r="BW18" s="1397">
        <f ca="1">IF(B18&gt;=$J$5,0,CONTADORES!BV10-CONTADORES!BV9)/1000</f>
        <v>0.91600000000000004</v>
      </c>
      <c r="BX18" s="1397">
        <f ca="1">IF(B18&gt;=$J$5,0,CONTADORES!BW10-CONTADORES!BW9)</f>
        <v>23.899999999997817</v>
      </c>
      <c r="BY18" s="1397">
        <f ca="1">IF(B18&gt;=$J$5,0,CONTADORES!BX10-CONTADORES!BX9)/1000</f>
        <v>2.9670000000000001</v>
      </c>
      <c r="BZ18" s="1397">
        <f ca="1">IF(B18&gt;=$J$5,0,CONTADORES!BY10-CONTADORES!BY9)/1000</f>
        <v>2E-3</v>
      </c>
      <c r="CA18" s="1397">
        <f ca="1">IF(B18&gt;=$J$5,0,CONTADORES!BZ10-CONTADORES!BZ9)</f>
        <v>24</v>
      </c>
      <c r="CB18" s="1397">
        <f ca="1">IF(B18&gt;=$J$5,0,(CONTADORES!CC10-CONTADORES!CC9)+(CONTADORES!CE10-CONTADORES!CE9))/1000</f>
        <v>1.4670000000000001</v>
      </c>
      <c r="CC18" s="1397">
        <f ca="1">IF(B18&gt;=$J$5,0,(CONTADORES!CD10-CONTADORES!CD9)+(CONTADORES!CF10-CONTADORES!CF9))/1000</f>
        <v>0.91</v>
      </c>
      <c r="CD18" s="1397">
        <f ca="1">IF(B18&gt;=$J$5,0,CONTADORES!CA10-CONTADORES!CA9)</f>
        <v>6.8999999999996362</v>
      </c>
      <c r="CE18" s="1397">
        <f ca="1">IF(B18&gt;=$J$5,0,CONTADORES!CB10-CONTADORES!CB9)</f>
        <v>4.5</v>
      </c>
      <c r="CF18" s="1397">
        <f t="shared" ca="1" si="18"/>
        <v>11.14350000002965</v>
      </c>
      <c r="CG18" s="1397">
        <f t="shared" ca="1" si="19"/>
        <v>8.7459999999972702</v>
      </c>
      <c r="CH18" s="1397">
        <f t="shared" ca="1" si="20"/>
        <v>4.2435000000300134</v>
      </c>
      <c r="CI18" s="1397">
        <f t="shared" ca="1" si="21"/>
        <v>1.3731999999998545</v>
      </c>
      <c r="CJ18" s="1397">
        <f t="shared" ca="1" si="22"/>
        <v>4.2435000000300134</v>
      </c>
      <c r="CK18" s="1397">
        <f t="shared" ca="1" si="23"/>
        <v>2.0597999999997816</v>
      </c>
      <c r="CL18" s="1397">
        <f t="shared" ca="1" si="24"/>
        <v>2.8401999999998546</v>
      </c>
      <c r="CM18" s="1397">
        <f t="shared" ca="1" si="25"/>
        <v>4.2459999999972711</v>
      </c>
      <c r="CN18" s="1397">
        <f ca="1">IF(B18&gt;=$J$5,0,CONTADORES!CB10-CONTADORES!CB9)</f>
        <v>4.5</v>
      </c>
      <c r="CO18" s="1397">
        <f t="shared" ca="1" si="26"/>
        <v>4.2459999999972711</v>
      </c>
      <c r="CP18" s="1397">
        <f t="shared" ca="1" si="27"/>
        <v>0.59500000000018183</v>
      </c>
      <c r="CQ18" s="1397">
        <f t="shared" ca="1" si="28"/>
        <v>0.59500000000018183</v>
      </c>
      <c r="CR18" s="1397">
        <f t="shared" ca="1" si="29"/>
        <v>1.505000000000182</v>
      </c>
      <c r="CS18" s="1403">
        <f ca="1">IF($B18&gt;=$J$5,0,CONTADORES!$BI10)</f>
        <v>8957.2669552346397</v>
      </c>
      <c r="CT18" s="1334">
        <f>CONTADORES!E10</f>
        <v>0</v>
      </c>
      <c r="CU18" s="1334">
        <f>CONTADORES!CG10</f>
        <v>0</v>
      </c>
    </row>
    <row r="19" spans="1:119">
      <c r="B19" s="214">
        <v>44935</v>
      </c>
      <c r="C19" s="198">
        <f t="shared" ca="1" si="0"/>
        <v>148.30000000004657</v>
      </c>
      <c r="D19" s="196">
        <f ca="1">'CALCULO DE GAS'!D12</f>
        <v>3.3517095168542781</v>
      </c>
      <c r="E19" s="196">
        <f ca="1">IF(B19&gt;=$J$5,0,(CONTADORES!$AD11-CONTADORES!$AD10)-$H19)</f>
        <v>24</v>
      </c>
      <c r="F19" s="198">
        <f t="shared" ca="1" si="1"/>
        <v>0</v>
      </c>
      <c r="G19" s="196">
        <f ca="1">IF(B19&gt;=$J$5,0,CONTADORES!$AF11-CONTADORES!$AF10)</f>
        <v>0</v>
      </c>
      <c r="H19" s="1396">
        <f ca="1">IF(G19&gt;0,CONTADORES!$AE11-CONTADORES!$AE10,0)</f>
        <v>0</v>
      </c>
      <c r="I19" s="199">
        <f ca="1">IF(B19&gt;=$J$5,0,CONTADORES!$AB11-CONTADORES!$AB10)</f>
        <v>148.30000000004657</v>
      </c>
      <c r="J19" s="198">
        <f t="shared" ca="1" si="2"/>
        <v>287.09999999999854</v>
      </c>
      <c r="K19" s="196">
        <f ca="1">'CALCULO DE GAS'!E12</f>
        <v>4.3810128876404395</v>
      </c>
      <c r="L19" s="1396">
        <f ca="1">IF(B19&gt;=$J$5,0,(CONTADORES!$Y11-CONTADORES!$Y10)-$O19)</f>
        <v>24</v>
      </c>
      <c r="M19" s="1396">
        <f t="shared" ca="1" si="3"/>
        <v>0</v>
      </c>
      <c r="N19" s="1396">
        <f ca="1">IF(B19&gt;=$J$5,0,CONTADORES!$AA11-CONTADORES!$AA10)</f>
        <v>0</v>
      </c>
      <c r="O19" s="1396">
        <f ca="1">IF(N19&gt;0,CONTADORES!$Z11-CONTADORES!$Z10,0)</f>
        <v>0</v>
      </c>
      <c r="P19" s="202">
        <f ca="1">IF(B19&gt;=$J$5,0,CONTADORES!$W11-CONTADORES!$W10)</f>
        <v>287.09999999999854</v>
      </c>
      <c r="Q19" s="202">
        <f ca="1">IF(B19&gt;=$J$5,0,CONTADORES!$B11-CONTADORES!$B10)</f>
        <v>0.18200000000001637</v>
      </c>
      <c r="R19" s="196">
        <f t="shared" ca="1" si="4"/>
        <v>21.840000000001965</v>
      </c>
      <c r="S19" s="11">
        <f ca="1">IF(B19&gt;=$J$5,0,CONTADORES!$D11-CONTADORES!$D10)</f>
        <v>0.5</v>
      </c>
      <c r="T19" s="209">
        <f ca="1">IF(B19&gt;=$J$5,0,CONTADORES!$BB11-CONTADORES!$BB10)</f>
        <v>0.42399999999997817</v>
      </c>
      <c r="U19" s="196">
        <f t="shared" ca="1" si="5"/>
        <v>50.879999999997381</v>
      </c>
      <c r="V19" s="199">
        <f ca="1">IF(B19&gt;=$J$5,0,CONTADORES!$BD11-CONTADORES!$BD10)</f>
        <v>0.56999999999993634</v>
      </c>
      <c r="W19" s="1397">
        <f t="shared" ca="1" si="6"/>
        <v>435.40000000004511</v>
      </c>
      <c r="X19" s="1397">
        <f t="shared" ca="1" si="7"/>
        <v>0.60599999999999454</v>
      </c>
      <c r="Y19" s="1398">
        <f t="shared" ca="1" si="8"/>
        <v>436.00600000004511</v>
      </c>
      <c r="Z19" s="1398">
        <f t="shared" ca="1" si="9"/>
        <v>7.7327224044947176</v>
      </c>
      <c r="AA19" s="1398">
        <f t="shared" ca="1" si="10"/>
        <v>72.719999999999345</v>
      </c>
      <c r="AB19" s="1398">
        <f t="shared" ca="1" si="11"/>
        <v>48</v>
      </c>
      <c r="AC19" s="1397">
        <f t="shared" ca="1" si="12"/>
        <v>1.0699999999999363</v>
      </c>
      <c r="AD19" s="1397">
        <f ca="1">IF(B19&gt;=$J$5,0,CONTADORES!H11-CONTADORES!H10)</f>
        <v>159.59999999997672</v>
      </c>
      <c r="AE19" s="1397">
        <f ca="1">IF(B19&gt;=$J$5,0,CONTADORES!J11-CONTADORES!J10)</f>
        <v>24</v>
      </c>
      <c r="AF19" s="1397">
        <f ca="1">IF(B19&gt;=$J$5,0,CONTADORES!AU11-CONTADORES!AU10)</f>
        <v>139.60000000003492</v>
      </c>
      <c r="AG19" s="1397">
        <f ca="1">IF(B19&gt;=$J$5,0,CONTADORES!AW11-CONTADORES!AW10)</f>
        <v>24</v>
      </c>
      <c r="AH19" s="1397">
        <f ca="1">IF(B19&gt;=$J$5,0,(CONTADORES!AM11-CONTADORES!AM10)+(CONTADORES!M11-CONTADORES!M10))</f>
        <v>15.399999999994179</v>
      </c>
      <c r="AI19" s="1397">
        <f ca="1">IF(B19&gt;=$J$5,0,(CONTADORES!AK11-CONTADORES!AK10)+(CONTADORES!O11-CONTADORES!O10))</f>
        <v>31.999999999992724</v>
      </c>
      <c r="AJ19" s="1397">
        <f ca="1">IF(B19&gt;=$J$5,0,(CONTADORES!AI11-CONTADORES!AI10))</f>
        <v>7.7999999999883585</v>
      </c>
      <c r="AK19" s="1397">
        <f ca="1">IF(B19&gt;=$J$5,0,(CONTADORES!Q11-CONTADORES!Q10))</f>
        <v>15.800000000017462</v>
      </c>
      <c r="AL19" s="1402">
        <f t="shared" ca="1" si="13"/>
        <v>37.406000000075608</v>
      </c>
      <c r="AM19" s="1397">
        <f ca="1">IF(B19&gt;=$J$5,0,(((CONTADORES!F11-CONTADORES!F10)+(CONTADORES!AQ11-CONTADORES!AQ10))))-BS19-AF19-AN19-BV19-BY19-CD19-CB19</f>
        <v>8.0049999999646193</v>
      </c>
      <c r="AN19" s="1397">
        <f ca="1">IF(B19&gt;=$J$5,0,(CONTADORES!AX11-CONTADORES!AX10)+(CONTADORES!AZ11-CONTADORES!AZ10)+(CONTADORES!BE11-CONTADORES!BE10))-CB19</f>
        <v>3.4690000000004551</v>
      </c>
      <c r="AO19" s="1399">
        <f ca="1">IF(B19&gt;=$J$5,0,(CONTADORES!AC11-CONTADORES!AC10))</f>
        <v>76.299999999988358</v>
      </c>
      <c r="AP19" s="1399">
        <f ca="1">IF(B19&gt;=$J$5,0,(CONTADORES!X11-CONTADORES!X10))</f>
        <v>144.5</v>
      </c>
      <c r="AQ19" s="1404">
        <f ca="1">IF(B19&gt;=$J$5,0,(CONTADORES!C11-CONTADORES!C10))</f>
        <v>4.100000000005366E-2</v>
      </c>
      <c r="AR19" s="1404">
        <f ca="1">IF(B19&gt;=$J$5,0,(CONTADORES!BC11-CONTADORES!BC10))</f>
        <v>0.16399999999998727</v>
      </c>
      <c r="AS19" s="1397">
        <f ca="1">IF(B19&gt;=$J$5,0,CONTADORES!S11-CONTADORES!S10)</f>
        <v>17.200000000011642</v>
      </c>
      <c r="AT19" s="1397">
        <f ca="1">IF(B19&gt;=$J$5,0,(CONTADORES!U11-CONTADORES!U10)+(CONTADORES!AG11-CONTADORES!AG10))</f>
        <v>2.0999999999985448</v>
      </c>
      <c r="AU19" s="1397">
        <f>CONTADORES!I11-CONTADORES!I10</f>
        <v>81.5</v>
      </c>
      <c r="AV19" s="1397">
        <f>CONTADORES!AV11-CONTADORES!AV10</f>
        <v>61</v>
      </c>
      <c r="AW19" s="1397">
        <f ca="1">IF(B19&gt;=$J$5,0,(CONTADORES!N11-CONTADORES!N10)+(CONTADORES!AN11-CONTADORES!AN10))</f>
        <v>5.9000000000014552</v>
      </c>
      <c r="AX19" s="1397">
        <f ca="1">IF(B19&gt;=$J$5,0,(CONTADORES!P11-CONTADORES!P10)+(CONTADORES!AL11-CONTADORES!AL10))</f>
        <v>24.80000000000291</v>
      </c>
      <c r="AY19" s="1397">
        <f ca="1">IF(B19&gt;=$J$5,0,(CONTADORES!AJ11-CONTADORES!AJ10))</f>
        <v>6.2000000000043656</v>
      </c>
      <c r="AZ19" s="1397">
        <f ca="1">IF(B19&gt;=$J$5,0,(CONTADORES!R11-CONTADORES!R10))</f>
        <v>12.80000000000291</v>
      </c>
      <c r="BA19" s="1408">
        <f t="shared" ca="1" si="14"/>
        <v>15.059999999982892</v>
      </c>
      <c r="BB19" s="1406">
        <f ca="1">IF(B19&gt;=$J$5,0,(((CONTADORES!G11-CONTADORES!G10)+(CONTADORES!AR11-CONTADORES!AR10))))-AV19-BC19-BT19-BW19-BZ19-CE19</f>
        <v>5.9819999999936346</v>
      </c>
      <c r="BC19" s="1399">
        <f ca="1">IF(B19&gt;=$J$5,0,(CONTADORES!AY11-CONTADORES!AY10)+(CONTADORES!BA11-CONTADORES!BA10)+(CONTADORES!BF11-CONTADORES!BF10))-CC19</f>
        <v>1.2549999999998183</v>
      </c>
      <c r="BD19" s="1397">
        <f t="shared" ca="1" si="15"/>
        <v>221.0049999999884</v>
      </c>
      <c r="BE19" s="1397">
        <f ca="1">IF($B19&gt;=$J$5,0,CONTADORES!$BG11)</f>
        <v>6692.2899999999991</v>
      </c>
      <c r="BF19" s="1397">
        <f ca="1">IF($B19&gt;=$J$5,0,CONTADORES!$BH11)</f>
        <v>29326.224561403502</v>
      </c>
      <c r="BG19" s="1397">
        <f ca="1">IF($B19&gt;=$J$5,0,CONTADORES!$BJ11)</f>
        <v>6231.55</v>
      </c>
      <c r="BH19" s="1397">
        <f ca="1">IF(B19&gt;=$J$5,0,((CONTADORES!BK11-CONTADORES!BK10)/1000))</f>
        <v>1.5129999999999999</v>
      </c>
      <c r="BI19" s="1397">
        <f ca="1">IF(C19&gt;=$J$5,0,((CONTADORES!BL11-CONTADORES!BL10)/1000))</f>
        <v>1.47</v>
      </c>
      <c r="BJ19" s="1397">
        <f ca="1">IF(C19&gt;=$J$5,0,((CONTADORES!BM11-CONTADORES!BM10)/1000))</f>
        <v>0</v>
      </c>
      <c r="BK19" s="1397">
        <f ca="1">IF(D19&gt;=$J$5,0,((CONTADORES!BN11-CONTADORES!BN10)/1000))</f>
        <v>0</v>
      </c>
      <c r="BL19" s="1399">
        <f t="shared" ca="1" si="16"/>
        <v>1.5129999999999999</v>
      </c>
      <c r="BM19" s="1399">
        <f t="shared" ca="1" si="17"/>
        <v>1.47</v>
      </c>
      <c r="BN19" s="1397">
        <f ca="1">IF(W19&gt;=$J$5,0,CONTADORES!$BO11)</f>
        <v>136.15489273433062</v>
      </c>
      <c r="BO19" s="1397">
        <f ca="1">IF(W19&gt;=$J$5,0,CONTADORES!$BP11)</f>
        <v>45.925162812315342</v>
      </c>
      <c r="BP19" s="1397">
        <f ca="1">IF(W19&gt;=$J$5,0,CONTADORES!$BQ11)</f>
        <v>649.95193967593707</v>
      </c>
      <c r="BQ19" s="1397">
        <f ca="1">IF(B19&gt;=$J$5,0,(CONTADORES!AS11-CONTADORES!AS10))</f>
        <v>4.9000000000014552</v>
      </c>
      <c r="BR19" s="1397">
        <f ca="1">IF(C19&gt;=$J$5,0,(CONTADORES!AT11-CONTADORES!AT10))</f>
        <v>0</v>
      </c>
      <c r="BS19" s="1397">
        <f ca="1">IF(B19&gt;=$J$5,0,CONTADORES!BR11-CONTADORES!BR10)/1000</f>
        <v>0</v>
      </c>
      <c r="BT19" s="1397">
        <f ca="1">IF(B19&gt;=$J$5,0,CONTADORES!BS11-CONTADORES!BS10)</f>
        <v>0</v>
      </c>
      <c r="BU19" s="1397">
        <f ca="1">IF(B19&gt;=$J$5,0,CONTADORES!BT11-CONTADORES!BT10)</f>
        <v>0</v>
      </c>
      <c r="BV19" s="1397">
        <f ca="1">IF(B19&gt;=$J$5,0,CONTADORES!BU11-CONTADORES!BU10)/1000</f>
        <v>4.9219999999999997</v>
      </c>
      <c r="BW19" s="1397">
        <f ca="1">IF(B19&gt;=$J$5,0,CONTADORES!BV11-CONTADORES!BV10)/1000</f>
        <v>0.86</v>
      </c>
      <c r="BX19" s="1397">
        <f ca="1">IF(B19&gt;=$J$5,0,CONTADORES!BW11-CONTADORES!BW10)</f>
        <v>24</v>
      </c>
      <c r="BY19" s="1397">
        <f ca="1">IF(B19&gt;=$J$5,0,CONTADORES!BX11-CONTADORES!BX10)/1000</f>
        <v>3.4729999999999999</v>
      </c>
      <c r="BZ19" s="1397">
        <f ca="1">IF(B19&gt;=$J$5,0,CONTADORES!BY11-CONTADORES!BY10)/1000</f>
        <v>0.10299999999999999</v>
      </c>
      <c r="CA19" s="1397">
        <f ca="1">IF(B19&gt;=$J$5,0,CONTADORES!BZ11-CONTADORES!BZ10)</f>
        <v>24</v>
      </c>
      <c r="CB19" s="1397">
        <f ca="1">IF(B19&gt;=$J$5,0,(CONTADORES!CC11-CONTADORES!CC10)+(CONTADORES!CE11-CONTADORES!CE10))/1000</f>
        <v>1.5309999999999999</v>
      </c>
      <c r="CC19" s="1397">
        <f ca="1">IF(B19&gt;=$J$5,0,(CONTADORES!CD11-CONTADORES!CD10)+(CONTADORES!CF11-CONTADORES!CF10))/1000</f>
        <v>0.94499999999999995</v>
      </c>
      <c r="CD19" s="1397">
        <f ca="1">IF(B19&gt;=$J$5,0,CONTADORES!CA11-CONTADORES!CA10)</f>
        <v>7</v>
      </c>
      <c r="CE19" s="1397">
        <f ca="1">IF(B19&gt;=$J$5,0,CONTADORES!CB11-CONTADORES!CB10)</f>
        <v>4.6000000000003638</v>
      </c>
      <c r="CF19" s="1397">
        <f t="shared" ca="1" si="18"/>
        <v>11.002499999982309</v>
      </c>
      <c r="CG19" s="1397">
        <f t="shared" ca="1" si="19"/>
        <v>7.5909999999971811</v>
      </c>
      <c r="CH19" s="1397">
        <f t="shared" ca="1" si="20"/>
        <v>4.0024999999823097</v>
      </c>
      <c r="CI19" s="1397">
        <f t="shared" ca="1" si="21"/>
        <v>1.387600000000182</v>
      </c>
      <c r="CJ19" s="1397">
        <f t="shared" ca="1" si="22"/>
        <v>4.0024999999823097</v>
      </c>
      <c r="CK19" s="1397">
        <f t="shared" ca="1" si="23"/>
        <v>2.081400000000273</v>
      </c>
      <c r="CL19" s="1397">
        <f t="shared" ca="1" si="24"/>
        <v>2.9186000000001817</v>
      </c>
      <c r="CM19" s="1397">
        <f t="shared" ca="1" si="25"/>
        <v>2.9909999999968173</v>
      </c>
      <c r="CN19" s="1397">
        <f ca="1">IF(B19&gt;=$J$5,0,CONTADORES!CB11-CONTADORES!CB10)</f>
        <v>4.6000000000003638</v>
      </c>
      <c r="CO19" s="1397">
        <f t="shared" ca="1" si="26"/>
        <v>2.9909999999968173</v>
      </c>
      <c r="CP19" s="1397">
        <f t="shared" ca="1" si="27"/>
        <v>0.62749999999990913</v>
      </c>
      <c r="CQ19" s="1397">
        <f t="shared" ca="1" si="28"/>
        <v>0.62749999999990913</v>
      </c>
      <c r="CR19" s="1397">
        <f t="shared" ca="1" si="29"/>
        <v>1.5724999999999092</v>
      </c>
      <c r="CS19" s="1403">
        <f ca="1">IF($B19&gt;=$J$5,0,CONTADORES!$BI11)</f>
        <v>10339.594618956004</v>
      </c>
      <c r="CT19" s="1334">
        <f>CONTADORES!E11</f>
        <v>1</v>
      </c>
      <c r="CU19" s="1334">
        <f>CONTADORES!CG11</f>
        <v>1</v>
      </c>
    </row>
    <row r="20" spans="1:119">
      <c r="B20" s="214">
        <v>44936</v>
      </c>
      <c r="C20" s="198">
        <f t="shared" ca="1" si="0"/>
        <v>146.59999999997672</v>
      </c>
      <c r="D20" s="196">
        <f ca="1">'CALCULO DE GAS'!D13</f>
        <v>3.3391027752807272</v>
      </c>
      <c r="E20" s="196">
        <f ca="1">IF(B20&gt;=$J$5,0,(CONTADORES!$AD12-CONTADORES!$AD11)-$H20)</f>
        <v>24</v>
      </c>
      <c r="F20" s="198">
        <v>0</v>
      </c>
      <c r="G20" s="196">
        <f ca="1">IF(B20&gt;=$J$5,0,CONTADORES!$AF12-CONTADORES!$AF11)</f>
        <v>0</v>
      </c>
      <c r="H20" s="1396">
        <f ca="1">IF(G20&gt;0,CONTADORES!$AE12-CONTADORES!$AE11,0)</f>
        <v>0</v>
      </c>
      <c r="I20" s="199">
        <f ca="1">IF(B20&gt;=$J$5,0,CONTADORES!$AB12-CONTADORES!$AB11)</f>
        <v>146.59999999997672</v>
      </c>
      <c r="J20" s="198">
        <f t="shared" ca="1" si="2"/>
        <v>283.30000000000291</v>
      </c>
      <c r="K20" s="196">
        <f ca="1">'CALCULO DE GAS'!E13</f>
        <v>4.3528331123595736</v>
      </c>
      <c r="L20" s="1396">
        <f ca="1">IF(B20&gt;=$J$5,0,(CONTADORES!$Y12-CONTADORES!$Y11)-$O20)</f>
        <v>24</v>
      </c>
      <c r="M20" s="1396">
        <f t="shared" ca="1" si="3"/>
        <v>0</v>
      </c>
      <c r="N20" s="1396">
        <f ca="1">IF(B20&gt;=$J$5,0,CONTADORES!$AA12-CONTADORES!$AA11)</f>
        <v>0</v>
      </c>
      <c r="O20" s="1396">
        <f ca="1">IF(N20&gt;0,CONTADORES!$Z12-CONTADORES!$Z11,0)</f>
        <v>0</v>
      </c>
      <c r="P20" s="202">
        <f ca="1">IF(B20&gt;=$J$5,0,CONTADORES!$W12-CONTADORES!$W11)</f>
        <v>283.30000000000291</v>
      </c>
      <c r="Q20" s="202">
        <f ca="1">IF(B20&gt;=$J$5,0,CONTADORES!$B12-CONTADORES!$B11)</f>
        <v>0</v>
      </c>
      <c r="R20" s="196">
        <f t="shared" ca="1" si="4"/>
        <v>0</v>
      </c>
      <c r="S20" s="11">
        <f ca="1">IF(B20&gt;=$J$5,0,CONTADORES!$D12-CONTADORES!$D11)</f>
        <v>0</v>
      </c>
      <c r="T20" s="209">
        <f ca="1">IF(B20&gt;=$J$5,0,CONTADORES!$BB12-CONTADORES!$BB11)</f>
        <v>0</v>
      </c>
      <c r="U20" s="196">
        <f t="shared" ca="1" si="5"/>
        <v>0</v>
      </c>
      <c r="V20" s="199">
        <f ca="1">IF(B20&gt;=$J$5,0,CONTADORES!$BD12-CONTADORES!$BD11)</f>
        <v>0</v>
      </c>
      <c r="W20" s="1397">
        <f t="shared" ca="1" si="6"/>
        <v>429.89999999997963</v>
      </c>
      <c r="X20" s="1397">
        <f t="shared" ca="1" si="7"/>
        <v>0</v>
      </c>
      <c r="Y20" s="1398">
        <f t="shared" ca="1" si="8"/>
        <v>429.89999999997963</v>
      </c>
      <c r="Z20" s="1398">
        <f t="shared" ca="1" si="9"/>
        <v>7.6919358876403008</v>
      </c>
      <c r="AA20" s="1398">
        <f t="shared" ca="1" si="10"/>
        <v>0</v>
      </c>
      <c r="AB20" s="1398">
        <f t="shared" ca="1" si="11"/>
        <v>48</v>
      </c>
      <c r="AC20" s="1397">
        <f t="shared" ca="1" si="12"/>
        <v>0</v>
      </c>
      <c r="AD20" s="1397">
        <f ca="1">IF(B20&gt;=$J$5,0,CONTADORES!H12-CONTADORES!H11)</f>
        <v>161.30000000004657</v>
      </c>
      <c r="AE20" s="1397">
        <f ca="1">IF(B20&gt;=$J$5,0,CONTADORES!J12-CONTADORES!J11)</f>
        <v>24</v>
      </c>
      <c r="AF20" s="1397">
        <f ca="1">IF(B20&gt;=$J$5,0,CONTADORES!AU12-CONTADORES!AU11)</f>
        <v>138.19999999995343</v>
      </c>
      <c r="AG20" s="1397">
        <f ca="1">IF(B20&gt;=$J$5,0,CONTADORES!AW12-CONTADORES!AW11)</f>
        <v>24</v>
      </c>
      <c r="AH20" s="1397">
        <f ca="1">IF(B20&gt;=$J$5,0,(CONTADORES!AM12-CONTADORES!AM11)+(CONTADORES!M12-CONTADORES!M11))</f>
        <v>8.9000000000014552</v>
      </c>
      <c r="AI20" s="1397">
        <f ca="1">IF(B20&gt;=$J$5,0,(CONTADORES!AK12-CONTADORES!AK11)+(CONTADORES!O12-CONTADORES!O11))</f>
        <v>39.300000000010186</v>
      </c>
      <c r="AJ20" s="1397">
        <f ca="1">IF(B20&gt;=$J$5,0,(CONTADORES!AI12-CONTADORES!AI11))</f>
        <v>7.4000000000087311</v>
      </c>
      <c r="AK20" s="1397">
        <f ca="1">IF(B20&gt;=$J$5,0,(CONTADORES!Q12-CONTADORES!Q11))</f>
        <v>14.399999999994179</v>
      </c>
      <c r="AL20" s="1402">
        <f t="shared" ca="1" si="13"/>
        <v>32.399999999954218</v>
      </c>
      <c r="AM20" s="1397">
        <f ca="1">IF(B20&gt;=$J$5,0,(((CONTADORES!F12-CONTADORES!F11)+(CONTADORES!AQ12-CONTADORES!AQ11))))-BS20-AF20-AN20-BV20-BY20-CD20-CB20</f>
        <v>8.0620000000107304</v>
      </c>
      <c r="AN20" s="1397">
        <f ca="1">IF(B20&gt;=$J$5,0,(CONTADORES!AX12-CONTADORES!AX11)+(CONTADORES!AZ12-CONTADORES!AZ11)+(CONTADORES!BE12-CONTADORES!BE11))-CB20</f>
        <v>3.1499999999998183</v>
      </c>
      <c r="AO20" s="1399">
        <f ca="1">IF(B20&gt;=$J$5,0,(CONTADORES!AC12-CONTADORES!AC11))</f>
        <v>77.099999999976717</v>
      </c>
      <c r="AP20" s="1399">
        <f ca="1">IF(B20&gt;=$J$5,0,(CONTADORES!X12-CONTADORES!X11))</f>
        <v>141.10000000000036</v>
      </c>
      <c r="AQ20" s="1404">
        <f ca="1">IF(B20&gt;=$J$5,0,(CONTADORES!C12-CONTADORES!C11))</f>
        <v>0</v>
      </c>
      <c r="AR20" s="1404">
        <f ca="1">IF(B20&gt;=$J$5,0,(CONTADORES!BC12-CONTADORES!BC11))</f>
        <v>0</v>
      </c>
      <c r="AS20" s="1397">
        <f ca="1">IF(B20&gt;=$J$5,0,CONTADORES!S12-CONTADORES!S11)</f>
        <v>17.699999999982538</v>
      </c>
      <c r="AT20" s="1397">
        <f ca="1">IF(B20&gt;=$J$5,0,(CONTADORES!U12-CONTADORES!U11)+(CONTADORES!AG12-CONTADORES!AG11))</f>
        <v>2.0999999999985448</v>
      </c>
      <c r="AU20" s="1397">
        <f>CONTADORES!I12-CONTADORES!I11</f>
        <v>82.5</v>
      </c>
      <c r="AV20" s="1397">
        <f>CONTADORES!AV12-CONTADORES!AV11</f>
        <v>60.399999999994179</v>
      </c>
      <c r="AW20" s="1397">
        <f ca="1">IF(B20&gt;=$J$5,0,(CONTADORES!N12-CONTADORES!N11)+(CONTADORES!AN12-CONTADORES!AN11))</f>
        <v>3.5999999999985448</v>
      </c>
      <c r="AX20" s="1397">
        <f ca="1">IF(B20&gt;=$J$5,0,(CONTADORES!P12-CONTADORES!P11)+(CONTADORES!AL12-CONTADORES!AL11))</f>
        <v>30.900000000001455</v>
      </c>
      <c r="AY20" s="1397">
        <f ca="1">IF(B20&gt;=$J$5,0,(CONTADORES!AJ12-CONTADORES!AJ11))</f>
        <v>5.9000000000014552</v>
      </c>
      <c r="AZ20" s="1397">
        <f ca="1">IF(B20&gt;=$J$5,0,(CONTADORES!R12-CONTADORES!R11))</f>
        <v>11.900000000008731</v>
      </c>
      <c r="BA20" s="1408">
        <f t="shared" ca="1" si="14"/>
        <v>11.940999999961463</v>
      </c>
      <c r="BB20" s="1406">
        <f ca="1">IF(B20&gt;=$J$5,0,(((CONTADORES!G12-CONTADORES!G11)+(CONTADORES!AR12-CONTADORES!AR11))))-AV20-BC20-BT20-BW20-BZ20-CE20</f>
        <v>3.4180000000114594</v>
      </c>
      <c r="BC20" s="1399">
        <f ca="1">IF(B20&gt;=$J$5,0,(CONTADORES!AY12-CONTADORES!AY11)+(CONTADORES!BA12-CONTADORES!BA11)+(CONTADORES!BF12-CONTADORES!BF11))-CC20</f>
        <v>1.240999999999818</v>
      </c>
      <c r="BD20" s="1397">
        <f t="shared" ca="1" si="15"/>
        <v>218.19999999997708</v>
      </c>
      <c r="BE20" s="1397">
        <f ca="1">IF($B20&gt;=$J$5,0,CONTADORES!$BG12)</f>
        <v>6040.9599999999991</v>
      </c>
      <c r="BF20" s="1397">
        <f ca="1">IF($B20&gt;=$J$5,0,CONTADORES!$BH12)</f>
        <v>29963.212280701759</v>
      </c>
      <c r="BG20" s="1397">
        <f ca="1">IF($B20&gt;=$J$5,0,CONTADORES!$BJ12)</f>
        <v>5523.52</v>
      </c>
      <c r="BH20" s="1397">
        <f ca="1">IF(B20&gt;=$J$5,0,((CONTADORES!BK12-CONTADORES!BK11)/1000))</f>
        <v>1.532</v>
      </c>
      <c r="BI20" s="1397">
        <f ca="1">IF(C20&gt;=$J$5,0,((CONTADORES!BL12-CONTADORES!BL11)/1000))</f>
        <v>1.4710000000000001</v>
      </c>
      <c r="BJ20" s="1397">
        <f ca="1">IF(C20&gt;=$J$5,0,((CONTADORES!BM12-CONTADORES!BM11)/1000))</f>
        <v>0</v>
      </c>
      <c r="BK20" s="1397">
        <f ca="1">IF(D20&gt;=$J$5,0,((CONTADORES!BN12-CONTADORES!BN11)/1000))</f>
        <v>0</v>
      </c>
      <c r="BL20" s="1399">
        <f t="shared" ca="1" si="16"/>
        <v>1.532</v>
      </c>
      <c r="BM20" s="1399">
        <f t="shared" ca="1" si="17"/>
        <v>1.4710000000000001</v>
      </c>
      <c r="BN20" s="1397">
        <f ca="1">IF(W20&gt;=$J$5,0,CONTADORES!$BO12)</f>
        <v>137.71802871311201</v>
      </c>
      <c r="BO20" s="1397">
        <f ca="1">IF(W20&gt;=$J$5,0,CONTADORES!$BP12)</f>
        <v>45.941340109389429</v>
      </c>
      <c r="BP20" s="1397">
        <f ca="1">IF(W20&gt;=$J$5,0,CONTADORES!$BQ12)</f>
        <v>655.89539425719636</v>
      </c>
      <c r="BQ20" s="1397">
        <f ca="1">IF(B20&gt;=$J$5,0,(CONTADORES!AS12-CONTADORES!AS11))</f>
        <v>5.3999999999941792</v>
      </c>
      <c r="BR20" s="1397">
        <f ca="1">IF(C20&gt;=$J$5,0,(CONTADORES!AT12-CONTADORES!AT11))</f>
        <v>0</v>
      </c>
      <c r="BS20" s="1397">
        <f ca="1">IF(B20&gt;=$J$5,0,CONTADORES!BR12-CONTADORES!BR11)/1000</f>
        <v>0</v>
      </c>
      <c r="BT20" s="1397">
        <f ca="1">IF(B20&gt;=$J$5,0,CONTADORES!BS12-CONTADORES!BS11)</f>
        <v>0</v>
      </c>
      <c r="BU20" s="1397">
        <f ca="1">IF(B20&gt;=$J$5,0,CONTADORES!BT12-CONTADORES!BT11)</f>
        <v>0</v>
      </c>
      <c r="BV20" s="1397">
        <f ca="1">IF(B20&gt;=$J$5,0,CONTADORES!BU12-CONTADORES!BU11)/1000</f>
        <v>4.8390000000000004</v>
      </c>
      <c r="BW20" s="1397">
        <f ca="1">IF(B20&gt;=$J$5,0,CONTADORES!BV12-CONTADORES!BV11)/1000</f>
        <v>0.91800000000000004</v>
      </c>
      <c r="BX20" s="1397">
        <f ca="1">IF(B20&gt;=$J$5,0,CONTADORES!BW12-CONTADORES!BW11)</f>
        <v>24</v>
      </c>
      <c r="BY20" s="1397">
        <f ca="1">IF(B20&gt;=$J$5,0,CONTADORES!BX12-CONTADORES!BX11)/1000</f>
        <v>3.2989999999999999</v>
      </c>
      <c r="BZ20" s="1397">
        <f ca="1">IF(B20&gt;=$J$5,0,CONTADORES!BY12-CONTADORES!BY11)/1000</f>
        <v>2.3E-2</v>
      </c>
      <c r="CA20" s="1397">
        <f ca="1">IF(B20&gt;=$J$5,0,CONTADORES!BZ12-CONTADORES!BZ11)</f>
        <v>24</v>
      </c>
      <c r="CB20" s="1397">
        <f ca="1">IF(B20&gt;=$J$5,0,(CONTADORES!CC12-CONTADORES!CC11)+(CONTADORES!CE12-CONTADORES!CE11))/1000</f>
        <v>1.55</v>
      </c>
      <c r="CC20" s="1397">
        <f ca="1">IF(B20&gt;=$J$5,0,(CONTADORES!CD12-CONTADORES!CD11)+(CONTADORES!CF12-CONTADORES!CF11))/1000</f>
        <v>0.95899999999999996</v>
      </c>
      <c r="CD20" s="1397">
        <f ca="1">IF(B20&gt;=$J$5,0,CONTADORES!CA12-CONTADORES!CA11)</f>
        <v>7.1000000000003638</v>
      </c>
      <c r="CE20" s="1397">
        <f ca="1">IF(B20&gt;=$J$5,0,CONTADORES!CB12-CONTADORES!CB11)</f>
        <v>4.5</v>
      </c>
      <c r="CF20" s="1397">
        <f t="shared" ca="1" si="18"/>
        <v>11.131000000005729</v>
      </c>
      <c r="CG20" s="1397">
        <f t="shared" ca="1" si="19"/>
        <v>6.2090000000057302</v>
      </c>
      <c r="CH20" s="1397">
        <f t="shared" ca="1" si="20"/>
        <v>4.0310000000053652</v>
      </c>
      <c r="CI20" s="1397">
        <f t="shared" ca="1" si="21"/>
        <v>1.2599999999999274</v>
      </c>
      <c r="CJ20" s="1397">
        <f t="shared" ca="1" si="22"/>
        <v>4.0310000000053652</v>
      </c>
      <c r="CK20" s="1397">
        <f t="shared" ca="1" si="23"/>
        <v>1.8899999999998909</v>
      </c>
      <c r="CL20" s="1397">
        <f t="shared" ca="1" si="24"/>
        <v>2.8099999999999277</v>
      </c>
      <c r="CM20" s="1397">
        <f t="shared" ca="1" si="25"/>
        <v>1.7090000000057297</v>
      </c>
      <c r="CN20" s="1397">
        <f ca="1">IF(B20&gt;=$J$5,0,CONTADORES!CB12-CONTADORES!CB11)</f>
        <v>4.5</v>
      </c>
      <c r="CO20" s="1397">
        <f t="shared" ca="1" si="26"/>
        <v>1.7090000000057297</v>
      </c>
      <c r="CP20" s="1397">
        <f t="shared" ca="1" si="27"/>
        <v>0.62049999999990901</v>
      </c>
      <c r="CQ20" s="1397">
        <f t="shared" ca="1" si="28"/>
        <v>0.62049999999990901</v>
      </c>
      <c r="CR20" s="1397">
        <f t="shared" ca="1" si="29"/>
        <v>1.5794999999999089</v>
      </c>
      <c r="CS20" s="1403">
        <f ca="1">IF($B20&gt;=$J$5,0,CONTADORES!$BI12)</f>
        <v>11117.787337389285</v>
      </c>
      <c r="CT20" s="1334">
        <f>CONTADORES!E12</f>
        <v>0</v>
      </c>
      <c r="CU20" s="1334">
        <f>CONTADORES!CG12</f>
        <v>0</v>
      </c>
    </row>
    <row r="21" spans="1:119">
      <c r="B21" s="214">
        <v>44937</v>
      </c>
      <c r="C21" s="198">
        <f t="shared" ca="1" si="0"/>
        <v>148.5</v>
      </c>
      <c r="D21" s="196">
        <f ca="1">'CALCULO DE GAS'!D14</f>
        <v>3.3531926629213489</v>
      </c>
      <c r="E21" s="196">
        <f ca="1">IF(B21&gt;=$J$5,0,(CONTADORES!$AD13-CONTADORES!$AD12)-$H21)</f>
        <v>24</v>
      </c>
      <c r="F21" s="198">
        <f t="shared" ref="F21:F41" ca="1" si="30">IF(H21=0,0,"ERROR")</f>
        <v>0</v>
      </c>
      <c r="G21" s="196">
        <f ca="1">IF(B21&gt;=$J$5,0,CONTADORES!$AF13-CONTADORES!$AF12)</f>
        <v>0</v>
      </c>
      <c r="H21" s="1396">
        <f ca="1">IF(G21&gt;0,CONTADORES!$AE13-CONTADORES!$AE12,0)</f>
        <v>0</v>
      </c>
      <c r="I21" s="199">
        <f ca="1">IF(B21&gt;=$J$5,0,CONTADORES!$AB13-CONTADORES!$AB12)</f>
        <v>148.5</v>
      </c>
      <c r="J21" s="198">
        <f t="shared" ca="1" si="2"/>
        <v>283.69999999999709</v>
      </c>
      <c r="K21" s="196">
        <f ca="1">'CALCULO DE GAS'!E14</f>
        <v>4.3557994044943618</v>
      </c>
      <c r="L21" s="1396">
        <f ca="1">IF(B21&gt;=$J$5,0,(CONTADORES!$Y13-CONTADORES!$Y12)-$O21)</f>
        <v>24</v>
      </c>
      <c r="M21" s="1396">
        <f t="shared" ca="1" si="3"/>
        <v>0</v>
      </c>
      <c r="N21" s="1396">
        <f ca="1">IF(B21&gt;=$J$5,0,CONTADORES!$AA13-CONTADORES!$AA12)</f>
        <v>0</v>
      </c>
      <c r="O21" s="1396">
        <f ca="1">IF(N21&gt;0,CONTADORES!$Z13-CONTADORES!$Z12,0)</f>
        <v>0</v>
      </c>
      <c r="P21" s="202">
        <f ca="1">IF(B21&gt;=$J$5,0,CONTADORES!$W13-CONTADORES!$W12)</f>
        <v>283.69999999999709</v>
      </c>
      <c r="Q21" s="202">
        <f ca="1">IF(B21&gt;=$J$5,0,CONTADORES!$B13-CONTADORES!$B12)</f>
        <v>0</v>
      </c>
      <c r="R21" s="196">
        <f t="shared" ca="1" si="4"/>
        <v>0</v>
      </c>
      <c r="S21" s="11">
        <f ca="1">IF(B21&gt;=$J$5,0,CONTADORES!$D13-CONTADORES!$D12)</f>
        <v>0</v>
      </c>
      <c r="T21" s="209">
        <f ca="1">IF(B21&gt;=$J$5,0,CONTADORES!$BB13-CONTADORES!$BB12)</f>
        <v>0</v>
      </c>
      <c r="U21" s="196">
        <f t="shared" ca="1" si="5"/>
        <v>0</v>
      </c>
      <c r="V21" s="199">
        <f ca="1">IF(B21&gt;=$J$5,0,CONTADORES!$BD13-CONTADORES!$BD12)</f>
        <v>0</v>
      </c>
      <c r="W21" s="1397">
        <f t="shared" ca="1" si="6"/>
        <v>432.19999999999709</v>
      </c>
      <c r="X21" s="1397">
        <f t="shared" ca="1" si="7"/>
        <v>0</v>
      </c>
      <c r="Y21" s="1398">
        <f t="shared" ca="1" si="8"/>
        <v>432.19999999999709</v>
      </c>
      <c r="Z21" s="1398">
        <f t="shared" ca="1" si="9"/>
        <v>7.7089920674157106</v>
      </c>
      <c r="AA21" s="1398">
        <f t="shared" ca="1" si="10"/>
        <v>0</v>
      </c>
      <c r="AB21" s="1398">
        <f t="shared" ca="1" si="11"/>
        <v>48</v>
      </c>
      <c r="AC21" s="1397">
        <f t="shared" ca="1" si="12"/>
        <v>0</v>
      </c>
      <c r="AD21" s="1409">
        <f ca="1">IF(B21&gt;=$J$5,0,CONTADORES!H13-CONTADORES!H12)</f>
        <v>162.59999999997672</v>
      </c>
      <c r="AE21" s="1397">
        <f ca="1">IF(B21&gt;=$J$5,0,CONTADORES!J13-CONTADORES!J12)</f>
        <v>24</v>
      </c>
      <c r="AF21" s="1397">
        <f ca="1">IF(B21&gt;=$J$5,0,CONTADORES!AU13-CONTADORES!AU12)</f>
        <v>138.80000000004657</v>
      </c>
      <c r="AG21" s="1397">
        <f ca="1">IF(B21&gt;=$J$5,0,CONTADORES!AW13-CONTADORES!AW12)</f>
        <v>24</v>
      </c>
      <c r="AH21" s="1397">
        <f ca="1">IF(B21&gt;=$J$5,0,(CONTADORES!AM13-CONTADORES!AM12)+(CONTADORES!M13-CONTADORES!M12))</f>
        <v>5.4000000000014552</v>
      </c>
      <c r="AI21" s="1397">
        <f ca="1">IF(B21&gt;=$J$5,0,(CONTADORES!AK13-CONTADORES!AK12)+(CONTADORES!O13-CONTADORES!O12))</f>
        <v>43.799999999995634</v>
      </c>
      <c r="AJ21" s="1397">
        <f ca="1">IF(B21&gt;=$J$5,0,(CONTADORES!AI13-CONTADORES!AI12))</f>
        <v>7.8999999999941792</v>
      </c>
      <c r="AK21" s="1397">
        <f ca="1">IF(B21&gt;=$J$5,0,(CONTADORES!Q13-CONTADORES!Q12))</f>
        <v>13.899999999994179</v>
      </c>
      <c r="AL21" s="1402">
        <f t="shared" ca="1" si="13"/>
        <v>30.699999999988052</v>
      </c>
      <c r="AM21" s="1397">
        <f ca="1">IF(B21&gt;=$J$5,0,(((CONTADORES!F13-CONTADORES!F12)+(CONTADORES!AQ13-CONTADORES!AQ12))))-BS21-AF21-AN21-BV21-BY21-CD21-CB21</f>
        <v>9.8550000000001834</v>
      </c>
      <c r="AN21" s="1397">
        <f ca="1">IF(B21&gt;=$J$5,0,(CONTADORES!AX13-CONTADORES!AX12)+(CONTADORES!AZ13-CONTADORES!AZ12)+(CONTADORES!BE13-CONTADORES!BE12))-CB21</f>
        <v>2.2640000000001819</v>
      </c>
      <c r="AO21" s="1399">
        <f ca="1">IF(B21&gt;=$J$5,0,(CONTADORES!AC13-CONTADORES!AC12))</f>
        <v>74.600000000034925</v>
      </c>
      <c r="AP21" s="1399">
        <f ca="1">IF(B21&gt;=$J$5,0,(CONTADORES!X13-CONTADORES!X12))</f>
        <v>148.10000000000036</v>
      </c>
      <c r="AQ21" s="1404">
        <f ca="1">IF(B21&gt;=$J$5,0,(CONTADORES!C13-CONTADORES!C12))</f>
        <v>0</v>
      </c>
      <c r="AR21" s="1404">
        <f ca="1">IF(B21&gt;=$J$5,0,(CONTADORES!BC13-CONTADORES!BC12))</f>
        <v>0</v>
      </c>
      <c r="AS21" s="1397">
        <f ca="1">IF(B21&gt;=$J$5,0,CONTADORES!S13-CONTADORES!S12)</f>
        <v>18</v>
      </c>
      <c r="AT21" s="1397">
        <f ca="1">IF(B21&gt;=$J$5,0,(CONTADORES!U13-CONTADORES!U12)+(CONTADORES!AG13-CONTADORES!AG12))</f>
        <v>2.1000000000058208</v>
      </c>
      <c r="AU21" s="1397">
        <f>CONTADORES!I13-CONTADORES!I12</f>
        <v>83.199999999982538</v>
      </c>
      <c r="AV21" s="1397">
        <f>CONTADORES!AV13-CONTADORES!AV12</f>
        <v>60.700000000011642</v>
      </c>
      <c r="AW21" s="1397">
        <f ca="1">IF(B21&gt;=$J$5,0,(CONTADORES!N13-CONTADORES!N12)+(CONTADORES!AN13-CONTADORES!AN12))</f>
        <v>2</v>
      </c>
      <c r="AX21" s="1397">
        <f ca="1">IF(B21&gt;=$J$5,0,(CONTADORES!P13-CONTADORES!P12)+(CONTADORES!AL13-CONTADORES!AL12))</f>
        <v>34.099999999998545</v>
      </c>
      <c r="AY21" s="1397">
        <f ca="1">IF(B21&gt;=$J$5,0,(CONTADORES!AJ13-CONTADORES!AJ12))</f>
        <v>6.2999999999956344</v>
      </c>
      <c r="AZ21" s="1397">
        <f ca="1">IF(B21&gt;=$J$5,0,(CONTADORES!R13-CONTADORES!R12))</f>
        <v>11.899999999994179</v>
      </c>
      <c r="BA21" s="1408">
        <f t="shared" ca="1" si="14"/>
        <v>13.047000000058205</v>
      </c>
      <c r="BB21" s="1406">
        <f ca="1">IF(B21&gt;=$J$5,0,(((CONTADORES!G13-CONTADORES!G12)+(CONTADORES!AR13-CONTADORES!AR12))))-AV21-BC21-BT21-BW21-BZ21-CE21</f>
        <v>3.9989999999938153</v>
      </c>
      <c r="BC21" s="1399">
        <f ca="1">IF(B21&gt;=$J$5,0,(CONTADORES!AY13-CONTADORES!AY12)+(CONTADORES!BA13-CONTADORES!BA12)+(CONTADORES!BF13-CONTADORES!BF12))-CC21</f>
        <v>1.147000000000364</v>
      </c>
      <c r="BD21" s="1397">
        <f t="shared" ca="1" si="15"/>
        <v>222.70000000003529</v>
      </c>
      <c r="BE21" s="1397">
        <f ca="1">IF($B21&gt;=$J$5,0,CONTADORES!$BG13)</f>
        <v>7449.99</v>
      </c>
      <c r="BF21" s="1397">
        <f ca="1">IF($B21&gt;=$J$5,0,CONTADORES!$BH13)</f>
        <v>31007.564912280701</v>
      </c>
      <c r="BG21" s="1397">
        <f ca="1">IF($B21&gt;=$J$5,0,CONTADORES!$BJ13)</f>
        <v>6289.67</v>
      </c>
      <c r="BH21" s="1397">
        <f ca="1">IF(B21&gt;=$J$5,0,((CONTADORES!BK13-CONTADORES!BK12)/1000))</f>
        <v>1.518</v>
      </c>
      <c r="BI21" s="1397">
        <f ca="1">IF(C21&gt;=$J$5,0,((CONTADORES!BL13-CONTADORES!BL12)/1000))</f>
        <v>1.468</v>
      </c>
      <c r="BJ21" s="1397">
        <f ca="1">IF(C21&gt;=$J$5,0,((CONTADORES!BM13-CONTADORES!BM12)/1000))</f>
        <v>0</v>
      </c>
      <c r="BK21" s="1397">
        <f ca="1">IF(D21&gt;=$J$5,0,((CONTADORES!BN13-CONTADORES!BN12)/1000))</f>
        <v>0</v>
      </c>
      <c r="BL21" s="1399">
        <f t="shared" ca="1" si="16"/>
        <v>1.518</v>
      </c>
      <c r="BM21" s="1399">
        <f t="shared" ca="1" si="17"/>
        <v>1.468</v>
      </c>
      <c r="BN21" s="1397">
        <f ca="1">IF(W21&gt;=$J$5,0,CONTADORES!$BO13)</f>
        <v>138.3369205859893</v>
      </c>
      <c r="BO21" s="1397">
        <f ca="1">IF(W21&gt;=$J$5,0,CONTADORES!$BP13)</f>
        <v>45.98508072462036</v>
      </c>
      <c r="BP21" s="1397">
        <f ca="1">IF(W21&gt;=$J$5,0,CONTADORES!$BQ13)</f>
        <v>653.36253610015274</v>
      </c>
      <c r="BQ21" s="1397">
        <f ca="1">IF(B21&gt;=$J$5,0,(CONTADORES!AS13-CONTADORES!AS12))</f>
        <v>5.5</v>
      </c>
      <c r="BR21" s="1397">
        <f ca="1">IF(C21&gt;=$J$5,0,(CONTADORES!AT13-CONTADORES!AT12))</f>
        <v>0</v>
      </c>
      <c r="BS21" s="1397">
        <f ca="1">IF(B21&gt;=$J$5,0,CONTADORES!BR13-CONTADORES!BR12)/1000</f>
        <v>0</v>
      </c>
      <c r="BT21" s="1397">
        <f ca="1">IF(B21&gt;=$J$5,0,CONTADORES!BS13-CONTADORES!BS12)</f>
        <v>0</v>
      </c>
      <c r="BU21" s="1397">
        <f ca="1">IF(B21&gt;=$J$5,0,CONTADORES!BT13-CONTADORES!BT12)</f>
        <v>0</v>
      </c>
      <c r="BV21" s="1397">
        <f ca="1">IF(B21&gt;=$J$5,0,CONTADORES!BU13-CONTADORES!BU12)/1000</f>
        <v>4.9009999999999998</v>
      </c>
      <c r="BW21" s="1397">
        <f ca="1">IF(B21&gt;=$J$5,0,CONTADORES!BV13-CONTADORES!BV12)/1000</f>
        <v>0.71399999999999997</v>
      </c>
      <c r="BX21" s="1397">
        <f ca="1">IF(B21&gt;=$J$5,0,CONTADORES!BW13-CONTADORES!BW12)</f>
        <v>24</v>
      </c>
      <c r="BY21" s="1397">
        <f ca="1">IF(B21&gt;=$J$5,0,CONTADORES!BX13-CONTADORES!BX12)/1000</f>
        <v>3.544</v>
      </c>
      <c r="BZ21" s="1397">
        <f ca="1">IF(B21&gt;=$J$5,0,CONTADORES!BY13-CONTADORES!BY12)/1000</f>
        <v>0.04</v>
      </c>
      <c r="CA21" s="1397">
        <f ca="1">IF(B21&gt;=$J$5,0,CONTADORES!BZ13-CONTADORES!BZ12)</f>
        <v>24</v>
      </c>
      <c r="CB21" s="1397">
        <f ca="1">IF(B21&gt;=$J$5,0,(CONTADORES!CC13-CONTADORES!CC12)+(CONTADORES!CE13-CONTADORES!CE12))/1000</f>
        <v>1.536</v>
      </c>
      <c r="CC21" s="1397">
        <f ca="1">IF(B21&gt;=$J$5,0,(CONTADORES!CD13-CONTADORES!CD12)+(CONTADORES!CF13-CONTADORES!CF12))/1000</f>
        <v>0.95299999999999996</v>
      </c>
      <c r="CD21" s="1397">
        <f ca="1">IF(B21&gt;=$J$5,0,CONTADORES!CA13-CONTADORES!CA12)</f>
        <v>7</v>
      </c>
      <c r="CE21" s="1397">
        <f ca="1">IF(B21&gt;=$J$5,0,CONTADORES!CB13-CONTADORES!CB12)</f>
        <v>4.6000000000003638</v>
      </c>
      <c r="CF21" s="1397">
        <f t="shared" ca="1" si="18"/>
        <v>11.927500000000091</v>
      </c>
      <c r="CG21" s="1397">
        <f t="shared" ca="1" si="19"/>
        <v>6.5994999999972714</v>
      </c>
      <c r="CH21" s="1397">
        <f t="shared" ca="1" si="20"/>
        <v>4.9275000000000917</v>
      </c>
      <c r="CI21" s="1397">
        <f t="shared" ca="1" si="21"/>
        <v>0.90560000000007279</v>
      </c>
      <c r="CJ21" s="1397">
        <f t="shared" ca="1" si="22"/>
        <v>4.9275000000000917</v>
      </c>
      <c r="CK21" s="1397">
        <f t="shared" ca="1" si="23"/>
        <v>1.3584000000001091</v>
      </c>
      <c r="CL21" s="1397">
        <f t="shared" ca="1" si="24"/>
        <v>2.441600000000073</v>
      </c>
      <c r="CM21" s="1397">
        <f t="shared" ca="1" si="25"/>
        <v>1.9994999999969076</v>
      </c>
      <c r="CN21" s="1397">
        <f ca="1">IF(B21&gt;=$J$5,0,CONTADORES!CB13-CONTADORES!CB12)</f>
        <v>4.6000000000003638</v>
      </c>
      <c r="CO21" s="1397">
        <f t="shared" ca="1" si="26"/>
        <v>1.9994999999969076</v>
      </c>
      <c r="CP21" s="1397">
        <f t="shared" ca="1" si="27"/>
        <v>0.57350000000018198</v>
      </c>
      <c r="CQ21" s="1397">
        <f t="shared" ca="1" si="28"/>
        <v>0.57350000000018198</v>
      </c>
      <c r="CR21" s="1397">
        <f t="shared" ca="1" si="29"/>
        <v>1.526500000000182</v>
      </c>
      <c r="CS21" s="1403">
        <f ca="1">IF($B21&gt;=$J$5,0,CONTADORES!$BI13)</f>
        <v>10535.6918165068</v>
      </c>
      <c r="CT21" s="1334">
        <f>CONTADORES!E13</f>
        <v>0</v>
      </c>
      <c r="CU21" s="1334">
        <f>CONTADORES!CG13</f>
        <v>0</v>
      </c>
    </row>
    <row r="22" spans="1:119">
      <c r="B22" s="214">
        <v>44938</v>
      </c>
      <c r="C22" s="198">
        <f t="shared" ca="1" si="0"/>
        <v>151.5</v>
      </c>
      <c r="D22" s="196">
        <f ca="1">'CALCULO DE GAS'!D15</f>
        <v>3.3754398539325852</v>
      </c>
      <c r="E22" s="196">
        <f ca="1">IF(B22&gt;=$J$5,0,(CONTADORES!$AD14-CONTADORES!$AD13)-$H22)</f>
        <v>24</v>
      </c>
      <c r="F22" s="198">
        <f t="shared" ca="1" si="30"/>
        <v>0</v>
      </c>
      <c r="G22" s="196">
        <f ca="1">IF(B22&gt;=$J$5,0,CONTADORES!$AF14-CONTADORES!$AF13)</f>
        <v>0</v>
      </c>
      <c r="H22" s="1396">
        <f ca="1">IF(G22&gt;0,CONTADORES!$AE14-CONTADORES!$AE13,0)</f>
        <v>0</v>
      </c>
      <c r="I22" s="199">
        <f ca="1">IF(B22&gt;=$J$5,0,CONTADORES!$AB14-CONTADORES!$AB13)</f>
        <v>151.5</v>
      </c>
      <c r="J22" s="198">
        <f t="shared" ca="1" si="2"/>
        <v>300.90000000000146</v>
      </c>
      <c r="K22" s="196">
        <f ca="1">'CALCULO DE GAS'!E15</f>
        <v>4.4833499662921472</v>
      </c>
      <c r="L22" s="1396">
        <f ca="1">IF(B22&gt;=$J$5,0,(CONTADORES!$Y14-CONTADORES!$Y13)-$O22)</f>
        <v>24</v>
      </c>
      <c r="M22" s="1396">
        <f t="shared" ca="1" si="3"/>
        <v>0</v>
      </c>
      <c r="N22" s="1396">
        <f ca="1">IF(B22&gt;=$J$5,0,CONTADORES!$AA14-CONTADORES!$AA13)</f>
        <v>0</v>
      </c>
      <c r="O22" s="1396">
        <f ca="1">IF(N22&gt;0,CONTADORES!$Z14-CONTADORES!$Z13,0)</f>
        <v>0</v>
      </c>
      <c r="P22" s="202">
        <f ca="1">IF(B22&gt;=$J$5,0,CONTADORES!$W14-CONTADORES!$W13)</f>
        <v>300.90000000000146</v>
      </c>
      <c r="Q22" s="202">
        <f ca="1">IF(B22&gt;=$J$5,0,CONTADORES!$B14-CONTADORES!$B13)</f>
        <v>0</v>
      </c>
      <c r="R22" s="196">
        <f t="shared" ca="1" si="4"/>
        <v>0</v>
      </c>
      <c r="S22" s="11">
        <f ca="1">IF(B22&gt;=$J$5,0,CONTADORES!$D14-CONTADORES!$D13)</f>
        <v>0</v>
      </c>
      <c r="T22" s="209">
        <f ca="1">IF(B22&gt;=$J$5,0,CONTADORES!$BB14-CONTADORES!$BB13)</f>
        <v>0</v>
      </c>
      <c r="U22" s="196">
        <f t="shared" ca="1" si="5"/>
        <v>0</v>
      </c>
      <c r="V22" s="199">
        <f ca="1">IF(B22&gt;=$J$5,0,CONTADORES!$BD14-CONTADORES!$BD13)</f>
        <v>0</v>
      </c>
      <c r="W22" s="1397">
        <f t="shared" ca="1" si="6"/>
        <v>452.40000000000146</v>
      </c>
      <c r="X22" s="1397">
        <f t="shared" ca="1" si="7"/>
        <v>0</v>
      </c>
      <c r="Y22" s="1398">
        <f t="shared" ca="1" si="8"/>
        <v>452.40000000000146</v>
      </c>
      <c r="Z22" s="1398">
        <f t="shared" ca="1" si="9"/>
        <v>7.8587898202247324</v>
      </c>
      <c r="AA22" s="1398">
        <f t="shared" ca="1" si="10"/>
        <v>0</v>
      </c>
      <c r="AB22" s="1398">
        <f t="shared" ca="1" si="11"/>
        <v>48</v>
      </c>
      <c r="AC22" s="1397">
        <f t="shared" ca="1" si="12"/>
        <v>0</v>
      </c>
      <c r="AD22" s="1397">
        <f ca="1">IF(B22&gt;=$J$5,0,CONTADORES!H14-CONTADORES!H13)</f>
        <v>169.59999999997672</v>
      </c>
      <c r="AE22" s="1397">
        <f ca="1">IF(B22&gt;=$J$5,0,CONTADORES!J14-CONTADORES!J13)</f>
        <v>24</v>
      </c>
      <c r="AF22" s="1397">
        <f ca="1">IF(B22&gt;=$J$5,0,CONTADORES!AU14-CONTADORES!AU13)</f>
        <v>137.59999999997672</v>
      </c>
      <c r="AG22" s="1397">
        <f ca="1">IF(B22&gt;=$J$5,0,CONTADORES!AW14-CONTADORES!AW13)</f>
        <v>24.040000000008149</v>
      </c>
      <c r="AH22" s="1397">
        <f ca="1">IF(B22&gt;=$J$5,0,(CONTADORES!AM14-CONTADORES!AM13)+(CONTADORES!M14-CONTADORES!M13))</f>
        <v>9.1999999999970896</v>
      </c>
      <c r="AI22" s="1397">
        <f ca="1">IF(B22&gt;=$J$5,0,(CONTADORES!AK14-CONTADORES!AK13)+(CONTADORES!O14-CONTADORES!O13))</f>
        <v>42.69999999999709</v>
      </c>
      <c r="AJ22" s="1397">
        <f ca="1">IF(B22&gt;=$J$5,0,(CONTADORES!AI14-CONTADORES!AI13))</f>
        <v>7.8000000000029104</v>
      </c>
      <c r="AK22" s="1397">
        <f ca="1">IF(B22&gt;=$J$5,0,(CONTADORES!Q14-CONTADORES!Q13))</f>
        <v>15.100000000005821</v>
      </c>
      <c r="AL22" s="1402">
        <f t="shared" ca="1" si="13"/>
        <v>39.800000000044747</v>
      </c>
      <c r="AM22" s="1397">
        <f ca="1">IF(B22&gt;=$J$5,0,(((CONTADORES!F14-CONTADORES!F13)+(CONTADORES!AQ14-CONTADORES!AQ13))))-BS22-AF22-AN22-BV22-BY22-CD22-CB22</f>
        <v>10.730000000000921</v>
      </c>
      <c r="AN22" s="1397">
        <f ca="1">IF(B22&gt;=$J$5,0,(CONTADORES!AX14-CONTADORES!AX13)+(CONTADORES!AZ14-CONTADORES!AZ13)+(CONTADORES!BE14-CONTADORES!BE13))-CB22</f>
        <v>2.4789999999999921</v>
      </c>
      <c r="AO22" s="1399">
        <f ca="1">IF(B22&gt;=$J$5,0,(CONTADORES!AC14-CONTADORES!AC13))</f>
        <v>75.799999999988358</v>
      </c>
      <c r="AP22" s="1399">
        <f ca="1">IF(B22&gt;=$J$5,0,(CONTADORES!X14-CONTADORES!X13))</f>
        <v>153.79999999999927</v>
      </c>
      <c r="AQ22" s="1404">
        <f ca="1">IF(B22&gt;=$J$5,0,(CONTADORES!C14-CONTADORES!C13))</f>
        <v>0</v>
      </c>
      <c r="AR22" s="1404">
        <f ca="1">IF(B22&gt;=$J$5,0,(CONTADORES!BC14-CONTADORES!BC13))</f>
        <v>0</v>
      </c>
      <c r="AS22" s="1397">
        <f ca="1">IF(B22&gt;=$J$5,0,CONTADORES!S14-CONTADORES!S13)</f>
        <v>18.700000000011642</v>
      </c>
      <c r="AT22" s="1397">
        <f ca="1">IF(B22&gt;=$J$5,0,(CONTADORES!U14-CONTADORES!U13)+(CONTADORES!AG14-CONTADORES!AG13))</f>
        <v>2.1999999999970896</v>
      </c>
      <c r="AU22" s="1397">
        <f>CONTADORES!I14-CONTADORES!I13</f>
        <v>84.600000000005821</v>
      </c>
      <c r="AV22" s="1397">
        <f>CONTADORES!AV14-CONTADORES!AV13</f>
        <v>60</v>
      </c>
      <c r="AW22" s="1397">
        <f ca="1">IF(B22&gt;=$J$5,0,(CONTADORES!N14-CONTADORES!N13)+(CONTADORES!AN14-CONTADORES!AN13))</f>
        <v>3.6000000000021828</v>
      </c>
      <c r="AX22" s="1397">
        <f ca="1">IF(B22&gt;=$J$5,0,(CONTADORES!P14-CONTADORES!P13)+(CONTADORES!AL14-CONTADORES!AL13))</f>
        <v>33.799999999995634</v>
      </c>
      <c r="AY22" s="1397">
        <f ca="1">IF(B22&gt;=$J$5,0,(CONTADORES!AJ14-CONTADORES!AJ13))</f>
        <v>6.2000000000043656</v>
      </c>
      <c r="AZ22" s="1397">
        <f ca="1">IF(B22&gt;=$J$5,0,(CONTADORES!R14-CONTADORES!R13))</f>
        <v>12.80000000000291</v>
      </c>
      <c r="BA22" s="1408">
        <f t="shared" ca="1" si="14"/>
        <v>16.033999999982711</v>
      </c>
      <c r="BB22" s="1406">
        <f ca="1">IF(B22&gt;=$J$5,0,(((CONTADORES!G14-CONTADORES!G13)+(CONTADORES!AR14-CONTADORES!AR13))))-AV22-BC22-BT22-BW22-BZ22-CE22</f>
        <v>5.6769999999945497</v>
      </c>
      <c r="BC22" s="1399">
        <f ca="1">IF(B22&gt;=$J$5,0,(CONTADORES!AY14-CONTADORES!AY13)+(CONTADORES!BA14-CONTADORES!BA13)+(CONTADORES!BF14-CONTADORES!BF13))-CC22</f>
        <v>0.57399999999999207</v>
      </c>
      <c r="BD22" s="1397">
        <f t="shared" ca="1" si="15"/>
        <v>229.59999999998763</v>
      </c>
      <c r="BE22" s="1397">
        <f ca="1">IF($B22&gt;=$J$5,0,CONTADORES!$BG14)</f>
        <v>6311.64</v>
      </c>
      <c r="BF22" s="1397">
        <f ca="1">IF($B22&gt;=$J$5,0,CONTADORES!$BH14)</f>
        <v>29192.987719298198</v>
      </c>
      <c r="BG22" s="1397">
        <f ca="1">IF($B22&gt;=$J$5,0,CONTADORES!$BJ14)</f>
        <v>6865.93</v>
      </c>
      <c r="BH22" s="1397">
        <f ca="1">IF(B22&gt;=$J$5,0,((CONTADORES!BK14-CONTADORES!BK13)/1000))</f>
        <v>1.4</v>
      </c>
      <c r="BI22" s="1397">
        <f ca="1">IF(C22&gt;=$J$5,0,((CONTADORES!BL14-CONTADORES!BL13)/1000))</f>
        <v>1.383</v>
      </c>
      <c r="BJ22" s="1397">
        <f ca="1">IF(C22&gt;=$J$5,0,((CONTADORES!BM14-CONTADORES!BM13)/1000))</f>
        <v>0</v>
      </c>
      <c r="BK22" s="1397">
        <f ca="1">IF(D22&gt;=$J$5,0,((CONTADORES!BN14-CONTADORES!BN13)/1000))</f>
        <v>0</v>
      </c>
      <c r="BL22" s="1399">
        <f t="shared" ca="1" si="16"/>
        <v>1.4</v>
      </c>
      <c r="BM22" s="1399">
        <f t="shared" ca="1" si="17"/>
        <v>1.383</v>
      </c>
      <c r="BN22" s="1397">
        <f ca="1">IF(W22&gt;=$J$5,0,CONTADORES!$BO14)</f>
        <v>136.48767986555075</v>
      </c>
      <c r="BO22" s="1397">
        <f ca="1">IF(W22&gt;=$J$5,0,CONTADORES!$BP14)</f>
        <v>46.042632221618419</v>
      </c>
      <c r="BP22" s="1397">
        <f ca="1">IF(W22&gt;=$J$5,0,CONTADORES!$BQ14)</f>
        <v>649.09814939022442</v>
      </c>
      <c r="BQ22" s="1397">
        <f ca="1">IF(B22&gt;=$J$5,0,(CONTADORES!AS14-CONTADORES!AS13))</f>
        <v>5.8000000000029104</v>
      </c>
      <c r="BR22" s="1397">
        <f ca="1">IF(C22&gt;=$J$5,0,(CONTADORES!AT14-CONTADORES!AT13))</f>
        <v>0</v>
      </c>
      <c r="BS22" s="1397">
        <f ca="1">IF(B22&gt;=$J$5,0,CONTADORES!BR14-CONTADORES!BR13)/1000</f>
        <v>0</v>
      </c>
      <c r="BT22" s="1397">
        <f ca="1">IF(B22&gt;=$J$5,0,CONTADORES!BS14-CONTADORES!BS13)</f>
        <v>0</v>
      </c>
      <c r="BU22" s="1397">
        <f ca="1">IF(B22&gt;=$J$5,0,CONTADORES!BT14-CONTADORES!BT13)</f>
        <v>0</v>
      </c>
      <c r="BV22" s="1397">
        <f ca="1">IF(B22&gt;=$J$5,0,CONTADORES!BU14-CONTADORES!BU13)/1000</f>
        <v>5.0739999999999998</v>
      </c>
      <c r="BW22" s="1397">
        <f ca="1">IF(B22&gt;=$J$5,0,CONTADORES!BV14-CONTADORES!BV13)/1000</f>
        <v>0.70799999999999996</v>
      </c>
      <c r="BX22" s="1397">
        <f ca="1">IF(B22&gt;=$J$5,0,CONTADORES!BW14-CONTADORES!BW13)</f>
        <v>24</v>
      </c>
      <c r="BY22" s="1397">
        <f ca="1">IF(B22&gt;=$J$5,0,CONTADORES!BX14-CONTADORES!BX13)/1000</f>
        <v>3.6560000000000001</v>
      </c>
      <c r="BZ22" s="1397">
        <f ca="1">IF(B22&gt;=$J$5,0,CONTADORES!BY14-CONTADORES!BY13)/1000</f>
        <v>4.1000000000000002E-2</v>
      </c>
      <c r="CA22" s="1397">
        <f ca="1">IF(B22&gt;=$J$5,0,CONTADORES!BZ14-CONTADORES!BZ13)</f>
        <v>24</v>
      </c>
      <c r="CB22" s="1397">
        <f ca="1">IF(B22&gt;=$J$5,0,(CONTADORES!CC14-CONTADORES!CC13)+(CONTADORES!CE14-CONTADORES!CE13))/1000</f>
        <v>1.5609999999999999</v>
      </c>
      <c r="CC22" s="1397">
        <f ca="1">IF(B22&gt;=$J$5,0,(CONTADORES!CD14-CONTADORES!CD13)+(CONTADORES!CF14-CONTADORES!CF13))/1000</f>
        <v>0.96599999999999997</v>
      </c>
      <c r="CD22" s="1397">
        <f ca="1">IF(B22&gt;=$J$5,0,CONTADORES!CA14-CONTADORES!CA13)</f>
        <v>7.0999999999994543</v>
      </c>
      <c r="CE22" s="1397">
        <f ca="1">IF(B22&gt;=$J$5,0,CONTADORES!CB14-CONTADORES!CB13)</f>
        <v>4.5999999999994543</v>
      </c>
      <c r="CF22" s="1397">
        <f t="shared" ca="1" si="18"/>
        <v>12.464999999999915</v>
      </c>
      <c r="CG22" s="1397">
        <f t="shared" ca="1" si="19"/>
        <v>7.4384999999967292</v>
      </c>
      <c r="CH22" s="1397">
        <f t="shared" ca="1" si="20"/>
        <v>5.3650000000004603</v>
      </c>
      <c r="CI22" s="1397">
        <f t="shared" ca="1" si="21"/>
        <v>0.99159999999999693</v>
      </c>
      <c r="CJ22" s="1397">
        <f t="shared" ca="1" si="22"/>
        <v>5.3650000000004603</v>
      </c>
      <c r="CK22" s="1397">
        <f t="shared" ca="1" si="23"/>
        <v>1.4873999999999952</v>
      </c>
      <c r="CL22" s="1397">
        <f t="shared" ca="1" si="24"/>
        <v>2.5525999999999969</v>
      </c>
      <c r="CM22" s="1397">
        <f t="shared" ca="1" si="25"/>
        <v>2.8384999999972749</v>
      </c>
      <c r="CN22" s="1397">
        <f ca="1">IF(B22&gt;=$J$5,0,CONTADORES!CB14-CONTADORES!CB13)</f>
        <v>4.5999999999994543</v>
      </c>
      <c r="CO22" s="1397">
        <f t="shared" ca="1" si="26"/>
        <v>2.8384999999972749</v>
      </c>
      <c r="CP22" s="1397">
        <f t="shared" ca="1" si="27"/>
        <v>0.28699999999999604</v>
      </c>
      <c r="CQ22" s="1397">
        <f t="shared" ca="1" si="28"/>
        <v>0.28699999999999604</v>
      </c>
      <c r="CR22" s="1397">
        <f t="shared" ca="1" si="29"/>
        <v>1.2529999999999961</v>
      </c>
      <c r="CS22" s="1403">
        <f ca="1">IF($B22&gt;=$J$5,0,CONTADORES!$BI14)</f>
        <v>10103.853787092899</v>
      </c>
      <c r="CT22" s="1334">
        <f>CONTADORES!E14</f>
        <v>0</v>
      </c>
      <c r="CU22" s="1334">
        <f>CONTADORES!CG14</f>
        <v>0</v>
      </c>
    </row>
    <row r="23" spans="1:119">
      <c r="B23" s="214">
        <v>44939</v>
      </c>
      <c r="C23" s="198">
        <f t="shared" ca="1" si="0"/>
        <v>146</v>
      </c>
      <c r="D23" s="196">
        <f ca="1">'CALCULO DE GAS'!D16</f>
        <v>3.3346533370786524</v>
      </c>
      <c r="E23" s="196">
        <f ca="1">IF(B23&gt;=$J$5,0,(CONTADORES!$AD15-CONTADORES!$AD14)-$H23)</f>
        <v>24</v>
      </c>
      <c r="F23" s="198">
        <f t="shared" ca="1" si="30"/>
        <v>0</v>
      </c>
      <c r="G23" s="196">
        <f ca="1">IF(B23&gt;=$J$5,0,CONTADORES!$AF15-CONTADORES!$AF14)</f>
        <v>0</v>
      </c>
      <c r="H23" s="1396">
        <f ca="1">IF(G23&gt;0,CONTADORES!$AE15-CONTADORES!$AE14,0)</f>
        <v>0</v>
      </c>
      <c r="I23" s="199">
        <f ca="1">IF(B23&gt;=$J$5,0,CONTADORES!$AB15-CONTADORES!$AB14)</f>
        <v>146</v>
      </c>
      <c r="J23" s="198">
        <f t="shared" ca="1" si="2"/>
        <v>308</v>
      </c>
      <c r="K23" s="196">
        <f ca="1">'CALCULO DE GAS'!E16</f>
        <v>4.5360016516853952</v>
      </c>
      <c r="L23" s="1396">
        <f ca="1">IF(B23&gt;=$J$5,0,(CONTADORES!$Y15-CONTADORES!$Y14)-$O23)</f>
        <v>24</v>
      </c>
      <c r="M23" s="1396">
        <f t="shared" ca="1" si="3"/>
        <v>0</v>
      </c>
      <c r="N23" s="1396">
        <f ca="1">IF(B23&gt;=$J$5,0,CONTADORES!$AA15-CONTADORES!$AA14)</f>
        <v>0</v>
      </c>
      <c r="O23" s="1396">
        <f ca="1">IF(N23&gt;0,CONTADORES!$Z15-CONTADORES!$Z14,0)</f>
        <v>0</v>
      </c>
      <c r="P23" s="202">
        <f ca="1">IF(B23&gt;=$J$5,0,CONTADORES!$W15-CONTADORES!$W14)</f>
        <v>308</v>
      </c>
      <c r="Q23" s="202">
        <f ca="1">IF(B23&gt;=$J$5,0,CONTADORES!$B15-CONTADORES!$B14)</f>
        <v>0</v>
      </c>
      <c r="R23" s="196">
        <f t="shared" ca="1" si="4"/>
        <v>0</v>
      </c>
      <c r="S23" s="11">
        <f ca="1">IF(B23&gt;=$J$5,0,CONTADORES!$D15-CONTADORES!$D14)</f>
        <v>0</v>
      </c>
      <c r="T23" s="209">
        <f ca="1">IF(B23&gt;=$J$5,0,CONTADORES!$BB15-CONTADORES!$BB14)</f>
        <v>0</v>
      </c>
      <c r="U23" s="196">
        <f t="shared" ca="1" si="5"/>
        <v>0</v>
      </c>
      <c r="V23" s="199">
        <f ca="1">IF(B23&gt;=$J$5,0,CONTADORES!$BD15-CONTADORES!$BD14)</f>
        <v>0</v>
      </c>
      <c r="W23" s="1397">
        <f t="shared" ca="1" si="6"/>
        <v>454</v>
      </c>
      <c r="X23" s="1397">
        <f t="shared" ca="1" si="7"/>
        <v>0</v>
      </c>
      <c r="Y23" s="1398">
        <f t="shared" ca="1" si="8"/>
        <v>454</v>
      </c>
      <c r="Z23" s="1398">
        <f t="shared" ca="1" si="9"/>
        <v>7.8706549887640476</v>
      </c>
      <c r="AA23" s="1398">
        <f t="shared" ca="1" si="10"/>
        <v>0</v>
      </c>
      <c r="AB23" s="1398">
        <f t="shared" ca="1" si="11"/>
        <v>48</v>
      </c>
      <c r="AC23" s="1397">
        <f t="shared" ca="1" si="12"/>
        <v>0</v>
      </c>
      <c r="AD23" s="1397">
        <f ca="1">IF(B23&gt;=$J$5,0,CONTADORES!H15-CONTADORES!H14)</f>
        <v>167</v>
      </c>
      <c r="AE23" s="1397">
        <f ca="1">IF(B23&gt;=$J$5,0,CONTADORES!J15-CONTADORES!J14)</f>
        <v>24</v>
      </c>
      <c r="AF23" s="1397">
        <f ca="1">IF(B23&gt;=$J$5,0,CONTADORES!AU15-CONTADORES!AU14)</f>
        <v>143</v>
      </c>
      <c r="AG23" s="1397">
        <f ca="1">IF(B23&gt;=$J$5,0,CONTADORES!AW15-CONTADORES!AW14)</f>
        <v>24</v>
      </c>
      <c r="AH23" s="1397">
        <f ca="1">IF(B23&gt;=$J$5,0,(CONTADORES!AM15-CONTADORES!AM14)+(CONTADORES!M15-CONTADORES!M14))</f>
        <v>16.5</v>
      </c>
      <c r="AI23" s="1397">
        <f ca="1">IF(B23&gt;=$J$5,0,(CONTADORES!AK15-CONTADORES!AK14)+(CONTADORES!O15-CONTADORES!O14))</f>
        <v>41.700000000004366</v>
      </c>
      <c r="AJ23" s="1397">
        <f ca="1">IF(B23&gt;=$J$5,0,(CONTADORES!AI15-CONTADORES!AI14))</f>
        <v>8.5</v>
      </c>
      <c r="AK23" s="1397">
        <f ca="1">IF(B23&gt;=$J$5,0,(CONTADORES!Q15-CONTADORES!Q14))</f>
        <v>16.5</v>
      </c>
      <c r="AL23" s="1402">
        <f t="shared" ca="1" si="13"/>
        <v>31.399999999995998</v>
      </c>
      <c r="AM23" s="1397">
        <f ca="1">IF(B23&gt;=$J$5,0,(((CONTADORES!F15-CONTADORES!F14)+(CONTADORES!AQ15-CONTADORES!AQ14))))-BS23-AF23-AN23-BV23-BY23-CD23-CB23</f>
        <v>9.9509999999993521</v>
      </c>
      <c r="AN23" s="1397">
        <f ca="1">IF(B23&gt;=$J$5,0,(CONTADORES!AX15-CONTADORES!AX14)+(CONTADORES!AZ15-CONTADORES!AZ14)+(CONTADORES!BE15-CONTADORES!BE14))-CB23</f>
        <v>2.6380000000002726</v>
      </c>
      <c r="AO23" s="1399">
        <f ca="1">IF(B23&gt;=$J$5,0,(CONTADORES!AC15-CONTADORES!AC14))</f>
        <v>71</v>
      </c>
      <c r="AP23" s="1399">
        <f ca="1">IF(B23&gt;=$J$5,0,(CONTADORES!X15-CONTADORES!X14))</f>
        <v>158</v>
      </c>
      <c r="AQ23" s="1404">
        <f ca="1">IF(B23&gt;=$J$5,0,(CONTADORES!C15-CONTADORES!C14))</f>
        <v>0</v>
      </c>
      <c r="AR23" s="1404">
        <f ca="1">IF(B23&gt;=$J$5,0,(CONTADORES!BC15-CONTADORES!BC14))</f>
        <v>0</v>
      </c>
      <c r="AS23" s="1397">
        <f ca="1">IF(B23&gt;=$J$5,0,CONTADORES!S15-CONTADORES!S14)</f>
        <v>18.200000000011642</v>
      </c>
      <c r="AT23" s="1397">
        <f ca="1">IF(B23&gt;=$J$5,0,(CONTADORES!U15-CONTADORES!U14)+(CONTADORES!AG15-CONTADORES!AG14))</f>
        <v>2.0999999999985448</v>
      </c>
      <c r="AU23" s="1397">
        <f>CONTADORES!I15-CONTADORES!I14</f>
        <v>84</v>
      </c>
      <c r="AV23" s="1397">
        <f>CONTADORES!AV15-CONTADORES!AV14</f>
        <v>62</v>
      </c>
      <c r="AW23" s="1397">
        <f ca="1">IF(B23&gt;=$J$5,0,(CONTADORES!N15-CONTADORES!N14)+(CONTADORES!AN15-CONTADORES!AN14))</f>
        <v>6.2999999999992724</v>
      </c>
      <c r="AX23" s="1397">
        <f ca="1">IF(B23&gt;=$J$5,0,(CONTADORES!P15-CONTADORES!P14)+(CONTADORES!AL15-CONTADORES!AL14))</f>
        <v>33.000000000007276</v>
      </c>
      <c r="AY23" s="1397">
        <f ca="1">IF(B23&gt;=$J$5,0,(CONTADORES!AJ15-CONTADORES!AJ14))</f>
        <v>6.7999999999956344</v>
      </c>
      <c r="AZ23" s="1397">
        <f ca="1">IF(B23&gt;=$J$5,0,(CONTADORES!R15-CONTADORES!R14))</f>
        <v>13.399999999994179</v>
      </c>
      <c r="BA23" s="1408">
        <f t="shared" ca="1" si="14"/>
        <v>11.438000000003257</v>
      </c>
      <c r="BB23" s="1406">
        <f ca="1">IF(B23&gt;=$J$5,0,(((CONTADORES!G15-CONTADORES!G14)+(CONTADORES!AR15-CONTADORES!AR14))))-AV23-BC23-BT23-BW23-BZ23-CE23</f>
        <v>4.5040000000003975</v>
      </c>
      <c r="BC23" s="1399">
        <f ca="1">IF(B23&gt;=$J$5,0,(CONTADORES!AY15-CONTADORES!AY14)+(CONTADORES!BA15-CONTADORES!BA14)+(CONTADORES!BF15-CONTADORES!BF14))-CC23</f>
        <v>0.53799999999960213</v>
      </c>
      <c r="BD23" s="1397">
        <f t="shared" ca="1" si="15"/>
        <v>229</v>
      </c>
      <c r="BE23" s="1397">
        <f ca="1">IF($B23&gt;=$J$5,0,CONTADORES!$BG15)</f>
        <v>7138.84</v>
      </c>
      <c r="BF23" s="1397">
        <f ca="1">IF($B23&gt;=$J$5,0,CONTADORES!$BH15)</f>
        <v>30705.757894736798</v>
      </c>
      <c r="BG23" s="1397">
        <f ca="1">IF($B23&gt;=$J$5,0,CONTADORES!$BJ15)</f>
        <v>6675.24</v>
      </c>
      <c r="BH23" s="1397">
        <f ca="1">IF(B23&gt;=$J$5,0,((CONTADORES!BK15-CONTADORES!BK14)/1000))</f>
        <v>1.478</v>
      </c>
      <c r="BI23" s="1397">
        <f ca="1">IF(C23&gt;=$J$5,0,((CONTADORES!BL15-CONTADORES!BL14)/1000))</f>
        <v>1.4610000000000001</v>
      </c>
      <c r="BJ23" s="1397">
        <f ca="1">IF(C23&gt;=$J$5,0,((CONTADORES!BM15-CONTADORES!BM14)/1000))</f>
        <v>0</v>
      </c>
      <c r="BK23" s="1397">
        <f ca="1">IF(D23&gt;=$J$5,0,((CONTADORES!BN15-CONTADORES!BN14)/1000))</f>
        <v>0</v>
      </c>
      <c r="BL23" s="1399">
        <f t="shared" ca="1" si="16"/>
        <v>1.478</v>
      </c>
      <c r="BM23" s="1399">
        <f t="shared" ca="1" si="17"/>
        <v>1.4610000000000001</v>
      </c>
      <c r="BN23" s="1397">
        <f ca="1">IF(W23&gt;=$J$5,0,CONTADORES!$BO15)</f>
        <v>137.97596280040239</v>
      </c>
      <c r="BO23" s="1397">
        <f ca="1">IF(W23&gt;=$J$5,0,CONTADORES!$BP15)</f>
        <v>45.937194961988887</v>
      </c>
      <c r="BP23" s="1397">
        <f ca="1">IF(W23&gt;=$J$5,0,CONTADORES!$BQ15)</f>
        <v>648.85979117147474</v>
      </c>
      <c r="BQ23" s="1397">
        <f ca="1">IF(B23&gt;=$J$5,0,(CONTADORES!AS15-CONTADORES!AS14))</f>
        <v>5</v>
      </c>
      <c r="BR23" s="1397">
        <f ca="1">IF(C23&gt;=$J$5,0,(CONTADORES!AT15-CONTADORES!AT14))</f>
        <v>0</v>
      </c>
      <c r="BS23" s="1397">
        <f ca="1">IF(B23&gt;=$J$5,0,CONTADORES!BR15-CONTADORES!BR14)/1000</f>
        <v>1.8</v>
      </c>
      <c r="BT23" s="1397">
        <f ca="1">IF(B23&gt;=$J$5,0,CONTADORES!BS15-CONTADORES!BS14)</f>
        <v>1</v>
      </c>
      <c r="BU23" s="1397">
        <f ca="1">IF(B23&gt;=$J$5,0,CONTADORES!BT15-CONTADORES!BT14)</f>
        <v>9.5</v>
      </c>
      <c r="BV23" s="1397">
        <f ca="1">IF(B23&gt;=$J$5,0,CONTADORES!BU15-CONTADORES!BU14)/1000</f>
        <v>2.9329999999999998</v>
      </c>
      <c r="BW23" s="1397">
        <f ca="1">IF(B23&gt;=$J$5,0,CONTADORES!BV15-CONTADORES!BV14)/1000</f>
        <v>0.39500000000000002</v>
      </c>
      <c r="BX23" s="1397">
        <f ca="1">IF(B23&gt;=$J$5,0,CONTADORES!BW15-CONTADORES!BW14)</f>
        <v>14.659999999999854</v>
      </c>
      <c r="BY23" s="1397">
        <f ca="1">IF(B23&gt;=$J$5,0,CONTADORES!BX15-CONTADORES!BX14)/1000</f>
        <v>3.516</v>
      </c>
      <c r="BZ23" s="1397">
        <f ca="1">IF(B23&gt;=$J$5,0,CONTADORES!BY15-CONTADORES!BY14)/1000</f>
        <v>6.3E-2</v>
      </c>
      <c r="CA23" s="1397">
        <f ca="1">IF(B23&gt;=$J$5,0,CONTADORES!BZ15-CONTADORES!BZ14)</f>
        <v>24</v>
      </c>
      <c r="CB23" s="1397">
        <f ca="1">IF(B23&gt;=$J$5,0,(CONTADORES!CC15-CONTADORES!CC14)+(CONTADORES!CE15-CONTADORES!CE14))/1000</f>
        <v>1.5620000000000001</v>
      </c>
      <c r="CC23" s="1397">
        <f ca="1">IF(B23&gt;=$J$5,0,(CONTADORES!CD15-CONTADORES!CD14)+(CONTADORES!CF15-CONTADORES!CF14))/1000</f>
        <v>0.96199999999999997</v>
      </c>
      <c r="CD23" s="1397">
        <f ca="1">IF(B23&gt;=$J$5,0,CONTADORES!CA15-CONTADORES!CA14)</f>
        <v>7</v>
      </c>
      <c r="CE23" s="1397">
        <f ca="1">IF(B23&gt;=$J$5,0,CONTADORES!CB15-CONTADORES!CB14)</f>
        <v>4.6000000000003638</v>
      </c>
      <c r="CF23" s="1397">
        <f t="shared" ca="1" si="18"/>
        <v>11.975499999999677</v>
      </c>
      <c r="CG23" s="1397">
        <f t="shared" ca="1" si="19"/>
        <v>6.8520000000005625</v>
      </c>
      <c r="CH23" s="1397">
        <f t="shared" ca="1" si="20"/>
        <v>4.9754999999996761</v>
      </c>
      <c r="CI23" s="1397">
        <f t="shared" ca="1" si="21"/>
        <v>1.0552000000001092</v>
      </c>
      <c r="CJ23" s="1397">
        <f t="shared" ca="1" si="22"/>
        <v>4.9754999999996761</v>
      </c>
      <c r="CK23" s="1397">
        <f t="shared" ca="1" si="23"/>
        <v>1.5828000000001634</v>
      </c>
      <c r="CL23" s="1397">
        <f t="shared" ca="1" si="24"/>
        <v>2.6172000000001092</v>
      </c>
      <c r="CM23" s="1397">
        <f t="shared" ca="1" si="25"/>
        <v>2.2520000000001987</v>
      </c>
      <c r="CN23" s="1397">
        <f ca="1">IF(B23&gt;=$J$5,0,CONTADORES!CB15-CONTADORES!CB14)</f>
        <v>4.6000000000003638</v>
      </c>
      <c r="CO23" s="1397">
        <f t="shared" ca="1" si="26"/>
        <v>2.2520000000001987</v>
      </c>
      <c r="CP23" s="1397">
        <f t="shared" ca="1" si="27"/>
        <v>0.26899999999980106</v>
      </c>
      <c r="CQ23" s="1397">
        <f t="shared" ca="1" si="28"/>
        <v>0.26899999999980106</v>
      </c>
      <c r="CR23" s="1397">
        <f t="shared" ca="1" si="29"/>
        <v>1.2309999999998009</v>
      </c>
      <c r="CS23" s="1403">
        <f ca="1">IF($B23&gt;=$J$5,0,CONTADORES!$BI15)</f>
        <v>9169.8014148102593</v>
      </c>
      <c r="CT23" s="1334">
        <f>CONTADORES!E15</f>
        <v>0</v>
      </c>
      <c r="CU23" s="1334">
        <f>CONTADORES!CG15</f>
        <v>0</v>
      </c>
    </row>
    <row r="24" spans="1:119">
      <c r="B24" s="214">
        <v>44940</v>
      </c>
      <c r="C24" s="198">
        <f t="shared" ca="1" si="0"/>
        <v>148</v>
      </c>
      <c r="D24" s="196">
        <f ca="1">'CALCULO DE GAS'!D17</f>
        <v>3.3494847977528099</v>
      </c>
      <c r="E24" s="196">
        <f ca="1">IF(B24&gt;=$J$5,0,(CONTADORES!$AD16-CONTADORES!$AD15)-$H24)</f>
        <v>24</v>
      </c>
      <c r="F24" s="198">
        <f t="shared" ca="1" si="30"/>
        <v>0</v>
      </c>
      <c r="G24" s="196">
        <f ca="1">IF(B24&gt;=$J$5,0,CONTADORES!$AF16-CONTADORES!$AF15)</f>
        <v>0</v>
      </c>
      <c r="H24" s="1396">
        <f ca="1">IF(G24&gt;0,CONTADORES!$AE16-CONTADORES!$AE15,0)</f>
        <v>0</v>
      </c>
      <c r="I24" s="199">
        <f ca="1">IF(B24&gt;=$J$5,0,CONTADORES!$AB16-CONTADORES!$AB15)</f>
        <v>148</v>
      </c>
      <c r="J24" s="198">
        <f t="shared" ca="1" si="2"/>
        <v>300</v>
      </c>
      <c r="K24" s="196">
        <f ca="1">'CALCULO DE GAS'!E17</f>
        <v>4.4766758089887659</v>
      </c>
      <c r="L24" s="1396">
        <f ca="1">IF(B24&gt;=$J$5,0,(CONTADORES!$Y16-CONTADORES!$Y15)-$O24)</f>
        <v>24</v>
      </c>
      <c r="M24" s="1396">
        <f t="shared" ca="1" si="3"/>
        <v>0</v>
      </c>
      <c r="N24" s="1396">
        <f ca="1">IF(B24&gt;=$J$5,0,CONTADORES!$AA16-CONTADORES!$AA15)</f>
        <v>0</v>
      </c>
      <c r="O24" s="1396">
        <f ca="1">IF(N24&gt;0,CONTADORES!$Z16-CONTADORES!$Z15,0)</f>
        <v>0</v>
      </c>
      <c r="P24" s="202">
        <f ca="1">IF(B24&gt;=$J$5,0,CONTADORES!$W16-CONTADORES!$W15)</f>
        <v>300</v>
      </c>
      <c r="Q24" s="202">
        <f ca="1">IF(B24&gt;=$J$5,0,CONTADORES!$B16-CONTADORES!$B15)</f>
        <v>0</v>
      </c>
      <c r="R24" s="196">
        <f t="shared" ca="1" si="4"/>
        <v>0</v>
      </c>
      <c r="S24" s="11">
        <f ca="1">IF(B24&gt;=$J$5,0,CONTADORES!$D16-CONTADORES!$D15)</f>
        <v>0</v>
      </c>
      <c r="T24" s="209">
        <f ca="1">IF(B24&gt;=$J$5,0,CONTADORES!$BB16-CONTADORES!$BB15)</f>
        <v>0</v>
      </c>
      <c r="U24" s="196">
        <f t="shared" ca="1" si="5"/>
        <v>0</v>
      </c>
      <c r="V24" s="199">
        <f ca="1">IF(B24&gt;=$J$5,0,CONTADORES!$BD16-CONTADORES!$BD15)</f>
        <v>0</v>
      </c>
      <c r="W24" s="1397">
        <f t="shared" ca="1" si="6"/>
        <v>448</v>
      </c>
      <c r="X24" s="1397">
        <f t="shared" ca="1" si="7"/>
        <v>0</v>
      </c>
      <c r="Y24" s="1398">
        <f t="shared" ca="1" si="8"/>
        <v>448</v>
      </c>
      <c r="Z24" s="1398">
        <f t="shared" ca="1" si="9"/>
        <v>7.8261606067415759</v>
      </c>
      <c r="AA24" s="1398">
        <f t="shared" ca="1" si="10"/>
        <v>0</v>
      </c>
      <c r="AB24" s="1398">
        <f t="shared" ca="1" si="11"/>
        <v>48</v>
      </c>
      <c r="AC24" s="1397">
        <f t="shared" ca="1" si="12"/>
        <v>0</v>
      </c>
      <c r="AD24" s="1397">
        <f ca="1">IF(B24&gt;=$J$5,0,CONTADORES!H16-CONTADORES!H15)</f>
        <v>168</v>
      </c>
      <c r="AE24" s="1397">
        <f ca="1">IF(B24&gt;=$J$5,0,CONTADORES!J16-CONTADORES!J15)</f>
        <v>24</v>
      </c>
      <c r="AF24" s="1397">
        <f ca="1">IF(B24&gt;=$J$5,0,CONTADORES!AU16-CONTADORES!AU15)</f>
        <v>143</v>
      </c>
      <c r="AG24" s="1397">
        <f ca="1">IF(B24&gt;=$J$5,0,CONTADORES!AW16-CONTADORES!AW15)</f>
        <v>24</v>
      </c>
      <c r="AH24" s="1397">
        <f ca="1">IF(B24&gt;=$J$5,0,(CONTADORES!AM16-CONTADORES!AM15)+(CONTADORES!M16-CONTADORES!M15))</f>
        <v>5</v>
      </c>
      <c r="AI24" s="1397">
        <f ca="1">IF(B24&gt;=$J$5,0,(CONTADORES!AK16-CONTADORES!AK15)+(CONTADORES!O16-CONTADORES!O15))</f>
        <v>45.599999999998545</v>
      </c>
      <c r="AJ24" s="1397">
        <f ca="1">IF(B24&gt;=$J$5,0,(CONTADORES!AI16-CONTADORES!AI15))</f>
        <v>8.8999999999941792</v>
      </c>
      <c r="AK24" s="1397">
        <f ca="1">IF(B24&gt;=$J$5,0,(CONTADORES!Q16-CONTADORES!Q15))</f>
        <v>14.700000000011642</v>
      </c>
      <c r="AL24" s="1402">
        <f t="shared" ca="1" si="13"/>
        <v>33.799999999995578</v>
      </c>
      <c r="AM24" s="1397">
        <f ca="1">IF(B24&gt;=$J$5,0,(((CONTADORES!F16-CONTADORES!F15)+(CONTADORES!AQ16-CONTADORES!AQ15))))-BS24-AF24-AN24-BV24-BY24-CD24-CB24</f>
        <v>9.5560000000005587</v>
      </c>
      <c r="AN24" s="1397">
        <f ca="1">IF(B24&gt;=$J$5,0,(CONTADORES!AX16-CONTADORES!AX15)+(CONTADORES!AZ16-CONTADORES!AZ15)+(CONTADORES!BE16-CONTADORES!BE15))-CB24</f>
        <v>2.7539999999992721</v>
      </c>
      <c r="AO24" s="1399">
        <f ca="1">IF(B24&gt;=$J$5,0,(CONTADORES!AC16-CONTADORES!AC15))</f>
        <v>74</v>
      </c>
      <c r="AP24" s="1399">
        <f ca="1">IF(B24&gt;=$J$5,0,(CONTADORES!X16-CONTADORES!X15))</f>
        <v>156</v>
      </c>
      <c r="AQ24" s="1404">
        <f ca="1">IF(B24&gt;=$J$5,0,(CONTADORES!C16-CONTADORES!C15))</f>
        <v>0</v>
      </c>
      <c r="AR24" s="1404">
        <f ca="1">IF(B24&gt;=$J$5,0,(CONTADORES!BC16-CONTADORES!BC15))</f>
        <v>0</v>
      </c>
      <c r="AS24" s="1397">
        <f ca="1">IF(B24&gt;=$J$5,0,CONTADORES!S16-CONTADORES!S15)</f>
        <v>17.599999999976717</v>
      </c>
      <c r="AT24" s="1397">
        <f ca="1">IF(B24&gt;=$J$5,0,(CONTADORES!U16-CONTADORES!U15)+(CONTADORES!AG16-CONTADORES!AG15))</f>
        <v>2.0999999999985448</v>
      </c>
      <c r="AU24" s="1397">
        <f>CONTADORES!I16-CONTADORES!I15</f>
        <v>85</v>
      </c>
      <c r="AV24" s="1397">
        <f>CONTADORES!AV16-CONTADORES!AV15</f>
        <v>63</v>
      </c>
      <c r="AW24" s="1397">
        <f ca="1">IF(B24&gt;=$J$5,0,(CONTADORES!N16-CONTADORES!N15)+(CONTADORES!AN16-CONTADORES!AN15))</f>
        <v>2</v>
      </c>
      <c r="AX24" s="1397">
        <f ca="1">IF(B24&gt;=$J$5,0,(CONTADORES!P16-CONTADORES!P15)+(CONTADORES!AL16-CONTADORES!AL15))</f>
        <v>35.299999999995634</v>
      </c>
      <c r="AY24" s="1397">
        <f ca="1">IF(B24&gt;=$J$5,0,(CONTADORES!AJ16-CONTADORES!AJ15))</f>
        <v>7</v>
      </c>
      <c r="AZ24" s="1397">
        <f ca="1">IF(B24&gt;=$J$5,0,(CONTADORES!R16-CONTADORES!R15))</f>
        <v>12.5</v>
      </c>
      <c r="BA24" s="1408">
        <f t="shared" ca="1" si="14"/>
        <v>12.944000000004166</v>
      </c>
      <c r="BB24" s="1406">
        <f ca="1">IF(B24&gt;=$J$5,0,(((CONTADORES!G16-CONTADORES!G15)+(CONTADORES!AR16-CONTADORES!AR15))))-AV24-BC24-BT24-BW24-BZ24-CE24</f>
        <v>4.8240000000004546</v>
      </c>
      <c r="BC24" s="1399">
        <f ca="1">IF(B24&gt;=$J$5,0,(CONTADORES!AY16-CONTADORES!AY15)+(CONTADORES!BA16-CONTADORES!BA15)+(CONTADORES!BF16-CONTADORES!BF15))-CC24</f>
        <v>0.44400000000009099</v>
      </c>
      <c r="BD24" s="1397">
        <f t="shared" ca="1" si="15"/>
        <v>230</v>
      </c>
      <c r="BE24" s="1397">
        <f ca="1">IF($B24&gt;=$J$5,0,CONTADORES!$BG16)</f>
        <v>7141.87</v>
      </c>
      <c r="BF24" s="1397">
        <f ca="1">IF($B24&gt;=$J$5,0,CONTADORES!$BH16)</f>
        <v>30221.164912280699</v>
      </c>
      <c r="BG24" s="1397">
        <f ca="1">IF($B24&gt;=$J$5,0,CONTADORES!$BJ16)</f>
        <v>6172.5</v>
      </c>
      <c r="BH24" s="1397">
        <f ca="1">IF(B24&gt;=$J$5,0,((CONTADORES!BK16-CONTADORES!BK15)/1000))</f>
        <v>1.506</v>
      </c>
      <c r="BI24" s="1397">
        <f ca="1">IF(C24&gt;=$J$5,0,((CONTADORES!BL16-CONTADORES!BL15)/1000))</f>
        <v>1.488</v>
      </c>
      <c r="BJ24" s="1397">
        <f ca="1">IF(C24&gt;=$J$5,0,((CONTADORES!BM16-CONTADORES!BM15)/1000))</f>
        <v>0</v>
      </c>
      <c r="BK24" s="1397">
        <f ca="1">IF(D24&gt;=$J$5,0,((CONTADORES!BN16-CONTADORES!BN15)/1000))</f>
        <v>0</v>
      </c>
      <c r="BL24" s="1399">
        <f t="shared" ca="1" si="16"/>
        <v>1.506</v>
      </c>
      <c r="BM24" s="1399">
        <f t="shared" ca="1" si="17"/>
        <v>1.488</v>
      </c>
      <c r="BN24" s="1397">
        <f ca="1">IF(W24&gt;=$J$5,0,CONTADORES!$BO16)</f>
        <v>135.97679604576408</v>
      </c>
      <c r="BO24" s="1397">
        <f ca="1">IF(W24&gt;=$J$5,0,CONTADORES!$BP16)</f>
        <v>46.014133551186532</v>
      </c>
      <c r="BP24" s="1397">
        <f ca="1">IF(W24&gt;=$J$5,0,CONTADORES!$BQ16)</f>
        <v>641.84692948934389</v>
      </c>
      <c r="BQ24" s="1397">
        <f ca="1">IF(B24&gt;=$J$5,0,(CONTADORES!AS16-CONTADORES!AS15))</f>
        <v>5</v>
      </c>
      <c r="BR24" s="1397">
        <f ca="1">IF(C24&gt;=$J$5,0,(CONTADORES!AT16-CONTADORES!AT15))</f>
        <v>0</v>
      </c>
      <c r="BS24" s="1397">
        <f ca="1">IF(B24&gt;=$J$5,0,CONTADORES!BR16-CONTADORES!BR15)/1000</f>
        <v>4.2</v>
      </c>
      <c r="BT24" s="1397">
        <f ca="1">IF(B24&gt;=$J$5,0,CONTADORES!BS16-CONTADORES!BS15)</f>
        <v>1</v>
      </c>
      <c r="BU24" s="1397">
        <f ca="1">IF(B24&gt;=$J$5,0,CONTADORES!BT16-CONTADORES!BT15)</f>
        <v>24</v>
      </c>
      <c r="BV24" s="1397">
        <f ca="1">IF(B24&gt;=$J$5,0,CONTADORES!BU16-CONTADORES!BU15)/1000</f>
        <v>0</v>
      </c>
      <c r="BW24" s="1397">
        <f ca="1">IF(B24&gt;=$J$5,0,CONTADORES!BV16-CONTADORES!BV15)/1000</f>
        <v>0</v>
      </c>
      <c r="BX24" s="1397">
        <f ca="1">IF(B24&gt;=$J$5,0,CONTADORES!BW16-CONTADORES!BW15)</f>
        <v>0</v>
      </c>
      <c r="BY24" s="1397">
        <f ca="1">IF(B24&gt;=$J$5,0,CONTADORES!BX16-CONTADORES!BX15)/1000</f>
        <v>3.6440000000000001</v>
      </c>
      <c r="BZ24" s="1397">
        <f ca="1">IF(B24&gt;=$J$5,0,CONTADORES!BY16-CONTADORES!BY15)/1000</f>
        <v>0.13200000000000001</v>
      </c>
      <c r="CA24" s="1397">
        <f ca="1">IF(B24&gt;=$J$5,0,CONTADORES!BZ16-CONTADORES!BZ15)</f>
        <v>24</v>
      </c>
      <c r="CB24" s="1397">
        <f ca="1">IF(B24&gt;=$J$5,0,(CONTADORES!CC16-CONTADORES!CC15)+(CONTADORES!CE16-CONTADORES!CE15))/1000</f>
        <v>1.546</v>
      </c>
      <c r="CC24" s="1397">
        <f ca="1">IF(B24&gt;=$J$5,0,(CONTADORES!CD16-CONTADORES!CD15)+(CONTADORES!CF16-CONTADORES!CF15))/1000</f>
        <v>0.95599999999999996</v>
      </c>
      <c r="CD24" s="1397">
        <f ca="1">IF(B24&gt;=$J$5,0,CONTADORES!CA16-CONTADORES!CA15)</f>
        <v>7.3000000000001819</v>
      </c>
      <c r="CE24" s="1397">
        <f ca="1">IF(B24&gt;=$J$5,0,CONTADORES!CB16-CONTADORES!CB15)</f>
        <v>4.8999999999996362</v>
      </c>
      <c r="CF24" s="1397">
        <f t="shared" ca="1" si="18"/>
        <v>12.078000000000461</v>
      </c>
      <c r="CG24" s="1397">
        <f t="shared" ca="1" si="19"/>
        <v>7.3119999999998635</v>
      </c>
      <c r="CH24" s="1397">
        <f t="shared" ca="1" si="20"/>
        <v>4.7780000000002794</v>
      </c>
      <c r="CI24" s="1397">
        <f t="shared" ca="1" si="21"/>
        <v>1.1015999999997088</v>
      </c>
      <c r="CJ24" s="1397">
        <f t="shared" ca="1" si="22"/>
        <v>4.7780000000002794</v>
      </c>
      <c r="CK24" s="1397">
        <f t="shared" ca="1" si="23"/>
        <v>1.6523999999995633</v>
      </c>
      <c r="CL24" s="1397">
        <f t="shared" ca="1" si="24"/>
        <v>2.6475999999997089</v>
      </c>
      <c r="CM24" s="1397">
        <f t="shared" ca="1" si="25"/>
        <v>2.4120000000002273</v>
      </c>
      <c r="CN24" s="1397">
        <f ca="1">IF(B24&gt;=$J$5,0,CONTADORES!CB16-CONTADORES!CB15)</f>
        <v>4.8999999999996362</v>
      </c>
      <c r="CO24" s="1397">
        <f t="shared" ca="1" si="26"/>
        <v>2.4120000000002273</v>
      </c>
      <c r="CP24" s="1397">
        <f t="shared" ca="1" si="27"/>
        <v>0.22200000000004549</v>
      </c>
      <c r="CQ24" s="1397">
        <f t="shared" ca="1" si="28"/>
        <v>0.22200000000004549</v>
      </c>
      <c r="CR24" s="1397">
        <f t="shared" ca="1" si="29"/>
        <v>1.1780000000000455</v>
      </c>
      <c r="CS24" s="1403">
        <f ca="1">IF($B24&gt;=$J$5,0,CONTADORES!$BI16)</f>
        <v>10031.139933763499</v>
      </c>
      <c r="CT24" s="1334">
        <f>CONTADORES!E16</f>
        <v>0</v>
      </c>
      <c r="CU24" s="1334">
        <f>CONTADORES!CG16</f>
        <v>0</v>
      </c>
    </row>
    <row r="25" spans="1:119">
      <c r="B25" s="214">
        <v>44941</v>
      </c>
      <c r="C25" s="198">
        <f t="shared" ca="1" si="0"/>
        <v>150</v>
      </c>
      <c r="D25" s="196">
        <f ca="1">'CALCULO DE GAS'!D18</f>
        <v>3.3643162584269666</v>
      </c>
      <c r="E25" s="196">
        <f ca="1">IF(B25&gt;=$J$5,0,(CONTADORES!$AD17-CONTADORES!$AD16)-$H25)</f>
        <v>24</v>
      </c>
      <c r="F25" s="198">
        <f t="shared" ca="1" si="30"/>
        <v>0</v>
      </c>
      <c r="G25" s="196">
        <f ca="1">IF(B25&gt;=$J$5,0,CONTADORES!$AF17-CONTADORES!$AF16)</f>
        <v>0</v>
      </c>
      <c r="H25" s="1396">
        <f ca="1">IF(G25&gt;0,CONTADORES!$AE17-CONTADORES!$AE16,0)</f>
        <v>0</v>
      </c>
      <c r="I25" s="199">
        <f ca="1">IF(B25&gt;=$J$5,0,CONTADORES!$AB17-CONTADORES!$AB16)</f>
        <v>150</v>
      </c>
      <c r="J25" s="198">
        <f t="shared" ca="1" si="2"/>
        <v>300</v>
      </c>
      <c r="K25" s="196">
        <f ca="1">'CALCULO DE GAS'!E18</f>
        <v>4.4766758089887659</v>
      </c>
      <c r="L25" s="1396">
        <f ca="1">IF(B25&gt;=$J$5,0,(CONTADORES!$Y17-CONTADORES!$Y16)-$O25)</f>
        <v>24</v>
      </c>
      <c r="M25" s="1396">
        <f t="shared" ca="1" si="3"/>
        <v>0</v>
      </c>
      <c r="N25" s="1396">
        <f ca="1">IF(B25&gt;=$J$5,0,CONTADORES!$AA17-CONTADORES!$AA16)</f>
        <v>0</v>
      </c>
      <c r="O25" s="1396">
        <f ca="1">IF(N25&gt;0,CONTADORES!$Z17-CONTADORES!$Z16,0)</f>
        <v>0</v>
      </c>
      <c r="P25" s="202">
        <f ca="1">IF(B25&gt;=$J$5,0,CONTADORES!$W17-CONTADORES!$W16)</f>
        <v>300</v>
      </c>
      <c r="Q25" s="202">
        <f ca="1">IF(B25&gt;=$J$5,0,CONTADORES!$B17-CONTADORES!$B16)</f>
        <v>0</v>
      </c>
      <c r="R25" s="196">
        <f t="shared" ca="1" si="4"/>
        <v>0</v>
      </c>
      <c r="S25" s="11">
        <f ca="1">IF(B25&gt;=$J$5,0,CONTADORES!$D17-CONTADORES!$D16)</f>
        <v>0</v>
      </c>
      <c r="T25" s="209">
        <f ca="1">IF(B25&gt;=$J$5,0,CONTADORES!$BB17-CONTADORES!$BB16)</f>
        <v>0</v>
      </c>
      <c r="U25" s="196">
        <f t="shared" ca="1" si="5"/>
        <v>0</v>
      </c>
      <c r="V25" s="199">
        <f ca="1">IF(B25&gt;=$J$5,0,CONTADORES!$BD17-CONTADORES!$BD16)</f>
        <v>0</v>
      </c>
      <c r="W25" s="1397">
        <f t="shared" ca="1" si="6"/>
        <v>450</v>
      </c>
      <c r="X25" s="1397">
        <f t="shared" ca="1" si="7"/>
        <v>0</v>
      </c>
      <c r="Y25" s="1398">
        <f t="shared" ca="1" si="8"/>
        <v>450</v>
      </c>
      <c r="Z25" s="1398">
        <f t="shared" ca="1" si="9"/>
        <v>7.8409920674157325</v>
      </c>
      <c r="AA25" s="1398">
        <f t="shared" ca="1" si="10"/>
        <v>0</v>
      </c>
      <c r="AB25" s="1398">
        <f t="shared" ca="1" si="11"/>
        <v>48</v>
      </c>
      <c r="AC25" s="1397">
        <f t="shared" ca="1" si="12"/>
        <v>0</v>
      </c>
      <c r="AD25" s="1397">
        <f ca="1">IF(B25&gt;=$J$5,0,CONTADORES!H17-CONTADORES!H16)</f>
        <v>166</v>
      </c>
      <c r="AE25" s="1397">
        <f ca="1">IF(B25&gt;=$J$5,0,CONTADORES!J17-CONTADORES!J16)</f>
        <v>24</v>
      </c>
      <c r="AF25" s="1397">
        <f ca="1">IF(B25&gt;=$J$5,0,CONTADORES!AU17-CONTADORES!AU16)</f>
        <v>138</v>
      </c>
      <c r="AG25" s="1397">
        <f ca="1">IF(B25&gt;=$J$5,0,CONTADORES!AW17-CONTADORES!AW16)</f>
        <v>24</v>
      </c>
      <c r="AH25" s="1397">
        <f ca="1">IF(B25&gt;=$J$5,0,(CONTADORES!AM17-CONTADORES!AM16)+(CONTADORES!M17-CONTADORES!M16))</f>
        <v>12.80000000000291</v>
      </c>
      <c r="AI25" s="1397">
        <f ca="1">IF(B25&gt;=$J$5,0,(CONTADORES!AK17-CONTADORES!AK16)+(CONTADORES!O17-CONTADORES!O16))</f>
        <v>46.900000000001455</v>
      </c>
      <c r="AJ25" s="1397">
        <f ca="1">IF(B25&gt;=$J$5,0,(CONTADORES!AI17-CONTADORES!AI16))</f>
        <v>8.2000000000116415</v>
      </c>
      <c r="AK25" s="1397">
        <f ca="1">IF(B25&gt;=$J$5,0,(CONTADORES!Q17-CONTADORES!Q16))</f>
        <v>15.5</v>
      </c>
      <c r="AL25" s="1402">
        <f t="shared" ca="1" si="13"/>
        <v>32.999999999983686</v>
      </c>
      <c r="AM25" s="1397">
        <f ca="1">IF(B25&gt;=$J$5,0,(((CONTADORES!F17-CONTADORES!F16)+(CONTADORES!AQ17-CONTADORES!AQ16))))-BS25-AF25-AN25-BV25-BY25-CD25-CB25</f>
        <v>10.324000000000455</v>
      </c>
      <c r="AN25" s="1397">
        <f ca="1">IF(B25&gt;=$J$5,0,(CONTADORES!AX17-CONTADORES!AX16)+(CONTADORES!AZ17-CONTADORES!AZ16)+(CONTADORES!BE17-CONTADORES!BE16))-CB25</f>
        <v>2.8580000000000911</v>
      </c>
      <c r="AO25" s="1399">
        <f ca="1">IF(B25&gt;=$J$5,0,(CONTADORES!AC17-CONTADORES!AC16))</f>
        <v>72</v>
      </c>
      <c r="AP25" s="1399">
        <f ca="1">IF(B25&gt;=$J$5,0,(CONTADORES!X17-CONTADORES!X16))</f>
        <v>156</v>
      </c>
      <c r="AQ25" s="1404">
        <f ca="1">IF(B25&gt;=$J$5,0,(CONTADORES!C17-CONTADORES!C16))</f>
        <v>0</v>
      </c>
      <c r="AR25" s="1404">
        <f ca="1">IF(B25&gt;=$J$5,0,(CONTADORES!BC17-CONTADORES!BC16))</f>
        <v>0</v>
      </c>
      <c r="AS25" s="1397">
        <f ca="1">IF(B25&gt;=$J$5,0,CONTADORES!S17-CONTADORES!S16)</f>
        <v>17.400000000023283</v>
      </c>
      <c r="AT25" s="1397">
        <f ca="1">IF(B25&gt;=$J$5,0,(CONTADORES!U17-CONTADORES!U16)+(CONTADORES!AG17-CONTADORES!AG16))</f>
        <v>2.1000000000058208</v>
      </c>
      <c r="AU25" s="1397">
        <f>CONTADORES!I17-CONTADORES!I16</f>
        <v>83</v>
      </c>
      <c r="AV25" s="1397">
        <f>CONTADORES!AV17-CONTADORES!AV16</f>
        <v>60</v>
      </c>
      <c r="AW25" s="1397">
        <f ca="1">IF(B25&gt;=$J$5,0,(CONTADORES!N17-CONTADORES!N16)+(CONTADORES!AN17-CONTADORES!AN16))</f>
        <v>4.8999999999978172</v>
      </c>
      <c r="AX25" s="1397">
        <f ca="1">IF(B25&gt;=$J$5,0,(CONTADORES!P17-CONTADORES!P16)+(CONTADORES!AL17-CONTADORES!AL16))</f>
        <v>36.099999999998545</v>
      </c>
      <c r="AY25" s="1397">
        <f ca="1">IF(B25&gt;=$J$5,0,(CONTADORES!AJ17-CONTADORES!AJ16))</f>
        <v>6.5</v>
      </c>
      <c r="AZ25" s="1397">
        <f ca="1">IF(B25&gt;=$J$5,0,(CONTADORES!R17-CONTADORES!R16))</f>
        <v>12.600000000005821</v>
      </c>
      <c r="BA25" s="1408">
        <f t="shared" ca="1" si="14"/>
        <v>11.547999999998154</v>
      </c>
      <c r="BB25" s="1406">
        <f ca="1">IF(B25&gt;=$J$5,0,(((CONTADORES!G17-CONTADORES!G16)+(CONTADORES!AR17-CONTADORES!AR16))))-AV25-BC25-BT25-BW25-BZ25-CE25</f>
        <v>6.0209999999993631</v>
      </c>
      <c r="BC25" s="1399">
        <f ca="1">IF(B25&gt;=$J$5,0,(CONTADORES!AY17-CONTADORES!AY16)+(CONTADORES!BA17-CONTADORES!BA16)+(CONTADORES!BF17-CONTADORES!BF16))-CC25</f>
        <v>0.44800000000009099</v>
      </c>
      <c r="BD25" s="1397">
        <f t="shared" ca="1" si="15"/>
        <v>228</v>
      </c>
      <c r="BE25" s="1397">
        <f ca="1">IF($B25&gt;=$J$5,0,CONTADORES!$BG17)</f>
        <v>7021.88</v>
      </c>
      <c r="BF25" s="1397">
        <f ca="1">IF($B25&gt;=$J$5,0,CONTADORES!$BH17)</f>
        <v>31016.661403508799</v>
      </c>
      <c r="BG25" s="1397">
        <f ca="1">IF($B25&gt;=$J$5,0,CONTADORES!$BJ17)</f>
        <v>6404.61</v>
      </c>
      <c r="BH25" s="1397">
        <f ca="1">IF(B25&gt;=$J$5,0,((CONTADORES!BK17-CONTADORES!BK16)/1000))</f>
        <v>1.359</v>
      </c>
      <c r="BI25" s="1397">
        <f ca="1">IF(C25&gt;=$J$5,0,((CONTADORES!BL17-CONTADORES!BL16)/1000))</f>
        <v>1.38</v>
      </c>
      <c r="BJ25" s="1397">
        <f ca="1">IF(C25&gt;=$J$5,0,((CONTADORES!BM17-CONTADORES!BM16)/1000))</f>
        <v>0</v>
      </c>
      <c r="BK25" s="1397">
        <f ca="1">IF(D25&gt;=$J$5,0,((CONTADORES!BN17-CONTADORES!BN16)/1000))</f>
        <v>0</v>
      </c>
      <c r="BL25" s="1399">
        <f t="shared" ca="1" si="16"/>
        <v>1.359</v>
      </c>
      <c r="BM25" s="1399">
        <f t="shared" ca="1" si="17"/>
        <v>1.38</v>
      </c>
      <c r="BN25" s="1397">
        <f ca="1">IF(W25&gt;=$J$5,0,CONTADORES!$BO17)</f>
        <v>137.35869137718899</v>
      </c>
      <c r="BO25" s="1397">
        <f ca="1">IF(W25&gt;=$J$5,0,CONTADORES!$BP17)</f>
        <v>45.990850613384289</v>
      </c>
      <c r="BP25" s="1397">
        <f ca="1">IF(W25&gt;=$J$5,0,CONTADORES!$BQ17)</f>
        <v>652.11111518491748</v>
      </c>
      <c r="BQ25" s="1397">
        <f ca="1">IF(B25&gt;=$J$5,0,(CONTADORES!AS17-CONTADORES!AS16))</f>
        <v>6</v>
      </c>
      <c r="BR25" s="1397">
        <f ca="1">IF(C25&gt;=$J$5,0,(CONTADORES!AT17-CONTADORES!AT16))</f>
        <v>0</v>
      </c>
      <c r="BS25" s="1397">
        <f ca="1">IF(B25&gt;=$J$5,0,CONTADORES!BR17-CONTADORES!BR16)/1000</f>
        <v>4</v>
      </c>
      <c r="BT25" s="1397">
        <f ca="1">IF(B25&gt;=$J$5,0,CONTADORES!BS17-CONTADORES!BS16)</f>
        <v>1</v>
      </c>
      <c r="BU25" s="1397">
        <f ca="1">IF(B25&gt;=$J$5,0,CONTADORES!BT17-CONTADORES!BT16)</f>
        <v>24</v>
      </c>
      <c r="BV25" s="1397">
        <f ca="1">IF(B25&gt;=$J$5,0,CONTADORES!BU17-CONTADORES!BU16)/1000</f>
        <v>0</v>
      </c>
      <c r="BW25" s="1397">
        <f ca="1">IF(B25&gt;=$J$5,0,CONTADORES!BV17-CONTADORES!BV16)/1000</f>
        <v>0</v>
      </c>
      <c r="BX25" s="1397">
        <f ca="1">IF(B25&gt;=$J$5,0,CONTADORES!BW17-CONTADORES!BW16)</f>
        <v>0</v>
      </c>
      <c r="BY25" s="1397">
        <f ca="1">IF(B25&gt;=$J$5,0,CONTADORES!BX17-CONTADORES!BX16)/1000</f>
        <v>3.6760000000000002</v>
      </c>
      <c r="BZ25" s="1397">
        <f ca="1">IF(B25&gt;=$J$5,0,CONTADORES!BY17-CONTADORES!BY16)/1000</f>
        <v>0.13100000000000001</v>
      </c>
      <c r="CA25" s="1397">
        <f ca="1">IF(B25&gt;=$J$5,0,CONTADORES!BZ17-CONTADORES!BZ16)</f>
        <v>24</v>
      </c>
      <c r="CB25" s="1397">
        <f ca="1">IF(B25&gt;=$J$5,0,(CONTADORES!CC17-CONTADORES!CC16)+(CONTADORES!CE17-CONTADORES!CE16))/1000</f>
        <v>1.542</v>
      </c>
      <c r="CC25" s="1397">
        <f ca="1">IF(B25&gt;=$J$5,0,(CONTADORES!CD17-CONTADORES!CD16)+(CONTADORES!CF17-CONTADORES!CF16))/1000</f>
        <v>0.95199999999999996</v>
      </c>
      <c r="CD25" s="1397">
        <f ca="1">IF(B25&gt;=$J$5,0,CONTADORES!CA17-CONTADORES!CA16)</f>
        <v>7.1999999999998181</v>
      </c>
      <c r="CE25" s="1397">
        <f ca="1">IF(B25&gt;=$J$5,0,CONTADORES!CB17-CONTADORES!CB16)</f>
        <v>4.8000000000001819</v>
      </c>
      <c r="CF25" s="1397">
        <f t="shared" ca="1" si="18"/>
        <v>12.362000000000045</v>
      </c>
      <c r="CG25" s="1397">
        <f t="shared" ca="1" si="19"/>
        <v>7.8104999999998634</v>
      </c>
      <c r="CH25" s="1397">
        <f t="shared" ca="1" si="20"/>
        <v>5.1620000000002273</v>
      </c>
      <c r="CI25" s="1397">
        <f t="shared" ca="1" si="21"/>
        <v>1.1432000000000364</v>
      </c>
      <c r="CJ25" s="1397">
        <f t="shared" ca="1" si="22"/>
        <v>5.1620000000002273</v>
      </c>
      <c r="CK25" s="1397">
        <f t="shared" ca="1" si="23"/>
        <v>1.7148000000000547</v>
      </c>
      <c r="CL25" s="1397">
        <f t="shared" ca="1" si="24"/>
        <v>2.6852000000000364</v>
      </c>
      <c r="CM25" s="1397">
        <f t="shared" ca="1" si="25"/>
        <v>3.0104999999996815</v>
      </c>
      <c r="CN25" s="1397">
        <f ca="1">IF(B25&gt;=$J$5,0,CONTADORES!CB17-CONTADORES!CB16)</f>
        <v>4.8000000000001819</v>
      </c>
      <c r="CO25" s="1397">
        <f t="shared" ca="1" si="26"/>
        <v>3.0104999999996815</v>
      </c>
      <c r="CP25" s="1397">
        <f t="shared" ca="1" si="27"/>
        <v>0.2240000000000455</v>
      </c>
      <c r="CQ25" s="1397">
        <f t="shared" ca="1" si="28"/>
        <v>0.2240000000000455</v>
      </c>
      <c r="CR25" s="1397">
        <f t="shared" ca="1" si="29"/>
        <v>1.1760000000000455</v>
      </c>
      <c r="CS25" s="1403">
        <f ca="1">IF($B25&gt;=$J$5,0,CONTADORES!$BI17)</f>
        <v>10154.001882045801</v>
      </c>
      <c r="CT25" s="1334">
        <f>CONTADORES!E17</f>
        <v>0</v>
      </c>
      <c r="CU25" s="1334">
        <f>CONTADORES!CG17</f>
        <v>0</v>
      </c>
    </row>
    <row r="26" spans="1:119">
      <c r="B26" s="214">
        <v>44942</v>
      </c>
      <c r="C26" s="198">
        <f t="shared" ca="1" si="0"/>
        <v>150</v>
      </c>
      <c r="D26" s="196">
        <f ca="1">'CALCULO DE GAS'!D19</f>
        <v>3.3643162584269666</v>
      </c>
      <c r="E26" s="196">
        <f ca="1">IF(B26&gt;=$J$5,0,(CONTADORES!$AD18-CONTADORES!$AD17)-$H26)</f>
        <v>24</v>
      </c>
      <c r="F26" s="198">
        <f t="shared" ca="1" si="30"/>
        <v>0</v>
      </c>
      <c r="G26" s="196">
        <f ca="1">IF(B26&gt;=$J$5,0,CONTADORES!$AF18-CONTADORES!$AF17)</f>
        <v>0</v>
      </c>
      <c r="H26" s="1396">
        <f ca="1">IF(G26&gt;0,CONTADORES!$AE18-CONTADORES!$AE17,0)</f>
        <v>0</v>
      </c>
      <c r="I26" s="199">
        <f ca="1">IF(B26&gt;=$J$5,0,CONTADORES!$AB18-CONTADORES!$AB17)</f>
        <v>150</v>
      </c>
      <c r="J26" s="198">
        <f t="shared" ca="1" si="2"/>
        <v>304</v>
      </c>
      <c r="K26" s="196">
        <f ca="1">'CALCULO DE GAS'!E19</f>
        <v>4.5063387303370801</v>
      </c>
      <c r="L26" s="1396">
        <f ca="1">IF(B26&gt;=$J$5,0,(CONTADORES!$Y18-CONTADORES!$Y17)-$O26)</f>
        <v>24</v>
      </c>
      <c r="M26" s="1396">
        <f t="shared" ca="1" si="3"/>
        <v>0</v>
      </c>
      <c r="N26" s="1396">
        <f ca="1">IF(B26&gt;=$J$5,0,CONTADORES!$AA18-CONTADORES!$AA17)</f>
        <v>0</v>
      </c>
      <c r="O26" s="1396">
        <f ca="1">IF(N26&gt;0,CONTADORES!$Z18-CONTADORES!$Z17,0)</f>
        <v>0</v>
      </c>
      <c r="P26" s="202">
        <f ca="1">IF(B26&gt;=$J$5,0,CONTADORES!$W18-CONTADORES!$W17)</f>
        <v>304</v>
      </c>
      <c r="Q26" s="202">
        <f ca="1">IF(B26&gt;=$J$5,0,CONTADORES!$B18-CONTADORES!$B17)</f>
        <v>0.48500000000012733</v>
      </c>
      <c r="R26" s="196">
        <f t="shared" ca="1" si="4"/>
        <v>58.20000000001528</v>
      </c>
      <c r="S26" s="11">
        <f ca="1">IF(B26&gt;=$J$5,0,CONTADORES!$D18-CONTADORES!$D17)</f>
        <v>1.5</v>
      </c>
      <c r="T26" s="209">
        <f ca="1">IF(B26&gt;=$J$5,0,CONTADORES!$BB18-CONTADORES!$BB17)</f>
        <v>0.44600000000002638</v>
      </c>
      <c r="U26" s="196">
        <f t="shared" ca="1" si="5"/>
        <v>53.520000000003165</v>
      </c>
      <c r="V26" s="199">
        <f ca="1">IF(B26&gt;=$J$5,0,CONTADORES!$BD18-CONTADORES!$BD17)</f>
        <v>0.52999999999997272</v>
      </c>
      <c r="W26" s="1397">
        <f t="shared" ca="1" si="6"/>
        <v>454</v>
      </c>
      <c r="X26" s="1397">
        <f t="shared" ca="1" si="7"/>
        <v>0.9310000000001537</v>
      </c>
      <c r="Y26" s="1398">
        <f t="shared" ca="1" si="8"/>
        <v>454.93100000000015</v>
      </c>
      <c r="Z26" s="1398">
        <f t="shared" ca="1" si="9"/>
        <v>7.8706549887640467</v>
      </c>
      <c r="AA26" s="1398">
        <f t="shared" ca="1" si="10"/>
        <v>111.72000000001844</v>
      </c>
      <c r="AB26" s="1398">
        <f t="shared" ca="1" si="11"/>
        <v>48</v>
      </c>
      <c r="AC26" s="1397">
        <f t="shared" ca="1" si="12"/>
        <v>2.0299999999999727</v>
      </c>
      <c r="AD26" s="1397">
        <f ca="1">IF(B26&gt;=$J$5,0,CONTADORES!H18-CONTADORES!H17)</f>
        <v>165</v>
      </c>
      <c r="AE26" s="1397">
        <f ca="1">IF(B26&gt;=$J$5,0,CONTADORES!J18-CONTADORES!J17)</f>
        <v>24</v>
      </c>
      <c r="AF26" s="1397">
        <f ca="1">IF(B26&gt;=$J$5,0,CONTADORES!AU18-CONTADORES!AU17)</f>
        <v>144</v>
      </c>
      <c r="AG26" s="1397">
        <f ca="1">IF(B26&gt;=$J$5,0,CONTADORES!AW18-CONTADORES!AW17)</f>
        <v>24</v>
      </c>
      <c r="AH26" s="1397">
        <f ca="1">IF(B26&gt;=$J$5,0,(CONTADORES!AM18-CONTADORES!AM17)+(CONTADORES!M18-CONTADORES!M17))</f>
        <v>12</v>
      </c>
      <c r="AI26" s="1397">
        <f ca="1">IF(B26&gt;=$J$5,0,(CONTADORES!AK18-CONTADORES!AK17)+(CONTADORES!O18-CONTADORES!O17))</f>
        <v>45.099999999998545</v>
      </c>
      <c r="AJ26" s="1397">
        <f ca="1">IF(B26&gt;=$J$5,0,(CONTADORES!AI18-CONTADORES!AI17))</f>
        <v>8.3999999999941792</v>
      </c>
      <c r="AK26" s="1397">
        <f ca="1">IF(B26&gt;=$J$5,0,(CONTADORES!Q18-CONTADORES!Q17))</f>
        <v>15.399999999994179</v>
      </c>
      <c r="AL26" s="1402">
        <f t="shared" ca="1" si="13"/>
        <v>36.331000000014342</v>
      </c>
      <c r="AM26" s="1397">
        <f ca="1">IF(B26&gt;=$J$5,0,(((CONTADORES!F18-CONTADORES!F17)+(CONTADORES!AQ18-CONTADORES!AQ17))))-BS26-AF26-AN26-BV26-BY26-CD26-CB26</f>
        <v>9.6859999999989981</v>
      </c>
      <c r="AN26" s="1397">
        <f ca="1">IF(B26&gt;=$J$5,0,(CONTADORES!AX18-CONTADORES!AX17)+(CONTADORES!AZ18-CONTADORES!AZ17)+(CONTADORES!BE18-CONTADORES!BE17))-CB26</f>
        <v>2.8440000000000909</v>
      </c>
      <c r="AO26" s="1399">
        <f ca="1">IF(B26&gt;=$J$5,0,(CONTADORES!AC18-CONTADORES!AC17))</f>
        <v>74</v>
      </c>
      <c r="AP26" s="1399">
        <f ca="1">IF(B26&gt;=$J$5,0,(CONTADORES!X18-CONTADORES!X17))</f>
        <v>158</v>
      </c>
      <c r="AQ26" s="1404">
        <f ca="1">IF(B26&gt;=$J$5,0,(CONTADORES!C18-CONTADORES!C17))</f>
        <v>0.17700000000002092</v>
      </c>
      <c r="AR26" s="1404">
        <f ca="1">IF(B26&gt;=$J$5,0,(CONTADORES!BC18-CONTADORES!BC17))</f>
        <v>0.17599999999998772</v>
      </c>
      <c r="AS26" s="1397">
        <f ca="1">IF(B26&gt;=$J$5,0,CONTADORES!S18-CONTADORES!S17)</f>
        <v>17.799999999988358</v>
      </c>
      <c r="AT26" s="1397">
        <f ca="1">IF(B26&gt;=$J$5,0,(CONTADORES!U18-CONTADORES!U17)+(CONTADORES!AG18-CONTADORES!AG17))</f>
        <v>2.0999999999985448</v>
      </c>
      <c r="AU26" s="1397">
        <f>CONTADORES!I18-CONTADORES!I17</f>
        <v>84</v>
      </c>
      <c r="AV26" s="1397">
        <f>CONTADORES!AV18-CONTADORES!AV17</f>
        <v>63</v>
      </c>
      <c r="AW26" s="1397">
        <f ca="1">IF(B26&gt;=$J$5,0,(CONTADORES!N18-CONTADORES!N17)+(CONTADORES!AN18-CONTADORES!AN17))</f>
        <v>4.4000000000014552</v>
      </c>
      <c r="AX26" s="1397">
        <f ca="1">IF(B26&gt;=$J$5,0,(CONTADORES!P18-CONTADORES!P17)+(CONTADORES!AL18-CONTADORES!AL17))</f>
        <v>35.799999999995634</v>
      </c>
      <c r="AY26" s="1397">
        <f ca="1">IF(B26&gt;=$J$5,0,(CONTADORES!AJ18-CONTADORES!AJ17))</f>
        <v>6.7000000000043656</v>
      </c>
      <c r="AZ26" s="1397">
        <f ca="1">IF(B26&gt;=$J$5,0,(CONTADORES!R18-CONTADORES!R17))</f>
        <v>12.599999999991269</v>
      </c>
      <c r="BA26" s="1408">
        <f t="shared" ca="1" si="14"/>
        <v>13.299000000006885</v>
      </c>
      <c r="BB26" s="1406">
        <f ca="1">IF(B26&gt;=$J$5,0,(((CONTADORES!G18-CONTADORES!G17)+(CONTADORES!AR18-CONTADORES!AR17))))-AV26-BC26-BT26-BW26-BZ26-CE26</f>
        <v>5.1220000000001598</v>
      </c>
      <c r="BC26" s="1399">
        <f ca="1">IF(B26&gt;=$J$5,0,(CONTADORES!AY18-CONTADORES!AY17)+(CONTADORES!BA18-CONTADORES!BA17)+(CONTADORES!BF18-CONTADORES!BF17))-CC26</f>
        <v>0.64600000000002278</v>
      </c>
      <c r="BD26" s="1397">
        <f t="shared" ca="1" si="15"/>
        <v>232.35300000000001</v>
      </c>
      <c r="BE26" s="1397">
        <f ca="1">IF($B26&gt;=$J$5,0,CONTADORES!$BG18)</f>
        <v>6510.63</v>
      </c>
      <c r="BF26" s="1397">
        <f ca="1">IF($B26&gt;=$J$5,0,CONTADORES!$BH18)</f>
        <v>31201.454385964898</v>
      </c>
      <c r="BG26" s="1397">
        <f ca="1">IF($B26&gt;=$J$5,0,CONTADORES!$BJ18)</f>
        <v>6303.13</v>
      </c>
      <c r="BH26" s="1397">
        <f ca="1">IF(B26&gt;=$J$5,0,((CONTADORES!BK18-CONTADORES!BK17)/1000))</f>
        <v>1.468</v>
      </c>
      <c r="BI26" s="1397">
        <f ca="1">IF(C26&gt;=$J$5,0,((CONTADORES!BL18-CONTADORES!BL17)/1000))</f>
        <v>1.4450000000000001</v>
      </c>
      <c r="BJ26" s="1397">
        <f ca="1">IF(C26&gt;=$J$5,0,((CONTADORES!BM18-CONTADORES!BM17)/1000))</f>
        <v>0</v>
      </c>
      <c r="BK26" s="1397">
        <f ca="1">IF(D26&gt;=$J$5,0,((CONTADORES!BN18-CONTADORES!BN17)/1000))</f>
        <v>0</v>
      </c>
      <c r="BL26" s="1399">
        <f t="shared" ca="1" si="16"/>
        <v>1.468</v>
      </c>
      <c r="BM26" s="1399">
        <f t="shared" ca="1" si="17"/>
        <v>1.4450000000000001</v>
      </c>
      <c r="BN26" s="1397">
        <f ca="1">IF(W26&gt;=$J$5,0,CONTADORES!$BO18)</f>
        <v>137.16995581822317</v>
      </c>
      <c r="BO26" s="1397">
        <f ca="1">IF(W26&gt;=$J$5,0,CONTADORES!$BP18)</f>
        <v>45.96119383113242</v>
      </c>
      <c r="BP26" s="1397">
        <f ca="1">IF(W26&gt;=$J$5,0,CONTADORES!$BQ18)</f>
        <v>648.40967718772947</v>
      </c>
      <c r="BQ26" s="1397">
        <f ca="1">IF(B26&gt;=$J$5,0,(CONTADORES!AS18-CONTADORES!AS17))</f>
        <v>5</v>
      </c>
      <c r="BR26" s="1397">
        <f ca="1">IF(C26&gt;=$J$5,0,(CONTADORES!AT18-CONTADORES!AT17))</f>
        <v>0</v>
      </c>
      <c r="BS26" s="1397">
        <f ca="1">IF(B26&gt;=$J$5,0,CONTADORES!BR18-CONTADORES!BR17)/1000</f>
        <v>4</v>
      </c>
      <c r="BT26" s="1397">
        <f ca="1">IF(B26&gt;=$J$5,0,CONTADORES!BS18-CONTADORES!BS17)</f>
        <v>1</v>
      </c>
      <c r="BU26" s="1397">
        <f ca="1">IF(B26&gt;=$J$5,0,CONTADORES!BT18-CONTADORES!BT17)</f>
        <v>24</v>
      </c>
      <c r="BV26" s="1397">
        <f ca="1">IF(B26&gt;=$J$5,0,CONTADORES!BU18-CONTADORES!BU17)/1000</f>
        <v>0</v>
      </c>
      <c r="BW26" s="1397">
        <f ca="1">IF(B26&gt;=$J$5,0,CONTADORES!BV18-CONTADORES!BV17)/1000</f>
        <v>0</v>
      </c>
      <c r="BX26" s="1397">
        <f ca="1">IF(B26&gt;=$J$5,0,CONTADORES!BW18-CONTADORES!BW17)</f>
        <v>0</v>
      </c>
      <c r="BY26" s="1397">
        <f ca="1">IF(B26&gt;=$J$5,0,CONTADORES!BX18-CONTADORES!BX17)/1000</f>
        <v>3.4140000000000001</v>
      </c>
      <c r="BZ26" s="1397">
        <f ca="1">IF(B26&gt;=$J$5,0,CONTADORES!BY18-CONTADORES!BY17)/1000</f>
        <v>3.2000000000000001E-2</v>
      </c>
      <c r="CA26" s="1397">
        <f ca="1">IF(B26&gt;=$J$5,0,CONTADORES!BZ18-CONTADORES!BZ17)</f>
        <v>24</v>
      </c>
      <c r="CB26" s="1397">
        <f ca="1">IF(B26&gt;=$J$5,0,(CONTADORES!CC18-CONTADORES!CC17)+(CONTADORES!CE18-CONTADORES!CE17))/1000</f>
        <v>1.556</v>
      </c>
      <c r="CC26" s="1397">
        <f ca="1">IF(B26&gt;=$J$5,0,(CONTADORES!CD18-CONTADORES!CD17)+(CONTADORES!CF18-CONTADORES!CF17))/1000</f>
        <v>0.95399999999999996</v>
      </c>
      <c r="CD26" s="1397">
        <f ca="1">IF(B26&gt;=$J$5,0,CONTADORES!CA18-CONTADORES!CA17)</f>
        <v>7.1999999999998181</v>
      </c>
      <c r="CE26" s="1397">
        <f ca="1">IF(B26&gt;=$J$5,0,CONTADORES!CB18-CONTADORES!CB17)</f>
        <v>4.8000000000001819</v>
      </c>
      <c r="CF26" s="1397">
        <f t="shared" ca="1" si="18"/>
        <v>12.042999999999317</v>
      </c>
      <c r="CG26" s="1397">
        <f t="shared" ca="1" si="19"/>
        <v>7.3610000000002618</v>
      </c>
      <c r="CH26" s="1397">
        <f t="shared" ca="1" si="20"/>
        <v>4.842999999999499</v>
      </c>
      <c r="CI26" s="1397">
        <f t="shared" ca="1" si="21"/>
        <v>1.1376000000000364</v>
      </c>
      <c r="CJ26" s="1397">
        <f t="shared" ca="1" si="22"/>
        <v>4.842999999999499</v>
      </c>
      <c r="CK26" s="1397">
        <f t="shared" ca="1" si="23"/>
        <v>1.7064000000000545</v>
      </c>
      <c r="CL26" s="1397">
        <f t="shared" ca="1" si="24"/>
        <v>2.6936000000000364</v>
      </c>
      <c r="CM26" s="1397">
        <f t="shared" ca="1" si="25"/>
        <v>2.5610000000000799</v>
      </c>
      <c r="CN26" s="1397">
        <f ca="1">IF(B26&gt;=$J$5,0,CONTADORES!CB18-CONTADORES!CB17)</f>
        <v>4.8000000000001819</v>
      </c>
      <c r="CO26" s="1397">
        <f t="shared" ca="1" si="26"/>
        <v>2.5610000000000799</v>
      </c>
      <c r="CP26" s="1397">
        <f t="shared" ca="1" si="27"/>
        <v>0.32300000000001139</v>
      </c>
      <c r="CQ26" s="1397">
        <f t="shared" ca="1" si="28"/>
        <v>0.32300000000001139</v>
      </c>
      <c r="CR26" s="1397">
        <f t="shared" ca="1" si="29"/>
        <v>1.2770000000000112</v>
      </c>
      <c r="CS26" s="1403">
        <f ca="1">IF($B26&gt;=$J$5,0,CONTADORES!$BI18)</f>
        <v>10263.695201005999</v>
      </c>
      <c r="CT26" s="1334">
        <f>CONTADORES!E18</f>
        <v>0.5</v>
      </c>
      <c r="CU26" s="1334">
        <f>CONTADORES!CG18</f>
        <v>0.4</v>
      </c>
    </row>
    <row r="27" spans="1:119">
      <c r="B27" s="214">
        <v>44943</v>
      </c>
      <c r="C27" s="198">
        <f t="shared" ca="1" si="0"/>
        <v>150</v>
      </c>
      <c r="D27" s="196">
        <f ca="1">'CALCULO DE GAS'!D20</f>
        <v>3.3643162584269666</v>
      </c>
      <c r="E27" s="196">
        <f ca="1">IF(B27&gt;=$J$5,0,(CONTADORES!$AD19-CONTADORES!$AD18)-$H27)</f>
        <v>24</v>
      </c>
      <c r="F27" s="198">
        <f t="shared" ca="1" si="30"/>
        <v>0</v>
      </c>
      <c r="G27" s="196">
        <f ca="1">IF(B27&gt;=$J$5,0,CONTADORES!$AF19-CONTADORES!$AF18)</f>
        <v>0</v>
      </c>
      <c r="H27" s="1396">
        <f ca="1">IF(G27&gt;0,CONTADORES!$AE19-CONTADORES!$AE18,0)</f>
        <v>0</v>
      </c>
      <c r="I27" s="199">
        <f ca="1">IF(B27&gt;=$J$5,0,CONTADORES!$AB19-CONTADORES!$AB18)</f>
        <v>150</v>
      </c>
      <c r="J27" s="198">
        <f t="shared" ca="1" si="2"/>
        <v>300</v>
      </c>
      <c r="K27" s="196">
        <f ca="1">'CALCULO DE GAS'!E20</f>
        <v>4.4766758089887659</v>
      </c>
      <c r="L27" s="1396">
        <f ca="1">IF(B27&gt;=$J$5,0,(CONTADORES!$Y19-CONTADORES!$Y18)-$O27)</f>
        <v>24</v>
      </c>
      <c r="M27" s="1396">
        <f t="shared" ca="1" si="3"/>
        <v>0</v>
      </c>
      <c r="N27" s="1396">
        <f ca="1">IF(B27&gt;=$J$5,0,CONTADORES!$AA19-CONTADORES!$AA18)</f>
        <v>0</v>
      </c>
      <c r="O27" s="1396">
        <f ca="1">IF(N27&gt;0,CONTADORES!$Z19-CONTADORES!$Z18,0)</f>
        <v>0</v>
      </c>
      <c r="P27" s="202">
        <f ca="1">IF(B27&gt;=$J$5,0,CONTADORES!$W19-CONTADORES!$W18)</f>
        <v>300</v>
      </c>
      <c r="Q27" s="202">
        <f ca="1">IF(B27&gt;=$J$5,0,CONTADORES!$B19-CONTADORES!$B18)</f>
        <v>0</v>
      </c>
      <c r="R27" s="196">
        <f t="shared" ca="1" si="4"/>
        <v>0</v>
      </c>
      <c r="S27" s="11">
        <f ca="1">IF(B27&gt;=$J$5,0,CONTADORES!$D19-CONTADORES!$D18)</f>
        <v>0</v>
      </c>
      <c r="T27" s="209">
        <f ca="1">IF(B27&gt;=$J$5,0,CONTADORES!$BB19-CONTADORES!$BB18)</f>
        <v>0</v>
      </c>
      <c r="U27" s="196">
        <f t="shared" ca="1" si="5"/>
        <v>0</v>
      </c>
      <c r="V27" s="199">
        <f ca="1">IF(B27&gt;=$J$5,0,CONTADORES!$BD19-CONTADORES!$BD18)</f>
        <v>0</v>
      </c>
      <c r="W27" s="1397">
        <f t="shared" ca="1" si="6"/>
        <v>450</v>
      </c>
      <c r="X27" s="1397">
        <f t="shared" ca="1" si="7"/>
        <v>0</v>
      </c>
      <c r="Y27" s="1398">
        <f t="shared" ca="1" si="8"/>
        <v>450</v>
      </c>
      <c r="Z27" s="1398">
        <f t="shared" ca="1" si="9"/>
        <v>7.8409920674157325</v>
      </c>
      <c r="AA27" s="1398">
        <f t="shared" ca="1" si="10"/>
        <v>0</v>
      </c>
      <c r="AB27" s="1398">
        <f t="shared" ca="1" si="11"/>
        <v>48</v>
      </c>
      <c r="AC27" s="1397">
        <f t="shared" ca="1" si="12"/>
        <v>0</v>
      </c>
      <c r="AD27" s="1397">
        <f ca="1">IF(B27&gt;=$J$5,0,CONTADORES!H19-CONTADORES!H18)</f>
        <v>167</v>
      </c>
      <c r="AE27" s="1397">
        <f ca="1">IF(B27&gt;=$J$5,0,CONTADORES!J19-CONTADORES!J18)</f>
        <v>24</v>
      </c>
      <c r="AF27" s="1397">
        <f ca="1">IF(B27&gt;=$J$5,0,CONTADORES!AU19-CONTADORES!AU18)</f>
        <v>142</v>
      </c>
      <c r="AG27" s="1397">
        <f ca="1">IF(B27&gt;=$J$5,0,CONTADORES!AW19-CONTADORES!AW18)</f>
        <v>24</v>
      </c>
      <c r="AH27" s="1397">
        <f ca="1">IF(B27&gt;=$J$5,0,(CONTADORES!AM19-CONTADORES!AM18)+(CONTADORES!M19-CONTADORES!M18))</f>
        <v>9</v>
      </c>
      <c r="AI27" s="1397">
        <f ca="1">IF(B27&gt;=$J$5,0,(CONTADORES!AK19-CONTADORES!AK18)+(CONTADORES!O19-CONTADORES!O18))</f>
        <v>44.5</v>
      </c>
      <c r="AJ27" s="1397">
        <f ca="1">IF(B27&gt;=$J$5,0,(CONTADORES!AI19-CONTADORES!AI18))</f>
        <v>9.3999999999941792</v>
      </c>
      <c r="AK27" s="1397">
        <f ca="1">IF(B27&gt;=$J$5,0,(CONTADORES!Q19-CONTADORES!Q18))</f>
        <v>14.100000000005821</v>
      </c>
      <c r="AL27" s="1402">
        <f t="shared" ca="1" si="13"/>
        <v>34.299999999999272</v>
      </c>
      <c r="AM27" s="1397">
        <f ca="1">IF(B27&gt;=$J$5,0,(((CONTADORES!F19-CONTADORES!F18)+(CONTADORES!AQ19-CONTADORES!AQ18))))-BS27-AF27-AN27-BV27-BY27-CD27-CB27</f>
        <v>11.022000000000268</v>
      </c>
      <c r="AN27" s="1397">
        <f ca="1">IF(B27&gt;=$J$5,0,(CONTADORES!AX19-CONTADORES!AX18)+(CONTADORES!AZ19-CONTADORES!AZ18)+(CONTADORES!BE19-CONTADORES!BE18))-CB27</f>
        <v>2.8640000000000829</v>
      </c>
      <c r="AO27" s="1399">
        <f ca="1">IF(B27&gt;=$J$5,0,(CONTADORES!AC19-CONTADORES!AC18))</f>
        <v>74</v>
      </c>
      <c r="AP27" s="1399">
        <f ca="1">IF(B27&gt;=$J$5,0,(CONTADORES!X19-CONTADORES!X18))</f>
        <v>156</v>
      </c>
      <c r="AQ27" s="1404">
        <f ca="1">IF(B27&gt;=$J$5,0,(CONTADORES!C19-CONTADORES!C18))</f>
        <v>0</v>
      </c>
      <c r="AR27" s="1404">
        <f ca="1">IF(B27&gt;=$J$5,0,(CONTADORES!BC19-CONTADORES!BC18))</f>
        <v>0</v>
      </c>
      <c r="AS27" s="1397">
        <f ca="1">IF(B27&gt;=$J$5,0,CONTADORES!S19-CONTADORES!S18)</f>
        <v>18.100000000005821</v>
      </c>
      <c r="AT27" s="1397">
        <f ca="1">IF(B27&gt;=$J$5,0,(CONTADORES!U19-CONTADORES!U18)+(CONTADORES!AG19-CONTADORES!AG18))</f>
        <v>2.0999999999985448</v>
      </c>
      <c r="AU27" s="1397">
        <f>CONTADORES!I19-CONTADORES!I18</f>
        <v>84</v>
      </c>
      <c r="AV27" s="1397">
        <f>CONTADORES!AV19-CONTADORES!AV18</f>
        <v>62</v>
      </c>
      <c r="AW27" s="1397">
        <f ca="1">IF(B27&gt;=$J$5,0,(CONTADORES!N19-CONTADORES!N18)+(CONTADORES!AN19-CONTADORES!AN18))</f>
        <v>3.5</v>
      </c>
      <c r="AX27" s="1397">
        <f ca="1">IF(B27&gt;=$J$5,0,(CONTADORES!P19-CONTADORES!P18)+(CONTADORES!AL19-CONTADORES!AL18))</f>
        <v>35.30000000000291</v>
      </c>
      <c r="AY27" s="1397">
        <f ca="1">IF(B27&gt;=$J$5,0,(CONTADORES!AJ19-CONTADORES!AJ18))</f>
        <v>7.5</v>
      </c>
      <c r="AZ27" s="1397">
        <f ca="1">IF(B27&gt;=$J$5,0,(CONTADORES!R19-CONTADORES!R18))</f>
        <v>11.600000000005821</v>
      </c>
      <c r="BA27" s="1408">
        <f t="shared" ca="1" si="14"/>
        <v>11.723999999991605</v>
      </c>
      <c r="BB27" s="1406">
        <f ca="1">IF(B27&gt;=$J$5,0,(((CONTADORES!G19-CONTADORES!G18)+(CONTADORES!AR19-CONTADORES!AR18))))-AV27-BC27-BT27-BW27-BZ27-CE27</f>
        <v>7.2249999999997154</v>
      </c>
      <c r="BC27" s="1399">
        <f ca="1">IF(B27&gt;=$J$5,0,(CONTADORES!AY19-CONTADORES!AY18)+(CONTADORES!BA19-CONTADORES!BA18)+(CONTADORES!BF19-CONTADORES!BF18))-CC27</f>
        <v>0.4440000000001012</v>
      </c>
      <c r="BD27" s="1397">
        <f t="shared" ca="1" si="15"/>
        <v>230</v>
      </c>
      <c r="BE27" s="1397">
        <f ca="1">IF($B27&gt;=$J$5,0,CONTADORES!$BG19)</f>
        <v>6740.82</v>
      </c>
      <c r="BF27" s="1397">
        <f ca="1">IF($B27&gt;=$J$5,0,CONTADORES!$BH19)</f>
        <v>30638.3877192982</v>
      </c>
      <c r="BG27" s="1397">
        <f ca="1">IF($B27&gt;=$J$5,0,CONTADORES!$BJ19)</f>
        <v>6367.01</v>
      </c>
      <c r="BH27" s="1397">
        <f ca="1">IF(B27&gt;=$J$5,0,((CONTADORES!BK19-CONTADORES!BK18)/1000))</f>
        <v>1.3640000000000001</v>
      </c>
      <c r="BI27" s="1397">
        <f ca="1">IF(C27&gt;=$J$5,0,((CONTADORES!BL19-CONTADORES!BL18)/1000))</f>
        <v>1.387</v>
      </c>
      <c r="BJ27" s="1397">
        <f ca="1">IF(C27&gt;=$J$5,0,((CONTADORES!BM19-CONTADORES!BM18)/1000))</f>
        <v>0</v>
      </c>
      <c r="BK27" s="1397">
        <f ca="1">IF(D27&gt;=$J$5,0,((CONTADORES!BN19-CONTADORES!BN18)/1000))</f>
        <v>0</v>
      </c>
      <c r="BL27" s="1399">
        <f t="shared" ca="1" si="16"/>
        <v>1.3640000000000001</v>
      </c>
      <c r="BM27" s="1399">
        <f t="shared" ca="1" si="17"/>
        <v>1.387</v>
      </c>
      <c r="BN27" s="1397">
        <f ca="1">IF(W27&gt;=$J$5,0,CONTADORES!$BO19)</f>
        <v>137.92555089999843</v>
      </c>
      <c r="BO27" s="1397">
        <f ca="1">IF(W27&gt;=$J$5,0,CONTADORES!$BP19)</f>
        <v>45.602246370463867</v>
      </c>
      <c r="BP27" s="1397">
        <f ca="1">IF(W27&gt;=$J$5,0,CONTADORES!$BQ19)</f>
        <v>655.93627154484784</v>
      </c>
      <c r="BQ27" s="1397">
        <f ca="1">IF(B27&gt;=$J$5,0,(CONTADORES!AS19-CONTADORES!AS18))</f>
        <v>6</v>
      </c>
      <c r="BR27" s="1397">
        <f ca="1">IF(C27&gt;=$J$5,0,(CONTADORES!AT19-CONTADORES!AT18))</f>
        <v>0</v>
      </c>
      <c r="BS27" s="1397">
        <f ca="1">IF(B27&gt;=$J$5,0,CONTADORES!BR19-CONTADORES!BR18)/1000</f>
        <v>3.8</v>
      </c>
      <c r="BT27" s="1397">
        <f ca="1">IF(B27&gt;=$J$5,0,CONTADORES!BS19-CONTADORES!BS18)</f>
        <v>1</v>
      </c>
      <c r="BU27" s="1397">
        <f ca="1">IF(B27&gt;=$J$5,0,CONTADORES!BT19-CONTADORES!BT18)</f>
        <v>24</v>
      </c>
      <c r="BV27" s="1397">
        <f ca="1">IF(B27&gt;=$J$5,0,CONTADORES!BU19-CONTADORES!BU18)/1000</f>
        <v>0</v>
      </c>
      <c r="BW27" s="1397">
        <f ca="1">IF(B27&gt;=$J$5,0,CONTADORES!BV19-CONTADORES!BV18)/1000</f>
        <v>0</v>
      </c>
      <c r="BX27" s="1397">
        <f ca="1">IF(B27&gt;=$J$5,0,CONTADORES!BW19-CONTADORES!BW18)</f>
        <v>0</v>
      </c>
      <c r="BY27" s="1397">
        <f ca="1">IF(B27&gt;=$J$5,0,CONTADORES!BX19-CONTADORES!BX18)/1000</f>
        <v>3.3380000000000001</v>
      </c>
      <c r="BZ27" s="1397">
        <f ca="1">IF(B27&gt;=$J$5,0,CONTADORES!BY19-CONTADORES!BY18)/1000</f>
        <v>3.1E-2</v>
      </c>
      <c r="CA27" s="1397">
        <f ca="1">IF(B27&gt;=$J$5,0,CONTADORES!BZ19-CONTADORES!BZ18)</f>
        <v>24</v>
      </c>
      <c r="CB27" s="1397">
        <f ca="1">IF(B27&gt;=$J$5,0,(CONTADORES!CC19-CONTADORES!CC18)+(CONTADORES!CE19-CONTADORES!CE18))/1000</f>
        <v>1.5760000000000001</v>
      </c>
      <c r="CC27" s="1397">
        <f ca="1">IF(B27&gt;=$J$5,0,(CONTADORES!CD19-CONTADORES!CD18)+(CONTADORES!CF19-CONTADORES!CF18))/1000</f>
        <v>0.97599999999999998</v>
      </c>
      <c r="CD27" s="1397">
        <f ca="1">IF(B27&gt;=$J$5,0,CONTADORES!CA19-CONTADORES!CA18)</f>
        <v>7.1000000000003638</v>
      </c>
      <c r="CE27" s="1397">
        <f ca="1">IF(B27&gt;=$J$5,0,CONTADORES!CB19-CONTADORES!CB18)</f>
        <v>4.6999999999998181</v>
      </c>
      <c r="CF27" s="1397">
        <f t="shared" ca="1" si="18"/>
        <v>12.611000000000498</v>
      </c>
      <c r="CG27" s="1397">
        <f t="shared" ca="1" si="19"/>
        <v>8.3124999999996767</v>
      </c>
      <c r="CH27" s="1397">
        <f t="shared" ca="1" si="20"/>
        <v>5.5110000000001342</v>
      </c>
      <c r="CI27" s="1397">
        <f t="shared" ca="1" si="21"/>
        <v>1.1456000000000333</v>
      </c>
      <c r="CJ27" s="1397">
        <f t="shared" ca="1" si="22"/>
        <v>5.5110000000001342</v>
      </c>
      <c r="CK27" s="1397">
        <f t="shared" ca="1" si="23"/>
        <v>1.7184000000000497</v>
      </c>
      <c r="CL27" s="1397">
        <f t="shared" ca="1" si="24"/>
        <v>2.7216000000000333</v>
      </c>
      <c r="CM27" s="1397">
        <f t="shared" ca="1" si="25"/>
        <v>3.6124999999998577</v>
      </c>
      <c r="CN27" s="1397">
        <f ca="1">IF(B27&gt;=$J$5,0,CONTADORES!CB19-CONTADORES!CB18)</f>
        <v>4.6999999999998181</v>
      </c>
      <c r="CO27" s="1397">
        <f t="shared" ca="1" si="26"/>
        <v>3.6124999999998577</v>
      </c>
      <c r="CP27" s="1397">
        <f t="shared" ca="1" si="27"/>
        <v>0.2220000000000506</v>
      </c>
      <c r="CQ27" s="1397">
        <f t="shared" ca="1" si="28"/>
        <v>0.2220000000000506</v>
      </c>
      <c r="CR27" s="1397">
        <f t="shared" ca="1" si="29"/>
        <v>1.1980000000000506</v>
      </c>
      <c r="CS27" s="1403">
        <f ca="1">IF($B27&gt;=$J$5,0,CONTADORES!$BI19)</f>
        <v>10472.8472492989</v>
      </c>
      <c r="CT27" s="1334">
        <f>CONTADORES!E19</f>
        <v>0</v>
      </c>
      <c r="CU27" s="1334">
        <f>CONTADORES!CG19</f>
        <v>0</v>
      </c>
    </row>
    <row r="28" spans="1:119">
      <c r="B28" s="214">
        <v>44944</v>
      </c>
      <c r="C28" s="198">
        <f t="shared" ca="1" si="0"/>
        <v>150</v>
      </c>
      <c r="D28" s="196">
        <f ca="1">'CALCULO DE GAS'!D21</f>
        <v>3.3643162584269666</v>
      </c>
      <c r="E28" s="196">
        <f ca="1">IF(B28&gt;=$J$5,0,(CONTADORES!$AD20-CONTADORES!$AD19)-$H28)</f>
        <v>24</v>
      </c>
      <c r="F28" s="198">
        <f t="shared" ca="1" si="30"/>
        <v>0</v>
      </c>
      <c r="G28" s="196">
        <f ca="1">IF(B28&gt;=$J$5,0,CONTADORES!$AF20-CONTADORES!$AF19)</f>
        <v>0</v>
      </c>
      <c r="H28" s="1396">
        <f ca="1">IF(G28&gt;0,CONTADORES!$AE20-CONTADORES!$AE19,0)</f>
        <v>0</v>
      </c>
      <c r="I28" s="199">
        <f ca="1">IF(B28&gt;=$J$5,0,CONTADORES!$AB20-CONTADORES!$AB19)</f>
        <v>150</v>
      </c>
      <c r="J28" s="198">
        <f t="shared" ca="1" si="2"/>
        <v>296</v>
      </c>
      <c r="K28" s="196">
        <f ca="1">'CALCULO DE GAS'!E21</f>
        <v>4.4470128876404509</v>
      </c>
      <c r="L28" s="1396">
        <f ca="1">IF(B28&gt;=$J$5,0,(CONTADORES!$Y20-CONTADORES!$Y19)-$O28)</f>
        <v>24</v>
      </c>
      <c r="M28" s="1396">
        <f t="shared" ca="1" si="3"/>
        <v>0</v>
      </c>
      <c r="N28" s="1396">
        <f ca="1">IF(B28&gt;=$J$5,0,CONTADORES!$AA20-CONTADORES!$AA19)</f>
        <v>0</v>
      </c>
      <c r="O28" s="1396">
        <f ca="1">IF(N28&gt;0,CONTADORES!$Z20-CONTADORES!$Z19,0)</f>
        <v>0</v>
      </c>
      <c r="P28" s="202">
        <f ca="1">IF(B28&gt;=$J$5,0,CONTADORES!$W20-CONTADORES!$W19)</f>
        <v>296</v>
      </c>
      <c r="Q28" s="202">
        <f ca="1">IF(B28&gt;=$J$5,0,CONTADORES!$B20-CONTADORES!$B19)</f>
        <v>0</v>
      </c>
      <c r="R28" s="196">
        <f t="shared" ca="1" si="4"/>
        <v>0</v>
      </c>
      <c r="S28" s="11">
        <f ca="1">IF(B28&gt;=$J$5,0,CONTADORES!$D20-CONTADORES!$D19)</f>
        <v>0</v>
      </c>
      <c r="T28" s="209">
        <f ca="1">IF(B28&gt;=$J$5,0,CONTADORES!$BB20-CONTADORES!$BB19)</f>
        <v>0</v>
      </c>
      <c r="U28" s="196">
        <f t="shared" ca="1" si="5"/>
        <v>0</v>
      </c>
      <c r="V28" s="199">
        <f ca="1">IF(B28&gt;=$J$5,0,CONTADORES!$BD20-CONTADORES!$BD19)</f>
        <v>0</v>
      </c>
      <c r="W28" s="1397">
        <f t="shared" ca="1" si="6"/>
        <v>446</v>
      </c>
      <c r="X28" s="1397">
        <f t="shared" ca="1" si="7"/>
        <v>0</v>
      </c>
      <c r="Y28" s="1398">
        <f t="shared" ca="1" si="8"/>
        <v>446</v>
      </c>
      <c r="Z28" s="1398">
        <f t="shared" ca="1" si="9"/>
        <v>7.8113291460674175</v>
      </c>
      <c r="AA28" s="1398">
        <f t="shared" ca="1" si="10"/>
        <v>0</v>
      </c>
      <c r="AB28" s="1398">
        <f t="shared" ca="1" si="11"/>
        <v>48</v>
      </c>
      <c r="AC28" s="1397">
        <f t="shared" ca="1" si="12"/>
        <v>0</v>
      </c>
      <c r="AD28" s="1397">
        <f ca="1">IF(B28&gt;=$J$5,0,CONTADORES!H20-CONTADORES!H19)</f>
        <v>164</v>
      </c>
      <c r="AE28" s="1397">
        <f ca="1">IF(B28&gt;=$J$5,0,CONTADORES!J20-CONTADORES!J19)</f>
        <v>24</v>
      </c>
      <c r="AF28" s="1397">
        <f ca="1">IF(B28&gt;=$J$5,0,CONTADORES!AU20-CONTADORES!AU19)</f>
        <v>143</v>
      </c>
      <c r="AG28" s="1397">
        <f ca="1">IF(B28&gt;=$J$5,0,CONTADORES!AW20-CONTADORES!AW19)</f>
        <v>24</v>
      </c>
      <c r="AH28" s="1397">
        <f ca="1">IF(B28&gt;=$J$5,0,(CONTADORES!AM20-CONTADORES!AM19)+(CONTADORES!M20-CONTADORES!M19))</f>
        <v>10.5</v>
      </c>
      <c r="AI28" s="1397">
        <f ca="1">IF(B28&gt;=$J$5,0,(CONTADORES!AK20-CONTADORES!AK19)+(CONTADORES!O20-CONTADORES!O19))</f>
        <v>43.400000000001455</v>
      </c>
      <c r="AJ28" s="1397">
        <f ca="1">IF(B28&gt;=$J$5,0,(CONTADORES!AI20-CONTADORES!AI19))</f>
        <v>9</v>
      </c>
      <c r="AK28" s="1397">
        <f ca="1">IF(B28&gt;=$J$5,0,(CONTADORES!Q20-CONTADORES!Q19))</f>
        <v>14.699999999982538</v>
      </c>
      <c r="AL28" s="1402">
        <f t="shared" ca="1" si="13"/>
        <v>34.8000000000157</v>
      </c>
      <c r="AM28" s="1397">
        <f ca="1">IF(B28&gt;=$J$5,0,(((CONTADORES!F20-CONTADORES!F19)+(CONTADORES!AQ20-CONTADORES!AQ19))))-BS28-AF28-AN28-BV28-BY28-CD28-CB28</f>
        <v>8.1739999999999071</v>
      </c>
      <c r="AN28" s="1397">
        <f ca="1">IF(B28&gt;=$J$5,0,(CONTADORES!AX20-CONTADORES!AX19)+(CONTADORES!AZ20-CONTADORES!AZ19)+(CONTADORES!BE20-CONTADORES!BE19))-CB28</f>
        <v>2.482000000000455</v>
      </c>
      <c r="AO28" s="1399">
        <f ca="1">IF(B28&gt;=$J$5,0,(CONTADORES!AC20-CONTADORES!AC19))</f>
        <v>71</v>
      </c>
      <c r="AP28" s="1399">
        <f ca="1">IF(B28&gt;=$J$5,0,(CONTADORES!X20-CONTADORES!X19))</f>
        <v>160</v>
      </c>
      <c r="AQ28" s="1404">
        <f ca="1">IF(B28&gt;=$J$5,0,(CONTADORES!C20-CONTADORES!C19))</f>
        <v>0</v>
      </c>
      <c r="AR28" s="1404">
        <f ca="1">IF(B28&gt;=$J$5,0,(CONTADORES!BC20-CONTADORES!BC19))</f>
        <v>0</v>
      </c>
      <c r="AS28" s="1397">
        <f ca="1">IF(B28&gt;=$J$5,0,CONTADORES!S20-CONTADORES!S19)</f>
        <v>17.699999999982538</v>
      </c>
      <c r="AT28" s="1397">
        <f ca="1">IF(B28&gt;=$J$5,0,(CONTADORES!U20-CONTADORES!U19)+(CONTADORES!AG20-CONTADORES!AG19))</f>
        <v>2.0999999999985448</v>
      </c>
      <c r="AU28" s="1397">
        <f>CONTADORES!I20-CONTADORES!I19</f>
        <v>84</v>
      </c>
      <c r="AV28" s="1397">
        <f>CONTADORES!AV20-CONTADORES!AV19</f>
        <v>62</v>
      </c>
      <c r="AW28" s="1397">
        <f ca="1">IF(B28&gt;=$J$5,0,(CONTADORES!N20-CONTADORES!N19)+(CONTADORES!AN20-CONTADORES!AN19))</f>
        <v>4</v>
      </c>
      <c r="AX28" s="1397">
        <f ca="1">IF(B28&gt;=$J$5,0,(CONTADORES!P20-CONTADORES!P19)+(CONTADORES!AL20-CONTADORES!AL19))</f>
        <v>34</v>
      </c>
      <c r="AY28" s="1397">
        <f ca="1">IF(B28&gt;=$J$5,0,(CONTADORES!AJ20-CONTADORES!AJ19))</f>
        <v>7.0999999999985448</v>
      </c>
      <c r="AZ28" s="1397">
        <f ca="1">IF(B28&gt;=$J$5,0,(CONTADORES!R20-CONTADORES!R19))</f>
        <v>11.899999999994179</v>
      </c>
      <c r="BA28" s="1408">
        <f t="shared" ca="1" si="14"/>
        <v>13.070000000007298</v>
      </c>
      <c r="BB28" s="1406">
        <f ca="1">IF(B28&gt;=$J$5,0,(((CONTADORES!G20-CONTADORES!G19)+(CONTADORES!AR20-CONTADORES!AR19))))-AV28-BC28-BT28-BW28-BZ28-CE28</f>
        <v>7.9829999999998513</v>
      </c>
      <c r="BC28" s="1399">
        <f ca="1">IF(B28&gt;=$J$5,0,(CONTADORES!AY20-CONTADORES!AY19)+(CONTADORES!BA20-CONTADORES!BA19)+(CONTADORES!BF20-CONTADORES!BF19))-CC28</f>
        <v>0.36999999999978395</v>
      </c>
      <c r="BD28" s="1397">
        <f t="shared" ca="1" si="15"/>
        <v>231</v>
      </c>
      <c r="BE28" s="1397">
        <f ca="1">IF($B28&gt;=$J$5,0,CONTADORES!$BG20)</f>
        <v>5822.56</v>
      </c>
      <c r="BF28" s="1397">
        <f ca="1">IF($B28&gt;=$J$5,0,CONTADORES!$BH20)</f>
        <v>37282.989473684203</v>
      </c>
      <c r="BG28" s="1397">
        <f ca="1">IF($B28&gt;=$J$5,0,CONTADORES!$BJ20)</f>
        <v>5498.15</v>
      </c>
      <c r="BH28" s="1397">
        <f ca="1">IF(B28&gt;=$J$5,0,((CONTADORES!BK20-CONTADORES!BK19)/1000))</f>
        <v>1.3480000000000001</v>
      </c>
      <c r="BI28" s="1397">
        <f ca="1">IF(C28&gt;=$J$5,0,((CONTADORES!BL20-CONTADORES!BL19)/1000))</f>
        <v>1.3660000000000001</v>
      </c>
      <c r="BJ28" s="1397">
        <f ca="1">IF(C28&gt;=$J$5,0,((CONTADORES!BM20-CONTADORES!BM19)/1000))</f>
        <v>0</v>
      </c>
      <c r="BK28" s="1397">
        <f ca="1">IF(D28&gt;=$J$5,0,((CONTADORES!BN20-CONTADORES!BN19)/1000))</f>
        <v>0</v>
      </c>
      <c r="BL28" s="1399">
        <f t="shared" ca="1" si="16"/>
        <v>1.3480000000000001</v>
      </c>
      <c r="BM28" s="1399">
        <f t="shared" ca="1" si="17"/>
        <v>1.3660000000000001</v>
      </c>
      <c r="BN28" s="1397">
        <f ca="1">IF(W28&gt;=$J$5,0,CONTADORES!$BO20)</f>
        <v>138</v>
      </c>
      <c r="BO28" s="1397">
        <f ca="1">IF(W28&gt;=$J$5,0,CONTADORES!$BP20)</f>
        <v>45.832000000000001</v>
      </c>
      <c r="BP28" s="1397">
        <f ca="1">IF(W28&gt;=$J$5,0,CONTADORES!$BQ20)</f>
        <v>656</v>
      </c>
      <c r="BQ28" s="1397">
        <f ca="1">IF(B28&gt;=$J$5,0,(CONTADORES!AS20-CONTADORES!AS19))</f>
        <v>6</v>
      </c>
      <c r="BR28" s="1397">
        <f ca="1">IF(C28&gt;=$J$5,0,(CONTADORES!AT20-CONTADORES!AT19))</f>
        <v>0</v>
      </c>
      <c r="BS28" s="1397">
        <f ca="1">IF(B28&gt;=$J$5,0,CONTADORES!BR20-CONTADORES!BR19)/1000</f>
        <v>4</v>
      </c>
      <c r="BT28" s="1397">
        <f ca="1">IF(B28&gt;=$J$5,0,CONTADORES!BS20-CONTADORES!BS19)</f>
        <v>1</v>
      </c>
      <c r="BU28" s="1397">
        <f ca="1">IF(B28&gt;=$J$5,0,CONTADORES!BT20-CONTADORES!BT19)</f>
        <v>24</v>
      </c>
      <c r="BV28" s="1397">
        <f ca="1">IF(B28&gt;=$J$5,0,CONTADORES!BU20-CONTADORES!BU19)/1000</f>
        <v>0</v>
      </c>
      <c r="BW28" s="1397">
        <f ca="1">IF(B28&gt;=$J$5,0,CONTADORES!BV20-CONTADORES!BV19)/1000</f>
        <v>0</v>
      </c>
      <c r="BX28" s="1397">
        <f ca="1">IF(B28&gt;=$J$5,0,CONTADORES!BW20-CONTADORES!BW19)</f>
        <v>0</v>
      </c>
      <c r="BY28" s="1397">
        <f ca="1">IF(B28&gt;=$J$5,0,CONTADORES!BX20-CONTADORES!BX19)/1000</f>
        <v>3.4260000000000002</v>
      </c>
      <c r="BZ28" s="1397">
        <f ca="1">IF(B28&gt;=$J$5,0,CONTADORES!BY20-CONTADORES!BY19)/1000</f>
        <v>4.7E-2</v>
      </c>
      <c r="CA28" s="1397">
        <f ca="1">IF(B28&gt;=$J$5,0,CONTADORES!BZ20-CONTADORES!BZ19)</f>
        <v>24</v>
      </c>
      <c r="CB28" s="1397">
        <f ca="1">IF(B28&gt;=$J$5,0,(CONTADORES!CC20-CONTADORES!CC19)+(CONTADORES!CE20-CONTADORES!CE19))/1000</f>
        <v>1.518</v>
      </c>
      <c r="CC28" s="1397">
        <f ca="1">IF(B28&gt;=$J$5,0,(CONTADORES!CD20-CONTADORES!CD19)+(CONTADORES!CF20-CONTADORES!CF19))/1000</f>
        <v>0.93</v>
      </c>
      <c r="CD28" s="1397">
        <f ca="1">IF(B28&gt;=$J$5,0,CONTADORES!CA20-CONTADORES!CA19)</f>
        <v>7</v>
      </c>
      <c r="CE28" s="1397">
        <f ca="1">IF(B28&gt;=$J$5,0,CONTADORES!CB20-CONTADORES!CB19)</f>
        <v>4.6000000000003638</v>
      </c>
      <c r="CF28" s="1397">
        <f t="shared" ca="1" si="18"/>
        <v>11.086999999999954</v>
      </c>
      <c r="CG28" s="1397">
        <f t="shared" ca="1" si="19"/>
        <v>8.5915000000002895</v>
      </c>
      <c r="CH28" s="1397">
        <f t="shared" ca="1" si="20"/>
        <v>4.0869999999999536</v>
      </c>
      <c r="CI28" s="1397">
        <f t="shared" ca="1" si="21"/>
        <v>0.99280000000018198</v>
      </c>
      <c r="CJ28" s="1397">
        <f t="shared" ca="1" si="22"/>
        <v>4.0869999999999536</v>
      </c>
      <c r="CK28" s="1397">
        <f t="shared" ca="1" si="23"/>
        <v>1.489200000000273</v>
      </c>
      <c r="CL28" s="1397">
        <f t="shared" ca="1" si="24"/>
        <v>2.5108000000001818</v>
      </c>
      <c r="CM28" s="1397">
        <f t="shared" ca="1" si="25"/>
        <v>3.9914999999999257</v>
      </c>
      <c r="CN28" s="1397">
        <f ca="1">IF(B28&gt;=$J$5,0,CONTADORES!CB20-CONTADORES!CB19)</f>
        <v>4.6000000000003638</v>
      </c>
      <c r="CO28" s="1397">
        <f t="shared" ca="1" si="26"/>
        <v>3.9914999999999257</v>
      </c>
      <c r="CP28" s="1397">
        <f t="shared" ca="1" si="27"/>
        <v>0.18499999999989197</v>
      </c>
      <c r="CQ28" s="1397">
        <f t="shared" ca="1" si="28"/>
        <v>0.18499999999989197</v>
      </c>
      <c r="CR28" s="1397">
        <f t="shared" ca="1" si="29"/>
        <v>1.1149999999998921</v>
      </c>
      <c r="CS28" s="1403">
        <f ca="1">IF($B28&gt;=$J$5,0,CONTADORES!$BI20)</f>
        <v>11663.314197592201</v>
      </c>
      <c r="CT28" s="1334">
        <f>CONTADORES!E20</f>
        <v>0</v>
      </c>
      <c r="CU28" s="1334">
        <f>CONTADORES!CG20</f>
        <v>0</v>
      </c>
    </row>
    <row r="29" spans="1:119">
      <c r="B29" s="214">
        <v>44945</v>
      </c>
      <c r="C29" s="198">
        <f t="shared" ca="1" si="0"/>
        <v>146</v>
      </c>
      <c r="D29" s="196">
        <f ca="1">'CALCULO DE GAS'!D22</f>
        <v>3.3346533370786524</v>
      </c>
      <c r="E29" s="196">
        <f ca="1">IF(B29&gt;=$J$5,0,(CONTADORES!$AD21-CONTADORES!$AD20)-$H29)</f>
        <v>24</v>
      </c>
      <c r="F29" s="198">
        <f t="shared" ca="1" si="30"/>
        <v>0</v>
      </c>
      <c r="G29" s="196">
        <f ca="1">IF(B29&gt;=$J$5,0,CONTADORES!$AF21-CONTADORES!$AF20)</f>
        <v>0</v>
      </c>
      <c r="H29" s="1396">
        <f ca="1">IF(G29&gt;0,CONTADORES!$AE21-CONTADORES!$AE20,0)</f>
        <v>0</v>
      </c>
      <c r="I29" s="199">
        <f ca="1">IF(B29&gt;=$J$5,0,CONTADORES!$AB21-CONTADORES!$AB20)</f>
        <v>146</v>
      </c>
      <c r="J29" s="198">
        <f t="shared" ca="1" si="2"/>
        <v>304</v>
      </c>
      <c r="K29" s="196">
        <f ca="1">'CALCULO DE GAS'!E22</f>
        <v>4.5063387303370801</v>
      </c>
      <c r="L29" s="1396">
        <f ca="1">IF(B29&gt;=$J$5,0,(CONTADORES!$Y21-CONTADORES!$Y20)-$O29)</f>
        <v>24</v>
      </c>
      <c r="M29" s="1396">
        <f t="shared" ca="1" si="3"/>
        <v>0</v>
      </c>
      <c r="N29" s="1396">
        <f ca="1">IF(B29&gt;=$J$5,0,CONTADORES!$AA21-CONTADORES!$AA20)</f>
        <v>0</v>
      </c>
      <c r="O29" s="1396">
        <f ca="1">IF(N29&gt;0,CONTADORES!$Z21-CONTADORES!$Z20,0)</f>
        <v>0</v>
      </c>
      <c r="P29" s="202">
        <f ca="1">IF(B29&gt;=$J$5,0,CONTADORES!$W21-CONTADORES!$W20)</f>
        <v>304</v>
      </c>
      <c r="Q29" s="202">
        <f ca="1">IF(B29&gt;=$J$5,0,CONTADORES!$B21-CONTADORES!$B20)</f>
        <v>0</v>
      </c>
      <c r="R29" s="196">
        <f t="shared" ca="1" si="4"/>
        <v>0</v>
      </c>
      <c r="S29" s="11">
        <f ca="1">IF(B29&gt;=$J$5,0,CONTADORES!$D21-CONTADORES!$D20)</f>
        <v>0</v>
      </c>
      <c r="T29" s="209">
        <f ca="1">IF(B29&gt;=$J$5,0,CONTADORES!$BB21-CONTADORES!$BB20)</f>
        <v>0</v>
      </c>
      <c r="U29" s="196">
        <f t="shared" ca="1" si="5"/>
        <v>0</v>
      </c>
      <c r="V29" s="199">
        <f ca="1">IF(B29&gt;=$J$5,0,CONTADORES!$BD21-CONTADORES!$BD20)</f>
        <v>0</v>
      </c>
      <c r="W29" s="1397">
        <f t="shared" ca="1" si="6"/>
        <v>450</v>
      </c>
      <c r="X29" s="1397">
        <f t="shared" ca="1" si="7"/>
        <v>0</v>
      </c>
      <c r="Y29" s="1398">
        <f t="shared" ca="1" si="8"/>
        <v>450</v>
      </c>
      <c r="Z29" s="1398">
        <f t="shared" ca="1" si="9"/>
        <v>7.8409920674157325</v>
      </c>
      <c r="AA29" s="1398">
        <f t="shared" ca="1" si="10"/>
        <v>0</v>
      </c>
      <c r="AB29" s="1398">
        <f t="shared" ca="1" si="11"/>
        <v>48</v>
      </c>
      <c r="AC29" s="1397">
        <f t="shared" ca="1" si="12"/>
        <v>0</v>
      </c>
      <c r="AD29" s="1397">
        <f ca="1">IF(B29&gt;=$J$5,0,CONTADORES!H21-CONTADORES!H20)</f>
        <v>170.40000000002328</v>
      </c>
      <c r="AE29" s="1397">
        <f ca="1">IF(B29&gt;=$J$5,0,CONTADORES!J21-CONTADORES!J20)</f>
        <v>23.299999999988358</v>
      </c>
      <c r="AF29" s="1397">
        <f ca="1">IF(B29&gt;=$J$5,0,CONTADORES!AU21-CONTADORES!AU20)</f>
        <v>142</v>
      </c>
      <c r="AG29" s="1397">
        <f ca="1">IF(B29&gt;=$J$5,0,CONTADORES!AW21-CONTADORES!AW20)</f>
        <v>23.899999999994179</v>
      </c>
      <c r="AH29" s="1397">
        <f ca="1">IF(B29&gt;=$J$5,0,(CONTADORES!AM21-CONTADORES!AM20)+(CONTADORES!M21-CONTADORES!M20))</f>
        <v>10.099999999998545</v>
      </c>
      <c r="AI29" s="1397">
        <f ca="1">IF(B29&gt;=$J$5,0,(CONTADORES!AK21-CONTADORES!AK20)+(CONTADORES!O21-CONTADORES!O20))</f>
        <v>44.400000000001455</v>
      </c>
      <c r="AJ29" s="1397">
        <f ca="1">IF(B29&gt;=$J$5,0,(CONTADORES!AI21-CONTADORES!AI20))</f>
        <v>9.2000000000116415</v>
      </c>
      <c r="AK29" s="1397">
        <f ca="1">IF(B29&gt;=$J$5,0,(CONTADORES!Q21-CONTADORES!Q20))</f>
        <v>14.899999999994179</v>
      </c>
      <c r="AL29" s="1402">
        <f t="shared" ca="1" si="13"/>
        <v>31.199999999971624</v>
      </c>
      <c r="AM29" s="1397">
        <f ca="1">IF(B29&gt;=$J$5,0,(((CONTADORES!F21-CONTADORES!F20)+(CONTADORES!AQ21-CONTADORES!AQ20))))-BS29-AF29-AN29-BV29-BY29-CD29-CB29</f>
        <v>8.8319999999995531</v>
      </c>
      <c r="AN29" s="1397">
        <f ca="1">IF(B29&gt;=$J$5,0,(CONTADORES!AX21-CONTADORES!AX20)+(CONTADORES!AZ21-CONTADORES!AZ20)+(CONTADORES!BE21-CONTADORES!BE20))-CB29</f>
        <v>2.6119999999999091</v>
      </c>
      <c r="AO29" s="1399">
        <f ca="1">IF(B29&gt;=$J$5,0,(CONTADORES!AC21-CONTADORES!AC20))</f>
        <v>74</v>
      </c>
      <c r="AP29" s="1399">
        <f ca="1">IF(B29&gt;=$J$5,0,(CONTADORES!X21-CONTADORES!X20))</f>
        <v>158</v>
      </c>
      <c r="AQ29" s="1404">
        <f ca="1">IF(B29&gt;=$J$5,0,(CONTADORES!C21-CONTADORES!C20))</f>
        <v>0</v>
      </c>
      <c r="AR29" s="1404">
        <f ca="1">IF(B29&gt;=$J$5,0,(CONTADORES!BC21-CONTADORES!BC20))</f>
        <v>0</v>
      </c>
      <c r="AS29" s="1397">
        <f ca="1">IF(B29&gt;=$J$5,0,CONTADORES!S21-CONTADORES!S20)</f>
        <v>17.800000000017462</v>
      </c>
      <c r="AT29" s="1397">
        <f ca="1">IF(B29&gt;=$J$5,0,(CONTADORES!U21-CONTADORES!U20)+(CONTADORES!AG21-CONTADORES!AG20))</f>
        <v>2.0999999999985448</v>
      </c>
      <c r="AU29" s="1397">
        <f>CONTADORES!I21-CONTADORES!I20</f>
        <v>84</v>
      </c>
      <c r="AV29" s="1397">
        <f>CONTADORES!AV21-CONTADORES!AV20</f>
        <v>61</v>
      </c>
      <c r="AW29" s="1397">
        <f ca="1">IF(B29&gt;=$J$5,0,(CONTADORES!N21-CONTADORES!N20)+(CONTADORES!AN21-CONTADORES!AN20))</f>
        <v>4</v>
      </c>
      <c r="AX29" s="1397">
        <f ca="1">IF(B29&gt;=$J$5,0,(CONTADORES!P21-CONTADORES!P20)+(CONTADORES!AL21-CONTADORES!AL20))</f>
        <v>34.900000000001455</v>
      </c>
      <c r="AY29" s="1397">
        <f ca="1">IF(B29&gt;=$J$5,0,(CONTADORES!AJ21-CONTADORES!AJ20))</f>
        <v>7.2999999999956344</v>
      </c>
      <c r="AZ29" s="1397">
        <f ca="1">IF(B29&gt;=$J$5,0,(CONTADORES!R21-CONTADORES!R20))</f>
        <v>12.30000000000291</v>
      </c>
      <c r="BA29" s="1408">
        <f t="shared" ca="1" si="14"/>
        <v>11.48799999999963</v>
      </c>
      <c r="BB29" s="1406">
        <f ca="1">IF(B29&gt;=$J$5,0,(((CONTADORES!G21-CONTADORES!G20)+(CONTADORES!AR21-CONTADORES!AR20))))-AV29-BC29-BT29-BW29-BZ29-CE29</f>
        <v>9.8340000000009109</v>
      </c>
      <c r="BC29" s="1399">
        <f ca="1">IF(B29&gt;=$J$5,0,(CONTADORES!AY21-CONTADORES!AY20)+(CONTADORES!BA21-CONTADORES!BA20)+(CONTADORES!BF21-CONTADORES!BF20))-CC29</f>
        <v>0.38800000000018187</v>
      </c>
      <c r="BD29" s="1397">
        <f t="shared" ca="1" si="15"/>
        <v>232</v>
      </c>
      <c r="BE29" s="1397">
        <f ca="1">IF($B29&gt;=$J$5,0,CONTADORES!$BG21)</f>
        <v>7436</v>
      </c>
      <c r="BF29" s="1397">
        <f ca="1">IF($B29&gt;=$J$5,0,CONTADORES!$BH21)</f>
        <v>33015</v>
      </c>
      <c r="BG29" s="1397">
        <f ca="1">IF($B29&gt;=$J$5,0,CONTADORES!$BJ21)</f>
        <v>6443.38</v>
      </c>
      <c r="BH29" s="1397">
        <f ca="1">IF(B29&gt;=$J$5,0,((CONTADORES!BK21-CONTADORES!BK20)/1000))</f>
        <v>1.403</v>
      </c>
      <c r="BI29" s="1397">
        <f ca="1">IF(C29&gt;=$J$5,0,((CONTADORES!BL21-CONTADORES!BL20)/1000))</f>
        <v>1.41</v>
      </c>
      <c r="BJ29" s="1397">
        <f ca="1">IF(C29&gt;=$J$5,0,((CONTADORES!BM21-CONTADORES!BM20)/1000))</f>
        <v>0</v>
      </c>
      <c r="BK29" s="1397">
        <f ca="1">IF(D29&gt;=$J$5,0,((CONTADORES!BN21-CONTADORES!BN20)/1000))</f>
        <v>0</v>
      </c>
      <c r="BL29" s="1399">
        <f t="shared" ca="1" si="16"/>
        <v>1.403</v>
      </c>
      <c r="BM29" s="1399">
        <f t="shared" ca="1" si="17"/>
        <v>1.41</v>
      </c>
      <c r="BN29" s="1397">
        <f ca="1">IF(W29&gt;=$J$5,0,CONTADORES!$BO21)</f>
        <v>138</v>
      </c>
      <c r="BO29" s="1397">
        <f ca="1">IF(W29&gt;=$J$5,0,CONTADORES!$BP21)</f>
        <v>45.976999999999997</v>
      </c>
      <c r="BP29" s="1397">
        <f ca="1">IF(W29&gt;=$J$5,0,CONTADORES!$BQ21)</f>
        <v>656</v>
      </c>
      <c r="BQ29" s="1397">
        <f ca="1">IF(B29&gt;=$J$5,0,(CONTADORES!AS21-CONTADORES!AS20))</f>
        <v>5</v>
      </c>
      <c r="BR29" s="1397">
        <f ca="1">IF(C29&gt;=$J$5,0,(CONTADORES!AT21-CONTADORES!AT20))</f>
        <v>0</v>
      </c>
      <c r="BS29" s="1397">
        <f ca="1">IF(B29&gt;=$J$5,0,CONTADORES!BR21-CONTADORES!BR20)/1000</f>
        <v>4.2480000000000002</v>
      </c>
      <c r="BT29" s="1397">
        <f ca="1">IF(B29&gt;=$J$5,0,CONTADORES!BS21-CONTADORES!BS20)</f>
        <v>1</v>
      </c>
      <c r="BU29" s="1397">
        <f ca="1">IF(B29&gt;=$J$5,0,CONTADORES!BT21-CONTADORES!BT20)</f>
        <v>24</v>
      </c>
      <c r="BV29" s="1397">
        <f ca="1">IF(B29&gt;=$J$5,0,CONTADORES!BU21-CONTADORES!BU20)/1000</f>
        <v>0</v>
      </c>
      <c r="BW29" s="1397">
        <f ca="1">IF(B29&gt;=$J$5,0,CONTADORES!BV21-CONTADORES!BV20)/1000</f>
        <v>0</v>
      </c>
      <c r="BX29" s="1397">
        <f ca="1">IF(B29&gt;=$J$5,0,CONTADORES!BW21-CONTADORES!BW20)</f>
        <v>0</v>
      </c>
      <c r="BY29" s="1397">
        <f ca="1">IF(B29&gt;=$J$5,0,CONTADORES!BX21-CONTADORES!BX20)/1000</f>
        <v>3.42</v>
      </c>
      <c r="BZ29" s="1397">
        <f ca="1">IF(B29&gt;=$J$5,0,CONTADORES!BY21-CONTADORES!BY20)/1000</f>
        <v>7.8E-2</v>
      </c>
      <c r="CA29" s="1397">
        <f ca="1">IF(B29&gt;=$J$5,0,CONTADORES!BZ21-CONTADORES!BZ20)</f>
        <v>24</v>
      </c>
      <c r="CB29" s="1397">
        <f ca="1">IF(B29&gt;=$J$5,0,(CONTADORES!CC21-CONTADORES!CC20)+(CONTADORES!CE21-CONTADORES!CE20))/1000</f>
        <v>1.488</v>
      </c>
      <c r="CC29" s="1397">
        <f ca="1">IF(B29&gt;=$J$5,0,(CONTADORES!CD21-CONTADORES!CD20)+(CONTADORES!CF21-CONTADORES!CF20))/1000</f>
        <v>0.91200000000000003</v>
      </c>
      <c r="CD29" s="1397">
        <f ca="1">IF(B29&gt;=$J$5,0,CONTADORES!CA21-CONTADORES!CA20)</f>
        <v>7.1999999999998181</v>
      </c>
      <c r="CE29" s="1397">
        <f ca="1">IF(B29&gt;=$J$5,0,CONTADORES!CB21-CONTADORES!CB20)</f>
        <v>4.7999999999992724</v>
      </c>
      <c r="CF29" s="1397">
        <f t="shared" ca="1" si="18"/>
        <v>11.615999999999595</v>
      </c>
      <c r="CG29" s="1397">
        <f t="shared" ca="1" si="19"/>
        <v>9.7169999999997287</v>
      </c>
      <c r="CH29" s="1397">
        <f t="shared" ca="1" si="20"/>
        <v>4.4159999999997765</v>
      </c>
      <c r="CI29" s="1397">
        <f t="shared" ca="1" si="21"/>
        <v>1.0447999999999638</v>
      </c>
      <c r="CJ29" s="1397">
        <f t="shared" ca="1" si="22"/>
        <v>4.4159999999997765</v>
      </c>
      <c r="CK29" s="1397">
        <f t="shared" ca="1" si="23"/>
        <v>1.5671999999999453</v>
      </c>
      <c r="CL29" s="1397">
        <f t="shared" ca="1" si="24"/>
        <v>2.5327999999999635</v>
      </c>
      <c r="CM29" s="1397">
        <f t="shared" ca="1" si="25"/>
        <v>4.9170000000004555</v>
      </c>
      <c r="CN29" s="1397">
        <f ca="1">IF(B29&gt;=$J$5,0,CONTADORES!CB21-CONTADORES!CB20)</f>
        <v>4.7999999999992724</v>
      </c>
      <c r="CO29" s="1397">
        <f t="shared" ca="1" si="26"/>
        <v>4.9170000000004555</v>
      </c>
      <c r="CP29" s="1397">
        <f t="shared" ca="1" si="27"/>
        <v>0.19400000000009093</v>
      </c>
      <c r="CQ29" s="1397">
        <f t="shared" ca="1" si="28"/>
        <v>0.19400000000009093</v>
      </c>
      <c r="CR29" s="1397">
        <f t="shared" ca="1" si="29"/>
        <v>1.1060000000000909</v>
      </c>
      <c r="CS29" s="1403">
        <f ca="1">IF($B29&gt;=$J$5,0,CONTADORES!$BI21)</f>
        <v>10337</v>
      </c>
      <c r="CT29" s="1334">
        <f>CONTADORES!E21</f>
        <v>0</v>
      </c>
      <c r="CU29" s="1334">
        <f>CONTADORES!CG21</f>
        <v>0</v>
      </c>
    </row>
    <row r="30" spans="1:119">
      <c r="B30" s="214">
        <v>44946</v>
      </c>
      <c r="C30" s="198">
        <f t="shared" ca="1" si="0"/>
        <v>152</v>
      </c>
      <c r="D30" s="196">
        <f ca="1">'CALCULO DE GAS'!D23</f>
        <v>3.3791477191011241</v>
      </c>
      <c r="E30" s="196">
        <f ca="1">IF(B30&gt;=$J$5,0,(CONTADORES!$AD22-CONTADORES!$AD21)-$H30)</f>
        <v>24</v>
      </c>
      <c r="F30" s="198">
        <f t="shared" ca="1" si="30"/>
        <v>0</v>
      </c>
      <c r="G30" s="196">
        <f ca="1">IF(B30&gt;=$J$5,0,CONTADORES!$AF22-CONTADORES!$AF21)</f>
        <v>0</v>
      </c>
      <c r="H30" s="1396">
        <f ca="1">IF(G30&gt;0,CONTADORES!$AE22-CONTADORES!$AE21,0)</f>
        <v>0</v>
      </c>
      <c r="I30" s="199">
        <f ca="1">IF(B30&gt;=$J$5,0,CONTADORES!$AB22-CONTADORES!$AB21)</f>
        <v>152</v>
      </c>
      <c r="J30" s="198">
        <f t="shared" ca="1" si="2"/>
        <v>300</v>
      </c>
      <c r="K30" s="196">
        <f ca="1">'CALCULO DE GAS'!E23</f>
        <v>4.4766758089887659</v>
      </c>
      <c r="L30" s="1396">
        <f ca="1">IF(B30&gt;=$J$5,0,(CONTADORES!$Y22-CONTADORES!$Y21)-$O30)</f>
        <v>24</v>
      </c>
      <c r="M30" s="1396">
        <f t="shared" ca="1" si="3"/>
        <v>0</v>
      </c>
      <c r="N30" s="1396">
        <f ca="1">IF(B30&gt;=$J$5,0,CONTADORES!$AA22-CONTADORES!$AA21)</f>
        <v>0</v>
      </c>
      <c r="O30" s="1396">
        <f ca="1">IF(N30&gt;0,CONTADORES!$Z22-CONTADORES!$Z21,0)</f>
        <v>0</v>
      </c>
      <c r="P30" s="202">
        <f ca="1">IF(B30&gt;=$J$5,0,CONTADORES!$W22-CONTADORES!$W21)</f>
        <v>300</v>
      </c>
      <c r="Q30" s="202">
        <f ca="1">IF(B30&gt;=$J$5,0,CONTADORES!$B22-CONTADORES!$B21)</f>
        <v>0</v>
      </c>
      <c r="R30" s="196">
        <f t="shared" ca="1" si="4"/>
        <v>0</v>
      </c>
      <c r="S30" s="11">
        <f ca="1">IF(B30&gt;=$J$5,0,CONTADORES!$D22-CONTADORES!$D21)</f>
        <v>0</v>
      </c>
      <c r="T30" s="209">
        <f ca="1">IF(B30&gt;=$J$5,0,CONTADORES!$BB22-CONTADORES!$BB21)</f>
        <v>0</v>
      </c>
      <c r="U30" s="196">
        <f t="shared" ca="1" si="5"/>
        <v>0</v>
      </c>
      <c r="V30" s="199">
        <f ca="1">IF(B30&gt;=$J$5,0,CONTADORES!$BD22-CONTADORES!$BD21)</f>
        <v>0</v>
      </c>
      <c r="W30" s="1397">
        <f t="shared" ca="1" si="6"/>
        <v>452</v>
      </c>
      <c r="X30" s="1397">
        <f t="shared" ca="1" si="7"/>
        <v>0</v>
      </c>
      <c r="Y30" s="1398">
        <f t="shared" ca="1" si="8"/>
        <v>452</v>
      </c>
      <c r="Z30" s="1398">
        <f t="shared" ca="1" si="9"/>
        <v>7.85582352808989</v>
      </c>
      <c r="AA30" s="1398">
        <f t="shared" ca="1" si="10"/>
        <v>0</v>
      </c>
      <c r="AB30" s="1398">
        <f t="shared" ca="1" si="11"/>
        <v>48</v>
      </c>
      <c r="AC30" s="1397">
        <f t="shared" ca="1" si="12"/>
        <v>0</v>
      </c>
      <c r="AD30" s="1397">
        <f ca="1">IF(B30&gt;=$J$5,0,CONTADORES!H22-CONTADORES!H21)</f>
        <v>168.59999999997672</v>
      </c>
      <c r="AE30" s="1397">
        <f ca="1">IF(B30&gt;=$J$5,0,CONTADORES!J22-CONTADORES!J21)</f>
        <v>19</v>
      </c>
      <c r="AF30" s="1397">
        <f ca="1">IF(B30&gt;=$J$5,0,CONTADORES!AU22-CONTADORES!AU21)</f>
        <v>141</v>
      </c>
      <c r="AG30" s="1397">
        <f ca="1">IF(B30&gt;=$J$5,0,CONTADORES!AW22-CONTADORES!AW21)</f>
        <v>24</v>
      </c>
      <c r="AH30" s="1397">
        <f ca="1">IF(B30&gt;=$J$5,0,(CONTADORES!AM22-CONTADORES!AM21)+(CONTADORES!M22-CONTADORES!M21))</f>
        <v>11.5</v>
      </c>
      <c r="AI30" s="1397">
        <f ca="1">IF(B30&gt;=$J$5,0,(CONTADORES!AK22-CONTADORES!AK21)+(CONTADORES!O22-CONTADORES!O21))</f>
        <v>44.099999999998545</v>
      </c>
      <c r="AJ30" s="1397">
        <f ca="1">IF(B30&gt;=$J$5,0,(CONTADORES!AI22-CONTADORES!AI21))</f>
        <v>8.5999999999912689</v>
      </c>
      <c r="AK30" s="1397">
        <f ca="1">IF(B30&gt;=$J$5,0,(CONTADORES!Q22-CONTADORES!Q21))</f>
        <v>15.300000000017462</v>
      </c>
      <c r="AL30" s="1402">
        <f t="shared" ca="1" si="13"/>
        <v>33.900000000016007</v>
      </c>
      <c r="AM30" s="1397">
        <f ca="1">IF(B30&gt;=$J$5,0,(((CONTADORES!F22-CONTADORES!F21)+(CONTADORES!AQ22-CONTADORES!AQ21))))-BS30-AF30-AN30-BV30-BY30-CD30-CB30</f>
        <v>15</v>
      </c>
      <c r="AN30" s="1397">
        <f ca="1">IF(B30&gt;=$J$5,0,(CONTADORES!AX22-CONTADORES!AX21)+(CONTADORES!AZ22-CONTADORES!AZ21)+(CONTADORES!BE22-CONTADORES!BE21))-CB30</f>
        <v>2.508</v>
      </c>
      <c r="AO30" s="1399">
        <f ca="1">IF(B30&gt;=$J$5,0,(CONTADORES!AC22-CONTADORES!AC21))</f>
        <v>75</v>
      </c>
      <c r="AP30" s="1399">
        <f ca="1">IF(B30&gt;=$J$5,0,(CONTADORES!X22-CONTADORES!X21))</f>
        <v>160</v>
      </c>
      <c r="AQ30" s="1404">
        <f ca="1">IF(B30&gt;=$J$5,0,(CONTADORES!C22-CONTADORES!C21))</f>
        <v>0</v>
      </c>
      <c r="AR30" s="1404">
        <f ca="1">IF(B30&gt;=$J$5,0,(CONTADORES!BC22-CONTADORES!BC21))</f>
        <v>0</v>
      </c>
      <c r="AS30" s="1397">
        <f ca="1">IF(B30&gt;=$J$5,0,CONTADORES!S22-CONTADORES!S21)</f>
        <v>17.5</v>
      </c>
      <c r="AT30" s="1397">
        <f ca="1">IF(B30&gt;=$J$5,0,(CONTADORES!U22-CONTADORES!U21)+(CONTADORES!AG22-CONTADORES!AG21))</f>
        <v>2.1000000000058208</v>
      </c>
      <c r="AU30" s="1397">
        <f>CONTADORES!I22-CONTADORES!I21</f>
        <v>85</v>
      </c>
      <c r="AV30" s="1397">
        <f>CONTADORES!AV22-CONTADORES!AV21</f>
        <v>62</v>
      </c>
      <c r="AW30" s="1397">
        <f ca="1">IF(B30&gt;=$J$5,0,(CONTADORES!N22-CONTADORES!N21)+(CONTADORES!AN22-CONTADORES!AN21))</f>
        <v>4.2000000000007276</v>
      </c>
      <c r="AX30" s="1397">
        <f ca="1">IF(B30&gt;=$J$5,0,(CONTADORES!P22-CONTADORES!P21)+(CONTADORES!AL22-CONTADORES!AL21))</f>
        <v>34.799999999995634</v>
      </c>
      <c r="AY30" s="1397">
        <f ca="1">IF(B30&gt;=$J$5,0,(CONTADORES!AJ22-CONTADORES!AJ21))</f>
        <v>6.8000000000029104</v>
      </c>
      <c r="AZ30" s="1397">
        <f ca="1">IF(B30&gt;=$J$5,0,(CONTADORES!R22-CONTADORES!R21))</f>
        <v>12.100000000005821</v>
      </c>
      <c r="BA30" s="1408">
        <f t="shared" ca="1" si="14"/>
        <v>13.087999999995446</v>
      </c>
      <c r="BB30" s="1406">
        <f ca="1">IF(B30&gt;=$J$5,0,(((CONTADORES!G22-CONTADORES!G21)+(CONTADORES!AR22-CONTADORES!AR21))))-AV30-BC30-BT30-BW30-BZ30-CE30</f>
        <v>10.240999999999637</v>
      </c>
      <c r="BC30" s="1399">
        <f ca="1">IF(B30&gt;=$J$5,0,(CONTADORES!AY22-CONTADORES!AY21)+(CONTADORES!BA22-CONTADORES!BA21)+(CONTADORES!BF22-CONTADORES!BF21))-CC30</f>
        <v>0.28799999999981807</v>
      </c>
      <c r="BD30" s="1397">
        <f t="shared" ca="1" si="15"/>
        <v>235</v>
      </c>
      <c r="BE30" s="1397">
        <f ca="1">IF($B30&gt;=$J$5,0,CONTADORES!$BG22)</f>
        <v>6645.16</v>
      </c>
      <c r="BF30" s="1397">
        <f ca="1">IF($B30&gt;=$J$5,0,CONTADORES!$BH22)</f>
        <v>37220.215789473703</v>
      </c>
      <c r="BG30" s="1397">
        <f ca="1">IF($B30&gt;=$J$5,0,CONTADORES!$BJ22)</f>
        <v>5917.69</v>
      </c>
      <c r="BH30" s="1397">
        <f ca="1">IF(B30&gt;=$J$5,0,((CONTADORES!BK22-CONTADORES!BK21)/1000))</f>
        <v>1.421</v>
      </c>
      <c r="BI30" s="1397">
        <f ca="1">IF(C30&gt;=$J$5,0,((CONTADORES!BL22-CONTADORES!BL21)/1000))</f>
        <v>1.4470000000000001</v>
      </c>
      <c r="BJ30" s="1397">
        <f ca="1">IF(C30&gt;=$J$5,0,((CONTADORES!BM22-CONTADORES!BM21)/1000))</f>
        <v>0</v>
      </c>
      <c r="BK30" s="1397">
        <f ca="1">IF(D30&gt;=$J$5,0,((CONTADORES!BN22-CONTADORES!BN21)/1000))</f>
        <v>0</v>
      </c>
      <c r="BL30" s="1399">
        <f t="shared" ca="1" si="16"/>
        <v>1.421</v>
      </c>
      <c r="BM30" s="1399">
        <f t="shared" ca="1" si="17"/>
        <v>1.4470000000000001</v>
      </c>
      <c r="BN30" s="1397">
        <f ca="1">IF(W30&gt;=$J$5,0,CONTADORES!$BO22)</f>
        <v>137</v>
      </c>
      <c r="BO30" s="1397">
        <f ca="1">IF(W30&gt;=$J$5,0,CONTADORES!$BP22)</f>
        <v>45.585999999999999</v>
      </c>
      <c r="BP30" s="1397">
        <f ca="1">IF(W30&gt;=$J$5,0,CONTADORES!$BQ22)</f>
        <v>654</v>
      </c>
      <c r="BQ30" s="1397">
        <f ca="1">IF(B30&gt;=$J$5,0,(CONTADORES!AS22-CONTADORES!AS21))</f>
        <v>7</v>
      </c>
      <c r="BR30" s="1397">
        <f ca="1">IF(C30&gt;=$J$5,0,(CONTADORES!AT22-CONTADORES!AT21))</f>
        <v>0</v>
      </c>
      <c r="BS30" s="1397">
        <f ca="1">IF(B30&gt;=$J$5,0,CONTADORES!BR22-CONTADORES!BR21)/1000</f>
        <v>2.4E-2</v>
      </c>
      <c r="BT30" s="1397">
        <f ca="1">IF(B30&gt;=$J$5,0,CONTADORES!BS22-CONTADORES!BS21)</f>
        <v>1</v>
      </c>
      <c r="BU30" s="1397">
        <f ca="1">IF(B30&gt;=$J$5,0,CONTADORES!BT22-CONTADORES!BT21)</f>
        <v>24</v>
      </c>
      <c r="BV30" s="1397">
        <f ca="1">IF(B30&gt;=$J$5,0,CONTADORES!BU22-CONTADORES!BU21)/1000</f>
        <v>0</v>
      </c>
      <c r="BW30" s="1397">
        <f ca="1">IF(B30&gt;=$J$5,0,CONTADORES!BV22-CONTADORES!BV21)/1000</f>
        <v>0</v>
      </c>
      <c r="BX30" s="1397">
        <f ca="1">IF(B30&gt;=$J$5,0,CONTADORES!BW22-CONTADORES!BW21)</f>
        <v>0</v>
      </c>
      <c r="BY30" s="1397">
        <f ca="1">IF(B30&gt;=$J$5,0,CONTADORES!BX22-CONTADORES!BX21)/1000</f>
        <v>3.476</v>
      </c>
      <c r="BZ30" s="1397">
        <f ca="1">IF(B30&gt;=$J$5,0,CONTADORES!BY22-CONTADORES!BY21)/1000</f>
        <v>7.0999999999999994E-2</v>
      </c>
      <c r="CA30" s="1397">
        <f ca="1">IF(B30&gt;=$J$5,0,CONTADORES!BZ22-CONTADORES!BZ21)</f>
        <v>24</v>
      </c>
      <c r="CB30" s="1397">
        <f ca="1">IF(B30&gt;=$J$5,0,(CONTADORES!CC22-CONTADORES!CC21)+(CONTADORES!CE22-CONTADORES!CE21))/1000</f>
        <v>1.492</v>
      </c>
      <c r="CC30" s="1397">
        <f ca="1">IF(B30&gt;=$J$5,0,(CONTADORES!CD22-CONTADORES!CD21)+(CONTADORES!CF22-CONTADORES!CF21))/1000</f>
        <v>0.91200000000000003</v>
      </c>
      <c r="CD30" s="1397">
        <f ca="1">IF(B30&gt;=$J$5,0,CONTADORES!CA22-CONTADORES!CA21)</f>
        <v>6.5</v>
      </c>
      <c r="CE30" s="1397">
        <f ca="1">IF(B30&gt;=$J$5,0,CONTADORES!CB22-CONTADORES!CB21)</f>
        <v>4.5</v>
      </c>
      <c r="CF30" s="1397">
        <f t="shared" ca="1" si="18"/>
        <v>14</v>
      </c>
      <c r="CG30" s="1397">
        <f t="shared" ca="1" si="19"/>
        <v>9.6204999999998186</v>
      </c>
      <c r="CH30" s="1397">
        <f t="shared" ca="1" si="20"/>
        <v>7.5</v>
      </c>
      <c r="CI30" s="1397">
        <f t="shared" ca="1" si="21"/>
        <v>1.0032000000000001</v>
      </c>
      <c r="CJ30" s="1397">
        <f t="shared" ca="1" si="22"/>
        <v>7.5</v>
      </c>
      <c r="CK30" s="1397">
        <f t="shared" ca="1" si="23"/>
        <v>1.5047999999999999</v>
      </c>
      <c r="CL30" s="1397">
        <f t="shared" ca="1" si="24"/>
        <v>2.4952000000000001</v>
      </c>
      <c r="CM30" s="1397">
        <f t="shared" ca="1" si="25"/>
        <v>5.1204999999998186</v>
      </c>
      <c r="CN30" s="1397">
        <f ca="1">IF(B30&gt;=$J$5,0,CONTADORES!CB22-CONTADORES!CB21)</f>
        <v>4.5</v>
      </c>
      <c r="CO30" s="1397">
        <f t="shared" ca="1" si="26"/>
        <v>5.1204999999998186</v>
      </c>
      <c r="CP30" s="1397">
        <f t="shared" ca="1" si="27"/>
        <v>0.14399999999990903</v>
      </c>
      <c r="CQ30" s="1397">
        <f t="shared" ca="1" si="28"/>
        <v>0.14399999999990903</v>
      </c>
      <c r="CR30" s="1397">
        <f t="shared" ca="1" si="29"/>
        <v>1.055999999999909</v>
      </c>
      <c r="CS30" s="1403">
        <f ca="1">IF($B30&gt;=$J$5,0,CONTADORES!$BI22)</f>
        <v>10085.915709143501</v>
      </c>
      <c r="CT30" s="1334">
        <f>CONTADORES!E22</f>
        <v>0</v>
      </c>
      <c r="CU30" s="1334">
        <f>CONTADORES!CG22</f>
        <v>0</v>
      </c>
    </row>
    <row r="31" spans="1:119">
      <c r="B31" s="214">
        <v>44947</v>
      </c>
      <c r="C31" s="198">
        <f t="shared" ca="1" si="0"/>
        <v>150</v>
      </c>
      <c r="D31" s="196">
        <f ca="1">'CALCULO DE GAS'!D24</f>
        <v>3.3643162584269666</v>
      </c>
      <c r="E31" s="196">
        <f ca="1">IF(B31&gt;=$J$5,0,(CONTADORES!$AD23-CONTADORES!$AD22)-$H31)</f>
        <v>24</v>
      </c>
      <c r="F31" s="198">
        <f t="shared" ca="1" si="30"/>
        <v>0</v>
      </c>
      <c r="G31" s="196">
        <f ca="1">IF(B31&gt;=$J$5,0,CONTADORES!$AF23-CONTADORES!$AF22)</f>
        <v>0</v>
      </c>
      <c r="H31" s="1396">
        <f ca="1">IF(G31&gt;0,CONTADORES!$AE23-CONTADORES!$AE22,0)</f>
        <v>0</v>
      </c>
      <c r="I31" s="199">
        <f ca="1">IF(B31&gt;=$J$5,0,CONTADORES!$AB23-CONTADORES!$AB22)</f>
        <v>150</v>
      </c>
      <c r="J31" s="198">
        <f t="shared" ca="1" si="2"/>
        <v>300</v>
      </c>
      <c r="K31" s="196">
        <f ca="1">'CALCULO DE GAS'!E24</f>
        <v>4.4766758089887659</v>
      </c>
      <c r="L31" s="1396">
        <f ca="1">IF(B31&gt;=$J$5,0,(CONTADORES!$Y23-CONTADORES!$Y22)-$O31)</f>
        <v>24</v>
      </c>
      <c r="M31" s="1396">
        <f t="shared" ca="1" si="3"/>
        <v>0</v>
      </c>
      <c r="N31" s="1396">
        <f ca="1">IF(B31&gt;=$J$5,0,CONTADORES!$AA23-CONTADORES!$AA22)</f>
        <v>0</v>
      </c>
      <c r="O31" s="1396">
        <f ca="1">IF(N31&gt;0,CONTADORES!$Z23-CONTADORES!$Z22,0)</f>
        <v>0</v>
      </c>
      <c r="P31" s="202">
        <f ca="1">IF(B31&gt;=$J$5,0,CONTADORES!$W23-CONTADORES!$W22)</f>
        <v>300</v>
      </c>
      <c r="Q31" s="202">
        <f ca="1">IF(B31&gt;=$J$5,0,CONTADORES!$B23-CONTADORES!$B22)</f>
        <v>0</v>
      </c>
      <c r="R31" s="196">
        <f t="shared" ca="1" si="4"/>
        <v>0</v>
      </c>
      <c r="S31" s="11">
        <f ca="1">IF(B31&gt;=$J$5,0,CONTADORES!$D23-CONTADORES!$D22)</f>
        <v>0</v>
      </c>
      <c r="T31" s="209">
        <f ca="1">IF(B31&gt;=$J$5,0,CONTADORES!$BB23-CONTADORES!$BB22)</f>
        <v>0</v>
      </c>
      <c r="U31" s="196">
        <f t="shared" ca="1" si="5"/>
        <v>0</v>
      </c>
      <c r="V31" s="199">
        <f ca="1">IF(B31&gt;=$J$5,0,CONTADORES!$BD23-CONTADORES!$BD22)</f>
        <v>0</v>
      </c>
      <c r="W31" s="1397">
        <f t="shared" ca="1" si="6"/>
        <v>450</v>
      </c>
      <c r="X31" s="1397">
        <f t="shared" ca="1" si="7"/>
        <v>0</v>
      </c>
      <c r="Y31" s="1398">
        <f t="shared" ca="1" si="8"/>
        <v>450</v>
      </c>
      <c r="Z31" s="1398">
        <f t="shared" ca="1" si="9"/>
        <v>7.8409920674157325</v>
      </c>
      <c r="AA31" s="1398">
        <f t="shared" ca="1" si="10"/>
        <v>0</v>
      </c>
      <c r="AB31" s="1398">
        <f t="shared" ca="1" si="11"/>
        <v>48</v>
      </c>
      <c r="AC31" s="1397">
        <f t="shared" ca="1" si="12"/>
        <v>0</v>
      </c>
      <c r="AD31" s="1397">
        <f ca="1">IF(B31&gt;=$J$5,0,CONTADORES!H23-CONTADORES!H22)</f>
        <v>170</v>
      </c>
      <c r="AE31" s="1397">
        <f ca="1">IF(B31&gt;=$J$5,0,CONTADORES!J23-CONTADORES!J22)</f>
        <v>24</v>
      </c>
      <c r="AF31" s="1397">
        <f ca="1">IF(B31&gt;=$J$5,0,CONTADORES!AU23-CONTADORES!AU22)</f>
        <v>143</v>
      </c>
      <c r="AG31" s="1397">
        <f ca="1">IF(B31&gt;=$J$5,0,CONTADORES!AW23-CONTADORES!AW22)</f>
        <v>24</v>
      </c>
      <c r="AH31" s="1397">
        <f ca="1">IF(B31&gt;=$J$5,0,(CONTADORES!AM23-CONTADORES!AM22)+(CONTADORES!M23-CONTADORES!M22))</f>
        <v>9.8000000000029104</v>
      </c>
      <c r="AI31" s="1397">
        <f ca="1">IF(B31&gt;=$J$5,0,(CONTADORES!AK23-CONTADORES!AK22)+(CONTADORES!O23-CONTADORES!O22))</f>
        <v>42.899999999994179</v>
      </c>
      <c r="AJ31" s="1397">
        <f ca="1">IF(B31&gt;=$J$5,0,(CONTADORES!AI23-CONTADORES!AI22))</f>
        <v>9.1000000000058208</v>
      </c>
      <c r="AK31" s="1397">
        <f ca="1">IF(B31&gt;=$J$5,0,(CONTADORES!Q23-CONTADORES!Q22))</f>
        <v>14.899999999994179</v>
      </c>
      <c r="AL31" s="1402">
        <f t="shared" ca="1" si="13"/>
        <v>33.100000000002183</v>
      </c>
      <c r="AM31" s="1397">
        <f ca="1">IF(B31&gt;=$J$5,0,(((CONTADORES!F23-CONTADORES!F22)+(CONTADORES!AQ23-CONTADORES!AQ22))))-BS31-AF31-AN31-BV31-BY31-CD31-CB31</f>
        <v>9.8505000000009897</v>
      </c>
      <c r="AN31" s="1397">
        <f ca="1">IF(B31&gt;=$J$5,0,(CONTADORES!AX23-CONTADORES!AX22)+(CONTADORES!AZ23-CONTADORES!AZ22)+(CONTADORES!BE23-CONTADORES!BE22))-CB31</f>
        <v>2.6099999999999088</v>
      </c>
      <c r="AO31" s="1399">
        <f ca="1">IF(B31&gt;=$J$5,0,(CONTADORES!AC23-CONTADORES!AC22))</f>
        <v>70</v>
      </c>
      <c r="AP31" s="1399">
        <f ca="1">IF(B31&gt;=$J$5,0,(CONTADORES!X23-CONTADORES!X22))</f>
        <v>158</v>
      </c>
      <c r="AQ31" s="1404">
        <f ca="1">IF(B31&gt;=$J$5,0,(CONTADORES!C23-CONTADORES!C22))</f>
        <v>0</v>
      </c>
      <c r="AR31" s="1404">
        <f ca="1">IF(B31&gt;=$J$5,0,(CONTADORES!BC23-CONTADORES!BC22))</f>
        <v>0</v>
      </c>
      <c r="AS31" s="1397">
        <f ca="1">IF(B31&gt;=$J$5,0,CONTADORES!S23-CONTADORES!S22)</f>
        <v>17</v>
      </c>
      <c r="AT31" s="1397">
        <f ca="1">IF(B31&gt;=$J$5,0,(CONTADORES!U23-CONTADORES!U22)+(CONTADORES!AG23-CONTADORES!AG22))</f>
        <v>2.1999999999970896</v>
      </c>
      <c r="AU31" s="1397">
        <f>CONTADORES!I23-CONTADORES!I22</f>
        <v>85</v>
      </c>
      <c r="AV31" s="1397">
        <f>CONTADORES!AV23-CONTADORES!AV22</f>
        <v>62</v>
      </c>
      <c r="AW31" s="1397">
        <f ca="1">IF(B31&gt;=$J$5,0,(CONTADORES!N23-CONTADORES!N22)+(CONTADORES!AN23-CONTADORES!AN22))</f>
        <v>3.8999999999978172</v>
      </c>
      <c r="AX31" s="1397">
        <f ca="1">IF(B31&gt;=$J$5,0,(CONTADORES!P23-CONTADORES!P22)+(CONTADORES!AL23-CONTADORES!AL22))</f>
        <v>34.100000000005821</v>
      </c>
      <c r="AY31" s="1397">
        <f ca="1">IF(B31&gt;=$J$5,0,(CONTADORES!AJ23-CONTADORES!AJ22))</f>
        <v>7.1999999999970896</v>
      </c>
      <c r="AZ31" s="1397">
        <f ca="1">IF(B31&gt;=$J$5,0,(CONTADORES!R23-CONTADORES!R22))</f>
        <v>12</v>
      </c>
      <c r="BA31" s="1408">
        <f t="shared" ca="1" si="14"/>
        <v>12.087999999999113</v>
      </c>
      <c r="BB31" s="1406">
        <f ca="1">IF(B31&gt;=$J$5,0,(((CONTADORES!G23-CONTADORES!G22)+(CONTADORES!AR23-CONTADORES!AR22))))-AV31-BC31-BT31-BW31-BZ31-CE31</f>
        <v>4.7819999999997069</v>
      </c>
      <c r="BC31" s="1399">
        <f ca="1">IF(B31&gt;=$J$5,0,(CONTADORES!AY23-CONTADORES!AY22)+(CONTADORES!BA23-CONTADORES!BA22)+(CONTADORES!BF23-CONTADORES!BF22))-CC31</f>
        <v>0.38800000000029555</v>
      </c>
      <c r="BD31" s="1397">
        <f t="shared" ca="1" si="15"/>
        <v>228</v>
      </c>
      <c r="BE31" s="1397">
        <f ca="1">IF($B31&gt;=$J$5,0,CONTADORES!$BG23)</f>
        <v>6541.87</v>
      </c>
      <c r="BF31" s="1397">
        <f ca="1">IF($B31&gt;=$J$5,0,CONTADORES!$BH23)</f>
        <v>37522.994736842098</v>
      </c>
      <c r="BG31" s="1397">
        <f ca="1">IF($B31&gt;=$J$5,0,CONTADORES!$BJ23)</f>
        <v>6628.3</v>
      </c>
      <c r="BH31" s="1397">
        <f ca="1">IF(B31&gt;=$J$5,0,((CONTADORES!BK23-CONTADORES!BK22)/1000))</f>
        <v>1.3740000000000001</v>
      </c>
      <c r="BI31" s="1397">
        <f ca="1">IF(C31&gt;=$J$5,0,((CONTADORES!BL23-CONTADORES!BL22)/1000))</f>
        <v>1.389</v>
      </c>
      <c r="BJ31" s="1397">
        <f ca="1">IF(C31&gt;=$J$5,0,((CONTADORES!BM23-CONTADORES!BM22)/1000))</f>
        <v>0</v>
      </c>
      <c r="BK31" s="1397">
        <f ca="1">IF(D31&gt;=$J$5,0,((CONTADORES!BN23-CONTADORES!BN22)/1000))</f>
        <v>0</v>
      </c>
      <c r="BL31" s="1399">
        <f t="shared" ca="1" si="16"/>
        <v>1.3740000000000001</v>
      </c>
      <c r="BM31" s="1399">
        <f t="shared" ca="1" si="17"/>
        <v>1.389</v>
      </c>
      <c r="BN31" s="1397">
        <f ca="1">IF(W31&gt;=$J$5,0,CONTADORES!$BO23)</f>
        <v>136</v>
      </c>
      <c r="BO31" s="1397">
        <f ca="1">IF(W31&gt;=$J$5,0,CONTADORES!$BP23)</f>
        <v>46.046999999999997</v>
      </c>
      <c r="BP31" s="1397">
        <f ca="1">IF(W31&gt;=$J$5,0,CONTADORES!$BQ23)</f>
        <v>650</v>
      </c>
      <c r="BQ31" s="1397">
        <f ca="1">IF(B31&gt;=$J$5,0,(CONTADORES!AS23-CONTADORES!AS22))</f>
        <v>3</v>
      </c>
      <c r="BR31" s="1397">
        <f ca="1">IF(C31&gt;=$J$5,0,(CONTADORES!AT23-CONTADORES!AT22))</f>
        <v>0</v>
      </c>
      <c r="BS31" s="1397">
        <f ca="1">IF(B31&gt;=$J$5,0,CONTADORES!BR23-CONTADORES!BR22)/1000</f>
        <v>1.6065</v>
      </c>
      <c r="BT31" s="1397">
        <f ca="1">IF(B31&gt;=$J$5,0,CONTADORES!BS23-CONTADORES!BS22)</f>
        <v>1</v>
      </c>
      <c r="BU31" s="1397">
        <f ca="1">IF(B31&gt;=$J$5,0,CONTADORES!BT23-CONTADORES!BT22)</f>
        <v>15.30000000000291</v>
      </c>
      <c r="BV31" s="1397">
        <f ca="1">IF(B31&gt;=$J$5,0,CONTADORES!BU23-CONTADORES!BU22)/1000</f>
        <v>1.9890000000000001</v>
      </c>
      <c r="BW31" s="1397">
        <f ca="1">IF(B31&gt;=$J$5,0,CONTADORES!BV23-CONTADORES!BV22)/1000</f>
        <v>0.28999999999999998</v>
      </c>
      <c r="BX31" s="1397">
        <f ca="1">IF(B31&gt;=$J$5,0,CONTADORES!BW23-CONTADORES!BW22)</f>
        <v>11.040000000000873</v>
      </c>
      <c r="BY31" s="1397">
        <f ca="1">IF(B31&gt;=$J$5,0,CONTADORES!BX23-CONTADORES!BX22)/1000</f>
        <v>3.4540000000000002</v>
      </c>
      <c r="BZ31" s="1397">
        <f ca="1">IF(B31&gt;=$J$5,0,CONTADORES!BY23-CONTADORES!BY22)/1000</f>
        <v>0.04</v>
      </c>
      <c r="CA31" s="1397">
        <f ca="1">IF(B31&gt;=$J$5,0,CONTADORES!BZ23-CONTADORES!BZ22)</f>
        <v>24</v>
      </c>
      <c r="CB31" s="1397">
        <f ca="1">IF(B31&gt;=$J$5,0,(CONTADORES!CC23-CONTADORES!CC22)+(CONTADORES!CE23-CONTADORES!CE22))/1000</f>
        <v>1.49</v>
      </c>
      <c r="CC31" s="1397">
        <f ca="1">IF(B31&gt;=$J$5,0,(CONTADORES!CD23-CONTADORES!CD22)+(CONTADORES!CF23-CONTADORES!CF22))/1000</f>
        <v>0.91200000000000003</v>
      </c>
      <c r="CD31" s="1397">
        <f ca="1">IF(B31&gt;=$J$5,0,CONTADORES!CA23-CONTADORES!CA22)</f>
        <v>6.1999999999998181</v>
      </c>
      <c r="CE31" s="1397">
        <f ca="1">IF(B31&gt;=$J$5,0,CONTADORES!CB23-CONTADORES!CB22)</f>
        <v>4.3000000000001819</v>
      </c>
      <c r="CF31" s="1397">
        <f t="shared" ca="1" si="18"/>
        <v>11.125250000000314</v>
      </c>
      <c r="CG31" s="1397">
        <f t="shared" ca="1" si="19"/>
        <v>6.6910000000000354</v>
      </c>
      <c r="CH31" s="1397">
        <f t="shared" ca="1" si="20"/>
        <v>4.9252500000004948</v>
      </c>
      <c r="CI31" s="1397">
        <f t="shared" ca="1" si="21"/>
        <v>1.0439999999999636</v>
      </c>
      <c r="CJ31" s="1397">
        <f t="shared" ca="1" si="22"/>
        <v>4.9252500000004948</v>
      </c>
      <c r="CK31" s="1397">
        <f t="shared" ca="1" si="23"/>
        <v>1.5659999999999452</v>
      </c>
      <c r="CL31" s="1397">
        <f t="shared" ca="1" si="24"/>
        <v>2.5339999999999634</v>
      </c>
      <c r="CM31" s="1397">
        <f t="shared" ca="1" si="25"/>
        <v>2.3909999999998535</v>
      </c>
      <c r="CN31" s="1397">
        <f ca="1">IF(B31&gt;=$J$5,0,CONTADORES!CB23-CONTADORES!CB22)</f>
        <v>4.3000000000001819</v>
      </c>
      <c r="CO31" s="1397">
        <f t="shared" ca="1" si="26"/>
        <v>2.3909999999998535</v>
      </c>
      <c r="CP31" s="1397">
        <f t="shared" ca="1" si="27"/>
        <v>0.19400000000014778</v>
      </c>
      <c r="CQ31" s="1397">
        <f t="shared" ca="1" si="28"/>
        <v>0.19400000000014778</v>
      </c>
      <c r="CR31" s="1397">
        <f t="shared" ca="1" si="29"/>
        <v>1.1060000000001478</v>
      </c>
      <c r="CS31" s="1403">
        <f ca="1">IF($B31&gt;=$J$5,0,CONTADORES!$BI23)</f>
        <v>11460.241435305899</v>
      </c>
      <c r="CT31" s="1334">
        <f>CONTADORES!E23</f>
        <v>0</v>
      </c>
      <c r="CU31" s="1334">
        <f>CONTADORES!CG23</f>
        <v>0</v>
      </c>
    </row>
    <row r="32" spans="1:119" s="1423" customFormat="1">
      <c r="A32" s="1410"/>
      <c r="B32" s="214">
        <v>44948</v>
      </c>
      <c r="C32" s="1411">
        <f t="shared" ca="1" si="0"/>
        <v>152</v>
      </c>
      <c r="D32" s="1412">
        <f ca="1">'CALCULO DE GAS'!D25</f>
        <v>3.3791477191011241</v>
      </c>
      <c r="E32" s="196">
        <f ca="1">IF(B32&gt;=$J$5,0,(CONTADORES!$AD24-CONTADORES!$AD23)-$H32)</f>
        <v>24</v>
      </c>
      <c r="F32" s="1411">
        <f t="shared" ca="1" si="30"/>
        <v>0</v>
      </c>
      <c r="G32" s="1412">
        <f ca="1">IF(B32&gt;=$J$5,0,CONTADORES!$AF24-CONTADORES!$AF23)</f>
        <v>0</v>
      </c>
      <c r="H32" s="1413">
        <f ca="1">IF(G32&gt;0,CONTADORES!$AE24-CONTADORES!$AE23,0)</f>
        <v>0</v>
      </c>
      <c r="I32" s="1414">
        <f ca="1">IF(B32&gt;=$J$5,0,CONTADORES!$AB24-CONTADORES!$AB23)</f>
        <v>152</v>
      </c>
      <c r="J32" s="1411">
        <f t="shared" ca="1" si="2"/>
        <v>294</v>
      </c>
      <c r="K32" s="1412">
        <f ca="1">'CALCULO DE GAS'!E25</f>
        <v>4.4321814269662934</v>
      </c>
      <c r="L32" s="1413">
        <f ca="1">IF(B32&gt;=$J$5,0,(CONTADORES!$Y24-CONTADORES!$Y23)-$O32)</f>
        <v>24</v>
      </c>
      <c r="M32" s="1413">
        <f t="shared" ca="1" si="3"/>
        <v>0</v>
      </c>
      <c r="N32" s="1413">
        <f ca="1">IF(B32&gt;=$J$5,0,CONTADORES!$AA24-CONTADORES!$AA23)</f>
        <v>0</v>
      </c>
      <c r="O32" s="1413">
        <f ca="1">IF(N32&gt;0,CONTADORES!$Z24-CONTADORES!$Z23,0)</f>
        <v>0</v>
      </c>
      <c r="P32" s="1415">
        <f ca="1">IF(B32&gt;=$J$5,0,CONTADORES!$W24-CONTADORES!$W23)</f>
        <v>294</v>
      </c>
      <c r="Q32" s="1415">
        <f ca="1">IF(B32&gt;=$J$5,0,CONTADORES!$B24-CONTADORES!$B23)</f>
        <v>0</v>
      </c>
      <c r="R32" s="1412">
        <f t="shared" ca="1" si="4"/>
        <v>0</v>
      </c>
      <c r="S32" s="11">
        <f ca="1">IF(B32&gt;=$J$5,0,CONTADORES!$D24-CONTADORES!$D23)</f>
        <v>0</v>
      </c>
      <c r="T32" s="1416">
        <f ca="1">IF(B32&gt;=$J$5,0,CONTADORES!$BB24-CONTADORES!$BB23)</f>
        <v>0</v>
      </c>
      <c r="U32" s="1412">
        <f t="shared" ca="1" si="5"/>
        <v>0</v>
      </c>
      <c r="V32" s="1414">
        <f ca="1">IF(B32&gt;=$J$5,0,CONTADORES!$BD24-CONTADORES!$BD23)</f>
        <v>0</v>
      </c>
      <c r="W32" s="1402">
        <f t="shared" ca="1" si="6"/>
        <v>446</v>
      </c>
      <c r="X32" s="1402">
        <f t="shared" ca="1" si="7"/>
        <v>0</v>
      </c>
      <c r="Y32" s="1407">
        <f t="shared" ca="1" si="8"/>
        <v>446</v>
      </c>
      <c r="Z32" s="1407">
        <f t="shared" ca="1" si="9"/>
        <v>7.8113291460674175</v>
      </c>
      <c r="AA32" s="1407">
        <f t="shared" ca="1" si="10"/>
        <v>0</v>
      </c>
      <c r="AB32" s="1407">
        <f t="shared" ca="1" si="11"/>
        <v>48</v>
      </c>
      <c r="AC32" s="1402">
        <f t="shared" ca="1" si="12"/>
        <v>0</v>
      </c>
      <c r="AD32" s="1402">
        <f ca="1">IF(B32&gt;=$J$5,0,CONTADORES!H24-CONTADORES!H23)</f>
        <v>166</v>
      </c>
      <c r="AE32" s="1402">
        <f ca="1">IF(B32&gt;=$J$5,0,CONTADORES!J24-CONTADORES!J23)</f>
        <v>24</v>
      </c>
      <c r="AF32" s="1402">
        <f ca="1">IF(B32&gt;=$J$5,0,CONTADORES!AU24-CONTADORES!AU23)</f>
        <v>144</v>
      </c>
      <c r="AG32" s="1402">
        <f ca="1">IF(B32&gt;=$J$5,0,CONTADORES!AW24-CONTADORES!AW23)</f>
        <v>24</v>
      </c>
      <c r="AH32" s="1402">
        <f ca="1">IF(B32&gt;=$J$5,0,(CONTADORES!AM24-CONTADORES!AM23)+(CONTADORES!M24-CONTADORES!M23))</f>
        <v>13.5</v>
      </c>
      <c r="AI32" s="1402">
        <f ca="1">IF(B32&gt;=$J$5,0,(CONTADORES!AK24-CONTADORES!AK23)+(CONTADORES!O24-CONTADORES!O23))</f>
        <v>38.700000000004366</v>
      </c>
      <c r="AJ32" s="1402">
        <f ca="1">IF(B32&gt;=$J$5,0,(CONTADORES!AI24-CONTADORES!AI23))</f>
        <v>8.3999999999941792</v>
      </c>
      <c r="AK32" s="1402">
        <f ca="1">IF(B32&gt;=$J$5,0,(CONTADORES!Q24-CONTADORES!Q23))</f>
        <v>15.200000000011642</v>
      </c>
      <c r="AL32" s="1402">
        <f t="shared" ca="1" si="13"/>
        <v>32.999999999990905</v>
      </c>
      <c r="AM32" s="1402">
        <f ca="1">IF(B32&gt;=$J$5,0,(((CONTADORES!F24-CONTADORES!F23)+(CONTADORES!AQ24-CONTADORES!AQ23))))-BS32-AF32-AN32-BV32-BY32-CD32-CB32</f>
        <v>8.4679999999988169</v>
      </c>
      <c r="AN32" s="1402">
        <f ca="1">IF(B32&gt;=$J$5,0,(CONTADORES!AX24-CONTADORES!AX23)+(CONTADORES!AZ24-CONTADORES!AZ23)+(CONTADORES!BE24-CONTADORES!BE23))-CB32</f>
        <v>2.5539999999999088</v>
      </c>
      <c r="AO32" s="1417">
        <f ca="1">IF(B32&gt;=$J$5,0,(CONTADORES!AC24-CONTADORES!AC23))</f>
        <v>74</v>
      </c>
      <c r="AP32" s="1417">
        <f ca="1">IF(B32&gt;=$J$5,0,(CONTADORES!X24-CONTADORES!X23))</f>
        <v>152</v>
      </c>
      <c r="AQ32" s="1418">
        <f ca="1">IF(B32&gt;=$J$5,0,(CONTADORES!C24-CONTADORES!C23))</f>
        <v>0</v>
      </c>
      <c r="AR32" s="1418">
        <f ca="1">IF(B32&gt;=$J$5,0,(CONTADORES!BC24-CONTADORES!BC23))</f>
        <v>0</v>
      </c>
      <c r="AS32" s="1402">
        <f ca="1">IF(B32&gt;=$J$5,0,CONTADORES!S24-CONTADORES!S23)</f>
        <v>16.899999999994179</v>
      </c>
      <c r="AT32" s="1402">
        <f ca="1">IF(B32&gt;=$J$5,0,(CONTADORES!U24-CONTADORES!U23)+(CONTADORES!AG24-CONTADORES!AG23))</f>
        <v>2.0999999999985448</v>
      </c>
      <c r="AU32" s="1402">
        <f>CONTADORES!I24-CONTADORES!I23</f>
        <v>84</v>
      </c>
      <c r="AV32" s="1402">
        <f>CONTADORES!AV24-CONTADORES!AV23</f>
        <v>62</v>
      </c>
      <c r="AW32" s="1402">
        <f ca="1">IF(B32&gt;=$J$5,0,(CONTADORES!N24-CONTADORES!N23)+(CONTADORES!AN24-CONTADORES!AN23))</f>
        <v>5.3000000000029104</v>
      </c>
      <c r="AX32" s="1402">
        <f ca="1">IF(B32&gt;=$J$5,0,(CONTADORES!P24-CONTADORES!P23)+(CONTADORES!AL24-CONTADORES!AL23))</f>
        <v>30.5</v>
      </c>
      <c r="AY32" s="1402">
        <f ca="1">IF(B32&gt;=$J$5,0,(CONTADORES!AJ24-CONTADORES!AJ23))</f>
        <v>6.5</v>
      </c>
      <c r="AZ32" s="1402">
        <f ca="1">IF(B32&gt;=$J$5,0,(CONTADORES!R24-CONTADORES!R23))</f>
        <v>12.19999999999709</v>
      </c>
      <c r="BA32" s="1419">
        <f t="shared" ca="1" si="14"/>
        <v>13.362000000000165</v>
      </c>
      <c r="BB32" s="1420">
        <f ca="1">IF(B32&gt;=$J$5,0,(((CONTADORES!G24-CONTADORES!G23)+(CONTADORES!AR24-CONTADORES!AR23))))-AV32-BC32-BT32-BW32-BZ32-CE32</f>
        <v>5.5709999999995468</v>
      </c>
      <c r="BC32" s="1417">
        <f ca="1">IF(B32&gt;=$J$5,0,(CONTADORES!AY24-CONTADORES!AY23)+(CONTADORES!BA24-CONTADORES!BA23)+(CONTADORES!BF24-CONTADORES!BF23))-CC32</f>
        <v>0.36199999999972721</v>
      </c>
      <c r="BD32" s="1402">
        <f t="shared" ca="1" si="15"/>
        <v>226</v>
      </c>
      <c r="BE32" s="1402">
        <f ca="1">IF($B32&gt;=$J$5,0,CONTADORES!$BG24)</f>
        <v>6383.89</v>
      </c>
      <c r="BF32" s="1402">
        <f ca="1">IF($B32&gt;=$J$5,0,CONTADORES!$BH24)</f>
        <v>37140</v>
      </c>
      <c r="BG32" s="1402">
        <f ca="1">IF($B32&gt;=$J$5,0,CONTADORES!$BJ24)</f>
        <v>6133.47</v>
      </c>
      <c r="BH32" s="1402">
        <f ca="1">IF(B32&gt;=$J$5,0,((CONTADORES!BK24-CONTADORES!BK23)/1000))</f>
        <v>1.421</v>
      </c>
      <c r="BI32" s="1402">
        <f ca="1">IF(C32&gt;=$J$5,0,((CONTADORES!BL24-CONTADORES!BL23)/1000))</f>
        <v>1.413</v>
      </c>
      <c r="BJ32" s="1402">
        <f ca="1">IF(C32&gt;=$J$5,0,((CONTADORES!BM24-CONTADORES!BM23)/1000))</f>
        <v>0</v>
      </c>
      <c r="BK32" s="1402">
        <f ca="1">IF(D32&gt;=$J$5,0,((CONTADORES!BN24-CONTADORES!BN23)/1000))</f>
        <v>0</v>
      </c>
      <c r="BL32" s="1417">
        <f t="shared" ca="1" si="16"/>
        <v>1.421</v>
      </c>
      <c r="BM32" s="1417">
        <f t="shared" ca="1" si="17"/>
        <v>1.413</v>
      </c>
      <c r="BN32" s="1402">
        <f ca="1">IF(W32&gt;=$J$5,0,CONTADORES!$BO24)</f>
        <v>136</v>
      </c>
      <c r="BO32" s="1402">
        <f ca="1">IF(W32&gt;=$J$5,0,CONTADORES!$BP24)</f>
        <v>45.878</v>
      </c>
      <c r="BP32" s="1402">
        <f ca="1">IF(W32&gt;=$J$5,0,CONTADORES!$BQ24)</f>
        <v>650</v>
      </c>
      <c r="BQ32" s="1402">
        <f ca="1">IF(B32&gt;=$J$5,0,(CONTADORES!AS24-CONTADORES!AS23))</f>
        <v>5</v>
      </c>
      <c r="BR32" s="1402">
        <f ca="1">IF(C32&gt;=$J$5,0,(CONTADORES!AT24-CONTADORES!AT23))</f>
        <v>0</v>
      </c>
      <c r="BS32" s="1397">
        <f ca="1">IF(B32&gt;=$J$5,0,CONTADORES!BR24-CONTADORES!BR23)/1000</f>
        <v>0</v>
      </c>
      <c r="BT32" s="1402">
        <f ca="1">IF(B32&gt;=$J$5,0,CONTADORES!BS24-CONTADORES!BS23)</f>
        <v>0</v>
      </c>
      <c r="BU32" s="1402">
        <f ca="1">IF(B32&gt;=$J$5,0,CONTADORES!BT24-CONTADORES!BT23)</f>
        <v>0</v>
      </c>
      <c r="BV32" s="1402">
        <f ca="1">IF(B32&gt;=$J$5,0,CONTADORES!BU24-CONTADORES!BU23)/1000</f>
        <v>4.7</v>
      </c>
      <c r="BW32" s="1402">
        <f ca="1">IF(B32&gt;=$J$5,0,CONTADORES!BV24-CONTADORES!BV23)/1000</f>
        <v>0.78600000000000003</v>
      </c>
      <c r="BX32" s="1402">
        <f ca="1">IF(B32&gt;=$J$5,0,CONTADORES!BW24-CONTADORES!BW23)</f>
        <v>24</v>
      </c>
      <c r="BY32" s="1402">
        <f ca="1">IF(B32&gt;=$J$5,0,CONTADORES!BX24-CONTADORES!BX23)/1000</f>
        <v>3.6320000000000001</v>
      </c>
      <c r="BZ32" s="1402">
        <f ca="1">IF(B32&gt;=$J$5,0,CONTADORES!BY24-CONTADORES!BY23)/1000</f>
        <v>8.1000000000000003E-2</v>
      </c>
      <c r="CA32" s="1402">
        <f ca="1">IF(B32&gt;=$J$5,0,CONTADORES!BZ24-CONTADORES!BZ23)</f>
        <v>24</v>
      </c>
      <c r="CB32" s="1402">
        <f ca="1">IF(B32&gt;=$J$5,0,(CONTADORES!CC24-CONTADORES!CC23)+(CONTADORES!CE24-CONTADORES!CE23))/1000</f>
        <v>1.546</v>
      </c>
      <c r="CC32" s="1402">
        <f ca="1">IF(B32&gt;=$J$5,0,(CONTADORES!CD24-CONTADORES!CD23)+(CONTADORES!CF24-CONTADORES!CF23))/1000</f>
        <v>0.93799999999999994</v>
      </c>
      <c r="CD32" s="1402">
        <f ca="1">IF(B32&gt;=$J$5,0,CONTADORES!CA24-CONTADORES!CA23)</f>
        <v>6.3000000000001819</v>
      </c>
      <c r="CE32" s="1402">
        <f ca="1">IF(B32&gt;=$J$5,0,CONTADORES!CB24-CONTADORES!CB23)</f>
        <v>4.4000000000005457</v>
      </c>
      <c r="CF32" s="1402">
        <f t="shared" ca="1" si="18"/>
        <v>10.53399999999959</v>
      </c>
      <c r="CG32" s="1402">
        <f t="shared" ca="1" si="19"/>
        <v>7.1855000000003191</v>
      </c>
      <c r="CH32" s="1402">
        <f t="shared" ca="1" si="20"/>
        <v>4.2339999999994085</v>
      </c>
      <c r="CI32" s="1402">
        <f t="shared" ca="1" si="21"/>
        <v>1.0215999999999636</v>
      </c>
      <c r="CJ32" s="1402">
        <f t="shared" ca="1" si="22"/>
        <v>4.2339999999994085</v>
      </c>
      <c r="CK32" s="1402">
        <f t="shared" ca="1" si="23"/>
        <v>1.5323999999999451</v>
      </c>
      <c r="CL32" s="1402">
        <f t="shared" ca="1" si="24"/>
        <v>2.5675999999999637</v>
      </c>
      <c r="CM32" s="1402">
        <f t="shared" ca="1" si="25"/>
        <v>2.7854999999997734</v>
      </c>
      <c r="CN32" s="1402">
        <f ca="1">IF(B32&gt;=$J$5,0,CONTADORES!CB24-CONTADORES!CB23)</f>
        <v>4.4000000000005457</v>
      </c>
      <c r="CO32" s="1402">
        <f t="shared" ca="1" si="26"/>
        <v>2.7854999999997734</v>
      </c>
      <c r="CP32" s="1402">
        <f t="shared" ca="1" si="27"/>
        <v>0.1809999999998636</v>
      </c>
      <c r="CQ32" s="1402">
        <f t="shared" ca="1" si="28"/>
        <v>0.1809999999998636</v>
      </c>
      <c r="CR32" s="1402">
        <f t="shared" ca="1" si="29"/>
        <v>1.1189999999998634</v>
      </c>
      <c r="CS32" s="1421">
        <f ca="1">IF($B32&gt;=$J$5,0,CONTADORES!$BI24)</f>
        <v>11159.0164889509</v>
      </c>
      <c r="CT32" s="1422">
        <f>CONTADORES!E24</f>
        <v>0</v>
      </c>
      <c r="CU32" s="1422">
        <f>CONTADORES!CG24</f>
        <v>0</v>
      </c>
      <c r="CV32" s="1410"/>
      <c r="CW32" s="1410"/>
      <c r="CX32" s="1410"/>
      <c r="CY32" s="1410"/>
      <c r="CZ32" s="1410"/>
      <c r="DA32" s="1410"/>
      <c r="DB32" s="1410"/>
      <c r="DC32" s="1410"/>
      <c r="DD32" s="1410"/>
      <c r="DE32" s="1410"/>
      <c r="DF32" s="1410"/>
      <c r="DG32" s="1410"/>
      <c r="DH32" s="1410"/>
      <c r="DI32" s="1410"/>
      <c r="DJ32" s="1410"/>
      <c r="DK32" s="1410"/>
      <c r="DL32" s="1410"/>
      <c r="DM32" s="1410"/>
      <c r="DN32" s="1410"/>
      <c r="DO32" s="1410"/>
    </row>
    <row r="33" spans="2:99">
      <c r="B33" s="214">
        <v>44949</v>
      </c>
      <c r="C33" s="198">
        <f t="shared" ca="1" si="0"/>
        <v>152</v>
      </c>
      <c r="D33" s="196">
        <f ca="1">'CALCULO DE GAS'!D26</f>
        <v>3.3791477191011241</v>
      </c>
      <c r="E33" s="196">
        <f ca="1">IF(B33&gt;=$J$5,0,(CONTADORES!$AD25-CONTADORES!$AD24)-$H33)</f>
        <v>24</v>
      </c>
      <c r="F33" s="198">
        <f t="shared" ca="1" si="30"/>
        <v>0</v>
      </c>
      <c r="G33" s="196">
        <f ca="1">IF(B33&gt;=$J$5,0,CONTADORES!$AF25-CONTADORES!$AF24)</f>
        <v>0</v>
      </c>
      <c r="H33" s="1396">
        <f ca="1">IF(G33&gt;0,CONTADORES!$AE25-CONTADORES!$AE24,0)</f>
        <v>0</v>
      </c>
      <c r="I33" s="199">
        <f ca="1">IF(B33&gt;=$J$5,0,CONTADORES!$AB25-CONTADORES!$AB24)</f>
        <v>152</v>
      </c>
      <c r="J33" s="198">
        <f t="shared" ca="1" si="2"/>
        <v>294</v>
      </c>
      <c r="K33" s="196">
        <f ca="1">'CALCULO DE GAS'!E26</f>
        <v>4.4321814269662934</v>
      </c>
      <c r="L33" s="1396">
        <f ca="1">IF(B33&gt;=$J$5,0,(CONTADORES!$Y25-CONTADORES!$Y24)-$O33)</f>
        <v>24</v>
      </c>
      <c r="M33" s="1396">
        <f t="shared" ca="1" si="3"/>
        <v>0</v>
      </c>
      <c r="N33" s="1396">
        <f ca="1">IF(B33&gt;=$J$5,0,CONTADORES!$AA25-CONTADORES!$AA24)</f>
        <v>0</v>
      </c>
      <c r="O33" s="1396">
        <f ca="1">IF(N33&gt;0,CONTADORES!$Z25-CONTADORES!$Z24,0)</f>
        <v>0</v>
      </c>
      <c r="P33" s="202">
        <f ca="1">IF(B33&gt;=$J$5,0,CONTADORES!$W25-CONTADORES!$W24)</f>
        <v>294</v>
      </c>
      <c r="Q33" s="202">
        <f ca="1">IF(B33&gt;=$J$5,0,CONTADORES!$B25-CONTADORES!$B24)</f>
        <v>0</v>
      </c>
      <c r="R33" s="196">
        <f t="shared" ca="1" si="4"/>
        <v>0</v>
      </c>
      <c r="S33" s="11">
        <f ca="1">IF(B33&gt;=$J$5,0,CONTADORES!$D25-CONTADORES!$D24)</f>
        <v>0</v>
      </c>
      <c r="T33" s="209">
        <f ca="1">IF(B33&gt;=$J$5,0,CONTADORES!$BB25-CONTADORES!$BB24)</f>
        <v>0</v>
      </c>
      <c r="U33" s="196">
        <f t="shared" ca="1" si="5"/>
        <v>0</v>
      </c>
      <c r="V33" s="199">
        <f ca="1">IF(B33&gt;=$J$5,0,CONTADORES!$BD25-CONTADORES!$BD24)</f>
        <v>0</v>
      </c>
      <c r="W33" s="1397">
        <f t="shared" ca="1" si="6"/>
        <v>446</v>
      </c>
      <c r="X33" s="1397">
        <f t="shared" ca="1" si="7"/>
        <v>0</v>
      </c>
      <c r="Y33" s="1398">
        <f t="shared" ca="1" si="8"/>
        <v>446</v>
      </c>
      <c r="Z33" s="1398">
        <f t="shared" ca="1" si="9"/>
        <v>7.8113291460674175</v>
      </c>
      <c r="AA33" s="1398">
        <f t="shared" ca="1" si="10"/>
        <v>0</v>
      </c>
      <c r="AB33" s="1398">
        <f t="shared" ca="1" si="11"/>
        <v>48</v>
      </c>
      <c r="AC33" s="1397">
        <f t="shared" ca="1" si="12"/>
        <v>0</v>
      </c>
      <c r="AD33" s="1397">
        <f ca="1">IF(B33&gt;=$J$5,0,CONTADORES!H25-CONTADORES!H24)</f>
        <v>168</v>
      </c>
      <c r="AE33" s="1397">
        <f ca="1">IF(B33&gt;=$J$5,0,CONTADORES!J25-CONTADORES!J24)</f>
        <v>24</v>
      </c>
      <c r="AF33" s="1397">
        <f ca="1">IF(B33&gt;=$J$5,0,CONTADORES!AU25-CONTADORES!AU24)</f>
        <v>142</v>
      </c>
      <c r="AG33" s="1397">
        <f ca="1">IF(B33&gt;=$J$5,0,CONTADORES!AW25-CONTADORES!AW24)</f>
        <v>24</v>
      </c>
      <c r="AH33" s="1397">
        <f ca="1">IF(B33&gt;=$J$5,0,(CONTADORES!AM25-CONTADORES!AM24)+(CONTADORES!M25-CONTADORES!M24))</f>
        <v>9.9000000000014552</v>
      </c>
      <c r="AI33" s="1397">
        <f ca="1">IF(B33&gt;=$J$5,0,(CONTADORES!AK25-CONTADORES!AK24)+(CONTADORES!O25-CONTADORES!O24))</f>
        <v>39.599999999998545</v>
      </c>
      <c r="AJ33" s="1397">
        <f ca="1">IF(B33&gt;=$J$5,0,(CONTADORES!AI25-CONTADORES!AI24))</f>
        <v>8.9000000000087311</v>
      </c>
      <c r="AK33" s="1397">
        <f ca="1">IF(B33&gt;=$J$5,0,(CONTADORES!Q25-CONTADORES!Q24))</f>
        <v>14.699999999982538</v>
      </c>
      <c r="AL33" s="1402">
        <f t="shared" ca="1" si="13"/>
        <v>33.600000000007583</v>
      </c>
      <c r="AM33" s="1397">
        <f ca="1">IF(B33&gt;=$J$5,0,(((CONTADORES!F25-CONTADORES!F24)+(CONTADORES!AQ25-CONTADORES!AQ24))))-BS33-AF33-AN33-BV33-BY33-CD33-CB33</f>
        <v>12.534000000001093</v>
      </c>
      <c r="AN33" s="1397">
        <f ca="1">IF(B33&gt;=$J$5,0,(CONTADORES!AX25-CONTADORES!AX24)+(CONTADORES!AZ25-CONTADORES!AZ24)+(CONTADORES!BE25-CONTADORES!BE24))-CB33</f>
        <v>0.67599999999981808</v>
      </c>
      <c r="AO33" s="1399">
        <f ca="1">IF(B33&gt;=$J$5,0,(CONTADORES!AC25-CONTADORES!AC24))</f>
        <v>68</v>
      </c>
      <c r="AP33" s="1399">
        <f ca="1">IF(B33&gt;=$J$5,0,(CONTADORES!X25-CONTADORES!X24))</f>
        <v>156</v>
      </c>
      <c r="AQ33" s="1404">
        <f ca="1">IF(B33&gt;=$J$5,0,(CONTADORES!C25-CONTADORES!C24))</f>
        <v>0</v>
      </c>
      <c r="AR33" s="1404">
        <f ca="1">IF(B33&gt;=$J$5,0,(CONTADORES!BC25-CONTADORES!BC24))</f>
        <v>0</v>
      </c>
      <c r="AS33" s="1397">
        <f ca="1">IF(B33&gt;=$J$5,0,CONTADORES!S25-CONTADORES!S24)</f>
        <v>16.899999999994179</v>
      </c>
      <c r="AT33" s="1397">
        <f ca="1">IF(B33&gt;=$J$5,0,(CONTADORES!U25-CONTADORES!U24)+(CONTADORES!AG25-CONTADORES!AG24))</f>
        <v>2.0999999999985448</v>
      </c>
      <c r="AU33" s="1397">
        <f>CONTADORES!I25-CONTADORES!I24</f>
        <v>84</v>
      </c>
      <c r="AV33" s="1397">
        <f>CONTADORES!AV25-CONTADORES!AV24</f>
        <v>62</v>
      </c>
      <c r="AW33" s="1397">
        <f ca="1">IF(B33&gt;=$J$5,0,(CONTADORES!N25-CONTADORES!N24)+(CONTADORES!AN25-CONTADORES!AN24))</f>
        <v>3.8999999999978172</v>
      </c>
      <c r="AX33" s="1397">
        <f ca="1">IF(B33&gt;=$J$5,0,(CONTADORES!P25-CONTADORES!P24)+(CONTADORES!AL25-CONTADORES!AL24))</f>
        <v>31.599999999998545</v>
      </c>
      <c r="AY33" s="1397">
        <f ca="1">IF(B33&gt;=$J$5,0,(CONTADORES!AJ25-CONTADORES!AJ24))</f>
        <v>7</v>
      </c>
      <c r="AZ33" s="1397">
        <f ca="1">IF(B33&gt;=$J$5,0,(CONTADORES!R25-CONTADORES!R24))</f>
        <v>11.899999999994179</v>
      </c>
      <c r="BA33" s="1408">
        <f t="shared" ca="1" si="14"/>
        <v>11.270000000008906</v>
      </c>
      <c r="BB33" s="1406">
        <f ca="1">IF(B33&gt;=$J$5,0,(((CONTADORES!G25-CONTADORES!G24)+(CONTADORES!AR25-CONTADORES!AR24))))-AV33-BC33-BT33-BW33-BZ33-CE33</f>
        <v>5.1200000000002728</v>
      </c>
      <c r="BC33" s="1399">
        <f ca="1">IF(B33&gt;=$J$5,0,(CONTADORES!AY25-CONTADORES!AY24)+(CONTADORES!BA25-CONTADORES!BA24)+(CONTADORES!BF25-CONTADORES!BF24))-CC33</f>
        <v>0.7700000000002728</v>
      </c>
      <c r="BD33" s="1397">
        <f t="shared" ca="1" si="15"/>
        <v>224</v>
      </c>
      <c r="BE33" s="1397">
        <f ca="1">IF($B33&gt;=$J$5,0,CONTADORES!$BG25)</f>
        <v>7225.22</v>
      </c>
      <c r="BF33" s="1397">
        <f ca="1">IF($B33&gt;=$J$5,0,CONTADORES!$BH25)</f>
        <v>39989.340350877203</v>
      </c>
      <c r="BG33" s="1397">
        <f ca="1">IF($B33&gt;=$J$5,0,CONTADORES!$BJ25)</f>
        <v>6676.03</v>
      </c>
      <c r="BH33" s="1397">
        <f ca="1">IF(B33&gt;=$J$5,0,((CONTADORES!BK25-CONTADORES!BK24)/1000))</f>
        <v>1.415</v>
      </c>
      <c r="BI33" s="1397">
        <f ca="1">IF(C33&gt;=$J$5,0,((CONTADORES!BL25-CONTADORES!BL24)/1000))</f>
        <v>1.43</v>
      </c>
      <c r="BJ33" s="1397">
        <f ca="1">IF(C33&gt;=$J$5,0,((CONTADORES!BM25-CONTADORES!BM24)/1000))</f>
        <v>0</v>
      </c>
      <c r="BK33" s="1397">
        <f ca="1">IF(D33&gt;=$J$5,0,((CONTADORES!BN25-CONTADORES!BN24)/1000))</f>
        <v>0</v>
      </c>
      <c r="BL33" s="1399">
        <f t="shared" ca="1" si="16"/>
        <v>1.415</v>
      </c>
      <c r="BM33" s="1399">
        <f t="shared" ca="1" si="17"/>
        <v>1.43</v>
      </c>
      <c r="BN33" s="1397">
        <f ca="1">IF(W33&gt;=$J$5,0,CONTADORES!$BO25)</f>
        <v>122</v>
      </c>
      <c r="BO33" s="1397">
        <f ca="1">IF(W33&gt;=$J$5,0,CONTADORES!$BP25)</f>
        <v>40.991999999999997</v>
      </c>
      <c r="BP33" s="1397">
        <f ca="1">IF(W33&gt;=$J$5,0,CONTADORES!$BQ25)</f>
        <v>580</v>
      </c>
      <c r="BQ33" s="1397">
        <f ca="1">IF(B33&gt;=$J$5,0,(CONTADORES!AS25-CONTADORES!AS24))</f>
        <v>5</v>
      </c>
      <c r="BR33" s="1397">
        <f ca="1">IF(C33&gt;=$J$5,0,(CONTADORES!AT25-CONTADORES!AT24))</f>
        <v>0</v>
      </c>
      <c r="BS33" s="1397">
        <f ca="1">IF(B33&gt;=$J$5,0,CONTADORES!BR25-CONTADORES!BR24)/1000</f>
        <v>0</v>
      </c>
      <c r="BT33" s="1397">
        <f ca="1">IF(B33&gt;=$J$5,0,CONTADORES!BS25-CONTADORES!BS24)</f>
        <v>0</v>
      </c>
      <c r="BU33" s="1397">
        <f ca="1">IF(B33&gt;=$J$5,0,CONTADORES!BT25-CONTADORES!BT24)</f>
        <v>0</v>
      </c>
      <c r="BV33" s="1397">
        <f ca="1">IF(B33&gt;=$J$5,0,CONTADORES!BU25-CONTADORES!BU24)/1000</f>
        <v>4.6100000000000003</v>
      </c>
      <c r="BW33" s="1397">
        <f ca="1">IF(B33&gt;=$J$5,0,CONTADORES!BV25-CONTADORES!BV24)/1000</f>
        <v>0.91400000000000003</v>
      </c>
      <c r="BX33" s="1397">
        <f ca="1">IF(B33&gt;=$J$5,0,CONTADORES!BW25-CONTADORES!BW24)</f>
        <v>24</v>
      </c>
      <c r="BY33" s="1397">
        <f ca="1">IF(B33&gt;=$J$5,0,CONTADORES!BX25-CONTADORES!BX24)/1000</f>
        <v>3.6560000000000001</v>
      </c>
      <c r="BZ33" s="1397">
        <f ca="1">IF(B33&gt;=$J$5,0,CONTADORES!BY25-CONTADORES!BY24)/1000</f>
        <v>9.6000000000000002E-2</v>
      </c>
      <c r="CA33" s="1397">
        <f ca="1">IF(B33&gt;=$J$5,0,CONTADORES!BZ25-CONTADORES!BZ24)</f>
        <v>24</v>
      </c>
      <c r="CB33" s="1397">
        <f ca="1">IF(B33&gt;=$J$5,0,(CONTADORES!CC25-CONTADORES!CC24)+(CONTADORES!CE25-CONTADORES!CE24))/1000</f>
        <v>1.524</v>
      </c>
      <c r="CC33" s="1397">
        <f ca="1">IF(B33&gt;=$J$5,0,(CONTADORES!CD25-CONTADORES!CD24)+(CONTADORES!CF25-CONTADORES!CF24))/1000</f>
        <v>0.93</v>
      </c>
      <c r="CD33" s="1397">
        <f ca="1">IF(B33&gt;=$J$5,0,CONTADORES!CA25-CONTADORES!CA24)</f>
        <v>6.3000000000001819</v>
      </c>
      <c r="CE33" s="1397">
        <f ca="1">IF(B33&gt;=$J$5,0,CONTADORES!CB25-CONTADORES!CB24)</f>
        <v>4.5</v>
      </c>
      <c r="CF33" s="1397">
        <f t="shared" ca="1" si="18"/>
        <v>12.567000000000728</v>
      </c>
      <c r="CG33" s="1397">
        <f t="shared" ca="1" si="19"/>
        <v>7.0600000000001364</v>
      </c>
      <c r="CH33" s="1397">
        <f t="shared" ca="1" si="20"/>
        <v>6.2670000000005466</v>
      </c>
      <c r="CI33" s="1397">
        <f t="shared" ca="1" si="21"/>
        <v>0.27039999999992725</v>
      </c>
      <c r="CJ33" s="1397">
        <f t="shared" ca="1" si="22"/>
        <v>6.2670000000005466</v>
      </c>
      <c r="CK33" s="1397">
        <f t="shared" ca="1" si="23"/>
        <v>0.40559999999989083</v>
      </c>
      <c r="CL33" s="1397">
        <f t="shared" ca="1" si="24"/>
        <v>1.7943999999999272</v>
      </c>
      <c r="CM33" s="1397">
        <f t="shared" ca="1" si="25"/>
        <v>2.5600000000001364</v>
      </c>
      <c r="CN33" s="1397">
        <f ca="1">IF(B33&gt;=$J$5,0,CONTADORES!CB25-CONTADORES!CB24)</f>
        <v>4.5</v>
      </c>
      <c r="CO33" s="1397">
        <f t="shared" ca="1" si="26"/>
        <v>2.5600000000001364</v>
      </c>
      <c r="CP33" s="1397">
        <f t="shared" ca="1" si="27"/>
        <v>0.3850000000001364</v>
      </c>
      <c r="CQ33" s="1397">
        <f t="shared" ca="1" si="28"/>
        <v>0.3850000000001364</v>
      </c>
      <c r="CR33" s="1397">
        <f t="shared" ca="1" si="29"/>
        <v>1.3150000000001365</v>
      </c>
      <c r="CS33" s="1403">
        <f ca="1">IF($B33&gt;=$J$5,0,CONTADORES!$BI25)</f>
        <v>10918.824045506</v>
      </c>
      <c r="CT33" s="1334">
        <f>CONTADORES!E25</f>
        <v>0</v>
      </c>
      <c r="CU33" s="1334">
        <f>CONTADORES!CG25</f>
        <v>0</v>
      </c>
    </row>
    <row r="34" spans="2:99">
      <c r="B34" s="214">
        <v>44950</v>
      </c>
      <c r="C34" s="198">
        <f t="shared" ca="1" si="0"/>
        <v>225</v>
      </c>
      <c r="D34" s="196">
        <f ca="1">'CALCULO DE GAS'!D27</f>
        <v>3.9204960337078663</v>
      </c>
      <c r="E34" s="196">
        <f ca="1">IF(B34&gt;=$J$5,0,(CONTADORES!$AD26-CONTADORES!$AD25)-$H34)</f>
        <v>24</v>
      </c>
      <c r="F34" s="198">
        <f t="shared" ca="1" si="30"/>
        <v>0</v>
      </c>
      <c r="G34" s="196">
        <f ca="1">IF(B34&gt;=$J$5,0,CONTADORES!$AF26-CONTADORES!$AF25)</f>
        <v>0</v>
      </c>
      <c r="H34" s="1396">
        <f ca="1">IF(G34&gt;0,CONTADORES!$AE26-CONTADORES!$AE25,0)</f>
        <v>0</v>
      </c>
      <c r="I34" s="199">
        <f ca="1">IF(B34&gt;=$J$5,0,CONTADORES!$AB26-CONTADORES!$AB25)</f>
        <v>225</v>
      </c>
      <c r="J34" s="198">
        <f t="shared" ca="1" si="2"/>
        <v>206</v>
      </c>
      <c r="K34" s="196">
        <f ca="1">'CALCULO DE GAS'!E27</f>
        <v>3.779597157303372</v>
      </c>
      <c r="L34" s="1396">
        <f ca="1">IF(B34&gt;=$J$5,0,(CONTADORES!$Y26-CONTADORES!$Y25)-$O34)</f>
        <v>24</v>
      </c>
      <c r="M34" s="1396">
        <f t="shared" ca="1" si="3"/>
        <v>0</v>
      </c>
      <c r="N34" s="1396">
        <f ca="1">IF(B34&gt;=$J$5,0,CONTADORES!$AA26-CONTADORES!$AA25)</f>
        <v>0</v>
      </c>
      <c r="O34" s="1396">
        <f ca="1">IF(N34&gt;0,CONTADORES!$Z26-CONTADORES!$Z25,0)</f>
        <v>0</v>
      </c>
      <c r="P34" s="202">
        <f ca="1">IF(B34&gt;=$J$5,0,CONTADORES!$W26-CONTADORES!$W25)</f>
        <v>206</v>
      </c>
      <c r="Q34" s="202">
        <f ca="1">IF(B34&gt;=$J$5,0,CONTADORES!$B26-CONTADORES!$B25)</f>
        <v>0.33899999999994179</v>
      </c>
      <c r="R34" s="196">
        <f t="shared" ca="1" si="4"/>
        <v>40.679999999993015</v>
      </c>
      <c r="S34" s="11">
        <f ca="1">IF(B34&gt;=$J$5,0,CONTADORES!$D26-CONTADORES!$D25)</f>
        <v>0.6000000000003638</v>
      </c>
      <c r="T34" s="209">
        <f ca="1">IF(B34&gt;=$J$5,0,CONTADORES!$BB26-CONTADORES!$BB25)</f>
        <v>0.32000000000005002</v>
      </c>
      <c r="U34" s="196">
        <f t="shared" ca="1" si="5"/>
        <v>38.400000000006003</v>
      </c>
      <c r="V34" s="199">
        <f ca="1">IF(B34&gt;=$J$5,0,CONTADORES!$BD26-CONTADORES!$BD25)</f>
        <v>0.43000000000006366</v>
      </c>
      <c r="W34" s="1397">
        <f t="shared" ca="1" si="6"/>
        <v>431</v>
      </c>
      <c r="X34" s="1397">
        <f t="shared" ca="1" si="7"/>
        <v>0.65899999999999181</v>
      </c>
      <c r="Y34" s="1398">
        <f t="shared" ca="1" si="8"/>
        <v>431.65899999999999</v>
      </c>
      <c r="Z34" s="1398">
        <f t="shared" ca="1" si="9"/>
        <v>7.7000931910112378</v>
      </c>
      <c r="AA34" s="1398">
        <f t="shared" ca="1" si="10"/>
        <v>79.079999999999018</v>
      </c>
      <c r="AB34" s="1398">
        <f t="shared" ca="1" si="11"/>
        <v>48</v>
      </c>
      <c r="AC34" s="1397">
        <f t="shared" ca="1" si="12"/>
        <v>1.0300000000004275</v>
      </c>
      <c r="AD34" s="1397">
        <f ca="1">IF(B34&gt;=$J$5,0,CONTADORES!H26-CONTADORES!H25)</f>
        <v>162</v>
      </c>
      <c r="AE34" s="1397">
        <f ca="1">IF(B34&gt;=$J$5,0,CONTADORES!J26-CONTADORES!J25)</f>
        <v>24</v>
      </c>
      <c r="AF34" s="1397">
        <f ca="1">IF(B34&gt;=$J$5,0,CONTADORES!AU26-CONTADORES!AU25)</f>
        <v>141</v>
      </c>
      <c r="AG34" s="1397">
        <f ca="1">IF(B34&gt;=$J$5,0,CONTADORES!AW26-CONTADORES!AW25)</f>
        <v>24</v>
      </c>
      <c r="AH34" s="1397">
        <f ca="1">IF(B34&gt;=$J$5,0,(CONTADORES!AM26-CONTADORES!AM25)+(CONTADORES!M26-CONTADORES!M25))</f>
        <v>7.8999999999941792</v>
      </c>
      <c r="AI34" s="1397">
        <f ca="1">IF(B34&gt;=$J$5,0,(CONTADORES!AK26-CONTADORES!AK25)+(CONTADORES!O26-CONTADORES!O25))</f>
        <v>36.80000000000291</v>
      </c>
      <c r="AJ34" s="1397">
        <f ca="1">IF(B34&gt;=$J$5,0,(CONTADORES!AI26-CONTADORES!AI25))</f>
        <v>9</v>
      </c>
      <c r="AK34" s="1397">
        <f ca="1">IF(B34&gt;=$J$5,0,(CONTADORES!Q26-CONTADORES!Q25))</f>
        <v>13.899999999994179</v>
      </c>
      <c r="AL34" s="1402">
        <f t="shared" ca="1" si="13"/>
        <v>34.15900000000903</v>
      </c>
      <c r="AM34" s="1397">
        <f ca="1">IF(B34&gt;=$J$5,0,(((CONTADORES!F26-CONTADORES!F25)+(CONTADORES!AQ26-CONTADORES!AQ25))))-BS34-AF34-AN34-BV34-BY34-CD34-CB34</f>
        <v>5.9879999999989177</v>
      </c>
      <c r="AN34" s="1397">
        <f ca="1">IF(B34&gt;=$J$5,0,(CONTADORES!AX26-CONTADORES!AX25)+(CONTADORES!AZ26-CONTADORES!AZ25)+(CONTADORES!BE26-CONTADORES!BE25))-CB34</f>
        <v>5.0860000000003556</v>
      </c>
      <c r="AO34" s="1399">
        <f ca="1">IF(B34&gt;=$J$5,0,(CONTADORES!AC26-CONTADORES!AC25))</f>
        <v>109</v>
      </c>
      <c r="AP34" s="1399">
        <f ca="1">IF(B34&gt;=$J$5,0,(CONTADORES!X26-CONTADORES!X25))</f>
        <v>108</v>
      </c>
      <c r="AQ34" s="1404">
        <f ca="1">IF(B34&gt;=$J$5,0,(CONTADORES!C26-CONTADORES!C25))</f>
        <v>0.12000000000000455</v>
      </c>
      <c r="AR34" s="1404">
        <f ca="1">IF(B34&gt;=$J$5,0,(CONTADORES!BC26-CONTADORES!BC25))</f>
        <v>0.1209999999999809</v>
      </c>
      <c r="AS34" s="1397">
        <f ca="1">IF(B34&gt;=$J$5,0,CONTADORES!S26-CONTADORES!S25)</f>
        <v>16.800000000017462</v>
      </c>
      <c r="AT34" s="1397">
        <f ca="1">IF(B34&gt;=$J$5,0,(CONTADORES!U26-CONTADORES!U25)+(CONTADORES!AG26-CONTADORES!AG25))</f>
        <v>2.1000000000058208</v>
      </c>
      <c r="AU34" s="1397">
        <f>CONTADORES!I26-CONTADORES!I25</f>
        <v>83</v>
      </c>
      <c r="AV34" s="1397">
        <f>CONTADORES!AV26-CONTADORES!AV25</f>
        <v>61</v>
      </c>
      <c r="AW34" s="1397">
        <f ca="1">IF(B34&gt;=$J$5,0,(CONTADORES!N26-CONTADORES!N25)+(CONTADORES!AN26-CONTADORES!AN25))</f>
        <v>3.1000000000021828</v>
      </c>
      <c r="AX34" s="1397">
        <f ca="1">IF(B34&gt;=$J$5,0,(CONTADORES!P26-CONTADORES!P25)+(CONTADORES!AL26-CONTADORES!AL25))</f>
        <v>28.799999999995634</v>
      </c>
      <c r="AY34" s="1397">
        <f ca="1">IF(B34&gt;=$J$5,0,(CONTADORES!AJ26-CONTADORES!AJ25))</f>
        <v>7.2000000000043656</v>
      </c>
      <c r="AZ34" s="1397">
        <f ca="1">IF(B34&gt;=$J$5,0,(CONTADORES!R26-CONTADORES!R25))</f>
        <v>11.5</v>
      </c>
      <c r="BA34" s="1408">
        <f t="shared" ca="1" si="14"/>
        <v>10.688000000004195</v>
      </c>
      <c r="BB34" s="1406">
        <f ca="1">IF(B34&gt;=$J$5,0,(((CONTADORES!G26-CONTADORES!G25)+(CONTADORES!AR26-CONTADORES!AR25))))-AV34-BC34-BT34-BW34-BZ34-CE34</f>
        <v>5.4699999999939042</v>
      </c>
      <c r="BC34" s="1399">
        <f ca="1">IF(B34&gt;=$J$5,0,(CONTADORES!AY26-CONTADORES!AY25)+(CONTADORES!BA26-CONTADORES!BA25)+(CONTADORES!BF26-CONTADORES!BF25))-CC34</f>
        <v>0.67699999999991023</v>
      </c>
      <c r="BD34" s="1397">
        <f t="shared" ca="1" si="15"/>
        <v>217.24099999999999</v>
      </c>
      <c r="BE34" s="1397">
        <f ca="1">IF($B34&gt;=$J$5,0,CONTADORES!$BG26)</f>
        <v>7034.72</v>
      </c>
      <c r="BF34" s="1397">
        <f ca="1">IF($B34&gt;=$J$5,0,CONTADORES!$BH26)</f>
        <v>37698.259649122803</v>
      </c>
      <c r="BG34" s="1397">
        <f ca="1">IF($B34&gt;=$J$5,0,CONTADORES!$BJ26)</f>
        <v>6255.1</v>
      </c>
      <c r="BH34" s="1397">
        <f ca="1">IF(B34&gt;=$J$5,0,((CONTADORES!BK26-CONTADORES!BK25)/1000))</f>
        <v>1.407</v>
      </c>
      <c r="BI34" s="1397">
        <f ca="1">IF(C34&gt;=$J$5,0,((CONTADORES!BL26-CONTADORES!BL25)/1000))</f>
        <v>1.4019999999999999</v>
      </c>
      <c r="BJ34" s="1397">
        <f ca="1">IF(C34&gt;=$J$5,0,((CONTADORES!BM26-CONTADORES!BM25)/1000))</f>
        <v>0</v>
      </c>
      <c r="BK34" s="1397">
        <f ca="1">IF(D34&gt;=$J$5,0,((CONTADORES!BN26-CONTADORES!BN25)/1000))</f>
        <v>0</v>
      </c>
      <c r="BL34" s="1399">
        <f t="shared" ca="1" si="16"/>
        <v>1.407</v>
      </c>
      <c r="BM34" s="1399">
        <f t="shared" ca="1" si="17"/>
        <v>1.4019999999999999</v>
      </c>
      <c r="BN34" s="1397">
        <f ca="1">IF(W34&gt;=$J$5,0,CONTADORES!$BO26)</f>
        <v>82</v>
      </c>
      <c r="BO34" s="1397">
        <f ca="1">IF(W34&gt;=$J$5,0,CONTADORES!$BP26)</f>
        <v>28.062999999999999</v>
      </c>
      <c r="BP34" s="1397">
        <f ca="1">IF(W34&gt;=$J$5,0,CONTADORES!$BQ26)</f>
        <v>393</v>
      </c>
      <c r="BQ34" s="1397">
        <f ca="1">IF(B34&gt;=$J$5,0,(CONTADORES!AS26-CONTADORES!AS25))</f>
        <v>4.9000000000014552</v>
      </c>
      <c r="BR34" s="1397">
        <f ca="1">IF(C34&gt;=$J$5,0,(CONTADORES!AT26-CONTADORES!AT25))</f>
        <v>0</v>
      </c>
      <c r="BS34" s="1397">
        <f ca="1">IF(B34&gt;=$J$5,0,CONTADORES!BR26-CONTADORES!BR25)/1000</f>
        <v>0</v>
      </c>
      <c r="BT34" s="1397">
        <f ca="1">IF(B34&gt;=$J$5,0,CONTADORES!BS26-CONTADORES!BS25)</f>
        <v>0</v>
      </c>
      <c r="BU34" s="1397">
        <f ca="1">IF(B34&gt;=$J$5,0,CONTADORES!BT26-CONTADORES!BT25)</f>
        <v>0</v>
      </c>
      <c r="BV34" s="1397">
        <f ca="1">IF(B34&gt;=$J$5,0,CONTADORES!BU26-CONTADORES!BU25)/1000</f>
        <v>4.593</v>
      </c>
      <c r="BW34" s="1397">
        <f ca="1">IF(B34&gt;=$J$5,0,CONTADORES!BV26-CONTADORES!BV25)/1000</f>
        <v>0.6</v>
      </c>
      <c r="BX34" s="1397">
        <f ca="1">IF(B34&gt;=$J$5,0,CONTADORES!BW26-CONTADORES!BW25)</f>
        <v>24</v>
      </c>
      <c r="BY34" s="1397">
        <f ca="1">IF(B34&gt;=$J$5,0,CONTADORES!BX26-CONTADORES!BX25)/1000</f>
        <v>3.5790000000000002</v>
      </c>
      <c r="BZ34" s="1397">
        <f ca="1">IF(B34&gt;=$J$5,0,CONTADORES!BY26-CONTADORES!BY25)/1000</f>
        <v>5.2999999999999999E-2</v>
      </c>
      <c r="CA34" s="1397">
        <f ca="1">IF(B34&gt;=$J$5,0,CONTADORES!BZ26-CONTADORES!BZ25)</f>
        <v>24</v>
      </c>
      <c r="CB34" s="1397">
        <f ca="1">IF(B34&gt;=$J$5,0,(CONTADORES!CC26-CONTADORES!CC25)+(CONTADORES!CE26-CONTADORES!CE25))/1000</f>
        <v>1.554</v>
      </c>
      <c r="CC34" s="1397">
        <f ca="1">IF(B34&gt;=$J$5,0,(CONTADORES!CD26-CONTADORES!CD25)+(CONTADORES!CF26-CONTADORES!CF25))/1000</f>
        <v>0.95299999999999996</v>
      </c>
      <c r="CD34" s="1397">
        <f ca="1">IF(B34&gt;=$J$5,0,CONTADORES!CA26-CONTADORES!CA25)</f>
        <v>6.1000000000003638</v>
      </c>
      <c r="CE34" s="1397">
        <f ca="1">IF(B34&gt;=$J$5,0,CONTADORES!CB26-CONTADORES!CB25)</f>
        <v>4.1999999999998181</v>
      </c>
      <c r="CF34" s="1397">
        <f t="shared" ca="1" si="18"/>
        <v>9.0939999999998236</v>
      </c>
      <c r="CG34" s="1397">
        <f t="shared" ca="1" si="19"/>
        <v>6.9349999999967702</v>
      </c>
      <c r="CH34" s="1397">
        <f t="shared" ca="1" si="20"/>
        <v>2.9939999999994589</v>
      </c>
      <c r="CI34" s="1397">
        <f t="shared" ca="1" si="21"/>
        <v>2.0344000000001423</v>
      </c>
      <c r="CJ34" s="1397">
        <f t="shared" ca="1" si="22"/>
        <v>2.9939999999994589</v>
      </c>
      <c r="CK34" s="1397">
        <f t="shared" ca="1" si="23"/>
        <v>3.0516000000002133</v>
      </c>
      <c r="CL34" s="1397">
        <f t="shared" ca="1" si="24"/>
        <v>3.5884000000001421</v>
      </c>
      <c r="CM34" s="1397">
        <f t="shared" ca="1" si="25"/>
        <v>2.7349999999969521</v>
      </c>
      <c r="CN34" s="1397">
        <f ca="1">IF(B34&gt;=$J$5,0,CONTADORES!CB26-CONTADORES!CB25)</f>
        <v>4.1999999999998181</v>
      </c>
      <c r="CO34" s="1397">
        <f t="shared" ca="1" si="26"/>
        <v>2.7349999999969521</v>
      </c>
      <c r="CP34" s="1397">
        <f t="shared" ca="1" si="27"/>
        <v>0.33849999999995511</v>
      </c>
      <c r="CQ34" s="1397">
        <f t="shared" ca="1" si="28"/>
        <v>0.33849999999995511</v>
      </c>
      <c r="CR34" s="1397">
        <f t="shared" ca="1" si="29"/>
        <v>1.291499999999955</v>
      </c>
      <c r="CS34" s="1403">
        <f ca="1">IF($B34&gt;=$J$5,0,CONTADORES!$BI26)</f>
        <v>11077.241217532101</v>
      </c>
      <c r="CT34" s="1334">
        <f>CONTADORES!E26</f>
        <v>1</v>
      </c>
      <c r="CU34" s="1334">
        <f>CONTADORES!CG26</f>
        <v>1</v>
      </c>
    </row>
    <row r="35" spans="2:99">
      <c r="B35" s="214">
        <v>44951</v>
      </c>
      <c r="C35" s="198">
        <f t="shared" ca="1" si="0"/>
        <v>295</v>
      </c>
      <c r="D35" s="196">
        <f ca="1">'CALCULO DE GAS'!D28</f>
        <v>4.4395971573033721</v>
      </c>
      <c r="E35" s="196">
        <f ca="1">IF(B35&gt;=$J$5,0,(CONTADORES!$AD27-CONTADORES!$AD26)-$H35)</f>
        <v>24</v>
      </c>
      <c r="F35" s="198">
        <f t="shared" ca="1" si="30"/>
        <v>0</v>
      </c>
      <c r="G35" s="196">
        <f ca="1">IF(B35&gt;=$J$5,0,CONTADORES!$AF27-CONTADORES!$AF26)</f>
        <v>0</v>
      </c>
      <c r="H35" s="1396">
        <f ca="1">IF(G35&gt;0,CONTADORES!$AE27-CONTADORES!$AE26,0)</f>
        <v>0</v>
      </c>
      <c r="I35" s="199">
        <f ca="1">IF(B35&gt;=$J$5,0,CONTADORES!$AB27-CONTADORES!$AB26)</f>
        <v>295</v>
      </c>
      <c r="J35" s="198">
        <f t="shared" ca="1" si="2"/>
        <v>151.29999999999927</v>
      </c>
      <c r="K35" s="196">
        <f ca="1">'CALCULO DE GAS'!E28</f>
        <v>3.3739567078651636</v>
      </c>
      <c r="L35" s="1396">
        <f ca="1">IF(B35&gt;=$J$5,0,(CONTADORES!$Y27-CONTADORES!$Y26)-$O35)</f>
        <v>24</v>
      </c>
      <c r="M35" s="1396">
        <f t="shared" ca="1" si="3"/>
        <v>0</v>
      </c>
      <c r="N35" s="1396">
        <f ca="1">IF(B35&gt;=$J$5,0,CONTADORES!$AA27-CONTADORES!$AA26)</f>
        <v>0</v>
      </c>
      <c r="O35" s="1396">
        <f ca="1">IF(N35&gt;0,CONTADORES!$Z27-CONTADORES!$Z26,0)</f>
        <v>0</v>
      </c>
      <c r="P35" s="202">
        <f ca="1">IF(B35&gt;=$J$5,0,CONTADORES!$W27-CONTADORES!$W26)</f>
        <v>151.29999999999927</v>
      </c>
      <c r="Q35" s="202">
        <f ca="1">IF(B35&gt;=$J$5,0,CONTADORES!$B27-CONTADORES!$B26)</f>
        <v>0</v>
      </c>
      <c r="R35" s="196">
        <f t="shared" ca="1" si="4"/>
        <v>0</v>
      </c>
      <c r="S35" s="11">
        <f ca="1">IF(B35&gt;=$J$5,0,CONTADORES!$D27-CONTADORES!$D26)</f>
        <v>0</v>
      </c>
      <c r="T35" s="209">
        <f ca="1">IF(B35&gt;=$J$5,0,CONTADORES!$BB27-CONTADORES!$BB26)</f>
        <v>0</v>
      </c>
      <c r="U35" s="196">
        <f t="shared" ca="1" si="5"/>
        <v>0</v>
      </c>
      <c r="V35" s="199">
        <f ca="1">IF(B35&gt;=$J$5,0,CONTADORES!$BD27-CONTADORES!$BD26)</f>
        <v>0</v>
      </c>
      <c r="W35" s="1397">
        <f t="shared" ca="1" si="6"/>
        <v>446.29999999999927</v>
      </c>
      <c r="X35" s="1397">
        <f t="shared" ca="1" si="7"/>
        <v>0</v>
      </c>
      <c r="Y35" s="1398">
        <f t="shared" ca="1" si="8"/>
        <v>446.29999999999927</v>
      </c>
      <c r="Z35" s="1398">
        <f t="shared" ca="1" si="9"/>
        <v>7.8135538651685357</v>
      </c>
      <c r="AA35" s="1398">
        <f t="shared" ca="1" si="10"/>
        <v>0</v>
      </c>
      <c r="AB35" s="1398">
        <f t="shared" ca="1" si="11"/>
        <v>48</v>
      </c>
      <c r="AC35" s="1397">
        <f t="shared" ca="1" si="12"/>
        <v>0</v>
      </c>
      <c r="AD35" s="1397">
        <f ca="1">IF(B35&gt;=$J$5,0,CONTADORES!H27-CONTADORES!H26)</f>
        <v>167</v>
      </c>
      <c r="AE35" s="1397">
        <f ca="1">IF(B35&gt;=$J$5,0,CONTADORES!J27-CONTADORES!J26)</f>
        <v>24</v>
      </c>
      <c r="AF35" s="1397">
        <f ca="1">IF(B35&gt;=$J$5,0,CONTADORES!AU27-CONTADORES!AU26)</f>
        <v>143</v>
      </c>
      <c r="AG35" s="1397">
        <f ca="1">IF(B35&gt;=$J$5,0,CONTADORES!AW27-CONTADORES!AW26)</f>
        <v>24</v>
      </c>
      <c r="AH35" s="1397">
        <f ca="1">IF(B35&gt;=$J$5,0,(CONTADORES!AM27-CONTADORES!AM26)+(CONTADORES!M27-CONTADORES!M26))</f>
        <v>13.30000000000291</v>
      </c>
      <c r="AI35" s="1397">
        <f ca="1">IF(B35&gt;=$J$5,0,(CONTADORES!AK27-CONTADORES!AK26)+(CONTADORES!O27-CONTADORES!O26))</f>
        <v>38</v>
      </c>
      <c r="AJ35" s="1397">
        <f ca="1">IF(B35&gt;=$J$5,0,(CONTADORES!AI27-CONTADORES!AI26))</f>
        <v>9</v>
      </c>
      <c r="AK35" s="1397">
        <f ca="1">IF(B35&gt;=$J$5,0,(CONTADORES!Q27-CONTADORES!Q26))</f>
        <v>15.700000000011642</v>
      </c>
      <c r="AL35" s="1402">
        <f t="shared" ca="1" si="13"/>
        <v>31.699999999984357</v>
      </c>
      <c r="AM35" s="1397">
        <f ca="1">IF(B35&gt;=$J$5,0,(((CONTADORES!F27-CONTADORES!F26)+(CONTADORES!AQ27-CONTADORES!AQ26))))-BS35-AF35-AN35-BV35-BY35-CD35-CB35</f>
        <v>10.217000000000453</v>
      </c>
      <c r="AN35" s="1397">
        <f ca="1">IF(B35&gt;=$J$5,0,(CONTADORES!AX27-CONTADORES!AX26)+(CONTADORES!AZ27-CONTADORES!AZ26)+(CONTADORES!BE27-CONTADORES!BE26))-CB35</f>
        <v>2.3770000000000913</v>
      </c>
      <c r="AO35" s="1399">
        <f ca="1">IF(B35&gt;=$J$5,0,(CONTADORES!AC27-CONTADORES!AC26))</f>
        <v>147</v>
      </c>
      <c r="AP35" s="1399">
        <f ca="1">IF(B35&gt;=$J$5,0,(CONTADORES!X27-CONTADORES!X26))</f>
        <v>77</v>
      </c>
      <c r="AQ35" s="1404">
        <f ca="1">IF(B35&gt;=$J$5,0,(CONTADORES!C27-CONTADORES!C26))</f>
        <v>0</v>
      </c>
      <c r="AR35" s="1404">
        <f ca="1">IF(B35&gt;=$J$5,0,(CONTADORES!BC27-CONTADORES!BC26))</f>
        <v>0</v>
      </c>
      <c r="AS35" s="1397">
        <f ca="1">IF(B35&gt;=$J$5,0,CONTADORES!S27-CONTADORES!S26)</f>
        <v>17.5</v>
      </c>
      <c r="AT35" s="1397">
        <f ca="1">IF(B35&gt;=$J$5,0,(CONTADORES!U27-CONTADORES!U26)+(CONTADORES!AG27-CONTADORES!AG26))</f>
        <v>2.0999999999985448</v>
      </c>
      <c r="AU35" s="1397">
        <f>CONTADORES!I27-CONTADORES!I26</f>
        <v>85</v>
      </c>
      <c r="AV35" s="1397">
        <f>CONTADORES!AV27-CONTADORES!AV26</f>
        <v>62</v>
      </c>
      <c r="AW35" s="1397">
        <f ca="1">IF(B35&gt;=$J$5,0,(CONTADORES!N27-CONTADORES!N26)+(CONTADORES!AN27-CONTADORES!AN26))</f>
        <v>5.2999999999992724</v>
      </c>
      <c r="AX35" s="1397">
        <f ca="1">IF(B35&gt;=$J$5,0,(CONTADORES!P27-CONTADORES!P26)+(CONTADORES!AL27-CONTADORES!AL26))</f>
        <v>29.700000000004366</v>
      </c>
      <c r="AY35" s="1397">
        <f ca="1">IF(B35&gt;=$J$5,0,(CONTADORES!AJ27-CONTADORES!AJ26))</f>
        <v>7</v>
      </c>
      <c r="AZ35" s="1397">
        <f ca="1">IF(B35&gt;=$J$5,0,(CONTADORES!R27-CONTADORES!R26))</f>
        <v>12.600000000005821</v>
      </c>
      <c r="BA35" s="1408">
        <f t="shared" ca="1" si="14"/>
        <v>10.766999999978879</v>
      </c>
      <c r="BB35" s="1406">
        <f ca="1">IF(B35&gt;=$J$5,0,(((CONTADORES!G27-CONTADORES!G26)+(CONTADORES!AR27-CONTADORES!AR26))))-AV35-BC35-BT35-BW35-BZ35-CE35</f>
        <v>5.0960000000113688</v>
      </c>
      <c r="BC35" s="1399">
        <f ca="1">IF(B35&gt;=$J$5,0,(CONTADORES!AY27-CONTADORES!AY26)+(CONTADORES!BA27-CONTADORES!BA26)+(CONTADORES!BF27-CONTADORES!BF26))-CC35</f>
        <v>0.4670000000000909</v>
      </c>
      <c r="BD35" s="1397">
        <f t="shared" ca="1" si="15"/>
        <v>224</v>
      </c>
      <c r="BE35" s="1397">
        <f ca="1">IF($B35&gt;=$J$5,0,CONTADORES!$BG27)</f>
        <v>7080.74</v>
      </c>
      <c r="BF35" s="1397">
        <f ca="1">IF($B35&gt;=$J$5,0,CONTADORES!$BH27)</f>
        <v>36460.384210526303</v>
      </c>
      <c r="BG35" s="1397">
        <f ca="1">IF($B35&gt;=$J$5,0,CONTADORES!$BJ27)</f>
        <v>6330.2</v>
      </c>
      <c r="BH35" s="1397">
        <f ca="1">IF(B35&gt;=$J$5,0,((CONTADORES!BK27-CONTADORES!BK26)/1000))</f>
        <v>1.375</v>
      </c>
      <c r="BI35" s="1397">
        <f ca="1">IF(C35&gt;=$J$5,0,((CONTADORES!BL27-CONTADORES!BL26)/1000))</f>
        <v>1.3480000000000001</v>
      </c>
      <c r="BJ35" s="1397">
        <f ca="1">IF(C35&gt;=$J$5,0,((CONTADORES!BM27-CONTADORES!BM26)/1000))</f>
        <v>0</v>
      </c>
      <c r="BK35" s="1397">
        <f ca="1">IF(D35&gt;=$J$5,0,((CONTADORES!BN27-CONTADORES!BN26)/1000))</f>
        <v>0</v>
      </c>
      <c r="BL35" s="1399">
        <f t="shared" ca="1" si="16"/>
        <v>1.375</v>
      </c>
      <c r="BM35" s="1399">
        <f t="shared" ca="1" si="17"/>
        <v>1.3480000000000001</v>
      </c>
      <c r="BN35" s="1397">
        <f ca="1">IF(W35&gt;=$J$5,0,CONTADORES!$BO27)</f>
        <v>137.69799427567008</v>
      </c>
      <c r="BO35" s="1397">
        <f ca="1">IF(W35&gt;=$J$5,0,CONTADORES!$BP27)</f>
        <v>46.035340386653331</v>
      </c>
      <c r="BP35" s="1397">
        <f ca="1">IF(W35&gt;=$J$5,0,CONTADORES!$BQ27)</f>
        <v>650.34489979075079</v>
      </c>
      <c r="BQ35" s="1397">
        <f ca="1">IF(B35&gt;=$J$5,0,(CONTADORES!AS27-CONTADORES!AS26))</f>
        <v>5.1999999999970896</v>
      </c>
      <c r="BR35" s="1397">
        <f ca="1">IF(C35&gt;=$J$5,0,(CONTADORES!AT27-CONTADORES!AT26))</f>
        <v>0</v>
      </c>
      <c r="BS35" s="1397">
        <f ca="1">IF(B35&gt;=$J$5,0,CONTADORES!BR27-CONTADORES!BR26)/1000</f>
        <v>0</v>
      </c>
      <c r="BT35" s="1397">
        <f ca="1">IF(B35&gt;=$J$5,0,CONTADORES!BS27-CONTADORES!BS26)</f>
        <v>0</v>
      </c>
      <c r="BU35" s="1397">
        <f ca="1">IF(B35&gt;=$J$5,0,CONTADORES!BT27-CONTADORES!BT26)</f>
        <v>0</v>
      </c>
      <c r="BV35" s="1397">
        <f ca="1">IF(B35&gt;=$J$5,0,CONTADORES!BU27-CONTADORES!BU26)/1000</f>
        <v>4.641</v>
      </c>
      <c r="BW35" s="1397">
        <f ca="1">IF(B35&gt;=$J$5,0,CONTADORES!BV27-CONTADORES!BV26)/1000</f>
        <v>0.77600000000000002</v>
      </c>
      <c r="BX35" s="1397">
        <f ca="1">IF(B35&gt;=$J$5,0,CONTADORES!BW27-CONTADORES!BW26)</f>
        <v>24</v>
      </c>
      <c r="BY35" s="1397">
        <f ca="1">IF(B35&gt;=$J$5,0,CONTADORES!BX27-CONTADORES!BX26)/1000</f>
        <v>3.6419999999999999</v>
      </c>
      <c r="BZ35" s="1397">
        <f ca="1">IF(B35&gt;=$J$5,0,CONTADORES!BY27-CONTADORES!BY26)/1000</f>
        <v>6.0999999999999999E-2</v>
      </c>
      <c r="CA35" s="1397">
        <f ca="1">IF(B35&gt;=$J$5,0,CONTADORES!BZ27-CONTADORES!BZ26)</f>
        <v>24</v>
      </c>
      <c r="CB35" s="1397">
        <f ca="1">IF(B35&gt;=$J$5,0,(CONTADORES!CC27-CONTADORES!CC26)+(CONTADORES!CE27-CONTADORES!CE26))/1000</f>
        <v>1.5229999999999999</v>
      </c>
      <c r="CC35" s="1397">
        <f ca="1">IF(B35&gt;=$J$5,0,(CONTADORES!CD27-CONTADORES!CD26)+(CONTADORES!CF27-CONTADORES!CF26))/1000</f>
        <v>0.93300000000000005</v>
      </c>
      <c r="CD35" s="1397">
        <f ca="1">IF(B35&gt;=$J$5,0,CONTADORES!CA27-CONTADORES!CA26)</f>
        <v>6.1999999999998181</v>
      </c>
      <c r="CE35" s="1397">
        <f ca="1">IF(B35&gt;=$J$5,0,CONTADORES!CB27-CONTADORES!CB26)</f>
        <v>4.3000000000001819</v>
      </c>
      <c r="CF35" s="1397">
        <f t="shared" ca="1" si="18"/>
        <v>11.308500000000045</v>
      </c>
      <c r="CG35" s="1397">
        <f t="shared" ca="1" si="19"/>
        <v>6.8480000000058663</v>
      </c>
      <c r="CH35" s="1397">
        <f t="shared" ca="1" si="20"/>
        <v>5.1085000000002267</v>
      </c>
      <c r="CI35" s="1397">
        <f t="shared" ca="1" si="21"/>
        <v>0.9508000000000365</v>
      </c>
      <c r="CJ35" s="1397">
        <f t="shared" ca="1" si="22"/>
        <v>5.1085000000002267</v>
      </c>
      <c r="CK35" s="1397">
        <f t="shared" ca="1" si="23"/>
        <v>1.4262000000000548</v>
      </c>
      <c r="CL35" s="1397">
        <f t="shared" ca="1" si="24"/>
        <v>2.4738000000000362</v>
      </c>
      <c r="CM35" s="1397">
        <f t="shared" ca="1" si="25"/>
        <v>2.5480000000056844</v>
      </c>
      <c r="CN35" s="1397">
        <f ca="1">IF(B35&gt;=$J$5,0,CONTADORES!CB27-CONTADORES!CB26)</f>
        <v>4.3000000000001819</v>
      </c>
      <c r="CO35" s="1397">
        <f t="shared" ca="1" si="26"/>
        <v>2.5480000000056844</v>
      </c>
      <c r="CP35" s="1397">
        <f t="shared" ca="1" si="27"/>
        <v>0.23350000000004545</v>
      </c>
      <c r="CQ35" s="1397">
        <f t="shared" ca="1" si="28"/>
        <v>0.23350000000004545</v>
      </c>
      <c r="CR35" s="1397">
        <f t="shared" ca="1" si="29"/>
        <v>1.1665000000000454</v>
      </c>
      <c r="CS35" s="1403">
        <f ca="1">IF($B35&gt;=$J$5,0,CONTADORES!$BI27)</f>
        <v>10894.9465087344</v>
      </c>
      <c r="CT35" s="1334">
        <f>CONTADORES!E27</f>
        <v>0</v>
      </c>
      <c r="CU35" s="1334">
        <f>CONTADORES!CG27</f>
        <v>0</v>
      </c>
    </row>
    <row r="36" spans="2:99">
      <c r="B36" s="214">
        <v>44952</v>
      </c>
      <c r="C36" s="198">
        <f t="shared" ca="1" si="0"/>
        <v>284</v>
      </c>
      <c r="D36" s="196">
        <f ca="1">'CALCULO DE GAS'!D29</f>
        <v>4.3580241235955075</v>
      </c>
      <c r="E36" s="196">
        <f ca="1">IF(B36&gt;=$J$5,0,(CONTADORES!$AD28-CONTADORES!$AD27)-$H36)</f>
        <v>24</v>
      </c>
      <c r="F36" s="198">
        <f t="shared" ca="1" si="30"/>
        <v>0</v>
      </c>
      <c r="G36" s="196">
        <f ca="1">IF(B36&gt;=$J$5,0,CONTADORES!$AF28-CONTADORES!$AF27)</f>
        <v>0</v>
      </c>
      <c r="H36" s="1396">
        <f ca="1">IF(G36&gt;0,CONTADORES!$AE28-CONTADORES!$AE27,0)</f>
        <v>0</v>
      </c>
      <c r="I36" s="199">
        <f ca="1">IF(B36&gt;=$J$5,0,CONTADORES!$AB28-CONTADORES!$AB27)</f>
        <v>284</v>
      </c>
      <c r="J36" s="198">
        <f t="shared" ca="1" si="2"/>
        <v>150.70000000000073</v>
      </c>
      <c r="K36" s="196">
        <f ca="1">'CALCULO DE GAS'!E29</f>
        <v>3.3695072696629271</v>
      </c>
      <c r="L36" s="1396">
        <f ca="1">IF(B36&gt;=$J$5,0,(CONTADORES!$Y28-CONTADORES!$Y27)-$O36)</f>
        <v>24</v>
      </c>
      <c r="M36" s="1396">
        <f t="shared" ca="1" si="3"/>
        <v>0</v>
      </c>
      <c r="N36" s="1396">
        <f ca="1">IF(B36&gt;=$J$5,0,CONTADORES!$AA28-CONTADORES!$AA27)</f>
        <v>0</v>
      </c>
      <c r="O36" s="1396">
        <f ca="1">IF(N36&gt;0,CONTADORES!$Z28-CONTADORES!$Z27,0)</f>
        <v>0</v>
      </c>
      <c r="P36" s="202">
        <f ca="1">IF(B36&gt;=$J$5,0,CONTADORES!$W28-CONTADORES!$W27)</f>
        <v>150.70000000000073</v>
      </c>
      <c r="Q36" s="202">
        <f ca="1">IF(B36&gt;=$J$5,0,CONTADORES!$B28-CONTADORES!$B27)</f>
        <v>0</v>
      </c>
      <c r="R36" s="196">
        <f t="shared" ca="1" si="4"/>
        <v>0</v>
      </c>
      <c r="S36" s="11">
        <f ca="1">IF(B36&gt;=$J$5,0,CONTADORES!$D28-CONTADORES!$D27)</f>
        <v>0</v>
      </c>
      <c r="T36" s="209">
        <f ca="1">IF(B36&gt;=$J$5,0,CONTADORES!$BB28-CONTADORES!$BB27)</f>
        <v>0</v>
      </c>
      <c r="U36" s="196">
        <f t="shared" ca="1" si="5"/>
        <v>0</v>
      </c>
      <c r="V36" s="199">
        <f ca="1">IF(B36&gt;=$J$5,0,CONTADORES!$BD28-CONTADORES!$BD27)</f>
        <v>0</v>
      </c>
      <c r="W36" s="1397">
        <f t="shared" ca="1" si="6"/>
        <v>434.70000000000073</v>
      </c>
      <c r="X36" s="1397">
        <f t="shared" ca="1" si="7"/>
        <v>0</v>
      </c>
      <c r="Y36" s="1398">
        <f t="shared" ca="1" si="8"/>
        <v>434.70000000000073</v>
      </c>
      <c r="Z36" s="1398">
        <f t="shared" ca="1" si="9"/>
        <v>7.7275313932584346</v>
      </c>
      <c r="AA36" s="1398">
        <f t="shared" ca="1" si="10"/>
        <v>0</v>
      </c>
      <c r="AB36" s="1398">
        <f t="shared" ca="1" si="11"/>
        <v>48</v>
      </c>
      <c r="AC36" s="1397">
        <f t="shared" ca="1" si="12"/>
        <v>0</v>
      </c>
      <c r="AD36" s="1397">
        <f ca="1">IF(B36&gt;=$J$5,0,CONTADORES!H28-CONTADORES!H27)</f>
        <v>167.09999999997672</v>
      </c>
      <c r="AE36" s="1397">
        <f ca="1">IF(B36&gt;=$J$5,0,CONTADORES!J28-CONTADORES!J27)</f>
        <v>24</v>
      </c>
      <c r="AF36" s="1397">
        <f ca="1">IF(B36&gt;=$J$5,0,CONTADORES!AU28-CONTADORES!AU27)</f>
        <v>139</v>
      </c>
      <c r="AG36" s="1397">
        <f ca="1">IF(B36&gt;=$J$5,0,CONTADORES!AW28-CONTADORES!AW27)</f>
        <v>23.19999999999709</v>
      </c>
      <c r="AH36" s="1397">
        <f ca="1">IF(B36&gt;=$J$5,0,(CONTADORES!AM28-CONTADORES!AM27)+(CONTADORES!M28-CONTADORES!M27))</f>
        <v>9.6999999999970896</v>
      </c>
      <c r="AI36" s="1397">
        <f ca="1">IF(B36&gt;=$J$5,0,(CONTADORES!AK28-CONTADORES!AK27)+(CONTADORES!O28-CONTADORES!O27))</f>
        <v>36.900000000001455</v>
      </c>
      <c r="AJ36" s="1397">
        <f ca="1">IF(B36&gt;=$J$5,0,(CONTADORES!AI28-CONTADORES!AI27))</f>
        <v>8.3999999999941792</v>
      </c>
      <c r="AK36" s="1397">
        <f ca="1">IF(B36&gt;=$J$5,0,(CONTADORES!Q28-CONTADORES!Q27))</f>
        <v>14</v>
      </c>
      <c r="AL36" s="1402">
        <f t="shared" ca="1" si="13"/>
        <v>33.600000000031287</v>
      </c>
      <c r="AM36" s="1397">
        <f ca="1">IF(B36&gt;=$J$5,0,(((CONTADORES!F28-CONTADORES!F27)+(CONTADORES!AQ28-CONTADORES!AQ27))))-BS36-AF36-AN36-BV36-BY36-CD36-CB36</f>
        <v>8.9230000000007248</v>
      </c>
      <c r="AN36" s="1397">
        <f ca="1">IF(B36&gt;=$J$5,0,(CONTADORES!AX28-CONTADORES!AX27)+(CONTADORES!AZ28-CONTADORES!AZ27)+(CONTADORES!BE28-CONTADORES!BE27))-CB36</f>
        <v>1.7029999999994543</v>
      </c>
      <c r="AO36" s="1399">
        <f ca="1">IF(B36&gt;=$J$5,0,(CONTADORES!AC28-CONTADORES!AC27))</f>
        <v>141</v>
      </c>
      <c r="AP36" s="1399">
        <f ca="1">IF(B36&gt;=$J$5,0,(CONTADORES!X28-CONTADORES!X27))</f>
        <v>77.399999999999636</v>
      </c>
      <c r="AQ36" s="1404">
        <f ca="1">IF(B36&gt;=$J$5,0,(CONTADORES!C28-CONTADORES!C27))</f>
        <v>0</v>
      </c>
      <c r="AR36" s="1404">
        <f ca="1">IF(B36&gt;=$J$5,0,(CONTADORES!BC28-CONTADORES!BC27))</f>
        <v>0</v>
      </c>
      <c r="AS36" s="1397">
        <f ca="1">IF(B36&gt;=$J$5,0,CONTADORES!S28-CONTADORES!S27)</f>
        <v>17.299999999988358</v>
      </c>
      <c r="AT36" s="1397">
        <f ca="1">IF(B36&gt;=$J$5,0,(CONTADORES!U28-CONTADORES!U27)+(CONTADORES!AG28-CONTADORES!AG27))</f>
        <v>2.0999999999985448</v>
      </c>
      <c r="AU36" s="1397">
        <f>CONTADORES!I28-CONTADORES!I27</f>
        <v>84.299999999988358</v>
      </c>
      <c r="AV36" s="1397">
        <f>CONTADORES!AV28-CONTADORES!AV27</f>
        <v>61</v>
      </c>
      <c r="AW36" s="1397">
        <f ca="1">IF(B36&gt;=$J$5,0,(CONTADORES!N28-CONTADORES!N27)+(CONTADORES!AN28-CONTADORES!AN27))</f>
        <v>3.8999999999978172</v>
      </c>
      <c r="AX36" s="1397">
        <f ca="1">IF(B36&gt;=$J$5,0,(CONTADORES!P28-CONTADORES!P27)+(CONTADORES!AL28-CONTADORES!AL27))</f>
        <v>28.900000000001455</v>
      </c>
      <c r="AY36" s="1397">
        <f ca="1">IF(B36&gt;=$J$5,0,(CONTADORES!AJ28-CONTADORES!AJ27))</f>
        <v>6.5999999999985448</v>
      </c>
      <c r="AZ36" s="1397">
        <f ca="1">IF(B36&gt;=$J$5,0,(CONTADORES!R28-CONTADORES!R27))</f>
        <v>11.5</v>
      </c>
      <c r="BA36" s="1408">
        <f t="shared" ca="1" si="14"/>
        <v>13.34100000001888</v>
      </c>
      <c r="BB36" s="1406">
        <f ca="1">IF(B36&gt;=$J$5,0,(((CONTADORES!G28-CONTADORES!G27)+(CONTADORES!AR28-CONTADORES!AR27))))-AV36-BC36-BT36-BW36-BZ36-CE36</f>
        <v>2.4299999999950996</v>
      </c>
      <c r="BC36" s="1399">
        <f ca="1">IF(B36&gt;=$J$5,0,(CONTADORES!AY28-CONTADORES!AY27)+(CONTADORES!BA28-CONTADORES!BA27)+(CONTADORES!BF28-CONTADORES!BF27))-CC36</f>
        <v>0.54099999999980675</v>
      </c>
      <c r="BD36" s="1397">
        <f t="shared" ca="1" si="15"/>
        <v>218.39999999999964</v>
      </c>
      <c r="BE36" s="1397">
        <f ca="1">IF($B36&gt;=$J$5,0,CONTADORES!$BG28)</f>
        <v>7058.8899999999994</v>
      </c>
      <c r="BF36" s="1397">
        <f ca="1">IF($B36&gt;=$J$5,0,CONTADORES!$BH28)</f>
        <v>36941.531578947361</v>
      </c>
      <c r="BG36" s="1397">
        <f ca="1">IF($B36&gt;=$J$5,0,CONTADORES!$BJ28)</f>
        <v>5914.3499999999995</v>
      </c>
      <c r="BH36" s="1397">
        <f ca="1">IF(B36&gt;=$J$5,0,((CONTADORES!BK28-CONTADORES!BK27)/1000))</f>
        <v>0.91</v>
      </c>
      <c r="BI36" s="1397">
        <f ca="1">IF(C36&gt;=$J$5,0,((CONTADORES!BL28-CONTADORES!BL27)/1000))</f>
        <v>0.81799999999999995</v>
      </c>
      <c r="BJ36" s="1397">
        <f ca="1">IF(C36&gt;=$J$5,0,((CONTADORES!BM28-CONTADORES!BM27)/1000))</f>
        <v>0</v>
      </c>
      <c r="BK36" s="1397">
        <f ca="1">IF(D36&gt;=$J$5,0,((CONTADORES!BN28-CONTADORES!BN27)/1000))</f>
        <v>0</v>
      </c>
      <c r="BL36" s="1399">
        <f t="shared" ca="1" si="16"/>
        <v>0.91</v>
      </c>
      <c r="BM36" s="1399">
        <f t="shared" ca="1" si="17"/>
        <v>0.81799999999999995</v>
      </c>
      <c r="BN36" s="1397">
        <f ca="1">IF(W36&gt;=$J$5,0,CONTADORES!$BO28)</f>
        <v>136.67500837250518</v>
      </c>
      <c r="BO36" s="1397">
        <f ca="1">IF(W36&gt;=$J$5,0,CONTADORES!$BP28)</f>
        <v>45.74032489853478</v>
      </c>
      <c r="BP36" s="1397">
        <f ca="1">IF(W36&gt;=$J$5,0,CONTADORES!$BQ28)</f>
        <v>651.68062318562249</v>
      </c>
      <c r="BQ36" s="1397">
        <f ca="1">IF(B36&gt;=$J$5,0,(CONTADORES!AS28-CONTADORES!AS27))</f>
        <v>4.9000000000014552</v>
      </c>
      <c r="BR36" s="1397">
        <f ca="1">IF(C36&gt;=$J$5,0,(CONTADORES!AT28-CONTADORES!AT27))</f>
        <v>0</v>
      </c>
      <c r="BS36" s="1397">
        <f ca="1">IF(B36&gt;=$J$5,0,CONTADORES!BR28-CONTADORES!BR27)/1000</f>
        <v>0</v>
      </c>
      <c r="BT36" s="1397">
        <f ca="1">IF(B36&gt;=$J$5,0,CONTADORES!BS28-CONTADORES!BS27)</f>
        <v>0</v>
      </c>
      <c r="BU36" s="1397">
        <f ca="1">IF(B36&gt;=$J$5,0,CONTADORES!BT28-CONTADORES!BT27)</f>
        <v>0</v>
      </c>
      <c r="BV36" s="1397">
        <f ca="1">IF(B36&gt;=$J$5,0,CONTADORES!BU28-CONTADORES!BU27)/1000</f>
        <v>4.0590000000000002</v>
      </c>
      <c r="BW36" s="1397">
        <f ca="1">IF(B36&gt;=$J$5,0,CONTADORES!BV28-CONTADORES!BV27)/1000</f>
        <v>0.55600000000000005</v>
      </c>
      <c r="BX36" s="1397">
        <f ca="1">IF(B36&gt;=$J$5,0,CONTADORES!BW28-CONTADORES!BW27)</f>
        <v>21.700000000000728</v>
      </c>
      <c r="BY36" s="1397">
        <f ca="1">IF(B36&gt;=$J$5,0,CONTADORES!BX28-CONTADORES!BX27)/1000</f>
        <v>3.718</v>
      </c>
      <c r="BZ36" s="1397">
        <f ca="1">IF(B36&gt;=$J$5,0,CONTADORES!BY28-CONTADORES!BY27)/1000</f>
        <v>7.2999999999999995E-2</v>
      </c>
      <c r="CA36" s="1397">
        <f ca="1">IF(B36&gt;=$J$5,0,CONTADORES!BZ28-CONTADORES!BZ27)</f>
        <v>24</v>
      </c>
      <c r="CB36" s="1397">
        <f ca="1">IF(B36&gt;=$J$5,0,(CONTADORES!CC28-CONTADORES!CC27)+(CONTADORES!CE28-CONTADORES!CE27))/1000</f>
        <v>1.397</v>
      </c>
      <c r="CC36" s="1397">
        <f ca="1">IF(B36&gt;=$J$5,0,(CONTADORES!CD28-CONTADORES!CD27)+(CONTADORES!CF28-CONTADORES!CF27))/1000</f>
        <v>0.85899999999999999</v>
      </c>
      <c r="CD36" s="1397">
        <f ca="1">IF(B36&gt;=$J$5,0,CONTADORES!CA28-CONTADORES!CA27)</f>
        <v>6.1999999999998181</v>
      </c>
      <c r="CE36" s="1397">
        <f ca="1">IF(B36&gt;=$J$5,0,CONTADORES!CB28-CONTADORES!CB27)</f>
        <v>4.3999999999996362</v>
      </c>
      <c r="CF36" s="1397">
        <f t="shared" ca="1" si="18"/>
        <v>10.661500000000181</v>
      </c>
      <c r="CG36" s="1397">
        <f t="shared" ca="1" si="19"/>
        <v>5.6149999999971865</v>
      </c>
      <c r="CH36" s="1397">
        <f t="shared" ca="1" si="20"/>
        <v>4.4615000000003624</v>
      </c>
      <c r="CI36" s="1397">
        <f t="shared" ca="1" si="21"/>
        <v>0.68119999999978176</v>
      </c>
      <c r="CJ36" s="1397">
        <f t="shared" ca="1" si="22"/>
        <v>4.4615000000003624</v>
      </c>
      <c r="CK36" s="1397">
        <f t="shared" ca="1" si="23"/>
        <v>1.0217999999996725</v>
      </c>
      <c r="CL36" s="1397">
        <f t="shared" ca="1" si="24"/>
        <v>2.0781999999997818</v>
      </c>
      <c r="CM36" s="1397">
        <f t="shared" ca="1" si="25"/>
        <v>1.2149999999975498</v>
      </c>
      <c r="CN36" s="1397">
        <f ca="1">IF(B36&gt;=$J$5,0,CONTADORES!CB28-CONTADORES!CB27)</f>
        <v>4.3999999999996362</v>
      </c>
      <c r="CO36" s="1397">
        <f t="shared" ca="1" si="26"/>
        <v>1.2149999999975498</v>
      </c>
      <c r="CP36" s="1397">
        <f t="shared" ca="1" si="27"/>
        <v>0.27049999999990337</v>
      </c>
      <c r="CQ36" s="1397">
        <f t="shared" ca="1" si="28"/>
        <v>0.27049999999990337</v>
      </c>
      <c r="CR36" s="1397">
        <f t="shared" ca="1" si="29"/>
        <v>1.1294999999999034</v>
      </c>
      <c r="CS36" s="1403">
        <f ca="1">IF($B36&gt;=$J$5,0,CONTADORES!$BI28)</f>
        <v>9445.3332971306827</v>
      </c>
      <c r="CT36" s="1334">
        <f>CONTADORES!E28</f>
        <v>0</v>
      </c>
      <c r="CU36" s="1334">
        <f>CONTADORES!CG28</f>
        <v>0</v>
      </c>
    </row>
    <row r="37" spans="2:99">
      <c r="B37" s="214">
        <v>44953</v>
      </c>
      <c r="C37" s="198">
        <f t="shared" ca="1" si="0"/>
        <v>286</v>
      </c>
      <c r="D37" s="196">
        <f ca="1">'CALCULO DE GAS'!D30</f>
        <v>4.372855584269665</v>
      </c>
      <c r="E37" s="196">
        <f ca="1">IF(B37&gt;=$J$5,0,(CONTADORES!$AD29-CONTADORES!$AD28)-$H37)</f>
        <v>24</v>
      </c>
      <c r="F37" s="198">
        <f t="shared" ca="1" si="30"/>
        <v>0</v>
      </c>
      <c r="G37" s="196">
        <f ca="1">IF(B37&gt;=$J$5,0,CONTADORES!$AF29-CONTADORES!$AF28)</f>
        <v>0</v>
      </c>
      <c r="H37" s="1396">
        <f ca="1">IF(G37&gt;0,CONTADORES!$AE29-CONTADORES!$AE28,0)</f>
        <v>0</v>
      </c>
      <c r="I37" s="199">
        <f ca="1">IF(B37&gt;=$J$5,0,CONTADORES!$AB29-CONTADORES!$AB28)</f>
        <v>286</v>
      </c>
      <c r="J37" s="198">
        <f t="shared" ca="1" si="2"/>
        <v>148.40000000000146</v>
      </c>
      <c r="K37" s="196">
        <f ca="1">'CALCULO DE GAS'!E30</f>
        <v>3.3524510898876518</v>
      </c>
      <c r="L37" s="1396">
        <f ca="1">IF(B37&gt;=$J$5,0,(CONTADORES!$Y29-CONTADORES!$Y28)-$O37)</f>
        <v>24</v>
      </c>
      <c r="M37" s="1396">
        <f t="shared" ca="1" si="3"/>
        <v>0</v>
      </c>
      <c r="N37" s="1396">
        <f ca="1">IF(B37&gt;=$J$5,0,CONTADORES!$AA29-CONTADORES!$AA28)</f>
        <v>0</v>
      </c>
      <c r="O37" s="1396">
        <f ca="1">IF(N37&gt;0,CONTADORES!$Z29-CONTADORES!$Z28,0)</f>
        <v>0</v>
      </c>
      <c r="P37" s="202">
        <f ca="1">IF(B37&gt;=$J$5,0,CONTADORES!$W29-CONTADORES!$W28)</f>
        <v>148.40000000000146</v>
      </c>
      <c r="Q37" s="202">
        <f ca="1">IF(B37&gt;=$J$5,0,CONTADORES!$B29-CONTADORES!$B28)</f>
        <v>0</v>
      </c>
      <c r="R37" s="196">
        <f t="shared" ca="1" si="4"/>
        <v>0</v>
      </c>
      <c r="S37" s="11">
        <f ca="1">IF(B37&gt;=$J$5,0,CONTADORES!$D29-CONTADORES!$D28)</f>
        <v>0</v>
      </c>
      <c r="T37" s="209">
        <f ca="1">IF(B37&gt;=$J$5,0,CONTADORES!$BB29-CONTADORES!$BB28)</f>
        <v>0</v>
      </c>
      <c r="U37" s="196">
        <f t="shared" ca="1" si="5"/>
        <v>0</v>
      </c>
      <c r="V37" s="199">
        <f ca="1">IF(B37&gt;=$J$5,0,CONTADORES!$BD29-CONTADORES!$BD28)</f>
        <v>0</v>
      </c>
      <c r="W37" s="1397">
        <f t="shared" ca="1" si="6"/>
        <v>434.40000000000146</v>
      </c>
      <c r="X37" s="1397">
        <f t="shared" ca="1" si="7"/>
        <v>0</v>
      </c>
      <c r="Y37" s="1398">
        <f t="shared" ca="1" si="8"/>
        <v>434.40000000000146</v>
      </c>
      <c r="Z37" s="1398">
        <f t="shared" ca="1" si="9"/>
        <v>7.7253066741573164</v>
      </c>
      <c r="AA37" s="1398">
        <f t="shared" ca="1" si="10"/>
        <v>0</v>
      </c>
      <c r="AB37" s="1398">
        <f t="shared" ca="1" si="11"/>
        <v>48</v>
      </c>
      <c r="AC37" s="1397">
        <f t="shared" ca="1" si="12"/>
        <v>0</v>
      </c>
      <c r="AD37" s="1397">
        <f ca="1">IF(B37&gt;=$J$5,0,CONTADORES!H29-CONTADORES!H28)</f>
        <v>162.09999999997672</v>
      </c>
      <c r="AE37" s="1397">
        <f ca="1">IF(B37&gt;=$J$5,0,CONTADORES!J29-CONTADORES!J28)</f>
        <v>24</v>
      </c>
      <c r="AF37" s="1397">
        <f ca="1">IF(B37&gt;=$J$5,0,CONTADORES!AU29-CONTADORES!AU28)</f>
        <v>143</v>
      </c>
      <c r="AG37" s="1397">
        <f ca="1">IF(B37&gt;=$J$5,0,CONTADORES!AW29-CONTADORES!AW28)</f>
        <v>24</v>
      </c>
      <c r="AH37" s="1397">
        <f ca="1">IF(B37&gt;=$J$5,0,(CONTADORES!AM29-CONTADORES!AM28)+(CONTADORES!M29-CONTADORES!M28))</f>
        <v>10.900000000001455</v>
      </c>
      <c r="AI37" s="1397">
        <f ca="1">IF(B37&gt;=$J$5,0,(CONTADORES!AK29-CONTADORES!AK28)+(CONTADORES!O29-CONTADORES!O28))</f>
        <v>37.299999999995634</v>
      </c>
      <c r="AJ37" s="1397">
        <f ca="1">IF(B37&gt;=$J$5,0,(CONTADORES!AI29-CONTADORES!AI28))</f>
        <v>8.5</v>
      </c>
      <c r="AK37" s="1397">
        <f ca="1">IF(B37&gt;=$J$5,0,(CONTADORES!Q29-CONTADORES!Q28))</f>
        <v>15</v>
      </c>
      <c r="AL37" s="1402">
        <f t="shared" ca="1" si="13"/>
        <v>31.600000000027592</v>
      </c>
      <c r="AM37" s="1397">
        <f ca="1">IF(B37&gt;=$J$5,0,(((CONTADORES!F29-CONTADORES!F28)+(CONTADORES!AQ29-CONTADORES!AQ28))))-BS37-AF37-AN37-BV37-BY37-CD37-CB37</f>
        <v>8.7140000000003628</v>
      </c>
      <c r="AN37" s="1397">
        <f ca="1">IF(B37&gt;=$J$5,0,(CONTADORES!AX29-CONTADORES!AX28)+(CONTADORES!AZ29-CONTADORES!AZ28)+(CONTADORES!BE29-CONTADORES!BE28))-CB37</f>
        <v>1.8209999999998181</v>
      </c>
      <c r="AO37" s="1399">
        <f ca="1">IF(B37&gt;=$J$5,0,(CONTADORES!AC29-CONTADORES!AC28))</f>
        <v>145</v>
      </c>
      <c r="AP37" s="1399">
        <f ca="1">IF(B37&gt;=$J$5,0,(CONTADORES!X29-CONTADORES!X28))</f>
        <v>72.700000000000728</v>
      </c>
      <c r="AQ37" s="1404">
        <f ca="1">IF(B37&gt;=$J$5,0,(CONTADORES!C29-CONTADORES!C28))</f>
        <v>0</v>
      </c>
      <c r="AR37" s="1404">
        <f ca="1">IF(B37&gt;=$J$5,0,(CONTADORES!BC29-CONTADORES!BC28))</f>
        <v>0</v>
      </c>
      <c r="AS37" s="1397">
        <f ca="1">IF(B37&gt;=$J$5,0,CONTADORES!S29-CONTADORES!S28)</f>
        <v>16.5</v>
      </c>
      <c r="AT37" s="1397">
        <f ca="1">IF(B37&gt;=$J$5,0,(CONTADORES!U29-CONTADORES!U28)+(CONTADORES!AG29-CONTADORES!AG28))</f>
        <v>2.1999999999970896</v>
      </c>
      <c r="AU37" s="1397">
        <f>CONTADORES!I29-CONTADORES!I28</f>
        <v>82.5</v>
      </c>
      <c r="AV37" s="1397">
        <f>CONTADORES!AV29-CONTADORES!AV28</f>
        <v>62</v>
      </c>
      <c r="AW37" s="1397">
        <f ca="1">IF(B37&gt;=$J$5,0,(CONTADORES!N29-CONTADORES!N28)+(CONTADORES!AN29-CONTADORES!AN28))</f>
        <v>4.4000000000014552</v>
      </c>
      <c r="AX37" s="1397">
        <f ca="1">IF(B37&gt;=$J$5,0,(CONTADORES!P29-CONTADORES!P28)+(CONTADORES!AL29-CONTADORES!AL28))</f>
        <v>29.400000000001455</v>
      </c>
      <c r="AY37" s="1397">
        <f ca="1">IF(B37&gt;=$J$5,0,(CONTADORES!AJ29-CONTADORES!AJ28))</f>
        <v>6.6999999999970896</v>
      </c>
      <c r="AZ37" s="1397">
        <f ca="1">IF(B37&gt;=$J$5,0,(CONTADORES!R29-CONTADORES!R28))</f>
        <v>12</v>
      </c>
      <c r="BA37" s="1408">
        <f t="shared" ca="1" si="14"/>
        <v>11.748000000001241</v>
      </c>
      <c r="BB37" s="1406">
        <f ca="1">IF(B37&gt;=$J$5,0,(((CONTADORES!G29-CONTADORES!G28)+(CONTADORES!AR29-CONTADORES!AR28))))-AV37-BC37-BT37-BW37-BZ37-CE37</f>
        <v>2.1489999999998064</v>
      </c>
      <c r="BC37" s="1399">
        <f ca="1">IF(B37&gt;=$J$5,0,(CONTADORES!AY29-CONTADORES!AY28)+(CONTADORES!BA29-CONTADORES!BA28)+(CONTADORES!BF29-CONTADORES!BF28))-CC37</f>
        <v>1.1479999999998296</v>
      </c>
      <c r="BD37" s="1397">
        <f t="shared" ca="1" si="15"/>
        <v>217.70000000000073</v>
      </c>
      <c r="BE37" s="1397">
        <f ca="1">IF($B37&gt;=$J$5,0,CONTADORES!$BG29)</f>
        <v>7379.0700000000015</v>
      </c>
      <c r="BF37" s="1397">
        <f ca="1">IF($B37&gt;=$J$5,0,CONTADORES!$BH29)</f>
        <v>38135.370175438591</v>
      </c>
      <c r="BG37" s="1397">
        <f ca="1">IF($B37&gt;=$J$5,0,CONTADORES!$BJ29)</f>
        <v>7006.51</v>
      </c>
      <c r="BH37" s="1397">
        <f ca="1">IF(B37&gt;=$J$5,0,((CONTADORES!BK29-CONTADORES!BK28)/1000))</f>
        <v>0.91200000000000003</v>
      </c>
      <c r="BI37" s="1397">
        <f ca="1">IF(C37&gt;=$J$5,0,((CONTADORES!BL29-CONTADORES!BL28)/1000))</f>
        <v>0.84499999999999997</v>
      </c>
      <c r="BJ37" s="1397">
        <f ca="1">IF(C37&gt;=$J$5,0,((CONTADORES!BM29-CONTADORES!BM28)/1000))</f>
        <v>0</v>
      </c>
      <c r="BK37" s="1397">
        <f ca="1">IF(D37&gt;=$J$5,0,((CONTADORES!BN29-CONTADORES!BN28)/1000))</f>
        <v>0</v>
      </c>
      <c r="BL37" s="1399">
        <f t="shared" ca="1" si="16"/>
        <v>0.91200000000000003</v>
      </c>
      <c r="BM37" s="1399">
        <f t="shared" ca="1" si="17"/>
        <v>0.84499999999999997</v>
      </c>
      <c r="BN37" s="1397">
        <f ca="1">IF(W37&gt;=$J$5,0,CONTADORES!$BO29)</f>
        <v>136.29490676560357</v>
      </c>
      <c r="BO37" s="1397">
        <f ca="1">IF(W37&gt;=$J$5,0,CONTADORES!$BP29)</f>
        <v>45.585693330333967</v>
      </c>
      <c r="BP37" s="1397">
        <f ca="1">IF(W37&gt;=$J$5,0,CONTADORES!$BQ29)</f>
        <v>656.30684337078571</v>
      </c>
      <c r="BQ37" s="1397">
        <f ca="1">IF(B37&gt;=$J$5,0,(CONTADORES!AS29-CONTADORES!AS28))</f>
        <v>4.6999999999970896</v>
      </c>
      <c r="BR37" s="1397">
        <f ca="1">IF(C37&gt;=$J$5,0,(CONTADORES!AT29-CONTADORES!AT28))</f>
        <v>0</v>
      </c>
      <c r="BS37" s="1397">
        <f ca="1">IF(B37&gt;=$J$5,0,CONTADORES!BR29-CONTADORES!BR28)/1000</f>
        <v>0</v>
      </c>
      <c r="BT37" s="1397">
        <f ca="1">IF(B37&gt;=$J$5,0,CONTADORES!BS29-CONTADORES!BS28)</f>
        <v>0</v>
      </c>
      <c r="BU37" s="1397">
        <f ca="1">IF(B37&gt;=$J$5,0,CONTADORES!BT29-CONTADORES!BT28)</f>
        <v>0</v>
      </c>
      <c r="BV37" s="1397">
        <f ca="1">IF(B37&gt;=$J$5,0,CONTADORES!BU29-CONTADORES!BU28)/1000</f>
        <v>4.4080000000000004</v>
      </c>
      <c r="BW37" s="1397">
        <f ca="1">IF(B37&gt;=$J$5,0,CONTADORES!BV29-CONTADORES!BV28)/1000</f>
        <v>0.55400000000000005</v>
      </c>
      <c r="BX37" s="1397">
        <f ca="1">IF(B37&gt;=$J$5,0,CONTADORES!BW29-CONTADORES!BW28)</f>
        <v>24</v>
      </c>
      <c r="BY37" s="1397">
        <f ca="1">IF(B37&gt;=$J$5,0,CONTADORES!BX29-CONTADORES!BX28)/1000</f>
        <v>3.4780000000000002</v>
      </c>
      <c r="BZ37" s="1397">
        <f ca="1">IF(B37&gt;=$J$5,0,CONTADORES!BY29-CONTADORES!BY28)/1000</f>
        <v>4.9000000000000002E-2</v>
      </c>
      <c r="CA37" s="1397">
        <f ca="1">IF(B37&gt;=$J$5,0,CONTADORES!BZ29-CONTADORES!BZ28)</f>
        <v>24</v>
      </c>
      <c r="CB37" s="1397">
        <f ca="1">IF(B37&gt;=$J$5,0,(CONTADORES!CC29-CONTADORES!CC28)+(CONTADORES!CE29-CONTADORES!CE28))/1000</f>
        <v>1.379</v>
      </c>
      <c r="CC37" s="1397">
        <f ca="1">IF(B37&gt;=$J$5,0,(CONTADORES!CD29-CONTADORES!CD28)+(CONTADORES!CF29-CONTADORES!CF28))/1000</f>
        <v>0.85199999999999998</v>
      </c>
      <c r="CD37" s="1397">
        <f ca="1">IF(B37&gt;=$J$5,0,CONTADORES!CA29-CONTADORES!CA28)</f>
        <v>6.1999999999998181</v>
      </c>
      <c r="CE37" s="1397">
        <f ca="1">IF(B37&gt;=$J$5,0,CONTADORES!CB29-CONTADORES!CB28)</f>
        <v>4.1999999999998181</v>
      </c>
      <c r="CF37" s="1397">
        <f t="shared" ca="1" si="18"/>
        <v>10.556999999999999</v>
      </c>
      <c r="CG37" s="1397">
        <f t="shared" ca="1" si="19"/>
        <v>5.2744999999997209</v>
      </c>
      <c r="CH37" s="1397">
        <f t="shared" ca="1" si="20"/>
        <v>4.3570000000001814</v>
      </c>
      <c r="CI37" s="1397">
        <f t="shared" ca="1" si="21"/>
        <v>0.72839999999992733</v>
      </c>
      <c r="CJ37" s="1397">
        <f t="shared" ca="1" si="22"/>
        <v>4.3570000000001814</v>
      </c>
      <c r="CK37" s="1397">
        <f t="shared" ca="1" si="23"/>
        <v>1.0925999999998908</v>
      </c>
      <c r="CL37" s="1397">
        <f t="shared" ca="1" si="24"/>
        <v>2.1073999999999273</v>
      </c>
      <c r="CM37" s="1397">
        <f t="shared" ca="1" si="25"/>
        <v>1.0744999999999032</v>
      </c>
      <c r="CN37" s="1397">
        <f ca="1">IF(B37&gt;=$J$5,0,CONTADORES!CB29-CONTADORES!CB28)</f>
        <v>4.1999999999998181</v>
      </c>
      <c r="CO37" s="1397">
        <f t="shared" ca="1" si="26"/>
        <v>1.0744999999999032</v>
      </c>
      <c r="CP37" s="1397">
        <f t="shared" ca="1" si="27"/>
        <v>0.5739999999999148</v>
      </c>
      <c r="CQ37" s="1397">
        <f t="shared" ca="1" si="28"/>
        <v>0.5739999999999148</v>
      </c>
      <c r="CR37" s="1397">
        <f t="shared" ca="1" si="29"/>
        <v>1.4259999999999149</v>
      </c>
      <c r="CS37" s="1403">
        <f ca="1">IF($B37&gt;=$J$5,0,CONTADORES!$BI29)</f>
        <v>10918.751012196602</v>
      </c>
      <c r="CT37" s="1334">
        <f>CONTADORES!E29</f>
        <v>0</v>
      </c>
      <c r="CU37" s="1334">
        <f>CONTADORES!CG29</f>
        <v>0</v>
      </c>
    </row>
    <row r="38" spans="2:99">
      <c r="B38" s="214">
        <v>44954</v>
      </c>
      <c r="C38" s="198">
        <f t="shared" ca="1" si="0"/>
        <v>293</v>
      </c>
      <c r="D38" s="196">
        <f ca="1">'CALCULO DE GAS'!D31</f>
        <v>4.4247656966292155</v>
      </c>
      <c r="E38" s="196">
        <f ca="1">IF(B38&gt;=$J$5,0,(CONTADORES!$AD30-CONTADORES!$AD29)-$H38)</f>
        <v>24</v>
      </c>
      <c r="F38" s="198">
        <f t="shared" ca="1" si="30"/>
        <v>0</v>
      </c>
      <c r="G38" s="196">
        <f ca="1">IF(B38&gt;=$J$5,0,CONTADORES!$AF30-CONTADORES!$AF29)</f>
        <v>0</v>
      </c>
      <c r="H38" s="1396">
        <f ca="1">IF(G38&gt;0,CONTADORES!$AE30-CONTADORES!$AE29,0)</f>
        <v>0</v>
      </c>
      <c r="I38" s="199">
        <f ca="1">IF(B38&gt;=$J$5,0,CONTADORES!$AB30-CONTADORES!$AB29)</f>
        <v>293</v>
      </c>
      <c r="J38" s="198">
        <f t="shared" ca="1" si="2"/>
        <v>149.69999999999709</v>
      </c>
      <c r="K38" s="196">
        <f ca="1">'CALCULO DE GAS'!E31</f>
        <v>3.3620915393258217</v>
      </c>
      <c r="L38" s="1396">
        <f ca="1">IF(B38&gt;=$J$5,0,(CONTADORES!$Y30-CONTADORES!$Y29)-$O38)</f>
        <v>24</v>
      </c>
      <c r="M38" s="1396">
        <f t="shared" ca="1" si="3"/>
        <v>0</v>
      </c>
      <c r="N38" s="1396">
        <f ca="1">IF(B38&gt;=$J$5,0,CONTADORES!$AA30-CONTADORES!$AA29)</f>
        <v>0</v>
      </c>
      <c r="O38" s="1396">
        <f ca="1">IF(N38&gt;0,CONTADORES!$Z30-CONTADORES!$Z29,0)</f>
        <v>0</v>
      </c>
      <c r="P38" s="202">
        <f ca="1">IF(B38&gt;=$J$5,0,CONTADORES!$W30-CONTADORES!$W29)</f>
        <v>149.69999999999709</v>
      </c>
      <c r="Q38" s="202">
        <f ca="1">IF(B38&gt;=$J$5,0,CONTADORES!$B30-CONTADORES!$B29)</f>
        <v>8.0000000000381988E-3</v>
      </c>
      <c r="R38" s="196">
        <f t="shared" ca="1" si="4"/>
        <v>0.96000000000458385</v>
      </c>
      <c r="S38" s="11">
        <f ca="1">IF(B38&gt;=$J$5,0,CONTADORES!$D30-CONTADORES!$D29)</f>
        <v>0.3999999999996362</v>
      </c>
      <c r="T38" s="209">
        <f ca="1">IF(B38&gt;=$J$5,0,CONTADORES!$BB30-CONTADORES!$BB29)</f>
        <v>0</v>
      </c>
      <c r="U38" s="196">
        <f t="shared" ca="1" si="5"/>
        <v>0</v>
      </c>
      <c r="V38" s="199">
        <f ca="1">IF(B38&gt;=$J$5,0,CONTADORES!$BD30-CONTADORES!$BD29)</f>
        <v>0</v>
      </c>
      <c r="W38" s="1397">
        <f t="shared" ca="1" si="6"/>
        <v>442.69999999999709</v>
      </c>
      <c r="X38" s="1397">
        <f t="shared" ca="1" si="7"/>
        <v>8.0000000000381988E-3</v>
      </c>
      <c r="Y38" s="1398">
        <f t="shared" ca="1" si="8"/>
        <v>442.70799999999713</v>
      </c>
      <c r="Z38" s="1398">
        <f t="shared" ca="1" si="9"/>
        <v>7.7868572359550372</v>
      </c>
      <c r="AA38" s="1398">
        <f t="shared" ca="1" si="10"/>
        <v>0.96000000000458385</v>
      </c>
      <c r="AB38" s="1398">
        <f t="shared" ca="1" si="11"/>
        <v>48</v>
      </c>
      <c r="AC38" s="1397">
        <f t="shared" ca="1" si="12"/>
        <v>0.3999999999996362</v>
      </c>
      <c r="AD38" s="1397">
        <f ca="1">IF(B38&gt;=$J$5,0,CONTADORES!H30-CONTADORES!H29)</f>
        <v>164.80000000004657</v>
      </c>
      <c r="AE38" s="1397">
        <f ca="1">IF(B38&gt;=$J$5,0,CONTADORES!J30-CONTADORES!J29)</f>
        <v>24</v>
      </c>
      <c r="AF38" s="1397">
        <f ca="1">IF(B38&gt;=$J$5,0,CONTADORES!AU30-CONTADORES!AU29)</f>
        <v>142</v>
      </c>
      <c r="AG38" s="1397">
        <f ca="1">IF(B38&gt;=$J$5,0,CONTADORES!AW30-CONTADORES!AW29)</f>
        <v>24</v>
      </c>
      <c r="AH38" s="1397">
        <f ca="1">IF(B38&gt;=$J$5,0,(CONTADORES!AM30-CONTADORES!AM29)+(CONTADORES!M30-CONTADORES!M29))</f>
        <v>13</v>
      </c>
      <c r="AI38" s="1397">
        <f ca="1">IF(B38&gt;=$J$5,0,(CONTADORES!AK30-CONTADORES!AK29)+(CONTADORES!O30-CONTADORES!O29))</f>
        <v>40.200000000004366</v>
      </c>
      <c r="AJ38" s="1397">
        <f ca="1">IF(B38&gt;=$J$5,0,(CONTADORES!AI30-CONTADORES!AI29))</f>
        <v>7.5</v>
      </c>
      <c r="AK38" s="1397">
        <f ca="1">IF(B38&gt;=$J$5,0,(CONTADORES!Q30-CONTADORES!Q29))</f>
        <v>16</v>
      </c>
      <c r="AL38" s="1402">
        <f t="shared" ca="1" si="13"/>
        <v>30.607999999958508</v>
      </c>
      <c r="AM38" s="1397">
        <f ca="1">IF(B38&gt;=$J$5,0,(((CONTADORES!F30-CONTADORES!F29)+(CONTADORES!AQ30-CONTADORES!AQ29))))-BS38-AF38-AN38-BV38-BY38-CD38-CB38</f>
        <v>11.007999999986811</v>
      </c>
      <c r="AN38" s="1397">
        <f ca="1">IF(B38&gt;=$J$5,0,(CONTADORES!AX30-CONTADORES!AX29)+(CONTADORES!AZ30-CONTADORES!AZ29)+(CONTADORES!BE30-CONTADORES!BE29))-CB38</f>
        <v>1.9360000000006365</v>
      </c>
      <c r="AO38" s="1399">
        <f ca="1">IF(B38&gt;=$J$5,0,(CONTADORES!AC30-CONTADORES!AC29))</f>
        <v>147</v>
      </c>
      <c r="AP38" s="1399">
        <f ca="1">IF(B38&gt;=$J$5,0,(CONTADORES!X30-CONTADORES!X29))</f>
        <v>75.600000000000364</v>
      </c>
      <c r="AQ38" s="1404">
        <f ca="1">IF(B38&gt;=$J$5,0,(CONTADORES!C30-CONTADORES!C29))</f>
        <v>2.9999999999290594E-3</v>
      </c>
      <c r="AR38" s="1404">
        <f ca="1">IF(B38&gt;=$J$5,0,(CONTADORES!BC30-CONTADORES!BC29))</f>
        <v>0</v>
      </c>
      <c r="AS38" s="1397">
        <f ca="1">IF(B38&gt;=$J$5,0,CONTADORES!S30-CONTADORES!S29)</f>
        <v>16</v>
      </c>
      <c r="AT38" s="1397">
        <f ca="1">IF(B38&gt;=$J$5,0,(CONTADORES!U30-CONTADORES!U29)+(CONTADORES!AG30-CONTADORES!AG29))</f>
        <v>2.1000000000058208</v>
      </c>
      <c r="AU38" s="1397">
        <f>CONTADORES!I30-CONTADORES!I29</f>
        <v>83.200000000011642</v>
      </c>
      <c r="AV38" s="1397">
        <f>CONTADORES!AV30-CONTADORES!AV29</f>
        <v>62</v>
      </c>
      <c r="AW38" s="1397">
        <f ca="1">IF(B38&gt;=$J$5,0,(CONTADORES!N30-CONTADORES!N29)+(CONTADORES!AN30-CONTADORES!AN29))</f>
        <v>5.0999999999985448</v>
      </c>
      <c r="AX38" s="1397">
        <f ca="1">IF(B38&gt;=$J$5,0,(CONTADORES!P30-CONTADORES!P29)+(CONTADORES!AL30-CONTADORES!AL29))</f>
        <v>32.099999999998545</v>
      </c>
      <c r="AY38" s="1397">
        <f ca="1">IF(B38&gt;=$J$5,0,(CONTADORES!AJ30-CONTADORES!AJ29))</f>
        <v>5.8000000000029104</v>
      </c>
      <c r="AZ38" s="1397">
        <f ca="1">IF(B38&gt;=$J$5,0,(CONTADORES!R30-CONTADORES!R29))</f>
        <v>13</v>
      </c>
      <c r="BA38" s="1408">
        <f t="shared" ca="1" si="14"/>
        <v>10.661999999994492</v>
      </c>
      <c r="BB38" s="1406">
        <f ca="1">IF(B38&gt;=$J$5,0,(((CONTADORES!G30-CONTADORES!G29)+(CONTADORES!AR30-CONTADORES!AR29))))-AV38-BC38-BT38-BW38-BZ38-CE38</f>
        <v>3.4779999999933597</v>
      </c>
      <c r="BC38" s="1399">
        <f ca="1">IF(B38&gt;=$J$5,0,(CONTADORES!AY30-CONTADORES!AY29)+(CONTADORES!BA30-CONTADORES!BA29)+(CONTADORES!BF30-CONTADORES!BF29))-CC38</f>
        <v>1.3590000000002729</v>
      </c>
      <c r="BD38" s="1397">
        <f t="shared" ca="1" si="15"/>
        <v>222.60300000000029</v>
      </c>
      <c r="BE38" s="1397">
        <f ca="1">IF($B38&gt;=$J$5,0,CONTADORES!$BG30)</f>
        <v>6874.29</v>
      </c>
      <c r="BF38" s="1397">
        <f ca="1">IF($B38&gt;=$J$5,0,CONTADORES!$BH30)</f>
        <v>38164.322807017539</v>
      </c>
      <c r="BG38" s="1397">
        <f ca="1">IF($B38&gt;=$J$5,0,CONTADORES!$BJ30)</f>
        <v>6470.8799999999992</v>
      </c>
      <c r="BH38" s="1397">
        <f ca="1">IF(B38&gt;=$J$5,0,((CONTADORES!BK30-CONTADORES!BK29)/1000))</f>
        <v>1.5169999999999999</v>
      </c>
      <c r="BI38" s="1397">
        <f ca="1">IF(C38&gt;=$J$5,0,((CONTADORES!BL30-CONTADORES!BL29)/1000))</f>
        <v>1.4710000000000001</v>
      </c>
      <c r="BJ38" s="1397">
        <f ca="1">IF(C38&gt;=$J$5,0,((CONTADORES!BM30-CONTADORES!BM29)/1000))</f>
        <v>0</v>
      </c>
      <c r="BK38" s="1397">
        <f ca="1">IF(D38&gt;=$J$5,0,((CONTADORES!BN30-CONTADORES!BN29)/1000))</f>
        <v>0</v>
      </c>
      <c r="BL38" s="1399">
        <f t="shared" ca="1" si="16"/>
        <v>1.5169999999999999</v>
      </c>
      <c r="BM38" s="1399">
        <f t="shared" ca="1" si="17"/>
        <v>1.4710000000000001</v>
      </c>
      <c r="BN38" s="1397">
        <f ca="1">IF(W38&gt;=$J$5,0,CONTADORES!$BO30)</f>
        <v>136.6657396728647</v>
      </c>
      <c r="BO38" s="1397">
        <f ca="1">IF(W38&gt;=$J$5,0,CONTADORES!$BP30)</f>
        <v>45.613072733167499</v>
      </c>
      <c r="BP38" s="1397">
        <f ca="1">IF(W38&gt;=$J$5,0,CONTADORES!$BQ30)</f>
        <v>651.4481287226414</v>
      </c>
      <c r="BQ38" s="1397">
        <f ca="1">IF(B38&gt;=$J$5,0,(CONTADORES!AS30-CONTADORES!AS29))</f>
        <v>4.1000000000058208</v>
      </c>
      <c r="BR38" s="1397">
        <f ca="1">IF(C38&gt;=$J$5,0,(CONTADORES!AT30-CONTADORES!AT29))</f>
        <v>0</v>
      </c>
      <c r="BS38" s="1397">
        <f ca="1">IF(B38&gt;=$J$5,0,CONTADORES!BR30-CONTADORES!BR29)/1000</f>
        <v>0</v>
      </c>
      <c r="BT38" s="1397">
        <f ca="1">IF(B38&gt;=$J$5,0,CONTADORES!BS30-CONTADORES!BS29)</f>
        <v>0</v>
      </c>
      <c r="BU38" s="1397">
        <f ca="1">IF(B38&gt;=$J$5,0,CONTADORES!BT30-CONTADORES!BT29)</f>
        <v>0</v>
      </c>
      <c r="BV38" s="1397">
        <f ca="1">IF(B38&gt;=$J$5,0,CONTADORES!BU30-CONTADORES!BU29)/1000</f>
        <v>4.4820000000000002</v>
      </c>
      <c r="BW38" s="1397">
        <f ca="1">IF(B38&gt;=$J$5,0,CONTADORES!BV30-CONTADORES!BV29)/1000</f>
        <v>0.61199999999999999</v>
      </c>
      <c r="BX38" s="1397">
        <f ca="1">IF(B38&gt;=$J$5,0,CONTADORES!BW30-CONTADORES!BW29)</f>
        <v>24</v>
      </c>
      <c r="BY38" s="1397">
        <f ca="1">IF(B38&gt;=$J$5,0,CONTADORES!BX30-CONTADORES!BX29)/1000</f>
        <v>3.51</v>
      </c>
      <c r="BZ38" s="1397">
        <f ca="1">IF(B38&gt;=$J$5,0,CONTADORES!BY30-CONTADORES!BY29)/1000</f>
        <v>5.0999999999999997E-2</v>
      </c>
      <c r="CA38" s="1397">
        <f ca="1">IF(B38&gt;=$J$5,0,CONTADORES!BZ30-CONTADORES!BZ29)</f>
        <v>24</v>
      </c>
      <c r="CB38" s="1397">
        <f ca="1">IF(B38&gt;=$J$5,0,(CONTADORES!CC30-CONTADORES!CC29)+(CONTADORES!CE30-CONTADORES!CE29))/1000</f>
        <v>1.3640000000000001</v>
      </c>
      <c r="CC38" s="1397">
        <f ca="1">IF(B38&gt;=$J$5,0,(CONTADORES!CD30-CONTADORES!CD29)+(CONTADORES!CF30-CONTADORES!CF29))/1000</f>
        <v>0.84099999999999997</v>
      </c>
      <c r="CD38" s="1397">
        <f ca="1">IF(B38&gt;=$J$5,0,CONTADORES!CA30-CONTADORES!CA29)</f>
        <v>6.3000000000001819</v>
      </c>
      <c r="CE38" s="1397">
        <f ca="1">IF(B38&gt;=$J$5,0,CONTADORES!CB30-CONTADORES!CB29)</f>
        <v>4.4000000000005457</v>
      </c>
      <c r="CF38" s="1397">
        <f t="shared" ca="1" si="18"/>
        <v>11.803999999993588</v>
      </c>
      <c r="CG38" s="1397">
        <f t="shared" ca="1" si="19"/>
        <v>6.1389999999972256</v>
      </c>
      <c r="CH38" s="1397">
        <f t="shared" ca="1" si="20"/>
        <v>5.5039999999934057</v>
      </c>
      <c r="CI38" s="1397">
        <f t="shared" ca="1" si="21"/>
        <v>0.77440000000025466</v>
      </c>
      <c r="CJ38" s="1397">
        <f t="shared" ca="1" si="22"/>
        <v>5.5039999999934057</v>
      </c>
      <c r="CK38" s="1397">
        <f t="shared" ca="1" si="23"/>
        <v>1.1616000000003819</v>
      </c>
      <c r="CL38" s="1397">
        <f t="shared" ca="1" si="24"/>
        <v>2.1384000000002548</v>
      </c>
      <c r="CM38" s="1397">
        <f t="shared" ca="1" si="25"/>
        <v>1.7389999999966799</v>
      </c>
      <c r="CN38" s="1397">
        <f ca="1">IF(B38&gt;=$J$5,0,CONTADORES!CB30-CONTADORES!CB29)</f>
        <v>4.4000000000005457</v>
      </c>
      <c r="CO38" s="1397">
        <f t="shared" ca="1" si="26"/>
        <v>1.7389999999966799</v>
      </c>
      <c r="CP38" s="1397">
        <f t="shared" ca="1" si="27"/>
        <v>0.67950000000013644</v>
      </c>
      <c r="CQ38" s="1397">
        <f t="shared" ca="1" si="28"/>
        <v>0.67950000000013644</v>
      </c>
      <c r="CR38" s="1397">
        <f t="shared" ca="1" si="29"/>
        <v>1.5205000000001365</v>
      </c>
      <c r="CS38" s="1403">
        <f ca="1">IF($B38&gt;=$J$5,0,CONTADORES!$BI30)</f>
        <v>11446.8495676369</v>
      </c>
      <c r="CT38" s="1334">
        <f>CONTADORES!E30</f>
        <v>1</v>
      </c>
      <c r="CU38" s="1334">
        <f>CONTADORES!CG30</f>
        <v>0</v>
      </c>
    </row>
    <row r="39" spans="2:99">
      <c r="B39" s="214">
        <v>44955</v>
      </c>
      <c r="C39" s="198">
        <f t="shared" ca="1" si="0"/>
        <v>293</v>
      </c>
      <c r="D39" s="196">
        <f ca="1">'CALCULO DE GAS'!D32</f>
        <v>4.4247656966292155</v>
      </c>
      <c r="E39" s="196">
        <f ca="1">IF(B39&gt;=$J$5,0,(CONTADORES!$AD31-CONTADORES!$AD30)-$H39)</f>
        <v>24</v>
      </c>
      <c r="F39" s="198">
        <f t="shared" ca="1" si="30"/>
        <v>0</v>
      </c>
      <c r="G39" s="196">
        <f ca="1">IF(B39&gt;=$J$5,0,CONTADORES!$AF31-CONTADORES!$AF30)</f>
        <v>0</v>
      </c>
      <c r="H39" s="1396">
        <f ca="1">IF(G39&gt;0,CONTADORES!$AE31-CONTADORES!$AE30,0)</f>
        <v>0</v>
      </c>
      <c r="I39" s="199">
        <f ca="1">IF(B39&gt;=$J$5,0,CONTADORES!$AB31-CONTADORES!$AB30)</f>
        <v>293</v>
      </c>
      <c r="J39" s="198">
        <f t="shared" ca="1" si="2"/>
        <v>150</v>
      </c>
      <c r="K39" s="196">
        <f ca="1">'CALCULO DE GAS'!E32</f>
        <v>3.3643162584269666</v>
      </c>
      <c r="L39" s="1396">
        <f ca="1">IF(B39&gt;=$J$5,0,(CONTADORES!$Y31-CONTADORES!$Y30)-$O39)</f>
        <v>24</v>
      </c>
      <c r="M39" s="1396">
        <f t="shared" ca="1" si="3"/>
        <v>0</v>
      </c>
      <c r="N39" s="1396">
        <f ca="1">IF(B39&gt;=$J$5,0,CONTADORES!$AA31-CONTADORES!$AA30)</f>
        <v>0</v>
      </c>
      <c r="O39" s="1396">
        <f ca="1">IF(N39&gt;0,CONTADORES!$Z31-CONTADORES!$Z30,0)</f>
        <v>0</v>
      </c>
      <c r="P39" s="202">
        <f ca="1">IF(B39&gt;=$J$5,0,CONTADORES!$W31-CONTADORES!$W30)</f>
        <v>150</v>
      </c>
      <c r="Q39" s="202">
        <f ca="1">IF(B39&gt;=$J$5,0,CONTADORES!$B31-CONTADORES!$B30)</f>
        <v>0</v>
      </c>
      <c r="R39" s="196">
        <f t="shared" ca="1" si="4"/>
        <v>0</v>
      </c>
      <c r="S39" s="11">
        <f ca="1">IF(B39&gt;=$J$5,0,CONTADORES!$D31-CONTADORES!$D30)</f>
        <v>0</v>
      </c>
      <c r="T39" s="209">
        <f ca="1">IF(B39&gt;=$J$5,0,CONTADORES!$BB31-CONTADORES!$BB30)</f>
        <v>0</v>
      </c>
      <c r="U39" s="196">
        <f t="shared" ca="1" si="5"/>
        <v>0</v>
      </c>
      <c r="V39" s="199">
        <f ca="1">IF(B39&gt;=$J$5,0,CONTADORES!$BD31-CONTADORES!$BD30)</f>
        <v>0</v>
      </c>
      <c r="W39" s="1397">
        <f t="shared" ca="1" si="6"/>
        <v>443</v>
      </c>
      <c r="X39" s="1397">
        <f t="shared" ca="1" si="7"/>
        <v>0</v>
      </c>
      <c r="Y39" s="1398">
        <f t="shared" ca="1" si="8"/>
        <v>443</v>
      </c>
      <c r="Z39" s="1398">
        <f t="shared" ca="1" si="9"/>
        <v>7.7890819550561821</v>
      </c>
      <c r="AA39" s="1398">
        <f t="shared" ca="1" si="10"/>
        <v>0</v>
      </c>
      <c r="AB39" s="1398">
        <f t="shared" ca="1" si="11"/>
        <v>48</v>
      </c>
      <c r="AC39" s="1397">
        <f t="shared" ca="1" si="12"/>
        <v>0</v>
      </c>
      <c r="AD39" s="1397">
        <f ca="1">IF(B39&gt;=$J$5,0,CONTADORES!H31-CONTADORES!H30)</f>
        <v>167.90000000002328</v>
      </c>
      <c r="AE39" s="1397">
        <f ca="1">IF(B39&gt;=$J$5,0,CONTADORES!J31-CONTADORES!J30)</f>
        <v>24</v>
      </c>
      <c r="AF39" s="1397">
        <f ca="1">IF(B39&gt;=$J$5,0,CONTADORES!AU31-CONTADORES!AU30)</f>
        <v>144</v>
      </c>
      <c r="AG39" s="1397">
        <f ca="1">IF(B39&gt;=$J$5,0,CONTADORES!AW31-CONTADORES!AW30)</f>
        <v>24</v>
      </c>
      <c r="AH39" s="1397">
        <f ca="1">IF(B39&gt;=$J$5,0,(CONTADORES!AM31-CONTADORES!AM30)+(CONTADORES!M31-CONTADORES!M30))</f>
        <v>9.4000000000014552</v>
      </c>
      <c r="AI39" s="1397">
        <f ca="1">IF(B39&gt;=$J$5,0,(CONTADORES!AK31-CONTADORES!AK30)+(CONTADORES!O31-CONTADORES!O30))</f>
        <v>41.799999999995634</v>
      </c>
      <c r="AJ39" s="1397">
        <f ca="1">IF(B39&gt;=$J$5,0,(CONTADORES!AI31-CONTADORES!AI30))</f>
        <v>6.1000000000058208</v>
      </c>
      <c r="AK39" s="1397">
        <f ca="1">IF(B39&gt;=$J$5,0,(CONTADORES!Q31-CONTADORES!Q30))</f>
        <v>15.600000000005821</v>
      </c>
      <c r="AL39" s="1402">
        <f t="shared" ca="1" si="13"/>
        <v>32.599999999956708</v>
      </c>
      <c r="AM39" s="1397">
        <f ca="1">IF(B39&gt;=$J$5,0,(((CONTADORES!F31-CONTADORES!F30)+(CONTADORES!AQ31-CONTADORES!AQ30))))-BS39-AF39-AN39-BV39-BY39-CD39-CB39</f>
        <v>7.3650000000121842</v>
      </c>
      <c r="AN39" s="1397">
        <f ca="1">IF(B39&gt;=$J$5,0,(CONTADORES!AX31-CONTADORES!AX30)+(CONTADORES!AZ31-CONTADORES!AZ30)+(CONTADORES!BE31-CONTADORES!BE30))-CB39</f>
        <v>2.1969999999994543</v>
      </c>
      <c r="AO39" s="1399">
        <f ca="1">IF(B39&gt;=$J$5,0,(CONTADORES!AC31-CONTADORES!AC30))</f>
        <v>147</v>
      </c>
      <c r="AP39" s="1399">
        <f ca="1">IF(B39&gt;=$J$5,0,(CONTADORES!X31-CONTADORES!X30))</f>
        <v>75.799999999999272</v>
      </c>
      <c r="AQ39" s="1404">
        <f ca="1">IF(B39&gt;=$J$5,0,(CONTADORES!C31-CONTADORES!C30))</f>
        <v>0</v>
      </c>
      <c r="AR39" s="1404">
        <f ca="1">IF(B39&gt;=$J$5,0,(CONTADORES!BC31-CONTADORES!BC30))</f>
        <v>0</v>
      </c>
      <c r="AS39" s="1397">
        <f ca="1">IF(B39&gt;=$J$5,0,CONTADORES!S31-CONTADORES!S30)</f>
        <v>16</v>
      </c>
      <c r="AT39" s="1397">
        <f ca="1">IF(B39&gt;=$J$5,0,(CONTADORES!U31-CONTADORES!U30)+(CONTADORES!AG31-CONTADORES!AG30))</f>
        <v>2.1999999999970896</v>
      </c>
      <c r="AU39" s="1397">
        <f>CONTADORES!I31-CONTADORES!I30</f>
        <v>84.799999999988358</v>
      </c>
      <c r="AV39" s="1397">
        <f>CONTADORES!AV31-CONTADORES!AV30</f>
        <v>62</v>
      </c>
      <c r="AW39" s="1397">
        <f ca="1">IF(B39&gt;=$J$5,0,(CONTADORES!N31-CONTADORES!N30)+(CONTADORES!AN31-CONTADORES!AN30))</f>
        <v>3.5</v>
      </c>
      <c r="AX39" s="1397">
        <f ca="1">IF(B39&gt;=$J$5,0,(CONTADORES!P31-CONTADORES!P30)+(CONTADORES!AL31-CONTADORES!AL30))</f>
        <v>33.299999999995634</v>
      </c>
      <c r="AY39" s="1397">
        <f ca="1">IF(B39&gt;=$J$5,0,(CONTADORES!AJ31-CONTADORES!AJ30))</f>
        <v>4.8000000000029104</v>
      </c>
      <c r="AZ39" s="1397">
        <f ca="1">IF(B39&gt;=$J$5,0,(CONTADORES!R31-CONTADORES!R30))</f>
        <v>13.5</v>
      </c>
      <c r="BA39" s="1408">
        <f t="shared" ca="1" si="14"/>
        <v>11.740000000005836</v>
      </c>
      <c r="BB39" s="1406">
        <f ca="1">IF(B39&gt;=$J$5,0,(((CONTADORES!G31-CONTADORES!G30)+(CONTADORES!AR31-CONTADORES!AR30))))-AV39-BC39-BT39-BW39-BZ39-CE39</f>
        <v>1.8920000000064459</v>
      </c>
      <c r="BC39" s="1399">
        <f ca="1">IF(B39&gt;=$J$5,0,(CONTADORES!AY31-CONTADORES!AY30)+(CONTADORES!BA31-CONTADORES!BA30)+(CONTADORES!BF31-CONTADORES!BF30))-CC39</f>
        <v>1.3400000000001024</v>
      </c>
      <c r="BD39" s="1397">
        <f t="shared" ca="1" si="15"/>
        <v>222.79999999999927</v>
      </c>
      <c r="BE39" s="1397">
        <f ca="1">IF($B39&gt;=$J$5,0,CONTADORES!$BG31)</f>
        <v>6774.5299999999988</v>
      </c>
      <c r="BF39" s="1397">
        <f ca="1">IF($B39&gt;=$J$5,0,CONTADORES!$BH31)</f>
        <v>36168.259649122811</v>
      </c>
      <c r="BG39" s="1397">
        <f ca="1">IF($B39&gt;=$J$5,0,CONTADORES!$BJ31)</f>
        <v>6106.58</v>
      </c>
      <c r="BH39" s="1397">
        <f ca="1">IF(B39&gt;=$J$5,0,((CONTADORES!BK31-CONTADORES!BK30)/1000))</f>
        <v>1.5209999999999999</v>
      </c>
      <c r="BI39" s="1397">
        <f ca="1">IF(C39&gt;=$J$5,0,((CONTADORES!BL31-CONTADORES!BL30)/1000))</f>
        <v>1.474</v>
      </c>
      <c r="BJ39" s="1397">
        <f ca="1">IF(C39&gt;=$J$5,0,((CONTADORES!BM31-CONTADORES!BM30)/1000))</f>
        <v>0</v>
      </c>
      <c r="BK39" s="1397">
        <f ca="1">IF(D39&gt;=$J$5,0,((CONTADORES!BN31-CONTADORES!BN30)/1000))</f>
        <v>0</v>
      </c>
      <c r="BL39" s="1399">
        <f t="shared" ca="1" si="16"/>
        <v>1.5209999999999999</v>
      </c>
      <c r="BM39" s="1399">
        <f t="shared" ca="1" si="17"/>
        <v>1.474</v>
      </c>
      <c r="BN39" s="1397">
        <f ca="1">IF(W39&gt;=$J$5,0,CONTADORES!$BO31)</f>
        <v>136.18301138327593</v>
      </c>
      <c r="BO39" s="1397">
        <f ca="1">IF(W39&gt;=$J$5,0,CONTADORES!$BP31)</f>
        <v>45.960079473012669</v>
      </c>
      <c r="BP39" s="1397">
        <f ca="1">IF(W39&gt;=$J$5,0,CONTADORES!$BQ31)</f>
        <v>645.22732672589132</v>
      </c>
      <c r="BQ39" s="1397">
        <f ca="1">IF(B39&gt;=$J$5,0,(CONTADORES!AS31-CONTADORES!AS30))</f>
        <v>4.2999999999956344</v>
      </c>
      <c r="BR39" s="1397">
        <f ca="1">IF(C39&gt;=$J$5,0,(CONTADORES!AT31-CONTADORES!AT30))</f>
        <v>0</v>
      </c>
      <c r="BS39" s="1397">
        <f ca="1">IF(B39&gt;=$J$5,0,CONTADORES!BR31-CONTADORES!BR30)/1000</f>
        <v>0</v>
      </c>
      <c r="BT39" s="1397">
        <f ca="1">IF(B39&gt;=$J$5,0,CONTADORES!BS31-CONTADORES!BS30)</f>
        <v>0</v>
      </c>
      <c r="BU39" s="1397">
        <f ca="1">IF(B39&gt;=$J$5,0,CONTADORES!BT31-CONTADORES!BT30)</f>
        <v>0</v>
      </c>
      <c r="BV39" s="1397">
        <f ca="1">IF(B39&gt;=$J$5,0,CONTADORES!BU31-CONTADORES!BU30)/1000</f>
        <v>4.5789999999999997</v>
      </c>
      <c r="BW39" s="1397">
        <f ca="1">IF(B39&gt;=$J$5,0,CONTADORES!BV31-CONTADORES!BV30)/1000</f>
        <v>0.53200000000000003</v>
      </c>
      <c r="BX39" s="1397">
        <f ca="1">IF(B39&gt;=$J$5,0,CONTADORES!BW31-CONTADORES!BW30)</f>
        <v>24</v>
      </c>
      <c r="BY39" s="1397">
        <f ca="1">IF(B39&gt;=$J$5,0,CONTADORES!BX31-CONTADORES!BX30)/1000</f>
        <v>3.6560000000000001</v>
      </c>
      <c r="BZ39" s="1397">
        <f ca="1">IF(B39&gt;=$J$5,0,CONTADORES!BY31-CONTADORES!BY30)/1000</f>
        <v>3.5999999999999997E-2</v>
      </c>
      <c r="CA39" s="1397">
        <f ca="1">IF(B39&gt;=$J$5,0,CONTADORES!BZ31-CONTADORES!BZ30)</f>
        <v>24</v>
      </c>
      <c r="CB39" s="1397">
        <f ca="1">IF(B39&gt;=$J$5,0,(CONTADORES!CC31-CONTADORES!CC30)+(CONTADORES!CE31-CONTADORES!CE30))/1000</f>
        <v>1.403</v>
      </c>
      <c r="CC39" s="1397">
        <f ca="1">IF(B39&gt;=$J$5,0,(CONTADORES!CD31-CONTADORES!CD30)+(CONTADORES!CF31-CONTADORES!CF30))/1000</f>
        <v>0.86</v>
      </c>
      <c r="CD39" s="1397">
        <f ca="1">IF(B39&gt;=$J$5,0,CONTADORES!CA31-CONTADORES!CA30)</f>
        <v>6.3999999999996362</v>
      </c>
      <c r="CE39" s="1397">
        <f ca="1">IF(B39&gt;=$J$5,0,CONTADORES!CB31-CONTADORES!CB30)</f>
        <v>4.5</v>
      </c>
      <c r="CF39" s="1397">
        <f t="shared" ca="1" si="18"/>
        <v>10.082500000005728</v>
      </c>
      <c r="CG39" s="1397">
        <f t="shared" ca="1" si="19"/>
        <v>5.4460000000032229</v>
      </c>
      <c r="CH39" s="1397">
        <f t="shared" ca="1" si="20"/>
        <v>3.6825000000060921</v>
      </c>
      <c r="CI39" s="1397">
        <f t="shared" ca="1" si="21"/>
        <v>0.87879999999978176</v>
      </c>
      <c r="CJ39" s="1397">
        <f t="shared" ca="1" si="22"/>
        <v>3.6825000000060921</v>
      </c>
      <c r="CK39" s="1397">
        <f t="shared" ca="1" si="23"/>
        <v>1.3181999999996725</v>
      </c>
      <c r="CL39" s="1397">
        <f t="shared" ca="1" si="24"/>
        <v>2.281799999999782</v>
      </c>
      <c r="CM39" s="1397">
        <f t="shared" ca="1" si="25"/>
        <v>0.94600000000322293</v>
      </c>
      <c r="CN39" s="1397">
        <f ca="1">IF(B39&gt;=$J$5,0,CONTADORES!CB31-CONTADORES!CB30)</f>
        <v>4.5</v>
      </c>
      <c r="CO39" s="1397">
        <f t="shared" ca="1" si="26"/>
        <v>0.94600000000322293</v>
      </c>
      <c r="CP39" s="1397">
        <f t="shared" ca="1" si="27"/>
        <v>0.67000000000005122</v>
      </c>
      <c r="CQ39" s="1397">
        <f t="shared" ca="1" si="28"/>
        <v>0.67000000000005122</v>
      </c>
      <c r="CR39" s="1397">
        <f t="shared" ca="1" si="29"/>
        <v>1.5300000000000513</v>
      </c>
      <c r="CS39" s="1403">
        <f ca="1">IF($B39&gt;=$J$5,0,CONTADORES!$BI31)</f>
        <v>10729.926549251863</v>
      </c>
      <c r="CT39" s="1334">
        <f>CONTADORES!E31</f>
        <v>0</v>
      </c>
      <c r="CU39" s="1334">
        <f>CONTADORES!CG31</f>
        <v>0</v>
      </c>
    </row>
    <row r="40" spans="2:99">
      <c r="B40" s="214">
        <v>44956</v>
      </c>
      <c r="C40" s="198">
        <f t="shared" ca="1" si="0"/>
        <v>287.09999999997672</v>
      </c>
      <c r="D40" s="196">
        <f ca="1">'CALCULO DE GAS'!D33</f>
        <v>4.3810128876402779</v>
      </c>
      <c r="E40" s="196">
        <f ca="1">IF(B40&gt;=$J$5,0,(CONTADORES!$AD32-CONTADORES!$AD31)-$H40)</f>
        <v>24</v>
      </c>
      <c r="F40" s="198">
        <f t="shared" ca="1" si="30"/>
        <v>0</v>
      </c>
      <c r="G40" s="196">
        <f ca="1">IF(B40&gt;=$J$5,0,CONTADORES!$AF32-CONTADORES!$AF31)</f>
        <v>0</v>
      </c>
      <c r="H40" s="1396">
        <f ca="1">IF(G40&gt;0,CONTADORES!$AE32-CONTADORES!$AE31,0)</f>
        <v>0</v>
      </c>
      <c r="I40" s="199">
        <f ca="1">IF(B40&gt;=$J$5,0,CONTADORES!$AB32-CONTADORES!$AB31)</f>
        <v>287.09999999997672</v>
      </c>
      <c r="J40" s="198">
        <f t="shared" ca="1" si="2"/>
        <v>150</v>
      </c>
      <c r="K40" s="196">
        <f ca="1">'CALCULO DE GAS'!E33</f>
        <v>3.3643162584269666</v>
      </c>
      <c r="L40" s="1396">
        <f ca="1">IF(B40&gt;=$J$5,0,(CONTADORES!$Y32-CONTADORES!$Y31)-$O40)</f>
        <v>24</v>
      </c>
      <c r="M40" s="1396">
        <f t="shared" ca="1" si="3"/>
        <v>0</v>
      </c>
      <c r="N40" s="1396">
        <f ca="1">IF(B40&gt;=$J$5,0,CONTADORES!$AA32-CONTADORES!$AA31)</f>
        <v>0</v>
      </c>
      <c r="O40" s="1396">
        <f ca="1">IF(N40&gt;0,CONTADORES!$Z32-CONTADORES!$Z31,0)</f>
        <v>0</v>
      </c>
      <c r="P40" s="202">
        <f ca="1">IF(B40&gt;=$J$5,0,CONTADORES!$W32-CONTADORES!$W31)</f>
        <v>150</v>
      </c>
      <c r="Q40" s="202">
        <f ca="1">IF(B40&gt;=$J$5,0,CONTADORES!$B32-CONTADORES!$B31)</f>
        <v>0.20399999999995089</v>
      </c>
      <c r="R40" s="196">
        <f t="shared" ca="1" si="4"/>
        <v>24.479999999994106</v>
      </c>
      <c r="S40" s="11">
        <f ca="1">IF(B40&gt;=$J$5,0,CONTADORES!$D32-CONTADORES!$D31)</f>
        <v>0.5</v>
      </c>
      <c r="T40" s="209">
        <f ca="1">IF(B40&gt;=$J$5,0,CONTADORES!$BB32-CONTADORES!$BB31)</f>
        <v>0</v>
      </c>
      <c r="U40" s="196">
        <f t="shared" ca="1" si="5"/>
        <v>0</v>
      </c>
      <c r="V40" s="199">
        <f ca="1">IF(B40&gt;=$J$5,0,CONTADORES!$BD32-CONTADORES!$BD31)</f>
        <v>0</v>
      </c>
      <c r="W40" s="1397">
        <f t="shared" ca="1" si="6"/>
        <v>437.09999999997672</v>
      </c>
      <c r="X40" s="1397">
        <f t="shared" ca="1" si="7"/>
        <v>0.20399999999995089</v>
      </c>
      <c r="Y40" s="1398">
        <f t="shared" ca="1" si="8"/>
        <v>437.30399999997667</v>
      </c>
      <c r="Z40" s="1398">
        <f t="shared" ca="1" si="9"/>
        <v>7.7453291460672444</v>
      </c>
      <c r="AA40" s="1398">
        <f t="shared" ca="1" si="10"/>
        <v>24.479999999994106</v>
      </c>
      <c r="AB40" s="1398">
        <f t="shared" ca="1" si="11"/>
        <v>48</v>
      </c>
      <c r="AC40" s="1397">
        <f t="shared" ca="1" si="12"/>
        <v>0.5</v>
      </c>
      <c r="AD40" s="1397">
        <f ca="1">IF(B40&gt;=$J$5,0,CONTADORES!H32-CONTADORES!H31)</f>
        <v>165.19999999995343</v>
      </c>
      <c r="AE40" s="1397">
        <f ca="1">IF(B40&gt;=$J$5,0,CONTADORES!J32-CONTADORES!J31)</f>
        <v>24</v>
      </c>
      <c r="AF40" s="1397">
        <f ca="1">IF(B40&gt;=$J$5,0,CONTADORES!AU32-CONTADORES!AU31)</f>
        <v>141</v>
      </c>
      <c r="AG40" s="1397">
        <f ca="1">IF(B40&gt;=$J$5,0,CONTADORES!AW32-CONTADORES!AW31)</f>
        <v>24</v>
      </c>
      <c r="AH40" s="1397">
        <f ca="1">IF(B40&gt;=$J$5,0,(CONTADORES!AM32-CONTADORES!AM31)+(CONTADORES!M32-CONTADORES!M31))</f>
        <v>8.3000000000029104</v>
      </c>
      <c r="AI40" s="1397">
        <f ca="1">IF(B40&gt;=$J$5,0,(CONTADORES!AK32-CONTADORES!AK31)+(CONTADORES!O32-CONTADORES!O31))</f>
        <v>40.900000000001455</v>
      </c>
      <c r="AJ40" s="1397">
        <f ca="1">IF(B40&gt;=$J$5,0,(CONTADORES!AI32-CONTADORES!AI31))</f>
        <v>5.5</v>
      </c>
      <c r="AK40" s="1397">
        <f ca="1">IF(B40&gt;=$J$5,0,(CONTADORES!Q32-CONTADORES!Q31))</f>
        <v>15.399999999994179</v>
      </c>
      <c r="AL40" s="1402">
        <f t="shared" ca="1" si="13"/>
        <v>33.004000000024632</v>
      </c>
      <c r="AM40" s="1397">
        <f ca="1">IF(B40&gt;=$J$5,0,(((CONTADORES!F32-CONTADORES!F31)+(CONTADORES!AQ32-CONTADORES!AQ31))))-BS40-AF40-AN40-BV40-BY40-CD40-CB40</f>
        <v>8.7149999999991845</v>
      </c>
      <c r="AN40" s="1397">
        <f ca="1">IF(B40&gt;=$J$5,0,(CONTADORES!AX32-CONTADORES!AX31)+(CONTADORES!AZ32-CONTADORES!AZ31)+(CONTADORES!BE32-CONTADORES!BE31))-CB40</f>
        <v>3.344000000000273</v>
      </c>
      <c r="AO40" s="1399">
        <f ca="1">IF(B40&gt;=$J$5,0,(CONTADORES!AC32-CONTADORES!AC31))</f>
        <v>139.29999999998836</v>
      </c>
      <c r="AP40" s="1399">
        <f ca="1">IF(B40&gt;=$J$5,0,(CONTADORES!X32-CONTADORES!X31))</f>
        <v>79.299999999999272</v>
      </c>
      <c r="AQ40" s="1404">
        <f ca="1">IF(B40&gt;=$J$5,0,(CONTADORES!C32-CONTADORES!C31))</f>
        <v>7.3000000000092768E-2</v>
      </c>
      <c r="AR40" s="1404">
        <f ca="1">IF(B40&gt;=$J$5,0,(CONTADORES!BC32-CONTADORES!BC31))</f>
        <v>0</v>
      </c>
      <c r="AS40" s="1397">
        <f ca="1">IF(B40&gt;=$J$5,0,CONTADORES!S32-CONTADORES!S31)</f>
        <v>17</v>
      </c>
      <c r="AT40" s="1397">
        <f ca="1">IF(B40&gt;=$J$5,0,(CONTADORES!U32-CONTADORES!U31)+(CONTADORES!AG32-CONTADORES!AG31))</f>
        <v>2.1999999999970896</v>
      </c>
      <c r="AU40" s="1397">
        <f>CONTADORES!I32-CONTADORES!I31</f>
        <v>83.200000000011642</v>
      </c>
      <c r="AV40" s="1397">
        <f>CONTADORES!AV32-CONTADORES!AV31</f>
        <v>62</v>
      </c>
      <c r="AW40" s="1397">
        <f ca="1">IF(B40&gt;=$J$5,0,(CONTADORES!N32-CONTADORES!N31)+(CONTADORES!AN32-CONTADORES!AN31))</f>
        <v>3.3000000000029104</v>
      </c>
      <c r="AX40" s="1397">
        <f ca="1">IF(B40&gt;=$J$5,0,(CONTADORES!P32-CONTADORES!P31)+(CONTADORES!AL32-CONTADORES!AL31))</f>
        <v>32.500000000007276</v>
      </c>
      <c r="AY40" s="1397">
        <f ca="1">IF(B40&gt;=$J$5,0,(CONTADORES!AJ32-CONTADORES!AJ31))</f>
        <v>4.2999999999956344</v>
      </c>
      <c r="AZ40" s="1397">
        <f ca="1">IF(B40&gt;=$J$5,0,(CONTADORES!R32-CONTADORES!R31))</f>
        <v>12.5</v>
      </c>
      <c r="BA40" s="1408">
        <f t="shared" ca="1" si="14"/>
        <v>11.341999999970426</v>
      </c>
      <c r="BB40" s="1406">
        <f ca="1">IF(B40&gt;=$J$5,0,(((CONTADORES!G32-CONTADORES!G31)+(CONTADORES!AR32-CONTADORES!AR31))))-AV40-BC40-BT40-BW40-BZ40-CE40</f>
        <v>3.0950000000001809</v>
      </c>
      <c r="BC40" s="1399">
        <f ca="1">IF(B40&gt;=$J$5,0,(CONTADORES!AY32-CONTADORES!AY31)+(CONTADORES!BA32-CONTADORES!BA31)+(CONTADORES!BF32-CONTADORES!BF31))-CC40</f>
        <v>0.66900000000000004</v>
      </c>
      <c r="BD40" s="1397">
        <f t="shared" ca="1" si="15"/>
        <v>218.67299999998772</v>
      </c>
      <c r="BE40" s="1397">
        <f ca="1">IF($B40&gt;=$J$5,0,CONTADORES!$BG32)</f>
        <v>6993.62</v>
      </c>
      <c r="BF40" s="1397">
        <f ca="1">IF($B40&gt;=$J$5,0,CONTADORES!$BH32)</f>
        <v>34552.380701754388</v>
      </c>
      <c r="BG40" s="1397">
        <f ca="1">IF($B40&gt;=$J$5,0,CONTADORES!$BJ32)</f>
        <v>5618.69</v>
      </c>
      <c r="BH40" s="1397">
        <f ca="1">IF(B40&gt;=$J$5,0,((CONTADORES!BK32-CONTADORES!BK31)/1000))</f>
        <v>1.542</v>
      </c>
      <c r="BI40" s="1397">
        <f ca="1">IF(C40&gt;=$J$5,0,((CONTADORES!BL32-CONTADORES!BL31)/1000))</f>
        <v>1.49</v>
      </c>
      <c r="BJ40" s="1397">
        <f ca="1">IF(C40&gt;=$J$5,0,((CONTADORES!BM32-CONTADORES!BM31)/1000))</f>
        <v>0</v>
      </c>
      <c r="BK40" s="1397">
        <f ca="1">IF(D40&gt;=$J$5,0,((CONTADORES!BN32-CONTADORES!BN31)/1000))</f>
        <v>0</v>
      </c>
      <c r="BL40" s="1399">
        <f t="shared" ca="1" si="16"/>
        <v>1.542</v>
      </c>
      <c r="BM40" s="1399">
        <f t="shared" ca="1" si="17"/>
        <v>1.49</v>
      </c>
      <c r="BN40" s="1397">
        <f ca="1">IF(W40&gt;=$J$5,0,CONTADORES!$BO32)</f>
        <v>137.00355667547149</v>
      </c>
      <c r="BO40" s="1397">
        <f ca="1">IF(W40&gt;=$J$5,0,CONTADORES!$BP32)</f>
        <v>45.641541098966819</v>
      </c>
      <c r="BP40" s="1397">
        <f ca="1">IF(W40&gt;=$J$5,0,CONTADORES!$BQ32)</f>
        <v>653.81401370938715</v>
      </c>
      <c r="BQ40" s="1397">
        <f ca="1">IF(B40&gt;=$J$5,0,(CONTADORES!AS32-CONTADORES!AS31))</f>
        <v>4.7000000000043656</v>
      </c>
      <c r="BR40" s="1397">
        <f ca="1">IF(C40&gt;=$J$5,0,(CONTADORES!AT32-CONTADORES!AT31))</f>
        <v>0</v>
      </c>
      <c r="BS40" s="1397">
        <f ca="1">IF(B40&gt;=$J$5,0,CONTADORES!BR32-CONTADORES!BR31)/1000</f>
        <v>0</v>
      </c>
      <c r="BT40" s="1397">
        <f ca="1">IF(B40&gt;=$J$5,0,CONTADORES!BS32-CONTADORES!BS31)</f>
        <v>0</v>
      </c>
      <c r="BU40" s="1397">
        <f ca="1">IF(B40&gt;=$J$5,0,CONTADORES!BT32-CONTADORES!BT31)</f>
        <v>0</v>
      </c>
      <c r="BV40" s="1397">
        <f ca="1">IF(B40&gt;=$J$5,0,CONTADORES!BU32-CONTADORES!BU31)/1000</f>
        <v>4.5129999999999999</v>
      </c>
      <c r="BW40" s="1397">
        <f ca="1">IF(B40&gt;=$J$5,0,CONTADORES!BV32-CONTADORES!BV31)/1000</f>
        <v>0.51200000000000001</v>
      </c>
      <c r="BX40" s="1397">
        <f ca="1">IF(B40&gt;=$J$5,0,CONTADORES!BW32-CONTADORES!BW31)</f>
        <v>24</v>
      </c>
      <c r="BY40" s="1397">
        <f ca="1">IF(B40&gt;=$J$5,0,CONTADORES!BX32-CONTADORES!BX31)/1000</f>
        <v>3.6720000000000002</v>
      </c>
      <c r="BZ40" s="1397">
        <f ca="1">IF(B40&gt;=$J$5,0,CONTADORES!BY32-CONTADORES!BY31)/1000</f>
        <v>2.4E-2</v>
      </c>
      <c r="CA40" s="1397">
        <f ca="1">IF(B40&gt;=$J$5,0,CONTADORES!BZ32-CONTADORES!BZ31)</f>
        <v>24</v>
      </c>
      <c r="CB40" s="1397">
        <f ca="1">IF(B40&gt;=$J$5,0,(CONTADORES!CC32-CONTADORES!CC31)+(CONTADORES!CE32-CONTADORES!CE31))/1000</f>
        <v>1.3560000000000001</v>
      </c>
      <c r="CC40" s="1397">
        <f ca="1">IF(B40&gt;=$J$5,0,(CONTADORES!CD32-CONTADORES!CD31)+(CONTADORES!CF32-CONTADORES!CF31))/1000</f>
        <v>0.83099999999999996</v>
      </c>
      <c r="CD40" s="1397">
        <f ca="1">IF(B40&gt;=$J$5,0,CONTADORES!CA32-CONTADORES!CA31)</f>
        <v>6.4000000000005457</v>
      </c>
      <c r="CE40" s="1397">
        <f ca="1">IF(B40&gt;=$J$5,0,CONTADORES!CB32-CONTADORES!CB31)</f>
        <v>4.3999999999996362</v>
      </c>
      <c r="CF40" s="1397">
        <f t="shared" ca="1" si="18"/>
        <v>10.757500000000139</v>
      </c>
      <c r="CG40" s="1397">
        <f t="shared" ca="1" si="19"/>
        <v>5.9474999999997262</v>
      </c>
      <c r="CH40" s="1397">
        <f t="shared" ca="1" si="20"/>
        <v>4.3574999999995923</v>
      </c>
      <c r="CI40" s="1397">
        <f t="shared" ca="1" si="21"/>
        <v>1.3376000000001094</v>
      </c>
      <c r="CJ40" s="1397">
        <f t="shared" ca="1" si="22"/>
        <v>4.3574999999995923</v>
      </c>
      <c r="CK40" s="1397">
        <f t="shared" ca="1" si="23"/>
        <v>2.0064000000001636</v>
      </c>
      <c r="CL40" s="1397">
        <f t="shared" ca="1" si="24"/>
        <v>2.6936000000001092</v>
      </c>
      <c r="CM40" s="1397">
        <f t="shared" ca="1" si="25"/>
        <v>1.5475000000000905</v>
      </c>
      <c r="CN40" s="1397">
        <f ca="1">IF(B40&gt;=$J$5,0,CONTADORES!CB32-CONTADORES!CB31)</f>
        <v>4.3999999999996362</v>
      </c>
      <c r="CO40" s="1397">
        <f t="shared" ca="1" si="26"/>
        <v>1.5475000000000905</v>
      </c>
      <c r="CP40" s="1397">
        <f t="shared" ca="1" si="27"/>
        <v>0.33450000000000002</v>
      </c>
      <c r="CQ40" s="1397">
        <f t="shared" ca="1" si="28"/>
        <v>0.33450000000000002</v>
      </c>
      <c r="CR40" s="1397">
        <f t="shared" ca="1" si="29"/>
        <v>1.1655</v>
      </c>
      <c r="CS40" s="1403">
        <f ca="1">IF($B40&gt;=$J$5,0,CONTADORES!$BI32)</f>
        <v>10585.518551273301</v>
      </c>
      <c r="CT40" s="1334">
        <f>CONTADORES!E32</f>
        <v>1</v>
      </c>
      <c r="CU40" s="1334">
        <f>CONTADORES!CG32</f>
        <v>0</v>
      </c>
    </row>
    <row r="41" spans="2:99" ht="15" thickBot="1">
      <c r="B41" s="214">
        <v>44957</v>
      </c>
      <c r="C41" s="200">
        <f t="shared" ca="1" si="0"/>
        <v>291.90000000002328</v>
      </c>
      <c r="D41" s="197">
        <f ca="1">'CALCULO DE GAS'!D34</f>
        <v>4.4166083932586009</v>
      </c>
      <c r="E41" s="197">
        <f ca="1">IF(B41&gt;=$J$5,0,(CONTADORES!$AD33-CONTADORES!$AD32)-$H41)</f>
        <v>24</v>
      </c>
      <c r="F41" s="200">
        <f t="shared" ca="1" si="30"/>
        <v>0</v>
      </c>
      <c r="G41" s="197">
        <f ca="1">IF(B41&gt;=$J$5,0,CONTADORES!$AF33-CONTADORES!$AF32)</f>
        <v>0</v>
      </c>
      <c r="H41" s="1424">
        <f ca="1">IF(G41&gt;0,CONTADORES!$AE33-CONTADORES!$AE32,0)</f>
        <v>0</v>
      </c>
      <c r="I41" s="201">
        <f ca="1">IF(B41&gt;=$J$5,0,CONTADORES!$AB33-CONTADORES!$AB32)</f>
        <v>291.90000000002328</v>
      </c>
      <c r="J41" s="200">
        <f t="shared" ca="1" si="2"/>
        <v>149.30000000000291</v>
      </c>
      <c r="K41" s="197">
        <f ca="1">'CALCULO DE GAS'!E34</f>
        <v>3.3591252471910336</v>
      </c>
      <c r="L41" s="1424">
        <f ca="1">IF(B41&gt;=$J$5,0,(CONTADORES!$Y33-CONTADORES!$Y32)-$O41)</f>
        <v>24</v>
      </c>
      <c r="M41" s="197">
        <f t="shared" ca="1" si="3"/>
        <v>0</v>
      </c>
      <c r="N41" s="1424">
        <f ca="1">IF(B41&gt;=$J$5,0,CONTADORES!$AA33-CONTADORES!$AA32)</f>
        <v>0</v>
      </c>
      <c r="O41" s="1424">
        <f ca="1">IF(N41&gt;0,CONTADORES!$Z33-CONTADORES!$Z32,0)</f>
        <v>0</v>
      </c>
      <c r="P41" s="203">
        <f ca="1">IF(B41&gt;=$J$5,0,CONTADORES!$W33-CONTADORES!$W32)</f>
        <v>149.30000000000291</v>
      </c>
      <c r="Q41" s="203">
        <f ca="1">IF(B41&gt;=$J$5,0,CONTADORES!$B33-CONTADORES!$B32)</f>
        <v>0</v>
      </c>
      <c r="R41" s="197">
        <f t="shared" ca="1" si="4"/>
        <v>0</v>
      </c>
      <c r="S41" s="64">
        <f ca="1">IF(B41&gt;=$J$5,0,CONTADORES!$D33-CONTADORES!$D32)</f>
        <v>0</v>
      </c>
      <c r="T41" s="203">
        <f ca="1">IF(B41&gt;=$J$5,0,CONTADORES!$BB33-CONTADORES!$BB32)</f>
        <v>0.125</v>
      </c>
      <c r="U41" s="197">
        <f t="shared" ca="1" si="5"/>
        <v>15</v>
      </c>
      <c r="V41" s="201">
        <f ca="1">IF(B41&gt;=$J$5,0,CONTADORES!$BD33-CONTADORES!$BD32)</f>
        <v>0.17000000000007276</v>
      </c>
      <c r="W41" s="1425">
        <f t="shared" ca="1" si="6"/>
        <v>441.20000000002619</v>
      </c>
      <c r="X41" s="1425">
        <f t="shared" ca="1" si="7"/>
        <v>0.125</v>
      </c>
      <c r="Y41" s="1426">
        <f t="shared" ca="1" si="8"/>
        <v>441.32500000002619</v>
      </c>
      <c r="Z41" s="1426">
        <f t="shared" ca="1" si="9"/>
        <v>7.7757336404496344</v>
      </c>
      <c r="AA41" s="1426">
        <f t="shared" ca="1" si="10"/>
        <v>15</v>
      </c>
      <c r="AB41" s="1426">
        <f t="shared" ca="1" si="11"/>
        <v>48</v>
      </c>
      <c r="AC41" s="1426">
        <f t="shared" ca="1" si="12"/>
        <v>0.17000000000007276</v>
      </c>
      <c r="AD41" s="1472">
        <f ca="1">IF(B41&gt;=$J$5,0,CONTADORES!H33-CONTADORES!H32)</f>
        <v>166.40000000002328</v>
      </c>
      <c r="AE41" s="1426">
        <f ca="1">IF(B41&gt;=$J$5,0,CONTADORES!J33-CONTADORES!J32)</f>
        <v>24</v>
      </c>
      <c r="AF41" s="1425">
        <f ca="1">IF(B41&gt;=$J$5,0,CONTADORES!AU33-CONTADORES!AU32)</f>
        <v>143</v>
      </c>
      <c r="AG41" s="1426">
        <f ca="1">IF(B41&gt;=$J$5,0,CONTADORES!AW33-CONTADORES!AW32)</f>
        <v>24</v>
      </c>
      <c r="AH41" s="1425">
        <f ca="1">IF(B41&gt;=$J$5,0,(CONTADORES!AM33-CONTADORES!AM32)+(CONTADORES!M33-CONTADORES!M32))</f>
        <v>12.69999999999709</v>
      </c>
      <c r="AI41" s="1425">
        <f ca="1">IF(B41&gt;=$J$5,0,(CONTADORES!AK33-CONTADORES!AK32)+(CONTADORES!O33-CONTADORES!O32))</f>
        <v>39.799999999995634</v>
      </c>
      <c r="AJ41" s="1425">
        <f ca="1">IF(B41&gt;=$J$5,0,(CONTADORES!AI33-CONTADORES!AI32))</f>
        <v>5.5999999999912689</v>
      </c>
      <c r="AK41" s="1425">
        <f ca="1">IF(B41&gt;=$J$5,0,(CONTADORES!Q33-CONTADORES!Q32))</f>
        <v>16.5</v>
      </c>
      <c r="AL41" s="1425">
        <f t="shared" ca="1" si="13"/>
        <v>30.72499999999485</v>
      </c>
      <c r="AM41" s="1425">
        <f ca="1">IF(B41&gt;=$J$5,0,(((CONTADORES!F33-CONTADORES!F32)+(CONTADORES!AQ33-CONTADORES!AQ32))))-BS41-AF41-AN41-BV41-BY41-CD41-CB41</f>
        <v>9.016000000024011</v>
      </c>
      <c r="AN41" s="1425">
        <f ca="1">IF(B41&gt;=$J$5,0,(CONTADORES!AX33-CONTADORES!AX32)+(CONTADORES!AZ33-CONTADORES!AZ32)+(CONTADORES!BE33-CONTADORES!BE32))-CB41</f>
        <v>1.8449999999998181</v>
      </c>
      <c r="AO41" s="1427">
        <f ca="1">IF(B41&gt;=$J$5,0,(CONTADORES!AC33-CONTADORES!AC32))</f>
        <v>141.5</v>
      </c>
      <c r="AP41" s="1427">
        <f ca="1">IF(B41&gt;=$J$5,0,(CONTADORES!X33-CONTADORES!X32))</f>
        <v>79.200000000000728</v>
      </c>
      <c r="AQ41" s="1428">
        <f ca="1">IF(B41&gt;=$J$5,0,(CONTADORES!C33-CONTADORES!C32))</f>
        <v>0</v>
      </c>
      <c r="AR41" s="1428">
        <f ca="1">IF(B41&gt;=$J$5,0,(CONTADORES!BC33-CONTADORES!BC32))</f>
        <v>4.7000000000025466E-2</v>
      </c>
      <c r="AS41" s="1425">
        <f ca="1">IF(B41&gt;=$J$5,0,CONTADORES!S33-CONTADORES!S32)</f>
        <v>17.5</v>
      </c>
      <c r="AT41" s="1425">
        <f ca="1">IF(B41&gt;=$J$5,0,(CONTADORES!U33-CONTADORES!U32)+(CONTADORES!AG33-CONTADORES!AG32))</f>
        <v>2.2000000000043656</v>
      </c>
      <c r="AU41" s="1426">
        <f>CONTADORES!I33-CONTADORES!I32</f>
        <v>83.299999999988358</v>
      </c>
      <c r="AV41" s="1425">
        <f>CONTADORES!AV33-CONTADORES!AV32</f>
        <v>62</v>
      </c>
      <c r="AW41" s="1425">
        <f ca="1">IF(B41&gt;=$J$5,0,(CONTADORES!N33-CONTADORES!N32)+(CONTADORES!AN33-CONTADORES!AN32))</f>
        <v>4.5999999999985448</v>
      </c>
      <c r="AX41" s="1425">
        <f ca="1">IF(B41&gt;=$J$5,0,(CONTADORES!P33-CONTADORES!P32)+(CONTADORES!AL33-CONTADORES!AL32))</f>
        <v>31.5</v>
      </c>
      <c r="AY41" s="1425">
        <f ca="1">IF(B41&gt;=$J$5,0,(CONTADORES!AJ33-CONTADORES!AJ32))</f>
        <v>4.3000000000029104</v>
      </c>
      <c r="AZ41" s="1425">
        <f ca="1">IF(B41&gt;=$J$5,0,(CONTADORES!R33-CONTADORES!R32))</f>
        <v>14.399999999994179</v>
      </c>
      <c r="BA41" s="1429">
        <f t="shared" ca="1" si="14"/>
        <v>8.4060000000052923</v>
      </c>
      <c r="BB41" s="1429">
        <f ca="1">IF(B41&gt;=$J$5,0,(((CONTADORES!G33-CONTADORES!G32)+(CONTADORES!AR33-CONTADORES!AR32))))-AV41-BC41-BT41-BW41-BZ41-CE41</f>
        <v>5.3460000000116512</v>
      </c>
      <c r="BC41" s="1429">
        <f ca="1">IF(B41&gt;=$J$5,0,(CONTADORES!AY33-CONTADORES!AY32)+(CONTADORES!BA33-CONTADORES!BA32)+(CONTADORES!BF33-CONTADORES!BF32))-CC41</f>
        <v>1.0589999999998068</v>
      </c>
      <c r="BD41" s="1425">
        <f t="shared" ca="1" si="15"/>
        <v>220.74700000000075</v>
      </c>
      <c r="BE41" s="1426">
        <f ca="1">IF($B41&gt;=$J$5,0,CONTADORES!$BG33)</f>
        <v>7147.18</v>
      </c>
      <c r="BF41" s="1425">
        <f ca="1">IF($B41&gt;=$J$5,0,CONTADORES!$BH33)</f>
        <v>34874.247368420998</v>
      </c>
      <c r="BG41" s="1425">
        <f ca="1">IF($B41&gt;=$J$5,0,CONTADORES!$BJ33)</f>
        <v>52733.130666261</v>
      </c>
      <c r="BH41" s="1425">
        <f ca="1">IF(B41&gt;=$J$5,0,((CONTADORES!BK33-CONTADORES!BK32)/1000))</f>
        <v>1.5229999999999999</v>
      </c>
      <c r="BI41" s="1425">
        <f ca="1">IF(C41&gt;=$J$5,0,((CONTADORES!BL33-CONTADORES!BL32)/1000))</f>
        <v>1.4810000000000001</v>
      </c>
      <c r="BJ41" s="1425">
        <f ca="1">IF(C41&gt;=$J$5,0,((CONTADORES!BM33-CONTADORES!BM32)/1000))</f>
        <v>0</v>
      </c>
      <c r="BK41" s="1425">
        <f ca="1">IF(D41&gt;=$J$5,0,((CONTADORES!BN33-CONTADORES!BN32)/1000))</f>
        <v>0</v>
      </c>
      <c r="BL41" s="61">
        <f t="shared" ca="1" si="16"/>
        <v>1.5229999999999999</v>
      </c>
      <c r="BM41" s="1427">
        <f t="shared" ca="1" si="17"/>
        <v>1.4810000000000001</v>
      </c>
      <c r="BN41" s="1426">
        <f ca="1">IF(W41&gt;=$J$5,0,CONTADORES!$BO33)</f>
        <v>135.82895065940934</v>
      </c>
      <c r="BO41" s="1426">
        <f ca="1">IF(W41&gt;=$J$5,0,CONTADORES!$BP33)</f>
        <v>45.703519567111087</v>
      </c>
      <c r="BP41" s="1425">
        <f ca="1">IF(W41&gt;=$J$5,0,CONTADORES!$BQ33)</f>
        <v>651.0305194700195</v>
      </c>
      <c r="BQ41" s="1425">
        <f ca="1">IF(B41&gt;=$J$5,0,(CONTADORES!AS33-CONTADORES!AS32))</f>
        <v>4.7999999999956344</v>
      </c>
      <c r="BR41" s="1425">
        <f ca="1">IF(C41&gt;=$J$5,0,(CONTADORES!AT33-CONTADORES!AT32))</f>
        <v>0</v>
      </c>
      <c r="BS41" s="1397">
        <f ca="1">IF(B41&gt;=$J$5,0,CONTADORES!BR33-CONTADORES!BR32)/1000</f>
        <v>0</v>
      </c>
      <c r="BT41" s="1425">
        <f ca="1">IF(B41&gt;=$J$5,0,CONTADORES!BS33-CONTADORES!BS32)</f>
        <v>0</v>
      </c>
      <c r="BU41" s="1425">
        <f ca="1">IF(B41&gt;=$J$5,0,CONTADORES!BT33-CONTADORES!BT32)</f>
        <v>0</v>
      </c>
      <c r="BV41" s="1425">
        <f ca="1">IF(B41&gt;=$J$5,0,CONTADORES!BU33-CONTADORES!BU32)/1000</f>
        <v>4.4710000000000001</v>
      </c>
      <c r="BW41" s="1425">
        <f ca="1">IF(B41&gt;=$J$5,0,CONTADORES!BV33-CONTADORES!BV32)/1000</f>
        <v>0.47</v>
      </c>
      <c r="BX41" s="1425">
        <f ca="1">IF(B41&gt;=$J$5,0,CONTADORES!BW33-CONTADORES!BW32)</f>
        <v>23.599999999998545</v>
      </c>
      <c r="BY41" s="1425">
        <f ca="1">IF(B41&gt;=$J$5,0,CONTADORES!BX33-CONTADORES!BX32)/1000</f>
        <v>3.613</v>
      </c>
      <c r="BZ41" s="1425">
        <f ca="1">IF(B41&gt;=$J$5,0,CONTADORES!BY33-CONTADORES!BY32)/1000</f>
        <v>2.5000000000000001E-2</v>
      </c>
      <c r="CA41" s="1425">
        <f ca="1">IF(B41&gt;=$J$5,0,CONTADORES!BZ33-CONTADORES!BZ32)</f>
        <v>23.600000000000364</v>
      </c>
      <c r="CB41" s="1425">
        <f ca="1">IF(B41&gt;=$J$5,0,(CONTADORES!CC33-CONTADORES!CC32)+(CONTADORES!CE33-CONTADORES!CE32))/1000</f>
        <v>1.355</v>
      </c>
      <c r="CC41" s="1425">
        <f ca="1">IF(B41&gt;=$J$5,0,(CONTADORES!CD33-CONTADORES!CD32)+(CONTADORES!CF33-CONTADORES!CF32))/1000</f>
        <v>0.84099999999999997</v>
      </c>
      <c r="CD41" s="1425">
        <f ca="1">IF(B41&gt;=$J$5,0,CONTADORES!CA33-CONTADORES!CA32)</f>
        <v>6.3000000000001819</v>
      </c>
      <c r="CE41" s="1425">
        <f ca="1">IF(B41&gt;=$J$5,0,CONTADORES!CB33-CONTADORES!CB32)</f>
        <v>4.5</v>
      </c>
      <c r="CF41" s="1425">
        <f t="shared" ca="1" si="18"/>
        <v>10.808000000012187</v>
      </c>
      <c r="CG41" s="1425">
        <f t="shared" ca="1" si="19"/>
        <v>7.1730000000058256</v>
      </c>
      <c r="CH41" s="1425">
        <f t="shared" ca="1" si="20"/>
        <v>4.5080000000120055</v>
      </c>
      <c r="CI41" s="1425">
        <f t="shared" ca="1" si="21"/>
        <v>0.73799999999992727</v>
      </c>
      <c r="CJ41" s="1425">
        <f t="shared" ca="1" si="22"/>
        <v>4.5080000000120055</v>
      </c>
      <c r="CK41" s="1425">
        <f t="shared" ca="1" si="23"/>
        <v>1.106999999999891</v>
      </c>
      <c r="CL41" s="1425">
        <f t="shared" ca="1" si="24"/>
        <v>2.0929999999999271</v>
      </c>
      <c r="CM41" s="1425">
        <f t="shared" ca="1" si="25"/>
        <v>2.6730000000058256</v>
      </c>
      <c r="CN41" s="1425">
        <f ca="1">IF(B41&gt;=$J$5,0,CONTADORES!CB33-CONTADORES!CB32)</f>
        <v>4.5</v>
      </c>
      <c r="CO41" s="1425">
        <f t="shared" ca="1" si="26"/>
        <v>2.6730000000058256</v>
      </c>
      <c r="CP41" s="1425">
        <f t="shared" ca="1" si="27"/>
        <v>0.52949999999990338</v>
      </c>
      <c r="CQ41" s="1425">
        <f t="shared" ca="1" si="28"/>
        <v>0.52949999999990338</v>
      </c>
      <c r="CR41" s="1425">
        <f t="shared" ca="1" si="29"/>
        <v>1.3704999999999035</v>
      </c>
      <c r="CS41" s="1430">
        <f ca="1">IF($B41&gt;=$J$5,0,CONTADORES!$BI33)</f>
        <v>10711.70329784</v>
      </c>
      <c r="CT41" s="1431">
        <f>CONTADORES!E33</f>
        <v>0</v>
      </c>
      <c r="CU41" s="1431">
        <f>CONTADORES!CG33</f>
        <v>0</v>
      </c>
    </row>
    <row r="42" spans="2:99">
      <c r="B42" s="8">
        <v>44958</v>
      </c>
      <c r="C42" s="198">
        <f t="shared" ca="1" si="0"/>
        <v>293.90000000002328</v>
      </c>
      <c r="D42" s="196">
        <f ca="1">'CALCULO DE GAS'!D38</f>
        <v>4.8729764251872218</v>
      </c>
      <c r="E42" s="196">
        <f ca="1">IF(B42&gt;=$J$5,0,(CONTADORES!$AD36-CONTADORES!$AD35)-$H42)</f>
        <v>24</v>
      </c>
      <c r="F42" s="198">
        <f t="shared" ref="F42:F65" ca="1" si="31">IF(H42=0,0,"ERROR")</f>
        <v>0</v>
      </c>
      <c r="G42" s="196">
        <f ca="1">IF(B42&gt;=$J$5,0,CONTADORES!$AF36-CONTADORES!$AF35)</f>
        <v>0</v>
      </c>
      <c r="H42" s="1432">
        <f ca="1">IF(G42&gt;0,CONTADORES!$AE36-CONTADORES!$AE35,0)</f>
        <v>0</v>
      </c>
      <c r="I42" s="199">
        <f ca="1">IF(B42&gt;=$J$5,0,CONTADORES!$AB36-CONTADORES!$AB35)</f>
        <v>293.90000000002328</v>
      </c>
      <c r="J42" s="198">
        <f t="shared" ca="1" si="2"/>
        <v>158.59999999999854</v>
      </c>
      <c r="K42" s="196">
        <f ca="1">'CALCULO DE GAS'!E38</f>
        <v>3.769657223192008</v>
      </c>
      <c r="L42" s="1396">
        <f ca="1">IF(B42&gt;=$J$5,0,(CONTADORES!$Y36-CONTADORES!$Y35)-$O42)</f>
        <v>24</v>
      </c>
      <c r="M42" s="1396">
        <f t="shared" ca="1" si="3"/>
        <v>0</v>
      </c>
      <c r="N42" s="1396">
        <f ca="1">IF(B42&gt;=$J$5,0,CONTADORES!$AA36-CONTADORES!AA35)</f>
        <v>0</v>
      </c>
      <c r="O42" s="1396">
        <f ca="1">IF(N42&gt;0,CONTADORES!$Z36-CONTADORES!$Z35,0)</f>
        <v>0</v>
      </c>
      <c r="P42" s="202">
        <f ca="1">IF(B42&gt;=$J$5,0,CONTADORES!$W36-CONTADORES!$W35)</f>
        <v>158.59999999999854</v>
      </c>
      <c r="Q42" s="202">
        <f ca="1">IF(B42&gt;=$J$5,0,CONTADORES!$B36-CONTADORES!$B35)</f>
        <v>0</v>
      </c>
      <c r="R42" s="196">
        <f t="shared" ca="1" si="4"/>
        <v>0</v>
      </c>
      <c r="S42" s="11">
        <f ca="1">IF(B42&gt;=$J$5,0,CONTADORES!$D36-CONTADORES!$D35)</f>
        <v>0</v>
      </c>
      <c r="T42" s="198">
        <f ca="1">IF(B42&gt;=$J$5,0,CONTADORES!$BB36-CONTADORES!$BB35)</f>
        <v>0</v>
      </c>
      <c r="U42" s="196">
        <f t="shared" ca="1" si="5"/>
        <v>0</v>
      </c>
      <c r="V42" s="199">
        <f ca="1">IF(B42&gt;=$J$5,0,CONTADORES!$BD36-CONTADORES!$BD35)</f>
        <v>0</v>
      </c>
      <c r="W42" s="1397">
        <f t="shared" ca="1" si="6"/>
        <v>452.50000000002183</v>
      </c>
      <c r="X42" s="1397">
        <f t="shared" ca="1" si="7"/>
        <v>0</v>
      </c>
      <c r="Y42" s="1398">
        <f t="shared" ca="1" si="8"/>
        <v>452.50000000002183</v>
      </c>
      <c r="Z42" s="1398">
        <f t="shared" ca="1" si="9"/>
        <v>8.6426336483792294</v>
      </c>
      <c r="AA42" s="1398">
        <f t="shared" ca="1" si="10"/>
        <v>0</v>
      </c>
      <c r="AB42" s="1398">
        <f t="shared" ca="1" si="11"/>
        <v>48</v>
      </c>
      <c r="AC42" s="1397">
        <f t="shared" ca="1" si="12"/>
        <v>0</v>
      </c>
      <c r="AD42" s="1397">
        <f ca="1">IF(B42=$J$5,0,CONTADORES!H36-CONTADORES!H35)</f>
        <v>167.30000000004657</v>
      </c>
      <c r="AE42" s="1397">
        <f ca="1">IF(B42=$J$5,0,CONTADORES!J36-CONTADORES!J35)</f>
        <v>24</v>
      </c>
      <c r="AF42" s="1397">
        <f ca="1">IF(B42=$J$5,0,CONTADORES!AU36-CONTADORES!AU35)</f>
        <v>153.79999999998836</v>
      </c>
      <c r="AG42" s="1397">
        <f ca="1">IF(B42=$J$5,0,CONTADORES!AW36-CONTADORES!AW35)</f>
        <v>24</v>
      </c>
      <c r="AH42" s="1397">
        <f ca="1">IF(B42=$J$5,0,(CONTADORES!AM36-CONTADORES!AM35)+(CONTADORES!M36-CONTADORES!M35))</f>
        <v>7.5</v>
      </c>
      <c r="AI42" s="1397">
        <f ca="1">IF(B42=$J$5,0,(CONTADORES!AK36-CONTADORES!AK35)+(CONTADORES!O36-CONTADORES!O35))</f>
        <v>40.700000000004366</v>
      </c>
      <c r="AJ42" s="1397">
        <f ca="1">IF(B42=$J$5,0,(CONTADORES!AI36-CONTADORES!AI35))</f>
        <v>8.3000000000029104</v>
      </c>
      <c r="AK42" s="1397">
        <f ca="1">IF(B42=$J$5,0,(CONTADORES!Q36-CONTADORES!Q35))</f>
        <v>15.299999999988358</v>
      </c>
      <c r="AL42" s="1397">
        <f t="shared" ca="1" si="13"/>
        <v>32.600000000014859</v>
      </c>
      <c r="AM42" s="1397">
        <f ca="1">IF(B42&gt;=$J$5,0,(((CONTADORES!F36-CONTADORES!F35)+(CONTADORES!AQ36-CONTADORES!AQ35))))-BS42-AF42-AN42-BV42-BY42-CD42-CB42</f>
        <v>10.232999999975807</v>
      </c>
      <c r="AN42" s="1397">
        <f ca="1">IF(B42=$J$5,0,(CONTADORES!AX36-CONTADORES!AX35)+(CONTADORES!AZ36-CONTADORES!AZ35)+(CONTADORES!BE36-CONTADORES!BE35))-CB42</f>
        <v>1.3630000000007276</v>
      </c>
      <c r="AO42" s="1433">
        <f ca="1">IF(B42&gt;=$J$5,0,(CONTADORES!AC36-CONTADORES!AC35))</f>
        <v>140.70000000001164</v>
      </c>
      <c r="AP42" s="1433">
        <f ca="1">IF(B42&gt;=$J$5,0,(CONTADORES!X36-CONTADORES!X35))</f>
        <v>85.5</v>
      </c>
      <c r="AQ42" s="1433">
        <f ca="1">IF(B42&gt;=$J$5,0,(CONTADORES!C36-CONTADORES!C35))</f>
        <v>0</v>
      </c>
      <c r="AR42" s="1433">
        <f ca="1">IF(B42&gt;=$J$5,0,(CONTADORES!BC36-CONTADORES!BC35))</f>
        <v>0</v>
      </c>
      <c r="AS42" s="1397">
        <f ca="1">IF(B42=$J$5,0,CONTADORES!S36-CONTADORES!S35)</f>
        <v>17.200000000011642</v>
      </c>
      <c r="AT42" s="1397">
        <f ca="1">IF(B42=$J$5,0,(CONTADORES!U36-CONTADORES!U35)+(CONTADORES!AG36-CONTADORES!AG35))</f>
        <v>2.1999999999970896</v>
      </c>
      <c r="AU42" s="1397">
        <f>CONTADORES!I36-CONTADORES!I35</f>
        <v>85.400000000023283</v>
      </c>
      <c r="AV42" s="1397">
        <f>CONTADORES!AV36-CONTADORES!AV35</f>
        <v>66.5</v>
      </c>
      <c r="AW42" s="1397">
        <f ca="1">IF(B42&gt;=$J$5,0,(CONTADORES!N36-CONTADORES!N35)+(CONTADORES!AN36-CONTADORES!AN35))</f>
        <v>2.7999999999992724</v>
      </c>
      <c r="AX42" s="1397">
        <f ca="1">IF(B42&gt;=$J$5,0,(CONTADORES!P36-CONTADORES!P35)+(CONTADORES!AL36-CONTADORES!AL35))</f>
        <v>32.19999999999709</v>
      </c>
      <c r="AY42" s="1397">
        <f ca="1">IF(B42&gt;=$J$5,0,(CONTADORES!AJ36-CONTADORES!AJ35))</f>
        <v>6.5</v>
      </c>
      <c r="AZ42" s="1397">
        <f ca="1">IF(B42&gt;=$J$5,0,(CONTADORES!R36-CONTADORES!R35))</f>
        <v>12.900000000008731</v>
      </c>
      <c r="BA42" s="1397">
        <f t="shared" ca="1" si="14"/>
        <v>11.574000000000524</v>
      </c>
      <c r="BB42" s="1397">
        <f ca="1">IF(B42&gt;=$J$5,0,(((CONTADORES!G36-CONTADORES!G35)+(CONTADORES!AR36-CONTADORES!AR35))))-AV42-BC42-BT42-BW42-BZ42-CE42</f>
        <v>2.4119999999829007</v>
      </c>
      <c r="BC42" s="1743">
        <f ca="1">IF(B42&gt;=$J$5,0,(CONTADORES!AY36-CONTADORES!AY35)+(CONTADORES!BA36-CONTADORES!BA35)+(CONTADORES!BF36-CONTADORES!BF35))-CC42</f>
        <v>-0.12600000000018186</v>
      </c>
      <c r="BD42" s="1397">
        <f t="shared" ca="1" si="15"/>
        <v>226.20000000001164</v>
      </c>
      <c r="BE42" s="1398">
        <f ca="1">IF($B42&gt;=$J$5,0,CONTADORES!$BG36)</f>
        <v>7007.74</v>
      </c>
      <c r="BF42" s="1397">
        <f ca="1">IF($B42&gt;=$J$5,0,CONTADORES!$BH36)</f>
        <v>37774.221052631576</v>
      </c>
      <c r="BG42" s="1397">
        <f ca="1">IF($B42&gt;=$J$5,0,CONTADORES!$BJ36)</f>
        <v>5969.85</v>
      </c>
      <c r="BH42" s="1398">
        <f ca="1">IF(B42&gt;=$J$5,0,((CONTADORES!BK36-CONTADORES!BK35)/1000))</f>
        <v>1.448</v>
      </c>
      <c r="BI42" s="1398">
        <f ca="1">IF(C42&gt;=$J$5,0,((CONTADORES!BL36-CONTADORES!BL35)/1000))</f>
        <v>1.409</v>
      </c>
      <c r="BJ42" s="1398">
        <f ca="1">IF(C42&gt;=$J$5,0,((CONTADORES!BM36-CONTADORES!BM35)/1000))</f>
        <v>0</v>
      </c>
      <c r="BK42" s="1398">
        <f ca="1">IF(D42&gt;=$J$5,0,((CONTADORES!BN36-CONTADORES!BN35)/1000))</f>
        <v>0</v>
      </c>
      <c r="BL42" s="1399">
        <f t="shared" ca="1" si="16"/>
        <v>1.448</v>
      </c>
      <c r="BM42" s="1399">
        <f t="shared" ca="1" si="17"/>
        <v>1.409</v>
      </c>
      <c r="BN42" s="1398">
        <f ca="1">IF(W42&gt;=$J$5,0,CONTADORES!$BO36)</f>
        <v>136.77333226459302</v>
      </c>
      <c r="BO42" s="1397">
        <f ca="1">IF(W42&gt;=$J$5,0,CONTADORES!$BP36)</f>
        <v>45.777580569901765</v>
      </c>
      <c r="BP42" s="1397">
        <f ca="1">IF(W42&gt;=$J$5,0,CONTADORES!$BQ36)</f>
        <v>650.45663422760936</v>
      </c>
      <c r="BQ42" s="1397">
        <f ca="1">IF(B42&gt;=$J$5,0,(CONTADORES!AS36-CONTADORES!AS35))</f>
        <v>4.8000000000029104</v>
      </c>
      <c r="BR42" s="1397">
        <f ca="1">IF(B42&gt;=$J$5,0,(CONTADORES!AT36-CONTADORES!AT35))</f>
        <v>0</v>
      </c>
      <c r="BS42" s="1434">
        <f ca="1">IF(B42&gt;=$J$5,0,CONTADORES!BR36-CONTADORES!BR35)/1000</f>
        <v>0</v>
      </c>
      <c r="BT42" s="1435">
        <f ca="1">IF(B42&gt;=$J$5,0,CONTADORES!BS36-CONTADORES!BS35)</f>
        <v>0</v>
      </c>
      <c r="BU42" s="1435">
        <f ca="1">IF(B42&gt;=$J$5,0,CONTADORES!BT36-CONTADORES!BT35)</f>
        <v>0</v>
      </c>
      <c r="BV42" s="1435">
        <f ca="1">IF(B42&gt;=$J$5,0,CONTADORES!BU36-CONTADORES!BU35)/1000</f>
        <v>4.3440000000000003</v>
      </c>
      <c r="BW42" s="1435">
        <f ca="1">IF(B42&gt;=$J$5,0,CONTADORES!BV36-CONTADORES!BV35)/1000</f>
        <v>0.65200000000000002</v>
      </c>
      <c r="BX42" s="1435">
        <f ca="1">IF(B42&gt;=$J$5,0,CONTADORES!BW36-CONTADORES!BW35)</f>
        <v>24</v>
      </c>
      <c r="BY42" s="1435">
        <f ca="1">IF(B42&gt;=$J$5,0,CONTADORES!BX36-CONTADORES!BX35)/1000</f>
        <v>3.5230000000000001</v>
      </c>
      <c r="BZ42" s="1435">
        <f ca="1">IF(B42&gt;=$J$5,0,CONTADORES!BY36-CONTADORES!BY35)/1000</f>
        <v>6.2E-2</v>
      </c>
      <c r="CA42" s="1435">
        <f ca="1">IF(B42&gt;=$J$5,0,CONTADORES!BZ36-CONTADORES!BZ35)</f>
        <v>24</v>
      </c>
      <c r="CB42" s="1434">
        <f ca="1">IF(B42&gt;=$J$5,0,(CONTADORES!CC36-CONTADORES!CC35)+(CONTADORES!CE36-CONTADORES!CE35))/1000</f>
        <v>1.337</v>
      </c>
      <c r="CC42" s="1435">
        <f ca="1">IF(B42&gt;=$J$5,0,(CONTADORES!CD36-CONTADORES!CD35)+(CONTADORES!CF36-CONTADORES!CF35))/1000</f>
        <v>0.82599999999999996</v>
      </c>
      <c r="CD42" s="1434">
        <f ca="1">IF(B42&gt;=$J$5,0,CONTADORES!CA36-CONTADORES!CA35)</f>
        <v>6.1999999999998181</v>
      </c>
      <c r="CE42" s="1435">
        <f ca="1">IF(B42&gt;=$J$5,0,CONTADORES!CB36-CONTADORES!CB35)</f>
        <v>4.5</v>
      </c>
      <c r="CF42" s="1435">
        <f t="shared" ca="1" si="18"/>
        <v>11.316499999987721</v>
      </c>
      <c r="CG42" s="1435">
        <f t="shared" ca="1" si="19"/>
        <v>5.7059999999914499</v>
      </c>
      <c r="CH42" s="1435">
        <f t="shared" ca="1" si="20"/>
        <v>5.1164999999879033</v>
      </c>
      <c r="CI42" s="1435">
        <f t="shared" ca="1" si="21"/>
        <v>0.54520000000029112</v>
      </c>
      <c r="CJ42" s="1435">
        <f t="shared" ca="1" si="22"/>
        <v>5.1164999999879033</v>
      </c>
      <c r="CK42" s="1435">
        <f t="shared" ca="1" si="23"/>
        <v>0.81780000000043651</v>
      </c>
      <c r="CL42" s="1435">
        <f t="shared" ca="1" si="24"/>
        <v>1.882200000000291</v>
      </c>
      <c r="CM42" s="1435">
        <f t="shared" ca="1" si="25"/>
        <v>1.2059999999914504</v>
      </c>
      <c r="CN42" s="1435">
        <f ca="1">IF(B42&gt;=$J$5,0,CONTADORES!CB36-CONTADORES!CB35)</f>
        <v>4.5</v>
      </c>
      <c r="CO42" s="1435">
        <f t="shared" ca="1" si="26"/>
        <v>1.2059999999914504</v>
      </c>
      <c r="CP42" s="1435">
        <f t="shared" ca="1" si="27"/>
        <v>-6.3000000000090928E-2</v>
      </c>
      <c r="CQ42" s="1435">
        <f t="shared" ca="1" si="28"/>
        <v>-6.3000000000090928E-2</v>
      </c>
      <c r="CR42" s="1435">
        <f t="shared" ca="1" si="29"/>
        <v>0.76299999999990908</v>
      </c>
      <c r="CS42" s="1436">
        <f ca="1">IF($B42&gt;=$J$5,0,CONTADORES!$BI36)</f>
        <v>7946.0901579026704</v>
      </c>
      <c r="CT42" s="1333">
        <f>CONTADORES!E36</f>
        <v>0</v>
      </c>
      <c r="CU42" s="1333">
        <f>CONTADORES!CG36</f>
        <v>0</v>
      </c>
    </row>
    <row r="43" spans="2:99">
      <c r="B43" s="214">
        <v>44959</v>
      </c>
      <c r="C43" s="198">
        <f t="shared" ca="1" si="0"/>
        <v>221.69999999995343</v>
      </c>
      <c r="D43" s="196">
        <f ca="1">'CALCULO DE GAS'!D39</f>
        <v>4.284213332917326</v>
      </c>
      <c r="E43" s="196">
        <f ca="1">IF(B43&gt;=$J$5,0,(CONTADORES!$AD37-CONTADORES!$AD36)-$H43)</f>
        <v>24</v>
      </c>
      <c r="F43" s="198">
        <f t="shared" ca="1" si="31"/>
        <v>0</v>
      </c>
      <c r="G43" s="196">
        <f ca="1">IF(B43&gt;=$J$5,0,CONTADORES!$AF37-CONTADORES!$AF36)</f>
        <v>0</v>
      </c>
      <c r="H43" s="206">
        <f ca="1">IF(G43&gt;0,CONTADORES!$AE37-CONTADORES!$AE36,0)</f>
        <v>0</v>
      </c>
      <c r="I43" s="199">
        <f ca="1">IF(B43&gt;=$J$5,0,CONTADORES!$AB37-CONTADORES!$AB36)</f>
        <v>221.69999999995343</v>
      </c>
      <c r="J43" s="198">
        <f t="shared" ca="1" si="2"/>
        <v>113.20000000000073</v>
      </c>
      <c r="K43" s="196">
        <f ca="1">'CALCULO DE GAS'!E39</f>
        <v>3.3994377718204545</v>
      </c>
      <c r="L43" s="1396">
        <f ca="1">IF(B43&gt;=$J$5,0,(CONTADORES!$Y37-CONTADORES!$Y36)-$O43)</f>
        <v>24</v>
      </c>
      <c r="M43" s="1396">
        <f t="shared" ca="1" si="3"/>
        <v>0</v>
      </c>
      <c r="N43" s="1396">
        <f ca="1">IF(B43&gt;=$J$5,0,CONTADORES!$AA37-CONTADORES!AA36)</f>
        <v>0</v>
      </c>
      <c r="O43" s="1396">
        <f ca="1">IF(N43&gt;0,CONTADORES!$Z37-CONTADORES!$Z36,0)</f>
        <v>0</v>
      </c>
      <c r="P43" s="202">
        <f ca="1">IF(B43&gt;=$J$5,0,CONTADORES!$W37-CONTADORES!$W36)</f>
        <v>113.20000000000073</v>
      </c>
      <c r="Q43" s="202">
        <f ca="1">IF(B43&gt;=$J$5,0,CONTADORES!$B37-CONTADORES!$B36)</f>
        <v>0</v>
      </c>
      <c r="R43" s="196">
        <f t="shared" ca="1" si="4"/>
        <v>0</v>
      </c>
      <c r="S43" s="11">
        <f ca="1">IF(B43&gt;=$J$5,0,CONTADORES!$D37-CONTADORES!$D36)</f>
        <v>0</v>
      </c>
      <c r="T43" s="198">
        <f ca="1">IF(B43&gt;=$J$5,0,CONTADORES!$BB37-CONTADORES!$BB36)</f>
        <v>0</v>
      </c>
      <c r="U43" s="196">
        <f t="shared" ref="U43:U74" ca="1" si="32">$T43*120</f>
        <v>0</v>
      </c>
      <c r="V43" s="199">
        <f ca="1">IF(B43&gt;=$J$5,0,CONTADORES!$BD37-CONTADORES!$BD36)</f>
        <v>0</v>
      </c>
      <c r="W43" s="1397">
        <f t="shared" ca="1" si="6"/>
        <v>334.89999999995416</v>
      </c>
      <c r="X43" s="1397">
        <f t="shared" ca="1" si="7"/>
        <v>0</v>
      </c>
      <c r="Y43" s="1398">
        <f t="shared" ca="1" si="8"/>
        <v>334.89999999995416</v>
      </c>
      <c r="Z43" s="1398">
        <f t="shared" ca="1" si="9"/>
        <v>7.6836511047377805</v>
      </c>
      <c r="AA43" s="1398">
        <f t="shared" ca="1" si="10"/>
        <v>0</v>
      </c>
      <c r="AB43" s="1398">
        <f t="shared" ca="1" si="11"/>
        <v>48</v>
      </c>
      <c r="AC43" s="1397">
        <f t="shared" ca="1" si="12"/>
        <v>0</v>
      </c>
      <c r="AD43" s="1397">
        <f ca="1">IF(B43=$J$5,0,CONTADORES!H37-CONTADORES!H36)</f>
        <v>62.699999999953434</v>
      </c>
      <c r="AE43" s="1397">
        <f ca="1">IF(B43=$J$5,0,CONTADORES!J37-CONTADORES!J36)</f>
        <v>9.1499999999941792</v>
      </c>
      <c r="AF43" s="1397">
        <f ca="1">IF(B43=$J$5,0,CONTADORES!AU37-CONTADORES!AU36)</f>
        <v>145.10000000003492</v>
      </c>
      <c r="AG43" s="1397">
        <f ca="1">IF(B43=$J$5,0,CONTADORES!AW37-CONTADORES!AW36)</f>
        <v>24</v>
      </c>
      <c r="AH43" s="1397">
        <f ca="1">IF(B43=$J$5,0,(CONTADORES!AM37-CONTADORES!AM36)+(CONTADORES!M37-CONTADORES!M36))</f>
        <v>10.30000000000291</v>
      </c>
      <c r="AI43" s="1397">
        <f ca="1">IF(B43=$J$5,0,(CONTADORES!AK37-CONTADORES!AK36)+(CONTADORES!O37-CONTADORES!O36))</f>
        <v>43.299999999995634</v>
      </c>
      <c r="AJ43" s="1397">
        <f ca="1">IF(B43=$J$5,0,(CONTADORES!AI37-CONTADORES!AI36))</f>
        <v>5.5</v>
      </c>
      <c r="AK43" s="1397">
        <f ca="1">IF(B43=$J$5,0,(CONTADORES!Q37-CONTADORES!Q36))</f>
        <v>9.9000000000232831</v>
      </c>
      <c r="AL43" s="1397">
        <f t="shared" ca="1" si="13"/>
        <v>30.999999999978229</v>
      </c>
      <c r="AM43" s="1397">
        <f ca="1">IF(B43&gt;=$J$5,0,(((CONTADORES!F37-CONTADORES!F36)+(CONTADORES!AQ37-CONTADORES!AQ36))))-BS43-AF43-AN43-BV43-BY43-CD43-CB43</f>
        <v>10.475999999966168</v>
      </c>
      <c r="AN43" s="1397">
        <f ca="1">IF(B43=$J$5,0,(CONTADORES!AX37-CONTADORES!AX36)+(CONTADORES!AZ37-CONTADORES!AZ36)+(CONTADORES!BE37-CONTADORES!BE36))-CB43</f>
        <v>1.6659999999994541</v>
      </c>
      <c r="AO43" s="1437">
        <f ca="1">IF(B43&gt;=$J$5,0,(CONTADORES!AC37-CONTADORES!AC36))</f>
        <v>109.09999999997672</v>
      </c>
      <c r="AP43" s="1437">
        <f ca="1">IF(B43&gt;=$J$5,0,(CONTADORES!X37-CONTADORES!X36))</f>
        <v>58</v>
      </c>
      <c r="AQ43" s="1433">
        <f ca="1">IF(B43&gt;=$J$5,0,(CONTADORES!C37-CONTADORES!C36))</f>
        <v>0</v>
      </c>
      <c r="AR43" s="1433">
        <f ca="1">IF(B43&gt;=$J$5,0,(CONTADORES!BC37-CONTADORES!BC36))</f>
        <v>0</v>
      </c>
      <c r="AS43" s="1397">
        <f ca="1">IF(B43=$J$5,0,CONTADORES!S37-CONTADORES!S36)</f>
        <v>17.199999999982538</v>
      </c>
      <c r="AT43" s="1397">
        <f ca="1">IF(B43=$J$5,0,(CONTADORES!U37-CONTADORES!U36)+(CONTADORES!AG37-CONTADORES!AG36))</f>
        <v>2.3000000000029104</v>
      </c>
      <c r="AU43" s="1397">
        <f>CONTADORES!I37-CONTADORES!I36</f>
        <v>31.599999999976717</v>
      </c>
      <c r="AV43" s="1397">
        <f>CONTADORES!AV37-CONTADORES!AV36</f>
        <v>63</v>
      </c>
      <c r="AW43" s="1397">
        <f ca="1">IF(B43&gt;=$J$5,0,(CONTADORES!N37-CONTADORES!N36)+(CONTADORES!AN37-CONTADORES!AN36))</f>
        <v>4</v>
      </c>
      <c r="AX43" s="1397">
        <f ca="1">IF(B43&gt;=$J$5,0,(CONTADORES!P37-CONTADORES!P36)+(CONTADORES!AL37-CONTADORES!AL36))</f>
        <v>34.299999999995634</v>
      </c>
      <c r="AY43" s="1397">
        <f ca="1">IF(B43&gt;=$J$5,0,(CONTADORES!AJ37-CONTADORES!AJ36))</f>
        <v>4.2999999999956344</v>
      </c>
      <c r="AZ43" s="1397">
        <f ca="1">IF(B43&gt;=$J$5,0,(CONTADORES!R37-CONTADORES!R36))</f>
        <v>7.8999999999941792</v>
      </c>
      <c r="BA43" s="1397">
        <f t="shared" ca="1" si="14"/>
        <v>12.23700000000926</v>
      </c>
      <c r="BB43" s="1397">
        <f ca="1">IF(B43&gt;=$J$5,0,(((CONTADORES!G37-CONTADORES!G36)+(CONTADORES!AR37-CONTADORES!AR36))))-AV43-BC43-BT43-BW43-BZ43-CE43</f>
        <v>4.5710000000049131</v>
      </c>
      <c r="BC43" s="1744">
        <f ca="1">IF(B43&gt;=$J$5,0,(CONTADORES!AY37-CONTADORES!AY36)+(CONTADORES!BA37-CONTADORES!BA36)+(CONTADORES!BF37-CONTADORES!BF36))-CC43</f>
        <v>-0.46299999999963615</v>
      </c>
      <c r="BD43" s="1397">
        <f t="shared" ca="1" si="15"/>
        <v>167.09999999997672</v>
      </c>
      <c r="BE43" s="1398">
        <f ca="1">IF($B43&gt;=$J$5,0,CONTADORES!$BG37)</f>
        <v>6974.55</v>
      </c>
      <c r="BF43" s="1397">
        <f ca="1">IF($B43&gt;=$J$5,0,CONTADORES!$BH37)</f>
        <v>32859.4368421053</v>
      </c>
      <c r="BG43" s="1397">
        <f ca="1">IF($B43&gt;=$J$5,0,CONTADORES!$BJ37)</f>
        <v>6449.55</v>
      </c>
      <c r="BH43" s="1409">
        <f ca="1">IF(B43&gt;=$J$5,0,((CONTADORES!BK37-CONTADORES!BK36)/1000))</f>
        <v>1.4810000000000001</v>
      </c>
      <c r="BI43" s="1409">
        <f ca="1">IF(C43&gt;=$J$5,0,((CONTADORES!BL37-CONTADORES!BL36)/1000))</f>
        <v>1.468</v>
      </c>
      <c r="BJ43" s="1399">
        <f ca="1">IF(C43&gt;=$J$5,0,((CONTADORES!BM37-CONTADORES!BM36)/1000))</f>
        <v>0</v>
      </c>
      <c r="BK43" s="1399">
        <f ca="1">IF(D43&gt;=$J$5,0,((CONTADORES!BN37-CONTADORES!BN36)/1000))</f>
        <v>0</v>
      </c>
      <c r="BL43" s="1399">
        <f t="shared" ca="1" si="16"/>
        <v>1.4810000000000001</v>
      </c>
      <c r="BM43" s="1399">
        <f t="shared" ca="1" si="17"/>
        <v>1.468</v>
      </c>
      <c r="BN43" s="1398">
        <f ca="1">IF(W43&gt;=$J$5,0,CONTADORES!$BO37)</f>
        <v>136.14717629105567</v>
      </c>
      <c r="BO43" s="1397">
        <f ca="1">IF(W43&gt;=$J$5,0,CONTADORES!$BP37)</f>
        <v>45.523523941348685</v>
      </c>
      <c r="BP43" s="1397">
        <f ca="1">IF(W43&gt;=$J$5,0,CONTADORES!$BQ37)</f>
        <v>643.02041716409212</v>
      </c>
      <c r="BQ43" s="1397">
        <f ca="1">IF(B43&gt;=$J$5,0,(CONTADORES!AS37-CONTADORES!AS36))</f>
        <v>4.9000000000014552</v>
      </c>
      <c r="BR43" s="1397">
        <f ca="1">IF(B43&gt;=$J$5,0,(CONTADORES!AT37-CONTADORES!AT36))</f>
        <v>0</v>
      </c>
      <c r="BS43" s="1398">
        <f ca="1">IF(B43&gt;=$J$5,0,CONTADORES!BR37-CONTADORES!BR36)/1000</f>
        <v>0</v>
      </c>
      <c r="BT43" s="1397">
        <f ca="1">IF(B43&gt;=$J$5,0,CONTADORES!BS37-CONTADORES!BS36)</f>
        <v>0</v>
      </c>
      <c r="BU43" s="1397">
        <f ca="1">IF(B43&gt;=$J$5,0,CONTADORES!BT37-CONTADORES!BT36)</f>
        <v>0</v>
      </c>
      <c r="BV43" s="1397">
        <f ca="1">IF(B43&gt;=$J$5,0,CONTADORES!BU37-CONTADORES!BU36)/1000</f>
        <v>4.3369999999999997</v>
      </c>
      <c r="BW43" s="1397">
        <f ca="1">IF(B43&gt;=$J$5,0,CONTADORES!BV37-CONTADORES!BV36)/1000</f>
        <v>0.53</v>
      </c>
      <c r="BX43" s="1397">
        <f ca="1">IF(B43&gt;=$J$5,0,CONTADORES!BW37-CONTADORES!BW36)</f>
        <v>24</v>
      </c>
      <c r="BY43" s="1397">
        <f ca="1">IF(B43&gt;=$J$5,0,CONTADORES!BX37-CONTADORES!BX36)/1000</f>
        <v>3.387</v>
      </c>
      <c r="BZ43" s="1397">
        <f ca="1">IF(B43&gt;=$J$5,0,CONTADORES!BY37-CONTADORES!BY36)/1000</f>
        <v>6.2E-2</v>
      </c>
      <c r="CA43" s="1397">
        <f ca="1">IF(B43&gt;=$J$5,0,CONTADORES!BZ37-CONTADORES!BZ36)</f>
        <v>24</v>
      </c>
      <c r="CB43" s="1398">
        <f ca="1">IF(B43&gt;=$J$5,0,(CONTADORES!CC37-CONTADORES!CC36)+(CONTADORES!CE37-CONTADORES!CE36))/1000</f>
        <v>0.93400000000000005</v>
      </c>
      <c r="CC43" s="1397">
        <f ca="1">IF(B43&gt;=$J$5,0,(CONTADORES!CD37-CONTADORES!CD36)+(CONTADORES!CF37-CONTADORES!CF36))/1000</f>
        <v>0.56299999999999994</v>
      </c>
      <c r="CD43" s="1409">
        <f ca="1">IF(B43&gt;=$J$5,0,CONTADORES!CA37-CONTADORES!CA36)</f>
        <v>6.3000000000001819</v>
      </c>
      <c r="CE43" s="1438">
        <f ca="1">IF(B43&gt;=$J$5,0,CONTADORES!CB37-CONTADORES!CB36)</f>
        <v>4.5</v>
      </c>
      <c r="CF43" s="1438">
        <f t="shared" ca="1" si="18"/>
        <v>11.537999999983267</v>
      </c>
      <c r="CG43" s="1438">
        <f t="shared" ca="1" si="19"/>
        <v>6.7855000000024566</v>
      </c>
      <c r="CH43" s="1438">
        <f t="shared" ca="1" si="20"/>
        <v>5.2379999999830842</v>
      </c>
      <c r="CI43" s="1438">
        <f t="shared" ca="1" si="21"/>
        <v>0.66639999999978172</v>
      </c>
      <c r="CJ43" s="1438">
        <f t="shared" ca="1" si="22"/>
        <v>5.2379999999830842</v>
      </c>
      <c r="CK43" s="1438">
        <f t="shared" ca="1" si="23"/>
        <v>0.99959999999967242</v>
      </c>
      <c r="CL43" s="1438">
        <f t="shared" ca="1" si="24"/>
        <v>1.6003999999997818</v>
      </c>
      <c r="CM43" s="1438">
        <f t="shared" ca="1" si="25"/>
        <v>2.2855000000024566</v>
      </c>
      <c r="CN43" s="1438">
        <f ca="1">IF(B43&gt;=$J$5,0,CONTADORES!CB37-CONTADORES!CB36)</f>
        <v>4.5</v>
      </c>
      <c r="CO43" s="1438">
        <f t="shared" ca="1" si="26"/>
        <v>2.2855000000024566</v>
      </c>
      <c r="CP43" s="1438">
        <f t="shared" ca="1" si="27"/>
        <v>-0.23149999999981807</v>
      </c>
      <c r="CQ43" s="1438">
        <f t="shared" ca="1" si="28"/>
        <v>-0.23149999999981807</v>
      </c>
      <c r="CR43" s="1438">
        <f t="shared" ca="1" si="29"/>
        <v>0.33150000000018187</v>
      </c>
      <c r="CS43" s="1439">
        <f ca="1">IF($B43&gt;=$J$5,0,CONTADORES!$BI37)</f>
        <v>8896.5311370029594</v>
      </c>
      <c r="CT43" s="1334">
        <f>CONTADORES!E37</f>
        <v>0</v>
      </c>
      <c r="CU43" s="1334">
        <f>CONTADORES!CG37</f>
        <v>0</v>
      </c>
    </row>
    <row r="44" spans="2:99">
      <c r="B44" s="214">
        <v>44960</v>
      </c>
      <c r="C44" s="198">
        <f t="shared" ca="1" si="0"/>
        <v>293.39000000001397</v>
      </c>
      <c r="D44" s="196">
        <f ca="1">'CALCULO DE GAS'!D40</f>
        <v>4.8688175723193163</v>
      </c>
      <c r="E44" s="196">
        <f ca="1">IF(B44&gt;=$J$5,0,(CONTADORES!$AD38-CONTADORES!$AD37)-$H44)</f>
        <v>24</v>
      </c>
      <c r="F44" s="198">
        <f t="shared" ca="1" si="31"/>
        <v>0</v>
      </c>
      <c r="G44" s="196">
        <f ca="1">IF(B44&gt;=$J$5,0,CONTADORES!$AF38-CONTADORES!$AF37)</f>
        <v>0</v>
      </c>
      <c r="H44" s="206">
        <f ca="1">IF(G44&gt;0,CONTADORES!$AE38-CONTADORES!$AE37,0)</f>
        <v>0</v>
      </c>
      <c r="I44" s="199">
        <f ca="1">IF(B44&gt;=$J$5,0,CONTADORES!$AB38-CONTADORES!$AB37)</f>
        <v>293.39000000001397</v>
      </c>
      <c r="J44" s="198">
        <f t="shared" ca="1" si="2"/>
        <v>147.07999999999811</v>
      </c>
      <c r="K44" s="196">
        <f ca="1">'CALCULO DE GAS'!E40</f>
        <v>3.6757160760598349</v>
      </c>
      <c r="L44" s="1396">
        <f ca="1">IF(B44&gt;=$J$5,0,(CONTADORES!$Y38-CONTADORES!$Y37)-$O44)</f>
        <v>24</v>
      </c>
      <c r="M44" s="1396">
        <f t="shared" ca="1" si="3"/>
        <v>0</v>
      </c>
      <c r="N44" s="1396">
        <f ca="1">IF(B44&gt;=$J$5,0,CONTADORES!$AA38-CONTADORES!AA37)</f>
        <v>0</v>
      </c>
      <c r="O44" s="1396">
        <f ca="1">IF(N44&gt;0,CONTADORES!$Z38-CONTADORES!$Z37,0)</f>
        <v>0</v>
      </c>
      <c r="P44" s="202">
        <f ca="1">IF(B44&gt;=$J$5,0,CONTADORES!$W38-CONTADORES!$W37)</f>
        <v>147.07999999999811</v>
      </c>
      <c r="Q44" s="202">
        <f ca="1">IF(B44&gt;=$J$5,0,CONTADORES!$B38-CONTADORES!$B37)</f>
        <v>0</v>
      </c>
      <c r="R44" s="196">
        <f t="shared" ca="1" si="4"/>
        <v>0</v>
      </c>
      <c r="S44" s="11">
        <f ca="1">IF(B44&gt;=$J$5,0,CONTADORES!$D38-CONTADORES!$D37)</f>
        <v>0</v>
      </c>
      <c r="T44" s="198">
        <f ca="1">IF(B44&gt;=$J$5,0,CONTADORES!$BB38-CONTADORES!$BB37)</f>
        <v>0</v>
      </c>
      <c r="U44" s="196">
        <f t="shared" ca="1" si="32"/>
        <v>0</v>
      </c>
      <c r="V44" s="199">
        <f ca="1">IF(B44&gt;=$J$5,0,CONTADORES!$BD38-CONTADORES!$BD37)</f>
        <v>0</v>
      </c>
      <c r="W44" s="1397">
        <f t="shared" ca="1" si="6"/>
        <v>440.47000000001208</v>
      </c>
      <c r="X44" s="1397">
        <f t="shared" ca="1" si="7"/>
        <v>0</v>
      </c>
      <c r="Y44" s="1398">
        <f t="shared" ca="1" si="8"/>
        <v>440.47000000001208</v>
      </c>
      <c r="Z44" s="1398">
        <f t="shared" ca="1" si="9"/>
        <v>8.5445336483791507</v>
      </c>
      <c r="AA44" s="1398">
        <f t="shared" ca="1" si="10"/>
        <v>0</v>
      </c>
      <c r="AB44" s="1398">
        <f t="shared" ca="1" si="11"/>
        <v>48</v>
      </c>
      <c r="AC44" s="1397">
        <f t="shared" ca="1" si="12"/>
        <v>0</v>
      </c>
      <c r="AD44" s="1397">
        <f ca="1">IF(B44=$J$5,0,CONTADORES!H38-CONTADORES!H37)</f>
        <v>165</v>
      </c>
      <c r="AE44" s="1397">
        <f ca="1">IF(B44=$J$5,0,CONTADORES!J38-CONTADORES!J37)</f>
        <v>24.050000000017462</v>
      </c>
      <c r="AF44" s="1397">
        <f ca="1">IF(B44=$J$5,0,CONTADORES!AU38-CONTADORES!AU37)</f>
        <v>145.9199999999837</v>
      </c>
      <c r="AG44" s="1397">
        <f ca="1">IF(B44=$J$5,0,CONTADORES!AW38-CONTADORES!AW37)</f>
        <v>24</v>
      </c>
      <c r="AH44" s="1397">
        <f ca="1">IF(B44=$J$5,0,(CONTADORES!AM38-CONTADORES!AM37)+(CONTADORES!M38-CONTADORES!M37))</f>
        <v>11</v>
      </c>
      <c r="AI44" s="1397">
        <f ca="1">IF(B44=$J$5,0,(CONTADORES!AK38-CONTADORES!AK37)+(CONTADORES!O38-CONTADORES!O37))</f>
        <v>39.120000000002619</v>
      </c>
      <c r="AJ44" s="1397">
        <f ca="1">IF(B44=$J$5,0,(CONTADORES!AI38-CONTADORES!AI37))</f>
        <v>8.8999999999941792</v>
      </c>
      <c r="AK44" s="1397">
        <f ca="1">IF(B44=$J$5,0,(CONTADORES!Q38-CONTADORES!Q37))</f>
        <v>11.489999999990687</v>
      </c>
      <c r="AL44" s="1397">
        <f t="shared" ca="1" si="13"/>
        <v>31.65999999999076</v>
      </c>
      <c r="AM44" s="1397">
        <f ca="1">IF(B44&gt;=$J$5,0,(((CONTADORES!F38-CONTADORES!F37)+(CONTADORES!AQ38-CONTADORES!AQ37))))-BS44-AF44-AN44-BV44-BY44-CD44-CB44</f>
        <v>10.066000000051094</v>
      </c>
      <c r="AN44" s="1397">
        <f ca="1">IF(B44=$J$5,0,(CONTADORES!AX38-CONTADORES!AX37)+(CONTADORES!AZ38-CONTADORES!AZ37)+(CONTADORES!BE38-CONTADORES!BE37))-CB44</f>
        <v>1.4629999999994725</v>
      </c>
      <c r="AO44" s="1437">
        <f ca="1">IF(B44&gt;=$J$5,0,(CONTADORES!AC38-CONTADORES!AC37))</f>
        <v>141.59000000002561</v>
      </c>
      <c r="AP44" s="1437">
        <f ca="1">IF(B44&gt;=$J$5,0,(CONTADORES!X38-CONTADORES!X37))</f>
        <v>77.147000000000844</v>
      </c>
      <c r="AQ44" s="1433">
        <f ca="1">IF(B44&gt;=$J$5,0,(CONTADORES!C38-CONTADORES!C37))</f>
        <v>0</v>
      </c>
      <c r="AR44" s="1399">
        <f ca="1">IF(B44&gt;=$J$5,0,(CONTADORES!BC38-CONTADORES!BC37))</f>
        <v>0</v>
      </c>
      <c r="AS44" s="1397">
        <f ca="1">IF(B44=$J$5,0,CONTADORES!S38-CONTADORES!S37)</f>
        <v>16.89000000001397</v>
      </c>
      <c r="AT44" s="1397">
        <f ca="1">IF(B44=$J$5,0,(CONTADORES!U38-CONTADORES!U37)+(CONTADORES!AG38-CONTADORES!AG37))</f>
        <v>2.25</v>
      </c>
      <c r="AU44" s="1397">
        <f>CONTADORES!I38-CONTADORES!I37</f>
        <v>84.700000000011642</v>
      </c>
      <c r="AV44" s="1397">
        <f>CONTADORES!AV38-CONTADORES!AV37</f>
        <v>63.25899999999092</v>
      </c>
      <c r="AW44" s="1397">
        <f ca="1">IF(B44&gt;=$J$5,0,(CONTADORES!N38-CONTADORES!N37)+(CONTADORES!AN38-CONTADORES!AN37))</f>
        <v>4.2999999999992724</v>
      </c>
      <c r="AX44" s="1397">
        <f ca="1">IF(B44&gt;=$J$5,0,(CONTADORES!P38-CONTADORES!P37)+(CONTADORES!AL38-CONTADORES!AL37))</f>
        <v>30.180000000007567</v>
      </c>
      <c r="AY44" s="1397">
        <f ca="1">IF(B44&gt;=$J$5,0,(CONTADORES!AJ38-CONTADORES!AJ37))</f>
        <v>6.9800000000032014</v>
      </c>
      <c r="AZ44" s="1397">
        <f ca="1">IF(B44&gt;=$J$5,0,(CONTADORES!R38-CONTADORES!R37))</f>
        <v>9.6000000000058208</v>
      </c>
      <c r="BA44" s="1397">
        <f t="shared" ca="1" si="14"/>
        <v>9.988000000004206</v>
      </c>
      <c r="BB44" s="1397">
        <f ca="1">IF(B44&gt;=$J$5,0,(((CONTADORES!G38-CONTADORES!G37)+(CONTADORES!AR38-CONTADORES!AR37))))-AV44-BC44-BT44-BW44-BZ44-CE44</f>
        <v>3.6280000000042314</v>
      </c>
      <c r="BC44" s="1744">
        <f ca="1">IF(B44&gt;=$J$5,0,(CONTADORES!AY38-CONTADORES!AY37)+(CONTADORES!BA38-CONTADORES!BA37)+(CONTADORES!BF38-CONTADORES!BF37))-CC44</f>
        <v>0.35099999999979314</v>
      </c>
      <c r="BD44" s="1397">
        <f t="shared" ca="1" si="15"/>
        <v>218.73700000002646</v>
      </c>
      <c r="BE44" s="1398">
        <f ca="1">IF($B44&gt;=$J$5,0,CONTADORES!$BG38)</f>
        <v>7043.9</v>
      </c>
      <c r="BF44" s="1397">
        <f ca="1">IF($B44&gt;=$J$5,0,CONTADORES!$BH38)</f>
        <v>33132.417543859599</v>
      </c>
      <c r="BG44" s="1397">
        <f ca="1">IF($B44&gt;=$J$5,0,CONTADORES!$BJ38)</f>
        <v>6144.15</v>
      </c>
      <c r="BH44" s="1409">
        <f ca="1">IF(B44&gt;=$J$5,0,((CONTADORES!BK38-CONTADORES!BK37)/1000))</f>
        <v>1.407</v>
      </c>
      <c r="BI44" s="1409">
        <f ca="1">IF(C44&gt;=$J$5,0,((CONTADORES!BL38-CONTADORES!BL37)/1000))</f>
        <v>1.4139999999999999</v>
      </c>
      <c r="BJ44" s="1399">
        <f ca="1">IF(C44&gt;=$J$5,0,((CONTADORES!BM38-CONTADORES!BM37)/1000))</f>
        <v>0</v>
      </c>
      <c r="BK44" s="1399">
        <f ca="1">IF(D44&gt;=$J$5,0,((CONTADORES!BN38-CONTADORES!BN37)/1000))</f>
        <v>0</v>
      </c>
      <c r="BL44" s="1399">
        <f t="shared" ca="1" si="16"/>
        <v>1.407</v>
      </c>
      <c r="BM44" s="1399">
        <f t="shared" ca="1" si="17"/>
        <v>1.4139999999999999</v>
      </c>
      <c r="BN44" s="1398">
        <f ca="1">IF(W44&gt;=$J$5,0,CONTADORES!$BO38)</f>
        <v>133.95505318899501</v>
      </c>
      <c r="BO44" s="1397">
        <f ca="1">IF(W44&gt;=$J$5,0,CONTADORES!$BP38)</f>
        <v>45.627669155711608</v>
      </c>
      <c r="BP44" s="1397">
        <f ca="1">IF(W44&gt;=$J$5,0,CONTADORES!$BQ38)</f>
        <v>639.63574458966661</v>
      </c>
      <c r="BQ44" s="1397">
        <f ca="1">IF(B44&gt;=$J$5,0,(CONTADORES!AS38-CONTADORES!AS37))</f>
        <v>4.7309999999997672</v>
      </c>
      <c r="BR44" s="1397">
        <f ca="1">IF(B44&gt;=$J$5,0,(CONTADORES!AT38-CONTADORES!AT37))</f>
        <v>0</v>
      </c>
      <c r="BS44" s="1409">
        <f ca="1">IF(B44&gt;=$J$5,0,CONTADORES!BR38-CONTADORES!BR37)/1000</f>
        <v>0</v>
      </c>
      <c r="BT44" s="1438">
        <f ca="1">IF(B44&gt;=$J$5,0,CONTADORES!BS38-CONTADORES!BS37)</f>
        <v>0</v>
      </c>
      <c r="BU44" s="1438">
        <f ca="1">IF(B44&gt;=$J$5,0,CONTADORES!BT38-CONTADORES!BT37)</f>
        <v>0</v>
      </c>
      <c r="BV44" s="1438">
        <f ca="1">IF(B44&gt;=$J$5,0,CONTADORES!BU38-CONTADORES!BU37)/1000</f>
        <v>4.57</v>
      </c>
      <c r="BW44" s="1438">
        <f ca="1">IF(B44&gt;=$J$5,0,CONTADORES!BV38-CONTADORES!BV37)/1000</f>
        <v>0.51700000000000002</v>
      </c>
      <c r="BX44" s="1438">
        <f ca="1">IF(B44&gt;=$J$5,0,CONTADORES!BW38-CONTADORES!BW37)</f>
        <v>24</v>
      </c>
      <c r="BY44" s="1438">
        <f ca="1">IF(B44&gt;=$J$5,0,CONTADORES!BX38-CONTADORES!BX37)/1000</f>
        <v>3.6840000000000002</v>
      </c>
      <c r="BZ44" s="1438">
        <f ca="1">IF(B44&gt;=$J$5,0,CONTADORES!BY38-CONTADORES!BY37)/1000</f>
        <v>5.5E-2</v>
      </c>
      <c r="CA44" s="1438">
        <f ca="1">IF(B44&gt;=$J$5,0,CONTADORES!BZ38-CONTADORES!BZ37)</f>
        <v>24</v>
      </c>
      <c r="CB44" s="1409">
        <f ca="1">IF(B44&gt;=$J$5,0,(CONTADORES!CC38-CONTADORES!CC37)+(CONTADORES!CE38-CONTADORES!CE37))/1000</f>
        <v>1.117</v>
      </c>
      <c r="CC44" s="1438">
        <f ca="1">IF(B44&gt;=$J$5,0,(CONTADORES!CD38-CONTADORES!CD37)+(CONTADORES!CF38-CONTADORES!CF37))/1000</f>
        <v>0.68899999999999995</v>
      </c>
      <c r="CD44" s="1409">
        <f ca="1">IF(B44&gt;=$J$5,0,CONTADORES!CA38-CONTADORES!CA37)</f>
        <v>6.4799999999995634</v>
      </c>
      <c r="CE44" s="1438">
        <f ca="1">IF(B44&gt;=$J$5,0,CONTADORES!CB38-CONTADORES!CB37)</f>
        <v>4.4899999999997817</v>
      </c>
      <c r="CF44" s="1438">
        <f t="shared" ca="1" si="18"/>
        <v>11.51300000002511</v>
      </c>
      <c r="CG44" s="1438">
        <f t="shared" ca="1" si="19"/>
        <v>6.3040000000018974</v>
      </c>
      <c r="CH44" s="1438">
        <f t="shared" ca="1" si="20"/>
        <v>5.033000000025547</v>
      </c>
      <c r="CI44" s="1438">
        <f t="shared" ca="1" si="21"/>
        <v>0.585199999999789</v>
      </c>
      <c r="CJ44" s="1438">
        <f t="shared" ca="1" si="22"/>
        <v>5.033000000025547</v>
      </c>
      <c r="CK44" s="1438">
        <f t="shared" ca="1" si="23"/>
        <v>0.8777999999996835</v>
      </c>
      <c r="CL44" s="1438">
        <f t="shared" ca="1" si="24"/>
        <v>1.702199999999789</v>
      </c>
      <c r="CM44" s="1438">
        <f t="shared" ca="1" si="25"/>
        <v>1.8140000000021157</v>
      </c>
      <c r="CN44" s="1438">
        <f ca="1">IF(B44&gt;=$J$5,0,CONTADORES!CB38-CONTADORES!CB37)</f>
        <v>4.4899999999997817</v>
      </c>
      <c r="CO44" s="1438">
        <f t="shared" ca="1" si="26"/>
        <v>1.8140000000021157</v>
      </c>
      <c r="CP44" s="1438">
        <f t="shared" ca="1" si="27"/>
        <v>0.17549999999989657</v>
      </c>
      <c r="CQ44" s="1438">
        <f t="shared" ca="1" si="28"/>
        <v>0.17549999999989657</v>
      </c>
      <c r="CR44" s="1438">
        <f t="shared" ca="1" si="29"/>
        <v>0.86449999999989657</v>
      </c>
      <c r="CS44" s="1439">
        <f ca="1">IF($B44&gt;=$J$5,0,CONTADORES!$BI38)</f>
        <v>9077.7117075228507</v>
      </c>
      <c r="CT44" s="1334">
        <f>CONTADORES!E38</f>
        <v>0</v>
      </c>
      <c r="CU44" s="1334">
        <f>CONTADORES!CG38</f>
        <v>0</v>
      </c>
    </row>
    <row r="45" spans="2:99">
      <c r="B45" s="214">
        <v>44961</v>
      </c>
      <c r="C45" s="198">
        <f t="shared" ca="1" si="0"/>
        <v>309.57999999995809</v>
      </c>
      <c r="D45" s="196">
        <f ca="1">'CALCULO DE GAS'!D41</f>
        <v>5.0008407643388111</v>
      </c>
      <c r="E45" s="196">
        <f ca="1">IF(B45&gt;=$J$5,0,(CONTADORES!$AD39-CONTADORES!$AD38)-$H45)</f>
        <v>24</v>
      </c>
      <c r="F45" s="198">
        <f t="shared" ca="1" si="31"/>
        <v>0</v>
      </c>
      <c r="G45" s="196">
        <f ca="1">IF(B45&gt;=$J$5,0,CONTADORES!$AF39-CONTADORES!$AF38)</f>
        <v>0</v>
      </c>
      <c r="H45" s="206">
        <f ca="1">IF(G45&gt;0,CONTADORES!$AE39-CONTADORES!$AE38,0)</f>
        <v>0</v>
      </c>
      <c r="I45" s="199">
        <f ca="1">IF(B45&gt;=$J$5,0,CONTADORES!$AB39-CONTADORES!$AB38)</f>
        <v>309.57999999995809</v>
      </c>
      <c r="J45" s="198">
        <f t="shared" ca="1" si="2"/>
        <v>145.28000000000247</v>
      </c>
      <c r="K45" s="196">
        <f ca="1">'CALCULO DE GAS'!E41</f>
        <v>3.6610377718204692</v>
      </c>
      <c r="L45" s="1396">
        <f ca="1">IF(B45&gt;=$J$5,0,(CONTADORES!$Y39-CONTADORES!$Y38)-$O45)</f>
        <v>24</v>
      </c>
      <c r="M45" s="1396">
        <f t="shared" ca="1" si="3"/>
        <v>0</v>
      </c>
      <c r="N45" s="1396">
        <f ca="1">IF(B45&gt;=$J$5,0,CONTADORES!$AA39-CONTADORES!AA38)</f>
        <v>0</v>
      </c>
      <c r="O45" s="1396">
        <f ca="1">IF(N45&gt;0,CONTADORES!$Z39-CONTADORES!$Z38,0)</f>
        <v>0</v>
      </c>
      <c r="P45" s="202">
        <f ca="1">IF(B45&gt;=$J$5,0,CONTADORES!$W39-CONTADORES!$W38)</f>
        <v>145.28000000000247</v>
      </c>
      <c r="Q45" s="202">
        <f ca="1">IF(B45&gt;=$J$5,0,CONTADORES!$B39-CONTADORES!$B38)</f>
        <v>0</v>
      </c>
      <c r="R45" s="196">
        <f t="shared" ca="1" si="4"/>
        <v>0</v>
      </c>
      <c r="S45" s="11">
        <f ca="1">IF(B45&gt;=$J$5,0,CONTADORES!$D39-CONTADORES!$D38)</f>
        <v>0</v>
      </c>
      <c r="T45" s="198">
        <f ca="1">IF(B45&gt;=$J$5,0,CONTADORES!$BB39-CONTADORES!$BB38)</f>
        <v>0</v>
      </c>
      <c r="U45" s="196">
        <f t="shared" ca="1" si="32"/>
        <v>0</v>
      </c>
      <c r="V45" s="199">
        <f ca="1">IF(B45&gt;=$J$5,0,CONTADORES!$BD39-CONTADORES!$BD38)</f>
        <v>0</v>
      </c>
      <c r="W45" s="1397">
        <f t="shared" ca="1" si="6"/>
        <v>454.85999999996056</v>
      </c>
      <c r="X45" s="1397">
        <f t="shared" ca="1" si="7"/>
        <v>0</v>
      </c>
      <c r="Y45" s="1398">
        <f t="shared" ca="1" si="8"/>
        <v>454.85999999996056</v>
      </c>
      <c r="Z45" s="1398">
        <f t="shared" ca="1" si="9"/>
        <v>8.6618785361592803</v>
      </c>
      <c r="AA45" s="1398">
        <f t="shared" ca="1" si="10"/>
        <v>0</v>
      </c>
      <c r="AB45" s="1398">
        <f t="shared" ca="1" si="11"/>
        <v>48</v>
      </c>
      <c r="AC45" s="1397">
        <f t="shared" ca="1" si="12"/>
        <v>0</v>
      </c>
      <c r="AD45" s="1397">
        <f ca="1">IF(B45=$J$5,0,CONTADORES!H39-CONTADORES!H38)</f>
        <v>164.68000000005122</v>
      </c>
      <c r="AE45" s="1397">
        <f ca="1">IF(B45=$J$5,0,CONTADORES!J39-CONTADORES!J38)</f>
        <v>24</v>
      </c>
      <c r="AF45" s="1397">
        <f ca="1">IF(B45=$J$5,0,CONTADORES!AU39-CONTADORES!AU38)</f>
        <v>150.52000000001863</v>
      </c>
      <c r="AG45" s="1397">
        <f ca="1">IF(B45=$J$5,0,CONTADORES!AW39-CONTADORES!AW38)</f>
        <v>24</v>
      </c>
      <c r="AH45" s="1397">
        <f ca="1">IF(B45=$J$5,0,(CONTADORES!AM39-CONTADORES!AM38)+(CONTADORES!M39-CONTADORES!M38))</f>
        <v>19.5</v>
      </c>
      <c r="AI45" s="1397">
        <f ca="1">IF(B45=$J$5,0,(CONTADORES!AK39-CONTADORES!AK38)+(CONTADORES!O39-CONTADORES!O38))</f>
        <v>38.760000000002037</v>
      </c>
      <c r="AJ45" s="1397">
        <f ca="1">IF(B45=$J$5,0,(CONTADORES!AI39-CONTADORES!AI38))</f>
        <v>8.7200000000011642</v>
      </c>
      <c r="AK45" s="1397">
        <f ca="1">IF(B45=$J$5,0,(CONTADORES!Q39-CONTADORES!Q38))</f>
        <v>13.85999999998603</v>
      </c>
      <c r="AL45" s="1397">
        <f t="shared" ca="1" si="13"/>
        <v>30.539999999919019</v>
      </c>
      <c r="AM45" s="1397">
        <f ca="1">IF(B45&gt;=$J$5,0,(((CONTADORES!F39-CONTADORES!F38)+(CONTADORES!AQ39-CONTADORES!AQ38))))-BS45-AF45-AN45-BV45-BY45-CD45-CB45</f>
        <v>9.456999999981333</v>
      </c>
      <c r="AN45" s="1397">
        <f ca="1">IF(B45=$J$5,0,(CONTADORES!AX39-CONTADORES!AX38)+(CONTADORES!AZ39-CONTADORES!AZ38)+(CONTADORES!BE39-CONTADORES!BE38))-CB45</f>
        <v>3.2970000000006205</v>
      </c>
      <c r="AO45" s="1437">
        <f ca="1">IF(B45&gt;=$J$5,0,(CONTADORES!AC39-CONTADORES!AC38))</f>
        <v>150.73999999999069</v>
      </c>
      <c r="AP45" s="1437">
        <f ca="1">IF(B45&gt;=$J$5,0,(CONTADORES!X39-CONTADORES!X38))</f>
        <v>75.70299999999952</v>
      </c>
      <c r="AQ45" s="1433">
        <f ca="1">IF(B45&gt;=$J$5,0,(CONTADORES!C39-CONTADORES!C38))</f>
        <v>0</v>
      </c>
      <c r="AR45" s="1399">
        <f ca="1">IF(B45&gt;=$J$5,0,(CONTADORES!BC39-CONTADORES!BC38))</f>
        <v>0</v>
      </c>
      <c r="AS45" s="1397">
        <f ca="1">IF(B45=$J$5,0,CONTADORES!S39-CONTADORES!S38)</f>
        <v>16.429999999993015</v>
      </c>
      <c r="AT45" s="1397">
        <f ca="1">IF(B45=$J$5,0,(CONTADORES!U39-CONTADORES!U38)+(CONTADORES!AG39-CONTADORES!AG38))</f>
        <v>2.2399999999979627</v>
      </c>
      <c r="AU45" s="1397">
        <f>CONTADORES!I39-CONTADORES!I38</f>
        <v>84.799999999988358</v>
      </c>
      <c r="AV45" s="1397">
        <f>CONTADORES!AV39-CONTADORES!AV38</f>
        <v>64.89100000000326</v>
      </c>
      <c r="AW45" s="1397">
        <f ca="1">IF(B45&gt;=$J$5,0,(CONTADORES!N39-CONTADORES!N38)+(CONTADORES!AN39-CONTADORES!AN38))</f>
        <v>7.6000000000021828</v>
      </c>
      <c r="AX45" s="1397">
        <f ca="1">IF(B45&gt;=$J$5,0,(CONTADORES!P39-CONTADORES!P38)+(CONTADORES!AL39-CONTADORES!AL38))</f>
        <v>30.379999999997381</v>
      </c>
      <c r="AY45" s="1397">
        <f ca="1">IF(B45&gt;=$J$5,0,(CONTADORES!AJ39-CONTADORES!AJ38))</f>
        <v>6.8600000000005821</v>
      </c>
      <c r="AZ45" s="1397">
        <f ca="1">IF(B45&gt;=$J$5,0,(CONTADORES!R39-CONTADORES!R38))</f>
        <v>11.139999999999418</v>
      </c>
      <c r="BA45" s="1397">
        <f t="shared" ca="1" si="14"/>
        <v>9.47499999999701</v>
      </c>
      <c r="BB45" s="1397">
        <f ca="1">IF(B45&gt;=$J$5,0,(((CONTADORES!G39-CONTADORES!G38)+(CONTADORES!AR39-CONTADORES!AR38))))-AV45-BC45-BT45-BW45-BZ45-CE45</f>
        <v>3.9030000000019616</v>
      </c>
      <c r="BC45" s="1744">
        <f ca="1">IF(B45&gt;=$J$5,0,(CONTADORES!AY39-CONTADORES!AY38)+(CONTADORES!BA39-CONTADORES!BA38)+(CONTADORES!BF39-CONTADORES!BF38))-CC45</f>
        <v>1.6720000000000534</v>
      </c>
      <c r="BD45" s="1397">
        <f t="shared" ca="1" si="15"/>
        <v>226.44299999999021</v>
      </c>
      <c r="BE45" s="1398">
        <f ca="1">IF($B45&gt;=$J$5,0,CONTADORES!$BG39)</f>
        <v>8897.0300000000007</v>
      </c>
      <c r="BF45" s="1397">
        <f ca="1">IF($B45&gt;=$J$5,0,CONTADORES!$BH39)</f>
        <v>34924.592982456103</v>
      </c>
      <c r="BG45" s="1397">
        <f ca="1">IF($B45&gt;=$J$5,0,CONTADORES!$BJ39)</f>
        <v>5962.11</v>
      </c>
      <c r="BH45" s="1409">
        <f ca="1">IF(B45&gt;=$J$5,0,((CONTADORES!BK39-CONTADORES!BK38)/1000))</f>
        <v>1.5109999999999999</v>
      </c>
      <c r="BI45" s="1409">
        <f ca="1">IF(C45&gt;=$J$5,0,((CONTADORES!BL39-CONTADORES!BL38)/1000))</f>
        <v>1.4750000000000001</v>
      </c>
      <c r="BJ45" s="1399">
        <f ca="1">IF(C45&gt;=$J$5,0,((CONTADORES!BM39-CONTADORES!BM38)/1000))</f>
        <v>0</v>
      </c>
      <c r="BK45" s="1399">
        <f ca="1">IF(D45&gt;=$J$5,0,((CONTADORES!BN39-CONTADORES!BN38)/1000))</f>
        <v>0</v>
      </c>
      <c r="BL45" s="1399">
        <f t="shared" ca="1" si="16"/>
        <v>1.5109999999999999</v>
      </c>
      <c r="BM45" s="1399">
        <f t="shared" ca="1" si="17"/>
        <v>1.4750000000000001</v>
      </c>
      <c r="BN45" s="1398">
        <f ca="1">IF(W45&gt;=$J$5,0,CONTADORES!$BO39)</f>
        <v>133.86085728492699</v>
      </c>
      <c r="BO45" s="1397">
        <f ca="1">IF(W45&gt;=$J$5,0,CONTADORES!$BP39)</f>
        <v>45.532932703114305</v>
      </c>
      <c r="BP45" s="1397">
        <f ca="1">IF(W45&gt;=$J$5,0,CONTADORES!$BQ39)</f>
        <v>634.95602121437548</v>
      </c>
      <c r="BQ45" s="1397">
        <f ca="1">IF(B45&gt;=$J$5,0,(CONTADORES!AS39-CONTADORES!AS38))</f>
        <v>4.1869999999980791</v>
      </c>
      <c r="BR45" s="1397">
        <f ca="1">IF(B45&gt;=$J$5,0,(CONTADORES!AT39-CONTADORES!AT38))</f>
        <v>0</v>
      </c>
      <c r="BS45" s="1409">
        <f ca="1">IF(B45&gt;=$J$5,0,CONTADORES!BR39-CONTADORES!BR38)/1000</f>
        <v>0</v>
      </c>
      <c r="BT45" s="1438">
        <f ca="1">IF(B45&gt;=$J$5,0,CONTADORES!BS39-CONTADORES!BS38)</f>
        <v>0</v>
      </c>
      <c r="BU45" s="1438">
        <f ca="1">IF(B45&gt;=$J$5,0,CONTADORES!BT39-CONTADORES!BT38)</f>
        <v>0</v>
      </c>
      <c r="BV45" s="1438">
        <f ca="1">IF(B45&gt;=$J$5,0,CONTADORES!BU39-CONTADORES!BU38)/1000</f>
        <v>4.5819999999999999</v>
      </c>
      <c r="BW45" s="1438">
        <f ca="1">IF(B45&gt;=$J$5,0,CONTADORES!BV39-CONTADORES!BV38)/1000</f>
        <v>0.67300000000000004</v>
      </c>
      <c r="BX45" s="1438">
        <f ca="1">IF(B45&gt;=$J$5,0,CONTADORES!BW39-CONTADORES!BW38)</f>
        <v>24</v>
      </c>
      <c r="BY45" s="1438">
        <f ca="1">IF(B45&gt;=$J$5,0,CONTADORES!BX39-CONTADORES!BX38)/1000</f>
        <v>3.6709999999999998</v>
      </c>
      <c r="BZ45" s="1438">
        <f ca="1">IF(B45&gt;=$J$5,0,CONTADORES!BY39-CONTADORES!BY38)/1000</f>
        <v>6.0999999999999999E-2</v>
      </c>
      <c r="CA45" s="1438">
        <f ca="1">IF(B45&gt;=$J$5,0,CONTADORES!BZ39-CONTADORES!BZ38)</f>
        <v>24</v>
      </c>
      <c r="CB45" s="1409">
        <f ca="1">IF(B45&gt;=$J$5,0,(CONTADORES!CC39-CONTADORES!CC38)+(CONTADORES!CE39-CONTADORES!CE38))/1000</f>
        <v>0.83299999999999996</v>
      </c>
      <c r="CC45" s="1438">
        <f ca="1">IF(B45&gt;=$J$5,0,(CONTADORES!CD39-CONTADORES!CD38)+(CONTADORES!CF39-CONTADORES!CF38))/1000</f>
        <v>0.48799999999999999</v>
      </c>
      <c r="CD45" s="1409">
        <f ca="1">IF(B45&gt;=$J$5,0,CONTADORES!CA39-CONTADORES!CA38)</f>
        <v>6.4400000000005093</v>
      </c>
      <c r="CE45" s="1438">
        <f ca="1">IF(B45&gt;=$J$5,0,CONTADORES!CB39-CONTADORES!CB38)</f>
        <v>4.5</v>
      </c>
      <c r="CF45" s="1438">
        <f t="shared" ca="1" si="18"/>
        <v>11.168499999991177</v>
      </c>
      <c r="CG45" s="1438">
        <f t="shared" ca="1" si="19"/>
        <v>6.4515000000009808</v>
      </c>
      <c r="CH45" s="1438">
        <f t="shared" ca="1" si="20"/>
        <v>4.7284999999906665</v>
      </c>
      <c r="CI45" s="1438">
        <f t="shared" ca="1" si="21"/>
        <v>1.3188000000002482</v>
      </c>
      <c r="CJ45" s="1438">
        <f t="shared" ca="1" si="22"/>
        <v>4.7284999999906665</v>
      </c>
      <c r="CK45" s="1438">
        <f t="shared" ca="1" si="23"/>
        <v>1.9782000000003723</v>
      </c>
      <c r="CL45" s="1438">
        <f t="shared" ca="1" si="24"/>
        <v>2.1518000000002484</v>
      </c>
      <c r="CM45" s="1438">
        <f t="shared" ca="1" si="25"/>
        <v>1.9515000000009808</v>
      </c>
      <c r="CN45" s="1438">
        <f ca="1">IF(B45&gt;=$J$5,0,CONTADORES!CB39-CONTADORES!CB38)</f>
        <v>4.5</v>
      </c>
      <c r="CO45" s="1438">
        <f t="shared" ca="1" si="26"/>
        <v>1.9515000000009808</v>
      </c>
      <c r="CP45" s="1438">
        <f t="shared" ca="1" si="27"/>
        <v>0.83600000000002672</v>
      </c>
      <c r="CQ45" s="1438">
        <f t="shared" ca="1" si="28"/>
        <v>0.83600000000002672</v>
      </c>
      <c r="CR45" s="1438">
        <f t="shared" ca="1" si="29"/>
        <v>1.3240000000000267</v>
      </c>
      <c r="CS45" s="1439">
        <f ca="1">IF($B45&gt;=$J$5,0,CONTADORES!$BI39)</f>
        <v>11100.5175604262</v>
      </c>
      <c r="CT45" s="1334">
        <f>CONTADORES!E39</f>
        <v>0</v>
      </c>
      <c r="CU45" s="1334">
        <f>CONTADORES!CG39</f>
        <v>0</v>
      </c>
    </row>
    <row r="46" spans="2:99">
      <c r="B46" s="214">
        <v>44962</v>
      </c>
      <c r="C46" s="198">
        <f t="shared" ca="1" si="0"/>
        <v>304.11000000010245</v>
      </c>
      <c r="D46" s="196">
        <f ca="1">'CALCULO DE GAS'!D42</f>
        <v>4.9562350286791403</v>
      </c>
      <c r="E46" s="196">
        <f ca="1">IF(B46&gt;=$J$5,0,(CONTADORES!$AD40-CONTADORES!$AD39)-$H46)</f>
        <v>24</v>
      </c>
      <c r="F46" s="198">
        <f t="shared" ca="1" si="31"/>
        <v>0</v>
      </c>
      <c r="G46" s="196">
        <f ca="1">IF(B46&gt;=$J$5,0,CONTADORES!$AF40-CONTADORES!$AF39)</f>
        <v>0</v>
      </c>
      <c r="H46" s="206">
        <f ca="1">IF(G46&gt;0,CONTADORES!$AE40-CONTADORES!$AE39,0)</f>
        <v>0</v>
      </c>
      <c r="I46" s="199">
        <f ca="1">IF(B46&gt;=$J$5,0,CONTADORES!$AB40-CONTADORES!$AB39)</f>
        <v>304.11000000010245</v>
      </c>
      <c r="J46" s="198">
        <f t="shared" ca="1" si="2"/>
        <v>147.07999999999811</v>
      </c>
      <c r="K46" s="196">
        <f ca="1">'CALCULO DE GAS'!E42</f>
        <v>3.6757160760598349</v>
      </c>
      <c r="L46" s="1396">
        <f ca="1">IF(B46&gt;=$J$5,0,(CONTADORES!$Y40-CONTADORES!$Y39)-$O46)</f>
        <v>24</v>
      </c>
      <c r="M46" s="1396">
        <v>0</v>
      </c>
      <c r="N46" s="1396">
        <f ca="1">IF(B46&gt;=$J$5,0,CONTADORES!$AA40-CONTADORES!AA39)</f>
        <v>0</v>
      </c>
      <c r="O46" s="1396">
        <f ca="1">IF(N46&gt;0,CONTADORES!$Z40-CONTADORES!$Z39,0)</f>
        <v>0</v>
      </c>
      <c r="P46" s="202">
        <f ca="1">IF(B46&gt;=$J$5,0,CONTADORES!$W40-CONTADORES!$W39)</f>
        <v>147.07999999999811</v>
      </c>
      <c r="Q46" s="202">
        <f ca="1">IF(B46&gt;=$J$5,0,CONTADORES!$B40-CONTADORES!$B39)</f>
        <v>0</v>
      </c>
      <c r="R46" s="196">
        <f t="shared" ca="1" si="4"/>
        <v>0</v>
      </c>
      <c r="S46" s="11">
        <f ca="1">IF(B46&gt;=$J$5,0,CONTADORES!$D40-CONTADORES!$D39)</f>
        <v>0</v>
      </c>
      <c r="T46" s="198">
        <f ca="1">IF(B46&gt;=$J$5,0,CONTADORES!$BB40-CONTADORES!$BB39)</f>
        <v>0</v>
      </c>
      <c r="U46" s="196">
        <f t="shared" ca="1" si="32"/>
        <v>0</v>
      </c>
      <c r="V46" s="199">
        <f ca="1">IF(B46&gt;=$J$5,0,CONTADORES!$BD40-CONTADORES!$BD39)</f>
        <v>0</v>
      </c>
      <c r="W46" s="1397">
        <f t="shared" ca="1" si="6"/>
        <v>451.19000000010055</v>
      </c>
      <c r="X46" s="1397">
        <f t="shared" ca="1" si="7"/>
        <v>0</v>
      </c>
      <c r="Y46" s="1398">
        <f t="shared" ca="1" si="8"/>
        <v>451.19000000010055</v>
      </c>
      <c r="Z46" s="1398">
        <f t="shared" ca="1" si="9"/>
        <v>8.6319511047389756</v>
      </c>
      <c r="AA46" s="1398">
        <f t="shared" ca="1" si="10"/>
        <v>0</v>
      </c>
      <c r="AB46" s="1398">
        <f t="shared" ca="1" si="11"/>
        <v>48</v>
      </c>
      <c r="AC46" s="1397">
        <f t="shared" ca="1" si="12"/>
        <v>0</v>
      </c>
      <c r="AD46" s="1397">
        <f ca="1">IF(B46=$J$5,0,CONTADORES!H40-CONTADORES!H39)</f>
        <v>165.71999999997206</v>
      </c>
      <c r="AE46" s="1397">
        <f ca="1">IF(B46=$J$5,0,CONTADORES!J40-CONTADORES!J39)</f>
        <v>24</v>
      </c>
      <c r="AF46" s="1397">
        <f ca="1">IF(B46=$J$5,0,CONTADORES!AU40-CONTADORES!AU39)</f>
        <v>152.85999999998603</v>
      </c>
      <c r="AG46" s="1397">
        <f ca="1">IF(B46=$J$5,0,CONTADORES!AW40-CONTADORES!AW39)</f>
        <v>24</v>
      </c>
      <c r="AH46" s="1397">
        <f ca="1">IF(B46=$J$5,0,(CONTADORES!AM40-CONTADORES!AM39)+(CONTADORES!M40-CONTADORES!M39))</f>
        <v>10.599999999998545</v>
      </c>
      <c r="AI46" s="1397">
        <f ca="1">IF(B46=$J$5,0,(CONTADORES!AK40-CONTADORES!AK39)+(CONTADORES!O40-CONTADORES!O39))</f>
        <v>39.209999999999127</v>
      </c>
      <c r="AJ46" s="1397">
        <f ca="1">IF(B46=$J$5,0,(CONTADORES!AI40-CONTADORES!AI39))</f>
        <v>8.680000000007567</v>
      </c>
      <c r="AK46" s="1397">
        <f ca="1">IF(B46=$J$5,0,(CONTADORES!Q40-CONTADORES!Q39))</f>
        <v>12.730000000010477</v>
      </c>
      <c r="AL46" s="1397">
        <f t="shared" ca="1" si="13"/>
        <v>32.550000000135697</v>
      </c>
      <c r="AM46" s="1397">
        <f ca="1">IF(B46&gt;=$J$5,0,(((CONTADORES!F40-CONTADORES!F39)+(CONTADORES!AQ40-CONTADORES!AQ39))))-BS46-AF46-AN46-BV46-BY46-CD46-CB46</f>
        <v>9.0479999999918856</v>
      </c>
      <c r="AN46" s="1397">
        <f ca="1">IF(B46=$J$5,0,(CONTADORES!AX40-CONTADORES!AX39)+(CONTADORES!AZ40-CONTADORES!AZ39)+(CONTADORES!BE40-CONTADORES!BE39))-CB46</f>
        <v>4.1399999999996364</v>
      </c>
      <c r="AO46" s="1437">
        <f ca="1">IF(B46&gt;=$J$5,0,(CONTADORES!AC40-CONTADORES!AC39))</f>
        <v>151.07000000000698</v>
      </c>
      <c r="AP46" s="1437">
        <f ca="1">IF(B46&gt;=$J$5,0,(CONTADORES!X40-CONTADORES!X39))</f>
        <v>73.389999999999418</v>
      </c>
      <c r="AQ46" s="1433">
        <f ca="1">IF(B46&gt;=$J$5,0,(CONTADORES!C40-CONTADORES!C39))</f>
        <v>0</v>
      </c>
      <c r="AR46" s="1399">
        <f ca="1">IF(B46&gt;=$J$5,0,(CONTADORES!BC40-CONTADORES!BC39))</f>
        <v>0</v>
      </c>
      <c r="AS46" s="1397">
        <f ca="1">IF(B46=$J$5,0,CONTADORES!S40-CONTADORES!S39)</f>
        <v>16.510000000009313</v>
      </c>
      <c r="AT46" s="1397">
        <f ca="1">IF(B46=$J$5,0,(CONTADORES!U40-CONTADORES!U39)+(CONTADORES!AG40-CONTADORES!AG39))</f>
        <v>2.2600000000020373</v>
      </c>
      <c r="AU46" s="1397">
        <f>CONTADORES!I40-CONTADORES!I39</f>
        <v>84.100000000034925</v>
      </c>
      <c r="AV46" s="1397">
        <f>CONTADORES!AV40-CONTADORES!AV39</f>
        <v>65.880000000004657</v>
      </c>
      <c r="AW46" s="1397">
        <f ca="1">IF(B46&gt;=$J$5,0,(CONTADORES!N40-CONTADORES!N39)+(CONTADORES!AN40-CONTADORES!AN39))</f>
        <v>4.0999999999985448</v>
      </c>
      <c r="AX46" s="1397">
        <f ca="1">IF(B46&gt;=$J$5,0,(CONTADORES!P40-CONTADORES!P39)+(CONTADORES!AL40-CONTADORES!AL39))</f>
        <v>30.770000000004075</v>
      </c>
      <c r="AY46" s="1397">
        <f ca="1">IF(B46&gt;=$J$5,0,(CONTADORES!AJ40-CONTADORES!AJ39))</f>
        <v>6.8099999999976717</v>
      </c>
      <c r="AZ46" s="1397">
        <f ca="1">IF(B46&gt;=$J$5,0,(CONTADORES!R40-CONTADORES!R39))</f>
        <v>10.779999999998836</v>
      </c>
      <c r="BA46" s="1397">
        <f t="shared" ca="1" si="14"/>
        <v>10.256999999971612</v>
      </c>
      <c r="BB46" s="1397">
        <f ca="1">IF(B46&gt;=$J$5,0,(((CONTADORES!G40-CONTADORES!G39)+(CONTADORES!AR40-CONTADORES!AR39))))-AV46-BC46-BT46-BW46-BZ46-CE46</f>
        <v>3.1149999999957982</v>
      </c>
      <c r="BC46" s="1744">
        <f ca="1">IF(B46&gt;=$J$5,0,(CONTADORES!AY40-CONTADORES!AY39)+(CONTADORES!BA40-CONTADORES!BA39)+(CONTADORES!BF40-CONTADORES!BF39))-CC46</f>
        <v>2.7070000000000909</v>
      </c>
      <c r="BD46" s="1397">
        <f t="shared" ca="1" si="15"/>
        <v>224.4600000000064</v>
      </c>
      <c r="BE46" s="1398">
        <f ca="1">IF($B46&gt;=$J$5,0,CONTADORES!$BG40)</f>
        <v>7845.48</v>
      </c>
      <c r="BF46" s="1397">
        <f ca="1">IF($B46&gt;=$J$5,0,CONTADORES!$BH40)</f>
        <v>36057.196491228096</v>
      </c>
      <c r="BG46" s="1397">
        <f ca="1">IF($B46&gt;=$J$5,0,CONTADORES!$BJ40)</f>
        <v>5313.07</v>
      </c>
      <c r="BH46" s="1409">
        <f ca="1">IF(B46&gt;=$J$5,0,((CONTADORES!BK40-CONTADORES!BK39)/1000))</f>
        <v>1.4630000000000001</v>
      </c>
      <c r="BI46" s="1409">
        <f ca="1">IF(C46&gt;=$J$5,0,((CONTADORES!BL40-CONTADORES!BL39)/1000))</f>
        <v>1.4359999999999999</v>
      </c>
      <c r="BJ46" s="1399">
        <f ca="1">IF(C46&gt;=$J$5,0,((CONTADORES!BM40-CONTADORES!BM39)/1000))</f>
        <v>0</v>
      </c>
      <c r="BK46" s="1399">
        <f ca="1">IF(D46&gt;=$J$5,0,((CONTADORES!BN40-CONTADORES!BN39)/1000))</f>
        <v>0</v>
      </c>
      <c r="BL46" s="1399">
        <f t="shared" ca="1" si="16"/>
        <v>1.4630000000000001</v>
      </c>
      <c r="BM46" s="1399">
        <f t="shared" ca="1" si="17"/>
        <v>1.4359999999999999</v>
      </c>
      <c r="BN46" s="1398">
        <f ca="1">IF(W46&gt;=$J$5,0,CONTADORES!$BO40)</f>
        <v>135.28366496818501</v>
      </c>
      <c r="BO46" s="1397">
        <f ca="1">IF(W46&gt;=$J$5,0,CONTADORES!$BP40)</f>
        <v>45.647127405402472</v>
      </c>
      <c r="BP46" s="1397">
        <f ca="1">IF(W46&gt;=$J$5,0,CONTADORES!$BQ40)</f>
        <v>647.85320473785919</v>
      </c>
      <c r="BQ46" s="1397">
        <f ca="1">IF(B46&gt;=$J$5,0,(CONTADORES!AS40-CONTADORES!AS39))</f>
        <v>4.25</v>
      </c>
      <c r="BR46" s="1397">
        <f ca="1">IF(B46&gt;=$J$5,0,(CONTADORES!AT40-CONTADORES!AT39))</f>
        <v>0</v>
      </c>
      <c r="BS46" s="1409">
        <f ca="1">IF(B46&gt;=$J$5,0,CONTADORES!BR40-CONTADORES!BR39)/1000</f>
        <v>0</v>
      </c>
      <c r="BT46" s="1438">
        <f ca="1">IF(B46&gt;=$J$5,0,CONTADORES!BS40-CONTADORES!BS39)</f>
        <v>0</v>
      </c>
      <c r="BU46" s="1438">
        <f ca="1">IF(B46&gt;=$J$5,0,CONTADORES!BT40-CONTADORES!BT39)</f>
        <v>0</v>
      </c>
      <c r="BV46" s="1438">
        <f ca="1">IF(B46&gt;=$J$5,0,CONTADORES!BU40-CONTADORES!BU39)/1000</f>
        <v>4.5919999999999996</v>
      </c>
      <c r="BW46" s="1438">
        <f ca="1">IF(B46&gt;=$J$5,0,CONTADORES!BV40-CONTADORES!BV39)/1000</f>
        <v>0.90100000000000002</v>
      </c>
      <c r="BX46" s="1438">
        <f ca="1">IF(B46&gt;=$J$5,0,CONTADORES!BW40-CONTADORES!BW39)</f>
        <v>24</v>
      </c>
      <c r="BY46" s="1438">
        <f ca="1">IF(B46&gt;=$J$5,0,CONTADORES!BX40-CONTADORES!BX39)/1000</f>
        <v>3.78</v>
      </c>
      <c r="BZ46" s="1438">
        <f ca="1">IF(B46&gt;=$J$5,0,CONTADORES!BY40-CONTADORES!BY39)/1000</f>
        <v>4.7E-2</v>
      </c>
      <c r="CA46" s="1438">
        <f ca="1">IF(B46&gt;=$J$5,0,CONTADORES!BZ40-CONTADORES!BZ39)</f>
        <v>24</v>
      </c>
      <c r="CB46" s="1409">
        <f ca="1">IF(B46&gt;=$J$5,0,(CONTADORES!CC40-CONTADORES!CC39)+(CONTADORES!CE40-CONTADORES!CE39))/1000</f>
        <v>0.76</v>
      </c>
      <c r="CC46" s="1438">
        <f ca="1">IF(B46&gt;=$J$5,0,(CONTADORES!CD40-CONTADORES!CD39)+(CONTADORES!CF40-CONTADORES!CF39))/1000</f>
        <v>0.443</v>
      </c>
      <c r="CD46" s="1409">
        <f ca="1">IF(B46&gt;=$J$5,0,CONTADORES!CA40-CONTADORES!CA39)</f>
        <v>6.5199999999995271</v>
      </c>
      <c r="CE46" s="1438">
        <f ca="1">IF(B46&gt;=$J$5,0,CONTADORES!CB40-CONTADORES!CB39)</f>
        <v>4.5500000000001819</v>
      </c>
      <c r="CF46" s="1438">
        <f t="shared" ca="1" si="18"/>
        <v>11.043999999995471</v>
      </c>
      <c r="CG46" s="1438">
        <f t="shared" ca="1" si="19"/>
        <v>6.1074999999980815</v>
      </c>
      <c r="CH46" s="1438">
        <f t="shared" ca="1" si="20"/>
        <v>4.5239999999959428</v>
      </c>
      <c r="CI46" s="1438">
        <f t="shared" ca="1" si="21"/>
        <v>1.6559999999998547</v>
      </c>
      <c r="CJ46" s="1438">
        <f t="shared" ca="1" si="22"/>
        <v>4.5239999999959428</v>
      </c>
      <c r="CK46" s="1438">
        <f t="shared" ca="1" si="23"/>
        <v>2.4839999999997815</v>
      </c>
      <c r="CL46" s="1438">
        <f t="shared" ca="1" si="24"/>
        <v>2.4159999999998547</v>
      </c>
      <c r="CM46" s="1438">
        <f t="shared" ca="1" si="25"/>
        <v>1.5574999999978991</v>
      </c>
      <c r="CN46" s="1438">
        <f ca="1">IF(B46&gt;=$J$5,0,CONTADORES!CB40-CONTADORES!CB39)</f>
        <v>4.5500000000001819</v>
      </c>
      <c r="CO46" s="1438">
        <f t="shared" ca="1" si="26"/>
        <v>1.5574999999978991</v>
      </c>
      <c r="CP46" s="1438">
        <f t="shared" ca="1" si="27"/>
        <v>1.3535000000000454</v>
      </c>
      <c r="CQ46" s="1438">
        <f t="shared" ca="1" si="28"/>
        <v>1.3535000000000454</v>
      </c>
      <c r="CR46" s="1438">
        <f t="shared" ca="1" si="29"/>
        <v>1.7965000000000455</v>
      </c>
      <c r="CS46" s="1439">
        <f ca="1">IF($B46&gt;=$J$5,0,CONTADORES!$BI40)</f>
        <v>11008.588177839199</v>
      </c>
      <c r="CT46" s="1334">
        <f>CONTADORES!E40</f>
        <v>0</v>
      </c>
      <c r="CU46" s="1334">
        <f>CONTADORES!CG40</f>
        <v>0</v>
      </c>
    </row>
    <row r="47" spans="2:99">
      <c r="B47" s="214">
        <v>44963</v>
      </c>
      <c r="C47" s="198">
        <f t="shared" ca="1" si="0"/>
        <v>303.55999999993946</v>
      </c>
      <c r="D47" s="196">
        <f ca="1">'CALCULO DE GAS'!D43</f>
        <v>4.9517499912713276</v>
      </c>
      <c r="E47" s="196">
        <f ca="1">IF(B47&gt;=$J$5,0,(CONTADORES!$AD41-CONTADORES!$AD40)-$H47)</f>
        <v>24</v>
      </c>
      <c r="F47" s="198">
        <f t="shared" ca="1" si="31"/>
        <v>0</v>
      </c>
      <c r="G47" s="196">
        <f ca="1">IF(B47&gt;=$J$5,0,CONTADORES!$AF41-CONTADORES!$AF40)</f>
        <v>0</v>
      </c>
      <c r="H47" s="206">
        <f ca="1">IF(G47&gt;0,CONTADORES!$AE41-CONTADORES!$AE40,0)</f>
        <v>0</v>
      </c>
      <c r="I47" s="199">
        <f ca="1">IF(B47&gt;=$J$5,0,CONTADORES!$AB41-CONTADORES!$AB40)</f>
        <v>303.55999999993946</v>
      </c>
      <c r="J47" s="198">
        <f t="shared" ca="1" si="2"/>
        <v>146.54000000000087</v>
      </c>
      <c r="K47" s="196">
        <f ca="1">'CALCULO DE GAS'!E43</f>
        <v>3.671312584788037</v>
      </c>
      <c r="L47" s="1396">
        <f ca="1">IF(B47&gt;=$J$5,0,(CONTADORES!$Y41-CONTADORES!$Y40)-$O47)</f>
        <v>24</v>
      </c>
      <c r="M47" s="1396">
        <f ca="1">IF(O47=0,0,"ERROR")</f>
        <v>0</v>
      </c>
      <c r="N47" s="1396">
        <f ca="1">IF(B47&gt;=$J$5,0,CONTADORES!$AA41-CONTADORES!AA40)</f>
        <v>0</v>
      </c>
      <c r="O47" s="1396">
        <f ca="1">IF(N47&gt;0,CONTADORES!$Z41-CONTADORES!$Z40,0)</f>
        <v>0</v>
      </c>
      <c r="P47" s="202">
        <f ca="1">IF(B47&gt;=$J$5,0,CONTADORES!$W41-CONTADORES!$W40)</f>
        <v>146.54000000000087</v>
      </c>
      <c r="Q47" s="202">
        <f ca="1">IF(B47&gt;=$J$5,0,CONTADORES!$B41-CONTADORES!$B40)</f>
        <v>0</v>
      </c>
      <c r="R47" s="196">
        <f t="shared" ca="1" si="4"/>
        <v>0</v>
      </c>
      <c r="S47" s="11">
        <f ca="1">IF(B47&gt;=$J$5,0,CONTADORES!$D41-CONTADORES!$D40)</f>
        <v>0</v>
      </c>
      <c r="T47" s="198">
        <f ca="1">IF(B47&gt;=$J$5,0,CONTADORES!$BB41-CONTADORES!$BB40)</f>
        <v>0</v>
      </c>
      <c r="U47" s="196">
        <f t="shared" ca="1" si="32"/>
        <v>0</v>
      </c>
      <c r="V47" s="199">
        <f ca="1">IF(B47&gt;=$J$5,0,CONTADORES!$BD41-CONTADORES!$BD40)</f>
        <v>0</v>
      </c>
      <c r="W47" s="1397">
        <f t="shared" ca="1" si="6"/>
        <v>450.09999999994034</v>
      </c>
      <c r="X47" s="1397">
        <f t="shared" ca="1" si="7"/>
        <v>0</v>
      </c>
      <c r="Y47" s="1398">
        <f t="shared" ca="1" si="8"/>
        <v>450.09999999994034</v>
      </c>
      <c r="Z47" s="1398">
        <f t="shared" ca="1" si="9"/>
        <v>8.6230625760593647</v>
      </c>
      <c r="AA47" s="1398">
        <f t="shared" ca="1" si="10"/>
        <v>0</v>
      </c>
      <c r="AB47" s="1398">
        <f t="shared" ca="1" si="11"/>
        <v>48</v>
      </c>
      <c r="AC47" s="1397">
        <f t="shared" ca="1" si="12"/>
        <v>0</v>
      </c>
      <c r="AD47" s="1397">
        <f ca="1">IF(B47=$J$5,0,CONTADORES!H41-CONTADORES!H40)</f>
        <v>164</v>
      </c>
      <c r="AE47" s="1397">
        <f ca="1">IF(B47=$J$5,0,CONTADORES!J41-CONTADORES!J40)</f>
        <v>24</v>
      </c>
      <c r="AF47" s="1397">
        <f ca="1">IF(B47=$J$5,0,CONTADORES!AU41-CONTADORES!AU40)</f>
        <v>152.42999999999302</v>
      </c>
      <c r="AG47" s="1397">
        <f ca="1">IF(B47=$J$5,0,CONTADORES!AW41-CONTADORES!AW40)</f>
        <v>24</v>
      </c>
      <c r="AH47" s="1397">
        <f ca="1">IF(B47=$J$5,0,(CONTADORES!AM41-CONTADORES!AM40)+(CONTADORES!M41-CONTADORES!M40))</f>
        <v>9.0999999999985448</v>
      </c>
      <c r="AI47" s="1397">
        <f ca="1">IF(B47=$J$5,0,(CONTADORES!AK41-CONTADORES!AK40)+(CONTADORES!O41-CONTADORES!O40))</f>
        <v>40.180000000000291</v>
      </c>
      <c r="AJ47" s="1397">
        <f ca="1">IF(B47=$J$5,0,(CONTADORES!AI41-CONTADORES!AI40))</f>
        <v>8.9199999999982538</v>
      </c>
      <c r="AK47" s="1397">
        <f ca="1">IF(B47=$J$5,0,(CONTADORES!Q41-CONTADORES!Q40))</f>
        <v>12.64000000001397</v>
      </c>
      <c r="AL47" s="1397">
        <f t="shared" ca="1" si="13"/>
        <v>34.25999999990745</v>
      </c>
      <c r="AM47" s="1397">
        <f ca="1">IF(B47&gt;=$J$5,0,(((CONTADORES!F41-CONTADORES!F40)+(CONTADORES!AQ41-CONTADORES!AQ40))))-BS47-AF47-AN47-BV47-BY47-CD47-CB47</f>
        <v>8.5970000000287747</v>
      </c>
      <c r="AN47" s="1397">
        <f ca="1">IF(B47=$J$5,0,(CONTADORES!AX41-CONTADORES!AX40)+(CONTADORES!AZ41-CONTADORES!AZ40)+(CONTADORES!BE41-CONTADORES!BE40))-CB47</f>
        <v>4.4460000000000726</v>
      </c>
      <c r="AO47" s="1437">
        <f ca="1">IF(B47&gt;=$J$5,0,(CONTADORES!AC41-CONTADORES!AC40))</f>
        <v>152.02000000001863</v>
      </c>
      <c r="AP47" s="1437">
        <f ca="1">IF(B47&gt;=$J$5,0,(CONTADORES!X41-CONTADORES!X40))</f>
        <v>74.989999999999782</v>
      </c>
      <c r="AQ47" s="1433">
        <f ca="1">IF(B47&gt;=$J$5,0,(CONTADORES!C41-CONTADORES!C40))</f>
        <v>0</v>
      </c>
      <c r="AR47" s="1399">
        <f ca="1">IF(B47&gt;=$J$5,0,(CONTADORES!BC41-CONTADORES!BC40))</f>
        <v>0</v>
      </c>
      <c r="AS47" s="1397">
        <f ca="1">IF(B47=$J$5,0,CONTADORES!S41-CONTADORES!S40)</f>
        <v>16.989999999990687</v>
      </c>
      <c r="AT47" s="1397">
        <f ca="1">IF(B47=$J$5,0,(CONTADORES!U41-CONTADORES!U40)+(CONTADORES!AG41-CONTADORES!AG40))</f>
        <v>2.3600000000005821</v>
      </c>
      <c r="AU47" s="1397">
        <f>CONTADORES!I41-CONTADORES!I40</f>
        <v>83.899999999965075</v>
      </c>
      <c r="AV47" s="1397">
        <f>CONTADORES!AV41-CONTADORES!AV40</f>
        <v>65.709999999991851</v>
      </c>
      <c r="AW47" s="1397">
        <f ca="1">IF(B47&gt;=$J$5,0,(CONTADORES!N41-CONTADORES!N40)+(CONTADORES!AN41-CONTADORES!AN40))</f>
        <v>3.5</v>
      </c>
      <c r="AX47" s="1397">
        <f ca="1">IF(B47&gt;=$J$5,0,(CONTADORES!P41-CONTADORES!P40)+(CONTADORES!AL41-CONTADORES!AL40))</f>
        <v>31.599999999991269</v>
      </c>
      <c r="AY47" s="1397">
        <f ca="1">IF(B47&gt;=$J$5,0,(CONTADORES!AJ41-CONTADORES!AJ40))</f>
        <v>6.9899999999979627</v>
      </c>
      <c r="AZ47" s="1397">
        <f ca="1">IF(B47&gt;=$J$5,0,(CONTADORES!R41-CONTADORES!R40))</f>
        <v>10.869999999995343</v>
      </c>
      <c r="BA47" s="1397">
        <f t="shared" ca="1" si="14"/>
        <v>12.518000000057128</v>
      </c>
      <c r="BB47" s="1397">
        <f ca="1">IF(B47&gt;=$J$5,0,(((CONTADORES!G41-CONTADORES!G40)+(CONTADORES!AR41-CONTADORES!AR40))))-AV47-BC47-BT47-BW47-BZ47-CE47</f>
        <v>2.8920000000194381</v>
      </c>
      <c r="BC47" s="1744">
        <f ca="1">IF(B47&gt;=$J$5,0,(CONTADORES!AY41-CONTADORES!AY40)+(CONTADORES!BA41-CONTADORES!BA40)+(CONTADORES!BF41-CONTADORES!BF40))-CC47</f>
        <v>3.0579999999999523</v>
      </c>
      <c r="BD47" s="1397">
        <f t="shared" ca="1" si="15"/>
        <v>227.01000000001841</v>
      </c>
      <c r="BE47" s="1398">
        <f ca="1">IF($B47&gt;=$J$5,0,CONTADORES!$BG41)</f>
        <v>7425.51</v>
      </c>
      <c r="BF47" s="1397">
        <f ca="1">IF($B47&gt;=$J$5,0,CONTADORES!$BH41)</f>
        <v>35812.564912280701</v>
      </c>
      <c r="BG47" s="1397">
        <f ca="1">IF($B47&gt;=$J$5,0,CONTADORES!$BJ41)</f>
        <v>6383.82</v>
      </c>
      <c r="BH47" s="1409">
        <f ca="1">IF(B47&gt;=$J$5,0,((CONTADORES!BK41-CONTADORES!BK40)/1000))</f>
        <v>1.3620000000000001</v>
      </c>
      <c r="BI47" s="1409">
        <f ca="1">IF(C47&gt;=$J$5,0,((CONTADORES!BL41-CONTADORES!BL40)/1000))</f>
        <v>1.335</v>
      </c>
      <c r="BJ47" s="1399">
        <f ca="1">IF(C47&gt;=$J$5,0,((CONTADORES!BM41-CONTADORES!BM40)/1000))</f>
        <v>7.6999999999999999E-2</v>
      </c>
      <c r="BK47" s="1399">
        <f ca="1">IF(D47&gt;=$J$5,0,((CONTADORES!BN41-CONTADORES!BN40)/1000))</f>
        <v>8.2000000000000003E-2</v>
      </c>
      <c r="BL47" s="1399">
        <f t="shared" ca="1" si="16"/>
        <v>1.4390000000000001</v>
      </c>
      <c r="BM47" s="1399">
        <f t="shared" ca="1" si="17"/>
        <v>1.417</v>
      </c>
      <c r="BN47" s="1398">
        <f ca="1">IF(W47&gt;=$J$5,0,CONTADORES!$BO41)</f>
        <v>136.347070876434</v>
      </c>
      <c r="BO47" s="1397">
        <f ca="1">IF(W47&gt;=$J$5,0,CONTADORES!$BP41)</f>
        <v>45.542153250010841</v>
      </c>
      <c r="BP47" s="1397">
        <f ca="1">IF(W47&gt;=$J$5,0,CONTADORES!$BQ41)</f>
        <v>642.598040300756</v>
      </c>
      <c r="BQ47" s="1397">
        <f ca="1">IF(B47&gt;=$J$5,0,(CONTADORES!AS41-CONTADORES!AS40))</f>
        <v>4.7799999999988358</v>
      </c>
      <c r="BR47" s="1397">
        <f ca="1">IF(B47&gt;=$J$5,0,(CONTADORES!AT41-CONTADORES!AT40))</f>
        <v>0</v>
      </c>
      <c r="BS47" s="1409">
        <f ca="1">IF(B47&gt;=$J$5,0,CONTADORES!BR41-CONTADORES!BR40)/1000</f>
        <v>0</v>
      </c>
      <c r="BT47" s="1438">
        <f ca="1">IF(B47&gt;=$J$5,0,CONTADORES!BS41-CONTADORES!BS40)</f>
        <v>0</v>
      </c>
      <c r="BU47" s="1438">
        <f ca="1">IF(B47&gt;=$J$5,0,CONTADORES!BT41-CONTADORES!BT40)</f>
        <v>0</v>
      </c>
      <c r="BV47" s="1438">
        <f ca="1">IF(B47&gt;=$J$5,0,CONTADORES!BU41-CONTADORES!BU40)/1000</f>
        <v>4.5739999999999998</v>
      </c>
      <c r="BW47" s="1438">
        <f ca="1">IF(B47&gt;=$J$5,0,CONTADORES!BV41-CONTADORES!BV40)/1000</f>
        <v>0.88400000000000001</v>
      </c>
      <c r="BX47" s="1438">
        <f ca="1">IF(B47&gt;=$J$5,0,CONTADORES!BW41-CONTADORES!BW40)</f>
        <v>24</v>
      </c>
      <c r="BY47" s="1438">
        <f ca="1">IF(B47&gt;=$J$5,0,CONTADORES!BX41-CONTADORES!BX40)/1000</f>
        <v>3.6890000000000001</v>
      </c>
      <c r="BZ47" s="1438">
        <f ca="1">IF(B47&gt;=$J$5,0,CONTADORES!BY41-CONTADORES!BY40)/1000</f>
        <v>9.6000000000000002E-2</v>
      </c>
      <c r="CA47" s="1438">
        <f ca="1">IF(B47&gt;=$J$5,0,CONTADORES!BZ41-CONTADORES!BZ40)</f>
        <v>24</v>
      </c>
      <c r="CB47" s="1409">
        <f ca="1">IF(B47&gt;=$J$5,0,(CONTADORES!CC41-CONTADORES!CC40)+(CONTADORES!CE41-CONTADORES!CE40))/1000</f>
        <v>0.72399999999999998</v>
      </c>
      <c r="CC47" s="1438">
        <f ca="1">IF(B47&gt;=$J$5,0,(CONTADORES!CD41-CONTADORES!CD40)+(CONTADORES!CF41-CONTADORES!CF40))/1000</f>
        <v>0.432</v>
      </c>
      <c r="CD47" s="1409">
        <f ca="1">IF(B47&gt;=$J$5,0,CONTADORES!CA41-CONTADORES!CA40)</f>
        <v>6.5399999999999636</v>
      </c>
      <c r="CE47" s="1438">
        <f ca="1">IF(B47&gt;=$J$5,0,CONTADORES!CB41-CONTADORES!CB40)</f>
        <v>4.5600000000004002</v>
      </c>
      <c r="CF47" s="1438">
        <f t="shared" ca="1" si="18"/>
        <v>10.838500000014351</v>
      </c>
      <c r="CG47" s="1438">
        <f t="shared" ca="1" si="19"/>
        <v>6.0060000000101192</v>
      </c>
      <c r="CH47" s="1438">
        <f t="shared" ca="1" si="20"/>
        <v>4.2985000000143874</v>
      </c>
      <c r="CI47" s="1438">
        <f t="shared" ca="1" si="21"/>
        <v>1.7784000000000291</v>
      </c>
      <c r="CJ47" s="1438">
        <f t="shared" ca="1" si="22"/>
        <v>4.2985000000143874</v>
      </c>
      <c r="CK47" s="1438">
        <f t="shared" ca="1" si="23"/>
        <v>2.6676000000000437</v>
      </c>
      <c r="CL47" s="1438">
        <f t="shared" ca="1" si="24"/>
        <v>2.502400000000029</v>
      </c>
      <c r="CM47" s="1438">
        <f t="shared" ca="1" si="25"/>
        <v>1.4460000000097191</v>
      </c>
      <c r="CN47" s="1438">
        <f ca="1">IF(B47&gt;=$J$5,0,CONTADORES!CB41-CONTADORES!CB40)</f>
        <v>4.5600000000004002</v>
      </c>
      <c r="CO47" s="1438">
        <f t="shared" ca="1" si="26"/>
        <v>1.4460000000097191</v>
      </c>
      <c r="CP47" s="1438">
        <f t="shared" ca="1" si="27"/>
        <v>1.5289999999999762</v>
      </c>
      <c r="CQ47" s="1438">
        <f t="shared" ca="1" si="28"/>
        <v>1.5289999999999762</v>
      </c>
      <c r="CR47" s="1438">
        <f t="shared" ca="1" si="29"/>
        <v>1.9609999999999761</v>
      </c>
      <c r="CS47" s="1439">
        <f ca="1">IF($B47&gt;=$J$5,0,CONTADORES!$BI41)</f>
        <v>10452.6718740381</v>
      </c>
      <c r="CT47" s="1334">
        <f>CONTADORES!E41</f>
        <v>0</v>
      </c>
      <c r="CU47" s="1334">
        <f>CONTADORES!CG41</f>
        <v>0</v>
      </c>
    </row>
    <row r="48" spans="2:99">
      <c r="B48" s="214">
        <v>44964</v>
      </c>
      <c r="C48" s="198">
        <f t="shared" ca="1" si="0"/>
        <v>317.76000000000931</v>
      </c>
      <c r="D48" s="196">
        <f ca="1">'CALCULO DE GAS'!D44</f>
        <v>5.0675455024938412</v>
      </c>
      <c r="E48" s="196">
        <f ca="1">IF(B48&gt;=$J$5,0,(CONTADORES!$AD42-CONTADORES!$AD41)-$H48)</f>
        <v>24</v>
      </c>
      <c r="F48" s="198">
        <f t="shared" ca="1" si="31"/>
        <v>0</v>
      </c>
      <c r="G48" s="196">
        <f ca="1">IF(B48&gt;=$J$5,0,CONTADORES!$AF42-CONTADORES!$AF41)</f>
        <v>0</v>
      </c>
      <c r="H48" s="206">
        <f ca="1">IF(G48&gt;0,CONTADORES!$AE42-CONTADORES!$AE41,0)</f>
        <v>0</v>
      </c>
      <c r="I48" s="199">
        <f ca="1">IF(B48&gt;=$J$5,0,CONTADORES!$AB42-CONTADORES!$AB41)</f>
        <v>317.76000000000931</v>
      </c>
      <c r="J48" s="198">
        <f t="shared" ca="1" si="2"/>
        <v>148.81999999999971</v>
      </c>
      <c r="K48" s="196">
        <f ca="1">'CALCULO DE GAS'!E44</f>
        <v>3.6899051034912693</v>
      </c>
      <c r="L48" s="1396">
        <f ca="1">IF(B48&gt;=$J$5,0,(CONTADORES!$Y42-CONTADORES!$Y41)-$O48)</f>
        <v>24</v>
      </c>
      <c r="M48" s="1396">
        <v>0</v>
      </c>
      <c r="N48" s="1396">
        <f ca="1">IF(B48&gt;=$J$5,0,CONTADORES!$AA42-CONTADORES!AA41)</f>
        <v>0</v>
      </c>
      <c r="O48" s="1396">
        <f ca="1">IF(N48&gt;0,CONTADORES!$Z42-CONTADORES!$Z41,0)</f>
        <v>0</v>
      </c>
      <c r="P48" s="202">
        <f ca="1">IF(B48&gt;=$J$5,0,CONTADORES!$W42-CONTADORES!$W41)</f>
        <v>148.81999999999971</v>
      </c>
      <c r="Q48" s="202">
        <f ca="1">IF(B48&gt;=$J$5,0,CONTADORES!$B42-CONTADORES!$B41)</f>
        <v>0.33100000000013097</v>
      </c>
      <c r="R48" s="196">
        <f t="shared" ca="1" si="4"/>
        <v>39.720000000015716</v>
      </c>
      <c r="S48" s="11">
        <f ca="1">IF(B48&gt;=$J$5,0,CONTADORES!$D42-CONTADORES!$D41)</f>
        <v>0.8000000000001819</v>
      </c>
      <c r="T48" s="198">
        <f ca="1">IF(B48&gt;=$J$5,0,CONTADORES!$BB42-CONTADORES!$BB41)</f>
        <v>0.36499999999989541</v>
      </c>
      <c r="U48" s="196">
        <f t="shared" ca="1" si="32"/>
        <v>43.799999999987449</v>
      </c>
      <c r="V48" s="199">
        <f ca="1">IF(B48&gt;=$J$5,0,CONTADORES!$BD42-CONTADORES!$BD41)</f>
        <v>0.29999999999995453</v>
      </c>
      <c r="W48" s="1397">
        <f t="shared" ca="1" si="6"/>
        <v>466.58000000000902</v>
      </c>
      <c r="X48" s="1397">
        <f t="shared" ca="1" si="7"/>
        <v>0.69600000000002638</v>
      </c>
      <c r="Y48" s="1398">
        <f t="shared" ca="1" si="8"/>
        <v>467.27600000000905</v>
      </c>
      <c r="Z48" s="1398">
        <f t="shared" ca="1" si="9"/>
        <v>8.7574506059851096</v>
      </c>
      <c r="AA48" s="1398">
        <f t="shared" ca="1" si="10"/>
        <v>83.520000000003165</v>
      </c>
      <c r="AB48" s="1398">
        <f t="shared" ca="1" si="11"/>
        <v>48</v>
      </c>
      <c r="AC48" s="1397">
        <f t="shared" ca="1" si="12"/>
        <v>1.1000000000001364</v>
      </c>
      <c r="AD48" s="1397">
        <f ca="1">IF(B48=$J$5,0,CONTADORES!H42-CONTADORES!H41)</f>
        <v>164.69999999995343</v>
      </c>
      <c r="AE48" s="1397">
        <f ca="1">IF(B48=$J$5,0,CONTADORES!J42-CONTADORES!J41)</f>
        <v>24</v>
      </c>
      <c r="AF48" s="1397">
        <f ca="1">IF(B48=$J$5,0,CONTADORES!AU42-CONTADORES!AU41)</f>
        <v>155.36999999999534</v>
      </c>
      <c r="AG48" s="1397">
        <f ca="1">IF(B48=$J$5,0,CONTADORES!AW42-CONTADORES!AW41)</f>
        <v>24</v>
      </c>
      <c r="AH48" s="1397">
        <f ca="1">IF(B48=$J$5,0,(CONTADORES!AM42-CONTADORES!AM41)+(CONTADORES!M42-CONTADORES!M41))</f>
        <v>14</v>
      </c>
      <c r="AI48" s="1397">
        <f ca="1">IF(B48=$J$5,0,(CONTADORES!AK42-CONTADORES!AK41)+(CONTADORES!O42-CONTADORES!O41))</f>
        <v>42.129999999997381</v>
      </c>
      <c r="AJ48" s="1397">
        <f ca="1">IF(B48=$J$5,0,(CONTADORES!AI42-CONTADORES!AI41))</f>
        <v>10.380000000004657</v>
      </c>
      <c r="AK48" s="1397">
        <f ca="1">IF(B48=$J$5,0,(CONTADORES!Q42-CONTADORES!Q41))</f>
        <v>14.279999999998836</v>
      </c>
      <c r="AL48" s="1397">
        <f t="shared" ca="1" si="13"/>
        <v>37.086000000077661</v>
      </c>
      <c r="AM48" s="1397">
        <f ca="1">IF(B48&gt;=$J$5,0,(((CONTADORES!F42-CONTADORES!F41)+(CONTADORES!AQ42-CONTADORES!AQ41))))-BS48-AF48-AN48-BV48-BY48-CD48-CB48</f>
        <v>9.3149999999816426</v>
      </c>
      <c r="AN48" s="1397">
        <f ca="1">IF(B48=$J$5,0,(CONTADORES!AX42-CONTADORES!AX41)+(CONTADORES!AZ42-CONTADORES!AZ41)+(CONTADORES!BE42-CONTADORES!BE41))-CB48</f>
        <v>4.3240000000002023</v>
      </c>
      <c r="AO48" s="1437">
        <f ca="1">IF(B48&gt;=$J$5,0,(CONTADORES!AC42-CONTADORES!AC41))</f>
        <v>151.97999999998137</v>
      </c>
      <c r="AP48" s="1437">
        <f ca="1">IF(B48&gt;=$J$5,0,(CONTADORES!X42-CONTADORES!X41))</f>
        <v>82.270000000000437</v>
      </c>
      <c r="AQ48" s="1433">
        <f ca="1">IF(B48&gt;=$J$5,0,(CONTADORES!C42-CONTADORES!C41))</f>
        <v>0.11599999999998545</v>
      </c>
      <c r="AR48" s="1399">
        <f ca="1">IF(B48&gt;=$J$5,0,(CONTADORES!BC42-CONTADORES!BC41))</f>
        <v>0.13799999999997681</v>
      </c>
      <c r="AS48" s="1397">
        <f ca="1">IF(B48=$J$5,0,CONTADORES!S42-CONTADORES!S41)</f>
        <v>17.179999999993015</v>
      </c>
      <c r="AT48" s="1397">
        <f ca="1">IF(B48=$J$5,0,(CONTADORES!U42-CONTADORES!U41)+(CONTADORES!AG42-CONTADORES!AG41))</f>
        <v>2.4899999999979627</v>
      </c>
      <c r="AU48" s="1397">
        <f>CONTADORES!I42-CONTADORES!I41</f>
        <v>84</v>
      </c>
      <c r="AV48" s="1397">
        <f>CONTADORES!AV42-CONTADORES!AV41</f>
        <v>66.760000000009313</v>
      </c>
      <c r="AW48" s="1397">
        <f ca="1">IF(B48&gt;=$J$5,0,(CONTADORES!N42-CONTADORES!N41)+(CONTADORES!AN42-CONTADORES!AN41))</f>
        <v>5.4000000000014552</v>
      </c>
      <c r="AX48" s="1397">
        <f ca="1">IF(B48&gt;=$J$5,0,(CONTADORES!P42-CONTADORES!P41)+(CONTADORES!AL42-CONTADORES!AL41))</f>
        <v>32.970000000001164</v>
      </c>
      <c r="AY48" s="1397">
        <f ca="1">IF(B48&gt;=$J$5,0,(CONTADORES!AJ42-CONTADORES!AJ41))</f>
        <v>8.1600000000034925</v>
      </c>
      <c r="AZ48" s="1397">
        <f ca="1">IF(B48&gt;=$J$5,0,(CONTADORES!R42-CONTADORES!R41))</f>
        <v>12.010000000009313</v>
      </c>
      <c r="BA48" s="1397">
        <f t="shared" ca="1" si="14"/>
        <v>13.794999999978359</v>
      </c>
      <c r="BB48" s="1397">
        <f ca="1">IF(B48&gt;=$J$5,0,(((CONTADORES!G42-CONTADORES!G41)+(CONTADORES!AR42-CONTADORES!AR41))))-AV48-BC48-BT48-BW48-BZ48-CE48</f>
        <v>3.5529999999791482</v>
      </c>
      <c r="BC48" s="1744">
        <f ca="1">IF(B48&gt;=$J$5,0,(CONTADORES!AY42-CONTADORES!AY41)+(CONTADORES!BA42-CONTADORES!BA41)+(CONTADORES!BF42-CONTADORES!BF41))-CC48</f>
        <v>2.1010000000000786</v>
      </c>
      <c r="BD48" s="1397">
        <f t="shared" ca="1" si="15"/>
        <v>234.50399999998177</v>
      </c>
      <c r="BE48" s="1398">
        <f ca="1">IF($B48&gt;=$J$5,0,CONTADORES!$BG42)</f>
        <v>7464.93</v>
      </c>
      <c r="BF48" s="1397">
        <f ca="1">IF($B48&gt;=$J$5,0,CONTADORES!$BH42)</f>
        <v>35711.026315789502</v>
      </c>
      <c r="BG48" s="1397">
        <f ca="1">IF($B48&gt;=$J$5,0,CONTADORES!$BJ42)</f>
        <v>6224.21</v>
      </c>
      <c r="BH48" s="1409">
        <f ca="1">IF(B48&gt;=$J$5,0,((CONTADORES!BK42-CONTADORES!BK41)/1000))</f>
        <v>1.425</v>
      </c>
      <c r="BI48" s="1409">
        <f ca="1">IF(C48&gt;=$J$5,0,((CONTADORES!BL42-CONTADORES!BL41)/1000))</f>
        <v>1.4339999999999999</v>
      </c>
      <c r="BJ48" s="1399">
        <f ca="1">IF(C48&gt;=$J$5,0,((CONTADORES!BM42-CONTADORES!BM41)/1000))</f>
        <v>0</v>
      </c>
      <c r="BK48" s="1399">
        <f ca="1">IF(D48&gt;=$J$5,0,((CONTADORES!BN42-CONTADORES!BN41)/1000))</f>
        <v>0</v>
      </c>
      <c r="BL48" s="1399">
        <f t="shared" ca="1" si="16"/>
        <v>1.425</v>
      </c>
      <c r="BM48" s="1399">
        <f t="shared" ca="1" si="17"/>
        <v>1.4339999999999999</v>
      </c>
      <c r="BN48" s="1398">
        <f ca="1">IF(W48&gt;=$J$5,0,CONTADORES!$BO42)</f>
        <v>136.812411704472</v>
      </c>
      <c r="BO48" s="1397">
        <f ca="1">IF(W48&gt;=$J$5,0,CONTADORES!$BP42)</f>
        <v>45.469852384196962</v>
      </c>
      <c r="BP48" s="1397">
        <f ca="1">IF(W48&gt;=$J$5,0,CONTADORES!$BQ42)</f>
        <v>640.63316478264198</v>
      </c>
      <c r="BQ48" s="1397">
        <f ca="1">IF(B48&gt;=$J$5,0,(CONTADORES!AS42-CONTADORES!AS41))</f>
        <v>4.7520000000004075</v>
      </c>
      <c r="BR48" s="1397">
        <f ca="1">IF(B48&gt;=$J$5,0,(CONTADORES!AT42-CONTADORES!AT41))</f>
        <v>0</v>
      </c>
      <c r="BS48" s="1409">
        <f ca="1">IF(B48&gt;=$J$5,0,CONTADORES!BR42-CONTADORES!BR41)/1000</f>
        <v>0</v>
      </c>
      <c r="BT48" s="1438">
        <f ca="1">IF(B48&gt;=$J$5,0,CONTADORES!BS42-CONTADORES!BS41)</f>
        <v>0</v>
      </c>
      <c r="BU48" s="1438">
        <f ca="1">IF(B48&gt;=$J$5,0,CONTADORES!BT42-CONTADORES!BT41)</f>
        <v>0</v>
      </c>
      <c r="BV48" s="1438">
        <f ca="1">IF(B48&gt;=$J$5,0,CONTADORES!BU42-CONTADORES!BU41)/1000</f>
        <v>4.641</v>
      </c>
      <c r="BW48" s="1438">
        <f ca="1">IF(B48&gt;=$J$5,0,CONTADORES!BV42-CONTADORES!BV41)/1000</f>
        <v>0.64800000000000002</v>
      </c>
      <c r="BX48" s="1438">
        <f ca="1">IF(B48&gt;=$J$5,0,CONTADORES!BW42-CONTADORES!BW41)</f>
        <v>24</v>
      </c>
      <c r="BY48" s="1438">
        <f ca="1">IF(B48&gt;=$J$5,0,CONTADORES!BX42-CONTADORES!BX41)/1000</f>
        <v>3.6640000000000001</v>
      </c>
      <c r="BZ48" s="1438">
        <f ca="1">IF(B48&gt;=$J$5,0,CONTADORES!BY42-CONTADORES!BY41)/1000</f>
        <v>3.7999999999999999E-2</v>
      </c>
      <c r="CA48" s="1438">
        <f ca="1">IF(B48&gt;=$J$5,0,CONTADORES!BZ42-CONTADORES!BZ41)</f>
        <v>24</v>
      </c>
      <c r="CB48" s="1409">
        <f ca="1">IF(B48&gt;=$J$5,0,(CONTADORES!CC42-CONTADORES!CC41)+(CONTADORES!CE42-CONTADORES!CE41))/1000</f>
        <v>0.76600000000000001</v>
      </c>
      <c r="CC48" s="1438">
        <f ca="1">IF(B48&gt;=$J$5,0,(CONTADORES!CD42-CONTADORES!CD41)+(CONTADORES!CF42-CONTADORES!CF41))/1000</f>
        <v>0.46899999999999997</v>
      </c>
      <c r="CD48" s="1409">
        <f ca="1">IF(B48&gt;=$J$5,0,CONTADORES!CA42-CONTADORES!CA41)</f>
        <v>6.6199999999998909</v>
      </c>
      <c r="CE48" s="1438">
        <f ca="1">IF(B48&gt;=$J$5,0,CONTADORES!CB42-CONTADORES!CB41)</f>
        <v>4.5999999999994543</v>
      </c>
      <c r="CF48" s="1438">
        <f t="shared" ca="1" si="18"/>
        <v>11.277499999990713</v>
      </c>
      <c r="CG48" s="1438">
        <f t="shared" ca="1" si="19"/>
        <v>6.3764999999890284</v>
      </c>
      <c r="CH48" s="1438">
        <f t="shared" ca="1" si="20"/>
        <v>4.6574999999908213</v>
      </c>
      <c r="CI48" s="1438">
        <f t="shared" ca="1" si="21"/>
        <v>1.7296000000000811</v>
      </c>
      <c r="CJ48" s="1438">
        <f t="shared" ca="1" si="22"/>
        <v>4.6574999999908213</v>
      </c>
      <c r="CK48" s="1438">
        <f t="shared" ca="1" si="23"/>
        <v>2.5944000000001211</v>
      </c>
      <c r="CL48" s="1438">
        <f t="shared" ca="1" si="24"/>
        <v>2.4956000000000813</v>
      </c>
      <c r="CM48" s="1438">
        <f t="shared" ca="1" si="25"/>
        <v>1.7764999999895741</v>
      </c>
      <c r="CN48" s="1438">
        <f ca="1">IF(B48&gt;=$J$5,0,CONTADORES!CB42-CONTADORES!CB41)</f>
        <v>4.5999999999994543</v>
      </c>
      <c r="CO48" s="1438">
        <f t="shared" ca="1" si="26"/>
        <v>1.7764999999895741</v>
      </c>
      <c r="CP48" s="1438">
        <f t="shared" ca="1" si="27"/>
        <v>1.0505000000000393</v>
      </c>
      <c r="CQ48" s="1438">
        <f t="shared" ca="1" si="28"/>
        <v>1.0505000000000393</v>
      </c>
      <c r="CR48" s="1438">
        <f t="shared" ca="1" si="29"/>
        <v>1.5195000000000394</v>
      </c>
      <c r="CS48" s="1439">
        <f ca="1">IF($B48&gt;=$J$5,0,CONTADORES!$BI42)</f>
        <v>9376.9763618846591</v>
      </c>
      <c r="CT48" s="1334">
        <f>CONTADORES!E42</f>
        <v>0.3</v>
      </c>
      <c r="CU48" s="1334">
        <f>CONTADORES!CG42</f>
        <v>0.4</v>
      </c>
    </row>
    <row r="49" spans="2:99">
      <c r="B49" s="214">
        <v>44965</v>
      </c>
      <c r="C49" s="198">
        <f t="shared" ca="1" si="0"/>
        <v>314</v>
      </c>
      <c r="D49" s="196">
        <f ca="1">'CALCULO DE GAS'!D45</f>
        <v>5.0368841558603492</v>
      </c>
      <c r="E49" s="196">
        <f ca="1">IF(B49&gt;=$J$5,0,(CONTADORES!$AD43-CONTADORES!$AD42)-$H49)</f>
        <v>24</v>
      </c>
      <c r="F49" s="198">
        <f t="shared" ca="1" si="31"/>
        <v>0</v>
      </c>
      <c r="G49" s="196">
        <f ca="1">IF(B49&gt;=$J$5,0,CONTADORES!$AF43-CONTADORES!$AF42)</f>
        <v>0</v>
      </c>
      <c r="H49" s="206">
        <f ca="1">IF(G49&gt;0,CONTADORES!$AE43-CONTADORES!$AE42,0)</f>
        <v>0</v>
      </c>
      <c r="I49" s="199">
        <f ca="1">IF(B49&gt;=$J$5,0,CONTADORES!$AB43-CONTADORES!$AB42)</f>
        <v>314</v>
      </c>
      <c r="J49" s="198">
        <f t="shared" ca="1" si="2"/>
        <v>126</v>
      </c>
      <c r="K49" s="196">
        <f ca="1">'CALCULO DE GAS'!E45</f>
        <v>3.503816824189526</v>
      </c>
      <c r="L49" s="1396">
        <f ca="1">IF(B49&gt;=$J$5,0,(CONTADORES!$Y43-CONTADORES!$Y42)-$O49)</f>
        <v>20.799999999988358</v>
      </c>
      <c r="M49" s="1396">
        <f ca="1">IF(O49=0,0,"ERROR")</f>
        <v>0</v>
      </c>
      <c r="N49" s="1396">
        <f ca="1">IF(B49&gt;=$J$5,0,CONTADORES!$AA43-CONTADORES!AA42)</f>
        <v>0</v>
      </c>
      <c r="O49" s="1396">
        <f ca="1">IF(N49&gt;0,CONTADORES!$Z43-CONTADORES!$Z42,0)</f>
        <v>0</v>
      </c>
      <c r="P49" s="202">
        <f ca="1">IF(B49&gt;=$J$5,0,CONTADORES!$W43-CONTADORES!$W42)</f>
        <v>126</v>
      </c>
      <c r="Q49" s="202">
        <f ca="1">IF(B49&gt;=$J$5,0,CONTADORES!$B43-CONTADORES!$B42)</f>
        <v>0</v>
      </c>
      <c r="R49" s="196">
        <f t="shared" ca="1" si="4"/>
        <v>0</v>
      </c>
      <c r="S49" s="11">
        <f ca="1">IF(B49&gt;=$J$5,0,CONTADORES!$D43-CONTADORES!$D42)</f>
        <v>0</v>
      </c>
      <c r="T49" s="198">
        <f ca="1">IF(B49&gt;=$J$5,0,CONTADORES!$BB43-CONTADORES!$BB42)</f>
        <v>2.2960000000000491</v>
      </c>
      <c r="U49" s="196">
        <f t="shared" ca="1" si="32"/>
        <v>275.52000000000589</v>
      </c>
      <c r="V49" s="199">
        <f ca="1">IF(B49&gt;=$J$5,0,CONTADORES!$BD43-CONTADORES!$BD42)</f>
        <v>2.7100000000000364</v>
      </c>
      <c r="W49" s="1397">
        <f t="shared" ca="1" si="6"/>
        <v>440</v>
      </c>
      <c r="X49" s="1397">
        <f t="shared" ca="1" si="7"/>
        <v>2.2960000000000491</v>
      </c>
      <c r="Y49" s="1398">
        <f t="shared" ca="1" si="8"/>
        <v>442.29600000000005</v>
      </c>
      <c r="Z49" s="1398">
        <f t="shared" ca="1" si="9"/>
        <v>8.5407009800498752</v>
      </c>
      <c r="AA49" s="1398">
        <f t="shared" ca="1" si="10"/>
        <v>275.52000000000589</v>
      </c>
      <c r="AB49" s="1398">
        <f t="shared" ca="1" si="11"/>
        <v>44.799999999988358</v>
      </c>
      <c r="AC49" s="1397">
        <f t="shared" ca="1" si="12"/>
        <v>2.7100000000000364</v>
      </c>
      <c r="AD49" s="1397">
        <f ca="1">IF(B49=$J$5,0,CONTADORES!H43-CONTADORES!H42)</f>
        <v>152.80000000004657</v>
      </c>
      <c r="AE49" s="1397">
        <f ca="1">IF(B49=$J$5,0,CONTADORES!J43-CONTADORES!J42)</f>
        <v>22.599999999976717</v>
      </c>
      <c r="AF49" s="1397">
        <f ca="1">IF(B49=$J$5,0,CONTADORES!AU43-CONTADORES!AU42)</f>
        <v>154</v>
      </c>
      <c r="AG49" s="1397">
        <f ca="1">IF(B49=$J$5,0,CONTADORES!AW43-CONTADORES!AW42)</f>
        <v>24</v>
      </c>
      <c r="AH49" s="1397">
        <f ca="1">IF(B49=$J$5,0,(CONTADORES!AM43-CONTADORES!AM42)+(CONTADORES!M43-CONTADORES!M42))</f>
        <v>9.8000000000029104</v>
      </c>
      <c r="AI49" s="1397">
        <f ca="1">IF(B49=$J$5,0,(CONTADORES!AK43-CONTADORES!AK42)+(CONTADORES!O43-CONTADORES!O42))</f>
        <v>42.200000000004366</v>
      </c>
      <c r="AJ49" s="1397">
        <f ca="1">IF(B49=$J$5,0,(CONTADORES!AI43-CONTADORES!AI42))</f>
        <v>9.7999999999883585</v>
      </c>
      <c r="AK49" s="1397">
        <f ca="1">IF(B49=$J$5,0,(CONTADORES!Q43-CONTADORES!Q42))</f>
        <v>12.699999999982538</v>
      </c>
      <c r="AL49" s="1397">
        <f t="shared" ca="1" si="13"/>
        <v>36.295999999974583</v>
      </c>
      <c r="AM49" s="1397">
        <f ca="1">IF(B49&gt;=$J$5,0,(((CONTADORES!F43-CONTADORES!F42)+(CONTADORES!AQ43-CONTADORES!AQ42))))-BS49-AF49-AN49-BV49-BY49-CD49-CB49</f>
        <v>5.6100000000008095</v>
      </c>
      <c r="AN49" s="1397">
        <f ca="1">IF(B49=$J$5,0,(CONTADORES!AX43-CONTADORES!AX42)+(CONTADORES!AZ43-CONTADORES!AZ42)+(CONTADORES!BE43-CONTADORES!BE42))-CB49</f>
        <v>3.8840000000000909</v>
      </c>
      <c r="AO49" s="1437">
        <f ca="1">IF(B49&gt;=$J$5,0,(CONTADORES!AC43-CONTADORES!AC42))</f>
        <v>160</v>
      </c>
      <c r="AP49" s="1437">
        <f ca="1">IF(B49&gt;=$J$5,0,(CONTADORES!X43-CONTADORES!X42))</f>
        <v>64</v>
      </c>
      <c r="AQ49" s="1433">
        <f ca="1">IF(B49&gt;=$J$5,0,(CONTADORES!C43-CONTADORES!C42))</f>
        <v>0</v>
      </c>
      <c r="AR49" s="1399">
        <f ca="1">IF(B49&gt;=$J$5,0,(CONTADORES!BC43-CONTADORES!BC42))</f>
        <v>0.8930000000000291</v>
      </c>
      <c r="AS49" s="1397">
        <f ca="1">IF(B49=$J$5,0,CONTADORES!S43-CONTADORES!S42)</f>
        <v>17.399999999994179</v>
      </c>
      <c r="AT49" s="1397">
        <f ca="1">IF(B49=$J$5,0,(CONTADORES!U43-CONTADORES!U42)+(CONTADORES!AG43-CONTADORES!AG42))</f>
        <v>0</v>
      </c>
      <c r="AU49" s="1397">
        <f>CONTADORES!I43-CONTADORES!I42</f>
        <v>78.400000000023283</v>
      </c>
      <c r="AV49" s="1397">
        <f>CONTADORES!AV43-CONTADORES!AV42</f>
        <v>67</v>
      </c>
      <c r="AW49" s="1397">
        <f ca="1">IF(B49&gt;=$J$5,0,(CONTADORES!N43-CONTADORES!N42)+(CONTADORES!AN43-CONTADORES!AN42))</f>
        <v>4</v>
      </c>
      <c r="AX49" s="1397">
        <f ca="1">IF(B49&gt;=$J$5,0,(CONTADORES!P43-CONTADORES!P42)+(CONTADORES!AL43-CONTADORES!AL42))</f>
        <v>33.19999999999709</v>
      </c>
      <c r="AY49" s="1397">
        <f ca="1">IF(B49&gt;=$J$5,0,(CONTADORES!AJ43-CONTADORES!AJ42))</f>
        <v>7.6999999999970896</v>
      </c>
      <c r="AZ49" s="1397">
        <f ca="1">IF(B49&gt;=$J$5,0,(CONTADORES!R43-CONTADORES!R42))</f>
        <v>10.799999999988358</v>
      </c>
      <c r="BA49" s="1397">
        <f t="shared" ca="1" si="14"/>
        <v>11.700999999994195</v>
      </c>
      <c r="BB49" s="1397">
        <f ca="1">IF(B49&gt;=$J$5,0,(((CONTADORES!G43-CONTADORES!G42)+(CONTADORES!AR43-CONTADORES!AR42))))-AV49-BC49-BT49-BW49-BZ49-CE49</f>
        <v>5.3130000000000912</v>
      </c>
      <c r="BC49" s="1744">
        <f ca="1">IF(B49&gt;=$J$5,0,(CONTADORES!AY43-CONTADORES!AY42)+(CONTADORES!BA43-CONTADORES!BA42)+(CONTADORES!BF43-CONTADORES!BF42))-CC49</f>
        <v>1.2079999999997271</v>
      </c>
      <c r="BD49" s="1397">
        <f t="shared" ca="1" si="15"/>
        <v>224.89300000000003</v>
      </c>
      <c r="BE49" s="1398">
        <f ca="1">IF($B49&gt;=$J$5,0,CONTADORES!$BG43)</f>
        <v>6577.46</v>
      </c>
      <c r="BF49" s="1397">
        <f ca="1">IF($B49&gt;=$J$5,0,CONTADORES!$BH43)</f>
        <v>36788.028070175402</v>
      </c>
      <c r="BG49" s="1397">
        <f ca="1">IF($B49&gt;=$J$5,0,CONTADORES!$BJ43)</f>
        <v>5811.35</v>
      </c>
      <c r="BH49" s="1409">
        <f ca="1">IF(B49&gt;=$J$5,0,((CONTADORES!BK43-CONTADORES!BK42)/1000))</f>
        <v>1.4390000000000001</v>
      </c>
      <c r="BI49" s="1409">
        <f ca="1">IF(C49&gt;=$J$5,0,((CONTADORES!BL43-CONTADORES!BL42)/1000))</f>
        <v>1.454</v>
      </c>
      <c r="BJ49" s="1399">
        <f ca="1">IF(C49&gt;=$J$5,0,((CONTADORES!BM43-CONTADORES!BM42)/1000))</f>
        <v>0</v>
      </c>
      <c r="BK49" s="1399">
        <f ca="1">IF(D49&gt;=$J$5,0,((CONTADORES!BN43-CONTADORES!BN42)/1000))</f>
        <v>0</v>
      </c>
      <c r="BL49" s="1399">
        <f t="shared" ca="1" si="16"/>
        <v>1.4390000000000001</v>
      </c>
      <c r="BM49" s="1399">
        <f t="shared" ca="1" si="17"/>
        <v>1.454</v>
      </c>
      <c r="BN49" s="1398">
        <f ca="1">IF(W49&gt;=$J$5,0,CONTADORES!$BO43)</f>
        <v>96</v>
      </c>
      <c r="BO49" s="1397">
        <f ca="1">IF(W49&gt;=$J$5,0,CONTADORES!$BP43)</f>
        <v>31.126999999999999</v>
      </c>
      <c r="BP49" s="1397">
        <f ca="1">IF(W49&gt;=$J$5,0,CONTADORES!$BQ43)</f>
        <v>458</v>
      </c>
      <c r="BQ49" s="1397">
        <f ca="1">IF(B49&gt;=$J$5,0,(CONTADORES!AS43-CONTADORES!AS42))</f>
        <v>5</v>
      </c>
      <c r="BR49" s="1397">
        <f ca="1">IF(B49&gt;=$J$5,0,(CONTADORES!AT43-CONTADORES!AT42))</f>
        <v>0</v>
      </c>
      <c r="BS49" s="1409">
        <f ca="1">IF(B49&gt;=$J$5,0,CONTADORES!BR43-CONTADORES!BR42)/1000</f>
        <v>2.0670000000000002</v>
      </c>
      <c r="BT49" s="1438">
        <f ca="1">IF(B49&gt;=$J$5,0,CONTADORES!BS43-CONTADORES!BS42)</f>
        <v>0</v>
      </c>
      <c r="BU49" s="1438">
        <f ca="1">IF(B49&gt;=$J$5,0,CONTADORES!BT43-CONTADORES!BT42)</f>
        <v>15.899999999997817</v>
      </c>
      <c r="BV49" s="1438">
        <f ca="1">IF(B49&gt;=$J$5,0,CONTADORES!BU43-CONTADORES!BU42)/1000</f>
        <v>4.67</v>
      </c>
      <c r="BW49" s="1438">
        <f ca="1">IF(B49&gt;=$J$5,0,CONTADORES!BV43-CONTADORES!BV42)/1000</f>
        <v>0.66900000000000004</v>
      </c>
      <c r="BX49" s="1438">
        <f ca="1">IF(B49&gt;=$J$5,0,CONTADORES!BW43-CONTADORES!BW42)</f>
        <v>24</v>
      </c>
      <c r="BY49" s="1438">
        <f ca="1">IF(B49&gt;=$J$5,0,CONTADORES!BX43-CONTADORES!BX42)/1000</f>
        <v>1.2529999999999999</v>
      </c>
      <c r="BZ49" s="1438">
        <f ca="1">IF(B49&gt;=$J$5,0,CONTADORES!BY43-CONTADORES!BY42)/1000</f>
        <v>0.01</v>
      </c>
      <c r="CA49" s="1438">
        <f ca="1">IF(B49&gt;=$J$5,0,CONTADORES!BZ43-CONTADORES!BZ42)</f>
        <v>14.299999999999272</v>
      </c>
      <c r="CB49" s="1409">
        <f ca="1">IF(B49&gt;=$J$5,0,(CONTADORES!CC43-CONTADORES!CC42)+(CONTADORES!CE43-CONTADORES!CE42))/1000</f>
        <v>1.016</v>
      </c>
      <c r="CC49" s="1438">
        <f ca="1">IF(B49&gt;=$J$5,0,(CONTADORES!CD43-CONTADORES!CD42)+(CONTADORES!CF43-CONTADORES!CF42))/1000</f>
        <v>0.59199999999999997</v>
      </c>
      <c r="CD49" s="1409">
        <f ca="1">IF(B49&gt;=$J$5,0,CONTADORES!CA43-CONTADORES!CA42)</f>
        <v>6.1999999999998181</v>
      </c>
      <c r="CE49" s="1438">
        <f ca="1">IF(B49&gt;=$J$5,0,CONTADORES!CB43-CONTADORES!CB42)</f>
        <v>4.3000000000001819</v>
      </c>
      <c r="CF49" s="1438">
        <f t="shared" ca="1" si="18"/>
        <v>9.0050000000002228</v>
      </c>
      <c r="CG49" s="1438">
        <f t="shared" ca="1" si="19"/>
        <v>6.9565000000002275</v>
      </c>
      <c r="CH49" s="1438">
        <f t="shared" ca="1" si="20"/>
        <v>2.8050000000004047</v>
      </c>
      <c r="CI49" s="1438">
        <f t="shared" ca="1" si="21"/>
        <v>1.5536000000000365</v>
      </c>
      <c r="CJ49" s="1438">
        <f t="shared" ca="1" si="22"/>
        <v>2.8050000000004047</v>
      </c>
      <c r="CK49" s="1438">
        <f t="shared" ca="1" si="23"/>
        <v>2.3304000000000542</v>
      </c>
      <c r="CL49" s="1438">
        <f t="shared" ca="1" si="24"/>
        <v>2.5696000000000367</v>
      </c>
      <c r="CM49" s="1438">
        <f t="shared" ca="1" si="25"/>
        <v>2.6565000000000456</v>
      </c>
      <c r="CN49" s="1438">
        <f ca="1">IF(B49&gt;=$J$5,0,CONTADORES!CB43-CONTADORES!CB42)</f>
        <v>4.3000000000001819</v>
      </c>
      <c r="CO49" s="1438">
        <f t="shared" ca="1" si="26"/>
        <v>2.6565000000000456</v>
      </c>
      <c r="CP49" s="1438">
        <f t="shared" ca="1" si="27"/>
        <v>0.60399999999986353</v>
      </c>
      <c r="CQ49" s="1438">
        <f t="shared" ca="1" si="28"/>
        <v>0.60399999999986353</v>
      </c>
      <c r="CR49" s="1438">
        <f t="shared" ca="1" si="29"/>
        <v>1.1959999999998634</v>
      </c>
      <c r="CS49" s="1439">
        <f ca="1">IF($B49&gt;=$J$5,0,CONTADORES!$BI43)</f>
        <v>9224.3719454490601</v>
      </c>
      <c r="CT49" s="1334">
        <f>CONTADORES!E43</f>
        <v>0</v>
      </c>
      <c r="CU49" s="1334">
        <f>CONTADORES!CG43</f>
        <v>2.2999999999999998</v>
      </c>
    </row>
    <row r="50" spans="2:99">
      <c r="B50" s="214">
        <v>44966</v>
      </c>
      <c r="C50" s="198">
        <f t="shared" ca="1" si="0"/>
        <v>303</v>
      </c>
      <c r="D50" s="196">
        <f ca="1">'CALCULO DE GAS'!D46</f>
        <v>4.9471834077306731</v>
      </c>
      <c r="E50" s="196">
        <f ca="1">IF(B50&gt;=$J$5,0,(CONTADORES!$AD44-CONTADORES!$AD43)-$H50)</f>
        <v>24</v>
      </c>
      <c r="F50" s="198">
        <f t="shared" ca="1" si="31"/>
        <v>0</v>
      </c>
      <c r="G50" s="196">
        <f ca="1">IF(B50&gt;=$J$5,0,CONTADORES!$AF44-CONTADORES!$AF43)</f>
        <v>0</v>
      </c>
      <c r="H50" s="1396">
        <f ca="1">IF(G50&gt;0,CONTADORES!$AE44-CONTADORES!$AE43,0)</f>
        <v>0</v>
      </c>
      <c r="I50" s="199">
        <f ca="1">IF(B50&gt;=$J$5,0,CONTADORES!$AB44-CONTADORES!$AB43)</f>
        <v>303</v>
      </c>
      <c r="J50" s="198">
        <f t="shared" ca="1" si="2"/>
        <v>146</v>
      </c>
      <c r="K50" s="196">
        <f ca="1">'CALCULO DE GAS'!E46</f>
        <v>3.6669090935162094</v>
      </c>
      <c r="L50" s="1396">
        <f ca="1">IF(B50&gt;=$J$5,0,(CONTADORES!$Y44-CONTADORES!$Y43)-$O50)</f>
        <v>24</v>
      </c>
      <c r="M50" s="1396">
        <f ca="1">IF(O50=0,0,"ERROR")</f>
        <v>0</v>
      </c>
      <c r="N50" s="1396">
        <f ca="1">IF(B50&gt;=$J$5,0,CONTADORES!$AA44-CONTADORES!AA43)</f>
        <v>0</v>
      </c>
      <c r="O50" s="1396">
        <f ca="1">IF(N50&gt;0,CONTADORES!$Z44-CONTADORES!$Z43,0)</f>
        <v>0</v>
      </c>
      <c r="P50" s="202">
        <f ca="1">IF(B50&gt;=$J$5,0,CONTADORES!$W44-CONTADORES!$W43)</f>
        <v>146</v>
      </c>
      <c r="Q50" s="202">
        <f ca="1">IF(B50&gt;=$J$5,0,CONTADORES!$B44-CONTADORES!$B43)</f>
        <v>0</v>
      </c>
      <c r="R50" s="196">
        <f t="shared" ca="1" si="4"/>
        <v>0</v>
      </c>
      <c r="S50" s="11">
        <f ca="1">IF(B50&gt;=$J$5,0,CONTADORES!$D44-CONTADORES!$D43)</f>
        <v>0</v>
      </c>
      <c r="T50" s="198">
        <f ca="1">IF(B50&gt;=$J$5,0,CONTADORES!$BB44-CONTADORES!$BB43)</f>
        <v>0</v>
      </c>
      <c r="U50" s="196">
        <f t="shared" ca="1" si="32"/>
        <v>0</v>
      </c>
      <c r="V50" s="199">
        <f ca="1">IF(B50&gt;=$J$5,0,CONTADORES!$BD44-CONTADORES!$BD43)</f>
        <v>0</v>
      </c>
      <c r="W50" s="1397">
        <f t="shared" ca="1" si="6"/>
        <v>449</v>
      </c>
      <c r="X50" s="1397">
        <f t="shared" ca="1" si="7"/>
        <v>0</v>
      </c>
      <c r="Y50" s="1398">
        <f t="shared" ca="1" si="8"/>
        <v>449</v>
      </c>
      <c r="Z50" s="1398">
        <f t="shared" ca="1" si="9"/>
        <v>8.6140925012468834</v>
      </c>
      <c r="AA50" s="1398">
        <f t="shared" ca="1" si="10"/>
        <v>0</v>
      </c>
      <c r="AB50" s="1398">
        <f t="shared" ca="1" si="11"/>
        <v>48</v>
      </c>
      <c r="AC50" s="1397">
        <f t="shared" ca="1" si="12"/>
        <v>0</v>
      </c>
      <c r="AD50" s="1397">
        <f ca="1">IF(B50=$J$5,0,CONTADORES!H44-CONTADORES!H43)</f>
        <v>163.59999999997672</v>
      </c>
      <c r="AE50" s="1397">
        <f ca="1">IF(B50=$J$5,0,CONTADORES!J44-CONTADORES!J43)</f>
        <v>24</v>
      </c>
      <c r="AF50" s="1397">
        <f ca="1">IF(B50=$J$5,0,CONTADORES!AU44-CONTADORES!AU43)</f>
        <v>152</v>
      </c>
      <c r="AG50" s="1397">
        <f ca="1">IF(B50=$J$5,0,CONTADORES!AW44-CONTADORES!AW43)</f>
        <v>23.80000000000291</v>
      </c>
      <c r="AH50" s="1397">
        <f ca="1">IF(B50=$J$5,0,(CONTADORES!AM44-CONTADORES!AM43)+(CONTADORES!M44-CONTADORES!M43))</f>
        <v>9.5999999999985448</v>
      </c>
      <c r="AI50" s="1397">
        <f ca="1">IF(B50=$J$5,0,(CONTADORES!AK44-CONTADORES!AK43)+(CONTADORES!O44-CONTADORES!O43))</f>
        <v>42.69999999999709</v>
      </c>
      <c r="AJ50" s="1397">
        <f ca="1">IF(B50=$J$5,0,(CONTADORES!AI44-CONTADORES!AI43))</f>
        <v>10.100000000005821</v>
      </c>
      <c r="AK50" s="1397">
        <f ca="1">IF(B50=$J$5,0,(CONTADORES!Q44-CONTADORES!Q43))</f>
        <v>12.800000000017462</v>
      </c>
      <c r="AL50" s="1397">
        <f t="shared" ca="1" si="13"/>
        <v>28.900000000005093</v>
      </c>
      <c r="AM50" s="1397">
        <f ca="1">IF(B50&gt;=$J$5,0,(((CONTADORES!F44-CONTADORES!F43)+(CONTADORES!AQ44-CONTADORES!AQ43))))-BS50-AF50-AN50-BV50-BY50-CD50-CB50</f>
        <v>10.759999999999195</v>
      </c>
      <c r="AN50" s="1397">
        <f ca="1">IF(B50=$J$5,0,(CONTADORES!AX44-CONTADORES!AX43)+(CONTADORES!AZ44-CONTADORES!AZ43)+(CONTADORES!BE44-CONTADORES!BE43))-CB50</f>
        <v>3.4379999999997226</v>
      </c>
      <c r="AO50" s="1437">
        <f ca="1">IF(B50&gt;=$J$5,0,(CONTADORES!AC44-CONTADORES!AC43))</f>
        <v>158</v>
      </c>
      <c r="AP50" s="1437">
        <f ca="1">IF(B50&gt;=$J$5,0,(CONTADORES!X44-CONTADORES!X43))</f>
        <v>74</v>
      </c>
      <c r="AQ50" s="1433">
        <f ca="1">IF(B50&gt;=$J$5,0,(CONTADORES!C44-CONTADORES!C43))</f>
        <v>0</v>
      </c>
      <c r="AR50" s="1399">
        <f ca="1">IF(B50&gt;=$J$5,0,(CONTADORES!BC44-CONTADORES!BC43))</f>
        <v>0</v>
      </c>
      <c r="AS50" s="1397">
        <f ca="1">IF(B50=$J$5,0,CONTADORES!S44-CONTADORES!S43)</f>
        <v>16.900000000023283</v>
      </c>
      <c r="AT50" s="1397">
        <f ca="1">IF(B50=$J$5,0,(CONTADORES!U44-CONTADORES!U43)+(CONTADORES!AG44-CONTADORES!AG43))</f>
        <v>4.4000000000014552</v>
      </c>
      <c r="AU50" s="1397">
        <f>CONTADORES!I44-CONTADORES!I43</f>
        <v>83.799999999988358</v>
      </c>
      <c r="AV50" s="1397">
        <f>CONTADORES!AV44-CONTADORES!AV43</f>
        <v>65</v>
      </c>
      <c r="AW50" s="1397">
        <f ca="1">IF(B50&gt;=$J$5,0,(CONTADORES!N44-CONTADORES!N43)+(CONTADORES!AN44-CONTADORES!AN43))</f>
        <v>3.7000000000007276</v>
      </c>
      <c r="AX50" s="1397">
        <f ca="1">IF(B50&gt;=$J$5,0,(CONTADORES!P44-CONTADORES!P43)+(CONTADORES!AL44-CONTADORES!AL43))</f>
        <v>33.700000000004366</v>
      </c>
      <c r="AY50" s="1397">
        <f ca="1">IF(B50&gt;=$J$5,0,(CONTADORES!AJ44-CONTADORES!AJ43))</f>
        <v>7.9000000000014552</v>
      </c>
      <c r="AZ50" s="1397">
        <f ca="1">IF(B50&gt;=$J$5,0,(CONTADORES!R44-CONTADORES!R43))</f>
        <v>10.900000000008731</v>
      </c>
      <c r="BA50" s="1397">
        <f t="shared" ca="1" si="14"/>
        <v>9.1559999999963395</v>
      </c>
      <c r="BB50" s="1397">
        <f ca="1">IF(B50&gt;=$J$5,0,(((CONTADORES!G44-CONTADORES!G43)+(CONTADORES!AR44-CONTADORES!AR43))))-AV50-BC50-BT50-BW50-BZ50-CE50</f>
        <v>9.872999999999978</v>
      </c>
      <c r="BC50" s="1744">
        <f ca="1">IF(B50&gt;=$J$5,0,(CONTADORES!AY44-CONTADORES!AY43)+(CONTADORES!BA44-CONTADORES!BA43)+(CONTADORES!BF44-CONTADORES!BF43))-CC50</f>
        <v>1.0260000000002036</v>
      </c>
      <c r="BD50" s="1397">
        <f t="shared" ca="1" si="15"/>
        <v>232</v>
      </c>
      <c r="BE50" s="1398">
        <f ca="1">IF($B50&gt;=$J$5,0,CONTADORES!$BG44)</f>
        <v>7160.34</v>
      </c>
      <c r="BF50" s="1397">
        <f ca="1">IF($B50&gt;=$J$5,0,CONTADORES!$BH44)</f>
        <v>36251.303508771904</v>
      </c>
      <c r="BG50" s="1397">
        <f ca="1">IF($B50&gt;=$J$5,0,CONTADORES!$BJ44)</f>
        <v>6178.38</v>
      </c>
      <c r="BH50" s="1409">
        <f ca="1">IF(B50&gt;=$J$5,0,((CONTADORES!BK44-CONTADORES!BK43)/1000))</f>
        <v>1.325</v>
      </c>
      <c r="BI50" s="1409">
        <f ca="1">IF(C50&gt;=$J$5,0,((CONTADORES!BL44-CONTADORES!BL43)/1000))</f>
        <v>1.3440000000000001</v>
      </c>
      <c r="BJ50" s="1399">
        <f ca="1">IF(C50&gt;=$J$5,0,((CONTADORES!BM44-CONTADORES!BM43)/1000))</f>
        <v>0</v>
      </c>
      <c r="BK50" s="1399">
        <f ca="1">IF(D50&gt;=$J$5,0,((CONTADORES!BN44-CONTADORES!BN43)/1000))</f>
        <v>0</v>
      </c>
      <c r="BL50" s="1399">
        <f t="shared" ca="1" si="16"/>
        <v>1.325</v>
      </c>
      <c r="BM50" s="1399">
        <f t="shared" ca="1" si="17"/>
        <v>1.3440000000000001</v>
      </c>
      <c r="BN50" s="1398">
        <f ca="1">IF(W50&gt;=$J$5,0,CONTADORES!$BO44)</f>
        <v>137</v>
      </c>
      <c r="BO50" s="1397">
        <f ca="1">IF(W50&gt;=$J$5,0,CONTADORES!$BP44)</f>
        <v>45.151000000000003</v>
      </c>
      <c r="BP50" s="1397">
        <f ca="1">IF(W50&gt;=$J$5,0,CONTADORES!$BQ44)</f>
        <v>654</v>
      </c>
      <c r="BQ50" s="1397">
        <f ca="1">IF(B50&gt;=$J$5,0,(CONTADORES!AS44-CONTADORES!AS43))</f>
        <v>5</v>
      </c>
      <c r="BR50" s="1397">
        <f ca="1">IF(B50&gt;=$J$5,0,(CONTADORES!AT44-CONTADORES!AT43))</f>
        <v>0</v>
      </c>
      <c r="BS50" s="1409">
        <f ca="1">IF(B50&gt;=$J$5,0,CONTADORES!BR44-CONTADORES!BR43)/1000</f>
        <v>2.7839999999999998</v>
      </c>
      <c r="BT50" s="1438">
        <f ca="1">IF(B50&gt;=$J$5,0,CONTADORES!BS44-CONTADORES!BS43)</f>
        <v>1</v>
      </c>
      <c r="BU50" s="1438">
        <f ca="1">IF(B50&gt;=$J$5,0,CONTADORES!BT44-CONTADORES!BT43)</f>
        <v>24</v>
      </c>
      <c r="BV50" s="1438">
        <f ca="1">IF(B50&gt;=$J$5,0,CONTADORES!BU44-CONTADORES!BU43)/1000</f>
        <v>4.726</v>
      </c>
      <c r="BW50" s="1438">
        <f ca="1">IF(B50&gt;=$J$5,0,CONTADORES!BV44-CONTADORES!BV43)/1000</f>
        <v>0.90100000000000002</v>
      </c>
      <c r="BX50" s="1438">
        <f ca="1">IF(B50&gt;=$J$5,0,CONTADORES!BW44-CONTADORES!BW43)</f>
        <v>24</v>
      </c>
      <c r="BY50" s="1438">
        <f ca="1">IF(B50&gt;=$J$5,0,CONTADORES!BX44-CONTADORES!BX43)/1000</f>
        <v>0</v>
      </c>
      <c r="BZ50" s="1438">
        <f ca="1">IF(B50&gt;=$J$5,0,CONTADORES!BY44-CONTADORES!BY43)/1000</f>
        <v>0</v>
      </c>
      <c r="CA50" s="1438">
        <f ca="1">IF(B50&gt;=$J$5,0,CONTADORES!BZ44-CONTADORES!BZ43)</f>
        <v>0</v>
      </c>
      <c r="CB50" s="1409">
        <f ca="1">IF(B50&gt;=$J$5,0,(CONTADORES!CC44-CONTADORES!CC43)+(CONTADORES!CE44-CONTADORES!CE43))/1000</f>
        <v>1.492</v>
      </c>
      <c r="CC50" s="1438">
        <f ca="1">IF(B50&gt;=$J$5,0,(CONTADORES!CD44-CONTADORES!CD43)+(CONTADORES!CF44-CONTADORES!CF43))/1000</f>
        <v>0.84399999999999997</v>
      </c>
      <c r="CD50" s="1409">
        <f ca="1">IF(B50&gt;=$J$5,0,CONTADORES!CA44-CONTADORES!CA43)</f>
        <v>6.1000000000003638</v>
      </c>
      <c r="CE50" s="1438">
        <f ca="1">IF(B50&gt;=$J$5,0,CONTADORES!CB44-CONTADORES!CB43)</f>
        <v>4.1999999999998181</v>
      </c>
      <c r="CF50" s="1438">
        <f t="shared" ca="1" si="18"/>
        <v>11.479999999999961</v>
      </c>
      <c r="CG50" s="1438">
        <f t="shared" ca="1" si="19"/>
        <v>9.1364999999998062</v>
      </c>
      <c r="CH50" s="1438">
        <f t="shared" ca="1" si="20"/>
        <v>5.3799999999995975</v>
      </c>
      <c r="CI50" s="1438">
        <f t="shared" ca="1" si="21"/>
        <v>1.3751999999998892</v>
      </c>
      <c r="CJ50" s="1438">
        <f t="shared" ca="1" si="22"/>
        <v>5.3799999999995975</v>
      </c>
      <c r="CK50" s="1438">
        <f t="shared" ca="1" si="23"/>
        <v>2.0627999999998332</v>
      </c>
      <c r="CL50" s="1438">
        <f t="shared" ca="1" si="24"/>
        <v>2.8671999999998894</v>
      </c>
      <c r="CM50" s="1438">
        <f t="shared" ca="1" si="25"/>
        <v>4.936499999999989</v>
      </c>
      <c r="CN50" s="1438">
        <f ca="1">IF(B50&gt;=$J$5,0,CONTADORES!CB44-CONTADORES!CB43)</f>
        <v>4.1999999999998181</v>
      </c>
      <c r="CO50" s="1438">
        <f t="shared" ca="1" si="26"/>
        <v>4.936499999999989</v>
      </c>
      <c r="CP50" s="1438">
        <f t="shared" ca="1" si="27"/>
        <v>0.51300000000010182</v>
      </c>
      <c r="CQ50" s="1438">
        <f t="shared" ca="1" si="28"/>
        <v>0.51300000000010182</v>
      </c>
      <c r="CR50" s="1438">
        <f t="shared" ca="1" si="29"/>
        <v>1.3570000000001019</v>
      </c>
      <c r="CS50" s="1439">
        <f ca="1">IF($B50&gt;=$J$5,0,CONTADORES!$BI44)</f>
        <v>10071.429160822199</v>
      </c>
      <c r="CT50" s="1334">
        <f>CONTADORES!E44</f>
        <v>0</v>
      </c>
      <c r="CU50" s="1334">
        <f>CONTADORES!CG44</f>
        <v>0</v>
      </c>
    </row>
    <row r="51" spans="2:99">
      <c r="B51" s="214">
        <v>44967</v>
      </c>
      <c r="C51" s="198">
        <f t="shared" ca="1" si="0"/>
        <v>290</v>
      </c>
      <c r="D51" s="196">
        <f ca="1">'CALCULO DE GAS'!D47</f>
        <v>4.8411734326683291</v>
      </c>
      <c r="E51" s="196">
        <f ca="1">IF(B51&gt;=$J$5,0,(CONTADORES!$AD45-CONTADORES!$AD44)-$H51)</f>
        <v>24</v>
      </c>
      <c r="F51" s="198">
        <f t="shared" ca="1" si="31"/>
        <v>0</v>
      </c>
      <c r="G51" s="196">
        <f ca="1">IF(B51&gt;=$J$5,0,CONTADORES!$AF45-CONTADORES!$AF44)</f>
        <v>0</v>
      </c>
      <c r="H51" s="1396">
        <f ca="1">IF(G51&gt;0,CONTADORES!$AE45-CONTADORES!$AE44,0)</f>
        <v>0</v>
      </c>
      <c r="I51" s="199">
        <f ca="1">IF(B51&gt;=$J$5,0,CONTADORES!$AB45-CONTADORES!$AB44)</f>
        <v>290</v>
      </c>
      <c r="J51" s="198">
        <f t="shared" ca="1" si="2"/>
        <v>150</v>
      </c>
      <c r="K51" s="196">
        <f ca="1">'CALCULO DE GAS'!E47</f>
        <v>3.6995275473815461</v>
      </c>
      <c r="L51" s="1396">
        <f ca="1">IF(B51&gt;=$J$5,0,(CONTADORES!$Y45-CONTADORES!$Y44)-$O51)</f>
        <v>24</v>
      </c>
      <c r="M51" s="1396">
        <f ca="1">IF(O51=0,0,"ERROR")</f>
        <v>0</v>
      </c>
      <c r="N51" s="1396">
        <f ca="1">IF(B51&gt;=$J$5,0,CONTADORES!$AA45-CONTADORES!AA44)</f>
        <v>0</v>
      </c>
      <c r="O51" s="1396">
        <f ca="1">IF(N51&gt;0,CONTADORES!$Z45-CONTADORES!$Z44,0)</f>
        <v>0</v>
      </c>
      <c r="P51" s="202">
        <f ca="1">IF(B51&gt;=$J$5,0,CONTADORES!$W45-CONTADORES!$W44)</f>
        <v>150</v>
      </c>
      <c r="Q51" s="202">
        <f ca="1">IF(B51&gt;=$J$5,0,CONTADORES!$B45-CONTADORES!$B44)</f>
        <v>0</v>
      </c>
      <c r="R51" s="196">
        <f t="shared" ca="1" si="4"/>
        <v>0</v>
      </c>
      <c r="S51" s="11">
        <f ca="1">IF(B51&gt;=$J$5,0,CONTADORES!$D45-CONTADORES!$D44)</f>
        <v>0</v>
      </c>
      <c r="T51" s="198">
        <f ca="1">IF(B51&gt;=$J$5,0,CONTADORES!$BB45-CONTADORES!$BB44)</f>
        <v>0</v>
      </c>
      <c r="U51" s="196">
        <f t="shared" ca="1" si="32"/>
        <v>0</v>
      </c>
      <c r="V51" s="199">
        <f ca="1">IF(B51&gt;=$J$5,0,CONTADORES!$BD45-CONTADORES!$BD44)</f>
        <v>0</v>
      </c>
      <c r="W51" s="1397">
        <f t="shared" ca="1" si="6"/>
        <v>440</v>
      </c>
      <c r="X51" s="1397">
        <f t="shared" ca="1" si="7"/>
        <v>0</v>
      </c>
      <c r="Y51" s="1398">
        <f t="shared" ca="1" si="8"/>
        <v>440</v>
      </c>
      <c r="Z51" s="1398">
        <f t="shared" ca="1" si="9"/>
        <v>8.5407009800498752</v>
      </c>
      <c r="AA51" s="1398">
        <f t="shared" ca="1" si="10"/>
        <v>0</v>
      </c>
      <c r="AB51" s="1398">
        <f t="shared" ca="1" si="11"/>
        <v>48</v>
      </c>
      <c r="AC51" s="1397">
        <f t="shared" ca="1" si="12"/>
        <v>0</v>
      </c>
      <c r="AD51" s="1397">
        <f ca="1">IF(B51=$J$5,0,CONTADORES!H45-CONTADORES!H44)</f>
        <v>165</v>
      </c>
      <c r="AE51" s="1397">
        <f ca="1">IF(B51=$J$5,0,CONTADORES!J45-CONTADORES!J44)</f>
        <v>24</v>
      </c>
      <c r="AF51" s="1397">
        <f ca="1">IF(B51=$J$5,0,CONTADORES!AU45-CONTADORES!AU44)</f>
        <v>140</v>
      </c>
      <c r="AG51" s="1397">
        <f ca="1">IF(B51=$J$5,0,CONTADORES!AW45-CONTADORES!AW44)</f>
        <v>24</v>
      </c>
      <c r="AH51" s="1397">
        <f ca="1">IF(B51=$J$5,0,(CONTADORES!AM45-CONTADORES!AM44)+(CONTADORES!M45-CONTADORES!M44))</f>
        <v>9.1999999999970896</v>
      </c>
      <c r="AI51" s="1397">
        <f ca="1">IF(B51=$J$5,0,(CONTADORES!AK45-CONTADORES!AK44)+(CONTADORES!O45-CONTADORES!O44))</f>
        <v>43.900000000001455</v>
      </c>
      <c r="AJ51" s="1397">
        <f ca="1">IF(B51=$J$5,0,(CONTADORES!AI45-CONTADORES!AI44))</f>
        <v>9.6999999999970896</v>
      </c>
      <c r="AK51" s="1397">
        <f ca="1">IF(B51=$J$5,0,(CONTADORES!Q45-CONTADORES!Q44))</f>
        <v>12.5</v>
      </c>
      <c r="AL51" s="1397">
        <f t="shared" ca="1" si="13"/>
        <v>32.800000000004729</v>
      </c>
      <c r="AM51" s="1397">
        <f ca="1">IF(B51&gt;=$J$5,0,(((CONTADORES!F45-CONTADORES!F44)+(CONTADORES!AQ45-CONTADORES!AQ44))))-BS51-AF51-AN51-BV51-BY51-CD51-CB51</f>
        <v>11.703999999999727</v>
      </c>
      <c r="AN51" s="1397">
        <f ca="1">IF(B51=$J$5,0,(CONTADORES!AX45-CONTADORES!AX44)+(CONTADORES!AZ45-CONTADORES!AZ44)+(CONTADORES!BE45-CONTADORES!BE44))-CB51</f>
        <v>3.0360000000000911</v>
      </c>
      <c r="AO51" s="1437">
        <f ca="1">IF(B51&gt;=$J$5,0,(CONTADORES!AC45-CONTADORES!AC44))</f>
        <v>150</v>
      </c>
      <c r="AP51" s="1437">
        <f ca="1">IF(B51&gt;=$J$5,0,(CONTADORES!X45-CONTADORES!X44))</f>
        <v>80</v>
      </c>
      <c r="AQ51" s="1433">
        <f ca="1">IF(B51&gt;=$J$5,0,(CONTADORES!C45-CONTADORES!C44))</f>
        <v>0</v>
      </c>
      <c r="AR51" s="1399">
        <f ca="1">IF(B51&gt;=$J$5,0,(CONTADORES!BC45-CONTADORES!BC44))</f>
        <v>0</v>
      </c>
      <c r="AS51" s="1397">
        <f ca="1">IF(B51=$J$5,0,CONTADORES!S45-CONTADORES!S44)</f>
        <v>17.299999999988358</v>
      </c>
      <c r="AT51" s="1397">
        <f ca="1">IF(B51=$J$5,0,(CONTADORES!U45-CONTADORES!U44)+(CONTADORES!AG45-CONTADORES!AG44))</f>
        <v>2.2999999999956344</v>
      </c>
      <c r="AU51" s="1397">
        <f>CONTADORES!I45-CONTADORES!I44</f>
        <v>84</v>
      </c>
      <c r="AV51" s="1397">
        <f>CONTADORES!AV45-CONTADORES!AV44</f>
        <v>61</v>
      </c>
      <c r="AW51" s="1397">
        <f ca="1">IF(B51&gt;=$J$5,0,(CONTADORES!N45-CONTADORES!N44)+(CONTADORES!AN45-CONTADORES!AN44))</f>
        <v>3.6999999999970896</v>
      </c>
      <c r="AX51" s="1397">
        <f ca="1">IF(B51&gt;=$J$5,0,(CONTADORES!P45-CONTADORES!P44)+(CONTADORES!AL45-CONTADORES!AL44))</f>
        <v>34.599999999998545</v>
      </c>
      <c r="AY51" s="1397">
        <f ca="1">IF(B51&gt;=$J$5,0,(CONTADORES!AJ45-CONTADORES!AJ44))</f>
        <v>7.5999999999985448</v>
      </c>
      <c r="AZ51" s="1397">
        <f ca="1">IF(B51&gt;=$J$5,0,(CONTADORES!R45-CONTADORES!R44))</f>
        <v>10.80000000000291</v>
      </c>
      <c r="BA51" s="1397">
        <f t="shared" ca="1" si="14"/>
        <v>12.430000000002536</v>
      </c>
      <c r="BB51" s="1397">
        <f ca="1">IF(B51&gt;=$J$5,0,(((CONTADORES!G45-CONTADORES!G44)+(CONTADORES!AR45-CONTADORES!AR44))))-AV51-BC51-BT51-BW51-BZ51-CE51</f>
        <v>9.4590000000004313</v>
      </c>
      <c r="BC51" s="1744">
        <f ca="1">IF(B51&gt;=$J$5,0,(CONTADORES!AY45-CONTADORES!AY44)+(CONTADORES!BA45-CONTADORES!BA44)+(CONTADORES!BF45-CONTADORES!BF44))-CC51</f>
        <v>0.73000000000011367</v>
      </c>
      <c r="BD51" s="1397">
        <f t="shared" ca="1" si="15"/>
        <v>230</v>
      </c>
      <c r="BE51" s="1398">
        <f ca="1">IF($B51&gt;=$J$5,0,CONTADORES!$BG45)</f>
        <v>7254.96</v>
      </c>
      <c r="BF51" s="1397">
        <f ca="1">IF($B51&gt;=$J$5,0,CONTADORES!$BH45)</f>
        <v>25762.298245614031</v>
      </c>
      <c r="BG51" s="1397">
        <f ca="1">IF($B51&gt;=$J$5,0,CONTADORES!$BJ45)</f>
        <v>5645.38</v>
      </c>
      <c r="BH51" s="1409">
        <f ca="1">IF(B51&gt;=$J$5,0,((CONTADORES!BK45-CONTADORES!BK44)/1000))</f>
        <v>1.46</v>
      </c>
      <c r="BI51" s="1409">
        <f ca="1">IF(C51&gt;=$J$5,0,((CONTADORES!BL45-CONTADORES!BL44)/1000))</f>
        <v>1.4750000000000001</v>
      </c>
      <c r="BJ51" s="1399">
        <f ca="1">IF(C51&gt;=$J$5,0,((CONTADORES!BM45-CONTADORES!BM44)/1000))</f>
        <v>0</v>
      </c>
      <c r="BK51" s="1399">
        <f ca="1">IF(D51&gt;=$J$5,0,((CONTADORES!BN45-CONTADORES!BN44)/1000))</f>
        <v>0</v>
      </c>
      <c r="BL51" s="1399">
        <f t="shared" ca="1" si="16"/>
        <v>1.46</v>
      </c>
      <c r="BM51" s="1399">
        <f t="shared" ca="1" si="17"/>
        <v>1.4750000000000001</v>
      </c>
      <c r="BN51" s="1398">
        <f ca="1">IF(W51&gt;=$J$5,0,CONTADORES!$BO45)</f>
        <v>137</v>
      </c>
      <c r="BO51" s="1397">
        <f ca="1">IF(W51&gt;=$J$5,0,CONTADORES!$BP45)</f>
        <v>44.765999999999998</v>
      </c>
      <c r="BP51" s="1397">
        <f ca="1">IF(W51&gt;=$J$5,0,CONTADORES!$BQ45)</f>
        <v>655</v>
      </c>
      <c r="BQ51" s="1397">
        <f ca="1">IF(B51&gt;=$J$5,0,(CONTADORES!AS45-CONTADORES!AS44))</f>
        <v>6</v>
      </c>
      <c r="BR51" s="1397">
        <f ca="1">IF(B51&gt;=$J$5,0,(CONTADORES!AT45-CONTADORES!AT44))</f>
        <v>0</v>
      </c>
      <c r="BS51" s="1409">
        <f ca="1">IF(B51&gt;=$J$5,0,CONTADORES!BR45-CONTADORES!BR44)/1000</f>
        <v>0</v>
      </c>
      <c r="BT51" s="1438">
        <f ca="1">IF(B51&gt;=$J$5,0,CONTADORES!BS45-CONTADORES!BS44)</f>
        <v>0</v>
      </c>
      <c r="BU51" s="1438">
        <f ca="1">IF(B51&gt;=$J$5,0,CONTADORES!BT45-CONTADORES!BT44)</f>
        <v>12</v>
      </c>
      <c r="BV51" s="1438">
        <f ca="1">IF(B51&gt;=$J$5,0,CONTADORES!BU45-CONTADORES!BU44)/1000</f>
        <v>4.5960000000000001</v>
      </c>
      <c r="BW51" s="1438">
        <f ca="1">IF(B51&gt;=$J$5,0,CONTADORES!BV45-CONTADORES!BV44)/1000</f>
        <v>0.71099999999999997</v>
      </c>
      <c r="BX51" s="1438">
        <f ca="1">IF(B51&gt;=$J$5,0,CONTADORES!BW45-CONTADORES!BW44)</f>
        <v>24</v>
      </c>
      <c r="BY51" s="1438">
        <f ca="1">IF(B51&gt;=$J$5,0,CONTADORES!BX45-CONTADORES!BX44)/1000</f>
        <v>0</v>
      </c>
      <c r="BZ51" s="1438">
        <f ca="1">IF(B51&gt;=$J$5,0,CONTADORES!BY45-CONTADORES!BY44)/1000</f>
        <v>0</v>
      </c>
      <c r="CA51" s="1438">
        <f ca="1">IF(B51&gt;=$J$5,0,CONTADORES!BZ45-CONTADORES!BZ44)</f>
        <v>0</v>
      </c>
      <c r="CB51" s="1409">
        <f ca="1">IF(B51&gt;=$J$5,0,(CONTADORES!CC45-CONTADORES!CC44)+(CONTADORES!CE45-CONTADORES!CE44))/1000</f>
        <v>1.3640000000000001</v>
      </c>
      <c r="CC51" s="1438">
        <f ca="1">IF(B51&gt;=$J$5,0,(CONTADORES!CD45-CONTADORES!CD44)+(CONTADORES!CF45-CONTADORES!CF44))/1000</f>
        <v>0.77</v>
      </c>
      <c r="CD51" s="1409">
        <f ca="1">IF(B51&gt;=$J$5,0,CONTADORES!CA45-CONTADORES!CA44)</f>
        <v>6.1999999999998181</v>
      </c>
      <c r="CE51" s="1438">
        <f ca="1">IF(B51&gt;=$J$5,0,CONTADORES!CB45-CONTADORES!CB44)</f>
        <v>4.1999999999998181</v>
      </c>
      <c r="CF51" s="1438">
        <f t="shared" ca="1" si="18"/>
        <v>12.051999999999682</v>
      </c>
      <c r="CG51" s="1438">
        <f t="shared" ca="1" si="19"/>
        <v>8.9295000000000329</v>
      </c>
      <c r="CH51" s="1438">
        <f t="shared" ca="1" si="20"/>
        <v>5.8519999999998635</v>
      </c>
      <c r="CI51" s="1438">
        <f t="shared" ca="1" si="21"/>
        <v>1.2144000000000366</v>
      </c>
      <c r="CJ51" s="1438">
        <f t="shared" ca="1" si="22"/>
        <v>5.8519999999998635</v>
      </c>
      <c r="CK51" s="1438">
        <f t="shared" ca="1" si="23"/>
        <v>1.8216000000000545</v>
      </c>
      <c r="CL51" s="1438">
        <f t="shared" ca="1" si="24"/>
        <v>2.5784000000000367</v>
      </c>
      <c r="CM51" s="1438">
        <f t="shared" ca="1" si="25"/>
        <v>4.7295000000002156</v>
      </c>
      <c r="CN51" s="1438">
        <f ca="1">IF(B51&gt;=$J$5,0,CONTADORES!CB45-CONTADORES!CB44)</f>
        <v>4.1999999999998181</v>
      </c>
      <c r="CO51" s="1438">
        <f t="shared" ca="1" si="26"/>
        <v>4.7295000000002156</v>
      </c>
      <c r="CP51" s="1438">
        <f t="shared" ca="1" si="27"/>
        <v>0.36500000000005683</v>
      </c>
      <c r="CQ51" s="1438">
        <f t="shared" ca="1" si="28"/>
        <v>0.36500000000005683</v>
      </c>
      <c r="CR51" s="1438">
        <f t="shared" ca="1" si="29"/>
        <v>1.1350000000000569</v>
      </c>
      <c r="CS51" s="1439">
        <f ca="1">IF($B51&gt;=$J$5,0,CONTADORES!$BI45)</f>
        <v>8495.8320425128495</v>
      </c>
      <c r="CT51" s="1334">
        <f>CONTADORES!E45</f>
        <v>0</v>
      </c>
      <c r="CU51" s="1334">
        <f>CONTADORES!CG45</f>
        <v>0</v>
      </c>
    </row>
    <row r="52" spans="2:99">
      <c r="B52" s="214">
        <v>44968</v>
      </c>
      <c r="C52" s="198">
        <f t="shared" ca="1" si="0"/>
        <v>284</v>
      </c>
      <c r="D52" s="196">
        <f ca="1">'CALCULO DE GAS'!D48</f>
        <v>4.7922457518703245</v>
      </c>
      <c r="E52" s="196">
        <f ca="1">IF(B52&gt;=$J$5,0,(CONTADORES!$AD46-CONTADORES!$AD45)-$H52)</f>
        <v>24</v>
      </c>
      <c r="F52" s="198">
        <f t="shared" ca="1" si="31"/>
        <v>0</v>
      </c>
      <c r="G52" s="196">
        <f ca="1">IF(B52&gt;=$J$5,0,CONTADORES!$AF46-CONTADORES!$AF45)</f>
        <v>0</v>
      </c>
      <c r="H52" s="1396">
        <f ca="1">IF(G52&gt;0,CONTADORES!$AE46-CONTADORES!$AE45,0)</f>
        <v>0</v>
      </c>
      <c r="I52" s="199">
        <f ca="1">IF(B52&gt;=$J$5,0,CONTADORES!$AB46-CONTADORES!$AB45)</f>
        <v>284</v>
      </c>
      <c r="J52" s="198">
        <f t="shared" ca="1" si="2"/>
        <v>148</v>
      </c>
      <c r="K52" s="196">
        <f ca="1">'CALCULO DE GAS'!E48</f>
        <v>3.6832183204488778</v>
      </c>
      <c r="L52" s="1396">
        <f ca="1">IF(B52&gt;=$J$5,0,(CONTADORES!$Y46-CONTADORES!$Y45)-$O52)</f>
        <v>24</v>
      </c>
      <c r="M52" s="1396">
        <f ca="1">IF(O52=0,0,"ERROR")</f>
        <v>0</v>
      </c>
      <c r="N52" s="1396">
        <f ca="1">IF(B52&gt;=$J$5,0,CONTADORES!$AA46-CONTADORES!AA45)</f>
        <v>0</v>
      </c>
      <c r="O52" s="1396">
        <f ca="1">IF(N52&gt;0,CONTADORES!$Z46-CONTADORES!$Z45,0)</f>
        <v>0</v>
      </c>
      <c r="P52" s="202">
        <f ca="1">IF(B52&gt;=$J$5,0,CONTADORES!$W46-CONTADORES!$W45)</f>
        <v>148</v>
      </c>
      <c r="Q52" s="202">
        <f ca="1">IF(B52&gt;=$J$5,0,CONTADORES!$B46-CONTADORES!$B45)</f>
        <v>0</v>
      </c>
      <c r="R52" s="196">
        <f t="shared" ca="1" si="4"/>
        <v>0</v>
      </c>
      <c r="S52" s="11">
        <f ca="1">IF(B52&gt;=$J$5,0,CONTADORES!$D46-CONTADORES!$D45)</f>
        <v>0</v>
      </c>
      <c r="T52" s="198">
        <f ca="1">IF(B52&gt;=$J$5,0,CONTADORES!$BB46-CONTADORES!$BB45)</f>
        <v>0</v>
      </c>
      <c r="U52" s="196">
        <f t="shared" ca="1" si="32"/>
        <v>0</v>
      </c>
      <c r="V52" s="199">
        <f ca="1">IF(B52&gt;=$J$5,0,CONTADORES!$BD46-CONTADORES!$BD45)</f>
        <v>0</v>
      </c>
      <c r="W52" s="1397">
        <f t="shared" ca="1" si="6"/>
        <v>432</v>
      </c>
      <c r="X52" s="1397">
        <f t="shared" ca="1" si="7"/>
        <v>0</v>
      </c>
      <c r="Y52" s="1398">
        <f t="shared" ca="1" si="8"/>
        <v>432</v>
      </c>
      <c r="Z52" s="1398">
        <f t="shared" ca="1" si="9"/>
        <v>8.4754640723192018</v>
      </c>
      <c r="AA52" s="1398">
        <f t="shared" ca="1" si="10"/>
        <v>0</v>
      </c>
      <c r="AB52" s="1398">
        <f t="shared" ca="1" si="11"/>
        <v>48</v>
      </c>
      <c r="AC52" s="1397">
        <f t="shared" ca="1" si="12"/>
        <v>0</v>
      </c>
      <c r="AD52" s="1397">
        <f ca="1">IF(B52=$J$5,0,CONTADORES!H46-CONTADORES!H45)</f>
        <v>166</v>
      </c>
      <c r="AE52" s="1397">
        <f ca="1">IF(B52=$J$5,0,CONTADORES!J46-CONTADORES!J45)</f>
        <v>24</v>
      </c>
      <c r="AF52" s="1397">
        <f ca="1">IF(B52=$J$5,0,CONTADORES!AU46-CONTADORES!AU45)</f>
        <v>132</v>
      </c>
      <c r="AG52" s="1397">
        <f ca="1">IF(B52=$J$5,0,CONTADORES!AW46-CONTADORES!AW45)</f>
        <v>24</v>
      </c>
      <c r="AH52" s="1397">
        <f ca="1">IF(B52=$J$5,0,(CONTADORES!AM46-CONTADORES!AM45)+(CONTADORES!M46-CONTADORES!M45))</f>
        <v>10</v>
      </c>
      <c r="AI52" s="1397">
        <f ca="1">IF(B52=$J$5,0,(CONTADORES!AK46-CONTADORES!AK45)+(CONTADORES!O46-CONTADORES!O45))</f>
        <v>42.900000000001455</v>
      </c>
      <c r="AJ52" s="1397">
        <f ca="1">IF(B52=$J$5,0,(CONTADORES!AI46-CONTADORES!AI45))</f>
        <v>10.100000000005821</v>
      </c>
      <c r="AK52" s="1397">
        <f ca="1">IF(B52=$J$5,0,(CONTADORES!Q46-CONTADORES!Q45))</f>
        <v>15</v>
      </c>
      <c r="AL52" s="1397">
        <f t="shared" ca="1" si="13"/>
        <v>32.599999999991326</v>
      </c>
      <c r="AM52" s="1397">
        <f ca="1">IF(B52&gt;=$J$5,0,(((CONTADORES!F46-CONTADORES!F45)+(CONTADORES!AQ46-CONTADORES!AQ45))))-BS52-AF52-AN52-BV52-BY52-CD52-CB52</f>
        <v>8.9860000000011802</v>
      </c>
      <c r="AN52" s="1397">
        <f ca="1">IF(B52=$J$5,0,(CONTADORES!AX46-CONTADORES!AX45)+(CONTADORES!AZ46-CONTADORES!AZ45)+(CONTADORES!BE46-CONTADORES!BE45))-CB52</f>
        <v>2.2359999999999092</v>
      </c>
      <c r="AO52" s="1437">
        <f ca="1">IF(B52&gt;=$J$5,0,(CONTADORES!AC46-CONTADORES!AC45))</f>
        <v>148</v>
      </c>
      <c r="AP52" s="1437">
        <f ca="1">IF(B52&gt;=$J$5,0,(CONTADORES!X46-CONTADORES!X45))</f>
        <v>78</v>
      </c>
      <c r="AQ52" s="1433">
        <f ca="1">IF(B52&gt;=$J$5,0,(CONTADORES!C46-CONTADORES!C45))</f>
        <v>0</v>
      </c>
      <c r="AR52" s="1399">
        <f ca="1">IF(B52&gt;=$J$5,0,(CONTADORES!BC46-CONTADORES!BC45))</f>
        <v>0</v>
      </c>
      <c r="AS52" s="1397">
        <f ca="1">IF(B52=$J$5,0,CONTADORES!S46-CONTADORES!S45)</f>
        <v>16.899999999994179</v>
      </c>
      <c r="AT52" s="1397">
        <f ca="1">IF(B52=$J$5,0,(CONTADORES!U46-CONTADORES!U45)+(CONTADORES!AG46-CONTADORES!AG45))</f>
        <v>2.3000000000029104</v>
      </c>
      <c r="AU52" s="1397">
        <f>CONTADORES!I46-CONTADORES!I45</f>
        <v>84</v>
      </c>
      <c r="AV52" s="1397">
        <f>CONTADORES!AV46-CONTADORES!AV45</f>
        <v>58</v>
      </c>
      <c r="AW52" s="1397">
        <f ca="1">IF(B52&gt;=$J$5,0,(CONTADORES!N46-CONTADORES!N45)+(CONTADORES!AN46-CONTADORES!AN45))</f>
        <v>4</v>
      </c>
      <c r="AX52" s="1397">
        <f ca="1">IF(B52&gt;=$J$5,0,(CONTADORES!P46-CONTADORES!P45)+(CONTADORES!AL46-CONTADORES!AL45))</f>
        <v>34.80000000000291</v>
      </c>
      <c r="AY52" s="1397">
        <f ca="1">IF(B52&gt;=$J$5,0,(CONTADORES!AJ46-CONTADORES!AJ45))</f>
        <v>7.9000000000014552</v>
      </c>
      <c r="AZ52" s="1397">
        <f ca="1">IF(B52&gt;=$J$5,0,(CONTADORES!R46-CONTADORES!R45))</f>
        <v>12.69999999999709</v>
      </c>
      <c r="BA52" s="1397">
        <f t="shared" ca="1" si="14"/>
        <v>10.335999999998535</v>
      </c>
      <c r="BB52" s="1397">
        <f ca="1">IF(B52&gt;=$J$5,0,(((CONTADORES!G46-CONTADORES!G45)+(CONTADORES!AR46-CONTADORES!AR45))))-AV52-BC52-BT52-BW52-BZ52-CE52</f>
        <v>8.3559999999994545</v>
      </c>
      <c r="BC52" s="1744">
        <f ca="1">IF(B52&gt;=$J$5,0,(CONTADORES!AY46-CONTADORES!AY45)+(CONTADORES!BA46-CONTADORES!BA45)+(CONTADORES!BF46-CONTADORES!BF45))-CC52</f>
        <v>0.43599999999981809</v>
      </c>
      <c r="BD52" s="1397">
        <f t="shared" ca="1" si="15"/>
        <v>226</v>
      </c>
      <c r="BE52" s="1398">
        <f ca="1">IF($B52&gt;=$J$5,0,CONTADORES!$BG46)</f>
        <v>6860.02</v>
      </c>
      <c r="BF52" s="1397">
        <f ca="1">IF($B52&gt;=$J$5,0,CONTADORES!$BH46)</f>
        <v>21295.638596491201</v>
      </c>
      <c r="BG52" s="1397">
        <f ca="1">IF($B52&gt;=$J$5,0,CONTADORES!$BJ46)</f>
        <v>5816.82</v>
      </c>
      <c r="BH52" s="1409">
        <f ca="1">IF(B52&gt;=$J$5,0,((CONTADORES!BK46-CONTADORES!BK45)/1000))</f>
        <v>1.34</v>
      </c>
      <c r="BI52" s="1409">
        <f ca="1">IF(C52&gt;=$J$5,0,((CONTADORES!BL46-CONTADORES!BL45)/1000))</f>
        <v>1.363</v>
      </c>
      <c r="BJ52" s="1399">
        <f ca="1">IF(C52&gt;=$J$5,0,((CONTADORES!BM46-CONTADORES!BM45)/1000))</f>
        <v>0</v>
      </c>
      <c r="BK52" s="1399">
        <f ca="1">IF(D52&gt;=$J$5,0,((CONTADORES!BN46-CONTADORES!BN45)/1000))</f>
        <v>0</v>
      </c>
      <c r="BL52" s="1399">
        <f t="shared" ca="1" si="16"/>
        <v>1.34</v>
      </c>
      <c r="BM52" s="1399">
        <f t="shared" ca="1" si="17"/>
        <v>1.363</v>
      </c>
      <c r="BN52" s="1398">
        <f ca="1">IF(W52&gt;=$J$5,0,CONTADORES!$BO46)</f>
        <v>136</v>
      </c>
      <c r="BO52" s="1397">
        <f ca="1">IF(W52&gt;=$J$5,0,CONTADORES!$BP46)</f>
        <v>44.512999999999998</v>
      </c>
      <c r="BP52" s="1397">
        <f ca="1">IF(W52&gt;=$J$5,0,CONTADORES!$BQ46)</f>
        <v>654</v>
      </c>
      <c r="BQ52" s="1397">
        <f ca="1">IF(B52&gt;=$J$5,0,(CONTADORES!AS46-CONTADORES!AS45))</f>
        <v>5</v>
      </c>
      <c r="BR52" s="1397">
        <f ca="1">IF(B52&gt;=$J$5,0,(CONTADORES!AT46-CONTADORES!AT45))</f>
        <v>0</v>
      </c>
      <c r="BS52" s="1409">
        <f ca="1">IF(B52&gt;=$J$5,0,CONTADORES!BR46-CONTADORES!BR45)/1000</f>
        <v>0</v>
      </c>
      <c r="BT52" s="1438">
        <f ca="1">IF(B52&gt;=$J$5,0,CONTADORES!BS46-CONTADORES!BS45)</f>
        <v>0</v>
      </c>
      <c r="BU52" s="1438">
        <f ca="1">IF(B52&gt;=$J$5,0,CONTADORES!BT46-CONTADORES!BT45)</f>
        <v>0</v>
      </c>
      <c r="BV52" s="1438">
        <f ca="1">IF(B52&gt;=$J$5,0,CONTADORES!BU46-CONTADORES!BU45)/1000</f>
        <v>4.7140000000000004</v>
      </c>
      <c r="BW52" s="1438">
        <f ca="1">IF(B52&gt;=$J$5,0,CONTADORES!BV46-CONTADORES!BV45)/1000</f>
        <v>0.50800000000000001</v>
      </c>
      <c r="BX52" s="1438">
        <f ca="1">IF(B52&gt;=$J$5,0,CONTADORES!BW46-CONTADORES!BW45)</f>
        <v>24</v>
      </c>
      <c r="BY52" s="1438">
        <f ca="1">IF(B52&gt;=$J$5,0,CONTADORES!BX46-CONTADORES!BX45)/1000</f>
        <v>0</v>
      </c>
      <c r="BZ52" s="1438">
        <f ca="1">IF(B52&gt;=$J$5,0,CONTADORES!BY46-CONTADORES!BY45)/1000</f>
        <v>0</v>
      </c>
      <c r="CA52" s="1438">
        <f ca="1">IF(B52&gt;=$J$5,0,CONTADORES!BZ46-CONTADORES!BZ45)</f>
        <v>0</v>
      </c>
      <c r="CB52" s="1409">
        <f ca="1">IF(B52&gt;=$J$5,0,(CONTADORES!CC46-CONTADORES!CC45)+(CONTADORES!CE46-CONTADORES!CE45))/1000</f>
        <v>1.3640000000000001</v>
      </c>
      <c r="CC52" s="1438">
        <f ca="1">IF(B52&gt;=$J$5,0,(CONTADORES!CD46-CONTADORES!CD45)+(CONTADORES!CF46-CONTADORES!CF45))/1000</f>
        <v>0.76400000000000001</v>
      </c>
      <c r="CD52" s="1409">
        <f ca="1">IF(B52&gt;=$J$5,0,CONTADORES!CA46-CONTADORES!CA45)</f>
        <v>6.1000000000003638</v>
      </c>
      <c r="CE52" s="1438">
        <f ca="1">IF(B52&gt;=$J$5,0,CONTADORES!CB46-CONTADORES!CB45)</f>
        <v>4.2000000000007276</v>
      </c>
      <c r="CF52" s="1438">
        <f t="shared" ca="1" si="18"/>
        <v>10.593000000000954</v>
      </c>
      <c r="CG52" s="1438">
        <f t="shared" ca="1" si="19"/>
        <v>8.3780000000004549</v>
      </c>
      <c r="CH52" s="1438">
        <f t="shared" ca="1" si="20"/>
        <v>4.4930000000005901</v>
      </c>
      <c r="CI52" s="1438">
        <f t="shared" ca="1" si="21"/>
        <v>0.89439999999996367</v>
      </c>
      <c r="CJ52" s="1438">
        <f t="shared" ca="1" si="22"/>
        <v>4.4930000000005901</v>
      </c>
      <c r="CK52" s="1438">
        <f t="shared" ca="1" si="23"/>
        <v>1.3415999999999455</v>
      </c>
      <c r="CL52" s="1438">
        <f t="shared" ca="1" si="24"/>
        <v>2.2583999999999635</v>
      </c>
      <c r="CM52" s="1438">
        <f t="shared" ca="1" si="25"/>
        <v>4.1779999999997273</v>
      </c>
      <c r="CN52" s="1438">
        <f ca="1">IF(B52&gt;=$J$5,0,CONTADORES!CB46-CONTADORES!CB45)</f>
        <v>4.2000000000007276</v>
      </c>
      <c r="CO52" s="1438">
        <f t="shared" ca="1" si="26"/>
        <v>4.1779999999997273</v>
      </c>
      <c r="CP52" s="1438">
        <f t="shared" ca="1" si="27"/>
        <v>0.21799999999990904</v>
      </c>
      <c r="CQ52" s="1438">
        <f t="shared" ca="1" si="28"/>
        <v>0.21799999999990904</v>
      </c>
      <c r="CR52" s="1438">
        <f t="shared" ca="1" si="29"/>
        <v>0.98199999999990906</v>
      </c>
      <c r="CS52" s="1439">
        <f ca="1">IF($B52&gt;=$J$5,0,CONTADORES!$BI46)</f>
        <v>6887.7146854211196</v>
      </c>
      <c r="CT52" s="1334">
        <f>CONTADORES!E46</f>
        <v>0</v>
      </c>
      <c r="CU52" s="1334">
        <f>CONTADORES!CG46</f>
        <v>0</v>
      </c>
    </row>
    <row r="53" spans="2:99">
      <c r="B53" s="214">
        <v>44969</v>
      </c>
      <c r="C53" s="198">
        <f t="shared" ca="1" si="0"/>
        <v>288</v>
      </c>
      <c r="D53" s="196">
        <f ca="1">'CALCULO DE GAS'!D49</f>
        <v>4.8248642057356612</v>
      </c>
      <c r="E53" s="196">
        <f ca="1">IF(B53&gt;=$J$5,0,(CONTADORES!$AD47-CONTADORES!$AD46)-$H53)</f>
        <v>24</v>
      </c>
      <c r="F53" s="198">
        <f t="shared" ca="1" si="31"/>
        <v>0</v>
      </c>
      <c r="G53" s="196">
        <f ca="1">IF(B53&gt;=$J$5,0,CONTADORES!$AF47-CONTADORES!$AF46)</f>
        <v>0</v>
      </c>
      <c r="H53" s="1396">
        <f ca="1">IF(G53&gt;0,CONTADORES!$AE47-CONTADORES!$AE46,0)</f>
        <v>0</v>
      </c>
      <c r="I53" s="199">
        <f ca="1">IF(B53&gt;=$J$5,0,CONTADORES!$AB47-CONTADORES!$AB46)</f>
        <v>288</v>
      </c>
      <c r="J53" s="198">
        <f t="shared" ca="1" si="2"/>
        <v>149.5</v>
      </c>
      <c r="K53" s="196">
        <f ca="1">'CALCULO DE GAS'!E49</f>
        <v>3.6954502406483791</v>
      </c>
      <c r="L53" s="1396">
        <f ca="1">IF(B53&gt;=$J$5,0,(CONTADORES!$Y47-CONTADORES!$Y46)-$O53)</f>
        <v>24</v>
      </c>
      <c r="M53" s="1396">
        <v>0.5</v>
      </c>
      <c r="N53" s="1396">
        <f ca="1">IF(B53&gt;=$J$5,0,CONTADORES!$AA47-CONTADORES!AA46)</f>
        <v>0</v>
      </c>
      <c r="O53" s="1396">
        <f ca="1">IF(N53&gt;0,CONTADORES!$Z47-CONTADORES!$Z46,0)</f>
        <v>0</v>
      </c>
      <c r="P53" s="202">
        <f ca="1">IF(B53&gt;=$J$5,0,CONTADORES!$W47-CONTADORES!$W46)</f>
        <v>150</v>
      </c>
      <c r="Q53" s="202">
        <f ca="1">IF(B53&gt;=$J$5,0,CONTADORES!$B47-CONTADORES!$B46)</f>
        <v>0</v>
      </c>
      <c r="R53" s="196">
        <f t="shared" ca="1" si="4"/>
        <v>0</v>
      </c>
      <c r="S53" s="11">
        <f ca="1">IF(B53&gt;=$J$5,0,CONTADORES!$D47-CONTADORES!$D46)</f>
        <v>0</v>
      </c>
      <c r="T53" s="198">
        <f ca="1">IF(B53&gt;=$J$5,0,CONTADORES!$BB47-CONTADORES!$BB46)</f>
        <v>0</v>
      </c>
      <c r="U53" s="196">
        <f t="shared" ca="1" si="32"/>
        <v>0</v>
      </c>
      <c r="V53" s="199">
        <f ca="1">IF(B53&gt;=$J$5,0,CONTADORES!$BD47-CONTADORES!$BD46)</f>
        <v>0</v>
      </c>
      <c r="W53" s="1397">
        <f t="shared" ca="1" si="6"/>
        <v>437.5</v>
      </c>
      <c r="X53" s="1397">
        <f t="shared" ca="1" si="7"/>
        <v>0.5</v>
      </c>
      <c r="Y53" s="1398">
        <f t="shared" ca="1" si="8"/>
        <v>438</v>
      </c>
      <c r="Z53" s="1398">
        <f t="shared" ca="1" si="9"/>
        <v>8.5203144463840399</v>
      </c>
      <c r="AA53" s="1398">
        <f t="shared" ca="1" si="10"/>
        <v>0</v>
      </c>
      <c r="AB53" s="1398">
        <f t="shared" ca="1" si="11"/>
        <v>48</v>
      </c>
      <c r="AC53" s="1397">
        <f t="shared" ca="1" si="12"/>
        <v>0</v>
      </c>
      <c r="AD53" s="1397">
        <f ca="1">IF(B53=$J$5,0,CONTADORES!H47-CONTADORES!H46)</f>
        <v>160</v>
      </c>
      <c r="AE53" s="1397">
        <f ca="1">IF(B53=$J$5,0,CONTADORES!J47-CONTADORES!J46)</f>
        <v>24</v>
      </c>
      <c r="AF53" s="1397">
        <f ca="1">IF(B53=$J$5,0,CONTADORES!AU47-CONTADORES!AU46)</f>
        <v>142</v>
      </c>
      <c r="AG53" s="1397">
        <f ca="1">IF(B53=$J$5,0,CONTADORES!AW47-CONTADORES!AW46)</f>
        <v>24</v>
      </c>
      <c r="AH53" s="1397">
        <f ca="1">IF(B53=$J$5,0,(CONTADORES!AM47-CONTADORES!AM46)+(CONTADORES!M47-CONTADORES!M46))</f>
        <v>8.5999999999985448</v>
      </c>
      <c r="AI53" s="1397">
        <f ca="1">IF(B53=$J$5,0,(CONTADORES!AK47-CONTADORES!AK46)+(CONTADORES!O47-CONTADORES!O46))</f>
        <v>42.299999999995634</v>
      </c>
      <c r="AJ53" s="1397">
        <f ca="1">IF(B53=$J$5,0,(CONTADORES!AI47-CONTADORES!AI46))</f>
        <v>8.3000000000029104</v>
      </c>
      <c r="AK53" s="1397">
        <f ca="1">IF(B53=$J$5,0,(CONTADORES!Q47-CONTADORES!Q46))</f>
        <v>16.099999999976717</v>
      </c>
      <c r="AL53" s="1397">
        <f t="shared" ca="1" si="13"/>
        <v>33.300000000028376</v>
      </c>
      <c r="AM53" s="1397">
        <f ca="1">IF(B53&gt;=$J$5,0,(((CONTADORES!F47-CONTADORES!F46)+(CONTADORES!AQ47-CONTADORES!AQ46))))-BS53-AF53-AN53-BV53-BY53-CD53-CB53</f>
        <v>10.051999999997724</v>
      </c>
      <c r="AN53" s="1397">
        <f ca="1">IF(B53=$J$5,0,(CONTADORES!AX47-CONTADORES!AX46)+(CONTADORES!AZ47-CONTADORES!AZ46)+(CONTADORES!BE47-CONTADORES!BE46))-CB53</f>
        <v>2.5940000000004551</v>
      </c>
      <c r="AO53" s="1437">
        <f ca="1">IF(B53&gt;=$J$5,0,(CONTADORES!AC47-CONTADORES!AC46))</f>
        <v>150</v>
      </c>
      <c r="AP53" s="1437">
        <f ca="1">IF(B53&gt;=$J$5,0,(CONTADORES!X47-CONTADORES!X46))</f>
        <v>78</v>
      </c>
      <c r="AQ53" s="1433">
        <f ca="1">IF(B53&gt;=$J$5,0,(CONTADORES!C47-CONTADORES!C46))</f>
        <v>0</v>
      </c>
      <c r="AR53" s="1399">
        <f ca="1">IF(B53&gt;=$J$5,0,(CONTADORES!BC47-CONTADORES!BC46))</f>
        <v>0</v>
      </c>
      <c r="AS53" s="1397">
        <f ca="1">IF(B53=$J$5,0,CONTADORES!S47-CONTADORES!S46)</f>
        <v>17</v>
      </c>
      <c r="AT53" s="1397">
        <f ca="1">IF(B53=$J$5,0,(CONTADORES!U47-CONTADORES!U46)+(CONTADORES!AG47-CONTADORES!AG46))</f>
        <v>2.3000000000029104</v>
      </c>
      <c r="AU53" s="1397">
        <f>CONTADORES!I47-CONTADORES!I46</f>
        <v>84</v>
      </c>
      <c r="AV53" s="1397">
        <f>CONTADORES!AV47-CONTADORES!AV46</f>
        <v>62</v>
      </c>
      <c r="AW53" s="1397">
        <f ca="1">IF(B53&gt;=$J$5,0,(CONTADORES!N47-CONTADORES!N46)+(CONTADORES!AN47-CONTADORES!AN46))</f>
        <v>3.4000000000014552</v>
      </c>
      <c r="AX53" s="1397">
        <f ca="1">IF(B53&gt;=$J$5,0,(CONTADORES!P47-CONTADORES!P46)+(CONTADORES!AL47-CONTADORES!AL46))</f>
        <v>32.099999999998545</v>
      </c>
      <c r="AY53" s="1397">
        <f ca="1">IF(B53&gt;=$J$5,0,(CONTADORES!AJ47-CONTADORES!AJ46))</f>
        <v>6.5</v>
      </c>
      <c r="AZ53" s="1397">
        <f ca="1">IF(B53&gt;=$J$5,0,(CONTADORES!R47-CONTADORES!R46))</f>
        <v>13.5</v>
      </c>
      <c r="BA53" s="1397">
        <f t="shared" ca="1" si="14"/>
        <v>11.406000000000716</v>
      </c>
      <c r="BB53" s="1397">
        <f ca="1">IF(B53&gt;=$J$5,0,(((CONTADORES!G47-CONTADORES!G46)+(CONTADORES!AR47-CONTADORES!AR46))))-AV53-BC53-BT53-BW53-BZ53-CE53</f>
        <v>8.0279999999997624</v>
      </c>
      <c r="BC53" s="1744">
        <f ca="1">IF(B53&gt;=$J$5,0,(CONTADORES!AY47-CONTADORES!AY46)+(CONTADORES!BA47-CONTADORES!BA46)+(CONTADORES!BF47-CONTADORES!BF46))-CC53</f>
        <v>0.40599999999987491</v>
      </c>
      <c r="BD53" s="1397">
        <f t="shared" ca="1" si="15"/>
        <v>228</v>
      </c>
      <c r="BE53" s="1398">
        <f ca="1">IF($B53&gt;=$J$5,0,CONTADORES!$BG47)</f>
        <v>6275.27</v>
      </c>
      <c r="BF53" s="1397">
        <f ca="1">IF($B53&gt;=$J$5,0,CONTADORES!$BH47)</f>
        <v>27727.917543859599</v>
      </c>
      <c r="BG53" s="1397">
        <f ca="1">IF($B53&gt;=$J$5,0,CONTADORES!$BJ47)</f>
        <v>6081.95</v>
      </c>
      <c r="BH53" s="1409">
        <f ca="1">IF(B53&gt;=$J$5,0,((CONTADORES!BK47-CONTADORES!BK46)/1000))</f>
        <v>1.4279999999999999</v>
      </c>
      <c r="BI53" s="1409">
        <f ca="1">IF(C53&gt;=$J$5,0,((CONTADORES!BL47-CONTADORES!BL46)/1000))</f>
        <v>1.4339999999999999</v>
      </c>
      <c r="BJ53" s="1399">
        <f ca="1">IF(C53&gt;=$J$5,0,((CONTADORES!BM47-CONTADORES!BM46)/1000))</f>
        <v>0</v>
      </c>
      <c r="BK53" s="1399">
        <f ca="1">IF(D53&gt;=$J$5,0,((CONTADORES!BN47-CONTADORES!BN46)/1000))</f>
        <v>0</v>
      </c>
      <c r="BL53" s="1399">
        <f t="shared" ca="1" si="16"/>
        <v>1.4279999999999999</v>
      </c>
      <c r="BM53" s="1399">
        <f t="shared" ca="1" si="17"/>
        <v>1.4339999999999999</v>
      </c>
      <c r="BN53" s="1398">
        <f ca="1">IF(W53&gt;=$J$5,0,CONTADORES!$BO47)</f>
        <v>137</v>
      </c>
      <c r="BO53" s="1397">
        <f ca="1">IF(W53&gt;=$J$5,0,CONTADORES!$BP47)</f>
        <v>44.667000000000002</v>
      </c>
      <c r="BP53" s="1397">
        <f ca="1">IF(W53&gt;=$J$5,0,CONTADORES!$BQ47)</f>
        <v>655</v>
      </c>
      <c r="BQ53" s="1397">
        <f ca="1">IF(B53&gt;=$J$5,0,(CONTADORES!AS47-CONTADORES!AS46))</f>
        <v>5</v>
      </c>
      <c r="BR53" s="1397">
        <f ca="1">IF(B53&gt;=$J$5,0,(CONTADORES!AT47-CONTADORES!AT46))</f>
        <v>0</v>
      </c>
      <c r="BS53" s="1409">
        <f ca="1">IF(B53&gt;=$J$5,0,CONTADORES!BR47-CONTADORES!BR46)/1000</f>
        <v>2.2559999999999998</v>
      </c>
      <c r="BT53" s="1438">
        <f ca="1">IF(B53&gt;=$J$5,0,CONTADORES!BS47-CONTADORES!BS46)</f>
        <v>1</v>
      </c>
      <c r="BU53" s="1438">
        <f ca="1">IF(B53&gt;=$J$5,0,CONTADORES!BT47-CONTADORES!BT46)</f>
        <v>20.200000000000728</v>
      </c>
      <c r="BV53" s="1438">
        <f ca="1">IF(B53&gt;=$J$5,0,CONTADORES!BU47-CONTADORES!BU46)/1000</f>
        <v>4.6920000000000002</v>
      </c>
      <c r="BW53" s="1438">
        <f ca="1">IF(B53&gt;=$J$5,0,CONTADORES!BV47-CONTADORES!BV46)/1000</f>
        <v>0.46600000000000003</v>
      </c>
      <c r="BX53" s="1438">
        <f ca="1">IF(B53&gt;=$J$5,0,CONTADORES!BW47-CONTADORES!BW46)</f>
        <v>24</v>
      </c>
      <c r="BY53" s="1438">
        <f ca="1">IF(B53&gt;=$J$5,0,CONTADORES!BX47-CONTADORES!BX46)/1000</f>
        <v>0</v>
      </c>
      <c r="BZ53" s="1438">
        <f ca="1">IF(B53&gt;=$J$5,0,CONTADORES!BY47-CONTADORES!BY46)/1000</f>
        <v>0</v>
      </c>
      <c r="CA53" s="1438">
        <f ca="1">IF(B53&gt;=$J$5,0,CONTADORES!BZ47-CONTADORES!BZ46)</f>
        <v>0</v>
      </c>
      <c r="CB53" s="1409">
        <f ca="1">IF(B53&gt;=$J$5,0,(CONTADORES!CC47-CONTADORES!CC46)+(CONTADORES!CE47-CONTADORES!CE46))/1000</f>
        <v>1.4059999999999999</v>
      </c>
      <c r="CC53" s="1438">
        <f ca="1">IF(B53&gt;=$J$5,0,(CONTADORES!CD47-CONTADORES!CD46)+(CONTADORES!CF47-CONTADORES!CF46))/1000</f>
        <v>0.79400000000000004</v>
      </c>
      <c r="CD53" s="1409">
        <f ca="1">IF(B53&gt;=$J$5,0,CONTADORES!CA47-CONTADORES!CA46)</f>
        <v>6.3999999999996362</v>
      </c>
      <c r="CE53" s="1438">
        <f ca="1">IF(B53&gt;=$J$5,0,CONTADORES!CB47-CONTADORES!CB46)</f>
        <v>4.3999999999996362</v>
      </c>
      <c r="CF53" s="1438">
        <f t="shared" ca="1" si="18"/>
        <v>11.425999999998499</v>
      </c>
      <c r="CG53" s="1438">
        <f t="shared" ca="1" si="19"/>
        <v>8.4139999999995183</v>
      </c>
      <c r="CH53" s="1438">
        <f t="shared" ca="1" si="20"/>
        <v>5.025999999998862</v>
      </c>
      <c r="CI53" s="1438">
        <f t="shared" ca="1" si="21"/>
        <v>1.0376000000001822</v>
      </c>
      <c r="CJ53" s="1438">
        <f t="shared" ca="1" si="22"/>
        <v>5.025999999998862</v>
      </c>
      <c r="CK53" s="1438">
        <f t="shared" ca="1" si="23"/>
        <v>1.5564000000002729</v>
      </c>
      <c r="CL53" s="1438">
        <f t="shared" ca="1" si="24"/>
        <v>2.4436000000001821</v>
      </c>
      <c r="CM53" s="1438">
        <f t="shared" ca="1" si="25"/>
        <v>4.0139999999998812</v>
      </c>
      <c r="CN53" s="1438">
        <f ca="1">IF(B53&gt;=$J$5,0,CONTADORES!CB47-CONTADORES!CB46)</f>
        <v>4.3999999999996362</v>
      </c>
      <c r="CO53" s="1438">
        <f t="shared" ca="1" si="26"/>
        <v>4.0139999999998812</v>
      </c>
      <c r="CP53" s="1438">
        <f t="shared" ca="1" si="27"/>
        <v>0.20299999999993745</v>
      </c>
      <c r="CQ53" s="1438">
        <f t="shared" ca="1" si="28"/>
        <v>0.20299999999993745</v>
      </c>
      <c r="CR53" s="1438">
        <f t="shared" ca="1" si="29"/>
        <v>0.99699999999993749</v>
      </c>
      <c r="CS53" s="1439">
        <f ca="1">IF($B53&gt;=$J$5,0,CONTADORES!$BI47)</f>
        <v>8864.5253573719001</v>
      </c>
      <c r="CT53" s="1334">
        <f>CONTADORES!E47</f>
        <v>0</v>
      </c>
      <c r="CU53" s="1334">
        <f>CONTADORES!CG47</f>
        <v>0</v>
      </c>
    </row>
    <row r="54" spans="2:99">
      <c r="B54" s="214">
        <v>44970</v>
      </c>
      <c r="C54" s="198">
        <f t="shared" ca="1" si="0"/>
        <v>282</v>
      </c>
      <c r="D54" s="196">
        <f ca="1">'CALCULO DE GAS'!D50</f>
        <v>4.7759365249376557</v>
      </c>
      <c r="E54" s="196">
        <f ca="1">IF(B54&gt;=$J$5,0,(CONTADORES!$AD48-CONTADORES!$AD47)-$H54)</f>
        <v>24</v>
      </c>
      <c r="F54" s="198">
        <f t="shared" ca="1" si="31"/>
        <v>0</v>
      </c>
      <c r="G54" s="196">
        <f ca="1">IF(B54&gt;=$J$5,0,CONTADORES!$AF48-CONTADORES!$AF47)</f>
        <v>0</v>
      </c>
      <c r="H54" s="1396">
        <f ca="1">IF(G54&gt;0,CONTADORES!$AE48-CONTADORES!$AE47,0)</f>
        <v>0</v>
      </c>
      <c r="I54" s="199">
        <f ca="1">IF(B54&gt;=$J$5,0,CONTADORES!$AB48-CONTADORES!$AB47)</f>
        <v>282</v>
      </c>
      <c r="J54" s="198">
        <f t="shared" ca="1" si="2"/>
        <v>164</v>
      </c>
      <c r="K54" s="196">
        <f ca="1">'CALCULO DE GAS'!E50</f>
        <v>3.813692135910224</v>
      </c>
      <c r="L54" s="1396">
        <f ca="1">IF(B54&gt;=$J$5,0,(CONTADORES!$Y48-CONTADORES!$Y47)-$O54)</f>
        <v>24</v>
      </c>
      <c r="M54" s="1396">
        <f t="shared" ref="M54:M85" ca="1" si="33">IF(O54=0,0,"ERROR")</f>
        <v>0</v>
      </c>
      <c r="N54" s="1396">
        <f ca="1">IF(B54&gt;=$J$5,0,CONTADORES!$AA48-CONTADORES!AA47)</f>
        <v>0</v>
      </c>
      <c r="O54" s="1396">
        <f ca="1">IF(N54&gt;0,CONTADORES!$Z48-CONTADORES!$Z47,0)</f>
        <v>0</v>
      </c>
      <c r="P54" s="202">
        <f ca="1">IF(B54&gt;=$J$5,0,CONTADORES!$W48-CONTADORES!$W47)</f>
        <v>164</v>
      </c>
      <c r="Q54" s="202">
        <f ca="1">IF(B54&gt;=$J$5,0,CONTADORES!$B48-CONTADORES!$B47)</f>
        <v>0</v>
      </c>
      <c r="R54" s="196">
        <f t="shared" ca="1" si="4"/>
        <v>0</v>
      </c>
      <c r="S54" s="11">
        <f ca="1">IF(B54&gt;=$J$5,0,CONTADORES!$D48-CONTADORES!$D47)</f>
        <v>0</v>
      </c>
      <c r="T54" s="198">
        <f ca="1">IF(B54&gt;=$J$5,0,CONTADORES!$BB48-CONTADORES!$BB47)</f>
        <v>0</v>
      </c>
      <c r="U54" s="196">
        <f t="shared" ca="1" si="32"/>
        <v>0</v>
      </c>
      <c r="V54" s="199">
        <f ca="1">IF(B54&gt;=$J$5,0,CONTADORES!$BD48-CONTADORES!$BD47)</f>
        <v>0</v>
      </c>
      <c r="W54" s="1397">
        <f t="shared" ca="1" si="6"/>
        <v>446</v>
      </c>
      <c r="X54" s="1397">
        <f t="shared" ca="1" si="7"/>
        <v>0</v>
      </c>
      <c r="Y54" s="1398">
        <f t="shared" ca="1" si="8"/>
        <v>446</v>
      </c>
      <c r="Z54" s="1398">
        <f t="shared" ca="1" si="9"/>
        <v>8.5896286608478789</v>
      </c>
      <c r="AA54" s="1398">
        <f t="shared" ca="1" si="10"/>
        <v>0</v>
      </c>
      <c r="AB54" s="1398">
        <f t="shared" ca="1" si="11"/>
        <v>48</v>
      </c>
      <c r="AC54" s="1397">
        <f t="shared" ca="1" si="12"/>
        <v>0</v>
      </c>
      <c r="AD54" s="1397">
        <f ca="1">IF(B54=$J$5,0,CONTADORES!H48-CONTADORES!H47)</f>
        <v>162</v>
      </c>
      <c r="AE54" s="1397">
        <f ca="1">IF(B54=$J$5,0,CONTADORES!J48-CONTADORES!J47)</f>
        <v>24</v>
      </c>
      <c r="AF54" s="1397">
        <f ca="1">IF(B54=$J$5,0,CONTADORES!AU48-CONTADORES!AU47)</f>
        <v>146</v>
      </c>
      <c r="AG54" s="1397">
        <f ca="1">IF(B54=$J$5,0,CONTADORES!AW48-CONTADORES!AW47)</f>
        <v>24</v>
      </c>
      <c r="AH54" s="1397">
        <f ca="1">IF(B54=$J$5,0,(CONTADORES!AM48-CONTADORES!AM47)+(CONTADORES!M48-CONTADORES!M47))</f>
        <v>9</v>
      </c>
      <c r="AI54" s="1397">
        <f ca="1">IF(B54=$J$5,0,(CONTADORES!AK48-CONTADORES!AK47)+(CONTADORES!O48-CONTADORES!O47))</f>
        <v>42.69999999999709</v>
      </c>
      <c r="AJ54" s="1397">
        <f ca="1">IF(B54=$J$5,0,(CONTADORES!AI48-CONTADORES!AI47))</f>
        <v>8.7999999999883585</v>
      </c>
      <c r="AK54" s="1397">
        <f ca="1">IF(B54=$J$5,0,(CONTADORES!Q48-CONTADORES!Q47))</f>
        <v>15.900000000023283</v>
      </c>
      <c r="AL54" s="1397">
        <f t="shared" ca="1" si="13"/>
        <v>34.399999999990541</v>
      </c>
      <c r="AM54" s="1397">
        <f ca="1">IF(B54&gt;=$J$5,0,(((CONTADORES!F48-CONTADORES!F47)+(CONTADORES!AQ48-CONTADORES!AQ47))))-BS54-AF54-AN54-BV54-BY54-CD54-CB54</f>
        <v>10.268000000000722</v>
      </c>
      <c r="AN54" s="1397">
        <f ca="1">IF(B54=$J$5,0,(CONTADORES!AX48-CONTADORES!AX47)+(CONTADORES!AZ48-CONTADORES!AZ47)+(CONTADORES!BE48-CONTADORES!BE47))-CB54</f>
        <v>2.7039999999994544</v>
      </c>
      <c r="AO54" s="1437">
        <f ca="1">IF(B54&gt;=$J$5,0,(CONTADORES!AC48-CONTADORES!AC47))</f>
        <v>144</v>
      </c>
      <c r="AP54" s="1437">
        <f ca="1">IF(B54&gt;=$J$5,0,(CONTADORES!X48-CONTADORES!X47))</f>
        <v>88</v>
      </c>
      <c r="AQ54" s="1433">
        <f ca="1">IF(B54&gt;=$J$5,0,(CONTADORES!C48-CONTADORES!C47))</f>
        <v>0</v>
      </c>
      <c r="AR54" s="1399">
        <f ca="1">IF(B54&gt;=$J$5,0,(CONTADORES!BC48-CONTADORES!BC47))</f>
        <v>0</v>
      </c>
      <c r="AS54" s="1397">
        <f ca="1">IF(B54=$J$5,0,CONTADORES!S48-CONTADORES!S47)</f>
        <v>17.600000000005821</v>
      </c>
      <c r="AT54" s="1397">
        <f ca="1">IF(B54=$J$5,0,(CONTADORES!U48-CONTADORES!U47)+(CONTADORES!AG48-CONTADORES!AG47))</f>
        <v>2.1999999999970896</v>
      </c>
      <c r="AU54" s="1397">
        <f>CONTADORES!I48-CONTADORES!I47</f>
        <v>82</v>
      </c>
      <c r="AV54" s="1397">
        <f>CONTADORES!AV48-CONTADORES!AV47</f>
        <v>64</v>
      </c>
      <c r="AW54" s="1397">
        <f ca="1">IF(B54&gt;=$J$5,0,(CONTADORES!N48-CONTADORES!N47)+(CONTADORES!AN48-CONTADORES!AN47))</f>
        <v>3.2999999999992724</v>
      </c>
      <c r="AX54" s="1397">
        <f ca="1">IF(B54&gt;=$J$5,0,(CONTADORES!P48-CONTADORES!P47)+(CONTADORES!AL48-CONTADORES!AL47))</f>
        <v>33.599999999998545</v>
      </c>
      <c r="AY54" s="1397">
        <f ca="1">IF(B54&gt;=$J$5,0,(CONTADORES!AJ48-CONTADORES!AJ47))</f>
        <v>6.9000000000014552</v>
      </c>
      <c r="AZ54" s="1397">
        <f ca="1">IF(B54&gt;=$J$5,0,(CONTADORES!R48-CONTADORES!R47))</f>
        <v>13.099999999991269</v>
      </c>
      <c r="BA54" s="1397">
        <f t="shared" ca="1" si="14"/>
        <v>14.11400000000873</v>
      </c>
      <c r="BB54" s="1397">
        <f ca="1">IF(B54&gt;=$J$5,0,(((CONTADORES!G48-CONTADORES!G47)+(CONTADORES!AR48-CONTADORES!AR47))))-AV54-BC54-BT54-BW54-BZ54-CE54</f>
        <v>7.5700000000011372</v>
      </c>
      <c r="BC54" s="1744">
        <f ca="1">IF(B54&gt;=$J$5,0,(CONTADORES!AY48-CONTADORES!AY47)+(CONTADORES!BA48-CONTADORES!BA47)+(CONTADORES!BF48-CONTADORES!BF47))-CC54</f>
        <v>0.51399999999995449</v>
      </c>
      <c r="BD54" s="1397">
        <f t="shared" ca="1" si="15"/>
        <v>232</v>
      </c>
      <c r="BE54" s="1398">
        <f ca="1">IF($B54&gt;=$J$5,0,CONTADORES!$BG48)</f>
        <v>6372.1</v>
      </c>
      <c r="BF54" s="1397">
        <f ca="1">IF($B54&gt;=$J$5,0,CONTADORES!$BH48)</f>
        <v>31208.110526315799</v>
      </c>
      <c r="BG54" s="1397">
        <f ca="1">IF($B54&gt;=$J$5,0,CONTADORES!$BJ48)</f>
        <v>6003.09</v>
      </c>
      <c r="BH54" s="1409">
        <f ca="1">IF(B54&gt;=$J$5,0,((CONTADORES!BK48-CONTADORES!BK47)/1000))</f>
        <v>1.409</v>
      </c>
      <c r="BI54" s="1409">
        <f ca="1">IF(C54&gt;=$J$5,0,((CONTADORES!BL48-CONTADORES!BL47)/1000))</f>
        <v>1.417</v>
      </c>
      <c r="BJ54" s="1399">
        <f ca="1">IF(C54&gt;=$J$5,0,((CONTADORES!BM48-CONTADORES!BM47)/1000))</f>
        <v>0</v>
      </c>
      <c r="BK54" s="1399">
        <f ca="1">IF(D54&gt;=$J$5,0,((CONTADORES!BN48-CONTADORES!BN47)/1000))</f>
        <v>0</v>
      </c>
      <c r="BL54" s="1399">
        <f t="shared" ca="1" si="16"/>
        <v>1.409</v>
      </c>
      <c r="BM54" s="1399">
        <f t="shared" ca="1" si="17"/>
        <v>1.417</v>
      </c>
      <c r="BN54" s="1398">
        <f ca="1">IF(W54&gt;=$J$5,0,CONTADORES!$BO48)</f>
        <v>136</v>
      </c>
      <c r="BO54" s="1397">
        <f ca="1">IF(W54&gt;=$J$5,0,CONTADORES!$BP48)</f>
        <v>45.052</v>
      </c>
      <c r="BP54" s="1397">
        <f ca="1">IF(W54&gt;=$J$5,0,CONTADORES!$BQ48)</f>
        <v>656</v>
      </c>
      <c r="BQ54" s="1397">
        <f ca="1">IF(B54&gt;=$J$5,0,(CONTADORES!AS48-CONTADORES!AS47))</f>
        <v>5</v>
      </c>
      <c r="BR54" s="1397">
        <f ca="1">IF(B54&gt;=$J$5,0,(CONTADORES!AT48-CONTADORES!AT47))</f>
        <v>0</v>
      </c>
      <c r="BS54" s="1409">
        <f ca="1">IF(B54&gt;=$J$5,0,CONTADORES!BR48-CONTADORES!BR47)/1000</f>
        <v>1.3939999999999999</v>
      </c>
      <c r="BT54" s="1438">
        <f ca="1">IF(B54&gt;=$J$5,0,CONTADORES!BS48-CONTADORES!BS47)</f>
        <v>1</v>
      </c>
      <c r="BU54" s="1438">
        <f ca="1">IF(B54&gt;=$J$5,0,CONTADORES!BT48-CONTADORES!BT47)</f>
        <v>18</v>
      </c>
      <c r="BV54" s="1438">
        <f ca="1">IF(B54&gt;=$J$5,0,CONTADORES!BU48-CONTADORES!BU47)/1000</f>
        <v>5.0380000000000003</v>
      </c>
      <c r="BW54" s="1438">
        <f ca="1">IF(B54&gt;=$J$5,0,CONTADORES!BV48-CONTADORES!BV47)/1000</f>
        <v>0.71599999999999997</v>
      </c>
      <c r="BX54" s="1438">
        <f ca="1">IF(B54&gt;=$J$5,0,CONTADORES!BW48-CONTADORES!BW47)</f>
        <v>24</v>
      </c>
      <c r="BY54" s="1438">
        <f ca="1">IF(B54&gt;=$J$5,0,CONTADORES!BX48-CONTADORES!BX47)/1000</f>
        <v>0</v>
      </c>
      <c r="BZ54" s="1438">
        <f ca="1">IF(B54&gt;=$J$5,0,CONTADORES!BY48-CONTADORES!BY47)/1000</f>
        <v>0</v>
      </c>
      <c r="CA54" s="1438">
        <f ca="1">IF(B54&gt;=$J$5,0,CONTADORES!BZ48-CONTADORES!BZ47)</f>
        <v>0</v>
      </c>
      <c r="CB54" s="1409">
        <f ca="1">IF(B54&gt;=$J$5,0,(CONTADORES!CC48-CONTADORES!CC47)+(CONTADORES!CE48-CONTADORES!CE47))/1000</f>
        <v>1.3959999999999999</v>
      </c>
      <c r="CC54" s="1438">
        <f ca="1">IF(B54&gt;=$J$5,0,(CONTADORES!CD48-CONTADORES!CD47)+(CONTADORES!CF48-CONTADORES!CF47))/1000</f>
        <v>0.78600000000000003</v>
      </c>
      <c r="CD54" s="1409">
        <f ca="1">IF(B54&gt;=$J$5,0,CONTADORES!CA48-CONTADORES!CA47)</f>
        <v>6.4000000000005457</v>
      </c>
      <c r="CE54" s="1438">
        <f ca="1">IF(B54&gt;=$J$5,0,CONTADORES!CB48-CONTADORES!CB47)</f>
        <v>4.3999999999996362</v>
      </c>
      <c r="CF54" s="1438">
        <f t="shared" ca="1" si="18"/>
        <v>11.534000000000907</v>
      </c>
      <c r="CG54" s="1438">
        <f t="shared" ca="1" si="19"/>
        <v>8.1850000000002048</v>
      </c>
      <c r="CH54" s="1438">
        <f t="shared" ca="1" si="20"/>
        <v>5.1340000000003609</v>
      </c>
      <c r="CI54" s="1438">
        <f t="shared" ca="1" si="21"/>
        <v>1.0815999999997818</v>
      </c>
      <c r="CJ54" s="1438">
        <f t="shared" ca="1" si="22"/>
        <v>5.1340000000003609</v>
      </c>
      <c r="CK54" s="1438">
        <f t="shared" ca="1" si="23"/>
        <v>1.6223999999996725</v>
      </c>
      <c r="CL54" s="1438">
        <f t="shared" ca="1" si="24"/>
        <v>2.4775999999997818</v>
      </c>
      <c r="CM54" s="1438">
        <f t="shared" ca="1" si="25"/>
        <v>3.7850000000005686</v>
      </c>
      <c r="CN54" s="1438">
        <f ca="1">IF(B54&gt;=$J$5,0,CONTADORES!CB48-CONTADORES!CB47)</f>
        <v>4.3999999999996362</v>
      </c>
      <c r="CO54" s="1438">
        <f t="shared" ca="1" si="26"/>
        <v>3.7850000000005686</v>
      </c>
      <c r="CP54" s="1438">
        <f t="shared" ca="1" si="27"/>
        <v>0.25699999999997725</v>
      </c>
      <c r="CQ54" s="1438">
        <f t="shared" ca="1" si="28"/>
        <v>0.25699999999997725</v>
      </c>
      <c r="CR54" s="1438">
        <f t="shared" ca="1" si="29"/>
        <v>1.0429999999999773</v>
      </c>
      <c r="CS54" s="1439">
        <f ca="1">IF($B54&gt;=$J$5,0,CONTADORES!$BI48)</f>
        <v>9818.4976379616601</v>
      </c>
      <c r="CT54" s="1334">
        <f>CONTADORES!E48</f>
        <v>0</v>
      </c>
      <c r="CU54" s="1334">
        <f>CONTADORES!CG48</f>
        <v>0</v>
      </c>
    </row>
    <row r="55" spans="2:99">
      <c r="B55" s="214">
        <v>44971</v>
      </c>
      <c r="C55" s="198">
        <f t="shared" ca="1" si="0"/>
        <v>282</v>
      </c>
      <c r="D55" s="196">
        <f ca="1">'CALCULO DE GAS'!D51</f>
        <v>4.7759365249376557</v>
      </c>
      <c r="E55" s="196">
        <f ca="1">IF(B55&gt;=$J$5,0,(CONTADORES!$AD49-CONTADORES!$AD48)-$H55)</f>
        <v>24</v>
      </c>
      <c r="F55" s="198">
        <f t="shared" ca="1" si="31"/>
        <v>0</v>
      </c>
      <c r="G55" s="196">
        <f ca="1">IF(B55&gt;=$J$5,0,CONTADORES!$AF49-CONTADORES!$AF48)</f>
        <v>0</v>
      </c>
      <c r="H55" s="1396">
        <f ca="1">IF(G55&gt;0,CONTADORES!$AE49-CONTADORES!$AE48,0)</f>
        <v>0</v>
      </c>
      <c r="I55" s="199">
        <f ca="1">IF(B55&gt;=$J$5,0,CONTADORES!$AB49-CONTADORES!$AB48)</f>
        <v>282</v>
      </c>
      <c r="J55" s="198">
        <f t="shared" ca="1" si="2"/>
        <v>150.70000000000073</v>
      </c>
      <c r="K55" s="196">
        <f ca="1">'CALCULO DE GAS'!E51</f>
        <v>3.705235776807986</v>
      </c>
      <c r="L55" s="1396">
        <f ca="1">IF(B55&gt;=$J$5,0,(CONTADORES!$Y49-CONTADORES!$Y48)-$O55)</f>
        <v>24</v>
      </c>
      <c r="M55" s="1396">
        <f t="shared" ca="1" si="33"/>
        <v>0</v>
      </c>
      <c r="N55" s="1396">
        <f ca="1">IF(B55&gt;=$J$5,0,CONTADORES!$AA49-CONTADORES!AA48)</f>
        <v>0</v>
      </c>
      <c r="O55" s="1396">
        <f ca="1">IF(N55&gt;0,CONTADORES!$Z49-CONTADORES!$Z48,0)</f>
        <v>0</v>
      </c>
      <c r="P55" s="202">
        <f ca="1">IF(B55&gt;=$J$5,0,CONTADORES!$W49-CONTADORES!$W48)</f>
        <v>150.70000000000073</v>
      </c>
      <c r="Q55" s="202">
        <f ca="1">IF(B55&gt;=$J$5,0,CONTADORES!$B49-CONTADORES!$B48)</f>
        <v>0</v>
      </c>
      <c r="R55" s="196">
        <f t="shared" ca="1" si="4"/>
        <v>0</v>
      </c>
      <c r="S55" s="11">
        <f ca="1">IF(B55&gt;=$J$5,0,CONTADORES!$D49-CONTADORES!$D48)</f>
        <v>0</v>
      </c>
      <c r="T55" s="198">
        <f ca="1">IF(B55&gt;=$J$5,0,CONTADORES!$BB49-CONTADORES!$BB48)</f>
        <v>0</v>
      </c>
      <c r="U55" s="196">
        <f t="shared" ca="1" si="32"/>
        <v>0</v>
      </c>
      <c r="V55" s="199">
        <f ca="1">IF(B55&gt;=$J$5,0,CONTADORES!$BD49-CONTADORES!$BD48)</f>
        <v>0</v>
      </c>
      <c r="W55" s="1397">
        <f t="shared" ca="1" si="6"/>
        <v>432.70000000000073</v>
      </c>
      <c r="X55" s="1397">
        <f t="shared" ca="1" si="7"/>
        <v>0</v>
      </c>
      <c r="Y55" s="1398">
        <f t="shared" ca="1" si="8"/>
        <v>432.70000000000073</v>
      </c>
      <c r="Z55" s="1398">
        <f t="shared" ca="1" si="9"/>
        <v>8.4811723017456409</v>
      </c>
      <c r="AA55" s="1398">
        <f t="shared" ca="1" si="10"/>
        <v>0</v>
      </c>
      <c r="AB55" s="1398">
        <f t="shared" ca="1" si="11"/>
        <v>48</v>
      </c>
      <c r="AC55" s="1397">
        <f t="shared" ca="1" si="12"/>
        <v>0</v>
      </c>
      <c r="AD55" s="1397">
        <f ca="1">IF(B55=$J$5,0,CONTADORES!H49-CONTADORES!H48)</f>
        <v>162.09999999997672</v>
      </c>
      <c r="AE55" s="1397">
        <f ca="1">IF(B55=$J$5,0,CONTADORES!J49-CONTADORES!J48)</f>
        <v>24</v>
      </c>
      <c r="AF55" s="1397">
        <f ca="1">IF(B55=$J$5,0,CONTADORES!AU49-CONTADORES!AU48)</f>
        <v>138</v>
      </c>
      <c r="AG55" s="1397">
        <f ca="1">IF(B55=$J$5,0,CONTADORES!AW49-CONTADORES!AW48)</f>
        <v>24</v>
      </c>
      <c r="AH55" s="1397">
        <f ca="1">IF(B55=$J$5,0,(CONTADORES!AM49-CONTADORES!AM48)+(CONTADORES!M49-CONTADORES!M48))</f>
        <v>7.9000000000014552</v>
      </c>
      <c r="AI55" s="1397">
        <f ca="1">IF(B55=$J$5,0,(CONTADORES!AK49-CONTADORES!AK48)+(CONTADORES!O49-CONTADORES!O48))</f>
        <v>40.900000000008731</v>
      </c>
      <c r="AJ55" s="1397">
        <f ca="1">IF(B55=$J$5,0,(CONTADORES!AI49-CONTADORES!AI48))</f>
        <v>7.3000000000029104</v>
      </c>
      <c r="AK55" s="1397">
        <f ca="1">IF(B55=$J$5,0,(CONTADORES!Q49-CONTADORES!Q48))</f>
        <v>15.299999999988358</v>
      </c>
      <c r="AL55" s="1397">
        <f t="shared" ca="1" si="13"/>
        <v>34.300000000021043</v>
      </c>
      <c r="AM55" s="1397">
        <f ca="1">IF(B55&gt;=$J$5,0,(((CONTADORES!F49-CONTADORES!F48)+(CONTADORES!AQ49-CONTADORES!AQ48))))-BS55-AF55-AN55-BV55-BY55-CD55-CB55</f>
        <v>10.32900000000218</v>
      </c>
      <c r="AN55" s="1397">
        <f ca="1">IF(B55=$J$5,0,(CONTADORES!AX49-CONTADORES!AX48)+(CONTADORES!AZ49-CONTADORES!AZ48)+(CONTADORES!BE49-CONTADORES!BE48))-CB55</f>
        <v>2.2480000000000002</v>
      </c>
      <c r="AO55" s="1437">
        <f ca="1">IF(B55&gt;=$J$5,0,(CONTADORES!AC49-CONTADORES!AC48))</f>
        <v>144</v>
      </c>
      <c r="AP55" s="1437">
        <f ca="1">IF(B55&gt;=$J$5,0,(CONTADORES!X49-CONTADORES!X48))</f>
        <v>79.5</v>
      </c>
      <c r="AQ55" s="1433">
        <f ca="1">IF(B55&gt;=$J$5,0,(CONTADORES!C49-CONTADORES!C48))</f>
        <v>0</v>
      </c>
      <c r="AR55" s="1399">
        <f ca="1">IF(B55&gt;=$J$5,0,(CONTADORES!BC49-CONTADORES!BC48))</f>
        <v>0</v>
      </c>
      <c r="AS55" s="1397">
        <f ca="1">IF(B55=$J$5,0,CONTADORES!S49-CONTADORES!S48)</f>
        <v>17</v>
      </c>
      <c r="AT55" s="1397">
        <f ca="1">IF(B55=$J$5,0,(CONTADORES!U49-CONTADORES!U48)+(CONTADORES!AG49-CONTADORES!AG48))</f>
        <v>2.0999999999985448</v>
      </c>
      <c r="AU55" s="1397">
        <f>CONTADORES!I49-CONTADORES!I48</f>
        <v>84.200000000011642</v>
      </c>
      <c r="AV55" s="1397">
        <f>CONTADORES!AV49-CONTADORES!AV48</f>
        <v>60</v>
      </c>
      <c r="AW55" s="1397">
        <f ca="1">IF(B55&gt;=$J$5,0,(CONTADORES!N49-CONTADORES!N48)+(CONTADORES!AN49-CONTADORES!AN48))</f>
        <v>3</v>
      </c>
      <c r="AX55" s="1397">
        <f ca="1">IF(B55&gt;=$J$5,0,(CONTADORES!P49-CONTADORES!P48)+(CONTADORES!AL49-CONTADORES!AL48))</f>
        <v>32.900000000001455</v>
      </c>
      <c r="AY55" s="1397">
        <f ca="1">IF(B55&gt;=$J$5,0,(CONTADORES!AJ49-CONTADORES!AJ48))</f>
        <v>5.8000000000029104</v>
      </c>
      <c r="AZ55" s="1397">
        <f ca="1">IF(B55&gt;=$J$5,0,(CONTADORES!R49-CONTADORES!R48))</f>
        <v>12.600000000005821</v>
      </c>
      <c r="BA55" s="1397">
        <f t="shared" ca="1" si="14"/>
        <v>11.130999999978712</v>
      </c>
      <c r="BB55" s="1397">
        <f ca="1">IF(B55&gt;=$J$5,0,(((CONTADORES!G49-CONTADORES!G48)+(CONTADORES!AR49-CONTADORES!AR48))))-AV55-BC55-BT55-BW55-BZ55-CE55</f>
        <v>8.1469999999989096</v>
      </c>
      <c r="BC55" s="1744">
        <f ca="1">IF(B55&gt;=$J$5,0,(CONTADORES!AY49-CONTADORES!AY48)+(CONTADORES!BA49-CONTADORES!BA48)+(CONTADORES!BF49-CONTADORES!BF48))-CC55</f>
        <v>0.23099999999999998</v>
      </c>
      <c r="BD55" s="1397">
        <f t="shared" ca="1" si="15"/>
        <v>223.5</v>
      </c>
      <c r="BE55" s="1398">
        <f ca="1">IF($B55&gt;=$J$5,0,CONTADORES!$BG49)</f>
        <v>6892.84</v>
      </c>
      <c r="BF55" s="1397">
        <f ca="1">IF($B55&gt;=$J$5,0,CONTADORES!$BH49)</f>
        <v>27798.982456140398</v>
      </c>
      <c r="BG55" s="1397">
        <f ca="1">IF($B55&gt;=$J$5,0,CONTADORES!$BJ49)</f>
        <v>6072.47</v>
      </c>
      <c r="BH55" s="1409">
        <f ca="1">IF(B55&gt;=$J$5,0,((CONTADORES!BK49-CONTADORES!BK48)/1000))</f>
        <v>1.401</v>
      </c>
      <c r="BI55" s="1409">
        <f ca="1">IF(C55&gt;=$J$5,0,((CONTADORES!BL49-CONTADORES!BL48)/1000))</f>
        <v>1.405</v>
      </c>
      <c r="BJ55" s="1399">
        <f ca="1">IF(C55&gt;=$J$5,0,((CONTADORES!BM49-CONTADORES!BM48)/1000))</f>
        <v>0</v>
      </c>
      <c r="BK55" s="1399">
        <f ca="1">IF(D55&gt;=$J$5,0,((CONTADORES!BN49-CONTADORES!BN48)/1000))</f>
        <v>0</v>
      </c>
      <c r="BL55" s="1399">
        <f t="shared" ca="1" si="16"/>
        <v>1.401</v>
      </c>
      <c r="BM55" s="1399">
        <f t="shared" ca="1" si="17"/>
        <v>1.405</v>
      </c>
      <c r="BN55" s="1398">
        <f ca="1">IF(W55&gt;=$J$5,0,CONTADORES!$BO49)</f>
        <v>135</v>
      </c>
      <c r="BO55" s="1397">
        <f ca="1">IF(W55&gt;=$J$5,0,CONTADORES!$BP49)</f>
        <v>44.43</v>
      </c>
      <c r="BP55" s="1397">
        <f ca="1">IF(W55&gt;=$J$5,0,CONTADORES!$BQ49)</f>
        <v>658</v>
      </c>
      <c r="BQ55" s="1397">
        <f ca="1">IF(B55&gt;=$J$5,0,(CONTADORES!AS49-CONTADORES!AS48))</f>
        <v>6.0999999999985448</v>
      </c>
      <c r="BR55" s="1397">
        <f ca="1">IF(B55&gt;=$J$5,0,(CONTADORES!AT49-CONTADORES!AT48))</f>
        <v>0</v>
      </c>
      <c r="BS55" s="1409">
        <f ca="1">IF(B55&gt;=$J$5,0,CONTADORES!BR49-CONTADORES!BR48)/1000</f>
        <v>0</v>
      </c>
      <c r="BT55" s="1438">
        <f ca="1">IF(B55&gt;=$J$5,0,CONTADORES!BS49-CONTADORES!BS48)</f>
        <v>0</v>
      </c>
      <c r="BU55" s="1438">
        <f ca="1">IF(B55&gt;=$J$5,0,CONTADORES!BT49-CONTADORES!BT48)</f>
        <v>0</v>
      </c>
      <c r="BV55" s="1438">
        <f ca="1">IF(B55&gt;=$J$5,0,CONTADORES!BU49-CONTADORES!BU48)/1000</f>
        <v>5.5190000000000001</v>
      </c>
      <c r="BW55" s="1438">
        <f ca="1">IF(B55&gt;=$J$5,0,CONTADORES!BV49-CONTADORES!BV48)/1000</f>
        <v>0.29299999999999998</v>
      </c>
      <c r="BX55" s="1438">
        <f ca="1">IF(B55&gt;=$J$5,0,CONTADORES!BW49-CONTADORES!BW48)</f>
        <v>23.970000000001164</v>
      </c>
      <c r="BY55" s="1438">
        <f ca="1">IF(B55&gt;=$J$5,0,CONTADORES!BX49-CONTADORES!BX48)/1000</f>
        <v>1.252</v>
      </c>
      <c r="BZ55" s="1438">
        <f ca="1">IF(B55&gt;=$J$5,0,CONTADORES!BY49-CONTADORES!BY48)/1000</f>
        <v>2.9000000000000001E-2</v>
      </c>
      <c r="CA55" s="1438">
        <f ca="1">IF(B55&gt;=$J$5,0,CONTADORES!BZ49-CONTADORES!BZ48)</f>
        <v>3.5799999999999272</v>
      </c>
      <c r="CB55" s="1409">
        <f ca="1">IF(B55&gt;=$J$5,0,(CONTADORES!CC49-CONTADORES!CC48)+(CONTADORES!CE49-CONTADORES!CE48))/1000</f>
        <v>1.252</v>
      </c>
      <c r="CC55" s="1438">
        <f ca="1">IF(B55&gt;=$J$5,0,(CONTADORES!CD49-CONTADORES!CD48)+(CONTADORES!CF49-CONTADORES!CF48))/1000</f>
        <v>0.76900000000000002</v>
      </c>
      <c r="CD55" s="1409">
        <f ca="1">IF(B55&gt;=$J$5,0,CONTADORES!CA49-CONTADORES!CA48)</f>
        <v>6.2999999999992724</v>
      </c>
      <c r="CE55" s="1438">
        <f ca="1">IF(B55&gt;=$J$5,0,CONTADORES!CB49-CONTADORES!CB48)</f>
        <v>4.4000000000005457</v>
      </c>
      <c r="CF55" s="1438">
        <f t="shared" ca="1" si="18"/>
        <v>11.464500000000363</v>
      </c>
      <c r="CG55" s="1438">
        <f t="shared" ca="1" si="19"/>
        <v>8.4735000000000014</v>
      </c>
      <c r="CH55" s="1438">
        <f t="shared" ca="1" si="20"/>
        <v>5.1645000000010901</v>
      </c>
      <c r="CI55" s="1438">
        <f t="shared" ca="1" si="21"/>
        <v>0.89920000000000011</v>
      </c>
      <c r="CJ55" s="1438">
        <f t="shared" ca="1" si="22"/>
        <v>5.1645000000010901</v>
      </c>
      <c r="CK55" s="1438">
        <f t="shared" ca="1" si="23"/>
        <v>1.3488000000000002</v>
      </c>
      <c r="CL55" s="1438">
        <f t="shared" ca="1" si="24"/>
        <v>2.1512000000000002</v>
      </c>
      <c r="CM55" s="1438">
        <f t="shared" ca="1" si="25"/>
        <v>4.0734999999994548</v>
      </c>
      <c r="CN55" s="1438">
        <f ca="1">IF(B55&gt;=$J$5,0,CONTADORES!CB49-CONTADORES!CB48)</f>
        <v>4.4000000000005457</v>
      </c>
      <c r="CO55" s="1438">
        <f t="shared" ca="1" si="26"/>
        <v>4.0734999999994548</v>
      </c>
      <c r="CP55" s="1438">
        <f t="shared" ca="1" si="27"/>
        <v>0.11549999999999999</v>
      </c>
      <c r="CQ55" s="1438">
        <f t="shared" ca="1" si="28"/>
        <v>0.11549999999999999</v>
      </c>
      <c r="CR55" s="1438">
        <f t="shared" ca="1" si="29"/>
        <v>0.88450000000000006</v>
      </c>
      <c r="CS55" s="1439">
        <f ca="1">IF($B55&gt;=$J$5,0,CONTADORES!$BI49)</f>
        <v>8947.9282226988398</v>
      </c>
      <c r="CT55" s="1334">
        <f>CONTADORES!E49</f>
        <v>0</v>
      </c>
      <c r="CU55" s="1334">
        <f>CONTADORES!CG49</f>
        <v>0</v>
      </c>
    </row>
    <row r="56" spans="2:99">
      <c r="B56" s="214">
        <v>44972</v>
      </c>
      <c r="C56" s="198">
        <f t="shared" ca="1" si="0"/>
        <v>300</v>
      </c>
      <c r="D56" s="196">
        <f ca="1">'CALCULO DE GAS'!D52</f>
        <v>4.9227195673316713</v>
      </c>
      <c r="E56" s="196">
        <f ca="1">IF(B56&gt;=$J$5,0,(CONTADORES!$AD50-CONTADORES!$AD49)-$H56)</f>
        <v>24</v>
      </c>
      <c r="F56" s="198">
        <f t="shared" ca="1" si="31"/>
        <v>0</v>
      </c>
      <c r="G56" s="196">
        <f ca="1">IF(B56&gt;=$J$5,0,CONTADORES!$AF50-CONTADORES!$AF49)</f>
        <v>0</v>
      </c>
      <c r="H56" s="1396">
        <f ca="1">IF(G56&gt;0,CONTADORES!$AE50-CONTADORES!$AE49,0)</f>
        <v>0</v>
      </c>
      <c r="I56" s="199">
        <f ca="1">IF(B56&gt;=$J$5,0,CONTADORES!$AB50-CONTADORES!$AB49)</f>
        <v>300</v>
      </c>
      <c r="J56" s="198">
        <f t="shared" ca="1" si="2"/>
        <v>150.70000000000073</v>
      </c>
      <c r="K56" s="196">
        <f ca="1">'CALCULO DE GAS'!E52</f>
        <v>3.705235776807986</v>
      </c>
      <c r="L56" s="1396">
        <f ca="1">IF(B56&gt;=$J$5,0,(CONTADORES!$Y50-CONTADORES!$Y49)-$O56)</f>
        <v>24</v>
      </c>
      <c r="M56" s="1396">
        <f t="shared" ca="1" si="33"/>
        <v>0</v>
      </c>
      <c r="N56" s="1396">
        <f ca="1">IF(B56&gt;=$J$5,0,CONTADORES!$AA50-CONTADORES!AA49)</f>
        <v>0</v>
      </c>
      <c r="O56" s="1396">
        <f ca="1">IF(N56&gt;0,CONTADORES!$Z50-CONTADORES!$Z49,0)</f>
        <v>0</v>
      </c>
      <c r="P56" s="202">
        <f ca="1">IF(B56&gt;=$J$5,0,CONTADORES!$W50-CONTADORES!$W49)</f>
        <v>150.70000000000073</v>
      </c>
      <c r="Q56" s="202">
        <f ca="1">IF(B56&gt;=$J$5,0,CONTADORES!$B50-CONTADORES!$B49)</f>
        <v>0</v>
      </c>
      <c r="R56" s="196">
        <f t="shared" ca="1" si="4"/>
        <v>0</v>
      </c>
      <c r="S56" s="11">
        <f ca="1">IF(B56&gt;=$J$5,0,CONTADORES!$D50-CONTADORES!$D49)</f>
        <v>0</v>
      </c>
      <c r="T56" s="198">
        <f ca="1">IF(B56&gt;=$J$5,0,CONTADORES!$BB50-CONTADORES!$BB49)</f>
        <v>0</v>
      </c>
      <c r="U56" s="196">
        <f t="shared" ca="1" si="32"/>
        <v>0</v>
      </c>
      <c r="V56" s="199">
        <f ca="1">IF(B56&gt;=$J$5,0,CONTADORES!$BD50-CONTADORES!$BD49)</f>
        <v>0</v>
      </c>
      <c r="W56" s="1397">
        <f t="shared" ca="1" si="6"/>
        <v>450.70000000000073</v>
      </c>
      <c r="X56" s="1397">
        <f t="shared" ca="1" si="7"/>
        <v>0</v>
      </c>
      <c r="Y56" s="1398">
        <f t="shared" ca="1" si="8"/>
        <v>450.70000000000073</v>
      </c>
      <c r="Z56" s="1398">
        <f t="shared" ca="1" si="9"/>
        <v>8.6279553441396573</v>
      </c>
      <c r="AA56" s="1398">
        <f t="shared" ca="1" si="10"/>
        <v>0</v>
      </c>
      <c r="AB56" s="1398">
        <f t="shared" ca="1" si="11"/>
        <v>48</v>
      </c>
      <c r="AC56" s="1397">
        <f t="shared" ca="1" si="12"/>
        <v>0</v>
      </c>
      <c r="AD56" s="1397">
        <f ca="1">IF(B56=$J$5,0,CONTADORES!H50-CONTADORES!H49)</f>
        <v>163.90000000002328</v>
      </c>
      <c r="AE56" s="1397">
        <f ca="1">IF(B56=$J$5,0,CONTADORES!J50-CONTADORES!J49)</f>
        <v>24</v>
      </c>
      <c r="AF56" s="1397">
        <f ca="1">IF(B56=$J$5,0,CONTADORES!AU50-CONTADORES!AU49)</f>
        <v>146</v>
      </c>
      <c r="AG56" s="1397">
        <f ca="1">IF(B56=$J$5,0,CONTADORES!AW50-CONTADORES!AW49)</f>
        <v>24</v>
      </c>
      <c r="AH56" s="1397">
        <f ca="1">IF(B56=$J$5,0,(CONTADORES!AM50-CONTADORES!AM49)+(CONTADORES!M50-CONTADORES!M49))</f>
        <v>8.5999999999985448</v>
      </c>
      <c r="AI56" s="1397">
        <f ca="1">IF(B56=$J$5,0,(CONTADORES!AK50-CONTADORES!AK49)+(CONTADORES!O50-CONTADORES!O49))</f>
        <v>47.099999999998545</v>
      </c>
      <c r="AJ56" s="1397">
        <f ca="1">IF(B56=$J$5,0,(CONTADORES!AI50-CONTADORES!AI49))</f>
        <v>7.1999999999970896</v>
      </c>
      <c r="AK56" s="1397">
        <f ca="1">IF(B56=$J$5,0,(CONTADORES!Q50-CONTADORES!Q49))</f>
        <v>16.600000000005821</v>
      </c>
      <c r="AL56" s="1397">
        <f t="shared" ca="1" si="13"/>
        <v>32.299999999966531</v>
      </c>
      <c r="AM56" s="1397">
        <f ca="1">IF(B56&gt;=$J$5,0,(((CONTADORES!F50-CONTADORES!F49)+(CONTADORES!AQ50-CONTADORES!AQ49))))-BS56-AF56-AN56-BV56-BY56-CD56-CB56</f>
        <v>9.8590000000098215</v>
      </c>
      <c r="AN56" s="1397">
        <f ca="1">IF(B56=$J$5,0,(CONTADORES!AX50-CONTADORES!AX49)+(CONTADORES!AZ50-CONTADORES!AZ49)+(CONTADORES!BE50-CONTADORES!BE49))-CB56</f>
        <v>2.7900000000005454</v>
      </c>
      <c r="AO56" s="1437">
        <f ca="1">IF(B56&gt;=$J$5,0,(CONTADORES!AC50-CONTADORES!AC49))</f>
        <v>150</v>
      </c>
      <c r="AP56" s="1437">
        <f ca="1">IF(B56&gt;=$J$5,0,(CONTADORES!X50-CONTADORES!X49))</f>
        <v>84.600000000000364</v>
      </c>
      <c r="AQ56" s="1433">
        <f ca="1">IF(B56&gt;=$J$5,0,(CONTADORES!C50-CONTADORES!C49))</f>
        <v>0</v>
      </c>
      <c r="AR56" s="1399">
        <f ca="1">IF(B56&gt;=$J$5,0,(CONTADORES!BC50-CONTADORES!BC49))</f>
        <v>0</v>
      </c>
      <c r="AS56" s="1397">
        <f ca="1">IF(B56=$J$5,0,CONTADORES!S50-CONTADORES!S49)</f>
        <v>18.899999999994179</v>
      </c>
      <c r="AT56" s="1397">
        <f ca="1">IF(B56=$J$5,0,(CONTADORES!U50-CONTADORES!U49)+(CONTADORES!AG50-CONTADORES!AG49))</f>
        <v>2.2000000000043656</v>
      </c>
      <c r="AU56" s="1397">
        <f>CONTADORES!I50-CONTADORES!I49</f>
        <v>83.799999999988358</v>
      </c>
      <c r="AV56" s="1397">
        <f>CONTADORES!AV50-CONTADORES!AV49</f>
        <v>63</v>
      </c>
      <c r="AW56" s="1397">
        <f ca="1">IF(B56&gt;=$J$5,0,(CONTADORES!N50-CONTADORES!N49)+(CONTADORES!AN50-CONTADORES!AN49))</f>
        <v>3.5</v>
      </c>
      <c r="AX56" s="1397">
        <f ca="1">IF(B56&gt;=$J$5,0,(CONTADORES!P50-CONTADORES!P49)+(CONTADORES!AL50-CONTADORES!AL49))</f>
        <v>36.899999999994179</v>
      </c>
      <c r="AY56" s="1397">
        <f ca="1">IF(B56&gt;=$J$5,0,(CONTADORES!AJ50-CONTADORES!AJ49))</f>
        <v>5.5</v>
      </c>
      <c r="AZ56" s="1397">
        <f ca="1">IF(B56&gt;=$J$5,0,(CONTADORES!R50-CONTADORES!R49))</f>
        <v>14.19999999999709</v>
      </c>
      <c r="BA56" s="1397">
        <f t="shared" ca="1" si="14"/>
        <v>11.748000000020369</v>
      </c>
      <c r="BB56" s="1397">
        <f ca="1">IF(B56&gt;=$J$5,0,(((CONTADORES!G50-CONTADORES!G49)+(CONTADORES!AR50-CONTADORES!AR49))))-AV56-BC56-BT56-BW56-BZ56-CE56</f>
        <v>9.689000000000636</v>
      </c>
      <c r="BC56" s="1744">
        <f ca="1">IF(B56&gt;=$J$5,0,(CONTADORES!AY50-CONTADORES!AY49)+(CONTADORES!BA50-CONTADORES!BA49)+(CONTADORES!BF50-CONTADORES!BF49))-CC56</f>
        <v>0.54800000000009097</v>
      </c>
      <c r="BD56" s="1397">
        <f t="shared" ca="1" si="15"/>
        <v>234.60000000000036</v>
      </c>
      <c r="BE56" s="1398">
        <f ca="1">IF($B56&gt;=$J$5,0,CONTADORES!$BG50)</f>
        <v>7153.098</v>
      </c>
      <c r="BF56" s="1397">
        <f ca="1">IF($B56&gt;=$J$5,0,CONTADORES!$BH50)</f>
        <v>32491.8083040936</v>
      </c>
      <c r="BG56" s="1397">
        <f ca="1">IF($B56&gt;=$J$5,0,CONTADORES!$BJ50)</f>
        <v>5523.58</v>
      </c>
      <c r="BH56" s="1409">
        <f ca="1">IF(B56&gt;=$J$5,0,((CONTADORES!BK50-CONTADORES!BK49)/1000))</f>
        <v>1.514</v>
      </c>
      <c r="BI56" s="1409">
        <f ca="1">IF(C56&gt;=$J$5,0,((CONTADORES!BL50-CONTADORES!BL49)/1000))</f>
        <v>1.514</v>
      </c>
      <c r="BJ56" s="1399">
        <f ca="1">IF(C56&gt;=$J$5,0,((CONTADORES!BM50-CONTADORES!BM49)/1000))</f>
        <v>0</v>
      </c>
      <c r="BK56" s="1399">
        <f ca="1">IF(D56&gt;=$J$5,0,((CONTADORES!BN50-CONTADORES!BN49)/1000))</f>
        <v>0</v>
      </c>
      <c r="BL56" s="1399">
        <f t="shared" ca="1" si="16"/>
        <v>1.514</v>
      </c>
      <c r="BM56" s="1399">
        <f t="shared" ca="1" si="17"/>
        <v>1.514</v>
      </c>
      <c r="BN56" s="1398">
        <f ca="1">IF(W56&gt;=$J$5,0,CONTADORES!$BO50)</f>
        <v>135.19795483397249</v>
      </c>
      <c r="BO56" s="1397">
        <f ca="1">IF(W56&gt;=$J$5,0,CONTADORES!$BP50)</f>
        <v>44.152916743434616</v>
      </c>
      <c r="BP56" s="1397">
        <f ca="1">IF(W56&gt;=$J$5,0,CONTADORES!$BQ50)</f>
        <v>647.63045972871544</v>
      </c>
      <c r="BQ56" s="1397">
        <f ca="1">IF(B56&gt;=$J$5,0,(CONTADORES!AS50-CONTADORES!AS49))</f>
        <v>5.3000000000029104</v>
      </c>
      <c r="BR56" s="1397">
        <f ca="1">IF(B56&gt;=$J$5,0,(CONTADORES!AT50-CONTADORES!AT49))</f>
        <v>0</v>
      </c>
      <c r="BS56" s="1409">
        <f ca="1">IF(B56&gt;=$J$5,0,CONTADORES!BR50-CONTADORES!BR49)/1000</f>
        <v>0</v>
      </c>
      <c r="BT56" s="1438">
        <f ca="1">IF(B56&gt;=$J$5,0,CONTADORES!BS50-CONTADORES!BS49)</f>
        <v>0</v>
      </c>
      <c r="BU56" s="1438">
        <f ca="1">IF(B56&gt;=$J$5,0,CONTADORES!BT50-CONTADORES!BT49)</f>
        <v>0</v>
      </c>
      <c r="BV56" s="1438">
        <f ca="1">IF(B56&gt;=$J$5,0,CONTADORES!BU50-CONTADORES!BU49)/1000</f>
        <v>4.6399999999999997</v>
      </c>
      <c r="BW56" s="1438">
        <f ca="1">IF(B56&gt;=$J$5,0,CONTADORES!BV50-CONTADORES!BV49)/1000</f>
        <v>0.42199999999999999</v>
      </c>
      <c r="BX56" s="1438">
        <f ca="1">IF(B56&gt;=$J$5,0,CONTADORES!BW50-CONTADORES!BW49)</f>
        <v>24.029999999998836</v>
      </c>
      <c r="BY56" s="1438">
        <f ca="1">IF(B56&gt;=$J$5,0,CONTADORES!BX50-CONTADORES!BX49)/1000</f>
        <v>3.7010000000000001</v>
      </c>
      <c r="BZ56" s="1438">
        <f ca="1">IF(B56&gt;=$J$5,0,CONTADORES!BY50-CONTADORES!BY49)/1000</f>
        <v>4.1000000000000002E-2</v>
      </c>
      <c r="CA56" s="1438">
        <f ca="1">IF(B56&gt;=$J$5,0,CONTADORES!BZ50-CONTADORES!BZ49)</f>
        <v>24.020000000000437</v>
      </c>
      <c r="CB56" s="1409">
        <f ca="1">IF(B56&gt;=$J$5,0,(CONTADORES!CC50-CONTADORES!CC49)+(CONTADORES!CE50-CONTADORES!CE49))/1000</f>
        <v>1.61</v>
      </c>
      <c r="CC56" s="1438">
        <f ca="1">IF(B56&gt;=$J$5,0,(CONTADORES!CD50-CONTADORES!CD49)+(CONTADORES!CF50-CONTADORES!CF49))/1000</f>
        <v>0.85199999999999998</v>
      </c>
      <c r="CD56" s="1409">
        <f ca="1">IF(B56&gt;=$J$5,0,CONTADORES!CA50-CONTADORES!CA49)</f>
        <v>6.4000000000005457</v>
      </c>
      <c r="CE56" s="1438">
        <f ca="1">IF(B56&gt;=$J$5,0,CONTADORES!CB50-CONTADORES!CB49)</f>
        <v>4.3999999999996362</v>
      </c>
      <c r="CF56" s="1438">
        <f t="shared" ca="1" si="18"/>
        <v>11.329500000005456</v>
      </c>
      <c r="CG56" s="1438">
        <f t="shared" ca="1" si="19"/>
        <v>9.2444999999999542</v>
      </c>
      <c r="CH56" s="1438">
        <f t="shared" ca="1" si="20"/>
        <v>4.9295000000049107</v>
      </c>
      <c r="CI56" s="1438">
        <f t="shared" ca="1" si="21"/>
        <v>1.1160000000002182</v>
      </c>
      <c r="CJ56" s="1438">
        <f t="shared" ca="1" si="22"/>
        <v>4.9295000000049107</v>
      </c>
      <c r="CK56" s="1438">
        <f t="shared" ca="1" si="23"/>
        <v>1.6740000000003272</v>
      </c>
      <c r="CL56" s="1438">
        <f t="shared" ca="1" si="24"/>
        <v>2.7260000000002185</v>
      </c>
      <c r="CM56" s="1438">
        <f t="shared" ca="1" si="25"/>
        <v>4.844500000000318</v>
      </c>
      <c r="CN56" s="1438">
        <f ca="1">IF(B56&gt;=$J$5,0,CONTADORES!CB50-CONTADORES!CB49)</f>
        <v>4.3999999999996362</v>
      </c>
      <c r="CO56" s="1438">
        <f t="shared" ca="1" si="26"/>
        <v>4.844500000000318</v>
      </c>
      <c r="CP56" s="1438">
        <f t="shared" ca="1" si="27"/>
        <v>0.27400000000004548</v>
      </c>
      <c r="CQ56" s="1438">
        <f t="shared" ca="1" si="28"/>
        <v>0.27400000000004548</v>
      </c>
      <c r="CR56" s="1438">
        <f t="shared" ca="1" si="29"/>
        <v>1.1260000000000454</v>
      </c>
      <c r="CS56" s="1439">
        <f ca="1">IF($B56&gt;=$J$5,0,CONTADORES!$BI50)</f>
        <v>9285.1872640038291</v>
      </c>
      <c r="CT56" s="1334">
        <f>CONTADORES!E50</f>
        <v>0</v>
      </c>
      <c r="CU56" s="1334">
        <f>CONTADORES!CG50</f>
        <v>0</v>
      </c>
    </row>
    <row r="57" spans="2:99">
      <c r="B57" s="214">
        <v>44973</v>
      </c>
      <c r="C57" s="198">
        <f t="shared" ca="1" si="0"/>
        <v>290</v>
      </c>
      <c r="D57" s="196">
        <f ca="1">'CALCULO DE GAS'!D53</f>
        <v>4.8411734326683291</v>
      </c>
      <c r="E57" s="196">
        <f ca="1">IF(B57&gt;=$J$5,0,(CONTADORES!$AD51-CONTADORES!$AD50)-$H57)</f>
        <v>24</v>
      </c>
      <c r="F57" s="198">
        <f t="shared" ca="1" si="31"/>
        <v>0</v>
      </c>
      <c r="G57" s="196">
        <f ca="1">IF(B57&gt;=$J$5,0,CONTADORES!$AF51-CONTADORES!$AF50)</f>
        <v>0</v>
      </c>
      <c r="H57" s="1396">
        <f ca="1">IF(G57&gt;0,CONTADORES!$AE51-CONTADORES!$AE50,0)</f>
        <v>0</v>
      </c>
      <c r="I57" s="199">
        <f ca="1">IF(B57&gt;=$J$5,0,CONTADORES!$AB51-CONTADORES!$AB50)</f>
        <v>290</v>
      </c>
      <c r="J57" s="198">
        <f t="shared" ca="1" si="2"/>
        <v>145.69999999999709</v>
      </c>
      <c r="K57" s="196">
        <f ca="1">'CALCULO DE GAS'!E53</f>
        <v>3.6644627094762852</v>
      </c>
      <c r="L57" s="1396">
        <f ca="1">IF(B57&gt;=$J$5,0,(CONTADORES!$Y51-CONTADORES!$Y50)-$O57)</f>
        <v>24</v>
      </c>
      <c r="M57" s="1396">
        <f t="shared" ca="1" si="33"/>
        <v>0</v>
      </c>
      <c r="N57" s="1396">
        <f ca="1">IF(B57&gt;=$J$5,0,CONTADORES!$AA51-CONTADORES!AA50)</f>
        <v>0</v>
      </c>
      <c r="O57" s="1396">
        <f ca="1">IF(N57&gt;0,CONTADORES!$Z51-CONTADORES!$Z50,0)</f>
        <v>0</v>
      </c>
      <c r="P57" s="202">
        <f ca="1">IF(B57&gt;=$J$5,0,CONTADORES!$W51-CONTADORES!$W50)</f>
        <v>145.69999999999709</v>
      </c>
      <c r="Q57" s="202">
        <f ca="1">IF(B57&gt;=$J$5,0,CONTADORES!$B51-CONTADORES!$B50)</f>
        <v>0</v>
      </c>
      <c r="R57" s="196">
        <f t="shared" ca="1" si="4"/>
        <v>0</v>
      </c>
      <c r="S57" s="11">
        <f ca="1">IF(B57&gt;=$J$5,0,CONTADORES!$D51-CONTADORES!$D50)</f>
        <v>0</v>
      </c>
      <c r="T57" s="198">
        <f ca="1">IF(B57&gt;=$J$5,0,CONTADORES!$BB51-CONTADORES!$BB50)</f>
        <v>0</v>
      </c>
      <c r="U57" s="196">
        <f t="shared" ca="1" si="32"/>
        <v>0</v>
      </c>
      <c r="V57" s="199">
        <f ca="1">IF(B57&gt;=$J$5,0,CONTADORES!$BD51-CONTADORES!$BD50)</f>
        <v>0</v>
      </c>
      <c r="W57" s="1397">
        <f t="shared" ca="1" si="6"/>
        <v>435.69999999999709</v>
      </c>
      <c r="X57" s="1397">
        <f t="shared" ca="1" si="7"/>
        <v>0</v>
      </c>
      <c r="Y57" s="1398">
        <f t="shared" ca="1" si="8"/>
        <v>435.69999999999709</v>
      </c>
      <c r="Z57" s="1398">
        <f t="shared" ca="1" si="9"/>
        <v>8.5056361421446134</v>
      </c>
      <c r="AA57" s="1398">
        <f t="shared" ca="1" si="10"/>
        <v>0</v>
      </c>
      <c r="AB57" s="1398">
        <f t="shared" ca="1" si="11"/>
        <v>48</v>
      </c>
      <c r="AC57" s="1397">
        <f t="shared" ca="1" si="12"/>
        <v>0</v>
      </c>
      <c r="AD57" s="1397">
        <f ca="1">IF(B57=$J$5,0,CONTADORES!H51-CONTADORES!H50)</f>
        <v>158</v>
      </c>
      <c r="AE57" s="1397">
        <f ca="1">IF(B57=$J$5,0,CONTADORES!J51-CONTADORES!J50)</f>
        <v>24</v>
      </c>
      <c r="AF57" s="1397">
        <f ca="1">IF(B57=$J$5,0,CONTADORES!AU51-CONTADORES!AU50)</f>
        <v>142</v>
      </c>
      <c r="AG57" s="1397">
        <f ca="1">IF(B57=$J$5,0,CONTADORES!AW51-CONTADORES!AW50)</f>
        <v>24</v>
      </c>
      <c r="AH57" s="1397">
        <f ca="1">IF(B57=$J$5,0,(CONTADORES!AM51-CONTADORES!AM50)+(CONTADORES!M51-CONTADORES!M50))</f>
        <v>10</v>
      </c>
      <c r="AI57" s="1397">
        <f ca="1">IF(B57=$J$5,0,(CONTADORES!AK51-CONTADORES!AK50)+(CONTADORES!O51-CONTADORES!O50))</f>
        <v>43.599999999998545</v>
      </c>
      <c r="AJ57" s="1397">
        <f ca="1">IF(B57=$J$5,0,(CONTADORES!AI51-CONTADORES!AI50))</f>
        <v>6</v>
      </c>
      <c r="AK57" s="1397">
        <f ca="1">IF(B57=$J$5,0,(CONTADORES!Q51-CONTADORES!Q50))</f>
        <v>14.399999999994179</v>
      </c>
      <c r="AL57" s="1397">
        <f t="shared" ca="1" si="13"/>
        <v>33.400000000016007</v>
      </c>
      <c r="AM57" s="1397">
        <f ca="1">IF(B57&gt;=$J$5,0,(((CONTADORES!F51-CONTADORES!F50)+(CONTADORES!AQ51-CONTADORES!AQ50))))-BS57-AF57-AN57-BV57-BY57-CD57-CB57</f>
        <v>8.8469999999882667</v>
      </c>
      <c r="AN57" s="1397">
        <f ca="1">IF(B57=$J$5,0,(CONTADORES!AX51-CONTADORES!AX50)+(CONTADORES!AZ51-CONTADORES!AZ50)+(CONTADORES!BE51-CONTADORES!BE50))-CB57</f>
        <v>3.7199999999999092</v>
      </c>
      <c r="AO57" s="1437">
        <f ca="1">IF(B57&gt;=$J$5,0,(CONTADORES!AC51-CONTADORES!AC50))</f>
        <v>147</v>
      </c>
      <c r="AP57" s="1437">
        <f ca="1">IF(B57&gt;=$J$5,0,(CONTADORES!X51-CONTADORES!X50))</f>
        <v>79.699999999998909</v>
      </c>
      <c r="AQ57" s="1433">
        <f ca="1">IF(B57&gt;=$J$5,0,(CONTADORES!C51-CONTADORES!C50))</f>
        <v>0</v>
      </c>
      <c r="AR57" s="1399">
        <f ca="1">IF(B57&gt;=$J$5,0,(CONTADORES!BC51-CONTADORES!BC50))</f>
        <v>0</v>
      </c>
      <c r="AS57" s="1397">
        <f ca="1">IF(B57=$J$5,0,CONTADORES!S51-CONTADORES!S50)</f>
        <v>17.100000000005821</v>
      </c>
      <c r="AT57" s="1397">
        <f ca="1">IF(B57=$J$5,0,(CONTADORES!U51-CONTADORES!U50)+(CONTADORES!AG51-CONTADORES!AG50))</f>
        <v>2</v>
      </c>
      <c r="AU57" s="1397">
        <f>CONTADORES!I51-CONTADORES!I50</f>
        <v>82</v>
      </c>
      <c r="AV57" s="1397">
        <f>CONTADORES!AV51-CONTADORES!AV50</f>
        <v>62</v>
      </c>
      <c r="AW57" s="1397">
        <f ca="1">IF(B57&gt;=$J$5,0,(CONTADORES!N51-CONTADORES!N50)+(CONTADORES!AN51-CONTADORES!AN50))</f>
        <v>3.9000000000014552</v>
      </c>
      <c r="AX57" s="1397">
        <f ca="1">IF(B57&gt;=$J$5,0,(CONTADORES!P51-CONTADORES!P50)+(CONTADORES!AL51-CONTADORES!AL50))</f>
        <v>35.100000000005821</v>
      </c>
      <c r="AY57" s="1397">
        <f ca="1">IF(B57&gt;=$J$5,0,(CONTADORES!AJ51-CONTADORES!AJ50))</f>
        <v>4.7999999999956344</v>
      </c>
      <c r="AZ57" s="1397">
        <f ca="1">IF(B57&gt;=$J$5,0,(CONTADORES!R51-CONTADORES!R50))</f>
        <v>11.80000000000291</v>
      </c>
      <c r="BA57" s="1397">
        <f t="shared" ca="1" si="14"/>
        <v>12.628999999993283</v>
      </c>
      <c r="BB57" s="1397">
        <f ca="1">IF(B57&gt;=$J$5,0,(((CONTADORES!G51-CONTADORES!G50)+(CONTADORES!AR51-CONTADORES!AR50))))-AV57-BC57-BT57-BW57-BZ57-CE57</f>
        <v>7.629999999999729</v>
      </c>
      <c r="BC57" s="1744">
        <f ca="1">IF(B57&gt;=$J$5,0,(CONTADORES!AY51-CONTADORES!AY50)+(CONTADORES!BA51-CONTADORES!BA50)+(CONTADORES!BF51-CONTADORES!BF50))-CC57</f>
        <v>1.4290000000002729</v>
      </c>
      <c r="BD57" s="1397">
        <f t="shared" ca="1" si="15"/>
        <v>226.69999999999891</v>
      </c>
      <c r="BE57" s="1398">
        <f ca="1">IF($B57&gt;=$J$5,0,CONTADORES!$BG51)</f>
        <v>7120.2006250000004</v>
      </c>
      <c r="BF57" s="1397">
        <f ca="1">IF($B57&gt;=$J$5,0,CONTADORES!$BH51)</f>
        <v>32720.324342105301</v>
      </c>
      <c r="BG57" s="1397">
        <f ca="1">IF($B57&gt;=$J$5,0,CONTADORES!$BJ51)</f>
        <v>5267.71</v>
      </c>
      <c r="BH57" s="1409">
        <f ca="1">IF(B57&gt;=$J$5,0,((CONTADORES!BK51-CONTADORES!BK50)/1000))</f>
        <v>1.522</v>
      </c>
      <c r="BI57" s="1409">
        <f ca="1">IF(C57&gt;=$J$5,0,((CONTADORES!BL51-CONTADORES!BL50)/1000))</f>
        <v>1.488</v>
      </c>
      <c r="BJ57" s="1399">
        <f ca="1">IF(C57&gt;=$J$5,0,((CONTADORES!BM51-CONTADORES!BM50)/1000))</f>
        <v>0</v>
      </c>
      <c r="BK57" s="1399">
        <f ca="1">IF(D57&gt;=$J$5,0,((CONTADORES!BN51-CONTADORES!BN50)/1000))</f>
        <v>0</v>
      </c>
      <c r="BL57" s="1399">
        <f t="shared" ca="1" si="16"/>
        <v>1.522</v>
      </c>
      <c r="BM57" s="1399">
        <f t="shared" ca="1" si="17"/>
        <v>1.488</v>
      </c>
      <c r="BN57" s="1398">
        <f ca="1">IF(W57&gt;=$J$5,0,CONTADORES!$BO51)</f>
        <v>132.298706978843</v>
      </c>
      <c r="BO57" s="1397">
        <f ca="1">IF(W57&gt;=$J$5,0,CONTADORES!$BP51)</f>
        <v>43.7036473004448</v>
      </c>
      <c r="BP57" s="1397">
        <f ca="1">IF(W57&gt;=$J$5,0,CONTADORES!$BQ51)</f>
        <v>655.275028119686</v>
      </c>
      <c r="BQ57" s="1397">
        <f ca="1">IF(B57&gt;=$J$5,0,(CONTADORES!AS51-CONTADORES!AS50))</f>
        <v>5.0999999999985448</v>
      </c>
      <c r="BR57" s="1397">
        <f ca="1">IF(B57&gt;=$J$5,0,(CONTADORES!AT51-CONTADORES!AT50))</f>
        <v>0</v>
      </c>
      <c r="BS57" s="1409">
        <f ca="1">IF(B57&gt;=$J$5,0,CONTADORES!BR51-CONTADORES!BR50)/1000</f>
        <v>0</v>
      </c>
      <c r="BT57" s="1438">
        <f ca="1">IF(B57&gt;=$J$5,0,CONTADORES!BS51-CONTADORES!BS50)</f>
        <v>0</v>
      </c>
      <c r="BU57" s="1438">
        <f ca="1">IF(B57&gt;=$J$5,0,CONTADORES!BT51-CONTADORES!BT50)</f>
        <v>0</v>
      </c>
      <c r="BV57" s="1438">
        <f ca="1">IF(B57&gt;=$J$5,0,CONTADORES!BU51-CONTADORES!BU50)/1000</f>
        <v>4.5179999999999998</v>
      </c>
      <c r="BW57" s="1438">
        <f ca="1">IF(B57&gt;=$J$5,0,CONTADORES!BV51-CONTADORES!BV50)/1000</f>
        <v>0.39800000000000002</v>
      </c>
      <c r="BX57" s="1438">
        <f ca="1">IF(B57&gt;=$J$5,0,CONTADORES!BW51-CONTADORES!BW50)</f>
        <v>24</v>
      </c>
      <c r="BY57" s="1438">
        <f ca="1">IF(B57&gt;=$J$5,0,CONTADORES!BX51-CONTADORES!BX50)/1000</f>
        <v>3.5350000000000001</v>
      </c>
      <c r="BZ57" s="1438">
        <f ca="1">IF(B57&gt;=$J$5,0,CONTADORES!BY51-CONTADORES!BY50)/1000</f>
        <v>4.2999999999999997E-2</v>
      </c>
      <c r="CA57" s="1438">
        <f ca="1">IF(B57&gt;=$J$5,0,CONTADORES!BZ51-CONTADORES!BZ50)</f>
        <v>24</v>
      </c>
      <c r="CB57" s="1409">
        <f ca="1">IF(B57&gt;=$J$5,0,(CONTADORES!CC51-CONTADORES!CC50)+(CONTADORES!CE51-CONTADORES!CE50))/1000</f>
        <v>1.38</v>
      </c>
      <c r="CC57" s="1438">
        <f ca="1">IF(B57&gt;=$J$5,0,(CONTADORES!CD51-CONTADORES!CD50)+(CONTADORES!CF51-CONTADORES!CF50))/1000</f>
        <v>0.77100000000000002</v>
      </c>
      <c r="CD57" s="1409">
        <f ca="1">IF(B57&gt;=$J$5,0,CONTADORES!CA51-CONTADORES!CA50)</f>
        <v>6.3000000000001819</v>
      </c>
      <c r="CE57" s="1438">
        <f ca="1">IF(B57&gt;=$J$5,0,CONTADORES!CB51-CONTADORES!CB50)</f>
        <v>4.1999999999998181</v>
      </c>
      <c r="CF57" s="1438">
        <f t="shared" ca="1" si="18"/>
        <v>10.723499999994315</v>
      </c>
      <c r="CG57" s="1438">
        <f t="shared" ca="1" si="19"/>
        <v>8.0149999999996826</v>
      </c>
      <c r="CH57" s="1438">
        <f t="shared" ca="1" si="20"/>
        <v>4.4234999999941333</v>
      </c>
      <c r="CI57" s="1438">
        <f t="shared" ca="1" si="21"/>
        <v>1.4879999999999638</v>
      </c>
      <c r="CJ57" s="1438">
        <f t="shared" ca="1" si="22"/>
        <v>4.4234999999941333</v>
      </c>
      <c r="CK57" s="1438">
        <f t="shared" ca="1" si="23"/>
        <v>2.2319999999999451</v>
      </c>
      <c r="CL57" s="1438">
        <f t="shared" ca="1" si="24"/>
        <v>2.8679999999999639</v>
      </c>
      <c r="CM57" s="1438">
        <f t="shared" ca="1" si="25"/>
        <v>3.8149999999998645</v>
      </c>
      <c r="CN57" s="1438">
        <f ca="1">IF(B57&gt;=$J$5,0,CONTADORES!CB51-CONTADORES!CB50)</f>
        <v>4.1999999999998181</v>
      </c>
      <c r="CO57" s="1438">
        <f t="shared" ca="1" si="26"/>
        <v>3.8149999999998645</v>
      </c>
      <c r="CP57" s="1438">
        <f t="shared" ca="1" si="27"/>
        <v>0.71450000000013647</v>
      </c>
      <c r="CQ57" s="1438">
        <f t="shared" ca="1" si="28"/>
        <v>0.71450000000013647</v>
      </c>
      <c r="CR57" s="1438">
        <f t="shared" ca="1" si="29"/>
        <v>1.4855000000001364</v>
      </c>
      <c r="CS57" s="1439">
        <f ca="1">IF($B57&gt;=$J$5,0,CONTADORES!$BI51)</f>
        <v>9340.3171169910001</v>
      </c>
      <c r="CT57" s="1334">
        <f>CONTADORES!E51</f>
        <v>0</v>
      </c>
      <c r="CU57" s="1334">
        <f>CONTADORES!CG51</f>
        <v>0</v>
      </c>
    </row>
    <row r="58" spans="2:99">
      <c r="B58" s="214">
        <v>44974</v>
      </c>
      <c r="C58" s="198">
        <f t="shared" ca="1" si="0"/>
        <v>288</v>
      </c>
      <c r="D58" s="196">
        <f ca="1">'CALCULO DE GAS'!D54</f>
        <v>4.8248642057356612</v>
      </c>
      <c r="E58" s="196">
        <f ca="1">IF(B58&gt;=$J$5,0,(CONTADORES!$AD52-CONTADORES!$AD51)-$H58)</f>
        <v>24</v>
      </c>
      <c r="F58" s="198">
        <f t="shared" ca="1" si="31"/>
        <v>0</v>
      </c>
      <c r="G58" s="196">
        <f ca="1">IF(B58&gt;=$J$5,0,CONTADORES!$AF52-CONTADORES!$AF51)</f>
        <v>0</v>
      </c>
      <c r="H58" s="1396">
        <f ca="1">IF(G58&gt;0,CONTADORES!$AE52-CONTADORES!$AE51,0)</f>
        <v>0</v>
      </c>
      <c r="I58" s="199">
        <f ca="1">IF(B58&gt;=$J$5,0,CONTADORES!$AB52-CONTADORES!$AB51)</f>
        <v>288</v>
      </c>
      <c r="J58" s="198">
        <f t="shared" ca="1" si="2"/>
        <v>141.90000000000146</v>
      </c>
      <c r="K58" s="196">
        <f ca="1">'CALCULO DE GAS'!E54</f>
        <v>3.6334751783042512</v>
      </c>
      <c r="L58" s="1396">
        <f ca="1">IF(B58&gt;=$J$5,0,(CONTADORES!$Y52-CONTADORES!$Y51)-$O58)</f>
        <v>24</v>
      </c>
      <c r="M58" s="1396">
        <f t="shared" ca="1" si="33"/>
        <v>0</v>
      </c>
      <c r="N58" s="1396">
        <f ca="1">IF(B58&gt;=$J$5,0,CONTADORES!$AA52-CONTADORES!AA51)</f>
        <v>0</v>
      </c>
      <c r="O58" s="1396">
        <f ca="1">IF(N58&gt;0,CONTADORES!$Z52-CONTADORES!$Z51,0)</f>
        <v>0</v>
      </c>
      <c r="P58" s="202">
        <f ca="1">IF(B58&gt;=$J$5,0,CONTADORES!$W52-CONTADORES!$W51)</f>
        <v>141.90000000000146</v>
      </c>
      <c r="Q58" s="202">
        <f ca="1">IF(B58&gt;=$J$5,0,CONTADORES!$B52-CONTADORES!$B51)</f>
        <v>0</v>
      </c>
      <c r="R58" s="196">
        <f t="shared" ca="1" si="4"/>
        <v>0</v>
      </c>
      <c r="S58" s="11">
        <f ca="1">IF(B58&gt;=$J$5,0,CONTADORES!$D52-CONTADORES!$D51)</f>
        <v>0</v>
      </c>
      <c r="T58" s="198">
        <f ca="1">IF(B58&gt;=$J$5,0,CONTADORES!$BB52-CONTADORES!$BB51)</f>
        <v>0</v>
      </c>
      <c r="U58" s="196">
        <f t="shared" ca="1" si="32"/>
        <v>0</v>
      </c>
      <c r="V58" s="199">
        <f ca="1">IF(B58&gt;=$J$5,0,CONTADORES!$BD52-CONTADORES!$BD51)</f>
        <v>0</v>
      </c>
      <c r="W58" s="1397">
        <f t="shared" ca="1" si="6"/>
        <v>429.90000000000146</v>
      </c>
      <c r="X58" s="1397">
        <f t="shared" ca="1" si="7"/>
        <v>0</v>
      </c>
      <c r="Y58" s="1398">
        <f t="shared" ca="1" si="8"/>
        <v>429.90000000000146</v>
      </c>
      <c r="Z58" s="1398">
        <f t="shared" ca="1" si="9"/>
        <v>8.4583393840399133</v>
      </c>
      <c r="AA58" s="1398">
        <f t="shared" ca="1" si="10"/>
        <v>0</v>
      </c>
      <c r="AB58" s="1398">
        <f t="shared" ca="1" si="11"/>
        <v>48</v>
      </c>
      <c r="AC58" s="1397">
        <f t="shared" ca="1" si="12"/>
        <v>0</v>
      </c>
      <c r="AD58" s="1397">
        <f ca="1">IF(B58=$J$5,0,CONTADORES!H52-CONTADORES!H51)</f>
        <v>163</v>
      </c>
      <c r="AE58" s="1397">
        <f ca="1">IF(B58=$J$5,0,CONTADORES!J52-CONTADORES!J51)</f>
        <v>24</v>
      </c>
      <c r="AF58" s="1397">
        <f ca="1">IF(B58=$J$5,0,CONTADORES!AU52-CONTADORES!AU51)</f>
        <v>135</v>
      </c>
      <c r="AG58" s="1397">
        <f ca="1">IF(B58=$J$5,0,CONTADORES!AW52-CONTADORES!AW51)</f>
        <v>23</v>
      </c>
      <c r="AH58" s="1397">
        <f ca="1">IF(B58=$J$5,0,(CONTADORES!AM52-CONTADORES!AM51)+(CONTADORES!M52-CONTADORES!M51))</f>
        <v>6.7000000000043656</v>
      </c>
      <c r="AI58" s="1397">
        <f ca="1">IF(B58=$J$5,0,(CONTADORES!AK52-CONTADORES!AK51)+(CONTADORES!O52-CONTADORES!O51))</f>
        <v>39.299999999995634</v>
      </c>
      <c r="AJ58" s="1397">
        <f ca="1">IF(B58=$J$5,0,(CONTADORES!AI52-CONTADORES!AI51))</f>
        <v>8.7000000000116415</v>
      </c>
      <c r="AK58" s="1397">
        <f ca="1">IF(B58=$J$5,0,(CONTADORES!Q52-CONTADORES!Q51))</f>
        <v>16</v>
      </c>
      <c r="AL58" s="1397">
        <f t="shared" ca="1" si="13"/>
        <v>31.099999999991212</v>
      </c>
      <c r="AM58" s="1397">
        <f ca="1">IF(B58&gt;=$J$5,0,(((CONTADORES!F52-CONTADORES!F51)+(CONTADORES!AQ52-CONTADORES!AQ51))))-BS58-AF58-AN58-BV58-BY58-CD58-CB58</f>
        <v>11.153999999998366</v>
      </c>
      <c r="AN58" s="1397">
        <f ca="1">IF(B58=$J$5,0,(CONTADORES!AX52-CONTADORES!AX51)+(CONTADORES!AZ52-CONTADORES!AZ51)+(CONTADORES!BE52-CONTADORES!BE51))-CB58</f>
        <v>3.4310000000001821</v>
      </c>
      <c r="AO58" s="1437">
        <f ca="1">IF(B58&gt;=$J$5,0,(CONTADORES!AC52-CONTADORES!AC51))</f>
        <v>147</v>
      </c>
      <c r="AP58" s="1437">
        <f ca="1">IF(B58&gt;=$J$5,0,(CONTADORES!X52-CONTADORES!X51))</f>
        <v>75.200000000000728</v>
      </c>
      <c r="AQ58" s="1433">
        <f ca="1">IF(B58&gt;=$J$5,0,(CONTADORES!C52-CONTADORES!C51))</f>
        <v>0</v>
      </c>
      <c r="AR58" s="1399">
        <f ca="1">IF(B58&gt;=$J$5,0,(CONTADORES!BC52-CONTADORES!BC51))</f>
        <v>0</v>
      </c>
      <c r="AS58" s="1397">
        <f ca="1">IF(B58=$J$5,0,CONTADORES!S52-CONTADORES!S51)</f>
        <v>16</v>
      </c>
      <c r="AT58" s="1397">
        <f ca="1">IF(B58=$J$5,0,(CONTADORES!U52-CONTADORES!U51)+(CONTADORES!AG52-CONTADORES!AG51))</f>
        <v>2.0999999999985448</v>
      </c>
      <c r="AU58" s="1397">
        <f>CONTADORES!I52-CONTADORES!I51</f>
        <v>83</v>
      </c>
      <c r="AV58" s="1397">
        <f>CONTADORES!AV52-CONTADORES!AV51</f>
        <v>59</v>
      </c>
      <c r="AW58" s="1397">
        <f ca="1">IF(B58&gt;=$J$5,0,(CONTADORES!N52-CONTADORES!N51)+(CONTADORES!AN52-CONTADORES!AN51))</f>
        <v>2.5999999999985448</v>
      </c>
      <c r="AX58" s="1397">
        <f ca="1">IF(B58&gt;=$J$5,0,(CONTADORES!P52-CONTADORES!P51)+(CONTADORES!AL52-CONTADORES!AL51))</f>
        <v>31.30000000000291</v>
      </c>
      <c r="AY58" s="1397">
        <f ca="1">IF(B58&gt;=$J$5,0,(CONTADORES!AJ52-CONTADORES!AJ51))</f>
        <v>6.8000000000029104</v>
      </c>
      <c r="AZ58" s="1397">
        <f ca="1">IF(B58&gt;=$J$5,0,(CONTADORES!R52-CONTADORES!R51))</f>
        <v>13</v>
      </c>
      <c r="BA58" s="1397">
        <f t="shared" ca="1" si="14"/>
        <v>11.635999999996017</v>
      </c>
      <c r="BB58" s="1397">
        <f ca="1">IF(B58&gt;=$J$5,0,(((CONTADORES!G52-CONTADORES!G51)+(CONTADORES!AR52-CONTADORES!AR51))))-AV58-BC58-BT58-BW58-BZ58-CE58</f>
        <v>7.9459999999996356</v>
      </c>
      <c r="BC58" s="1744">
        <f ca="1">IF(B58&gt;=$J$5,0,(CONTADORES!AY52-CONTADORES!AY51)+(CONTADORES!BA52-CONTADORES!BA51)+(CONTADORES!BF52-CONTADORES!BF51))-CC58</f>
        <v>1.236</v>
      </c>
      <c r="BD58" s="1397">
        <f t="shared" ca="1" si="15"/>
        <v>222.20000000000073</v>
      </c>
      <c r="BE58" s="1398">
        <f ca="1">IF($B58&gt;=$J$5,0,CONTADORES!$BG52)</f>
        <v>7083.7758823529402</v>
      </c>
      <c r="BF58" s="1397">
        <f ca="1">IF($B58&gt;=$J$5,0,CONTADORES!$BH52)</f>
        <v>32917.465221878199</v>
      </c>
      <c r="BG58" s="1397">
        <f ca="1">IF($B58&gt;=$J$5,0,CONTADORES!$BJ52)</f>
        <v>6833.9</v>
      </c>
      <c r="BH58" s="1409">
        <f ca="1">IF(B58&gt;=$J$5,0,((CONTADORES!BK52-CONTADORES!BK51)/1000))</f>
        <v>1.526</v>
      </c>
      <c r="BI58" s="1409">
        <f ca="1">IF(C58&gt;=$J$5,0,((CONTADORES!BL52-CONTADORES!BL51)/1000))</f>
        <v>1.476</v>
      </c>
      <c r="BJ58" s="1399">
        <f ca="1">IF(C58&gt;=$J$5,0,((CONTADORES!BM52-CONTADORES!BM51)/1000))</f>
        <v>0</v>
      </c>
      <c r="BK58" s="1399">
        <f ca="1">IF(D58&gt;=$J$5,0,((CONTADORES!BN52-CONTADORES!BN51)/1000))</f>
        <v>0</v>
      </c>
      <c r="BL58" s="1399">
        <f t="shared" ca="1" si="16"/>
        <v>1.526</v>
      </c>
      <c r="BM58" s="1399">
        <f t="shared" ca="1" si="17"/>
        <v>1.476</v>
      </c>
      <c r="BN58" s="1398">
        <f ca="1">IF(W58&gt;=$J$5,0,CONTADORES!$BO52)</f>
        <v>131.53344958441099</v>
      </c>
      <c r="BO58" s="1397">
        <f ca="1">IF(W58&gt;=$J$5,0,CONTADORES!$BP52)</f>
        <v>43.686985783723202</v>
      </c>
      <c r="BP58" s="1397">
        <f ca="1">IF(W58&gt;=$J$5,0,CONTADORES!$BQ52)</f>
        <v>655.36503115013898</v>
      </c>
      <c r="BQ58" s="1397">
        <f ca="1">IF(B58&gt;=$J$5,0,(CONTADORES!AS52-CONTADORES!AS51))</f>
        <v>4.8000000000029104</v>
      </c>
      <c r="BR58" s="1397">
        <f ca="1">IF(B58&gt;=$J$5,0,(CONTADORES!AT52-CONTADORES!AT51))</f>
        <v>0</v>
      </c>
      <c r="BS58" s="1409">
        <f ca="1">IF(B58&gt;=$J$5,0,CONTADORES!BR52-CONTADORES!BR51)/1000</f>
        <v>0</v>
      </c>
      <c r="BT58" s="1438">
        <f ca="1">IF(B58&gt;=$J$5,0,CONTADORES!BS52-CONTADORES!BS51)</f>
        <v>0</v>
      </c>
      <c r="BU58" s="1438">
        <f ca="1">IF(B58&gt;=$J$5,0,CONTADORES!BT52-CONTADORES!BT51)</f>
        <v>0</v>
      </c>
      <c r="BV58" s="1438">
        <f ca="1">IF(B58&gt;=$J$5,0,CONTADORES!BU52-CONTADORES!BU51)/1000</f>
        <v>4.516</v>
      </c>
      <c r="BW58" s="1438">
        <f ca="1">IF(B58&gt;=$J$5,0,CONTADORES!BV52-CONTADORES!BV51)/1000</f>
        <v>0.64700000000000002</v>
      </c>
      <c r="BX58" s="1438">
        <f ca="1">IF(B58&gt;=$J$5,0,CONTADORES!BW52-CONTADORES!BW51)</f>
        <v>24</v>
      </c>
      <c r="BY58" s="1438">
        <f ca="1">IF(B58&gt;=$J$5,0,CONTADORES!BX52-CONTADORES!BX51)/1000</f>
        <v>3.63</v>
      </c>
      <c r="BZ58" s="1438">
        <f ca="1">IF(B58&gt;=$J$5,0,CONTADORES!BY52-CONTADORES!BY51)/1000</f>
        <v>7.0999999999999994E-2</v>
      </c>
      <c r="CA58" s="1438">
        <f ca="1">IF(B58&gt;=$J$5,0,CONTADORES!BZ52-CONTADORES!BZ51)</f>
        <v>24</v>
      </c>
      <c r="CB58" s="1409">
        <f ca="1">IF(B58&gt;=$J$5,0,(CONTADORES!CC52-CONTADORES!CC51)+(CONTADORES!CE52-CONTADORES!CE51))/1000</f>
        <v>1.369</v>
      </c>
      <c r="CC58" s="1438">
        <f ca="1">IF(B58&gt;=$J$5,0,(CONTADORES!CD52-CONTADORES!CD51)+(CONTADORES!CF52-CONTADORES!CF51))/1000</f>
        <v>0.76400000000000001</v>
      </c>
      <c r="CD58" s="1409">
        <f ca="1">IF(B58&gt;=$J$5,0,CONTADORES!CA52-CONTADORES!CA51)</f>
        <v>6</v>
      </c>
      <c r="CE58" s="1438">
        <f ca="1">IF(B58&gt;=$J$5,0,CONTADORES!CB52-CONTADORES!CB51)</f>
        <v>4.2000000000007276</v>
      </c>
      <c r="CF58" s="1438">
        <f t="shared" ca="1" si="18"/>
        <v>11.576999999999183</v>
      </c>
      <c r="CG58" s="1438">
        <f t="shared" ca="1" si="19"/>
        <v>8.1730000000005454</v>
      </c>
      <c r="CH58" s="1438">
        <f t="shared" ca="1" si="20"/>
        <v>5.5769999999991828</v>
      </c>
      <c r="CI58" s="1438">
        <f t="shared" ca="1" si="21"/>
        <v>1.3724000000000729</v>
      </c>
      <c r="CJ58" s="1438">
        <f t="shared" ca="1" si="22"/>
        <v>5.5769999999991828</v>
      </c>
      <c r="CK58" s="1438">
        <f t="shared" ca="1" si="23"/>
        <v>2.0586000000001095</v>
      </c>
      <c r="CL58" s="1438">
        <f t="shared" ca="1" si="24"/>
        <v>2.7414000000000729</v>
      </c>
      <c r="CM58" s="1438">
        <f t="shared" ca="1" si="25"/>
        <v>3.9729999999998178</v>
      </c>
      <c r="CN58" s="1438">
        <f ca="1">IF(B58&gt;=$J$5,0,CONTADORES!CB52-CONTADORES!CB51)</f>
        <v>4.2000000000007276</v>
      </c>
      <c r="CO58" s="1438">
        <f t="shared" ca="1" si="26"/>
        <v>3.9729999999998178</v>
      </c>
      <c r="CP58" s="1438">
        <f t="shared" ca="1" si="27"/>
        <v>0.61799999999999999</v>
      </c>
      <c r="CQ58" s="1438">
        <f t="shared" ca="1" si="28"/>
        <v>0.61799999999999999</v>
      </c>
      <c r="CR58" s="1438">
        <f t="shared" ca="1" si="29"/>
        <v>1.3820000000000001</v>
      </c>
      <c r="CS58" s="1439">
        <f ca="1">IF($B58&gt;=$J$5,0,CONTADORES!$BI52)</f>
        <v>9359.6594883822108</v>
      </c>
      <c r="CT58" s="1334">
        <f>CONTADORES!E52</f>
        <v>0</v>
      </c>
      <c r="CU58" s="1334">
        <f>CONTADORES!CG52</f>
        <v>0</v>
      </c>
    </row>
    <row r="59" spans="2:99">
      <c r="B59" s="214">
        <v>44975</v>
      </c>
      <c r="C59" s="198">
        <f t="shared" ca="1" si="0"/>
        <v>301</v>
      </c>
      <c r="D59" s="196">
        <f ca="1">'CALCULO DE GAS'!D55</f>
        <v>4.9308741807980052</v>
      </c>
      <c r="E59" s="196">
        <f ca="1">IF(B59&gt;=$J$5,0,(CONTADORES!$AD53-CONTADORES!$AD52)-$H59)</f>
        <v>24</v>
      </c>
      <c r="F59" s="198">
        <f t="shared" ca="1" si="31"/>
        <v>0</v>
      </c>
      <c r="G59" s="196">
        <f ca="1">IF(B59&gt;=$J$5,0,CONTADORES!$AF53-CONTADORES!$AF52)</f>
        <v>0</v>
      </c>
      <c r="H59" s="1396">
        <f ca="1">IF(G59&gt;0,CONTADORES!$AE53-CONTADORES!$AE52,0)</f>
        <v>0</v>
      </c>
      <c r="I59" s="199">
        <f ca="1">IF(B59&gt;=$J$5,0,CONTADORES!$AB53-CONTADORES!$AB52)</f>
        <v>301</v>
      </c>
      <c r="J59" s="198">
        <f t="shared" ca="1" si="2"/>
        <v>150.40000000000146</v>
      </c>
      <c r="K59" s="196">
        <f ca="1">'CALCULO DE GAS'!E55</f>
        <v>3.7027893927680915</v>
      </c>
      <c r="L59" s="1396">
        <f ca="1">IF(B59&gt;=$J$5,0,(CONTADORES!$Y53-CONTADORES!$Y52)-$O59)</f>
        <v>24</v>
      </c>
      <c r="M59" s="1396">
        <f t="shared" ca="1" si="33"/>
        <v>0</v>
      </c>
      <c r="N59" s="1396">
        <f ca="1">IF(B59&gt;=$J$5,0,CONTADORES!$AA53-CONTADORES!AA52)</f>
        <v>0</v>
      </c>
      <c r="O59" s="1396">
        <f ca="1">IF(N59&gt;0,CONTADORES!$Z53-CONTADORES!$Z52,0)</f>
        <v>0</v>
      </c>
      <c r="P59" s="202">
        <f ca="1">IF(B59&gt;=$J$5,0,CONTADORES!$W53-CONTADORES!$W52)</f>
        <v>150.40000000000146</v>
      </c>
      <c r="Q59" s="202">
        <f ca="1">IF(B59&gt;=$J$5,0,CONTADORES!$B53-CONTADORES!$B52)</f>
        <v>0</v>
      </c>
      <c r="R59" s="196">
        <f t="shared" ca="1" si="4"/>
        <v>0</v>
      </c>
      <c r="S59" s="11">
        <f ca="1">IF(B59&gt;=$J$5,0,CONTADORES!$D53-CONTADORES!$D52)</f>
        <v>0</v>
      </c>
      <c r="T59" s="198">
        <f ca="1">IF(B59&gt;=$J$5,0,CONTADORES!$BB53-CONTADORES!$BB52)</f>
        <v>0</v>
      </c>
      <c r="U59" s="196">
        <f t="shared" ca="1" si="32"/>
        <v>0</v>
      </c>
      <c r="V59" s="199">
        <f ca="1">IF(B59&gt;=$J$5,0,CONTADORES!$BD53-CONTADORES!$BD52)</f>
        <v>0</v>
      </c>
      <c r="W59" s="1397">
        <f t="shared" ca="1" si="6"/>
        <v>451.40000000000146</v>
      </c>
      <c r="X59" s="1397">
        <f t="shared" ca="1" si="7"/>
        <v>0</v>
      </c>
      <c r="Y59" s="1398">
        <f t="shared" ca="1" si="8"/>
        <v>451.40000000000146</v>
      </c>
      <c r="Z59" s="1398">
        <f t="shared" ca="1" si="9"/>
        <v>8.6336635735660963</v>
      </c>
      <c r="AA59" s="1398">
        <f t="shared" ca="1" si="10"/>
        <v>0</v>
      </c>
      <c r="AB59" s="1398">
        <f t="shared" ca="1" si="11"/>
        <v>48</v>
      </c>
      <c r="AC59" s="1397">
        <f t="shared" ca="1" si="12"/>
        <v>0</v>
      </c>
      <c r="AD59" s="1397">
        <f ca="1">IF(B59=$J$5,0,CONTADORES!H53-CONTADORES!H52)</f>
        <v>165</v>
      </c>
      <c r="AE59" s="1397">
        <f ca="1">IF(B59=$J$5,0,CONTADORES!J53-CONTADORES!J52)</f>
        <v>24</v>
      </c>
      <c r="AF59" s="1397">
        <f ca="1">IF(B59=$J$5,0,CONTADORES!AU53-CONTADORES!AU52)</f>
        <v>148</v>
      </c>
      <c r="AG59" s="1397">
        <f ca="1">IF(B59=$J$5,0,CONTADORES!AW53-CONTADORES!AW52)</f>
        <v>24</v>
      </c>
      <c r="AH59" s="1397">
        <f ca="1">IF(B59=$J$5,0,(CONTADORES!AM53-CONTADORES!AM52)+(CONTADORES!M53-CONTADORES!M52))</f>
        <v>11.099999999998545</v>
      </c>
      <c r="AI59" s="1397">
        <f ca="1">IF(B59=$J$5,0,(CONTADORES!AK53-CONTADORES!AK52)+(CONTADORES!O53-CONTADORES!O52))</f>
        <v>40.300000000010186</v>
      </c>
      <c r="AJ59" s="1397">
        <f ca="1">IF(B59=$J$5,0,(CONTADORES!AI53-CONTADORES!AI52))</f>
        <v>9.1999999999970896</v>
      </c>
      <c r="AK59" s="1397">
        <f ca="1">IF(B59=$J$5,0,(CONTADORES!Q53-CONTADORES!Q52))</f>
        <v>16</v>
      </c>
      <c r="AL59" s="1397">
        <f t="shared" ca="1" si="13"/>
        <v>33.299999999995634</v>
      </c>
      <c r="AM59" s="1397">
        <f ca="1">IF(B59&gt;=$J$5,0,(((CONTADORES!F53-CONTADORES!F52)+(CONTADORES!AQ53-CONTADORES!AQ52))))-BS59-AF59-AN59-BV59-BY59-CD59-CB59</f>
        <v>7.9819999999999975</v>
      </c>
      <c r="AN59" s="1397">
        <f ca="1">IF(B59=$J$5,0,(CONTADORES!AX53-CONTADORES!AX52)+(CONTADORES!AZ53-CONTADORES!AZ52)+(CONTADORES!BE53-CONTADORES!BE52))-CB59</f>
        <v>3.9060000000001818</v>
      </c>
      <c r="AO59" s="1437">
        <f ca="1">IF(B59&gt;=$J$5,0,(CONTADORES!AC53-CONTADORES!AC52))</f>
        <v>159</v>
      </c>
      <c r="AP59" s="1437">
        <f ca="1">IF(B59&gt;=$J$5,0,(CONTADORES!X53-CONTADORES!X52))</f>
        <v>75</v>
      </c>
      <c r="AQ59" s="1433">
        <f ca="1">IF(B59&gt;=$J$5,0,(CONTADORES!C53-CONTADORES!C52))</f>
        <v>0</v>
      </c>
      <c r="AR59" s="1399">
        <f ca="1">IF(B59&gt;=$J$5,0,(CONTADORES!BC53-CONTADORES!BC52))</f>
        <v>0</v>
      </c>
      <c r="AS59" s="1397">
        <f ca="1">IF(B59=$J$5,0,CONTADORES!S53-CONTADORES!S52)</f>
        <v>17</v>
      </c>
      <c r="AT59" s="1397">
        <f ca="1">IF(B59=$J$5,0,(CONTADORES!U53-CONTADORES!U52)+(CONTADORES!AG53-CONTADORES!AG52))</f>
        <v>2.0999999999985448</v>
      </c>
      <c r="AU59" s="1397">
        <f>CONTADORES!I53-CONTADORES!I52</f>
        <v>84</v>
      </c>
      <c r="AV59" s="1397">
        <f>CONTADORES!AV53-CONTADORES!AV52</f>
        <v>64</v>
      </c>
      <c r="AW59" s="1397">
        <f ca="1">IF(B59&gt;=$J$5,0,(CONTADORES!N53-CONTADORES!N52)+(CONTADORES!AN53-CONTADORES!AN52))</f>
        <v>4.5</v>
      </c>
      <c r="AX59" s="1397">
        <f ca="1">IF(B59&gt;=$J$5,0,(CONTADORES!P53-CONTADORES!P52)+(CONTADORES!AL53-CONTADORES!AL52))</f>
        <v>32.299999999995634</v>
      </c>
      <c r="AY59" s="1397">
        <f ca="1">IF(B59&gt;=$J$5,0,(CONTADORES!AJ53-CONTADORES!AJ52))</f>
        <v>7.1999999999970896</v>
      </c>
      <c r="AZ59" s="1397">
        <f ca="1">IF(B59&gt;=$J$5,0,(CONTADORES!R53-CONTADORES!R52))</f>
        <v>14</v>
      </c>
      <c r="BA59" s="1397">
        <f t="shared" ca="1" si="14"/>
        <v>11.622000000007858</v>
      </c>
      <c r="BB59" s="1397">
        <f ca="1">IF(B59&gt;=$J$5,0,(((CONTADORES!G53-CONTADORES!G52)+(CONTADORES!AR53-CONTADORES!AR52))))-AV59-BC59-BT59-BW59-BZ59-CE59</f>
        <v>8.7829999999996371</v>
      </c>
      <c r="BC59" s="1744">
        <f ca="1">IF(B59&gt;=$J$5,0,(CONTADORES!AY53-CONTADORES!AY52)+(CONTADORES!BA53-CONTADORES!BA52)+(CONTADORES!BF53-CONTADORES!BF52))-CC59</f>
        <v>1.4219999999998181</v>
      </c>
      <c r="BD59" s="1397">
        <f t="shared" ca="1" si="15"/>
        <v>234</v>
      </c>
      <c r="BE59" s="1398">
        <f ca="1">IF($B59&gt;=$J$5,0,CONTADORES!$BG53)</f>
        <v>7025.9927777777802</v>
      </c>
      <c r="BF59" s="1397">
        <f ca="1">IF($B59&gt;=$J$5,0,CONTADORES!$BH53)</f>
        <v>33094.470077972699</v>
      </c>
      <c r="BG59" s="1397">
        <f ca="1">IF($B59&gt;=$J$5,0,CONTADORES!$BJ53)</f>
        <v>4613.0600000000004</v>
      </c>
      <c r="BH59" s="1409">
        <f ca="1">IF(B59&gt;=$J$5,0,((CONTADORES!BK53-CONTADORES!BK52)/1000))</f>
        <v>1.52</v>
      </c>
      <c r="BI59" s="1409">
        <f ca="1">IF(C59&gt;=$J$5,0,((CONTADORES!BL53-CONTADORES!BL52)/1000))</f>
        <v>1.49</v>
      </c>
      <c r="BJ59" s="1399">
        <f ca="1">IF(C59&gt;=$J$5,0,((CONTADORES!BM53-CONTADORES!BM52)/1000))</f>
        <v>0</v>
      </c>
      <c r="BK59" s="1399">
        <f ca="1">IF(D59&gt;=$J$5,0,((CONTADORES!BN53-CONTADORES!BN52)/1000))</f>
        <v>0</v>
      </c>
      <c r="BL59" s="1399">
        <f t="shared" ca="1" si="16"/>
        <v>1.52</v>
      </c>
      <c r="BM59" s="1399">
        <f t="shared" ca="1" si="17"/>
        <v>1.49</v>
      </c>
      <c r="BN59" s="1398">
        <f ca="1">IF(W59&gt;=$J$5,0,CONTADORES!$BO53)</f>
        <v>133.56582506915299</v>
      </c>
      <c r="BO59" s="1397">
        <f ca="1">IF(W59&gt;=$J$5,0,CONTADORES!$BP53)</f>
        <v>43.250430593048399</v>
      </c>
      <c r="BP59" s="1397">
        <f ca="1">IF(W59&gt;=$J$5,0,CONTADORES!$BQ53)</f>
        <v>658.62122181624795</v>
      </c>
      <c r="BQ59" s="1397">
        <f ca="1">IF(B59&gt;=$J$5,0,(CONTADORES!AS53-CONTADORES!AS52))</f>
        <v>4.3999999999941792</v>
      </c>
      <c r="BR59" s="1397">
        <f ca="1">IF(B59&gt;=$J$5,0,(CONTADORES!AT53-CONTADORES!AT52))</f>
        <v>0</v>
      </c>
      <c r="BS59" s="1409">
        <f ca="1">IF(B59&gt;=$J$5,0,CONTADORES!BR53-CONTADORES!BR52)/1000</f>
        <v>0</v>
      </c>
      <c r="BT59" s="1438">
        <f ca="1">IF(B59&gt;=$J$5,0,CONTADORES!BS53-CONTADORES!BS52)</f>
        <v>0</v>
      </c>
      <c r="BU59" s="1438">
        <f ca="1">IF(B59&gt;=$J$5,0,CONTADORES!BT53-CONTADORES!BT52)</f>
        <v>0</v>
      </c>
      <c r="BV59" s="1438">
        <f ca="1">IF(B59&gt;=$J$5,0,CONTADORES!BU53-CONTADORES!BU52)/1000</f>
        <v>4.6920000000000002</v>
      </c>
      <c r="BW59" s="1438">
        <f ca="1">IF(B59&gt;=$J$5,0,CONTADORES!BV53-CONTADORES!BV52)/1000</f>
        <v>0.82499999999999996</v>
      </c>
      <c r="BX59" s="1438">
        <f ca="1">IF(B59&gt;=$J$5,0,CONTADORES!BW53-CONTADORES!BW52)</f>
        <v>24</v>
      </c>
      <c r="BY59" s="1438">
        <f ca="1">IF(B59&gt;=$J$5,0,CONTADORES!BX53-CONTADORES!BX52)/1000</f>
        <v>3.8260000000000001</v>
      </c>
      <c r="BZ59" s="1438">
        <f ca="1">IF(B59&gt;=$J$5,0,CONTADORES!BY53-CONTADORES!BY52)/1000</f>
        <v>7.0000000000000007E-2</v>
      </c>
      <c r="CA59" s="1438">
        <f ca="1">IF(B59&gt;=$J$5,0,CONTADORES!BZ53-CONTADORES!BZ52)</f>
        <v>24.000000000001819</v>
      </c>
      <c r="CB59" s="1409">
        <f ca="1">IF(B59&gt;=$J$5,0,(CONTADORES!CC53-CONTADORES!CC52)+(CONTADORES!CE53-CONTADORES!CE52))/1000</f>
        <v>1.3939999999999999</v>
      </c>
      <c r="CC59" s="1438">
        <f ca="1">IF(B59&gt;=$J$5,0,(CONTADORES!CD53-CONTADORES!CD52)+(CONTADORES!CF53-CONTADORES!CF52))/1000</f>
        <v>0.77800000000000002</v>
      </c>
      <c r="CD59" s="1409">
        <f ca="1">IF(B59&gt;=$J$5,0,CONTADORES!CA53-CONTADORES!CA52)</f>
        <v>6.6999999999998181</v>
      </c>
      <c r="CE59" s="1438">
        <f ca="1">IF(B59&gt;=$J$5,0,CONTADORES!CB53-CONTADORES!CB52)</f>
        <v>4.5</v>
      </c>
      <c r="CF59" s="1438">
        <f t="shared" ca="1" si="18"/>
        <v>10.690999999999818</v>
      </c>
      <c r="CG59" s="1438">
        <f t="shared" ca="1" si="19"/>
        <v>8.8914999999998194</v>
      </c>
      <c r="CH59" s="1438">
        <f t="shared" ca="1" si="20"/>
        <v>3.9909999999999988</v>
      </c>
      <c r="CI59" s="1438">
        <f t="shared" ca="1" si="21"/>
        <v>1.5624000000000728</v>
      </c>
      <c r="CJ59" s="1438">
        <f t="shared" ca="1" si="22"/>
        <v>3.9909999999999988</v>
      </c>
      <c r="CK59" s="1438">
        <f t="shared" ca="1" si="23"/>
        <v>2.3436000000001087</v>
      </c>
      <c r="CL59" s="1438">
        <f t="shared" ca="1" si="24"/>
        <v>2.9564000000000727</v>
      </c>
      <c r="CM59" s="1438">
        <f t="shared" ca="1" si="25"/>
        <v>4.3914999999998185</v>
      </c>
      <c r="CN59" s="1438">
        <f ca="1">IF(B59&gt;=$J$5,0,CONTADORES!CB53-CONTADORES!CB52)</f>
        <v>4.5</v>
      </c>
      <c r="CO59" s="1438">
        <f t="shared" ca="1" si="26"/>
        <v>4.3914999999998185</v>
      </c>
      <c r="CP59" s="1438">
        <f t="shared" ca="1" si="27"/>
        <v>0.71099999999990904</v>
      </c>
      <c r="CQ59" s="1438">
        <f t="shared" ca="1" si="28"/>
        <v>0.71099999999990904</v>
      </c>
      <c r="CR59" s="1438">
        <f t="shared" ca="1" si="29"/>
        <v>1.4889999999999091</v>
      </c>
      <c r="CS59" s="1439">
        <f ca="1">IF($B59&gt;=$J$5,0,CONTADORES!$BI53)</f>
        <v>9381.6275086648293</v>
      </c>
      <c r="CT59" s="1334">
        <f>CONTADORES!E53</f>
        <v>0</v>
      </c>
      <c r="CU59" s="1334">
        <f>CONTADORES!CG53</f>
        <v>0</v>
      </c>
    </row>
    <row r="60" spans="2:99">
      <c r="B60" s="214">
        <v>44976</v>
      </c>
      <c r="C60" s="198">
        <f t="shared" ca="1" si="0"/>
        <v>294</v>
      </c>
      <c r="D60" s="196">
        <f ca="1">'CALCULO DE GAS'!D56</f>
        <v>4.8737918865336667</v>
      </c>
      <c r="E60" s="196">
        <f ca="1">IF(B60&gt;=$J$5,0,(CONTADORES!$AD54-CONTADORES!$AD53)-$H60)</f>
        <v>24</v>
      </c>
      <c r="F60" s="198">
        <f t="shared" ca="1" si="31"/>
        <v>0</v>
      </c>
      <c r="G60" s="196">
        <f ca="1">IF(B60&gt;=$J$5,0,CONTADORES!$AF54-CONTADORES!$AF53)</f>
        <v>0</v>
      </c>
      <c r="H60" s="1396">
        <f ca="1">IF(G60&gt;0,CONTADORES!$AE54-CONTADORES!$AE53,0)</f>
        <v>0</v>
      </c>
      <c r="I60" s="199">
        <f ca="1">IF(B60&gt;=$J$5,0,CONTADORES!$AB54-CONTADORES!$AB53)</f>
        <v>294</v>
      </c>
      <c r="J60" s="198">
        <f t="shared" ca="1" si="2"/>
        <v>145.59999999999854</v>
      </c>
      <c r="K60" s="196">
        <f ca="1">'CALCULO DE GAS'!E56</f>
        <v>3.6636472481296636</v>
      </c>
      <c r="L60" s="1396">
        <f ca="1">IF(B60&gt;=$J$5,0,(CONTADORES!$Y54-CONTADORES!$Y53)-$O60)</f>
        <v>24</v>
      </c>
      <c r="M60" s="1396">
        <f t="shared" ca="1" si="33"/>
        <v>0</v>
      </c>
      <c r="N60" s="1396">
        <f ca="1">IF(B60&gt;=$J$5,0,CONTADORES!$AA54-CONTADORES!AA53)</f>
        <v>0</v>
      </c>
      <c r="O60" s="1396">
        <f ca="1">IF(N60&gt;0,CONTADORES!$Z54-CONTADORES!$Z53,0)</f>
        <v>0</v>
      </c>
      <c r="P60" s="202">
        <f ca="1">IF(B60&gt;=$J$5,0,CONTADORES!$W54-CONTADORES!$W53)</f>
        <v>145.59999999999854</v>
      </c>
      <c r="Q60" s="202">
        <f ca="1">IF(B60&gt;=$J$5,0,CONTADORES!$B54-CONTADORES!$B53)</f>
        <v>0</v>
      </c>
      <c r="R60" s="196">
        <f t="shared" ca="1" si="4"/>
        <v>0</v>
      </c>
      <c r="S60" s="11">
        <f ca="1">IF(B60&gt;=$J$5,0,CONTADORES!$D54-CONTADORES!$D53)</f>
        <v>0</v>
      </c>
      <c r="T60" s="198">
        <f ca="1">IF(B60&gt;=$J$5,0,CONTADORES!$BB54-CONTADORES!$BB53)</f>
        <v>0</v>
      </c>
      <c r="U60" s="196">
        <f t="shared" ca="1" si="32"/>
        <v>0</v>
      </c>
      <c r="V60" s="199">
        <f ca="1">IF(B60&gt;=$J$5,0,CONTADORES!$BD54-CONTADORES!$BD53)</f>
        <v>0</v>
      </c>
      <c r="W60" s="1397">
        <f t="shared" ca="1" si="6"/>
        <v>439.59999999999854</v>
      </c>
      <c r="X60" s="1397">
        <f t="shared" ca="1" si="7"/>
        <v>0</v>
      </c>
      <c r="Y60" s="1398">
        <f t="shared" ca="1" si="8"/>
        <v>439.59999999999854</v>
      </c>
      <c r="Z60" s="1398">
        <f t="shared" ca="1" si="9"/>
        <v>8.5374391346633303</v>
      </c>
      <c r="AA60" s="1398">
        <f t="shared" ca="1" si="10"/>
        <v>0</v>
      </c>
      <c r="AB60" s="1398">
        <f t="shared" ca="1" si="11"/>
        <v>48</v>
      </c>
      <c r="AC60" s="1397">
        <f t="shared" ca="1" si="12"/>
        <v>0</v>
      </c>
      <c r="AD60" s="1397">
        <f ca="1">IF(B60=$J$5,0,CONTADORES!H54-CONTADORES!H53)</f>
        <v>160</v>
      </c>
      <c r="AE60" s="1397">
        <f ca="1">IF(B60=$J$5,0,CONTADORES!J54-CONTADORES!J53)</f>
        <v>24</v>
      </c>
      <c r="AF60" s="1397">
        <f ca="1">IF(B60=$J$5,0,CONTADORES!AU54-CONTADORES!AU53)</f>
        <v>143</v>
      </c>
      <c r="AG60" s="1397">
        <f ca="1">IF(B60=$J$5,0,CONTADORES!AW54-CONTADORES!AW53)</f>
        <v>24</v>
      </c>
      <c r="AH60" s="1397">
        <f ca="1">IF(B60=$J$5,0,(CONTADORES!AM54-CONTADORES!AM53)+(CONTADORES!M54-CONTADORES!M53))</f>
        <v>11.400000000001455</v>
      </c>
      <c r="AI60" s="1397">
        <f ca="1">IF(B60=$J$5,0,(CONTADORES!AK54-CONTADORES!AK53)+(CONTADORES!O54-CONTADORES!O53))</f>
        <v>39.19999999999709</v>
      </c>
      <c r="AJ60" s="1397">
        <f ca="1">IF(B60=$J$5,0,(CONTADORES!AI54-CONTADORES!AI53))</f>
        <v>9.1999999999970896</v>
      </c>
      <c r="AK60" s="1397">
        <f ca="1">IF(B60=$J$5,0,(CONTADORES!Q54-CONTADORES!Q53))</f>
        <v>16</v>
      </c>
      <c r="AL60" s="1397">
        <f t="shared" ca="1" si="13"/>
        <v>32.100000000002183</v>
      </c>
      <c r="AM60" s="1397">
        <f ca="1">IF(B60&gt;=$J$5,0,(((CONTADORES!F54-CONTADORES!F53)+(CONTADORES!AQ54-CONTADORES!AQ53))))-BS60-AF60-AN60-BV60-BY60-CD60-CB60</f>
        <v>10.661000000001636</v>
      </c>
      <c r="AN60" s="1397">
        <f ca="1">IF(B60=$J$5,0,(CONTADORES!AX54-CONTADORES!AX53)+(CONTADORES!AZ54-CONTADORES!AZ53)+(CONTADORES!BE54-CONTADORES!BE53))-CB60</f>
        <v>3.1769999999990906</v>
      </c>
      <c r="AO60" s="1437">
        <f ca="1">IF(B60&gt;=$J$5,0,(CONTADORES!AC54-CONTADORES!AC53))</f>
        <v>148</v>
      </c>
      <c r="AP60" s="1437">
        <f ca="1">IF(B60&gt;=$J$5,0,(CONTADORES!X54-CONTADORES!X53))</f>
        <v>81</v>
      </c>
      <c r="AQ60" s="1433">
        <f ca="1">IF(B60&gt;=$J$5,0,(CONTADORES!C54-CONTADORES!C53))</f>
        <v>0</v>
      </c>
      <c r="AR60" s="1399">
        <f ca="1">IF(B60&gt;=$J$5,0,(CONTADORES!BC54-CONTADORES!BC53))</f>
        <v>0</v>
      </c>
      <c r="AS60" s="1397">
        <f ca="1">IF(B60=$J$5,0,CONTADORES!S54-CONTADORES!S53)</f>
        <v>17</v>
      </c>
      <c r="AT60" s="1397">
        <f ca="1">IF(B60=$J$5,0,(CONTADORES!U54-CONTADORES!U53)+(CONTADORES!AG54-CONTADORES!AG53))</f>
        <v>2.0999999999985448</v>
      </c>
      <c r="AU60" s="1397">
        <f>CONTADORES!I54-CONTADORES!I53</f>
        <v>83</v>
      </c>
      <c r="AV60" s="1397">
        <f>CONTADORES!AV54-CONTADORES!AV53</f>
        <v>62</v>
      </c>
      <c r="AW60" s="1397">
        <f ca="1">IF(B60&gt;=$J$5,0,(CONTADORES!N54-CONTADORES!N53)+(CONTADORES!AN54-CONTADORES!AN53))</f>
        <v>4.5</v>
      </c>
      <c r="AX60" s="1397">
        <f ca="1">IF(B60&gt;=$J$5,0,(CONTADORES!P54-CONTADORES!P53)+(CONTADORES!AL54-CONTADORES!AL53))</f>
        <v>31</v>
      </c>
      <c r="AY60" s="1397">
        <f ca="1">IF(B60&gt;=$J$5,0,(CONTADORES!AJ54-CONTADORES!AJ53))</f>
        <v>6.5</v>
      </c>
      <c r="AZ60" s="1397">
        <f ca="1">IF(B60&gt;=$J$5,0,(CONTADORES!R54-CONTADORES!R53))</f>
        <v>13</v>
      </c>
      <c r="BA60" s="1397">
        <f t="shared" ca="1" si="14"/>
        <v>11.954999999999842</v>
      </c>
      <c r="BB60" s="1397">
        <f ca="1">IF(B60&gt;=$J$5,0,(((CONTADORES!G54-CONTADORES!G53)+(CONTADORES!AR54-CONTADORES!AR53))))-AV60-BC60-BT60-BW60-BZ60-CE60</f>
        <v>10.133000000000182</v>
      </c>
      <c r="BC60" s="1744">
        <f ca="1">IF(B60&gt;=$J$5,0,(CONTADORES!AY54-CONTADORES!AY53)+(CONTADORES!BA54-CONTADORES!BA53)+(CONTADORES!BF54-CONTADORES!BF53))-CC60</f>
        <v>1.0550000000001818</v>
      </c>
      <c r="BD60" s="1397">
        <f t="shared" ca="1" si="15"/>
        <v>229</v>
      </c>
      <c r="BE60" s="1398">
        <f ca="1">IF($B60&gt;=$J$5,0,CONTADORES!$BG54)</f>
        <v>6983.08315789474</v>
      </c>
      <c r="BF60" s="1397">
        <f ca="1">IF($B60&gt;=$J$5,0,CONTADORES!$BH54)</f>
        <v>33248.419482917801</v>
      </c>
      <c r="BG60" s="1397">
        <f ca="1">IF($B60&gt;=$J$5,0,CONTADORES!$BJ54)</f>
        <v>4112.1000000000004</v>
      </c>
      <c r="BH60" s="1409">
        <f ca="1">IF(B60&gt;=$J$5,0,((CONTADORES!BK54-CONTADORES!BK53)/1000))</f>
        <v>1.498</v>
      </c>
      <c r="BI60" s="1409">
        <f ca="1">IF(C60&gt;=$J$5,0,((CONTADORES!BL54-CONTADORES!BL53)/1000))</f>
        <v>1.448</v>
      </c>
      <c r="BJ60" s="1399">
        <f ca="1">IF(C60&gt;=$J$5,0,((CONTADORES!BM54-CONTADORES!BM53)/1000))</f>
        <v>0</v>
      </c>
      <c r="BK60" s="1399">
        <f ca="1">IF(D60&gt;=$J$5,0,((CONTADORES!BN54-CONTADORES!BN53)/1000))</f>
        <v>0</v>
      </c>
      <c r="BL60" s="1399">
        <f t="shared" ca="1" si="16"/>
        <v>1.498</v>
      </c>
      <c r="BM60" s="1399">
        <f t="shared" ca="1" si="17"/>
        <v>1.448</v>
      </c>
      <c r="BN60" s="1398">
        <f ca="1">IF(W60&gt;=$J$5,0,CONTADORES!$BO54)</f>
        <v>134.69568683413101</v>
      </c>
      <c r="BO60" s="1397">
        <f ca="1">IF(W60&gt;=$J$5,0,CONTADORES!$BP54)</f>
        <v>43.223747896094999</v>
      </c>
      <c r="BP60" s="1397">
        <f ca="1">IF(W60&gt;=$J$5,0,CONTADORES!$BQ54)</f>
        <v>655.45779626753495</v>
      </c>
      <c r="BQ60" s="1397">
        <f ca="1">IF(B60&gt;=$J$5,0,(CONTADORES!AS54-CONTADORES!AS53))</f>
        <v>4.2000000000043656</v>
      </c>
      <c r="BR60" s="1397">
        <f ca="1">IF(B60&gt;=$J$5,0,(CONTADORES!AT54-CONTADORES!AT53))</f>
        <v>0</v>
      </c>
      <c r="BS60" s="1409">
        <f ca="1">IF(B60&gt;=$J$5,0,CONTADORES!BR54-CONTADORES!BR53)/1000</f>
        <v>0</v>
      </c>
      <c r="BT60" s="1438">
        <f ca="1">IF(B60&gt;=$J$5,0,CONTADORES!BS54-CONTADORES!BS53)</f>
        <v>0</v>
      </c>
      <c r="BU60" s="1438">
        <f ca="1">IF(B60&gt;=$J$5,0,CONTADORES!BT54-CONTADORES!BT53)</f>
        <v>0</v>
      </c>
      <c r="BV60" s="1438">
        <f ca="1">IF(B60&gt;=$J$5,0,CONTADORES!BU54-CONTADORES!BU53)/1000</f>
        <v>4.2240000000000002</v>
      </c>
      <c r="BW60" s="1438">
        <f ca="1">IF(B60&gt;=$J$5,0,CONTADORES!BV54-CONTADORES!BV53)/1000</f>
        <v>0.84299999999999997</v>
      </c>
      <c r="BX60" s="1438">
        <f ca="1">IF(B60&gt;=$J$5,0,CONTADORES!BW54-CONTADORES!BW53)</f>
        <v>24</v>
      </c>
      <c r="BY60" s="1438">
        <f ca="1">IF(B60&gt;=$J$5,0,CONTADORES!BX54-CONTADORES!BX53)/1000</f>
        <v>3.3149999999999999</v>
      </c>
      <c r="BZ60" s="1438">
        <f ca="1">IF(B60&gt;=$J$5,0,CONTADORES!BY54-CONTADORES!BY53)/1000</f>
        <v>6.9000000000000006E-2</v>
      </c>
      <c r="CA60" s="1438">
        <f ca="1">IF(B60&gt;=$J$5,0,CONTADORES!BZ54-CONTADORES!BZ53)</f>
        <v>24</v>
      </c>
      <c r="CB60" s="1409">
        <f ca="1">IF(B60&gt;=$J$5,0,(CONTADORES!CC54-CONTADORES!CC53)+(CONTADORES!CE54-CONTADORES!CE53))/1000</f>
        <v>1.323</v>
      </c>
      <c r="CC60" s="1438">
        <f ca="1">IF(B60&gt;=$J$5,0,(CONTADORES!CD54-CONTADORES!CD53)+(CONTADORES!CF54-CONTADORES!CF53))/1000</f>
        <v>0.745</v>
      </c>
      <c r="CD60" s="1409">
        <f ca="1">IF(B60&gt;=$J$5,0,CONTADORES!CA54-CONTADORES!CA53)</f>
        <v>6</v>
      </c>
      <c r="CE60" s="1438">
        <f ca="1">IF(B60&gt;=$J$5,0,CONTADORES!CB54-CONTADORES!CB53)</f>
        <v>4.1999999999998181</v>
      </c>
      <c r="CF60" s="1438">
        <f t="shared" ca="1" si="18"/>
        <v>11.330500000000818</v>
      </c>
      <c r="CG60" s="1438">
        <f t="shared" ca="1" si="19"/>
        <v>9.2664999999999083</v>
      </c>
      <c r="CH60" s="1438">
        <f t="shared" ca="1" si="20"/>
        <v>5.3305000000008178</v>
      </c>
      <c r="CI60" s="1438">
        <f t="shared" ca="1" si="21"/>
        <v>1.2707999999996362</v>
      </c>
      <c r="CJ60" s="1438">
        <f t="shared" ca="1" si="22"/>
        <v>5.3305000000008178</v>
      </c>
      <c r="CK60" s="1438">
        <f t="shared" ca="1" si="23"/>
        <v>1.9061999999994543</v>
      </c>
      <c r="CL60" s="1438">
        <f t="shared" ca="1" si="24"/>
        <v>2.5937999999996362</v>
      </c>
      <c r="CM60" s="1438">
        <f t="shared" ca="1" si="25"/>
        <v>5.066500000000091</v>
      </c>
      <c r="CN60" s="1438">
        <f ca="1">IF(B60&gt;=$J$5,0,CONTADORES!CB54-CONTADORES!CB53)</f>
        <v>4.1999999999998181</v>
      </c>
      <c r="CO60" s="1438">
        <f t="shared" ca="1" si="26"/>
        <v>5.066500000000091</v>
      </c>
      <c r="CP60" s="1438">
        <f t="shared" ca="1" si="27"/>
        <v>0.5275000000000909</v>
      </c>
      <c r="CQ60" s="1438">
        <f t="shared" ca="1" si="28"/>
        <v>0.5275000000000909</v>
      </c>
      <c r="CR60" s="1438">
        <f t="shared" ca="1" si="29"/>
        <v>1.272500000000091</v>
      </c>
      <c r="CS60" s="1439">
        <f ca="1">IF($B60&gt;=$J$5,0,CONTADORES!$BI54)</f>
        <v>9399.0835957820509</v>
      </c>
      <c r="CT60" s="1334">
        <f>CONTADORES!E54</f>
        <v>0</v>
      </c>
      <c r="CU60" s="1334">
        <f>CONTADORES!CG54</f>
        <v>0</v>
      </c>
    </row>
    <row r="61" spans="2:99">
      <c r="B61" s="214">
        <v>44977</v>
      </c>
      <c r="C61" s="198">
        <f t="shared" ca="1" si="0"/>
        <v>297</v>
      </c>
      <c r="D61" s="196">
        <f ca="1">'CALCULO DE GAS'!D57</f>
        <v>4.8982557269326685</v>
      </c>
      <c r="E61" s="196">
        <f ca="1">IF(B61&gt;=$J$5,0,(CONTADORES!$AD55-CONTADORES!$AD54)-$H61)</f>
        <v>24</v>
      </c>
      <c r="F61" s="198">
        <f t="shared" ca="1" si="31"/>
        <v>0</v>
      </c>
      <c r="G61" s="196">
        <f ca="1">IF(B61&gt;=$J$5,0,CONTADORES!$AF55-CONTADORES!$AF54)</f>
        <v>0</v>
      </c>
      <c r="H61" s="1396">
        <f ca="1">IF(G61&gt;0,CONTADORES!$AE55-CONTADORES!$AE54,0)</f>
        <v>0</v>
      </c>
      <c r="I61" s="199">
        <f ca="1">IF(B61&gt;=$J$5,0,CONTADORES!$AB55-CONTADORES!$AB54)</f>
        <v>297</v>
      </c>
      <c r="J61" s="198">
        <f t="shared" ca="1" si="2"/>
        <v>148.59999999999854</v>
      </c>
      <c r="K61" s="196">
        <f ca="1">'CALCULO DE GAS'!E57</f>
        <v>3.6881110885286663</v>
      </c>
      <c r="L61" s="1396">
        <f ca="1">IF(B61&gt;=$J$5,0,(CONTADORES!$Y55-CONTADORES!$Y54)-$O61)</f>
        <v>24</v>
      </c>
      <c r="M61" s="1396">
        <f t="shared" ca="1" si="33"/>
        <v>0</v>
      </c>
      <c r="N61" s="1396">
        <f ca="1">IF(B61&gt;=$J$5,0,CONTADORES!$AA55-CONTADORES!AA54)</f>
        <v>0</v>
      </c>
      <c r="O61" s="1396">
        <f ca="1">IF(N61&gt;0,CONTADORES!$Z55-CONTADORES!$Z54,0)</f>
        <v>0</v>
      </c>
      <c r="P61" s="202">
        <f ca="1">IF(B61&gt;=$J$5,0,CONTADORES!$W55-CONTADORES!$W54)</f>
        <v>148.59999999999854</v>
      </c>
      <c r="Q61" s="202">
        <f ca="1">IF(B61&gt;=$J$5,0,CONTADORES!$B55-CONTADORES!$B54)</f>
        <v>0.8149999999998272</v>
      </c>
      <c r="R61" s="196">
        <f t="shared" ca="1" si="4"/>
        <v>97.799999999979264</v>
      </c>
      <c r="S61" s="11">
        <f ca="1">IF(B61&gt;=$J$5,0,CONTADORES!$D55-CONTADORES!$D54)</f>
        <v>1.5</v>
      </c>
      <c r="T61" s="198">
        <f ca="1">IF(B61&gt;=$J$5,0,CONTADORES!$BB55-CONTADORES!$BB54)</f>
        <v>0.19200000000000728</v>
      </c>
      <c r="U61" s="196">
        <f t="shared" ca="1" si="32"/>
        <v>23.040000000000873</v>
      </c>
      <c r="V61" s="199">
        <f ca="1">IF(B61&gt;=$J$5,0,CONTADORES!$BD55-CONTADORES!$BD54)</f>
        <v>0.49000000000000909</v>
      </c>
      <c r="W61" s="1397">
        <f t="shared" ca="1" si="6"/>
        <v>445.59999999999854</v>
      </c>
      <c r="X61" s="1397">
        <f t="shared" ca="1" si="7"/>
        <v>1.0069999999998345</v>
      </c>
      <c r="Y61" s="1398">
        <f t="shared" ca="1" si="8"/>
        <v>446.60699999999838</v>
      </c>
      <c r="Z61" s="1398">
        <f t="shared" ca="1" si="9"/>
        <v>8.5863668154613357</v>
      </c>
      <c r="AA61" s="1398">
        <f t="shared" ca="1" si="10"/>
        <v>120.83999999998014</v>
      </c>
      <c r="AB61" s="1398">
        <f t="shared" ca="1" si="11"/>
        <v>48</v>
      </c>
      <c r="AC61" s="1397">
        <f t="shared" ca="1" si="12"/>
        <v>1.9900000000000091</v>
      </c>
      <c r="AD61" s="1397">
        <f ca="1">IF(B61=$J$5,0,CONTADORES!H55-CONTADORES!H54)</f>
        <v>155</v>
      </c>
      <c r="AE61" s="1397">
        <f ca="1">IF(B61=$J$5,0,CONTADORES!J55-CONTADORES!J54)</f>
        <v>24</v>
      </c>
      <c r="AF61" s="1397">
        <f ca="1">IF(B61=$J$5,0,CONTADORES!AU55-CONTADORES!AU54)</f>
        <v>147</v>
      </c>
      <c r="AG61" s="1397">
        <f ca="1">IF(B61=$J$5,0,CONTADORES!AW55-CONTADORES!AW54)</f>
        <v>24</v>
      </c>
      <c r="AH61" s="1397">
        <f ca="1">IF(B61=$J$5,0,(CONTADORES!AM55-CONTADORES!AM54)+(CONTADORES!M55-CONTADORES!M54))</f>
        <v>10.5</v>
      </c>
      <c r="AI61" s="1397">
        <f ca="1">IF(B61=$J$5,0,(CONTADORES!AK55-CONTADORES!AK54)+(CONTADORES!O55-CONTADORES!O54))</f>
        <v>39.399999999994179</v>
      </c>
      <c r="AJ61" s="1397">
        <f ca="1">IF(B61=$J$5,0,(CONTADORES!AI55-CONTADORES!AI54))</f>
        <v>9.6000000000058208</v>
      </c>
      <c r="AK61" s="1397">
        <f ca="1">IF(B61=$J$5,0,(CONTADORES!Q55-CONTADORES!Q54))</f>
        <v>17</v>
      </c>
      <c r="AL61" s="1397">
        <f t="shared" ca="1" si="13"/>
        <v>39.30699999999905</v>
      </c>
      <c r="AM61" s="1397">
        <f ca="1">IF(B61&gt;=$J$5,0,(((CONTADORES!F55-CONTADORES!F54)+(CONTADORES!AQ55-CONTADORES!AQ54))))-BS61-AF61-AN61-BV61-BY61-CD61-CB61</f>
        <v>10.685999999999909</v>
      </c>
      <c r="AN61" s="1397">
        <f ca="1">IF(B61=$J$5,0,(CONTADORES!AX55-CONTADORES!AX54)+(CONTADORES!AZ55-CONTADORES!AZ54)+(CONTADORES!BE55-CONTADORES!BE54))-CB61</f>
        <v>3.7259999999999089</v>
      </c>
      <c r="AO61" s="1437">
        <f ca="1">IF(B61&gt;=$J$5,0,(CONTADORES!AC55-CONTADORES!AC54))</f>
        <v>150</v>
      </c>
      <c r="AP61" s="1437">
        <f ca="1">IF(B61&gt;=$J$5,0,(CONTADORES!X55-CONTADORES!X54))</f>
        <v>80.600000000000364</v>
      </c>
      <c r="AQ61" s="1433">
        <f ca="1">IF(B61&gt;=$J$5,0,(CONTADORES!C55-CONTADORES!C54))</f>
        <v>0.27400000000000091</v>
      </c>
      <c r="AR61" s="1399">
        <f ca="1">IF(B61&gt;=$J$5,0,(CONTADORES!BC55-CONTADORES!BC54))</f>
        <v>7.2999999999979082E-2</v>
      </c>
      <c r="AS61" s="1397">
        <f ca="1">IF(B61=$J$5,0,CONTADORES!S55-CONTADORES!S54)</f>
        <v>16</v>
      </c>
      <c r="AT61" s="1397">
        <f ca="1">IF(B61=$J$5,0,(CONTADORES!U55-CONTADORES!U54)+(CONTADORES!AG55-CONTADORES!AG54))</f>
        <v>2.0999999999985448</v>
      </c>
      <c r="AU61" s="1397">
        <f>CONTADORES!I55-CONTADORES!I54</f>
        <v>80</v>
      </c>
      <c r="AV61" s="1397">
        <f>CONTADORES!AV55-CONTADORES!AV54</f>
        <v>64</v>
      </c>
      <c r="AW61" s="1397">
        <f ca="1">IF(B61&gt;=$J$5,0,(CONTADORES!N55-CONTADORES!N54)+(CONTADORES!AN55-CONTADORES!AN54))</f>
        <v>4.1000000000021828</v>
      </c>
      <c r="AX61" s="1397">
        <f ca="1">IF(B61&gt;=$J$5,0,(CONTADORES!P55-CONTADORES!P54)+(CONTADORES!AL55-CONTADORES!AL54))</f>
        <v>32.30000000000291</v>
      </c>
      <c r="AY61" s="1397">
        <f ca="1">IF(B61&gt;=$J$5,0,(CONTADORES!AJ55-CONTADORES!AJ54))</f>
        <v>8</v>
      </c>
      <c r="AZ61" s="1397">
        <f ca="1">IF(B61&gt;=$J$5,0,(CONTADORES!R55-CONTADORES!R54))</f>
        <v>13</v>
      </c>
      <c r="BA61" s="1397">
        <f t="shared" ca="1" si="14"/>
        <v>15.17799999999491</v>
      </c>
      <c r="BB61" s="1397">
        <f ca="1">IF(B61&gt;=$J$5,0,(((CONTADORES!G55-CONTADORES!G54)+(CONTADORES!AR55-CONTADORES!AR54))))-AV61-BC61-BT61-BW61-BZ61-CE61</f>
        <v>8.6910000000009102</v>
      </c>
      <c r="BC61" s="1744">
        <f ca="1">IF(B61&gt;=$J$5,0,(CONTADORES!AY55-CONTADORES!AY54)+(CONTADORES!BA55-CONTADORES!BA54)+(CONTADORES!BF55-CONTADORES!BF54))-CC61</f>
        <v>1.430999999999818</v>
      </c>
      <c r="BD61" s="1397">
        <f t="shared" ca="1" si="15"/>
        <v>230.94700000000034</v>
      </c>
      <c r="BE61" s="1398">
        <f ca="1">IF($B61&gt;=$J$5,0,CONTADORES!$BG55)</f>
        <v>5995.5599999999995</v>
      </c>
      <c r="BF61" s="1397">
        <f ca="1">IF($B61&gt;=$J$5,0,CONTADORES!$BH55)</f>
        <v>36170.594736842104</v>
      </c>
      <c r="BG61" s="1397">
        <f ca="1">IF($B61&gt;=$J$5,0,CONTADORES!$BJ55)</f>
        <v>4740.5600000000004</v>
      </c>
      <c r="BH61" s="1409">
        <f ca="1">IF(B61&gt;=$J$5,0,((CONTADORES!BK55-CONTADORES!BK54)/1000))</f>
        <v>1.504</v>
      </c>
      <c r="BI61" s="1409">
        <f ca="1">IF(C61&gt;=$J$5,0,((CONTADORES!BL55-CONTADORES!BL54)/1000))</f>
        <v>1.478</v>
      </c>
      <c r="BJ61" s="1399">
        <f ca="1">IF(C61&gt;=$J$5,0,((CONTADORES!BM55-CONTADORES!BM54)/1000))</f>
        <v>0</v>
      </c>
      <c r="BK61" s="1399">
        <f ca="1">IF(D61&gt;=$J$5,0,((CONTADORES!BN55-CONTADORES!BN54)/1000))</f>
        <v>0</v>
      </c>
      <c r="BL61" s="1399">
        <f t="shared" ca="1" si="16"/>
        <v>1.504</v>
      </c>
      <c r="BM61" s="1399">
        <f t="shared" ca="1" si="17"/>
        <v>1.478</v>
      </c>
      <c r="BN61" s="1398">
        <f ca="1">IF(W61&gt;=$J$5,0,CONTADORES!$BO55)</f>
        <v>133.642552319662</v>
      </c>
      <c r="BO61" s="1397">
        <f ca="1">IF(W61&gt;=$J$5,0,CONTADORES!$BP55)</f>
        <v>43.844207382660002</v>
      </c>
      <c r="BP61" s="1397">
        <f ca="1">IF(W61&gt;=$J$5,0,CONTADORES!$BQ55)</f>
        <v>658.02718269002798</v>
      </c>
      <c r="BQ61" s="1397">
        <f ca="1">IF(B61&gt;=$J$5,0,(CONTADORES!AS55-CONTADORES!AS54))</f>
        <v>4.5999999999985448</v>
      </c>
      <c r="BR61" s="1397">
        <f ca="1">IF(B61&gt;=$J$5,0,(CONTADORES!AT55-CONTADORES!AT54))</f>
        <v>0</v>
      </c>
      <c r="BS61" s="1409">
        <f ca="1">IF(B61&gt;=$J$5,0,CONTADORES!BR55-CONTADORES!BR54)/1000</f>
        <v>0</v>
      </c>
      <c r="BT61" s="1438">
        <f ca="1">IF(B61&gt;=$J$5,0,CONTADORES!BS55-CONTADORES!BS54)</f>
        <v>0</v>
      </c>
      <c r="BU61" s="1438">
        <f ca="1">IF(B61&gt;=$J$5,0,CONTADORES!BT55-CONTADORES!BT54)</f>
        <v>0</v>
      </c>
      <c r="BV61" s="1438">
        <f ca="1">IF(B61&gt;=$J$5,0,CONTADORES!BU55-CONTADORES!BU54)/1000</f>
        <v>6.0570000000000004</v>
      </c>
      <c r="BW61" s="1438">
        <f ca="1">IF(B61&gt;=$J$5,0,CONTADORES!BV55-CONTADORES!BV54)/1000</f>
        <v>7.8E-2</v>
      </c>
      <c r="BX61" s="1438">
        <f ca="1">IF(B61&gt;=$J$5,0,CONTADORES!BW55-CONTADORES!BW54)</f>
        <v>24</v>
      </c>
      <c r="BY61" s="1438">
        <f ca="1">IF(B61&gt;=$J$5,0,CONTADORES!BX55-CONTADORES!BX54)/1000</f>
        <v>2.3570000000000002</v>
      </c>
      <c r="BZ61" s="1438">
        <f ca="1">IF(B61&gt;=$J$5,0,CONTADORES!BY55-CONTADORES!BY54)/1000</f>
        <v>0</v>
      </c>
      <c r="CA61" s="1438">
        <f ca="1">IF(B61&gt;=$J$5,0,CONTADORES!BZ55-CONTADORES!BZ54)</f>
        <v>24</v>
      </c>
      <c r="CB61" s="1409">
        <f ca="1">IF(B61&gt;=$J$5,0,(CONTADORES!CC55-CONTADORES!CC54)+(CONTADORES!CE55-CONTADORES!CE54))/1000</f>
        <v>1.3740000000000001</v>
      </c>
      <c r="CC61" s="1438">
        <f ca="1">IF(B61&gt;=$J$5,0,(CONTADORES!CD55-CONTADORES!CD54)+(CONTADORES!CF55-CONTADORES!CF54))/1000</f>
        <v>0.76900000000000002</v>
      </c>
      <c r="CD61" s="1409">
        <f ca="1">IF(B61&gt;=$J$5,0,CONTADORES!CA55-CONTADORES!CA54)</f>
        <v>4.5999999999994543</v>
      </c>
      <c r="CE61" s="1438">
        <f ca="1">IF(B61&gt;=$J$5,0,CONTADORES!CB55-CONTADORES!CB54)</f>
        <v>3.3999999999996362</v>
      </c>
      <c r="CF61" s="1438">
        <f t="shared" ca="1" si="18"/>
        <v>9.9429999999994081</v>
      </c>
      <c r="CG61" s="1438">
        <f t="shared" ca="1" si="19"/>
        <v>7.7455000000000913</v>
      </c>
      <c r="CH61" s="1438">
        <f t="shared" ca="1" si="20"/>
        <v>5.3429999999999547</v>
      </c>
      <c r="CI61" s="1438">
        <f t="shared" ca="1" si="21"/>
        <v>1.4903999999999638</v>
      </c>
      <c r="CJ61" s="1438">
        <f t="shared" ca="1" si="22"/>
        <v>5.3429999999999547</v>
      </c>
      <c r="CK61" s="1438">
        <f t="shared" ca="1" si="23"/>
        <v>2.2355999999999452</v>
      </c>
      <c r="CL61" s="1438">
        <f t="shared" ca="1" si="24"/>
        <v>2.8643999999999639</v>
      </c>
      <c r="CM61" s="1438">
        <f t="shared" ca="1" si="25"/>
        <v>4.3455000000004551</v>
      </c>
      <c r="CN61" s="1438">
        <f ca="1">IF(B61&gt;=$J$5,0,CONTADORES!CB55-CONTADORES!CB54)</f>
        <v>3.3999999999996362</v>
      </c>
      <c r="CO61" s="1438">
        <f t="shared" ca="1" si="26"/>
        <v>4.3455000000004551</v>
      </c>
      <c r="CP61" s="1438">
        <f t="shared" ca="1" si="27"/>
        <v>0.71549999999990899</v>
      </c>
      <c r="CQ61" s="1438">
        <f t="shared" ca="1" si="28"/>
        <v>0.71549999999990899</v>
      </c>
      <c r="CR61" s="1438">
        <f t="shared" ca="1" si="29"/>
        <v>1.4844999999999091</v>
      </c>
      <c r="CS61" s="1439">
        <f ca="1">IF($B61&gt;=$J$5,0,CONTADORES!$BI55)</f>
        <v>10482.875600598758</v>
      </c>
      <c r="CT61" s="1334">
        <f>CONTADORES!E55</f>
        <v>1</v>
      </c>
      <c r="CU61" s="1334">
        <f>CONTADORES!CG55</f>
        <v>1</v>
      </c>
    </row>
    <row r="62" spans="2:99">
      <c r="B62" s="214">
        <v>44978</v>
      </c>
      <c r="C62" s="198">
        <f t="shared" ca="1" si="0"/>
        <v>303</v>
      </c>
      <c r="D62" s="196">
        <f ca="1">'CALCULO DE GAS'!D58</f>
        <v>4.9471834077306731</v>
      </c>
      <c r="E62" s="196">
        <f ca="1">IF(B62&gt;=$J$5,0,(CONTADORES!$AD56-CONTADORES!$AD55)-$H62)</f>
        <v>24</v>
      </c>
      <c r="F62" s="198">
        <f t="shared" ca="1" si="31"/>
        <v>0</v>
      </c>
      <c r="G62" s="196">
        <f ca="1">IF(B62&gt;=$J$5,0,CONTADORES!$AF56-CONTADORES!$AF55)</f>
        <v>0</v>
      </c>
      <c r="H62" s="1396">
        <f ca="1">IF(G62&gt;0,CONTADORES!$AE56-CONTADORES!$AE55,0)</f>
        <v>0</v>
      </c>
      <c r="I62" s="199">
        <f ca="1">IF(B62&gt;=$J$5,0,CONTADORES!$AB56-CONTADORES!$AB55)</f>
        <v>303</v>
      </c>
      <c r="J62" s="198">
        <f t="shared" ca="1" si="2"/>
        <v>147.10000000000218</v>
      </c>
      <c r="K62" s="196">
        <f ca="1">'CALCULO DE GAS'!E58</f>
        <v>3.6758791683291951</v>
      </c>
      <c r="L62" s="1396">
        <f ca="1">IF(B62&gt;=$J$5,0,(CONTADORES!$Y56-CONTADORES!$Y55)-$O62)</f>
        <v>24</v>
      </c>
      <c r="M62" s="1396">
        <f t="shared" ca="1" si="33"/>
        <v>0</v>
      </c>
      <c r="N62" s="1396">
        <f ca="1">IF(B62&gt;=$J$5,0,CONTADORES!$AA56-CONTADORES!AA55)</f>
        <v>0</v>
      </c>
      <c r="O62" s="1396">
        <f ca="1">IF(N62&gt;0,CONTADORES!$Z56-CONTADORES!$Z55,0)</f>
        <v>0</v>
      </c>
      <c r="P62" s="202">
        <f ca="1">IF(B62&gt;=$J$5,0,CONTADORES!$W56-CONTADORES!$W55)</f>
        <v>147.10000000000218</v>
      </c>
      <c r="Q62" s="202">
        <f ca="1">IF(B62&gt;=$J$5,0,CONTADORES!$B56-CONTADORES!$B55)</f>
        <v>0</v>
      </c>
      <c r="R62" s="196">
        <f t="shared" ca="1" si="4"/>
        <v>0</v>
      </c>
      <c r="S62" s="11">
        <f ca="1">IF(B62&gt;=$J$5,0,CONTADORES!$D56-CONTADORES!$D55)</f>
        <v>0</v>
      </c>
      <c r="T62" s="198">
        <f ca="1">IF(B62&gt;=$J$5,0,CONTADORES!$BB56-CONTADORES!$BB55)</f>
        <v>0</v>
      </c>
      <c r="U62" s="196">
        <f t="shared" ca="1" si="32"/>
        <v>0</v>
      </c>
      <c r="V62" s="199">
        <f ca="1">IF(B62&gt;=$J$5,0,CONTADORES!$BD56-CONTADORES!$BD55)</f>
        <v>0</v>
      </c>
      <c r="W62" s="1397">
        <f t="shared" ca="1" si="6"/>
        <v>450.10000000000218</v>
      </c>
      <c r="X62" s="1397">
        <f t="shared" ca="1" si="7"/>
        <v>0</v>
      </c>
      <c r="Y62" s="1398">
        <f t="shared" ca="1" si="8"/>
        <v>450.10000000000218</v>
      </c>
      <c r="Z62" s="1398">
        <f t="shared" ca="1" si="9"/>
        <v>8.6230625760598691</v>
      </c>
      <c r="AA62" s="1398">
        <f t="shared" ca="1" si="10"/>
        <v>0</v>
      </c>
      <c r="AB62" s="1398">
        <f t="shared" ca="1" si="11"/>
        <v>48</v>
      </c>
      <c r="AC62" s="1397">
        <f t="shared" ca="1" si="12"/>
        <v>0</v>
      </c>
      <c r="AD62" s="1397">
        <f ca="1">IF(B62=$J$5,0,CONTADORES!H56-CONTADORES!H55)</f>
        <v>169.40000000002328</v>
      </c>
      <c r="AE62" s="1397">
        <f ca="1">IF(B62=$J$5,0,CONTADORES!J56-CONTADORES!J55)</f>
        <v>24</v>
      </c>
      <c r="AF62" s="1397">
        <f ca="1">IF(B62=$J$5,0,CONTADORES!AU56-CONTADORES!AU55)</f>
        <v>150.70000000001164</v>
      </c>
      <c r="AG62" s="1397">
        <f ca="1">IF(B62=$J$5,0,CONTADORES!AW56-CONTADORES!AW55)</f>
        <v>24</v>
      </c>
      <c r="AH62" s="1397">
        <f ca="1">IF(B62=$J$5,0,(CONTADORES!AM56-CONTADORES!AM55)+(CONTADORES!M56-CONTADORES!M55))</f>
        <v>8.7999999999956344</v>
      </c>
      <c r="AI62" s="1397">
        <f ca="1">IF(B62=$J$5,0,(CONTADORES!AK56-CONTADORES!AK55)+(CONTADORES!O56-CONTADORES!O55))</f>
        <v>38.69999999999709</v>
      </c>
      <c r="AJ62" s="1397">
        <f ca="1">IF(B62=$J$5,0,(CONTADORES!AI56-CONTADORES!AI55))</f>
        <v>10.069999999992433</v>
      </c>
      <c r="AK62" s="1397">
        <f ca="1">IF(B62=$J$5,0,(CONTADORES!Q56-CONTADORES!Q55))</f>
        <v>16.700000000011642</v>
      </c>
      <c r="AL62" s="1397">
        <f t="shared" ca="1" si="13"/>
        <v>27.129999999993743</v>
      </c>
      <c r="AM62" s="1397">
        <f ca="1">IF(B62&gt;=$J$5,0,(((CONTADORES!F56-CONTADORES!F55)+(CONTADORES!AQ56-CONTADORES!AQ55))))-BS62-AF62-AN62-BV62-BY62-CD62-CB62</f>
        <v>10.476999999976444</v>
      </c>
      <c r="AN62" s="1397">
        <f ca="1">IF(B62=$J$5,0,(CONTADORES!AX56-CONTADORES!AX55)+(CONTADORES!AZ56-CONTADORES!AZ55)+(CONTADORES!BE56-CONTADORES!BE55))-CB62</f>
        <v>2.791000000000273</v>
      </c>
      <c r="AO62" s="1437">
        <f ca="1">IF(B62&gt;=$J$5,0,(CONTADORES!AC56-CONTADORES!AC55))</f>
        <v>154.5</v>
      </c>
      <c r="AP62" s="1437">
        <f ca="1">IF(B62&gt;=$J$5,0,(CONTADORES!X56-CONTADORES!X55))</f>
        <v>77.399999999999636</v>
      </c>
      <c r="AQ62" s="1433">
        <f ca="1">IF(B62&gt;=$J$5,0,(CONTADORES!C56-CONTADORES!C55))</f>
        <v>0</v>
      </c>
      <c r="AR62" s="1399">
        <f ca="1">IF(B62&gt;=$J$5,0,(CONTADORES!BC56-CONTADORES!BC55))</f>
        <v>0</v>
      </c>
      <c r="AS62" s="1397">
        <f ca="1">IF(B62=$J$5,0,CONTADORES!S56-CONTADORES!S55)</f>
        <v>17.5</v>
      </c>
      <c r="AT62" s="1397">
        <f ca="1">IF(B62=$J$5,0,(CONTADORES!U56-CONTADORES!U55)+(CONTADORES!AG56-CONTADORES!AG55))</f>
        <v>2.1000000000058208</v>
      </c>
      <c r="AU62" s="1397">
        <f>CONTADORES!I56-CONTADORES!I55</f>
        <v>87.200000000011642</v>
      </c>
      <c r="AV62" s="1397">
        <f>CONTADORES!AV56-CONTADORES!AV55</f>
        <v>65</v>
      </c>
      <c r="AW62" s="1397">
        <f ca="1">IF(B62&gt;=$J$5,0,(CONTADORES!N56-CONTADORES!N55)+(CONTADORES!AN56-CONTADORES!AN55))</f>
        <v>3.5999999999985448</v>
      </c>
      <c r="AX62" s="1397">
        <f ca="1">IF(B62&gt;=$J$5,0,(CONTADORES!P56-CONTADORES!P55)+(CONTADORES!AL56-CONTADORES!AL55))</f>
        <v>31.5</v>
      </c>
      <c r="AY62" s="1397">
        <f ca="1">IF(B62&gt;=$J$5,0,(CONTADORES!AJ56-CONTADORES!AJ55))</f>
        <v>7.8000000000029104</v>
      </c>
      <c r="AZ62" s="1397">
        <f ca="1">IF(B62&gt;=$J$5,0,(CONTADORES!R56-CONTADORES!R55))</f>
        <v>14.5</v>
      </c>
      <c r="BA62" s="1397">
        <f t="shared" ca="1" si="14"/>
        <v>7.7989999999985287</v>
      </c>
      <c r="BB62" s="1397">
        <f ca="1">IF(B62&gt;=$J$5,0,(((CONTADORES!G56-CONTADORES!G55)+(CONTADORES!AR56-CONTADORES!AR55))))-AV62-BC62-BT62-BW62-BZ62-CE62</f>
        <v>8.0999999999877215</v>
      </c>
      <c r="BC62" s="1744">
        <f ca="1">IF(B62&gt;=$J$5,0,(CONTADORES!AY56-CONTADORES!AY55)+(CONTADORES!BA56-CONTADORES!BA55)+(CONTADORES!BF56-CONTADORES!BF55))-CC62</f>
        <v>1.2989999999999089</v>
      </c>
      <c r="BD62" s="1397">
        <f t="shared" ca="1" si="15"/>
        <v>231.89999999999964</v>
      </c>
      <c r="BE62" s="1398">
        <f ca="1">IF($B62&gt;=$J$5,0,CONTADORES!$BG56)</f>
        <v>6204.5300000000016</v>
      </c>
      <c r="BF62" s="1397">
        <f ca="1">IF($B62&gt;=$J$5,0,CONTADORES!$BH56)</f>
        <v>34906.298245614038</v>
      </c>
      <c r="BG62" s="1397">
        <f ca="1">IF($B62&gt;=$J$5,0,CONTADORES!$BJ56)</f>
        <v>4535.5</v>
      </c>
      <c r="BH62" s="1409">
        <f ca="1">IF(B62&gt;=$J$5,0,((CONTADORES!BK56-CONTADORES!BK55)/1000))</f>
        <v>1.522</v>
      </c>
      <c r="BI62" s="1409">
        <f ca="1">IF(C62&gt;=$J$5,0,((CONTADORES!BL56-CONTADORES!BL55)/1000))</f>
        <v>1.464</v>
      </c>
      <c r="BJ62" s="1399">
        <f ca="1">IF(C62&gt;=$J$5,0,((CONTADORES!BM56-CONTADORES!BM55)/1000))</f>
        <v>0</v>
      </c>
      <c r="BK62" s="1399">
        <f ca="1">IF(D62&gt;=$J$5,0,((CONTADORES!BN56-CONTADORES!BN55)/1000))</f>
        <v>0</v>
      </c>
      <c r="BL62" s="1399">
        <f t="shared" ca="1" si="16"/>
        <v>1.522</v>
      </c>
      <c r="BM62" s="1399">
        <f t="shared" ca="1" si="17"/>
        <v>1.464</v>
      </c>
      <c r="BN62" s="1398">
        <f ca="1">IF(W62&gt;=$J$5,0,CONTADORES!$BO56)</f>
        <v>130.74901905573552</v>
      </c>
      <c r="BO62" s="1397">
        <f ca="1">IF(W62&gt;=$J$5,0,CONTADORES!$BP56)</f>
        <v>42.976494567558795</v>
      </c>
      <c r="BP62" s="1397">
        <f ca="1">IF(W62&gt;=$J$5,0,CONTADORES!$BQ56)</f>
        <v>659.8801895564128</v>
      </c>
      <c r="BQ62" s="1397">
        <f ca="1">IF(B62&gt;=$J$5,0,(CONTADORES!AS56-CONTADORES!AS55))</f>
        <v>4.9000000000014552</v>
      </c>
      <c r="BR62" s="1397">
        <f ca="1">IF(B62&gt;=$J$5,0,(CONTADORES!AT56-CONTADORES!AT55))</f>
        <v>0</v>
      </c>
      <c r="BS62" s="1409">
        <f ca="1">IF(B62&gt;=$J$5,0,CONTADORES!BR56-CONTADORES!BR55)/1000</f>
        <v>0</v>
      </c>
      <c r="BT62" s="1438">
        <f ca="1">IF(B62&gt;=$J$5,0,CONTADORES!BS56-CONTADORES!BS55)</f>
        <v>0</v>
      </c>
      <c r="BU62" s="1438">
        <f ca="1">IF(B62&gt;=$J$5,0,CONTADORES!BT56-CONTADORES!BT55)</f>
        <v>0</v>
      </c>
      <c r="BV62" s="1438">
        <f ca="1">IF(B62&gt;=$J$5,0,CONTADORES!BU56-CONTADORES!BU55)/1000</f>
        <v>5.1970000000000001</v>
      </c>
      <c r="BW62" s="1438">
        <f ca="1">IF(B62&gt;=$J$5,0,CONTADORES!BV56-CONTADORES!BV55)/1000</f>
        <v>0.19800000000000001</v>
      </c>
      <c r="BX62" s="1438">
        <f ca="1">IF(B62&gt;=$J$5,0,CONTADORES!BW56-CONTADORES!BW55)</f>
        <v>22.200000000000728</v>
      </c>
      <c r="BY62" s="1438">
        <f ca="1">IF(B62&gt;=$J$5,0,CONTADORES!BX56-CONTADORES!BX55)/1000</f>
        <v>2.726</v>
      </c>
      <c r="BZ62" s="1438">
        <f ca="1">IF(B62&gt;=$J$5,0,CONTADORES!BY56-CONTADORES!BY55)/1000</f>
        <v>3.0000000000000001E-3</v>
      </c>
      <c r="CA62" s="1438">
        <f ca="1">IF(B62&gt;=$J$5,0,CONTADORES!BZ56-CONTADORES!BZ55)</f>
        <v>22.299999999999272</v>
      </c>
      <c r="CB62" s="1409">
        <f ca="1">IF(B62&gt;=$J$5,0,(CONTADORES!CC56-CONTADORES!CC55)+(CONTADORES!CE56-CONTADORES!CE55))/1000</f>
        <v>1.409</v>
      </c>
      <c r="CC62" s="1438">
        <f ca="1">IF(B62&gt;=$J$5,0,(CONTADORES!CD56-CONTADORES!CD55)+(CONTADORES!CF56-CONTADORES!CF55))/1000</f>
        <v>0.80100000000000005</v>
      </c>
      <c r="CD62" s="1409">
        <f ca="1">IF(B62&gt;=$J$5,0,CONTADORES!CA56-CONTADORES!CA55)</f>
        <v>6</v>
      </c>
      <c r="CE62" s="1438">
        <f ca="1">IF(B62&gt;=$J$5,0,CONTADORES!CB56-CONTADORES!CB55)</f>
        <v>4.1000000000003638</v>
      </c>
      <c r="CF62" s="1438">
        <f t="shared" ca="1" si="18"/>
        <v>11.238499999988221</v>
      </c>
      <c r="CG62" s="1438">
        <f t="shared" ca="1" si="19"/>
        <v>8.1499999999942254</v>
      </c>
      <c r="CH62" s="1438">
        <f t="shared" ca="1" si="20"/>
        <v>5.238499999988222</v>
      </c>
      <c r="CI62" s="1438">
        <f t="shared" ca="1" si="21"/>
        <v>1.1164000000001093</v>
      </c>
      <c r="CJ62" s="1438">
        <f t="shared" ca="1" si="22"/>
        <v>5.238499999988222</v>
      </c>
      <c r="CK62" s="1438">
        <f t="shared" ca="1" si="23"/>
        <v>1.6746000000001637</v>
      </c>
      <c r="CL62" s="1438">
        <f t="shared" ca="1" si="24"/>
        <v>2.5254000000001096</v>
      </c>
      <c r="CM62" s="1438">
        <f t="shared" ca="1" si="25"/>
        <v>4.0499999999938607</v>
      </c>
      <c r="CN62" s="1438">
        <f ca="1">IF(B62&gt;=$J$5,0,CONTADORES!CB56-CONTADORES!CB55)</f>
        <v>4.1000000000003638</v>
      </c>
      <c r="CO62" s="1438">
        <f t="shared" ca="1" si="26"/>
        <v>4.0499999999938607</v>
      </c>
      <c r="CP62" s="1438">
        <f t="shared" ca="1" si="27"/>
        <v>0.64949999999995445</v>
      </c>
      <c r="CQ62" s="1438">
        <f t="shared" ca="1" si="28"/>
        <v>0.64949999999995445</v>
      </c>
      <c r="CR62" s="1438">
        <f t="shared" ca="1" si="29"/>
        <v>1.4504999999999546</v>
      </c>
      <c r="CS62" s="1439">
        <f ca="1">IF($B62&gt;=$J$5,0,CONTADORES!$BI56)</f>
        <v>9823.3936522894764</v>
      </c>
      <c r="CT62" s="1334">
        <f>CONTADORES!E56</f>
        <v>0</v>
      </c>
      <c r="CU62" s="1334">
        <f>CONTADORES!CG56</f>
        <v>0</v>
      </c>
    </row>
    <row r="63" spans="2:99">
      <c r="B63" s="214">
        <v>44979</v>
      </c>
      <c r="C63" s="198">
        <f t="shared" ca="1" si="0"/>
        <v>302.40000000002328</v>
      </c>
      <c r="D63" s="196">
        <f ca="1">'CALCULO DE GAS'!D59</f>
        <v>4.9422906396510626</v>
      </c>
      <c r="E63" s="196">
        <f ca="1">IF(B63&gt;=$J$5,0,(CONTADORES!$AD57-CONTADORES!$AD56)-$H63)</f>
        <v>24</v>
      </c>
      <c r="F63" s="198">
        <f t="shared" ca="1" si="31"/>
        <v>0</v>
      </c>
      <c r="G63" s="196">
        <f ca="1">IF(B63&gt;=$J$5,0,CONTADORES!$AF57-CONTADORES!$AF56)</f>
        <v>0</v>
      </c>
      <c r="H63" s="1396">
        <f ca="1">IF(G63&gt;0,CONTADORES!$AE57-CONTADORES!$AE56,0)</f>
        <v>0</v>
      </c>
      <c r="I63" s="199">
        <f ca="1">IF(B63&gt;=$J$5,0,CONTADORES!$AB57-CONTADORES!$AB56)</f>
        <v>302.40000000002328</v>
      </c>
      <c r="J63" s="198">
        <f t="shared" ca="1" si="2"/>
        <v>147.29999999999927</v>
      </c>
      <c r="K63" s="196">
        <f ca="1">'CALCULO DE GAS'!E59</f>
        <v>3.6775100910224379</v>
      </c>
      <c r="L63" s="1396">
        <f ca="1">IF(B63&gt;=$J$5,0,(CONTADORES!$Y57-CONTADORES!$Y56)-$O63)</f>
        <v>24</v>
      </c>
      <c r="M63" s="1396">
        <f t="shared" ca="1" si="33"/>
        <v>0</v>
      </c>
      <c r="N63" s="1396">
        <f ca="1">IF(B63&gt;=$J$5,0,CONTADORES!$AA57-CONTADORES!AA56)</f>
        <v>0</v>
      </c>
      <c r="O63" s="1396">
        <f ca="1">IF(N63&gt;0,CONTADORES!$Z57-CONTADORES!$Z56,0)</f>
        <v>0</v>
      </c>
      <c r="P63" s="202">
        <f ca="1">IF(B63&gt;=$J$5,0,CONTADORES!$W57-CONTADORES!$W56)</f>
        <v>147.29999999999927</v>
      </c>
      <c r="Q63" s="202">
        <f ca="1">IF(B63&gt;=$J$5,0,CONTADORES!$B57-CONTADORES!$B56)</f>
        <v>0</v>
      </c>
      <c r="R63" s="196">
        <f t="shared" ca="1" si="4"/>
        <v>0</v>
      </c>
      <c r="S63" s="11">
        <f ca="1">IF(B63&gt;=$J$5,0,CONTADORES!$D57-CONTADORES!$D56)</f>
        <v>0</v>
      </c>
      <c r="T63" s="198">
        <f ca="1">IF(B63&gt;=$J$5,0,CONTADORES!$BB57-CONTADORES!$BB56)</f>
        <v>0</v>
      </c>
      <c r="U63" s="196">
        <f t="shared" ca="1" si="32"/>
        <v>0</v>
      </c>
      <c r="V63" s="199">
        <f ca="1">IF(B63&gt;=$J$5,0,CONTADORES!$BD57-CONTADORES!$BD56)</f>
        <v>0</v>
      </c>
      <c r="W63" s="1397">
        <f t="shared" ca="1" si="6"/>
        <v>449.70000000002256</v>
      </c>
      <c r="X63" s="1397">
        <f t="shared" ca="1" si="7"/>
        <v>0</v>
      </c>
      <c r="Y63" s="1398">
        <f t="shared" ca="1" si="8"/>
        <v>449.70000000002256</v>
      </c>
      <c r="Z63" s="1398">
        <f t="shared" ca="1" si="9"/>
        <v>8.6198007306735001</v>
      </c>
      <c r="AA63" s="1398">
        <f t="shared" ca="1" si="10"/>
        <v>0</v>
      </c>
      <c r="AB63" s="1398">
        <f t="shared" ca="1" si="11"/>
        <v>48</v>
      </c>
      <c r="AC63" s="1397">
        <f t="shared" ca="1" si="12"/>
        <v>0</v>
      </c>
      <c r="AD63" s="1397">
        <f ca="1">IF(B63=$J$5,0,CONTADORES!H57-CONTADORES!H56)</f>
        <v>163.90000000002328</v>
      </c>
      <c r="AE63" s="1397">
        <f ca="1">IF(B63=$J$5,0,CONTADORES!J57-CONTADORES!J56)</f>
        <v>24</v>
      </c>
      <c r="AF63" s="1397">
        <f ca="1">IF(B63=$J$5,0,CONTADORES!AU57-CONTADORES!AU56)</f>
        <v>150.20000000001164</v>
      </c>
      <c r="AG63" s="1397">
        <f ca="1">IF(B63=$J$5,0,CONTADORES!AW57-CONTADORES!AW56)</f>
        <v>24</v>
      </c>
      <c r="AH63" s="1397">
        <f ca="1">IF(B63=$J$5,0,(CONTADORES!AM57-CONTADORES!AM56)+(CONTADORES!M57-CONTADORES!M56))</f>
        <v>10.200000000004366</v>
      </c>
      <c r="AI63" s="1397">
        <f ca="1">IF(B63=$J$5,0,(CONTADORES!AK57-CONTADORES!AK56)+(CONTADORES!O57-CONTADORES!O56))</f>
        <v>36.30000000000291</v>
      </c>
      <c r="AJ63" s="1397">
        <f ca="1">IF(B63=$J$5,0,(CONTADORES!AI57-CONTADORES!AI56))</f>
        <v>10.229999999995925</v>
      </c>
      <c r="AK63" s="1397">
        <f ca="1">IF(B63=$J$5,0,(CONTADORES!Q57-CONTADORES!Q56))</f>
        <v>17</v>
      </c>
      <c r="AL63" s="1397">
        <f t="shared" ca="1" si="13"/>
        <v>33.769999999993217</v>
      </c>
      <c r="AM63" s="1397">
        <f ca="1">IF(B63&gt;=$J$5,0,(((CONTADORES!F57-CONTADORES!F56)+(CONTADORES!AQ57-CONTADORES!AQ56))))-BS63-AF63-AN63-BV63-BY63-CD63-CB63</f>
        <v>7.1569999999906333</v>
      </c>
      <c r="AN63" s="1397">
        <f ca="1">IF(B63=$J$5,0,(CONTADORES!AX57-CONTADORES!AX56)+(CONTADORES!AZ57-CONTADORES!AZ56)+(CONTADORES!BE57-CONTADORES!BE56))-CB63</f>
        <v>1.8150000000002728</v>
      </c>
      <c r="AO63" s="1437">
        <f ca="1">IF(B63&gt;=$J$5,0,(CONTADORES!AC57-CONTADORES!AC56))</f>
        <v>151.29999999998836</v>
      </c>
      <c r="AP63" s="1437">
        <f ca="1">IF(B63&gt;=$J$5,0,(CONTADORES!X57-CONTADORES!X56))</f>
        <v>77.600000000000364</v>
      </c>
      <c r="AQ63" s="1433">
        <f ca="1">IF(B63&gt;=$J$5,0,(CONTADORES!C57-CONTADORES!C56))</f>
        <v>0</v>
      </c>
      <c r="AR63" s="1399">
        <f ca="1">IF(B63&gt;=$J$5,0,(CONTADORES!BC57-CONTADORES!BC56))</f>
        <v>0</v>
      </c>
      <c r="AS63" s="1397">
        <f ca="1">IF(B63=$J$5,0,CONTADORES!S57-CONTADORES!S56)</f>
        <v>17.5</v>
      </c>
      <c r="AT63" s="1397">
        <f ca="1">IF(B63=$J$5,0,(CONTADORES!U57-CONTADORES!U56)+(CONTADORES!AG57-CONTADORES!AG56))</f>
        <v>2.1999999999970896</v>
      </c>
      <c r="AU63" s="1397">
        <f>CONTADORES!I57-CONTADORES!I56</f>
        <v>83.799999999988358</v>
      </c>
      <c r="AV63" s="1397">
        <f>CONTADORES!AV57-CONTADORES!AV56</f>
        <v>64.899999999994179</v>
      </c>
      <c r="AW63" s="1397">
        <f ca="1">IF(B63&gt;=$J$5,0,(CONTADORES!N57-CONTADORES!N56)+(CONTADORES!AN57-CONTADORES!AN56))</f>
        <v>3.7999999999992724</v>
      </c>
      <c r="AX63" s="1397">
        <f ca="1">IF(B63&gt;=$J$5,0,(CONTADORES!P57-CONTADORES!P56)+(CONTADORES!AL57-CONTADORES!AL56))</f>
        <v>28.400000000001455</v>
      </c>
      <c r="AY63" s="1397">
        <f ca="1">IF(B63&gt;=$J$5,0,(CONTADORES!AJ57-CONTADORES!AJ56))</f>
        <v>7.9000000000014552</v>
      </c>
      <c r="AZ63" s="1397">
        <f ca="1">IF(B63&gt;=$J$5,0,(CONTADORES!R57-CONTADORES!R56))</f>
        <v>14</v>
      </c>
      <c r="BA63" s="1397">
        <f t="shared" ca="1" si="14"/>
        <v>12.318999999974892</v>
      </c>
      <c r="BB63" s="1397">
        <f ca="1">IF(B63&gt;=$J$5,0,(((CONTADORES!G57-CONTADORES!G56)+(CONTADORES!AR57-CONTADORES!AR56))))-AV63-BC63-BT63-BW63-BZ63-CE63</f>
        <v>6.443000000029377</v>
      </c>
      <c r="BC63" s="1744">
        <f ca="1">IF(B63&gt;=$J$5,0,(CONTADORES!AY57-CONTADORES!AY56)+(CONTADORES!BA57-CONTADORES!BA56)+(CONTADORES!BF57-CONTADORES!BF56))-CC63</f>
        <v>0.91900000000027282</v>
      </c>
      <c r="BD63" s="1397">
        <f t="shared" ca="1" si="15"/>
        <v>228.89999999998872</v>
      </c>
      <c r="BE63" s="1398">
        <f ca="1">IF($B63&gt;=$J$5,0,CONTADORES!$BG57)</f>
        <v>6695.38</v>
      </c>
      <c r="BF63" s="1397">
        <f ca="1">IF($B63&gt;=$J$5,0,CONTADORES!$BH57)</f>
        <v>34990.287719298198</v>
      </c>
      <c r="BG63" s="1397">
        <f ca="1">IF($B63&gt;=$J$5,0,CONTADORES!$BJ57)</f>
        <v>5883.63</v>
      </c>
      <c r="BH63" s="1409">
        <f ca="1">IF(B63&gt;=$J$5,0,((CONTADORES!BK57-CONTADORES!BK56)/1000))</f>
        <v>1.552</v>
      </c>
      <c r="BI63" s="1409">
        <f ca="1">IF(C63&gt;=$J$5,0,((CONTADORES!BL57-CONTADORES!BL56)/1000))</f>
        <v>1.4830000000000001</v>
      </c>
      <c r="BJ63" s="1399">
        <f ca="1">IF(C63&gt;=$J$5,0,((CONTADORES!BM57-CONTADORES!BM56)/1000))</f>
        <v>0</v>
      </c>
      <c r="BK63" s="1399">
        <f ca="1">IF(D63&gt;=$J$5,0,((CONTADORES!BN57-CONTADORES!BN56)/1000))</f>
        <v>0</v>
      </c>
      <c r="BL63" s="1399">
        <f t="shared" ca="1" si="16"/>
        <v>1.552</v>
      </c>
      <c r="BM63" s="1399">
        <f t="shared" ca="1" si="17"/>
        <v>1.4830000000000001</v>
      </c>
      <c r="BN63" s="1398">
        <f ca="1">IF(W63&gt;=$J$5,0,CONTADORES!$BO57)</f>
        <v>133.37273216276816</v>
      </c>
      <c r="BO63" s="1397">
        <f ca="1">IF(W63&gt;=$J$5,0,CONTADORES!$BP57)</f>
        <v>42.958479977664219</v>
      </c>
      <c r="BP63" s="1397">
        <f ca="1">IF(W63&gt;=$J$5,0,CONTADORES!$BQ57)</f>
        <v>655.1509051785672</v>
      </c>
      <c r="BQ63" s="1397">
        <f ca="1">IF(B63&gt;=$J$5,0,(CONTADORES!AS57-CONTADORES!AS56))</f>
        <v>5.0999999999985448</v>
      </c>
      <c r="BR63" s="1397">
        <f ca="1">IF(B63&gt;=$J$5,0,(CONTADORES!AT57-CONTADORES!AT56))</f>
        <v>0</v>
      </c>
      <c r="BS63" s="1409">
        <f ca="1">IF(B63&gt;=$J$5,0,CONTADORES!BR57-CONTADORES!BR56)/1000</f>
        <v>0</v>
      </c>
      <c r="BT63" s="1438">
        <f ca="1">IF(B63&gt;=$J$5,0,CONTADORES!BS57-CONTADORES!BS56)</f>
        <v>0</v>
      </c>
      <c r="BU63" s="1438">
        <f ca="1">IF(B63&gt;=$J$5,0,CONTADORES!BT57-CONTADORES!BT56)</f>
        <v>0</v>
      </c>
      <c r="BV63" s="1438">
        <f ca="1">IF(B63&gt;=$J$5,0,CONTADORES!BU57-CONTADORES!BU56)/1000</f>
        <v>2.4279999999999999</v>
      </c>
      <c r="BW63" s="1438">
        <f ca="1">IF(B63&gt;=$J$5,0,CONTADORES!BV57-CONTADORES!BV56)/1000</f>
        <v>0</v>
      </c>
      <c r="BX63" s="1438">
        <f ca="1">IF(B63&gt;=$J$5,0,CONTADORES!BW57-CONTADORES!BW56)</f>
        <v>24.100000000002183</v>
      </c>
      <c r="BY63" s="1438">
        <f ca="1">IF(B63&gt;=$J$5,0,CONTADORES!BX57-CONTADORES!BX56)/1000</f>
        <v>6.2149999999999999</v>
      </c>
      <c r="BZ63" s="1438">
        <f ca="1">IF(B63&gt;=$J$5,0,CONTADORES!BY57-CONTADORES!BY56)/1000</f>
        <v>3.7999999999999999E-2</v>
      </c>
      <c r="CA63" s="1438">
        <f ca="1">IF(B63&gt;=$J$5,0,CONTADORES!BZ57-CONTADORES!BZ56)</f>
        <v>24.099999999998545</v>
      </c>
      <c r="CB63" s="1409">
        <f ca="1">IF(B63&gt;=$J$5,0,(CONTADORES!CC57-CONTADORES!CC56)+(CONTADORES!CE57-CONTADORES!CE56))/1000</f>
        <v>1.385</v>
      </c>
      <c r="CC63" s="1438">
        <f ca="1">IF(B63&gt;=$J$5,0,(CONTADORES!CD57-CONTADORES!CD56)+(CONTADORES!CF57-CONTADORES!CF56))/1000</f>
        <v>0.78100000000000003</v>
      </c>
      <c r="CD63" s="1409">
        <f ca="1">IF(B63&gt;=$J$5,0,CONTADORES!CA57-CONTADORES!CA56)</f>
        <v>9.1000000000003638</v>
      </c>
      <c r="CE63" s="1438">
        <f ca="1">IF(B63&gt;=$J$5,0,CONTADORES!CB57-CONTADORES!CB56)</f>
        <v>5.5999999999994543</v>
      </c>
      <c r="CF63" s="1438">
        <f t="shared" ca="1" si="18"/>
        <v>12.67849999999568</v>
      </c>
      <c r="CG63" s="1438">
        <f t="shared" ca="1" si="19"/>
        <v>8.8215000000141437</v>
      </c>
      <c r="CH63" s="1438">
        <f t="shared" ca="1" si="20"/>
        <v>3.5784999999953166</v>
      </c>
      <c r="CI63" s="1438">
        <f t="shared" ca="1" si="21"/>
        <v>0.72600000000010922</v>
      </c>
      <c r="CJ63" s="1438">
        <f t="shared" ca="1" si="22"/>
        <v>3.5784999999953166</v>
      </c>
      <c r="CK63" s="1438">
        <f t="shared" ca="1" si="23"/>
        <v>1.0890000000001636</v>
      </c>
      <c r="CL63" s="1438">
        <f t="shared" ca="1" si="24"/>
        <v>2.111000000000109</v>
      </c>
      <c r="CM63" s="1438">
        <f t="shared" ca="1" si="25"/>
        <v>3.2215000000146885</v>
      </c>
      <c r="CN63" s="1438">
        <f ca="1">IF(B63&gt;=$J$5,0,CONTADORES!CB57-CONTADORES!CB56)</f>
        <v>5.5999999999994543</v>
      </c>
      <c r="CO63" s="1438">
        <f t="shared" ca="1" si="26"/>
        <v>3.2215000000146885</v>
      </c>
      <c r="CP63" s="1438">
        <f t="shared" ca="1" si="27"/>
        <v>0.45950000000013641</v>
      </c>
      <c r="CQ63" s="1438">
        <f t="shared" ca="1" si="28"/>
        <v>0.45950000000013641</v>
      </c>
      <c r="CR63" s="1438">
        <f t="shared" ca="1" si="29"/>
        <v>1.2405000000001365</v>
      </c>
      <c r="CS63" s="1439">
        <f ca="1">IF($B63&gt;=$J$5,0,CONTADORES!$BI57)</f>
        <v>9766.5114902784808</v>
      </c>
      <c r="CT63" s="1334">
        <f>CONTADORES!E57</f>
        <v>0</v>
      </c>
      <c r="CU63" s="1334">
        <f>CONTADORES!CG57</f>
        <v>0</v>
      </c>
    </row>
    <row r="64" spans="2:99">
      <c r="B64" s="214">
        <v>44980</v>
      </c>
      <c r="C64" s="198">
        <f t="shared" ca="1" si="0"/>
        <v>259.1600000000326</v>
      </c>
      <c r="D64" s="196">
        <f ca="1">'CALCULO DE GAS'!D60</f>
        <v>4.5896851533668492</v>
      </c>
      <c r="E64" s="196">
        <f ca="1">IF(B64&gt;=$J$5,0,(CONTADORES!$AD58-CONTADORES!$AD57)-$H64)</f>
        <v>24</v>
      </c>
      <c r="F64" s="198">
        <f t="shared" ca="1" si="31"/>
        <v>0</v>
      </c>
      <c r="G64" s="196">
        <f ca="1">IF(B64&gt;=$J$5,0,CONTADORES!$AF58-CONTADORES!$AF57)</f>
        <v>0</v>
      </c>
      <c r="H64" s="1396">
        <f ca="1">IF(G64&gt;0,CONTADORES!$AE58-CONTADORES!$AE57,0)</f>
        <v>0</v>
      </c>
      <c r="I64" s="199">
        <f ca="1">IF(B64&gt;=$J$5,0,CONTADORES!$AB58-CONTADORES!$AB57)</f>
        <v>259.1600000000326</v>
      </c>
      <c r="J64" s="198">
        <f t="shared" ca="1" si="2"/>
        <v>133.54000000000087</v>
      </c>
      <c r="K64" s="196">
        <f ca="1">'CALCULO DE GAS'!E60</f>
        <v>3.565302609725693</v>
      </c>
      <c r="L64" s="1396">
        <f ca="1">IF(B64&gt;=$J$5,0,(CONTADORES!$Y58-CONTADORES!$Y57)-$O64)</f>
        <v>24</v>
      </c>
      <c r="M64" s="1396">
        <f t="shared" ca="1" si="33"/>
        <v>0</v>
      </c>
      <c r="N64" s="1396">
        <f ca="1">IF(B64&gt;=$J$5,0,CONTADORES!$AA58-CONTADORES!AA57)</f>
        <v>0</v>
      </c>
      <c r="O64" s="1396">
        <f ca="1">IF(N64&gt;0,CONTADORES!$Z58-CONTADORES!$Z57,0)</f>
        <v>0</v>
      </c>
      <c r="P64" s="202">
        <f ca="1">IF(B64&gt;=$J$5,0,CONTADORES!$W58-CONTADORES!$W57)</f>
        <v>133.54000000000087</v>
      </c>
      <c r="Q64" s="202">
        <f ca="1">IF(B64&gt;=$J$5,0,CONTADORES!$B58-CONTADORES!$B57)</f>
        <v>0</v>
      </c>
      <c r="R64" s="196">
        <f t="shared" ca="1" si="4"/>
        <v>0</v>
      </c>
      <c r="S64" s="11">
        <f ca="1">IF(B64&gt;=$J$5,0,CONTADORES!$D58-CONTADORES!$D57)</f>
        <v>0</v>
      </c>
      <c r="T64" s="198">
        <f ca="1">IF(B64&gt;=$J$5,0,CONTADORES!$BB58-CONTADORES!$BB57)</f>
        <v>0</v>
      </c>
      <c r="U64" s="196">
        <f t="shared" ca="1" si="32"/>
        <v>0</v>
      </c>
      <c r="V64" s="199">
        <f ca="1">IF(B64&gt;=$J$5,0,CONTADORES!$BD58-CONTADORES!$BD57)</f>
        <v>0</v>
      </c>
      <c r="W64" s="1397">
        <f t="shared" ca="1" si="6"/>
        <v>392.70000000003347</v>
      </c>
      <c r="X64" s="1397">
        <f t="shared" ca="1" si="7"/>
        <v>0</v>
      </c>
      <c r="Y64" s="1398">
        <f t="shared" ca="1" si="8"/>
        <v>392.70000000003347</v>
      </c>
      <c r="Z64" s="1398">
        <f t="shared" ca="1" si="9"/>
        <v>8.1549877630925423</v>
      </c>
      <c r="AA64" s="1398">
        <f t="shared" ca="1" si="10"/>
        <v>0</v>
      </c>
      <c r="AB64" s="1398">
        <f t="shared" ca="1" si="11"/>
        <v>48</v>
      </c>
      <c r="AC64" s="1397">
        <f t="shared" ca="1" si="12"/>
        <v>0</v>
      </c>
      <c r="AD64" s="1397">
        <f ca="1">IF(B64=$J$5,0,CONTADORES!H58-CONTADORES!H57)</f>
        <v>151.59999999997672</v>
      </c>
      <c r="AE64" s="1397">
        <f ca="1">IF(B64=$J$5,0,CONTADORES!J58-CONTADORES!J57)</f>
        <v>23</v>
      </c>
      <c r="AF64" s="1397">
        <f ca="1">IF(B64=$J$5,0,CONTADORES!AU58-CONTADORES!AU57)</f>
        <v>123.88999999995576</v>
      </c>
      <c r="AG64" s="1397">
        <f ca="1">IF(B64=$J$5,0,CONTADORES!AW58-CONTADORES!AW57)</f>
        <v>20</v>
      </c>
      <c r="AH64" s="1397">
        <f ca="1">IF(B64=$J$5,0,(CONTADORES!AM58-CONTADORES!AM57)+(CONTADORES!M58-CONTADORES!M57))</f>
        <v>0.1000000000003638</v>
      </c>
      <c r="AI64" s="1397">
        <f ca="1">IF(B64=$J$5,0,(CONTADORES!AK58-CONTADORES!AK57)+(CONTADORES!O58-CONTADORES!O57))</f>
        <v>33.110000000007858</v>
      </c>
      <c r="AJ64" s="1397">
        <f ca="1">IF(B64=$J$5,0,(CONTADORES!AI58-CONTADORES!AI57))</f>
        <v>9.9500000000116415</v>
      </c>
      <c r="AK64" s="1397">
        <f ca="1">IF(B64=$J$5,0,(CONTADORES!Q58-CONTADORES!Q57))</f>
        <v>14.470000000001164</v>
      </c>
      <c r="AL64" s="1397">
        <f t="shared" ca="1" si="13"/>
        <v>35.470000000050334</v>
      </c>
      <c r="AM64" s="1397">
        <f ca="1">IF(B64&gt;=$J$5,0,(((CONTADORES!F58-CONTADORES!F57)+(CONTADORES!AQ58-CONTADORES!AQ57))))-BS64-AF64-AN64-BV64-BY64-CD64-CB64</f>
        <v>6.2340000000294262</v>
      </c>
      <c r="AN64" s="1397">
        <f ca="1">IF(B64=$J$5,0,(CONTADORES!AX58-CONTADORES!AX57)+(CONTADORES!AZ58-CONTADORES!AZ57)+(CONTADORES!BE58-CONTADORES!BE57))-CB64</f>
        <v>3.2670000000004036</v>
      </c>
      <c r="AO64" s="1437">
        <f ca="1">IF(B64&gt;=$J$5,0,(CONTADORES!AC58-CONTADORES!AC57))</f>
        <v>135.21000000002095</v>
      </c>
      <c r="AP64" s="1437">
        <f ca="1">IF(B64&gt;=$J$5,0,(CONTADORES!X58-CONTADORES!X57))</f>
        <v>69.309999999999491</v>
      </c>
      <c r="AQ64" s="1433">
        <f ca="1">IF(B64&gt;=$J$5,0,(CONTADORES!C58-CONTADORES!C57))</f>
        <v>0</v>
      </c>
      <c r="AR64" s="1399">
        <f ca="1">IF(B64&gt;=$J$5,0,(CONTADORES!BC58-CONTADORES!BC57))</f>
        <v>0</v>
      </c>
      <c r="AS64" s="1397">
        <f ca="1">IF(B64=$J$5,0,CONTADORES!S58-CONTADORES!S57)</f>
        <v>17.350000000005821</v>
      </c>
      <c r="AT64" s="1397">
        <f ca="1">IF(B64=$J$5,0,(CONTADORES!U58-CONTADORES!U57)+(CONTADORES!AG58-CONTADORES!AG57))</f>
        <v>2.3000000000029104</v>
      </c>
      <c r="AU64" s="1397">
        <f>CONTADORES!I58-CONTADORES!I57</f>
        <v>78.799999999988358</v>
      </c>
      <c r="AV64" s="1397">
        <f>CONTADORES!AV58-CONTADORES!AV57</f>
        <v>53.719000000011874</v>
      </c>
      <c r="AW64" s="1397">
        <f ca="1">IF(B64&gt;=$J$5,0,(CONTADORES!N58-CONTADORES!N57)+(CONTADORES!AN58-CONTADORES!AN57))</f>
        <v>0</v>
      </c>
      <c r="AX64" s="1397">
        <f ca="1">IF(B64&gt;=$J$5,0,(CONTADORES!P58-CONTADORES!P57)+(CONTADORES!AL58-CONTADORES!AL57))</f>
        <v>25.749999999992724</v>
      </c>
      <c r="AY64" s="1397">
        <f ca="1">IF(B64&gt;=$J$5,0,(CONTADORES!AJ58-CONTADORES!AJ57))</f>
        <v>7.7399999999979627</v>
      </c>
      <c r="AZ64" s="1397">
        <f ca="1">IF(B64&gt;=$J$5,0,(CONTADORES!R58-CONTADORES!R57))</f>
        <v>12.639999999999418</v>
      </c>
      <c r="BA64" s="1397">
        <f t="shared" ca="1" si="14"/>
        <v>13.536000000065116</v>
      </c>
      <c r="BB64" s="1397">
        <f ca="1">IF(B64&gt;=$J$5,0,(((CONTADORES!G58-CONTADORES!G57)+(CONTADORES!AR58-CONTADORES!AR57))))-AV64-BC64-BT64-BW64-BZ64-CE64</f>
        <v>4.8609999999647133</v>
      </c>
      <c r="BC64" s="1744">
        <f ca="1">IF(B64&gt;=$J$5,0,(CONTADORES!AY58-CONTADORES!AY57)+(CONTADORES!BA58-CONTADORES!BA57)+(CONTADORES!BF58-CONTADORES!BF57))-CC64</f>
        <v>2.0559999999998375</v>
      </c>
      <c r="BD64" s="1397">
        <f t="shared" ca="1" si="15"/>
        <v>204.52000000002045</v>
      </c>
      <c r="BE64" s="1398">
        <f ca="1">IF($B64&gt;=$J$5,0,CONTADORES!$BG58)</f>
        <v>5647.43</v>
      </c>
      <c r="BF64" s="1397">
        <f ca="1">IF($B64&gt;=$J$5,0,CONTADORES!$BH58)</f>
        <v>27344.350877192999</v>
      </c>
      <c r="BG64" s="1397">
        <f ca="1">IF($B64&gt;=$J$5,0,CONTADORES!$BJ58)</f>
        <v>4804.57</v>
      </c>
      <c r="BH64" s="1409">
        <f ca="1">IF(B64&gt;=$J$5,0,((CONTADORES!BK58-CONTADORES!BK57)/1000))</f>
        <v>1.47</v>
      </c>
      <c r="BI64" s="1409">
        <f ca="1">IF(C64&gt;=$J$5,0,((CONTADORES!BL58-CONTADORES!BL57)/1000))</f>
        <v>1.4330000000000001</v>
      </c>
      <c r="BJ64" s="1399">
        <f ca="1">IF(C64&gt;=$J$5,0,((CONTADORES!BM58-CONTADORES!BM57)/1000))</f>
        <v>0</v>
      </c>
      <c r="BK64" s="1399">
        <f ca="1">IF(D64&gt;=$J$5,0,((CONTADORES!BN58-CONTADORES!BN57)/1000))</f>
        <v>0</v>
      </c>
      <c r="BL64" s="1399">
        <f t="shared" ca="1" si="16"/>
        <v>1.47</v>
      </c>
      <c r="BM64" s="1399">
        <f t="shared" ca="1" si="17"/>
        <v>1.4330000000000001</v>
      </c>
      <c r="BN64" s="1398">
        <f ca="1">IF(W64&gt;=$J$5,0,CONTADORES!$BO58)</f>
        <v>123.42879154525301</v>
      </c>
      <c r="BO64" s="1397">
        <f ca="1">IF(W64&gt;=$J$5,0,CONTADORES!$BP58)</f>
        <v>40.707699739164312</v>
      </c>
      <c r="BP64" s="1397">
        <f ca="1">IF(W64&gt;=$J$5,0,CONTADORES!$BQ58)</f>
        <v>613.00020970897185</v>
      </c>
      <c r="BQ64" s="1397">
        <f ca="1">IF(B64&gt;=$J$5,0,(CONTADORES!AS58-CONTADORES!AS57))</f>
        <v>4.9389999999984866</v>
      </c>
      <c r="BR64" s="1397">
        <f ca="1">IF(B64&gt;=$J$5,0,(CONTADORES!AT58-CONTADORES!AT57))</f>
        <v>0</v>
      </c>
      <c r="BS64" s="1409">
        <f ca="1">IF(B64&gt;=$J$5,0,CONTADORES!BR58-CONTADORES!BR57)/1000</f>
        <v>0</v>
      </c>
      <c r="BT64" s="1438">
        <f ca="1">IF(B64&gt;=$J$5,0,CONTADORES!BS58-CONTADORES!BS57)</f>
        <v>0</v>
      </c>
      <c r="BU64" s="1438">
        <f ca="1">IF(B64&gt;=$J$5,0,CONTADORES!BT58-CONTADORES!BT57)</f>
        <v>7.2400000000016007</v>
      </c>
      <c r="BV64" s="1438">
        <f ca="1">IF(B64&gt;=$J$5,0,CONTADORES!BU58-CONTADORES!BU57)/1000</f>
        <v>1.698</v>
      </c>
      <c r="BW64" s="1438">
        <f ca="1">IF(B64&gt;=$J$5,0,CONTADORES!BV58-CONTADORES!BV57)/1000</f>
        <v>3.0000000000000001E-3</v>
      </c>
      <c r="BX64" s="1438">
        <f ca="1">IF(B64&gt;=$J$5,0,CONTADORES!BW58-CONTADORES!BW57)</f>
        <v>16.899999999997817</v>
      </c>
      <c r="BY64" s="1438">
        <f ca="1">IF(B64&gt;=$J$5,0,CONTADORES!BX58-CONTADORES!BX57)/1000</f>
        <v>4.3680000000000003</v>
      </c>
      <c r="BZ64" s="1438">
        <f ca="1">IF(B64&gt;=$J$5,0,CONTADORES!BY58-CONTADORES!BY57)/1000</f>
        <v>3.1E-2</v>
      </c>
      <c r="CA64" s="1438">
        <f ca="1">IF(B64&gt;=$J$5,0,CONTADORES!BZ58-CONTADORES!BZ57)</f>
        <v>16.900000000001455</v>
      </c>
      <c r="CB64" s="1409">
        <f ca="1">IF(B64&gt;=$J$5,0,(CONTADORES!CC58-CONTADORES!CC57)+(CONTADORES!CE58-CONTADORES!CE57))/1000</f>
        <v>1.133</v>
      </c>
      <c r="CC64" s="1438">
        <f ca="1">IF(B64&gt;=$J$5,0,(CONTADORES!CD58-CONTADORES!CD57)+(CONTADORES!CF58-CONTADORES!CF57))/1000</f>
        <v>0.65400000000000003</v>
      </c>
      <c r="CD64" s="1409">
        <f ca="1">IF(B64&gt;=$J$5,0,CONTADORES!CA58-CONTADORES!CA57)</f>
        <v>7.4099999999998545</v>
      </c>
      <c r="CE64" s="1438">
        <f ca="1">IF(B64&gt;=$J$5,0,CONTADORES!CB58-CONTADORES!CB57)</f>
        <v>4.7300000000004729</v>
      </c>
      <c r="CF64" s="1438">
        <f t="shared" ca="1" si="18"/>
        <v>10.527000000014567</v>
      </c>
      <c r="CG64" s="1438">
        <f t="shared" ca="1" si="19"/>
        <v>7.1604999999828296</v>
      </c>
      <c r="CH64" s="1438">
        <f t="shared" ca="1" si="20"/>
        <v>3.1170000000147131</v>
      </c>
      <c r="CI64" s="1438">
        <f t="shared" ca="1" si="21"/>
        <v>1.3068000000001616</v>
      </c>
      <c r="CJ64" s="1438">
        <f t="shared" ca="1" si="22"/>
        <v>3.1170000000147131</v>
      </c>
      <c r="CK64" s="1438">
        <f t="shared" ca="1" si="23"/>
        <v>1.960200000000242</v>
      </c>
      <c r="CL64" s="1438">
        <f t="shared" ca="1" si="24"/>
        <v>2.4398000000001616</v>
      </c>
      <c r="CM64" s="1438">
        <f t="shared" ca="1" si="25"/>
        <v>2.4304999999823567</v>
      </c>
      <c r="CN64" s="1438">
        <f ca="1">IF(B64&gt;=$J$5,0,CONTADORES!CB58-CONTADORES!CB57)</f>
        <v>4.7300000000004729</v>
      </c>
      <c r="CO64" s="1438">
        <f t="shared" ca="1" si="26"/>
        <v>2.4304999999823567</v>
      </c>
      <c r="CP64" s="1438">
        <f t="shared" ca="1" si="27"/>
        <v>1.0279999999999188</v>
      </c>
      <c r="CQ64" s="1438">
        <f t="shared" ca="1" si="28"/>
        <v>1.0279999999999188</v>
      </c>
      <c r="CR64" s="1438">
        <f t="shared" ca="1" si="29"/>
        <v>1.6819999999999187</v>
      </c>
      <c r="CS64" s="1439">
        <f ca="1">IF($B64&gt;=$J$5,0,CONTADORES!$BI58)</f>
        <v>7013.0622308813099</v>
      </c>
      <c r="CT64" s="1334">
        <f>CONTADORES!E58</f>
        <v>0</v>
      </c>
      <c r="CU64" s="1334">
        <f>CONTADORES!CG58</f>
        <v>0</v>
      </c>
    </row>
    <row r="65" spans="2:99">
      <c r="B65" s="214">
        <v>44981</v>
      </c>
      <c r="C65" s="198">
        <f t="shared" ca="1" si="0"/>
        <v>285.06999999994878</v>
      </c>
      <c r="D65" s="196">
        <f ca="1">'CALCULO DE GAS'!D61</f>
        <v>4.8009711882788846</v>
      </c>
      <c r="E65" s="196">
        <f ca="1">IF(B65&gt;=$J$5,0,(CONTADORES!$AD59-CONTADORES!$AD58)-$H65)</f>
        <v>24</v>
      </c>
      <c r="F65" s="198">
        <f t="shared" si="31"/>
        <v>0</v>
      </c>
      <c r="G65" s="196">
        <v>0</v>
      </c>
      <c r="H65" s="1396">
        <f>IF(G65&gt;0,CONTADORES!$AE59-CONTADORES!$AE58,0)</f>
        <v>0</v>
      </c>
      <c r="I65" s="199">
        <f ca="1">IF(B65&gt;=$J$5,0,CONTADORES!$AB59-CONTADORES!$AB58)</f>
        <v>285.06999999994878</v>
      </c>
      <c r="J65" s="198">
        <f t="shared" ca="1" si="2"/>
        <v>149.68000000000029</v>
      </c>
      <c r="K65" s="196">
        <f ca="1">'CALCULO DE GAS'!E61</f>
        <v>3.6969180710723215</v>
      </c>
      <c r="L65" s="1396">
        <f ca="1">IF(B65&gt;=$J$5,0,(CONTADORES!$Y59-CONTADORES!$Y58)-$O65)</f>
        <v>24</v>
      </c>
      <c r="M65" s="1396">
        <f t="shared" ca="1" si="33"/>
        <v>0</v>
      </c>
      <c r="N65" s="1396">
        <f ca="1">IF(B65&gt;=$J$5,0,CONTADORES!$AA59-CONTADORES!AA58)</f>
        <v>0</v>
      </c>
      <c r="O65" s="1396">
        <f ca="1">IF(N65&gt;0,CONTADORES!$Z59-CONTADORES!$Z58,0)</f>
        <v>0</v>
      </c>
      <c r="P65" s="202">
        <f ca="1">IF(B65&gt;=$J$5,0,CONTADORES!$W59-CONTADORES!$W58)</f>
        <v>149.68000000000029</v>
      </c>
      <c r="Q65" s="202">
        <f ca="1">IF(B65&gt;=$J$5,0,CONTADORES!$B59-CONTADORES!$B58)</f>
        <v>0</v>
      </c>
      <c r="R65" s="196">
        <f t="shared" ca="1" si="4"/>
        <v>0</v>
      </c>
      <c r="S65" s="11">
        <f ca="1">IF(B65&gt;=$J$5,0,CONTADORES!$D59-CONTADORES!$D58)</f>
        <v>0</v>
      </c>
      <c r="T65" s="198">
        <f ca="1">IF(B65&gt;=$J$5,0,CONTADORES!$BB59-CONTADORES!$BB58)</f>
        <v>0</v>
      </c>
      <c r="U65" s="196">
        <f t="shared" ca="1" si="32"/>
        <v>0</v>
      </c>
      <c r="V65" s="199">
        <f ca="1">IF(B65&gt;=$J$5,0,CONTADORES!$BD59-CONTADORES!$BD58)</f>
        <v>0</v>
      </c>
      <c r="W65" s="1397">
        <f t="shared" ca="1" si="6"/>
        <v>434.74999999994907</v>
      </c>
      <c r="X65" s="1397">
        <f t="shared" ca="1" si="7"/>
        <v>0</v>
      </c>
      <c r="Y65" s="1398">
        <f t="shared" ca="1" si="8"/>
        <v>434.74999999994907</v>
      </c>
      <c r="Z65" s="1398">
        <f t="shared" ca="1" si="9"/>
        <v>8.4978892593512061</v>
      </c>
      <c r="AA65" s="1398">
        <f t="shared" ca="1" si="10"/>
        <v>0</v>
      </c>
      <c r="AB65" s="1398">
        <f t="shared" ca="1" si="11"/>
        <v>48</v>
      </c>
      <c r="AC65" s="1397">
        <f t="shared" ca="1" si="12"/>
        <v>0</v>
      </c>
      <c r="AD65" s="1397">
        <f ca="1">IF(B65=$J$5,0,CONTADORES!H59-CONTADORES!H58)</f>
        <v>164.5</v>
      </c>
      <c r="AE65" s="1397">
        <f ca="1">IF(B65=$J$5,0,CONTADORES!J59-CONTADORES!J58)</f>
        <v>24</v>
      </c>
      <c r="AF65" s="1397">
        <f ca="1">IF(B65=$J$5,0,CONTADORES!AU59-CONTADORES!AU58)</f>
        <v>142.28000000002794</v>
      </c>
      <c r="AG65" s="1397">
        <f ca="1">IF(B65=$J$5,0,CONTADORES!AW59-CONTADORES!AW58)</f>
        <v>24</v>
      </c>
      <c r="AH65" s="1397">
        <f ca="1">IF(B65=$J$5,0,(CONTADORES!AM59-CONTADORES!AM58)+(CONTADORES!M59-CONTADORES!M58))</f>
        <v>6.7999999999956344</v>
      </c>
      <c r="AI65" s="1397">
        <f ca="1">IF(B65=$J$5,0,(CONTADORES!AK59-CONTADORES!AK58)+(CONTADORES!O59-CONTADORES!O58))</f>
        <v>29.959999999999127</v>
      </c>
      <c r="AJ65" s="1397">
        <f ca="1">IF(B65=$J$5,0,(CONTADORES!AI59-CONTADORES!AI58))</f>
        <v>8.3099999999976717</v>
      </c>
      <c r="AK65" s="1397">
        <f ca="1">IF(B65=$J$5,0,(CONTADORES!Q59-CONTADORES!Q58))</f>
        <v>16.529999999998836</v>
      </c>
      <c r="AL65" s="1397">
        <f t="shared" ca="1" si="13"/>
        <v>39.349999999922147</v>
      </c>
      <c r="AM65" s="1397">
        <f ca="1">IF(B65&gt;=$J$5,0,(((CONTADORES!F59-CONTADORES!F58)+(CONTADORES!AQ59-CONTADORES!AQ58))))-BS65-AF65-AN65-BV65-BY65-CD65-CB65</f>
        <v>9.4820000000073854</v>
      </c>
      <c r="AN65" s="1397">
        <f ca="1">IF(B65=$J$5,0,(CONTADORES!AX59-CONTADORES!AX58)+(CONTADORES!AZ59-CONTADORES!AZ58)+(CONTADORES!BE59-CONTADORES!BE58))-CB65</f>
        <v>2.1709999999997818</v>
      </c>
      <c r="AO65" s="1437">
        <f ca="1">IF(B65&gt;=$J$5,0,(CONTADORES!AC59-CONTADORES!AC58))</f>
        <v>140.01000000000931</v>
      </c>
      <c r="AP65" s="1437">
        <f ca="1">IF(B65&gt;=$J$5,0,(CONTADORES!X59-CONTADORES!X58))</f>
        <v>74.229999999999563</v>
      </c>
      <c r="AQ65" s="1433">
        <f ca="1">IF(B65&gt;=$J$5,0,(CONTADORES!C59-CONTADORES!C58))</f>
        <v>0</v>
      </c>
      <c r="AR65" s="1399">
        <f ca="1">IF(B65&gt;=$J$5,0,(CONTADORES!BC59-CONTADORES!BC58))</f>
        <v>0</v>
      </c>
      <c r="AS65" s="1397">
        <f ca="1">IF(B65=$J$5,0,CONTADORES!S59-CONTADORES!S58)</f>
        <v>17</v>
      </c>
      <c r="AT65" s="1397">
        <f ca="1">IF(B65=$J$5,0,(CONTADORES!U59-CONTADORES!U58)+(CONTADORES!AG59-CONTADORES!AG58))</f>
        <v>2.2299999999959255</v>
      </c>
      <c r="AU65" s="1397">
        <f>CONTADORES!I59-CONTADORES!I58</f>
        <v>83.5</v>
      </c>
      <c r="AV65" s="1397">
        <f>CONTADORES!AV59-CONTADORES!AV58</f>
        <v>61.786999999982072</v>
      </c>
      <c r="AW65" s="1397">
        <f ca="1">IF(B65&gt;=$J$5,0,(CONTADORES!N59-CONTADORES!N58)+(CONTADORES!AN59-CONTADORES!AN58))</f>
        <v>4.9000000000014552</v>
      </c>
      <c r="AX65" s="1397">
        <f ca="1">IF(B65&gt;=$J$5,0,(CONTADORES!P59-CONTADORES!P58)+(CONTADORES!AL59-CONTADORES!AL58))</f>
        <v>23.330000000001746</v>
      </c>
      <c r="AY65" s="1397">
        <f ca="1">IF(B65&gt;=$J$5,0,(CONTADORES!AJ59-CONTADORES!AJ58))</f>
        <v>6.4899999999979627</v>
      </c>
      <c r="AZ65" s="1397">
        <f ca="1">IF(B65&gt;=$J$5,0,(CONTADORES!R59-CONTADORES!R58))</f>
        <v>13.059999999997672</v>
      </c>
      <c r="BA65" s="1397">
        <f t="shared" ca="1" si="14"/>
        <v>12.53900000000985</v>
      </c>
      <c r="BB65" s="1397">
        <f ca="1">IF(B65&gt;=$J$5,0,(((CONTADORES!G59-CONTADORES!G58)+(CONTADORES!AR59-CONTADORES!AR58))))-AV65-BC65-BT65-BW65-BZ65-CE65</f>
        <v>2.4640000000180713</v>
      </c>
      <c r="BC65" s="1744">
        <f ca="1">IF(B65&gt;=$J$5,0,(CONTADORES!AY59-CONTADORES!AY58)+(CONTADORES!BA59-CONTADORES!BA58)+(CONTADORES!BF59-CONTADORES!BF58))-CC65</f>
        <v>1.1389999999998204</v>
      </c>
      <c r="BD65" s="1397">
        <f t="shared" ca="1" si="15"/>
        <v>214.24000000000888</v>
      </c>
      <c r="BE65" s="1398">
        <f ca="1">IF($B65&gt;=$J$5,0,CONTADORES!$BG59)</f>
        <v>6710.61</v>
      </c>
      <c r="BF65" s="1397">
        <f ca="1">IF($B65&gt;=$J$5,0,CONTADORES!$BH59)</f>
        <v>32320.5947368421</v>
      </c>
      <c r="BG65" s="1397">
        <f ca="1">IF($B65&gt;=$J$5,0,CONTADORES!$BJ59)</f>
        <v>5940.16</v>
      </c>
      <c r="BH65" s="1409">
        <f ca="1">IF(B65&gt;=$J$5,0,((CONTADORES!BK59-CONTADORES!BK58)/1000))</f>
        <v>1.5249999999999999</v>
      </c>
      <c r="BI65" s="1409">
        <f ca="1">IF(C65&gt;=$J$5,0,((CONTADORES!BL59-CONTADORES!BL58)/1000))</f>
        <v>1.4890000000000001</v>
      </c>
      <c r="BJ65" s="1399">
        <f ca="1">IF(C65&gt;=$J$5,0,((CONTADORES!BM59-CONTADORES!BM58)/1000))</f>
        <v>0</v>
      </c>
      <c r="BK65" s="1399">
        <f ca="1">IF(D65&gt;=$J$5,0,((CONTADORES!BN59-CONTADORES!BN58)/1000))</f>
        <v>0</v>
      </c>
      <c r="BL65" s="1399">
        <f t="shared" ca="1" si="16"/>
        <v>1.5249999999999999</v>
      </c>
      <c r="BM65" s="1399">
        <f t="shared" ca="1" si="17"/>
        <v>1.4890000000000001</v>
      </c>
      <c r="BN65" s="1398">
        <f ca="1">IF(W65&gt;=$J$5,0,CONTADORES!$BO59)</f>
        <v>132.842342323959</v>
      </c>
      <c r="BO65" s="1397">
        <f ca="1">IF(W65&gt;=$J$5,0,CONTADORES!$BP59)</f>
        <v>46.098950626244545</v>
      </c>
      <c r="BP65" s="1397">
        <f ca="1">IF(W65&gt;=$J$5,0,CONTADORES!$BQ59)</f>
        <v>665.84449376764087</v>
      </c>
      <c r="BQ65" s="1397">
        <f ca="1">IF(B65&gt;=$J$5,0,(CONTADORES!AS59-CONTADORES!AS58))</f>
        <v>4.9310000000041327</v>
      </c>
      <c r="BR65" s="1397">
        <f ca="1">IF(B65&gt;=$J$5,0,(CONTADORES!AT59-CONTADORES!AT58))</f>
        <v>0</v>
      </c>
      <c r="BS65" s="1409">
        <f ca="1">IF(B65&gt;=$J$5,0,CONTADORES!BR59-CONTADORES!BR58)/1000</f>
        <v>0</v>
      </c>
      <c r="BT65" s="1438">
        <f ca="1">IF(B65&gt;=$J$5,0,CONTADORES!BS59-CONTADORES!BS58)</f>
        <v>0</v>
      </c>
      <c r="BU65" s="1438">
        <f ca="1">IF(B65&gt;=$J$5,0,CONTADORES!BT59-CONTADORES!BT58)</f>
        <v>0</v>
      </c>
      <c r="BV65" s="1438">
        <f ca="1">IF(B65&gt;=$J$5,0,CONTADORES!BU59-CONTADORES!BU58)/1000</f>
        <v>5.8310000000000004</v>
      </c>
      <c r="BW65" s="1438">
        <f ca="1">IF(B65&gt;=$J$5,0,CONTADORES!BV59-CONTADORES!BV58)/1000</f>
        <v>0.15</v>
      </c>
      <c r="BX65" s="1438">
        <f ca="1">IF(B65&gt;=$J$5,0,CONTADORES!BW59-CONTADORES!BW58)</f>
        <v>24</v>
      </c>
      <c r="BY65" s="1438">
        <f ca="1">IF(B65&gt;=$J$5,0,CONTADORES!BX59-CONTADORES!BX58)/1000</f>
        <v>2.3170000000000002</v>
      </c>
      <c r="BZ65" s="1438">
        <f ca="1">IF(B65&gt;=$J$5,0,CONTADORES!BY59-CONTADORES!BY58)/1000</f>
        <v>0</v>
      </c>
      <c r="CA65" s="1438">
        <f ca="1">IF(B65&gt;=$J$5,0,CONTADORES!BZ59-CONTADORES!BZ58)</f>
        <v>24</v>
      </c>
      <c r="CB65" s="1409">
        <f ca="1">IF(B65&gt;=$J$5,0,(CONTADORES!CC59-CONTADORES!CC58)+(CONTADORES!CE59-CONTADORES!CE58))/1000</f>
        <v>1.069</v>
      </c>
      <c r="CC65" s="1438">
        <f ca="1">IF(B65&gt;=$J$5,0,(CONTADORES!CD59-CONTADORES!CD58)+(CONTADORES!CF59-CONTADORES!CF58))/1000</f>
        <v>0.621</v>
      </c>
      <c r="CD65" s="1409">
        <f ca="1">IF(B65&gt;=$J$5,0,CONTADORES!CA59-CONTADORES!CA58)</f>
        <v>6.1500000000005457</v>
      </c>
      <c r="CE65" s="1438">
        <f ca="1">IF(B65&gt;=$J$5,0,CONTADORES!CB59-CONTADORES!CB58)</f>
        <v>4.2600000000002183</v>
      </c>
      <c r="CF65" s="1438">
        <f t="shared" ca="1" si="18"/>
        <v>10.891000000004238</v>
      </c>
      <c r="CG65" s="1438">
        <f t="shared" ca="1" si="19"/>
        <v>5.4920000000092539</v>
      </c>
      <c r="CH65" s="1438">
        <f t="shared" ca="1" si="20"/>
        <v>4.7410000000036927</v>
      </c>
      <c r="CI65" s="1438">
        <f t="shared" ca="1" si="21"/>
        <v>0.8683999999999128</v>
      </c>
      <c r="CJ65" s="1438">
        <f t="shared" ca="1" si="22"/>
        <v>4.7410000000036927</v>
      </c>
      <c r="CK65" s="1438">
        <f t="shared" ca="1" si="23"/>
        <v>1.302599999999869</v>
      </c>
      <c r="CL65" s="1438">
        <f t="shared" ca="1" si="24"/>
        <v>1.9373999999999127</v>
      </c>
      <c r="CM65" s="1438">
        <f t="shared" ca="1" si="25"/>
        <v>1.2320000000090356</v>
      </c>
      <c r="CN65" s="1438">
        <f ca="1">IF(B65&gt;=$J$5,0,CONTADORES!CB59-CONTADORES!CB58)</f>
        <v>4.2600000000002183</v>
      </c>
      <c r="CO65" s="1438">
        <f t="shared" ca="1" si="26"/>
        <v>1.2320000000090356</v>
      </c>
      <c r="CP65" s="1438">
        <f t="shared" ca="1" si="27"/>
        <v>0.56949999999991019</v>
      </c>
      <c r="CQ65" s="1438">
        <f t="shared" ca="1" si="28"/>
        <v>0.56949999999991019</v>
      </c>
      <c r="CR65" s="1438">
        <f t="shared" ca="1" si="29"/>
        <v>1.1904999999999102</v>
      </c>
      <c r="CS65" s="1439">
        <f ca="1">IF($B65&gt;=$J$5,0,CONTADORES!$BI59)</f>
        <v>9777.1195175147004</v>
      </c>
      <c r="CT65" s="1334">
        <f>CONTADORES!E59</f>
        <v>0</v>
      </c>
      <c r="CU65" s="1334">
        <f>CONTADORES!CG59</f>
        <v>0</v>
      </c>
    </row>
    <row r="66" spans="2:99">
      <c r="B66" s="214">
        <v>44982</v>
      </c>
      <c r="C66" s="198">
        <f t="shared" ca="1" si="0"/>
        <v>281.48999999999069</v>
      </c>
      <c r="D66" s="196">
        <f ca="1">'CALCULO DE GAS'!D62</f>
        <v>4.7717776720697493</v>
      </c>
      <c r="E66" s="196">
        <f ca="1">IF(B66&gt;=$J$5,0,(CONTADORES!$AD60-CONTADORES!$AD59)-$H66)</f>
        <v>24</v>
      </c>
      <c r="F66" s="198">
        <v>0</v>
      </c>
      <c r="G66" s="196">
        <f ca="1">IF(B66&gt;=$J$5,0,CONTADORES!$AF60-CONTADORES!$AF59)</f>
        <v>0</v>
      </c>
      <c r="H66" s="1396">
        <f ca="1">IF(G66&gt;0,CONTADORES!$AE60-CONTADORES!$AE59,0)</f>
        <v>0</v>
      </c>
      <c r="I66" s="199">
        <f ca="1">IF(B66&gt;=$J$5,0,CONTADORES!$AB60-CONTADORES!$AB59)</f>
        <v>281.48999999999069</v>
      </c>
      <c r="J66" s="198">
        <f t="shared" ca="1" si="2"/>
        <v>151.28999999999724</v>
      </c>
      <c r="K66" s="196">
        <f ca="1">'CALCULO DE GAS'!E62</f>
        <v>3.7100469987530946</v>
      </c>
      <c r="L66" s="1396">
        <f ca="1">IF(B66&gt;=$J$5,0,(CONTADORES!$Y60-CONTADORES!$Y59)-$O66)</f>
        <v>24</v>
      </c>
      <c r="M66" s="1396">
        <f t="shared" ca="1" si="33"/>
        <v>0</v>
      </c>
      <c r="N66" s="1396">
        <f ca="1">IF(B66&gt;=$J$5,0,CONTADORES!$AA60-CONTADORES!AA59)</f>
        <v>0</v>
      </c>
      <c r="O66" s="1396">
        <f ca="1">IF(N66&gt;0,CONTADORES!$Z60-CONTADORES!$Z59,0)</f>
        <v>0</v>
      </c>
      <c r="P66" s="202">
        <f ca="1">IF(B66&gt;=$J$5,0,CONTADORES!$W60-CONTADORES!$W59)</f>
        <v>151.28999999999724</v>
      </c>
      <c r="Q66" s="202">
        <f ca="1">IF(B66&gt;=$J$5,0,CONTADORES!$B60-CONTADORES!$B59)</f>
        <v>0</v>
      </c>
      <c r="R66" s="196">
        <f t="shared" ca="1" si="4"/>
        <v>0</v>
      </c>
      <c r="S66" s="11">
        <f ca="1">IF(B66&gt;=$J$5,0,CONTADORES!$D60-CONTADORES!$D59)</f>
        <v>0</v>
      </c>
      <c r="T66" s="198">
        <f ca="1">IF(B66&gt;=$J$5,0,CONTADORES!$BB60-CONTADORES!$BB59)</f>
        <v>0</v>
      </c>
      <c r="U66" s="196">
        <f t="shared" ca="1" si="32"/>
        <v>0</v>
      </c>
      <c r="V66" s="199">
        <f ca="1">IF(B66&gt;=$J$5,0,CONTADORES!$BD60-CONTADORES!$BD59)</f>
        <v>0</v>
      </c>
      <c r="W66" s="1397">
        <f t="shared" ca="1" si="6"/>
        <v>432.77999999998792</v>
      </c>
      <c r="X66" s="1397">
        <f t="shared" ca="1" si="7"/>
        <v>0</v>
      </c>
      <c r="Y66" s="1398">
        <f t="shared" ca="1" si="8"/>
        <v>432.77999999998792</v>
      </c>
      <c r="Z66" s="1398">
        <f t="shared" ca="1" si="9"/>
        <v>8.481824670822844</v>
      </c>
      <c r="AA66" s="1398">
        <f t="shared" ca="1" si="10"/>
        <v>0</v>
      </c>
      <c r="AB66" s="1398">
        <f t="shared" ca="1" si="11"/>
        <v>48</v>
      </c>
      <c r="AC66" s="1397">
        <f t="shared" ca="1" si="12"/>
        <v>0</v>
      </c>
      <c r="AD66" s="1397">
        <f ca="1">IF(B66=$J$5,0,CONTADORES!H60-CONTADORES!H59)</f>
        <v>162.69999999995343</v>
      </c>
      <c r="AE66" s="1397">
        <f ca="1">IF(B66=$J$5,0,CONTADORES!J60-CONTADORES!J59)</f>
        <v>24</v>
      </c>
      <c r="AF66" s="1397">
        <f ca="1">IF(B66=$J$5,0,CONTADORES!AU60-CONTADORES!AU59)</f>
        <v>139.5800000000163</v>
      </c>
      <c r="AG66" s="1397">
        <f ca="1">IF(B66=$J$5,0,CONTADORES!AW60-CONTADORES!AW59)</f>
        <v>24</v>
      </c>
      <c r="AH66" s="1397">
        <f ca="1">IF(B66=$J$5,0,(CONTADORES!AM60-CONTADORES!AM59)+(CONTADORES!M60-CONTADORES!M59))</f>
        <v>17.600000000005821</v>
      </c>
      <c r="AI66" s="1397">
        <f ca="1">IF(B66=$J$5,0,(CONTADORES!AK60-CONTADORES!AK59)+(CONTADORES!O60-CONTADORES!O59))</f>
        <v>32.040000000000873</v>
      </c>
      <c r="AJ66" s="1397">
        <f ca="1">IF(B66=$J$5,0,(CONTADORES!AI60-CONTADORES!AI59))</f>
        <v>8.9799999999959255</v>
      </c>
      <c r="AK66" s="1397">
        <f ca="1">IF(B66=$J$5,0,(CONTADORES!Q60-CONTADORES!Q59))</f>
        <v>15.029999999998836</v>
      </c>
      <c r="AL66" s="1397">
        <f t="shared" ca="1" si="13"/>
        <v>27.930000000022062</v>
      </c>
      <c r="AM66" s="1397">
        <f ca="1">IF(B66&gt;=$J$5,0,(((CONTADORES!F60-CONTADORES!F59)+(CONTADORES!AQ60-CONTADORES!AQ59))))-BS66-AF66-AN66-BV66-BY66-CD66-CB66</f>
        <v>9.3029999999945971</v>
      </c>
      <c r="AN66" s="1397">
        <f ca="1">IF(B66=$J$5,0,(CONTADORES!AX60-CONTADORES!AX59)+(CONTADORES!AZ60-CONTADORES!AZ59)+(CONTADORES!BE60-CONTADORES!BE59))-CB66</f>
        <v>3.4670000000002728</v>
      </c>
      <c r="AO66" s="1437">
        <f ca="1">IF(B66&gt;=$J$5,0,(CONTADORES!AC60-CONTADORES!AC59))</f>
        <v>141.53999999997905</v>
      </c>
      <c r="AP66" s="1437">
        <f ca="1">IF(B66&gt;=$J$5,0,(CONTADORES!X60-CONTADORES!X59))</f>
        <v>74.829999999999927</v>
      </c>
      <c r="AQ66" s="1433">
        <f ca="1">IF(B66&gt;=$J$5,0,(CONTADORES!C60-CONTADORES!C59))</f>
        <v>0</v>
      </c>
      <c r="AR66" s="1399">
        <f ca="1">IF(B66&gt;=$J$5,0,(CONTADORES!BC60-CONTADORES!BC59))</f>
        <v>0</v>
      </c>
      <c r="AS66" s="1397">
        <f ca="1">IF(B66=$J$5,0,CONTADORES!S60-CONTADORES!S59)</f>
        <v>16.679999999993015</v>
      </c>
      <c r="AT66" s="1397">
        <f ca="1">IF(B66=$J$5,0,(CONTADORES!U60-CONTADORES!U59)+(CONTADORES!AG60-CONTADORES!AG59))</f>
        <v>2.2399999999979627</v>
      </c>
      <c r="AU66" s="1397">
        <f>CONTADORES!I60-CONTADORES!I59</f>
        <v>83.600000000034925</v>
      </c>
      <c r="AV66" s="1397">
        <f>CONTADORES!AV60-CONTADORES!AV59</f>
        <v>60.834000000002561</v>
      </c>
      <c r="AW66" s="1397">
        <f ca="1">IF(B66&gt;=$J$5,0,(CONTADORES!N60-CONTADORES!N59)+(CONTADORES!AN60-CONTADORES!AN59))</f>
        <v>4.4999999999972715</v>
      </c>
      <c r="AX66" s="1397">
        <f ca="1">IF(B66&gt;=$J$5,0,(CONTADORES!P60-CONTADORES!P59)+(CONTADORES!AL60-CONTADORES!AL59))</f>
        <v>25.160000000003492</v>
      </c>
      <c r="AY66" s="1397">
        <f ca="1">IF(B66&gt;=$J$5,0,(CONTADORES!AJ60-CONTADORES!AJ59))</f>
        <v>7.0299999999988358</v>
      </c>
      <c r="AZ66" s="1397">
        <f ca="1">IF(B66&gt;=$J$5,0,(CONTADORES!R60-CONTADORES!R59))</f>
        <v>12.919999999998254</v>
      </c>
      <c r="BA66" s="1397">
        <f t="shared" ca="1" si="14"/>
        <v>12.319999999946191</v>
      </c>
      <c r="BB66" s="1397">
        <f ca="1">IF(B66&gt;=$J$5,0,(((CONTADORES!G60-CONTADORES!G59)+(CONTADORES!AR60-CONTADORES!AR59))))-AV66-BC66-BT66-BW66-BZ66-CE66</f>
        <v>3.5849999999972564</v>
      </c>
      <c r="BC66" s="1744">
        <f ca="1">IF(B66&gt;=$J$5,0,(CONTADORES!AY60-CONTADORES!AY59)+(CONTADORES!BA60-CONTADORES!BA59)+(CONTADORES!BF60-CONTADORES!BF59))-CC66</f>
        <v>1.0800000000000729</v>
      </c>
      <c r="BD66" s="1397">
        <f t="shared" ca="1" si="15"/>
        <v>216.36999999997897</v>
      </c>
      <c r="BE66" s="1398">
        <f ca="1">IF($B66&gt;=$J$5,0,CONTADORES!$BG60)</f>
        <v>5866.69</v>
      </c>
      <c r="BF66" s="1397">
        <f ca="1">IF($B66&gt;=$J$5,0,CONTADORES!$BH60)</f>
        <v>32319.556140350898</v>
      </c>
      <c r="BG66" s="1397">
        <f ca="1">IF($B66&gt;=$J$5,0,CONTADORES!$BJ60)</f>
        <v>5854.38</v>
      </c>
      <c r="BH66" s="1409">
        <f ca="1">IF(B66&gt;=$J$5,0,((CONTADORES!BK60-CONTADORES!BK59)/1000))</f>
        <v>1.4350000000000001</v>
      </c>
      <c r="BI66" s="1409">
        <f ca="1">IF(C66&gt;=$J$5,0,((CONTADORES!BL60-CONTADORES!BL59)/1000))</f>
        <v>1.4259999999999999</v>
      </c>
      <c r="BJ66" s="1399">
        <f ca="1">IF(C66&gt;=$J$5,0,((CONTADORES!BM60-CONTADORES!BM59)/1000))</f>
        <v>0</v>
      </c>
      <c r="BK66" s="1399">
        <f ca="1">IF(D66&gt;=$J$5,0,((CONTADORES!BN60-CONTADORES!BN59)/1000))</f>
        <v>0</v>
      </c>
      <c r="BL66" s="1399">
        <f t="shared" ca="1" si="16"/>
        <v>1.4350000000000001</v>
      </c>
      <c r="BM66" s="1399">
        <f t="shared" ca="1" si="17"/>
        <v>1.4259999999999999</v>
      </c>
      <c r="BN66" s="1398">
        <f ca="1">IF(W66&gt;=$J$5,0,CONTADORES!$BO60)</f>
        <v>131.397472743175</v>
      </c>
      <c r="BO66" s="1397">
        <f ca="1">IF(W66&gt;=$J$5,0,CONTADORES!$BP60)</f>
        <v>46.435005592062289</v>
      </c>
      <c r="BP66" s="1397">
        <f ca="1">IF(W66&gt;=$J$5,0,CONTADORES!$BQ60)</f>
        <v>664.14905903253475</v>
      </c>
      <c r="BQ66" s="1397">
        <f ca="1">IF(B66&gt;=$J$5,0,(CONTADORES!AS60-CONTADORES!AS59))</f>
        <v>4.6419999999998254</v>
      </c>
      <c r="BR66" s="1397">
        <f ca="1">IF(B66&gt;=$J$5,0,(CONTADORES!AT60-CONTADORES!AT59))</f>
        <v>0</v>
      </c>
      <c r="BS66" s="1409">
        <f ca="1">IF(B66&gt;=$J$5,0,CONTADORES!BR60-CONTADORES!BR59)/1000</f>
        <v>0</v>
      </c>
      <c r="BT66" s="1438">
        <f ca="1">IF(B66&gt;=$J$5,0,CONTADORES!BS60-CONTADORES!BS59)</f>
        <v>0</v>
      </c>
      <c r="BU66" s="1438">
        <f ca="1">IF(B66&gt;=$J$5,0,CONTADORES!BT60-CONTADORES!BT59)</f>
        <v>0</v>
      </c>
      <c r="BV66" s="1438">
        <f ca="1">IF(B66&gt;=$J$5,0,CONTADORES!BU60-CONTADORES!BU59)/1000</f>
        <v>6.0270000000000001</v>
      </c>
      <c r="BW66" s="1438">
        <f ca="1">IF(B66&gt;=$J$5,0,CONTADORES!BV60-CONTADORES!BV59)/1000</f>
        <v>0.121</v>
      </c>
      <c r="BX66" s="1438">
        <f ca="1">IF(B66&gt;=$J$5,0,CONTADORES!BW60-CONTADORES!BW59)</f>
        <v>24</v>
      </c>
      <c r="BY66" s="1438">
        <f ca="1">IF(B66&gt;=$J$5,0,CONTADORES!BX60-CONTADORES!BX59)/1000</f>
        <v>2.36</v>
      </c>
      <c r="BZ66" s="1438">
        <f ca="1">IF(B66&gt;=$J$5,0,CONTADORES!BY60-CONTADORES!BY59)/1000</f>
        <v>0</v>
      </c>
      <c r="CA66" s="1438">
        <f ca="1">IF(B66&gt;=$J$5,0,CONTADORES!BZ60-CONTADORES!BZ59)</f>
        <v>24</v>
      </c>
      <c r="CB66" s="1409">
        <f ca="1">IF(B66&gt;=$J$5,0,(CONTADORES!CC60-CONTADORES!CC59)+(CONTADORES!CE60-CONTADORES!CE59))/1000</f>
        <v>1.4830000000000001</v>
      </c>
      <c r="CC66" s="1438">
        <f ca="1">IF(B66&gt;=$J$5,0,(CONTADORES!CD60-CONTADORES!CD59)+(CONTADORES!CF60-CONTADORES!CF59))/1000</f>
        <v>0.84</v>
      </c>
      <c r="CD66" s="1409">
        <f ca="1">IF(B66&gt;=$J$5,0,CONTADORES!CA60-CONTADORES!CA59)</f>
        <v>6.2799999999997453</v>
      </c>
      <c r="CE66" s="1438">
        <f ca="1">IF(B66&gt;=$J$5,0,CONTADORES!CB60-CONTADORES!CB59)</f>
        <v>4.3800000000001091</v>
      </c>
      <c r="CF66" s="1438">
        <f t="shared" ca="1" si="18"/>
        <v>10.931499999997044</v>
      </c>
      <c r="CG66" s="1438">
        <f t="shared" ca="1" si="19"/>
        <v>6.1724999999987373</v>
      </c>
      <c r="CH66" s="1438">
        <f t="shared" ca="1" si="20"/>
        <v>4.6514999999972986</v>
      </c>
      <c r="CI66" s="1438">
        <f t="shared" ca="1" si="21"/>
        <v>1.3868000000001093</v>
      </c>
      <c r="CJ66" s="1438">
        <f t="shared" ca="1" si="22"/>
        <v>4.6514999999972986</v>
      </c>
      <c r="CK66" s="1438">
        <f t="shared" ca="1" si="23"/>
        <v>2.0802000000001635</v>
      </c>
      <c r="CL66" s="1438">
        <f t="shared" ca="1" si="24"/>
        <v>2.8698000000001094</v>
      </c>
      <c r="CM66" s="1438">
        <f t="shared" ca="1" si="25"/>
        <v>1.7924999999986282</v>
      </c>
      <c r="CN66" s="1438">
        <f ca="1">IF(B66&gt;=$J$5,0,CONTADORES!CB60-CONTADORES!CB59)</f>
        <v>4.3800000000001091</v>
      </c>
      <c r="CO66" s="1438">
        <f t="shared" ca="1" si="26"/>
        <v>1.7924999999986282</v>
      </c>
      <c r="CP66" s="1438">
        <f t="shared" ca="1" si="27"/>
        <v>0.54000000000003645</v>
      </c>
      <c r="CQ66" s="1438">
        <f t="shared" ca="1" si="28"/>
        <v>0.54000000000003645</v>
      </c>
      <c r="CR66" s="1438">
        <f t="shared" ca="1" si="29"/>
        <v>1.3800000000000363</v>
      </c>
      <c r="CS66" s="1439">
        <f ca="1">IF($B66&gt;=$J$5,0,CONTADORES!$BI60)</f>
        <v>10034.6056349059</v>
      </c>
      <c r="CT66" s="1334">
        <f>CONTADORES!E60</f>
        <v>0</v>
      </c>
      <c r="CU66" s="1334">
        <f>CONTADORES!CG60</f>
        <v>0</v>
      </c>
    </row>
    <row r="67" spans="2:99">
      <c r="B67" s="214">
        <v>44983</v>
      </c>
      <c r="C67" s="198">
        <f t="shared" ca="1" si="0"/>
        <v>276.72999999998137</v>
      </c>
      <c r="D67" s="196">
        <f ca="1">'CALCULO DE GAS'!D63</f>
        <v>4.7329617119699225</v>
      </c>
      <c r="E67" s="196">
        <f ca="1">IF(B67&gt;=$J$5,0,(CONTADORES!$AD61-CONTADORES!$AD60)-$H67)</f>
        <v>24</v>
      </c>
      <c r="F67" s="198">
        <f t="shared" ref="F67:F85" ca="1" si="34">IF(H67=0,0,"ERROR")</f>
        <v>0</v>
      </c>
      <c r="G67" s="196">
        <f ca="1">IF(B67&gt;=$J$5,0,CONTADORES!$AF61-CONTADORES!$AF60)</f>
        <v>0</v>
      </c>
      <c r="H67" s="1396">
        <f ca="1">IF(G67&gt;0,CONTADORES!$AE61-CONTADORES!$AE60,0)</f>
        <v>0</v>
      </c>
      <c r="I67" s="199">
        <f ca="1">IF(B67&gt;=$J$5,0,CONTADORES!$AB61-CONTADORES!$AB60)</f>
        <v>276.72999999998137</v>
      </c>
      <c r="J67" s="198">
        <f t="shared" ca="1" si="2"/>
        <v>151.09000000000015</v>
      </c>
      <c r="K67" s="196">
        <f ca="1">'CALCULO DE GAS'!E63</f>
        <v>3.7084160760598515</v>
      </c>
      <c r="L67" s="1396">
        <f ca="1">IF(B67&gt;=$J$5,0,(CONTADORES!$Y61-CONTADORES!$Y60)-$O67)</f>
        <v>24</v>
      </c>
      <c r="M67" s="1396">
        <f t="shared" ca="1" si="33"/>
        <v>0</v>
      </c>
      <c r="N67" s="1396">
        <f ca="1">IF(B67&gt;=$J$5,0,CONTADORES!$AA61-CONTADORES!AA60)</f>
        <v>0</v>
      </c>
      <c r="O67" s="1396">
        <f ca="1">IF(N67&gt;0,CONTADORES!$Z61-CONTADORES!$Z60,0)</f>
        <v>0</v>
      </c>
      <c r="P67" s="202">
        <f ca="1">IF(B67&gt;=$J$5,0,CONTADORES!$W61-CONTADORES!$W60)</f>
        <v>151.09000000000015</v>
      </c>
      <c r="Q67" s="202">
        <f ca="1">IF(B67&gt;=$J$5,0,CONTADORES!$B61-CONTADORES!$B60)</f>
        <v>0</v>
      </c>
      <c r="R67" s="196">
        <f t="shared" ca="1" si="4"/>
        <v>0</v>
      </c>
      <c r="S67" s="11">
        <f ca="1">IF(B67&gt;=$J$5,0,CONTADORES!$D61-CONTADORES!$D60)</f>
        <v>0</v>
      </c>
      <c r="T67" s="198">
        <f ca="1">IF(B67&gt;=$J$5,0,CONTADORES!$BB61-CONTADORES!$BB60)</f>
        <v>0</v>
      </c>
      <c r="U67" s="196">
        <f t="shared" ca="1" si="32"/>
        <v>0</v>
      </c>
      <c r="V67" s="199">
        <f ca="1">IF(B67&gt;=$J$5,0,CONTADORES!$BD61-CONTADORES!$BD60)</f>
        <v>0</v>
      </c>
      <c r="W67" s="1397">
        <f t="shared" ca="1" si="6"/>
        <v>427.81999999998152</v>
      </c>
      <c r="X67" s="1397">
        <f t="shared" ca="1" si="7"/>
        <v>0</v>
      </c>
      <c r="Y67" s="1398">
        <f t="shared" ca="1" si="8"/>
        <v>427.81999999998152</v>
      </c>
      <c r="Z67" s="1398">
        <f t="shared" ca="1" si="9"/>
        <v>8.441377788029774</v>
      </c>
      <c r="AA67" s="1398">
        <f t="shared" ca="1" si="10"/>
        <v>0</v>
      </c>
      <c r="AB67" s="1398">
        <f t="shared" ca="1" si="11"/>
        <v>48</v>
      </c>
      <c r="AC67" s="1397">
        <f t="shared" ca="1" si="12"/>
        <v>0</v>
      </c>
      <c r="AD67" s="1397">
        <f ca="1">IF(B67=$J$5,0,CONTADORES!H61-CONTADORES!H60)</f>
        <v>161.30000000004657</v>
      </c>
      <c r="AE67" s="1397">
        <f ca="1">IF(B67=$J$5,0,CONTADORES!J61-CONTADORES!J60)</f>
        <v>24</v>
      </c>
      <c r="AF67" s="1397">
        <f ca="1">IF(B67=$J$5,0,CONTADORES!AU61-CONTADORES!AU60)</f>
        <v>137.84999999997672</v>
      </c>
      <c r="AG67" s="1397">
        <f ca="1">IF(B67=$J$5,0,CONTADORES!AW61-CONTADORES!AW60)</f>
        <v>24</v>
      </c>
      <c r="AH67" s="1397">
        <f ca="1">IF(B67=$J$5,0,(CONTADORES!AM61-CONTADORES!AM60)+(CONTADORES!M61-CONTADORES!M60))</f>
        <v>10.199999999995271</v>
      </c>
      <c r="AI67" s="1397">
        <f ca="1">IF(B67=$J$5,0,(CONTADORES!AK61-CONTADORES!AK60)+(CONTADORES!O61-CONTADORES!O60))</f>
        <v>32.669999999998254</v>
      </c>
      <c r="AJ67" s="1397">
        <f ca="1">IF(B67=$J$5,0,(CONTADORES!AI61-CONTADORES!AI60))</f>
        <v>8.6999999999970896</v>
      </c>
      <c r="AK67" s="1397">
        <f ca="1">IF(B67=$J$5,0,(CONTADORES!Q61-CONTADORES!Q60))</f>
        <v>15.779999999998836</v>
      </c>
      <c r="AL67" s="1397">
        <f t="shared" ca="1" si="13"/>
        <v>33.169999999967274</v>
      </c>
      <c r="AM67" s="1397">
        <f ca="1">IF(B67&gt;=$J$5,0,(((CONTADORES!F61-CONTADORES!F60)+(CONTADORES!AQ61-CONTADORES!AQ60))))-BS67-AF67-AN67-BV67-BY67-CD67-CB67</f>
        <v>8.4150000000025269</v>
      </c>
      <c r="AN67" s="1397">
        <f ca="1">IF(B67=$J$5,0,(CONTADORES!AX61-CONTADORES!AX60)+(CONTADORES!AZ61-CONTADORES!AZ60)+(CONTADORES!BE61-CONTADORES!BE60))-CB67</f>
        <v>3.8879999999992543</v>
      </c>
      <c r="AO67" s="1437">
        <f ca="1">IF(B67&gt;=$J$5,0,(CONTADORES!AC61-CONTADORES!AC60))</f>
        <v>141.28000000002794</v>
      </c>
      <c r="AP67" s="1437">
        <f ca="1">IF(B67&gt;=$J$5,0,(CONTADORES!X61-CONTADORES!X60))</f>
        <v>74.56000000000131</v>
      </c>
      <c r="AQ67" s="1433">
        <f ca="1">IF(B67&gt;=$J$5,0,(CONTADORES!C61-CONTADORES!C60))</f>
        <v>0</v>
      </c>
      <c r="AR67" s="1399">
        <f ca="1">IF(B67&gt;=$J$5,0,(CONTADORES!BC61-CONTADORES!BC60))</f>
        <v>0</v>
      </c>
      <c r="AS67" s="1397">
        <f ca="1">IF(B67=$J$5,0,CONTADORES!S61-CONTADORES!S60)</f>
        <v>16.420000000012806</v>
      </c>
      <c r="AT67" s="1397">
        <f ca="1">IF(B67=$J$5,0,(CONTADORES!U61-CONTADORES!U60)+(CONTADORES!AG61-CONTADORES!AG60))</f>
        <v>2.2300000000032014</v>
      </c>
      <c r="AU67" s="1397">
        <f>CONTADORES!I61-CONTADORES!I60</f>
        <v>83.299999999988358</v>
      </c>
      <c r="AV67" s="1397">
        <f>CONTADORES!AV61-CONTADORES!AV60</f>
        <v>60.200000000011642</v>
      </c>
      <c r="AW67" s="1397">
        <f ca="1">IF(B67&gt;=$J$5,0,(CONTADORES!N61-CONTADORES!N60)+(CONTADORES!AN61-CONTADORES!AN60))</f>
        <v>3.9000000000014552</v>
      </c>
      <c r="AX67" s="1397">
        <f ca="1">IF(B67&gt;=$J$5,0,(CONTADORES!P61-CONTADORES!P60)+(CONTADORES!AL61-CONTADORES!AL60))</f>
        <v>25.720000000001164</v>
      </c>
      <c r="AY67" s="1397">
        <f ca="1">IF(B67&gt;=$J$5,0,(CONTADORES!AJ61-CONTADORES!AJ60))</f>
        <v>6.8100000000049477</v>
      </c>
      <c r="AZ67" s="1397">
        <f ca="1">IF(B67&gt;=$J$5,0,(CONTADORES!R61-CONTADORES!R60))</f>
        <v>13.150000000008731</v>
      </c>
      <c r="BA67" s="1397">
        <f t="shared" ca="1" si="14"/>
        <v>12.599000000019117</v>
      </c>
      <c r="BB67" s="1397">
        <f ca="1">IF(B67&gt;=$J$5,0,(((CONTADORES!G61-CONTADORES!G60)+(CONTADORES!AR61-CONTADORES!AR60))))-AV67-BC67-BT67-BW67-BZ67-CE67</f>
        <v>3.4659999999940165</v>
      </c>
      <c r="BC67" s="1744">
        <f ca="1">IF(B67&gt;=$J$5,0,(CONTADORES!AY61-CONTADORES!AY60)+(CONTADORES!BA61-CONTADORES!BA60)+(CONTADORES!BF61-CONTADORES!BF60))-CC67</f>
        <v>1.1690000000002001</v>
      </c>
      <c r="BD67" s="1397">
        <f t="shared" ca="1" si="15"/>
        <v>215.84000000002925</v>
      </c>
      <c r="BE67" s="1398">
        <f ca="1">IF($B67&gt;=$J$5,0,CONTADORES!$BG61)</f>
        <v>5937.87</v>
      </c>
      <c r="BF67" s="1397">
        <f ca="1">IF($B67&gt;=$J$5,0,CONTADORES!$BH61)</f>
        <v>31768.559649122799</v>
      </c>
      <c r="BG67" s="1397">
        <f ca="1">IF($B67&gt;=$J$5,0,CONTADORES!$BJ61)</f>
        <v>5402.87</v>
      </c>
      <c r="BH67" s="1409">
        <f ca="1">IF(B67&gt;=$J$5,0,((CONTADORES!BK61-CONTADORES!BK60)/1000))</f>
        <v>1.5309999999999999</v>
      </c>
      <c r="BI67" s="1409">
        <f ca="1">IF(C67&gt;=$J$5,0,((CONTADORES!BL61-CONTADORES!BL60)/1000))</f>
        <v>1.49</v>
      </c>
      <c r="BJ67" s="1399">
        <f ca="1">IF(C67&gt;=$J$5,0,((CONTADORES!BM61-CONTADORES!BM60)/1000))</f>
        <v>0</v>
      </c>
      <c r="BK67" s="1399">
        <f ca="1">IF(D67&gt;=$J$5,0,((CONTADORES!BN61-CONTADORES!BN60)/1000))</f>
        <v>0</v>
      </c>
      <c r="BL67" s="1399">
        <f t="shared" ca="1" si="16"/>
        <v>1.5309999999999999</v>
      </c>
      <c r="BM67" s="1399">
        <f t="shared" ca="1" si="17"/>
        <v>1.49</v>
      </c>
      <c r="BN67" s="1398">
        <f ca="1">IF(W67&gt;=$J$5,0,CONTADORES!$BO61)</f>
        <v>131.621244311244</v>
      </c>
      <c r="BO67" s="1397">
        <f ca="1">IF(W67&gt;=$J$5,0,CONTADORES!$BP61)</f>
        <v>46.347981860350593</v>
      </c>
      <c r="BP67" s="1397">
        <f ca="1">IF(W67&gt;=$J$5,0,CONTADORES!$BQ61)</f>
        <v>663.48574151927608</v>
      </c>
      <c r="BQ67" s="1397">
        <f ca="1">IF(B67&gt;=$J$5,0,(CONTADORES!AS61-CONTADORES!AS60))</f>
        <v>4.6440000000002328</v>
      </c>
      <c r="BR67" s="1397">
        <f ca="1">IF(B67&gt;=$J$5,0,(CONTADORES!AT61-CONTADORES!AT60))</f>
        <v>0</v>
      </c>
      <c r="BS67" s="1409">
        <f ca="1">IF(B67&gt;=$J$5,0,CONTADORES!BR61-CONTADORES!BR60)/1000</f>
        <v>0</v>
      </c>
      <c r="BT67" s="1438">
        <f ca="1">IF(B67&gt;=$J$5,0,CONTADORES!BS61-CONTADORES!BS60)</f>
        <v>0</v>
      </c>
      <c r="BU67" s="1438">
        <f ca="1">IF(B67&gt;=$J$5,0,CONTADORES!BT61-CONTADORES!BT60)</f>
        <v>0</v>
      </c>
      <c r="BV67" s="1438">
        <f ca="1">IF(B67&gt;=$J$5,0,CONTADORES!BU61-CONTADORES!BU60)/1000</f>
        <v>5.72</v>
      </c>
      <c r="BW67" s="1438">
        <f ca="1">IF(B67&gt;=$J$5,0,CONTADORES!BV61-CONTADORES!BV60)/1000</f>
        <v>0.22500000000000001</v>
      </c>
      <c r="BX67" s="1438">
        <f ca="1">IF(B67&gt;=$J$5,0,CONTADORES!BW61-CONTADORES!BW60)</f>
        <v>24</v>
      </c>
      <c r="BY67" s="1438">
        <f ca="1">IF(B67&gt;=$J$5,0,CONTADORES!BX61-CONTADORES!BX60)/1000</f>
        <v>2.335</v>
      </c>
      <c r="BZ67" s="1438">
        <f ca="1">IF(B67&gt;=$J$5,0,CONTADORES!BY61-CONTADORES!BY60)/1000</f>
        <v>0</v>
      </c>
      <c r="CA67" s="1438">
        <f ca="1">IF(B67&gt;=$J$5,0,CONTADORES!BZ61-CONTADORES!BZ60)</f>
        <v>24</v>
      </c>
      <c r="CB67" s="1409">
        <f ca="1">IF(B67&gt;=$J$5,0,(CONTADORES!CC61-CONTADORES!CC60)+(CONTADORES!CE61-CONTADORES!CE60))/1000</f>
        <v>1.4319999999999999</v>
      </c>
      <c r="CC67" s="1438">
        <f ca="1">IF(B67&gt;=$J$5,0,(CONTADORES!CD61-CONTADORES!CD60)+(CONTADORES!CF61-CONTADORES!CF60))/1000</f>
        <v>0.86099999999999999</v>
      </c>
      <c r="CD67" s="1409">
        <f ca="1">IF(B67&gt;=$J$5,0,CONTADORES!CA61-CONTADORES!CA60)</f>
        <v>6.3599999999996726</v>
      </c>
      <c r="CE67" s="1438">
        <f ca="1">IF(B67&gt;=$J$5,0,CONTADORES!CB61-CONTADORES!CB60)</f>
        <v>4.4399999999995998</v>
      </c>
      <c r="CF67" s="1438">
        <f t="shared" ca="1" si="18"/>
        <v>10.567500000000937</v>
      </c>
      <c r="CG67" s="1438">
        <f t="shared" ca="1" si="19"/>
        <v>6.1729999999966081</v>
      </c>
      <c r="CH67" s="1438">
        <f t="shared" ca="1" si="20"/>
        <v>4.2075000000012635</v>
      </c>
      <c r="CI67" s="1438">
        <f t="shared" ca="1" si="21"/>
        <v>1.5551999999997017</v>
      </c>
      <c r="CJ67" s="1438">
        <f t="shared" ca="1" si="22"/>
        <v>4.2075000000012635</v>
      </c>
      <c r="CK67" s="1438">
        <f t="shared" ca="1" si="23"/>
        <v>2.3327999999995526</v>
      </c>
      <c r="CL67" s="1438">
        <f t="shared" ca="1" si="24"/>
        <v>2.9871999999997016</v>
      </c>
      <c r="CM67" s="1438">
        <f t="shared" ca="1" si="25"/>
        <v>1.7329999999970083</v>
      </c>
      <c r="CN67" s="1438">
        <f ca="1">IF(B67&gt;=$J$5,0,CONTADORES!CB61-CONTADORES!CB60)</f>
        <v>4.4399999999995998</v>
      </c>
      <c r="CO67" s="1438">
        <f t="shared" ca="1" si="26"/>
        <v>1.7329999999970083</v>
      </c>
      <c r="CP67" s="1438">
        <f t="shared" ca="1" si="27"/>
        <v>0.58450000000010005</v>
      </c>
      <c r="CQ67" s="1438">
        <f t="shared" ca="1" si="28"/>
        <v>0.58450000000010005</v>
      </c>
      <c r="CR67" s="1438">
        <f t="shared" ca="1" si="29"/>
        <v>1.4455000000000999</v>
      </c>
      <c r="CS67" s="1439">
        <f ca="1">IF($B67&gt;=$J$5,0,CONTADORES!$BI61)</f>
        <v>10500.1480688471</v>
      </c>
      <c r="CT67" s="1334">
        <f>CONTADORES!E61</f>
        <v>0</v>
      </c>
      <c r="CU67" s="1334">
        <f>CONTADORES!CG61</f>
        <v>0</v>
      </c>
    </row>
    <row r="68" spans="2:99">
      <c r="B68" s="214">
        <v>44984</v>
      </c>
      <c r="C68" s="198">
        <f t="shared" ca="1" si="0"/>
        <v>283.84999999997672</v>
      </c>
      <c r="D68" s="196">
        <f ca="1">'CALCULO DE GAS'!D64</f>
        <v>4.7910225598501839</v>
      </c>
      <c r="E68" s="196">
        <f ca="1">IF(B68&gt;=$J$5,0,(CONTADORES!$AD62-CONTADORES!$AD61)-$H68)</f>
        <v>24</v>
      </c>
      <c r="F68" s="198">
        <f t="shared" ca="1" si="34"/>
        <v>0</v>
      </c>
      <c r="G68" s="196">
        <f ca="1">IF(B68&gt;=$J$5,0,CONTADORES!$AF62-CONTADORES!$AF61)</f>
        <v>0</v>
      </c>
      <c r="H68" s="1396">
        <f ca="1">IF(G68&gt;0,CONTADORES!$AE62-CONTADORES!$AE61,0)</f>
        <v>0</v>
      </c>
      <c r="I68" s="199">
        <f ca="1">IF(B68&gt;=$J$5,0,CONTADORES!$AB62-CONTADORES!$AB61)</f>
        <v>283.84999999997672</v>
      </c>
      <c r="J68" s="198">
        <f t="shared" ca="1" si="2"/>
        <v>151.35000000000218</v>
      </c>
      <c r="K68" s="196">
        <f ca="1">'CALCULO DE GAS'!E64</f>
        <v>3.7105362755611146</v>
      </c>
      <c r="L68" s="1396">
        <f ca="1">IF(B68&gt;=$J$5,0,(CONTADORES!$Y62-CONTADORES!$Y61)-$O68)</f>
        <v>24</v>
      </c>
      <c r="M68" s="1396">
        <f t="shared" ca="1" si="33"/>
        <v>0</v>
      </c>
      <c r="N68" s="1396">
        <f ca="1">IF(B68&gt;=$J$5,0,CONTADORES!$AA62-CONTADORES!AA61)</f>
        <v>0</v>
      </c>
      <c r="O68" s="1396">
        <f ca="1">IF(N68&gt;0,CONTADORES!$Z62-CONTADORES!$Z61,0)</f>
        <v>0</v>
      </c>
      <c r="P68" s="202">
        <f ca="1">IF(B68&gt;=$J$5,0,CONTADORES!$W62-CONTADORES!$W61)</f>
        <v>151.35000000000218</v>
      </c>
      <c r="Q68" s="202">
        <f ca="1">IF(B68&gt;=$J$5,0,CONTADORES!$B62-CONTADORES!$B61)</f>
        <v>0</v>
      </c>
      <c r="R68" s="196">
        <f t="shared" ca="1" si="4"/>
        <v>0</v>
      </c>
      <c r="S68" s="11">
        <f ca="1">IF(B68&gt;=$J$5,0,CONTADORES!$D62-CONTADORES!$D61)</f>
        <v>0</v>
      </c>
      <c r="T68" s="198">
        <f ca="1">IF(B68&gt;=$J$5,0,CONTADORES!$BB62-CONTADORES!$BB61)</f>
        <v>0</v>
      </c>
      <c r="U68" s="196">
        <f t="shared" ca="1" si="32"/>
        <v>0</v>
      </c>
      <c r="V68" s="199">
        <f ca="1">IF(B68&gt;=$J$5,0,CONTADORES!$BD62-CONTADORES!$BD61)</f>
        <v>0</v>
      </c>
      <c r="W68" s="1397">
        <f t="shared" ca="1" si="6"/>
        <v>435.1999999999789</v>
      </c>
      <c r="X68" s="1397">
        <f t="shared" ca="1" si="7"/>
        <v>0</v>
      </c>
      <c r="Y68" s="1398">
        <f t="shared" ca="1" si="8"/>
        <v>435.1999999999789</v>
      </c>
      <c r="Z68" s="1398">
        <f t="shared" ca="1" si="9"/>
        <v>8.5015588354112985</v>
      </c>
      <c r="AA68" s="1398">
        <f t="shared" ca="1" si="10"/>
        <v>0</v>
      </c>
      <c r="AB68" s="1398">
        <f t="shared" ca="1" si="11"/>
        <v>48</v>
      </c>
      <c r="AC68" s="1397">
        <f t="shared" ca="1" si="12"/>
        <v>0</v>
      </c>
      <c r="AD68" s="1409">
        <f ca="1">IF(B68=$J$5,0,CONTADORES!H62-CONTADORES!H61)</f>
        <v>159.79999999993015</v>
      </c>
      <c r="AE68" s="1438">
        <f ca="1">IF(B68=$J$5,0,CONTADORES!J62-CONTADORES!J61)</f>
        <v>24</v>
      </c>
      <c r="AF68" s="1438">
        <f ca="1">IF(B68=$J$5,0,CONTADORES!AU62-CONTADORES!AU61)</f>
        <v>139.03000000002794</v>
      </c>
      <c r="AG68" s="1438">
        <f ca="1">IF(B68=$J$5,0,CONTADORES!AW62-CONTADORES!AW61)</f>
        <v>24</v>
      </c>
      <c r="AH68" s="1438">
        <f ca="1">IF(B68=$J$5,0,(CONTADORES!AM62-CONTADORES!AM61)+(CONTADORES!M62-CONTADORES!M61))</f>
        <v>13.80000000000291</v>
      </c>
      <c r="AI68" s="1438">
        <f ca="1">IF(B68=$J$5,0,(CONTADORES!AK62-CONTADORES!AK61)+(CONTADORES!O62-CONTADORES!O61))</f>
        <v>32.489999999997963</v>
      </c>
      <c r="AJ68" s="1438">
        <f ca="1">IF(B68=$J$5,0,(CONTADORES!AI62-CONTADORES!AI61))</f>
        <v>8.8500000000058208</v>
      </c>
      <c r="AK68" s="1438">
        <f ca="1">IF(B68=$J$5,0,(CONTADORES!Q62-CONTADORES!Q61))</f>
        <v>16.319999999977881</v>
      </c>
      <c r="AL68" s="1397">
        <f t="shared" ca="1" si="13"/>
        <v>35.240000000088912</v>
      </c>
      <c r="AM68" s="1397">
        <f ca="1">IF(B68&gt;=$J$5,0,(((CONTADORES!F62-CONTADORES!F61)+(CONTADORES!AQ62-CONTADORES!AQ61))))-BS68-AF68-AN68-BV68-BY68-CD68-CB68</f>
        <v>9.8549999999475215</v>
      </c>
      <c r="AN68" s="1397">
        <f ca="1">IF(B68=$J$5,0,(CONTADORES!AX62-CONTADORES!AX61)+(CONTADORES!AZ62-CONTADORES!AZ61)+(CONTADORES!BE62-CONTADORES!BE61))-CB68</f>
        <v>3.7630000000000181</v>
      </c>
      <c r="AO68" s="1437">
        <f ca="1">IF(B68&gt;=$J$5,0,(CONTADORES!AC62-CONTADORES!AC61))</f>
        <v>142.45999999996275</v>
      </c>
      <c r="AP68" s="1437">
        <f ca="1">IF(B68&gt;=$J$5,0,(CONTADORES!X62-CONTADORES!X61))</f>
        <v>75.799999999999272</v>
      </c>
      <c r="AQ68" s="1433">
        <f ca="1">IF(B68&gt;=$J$5,0,(CONTADORES!C62-CONTADORES!C61))</f>
        <v>0</v>
      </c>
      <c r="AR68" s="1399">
        <f ca="1">IF(B68&gt;=$J$5,0,(CONTADORES!BC62-CONTADORES!BC61))</f>
        <v>0</v>
      </c>
      <c r="AS68" s="1397">
        <f ca="1">IF(B68=$J$5,0,CONTADORES!S62-CONTADORES!S61)</f>
        <v>16.929999999993015</v>
      </c>
      <c r="AT68" s="1397">
        <f ca="1">IF(B68=$J$5,0,(CONTADORES!U62-CONTADORES!U61)+(CONTADORES!AG62-CONTADORES!AG61))</f>
        <v>2.25</v>
      </c>
      <c r="AU68" s="1397">
        <f>CONTADORES!I62-CONTADORES!I61</f>
        <v>82.399999999965075</v>
      </c>
      <c r="AV68" s="1397">
        <f>CONTADORES!AV62-CONTADORES!AV61</f>
        <v>61.459999999991851</v>
      </c>
      <c r="AW68" s="1397">
        <f ca="1">IF(B68&gt;=$J$5,0,(CONTADORES!N62-CONTADORES!N61)+(CONTADORES!AN62-CONTADORES!AN61))</f>
        <v>5.500000000001819</v>
      </c>
      <c r="AX68" s="1397">
        <f ca="1">IF(B68&gt;=$J$5,0,(CONTADORES!P62-CONTADORES!P61)+(CONTADORES!AL62-CONTADORES!AL61))</f>
        <v>25.569999999999709</v>
      </c>
      <c r="AY68" s="1397">
        <f ca="1">IF(B68&gt;=$J$5,0,(CONTADORES!AJ62-CONTADORES!AJ61))</f>
        <v>6.8799999999973807</v>
      </c>
      <c r="AZ68" s="1397">
        <f ca="1">IF(B68&gt;=$J$5,0,(CONTADORES!R62-CONTADORES!R61))</f>
        <v>13.440000000002328</v>
      </c>
      <c r="BA68" s="1397">
        <f t="shared" ca="1" si="14"/>
        <v>13.59200000000115</v>
      </c>
      <c r="BB68" s="1397">
        <f ca="1">IF(B68&gt;=$J$5,0,(((CONTADORES!G62-CONTADORES!G61)+(CONTADORES!AR62-CONTADORES!AR61))))-AV68-BC68-BT68-BW68-BZ68-CE68</f>
        <v>2.5910000000025466</v>
      </c>
      <c r="BC68" s="1744">
        <f ca="1">IF(B68&gt;=$J$5,0,(CONTADORES!AY62-CONTADORES!AY61)+(CONTADORES!BA62-CONTADORES!BA61)+(CONTADORES!BF62-CONTADORES!BF61))-CC68</f>
        <v>1.1519999999997452</v>
      </c>
      <c r="BD68" s="1397">
        <f t="shared" ca="1" si="15"/>
        <v>218.25999999996202</v>
      </c>
      <c r="BE68" s="1398">
        <f ca="1">IF($B68&gt;=$J$5,0,CONTADORES!$BG62)</f>
        <v>6184.82</v>
      </c>
      <c r="BF68" s="1397">
        <f ca="1">IF($B68&gt;=$J$5,0,CONTADORES!$BH62)</f>
        <v>32712.980701754401</v>
      </c>
      <c r="BG68" s="1397">
        <f ca="1">IF($B68&gt;=$J$5,0,CONTADORES!$BJ62)</f>
        <v>6375.29</v>
      </c>
      <c r="BH68" s="1409">
        <f ca="1">IF(B68&gt;=$J$5,0,((CONTADORES!BK62-CONTADORES!BK61)/1000))</f>
        <v>1.4990000000000001</v>
      </c>
      <c r="BI68" s="1409">
        <f ca="1">IF(C68&gt;=$J$5,0,((CONTADORES!BL62-CONTADORES!BL61)/1000))</f>
        <v>1.431</v>
      </c>
      <c r="BJ68" s="1399">
        <f ca="1">IF(C68&gt;=$J$5,0,((CONTADORES!BM62-CONTADORES!BM61)/1000))</f>
        <v>0</v>
      </c>
      <c r="BK68" s="1399">
        <f ca="1">IF(D68&gt;=$J$5,0,((CONTADORES!BN62-CONTADORES!BN61)/1000))</f>
        <v>0</v>
      </c>
      <c r="BL68" s="1399">
        <f t="shared" ca="1" si="16"/>
        <v>1.4990000000000001</v>
      </c>
      <c r="BM68" s="1399">
        <f t="shared" ca="1" si="17"/>
        <v>1.431</v>
      </c>
      <c r="BN68" s="1398">
        <f ca="1">IF(W68&gt;=$J$5,0,CONTADORES!$BO62)</f>
        <v>118.69099264551294</v>
      </c>
      <c r="BO68" s="1397">
        <f ca="1">IF(W68&gt;=$J$5,0,CONTADORES!$BP62)</f>
        <v>41.219164803443434</v>
      </c>
      <c r="BP68" s="1397">
        <f ca="1">IF(W68&gt;=$J$5,0,CONTADORES!$BQ62)</f>
        <v>593.14128274149982</v>
      </c>
      <c r="BQ68" s="1397">
        <f ca="1">IF(B68&gt;=$J$5,0,(CONTADORES!AS62-CONTADORES!AS61))</f>
        <v>5.1519999999945867</v>
      </c>
      <c r="BR68" s="1397">
        <f ca="1">IF(B68&gt;=$J$5,0,(CONTADORES!AT62-CONTADORES!AT61))</f>
        <v>0</v>
      </c>
      <c r="BS68" s="1409">
        <f ca="1">IF(B68&gt;=$J$5,0,CONTADORES!BR62-CONTADORES!BR61)/1000</f>
        <v>0</v>
      </c>
      <c r="BT68" s="1438">
        <f ca="1">IF(B68&gt;=$J$5,0,CONTADORES!BS62-CONTADORES!BS61)</f>
        <v>0</v>
      </c>
      <c r="BU68" s="1438">
        <f ca="1">IF(B68&gt;=$J$5,0,CONTADORES!BT62-CONTADORES!BT61)</f>
        <v>0</v>
      </c>
      <c r="BV68" s="1438">
        <f ca="1">IF(B68&gt;=$J$5,0,CONTADORES!BU62-CONTADORES!BU61)/1000</f>
        <v>5.7350000000000003</v>
      </c>
      <c r="BW68" s="1438">
        <f ca="1">IF(B68&gt;=$J$5,0,CONTADORES!BV62-CONTADORES!BV61)/1000</f>
        <v>0.23699999999999999</v>
      </c>
      <c r="BX68" s="1438">
        <f ca="1">IF(B68&gt;=$J$5,0,CONTADORES!BW62-CONTADORES!BW61)</f>
        <v>24</v>
      </c>
      <c r="BY68" s="1438">
        <f ca="1">IF(B68&gt;=$J$5,0,CONTADORES!BX62-CONTADORES!BX61)/1000</f>
        <v>2.36</v>
      </c>
      <c r="BZ68" s="1438">
        <f ca="1">IF(B68&gt;=$J$5,0,CONTADORES!BY62-CONTADORES!BY61)/1000</f>
        <v>0</v>
      </c>
      <c r="CA68" s="1438">
        <f ca="1">IF(B68&gt;=$J$5,0,CONTADORES!BZ62-CONTADORES!BZ61)</f>
        <v>24</v>
      </c>
      <c r="CB68" s="1409">
        <f ca="1">IF(B68&gt;=$J$5,0,(CONTADORES!CC62-CONTADORES!CC61)+(CONTADORES!CE62-CONTADORES!CE61))/1000</f>
        <v>1.4670000000000001</v>
      </c>
      <c r="CC68" s="1438">
        <f ca="1">IF(B68&gt;=$J$5,0,(CONTADORES!CD62-CONTADORES!CD61)+(CONTADORES!CF62-CONTADORES!CF61))/1000</f>
        <v>0.878</v>
      </c>
      <c r="CD68" s="1409">
        <f ca="1">IF(B68&gt;=$J$5,0,CONTADORES!CA62-CONTADORES!CA61)</f>
        <v>6.4899999999997817</v>
      </c>
      <c r="CE68" s="1438">
        <f ca="1">IF(B68&gt;=$J$5,0,CONTADORES!CB62-CONTADORES!CB61)</f>
        <v>4.5600000000004002</v>
      </c>
      <c r="CF68" s="1438">
        <f t="shared" ca="1" si="18"/>
        <v>11.417499999973543</v>
      </c>
      <c r="CG68" s="1438">
        <f t="shared" ca="1" si="19"/>
        <v>5.8555000000016735</v>
      </c>
      <c r="CH68" s="1438">
        <f t="shared" ca="1" si="20"/>
        <v>4.9274999999737608</v>
      </c>
      <c r="CI68" s="1438">
        <f t="shared" ca="1" si="21"/>
        <v>1.5052000000000074</v>
      </c>
      <c r="CJ68" s="1438">
        <f t="shared" ca="1" si="22"/>
        <v>4.9274999999737608</v>
      </c>
      <c r="CK68" s="1438">
        <f t="shared" ca="1" si="23"/>
        <v>2.2578000000000107</v>
      </c>
      <c r="CL68" s="1438">
        <f t="shared" ca="1" si="24"/>
        <v>2.9722000000000075</v>
      </c>
      <c r="CM68" s="1438">
        <f t="shared" ca="1" si="25"/>
        <v>1.2955000000012733</v>
      </c>
      <c r="CN68" s="1438">
        <f ca="1">IF(B68&gt;=$J$5,0,CONTADORES!CB62-CONTADORES!CB61)</f>
        <v>4.5600000000004002</v>
      </c>
      <c r="CO68" s="1438">
        <f t="shared" ca="1" si="26"/>
        <v>1.2955000000012733</v>
      </c>
      <c r="CP68" s="1438">
        <f t="shared" ca="1" si="27"/>
        <v>0.57599999999987261</v>
      </c>
      <c r="CQ68" s="1438">
        <f t="shared" ca="1" si="28"/>
        <v>0.57599999999987261</v>
      </c>
      <c r="CR68" s="1438">
        <f t="shared" ca="1" si="29"/>
        <v>1.4539999999998727</v>
      </c>
      <c r="CS68" s="1439">
        <f ca="1">IF($B68&gt;=$J$5,0,CONTADORES!$BI62)</f>
        <v>8615.92214804373</v>
      </c>
      <c r="CT68" s="1334">
        <f>CONTADORES!E62</f>
        <v>0</v>
      </c>
      <c r="CU68" s="1334">
        <f>CONTADORES!CG62</f>
        <v>0</v>
      </c>
    </row>
    <row r="69" spans="2:99" ht="15" thickBot="1">
      <c r="B69" s="1043">
        <v>44985</v>
      </c>
      <c r="C69" s="200">
        <f t="shared" ca="1" si="0"/>
        <v>279.46000000007916</v>
      </c>
      <c r="D69" s="197">
        <f ca="1">'CALCULO DE GAS'!D65</f>
        <v>4.7552238067338131</v>
      </c>
      <c r="E69" s="197">
        <f ca="1">IF(B69&gt;=$J$5,0,(CONTADORES!$AD63-CONTADORES!$AD62)-$H69)</f>
        <v>24</v>
      </c>
      <c r="F69" s="200">
        <f t="shared" ca="1" si="34"/>
        <v>0</v>
      </c>
      <c r="G69" s="197">
        <f ca="1">IF(B69&gt;=$J$5,0,CONTADORES!$AF63-CONTADORES!$AF62)</f>
        <v>0</v>
      </c>
      <c r="H69" s="1424">
        <f ca="1">IF(G69&gt;0,CONTADORES!$AE63-CONTADORES!$AE62,0)</f>
        <v>0</v>
      </c>
      <c r="I69" s="201">
        <f ca="1">IF(B69&gt;=$J$5,0,CONTADORES!$AB63-CONTADORES!$AB62)</f>
        <v>279.46000000007916</v>
      </c>
      <c r="J69" s="200">
        <f t="shared" ca="1" si="2"/>
        <v>152.43000000000029</v>
      </c>
      <c r="K69" s="197">
        <f ca="1">'CALCULO DE GAS'!E65</f>
        <v>3.7193432581047405</v>
      </c>
      <c r="L69" s="1424">
        <f ca="1">IF(B69&gt;=$J$5,0,(CONTADORES!$Y63-CONTADORES!$Y62)-$O69)</f>
        <v>24</v>
      </c>
      <c r="M69" s="1424">
        <f t="shared" ca="1" si="33"/>
        <v>0</v>
      </c>
      <c r="N69" s="1424">
        <f ca="1">IF(B69&gt;=$J$5,0,CONTADORES!$AA63-CONTADORES!AA62)</f>
        <v>0</v>
      </c>
      <c r="O69" s="1424">
        <f ca="1">IF(N69&gt;0,CONTADORES!$Z63-CONTADORES!$Z62,0)</f>
        <v>0</v>
      </c>
      <c r="P69" s="203">
        <f ca="1">IF(B69&gt;=$J$5,0,CONTADORES!$W63-CONTADORES!$W62)</f>
        <v>152.43000000000029</v>
      </c>
      <c r="Q69" s="203">
        <f ca="1">IF(B69&gt;=$J$5,0,CONTADORES!$B63-CONTADORES!$B62)</f>
        <v>7.0000000000618456E-3</v>
      </c>
      <c r="R69" s="197">
        <f t="shared" ca="1" si="4"/>
        <v>0.84000000000742148</v>
      </c>
      <c r="S69" s="64">
        <f ca="1">IF(B69&gt;=$J$5,0,CONTADORES!$D63-CONTADORES!$D62)</f>
        <v>0.8000000000001819</v>
      </c>
      <c r="T69" s="203">
        <f ca="1">IF(B69&gt;=$J$5,0,CONTADORES!$BB63-CONTADORES!$BB62)</f>
        <v>0.58799999999996544</v>
      </c>
      <c r="U69" s="197">
        <f t="shared" ca="1" si="32"/>
        <v>70.559999999995853</v>
      </c>
      <c r="V69" s="201">
        <f ca="1">IF(B69&gt;=$J$5,0,CONTADORES!$BD63-CONTADORES!$BD62)</f>
        <v>0.79999999999995453</v>
      </c>
      <c r="W69" s="1425">
        <f t="shared" ca="1" si="6"/>
        <v>431.89000000007945</v>
      </c>
      <c r="X69" s="1425">
        <f t="shared" ca="1" si="7"/>
        <v>0.59500000000002728</v>
      </c>
      <c r="Y69" s="1426">
        <f t="shared" ca="1" si="8"/>
        <v>432.48500000007948</v>
      </c>
      <c r="Z69" s="1426">
        <f t="shared" ca="1" si="9"/>
        <v>8.4745670648385527</v>
      </c>
      <c r="AA69" s="1426">
        <f t="shared" ca="1" si="10"/>
        <v>71.400000000003274</v>
      </c>
      <c r="AB69" s="1426">
        <f t="shared" ca="1" si="11"/>
        <v>48</v>
      </c>
      <c r="AC69" s="1425">
        <f t="shared" ca="1" si="12"/>
        <v>1.6000000000001364</v>
      </c>
      <c r="AD69" s="1426">
        <f ca="1">IF(B69=$J$5,0,CONTADORES!H63-CONTADORES!H62)</f>
        <v>165.40000000002328</v>
      </c>
      <c r="AE69" s="1425">
        <f ca="1">IF(B69=$J$5,0,CONTADORES!J63-CONTADORES!J62)</f>
        <v>24</v>
      </c>
      <c r="AF69" s="1425">
        <f ca="1">IF(B69=$J$5,0,CONTADORES!AU63-CONTADORES!AU62)</f>
        <v>139.46999999997206</v>
      </c>
      <c r="AG69" s="1425">
        <f ca="1">IF(B69=$J$5,0,CONTADORES!AW63-CONTADORES!AW62)</f>
        <v>24</v>
      </c>
      <c r="AH69" s="1425">
        <f ca="1">IF(B69=$J$5,0,(CONTADORES!AM63-CONTADORES!AM62)+(CONTADORES!M63-CONTADORES!M62))</f>
        <v>8.5999999999985448</v>
      </c>
      <c r="AI69" s="1425">
        <f ca="1">IF(B69=$J$5,0,(CONTADORES!AK63-CONTADORES!AK62)+(CONTADORES!O63-CONTADORES!O62))</f>
        <v>32.190000000002328</v>
      </c>
      <c r="AJ69" s="1425">
        <f ca="1">IF(B69=$J$5,0,(CONTADORES!AI63-CONTADORES!AI62))</f>
        <v>8.5999999999912689</v>
      </c>
      <c r="AK69" s="1425">
        <f ca="1">IF(B69=$J$5,0,(CONTADORES!Q63-CONTADORES!Q62))</f>
        <v>15.170000000012806</v>
      </c>
      <c r="AL69" s="1425">
        <f t="shared" ca="1" si="13"/>
        <v>33.025000000036698</v>
      </c>
      <c r="AM69" s="1425">
        <f ca="1">IF(B69&gt;=$J$5,0,(((CONTADORES!F63-CONTADORES!F62)+(CONTADORES!AQ63-CONTADORES!AQ62))))-BS69-AF69-AN69-BV69-BY69-CD69-CB69</f>
        <v>9.8320000000413792</v>
      </c>
      <c r="AN69" s="1425">
        <f ca="1">IF(B69=$J$5,0,(CONTADORES!AX63-CONTADORES!AX62)+(CONTADORES!AZ63-CONTADORES!AZ62)+(CONTADORES!BE63-CONTADORES!BE62))-CB69</f>
        <v>3.7370000000004922</v>
      </c>
      <c r="AO69" s="61">
        <f ca="1">IF(B69&gt;=$J$5,0,(CONTADORES!AC63-CONTADORES!AC62))</f>
        <v>141.40000000002328</v>
      </c>
      <c r="AP69" s="61">
        <f ca="1">IF(B69&gt;=$J$5,0,(CONTADORES!X63-CONTADORES!X62))</f>
        <v>74.979999999999563</v>
      </c>
      <c r="AQ69" s="61">
        <f ca="1">IF(B69&gt;=$J$5,0,(CONTADORES!C63-CONTADORES!C62))</f>
        <v>2.9999999999290594E-3</v>
      </c>
      <c r="AR69" s="1427">
        <f ca="1">IF(B69&gt;=$J$5,0,(CONTADORES!BC63-CONTADORES!BC62))</f>
        <v>0.22500000000002274</v>
      </c>
      <c r="AS69" s="1425">
        <f ca="1">IF(B69=$J$5,0,CONTADORES!S63-CONTADORES!S62)</f>
        <v>17.619999999995343</v>
      </c>
      <c r="AT69" s="1425">
        <f ca="1">IF(B69=$J$5,0,(CONTADORES!U63-CONTADORES!U62)+(CONTADORES!AG63-CONTADORES!AG62))</f>
        <v>2.25</v>
      </c>
      <c r="AU69" s="1425">
        <f>CONTADORES!I63-CONTADORES!I62</f>
        <v>82.400000000023283</v>
      </c>
      <c r="AV69" s="1425">
        <f>CONTADORES!AV63-CONTADORES!AV62</f>
        <v>60</v>
      </c>
      <c r="AW69" s="1425">
        <f ca="1">IF(B69&gt;=$J$5,0,(CONTADORES!N63-CONTADORES!N62)+(CONTADORES!AN63-CONTADORES!AN62))</f>
        <v>3</v>
      </c>
      <c r="AX69" s="1425">
        <f ca="1">IF(B69&gt;=$J$5,0,(CONTADORES!P63-CONTADORES!P62)+(CONTADORES!AL63-CONTADORES!AL62))</f>
        <v>25.279999999998836</v>
      </c>
      <c r="AY69" s="1425">
        <f ca="1">IF(B69&gt;=$J$5,0,(CONTADORES!AJ63-CONTADORES!AJ62))</f>
        <v>6.5199999999967986</v>
      </c>
      <c r="AZ69" s="1425">
        <f ca="1">IF(B69&gt;=$J$5,0,(CONTADORES!R63-CONTADORES!R62))</f>
        <v>12.659999999988941</v>
      </c>
      <c r="BA69" s="1425">
        <f t="shared" ca="1" si="14"/>
        <v>15.3230000000095</v>
      </c>
      <c r="BB69" s="1426">
        <f ca="1">IF(B69&gt;=$J$5,0,(((CONTADORES!G63-CONTADORES!G62)+(CONTADORES!AR63-CONTADORES!AR62))))-AV69-BC69-BT69-BW69-BZ69-CE69</f>
        <v>4.6200000000058026</v>
      </c>
      <c r="BC69" s="1745">
        <f ca="1">IF(B69&gt;=$J$5,0,(CONTADORES!AY63-CONTADORES!AY62)+(CONTADORES!BA63-CONTADORES!BA62)+(CONTADORES!BF63-CONTADORES!BF62))-CC69</f>
        <v>1.1249999999999829</v>
      </c>
      <c r="BD69" s="1426">
        <f t="shared" ca="1" si="15"/>
        <v>216.6080000000228</v>
      </c>
      <c r="BE69" s="1426">
        <f ca="1">IF($B69&gt;=$J$5,0,CONTADORES!$BG63)</f>
        <v>6144.79</v>
      </c>
      <c r="BF69" s="1425">
        <f ca="1">IF($B69&gt;=$J$5,0,CONTADORES!$BH63)</f>
        <v>33482.664912280699</v>
      </c>
      <c r="BG69" s="1426">
        <f ca="1">IF($B69&gt;=$J$5,0,CONTADORES!$BJ63)</f>
        <v>5921.04</v>
      </c>
      <c r="BH69" s="1426">
        <f ca="1">IF(B69&gt;=$J$5,0,((CONTADORES!BK63-CONTADORES!BK62)/1000))</f>
        <v>1.5720000000000001</v>
      </c>
      <c r="BI69" s="1426">
        <f ca="1">IF(C69&gt;=$J$5,0,((CONTADORES!BL63-CONTADORES!BL62)/1000))</f>
        <v>1.5389999999999999</v>
      </c>
      <c r="BJ69" s="1427">
        <f ca="1">IF(C69&gt;=$J$5,0,((CONTADORES!BM63-CONTADORES!BM62)/1000))</f>
        <v>0</v>
      </c>
      <c r="BK69" s="1427">
        <f ca="1">IF(D69&gt;=$J$5,0,((CONTADORES!BN63-CONTADORES!BN62)/1000))</f>
        <v>0</v>
      </c>
      <c r="BL69" s="61">
        <f t="shared" ca="1" si="16"/>
        <v>1.5720000000000001</v>
      </c>
      <c r="BM69" s="1427">
        <f t="shared" ca="1" si="17"/>
        <v>1.5389999999999999</v>
      </c>
      <c r="BN69" s="1426">
        <f ca="1">IF(W69&gt;=$J$5,0,CONTADORES!$BO63)</f>
        <v>85.321728550748261</v>
      </c>
      <c r="BO69" s="1425">
        <f ca="1">IF(W69&gt;=$J$5,0,CONTADORES!$BP63)</f>
        <v>30.441985829482508</v>
      </c>
      <c r="BP69" s="1425">
        <f ca="1">IF(W69&gt;=$J$5,0,CONTADORES!$BQ63)</f>
        <v>432.55760647832955</v>
      </c>
      <c r="BQ69" s="1425">
        <f ca="1">IF(B69&gt;=$J$5,0,(CONTADORES!AS63-CONTADORES!AS62))</f>
        <v>5.2690000000002328</v>
      </c>
      <c r="BR69" s="1425">
        <f ca="1">IF(B69&gt;=$J$5,0,(CONTADORES!AT63-CONTADORES!AT62))</f>
        <v>0</v>
      </c>
      <c r="BS69" s="1426">
        <f ca="1">IF(B69&gt;=$J$5,0,CONTADORES!BR63-CONTADORES!BR62)/1000</f>
        <v>0</v>
      </c>
      <c r="BT69" s="1425">
        <f ca="1">IF(B69&gt;=$J$5,0,CONTADORES!BS63-CONTADORES!BS62)</f>
        <v>0</v>
      </c>
      <c r="BU69" s="1425">
        <f ca="1">IF(B69&gt;=$J$5,0,CONTADORES!BT63-CONTADORES!BT62)</f>
        <v>0</v>
      </c>
      <c r="BV69" s="1425">
        <f ca="1">IF(B69&gt;=$J$5,0,CONTADORES!BU63-CONTADORES!BU62)/1000</f>
        <v>5.4770000000000003</v>
      </c>
      <c r="BW69" s="1425">
        <f ca="1">IF(B69&gt;=$J$5,0,CONTADORES!BV63-CONTADORES!BV62)/1000</f>
        <v>0.14199999999999999</v>
      </c>
      <c r="BX69" s="1425">
        <f ca="1">IF(B69&gt;=$J$5,0,CONTADORES!BW63-CONTADORES!BW62)</f>
        <v>24</v>
      </c>
      <c r="BY69" s="1425">
        <f ca="1">IF(B69&gt;=$J$5,0,CONTADORES!BX63-CONTADORES!BX62)/1000</f>
        <v>2.911</v>
      </c>
      <c r="BZ69" s="1425">
        <f ca="1">IF(B69&gt;=$J$5,0,CONTADORES!BY63-CONTADORES!BY62)/1000</f>
        <v>3.0000000000000001E-3</v>
      </c>
      <c r="CA69" s="1425">
        <f ca="1">IF(B69&gt;=$J$5,0,CONTADORES!BZ63-CONTADORES!BZ62)</f>
        <v>24</v>
      </c>
      <c r="CB69" s="1426">
        <f ca="1">IF(B69&gt;=$J$5,0,(CONTADORES!CC63-CONTADORES!CC62)+(CONTADORES!CE63-CONTADORES!CE62))/1000</f>
        <v>1.5029999999999999</v>
      </c>
      <c r="CC69" s="1425">
        <f ca="1">IF(B69&gt;=$J$5,0,(CONTADORES!CD63-CONTADORES!CD62)+(CONTADORES!CF63-CONTADORES!CF62))/1000</f>
        <v>0.92500000000000004</v>
      </c>
      <c r="CD69" s="1426">
        <f ca="1">IF(B69&gt;=$J$5,0,CONTADORES!CA63-CONTADORES!CA62)</f>
        <v>6.5700000000006185</v>
      </c>
      <c r="CE69" s="1425">
        <f ca="1">IF(B69&gt;=$J$5,0,CONTADORES!CB63-CONTADORES!CB62)</f>
        <v>4.6099999999996726</v>
      </c>
      <c r="CF69" s="1425">
        <f t="shared" ca="1" si="18"/>
        <v>11.486000000021308</v>
      </c>
      <c r="CG69" s="1425">
        <f t="shared" ca="1" si="19"/>
        <v>6.9200000000025739</v>
      </c>
      <c r="CH69" s="1425">
        <f t="shared" ca="1" si="20"/>
        <v>4.9160000000206896</v>
      </c>
      <c r="CI69" s="1425">
        <f t="shared" ca="1" si="21"/>
        <v>1.4948000000001969</v>
      </c>
      <c r="CJ69" s="1425">
        <f t="shared" ca="1" si="22"/>
        <v>4.9160000000206896</v>
      </c>
      <c r="CK69" s="1425">
        <f t="shared" ca="1" si="23"/>
        <v>2.2422000000002953</v>
      </c>
      <c r="CL69" s="1425">
        <f t="shared" ca="1" si="24"/>
        <v>2.997800000000197</v>
      </c>
      <c r="CM69" s="1425">
        <f t="shared" ca="1" si="25"/>
        <v>2.3100000000029013</v>
      </c>
      <c r="CN69" s="1425">
        <f ca="1">IF(B69&gt;=$J$5,0,CONTADORES!CB63-CONTADORES!CB62)</f>
        <v>4.6099999999996726</v>
      </c>
      <c r="CO69" s="1425">
        <f t="shared" ca="1" si="26"/>
        <v>2.3100000000029013</v>
      </c>
      <c r="CP69" s="1425">
        <f t="shared" ca="1" si="27"/>
        <v>0.56249999999999145</v>
      </c>
      <c r="CQ69" s="1425">
        <f t="shared" ca="1" si="28"/>
        <v>0.56249999999999145</v>
      </c>
      <c r="CR69" s="1425">
        <f t="shared" ca="1" si="29"/>
        <v>1.4874999999999914</v>
      </c>
      <c r="CS69" s="1430">
        <f ca="1">IF($B69&gt;=$J$5,0,CONTADORES!$BI63)</f>
        <v>10763.2763547919</v>
      </c>
      <c r="CT69" s="1335">
        <f>CONTADORES!E63</f>
        <v>0</v>
      </c>
      <c r="CU69" s="1335">
        <f>CONTADORES!CG63</f>
        <v>0.6</v>
      </c>
    </row>
    <row r="70" spans="2:99">
      <c r="B70" s="390">
        <v>44986</v>
      </c>
      <c r="C70" s="198">
        <f t="shared" ca="1" si="0"/>
        <v>277.73999999999069</v>
      </c>
      <c r="D70" s="196">
        <f ca="1">'CALCULO DE GAS'!D72</f>
        <v>4.7411978715709964</v>
      </c>
      <c r="E70" s="196">
        <f ca="1">IF(B70&gt;=$J$5,0,(CONTADORES!$AD66-CONTADORES!$AD65)-$H70)</f>
        <v>24</v>
      </c>
      <c r="F70" s="196">
        <f t="shared" ca="1" si="34"/>
        <v>0</v>
      </c>
      <c r="G70" s="196">
        <f ca="1">IF(B70&gt;=$J$5,0,CONTADORES!$AF66-CONTADORES!$AF65)</f>
        <v>0</v>
      </c>
      <c r="H70" s="196">
        <f ca="1">IF(G70&gt;0,CONTADORES!$AE66-CONTADORES!$AE65,0)</f>
        <v>0</v>
      </c>
      <c r="I70" s="199">
        <f ca="1">IF(B70&gt;=$J$5,0,CONTADORES!$AB66-CONTADORES!$AB65)</f>
        <v>277.73999999999069</v>
      </c>
      <c r="J70" s="198">
        <f t="shared" ca="1" si="2"/>
        <v>153.31999999999971</v>
      </c>
      <c r="K70" s="196">
        <f ca="1">'CALCULO DE GAS'!E72</f>
        <v>3.7266008640897734</v>
      </c>
      <c r="L70" s="1396">
        <f ca="1">IF(B70&gt;=$J$5,0,(CONTADORES!$Y66-CONTADORES!$Y65)-$O70)</f>
        <v>24</v>
      </c>
      <c r="M70" s="1396">
        <f t="shared" ca="1" si="33"/>
        <v>0</v>
      </c>
      <c r="N70" s="1396">
        <f ca="1">IF(B70&gt;=$J$5,0,CONTADORES!$AA66-CONTADORES!$AA65)</f>
        <v>0</v>
      </c>
      <c r="O70" s="1396">
        <f ca="1">IF(N70&gt;0,CONTADORES!$Z66-CONTADORES!$Z65,0)</f>
        <v>0</v>
      </c>
      <c r="P70" s="202">
        <f ca="1">IF(B70&gt;=$J$5,0,CONTADORES!$W66-CONTADORES!$W65)</f>
        <v>153.31999999999971</v>
      </c>
      <c r="Q70" s="202">
        <f ca="1">IF(B70&gt;=$J$5,0,CONTADORES!$B66-CONTADORES!$B65)</f>
        <v>0</v>
      </c>
      <c r="R70" s="196">
        <f t="shared" ca="1" si="4"/>
        <v>0</v>
      </c>
      <c r="S70" s="11">
        <f ca="1">IF(B70&gt;=$J$5,0,CONTADORES!$D66-CONTADORES!$D65)</f>
        <v>0</v>
      </c>
      <c r="T70" s="198">
        <f ca="1">IF(B70&gt;=$J$5,0,CONTADORES!$BB66-CONTADORES!$BB65)</f>
        <v>0</v>
      </c>
      <c r="U70" s="196">
        <f t="shared" ca="1" si="32"/>
        <v>0</v>
      </c>
      <c r="V70" s="199">
        <f ca="1">IF(B70&gt;=$J$5,0,CONTADORES!$BD66-CONTADORES!$BD65)</f>
        <v>0</v>
      </c>
      <c r="W70" s="1397">
        <f t="shared" ca="1" si="6"/>
        <v>431.0599999999904</v>
      </c>
      <c r="X70" s="1397">
        <f t="shared" ca="1" si="7"/>
        <v>0</v>
      </c>
      <c r="Y70" s="1398">
        <f t="shared" ca="1" si="8"/>
        <v>431.0599999999904</v>
      </c>
      <c r="Z70" s="1398">
        <f t="shared" ca="1" si="9"/>
        <v>8.4677987356607698</v>
      </c>
      <c r="AA70" s="1398">
        <f t="shared" ca="1" si="10"/>
        <v>0</v>
      </c>
      <c r="AB70" s="1398">
        <f t="shared" ca="1" si="11"/>
        <v>48</v>
      </c>
      <c r="AC70" s="1398">
        <f t="shared" ca="1" si="12"/>
        <v>0</v>
      </c>
      <c r="AD70" s="1397">
        <f ca="1">IF(B70&gt;=$J$5,0,CONTADORES!H66-CONTADORES!H65)</f>
        <v>158.80000000004657</v>
      </c>
      <c r="AE70" s="1397">
        <f ca="1">IF(B70&gt;=$J$5,0,CONTADORES!J66-CONTADORES!J65)</f>
        <v>24</v>
      </c>
      <c r="AF70" s="1397">
        <f ca="1">IF(B70&gt;=$J$5,0,CONTADORES!AU66-CONTADORES!AU65)</f>
        <v>139.79999999998836</v>
      </c>
      <c r="AG70" s="1397">
        <f ca="1">IF(B70&gt;=$J$5,0,CONTADORES!AW66-CONTADORES!AW65)</f>
        <v>24</v>
      </c>
      <c r="AH70" s="1398">
        <f ca="1">IF(B70&gt;=$J$5,0,(CONTADORES!AM66-CONTADORES!AM65)+(CONTADORES!M66-CONTADORES!M65))</f>
        <v>9</v>
      </c>
      <c r="AI70" s="1397">
        <f ca="1">IF(B70&gt;=$J$5,0,(CONTADORES!AK66-CONTADORES!AK65)+(CONTADORES!O66-CONTADORES!O65))</f>
        <v>32.839999999996508</v>
      </c>
      <c r="AJ70" s="1397">
        <f ca="1">IF(B70&gt;=$J$5,0,(CONTADORES!AI66-CONTADORES!AI65))</f>
        <v>6.4100000000034925</v>
      </c>
      <c r="AK70" s="1397">
        <f ca="1">IF(B70&gt;=$J$5,0,(CONTADORES!Q66-CONTADORES!Q65))</f>
        <v>15.200000000011642</v>
      </c>
      <c r="AL70" s="1397">
        <f t="shared" ca="1" si="13"/>
        <v>38.909999999897934</v>
      </c>
      <c r="AM70" s="1397">
        <f ca="1">IF(B70&gt;=$J$5,0,(((CONTADORES!F66-CONTADORES!F65)+(CONTADORES!AQ66-CONTADORES!AQ65))))-BS70-AF70-AN70-BV70-BY70-CD70-CB70</f>
        <v>10.532000000046983</v>
      </c>
      <c r="AN70" s="1397">
        <f ca="1">IF(B70&gt;=$J$5,0,(CONTADORES!AX66-CONTADORES!AX65)+(CONTADORES!AZ66-CONTADORES!AZ65)+(CONTADORES!BE66-CONTADORES!BE65))-CB70</f>
        <v>2.8869999999995088</v>
      </c>
      <c r="AO70" s="1397">
        <f ca="1">IF(B70&gt;=$J$5,0,(CONTADORES!AC66-CONTADORES!AC65))</f>
        <v>139.79999999998836</v>
      </c>
      <c r="AP70" s="1397">
        <f ca="1">IF(B70&gt;=$J$5,0,(CONTADORES!X66-CONTADORES!X65))</f>
        <v>74.790000000000873</v>
      </c>
      <c r="AQ70" s="1397">
        <f ca="1">IF(B70&gt;=$J$5,0,(CONTADORES!C66-CONTADORES!C65))</f>
        <v>0</v>
      </c>
      <c r="AR70" s="1397">
        <f ca="1">IF(B70&gt;=$J$5,0,(CONTADORES!BC66-CONTADORES!BC65))</f>
        <v>0</v>
      </c>
      <c r="AS70" s="1397">
        <f ca="1">IF(B70&gt;=$J$5,0,CONTADORES!S66-CONTADORES!S65)</f>
        <v>17.299999999988358</v>
      </c>
      <c r="AT70" s="1397">
        <f ca="1">IF(B70&gt;=$J$5,0,(CONTADORES!BF66-CONTADORES!BF65)+(CONTADORES!AG66-CONTADORES!AG65))</f>
        <v>2.7999999999971124</v>
      </c>
      <c r="AU70" s="1398">
        <f>CONTADORES!I66-CONTADORES!I65</f>
        <v>84.400000000023283</v>
      </c>
      <c r="AV70" s="1397">
        <f>CONTADORES!AV66-CONTADORES!AV65</f>
        <v>61</v>
      </c>
      <c r="AW70" s="1397">
        <f ca="1">IF(B70&gt;=$J$5,0,(CONTADORES!N66-CONTADORES!N65)+(CONTADORES!AN66-CONTADORES!AN65))</f>
        <v>3.1000000000003638</v>
      </c>
      <c r="AX70" s="1397">
        <f ca="1">IF(B70&gt;=$J$5,0,(CONTADORES!P66-CONTADORES!P65)+(CONTADORES!AL66-CONTADORES!AL65))</f>
        <v>25.389999999999418</v>
      </c>
      <c r="AY70" s="1397">
        <f ca="1">IF(B70&gt;=$J$5,0,(CONTADORES!AJ66-CONTADORES!AJ65))</f>
        <v>4.930000000000291</v>
      </c>
      <c r="AZ70" s="1397">
        <f ca="1">IF(B70&gt;=$J$5,0,(CONTADORES!R66-CONTADORES!R65))</f>
        <v>12.630000000004657</v>
      </c>
      <c r="BA70" s="1397">
        <f t="shared" ca="1" si="14"/>
        <v>13.4799999999492</v>
      </c>
      <c r="BB70" s="1397">
        <f ca="1">IF(B70&gt;=$J$5,0,(((CONTADORES!G66-CONTADORES!G65)+(CONTADORES!AR66-CONTADORES!AR65))))-AV70-BC70-BT70-BW70-BZ70-CE70</f>
        <v>3.1700000000118731</v>
      </c>
      <c r="BC70" s="1397">
        <f ca="1">IF(B70&gt;=$J$5,0,(CONTADORES!AY66-CONTADORES!AY65)+(CONTADORES!BA66-CONTADORES!BA65)+(CONTADORES!BF66-CONTADORES!BF65))-CC70</f>
        <v>1.120000000000132</v>
      </c>
      <c r="BD70" s="1397">
        <f t="shared" ca="1" si="15"/>
        <v>214.58999999998923</v>
      </c>
      <c r="BE70" s="1398">
        <f ca="1">IF($B70&gt;=$J$5,0,CONTADORES!$BG66)</f>
        <v>6105.87</v>
      </c>
      <c r="BF70" s="1397">
        <f ca="1">IF($B70&gt;=$J$5,0,CONTADORES!$BH66)</f>
        <v>33200.9561403509</v>
      </c>
      <c r="BG70" s="1397">
        <f ca="1">IF($B70&gt;=$J$5,0,CONTADORES!$BJ66)</f>
        <v>5852.32</v>
      </c>
      <c r="BH70" s="1398">
        <f ca="1">IF(B70&gt;=$J$5,0,((CONTADORES!BK66-CONTADORES!BK65)/1000))</f>
        <v>1.3149999999999999</v>
      </c>
      <c r="BI70" s="1398">
        <f ca="1">IF(C70&gt;=$J$5,0,((CONTADORES!BL66-CONTADORES!BL65)/1000))</f>
        <v>1.343</v>
      </c>
      <c r="BJ70" s="1398">
        <f ca="1">IF(C70&gt;=$J$5,0,((CONTADORES!BM66-CONTADORES!BM65)/1000))</f>
        <v>0</v>
      </c>
      <c r="BK70" s="1398">
        <f ca="1">IF(D70&gt;=$J$5,0,((CONTADORES!BN66-CONTADORES!BN65)/1000))</f>
        <v>0</v>
      </c>
      <c r="BL70" s="1399">
        <f t="shared" ca="1" si="16"/>
        <v>1.3149999999999999</v>
      </c>
      <c r="BM70" s="1399">
        <f t="shared" ca="1" si="17"/>
        <v>1.343</v>
      </c>
      <c r="BN70" s="1398">
        <f ca="1">IF(W70&gt;=$J$5,0,CONTADORES!$BO66)</f>
        <v>131.62124431124397</v>
      </c>
      <c r="BO70" s="1397">
        <f ca="1">IF(W70&gt;=$J$5,0,CONTADORES!$BP66)</f>
        <v>45.540999999999997</v>
      </c>
      <c r="BP70" s="1397">
        <f ca="1">IF(W70&gt;=$J$5,0,CONTADORES!$BQ66)</f>
        <v>661</v>
      </c>
      <c r="BQ70" s="1397">
        <f ca="1">IF(B70&gt;=$J$5,0,(CONTADORES!AS66-CONTADORES!AS65))</f>
        <v>5.25</v>
      </c>
      <c r="BR70" s="1397">
        <f ca="1">IF(C70&gt;=$J$5,0,(CONTADORES!AT66-CONTADORES!AT65))</f>
        <v>0</v>
      </c>
      <c r="BS70" s="1397">
        <f ca="1">IF(B70&gt;=$J$5,0,CONTADORES!BR66-CONTADORES!BR65)/1000</f>
        <v>0</v>
      </c>
      <c r="BT70" s="1397">
        <f ca="1">IF(B70&gt;=$J$5,0,CONTADORES!BS66-CONTADORES!BS65)</f>
        <v>0</v>
      </c>
      <c r="BU70" s="1397">
        <f ca="1">IF(B70&gt;=$J$5,0,CONTADORES!BT66-CONTADORES!BT65)</f>
        <v>0</v>
      </c>
      <c r="BV70" s="1397">
        <f ca="1">IF(B70&gt;=$J$5,0,CONTADORES!BU66-CONTADORES!BU65)/1000</f>
        <v>2.4340000000000002</v>
      </c>
      <c r="BW70" s="1397">
        <f ca="1">IF(B70&gt;=$J$5,0,CONTADORES!BV66-CONTADORES!BV65)/1000</f>
        <v>0</v>
      </c>
      <c r="BX70" s="1397">
        <f ca="1">IF(B70&gt;=$J$5,0,CONTADORES!BW66-CONTADORES!BW65)</f>
        <v>24</v>
      </c>
      <c r="BY70" s="1397">
        <f ca="1">IF(B70&gt;=$J$5,0,CONTADORES!BX66-CONTADORES!BX65)/1000</f>
        <v>6.3739999999999997</v>
      </c>
      <c r="BZ70" s="1397">
        <f ca="1">IF(B70&gt;=$J$5,0,CONTADORES!BY66-CONTADORES!BY65)/1000</f>
        <v>0.01</v>
      </c>
      <c r="CA70" s="1397">
        <f ca="1">IF(B70&gt;=$J$5,0,CONTADORES!BZ66-CONTADORES!BZ65)</f>
        <v>24</v>
      </c>
      <c r="CB70" s="1398">
        <f ca="1">IF(B70&gt;=$J$5,0,(CONTADORES!CC66-CONTADORES!CC65)+(CONTADORES!CE66-CONTADORES!CE65))/1000</f>
        <v>1.403</v>
      </c>
      <c r="CC70" s="1397">
        <f ca="1">IF(B70&gt;=$J$5,0,(CONTADORES!CD66-CONTADORES!CD65)+(CONTADORES!CF66-CONTADORES!CF65))/1000</f>
        <v>0.86</v>
      </c>
      <c r="CD70" s="1398">
        <f ca="1">IF(B70&gt;=$J$5,0,CONTADORES!CA66-CONTADORES!CA65)</f>
        <v>6.4699999999993452</v>
      </c>
      <c r="CE70" s="1397">
        <f ca="1">IF(B70&gt;=$J$5,0,CONTADORES!CB66-CONTADORES!CB65)</f>
        <v>4.5</v>
      </c>
      <c r="CF70" s="1397">
        <f t="shared" ca="1" si="18"/>
        <v>11.736000000022837</v>
      </c>
      <c r="CG70" s="1397">
        <f t="shared" ca="1" si="19"/>
        <v>6.0850000000059365</v>
      </c>
      <c r="CH70" s="1397">
        <f t="shared" ca="1" si="20"/>
        <v>5.2660000000234914</v>
      </c>
      <c r="CI70" s="1397">
        <f t="shared" ca="1" si="21"/>
        <v>1.1547999999998035</v>
      </c>
      <c r="CJ70" s="1397">
        <f t="shared" ca="1" si="22"/>
        <v>5.2660000000234914</v>
      </c>
      <c r="CK70" s="1397">
        <f t="shared" ca="1" si="23"/>
        <v>1.7321999999997053</v>
      </c>
      <c r="CL70" s="1397">
        <f t="shared" ca="1" si="24"/>
        <v>2.5577999999998036</v>
      </c>
      <c r="CM70" s="1397">
        <f t="shared" ca="1" si="25"/>
        <v>1.5850000000059365</v>
      </c>
      <c r="CN70" s="1397">
        <f ca="1">IF(B70&gt;=$J$5,0,CONTADORES!CB66-CONTADORES!CB65)</f>
        <v>4.5</v>
      </c>
      <c r="CO70" s="1397">
        <f ca="1">BB70-CM70</f>
        <v>1.5850000000059365</v>
      </c>
      <c r="CP70" s="1397">
        <f t="shared" ca="1" si="27"/>
        <v>0.560000000000066</v>
      </c>
      <c r="CQ70" s="1397">
        <f t="shared" ca="1" si="28"/>
        <v>0.560000000000066</v>
      </c>
      <c r="CR70" s="1397">
        <f t="shared" ca="1" si="29"/>
        <v>1.4200000000000661</v>
      </c>
      <c r="CS70" s="1403">
        <f ca="1">IF($B70&gt;=$J$5,0,CONTADORES!$BI66)</f>
        <v>8538.5045571011906</v>
      </c>
      <c r="CT70" s="1333">
        <f>CONTADORES!E66</f>
        <v>0</v>
      </c>
      <c r="CU70" s="1333">
        <f>CONTADORES!CG66</f>
        <v>0</v>
      </c>
    </row>
    <row r="71" spans="2:99">
      <c r="B71" s="390">
        <v>44987</v>
      </c>
      <c r="C71" s="198">
        <f t="shared" ca="1" si="0"/>
        <v>281.19999999995343</v>
      </c>
      <c r="D71" s="196">
        <f ca="1">'CALCULO DE GAS'!D73</f>
        <v>4.7694128341642088</v>
      </c>
      <c r="E71" s="196">
        <f ca="1">IF(B71&gt;=$J$5,0,(CONTADORES!$AD67-CONTADORES!$AD66)-$H71)</f>
        <v>24</v>
      </c>
      <c r="F71" s="198">
        <f t="shared" ca="1" si="34"/>
        <v>0</v>
      </c>
      <c r="G71" s="196">
        <f ca="1">IF(B71&gt;=$J$5,0,CONTADORES!$AF67-CONTADORES!$AF66)</f>
        <v>0</v>
      </c>
      <c r="H71" s="1396">
        <f ca="1">IF(G71&gt;0,CONTADORES!$AE67-CONTADORES!$AE66,0)</f>
        <v>0</v>
      </c>
      <c r="I71" s="199">
        <f ca="1">IF(B71&gt;=$J$5,0,CONTADORES!$AB67-CONTADORES!$AB66)</f>
        <v>281.19999999995343</v>
      </c>
      <c r="J71" s="198">
        <f t="shared" ca="1" si="2"/>
        <v>151.09999999999854</v>
      </c>
      <c r="K71" s="196">
        <f ca="1">'CALCULO DE GAS'!E73</f>
        <v>3.7084976221945016</v>
      </c>
      <c r="L71" s="1396">
        <f ca="1">IF(B71&gt;=$J$5,0,(CONTADORES!$Y67-CONTADORES!$Y66)-$O71)</f>
        <v>24</v>
      </c>
      <c r="M71" s="1396">
        <f t="shared" ca="1" si="33"/>
        <v>0</v>
      </c>
      <c r="N71" s="1396">
        <f ca="1">IF(B71&gt;=$J$5,0,CONTADORES!$AA67-CONTADORES!$AA66)</f>
        <v>0</v>
      </c>
      <c r="O71" s="1396">
        <f ca="1">IF(N71&gt;0,CONTADORES!$Z67-CONTADORES!$Z66,0)</f>
        <v>0</v>
      </c>
      <c r="P71" s="202">
        <f ca="1">IF(B71&gt;=$J$5,0,CONTADORES!$W67-CONTADORES!$W66)</f>
        <v>151.09999999999854</v>
      </c>
      <c r="Q71" s="202">
        <f ca="1">IF(B71&gt;=$J$5,0,CONTADORES!$B67-CONTADORES!$B66)</f>
        <v>0</v>
      </c>
      <c r="R71" s="196">
        <f t="shared" ca="1" si="4"/>
        <v>0</v>
      </c>
      <c r="S71" s="11">
        <f ca="1">IF(B71&gt;=$J$5,0,CONTADORES!$D67-CONTADORES!$D66)</f>
        <v>0</v>
      </c>
      <c r="T71" s="198">
        <f ca="1">IF(B71&gt;=$J$5,0,CONTADORES!$BB67-CONTADORES!$BB66)</f>
        <v>0</v>
      </c>
      <c r="U71" s="196">
        <f t="shared" ca="1" si="32"/>
        <v>0</v>
      </c>
      <c r="V71" s="199">
        <f ca="1">IF(B71&gt;=$J$5,0,CONTADORES!$BD67-CONTADORES!$BD66)</f>
        <v>0</v>
      </c>
      <c r="W71" s="1397">
        <f t="shared" ca="1" si="6"/>
        <v>432.29999999995198</v>
      </c>
      <c r="X71" s="1397">
        <f t="shared" ca="1" si="7"/>
        <v>0</v>
      </c>
      <c r="Y71" s="1398">
        <f t="shared" ca="1" si="8"/>
        <v>432.29999999995198</v>
      </c>
      <c r="Z71" s="1398">
        <f t="shared" ca="1" si="9"/>
        <v>8.4779104563587104</v>
      </c>
      <c r="AA71" s="1398">
        <f t="shared" ca="1" si="10"/>
        <v>0</v>
      </c>
      <c r="AB71" s="1398">
        <f t="shared" ca="1" si="11"/>
        <v>48</v>
      </c>
      <c r="AC71" s="1397">
        <f t="shared" ca="1" si="12"/>
        <v>0</v>
      </c>
      <c r="AD71" s="1397">
        <f ca="1">IF(B71&gt;=$J$5,0,CONTADORES!H67-CONTADORES!H66)</f>
        <v>167.40000000002328</v>
      </c>
      <c r="AE71" s="1397">
        <f ca="1">IF(B71&gt;=$J$5,0,CONTADORES!J67-CONTADORES!J66)</f>
        <v>24</v>
      </c>
      <c r="AF71" s="1397">
        <f ca="1">IF(B71&gt;=$J$5,0,CONTADORES!AU67-CONTADORES!AU66)</f>
        <v>139.20000000001164</v>
      </c>
      <c r="AG71" s="1397">
        <f ca="1">IF(B71&gt;=$J$5,0,CONTADORES!AW67-CONTADORES!AW66)</f>
        <v>24</v>
      </c>
      <c r="AH71" s="1397">
        <f ca="1">IF(B71&gt;=$J$5,0,(CONTADORES!AM67-CONTADORES!AM66)+(CONTADORES!M67-CONTADORES!M66))</f>
        <v>9.1000000000003638</v>
      </c>
      <c r="AI71" s="1397">
        <f ca="1">IF(B71&gt;=$J$5,0,(CONTADORES!AK67-CONTADORES!AK66)+(CONTADORES!O67-CONTADORES!O66))</f>
        <v>36.969999999993888</v>
      </c>
      <c r="AJ71" s="1397">
        <f ca="1">IF(B71&gt;=$J$5,0,(CONTADORES!AI67-CONTADORES!AI66))</f>
        <v>7.4000000000087311</v>
      </c>
      <c r="AK71" s="1397">
        <f ca="1">IF(B71&gt;=$J$5,0,(CONTADORES!Q67-CONTADORES!Q66))</f>
        <v>15.399999999994179</v>
      </c>
      <c r="AL71" s="1397">
        <f t="shared" ca="1" si="13"/>
        <v>29.429999999980282</v>
      </c>
      <c r="AM71" s="1397">
        <f ca="1">IF(B71&gt;=$J$5,0,(((CONTADORES!F67-CONTADORES!F66)+(CONTADORES!AQ67-CONTADORES!AQ66))))-BS71-AF71-AN71-BV71-BY71-CD71-CB71</f>
        <v>8.2769999999392994</v>
      </c>
      <c r="AN71" s="1397">
        <f ca="1">IF(B71&gt;=$J$5,0,(CONTADORES!AX67-CONTADORES!AX66)+(CONTADORES!AZ67-CONTADORES!AZ66)+(CONTADORES!BE67-CONTADORES!BE66))-CB71</f>
        <v>2.4980000000002001</v>
      </c>
      <c r="AO71" s="1437">
        <f ca="1">IF(B71&gt;=$J$5,0,(CONTADORES!AC67-CONTADORES!AC66))</f>
        <v>144.90000000002328</v>
      </c>
      <c r="AP71" s="1437">
        <f ca="1">IF(B71&gt;=$J$5,0,(CONTADORES!X67-CONTADORES!X66))</f>
        <v>73.100000000000364</v>
      </c>
      <c r="AQ71" s="1404">
        <f ca="1">IF(B71&gt;=$J$5,0,(CONTADORES!C67-CONTADORES!C66))</f>
        <v>0</v>
      </c>
      <c r="AR71" s="1399">
        <f ca="1">IF(B71&gt;=$J$5,0,(CONTADORES!BC67-CONTADORES!BC66))</f>
        <v>0</v>
      </c>
      <c r="AS71" s="1397">
        <f ca="1">IF(B71&gt;=$J$5,0,CONTADORES!S67-CONTADORES!S66)</f>
        <v>17.200000000011642</v>
      </c>
      <c r="AT71" s="1397">
        <f ca="1">IF(B71&gt;=$J$5,0,(CONTADORES!U67-CONTADORES!U66)+(CONTADORES!AG67-CONTADORES!AG66))</f>
        <v>2.2000000000043656</v>
      </c>
      <c r="AU71" s="1409">
        <f>CONTADORES!I67-CONTADORES!I66</f>
        <v>86.099999999976717</v>
      </c>
      <c r="AV71" s="1438">
        <f>CONTADORES!AV67-CONTADORES!AV66</f>
        <v>61</v>
      </c>
      <c r="AW71" s="1438">
        <f ca="1">IF(B71&gt;=$J$5,0,(CONTADORES!N67-CONTADORES!N66)+(CONTADORES!AN67-CONTADORES!AN66))</f>
        <v>3.1999999999970896</v>
      </c>
      <c r="AX71" s="1438">
        <f ca="1">IF(B71&gt;=$J$5,0,(CONTADORES!P67-CONTADORES!P66)+(CONTADORES!AL67-CONTADORES!AL66))</f>
        <v>29.220000000001164</v>
      </c>
      <c r="AY71" s="1438">
        <f ca="1">IF(B71&gt;=$J$5,0,(CONTADORES!AJ67-CONTADORES!AJ66))</f>
        <v>5.7000000000043656</v>
      </c>
      <c r="AZ71" s="1438">
        <f ca="1">IF(B71&gt;=$J$5,0,(CONTADORES!R67-CONTADORES!R66))</f>
        <v>12.69999999999709</v>
      </c>
      <c r="BA71" s="1397">
        <f t="shared" ca="1" si="14"/>
        <v>10.747000000042107</v>
      </c>
      <c r="BB71" s="1397">
        <f ca="1">IF(B71&gt;=$J$5,0,(((CONTADORES!G67-CONTADORES!G66)+(CONTADORES!AR67-CONTADORES!AR66))))-AV71-BC71-BT71-BW71-BZ71-CE71</f>
        <v>3.1150000000050477</v>
      </c>
      <c r="BC71" s="1397">
        <f ca="1">IF(B71&gt;=$J$5,0,(CONTADORES!AY67-CONTADORES!AY66)+(CONTADORES!BA67-CONTADORES!BA66)+(CONTADORES!BF67-CONTADORES!BF66))-CC71</f>
        <v>0.84699999999997266</v>
      </c>
      <c r="BD71" s="1397">
        <f t="shared" ca="1" si="15"/>
        <v>218.00000000002365</v>
      </c>
      <c r="BE71" s="1409">
        <f ca="1">IF($B71&gt;=$J$5,0,CONTADORES!$BG67)</f>
        <v>5960.75</v>
      </c>
      <c r="BF71" s="1438">
        <f ca="1">IF($B71&gt;=$J$5,0,CONTADORES!$BH67)</f>
        <v>32981.485964912281</v>
      </c>
      <c r="BG71" s="1397">
        <f ca="1">IF($B71&gt;=$J$5,0,CONTADORES!$BJ67)</f>
        <v>5765.25</v>
      </c>
      <c r="BH71" s="1409">
        <f ca="1">IF(B71&gt;=$J$5,0,((CONTADORES!BK67-CONTADORES!BK66)/1000))</f>
        <v>1.363</v>
      </c>
      <c r="BI71" s="1409">
        <f ca="1">IF(C71&gt;=$J$5,0,((CONTADORES!BL67-CONTADORES!BL66)/1000))</f>
        <v>1.4279999999999999</v>
      </c>
      <c r="BJ71" s="1399">
        <f ca="1">IF(C71&gt;=$J$5,0,((CONTADORES!BM67-CONTADORES!BM66)/1000))</f>
        <v>0</v>
      </c>
      <c r="BK71" s="1399">
        <f ca="1">IF(D71&gt;=$J$5,0,((CONTADORES!BN67-CONTADORES!BN66)/1000))</f>
        <v>0</v>
      </c>
      <c r="BL71" s="1399">
        <f t="shared" ca="1" si="16"/>
        <v>1.363</v>
      </c>
      <c r="BM71" s="1399">
        <f t="shared" ca="1" si="17"/>
        <v>1.4279999999999999</v>
      </c>
      <c r="BN71" s="1409">
        <f ca="1">IF(W71&gt;=$J$5,0,CONTADORES!$BO67)</f>
        <v>133</v>
      </c>
      <c r="BO71" s="1438">
        <f ca="1">IF(W71&gt;=$J$5,0,CONTADORES!$BP67)</f>
        <v>45.637</v>
      </c>
      <c r="BP71" s="1397">
        <f ca="1">IF(W71&gt;=$J$5,0,CONTADORES!$BQ67)</f>
        <v>663</v>
      </c>
      <c r="BQ71" s="1397">
        <f ca="1">IF(B71&gt;=$J$5,0,(CONTADORES!AS67-CONTADORES!AS66))</f>
        <v>5.3729999999995925</v>
      </c>
      <c r="BR71" s="1397">
        <f ca="1">IF(B71&gt;=$J$5,0,(CONTADORES!AT67-CONTADORES!AT66))</f>
        <v>0</v>
      </c>
      <c r="BS71" s="1409">
        <f ca="1">IF(B71&gt;=$J$5,0,CONTADORES!BR67-CONTADORES!BR66)/1000</f>
        <v>0</v>
      </c>
      <c r="BT71" s="1438">
        <f ca="1">IF(B71&gt;=$J$5,0,CONTADORES!BS67-CONTADORES!BS66)</f>
        <v>0</v>
      </c>
      <c r="BU71" s="1438">
        <f ca="1">IF(B71&gt;=$J$5,0,CONTADORES!BT67-CONTADORES!BT66)</f>
        <v>0</v>
      </c>
      <c r="BV71" s="1438">
        <f ca="1">IF(B71&gt;=$J$5,0,CONTADORES!BU67-CONTADORES!BU66)/1000</f>
        <v>2.431</v>
      </c>
      <c r="BW71" s="1438">
        <f ca="1">IF(B71&gt;=$J$5,0,CONTADORES!BV67-CONTADORES!BV66)/1000</f>
        <v>2E-3</v>
      </c>
      <c r="BX71" s="1438">
        <f ca="1">IF(B71&gt;=$J$5,0,CONTADORES!BW67-CONTADORES!BW66)</f>
        <v>24</v>
      </c>
      <c r="BY71" s="1438">
        <f ca="1">IF(B71&gt;=$J$5,0,CONTADORES!BX67-CONTADORES!BX66)/1000</f>
        <v>6.282</v>
      </c>
      <c r="BZ71" s="1438">
        <f ca="1">IF(B71&gt;=$J$5,0,CONTADORES!BY67-CONTADORES!BY66)/1000</f>
        <v>1.6E-2</v>
      </c>
      <c r="CA71" s="1438">
        <f ca="1">IF(B71&gt;=$J$5,0,CONTADORES!BZ67-CONTADORES!BZ66)</f>
        <v>24</v>
      </c>
      <c r="CB71" s="1409">
        <f ca="1">IF(B71&gt;=$J$5,0,(CONTADORES!CC67-CONTADORES!CC66)+(CONTADORES!CE67-CONTADORES!CE66))/1000</f>
        <v>1.532</v>
      </c>
      <c r="CC71" s="1438">
        <f ca="1">IF(B71&gt;=$J$5,0,(CONTADORES!CD67-CONTADORES!CD66)+(CONTADORES!CF67-CONTADORES!CF66))/1000</f>
        <v>0.93300000000000005</v>
      </c>
      <c r="CD71" s="1409">
        <f ca="1">IF(B71&gt;=$J$5,0,CONTADORES!CA67-CONTADORES!CA66)</f>
        <v>6.3800000000001091</v>
      </c>
      <c r="CE71" s="1438">
        <f ca="1">IF(B71&gt;=$J$5,0,CONTADORES!CB67-CONTADORES!CB66)</f>
        <v>4.4200000000000728</v>
      </c>
      <c r="CF71" s="1438">
        <f t="shared" ca="1" si="18"/>
        <v>10.518499999969759</v>
      </c>
      <c r="CG71" s="1438">
        <f t="shared" ca="1" si="19"/>
        <v>5.9775000000025962</v>
      </c>
      <c r="CH71" s="1438">
        <f t="shared" ca="1" si="20"/>
        <v>4.1384999999696497</v>
      </c>
      <c r="CI71" s="1438">
        <f t="shared" ca="1" si="21"/>
        <v>0.99920000000008002</v>
      </c>
      <c r="CJ71" s="1438">
        <f t="shared" ca="1" si="22"/>
        <v>4.1384999999696497</v>
      </c>
      <c r="CK71" s="1438">
        <f t="shared" ca="1" si="23"/>
        <v>1.49880000000012</v>
      </c>
      <c r="CL71" s="1438">
        <f t="shared" ca="1" si="24"/>
        <v>2.5312000000000801</v>
      </c>
      <c r="CM71" s="1438">
        <f t="shared" ca="1" si="25"/>
        <v>1.5575000000025239</v>
      </c>
      <c r="CN71" s="1438">
        <f ca="1">IF(B71&gt;=$J$5,0,CONTADORES!CB67-CONTADORES!CB66)</f>
        <v>4.4200000000000728</v>
      </c>
      <c r="CO71" s="1438">
        <f t="shared" ca="1" si="26"/>
        <v>1.5575000000025239</v>
      </c>
      <c r="CP71" s="1438">
        <f t="shared" ca="1" si="27"/>
        <v>0.42349999999998633</v>
      </c>
      <c r="CQ71" s="1438">
        <f t="shared" ca="1" si="28"/>
        <v>0.42349999999998633</v>
      </c>
      <c r="CR71" s="1438">
        <f t="shared" ca="1" si="29"/>
        <v>1.3564999999999863</v>
      </c>
      <c r="CS71" s="1439">
        <f ca="1">IF($B71&gt;=$J$5,0,CONTADORES!$BI67)</f>
        <v>10809.867376386415</v>
      </c>
      <c r="CT71" s="1334">
        <f>CONTADORES!E67</f>
        <v>0</v>
      </c>
      <c r="CU71" s="1334">
        <f>CONTADORES!CG67</f>
        <v>0</v>
      </c>
    </row>
    <row r="72" spans="2:99">
      <c r="B72" s="390">
        <v>44988</v>
      </c>
      <c r="C72" s="198">
        <f t="shared" ca="1" si="0"/>
        <v>280.03000000002794</v>
      </c>
      <c r="D72" s="196">
        <f ca="1">'CALCULO DE GAS'!D74</f>
        <v>4.7598719364092057</v>
      </c>
      <c r="E72" s="196">
        <f ca="1">IF(B72&gt;=$J$5,0,(CONTADORES!$AD68-CONTADORES!$AD67)-$H72)</f>
        <v>24</v>
      </c>
      <c r="F72" s="198">
        <f t="shared" ca="1" si="34"/>
        <v>0</v>
      </c>
      <c r="G72" s="196">
        <f ca="1">IF(B72&gt;=$J$5,0,CONTADORES!$AF68-CONTADORES!$AF67)</f>
        <v>0</v>
      </c>
      <c r="H72" s="1396">
        <f ca="1">IF(G72&gt;0,CONTADORES!$AE68-CONTADORES!$AE67,0)</f>
        <v>0</v>
      </c>
      <c r="I72" s="199">
        <f ca="1">IF(B72&gt;=$J$5,0,CONTADORES!$AB68-CONTADORES!$AB67)</f>
        <v>280.03000000002794</v>
      </c>
      <c r="J72" s="198">
        <f t="shared" ca="1" si="2"/>
        <v>149.35000000000218</v>
      </c>
      <c r="K72" s="196">
        <f ca="1">'CALCULO DE GAS'!E74</f>
        <v>3.6942270486284468</v>
      </c>
      <c r="L72" s="1396">
        <f ca="1">IF(B72&gt;=$J$5,0,(CONTADORES!$Y68-CONTADORES!$Y67)-$O72)</f>
        <v>24</v>
      </c>
      <c r="M72" s="1396">
        <f t="shared" ca="1" si="33"/>
        <v>0</v>
      </c>
      <c r="N72" s="1396">
        <f ca="1">IF(B72&gt;=$J$5,0,CONTADORES!$AA68-CONTADORES!$AA67)</f>
        <v>0</v>
      </c>
      <c r="O72" s="1396">
        <f ca="1">IF(N72&gt;0,CONTADORES!$Z68-CONTADORES!$Z67,0)</f>
        <v>0</v>
      </c>
      <c r="P72" s="202">
        <f ca="1">IF(B72&gt;=$J$5,0,CONTADORES!$W68-CONTADORES!$W67)</f>
        <v>149.35000000000218</v>
      </c>
      <c r="Q72" s="202">
        <f ca="1">IF(B72&gt;=$J$5,0,CONTADORES!$B68-CONTADORES!$B67)</f>
        <v>0</v>
      </c>
      <c r="R72" s="196">
        <f t="shared" ca="1" si="4"/>
        <v>0</v>
      </c>
      <c r="S72" s="11">
        <f ca="1">IF(B72&gt;=$J$5,0,CONTADORES!$D68-CONTADORES!$D67)</f>
        <v>0</v>
      </c>
      <c r="T72" s="198">
        <f ca="1">IF(B72&gt;=$J$5,0,CONTADORES!$BB68-CONTADORES!$BB67)</f>
        <v>0</v>
      </c>
      <c r="U72" s="196">
        <f t="shared" ca="1" si="32"/>
        <v>0</v>
      </c>
      <c r="V72" s="199">
        <f ca="1">IF(B72&gt;=$J$5,0,CONTADORES!$BD68-CONTADORES!$BD67)</f>
        <v>0</v>
      </c>
      <c r="W72" s="1397">
        <f t="shared" ca="1" si="6"/>
        <v>429.38000000003012</v>
      </c>
      <c r="X72" s="1397">
        <f t="shared" ca="1" si="7"/>
        <v>0</v>
      </c>
      <c r="Y72" s="1398">
        <f t="shared" ca="1" si="8"/>
        <v>429.38000000003012</v>
      </c>
      <c r="Z72" s="1398">
        <f t="shared" ca="1" si="9"/>
        <v>8.4540989850376533</v>
      </c>
      <c r="AA72" s="1398">
        <f t="shared" ca="1" si="10"/>
        <v>0</v>
      </c>
      <c r="AB72" s="1398">
        <f t="shared" ca="1" si="11"/>
        <v>48</v>
      </c>
      <c r="AC72" s="1397">
        <f t="shared" ca="1" si="12"/>
        <v>0</v>
      </c>
      <c r="AD72" s="1397">
        <f ca="1">IF(B72&gt;=$J$5,0,CONTADORES!H68-CONTADORES!H67)</f>
        <v>160.29999999993015</v>
      </c>
      <c r="AE72" s="1397">
        <f ca="1">IF(B72&gt;=$J$5,0,CONTADORES!J68-CONTADORES!J67)</f>
        <v>24</v>
      </c>
      <c r="AF72" s="1397">
        <f ca="1">IF(B72&gt;=$J$5,0,CONTADORES!AU68-CONTADORES!AU67)</f>
        <v>137.90000000002328</v>
      </c>
      <c r="AG72" s="1397">
        <f ca="1">IF(B72&gt;=$J$5,0,CONTADORES!AW68-CONTADORES!AW67)</f>
        <v>24</v>
      </c>
      <c r="AH72" s="1397">
        <f ca="1">IF(B72&gt;=$J$5,0,(CONTADORES!AM68-CONTADORES!AM67)+(CONTADORES!M68-CONTADORES!M67))</f>
        <v>10.599999999996726</v>
      </c>
      <c r="AI72" s="1397">
        <f ca="1">IF(B72&gt;=$J$5,0,(CONTADORES!AK68-CONTADORES!AK67)+(CONTADORES!O68-CONTADORES!O67))</f>
        <v>36.710000000006403</v>
      </c>
      <c r="AJ72" s="1397">
        <f ca="1">IF(B72&gt;=$J$5,0,(CONTADORES!AI68-CONTADORES!AI67))</f>
        <v>7.1299999999901047</v>
      </c>
      <c r="AK72" s="1397">
        <f ca="1">IF(B72&gt;=$J$5,0,(CONTADORES!Q68-CONTADORES!Q67))</f>
        <v>14.940000000002328</v>
      </c>
      <c r="AL72" s="1397">
        <f t="shared" ca="1" si="13"/>
        <v>33.800000000066575</v>
      </c>
      <c r="AM72" s="1397">
        <f ca="1">IF(B72&gt;=$J$5,0,(((CONTADORES!F68-CONTADORES!F67)+(CONTADORES!AQ68-CONTADORES!AQ67))))-BS72-AF72-AN72-BV72-BY72-CD72-CB72</f>
        <v>8.8450000000147515</v>
      </c>
      <c r="AN72" s="1397">
        <f ca="1">IF(B72&gt;=$J$5,0,(CONTADORES!AX68-CONTADORES!AX67)+(CONTADORES!AZ68-CONTADORES!AZ67)+(CONTADORES!BE68-CONTADORES!BE67))-CB72</f>
        <v>2.6529999999998362</v>
      </c>
      <c r="AO72" s="1437">
        <f ca="1">IF(B72&gt;=$J$5,0,(CONTADORES!AC68-CONTADORES!AC67))</f>
        <v>143.94999999995343</v>
      </c>
      <c r="AP72" s="1437">
        <f ca="1">IF(B72&gt;=$J$5,0,(CONTADORES!X68-CONTADORES!X67))</f>
        <v>73.75</v>
      </c>
      <c r="AQ72" s="1404">
        <f ca="1">IF(B72&gt;=$J$5,0,(CONTADORES!C68-CONTADORES!C67))</f>
        <v>0</v>
      </c>
      <c r="AR72" s="1399">
        <f ca="1">IF(B72&gt;=$J$5,0,(CONTADORES!BC68-CONTADORES!BC67))</f>
        <v>0</v>
      </c>
      <c r="AS72" s="1397">
        <f ca="1">IF(B72&gt;=$J$5,0,CONTADORES!S68-CONTADORES!S67)</f>
        <v>16.649999999994179</v>
      </c>
      <c r="AT72" s="1397">
        <f ca="1">IF(B72&gt;=$J$5,0,(CONTADORES!U68-CONTADORES!U67)+(CONTADORES!AG68-CONTADORES!AG67))</f>
        <v>2.2600000000020373</v>
      </c>
      <c r="AU72" s="1409">
        <f>CONTADORES!I68-CONTADORES!I67</f>
        <v>82.299999999988358</v>
      </c>
      <c r="AV72" s="1438">
        <f>CONTADORES!AV68-CONTADORES!AV67</f>
        <v>60.600000000005821</v>
      </c>
      <c r="AW72" s="1438">
        <f ca="1">IF(B72&gt;=$J$5,0,(CONTADORES!N68-CONTADORES!N67)+(CONTADORES!AN68-CONTADORES!AN67))</f>
        <v>3.6000000000021828</v>
      </c>
      <c r="AX72" s="1438">
        <f ca="1">IF(B72&gt;=$J$5,0,(CONTADORES!P68-CONTADORES!P67)+(CONTADORES!AL68-CONTADORES!AL67))</f>
        <v>29.270000000004075</v>
      </c>
      <c r="AY72" s="1438">
        <f ca="1">IF(B72&gt;=$J$5,0,(CONTADORES!AJ68-CONTADORES!AJ67))</f>
        <v>5.5100000000020373</v>
      </c>
      <c r="AZ72" s="1438">
        <f ca="1">IF(B72&gt;=$J$5,0,(CONTADORES!R68-CONTADORES!R67))</f>
        <v>12.290000000008149</v>
      </c>
      <c r="BA72" s="1397">
        <f t="shared" ca="1" si="14"/>
        <v>14.102999999966102</v>
      </c>
      <c r="BB72" s="1397">
        <f ca="1">IF(B72&gt;=$J$5,0,(((CONTADORES!G68-CONTADORES!G67)+(CONTADORES!AR68-CONTADORES!AR67))))-AV72-BC72-BT72-BW72-BZ72-CE72</f>
        <v>3.4479999999772346</v>
      </c>
      <c r="BC72" s="1397">
        <f ca="1">IF(B72&gt;=$J$5,0,(CONTADORES!AY68-CONTADORES!AY67)+(CONTADORES!BA68-CONTADORES!BA67)+(CONTADORES!BF68-CONTADORES!BF67))-CC72</f>
        <v>1.2530000000000636</v>
      </c>
      <c r="BD72" s="1397">
        <f t="shared" ca="1" si="15"/>
        <v>217.69999999995343</v>
      </c>
      <c r="BE72" s="1409">
        <f ca="1">IF($B72&gt;=$J$5,0,CONTADORES!$BG68)</f>
        <v>6056.15</v>
      </c>
      <c r="BF72" s="1438">
        <f ca="1">IF($B72&gt;=$J$5,0,CONTADORES!$BH68)</f>
        <v>33190.089473684202</v>
      </c>
      <c r="BG72" s="1397">
        <f ca="1">IF($B72&gt;=$J$5,0,CONTADORES!$BJ68)</f>
        <v>5640.94</v>
      </c>
      <c r="BH72" s="1409">
        <f ca="1">IF(B72&gt;=$J$5,0,((CONTADORES!BK68-CONTADORES!BK67)/1000))</f>
        <v>1.3879999999999999</v>
      </c>
      <c r="BI72" s="1409">
        <f ca="1">IF(C72&gt;=$J$5,0,((CONTADORES!BL68-CONTADORES!BL67)/1000))</f>
        <v>1.452</v>
      </c>
      <c r="BJ72" s="1399">
        <f ca="1">IF(C72&gt;=$J$5,0,((CONTADORES!BM68-CONTADORES!BM67)/1000))</f>
        <v>0</v>
      </c>
      <c r="BK72" s="1399">
        <f ca="1">IF(D72&gt;=$J$5,0,((CONTADORES!BN68-CONTADORES!BN67)/1000))</f>
        <v>0</v>
      </c>
      <c r="BL72" s="1399">
        <f t="shared" ca="1" si="16"/>
        <v>1.3879999999999999</v>
      </c>
      <c r="BM72" s="1399">
        <f t="shared" ca="1" si="17"/>
        <v>1.452</v>
      </c>
      <c r="BN72" s="1409">
        <f ca="1">IF(W72&gt;=$J$5,0,CONTADORES!$BO68)</f>
        <v>132</v>
      </c>
      <c r="BO72" s="1438">
        <f ca="1">IF(W72&gt;=$J$5,0,CONTADORES!$BP68)</f>
        <v>45.646000000000001</v>
      </c>
      <c r="BP72" s="1397">
        <f ca="1">IF(W72&gt;=$J$5,0,CONTADORES!$BQ68)</f>
        <v>666</v>
      </c>
      <c r="BQ72" s="1397">
        <f ca="1">IF(B72&gt;=$J$5,0,(CONTADORES!AS68-CONTADORES!AS67))</f>
        <v>5.1000000000058208</v>
      </c>
      <c r="BR72" s="1397">
        <f ca="1">IF(B72&gt;=$J$5,0,(CONTADORES!AT68-CONTADORES!AT67))</f>
        <v>0</v>
      </c>
      <c r="BS72" s="1409">
        <f ca="1">IF(B72&gt;=$J$5,0,CONTADORES!BR68-CONTADORES!BR67)/1000</f>
        <v>0</v>
      </c>
      <c r="BT72" s="1438">
        <f ca="1">IF(B72&gt;=$J$5,0,CONTADORES!BS68-CONTADORES!BS67)</f>
        <v>0</v>
      </c>
      <c r="BU72" s="1438">
        <f ca="1">IF(B72&gt;=$J$5,0,CONTADORES!BT68-CONTADORES!BT67)</f>
        <v>0</v>
      </c>
      <c r="BV72" s="1438">
        <f ca="1">IF(B72&gt;=$J$5,0,CONTADORES!BU68-CONTADORES!BU67)/1000</f>
        <v>2.39</v>
      </c>
      <c r="BW72" s="1438">
        <f ca="1">IF(B72&gt;=$J$5,0,CONTADORES!BV68-CONTADORES!BV67)/1000</f>
        <v>0</v>
      </c>
      <c r="BX72" s="1438">
        <f ca="1">IF(B72&gt;=$J$5,0,CONTADORES!BW68-CONTADORES!BW67)</f>
        <v>24</v>
      </c>
      <c r="BY72" s="1438">
        <f ca="1">IF(B72&gt;=$J$5,0,CONTADORES!BX68-CONTADORES!BX67)/1000</f>
        <v>6.2949999999999999</v>
      </c>
      <c r="BZ72" s="1438">
        <f ca="1">IF(B72&gt;=$J$5,0,CONTADORES!BY68-CONTADORES!BY67)/1000</f>
        <v>8.9999999999999993E-3</v>
      </c>
      <c r="CA72" s="1438">
        <f ca="1">IF(B72&gt;=$J$5,0,CONTADORES!BZ68-CONTADORES!BZ67)</f>
        <v>24</v>
      </c>
      <c r="CB72" s="1409">
        <f ca="1">IF(B72&gt;=$J$5,0,(CONTADORES!CC68-CONTADORES!CC67)+(CONTADORES!CE68-CONTADORES!CE67))/1000</f>
        <v>1.5269999999999999</v>
      </c>
      <c r="CC72" s="1438">
        <f ca="1">IF(B72&gt;=$J$5,0,(CONTADORES!CD68-CONTADORES!CD67)+(CONTADORES!CF68-CONTADORES!CF67))/1000</f>
        <v>0.92700000000000005</v>
      </c>
      <c r="CD72" s="1409">
        <f ca="1">IF(B72&gt;=$J$5,0,CONTADORES!CA68-CONTADORES!CA67)</f>
        <v>6.2899999999999636</v>
      </c>
      <c r="CE72" s="1438">
        <f ca="1">IF(B72&gt;=$J$5,0,CONTADORES!CB68-CONTADORES!CB67)</f>
        <v>4.3899999999994179</v>
      </c>
      <c r="CF72" s="1438">
        <f t="shared" ca="1" si="18"/>
        <v>10.712500000007338</v>
      </c>
      <c r="CG72" s="1438">
        <f t="shared" ca="1" si="19"/>
        <v>6.1139999999880352</v>
      </c>
      <c r="CH72" s="1438">
        <f t="shared" ca="1" si="20"/>
        <v>4.4225000000073758</v>
      </c>
      <c r="CI72" s="1438">
        <f t="shared" ca="1" si="21"/>
        <v>1.0611999999999344</v>
      </c>
      <c r="CJ72" s="1438">
        <f t="shared" ca="1" si="22"/>
        <v>4.4225000000073758</v>
      </c>
      <c r="CK72" s="1438">
        <f t="shared" ca="1" si="23"/>
        <v>1.5917999999999017</v>
      </c>
      <c r="CL72" s="1438">
        <f t="shared" ca="1" si="24"/>
        <v>2.5881999999999343</v>
      </c>
      <c r="CM72" s="1438">
        <f t="shared" ca="1" si="25"/>
        <v>1.7239999999886173</v>
      </c>
      <c r="CN72" s="1438">
        <f ca="1">IF(B72&gt;=$J$5,0,CONTADORES!CB68-CONTADORES!CB67)</f>
        <v>4.3899999999994179</v>
      </c>
      <c r="CO72" s="1438">
        <f t="shared" ca="1" si="26"/>
        <v>1.7239999999886173</v>
      </c>
      <c r="CP72" s="1438">
        <f t="shared" ca="1" si="27"/>
        <v>0.62650000000003181</v>
      </c>
      <c r="CQ72" s="1438">
        <f t="shared" ca="1" si="28"/>
        <v>0.62650000000003181</v>
      </c>
      <c r="CR72" s="1438">
        <f t="shared" ca="1" si="29"/>
        <v>1.5535000000000319</v>
      </c>
      <c r="CS72" s="1439">
        <f ca="1">IF($B72&gt;=$J$5,0,CONTADORES!$BI68)</f>
        <v>10835.5159875345</v>
      </c>
      <c r="CT72" s="1334">
        <f>CONTADORES!E68</f>
        <v>0</v>
      </c>
      <c r="CU72" s="1334">
        <f>CONTADORES!CG68</f>
        <v>0</v>
      </c>
    </row>
    <row r="73" spans="2:99">
      <c r="B73" s="390">
        <v>44989</v>
      </c>
      <c r="C73" s="198">
        <f t="shared" ca="1" si="0"/>
        <v>290.34999999997672</v>
      </c>
      <c r="D73" s="196">
        <f ca="1">'CALCULO DE GAS'!D75</f>
        <v>4.8440275473813568</v>
      </c>
      <c r="E73" s="196">
        <f ca="1">IF(B73&gt;=$J$5,0,(CONTADORES!$AD69-CONTADORES!$AD68)-$H73)</f>
        <v>24</v>
      </c>
      <c r="F73" s="198">
        <f t="shared" ca="1" si="34"/>
        <v>0</v>
      </c>
      <c r="G73" s="196">
        <f ca="1">IF(B73&gt;=$J$5,0,CONTADORES!$AF69-CONTADORES!$AF68)</f>
        <v>0</v>
      </c>
      <c r="H73" s="1396">
        <f ca="1">IF(G73&gt;0,CONTADORES!$AE69-CONTADORES!$AE68,0)</f>
        <v>0</v>
      </c>
      <c r="I73" s="199">
        <f ca="1">IF(B73&gt;=$J$5,0,CONTADORES!$AB69-CONTADORES!$AB68)</f>
        <v>290.34999999997672</v>
      </c>
      <c r="J73" s="198">
        <f t="shared" ca="1" si="2"/>
        <v>149.96999999999753</v>
      </c>
      <c r="K73" s="196">
        <f ca="1">'CALCULO DE GAS'!E75</f>
        <v>3.6992829089775361</v>
      </c>
      <c r="L73" s="1396">
        <f ca="1">IF(B73&gt;=$J$5,0,(CONTADORES!$Y69-CONTADORES!$Y68)-$O73)</f>
        <v>24</v>
      </c>
      <c r="M73" s="1396">
        <f t="shared" ca="1" si="33"/>
        <v>0</v>
      </c>
      <c r="N73" s="1396">
        <f ca="1">IF(B73&gt;=$J$5,0,CONTADORES!$AA69-CONTADORES!$AA68)</f>
        <v>0</v>
      </c>
      <c r="O73" s="1396">
        <f ca="1">IF(N73&gt;0,CONTADORES!$Z69-CONTADORES!$Z68,0)</f>
        <v>0</v>
      </c>
      <c r="P73" s="202">
        <f ca="1">IF(B73&gt;=$J$5,0,CONTADORES!$W69-CONTADORES!$W68)</f>
        <v>149.96999999999753</v>
      </c>
      <c r="Q73" s="202">
        <f ca="1">IF(B73&gt;=$J$5,0,CONTADORES!$B69-CONTADORES!$B68)</f>
        <v>0</v>
      </c>
      <c r="R73" s="196">
        <f t="shared" ca="1" si="4"/>
        <v>0</v>
      </c>
      <c r="S73" s="11">
        <f ca="1">IF(B73&gt;=$J$5,0,CONTADORES!$D69-CONTADORES!$D68)</f>
        <v>0</v>
      </c>
      <c r="T73" s="198">
        <f ca="1">IF(B73&gt;=$J$5,0,CONTADORES!$BB69-CONTADORES!$BB68)</f>
        <v>0</v>
      </c>
      <c r="U73" s="196">
        <f t="shared" ca="1" si="32"/>
        <v>0</v>
      </c>
      <c r="V73" s="199">
        <f ca="1">IF(B73&gt;=$J$5,0,CONTADORES!$BD69-CONTADORES!$BD68)</f>
        <v>0</v>
      </c>
      <c r="W73" s="1397">
        <f t="shared" ca="1" si="6"/>
        <v>440.31999999997424</v>
      </c>
      <c r="X73" s="1397">
        <f t="shared" ca="1" si="7"/>
        <v>0</v>
      </c>
      <c r="Y73" s="1398">
        <f t="shared" ca="1" si="8"/>
        <v>440.31999999997424</v>
      </c>
      <c r="Z73" s="1398">
        <f t="shared" ca="1" si="9"/>
        <v>8.543310456358892</v>
      </c>
      <c r="AA73" s="1398">
        <f t="shared" ca="1" si="10"/>
        <v>0</v>
      </c>
      <c r="AB73" s="1398">
        <f t="shared" ca="1" si="11"/>
        <v>48</v>
      </c>
      <c r="AC73" s="1397">
        <f t="shared" ca="1" si="12"/>
        <v>0</v>
      </c>
      <c r="AD73" s="1397">
        <f ca="1">IF(B73&gt;=$J$5,0,CONTADORES!H69-CONTADORES!H68)</f>
        <v>164.30000000004657</v>
      </c>
      <c r="AE73" s="1397">
        <f ca="1">IF(B73&gt;=$J$5,0,CONTADORES!J69-CONTADORES!J68)</f>
        <v>24</v>
      </c>
      <c r="AF73" s="1397">
        <f ca="1">IF(B73&gt;=$J$5,0,CONTADORES!AU69-CONTADORES!AU68)</f>
        <v>137.79999999998836</v>
      </c>
      <c r="AG73" s="1397">
        <f ca="1">IF(B73&gt;=$J$5,0,CONTADORES!AW69-CONTADORES!AW68)</f>
        <v>24</v>
      </c>
      <c r="AH73" s="1397">
        <f ca="1">IF(B73&gt;=$J$5,0,(CONTADORES!AM69-CONTADORES!AM68)+(CONTADORES!M69-CONTADORES!M68))</f>
        <v>11.900000000005093</v>
      </c>
      <c r="AI73" s="1397">
        <f ca="1">IF(B73&gt;=$J$5,0,(CONTADORES!AK69-CONTADORES!AK68)+(CONTADORES!O69-CONTADORES!O68))</f>
        <v>38.220000000001164</v>
      </c>
      <c r="AJ73" s="1397">
        <f ca="1">IF(B73&gt;=$J$5,0,(CONTADORES!AI69-CONTADORES!AI68))</f>
        <v>8.4700000000011642</v>
      </c>
      <c r="AK73" s="1397">
        <f ca="1">IF(B73&gt;=$J$5,0,(CONTADORES!Q69-CONTADORES!Q68))</f>
        <v>15.910000000003492</v>
      </c>
      <c r="AL73" s="1397">
        <f t="shared" ca="1" si="13"/>
        <v>33.419999999929189</v>
      </c>
      <c r="AM73" s="1397">
        <f ca="1">IF(B73&gt;=$J$5,0,(((CONTADORES!F69-CONTADORES!F68)+(CONTADORES!AQ69-CONTADORES!AQ68))))-BS73-AF73-AN73-BV73-BY73-CD73-CB73</f>
        <v>11.120999999999109</v>
      </c>
      <c r="AN73" s="1397">
        <f ca="1">IF(B73&gt;=$J$5,0,(CONTADORES!AX69-CONTADORES!AX68)+(CONTADORES!AZ69-CONTADORES!AZ68)+(CONTADORES!BE69-CONTADORES!BE68))-CB73</f>
        <v>2.4979999999999452</v>
      </c>
      <c r="AO73" s="1437">
        <f ca="1">IF(B73&gt;=$J$5,0,(CONTADORES!AC69-CONTADORES!AC68))</f>
        <v>146.68000000005122</v>
      </c>
      <c r="AP73" s="1437">
        <f ca="1">IF(B73&gt;=$J$5,0,(CONTADORES!X69-CONTADORES!X68))</f>
        <v>77.3799999999992</v>
      </c>
      <c r="AQ73" s="1404">
        <f ca="1">IF(B73&gt;=$J$5,0,(CONTADORES!C69-CONTADORES!C68))</f>
        <v>0</v>
      </c>
      <c r="AR73" s="1399">
        <f ca="1">IF(B73&gt;=$J$5,0,(CONTADORES!BC69-CONTADORES!BC68))</f>
        <v>0</v>
      </c>
      <c r="AS73" s="1397">
        <f ca="1">IF(B73&gt;=$J$5,0,CONTADORES!S69-CONTADORES!S68)</f>
        <v>16.260000000009313</v>
      </c>
      <c r="AT73" s="1397">
        <f ca="1">IF(B73&gt;=$J$5,0,(CONTADORES!U69-CONTADORES!U68)+(CONTADORES!AG69-CONTADORES!AG68))</f>
        <v>2.1199999999953434</v>
      </c>
      <c r="AU73" s="1409">
        <f>CONTADORES!I69-CONTADORES!I68</f>
        <v>83.600000000034925</v>
      </c>
      <c r="AV73" s="1438">
        <f>CONTADORES!AV69-CONTADORES!AV68</f>
        <v>60.5</v>
      </c>
      <c r="AW73" s="1438">
        <f ca="1">IF(B73&gt;=$J$5,0,(CONTADORES!N69-CONTADORES!N68)+(CONTADORES!AN69-CONTADORES!AN68))</f>
        <v>4.3999999999987267</v>
      </c>
      <c r="AX73" s="1438">
        <f ca="1">IF(B73&gt;=$J$5,0,(CONTADORES!P69-CONTADORES!P68)+(CONTADORES!AL69-CONTADORES!AL68))</f>
        <v>30.919999999998254</v>
      </c>
      <c r="AY73" s="1438">
        <f ca="1">IF(B73&gt;=$J$5,0,(CONTADORES!AJ69-CONTADORES!AJ68))</f>
        <v>6.6099999999933061</v>
      </c>
      <c r="AZ73" s="1438">
        <f ca="1">IF(B73&gt;=$J$5,0,(CONTADORES!R69-CONTADORES!R68))</f>
        <v>13.129999999990105</v>
      </c>
      <c r="BA73" s="1397">
        <f t="shared" ca="1" si="14"/>
        <v>13.35500000003475</v>
      </c>
      <c r="BB73" s="1397">
        <f ca="1">IF(B73&gt;=$J$5,0,(((CONTADORES!G69-CONTADORES!G68)+(CONTADORES!AR69-CONTADORES!AR68))))-AV73-BC73-BT73-BW73-BZ73-CE73</f>
        <v>4.6230000000006228</v>
      </c>
      <c r="BC73" s="1397">
        <f ca="1">IF(B73&gt;=$J$5,0,(CONTADORES!AY69-CONTADORES!AY68)+(CONTADORES!BA69-CONTADORES!BA68)+(CONTADORES!BF69-CONTADORES!BF68))-CC73</f>
        <v>1.4249999999997773</v>
      </c>
      <c r="BD73" s="1397">
        <f t="shared" ca="1" si="15"/>
        <v>224.06000000005042</v>
      </c>
      <c r="BE73" s="1409">
        <f ca="1">IF($B73&gt;=$J$5,0,CONTADORES!$BG69)</f>
        <v>6466.49</v>
      </c>
      <c r="BF73" s="1438">
        <f ca="1">IF($B73&gt;=$J$5,0,CONTADORES!$BH69)</f>
        <v>34285.821052631603</v>
      </c>
      <c r="BG73" s="1397">
        <f ca="1">IF($B73&gt;=$J$5,0,CONTADORES!$BJ69)</f>
        <v>5444.63</v>
      </c>
      <c r="BH73" s="1409">
        <f ca="1">IF(B73&gt;=$J$5,0,((CONTADORES!BK69-CONTADORES!BK68)/1000))</f>
        <v>1.3680000000000001</v>
      </c>
      <c r="BI73" s="1409">
        <f ca="1">IF(C73&gt;=$J$5,0,((CONTADORES!BL69-CONTADORES!BL68)/1000))</f>
        <v>1.4019999999999999</v>
      </c>
      <c r="BJ73" s="1399">
        <f ca="1">IF(C73&gt;=$J$5,0,((CONTADORES!BM69-CONTADORES!BM68)/1000))</f>
        <v>0</v>
      </c>
      <c r="BK73" s="1399">
        <f ca="1">IF(D73&gt;=$J$5,0,((CONTADORES!BN69-CONTADORES!BN68)/1000))</f>
        <v>0</v>
      </c>
      <c r="BL73" s="1399">
        <f t="shared" ca="1" si="16"/>
        <v>1.3680000000000001</v>
      </c>
      <c r="BM73" s="1399">
        <f t="shared" ca="1" si="17"/>
        <v>1.4019999999999999</v>
      </c>
      <c r="BN73" s="1409">
        <f ca="1">IF(W73&gt;=$J$5,0,CONTADORES!$BO69)</f>
        <v>132</v>
      </c>
      <c r="BO73" s="1438">
        <f ca="1">IF(W73&gt;=$J$5,0,CONTADORES!$BP69)</f>
        <v>45.716999999999999</v>
      </c>
      <c r="BP73" s="1397">
        <f ca="1">IF(W73&gt;=$J$5,0,CONTADORES!$BQ69)</f>
        <v>665</v>
      </c>
      <c r="BQ73" s="1397">
        <f ca="1">IF(B73&gt;=$J$5,0,(CONTADORES!AS69-CONTADORES!AS68))</f>
        <v>4.6679999999978463</v>
      </c>
      <c r="BR73" s="1397">
        <f ca="1">IF(B73&gt;=$J$5,0,(CONTADORES!AT69-CONTADORES!AT68))</f>
        <v>0</v>
      </c>
      <c r="BS73" s="1409">
        <f ca="1">IF(B73&gt;=$J$5,0,CONTADORES!BR69-CONTADORES!BR68)/1000</f>
        <v>0</v>
      </c>
      <c r="BT73" s="1438">
        <f ca="1">IF(B73&gt;=$J$5,0,CONTADORES!BS69-CONTADORES!BS68)</f>
        <v>0</v>
      </c>
      <c r="BU73" s="1438">
        <f ca="1">IF(B73&gt;=$J$5,0,CONTADORES!BT69-CONTADORES!BT68)</f>
        <v>0</v>
      </c>
      <c r="BV73" s="1438">
        <f ca="1">IF(B73&gt;=$J$5,0,CONTADORES!BU69-CONTADORES!BU68)/1000</f>
        <v>2.3879999999999999</v>
      </c>
      <c r="BW73" s="1438">
        <f ca="1">IF(B73&gt;=$J$5,0,CONTADORES!BV69-CONTADORES!BV68)/1000</f>
        <v>0</v>
      </c>
      <c r="BX73" s="1438">
        <f ca="1">IF(B73&gt;=$J$5,0,CONTADORES!BW69-CONTADORES!BW68)</f>
        <v>24</v>
      </c>
      <c r="BY73" s="1438">
        <f ca="1">IF(B73&gt;=$J$5,0,CONTADORES!BX69-CONTADORES!BX68)/1000</f>
        <v>6.2210000000000001</v>
      </c>
      <c r="BZ73" s="1438">
        <f ca="1">IF(B73&gt;=$J$5,0,CONTADORES!BY69-CONTADORES!BY68)/1000</f>
        <v>1.2E-2</v>
      </c>
      <c r="CA73" s="1438">
        <f ca="1">IF(B73&gt;=$J$5,0,CONTADORES!BZ69-CONTADORES!BZ68)</f>
        <v>24</v>
      </c>
      <c r="CB73" s="1409">
        <f ca="1">IF(B73&gt;=$J$5,0,(CONTADORES!CC69-CONTADORES!CC68)+(CONTADORES!CE69-CONTADORES!CE68))/1000</f>
        <v>1.5620000000000001</v>
      </c>
      <c r="CC73" s="1438">
        <f ca="1">IF(B73&gt;=$J$5,0,(CONTADORES!CD69-CONTADORES!CD68)+(CONTADORES!CF69-CONTADORES!CF68))/1000</f>
        <v>0.94499999999999995</v>
      </c>
      <c r="CD73" s="1409">
        <f ca="1">IF(B73&gt;=$J$5,0,CONTADORES!CA69-CONTADORES!CA68)</f>
        <v>6.5100000000002183</v>
      </c>
      <c r="CE73" s="1438">
        <f ca="1">IF(B73&gt;=$J$5,0,CONTADORES!CB69-CONTADORES!CB68)</f>
        <v>4.5399999999999636</v>
      </c>
      <c r="CF73" s="1438">
        <f t="shared" ca="1" si="18"/>
        <v>12.070499999999772</v>
      </c>
      <c r="CG73" s="1438">
        <f t="shared" ca="1" si="19"/>
        <v>6.851500000000275</v>
      </c>
      <c r="CH73" s="1438">
        <f t="shared" ca="1" si="20"/>
        <v>5.5604999999995544</v>
      </c>
      <c r="CI73" s="1438">
        <f t="shared" ca="1" si="21"/>
        <v>0.99919999999997811</v>
      </c>
      <c r="CJ73" s="1438">
        <f t="shared" ca="1" si="22"/>
        <v>5.5604999999995544</v>
      </c>
      <c r="CK73" s="1438">
        <f t="shared" ca="1" si="23"/>
        <v>1.498799999999967</v>
      </c>
      <c r="CL73" s="1438">
        <f t="shared" ca="1" si="24"/>
        <v>2.5611999999999782</v>
      </c>
      <c r="CM73" s="1438">
        <f t="shared" ca="1" si="25"/>
        <v>2.3115000000003114</v>
      </c>
      <c r="CN73" s="1438">
        <f ca="1">IF(B73&gt;=$J$5,0,CONTADORES!CB69-CONTADORES!CB68)</f>
        <v>4.5399999999999636</v>
      </c>
      <c r="CO73" s="1438">
        <f t="shared" ca="1" si="26"/>
        <v>2.3115000000003114</v>
      </c>
      <c r="CP73" s="1438">
        <f t="shared" ca="1" si="27"/>
        <v>0.71249999999988867</v>
      </c>
      <c r="CQ73" s="1438">
        <f t="shared" ca="1" si="28"/>
        <v>0.71249999999988867</v>
      </c>
      <c r="CR73" s="1438">
        <f t="shared" ca="1" si="29"/>
        <v>1.6574999999998887</v>
      </c>
      <c r="CS73" s="1439">
        <f ca="1">IF($B73&gt;=$J$5,0,CONTADORES!$BI69)</f>
        <v>10728.8155563535</v>
      </c>
      <c r="CT73" s="1334">
        <f>CONTADORES!E69</f>
        <v>0</v>
      </c>
      <c r="CU73" s="1334">
        <f>CONTADORES!CG69</f>
        <v>0</v>
      </c>
    </row>
    <row r="74" spans="2:99" s="1410" customFormat="1">
      <c r="B74" s="390">
        <v>44990</v>
      </c>
      <c r="C74" s="198">
        <f t="shared" ca="1" si="0"/>
        <v>278.21999999997206</v>
      </c>
      <c r="D74" s="1412">
        <f ca="1">'CALCULO DE GAS'!D76</f>
        <v>4.7451120860346849</v>
      </c>
      <c r="E74" s="1412">
        <f ca="1">IF(B74&gt;=$J$5,0,(CONTADORES!$AD70-CONTADORES!$AD69)-$H74)</f>
        <v>24</v>
      </c>
      <c r="F74" s="198">
        <f t="shared" ca="1" si="34"/>
        <v>0</v>
      </c>
      <c r="G74" s="1412">
        <f ca="1">IF(B74&gt;=$J$5,0,CONTADORES!$AF70-CONTADORES!$AF69)</f>
        <v>0</v>
      </c>
      <c r="H74" s="1413">
        <f ca="1">IF(G74&gt;0,CONTADORES!$AE70-CONTADORES!$AE69,0)</f>
        <v>0</v>
      </c>
      <c r="I74" s="1414">
        <f ca="1">IF(B74&gt;=$J$5,0,CONTADORES!$AB70-CONTADORES!$AB69)</f>
        <v>278.21999999997206</v>
      </c>
      <c r="J74" s="198">
        <f t="shared" ca="1" si="2"/>
        <v>150.53000000000247</v>
      </c>
      <c r="K74" s="1412">
        <f ca="1">'CALCULO DE GAS'!E76</f>
        <v>3.7038494925187235</v>
      </c>
      <c r="L74" s="1413">
        <f ca="1">IF(B74&gt;=$J$5,0,(CONTADORES!$Y70-CONTADORES!$Y69)-$O74)</f>
        <v>24</v>
      </c>
      <c r="M74" s="1396">
        <f t="shared" ca="1" si="33"/>
        <v>0</v>
      </c>
      <c r="N74" s="1413">
        <f ca="1">IF(B74&gt;=$J$5,0,CONTADORES!$AA70-CONTADORES!$AA69)</f>
        <v>0</v>
      </c>
      <c r="O74" s="1413">
        <f ca="1">IF(N74&gt;0,CONTADORES!$Z70-CONTADORES!$Z69,0)</f>
        <v>0</v>
      </c>
      <c r="P74" s="202">
        <f ca="1">IF(B74&gt;=$J$5,0,CONTADORES!$W70-CONTADORES!$W69)</f>
        <v>150.53000000000247</v>
      </c>
      <c r="Q74" s="1415">
        <f ca="1">IF(B74&gt;=$J$5,0,CONTADORES!$B70-CONTADORES!$B69)</f>
        <v>0</v>
      </c>
      <c r="R74" s="1412">
        <f t="shared" ca="1" si="4"/>
        <v>0</v>
      </c>
      <c r="S74" s="11">
        <f ca="1">IF(B74&gt;=$J$5,0,CONTADORES!$D70-CONTADORES!$D69)</f>
        <v>0</v>
      </c>
      <c r="T74" s="1411">
        <f ca="1">IF(B74&gt;=$J$5,0,CONTADORES!$BB70-CONTADORES!$BB69)</f>
        <v>0</v>
      </c>
      <c r="U74" s="1412">
        <f t="shared" ca="1" si="32"/>
        <v>0</v>
      </c>
      <c r="V74" s="1414">
        <f ca="1">IF(B74&gt;=$J$5,0,CONTADORES!$BD70-CONTADORES!$BD69)</f>
        <v>0</v>
      </c>
      <c r="W74" s="1402">
        <f t="shared" ca="1" si="6"/>
        <v>428.74999999997453</v>
      </c>
      <c r="X74" s="1402">
        <f t="shared" ca="1" si="7"/>
        <v>0</v>
      </c>
      <c r="Y74" s="1407">
        <f t="shared" ca="1" si="8"/>
        <v>428.74999999997453</v>
      </c>
      <c r="Z74" s="1407">
        <f t="shared" ca="1" si="9"/>
        <v>8.4489615785534085</v>
      </c>
      <c r="AA74" s="1407">
        <f t="shared" ca="1" si="10"/>
        <v>0</v>
      </c>
      <c r="AB74" s="1407">
        <f t="shared" ca="1" si="11"/>
        <v>48</v>
      </c>
      <c r="AC74" s="1402">
        <f t="shared" ca="1" si="12"/>
        <v>0</v>
      </c>
      <c r="AD74" s="1402">
        <f ca="1">IF(B74&gt;=$J$5,0,CONTADORES!H70-CONTADORES!H69)</f>
        <v>162.40000000002328</v>
      </c>
      <c r="AE74" s="1402">
        <f ca="1">IF(B74&gt;=$J$5,0,CONTADORES!J70-CONTADORES!J69)</f>
        <v>24</v>
      </c>
      <c r="AF74" s="1397">
        <f ca="1">IF(B74&gt;=$J$5,0,CONTADORES!AU70-CONTADORES!AU69)</f>
        <v>139.29999999998836</v>
      </c>
      <c r="AG74" s="1402">
        <f ca="1">IF(B74&gt;=$J$5,0,CONTADORES!AW70-CONTADORES!AW69)</f>
        <v>24</v>
      </c>
      <c r="AH74" s="1402">
        <f ca="1">IF(B74&gt;=$J$5,0,(CONTADORES!AM70-CONTADORES!AM69)+(CONTADORES!M70-CONTADORES!M69))</f>
        <v>7.3999999999996362</v>
      </c>
      <c r="AI74" s="1402">
        <f ca="1">IF(B74&gt;=$J$5,0,(CONTADORES!AK70-CONTADORES!AK69)+(CONTADORES!O70-CONTADORES!O69))</f>
        <v>38.229999999995925</v>
      </c>
      <c r="AJ74" s="1402">
        <f ca="1">IF(B74&gt;=$J$5,0,(CONTADORES!AI70-CONTADORES!AI69))</f>
        <v>5.6699999999982538</v>
      </c>
      <c r="AK74" s="1402">
        <f ca="1">IF(B74&gt;=$J$5,0,(CONTADORES!Q70-CONTADORES!Q69))</f>
        <v>14.379999999975553</v>
      </c>
      <c r="AL74" s="1402">
        <f t="shared" ca="1" si="13"/>
        <v>32.969999999959384</v>
      </c>
      <c r="AM74" s="1402">
        <f ca="1">IF(B74&gt;=$J$5,0,(((CONTADORES!F70-CONTADORES!F69)+(CONTADORES!AQ70-CONTADORES!AQ69))))-BS74-AF74-AN74-BV74-BY74-CD74-CB74</f>
        <v>9.3650000000341613</v>
      </c>
      <c r="AN74" s="1397">
        <f ca="1">IF(B74&gt;=$J$5,0,(CONTADORES!AX70-CONTADORES!AX69)+(CONTADORES!AZ70-CONTADORES!AZ69)+(CONTADORES!BE70-CONTADORES!BE69))-CB74</f>
        <v>2.4660000000001818</v>
      </c>
      <c r="AO74" s="1440">
        <f ca="1">IF(B74&gt;=$J$5,0,(CONTADORES!AC70-CONTADORES!AC69))</f>
        <v>142.5899999999674</v>
      </c>
      <c r="AP74" s="1440">
        <f ca="1">IF(B74&gt;=$J$5,0,(CONTADORES!X70-CONTADORES!X69))</f>
        <v>75.350000000000364</v>
      </c>
      <c r="AQ74" s="1418">
        <f ca="1">IF(B74&gt;=$J$5,0,(CONTADORES!C70-CONTADORES!C69))</f>
        <v>0</v>
      </c>
      <c r="AR74" s="1417">
        <f ca="1">IF(B74&gt;=$J$5,0,(CONTADORES!BC70-CONTADORES!BC69))</f>
        <v>0</v>
      </c>
      <c r="AS74" s="1402">
        <f ca="1">IF(B74&gt;=$J$5,0,CONTADORES!S70-CONTADORES!S69)</f>
        <v>16.480000000010477</v>
      </c>
      <c r="AT74" s="1402">
        <f ca="1">IF(B74&gt;=$J$5,0,(CONTADORES!U70-CONTADORES!U69)+(CONTADORES!AG70-CONTADORES!AG69))</f>
        <v>2.0800000000017462</v>
      </c>
      <c r="AU74" s="1441">
        <f>CONTADORES!I70-CONTADORES!I69</f>
        <v>83.399999999965075</v>
      </c>
      <c r="AV74" s="1442">
        <f>CONTADORES!AV70-CONTADORES!AV69</f>
        <v>61.200000000011642</v>
      </c>
      <c r="AW74" s="1442">
        <f ca="1">IF(B74&gt;=$J$5,0,(CONTADORES!N70-CONTADORES!N69)+(CONTADORES!AN70-CONTADORES!AN69))</f>
        <v>2.5999999999985448</v>
      </c>
      <c r="AX74" s="1442">
        <f ca="1">IF(B74&gt;=$J$5,0,(CONTADORES!P70-CONTADORES!P69)+(CONTADORES!AL70-CONTADORES!AL69))</f>
        <v>30.919999999990978</v>
      </c>
      <c r="AY74" s="1442">
        <f ca="1">IF(B74&gt;=$J$5,0,(CONTADORES!AJ70-CONTADORES!AJ69))</f>
        <v>4.3400000000037835</v>
      </c>
      <c r="AZ74" s="1442">
        <f ca="1">IF(B74&gt;=$J$5,0,(CONTADORES!R70-CONTADORES!R69))</f>
        <v>11.970000000001164</v>
      </c>
      <c r="BA74" s="1402">
        <f t="shared" ca="1" si="14"/>
        <v>12.852999999996769</v>
      </c>
      <c r="BB74" s="1397">
        <f ca="1">IF(B74&gt;=$J$5,0,(((CONTADORES!G70-CONTADORES!G69)+(CONTADORES!AR70-CONTADORES!AR69))))-AV74-BC74-BT74-BW74-BZ74-CE74</f>
        <v>3.7459999999987819</v>
      </c>
      <c r="BC74" s="1397">
        <f ca="1">IF(B74&gt;=$J$5,0,(CONTADORES!AY70-CONTADORES!AY69)+(CONTADORES!BA70-CONTADORES!BA69)+(CONTADORES!BF70-CONTADORES!BF69))-CC74</f>
        <v>1.4530000000003094</v>
      </c>
      <c r="BD74" s="1402">
        <f t="shared" ca="1" si="15"/>
        <v>217.93999999996777</v>
      </c>
      <c r="BE74" s="1441">
        <f ca="1">IF($B74&gt;=$J$5,0,CONTADORES!$BG71)</f>
        <v>6431.93</v>
      </c>
      <c r="BF74" s="1442">
        <f ca="1">IF($B74&gt;=$J$5,0,CONTADORES!$BH71)</f>
        <v>33940.963157894701</v>
      </c>
      <c r="BG74" s="1402">
        <f ca="1">IF($B74&gt;=$J$5,0,CONTADORES!$BJ71)</f>
        <v>5721</v>
      </c>
      <c r="BH74" s="1441">
        <f ca="1">IF(B74&gt;=$J$5,0,((CONTADORES!BK70-CONTADORES!BK69)/1000))</f>
        <v>1.3839999999999999</v>
      </c>
      <c r="BI74" s="1441">
        <f ca="1">IF(C74&gt;=$J$5,0,((CONTADORES!BL70-CONTADORES!BL69)/1000))</f>
        <v>1.391</v>
      </c>
      <c r="BJ74" s="1417">
        <f ca="1">IF(C74&gt;=$J$5,0,((CONTADORES!BM70-CONTADORES!BM69)/1000))</f>
        <v>0</v>
      </c>
      <c r="BK74" s="1417">
        <f ca="1">IF(D74&gt;=$J$5,0,((CONTADORES!BN70-CONTADORES!BN69)/1000))</f>
        <v>0</v>
      </c>
      <c r="BL74" s="1417">
        <f t="shared" ca="1" si="16"/>
        <v>1.3839999999999999</v>
      </c>
      <c r="BM74" s="1417">
        <f t="shared" ca="1" si="17"/>
        <v>1.391</v>
      </c>
      <c r="BN74" s="1441">
        <f ca="1">IF(W74&gt;=$J$5,0,CONTADORES!$BO70)</f>
        <v>132</v>
      </c>
      <c r="BO74" s="1442">
        <f ca="1">IF(W74&gt;=$J$5,0,CONTADORES!$BP70)</f>
        <v>45.835000000000001</v>
      </c>
      <c r="BP74" s="1402">
        <f ca="1">IF(W74&gt;=$J$5,0,CONTADORES!$BQ70)</f>
        <v>664</v>
      </c>
      <c r="BQ74" s="1402">
        <f ca="1">IF(B74&gt;=$J$5,0,(CONTADORES!AS70-CONTADORES!AS69))</f>
        <v>4.5230000000010477</v>
      </c>
      <c r="BR74" s="1402">
        <f ca="1">IF(B74&gt;=$J$5,0,(CONTADORES!AT70-CONTADORES!AT69))</f>
        <v>0</v>
      </c>
      <c r="BS74" s="1409">
        <f ca="1">IF(B74&gt;=$J$5,0,CONTADORES!BR70-CONTADORES!BR69)/1000</f>
        <v>0</v>
      </c>
      <c r="BT74" s="1442">
        <f ca="1">IF(B74&gt;=$J$5,0,CONTADORES!BS70-CONTADORES!BS69)</f>
        <v>0</v>
      </c>
      <c r="BU74" s="1442">
        <f ca="1">IF(B74&gt;=$J$5,0,CONTADORES!BT70-CONTADORES!BT69)</f>
        <v>0</v>
      </c>
      <c r="BV74" s="1438">
        <f ca="1">IF(B74&gt;=$J$5,0,CONTADORES!BU70-CONTADORES!BU69)/1000</f>
        <v>2.4169999999999998</v>
      </c>
      <c r="BW74" s="1442">
        <f ca="1">IF(B74&gt;=$J$5,0,CONTADORES!BV70-CONTADORES!BV69)/1000</f>
        <v>0</v>
      </c>
      <c r="BX74" s="1442">
        <f ca="1">IF(B74&gt;=$J$5,0,CONTADORES!BW70-CONTADORES!BW69)</f>
        <v>24</v>
      </c>
      <c r="BY74" s="1438">
        <f ca="1">IF(B74&gt;=$J$5,0,CONTADORES!BX70-CONTADORES!BX69)/1000</f>
        <v>6.1580000000000004</v>
      </c>
      <c r="BZ74" s="1442">
        <f ca="1">IF(B74&gt;=$J$5,0,CONTADORES!BY70-CONTADORES!BY69)/1000</f>
        <v>5.0999999999999997E-2</v>
      </c>
      <c r="CA74" s="1442">
        <f ca="1">IF(B74&gt;=$J$5,0,CONTADORES!BZ70-CONTADORES!BZ69)</f>
        <v>24</v>
      </c>
      <c r="CB74" s="1409">
        <f ca="1">IF(B74&gt;=$J$5,0,(CONTADORES!CC70-CONTADORES!CC69)+(CONTADORES!CE70-CONTADORES!CE69))/1000</f>
        <v>1.5840000000000001</v>
      </c>
      <c r="CC74" s="1442">
        <f ca="1">IF(B74&gt;=$J$5,0,(CONTADORES!CD70-CONTADORES!CD69)+(CONTADORES!CF70-CONTADORES!CF69))/1000</f>
        <v>0.95699999999999996</v>
      </c>
      <c r="CD74" s="1409">
        <f ca="1">IF(B74&gt;=$J$5,0,CONTADORES!CA70-CONTADORES!CA69)</f>
        <v>6.4099999999998545</v>
      </c>
      <c r="CE74" s="1442">
        <f ca="1">IF(B74&gt;=$J$5,0,CONTADORES!CB70-CONTADORES!CB69)</f>
        <v>4.4500000000007276</v>
      </c>
      <c r="CF74" s="1442">
        <f t="shared" ca="1" si="18"/>
        <v>11.092500000016935</v>
      </c>
      <c r="CG74" s="1442">
        <f t="shared" ca="1" si="19"/>
        <v>6.3230000000001185</v>
      </c>
      <c r="CH74" s="1442">
        <f t="shared" ca="1" si="20"/>
        <v>4.6825000000170807</v>
      </c>
      <c r="CI74" s="1442">
        <f t="shared" ca="1" si="21"/>
        <v>0.98640000000007277</v>
      </c>
      <c r="CJ74" s="1442">
        <f t="shared" ca="1" si="22"/>
        <v>4.6825000000170807</v>
      </c>
      <c r="CK74" s="1442">
        <f t="shared" ca="1" si="23"/>
        <v>1.4796000000001091</v>
      </c>
      <c r="CL74" s="1442">
        <f t="shared" ca="1" si="24"/>
        <v>2.5704000000000731</v>
      </c>
      <c r="CM74" s="1442">
        <f t="shared" ca="1" si="25"/>
        <v>1.8729999999993909</v>
      </c>
      <c r="CN74" s="1442">
        <f ca="1">IF(B74&gt;=$J$5,0,CONTADORES!CB70-CONTADORES!CB69)</f>
        <v>4.4500000000007276</v>
      </c>
      <c r="CO74" s="1442">
        <f t="shared" ca="1" si="26"/>
        <v>1.8729999999993909</v>
      </c>
      <c r="CP74" s="1442">
        <f t="shared" ca="1" si="27"/>
        <v>0.72650000000015469</v>
      </c>
      <c r="CQ74" s="1442">
        <f t="shared" ca="1" si="28"/>
        <v>0.72650000000015469</v>
      </c>
      <c r="CR74" s="1442">
        <f t="shared" ca="1" si="29"/>
        <v>1.6835000000001545</v>
      </c>
      <c r="CS74" s="1443">
        <f ca="1">IF($B74&gt;=$J$5,0,CONTADORES!$BI71)</f>
        <v>9645.3140653952905</v>
      </c>
      <c r="CT74" s="1334">
        <f>CONTADORES!E70</f>
        <v>0</v>
      </c>
      <c r="CU74" s="1334">
        <f>CONTADORES!CG70</f>
        <v>0</v>
      </c>
    </row>
    <row r="75" spans="2:99">
      <c r="B75" s="390">
        <v>44991</v>
      </c>
      <c r="C75" s="198">
        <f t="shared" ref="C75:C138" ca="1" si="35">I75-F75</f>
        <v>285.30000000004657</v>
      </c>
      <c r="D75" s="196">
        <f ca="1">'CALCULO DE GAS'!D77</f>
        <v>4.8028467493769389</v>
      </c>
      <c r="E75" s="196">
        <f ca="1">IF(B75&gt;=$J$5,0,(CONTADORES!$AD71-CONTADORES!$AD70)-$H75)</f>
        <v>24</v>
      </c>
      <c r="F75" s="198">
        <f t="shared" ca="1" si="34"/>
        <v>0</v>
      </c>
      <c r="G75" s="196">
        <f ca="1">IF(B75&gt;=$J$5,0,CONTADORES!$AF71-CONTADORES!$AF70)</f>
        <v>0</v>
      </c>
      <c r="H75" s="1396">
        <f ca="1">IF(G75&gt;0,CONTADORES!$AE71-CONTADORES!$AE70,0)</f>
        <v>0</v>
      </c>
      <c r="I75" s="199">
        <f ca="1">IF(B75&gt;=$J$5,0,CONTADORES!$AB71-CONTADORES!$AB70)</f>
        <v>285.30000000004657</v>
      </c>
      <c r="J75" s="198">
        <f t="shared" ref="J75:J138" ca="1" si="36">P75-M75</f>
        <v>148.64999999999782</v>
      </c>
      <c r="K75" s="196">
        <f ca="1">'CALCULO DE GAS'!E77</f>
        <v>3.6885188192019771</v>
      </c>
      <c r="L75" s="1396">
        <f ca="1">IF(B75&gt;=$J$5,0,(CONTADORES!$Y71-CONTADORES!$Y70)-$O75)</f>
        <v>24</v>
      </c>
      <c r="M75" s="1396">
        <f t="shared" ca="1" si="33"/>
        <v>0</v>
      </c>
      <c r="N75" s="1396">
        <f ca="1">IF(B75&gt;=$J$5,0,CONTADORES!$AA71-CONTADORES!$AA70)</f>
        <v>0</v>
      </c>
      <c r="O75" s="1396">
        <f ca="1">IF(N75&gt;0,CONTADORES!$Z71-CONTADORES!$Z70,0)</f>
        <v>0</v>
      </c>
      <c r="P75" s="202">
        <f ca="1">IF(B75&gt;=$J$5,0,CONTADORES!$W71-CONTADORES!$W70)</f>
        <v>148.64999999999782</v>
      </c>
      <c r="Q75" s="202">
        <f ca="1">IF(B75&gt;=$J$5,0,CONTADORES!$B71-CONTADORES!$B70)</f>
        <v>0</v>
      </c>
      <c r="R75" s="196">
        <f t="shared" ref="R75:R138" ca="1" si="37">$Q75*120</f>
        <v>0</v>
      </c>
      <c r="S75" s="11">
        <f ca="1">IF(B75&gt;=$J$5,0,CONTADORES!$D71-CONTADORES!$D70)</f>
        <v>0</v>
      </c>
      <c r="T75" s="198">
        <f ca="1">IF(B75&gt;=$J$5,0,CONTADORES!$BB71-CONTADORES!$BB70)</f>
        <v>0</v>
      </c>
      <c r="U75" s="196">
        <f t="shared" ref="U75:U100" ca="1" si="38">$T75*120</f>
        <v>0</v>
      </c>
      <c r="V75" s="199">
        <f ca="1">IF(B75&gt;=$J$5,0,CONTADORES!$BD71-CONTADORES!$BD70)</f>
        <v>0</v>
      </c>
      <c r="W75" s="1397">
        <f t="shared" ref="W75:W138" ca="1" si="39">C75+J75</f>
        <v>433.95000000004438</v>
      </c>
      <c r="X75" s="1397">
        <f t="shared" ref="X75:X138" ca="1" si="40">F75+M75+Q75+T75</f>
        <v>0</v>
      </c>
      <c r="Y75" s="1398">
        <f t="shared" ref="Y75:Y138" ca="1" si="41">W75+X75</f>
        <v>433.95000000004438</v>
      </c>
      <c r="Z75" s="1398">
        <f t="shared" ref="Z75:Z138" ca="1" si="42">D75+K75</f>
        <v>8.4913655685789156</v>
      </c>
      <c r="AA75" s="1398">
        <f t="shared" ref="AA75:AA138" ca="1" si="43">G75+N75+R75+U75</f>
        <v>0</v>
      </c>
      <c r="AB75" s="1398">
        <f t="shared" ref="AB75:AB138" ca="1" si="44">E75+L75</f>
        <v>48</v>
      </c>
      <c r="AC75" s="1397">
        <f t="shared" ref="AC75:AC138" ca="1" si="45">H75+O75+S75+V75</f>
        <v>0</v>
      </c>
      <c r="AD75" s="1397">
        <f ca="1">IF(B75&gt;=$J$5,0,CONTADORES!H71-CONTADORES!H70)</f>
        <v>162.19999999995343</v>
      </c>
      <c r="AE75" s="1397">
        <f ca="1">IF(B75&gt;=$J$5,0,CONTADORES!J71-CONTADORES!J70)</f>
        <v>24</v>
      </c>
      <c r="AF75" s="1397">
        <f ca="1">IF(B75&gt;=$J$5,0,CONTADORES!AU71-CONTADORES!AU70)</f>
        <v>136</v>
      </c>
      <c r="AG75" s="1397">
        <f ca="1">IF(B75&gt;=$J$5,0,CONTADORES!AW71-CONTADORES!AW70)</f>
        <v>24</v>
      </c>
      <c r="AH75" s="1397">
        <f ca="1">IF(B75&gt;=$J$5,0,(CONTADORES!AM71-CONTADORES!AM70)+(CONTADORES!M71-CONTADORES!M70))</f>
        <v>10.600000000000364</v>
      </c>
      <c r="AI75" s="1397">
        <f ca="1">IF(B75&gt;=$J$5,0,(CONTADORES!AK71-CONTADORES!AK70)+(CONTADORES!O71-CONTADORES!O70))</f>
        <v>37.270000000004075</v>
      </c>
      <c r="AJ75" s="1397">
        <f ca="1">IF(B75&gt;=$J$5,0,(CONTADORES!AI71-CONTADORES!AI70))</f>
        <v>8.6300000000046566</v>
      </c>
      <c r="AK75" s="1397">
        <f ca="1">IF(B75&gt;=$J$5,0,(CONTADORES!Q71-CONTADORES!Q70))</f>
        <v>15.170000000012806</v>
      </c>
      <c r="AL75" s="1397">
        <f t="shared" ref="AL75:AL138" ca="1" si="46">Y75-(AD75+AF75+AH75+AI75+AJ75+AK75+CJ75+CK75+BS75+BV75+BY75+CF75+CL75)</f>
        <v>34.680000000093116</v>
      </c>
      <c r="AM75" s="1397">
        <f ca="1">IF(B75&gt;=$J$5,0,(((CONTADORES!F71-CONTADORES!F70)+(CONTADORES!AQ71-CONTADORES!AQ70))))-BS75-AF75-AN75-BV75-BY75-CD75-CB75</f>
        <v>9.3289999999753181</v>
      </c>
      <c r="AN75" s="1397">
        <f ca="1">IF(B75&gt;=$J$5,0,(CONTADORES!AX71-CONTADORES!AX70)+(CONTADORES!AZ71-CONTADORES!AZ70)+(CONTADORES!BE71-CONTADORES!BE70))-CB75</f>
        <v>2.5759999999996541</v>
      </c>
      <c r="AO75" s="1437">
        <f ca="1">IF(B75&gt;=$J$5,0,(CONTADORES!AC71-CONTADORES!AC70))</f>
        <v>143.38000000000466</v>
      </c>
      <c r="AP75" s="1437">
        <f ca="1">IF(B75&gt;=$J$5,0,(CONTADORES!X71-CONTADORES!X70))</f>
        <v>76.319999999999709</v>
      </c>
      <c r="AQ75" s="1404">
        <f ca="1">IF(B75&gt;=$J$5,0,(CONTADORES!C71-CONTADORES!C70))</f>
        <v>0</v>
      </c>
      <c r="AR75" s="1399">
        <f ca="1">IF(B75&gt;=$J$5,0,(CONTADORES!BC71-CONTADORES!BC70))</f>
        <v>0</v>
      </c>
      <c r="AS75" s="1397">
        <f ca="1">IF(B75&gt;=$J$5,0,CONTADORES!S71-CONTADORES!S70)</f>
        <v>16.10999999998603</v>
      </c>
      <c r="AT75" s="1397">
        <f ca="1">IF(B75&gt;=$J$5,0,(CONTADORES!U71-CONTADORES!U70)+(CONTADORES!AG71-CONTADORES!AG70))</f>
        <v>2.0400000000008731</v>
      </c>
      <c r="AU75" s="1409">
        <f>CONTADORES!I71-CONTADORES!I70</f>
        <v>82.200000000011642</v>
      </c>
      <c r="AV75" s="1438">
        <f>CONTADORES!AV71-CONTADORES!AV70</f>
        <v>59.799999999988358</v>
      </c>
      <c r="AW75" s="1438">
        <f ca="1">IF(B75&gt;=$J$5,0,(CONTADORES!N71-CONTADORES!N70)+(CONTADORES!AN71-CONTADORES!AN70))</f>
        <v>3.7000000000025466</v>
      </c>
      <c r="AX75" s="1438">
        <f ca="1">IF(B75&gt;=$J$5,0,(CONTADORES!P71-CONTADORES!P70)+(CONTADORES!AL71-CONTADORES!AL70))</f>
        <v>30.270000000004075</v>
      </c>
      <c r="AY75" s="1438">
        <f ca="1">IF(B75&gt;=$J$5,0,(CONTADORES!AJ71-CONTADORES!AJ70))</f>
        <v>6.6399999999994179</v>
      </c>
      <c r="AZ75" s="1438">
        <f ca="1">IF(B75&gt;=$J$5,0,(CONTADORES!R71-CONTADORES!R70))</f>
        <v>12.910000000003492</v>
      </c>
      <c r="BA75" s="1397">
        <f t="shared" ref="BA75:BA138" ca="1" si="47">BD75-(AU75+AV75+AW75+AX75+AY75+AZ75+BT75+BW75+BZ75+CG75+CO75+CQ75+CR75)</f>
        <v>13.939999999989226</v>
      </c>
      <c r="BB75" s="1397">
        <f ca="1">IF(B75&gt;=$J$5,0,(((CONTADORES!G71-CONTADORES!G70)+(CONTADORES!AR71-CONTADORES!AR70))))-AV75-BC75-BT75-BW75-BZ75-CE75</f>
        <v>2.8320000000059844</v>
      </c>
      <c r="BC75" s="1397">
        <f ca="1">IF(B75&gt;=$J$5,0,(CONTADORES!AY71-CONTADORES!AY70)+(CONTADORES!BA71-CONTADORES!BA70)+(CONTADORES!BF71-CONTADORES!BF70))-CC75</f>
        <v>1.6199999999999455</v>
      </c>
      <c r="BD75" s="1397">
        <f t="shared" ref="BD75:BD138" ca="1" si="48">SUM(AO75:AR75)</f>
        <v>219.70000000000437</v>
      </c>
      <c r="BE75" s="1441">
        <f ca="1">IF($B75&gt;=$J$5,0,CONTADORES!$BG72)</f>
        <v>7215.58</v>
      </c>
      <c r="BF75" s="1442">
        <f ca="1">IF($B75&gt;=$J$5,0,CONTADORES!$BH72)</f>
        <v>35980.6456140351</v>
      </c>
      <c r="BG75" s="1402">
        <f ca="1">IF($B75&gt;=$J$5,0,CONTADORES!$BJ72)</f>
        <v>6050.85</v>
      </c>
      <c r="BH75" s="1409">
        <f ca="1">IF(B75&gt;=$J$5,0,((CONTADORES!BK71-CONTADORES!BK70)/1000))</f>
        <v>1.419</v>
      </c>
      <c r="BI75" s="1409">
        <f ca="1">IF(C75&gt;=$J$5,0,((CONTADORES!BL71-CONTADORES!BL70)/1000))</f>
        <v>1.431</v>
      </c>
      <c r="BJ75" s="1399">
        <f ca="1">IF(C75&gt;=$J$5,0,((CONTADORES!BM71-CONTADORES!BM70)/1000))</f>
        <v>0</v>
      </c>
      <c r="BK75" s="1399">
        <f ca="1">IF(D75&gt;=$J$5,0,((CONTADORES!BN71-CONTADORES!BN70)/1000))</f>
        <v>0</v>
      </c>
      <c r="BL75" s="1399">
        <f t="shared" ref="BL75:BL138" ca="1" si="49">BH75+BJ75</f>
        <v>1.419</v>
      </c>
      <c r="BM75" s="1399">
        <f t="shared" ref="BM75:BM138" ca="1" si="50">BI75+BK75</f>
        <v>1.431</v>
      </c>
      <c r="BN75" s="1409">
        <f ca="1">IF(W75&gt;=$J$5,0,CONTADORES!$BO71)</f>
        <v>132</v>
      </c>
      <c r="BO75" s="1438">
        <f ca="1">IF(W75&gt;=$J$5,0,CONTADORES!$BP71)</f>
        <v>45.881999999999998</v>
      </c>
      <c r="BP75" s="1397">
        <f ca="1">IF(W75&gt;=$J$5,0,CONTADORES!$BQ71)</f>
        <v>664</v>
      </c>
      <c r="BQ75" s="1397">
        <f ca="1">IF(B75&gt;=$J$5,0,(CONTADORES!AS71-CONTADORES!AS70))</f>
        <v>5.0089999999981956</v>
      </c>
      <c r="BR75" s="1397">
        <f ca="1">IF(B75&gt;=$J$5,0,(CONTADORES!AT71-CONTADORES!AT70))</f>
        <v>0</v>
      </c>
      <c r="BS75" s="1409">
        <f ca="1">IF(B75&gt;=$J$5,0,CONTADORES!BR71-CONTADORES!BR70)/1000</f>
        <v>0</v>
      </c>
      <c r="BT75" s="1438">
        <f ca="1">IF(B75&gt;=$J$5,0,CONTADORES!BS71-CONTADORES!BS70)</f>
        <v>0</v>
      </c>
      <c r="BU75" s="1438">
        <f ca="1">IF(B75&gt;=$J$5,0,CONTADORES!BT71-CONTADORES!BT70)</f>
        <v>0</v>
      </c>
      <c r="BV75" s="1438">
        <f ca="1">IF(B75&gt;=$J$5,0,CONTADORES!BU71-CONTADORES!BU70)/1000</f>
        <v>2.395</v>
      </c>
      <c r="BW75" s="1438">
        <f ca="1">IF(B75&gt;=$J$5,0,CONTADORES!BV71-CONTADORES!BV70)/1000</f>
        <v>0</v>
      </c>
      <c r="BX75" s="1438">
        <f ca="1">IF(B75&gt;=$J$5,0,CONTADORES!BW71-CONTADORES!BW70)</f>
        <v>24</v>
      </c>
      <c r="BY75" s="1438">
        <f ca="1">IF(B75&gt;=$J$5,0,CONTADORES!BX71-CONTADORES!BX70)/1000</f>
        <v>6.1660000000000004</v>
      </c>
      <c r="BZ75" s="1438">
        <f ca="1">IF(B75&gt;=$J$5,0,CONTADORES!BY71-CONTADORES!BY70)/1000</f>
        <v>2.8000000000000001E-2</v>
      </c>
      <c r="CA75" s="1438">
        <f ca="1">IF(B75&gt;=$J$5,0,CONTADORES!BZ71-CONTADORES!BZ70)</f>
        <v>23.5</v>
      </c>
      <c r="CB75" s="1409">
        <f ca="1">IF(B75&gt;=$J$5,0,(CONTADORES!CC71-CONTADORES!CC70)+(CONTADORES!CE71-CONTADORES!CE70))/1000</f>
        <v>1.554</v>
      </c>
      <c r="CC75" s="1438">
        <f ca="1">IF(B75&gt;=$J$5,0,(CONTADORES!CD71-CONTADORES!CD70)+(CONTADORES!CF71-CONTADORES!CF70))/1000</f>
        <v>0.94</v>
      </c>
      <c r="CD75" s="1409">
        <f ca="1">IF(B75&gt;=$J$5,0,CONTADORES!CA71-CONTADORES!CA70)</f>
        <v>7.3800000000010186</v>
      </c>
      <c r="CE75" s="1438">
        <f ca="1">IF(B75&gt;=$J$5,0,CONTADORES!CB71-CONTADORES!CB70)</f>
        <v>4.819999999999709</v>
      </c>
      <c r="CF75" s="1438">
        <f t="shared" ref="CF75:CF138" ca="1" si="51">CD75+CH75</f>
        <v>12.044499999988677</v>
      </c>
      <c r="CG75" s="1438">
        <f t="shared" ref="CG75:CG138" ca="1" si="52">CN75+CM75</f>
        <v>6.2360000000027007</v>
      </c>
      <c r="CH75" s="1438">
        <f t="shared" ref="CH75:CH138" ca="1" si="53">(AM75*0.5)</f>
        <v>4.6644999999876591</v>
      </c>
      <c r="CI75" s="1438">
        <f t="shared" ref="CI75:CI138" ca="1" si="54">(AN75*0.4)</f>
        <v>1.0303999999998616</v>
      </c>
      <c r="CJ75" s="1438">
        <f t="shared" ref="CJ75:CJ138" ca="1" si="55">AM75-CH75</f>
        <v>4.6644999999876591</v>
      </c>
      <c r="CK75" s="1438">
        <f t="shared" ref="CK75:CK138" ca="1" si="56">AN75-CI75</f>
        <v>1.5455999999997925</v>
      </c>
      <c r="CL75" s="1438">
        <f t="shared" ref="CL75:CL138" ca="1" si="57">CB75+CI75</f>
        <v>2.5843999999998619</v>
      </c>
      <c r="CM75" s="1438">
        <f t="shared" ref="CM75:CM138" ca="1" si="58">(BB75*0.5)</f>
        <v>1.4160000000029922</v>
      </c>
      <c r="CN75" s="1438">
        <f ca="1">IF(B75&gt;=$J$5,0,CONTADORES!CB71-CONTADORES!CB70)</f>
        <v>4.819999999999709</v>
      </c>
      <c r="CO75" s="1438">
        <f t="shared" ref="CO75:CO138" ca="1" si="59">BB75-CM75</f>
        <v>1.4160000000029922</v>
      </c>
      <c r="CP75" s="1438">
        <f t="shared" ref="CP75:CP138" ca="1" si="60">BC75*0.5</f>
        <v>0.80999999999997274</v>
      </c>
      <c r="CQ75" s="1438">
        <f t="shared" ref="CQ75:CQ138" ca="1" si="61">BC75-CP75</f>
        <v>0.80999999999997274</v>
      </c>
      <c r="CR75" s="1438">
        <f t="shared" ref="CR75:CR138" ca="1" si="62">CC75+CP75</f>
        <v>1.7499999999999727</v>
      </c>
      <c r="CS75" s="1443">
        <f ca="1">IF($B75&gt;=$J$5,0,CONTADORES!$BI72)</f>
        <v>9659.1074938012207</v>
      </c>
      <c r="CT75" s="1334">
        <f>CONTADORES!E71</f>
        <v>0</v>
      </c>
      <c r="CU75" s="1334">
        <f>CONTADORES!CG71</f>
        <v>0</v>
      </c>
    </row>
    <row r="76" spans="2:99">
      <c r="B76" s="390">
        <v>44992</v>
      </c>
      <c r="C76" s="198">
        <f t="shared" ca="1" si="35"/>
        <v>299</v>
      </c>
      <c r="D76" s="196">
        <f ca="1">'CALCULO DE GAS'!D78</f>
        <v>4.9145649538653373</v>
      </c>
      <c r="E76" s="196">
        <f ca="1">IF(B76&gt;=$J$5,0,(CONTADORES!$AD72-CONTADORES!$AD71)-$H76)</f>
        <v>24</v>
      </c>
      <c r="F76" s="198">
        <f t="shared" ca="1" si="34"/>
        <v>0</v>
      </c>
      <c r="G76" s="196">
        <f ca="1">IF(B76&gt;=$J$5,0,CONTADORES!$AF72-CONTADORES!$AF71)</f>
        <v>0</v>
      </c>
      <c r="H76" s="1396">
        <f ca="1">IF(G76&gt;0,CONTADORES!$AE72-CONTADORES!$AE71,0)</f>
        <v>0</v>
      </c>
      <c r="I76" s="199">
        <f ca="1">IF(B76&gt;=$J$5,0,CONTADORES!$AB72-CONTADORES!$AB71)</f>
        <v>299</v>
      </c>
      <c r="J76" s="198">
        <f t="shared" ca="1" si="36"/>
        <v>152.60000000000218</v>
      </c>
      <c r="K76" s="196">
        <f ca="1">'CALCULO DE GAS'!E78</f>
        <v>3.7207295423940328</v>
      </c>
      <c r="L76" s="1396">
        <f ca="1">IF(B76&gt;=$J$5,0,(CONTADORES!$Y72-CONTADORES!$Y71)-$O76)</f>
        <v>24</v>
      </c>
      <c r="M76" s="1396">
        <f t="shared" ca="1" si="33"/>
        <v>0</v>
      </c>
      <c r="N76" s="1396">
        <f ca="1">IF(B76&gt;=$J$5,0,CONTADORES!$AA72-CONTADORES!$AA71)</f>
        <v>0</v>
      </c>
      <c r="O76" s="1396">
        <f ca="1">IF(N76&gt;0,CONTADORES!$Z72-CONTADORES!$Z71,0)</f>
        <v>0</v>
      </c>
      <c r="P76" s="202">
        <f ca="1">IF(B76&gt;=$J$5,0,CONTADORES!$W72-CONTADORES!$W71)</f>
        <v>152.60000000000218</v>
      </c>
      <c r="Q76" s="202">
        <f ca="1">IF(B76&gt;=$J$5,0,CONTADORES!$B72-CONTADORES!$B71)</f>
        <v>0</v>
      </c>
      <c r="R76" s="196">
        <f t="shared" ca="1" si="37"/>
        <v>0</v>
      </c>
      <c r="S76" s="11">
        <f ca="1">IF(B76&gt;=$J$5,0,CONTADORES!$D72-CONTADORES!$D71)</f>
        <v>1.0999999999994543</v>
      </c>
      <c r="T76" s="198">
        <f ca="1">IF(B76&gt;=$J$5,0,CONTADORES!$BB72-CONTADORES!$BB71)</f>
        <v>0</v>
      </c>
      <c r="U76" s="196">
        <f t="shared" ca="1" si="38"/>
        <v>0</v>
      </c>
      <c r="V76" s="199">
        <f ca="1">IF(B76&gt;=$J$5,0,CONTADORES!$BD72-CONTADORES!$BD71)</f>
        <v>1.999999999998181E-2</v>
      </c>
      <c r="W76" s="1397">
        <f t="shared" ca="1" si="39"/>
        <v>451.60000000000218</v>
      </c>
      <c r="X76" s="1397">
        <f t="shared" ca="1" si="40"/>
        <v>0</v>
      </c>
      <c r="Y76" s="1398">
        <f t="shared" ca="1" si="41"/>
        <v>451.60000000000218</v>
      </c>
      <c r="Z76" s="1398">
        <f t="shared" ca="1" si="42"/>
        <v>8.6352944962593696</v>
      </c>
      <c r="AA76" s="1398">
        <f t="shared" ca="1" si="43"/>
        <v>0</v>
      </c>
      <c r="AB76" s="1398">
        <f t="shared" ca="1" si="44"/>
        <v>48</v>
      </c>
      <c r="AC76" s="1397">
        <f t="shared" ca="1" si="45"/>
        <v>1.1199999999994361</v>
      </c>
      <c r="AD76" s="1397">
        <f ca="1">IF(B76&gt;=$J$5,0,CONTADORES!H72-CONTADORES!H71)</f>
        <v>165</v>
      </c>
      <c r="AE76" s="1397">
        <f ca="1">IF(B76&gt;=$J$5,0,CONTADORES!J72-CONTADORES!J71)</f>
        <v>24</v>
      </c>
      <c r="AF76" s="1397">
        <f ca="1">IF(B76&gt;=$J$5,0,CONTADORES!AU72-CONTADORES!AU71)</f>
        <v>145</v>
      </c>
      <c r="AG76" s="1397">
        <f ca="1">IF(B76&gt;=$J$5,0,CONTADORES!AW72-CONTADORES!AW71)</f>
        <v>24</v>
      </c>
      <c r="AH76" s="1397">
        <f ca="1">IF(B76&gt;=$J$5,0,(CONTADORES!AM72-CONTADORES!AM71)+(CONTADORES!M72-CONTADORES!M71))</f>
        <v>10.600000000000364</v>
      </c>
      <c r="AI76" s="1397">
        <f ca="1">IF(B76&gt;=$J$5,0,(CONTADORES!AK72-CONTADORES!AK71)+(CONTADORES!O72-CONTADORES!O71))</f>
        <v>39</v>
      </c>
      <c r="AJ76" s="1397">
        <f ca="1">IF(B76&gt;=$J$5,0,(CONTADORES!AI72-CONTADORES!AI71))</f>
        <v>9.8999999999941792</v>
      </c>
      <c r="AK76" s="1397">
        <f ca="1">IF(B76&gt;=$J$5,0,(CONTADORES!Q72-CONTADORES!Q71))</f>
        <v>16</v>
      </c>
      <c r="AL76" s="1397">
        <f t="shared" ca="1" si="46"/>
        <v>36.000000000005514</v>
      </c>
      <c r="AM76" s="1397">
        <f ca="1">IF(B76&gt;=$J$5,0,(((CONTADORES!F72-CONTADORES!F71)+(CONTADORES!AQ72-CONTADORES!AQ71))))-BS76-AF76-AN76-BV76-BY76-CD76-CB76</f>
        <v>8.8180000000030923</v>
      </c>
      <c r="AN76" s="1397">
        <f ca="1">IF(B76&gt;=$J$5,0,(CONTADORES!AX72-CONTADORES!AX71)+(CONTADORES!AZ72-CONTADORES!AZ71)+(CONTADORES!BE72-CONTADORES!BE71))-CB76</f>
        <v>2.5049999999998178</v>
      </c>
      <c r="AO76" s="1437">
        <f ca="1">IF(B76&gt;=$J$5,0,(CONTADORES!AC72-CONTADORES!AC71))</f>
        <v>152</v>
      </c>
      <c r="AP76" s="1437">
        <f ca="1">IF(B76&gt;=$J$5,0,(CONTADORES!X72-CONTADORES!X71))</f>
        <v>78.600000000000364</v>
      </c>
      <c r="AQ76" s="1404">
        <f ca="1">IF(B76&gt;=$J$5,0,(CONTADORES!C72-CONTADORES!C71))</f>
        <v>0</v>
      </c>
      <c r="AR76" s="1399">
        <f ca="1">IF(B76&gt;=$J$5,0,(CONTADORES!BC72-CONTADORES!BC71))</f>
        <v>0</v>
      </c>
      <c r="AS76" s="1397">
        <f ca="1">IF(B76&gt;=$J$5,0,CONTADORES!S72-CONTADORES!S71)</f>
        <v>18</v>
      </c>
      <c r="AT76" s="1397">
        <f ca="1">IF(B76&gt;=$J$5,0,(CONTADORES!U72-CONTADORES!U71)+(CONTADORES!AG72-CONTADORES!AG71))</f>
        <v>2.1999999999970896</v>
      </c>
      <c r="AU76" s="1409">
        <f>CONTADORES!I72-CONTADORES!I71</f>
        <v>85</v>
      </c>
      <c r="AV76" s="1438">
        <f>CONTADORES!AV72-CONTADORES!AV71</f>
        <v>63</v>
      </c>
      <c r="AW76" s="1438">
        <f ca="1">IF(B76&gt;=$J$5,0,(CONTADORES!N72-CONTADORES!N71)+(CONTADORES!AN72-CONTADORES!AN71))</f>
        <v>3.8000000000001819</v>
      </c>
      <c r="AX76" s="1438">
        <f ca="1">IF(B76&gt;=$J$5,0,(CONTADORES!P72-CONTADORES!P71)+(CONTADORES!AL72-CONTADORES!AL71))</f>
        <v>31.900000000001455</v>
      </c>
      <c r="AY76" s="1438">
        <f ca="1">IF(B76&gt;=$J$5,0,(CONTADORES!AJ72-CONTADORES!AJ71))</f>
        <v>7.5999999999985448</v>
      </c>
      <c r="AZ76" s="1438">
        <f ca="1">IF(B76&gt;=$J$5,0,(CONTADORES!R72-CONTADORES!R71))</f>
        <v>13</v>
      </c>
      <c r="BA76" s="1397">
        <f t="shared" ca="1" si="47"/>
        <v>13.973000000000013</v>
      </c>
      <c r="BB76" s="1397">
        <f ca="1">IF(B76&gt;=$J$5,0,(((CONTADORES!G72-CONTADORES!G71)+(CONTADORES!AR72-CONTADORES!AR71))))-AV76-BC76-BT76-BW76-BZ76-CE76</f>
        <v>4.4689999999998857</v>
      </c>
      <c r="BC76" s="1397">
        <f ca="1">IF(B76&gt;=$J$5,0,(CONTADORES!AY72-CONTADORES!AY71)+(CONTADORES!BA72-CONTADORES!BA71)+(CONTADORES!BF72-CONTADORES!BF71))-CC76</f>
        <v>1.4730000000001138</v>
      </c>
      <c r="BD76" s="1397">
        <f t="shared" ca="1" si="48"/>
        <v>230.60000000000036</v>
      </c>
      <c r="BE76" s="1409">
        <f ca="1">IF($B76&gt;=$J$5,0,CONTADORES!$BG72)</f>
        <v>7215.58</v>
      </c>
      <c r="BF76" s="1438">
        <f ca="1">IF($B76&gt;=$J$5,0,CONTADORES!$BH72)</f>
        <v>35980.6456140351</v>
      </c>
      <c r="BG76" s="1397">
        <f ca="1">IF($B76&gt;=$J$5,0,CONTADORES!$BJ72)</f>
        <v>6050.85</v>
      </c>
      <c r="BH76" s="1409">
        <f ca="1">IF(B76&gt;=$J$5,0,((CONTADORES!BK72-CONTADORES!BK71)/1000))</f>
        <v>1.377</v>
      </c>
      <c r="BI76" s="1409">
        <f ca="1">IF(C76&gt;=$J$5,0,((CONTADORES!BL72-CONTADORES!BL71)/1000))</f>
        <v>1.41</v>
      </c>
      <c r="BJ76" s="1399">
        <f ca="1">IF(C76&gt;=$J$5,0,((CONTADORES!BM72-CONTADORES!BM71)/1000))</f>
        <v>0</v>
      </c>
      <c r="BK76" s="1399">
        <f ca="1">IF(D76&gt;=$J$5,0,((CONTADORES!BN72-CONTADORES!BN71)/1000))</f>
        <v>0</v>
      </c>
      <c r="BL76" s="1399">
        <f t="shared" ca="1" si="49"/>
        <v>1.377</v>
      </c>
      <c r="BM76" s="1399">
        <f t="shared" ca="1" si="50"/>
        <v>1.41</v>
      </c>
      <c r="BN76" s="1409">
        <f ca="1">IF(W76&gt;=$J$5,0,CONTADORES!$BO72)</f>
        <v>132</v>
      </c>
      <c r="BO76" s="1438">
        <f ca="1">IF(W76&gt;=$J$5,0,CONTADORES!$BP72)</f>
        <v>46.011000000000003</v>
      </c>
      <c r="BP76" s="1397">
        <f ca="1">IF(W76&gt;=$J$5,0,CONTADORES!$BQ72)</f>
        <v>666</v>
      </c>
      <c r="BQ76" s="1397">
        <f ca="1">IF(B76&gt;=$J$5,0,(CONTADORES!AS72-CONTADORES!AS71))</f>
        <v>5</v>
      </c>
      <c r="BR76" s="1397">
        <f ca="1">IF(B76&gt;=$J$5,0,(CONTADORES!AT72-CONTADORES!AT71))</f>
        <v>0</v>
      </c>
      <c r="BS76" s="1409">
        <f ca="1">IF(B76&gt;=$J$5,0,CONTADORES!BR72-CONTADORES!BR71)/1000</f>
        <v>0</v>
      </c>
      <c r="BT76" s="1438">
        <f ca="1">IF(B76&gt;=$J$5,0,CONTADORES!BS72-CONTADORES!BS71)</f>
        <v>0</v>
      </c>
      <c r="BU76" s="1438">
        <f ca="1">IF(B76&gt;=$J$5,0,CONTADORES!BT72-CONTADORES!BT71)</f>
        <v>0</v>
      </c>
      <c r="BV76" s="1438">
        <f ca="1">IF(B76&gt;=$J$5,0,CONTADORES!BU72-CONTADORES!BU71)/1000</f>
        <v>2.4620000000000002</v>
      </c>
      <c r="BW76" s="1438">
        <f ca="1">IF(B76&gt;=$J$5,0,CONTADORES!BV72-CONTADORES!BV71)/1000</f>
        <v>0</v>
      </c>
      <c r="BX76" s="1438">
        <f ca="1">IF(B76&gt;=$J$5,0,CONTADORES!BW72-CONTADORES!BW71)</f>
        <v>24</v>
      </c>
      <c r="BY76" s="1438">
        <f ca="1">IF(B76&gt;=$J$5,0,CONTADORES!BX72-CONTADORES!BX71)/1000</f>
        <v>6.32</v>
      </c>
      <c r="BZ76" s="1438">
        <f ca="1">IF(B76&gt;=$J$5,0,CONTADORES!BY72-CONTADORES!BY71)/1000</f>
        <v>5.8000000000000003E-2</v>
      </c>
      <c r="CA76" s="1438">
        <f ca="1">IF(B76&gt;=$J$5,0,CONTADORES!BZ72-CONTADORES!BZ71)</f>
        <v>24</v>
      </c>
      <c r="CB76" s="1409">
        <f ca="1">IF(B76&gt;=$J$5,0,(CONTADORES!CC72-CONTADORES!CC71)+(CONTADORES!CE72-CONTADORES!CE71))/1000</f>
        <v>1.6950000000000001</v>
      </c>
      <c r="CC76" s="1438">
        <f ca="1">IF(B76&gt;=$J$5,0,(CONTADORES!CD72-CONTADORES!CD71)+(CONTADORES!CF72-CONTADORES!CF71))/1000</f>
        <v>1.0269999999999999</v>
      </c>
      <c r="CD76" s="1409">
        <f ca="1">IF(B76&gt;=$J$5,0,CONTADORES!CA72-CONTADORES!CA71)</f>
        <v>8.2999999999992724</v>
      </c>
      <c r="CE76" s="1438">
        <f ca="1">IF(B76&gt;=$J$5,0,CONTADORES!CB72-CONTADORES!CB71)</f>
        <v>5.3000000000001819</v>
      </c>
      <c r="CF76" s="1438">
        <f t="shared" ca="1" si="51"/>
        <v>12.709000000000819</v>
      </c>
      <c r="CG76" s="1438">
        <f t="shared" ca="1" si="52"/>
        <v>7.5345000000001248</v>
      </c>
      <c r="CH76" s="1438">
        <f t="shared" ca="1" si="53"/>
        <v>4.4090000000015461</v>
      </c>
      <c r="CI76" s="1438">
        <f t="shared" ca="1" si="54"/>
        <v>1.0019999999999272</v>
      </c>
      <c r="CJ76" s="1438">
        <f t="shared" ca="1" si="55"/>
        <v>4.4090000000015461</v>
      </c>
      <c r="CK76" s="1438">
        <f t="shared" ca="1" si="56"/>
        <v>1.5029999999998906</v>
      </c>
      <c r="CL76" s="1438">
        <f t="shared" ca="1" si="57"/>
        <v>2.6969999999999272</v>
      </c>
      <c r="CM76" s="1438">
        <f t="shared" ca="1" si="58"/>
        <v>2.2344999999999429</v>
      </c>
      <c r="CN76" s="1438">
        <f ca="1">IF(B76&gt;=$J$5,0,CONTADORES!CB72-CONTADORES!CB71)</f>
        <v>5.3000000000001819</v>
      </c>
      <c r="CO76" s="1438">
        <f t="shared" ca="1" si="59"/>
        <v>2.2344999999999429</v>
      </c>
      <c r="CP76" s="1438">
        <f t="shared" ca="1" si="60"/>
        <v>0.73650000000005689</v>
      </c>
      <c r="CQ76" s="1438">
        <f t="shared" ca="1" si="61"/>
        <v>0.73650000000005689</v>
      </c>
      <c r="CR76" s="1438">
        <f t="shared" ca="1" si="62"/>
        <v>1.7635000000000569</v>
      </c>
      <c r="CS76" s="1443">
        <f ca="1">IF($B76&gt;=$J$5,0,CONTADORES!$BI73)</f>
        <v>10381.87177685572</v>
      </c>
      <c r="CT76" s="1334">
        <f>CONTADORES!E72</f>
        <v>0</v>
      </c>
      <c r="CU76" s="1334">
        <f>CONTADORES!CG72</f>
        <v>0</v>
      </c>
    </row>
    <row r="77" spans="2:99">
      <c r="B77" s="390">
        <v>44993</v>
      </c>
      <c r="C77" s="198">
        <f t="shared" ca="1" si="35"/>
        <v>293</v>
      </c>
      <c r="D77" s="196">
        <f ca="1">'CALCULO DE GAS'!D79</f>
        <v>4.8656372730673318</v>
      </c>
      <c r="E77" s="196">
        <f ca="1">IF(B77&gt;=$J$5,0,(CONTADORES!$AD73-CONTADORES!$AD72)-$H77)</f>
        <v>24</v>
      </c>
      <c r="F77" s="198">
        <f t="shared" ca="1" si="34"/>
        <v>0</v>
      </c>
      <c r="G77" s="196">
        <f ca="1">IF(B77&gt;=$J$5,0,CONTADORES!$AF73-CONTADORES!$AF72)</f>
        <v>0</v>
      </c>
      <c r="H77" s="1396">
        <f ca="1">IF(G77&gt;0,CONTADORES!$AE73-CONTADORES!$AE72,0)</f>
        <v>0</v>
      </c>
      <c r="I77" s="199">
        <f ca="1">IF(B77&gt;=$J$5,0,CONTADORES!$AB73-CONTADORES!$AB72)</f>
        <v>293</v>
      </c>
      <c r="J77" s="198">
        <f t="shared" ca="1" si="36"/>
        <v>151.89999999999782</v>
      </c>
      <c r="K77" s="196">
        <f ca="1">'CALCULO DE GAS'!E79</f>
        <v>3.7150213129675631</v>
      </c>
      <c r="L77" s="1396">
        <f ca="1">IF(B77&gt;=$J$5,0,(CONTADORES!$Y73-CONTADORES!$Y72)-$O77)</f>
        <v>24</v>
      </c>
      <c r="M77" s="1396">
        <f t="shared" ca="1" si="33"/>
        <v>0</v>
      </c>
      <c r="N77" s="1396">
        <f ca="1">IF(B77&gt;=$J$5,0,CONTADORES!$AA73-CONTADORES!$AA72)</f>
        <v>0</v>
      </c>
      <c r="O77" s="1396">
        <f ca="1">IF(N77&gt;0,CONTADORES!$Z73-CONTADORES!$Z72,0)</f>
        <v>0</v>
      </c>
      <c r="P77" s="202">
        <f ca="1">IF(B77&gt;=$J$5,0,CONTADORES!$W73-CONTADORES!$W72)</f>
        <v>151.89999999999782</v>
      </c>
      <c r="Q77" s="1415">
        <f ca="1">IF(B77&gt;=$J$5,0,CONTADORES!$B73-CONTADORES!$B72)</f>
        <v>0</v>
      </c>
      <c r="R77" s="196">
        <f t="shared" ca="1" si="37"/>
        <v>0</v>
      </c>
      <c r="S77" s="11">
        <f ca="1">IF(B77&gt;=$J$5,0,CONTADORES!$D73-CONTADORES!$D72)</f>
        <v>0</v>
      </c>
      <c r="T77" s="198">
        <f ca="1">IF(B77&gt;=$J$5,0,CONTADORES!$BB73-CONTADORES!$BB72)</f>
        <v>0</v>
      </c>
      <c r="U77" s="196">
        <f t="shared" ca="1" si="38"/>
        <v>0</v>
      </c>
      <c r="V77" s="199">
        <f ca="1">IF(B77&gt;=$J$5,0,CONTADORES!$BD73-CONTADORES!$BD72)</f>
        <v>0</v>
      </c>
      <c r="W77" s="1397">
        <f t="shared" ca="1" si="39"/>
        <v>444.89999999999782</v>
      </c>
      <c r="X77" s="1397">
        <f t="shared" ca="1" si="40"/>
        <v>0</v>
      </c>
      <c r="Y77" s="1398">
        <f t="shared" ca="1" si="41"/>
        <v>444.89999999999782</v>
      </c>
      <c r="Z77" s="1398">
        <f t="shared" ca="1" si="42"/>
        <v>8.580658586034895</v>
      </c>
      <c r="AA77" s="1398">
        <f t="shared" ca="1" si="43"/>
        <v>0</v>
      </c>
      <c r="AB77" s="1398">
        <f t="shared" ca="1" si="44"/>
        <v>48</v>
      </c>
      <c r="AC77" s="1397">
        <f t="shared" ca="1" si="45"/>
        <v>0</v>
      </c>
      <c r="AD77" s="1397">
        <f ca="1">IF(B77&gt;=$J$5,0,CONTADORES!H73-CONTADORES!H72)</f>
        <v>152</v>
      </c>
      <c r="AE77" s="1397">
        <f ca="1">IF(B77&gt;=$J$5,0,CONTADORES!J73-CONTADORES!J72)</f>
        <v>24</v>
      </c>
      <c r="AF77" s="1397">
        <f ca="1">IF(B77&gt;=$J$5,0,CONTADORES!AU73-CONTADORES!AU72)</f>
        <v>147</v>
      </c>
      <c r="AG77" s="1402">
        <f ca="1">IF(B77&gt;=$J$5,0,CONTADORES!AW73-CONTADORES!AW72)</f>
        <v>24</v>
      </c>
      <c r="AH77" s="1397">
        <f ca="1">IF(B77&gt;=$J$5,0,(CONTADORES!AM73-CONTADORES!AM72)+(CONTADORES!M73-CONTADORES!M72))</f>
        <v>11.599999999994907</v>
      </c>
      <c r="AI77" s="1397">
        <f ca="1">IF(B77&gt;=$J$5,0,(CONTADORES!AK73-CONTADORES!AK72)+(CONTADORES!O73-CONTADORES!O72))</f>
        <v>38.599999999998545</v>
      </c>
      <c r="AJ77" s="1397">
        <f ca="1">IF(B77&gt;=$J$5,0,(CONTADORES!AI73-CONTADORES!AI72))</f>
        <v>9.5</v>
      </c>
      <c r="AK77" s="1397">
        <f ca="1">IF(B77&gt;=$J$5,0,(CONTADORES!Q73-CONTADORES!Q72))</f>
        <v>17</v>
      </c>
      <c r="AL77" s="1397">
        <f t="shared" ca="1" si="46"/>
        <v>38.200000000004366</v>
      </c>
      <c r="AM77" s="1397">
        <f ca="1">IF(B77&gt;=$J$5,0,(((CONTADORES!F73-CONTADORES!F72)+(CONTADORES!AQ73-CONTADORES!AQ72))))-BS77-AF77-AN77-BV77-BY77-CD77-CB77</f>
        <v>9.2600000000000993</v>
      </c>
      <c r="AN77" s="1397">
        <f ca="1">IF(B77&gt;=$J$5,0,(CONTADORES!AX73-CONTADORES!AX72)+(CONTADORES!AZ73-CONTADORES!AZ72)+(CONTADORES!BE73-CONTADORES!BE72))-CB77</f>
        <v>3.1760000000006254</v>
      </c>
      <c r="AO77" s="1437">
        <f ca="1">IF(B77&gt;=$J$5,0,(CONTADORES!AC73-CONTADORES!AC72))</f>
        <v>150</v>
      </c>
      <c r="AP77" s="1437">
        <f ca="1">IF(B77&gt;=$J$5,0,(CONTADORES!X73-CONTADORES!X72))</f>
        <v>77.799999999999272</v>
      </c>
      <c r="AQ77" s="1404">
        <f ca="1">IF(B77&gt;=$J$5,0,(CONTADORES!C73-CONTADORES!C72))</f>
        <v>0</v>
      </c>
      <c r="AR77" s="1399">
        <f ca="1">IF(B77&gt;=$J$5,0,(CONTADORES!BC73-CONTADORES!BC72))</f>
        <v>0</v>
      </c>
      <c r="AS77" s="1397">
        <f ca="1">IF(B77&gt;=$J$5,0,CONTADORES!S73-CONTADORES!S72)</f>
        <v>17</v>
      </c>
      <c r="AT77" s="1397">
        <f ca="1">IF(B77&gt;=$J$5,0,(CONTADORES!U73-CONTADORES!U72)+(CONTADORES!AG73-CONTADORES!AG72))</f>
        <v>2.2000000000043656</v>
      </c>
      <c r="AU77" s="1409">
        <f>CONTADORES!I73-CONTADORES!I72</f>
        <v>82</v>
      </c>
      <c r="AV77" s="1438">
        <f>CONTADORES!AV73-CONTADORES!AV72</f>
        <v>64</v>
      </c>
      <c r="AW77" s="1438">
        <f ca="1">IF(B77&gt;=$J$5,0,(CONTADORES!N73-CONTADORES!N72)+(CONTADORES!AN73-CONTADORES!AN72))</f>
        <v>4.3999999999978172</v>
      </c>
      <c r="AX77" s="1438">
        <f ca="1">IF(B77&gt;=$J$5,0,(CONTADORES!P73-CONTADORES!P72)+(CONTADORES!AL73-CONTADORES!AL72))</f>
        <v>31.200000000004366</v>
      </c>
      <c r="AY77" s="1438">
        <f ca="1">IF(B77&gt;=$J$5,0,(CONTADORES!AJ73-CONTADORES!AJ72))</f>
        <v>7.4000000000014552</v>
      </c>
      <c r="AZ77" s="1438">
        <f ca="1">IF(B77&gt;=$J$5,0,(CONTADORES!R73-CONTADORES!R72))</f>
        <v>14</v>
      </c>
      <c r="BA77" s="1397">
        <f t="shared" ca="1" si="47"/>
        <v>13.446999999995114</v>
      </c>
      <c r="BB77" s="1397">
        <f ca="1">IF(B77&gt;=$J$5,0,(((CONTADORES!G73-CONTADORES!G72)+(CONTADORES!AR73-CONTADORES!AR72))))-AV77-BC77-BT77-BW77-BZ77-CE77</f>
        <v>2.5760000000006595</v>
      </c>
      <c r="BC77" s="1397">
        <f ca="1">IF(B77&gt;=$J$5,0,(CONTADORES!AY73-CONTADORES!AY72)+(CONTADORES!BA73-CONTADORES!BA72)+(CONTADORES!BF73-CONTADORES!BF72))-CC77</f>
        <v>1.7969999999998865</v>
      </c>
      <c r="BD77" s="1397">
        <f t="shared" ca="1" si="48"/>
        <v>227.79999999999927</v>
      </c>
      <c r="BE77" s="1409">
        <f ca="1">IF($B77&gt;=$J$5,0,CONTADORES!$BG73)</f>
        <v>6719.68</v>
      </c>
      <c r="BF77" s="1438">
        <f ca="1">IF($B77&gt;=$J$5,0,CONTADORES!$BH73)</f>
        <v>35630.49649122807</v>
      </c>
      <c r="BG77" s="1397">
        <f ca="1">IF($B77&gt;=$J$5,0,CONTADORES!$BJ73)</f>
        <v>5027.6099999999997</v>
      </c>
      <c r="BH77" s="1409">
        <f ca="1">IF(B77&gt;=$J$5,0,((CONTADORES!BK73-CONTADORES!BK72)/1000))</f>
        <v>1.464</v>
      </c>
      <c r="BI77" s="1409">
        <f ca="1">IF(C77&gt;=$J$5,0,((CONTADORES!BL73-CONTADORES!BL72)/1000))</f>
        <v>1.4970000000000001</v>
      </c>
      <c r="BJ77" s="1399">
        <f ca="1">IF(C77&gt;=$J$5,0,((CONTADORES!BM73-CONTADORES!BM72)/1000))</f>
        <v>0</v>
      </c>
      <c r="BK77" s="1399">
        <f ca="1">IF(D77&gt;=$J$5,0,((CONTADORES!BN73-CONTADORES!BN72)/1000))</f>
        <v>0</v>
      </c>
      <c r="BL77" s="1399">
        <f t="shared" ca="1" si="49"/>
        <v>1.464</v>
      </c>
      <c r="BM77" s="1399">
        <f t="shared" ca="1" si="50"/>
        <v>1.4970000000000001</v>
      </c>
      <c r="BN77" s="1409">
        <f ca="1">IF(W77&gt;=$J$5,0,CONTADORES!$BO73)</f>
        <v>132.870928961564</v>
      </c>
      <c r="BO77" s="1438">
        <f ca="1">IF(W77&gt;=$J$5,0,CONTADORES!$BP73)</f>
        <v>46.212859609836734</v>
      </c>
      <c r="BP77" s="1397">
        <f ca="1">IF(W77&gt;=$J$5,0,CONTADORES!$BQ73)</f>
        <v>664.99440185140645</v>
      </c>
      <c r="BQ77" s="1397">
        <f ca="1">IF(B77&gt;=$J$5,0,(CONTADORES!AS73-CONTADORES!AS72))</f>
        <v>5.0999999999985448</v>
      </c>
      <c r="BR77" s="1397">
        <f ca="1">IF(B77&gt;=$J$5,0,(CONTADORES!AT73-CONTADORES!AT72))</f>
        <v>0</v>
      </c>
      <c r="BS77" s="1409">
        <f ca="1">IF(B77&gt;=$J$5,0,CONTADORES!BR73-CONTADORES!BR72)/1000</f>
        <v>0</v>
      </c>
      <c r="BT77" s="1438">
        <f ca="1">IF(B77&gt;=$J$5,0,CONTADORES!BS73-CONTADORES!BS72)</f>
        <v>0</v>
      </c>
      <c r="BU77" s="1438">
        <f ca="1">IF(B77&gt;=$J$5,0,CONTADORES!BT73-CONTADORES!BT72)</f>
        <v>0</v>
      </c>
      <c r="BV77" s="1438">
        <f ca="1">IF(B77&gt;=$J$5,0,CONTADORES!BU73-CONTADORES!BU72)/1000</f>
        <v>2.4249999999999998</v>
      </c>
      <c r="BW77" s="1438">
        <f ca="1">IF(B77&gt;=$J$5,0,CONTADORES!BV73-CONTADORES!BV72)/1000</f>
        <v>0</v>
      </c>
      <c r="BX77" s="1438">
        <f ca="1">IF(B77&gt;=$J$5,0,CONTADORES!BW73-CONTADORES!BW72)</f>
        <v>23.900000000001455</v>
      </c>
      <c r="BY77" s="1438">
        <f ca="1">IF(B77&gt;=$J$5,0,CONTADORES!BX73-CONTADORES!BX72)/1000</f>
        <v>6.2649999999999997</v>
      </c>
      <c r="BZ77" s="1438">
        <f ca="1">IF(B77&gt;=$J$5,0,CONTADORES!BY73-CONTADORES!BY72)/1000</f>
        <v>2.7E-2</v>
      </c>
      <c r="CA77" s="1438">
        <f ca="1">IF(B77&gt;=$J$5,0,CONTADORES!BZ73-CONTADORES!BZ72)</f>
        <v>24</v>
      </c>
      <c r="CB77" s="1409">
        <f ca="1">IF(B77&gt;=$J$5,0,(CONTADORES!CC73-CONTADORES!CC72)+(CONTADORES!CE73-CONTADORES!CE72))/1000</f>
        <v>1.5740000000000001</v>
      </c>
      <c r="CC77" s="1438">
        <f ca="1">IF(B77&gt;=$J$5,0,(CONTADORES!CD73-CONTADORES!CD72)+(CONTADORES!CF73-CONTADORES!CF72))/1000</f>
        <v>0.95299999999999996</v>
      </c>
      <c r="CD77" s="1409">
        <f ca="1">IF(B77&gt;=$J$5,0,CONTADORES!CA73-CONTADORES!CA72)</f>
        <v>8.2999999999992724</v>
      </c>
      <c r="CE77" s="1438">
        <f ca="1">IF(B77&gt;=$J$5,0,CONTADORES!CB73-CONTADORES!CB72)</f>
        <v>6</v>
      </c>
      <c r="CF77" s="1438">
        <f t="shared" ca="1" si="51"/>
        <v>12.929999999999321</v>
      </c>
      <c r="CG77" s="1438">
        <f t="shared" ca="1" si="52"/>
        <v>7.2880000000003298</v>
      </c>
      <c r="CH77" s="1438">
        <f t="shared" ca="1" si="53"/>
        <v>4.6300000000000496</v>
      </c>
      <c r="CI77" s="1438">
        <f t="shared" ca="1" si="54"/>
        <v>1.2704000000002502</v>
      </c>
      <c r="CJ77" s="1438">
        <f t="shared" ca="1" si="55"/>
        <v>4.6300000000000496</v>
      </c>
      <c r="CK77" s="1438">
        <f t="shared" ca="1" si="56"/>
        <v>1.9056000000003752</v>
      </c>
      <c r="CL77" s="1438">
        <f t="shared" ca="1" si="57"/>
        <v>2.8444000000002503</v>
      </c>
      <c r="CM77" s="1438">
        <f t="shared" ca="1" si="58"/>
        <v>1.2880000000003298</v>
      </c>
      <c r="CN77" s="1438">
        <f ca="1">IF(B77&gt;=$J$5,0,CONTADORES!CB73-CONTADORES!CB72)</f>
        <v>6</v>
      </c>
      <c r="CO77" s="1438">
        <f t="shared" ca="1" si="59"/>
        <v>1.2880000000003298</v>
      </c>
      <c r="CP77" s="1438">
        <f t="shared" ca="1" si="60"/>
        <v>0.89849999999994323</v>
      </c>
      <c r="CQ77" s="1438">
        <f t="shared" ca="1" si="61"/>
        <v>0.89849999999994323</v>
      </c>
      <c r="CR77" s="1438">
        <f t="shared" ca="1" si="62"/>
        <v>1.8514999999999433</v>
      </c>
      <c r="CS77" s="1443">
        <f ca="1">IF($B77&gt;=$J$5,0,CONTADORES!$BI74)</f>
        <v>10640.417091493709</v>
      </c>
      <c r="CT77" s="1334">
        <f>CONTADORES!E73</f>
        <v>0</v>
      </c>
      <c r="CU77" s="1334">
        <f>CONTADORES!CG73</f>
        <v>0</v>
      </c>
    </row>
    <row r="78" spans="2:99">
      <c r="B78" s="390">
        <v>44994</v>
      </c>
      <c r="C78" s="198">
        <f t="shared" ca="1" si="35"/>
        <v>288</v>
      </c>
      <c r="D78" s="196">
        <f ca="1">'CALCULO DE GAS'!D80</f>
        <v>4.8248642057356612</v>
      </c>
      <c r="E78" s="196">
        <f ca="1">IF(B78&gt;=$J$5,0,(CONTADORES!$AD74-CONTADORES!$AD73)-$H78)</f>
        <v>24</v>
      </c>
      <c r="F78" s="198">
        <f t="shared" ca="1" si="34"/>
        <v>0</v>
      </c>
      <c r="G78" s="196">
        <f ca="1">IF(B78&gt;=$J$5,0,CONTADORES!$AF74-CONTADORES!$AF73)</f>
        <v>0</v>
      </c>
      <c r="H78" s="1396">
        <f ca="1">IF(G78&gt;0,CONTADORES!$AE74-CONTADORES!$AE73,0)</f>
        <v>0</v>
      </c>
      <c r="I78" s="199">
        <f ca="1">IF(B78&gt;=$J$5,0,CONTADORES!$AB74-CONTADORES!$AB73)</f>
        <v>288</v>
      </c>
      <c r="J78" s="198">
        <f t="shared" ca="1" si="36"/>
        <v>146.10000000000218</v>
      </c>
      <c r="K78" s="196">
        <f ca="1">'CALCULO DE GAS'!E80</f>
        <v>3.6677245548628603</v>
      </c>
      <c r="L78" s="1396">
        <f ca="1">IF(B78&gt;=$J$5,0,(CONTADORES!$Y74-CONTADORES!$Y73)-$O78)</f>
        <v>24</v>
      </c>
      <c r="M78" s="1396">
        <f t="shared" ca="1" si="33"/>
        <v>0</v>
      </c>
      <c r="N78" s="1396">
        <f ca="1">IF(B78&gt;=$J$5,0,CONTADORES!$AA74-CONTADORES!$AA73)</f>
        <v>0</v>
      </c>
      <c r="O78" s="1396">
        <f ca="1">IF(N78&gt;0,CONTADORES!$Z74-CONTADORES!$Z73,0)</f>
        <v>0</v>
      </c>
      <c r="P78" s="202">
        <f ca="1">IF(B78&gt;=$J$5,0,CONTADORES!$W74-CONTADORES!$W73)</f>
        <v>146.10000000000218</v>
      </c>
      <c r="Q78" s="202">
        <f ca="1">IF(B78&gt;=$J$5,0,CONTADORES!$B74-CONTADORES!$B73)</f>
        <v>0</v>
      </c>
      <c r="R78" s="196">
        <f t="shared" ca="1" si="37"/>
        <v>0</v>
      </c>
      <c r="S78" s="11">
        <f ca="1">IF(B78&gt;=$J$5,0,CONTADORES!$D74-CONTADORES!$D73)</f>
        <v>0</v>
      </c>
      <c r="T78" s="198">
        <f ca="1">IF(B78&gt;=$J$5,0,CONTADORES!$BB74-CONTADORES!$BB73)</f>
        <v>0</v>
      </c>
      <c r="U78" s="196">
        <f t="shared" ca="1" si="38"/>
        <v>0</v>
      </c>
      <c r="V78" s="199">
        <f ca="1">IF(B78&gt;=$J$5,0,CONTADORES!$BD74-CONTADORES!$BD73)</f>
        <v>0</v>
      </c>
      <c r="W78" s="1397">
        <f t="shared" ca="1" si="39"/>
        <v>434.10000000000218</v>
      </c>
      <c r="X78" s="1397">
        <f t="shared" ca="1" si="40"/>
        <v>0</v>
      </c>
      <c r="Y78" s="1398">
        <f t="shared" ca="1" si="41"/>
        <v>434.10000000000218</v>
      </c>
      <c r="Z78" s="1398">
        <f t="shared" ca="1" si="42"/>
        <v>8.4925887605985224</v>
      </c>
      <c r="AA78" s="1398">
        <f t="shared" ca="1" si="43"/>
        <v>0</v>
      </c>
      <c r="AB78" s="1398">
        <f t="shared" ca="1" si="44"/>
        <v>48</v>
      </c>
      <c r="AC78" s="1397">
        <f t="shared" ca="1" si="45"/>
        <v>0</v>
      </c>
      <c r="AD78" s="1397">
        <f ca="1">IF(B78&gt;=$J$5,0,CONTADORES!H74-CONTADORES!H73)</f>
        <v>164</v>
      </c>
      <c r="AE78" s="1397">
        <f ca="1">IF(B78&gt;=$J$5,0,CONTADORES!J74-CONTADORES!J73)</f>
        <v>24</v>
      </c>
      <c r="AF78" s="1397">
        <f ca="1">IF(B78&gt;=$J$5,0,CONTADORES!AU74-CONTADORES!AU73)</f>
        <v>137</v>
      </c>
      <c r="AG78" s="1397">
        <f ca="1">IF(B78&gt;=$J$5,0,CONTADORES!AW74-CONTADORES!AW73)</f>
        <v>23</v>
      </c>
      <c r="AH78" s="1397">
        <f ca="1">IF(B78&gt;=$J$5,0,(CONTADORES!AM74-CONTADORES!AM73)+(CONTADORES!M74-CONTADORES!M73))</f>
        <v>11.30000000000291</v>
      </c>
      <c r="AI78" s="1397">
        <f ca="1">IF(B78&gt;=$J$5,0,(CONTADORES!AK74-CONTADORES!AK73)+(CONTADORES!O74-CONTADORES!O73))</f>
        <v>40</v>
      </c>
      <c r="AJ78" s="1397">
        <f ca="1">IF(B78&gt;=$J$5,0,(CONTADORES!AI74-CONTADORES!AI73))</f>
        <v>7.4000000000087311</v>
      </c>
      <c r="AK78" s="1397">
        <f ca="1">IF(B78&gt;=$J$5,0,(CONTADORES!Q74-CONTADORES!Q73))</f>
        <v>15</v>
      </c>
      <c r="AL78" s="1397">
        <f t="shared" ca="1" si="46"/>
        <v>30.699999999993508</v>
      </c>
      <c r="AM78" s="1397">
        <f ca="1">IF(B78&gt;=$J$5,0,(((CONTADORES!F74-CONTADORES!F73)+(CONTADORES!AQ74-CONTADORES!AQ73))))-BS78-AF78-AN78-BV78-BY78-CD78-CB78</f>
        <v>8.0249999999970711</v>
      </c>
      <c r="AN78" s="1397">
        <f ca="1">IF(B78&gt;=$J$5,0,(CONTADORES!AX74-CONTADORES!AX73)+(CONTADORES!AZ74-CONTADORES!AZ73)+(CONTADORES!BE74-CONTADORES!BE73))-CB78</f>
        <v>2.7300000000000182</v>
      </c>
      <c r="AO78" s="1437">
        <f ca="1">IF(B78&gt;=$J$5,0,(CONTADORES!AC74-CONTADORES!AC73))</f>
        <v>142</v>
      </c>
      <c r="AP78" s="1437">
        <f ca="1">IF(B78&gt;=$J$5,0,(CONTADORES!X74-CONTADORES!X73))</f>
        <v>76.600000000000364</v>
      </c>
      <c r="AQ78" s="1404">
        <f ca="1">IF(B78&gt;=$J$5,0,(CONTADORES!C74-CONTADORES!C73))</f>
        <v>0</v>
      </c>
      <c r="AR78" s="1399">
        <f ca="1">IF(B78&gt;=$J$5,0,(CONTADORES!BC74-CONTADORES!BC73))</f>
        <v>0</v>
      </c>
      <c r="AS78" s="1397">
        <f ca="1">IF(B78&gt;=$J$5,0,CONTADORES!S74-CONTADORES!S73)</f>
        <v>17</v>
      </c>
      <c r="AT78" s="1397">
        <f ca="1">IF(B78&gt;=$J$5,0,(CONTADORES!U74-CONTADORES!U73)+(CONTADORES!AG74-CONTADORES!AG73))</f>
        <v>2</v>
      </c>
      <c r="AU78" s="1409">
        <f>CONTADORES!I74-CONTADORES!I73</f>
        <v>82</v>
      </c>
      <c r="AV78" s="1438">
        <f>CONTADORES!AV74-CONTADORES!AV73</f>
        <v>60</v>
      </c>
      <c r="AW78" s="1438">
        <f ca="1">IF(B78&gt;=$J$5,0,(CONTADORES!N74-CONTADORES!N73)+(CONTADORES!AN74-CONTADORES!AN73))</f>
        <v>4.4000000000014552</v>
      </c>
      <c r="AX78" s="1438">
        <f ca="1">IF(B78&gt;=$J$5,0,(CONTADORES!P74-CONTADORES!P73)+(CONTADORES!AL74-CONTADORES!AL73))</f>
        <v>31.799999999995634</v>
      </c>
      <c r="AY78" s="1438">
        <f ca="1">IF(B78&gt;=$J$5,0,(CONTADORES!AJ74-CONTADORES!AJ73))</f>
        <v>5.5999999999985448</v>
      </c>
      <c r="AZ78" s="1438">
        <f ca="1">IF(B78&gt;=$J$5,0,(CONTADORES!R74-CONTADORES!R73))</f>
        <v>12</v>
      </c>
      <c r="BA78" s="1397">
        <f t="shared" ca="1" si="47"/>
        <v>11.989000000005063</v>
      </c>
      <c r="BB78" s="1397">
        <f ca="1">IF(B78&gt;=$J$5,0,(((CONTADORES!G74-CONTADORES!G73)+(CONTADORES!AR74-CONTADORES!AR73))))-AV78-BC78-BT78-BW78-BZ78-CE78</f>
        <v>4.0669999999998172</v>
      </c>
      <c r="BC78" s="1397">
        <f ca="1">IF(B78&gt;=$J$5,0,(CONTADORES!AY74-CONTADORES!AY73)+(CONTADORES!BA74-CONTADORES!BA73)+(CONTADORES!BF74-CONTADORES!BF73))-CC78</f>
        <v>1.589</v>
      </c>
      <c r="BD78" s="1397">
        <f t="shared" ca="1" si="48"/>
        <v>218.60000000000036</v>
      </c>
      <c r="BE78" s="1409">
        <f ca="1">IF($B78&gt;=$J$5,0,CONTADORES!$BG74)</f>
        <v>6254.5099999999993</v>
      </c>
      <c r="BF78" s="1438">
        <f ca="1">IF($B78&gt;=$J$5,0,CONTADORES!$BH74)</f>
        <v>36014.970175438597</v>
      </c>
      <c r="BG78" s="1397">
        <f ca="1">IF($B78&gt;=$J$5,0,CONTADORES!$BJ74)</f>
        <v>4618.43</v>
      </c>
      <c r="BH78" s="1409">
        <f ca="1">IF(B78&gt;=$J$5,0,((CONTADORES!BK74-CONTADORES!BK73)/1000))</f>
        <v>1.3779999999999999</v>
      </c>
      <c r="BI78" s="1409">
        <f ca="1">IF(C78&gt;=$J$5,0,((CONTADORES!BL74-CONTADORES!BL73)/1000))</f>
        <v>1.417</v>
      </c>
      <c r="BJ78" s="1399">
        <f ca="1">IF(C78&gt;=$J$5,0,((CONTADORES!BM74-CONTADORES!BM73)/1000))</f>
        <v>0</v>
      </c>
      <c r="BK78" s="1399">
        <f ca="1">IF(D78&gt;=$J$5,0,((CONTADORES!BN74-CONTADORES!BN73)/1000))</f>
        <v>0</v>
      </c>
      <c r="BL78" s="1399">
        <f t="shared" ca="1" si="49"/>
        <v>1.3779999999999999</v>
      </c>
      <c r="BM78" s="1399">
        <f t="shared" ca="1" si="50"/>
        <v>1.417</v>
      </c>
      <c r="BN78" s="1409">
        <f ca="1">IF(W78&gt;=$J$5,0,CONTADORES!$BO74)</f>
        <v>132.49690805132599</v>
      </c>
      <c r="BO78" s="1438">
        <f ca="1">IF(W78&gt;=$J$5,0,CONTADORES!$BP74)</f>
        <v>45.716546543592798</v>
      </c>
      <c r="BP78" s="1397">
        <f ca="1">IF(W78&gt;=$J$5,0,CONTADORES!$BQ74)</f>
        <v>664.11307662783804</v>
      </c>
      <c r="BQ78" s="1397">
        <f ca="1">IF(B78&gt;=$J$5,0,(CONTADORES!AS74-CONTADORES!AS73))</f>
        <v>4.4000000000014552</v>
      </c>
      <c r="BR78" s="1397">
        <f ca="1">IF(B78&gt;=$J$5,0,(CONTADORES!AT74-CONTADORES!AT73))</f>
        <v>0</v>
      </c>
      <c r="BS78" s="1409">
        <f ca="1">IF(B78&gt;=$J$5,0,CONTADORES!BR74-CONTADORES!BR73)/1000</f>
        <v>0</v>
      </c>
      <c r="BT78" s="1438">
        <f ca="1">IF(B78&gt;=$J$5,0,CONTADORES!BS74-CONTADORES!BS73)</f>
        <v>0</v>
      </c>
      <c r="BU78" s="1438">
        <f ca="1">IF(B78&gt;=$J$5,0,CONTADORES!BT74-CONTADORES!BT73)</f>
        <v>0</v>
      </c>
      <c r="BV78" s="1438">
        <f ca="1">IF(B78&gt;=$J$5,0,CONTADORES!BU74-CONTADORES!BU73)/1000</f>
        <v>2.3769999999999998</v>
      </c>
      <c r="BW78" s="1438">
        <f ca="1">IF(B78&gt;=$J$5,0,CONTADORES!BV74-CONTADORES!BV73)/1000</f>
        <v>0</v>
      </c>
      <c r="BX78" s="1438">
        <f ca="1">IF(B78&gt;=$J$5,0,CONTADORES!BW74-CONTADORES!BW73)</f>
        <v>24</v>
      </c>
      <c r="BY78" s="1438">
        <f ca="1">IF(B78&gt;=$J$5,0,CONTADORES!BX74-CONTADORES!BX73)/1000</f>
        <v>6.0679999999999996</v>
      </c>
      <c r="BZ78" s="1438">
        <f ca="1">IF(B78&gt;=$J$5,0,CONTADORES!BY74-CONTADORES!BY73)/1000</f>
        <v>4.3999999999999997E-2</v>
      </c>
      <c r="CA78" s="1438">
        <f ca="1">IF(B78&gt;=$J$5,0,CONTADORES!BZ74-CONTADORES!BZ73)</f>
        <v>24</v>
      </c>
      <c r="CB78" s="1409">
        <f ca="1">IF(B78&gt;=$J$5,0,(CONTADORES!CC74-CONTADORES!CC73)+(CONTADORES!CE74-CONTADORES!CE73))/1000</f>
        <v>1.5</v>
      </c>
      <c r="CC78" s="1438">
        <f ca="1">IF(B78&gt;=$J$5,0,(CONTADORES!CD74-CONTADORES!CD73)+(CONTADORES!CF74-CONTADORES!CF73))/1000</f>
        <v>0.91100000000000003</v>
      </c>
      <c r="CD78" s="1409">
        <f ca="1">IF(B78&gt;=$J$5,0,CONTADORES!CA74-CONTADORES!CA73)</f>
        <v>8</v>
      </c>
      <c r="CE78" s="1438">
        <f ca="1">IF(B78&gt;=$J$5,0,CONTADORES!CB74-CONTADORES!CB73)</f>
        <v>4.1999999999998181</v>
      </c>
      <c r="CF78" s="1438">
        <f t="shared" ca="1" si="51"/>
        <v>12.012499999998536</v>
      </c>
      <c r="CG78" s="1438">
        <f t="shared" ca="1" si="52"/>
        <v>6.2334999999997267</v>
      </c>
      <c r="CH78" s="1438">
        <f t="shared" ca="1" si="53"/>
        <v>4.0124999999985356</v>
      </c>
      <c r="CI78" s="1438">
        <f t="shared" ca="1" si="54"/>
        <v>1.0920000000000074</v>
      </c>
      <c r="CJ78" s="1438">
        <f t="shared" ca="1" si="55"/>
        <v>4.0124999999985356</v>
      </c>
      <c r="CK78" s="1438">
        <f t="shared" ca="1" si="56"/>
        <v>1.6380000000000108</v>
      </c>
      <c r="CL78" s="1438">
        <f t="shared" ca="1" si="57"/>
        <v>2.5920000000000076</v>
      </c>
      <c r="CM78" s="1438">
        <f t="shared" ca="1" si="58"/>
        <v>2.0334999999999086</v>
      </c>
      <c r="CN78" s="1438">
        <f ca="1">IF(B78&gt;=$J$5,0,CONTADORES!CB74-CONTADORES!CB73)</f>
        <v>4.1999999999998181</v>
      </c>
      <c r="CO78" s="1438">
        <f t="shared" ca="1" si="59"/>
        <v>2.0334999999999086</v>
      </c>
      <c r="CP78" s="1438">
        <f t="shared" ca="1" si="60"/>
        <v>0.79449999999999998</v>
      </c>
      <c r="CQ78" s="1438">
        <f t="shared" ca="1" si="61"/>
        <v>0.79449999999999998</v>
      </c>
      <c r="CR78" s="1438">
        <f t="shared" ca="1" si="62"/>
        <v>1.7055</v>
      </c>
      <c r="CS78" s="1443">
        <f ca="1">IF($B78&gt;=$J$5,0,CONTADORES!$BI75)</f>
        <v>9669.4740936776907</v>
      </c>
      <c r="CT78" s="1334">
        <f>CONTADORES!E74</f>
        <v>0</v>
      </c>
      <c r="CU78" s="1334">
        <f>CONTADORES!CG74</f>
        <v>0</v>
      </c>
    </row>
    <row r="79" spans="2:99">
      <c r="B79" s="390">
        <v>44995</v>
      </c>
      <c r="C79" s="198">
        <f t="shared" ca="1" si="35"/>
        <v>293</v>
      </c>
      <c r="D79" s="196">
        <f ca="1">'CALCULO DE GAS'!D81</f>
        <v>4.8656372730673318</v>
      </c>
      <c r="E79" s="196">
        <f ca="1">IF(B79&gt;=$J$5,0,(CONTADORES!$AD75-CONTADORES!$AD74)-$H79)</f>
        <v>24</v>
      </c>
      <c r="F79" s="198">
        <f t="shared" ca="1" si="34"/>
        <v>0</v>
      </c>
      <c r="G79" s="196">
        <f ca="1">IF(B79&gt;=$J$5,0,CONTADORES!$AF75-CONTADORES!$AF74)</f>
        <v>0</v>
      </c>
      <c r="H79" s="1396">
        <f ca="1">IF(G79&gt;0,CONTADORES!$AE75-CONTADORES!$AE74,0)</f>
        <v>0</v>
      </c>
      <c r="I79" s="199">
        <f ca="1">IF(B79&gt;=$J$5,0,CONTADORES!$AB75-CONTADORES!$AB74)</f>
        <v>293</v>
      </c>
      <c r="J79" s="198">
        <f t="shared" ca="1" si="36"/>
        <v>150.09999999999854</v>
      </c>
      <c r="K79" s="196">
        <f ca="1">'CALCULO DE GAS'!E81</f>
        <v>3.7003430087281677</v>
      </c>
      <c r="L79" s="1396">
        <f ca="1">IF(B79&gt;=$J$5,0,(CONTADORES!$Y75-CONTADORES!$Y74)-$O79)</f>
        <v>24</v>
      </c>
      <c r="M79" s="1396">
        <f t="shared" ca="1" si="33"/>
        <v>0</v>
      </c>
      <c r="N79" s="1396">
        <f ca="1">IF(B79&gt;=$J$5,0,CONTADORES!$AA75-CONTADORES!$AA74)</f>
        <v>0</v>
      </c>
      <c r="O79" s="1396">
        <f ca="1">IF(N79&gt;0,CONTADORES!$Z75-CONTADORES!$Z74,0)</f>
        <v>0</v>
      </c>
      <c r="P79" s="202">
        <f ca="1">IF(B79&gt;=$J$5,0,CONTADORES!$W75-CONTADORES!$W74)</f>
        <v>150.09999999999854</v>
      </c>
      <c r="Q79" s="202">
        <f ca="1">IF(B79&gt;=$J$5,0,CONTADORES!$B75-CONTADORES!$B74)</f>
        <v>0</v>
      </c>
      <c r="R79" s="196">
        <f t="shared" ca="1" si="37"/>
        <v>0</v>
      </c>
      <c r="S79" s="11">
        <f ca="1">IF(B79&gt;=$J$5,0,CONTADORES!$D75-CONTADORES!$D74)</f>
        <v>0</v>
      </c>
      <c r="T79" s="198">
        <f ca="1">IF(B79&gt;=$J$5,0,CONTADORES!$BB75-CONTADORES!$BB74)</f>
        <v>0</v>
      </c>
      <c r="U79" s="196">
        <f t="shared" ca="1" si="38"/>
        <v>0</v>
      </c>
      <c r="V79" s="199">
        <f ca="1">IF(B79&gt;=$J$5,0,CONTADORES!$BD75-CONTADORES!$BD74)</f>
        <v>0</v>
      </c>
      <c r="W79" s="1397">
        <f t="shared" ca="1" si="39"/>
        <v>443.09999999999854</v>
      </c>
      <c r="X79" s="1397">
        <f t="shared" ca="1" si="40"/>
        <v>0</v>
      </c>
      <c r="Y79" s="1398">
        <f t="shared" ca="1" si="41"/>
        <v>443.09999999999854</v>
      </c>
      <c r="Z79" s="1398">
        <f t="shared" ca="1" si="42"/>
        <v>8.5659802817955004</v>
      </c>
      <c r="AA79" s="1398">
        <f t="shared" ca="1" si="43"/>
        <v>0</v>
      </c>
      <c r="AB79" s="1398">
        <f t="shared" ca="1" si="44"/>
        <v>48</v>
      </c>
      <c r="AC79" s="1397">
        <f t="shared" ca="1" si="45"/>
        <v>0</v>
      </c>
      <c r="AD79" s="1397">
        <f ca="1">IF(B79&gt;=$J$5,0,CONTADORES!H75-CONTADORES!H74)</f>
        <v>163</v>
      </c>
      <c r="AE79" s="1397">
        <f ca="1">IF(B79&gt;=$J$5,0,CONTADORES!J75-CONTADORES!J74)</f>
        <v>24</v>
      </c>
      <c r="AF79" s="1397">
        <f ca="1">IF(B79&gt;=$J$5,0,CONTADORES!AU75-CONTADORES!AU74)</f>
        <v>145</v>
      </c>
      <c r="AG79" s="1397">
        <f ca="1">IF(B79&gt;=$J$5,0,CONTADORES!AW75-CONTADORES!AW74)</f>
        <v>24</v>
      </c>
      <c r="AH79" s="1397">
        <f ca="1">IF(B79&gt;=$J$5,0,(CONTADORES!AM75-CONTADORES!AM74)+(CONTADORES!M75-CONTADORES!M74))</f>
        <v>7.0999999999985448</v>
      </c>
      <c r="AI79" s="1397">
        <f ca="1">IF(B79&gt;=$J$5,0,(CONTADORES!AK75-CONTADORES!AK74)+(CONTADORES!O75-CONTADORES!O74))</f>
        <v>41.80000000000291</v>
      </c>
      <c r="AJ79" s="1397">
        <f ca="1">IF(B79&gt;=$J$5,0,(CONTADORES!AI75-CONTADORES!AI74))</f>
        <v>5.5999999999912689</v>
      </c>
      <c r="AK79" s="1397">
        <f ca="1">IF(B79&gt;=$J$5,0,(CONTADORES!Q75-CONTADORES!Q74))</f>
        <v>14</v>
      </c>
      <c r="AL79" s="1397">
        <f t="shared" ca="1" si="46"/>
        <v>36.100000000005821</v>
      </c>
      <c r="AM79" s="1397">
        <f ca="1">IF(B79&gt;=$J$5,0,(((CONTADORES!F75-CONTADORES!F74)+(CONTADORES!AQ75-CONTADORES!AQ74))))-BS79-AF79-AN79-BV79-BY79-CD79-CB79</f>
        <v>9.7729999999985431</v>
      </c>
      <c r="AN79" s="1397">
        <f ca="1">IF(B79&gt;=$J$5,0,(CONTADORES!AX75-CONTADORES!AX74)+(CONTADORES!AZ75-CONTADORES!AZ74)+(CONTADORES!BE75-CONTADORES!BE74))-CB79</f>
        <v>2.5380000000000003</v>
      </c>
      <c r="AO79" s="1437">
        <f ca="1">IF(B79&gt;=$J$5,0,(CONTADORES!AC75-CONTADORES!AC74))</f>
        <v>145</v>
      </c>
      <c r="AP79" s="1437">
        <f ca="1">IF(B79&gt;=$J$5,0,(CONTADORES!X75-CONTADORES!X74))</f>
        <v>79.600000000000364</v>
      </c>
      <c r="AQ79" s="1404">
        <f ca="1">IF(B79&gt;=$J$5,0,(CONTADORES!C75-CONTADORES!C74))</f>
        <v>0</v>
      </c>
      <c r="AR79" s="1399">
        <f ca="1">IF(B79&gt;=$J$5,0,(CONTADORES!BC75-CONTADORES!BC74))</f>
        <v>0</v>
      </c>
      <c r="AS79" s="1397">
        <f ca="1">IF(B79&gt;=$J$5,0,CONTADORES!S75-CONTADORES!S74)</f>
        <v>16</v>
      </c>
      <c r="AT79" s="1397">
        <f ca="1">IF(B79&gt;=$J$5,0,(CONTADORES!U75-CONTADORES!U74)+(CONTADORES!AG75-CONTADORES!AG74))</f>
        <v>2.1999999999970896</v>
      </c>
      <c r="AU79" s="1409">
        <f>CONTADORES!I75-CONTADORES!I74</f>
        <v>84</v>
      </c>
      <c r="AV79" s="1438">
        <f>CONTADORES!AV75-CONTADORES!AV74</f>
        <v>63</v>
      </c>
      <c r="AW79" s="1438">
        <f ca="1">IF(B79&gt;=$J$5,0,(CONTADORES!N75-CONTADORES!N74)+(CONTADORES!AN75-CONTADORES!AN74))</f>
        <v>2.7000000000007276</v>
      </c>
      <c r="AX79" s="1438">
        <f ca="1">IF(B79&gt;=$J$5,0,(CONTADORES!P75-CONTADORES!P74)+(CONTADORES!AL75-CONTADORES!AL74))</f>
        <v>33.400000000001455</v>
      </c>
      <c r="AY79" s="1438">
        <f ca="1">IF(B79&gt;=$J$5,0,(CONTADORES!AJ75-CONTADORES!AJ74))</f>
        <v>4.0999999999985448</v>
      </c>
      <c r="AZ79" s="1438">
        <f ca="1">IF(B79&gt;=$J$5,0,(CONTADORES!R75-CONTADORES!R74))</f>
        <v>12</v>
      </c>
      <c r="BA79" s="1397">
        <f t="shared" ca="1" si="47"/>
        <v>12.668000000000006</v>
      </c>
      <c r="BB79" s="1397">
        <f ca="1">IF(B79&gt;=$J$5,0,(((CONTADORES!G75-CONTADORES!G74)+(CONTADORES!AR75-CONTADORES!AR74))))-AV79-BC79-BT79-BW79-BZ79-CE79</f>
        <v>5.6179999999993306</v>
      </c>
      <c r="BC79" s="1397">
        <f ca="1">IF(B79&gt;=$J$5,0,(CONTADORES!AY75-CONTADORES!AY74)+(CONTADORES!BA75-CONTADORES!BA74)+(CONTADORES!BF75-CONTADORES!BF74))-CC79</f>
        <v>1.1679999999999433</v>
      </c>
      <c r="BD79" s="1397">
        <f t="shared" ca="1" si="48"/>
        <v>224.60000000000036</v>
      </c>
      <c r="BE79" s="1409">
        <f ca="1">IF($B79&gt;=$J$5,0,CONTADORES!$BG75)</f>
        <v>6215.0199999999995</v>
      </c>
      <c r="BF79" s="1438">
        <f ca="1">IF($B79&gt;=$J$5,0,CONTADORES!$BH75)</f>
        <v>36988.659649122805</v>
      </c>
      <c r="BG79" s="1397">
        <f ca="1">IF($B79&gt;=$J$5,0,CONTADORES!$BJ75)</f>
        <v>5963.1</v>
      </c>
      <c r="BH79" s="1409">
        <f ca="1">IF(B79&gt;=$J$5,0,((CONTADORES!BK75-CONTADORES!BK74)/1000))</f>
        <v>1.361</v>
      </c>
      <c r="BI79" s="1409">
        <f ca="1">IF(C79&gt;=$J$5,0,((CONTADORES!BL75-CONTADORES!BL74)/1000))</f>
        <v>1.423</v>
      </c>
      <c r="BJ79" s="1399">
        <f ca="1">IF(C79&gt;=$J$5,0,((CONTADORES!BM75-CONTADORES!BM74)/1000))</f>
        <v>0</v>
      </c>
      <c r="BK79" s="1399">
        <f ca="1">IF(D79&gt;=$J$5,0,((CONTADORES!BN75-CONTADORES!BN74)/1000))</f>
        <v>0</v>
      </c>
      <c r="BL79" s="1399">
        <f t="shared" ca="1" si="49"/>
        <v>1.361</v>
      </c>
      <c r="BM79" s="1399">
        <f t="shared" ca="1" si="50"/>
        <v>1.423</v>
      </c>
      <c r="BN79" s="1409">
        <f ca="1">IF(W79&gt;=$J$5,0,CONTADORES!$BO75)</f>
        <v>132.024422103116</v>
      </c>
      <c r="BO79" s="1438">
        <f ca="1">IF(W79&gt;=$J$5,0,CONTADORES!$BP75)</f>
        <v>45.447744081524498</v>
      </c>
      <c r="BP79" s="1397">
        <f ca="1">IF(W79&gt;=$J$5,0,CONTADORES!$BQ75)</f>
        <v>664.72076265818396</v>
      </c>
      <c r="BQ79" s="1397">
        <f ca="1">IF(B79&gt;=$J$5,0,(CONTADORES!AS75-CONTADORES!AS74))</f>
        <v>4.5999999999985448</v>
      </c>
      <c r="BR79" s="1397">
        <f ca="1">IF(B79&gt;=$J$5,0,(CONTADORES!AT75-CONTADORES!AT74))</f>
        <v>0</v>
      </c>
      <c r="BS79" s="1409">
        <f ca="1">IF(B79&gt;=$J$5,0,CONTADORES!BR75-CONTADORES!BR74)/1000</f>
        <v>0</v>
      </c>
      <c r="BT79" s="1438">
        <f ca="1">IF(B79&gt;=$J$5,0,CONTADORES!BS75-CONTADORES!BS74)</f>
        <v>0</v>
      </c>
      <c r="BU79" s="1438">
        <f ca="1">IF(B79&gt;=$J$5,0,CONTADORES!BT75-CONTADORES!BT74)</f>
        <v>0</v>
      </c>
      <c r="BV79" s="1438">
        <f ca="1">IF(B79&gt;=$J$5,0,CONTADORES!BU75-CONTADORES!BU74)/1000</f>
        <v>2.4369999999999998</v>
      </c>
      <c r="BW79" s="1438">
        <f ca="1">IF(B79&gt;=$J$5,0,CONTADORES!BV75-CONTADORES!BV74)/1000</f>
        <v>0</v>
      </c>
      <c r="BX79" s="1438">
        <f ca="1">IF(B79&gt;=$J$5,0,CONTADORES!BW75-CONTADORES!BW74)</f>
        <v>24</v>
      </c>
      <c r="BY79" s="1438">
        <f ca="1">IF(B79&gt;=$J$5,0,CONTADORES!BX75-CONTADORES!BX74)/1000</f>
        <v>6.39</v>
      </c>
      <c r="BZ79" s="1438">
        <f ca="1">IF(B79&gt;=$J$5,0,CONTADORES!BY75-CONTADORES!BY74)/1000</f>
        <v>1.4E-2</v>
      </c>
      <c r="CA79" s="1438">
        <f ca="1">IF(B79&gt;=$J$5,0,CONTADORES!BZ75-CONTADORES!BZ74)</f>
        <v>24</v>
      </c>
      <c r="CB79" s="1409">
        <f ca="1">IF(B79&gt;=$J$5,0,(CONTADORES!CC75-CONTADORES!CC74)+(CONTADORES!CE75-CONTADORES!CE74))/1000</f>
        <v>1.462</v>
      </c>
      <c r="CC79" s="1438">
        <f ca="1">IF(B79&gt;=$J$5,0,(CONTADORES!CD75-CONTADORES!CD74)+(CONTADORES!CF75-CONTADORES!CF74))/1000</f>
        <v>0.83199999999999996</v>
      </c>
      <c r="CD79" s="1409">
        <f ca="1">IF(B79&gt;=$J$5,0,CONTADORES!CA75-CONTADORES!CA74)</f>
        <v>7.9000000000014552</v>
      </c>
      <c r="CE79" s="1438">
        <f ca="1">IF(B79&gt;=$J$5,0,CONTADORES!CB75-CONTADORES!CB74)</f>
        <v>5.1000000000003638</v>
      </c>
      <c r="CF79" s="1438">
        <f t="shared" ca="1" si="51"/>
        <v>12.786500000000727</v>
      </c>
      <c r="CG79" s="1438">
        <f t="shared" ca="1" si="52"/>
        <v>7.9090000000000291</v>
      </c>
      <c r="CH79" s="1438">
        <f t="shared" ca="1" si="53"/>
        <v>4.8864999999992715</v>
      </c>
      <c r="CI79" s="1438">
        <f t="shared" ca="1" si="54"/>
        <v>1.0152000000000001</v>
      </c>
      <c r="CJ79" s="1438">
        <f t="shared" ca="1" si="55"/>
        <v>4.8864999999992715</v>
      </c>
      <c r="CK79" s="1438">
        <f t="shared" ca="1" si="56"/>
        <v>1.5228000000000002</v>
      </c>
      <c r="CL79" s="1438">
        <f t="shared" ca="1" si="57"/>
        <v>2.4771999999999998</v>
      </c>
      <c r="CM79" s="1438">
        <f t="shared" ca="1" si="58"/>
        <v>2.8089999999996653</v>
      </c>
      <c r="CN79" s="1438">
        <f ca="1">IF(B79&gt;=$J$5,0,CONTADORES!CB75-CONTADORES!CB74)</f>
        <v>5.1000000000003638</v>
      </c>
      <c r="CO79" s="1438">
        <f t="shared" ca="1" si="59"/>
        <v>2.8089999999996653</v>
      </c>
      <c r="CP79" s="1438">
        <f t="shared" ca="1" si="60"/>
        <v>0.58399999999997165</v>
      </c>
      <c r="CQ79" s="1438">
        <f t="shared" ca="1" si="61"/>
        <v>0.58399999999997165</v>
      </c>
      <c r="CR79" s="1438">
        <f t="shared" ca="1" si="62"/>
        <v>1.4159999999999715</v>
      </c>
      <c r="CS79" s="1439">
        <f ca="1">IF($B79&gt;=$J$5,0,CONTADORES!$BI75)</f>
        <v>9669.4740936776907</v>
      </c>
      <c r="CT79" s="1334">
        <f>CONTADORES!E75</f>
        <v>0</v>
      </c>
      <c r="CU79" s="1334">
        <f>CONTADORES!CG75</f>
        <v>0</v>
      </c>
    </row>
    <row r="80" spans="2:99">
      <c r="B80" s="390">
        <v>44996</v>
      </c>
      <c r="C80" s="198">
        <f t="shared" ca="1" si="35"/>
        <v>259</v>
      </c>
      <c r="D80" s="196">
        <f ca="1">'CALCULO DE GAS'!D82</f>
        <v>4.5883804152119705</v>
      </c>
      <c r="E80" s="196">
        <f ca="1">IF(B80&gt;=$J$5,0,(CONTADORES!$AD76-CONTADORES!$AD75)-$H80)</f>
        <v>24</v>
      </c>
      <c r="F80" s="198">
        <f t="shared" ca="1" si="34"/>
        <v>0</v>
      </c>
      <c r="G80" s="196">
        <f ca="1">IF(B80&gt;=$J$5,0,CONTADORES!$AF76-CONTADORES!$AF75)</f>
        <v>0</v>
      </c>
      <c r="H80" s="1396">
        <f ca="1">IF(G80&gt;0,CONTADORES!$AE76-CONTADORES!$AE75,0)</f>
        <v>0</v>
      </c>
      <c r="I80" s="199">
        <f ca="1">IF(B80&gt;=$J$5,0,CONTADORES!$AB76-CONTADORES!$AB75)</f>
        <v>259</v>
      </c>
      <c r="J80" s="198">
        <f t="shared" ca="1" si="36"/>
        <v>176.5</v>
      </c>
      <c r="K80" s="196">
        <f ca="1">'CALCULO DE GAS'!E82</f>
        <v>3.9156248042394015</v>
      </c>
      <c r="L80" s="1396">
        <f ca="1">IF(B80&gt;=$J$5,0,(CONTADORES!$Y76-CONTADORES!$Y75)-$O80)</f>
        <v>24</v>
      </c>
      <c r="M80" s="1396">
        <f t="shared" ca="1" si="33"/>
        <v>0</v>
      </c>
      <c r="N80" s="1396">
        <f ca="1">IF(B80&gt;=$J$5,0,CONTADORES!$AA76-CONTADORES!$AA75)</f>
        <v>0</v>
      </c>
      <c r="O80" s="1396">
        <f ca="1">IF(N80&gt;0,CONTADORES!$Z76-CONTADORES!$Z75,0)</f>
        <v>0</v>
      </c>
      <c r="P80" s="202">
        <f ca="1">IF(B80&gt;=$J$5,0,CONTADORES!$W76-CONTADORES!$W75)</f>
        <v>176.5</v>
      </c>
      <c r="Q80" s="202">
        <f ca="1">IF(B80&gt;=$J$5,0,CONTADORES!$B76-CONTADORES!$B75)</f>
        <v>0</v>
      </c>
      <c r="R80" s="196">
        <f t="shared" ca="1" si="37"/>
        <v>0</v>
      </c>
      <c r="S80" s="11">
        <f ca="1">IF(B80&gt;=$J$5,0,CONTADORES!$D76-CONTADORES!$D75)</f>
        <v>0</v>
      </c>
      <c r="T80" s="198">
        <f ca="1">IF(B80&gt;=$J$5,0,CONTADORES!$BB76-CONTADORES!$BB75)</f>
        <v>0</v>
      </c>
      <c r="U80" s="196">
        <f t="shared" ca="1" si="38"/>
        <v>0</v>
      </c>
      <c r="V80" s="199">
        <f ca="1">IF(B80&gt;=$J$5,0,CONTADORES!$BD76-CONTADORES!$BD75)</f>
        <v>0</v>
      </c>
      <c r="W80" s="1397">
        <f t="shared" ca="1" si="39"/>
        <v>435.5</v>
      </c>
      <c r="X80" s="1397">
        <f t="shared" ca="1" si="40"/>
        <v>0</v>
      </c>
      <c r="Y80" s="1398">
        <f t="shared" ca="1" si="41"/>
        <v>435.5</v>
      </c>
      <c r="Z80" s="1398">
        <f t="shared" ca="1" si="42"/>
        <v>8.504005219451372</v>
      </c>
      <c r="AA80" s="1398">
        <f t="shared" ca="1" si="43"/>
        <v>0</v>
      </c>
      <c r="AB80" s="1398">
        <f t="shared" ca="1" si="44"/>
        <v>48</v>
      </c>
      <c r="AC80" s="1397">
        <f t="shared" ca="1" si="45"/>
        <v>0</v>
      </c>
      <c r="AD80" s="1397">
        <f ca="1">IF(B80&gt;=$J$5,0,CONTADORES!H76-CONTADORES!H75)</f>
        <v>162</v>
      </c>
      <c r="AE80" s="1397">
        <f ca="1">IF(B80&gt;=$J$5,0,CONTADORES!J76-CONTADORES!J75)</f>
        <v>24</v>
      </c>
      <c r="AF80" s="1397">
        <f ca="1">IF(B80&gt;=$J$5,0,CONTADORES!AU76-CONTADORES!AU75)</f>
        <v>145</v>
      </c>
      <c r="AG80" s="1397">
        <f ca="1">IF(B80&gt;=$J$5,0,CONTADORES!AW76-CONTADORES!AW75)</f>
        <v>24</v>
      </c>
      <c r="AH80" s="1397">
        <f ca="1">IF(B80&gt;=$J$5,0,(CONTADORES!AM76-CONTADORES!AM75)+(CONTADORES!M76-CONTADORES!M75))</f>
        <v>11.099999999998545</v>
      </c>
      <c r="AI80" s="1397">
        <f ca="1">IF(B80&gt;=$J$5,0,(CONTADORES!AK76-CONTADORES!AK75)+(CONTADORES!O76-CONTADORES!O75))</f>
        <v>36.5</v>
      </c>
      <c r="AJ80" s="1397">
        <f ca="1">IF(B80&gt;=$J$5,0,(CONTADORES!AI76-CONTADORES!AI75))</f>
        <v>5.2000000000116415</v>
      </c>
      <c r="AK80" s="1397">
        <f ca="1">IF(B80&gt;=$J$5,0,(CONTADORES!Q76-CONTADORES!Q75))</f>
        <v>14</v>
      </c>
      <c r="AL80" s="1397">
        <f t="shared" ca="1" si="46"/>
        <v>32.599999999987688</v>
      </c>
      <c r="AM80" s="1397">
        <f ca="1">IF(B80&gt;=$J$5,0,(((CONTADORES!F76-CONTADORES!F75)+(CONTADORES!AQ76-CONTADORES!AQ75))))-BS80-AF80-AN80-BV80-BY80-CD80-CB80</f>
        <v>8.7120000000025346</v>
      </c>
      <c r="AN80" s="1397">
        <f ca="1">IF(B80&gt;=$J$5,0,(CONTADORES!AX76-CONTADORES!AX75)+(CONTADORES!AZ76-CONTADORES!AZ75)+(CONTADORES!BE76-CONTADORES!BE75))-CB80</f>
        <v>2.621</v>
      </c>
      <c r="AO80" s="1437">
        <f ca="1">IF(B80&gt;=$J$5,0,(CONTADORES!AC76-CONTADORES!AC75))</f>
        <v>131</v>
      </c>
      <c r="AP80" s="1437">
        <f ca="1">IF(B80&gt;=$J$5,0,(CONTADORES!X76-CONTADORES!X75))</f>
        <v>89.399999999999636</v>
      </c>
      <c r="AQ80" s="1404">
        <f ca="1">IF(B80&gt;=$J$5,0,(CONTADORES!C76-CONTADORES!C75))</f>
        <v>0</v>
      </c>
      <c r="AR80" s="1399">
        <f ca="1">IF(B80&gt;=$J$5,0,(CONTADORES!BC76-CONTADORES!BC75))</f>
        <v>0</v>
      </c>
      <c r="AS80" s="1397">
        <f ca="1">IF(B80&gt;=$J$5,0,CONTADORES!S76-CONTADORES!S75)</f>
        <v>16</v>
      </c>
      <c r="AT80" s="1397">
        <f ca="1">IF(B80&gt;=$J$5,0,(CONTADORES!U76-CONTADORES!U75)+(CONTADORES!AG76-CONTADORES!AG75))</f>
        <v>2.0999999999985448</v>
      </c>
      <c r="AU80" s="1409">
        <f>CONTADORES!I76-CONTADORES!I75</f>
        <v>83</v>
      </c>
      <c r="AV80" s="1438">
        <f>CONTADORES!AV76-CONTADORES!AV75</f>
        <v>63</v>
      </c>
      <c r="AW80" s="1438">
        <f ca="1">IF(B80&gt;=$J$5,0,(CONTADORES!N76-CONTADORES!N75)+(CONTADORES!AN76-CONTADORES!AN75))</f>
        <v>4.3999999999978172</v>
      </c>
      <c r="AX80" s="1438">
        <f ca="1">IF(B80&gt;=$J$5,0,(CONTADORES!P76-CONTADORES!P75)+(CONTADORES!AL76-CONTADORES!AL75))</f>
        <v>29.19999999999709</v>
      </c>
      <c r="AY80" s="1438">
        <f ca="1">IF(B80&gt;=$J$5,0,(CONTADORES!AJ76-CONTADORES!AJ75))</f>
        <v>4</v>
      </c>
      <c r="AZ80" s="1438">
        <f ca="1">IF(B80&gt;=$J$5,0,(CONTADORES!R76-CONTADORES!R75))</f>
        <v>12</v>
      </c>
      <c r="BA80" s="1397">
        <f t="shared" ca="1" si="47"/>
        <v>13.343000000003997</v>
      </c>
      <c r="BB80" s="1397">
        <f ca="1">IF(B80&gt;=$J$5,0,(((CONTADORES!G76-CONTADORES!G75)+(CONTADORES!AR76-CONTADORES!AR75))))-AV80-BC80-BT80-BW80-BZ80-CE80</f>
        <v>4.4730000000013188</v>
      </c>
      <c r="BC80" s="1397">
        <f ca="1">IF(B80&gt;=$J$5,0,(CONTADORES!AY76-CONTADORES!AY75)+(CONTADORES!BA76-CONTADORES!BA75)+(CONTADORES!BF76-CONTADORES!BF75))-CC80</f>
        <v>1.0429999999999544</v>
      </c>
      <c r="BD80" s="1397">
        <f t="shared" ca="1" si="48"/>
        <v>220.39999999999964</v>
      </c>
      <c r="BE80" s="1409">
        <f ca="1">IF($B80&gt;=$J$5,0,CONTADORES!$BG76)</f>
        <v>5795.46</v>
      </c>
      <c r="BF80" s="1438">
        <f ca="1">IF($B80&gt;=$J$5,0,CONTADORES!$BH76)</f>
        <v>36378.571929824597</v>
      </c>
      <c r="BG80" s="1397">
        <f ca="1">IF($B80&gt;=$J$5,0,CONTADORES!$BJ76)</f>
        <v>5583.48</v>
      </c>
      <c r="BH80" s="1409">
        <f ca="1">IF(B80&gt;=$J$5,0,((CONTADORES!BK76-CONTADORES!BK75)/1000))</f>
        <v>1.3680000000000001</v>
      </c>
      <c r="BI80" s="1409">
        <f ca="1">IF(C80&gt;=$J$5,0,((CONTADORES!BL76-CONTADORES!BL75)/1000))</f>
        <v>1.421</v>
      </c>
      <c r="BJ80" s="1399">
        <f ca="1">IF(C80&gt;=$J$5,0,((CONTADORES!BM76-CONTADORES!BM75)/1000))</f>
        <v>0</v>
      </c>
      <c r="BK80" s="1399">
        <f ca="1">IF(D80&gt;=$J$5,0,((CONTADORES!BN76-CONTADORES!BN75)/1000))</f>
        <v>0</v>
      </c>
      <c r="BL80" s="1399">
        <f t="shared" ca="1" si="49"/>
        <v>1.3680000000000001</v>
      </c>
      <c r="BM80" s="1399">
        <f t="shared" ca="1" si="50"/>
        <v>1.421</v>
      </c>
      <c r="BN80" s="1409">
        <f ca="1">IF(W80&gt;=$J$5,0,CONTADORES!$BO76)</f>
        <v>131.44896481469101</v>
      </c>
      <c r="BO80" s="1438">
        <f ca="1">IF(W80&gt;=$J$5,0,CONTADORES!$BP76)</f>
        <v>45.466929045149698</v>
      </c>
      <c r="BP80" s="1397">
        <f ca="1">IF(W80&gt;=$J$5,0,CONTADORES!$BQ76)</f>
        <v>664.808650604018</v>
      </c>
      <c r="BQ80" s="1397">
        <f ca="1">IF(B80&gt;=$J$5,0,(CONTADORES!AS76-CONTADORES!AS75))</f>
        <v>4</v>
      </c>
      <c r="BR80" s="1397">
        <f ca="1">IF(B80&gt;=$J$5,0,(CONTADORES!AT76-CONTADORES!AT75))</f>
        <v>0</v>
      </c>
      <c r="BS80" s="1409">
        <f ca="1">IF(B80&gt;=$J$5,0,CONTADORES!BR76-CONTADORES!BR75)/1000</f>
        <v>0.34799999999999998</v>
      </c>
      <c r="BT80" s="1438">
        <f ca="1">IF(B80&gt;=$J$5,0,CONTADORES!BS76-CONTADORES!BS75)</f>
        <v>0</v>
      </c>
      <c r="BU80" s="1438">
        <f ca="1">IF(B80&gt;=$J$5,0,CONTADORES!BT76-CONTADORES!BT75)</f>
        <v>3.9699999999975262</v>
      </c>
      <c r="BV80" s="1438">
        <f ca="1">IF(B80&gt;=$J$5,0,CONTADORES!BU76-CONTADORES!BU75)/1000</f>
        <v>2.988</v>
      </c>
      <c r="BW80" s="1438">
        <f ca="1">IF(B80&gt;=$J$5,0,CONTADORES!BV76-CONTADORES!BV75)/1000</f>
        <v>2.4E-2</v>
      </c>
      <c r="BX80" s="1438">
        <f ca="1">IF(B80&gt;=$J$5,0,CONTADORES!BW76-CONTADORES!BW75)</f>
        <v>24</v>
      </c>
      <c r="BY80" s="1438">
        <f ca="1">IF(B80&gt;=$J$5,0,CONTADORES!BX76-CONTADORES!BX75)/1000</f>
        <v>5.1520000000000001</v>
      </c>
      <c r="BZ80" s="1438">
        <f ca="1">IF(B80&gt;=$J$5,0,CONTADORES!BY76-CONTADORES!BY75)/1000</f>
        <v>0.06</v>
      </c>
      <c r="CA80" s="1438">
        <f ca="1">IF(B80&gt;=$J$5,0,CONTADORES!BZ76-CONTADORES!BZ75)</f>
        <v>20</v>
      </c>
      <c r="CB80" s="1409">
        <f ca="1">IF(B80&gt;=$J$5,0,(CONTADORES!CC76-CONTADORES!CC75)+(CONTADORES!CE76-CONTADORES!CE75))/1000</f>
        <v>1.379</v>
      </c>
      <c r="CC80" s="1438">
        <f ca="1">IF(B80&gt;=$J$5,0,(CONTADORES!CD76-CONTADORES!CD75)+(CONTADORES!CF76-CONTADORES!CF75))/1000</f>
        <v>0.75700000000000001</v>
      </c>
      <c r="CD80" s="1409">
        <f ca="1">IF(B80&gt;=$J$5,0,CONTADORES!CA76-CONTADORES!CA75)</f>
        <v>7.8999999999996362</v>
      </c>
      <c r="CE80" s="1438">
        <f ca="1">IF(B80&gt;=$J$5,0,CONTADORES!CB76-CONTADORES!CB75)</f>
        <v>5.0999999999994543</v>
      </c>
      <c r="CF80" s="1438">
        <f t="shared" ca="1" si="51"/>
        <v>12.256000000000903</v>
      </c>
      <c r="CG80" s="1438">
        <f t="shared" ca="1" si="52"/>
        <v>7.3365000000001137</v>
      </c>
      <c r="CH80" s="1438">
        <f t="shared" ca="1" si="53"/>
        <v>4.3560000000012673</v>
      </c>
      <c r="CI80" s="1438">
        <f t="shared" ca="1" si="54"/>
        <v>1.0484</v>
      </c>
      <c r="CJ80" s="1438">
        <f t="shared" ca="1" si="55"/>
        <v>4.3560000000012673</v>
      </c>
      <c r="CK80" s="1438">
        <f t="shared" ca="1" si="56"/>
        <v>1.5726</v>
      </c>
      <c r="CL80" s="1438">
        <f t="shared" ca="1" si="57"/>
        <v>2.4274</v>
      </c>
      <c r="CM80" s="1438">
        <f t="shared" ca="1" si="58"/>
        <v>2.2365000000006594</v>
      </c>
      <c r="CN80" s="1438">
        <f ca="1">IF(B80&gt;=$J$5,0,CONTADORES!CB76-CONTADORES!CB75)</f>
        <v>5.0999999999994543</v>
      </c>
      <c r="CO80" s="1438">
        <f t="shared" ca="1" si="59"/>
        <v>2.2365000000006594</v>
      </c>
      <c r="CP80" s="1438">
        <f t="shared" ca="1" si="60"/>
        <v>0.5214999999999772</v>
      </c>
      <c r="CQ80" s="1438">
        <f t="shared" ca="1" si="61"/>
        <v>0.5214999999999772</v>
      </c>
      <c r="CR80" s="1438">
        <f t="shared" ca="1" si="62"/>
        <v>1.2784999999999771</v>
      </c>
      <c r="CS80" s="1439">
        <f ca="1">IF($B80&gt;=$J$5,0,CONTADORES!$BI76)</f>
        <v>9787.2851742012499</v>
      </c>
      <c r="CT80" s="1334">
        <f>CONTADORES!E76</f>
        <v>0</v>
      </c>
      <c r="CU80" s="1334">
        <f>CONTADORES!CG76</f>
        <v>0</v>
      </c>
    </row>
    <row r="81" spans="2:99">
      <c r="B81" s="390">
        <v>44997</v>
      </c>
      <c r="C81" s="198">
        <f t="shared" ca="1" si="35"/>
        <v>276</v>
      </c>
      <c r="D81" s="196">
        <f ca="1">'CALCULO DE GAS'!D83</f>
        <v>4.7270088441396512</v>
      </c>
      <c r="E81" s="196">
        <f ca="1">IF(B81&gt;=$J$5,0,(CONTADORES!$AD77-CONTADORES!$AD76)-$H81)</f>
        <v>24</v>
      </c>
      <c r="F81" s="198">
        <f t="shared" ca="1" si="34"/>
        <v>0</v>
      </c>
      <c r="G81" s="196">
        <f ca="1">IF(B81&gt;=$J$5,0,CONTADORES!$AF77-CONTADORES!$AF76)</f>
        <v>0</v>
      </c>
      <c r="H81" s="1396">
        <f ca="1">IF(G81&gt;0,CONTADORES!$AE77-CONTADORES!$AE76,0)</f>
        <v>0</v>
      </c>
      <c r="I81" s="199">
        <f ca="1">IF(B81&gt;=$J$5,0,CONTADORES!$AB77-CONTADORES!$AB76)</f>
        <v>276</v>
      </c>
      <c r="J81" s="198">
        <f t="shared" ca="1" si="36"/>
        <v>155.5</v>
      </c>
      <c r="K81" s="196">
        <f ca="1">'CALCULO DE GAS'!E83</f>
        <v>3.7443779214463841</v>
      </c>
      <c r="L81" s="1396">
        <f ca="1">IF(B81&gt;=$J$5,0,(CONTADORES!$Y77-CONTADORES!$Y76)-$O81)</f>
        <v>24</v>
      </c>
      <c r="M81" s="1396">
        <f t="shared" ca="1" si="33"/>
        <v>0</v>
      </c>
      <c r="N81" s="1396">
        <f ca="1">IF(B81&gt;=$J$5,0,CONTADORES!$AA77-CONTADORES!$AA76)</f>
        <v>0</v>
      </c>
      <c r="O81" s="1396">
        <f ca="1">IF(N81&gt;0,CONTADORES!$Z77-CONTADORES!$Z76,0)</f>
        <v>0</v>
      </c>
      <c r="P81" s="202">
        <f ca="1">IF(B81&gt;=$J$5,0,CONTADORES!$W77-CONTADORES!$W76)</f>
        <v>155.5</v>
      </c>
      <c r="Q81" s="202">
        <f ca="1">IF(B81&gt;=$J$5,0,CONTADORES!$B77-CONTADORES!$B76)</f>
        <v>0</v>
      </c>
      <c r="R81" s="196">
        <f t="shared" ca="1" si="37"/>
        <v>0</v>
      </c>
      <c r="S81" s="11">
        <f ca="1">IF(B81&gt;=$J$5,0,CONTADORES!$D77-CONTADORES!$D76)</f>
        <v>0</v>
      </c>
      <c r="T81" s="198">
        <f ca="1">IF(B81&gt;=$J$5,0,CONTADORES!$BB77-CONTADORES!$BB76)</f>
        <v>0</v>
      </c>
      <c r="U81" s="196">
        <f t="shared" ca="1" si="38"/>
        <v>0</v>
      </c>
      <c r="V81" s="199">
        <f ca="1">IF(B81&gt;=$J$5,0,CONTADORES!$BD77-CONTADORES!$BD76)</f>
        <v>0</v>
      </c>
      <c r="W81" s="1397">
        <f t="shared" ca="1" si="39"/>
        <v>431.5</v>
      </c>
      <c r="X81" s="1397">
        <f t="shared" ca="1" si="40"/>
        <v>0</v>
      </c>
      <c r="Y81" s="1398">
        <f t="shared" ca="1" si="41"/>
        <v>431.5</v>
      </c>
      <c r="Z81" s="1398">
        <f t="shared" ca="1" si="42"/>
        <v>8.4713867655860362</v>
      </c>
      <c r="AA81" s="1398">
        <f t="shared" ca="1" si="43"/>
        <v>0</v>
      </c>
      <c r="AB81" s="1398">
        <f t="shared" ca="1" si="44"/>
        <v>48</v>
      </c>
      <c r="AC81" s="1397">
        <f t="shared" ca="1" si="45"/>
        <v>0</v>
      </c>
      <c r="AD81" s="1397">
        <f ca="1">IF(B81&gt;=$J$5,0,CONTADORES!H77-CONTADORES!H76)</f>
        <v>161</v>
      </c>
      <c r="AE81" s="1397">
        <f ca="1">IF(B81&gt;=$J$5,0,CONTADORES!J77-CONTADORES!J76)</f>
        <v>24</v>
      </c>
      <c r="AF81" s="1397">
        <f ca="1">IF(B81&gt;=$J$5,0,CONTADORES!AU77-CONTADORES!AU76)</f>
        <v>144</v>
      </c>
      <c r="AG81" s="1397">
        <f ca="1">IF(B81&gt;=$J$5,0,CONTADORES!AW77-CONTADORES!AW76)</f>
        <v>24</v>
      </c>
      <c r="AH81" s="1397">
        <f ca="1">IF(B81&gt;=$J$5,0,(CONTADORES!AM77-CONTADORES!AM76)+(CONTADORES!M77-CONTADORES!M76))</f>
        <v>8.8000000000047294</v>
      </c>
      <c r="AI81" s="1397">
        <f ca="1">IF(B81&gt;=$J$5,0,(CONTADORES!AK77-CONTADORES!AK76)+(CONTADORES!O77-CONTADORES!O76))</f>
        <v>38.299999999995634</v>
      </c>
      <c r="AJ81" s="1397">
        <f ca="1">IF(B81&gt;=$J$5,0,(CONTADORES!AI77-CONTADORES!AI76))</f>
        <v>5.1999999999970896</v>
      </c>
      <c r="AK81" s="1397">
        <f ca="1">IF(B81&gt;=$J$5,0,(CONTADORES!Q77-CONTADORES!Q76))</f>
        <v>14</v>
      </c>
      <c r="AL81" s="1397">
        <f t="shared" ca="1" si="46"/>
        <v>31.300000000004729</v>
      </c>
      <c r="AM81" s="1397">
        <f ca="1">IF(B81&gt;=$J$5,0,(((CONTADORES!F77-CONTADORES!F76)+(CONTADORES!AQ77-CONTADORES!AQ76))))-BS81-AF81-AN81-BV81-BY81-CD81-CB81</f>
        <v>9.2669999999989159</v>
      </c>
      <c r="AN81" s="1397">
        <f ca="1">IF(B81&gt;=$J$5,0,(CONTADORES!AX77-CONTADORES!AX76)+(CONTADORES!AZ77-CONTADORES!AZ76)+(CONTADORES!BE77-CONTADORES!BE76))-CB81</f>
        <v>2.1029999999996365</v>
      </c>
      <c r="AO81" s="1437">
        <f ca="1">IF(B81&gt;=$J$5,0,(CONTADORES!AC77-CONTADORES!AC76))</f>
        <v>143</v>
      </c>
      <c r="AP81" s="1437">
        <f ca="1">IF(B81&gt;=$J$5,0,(CONTADORES!X77-CONTADORES!X76))</f>
        <v>78.5</v>
      </c>
      <c r="AQ81" s="1404">
        <f ca="1">IF(B81&gt;=$J$5,0,(CONTADORES!C77-CONTADORES!C76))</f>
        <v>0</v>
      </c>
      <c r="AR81" s="1399">
        <f ca="1">IF(B81&gt;=$J$5,0,(CONTADORES!BC77-CONTADORES!BC76))</f>
        <v>0</v>
      </c>
      <c r="AS81" s="1397">
        <f ca="1">IF(B81&gt;=$J$5,0,CONTADORES!S77-CONTADORES!S76)</f>
        <v>16</v>
      </c>
      <c r="AT81" s="1397">
        <f ca="1">IF(B81&gt;=$J$5,0,(CONTADORES!U77-CONTADORES!U76)+(CONTADORES!AG77-CONTADORES!AG76))</f>
        <v>2</v>
      </c>
      <c r="AU81" s="1409">
        <f>CONTADORES!I77-CONTADORES!I76</f>
        <v>83</v>
      </c>
      <c r="AV81" s="1438">
        <f>CONTADORES!AV77-CONTADORES!AV76</f>
        <v>63</v>
      </c>
      <c r="AW81" s="1438">
        <f ca="1">IF(B81&gt;=$J$5,0,(CONTADORES!N77-CONTADORES!N76)+(CONTADORES!AN77-CONTADORES!AN76))</f>
        <v>2.4000000000014552</v>
      </c>
      <c r="AX81" s="1438">
        <f ca="1">IF(B81&gt;=$J$5,0,(CONTADORES!P77-CONTADORES!P76)+(CONTADORES!AL77-CONTADORES!AL76))</f>
        <v>30.400000000001455</v>
      </c>
      <c r="AY81" s="1438">
        <f ca="1">IF(B81&gt;=$J$5,0,(CONTADORES!AJ77-CONTADORES!AJ76))</f>
        <v>4</v>
      </c>
      <c r="AZ81" s="1438">
        <f ca="1">IF(B81&gt;=$J$5,0,(CONTADORES!R77-CONTADORES!R76))</f>
        <v>11</v>
      </c>
      <c r="BA81" s="1397">
        <f t="shared" ca="1" si="47"/>
        <v>11.0059999999973</v>
      </c>
      <c r="BB81" s="1397">
        <f ca="1">IF(B81&gt;=$J$5,0,(((CONTADORES!G77-CONTADORES!G76)+(CONTADORES!AR77-CONTADORES!AR76))))-AV81-BC81-BT81-BW81-BZ81-CE81</f>
        <v>8.9569999999992262</v>
      </c>
      <c r="BC81" s="1397">
        <f ca="1">IF(B81&gt;=$J$5,0,(CONTADORES!AY77-CONTADORES!AY76)+(CONTADORES!BA77-CONTADORES!BA76)+(CONTADORES!BF77-CONTADORES!BF76))-CC81</f>
        <v>0.70600000000004548</v>
      </c>
      <c r="BD81" s="1397">
        <f t="shared" ca="1" si="48"/>
        <v>221.5</v>
      </c>
      <c r="BE81" s="1409">
        <f ca="1">IF($B81&gt;=$J$5,0,CONTADORES!$BG77)</f>
        <v>6251.5499999999993</v>
      </c>
      <c r="BF81" s="1438">
        <f ca="1">IF($B81&gt;=$J$5,0,CONTADORES!$BH77)</f>
        <v>34954.57543859649</v>
      </c>
      <c r="BG81" s="1397">
        <f ca="1">IF($B81&gt;=$J$5,0,CONTADORES!$BJ77)</f>
        <v>5303.2000000000007</v>
      </c>
      <c r="BH81" s="1409">
        <f ca="1">IF(B81&gt;=$J$5,0,((CONTADORES!BK77-CONTADORES!BK76)/1000))</f>
        <v>1.3680000000000001</v>
      </c>
      <c r="BI81" s="1409">
        <f ca="1">IF(C81&gt;=$J$5,0,((CONTADORES!BL77-CONTADORES!BL76)/1000))</f>
        <v>1.42</v>
      </c>
      <c r="BJ81" s="1399">
        <f ca="1">IF(C81&gt;=$J$5,0,((CONTADORES!BM77-CONTADORES!BM76)/1000))</f>
        <v>0</v>
      </c>
      <c r="BK81" s="1399">
        <f ca="1">IF(D81&gt;=$J$5,0,((CONTADORES!BN77-CONTADORES!BN76)/1000))</f>
        <v>0</v>
      </c>
      <c r="BL81" s="1399">
        <f t="shared" ca="1" si="49"/>
        <v>1.3680000000000001</v>
      </c>
      <c r="BM81" s="1399">
        <f t="shared" ca="1" si="50"/>
        <v>1.42</v>
      </c>
      <c r="BN81" s="1409">
        <f ca="1">IF(W81&gt;=$J$5,0,CONTADORES!$BO77)</f>
        <v>132.37537995956799</v>
      </c>
      <c r="BO81" s="1438">
        <f ca="1">IF(W81&gt;=$J$5,0,CONTADORES!$BP77)</f>
        <v>45.8813230107273</v>
      </c>
      <c r="BP81" s="1397">
        <f ca="1">IF(W81&gt;=$J$5,0,CONTADORES!$BQ77)</f>
        <v>663.10777867415504</v>
      </c>
      <c r="BQ81" s="1397">
        <f ca="1">IF(B81&gt;=$J$5,0,(CONTADORES!AS77-CONTADORES!AS76))</f>
        <v>4</v>
      </c>
      <c r="BR81" s="1397">
        <f ca="1">IF(B81&gt;=$J$5,0,(CONTADORES!AT77-CONTADORES!AT76))</f>
        <v>0</v>
      </c>
      <c r="BS81" s="1409">
        <f ca="1">IF(B81&gt;=$J$5,0,CONTADORES!BR77-CONTADORES!BR76)/1000</f>
        <v>2.0640000000000001</v>
      </c>
      <c r="BT81" s="1438">
        <f ca="1">IF(B81&gt;=$J$5,0,CONTADORES!BS77-CONTADORES!BS76)</f>
        <v>1</v>
      </c>
      <c r="BU81" s="1438">
        <f ca="1">IF(B81&gt;=$J$5,0,CONTADORES!BT77-CONTADORES!BT76)</f>
        <v>23.990000000001601</v>
      </c>
      <c r="BV81" s="1438">
        <f ca="1">IF(B81&gt;=$J$5,0,CONTADORES!BU77-CONTADORES!BU76)/1000</f>
        <v>5.8689999999999998</v>
      </c>
      <c r="BW81" s="1438">
        <f ca="1">IF(B81&gt;=$J$5,0,CONTADORES!BV77-CONTADORES!BV76)/1000</f>
        <v>0.13700000000000001</v>
      </c>
      <c r="BX81" s="1438">
        <f ca="1">IF(B81&gt;=$J$5,0,CONTADORES!BW77-CONTADORES!BW76)</f>
        <v>24</v>
      </c>
      <c r="BY81" s="1438">
        <f ca="1">IF(B81&gt;=$J$5,0,CONTADORES!BX77-CONTADORES!BX76)/1000</f>
        <v>0</v>
      </c>
      <c r="BZ81" s="1438">
        <f ca="1">IF(B81&gt;=$J$5,0,CONTADORES!BY77-CONTADORES!BY76)/1000</f>
        <v>0</v>
      </c>
      <c r="CA81" s="1438">
        <f ca="1">IF(B81&gt;=$J$5,0,CONTADORES!BZ77-CONTADORES!BZ76)</f>
        <v>0</v>
      </c>
      <c r="CB81" s="1409">
        <f ca="1">IF(B81&gt;=$J$5,0,(CONTADORES!CC77-CONTADORES!CC76)+(CONTADORES!CE77-CONTADORES!CE76))/1000</f>
        <v>1.7969999999999999</v>
      </c>
      <c r="CC81" s="1438">
        <f ca="1">IF(B81&gt;=$J$5,0,(CONTADORES!CD77-CONTADORES!CD76)+(CONTADORES!CF77-CONTADORES!CF76))/1000</f>
        <v>0.99399999999999999</v>
      </c>
      <c r="CD81" s="1409">
        <f ca="1">IF(B81&gt;=$J$5,0,CONTADORES!CA77-CONTADORES!CA76)</f>
        <v>7.7999999999992724</v>
      </c>
      <c r="CE81" s="1438">
        <f ca="1">IF(B81&gt;=$J$5,0,CONTADORES!CB77-CONTADORES!CB76)</f>
        <v>4.9000000000005457</v>
      </c>
      <c r="CF81" s="1438">
        <f t="shared" ca="1" si="51"/>
        <v>12.43349999999873</v>
      </c>
      <c r="CG81" s="1438">
        <f t="shared" ca="1" si="52"/>
        <v>9.3785000000001588</v>
      </c>
      <c r="CH81" s="1438">
        <f t="shared" ca="1" si="53"/>
        <v>4.6334999999994579</v>
      </c>
      <c r="CI81" s="1438">
        <f t="shared" ca="1" si="54"/>
        <v>0.84119999999985462</v>
      </c>
      <c r="CJ81" s="1438">
        <f t="shared" ca="1" si="55"/>
        <v>4.6334999999994579</v>
      </c>
      <c r="CK81" s="1438">
        <f t="shared" ca="1" si="56"/>
        <v>1.261799999999782</v>
      </c>
      <c r="CL81" s="1438">
        <f t="shared" ca="1" si="57"/>
        <v>2.6381999999998547</v>
      </c>
      <c r="CM81" s="1438">
        <f t="shared" ca="1" si="58"/>
        <v>4.4784999999996131</v>
      </c>
      <c r="CN81" s="1438">
        <f ca="1">IF(B81&gt;=$J$5,0,CONTADORES!CB77-CONTADORES!CB76)</f>
        <v>4.9000000000005457</v>
      </c>
      <c r="CO81" s="1438">
        <f t="shared" ca="1" si="59"/>
        <v>4.4784999999996131</v>
      </c>
      <c r="CP81" s="1438">
        <f t="shared" ca="1" si="60"/>
        <v>0.35300000000002274</v>
      </c>
      <c r="CQ81" s="1438">
        <f t="shared" ca="1" si="61"/>
        <v>0.35300000000002274</v>
      </c>
      <c r="CR81" s="1438">
        <f t="shared" ca="1" si="62"/>
        <v>1.3470000000000226</v>
      </c>
      <c r="CS81" s="1439">
        <f ca="1">IF($B81&gt;=$J$5,0,CONTADORES!$BI77)</f>
        <v>10031.639991222706</v>
      </c>
      <c r="CT81" s="1334">
        <f>CONTADORES!E77</f>
        <v>0</v>
      </c>
      <c r="CU81" s="1334">
        <f>CONTADORES!CG77</f>
        <v>0</v>
      </c>
    </row>
    <row r="82" spans="2:99">
      <c r="B82" s="390">
        <v>44998</v>
      </c>
      <c r="C82" s="198">
        <f t="shared" ca="1" si="35"/>
        <v>299</v>
      </c>
      <c r="D82" s="196">
        <f ca="1">'CALCULO DE GAS'!D84</f>
        <v>4.9145649538653373</v>
      </c>
      <c r="E82" s="196">
        <f ca="1">IF(B82&gt;=$J$5,0,(CONTADORES!$AD78-CONTADORES!$AD77)-$H82)</f>
        <v>24</v>
      </c>
      <c r="F82" s="198">
        <f t="shared" ca="1" si="34"/>
        <v>0</v>
      </c>
      <c r="G82" s="196">
        <f ca="1">IF(B82&gt;=$J$5,0,CONTADORES!$AF78-CONTADORES!$AF77)</f>
        <v>0</v>
      </c>
      <c r="H82" s="1396">
        <f ca="1">IF(G82&gt;0,CONTADORES!$AE78-CONTADORES!$AE77,0)</f>
        <v>0</v>
      </c>
      <c r="I82" s="199">
        <f ca="1">IF(B82&gt;=$J$5,0,CONTADORES!$AB78-CONTADORES!$AB77)</f>
        <v>299</v>
      </c>
      <c r="J82" s="198">
        <f t="shared" ca="1" si="36"/>
        <v>151.29999999999927</v>
      </c>
      <c r="K82" s="196">
        <f ca="1">'CALCULO DE GAS'!E84</f>
        <v>3.7101285448877741</v>
      </c>
      <c r="L82" s="1396">
        <f ca="1">IF(B82&gt;=$J$5,0,(CONTADORES!$Y78-CONTADORES!$Y77)-$O82)</f>
        <v>24</v>
      </c>
      <c r="M82" s="1396">
        <f t="shared" ca="1" si="33"/>
        <v>0</v>
      </c>
      <c r="N82" s="1396">
        <f ca="1">IF(B82&gt;=$J$5,0,CONTADORES!$AA78-CONTADORES!$AA77)</f>
        <v>0</v>
      </c>
      <c r="O82" s="1396">
        <f ca="1">IF(N82&gt;0,CONTADORES!$Z78-CONTADORES!$Z77,0)</f>
        <v>0</v>
      </c>
      <c r="P82" s="202">
        <f ca="1">IF(B82&gt;=$J$5,0,CONTADORES!$W78-CONTADORES!$W77)</f>
        <v>151.29999999999927</v>
      </c>
      <c r="Q82" s="202">
        <f ca="1">IF(B82&gt;=$J$5,0,CONTADORES!$B78-CONTADORES!$B77)</f>
        <v>8.3000000000083674E-2</v>
      </c>
      <c r="R82" s="196">
        <f t="shared" ca="1" si="37"/>
        <v>9.9600000000100408</v>
      </c>
      <c r="S82" s="11">
        <f ca="1">IF(B82&gt;=$J$5,0,CONTADORES!$D78-CONTADORES!$D77)</f>
        <v>0.8000000000001819</v>
      </c>
      <c r="T82" s="198">
        <f ca="1">IF(B82&gt;=$J$5,0,CONTADORES!$BB78-CONTADORES!$BB77)</f>
        <v>0.38499999999999091</v>
      </c>
      <c r="U82" s="196">
        <f t="shared" ca="1" si="38"/>
        <v>46.199999999998909</v>
      </c>
      <c r="V82" s="199">
        <f ca="1">IF(B82&gt;=$J$5,0,CONTADORES!$BD78-CONTADORES!$BD77)</f>
        <v>0.88000000000010914</v>
      </c>
      <c r="W82" s="1397">
        <f t="shared" ca="1" si="39"/>
        <v>450.29999999999927</v>
      </c>
      <c r="X82" s="1397">
        <f t="shared" ca="1" si="40"/>
        <v>0.46800000000007458</v>
      </c>
      <c r="Y82" s="1398">
        <f t="shared" ca="1" si="41"/>
        <v>450.76799999999935</v>
      </c>
      <c r="Z82" s="1398">
        <f t="shared" ca="1" si="42"/>
        <v>8.6246934987531105</v>
      </c>
      <c r="AA82" s="1398">
        <f t="shared" ca="1" si="43"/>
        <v>56.160000000008949</v>
      </c>
      <c r="AB82" s="1398">
        <f t="shared" ca="1" si="44"/>
        <v>48</v>
      </c>
      <c r="AC82" s="1397">
        <f t="shared" ca="1" si="45"/>
        <v>1.680000000000291</v>
      </c>
      <c r="AD82" s="1397">
        <f ca="1">IF(B82&gt;=$J$5,0,CONTADORES!H78-CONTADORES!H77)</f>
        <v>162</v>
      </c>
      <c r="AE82" s="1397">
        <f ca="1">IF(B82&gt;=$J$5,0,CONTADORES!J78-CONTADORES!J77)</f>
        <v>24</v>
      </c>
      <c r="AF82" s="1397">
        <f ca="1">IF(B82&gt;=$J$5,0,CONTADORES!AU78-CONTADORES!AU77)</f>
        <v>144</v>
      </c>
      <c r="AG82" s="1397">
        <f ca="1">IF(B82&gt;=$J$5,0,CONTADORES!AW78-CONTADORES!AW77)</f>
        <v>24</v>
      </c>
      <c r="AH82" s="1397">
        <f ca="1">IF(B82&gt;=$J$5,0,(CONTADORES!AM78-CONTADORES!AM77)+(CONTADORES!M78-CONTADORES!M77))</f>
        <v>17</v>
      </c>
      <c r="AI82" s="1397">
        <f ca="1">IF(B82&gt;=$J$5,0,(CONTADORES!AK78-CONTADORES!AK77)+(CONTADORES!O78-CONTADORES!O77))</f>
        <v>38.30000000000291</v>
      </c>
      <c r="AJ82" s="1397">
        <f ca="1">IF(B82&gt;=$J$5,0,(CONTADORES!AI78-CONTADORES!AI77))</f>
        <v>8.1999999999970896</v>
      </c>
      <c r="AK82" s="1397">
        <f ca="1">IF(B82&gt;=$J$5,0,(CONTADORES!Q78-CONTADORES!Q77))</f>
        <v>15</v>
      </c>
      <c r="AL82" s="1397">
        <f t="shared" ca="1" si="46"/>
        <v>36.96799999999638</v>
      </c>
      <c r="AM82" s="1397">
        <f ca="1">IF(B82&gt;=$J$5,0,(((CONTADORES!F78-CONTADORES!F77)+(CONTADORES!AQ78-CONTADORES!AQ77))))-BS82-AF82-AN82-BV82-BY82-CD82-CB82</f>
        <v>9.0250000000030024</v>
      </c>
      <c r="AN82" s="1397">
        <f ca="1">IF(B82&gt;=$J$5,0,(CONTADORES!AX78-CONTADORES!AX77)+(CONTADORES!AZ78-CONTADORES!AZ77)+(CONTADORES!BE78-CONTADORES!BE77))-CB82</f>
        <v>2.4649999999999093</v>
      </c>
      <c r="AO82" s="1437">
        <f ca="1">IF(B82&gt;=$J$5,0,(CONTADORES!AC78-CONTADORES!AC77))</f>
        <v>155</v>
      </c>
      <c r="AP82" s="1437">
        <f ca="1">IF(B82&gt;=$J$5,0,(CONTADORES!X78-CONTADORES!X77))</f>
        <v>76.200000000000728</v>
      </c>
      <c r="AQ82" s="1404">
        <f ca="1">IF(B82&gt;=$J$5,0,(CONTADORES!C78-CONTADORES!C77))</f>
        <v>0</v>
      </c>
      <c r="AR82" s="1399">
        <f ca="1">IF(B82&gt;=$J$5,0,(CONTADORES!BC78-CONTADORES!BC77))</f>
        <v>0.14499999999998181</v>
      </c>
      <c r="AS82" s="1397">
        <f ca="1">IF(B82&gt;=$J$5,0,CONTADORES!S78-CONTADORES!S77)</f>
        <v>17</v>
      </c>
      <c r="AT82" s="1397">
        <f ca="1">IF(B82&gt;=$J$5,0,(CONTADORES!U78-CONTADORES!U77)+(CONTADORES!AG78-CONTADORES!AG77))</f>
        <v>2.2000000000043656</v>
      </c>
      <c r="AU82" s="1409">
        <f>CONTADORES!I78-CONTADORES!I77</f>
        <v>83</v>
      </c>
      <c r="AV82" s="1438">
        <f>CONTADORES!AV78-CONTADORES!AV77</f>
        <v>63</v>
      </c>
      <c r="AW82" s="1438">
        <f ca="1">IF(B82&gt;=$J$5,0,(CONTADORES!N78-CONTADORES!N77)+(CONTADORES!AN78-CONTADORES!AN77))</f>
        <v>6.7999999999992724</v>
      </c>
      <c r="AX82" s="1438">
        <f ca="1">IF(B82&gt;=$J$5,0,(CONTADORES!P78-CONTADORES!P77)+(CONTADORES!AL78-CONTADORES!AL77))</f>
        <v>30.80000000000291</v>
      </c>
      <c r="AY82" s="1438">
        <f ca="1">IF(B82&gt;=$J$5,0,(CONTADORES!AJ78-CONTADORES!AJ77))</f>
        <v>6.3000000000029104</v>
      </c>
      <c r="AZ82" s="1438">
        <f ca="1">IF(B82&gt;=$J$5,0,(CONTADORES!R78-CONTADORES!R77))</f>
        <v>12</v>
      </c>
      <c r="BA82" s="1397">
        <f t="shared" ca="1" si="47"/>
        <v>13.610999999995983</v>
      </c>
      <c r="BB82" s="1397">
        <f ca="1">IF(B82&gt;=$J$5,0,(((CONTADORES!G78-CONTADORES!G77)+(CONTADORES!AR78-CONTADORES!AR77))))-AV82-BC82-BT82-BW82-BZ82-CE82</f>
        <v>7.4409999999996828</v>
      </c>
      <c r="BC82" s="1397">
        <f ca="1">IF(B82&gt;=$J$5,0,(CONTADORES!AY78-CONTADORES!AY77)+(CONTADORES!BA78-CONTADORES!BA77)+(CONTADORES!BF78-CONTADORES!BF77))-CC82</f>
        <v>1.3659999999999544</v>
      </c>
      <c r="BD82" s="1397">
        <f t="shared" ca="1" si="48"/>
        <v>231.34500000000071</v>
      </c>
      <c r="BE82" s="1409">
        <f ca="1">IF($B82&gt;=$J$5,0,CONTADORES!$BG78)</f>
        <v>6203.46</v>
      </c>
      <c r="BF82" s="1438">
        <f ca="1">IF($B82&gt;=$J$5,0,CONTADORES!$BH78)</f>
        <v>34191.271929824565</v>
      </c>
      <c r="BG82" s="1397">
        <f ca="1">IF($B82&gt;=$J$5,0,CONTADORES!$BJ78)</f>
        <v>5928.1</v>
      </c>
      <c r="BH82" s="1409">
        <f ca="1">IF(B82&gt;=$J$5,0,((CONTADORES!BK78-CONTADORES!BK77)/1000))</f>
        <v>1.395</v>
      </c>
      <c r="BI82" s="1409">
        <f ca="1">IF(C82&gt;=$J$5,0,((CONTADORES!BL78-CONTADORES!BL77)/1000))</f>
        <v>1.4219999999999999</v>
      </c>
      <c r="BJ82" s="1399">
        <f ca="1">IF(C82&gt;=$J$5,0,((CONTADORES!BM78-CONTADORES!BM77)/1000))</f>
        <v>0</v>
      </c>
      <c r="BK82" s="1399">
        <f ca="1">IF(D82&gt;=$J$5,0,((CONTADORES!BN78-CONTADORES!BN77)/1000))</f>
        <v>0</v>
      </c>
      <c r="BL82" s="1399">
        <f t="shared" ca="1" si="49"/>
        <v>1.395</v>
      </c>
      <c r="BM82" s="1399">
        <f t="shared" ca="1" si="50"/>
        <v>1.4219999999999999</v>
      </c>
      <c r="BN82" s="1409">
        <f ca="1">IF(W82&gt;=$J$5,0,CONTADORES!$BO78)</f>
        <v>132.419803452065</v>
      </c>
      <c r="BO82" s="1438">
        <f ca="1">IF(W82&gt;=$J$5,0,CONTADORES!$BP78)</f>
        <v>45.594054416928103</v>
      </c>
      <c r="BP82" s="1397">
        <f ca="1">IF(W82&gt;=$J$5,0,CONTADORES!$BQ78)</f>
        <v>664.321790560355</v>
      </c>
      <c r="BQ82" s="1397">
        <f ca="1">IF(B82&gt;=$J$5,0,(CONTADORES!AS78-CONTADORES!AS77))</f>
        <v>4.8000000000029104</v>
      </c>
      <c r="BR82" s="1397">
        <f ca="1">IF(B82&gt;=$J$5,0,(CONTADORES!AT78-CONTADORES!AT77))</f>
        <v>0</v>
      </c>
      <c r="BS82" s="1409">
        <f ca="1">IF(B82&gt;=$J$5,0,CONTADORES!BR78-CONTADORES!BR77)/1000</f>
        <v>2.1840000000000002</v>
      </c>
      <c r="BT82" s="1438">
        <f ca="1">IF(B82&gt;=$J$5,0,CONTADORES!BS78-CONTADORES!BS77)</f>
        <v>1</v>
      </c>
      <c r="BU82" s="1438">
        <f ca="1">IF(B82&gt;=$J$5,0,CONTADORES!BT78-CONTADORES!BT77)</f>
        <v>24</v>
      </c>
      <c r="BV82" s="1438">
        <f ca="1">IF(B82&gt;=$J$5,0,CONTADORES!BU78-CONTADORES!BU77)/1000</f>
        <v>5.9909999999999997</v>
      </c>
      <c r="BW82" s="1438">
        <f ca="1">IF(B82&gt;=$J$5,0,CONTADORES!BV78-CONTADORES!BV77)/1000</f>
        <v>9.2999999999999999E-2</v>
      </c>
      <c r="BX82" s="1438">
        <f ca="1">IF(B82&gt;=$J$5,0,CONTADORES!BW78-CONTADORES!BW77)</f>
        <v>24</v>
      </c>
      <c r="BY82" s="1438">
        <f ca="1">IF(B82&gt;=$J$5,0,CONTADORES!BX78-CONTADORES!BX77)/1000</f>
        <v>0</v>
      </c>
      <c r="BZ82" s="1438">
        <f ca="1">IF(B82&gt;=$J$5,0,CONTADORES!BY78-CONTADORES!BY77)/1000</f>
        <v>0</v>
      </c>
      <c r="CA82" s="1438">
        <f ca="1">IF(B82&gt;=$J$5,0,CONTADORES!BZ78-CONTADORES!BZ77)</f>
        <v>0</v>
      </c>
      <c r="CB82" s="1409">
        <f ca="1">IF(B82&gt;=$J$5,0,(CONTADORES!CC78-CONTADORES!CC77)+(CONTADORES!CE78-CONTADORES!CE77))/1000</f>
        <v>1.635</v>
      </c>
      <c r="CC82" s="1438">
        <f ca="1">IF(B82&gt;=$J$5,0,(CONTADORES!CD78-CONTADORES!CD77)+(CONTADORES!CF78-CONTADORES!CF77))/1000</f>
        <v>0.93400000000000005</v>
      </c>
      <c r="CD82" s="1409">
        <f ca="1">IF(B82&gt;=$J$5,0,CONTADORES!CA78-CONTADORES!CA77)</f>
        <v>8</v>
      </c>
      <c r="CE82" s="1438">
        <f ca="1">IF(B82&gt;=$J$5,0,CONTADORES!CB78-CONTADORES!CB77)</f>
        <v>5</v>
      </c>
      <c r="CF82" s="1438">
        <f t="shared" ca="1" si="51"/>
        <v>12.512500000001502</v>
      </c>
      <c r="CG82" s="1438">
        <f t="shared" ca="1" si="52"/>
        <v>8.7204999999998414</v>
      </c>
      <c r="CH82" s="1438">
        <f t="shared" ca="1" si="53"/>
        <v>4.5125000000015012</v>
      </c>
      <c r="CI82" s="1438">
        <f t="shared" ca="1" si="54"/>
        <v>0.98599999999996379</v>
      </c>
      <c r="CJ82" s="1438">
        <f t="shared" ca="1" si="55"/>
        <v>4.5125000000015012</v>
      </c>
      <c r="CK82" s="1438">
        <f t="shared" ca="1" si="56"/>
        <v>1.4789999999999455</v>
      </c>
      <c r="CL82" s="1438">
        <f t="shared" ca="1" si="57"/>
        <v>2.620999999999964</v>
      </c>
      <c r="CM82" s="1438">
        <f t="shared" ca="1" si="58"/>
        <v>3.7204999999998414</v>
      </c>
      <c r="CN82" s="1438">
        <f ca="1">IF(B82&gt;=$J$5,0,CONTADORES!CB78-CONTADORES!CB77)</f>
        <v>5</v>
      </c>
      <c r="CO82" s="1438">
        <f t="shared" ca="1" si="59"/>
        <v>3.7204999999998414</v>
      </c>
      <c r="CP82" s="1438">
        <f t="shared" ca="1" si="60"/>
        <v>0.68299999999997718</v>
      </c>
      <c r="CQ82" s="1438">
        <f t="shared" ca="1" si="61"/>
        <v>0.68299999999997718</v>
      </c>
      <c r="CR82" s="1438">
        <f t="shared" ca="1" si="62"/>
        <v>1.6169999999999773</v>
      </c>
      <c r="CS82" s="1439">
        <f ca="1">IF($B82&gt;=$J$5,0,CONTADORES!$BI78)</f>
        <v>10091.563863011041</v>
      </c>
      <c r="CT82" s="1334">
        <f>CONTADORES!E78</f>
        <v>1</v>
      </c>
      <c r="CU82" s="1334">
        <f>CONTADORES!CG78</f>
        <v>1</v>
      </c>
    </row>
    <row r="83" spans="2:99">
      <c r="B83" s="390">
        <v>44999</v>
      </c>
      <c r="C83" s="198">
        <f t="shared" ca="1" si="35"/>
        <v>288.69999999995343</v>
      </c>
      <c r="D83" s="196">
        <f ca="1">'CALCULO DE GAS'!D85</f>
        <v>4.8305724351617156</v>
      </c>
      <c r="E83" s="196">
        <f ca="1">IF(B83&gt;=$J$5,0,(CONTADORES!$AD79-CONTADORES!$AD78)-$H83)</f>
        <v>24</v>
      </c>
      <c r="F83" s="198">
        <f t="shared" ca="1" si="34"/>
        <v>0</v>
      </c>
      <c r="G83" s="196">
        <f ca="1">IF(B83&gt;=$J$5,0,CONTADORES!$AF79-CONTADORES!$AF78)</f>
        <v>0</v>
      </c>
      <c r="H83" s="1396">
        <f ca="1">IF(G83&gt;0,CONTADORES!$AE79-CONTADORES!$AE78,0)</f>
        <v>0</v>
      </c>
      <c r="I83" s="199">
        <f ca="1">IF(B83&gt;=$J$5,0,CONTADORES!$AB79-CONTADORES!$AB78)</f>
        <v>288.69999999995343</v>
      </c>
      <c r="J83" s="198">
        <f t="shared" ca="1" si="36"/>
        <v>145.60000000000218</v>
      </c>
      <c r="K83" s="196">
        <f ca="1">'CALCULO DE GAS'!E85</f>
        <v>3.6636472481296938</v>
      </c>
      <c r="L83" s="1396">
        <f ca="1">IF(B83&gt;=$J$5,0,(CONTADORES!$Y79-CONTADORES!$Y78)-$O83)</f>
        <v>24</v>
      </c>
      <c r="M83" s="1396">
        <f t="shared" ca="1" si="33"/>
        <v>0</v>
      </c>
      <c r="N83" s="1396">
        <f ca="1">IF(B83&gt;=$J$5,0,CONTADORES!$AA79-CONTADORES!$AA78)</f>
        <v>0</v>
      </c>
      <c r="O83" s="1396">
        <f ca="1">IF(N83&gt;0,CONTADORES!$Z79-CONTADORES!$Z78,0)</f>
        <v>0</v>
      </c>
      <c r="P83" s="202">
        <f ca="1">IF(B83&gt;=$J$5,0,CONTADORES!$W79-CONTADORES!$W78)</f>
        <v>145.60000000000218</v>
      </c>
      <c r="Q83" s="202">
        <f ca="1">IF(B83&gt;=$J$5,0,CONTADORES!$B79-CONTADORES!$B78)</f>
        <v>0</v>
      </c>
      <c r="R83" s="196">
        <f t="shared" ca="1" si="37"/>
        <v>0</v>
      </c>
      <c r="S83" s="11">
        <f ca="1">IF(B83&gt;=$J$5,0,CONTADORES!$D79-CONTADORES!$D78)</f>
        <v>0</v>
      </c>
      <c r="T83" s="198">
        <f ca="1">IF(B83&gt;=$J$5,0,CONTADORES!$BB79-CONTADORES!$BB78)</f>
        <v>0</v>
      </c>
      <c r="U83" s="196">
        <f t="shared" ca="1" si="38"/>
        <v>0</v>
      </c>
      <c r="V83" s="199">
        <f ca="1">IF(B83&gt;=$J$5,0,CONTADORES!$BD79-CONTADORES!$BD78)</f>
        <v>0</v>
      </c>
      <c r="W83" s="1397">
        <f t="shared" ca="1" si="39"/>
        <v>434.29999999995562</v>
      </c>
      <c r="X83" s="1397">
        <f t="shared" ca="1" si="40"/>
        <v>0</v>
      </c>
      <c r="Y83" s="1398">
        <f t="shared" ca="1" si="41"/>
        <v>434.29999999995562</v>
      </c>
      <c r="Z83" s="1398">
        <f t="shared" ca="1" si="42"/>
        <v>8.4942196832914085</v>
      </c>
      <c r="AA83" s="1398">
        <f t="shared" ca="1" si="43"/>
        <v>0</v>
      </c>
      <c r="AB83" s="1398">
        <f t="shared" ca="1" si="44"/>
        <v>48</v>
      </c>
      <c r="AC83" s="1397">
        <f t="shared" ca="1" si="45"/>
        <v>0</v>
      </c>
      <c r="AD83" s="1397">
        <f ca="1">IF(B83&gt;=$J$5,0,CONTADORES!H79-CONTADORES!H78)</f>
        <v>157.40000000002328</v>
      </c>
      <c r="AE83" s="1397">
        <f ca="1">IF(B83&gt;=$J$5,0,CONTADORES!J79-CONTADORES!J78)</f>
        <v>22.600000000005821</v>
      </c>
      <c r="AF83" s="1397">
        <f ca="1">IF(B83&gt;=$J$5,0,CONTADORES!AU79-CONTADORES!AU78)</f>
        <v>143.40000000002328</v>
      </c>
      <c r="AG83" s="1397">
        <f ca="1">IF(B83&gt;=$J$5,0,CONTADORES!AW79-CONTADORES!AW78)</f>
        <v>24</v>
      </c>
      <c r="AH83" s="1397">
        <f ca="1">IF(B83&gt;=$J$5,0,(CONTADORES!AM79-CONTADORES!AM78)+(CONTADORES!M79-CONTADORES!M78))</f>
        <v>7.1999999999970896</v>
      </c>
      <c r="AI83" s="1397">
        <f ca="1">IF(B83&gt;=$J$5,0,(CONTADORES!AK79-CONTADORES!AK78)+(CONTADORES!O79-CONTADORES!O78))</f>
        <v>39</v>
      </c>
      <c r="AJ83" s="1397">
        <f ca="1">IF(B83&gt;=$J$5,0,(CONTADORES!AI79-CONTADORES!AI78))</f>
        <v>8.1000000000058208</v>
      </c>
      <c r="AK83" s="1397">
        <f ca="1">IF(B83&gt;=$J$5,0,(CONTADORES!Q79-CONTADORES!Q78))</f>
        <v>15.700000000011642</v>
      </c>
      <c r="AL83" s="1397">
        <f t="shared" ca="1" si="46"/>
        <v>33.299999999908266</v>
      </c>
      <c r="AM83" s="1397">
        <f ca="1">IF(B83&gt;=$J$5,0,(((CONTADORES!F79-CONTADORES!F78)+(CONTADORES!AQ79-CONTADORES!AQ78))))-BS83-AF83-AN83-BV83-BY83-CD83-CB83</f>
        <v>10.750999999985178</v>
      </c>
      <c r="AN83" s="1397">
        <f ca="1">IF(B83&gt;=$J$5,0,(CONTADORES!AX79-CONTADORES!AX78)+(CONTADORES!AZ79-CONTADORES!AZ78)+(CONTADORES!BE79-CONTADORES!BE78))-CB83</f>
        <v>3.289999999999909</v>
      </c>
      <c r="AO83" s="1437">
        <f ca="1">IF(B83&gt;=$J$5,0,(CONTADORES!AC79-CONTADORES!AC78))</f>
        <v>144.70000000001164</v>
      </c>
      <c r="AP83" s="1437">
        <f ca="1">IF(B83&gt;=$J$5,0,(CONTADORES!X79-CONTADORES!X78))</f>
        <v>79.899999999999636</v>
      </c>
      <c r="AQ83" s="1404">
        <f ca="1">IF(B83&gt;=$J$5,0,(CONTADORES!C79-CONTADORES!C78))</f>
        <v>0</v>
      </c>
      <c r="AR83" s="1399">
        <f ca="1">IF(B83&gt;=$J$5,0,(CONTADORES!BC79-CONTADORES!BC78))</f>
        <v>0</v>
      </c>
      <c r="AS83" s="1397">
        <f ca="1">IF(B83&gt;=$J$5,0,CONTADORES!S79-CONTADORES!S78)</f>
        <v>18.399999999994179</v>
      </c>
      <c r="AT83" s="1397">
        <f ca="1">IF(B83&gt;=$J$5,0,(CONTADORES!U79-CONTADORES!U78)+(CONTADORES!AG79-CONTADORES!AG78))</f>
        <v>2.1999999999970896</v>
      </c>
      <c r="AU83" s="1409">
        <f>CONTADORES!I79-CONTADORES!I78</f>
        <v>80</v>
      </c>
      <c r="AV83" s="1438">
        <f>CONTADORES!AV79-CONTADORES!AV78</f>
        <v>62.700000000011642</v>
      </c>
      <c r="AW83" s="1438">
        <f ca="1">IF(B83&gt;=$J$5,0,(CONTADORES!N79-CONTADORES!N78)+(CONTADORES!AN79-CONTADORES!AN78))</f>
        <v>2.7999999999992724</v>
      </c>
      <c r="AX83" s="1438">
        <f ca="1">IF(B83&gt;=$J$5,0,(CONTADORES!P79-CONTADORES!P78)+(CONTADORES!AL79-CONTADORES!AL78))</f>
        <v>31.399999999994179</v>
      </c>
      <c r="AY83" s="1438">
        <f ca="1">IF(B83&gt;=$J$5,0,(CONTADORES!AJ79-CONTADORES!AJ78))</f>
        <v>6.3000000000029104</v>
      </c>
      <c r="AZ83" s="1438">
        <f ca="1">IF(B83&gt;=$J$5,0,(CONTADORES!R79-CONTADORES!R78))</f>
        <v>13.19999999999709</v>
      </c>
      <c r="BA83" s="1397">
        <f t="shared" ca="1" si="47"/>
        <v>11.304000000006198</v>
      </c>
      <c r="BB83" s="1397">
        <f ca="1">IF(B83&gt;=$J$5,0,(((CONTADORES!G79-CONTADORES!G78)+(CONTADORES!AR79-CONTADORES!AR78))))-AV83-BC83-BT83-BW83-BZ83-CE83</f>
        <v>8.5410000000002402</v>
      </c>
      <c r="BC83" s="1397">
        <f ca="1">IF(B83&gt;=$J$5,0,(CONTADORES!AY79-CONTADORES!AY78)+(CONTADORES!BA79-CONTADORES!BA78)+(CONTADORES!BF79-CONTADORES!BF78))-CC83</f>
        <v>2.1039999999999432</v>
      </c>
      <c r="BD83" s="1397">
        <f t="shared" ca="1" si="48"/>
        <v>224.60000000001128</v>
      </c>
      <c r="BE83" s="1409">
        <f ca="1">IF($B83&gt;=$J$5,0,CONTADORES!$BG79)</f>
        <v>6523.02</v>
      </c>
      <c r="BF83" s="1438">
        <f ca="1">IF($B83&gt;=$J$5,0,CONTADORES!$BH79)</f>
        <v>35288.584210526315</v>
      </c>
      <c r="BG83" s="1397">
        <f ca="1">IF($B83&gt;=$J$5,0,CONTADORES!$BJ79)</f>
        <v>5443.72</v>
      </c>
      <c r="BH83" s="1409">
        <f ca="1">IF(B83&gt;=$J$5,0,((CONTADORES!BK79-CONTADORES!BK78)/1000))</f>
        <v>1.387</v>
      </c>
      <c r="BI83" s="1409">
        <f ca="1">IF(C83&gt;=$J$5,0,((CONTADORES!BL79-CONTADORES!BL78)/1000))</f>
        <v>1.41</v>
      </c>
      <c r="BJ83" s="1399">
        <f ca="1">IF(C83&gt;=$J$5,0,((CONTADORES!BM79-CONTADORES!BM78)/1000))</f>
        <v>0</v>
      </c>
      <c r="BK83" s="1399">
        <f ca="1">IF(D83&gt;=$J$5,0,((CONTADORES!BN79-CONTADORES!BN78)/1000))</f>
        <v>0</v>
      </c>
      <c r="BL83" s="1399">
        <f t="shared" ca="1" si="49"/>
        <v>1.387</v>
      </c>
      <c r="BM83" s="1399">
        <f t="shared" ca="1" si="50"/>
        <v>1.41</v>
      </c>
      <c r="BN83" s="1409">
        <f ca="1">IF(W83&gt;=$J$5,0,CONTADORES!$BO79)</f>
        <v>130.62004544957136</v>
      </c>
      <c r="BO83" s="1438">
        <f ca="1">IF(W83&gt;=$J$5,0,CONTADORES!$BP79)</f>
        <v>45.904382718473514</v>
      </c>
      <c r="BP83" s="1397">
        <f ca="1">IF(W83&gt;=$J$5,0,CONTADORES!$BQ79)</f>
        <v>661.2123120345268</v>
      </c>
      <c r="BQ83" s="1397">
        <f ca="1">IF(B83&gt;=$J$5,0,(CONTADORES!AS79-CONTADORES!AS78))</f>
        <v>5.1999999999970896</v>
      </c>
      <c r="BR83" s="1397">
        <f ca="1">IF(B83&gt;=$J$5,0,(CONTADORES!AT79-CONTADORES!AT78))</f>
        <v>0</v>
      </c>
      <c r="BS83" s="1409">
        <f ca="1">IF(B83&gt;=$J$5,0,CONTADORES!BR79-CONTADORES!BR78)/1000</f>
        <v>2.1840000000000002</v>
      </c>
      <c r="BT83" s="1438">
        <f ca="1">IF(B83&gt;=$J$5,0,CONTADORES!BS79-CONTADORES!BS78)</f>
        <v>1</v>
      </c>
      <c r="BU83" s="1438">
        <f ca="1">IF(B83&gt;=$J$5,0,CONTADORES!BT79-CONTADORES!BT78)</f>
        <v>24</v>
      </c>
      <c r="BV83" s="1438">
        <f ca="1">IF(B83&gt;=$J$5,0,CONTADORES!BU79-CONTADORES!BU78)/1000</f>
        <v>5.8650000000000002</v>
      </c>
      <c r="BW83" s="1438">
        <f ca="1">IF(B83&gt;=$J$5,0,CONTADORES!BV79-CONTADORES!BV78)/1000</f>
        <v>0.155</v>
      </c>
      <c r="BX83" s="1438">
        <f ca="1">IF(B83&gt;=$J$5,0,CONTADORES!BW79-CONTADORES!BW78)</f>
        <v>24</v>
      </c>
      <c r="BY83" s="1438">
        <f ca="1">IF(B83&gt;=$J$5,0,CONTADORES!BX79-CONTADORES!BX78)/1000</f>
        <v>0</v>
      </c>
      <c r="BZ83" s="1438">
        <f ca="1">IF(B83&gt;=$J$5,0,CONTADORES!BY79-CONTADORES!BY78)/1000</f>
        <v>0</v>
      </c>
      <c r="CA83" s="1438">
        <f ca="1">IF(B83&gt;=$J$5,0,CONTADORES!BZ79-CONTADORES!BZ78)</f>
        <v>0</v>
      </c>
      <c r="CB83" s="1409">
        <f ca="1">IF(B83&gt;=$J$5,0,(CONTADORES!CC79-CONTADORES!CC78)+(CONTADORES!CE79-CONTADORES!CE78))/1000</f>
        <v>0.81</v>
      </c>
      <c r="CC83" s="1438">
        <f ca="1">IF(B83&gt;=$J$5,0,(CONTADORES!CD79-CONTADORES!CD78)+(CONTADORES!CF79-CONTADORES!CF78))/1000</f>
        <v>0.39600000000000002</v>
      </c>
      <c r="CD83" s="1409">
        <f ca="1">IF(B83&gt;=$J$5,0,CONTADORES!CA79-CONTADORES!CA78)</f>
        <v>7.3000000000010914</v>
      </c>
      <c r="CE83" s="1438">
        <f ca="1">IF(B83&gt;=$J$5,0,CONTADORES!CB79-CONTADORES!CB78)</f>
        <v>4.6999999999998181</v>
      </c>
      <c r="CF83" s="1438">
        <f t="shared" ca="1" si="51"/>
        <v>12.675499999993679</v>
      </c>
      <c r="CG83" s="1438">
        <f t="shared" ca="1" si="52"/>
        <v>8.9704999999999373</v>
      </c>
      <c r="CH83" s="1438">
        <f t="shared" ca="1" si="53"/>
        <v>5.3754999999925888</v>
      </c>
      <c r="CI83" s="1438">
        <f t="shared" ca="1" si="54"/>
        <v>1.3159999999999636</v>
      </c>
      <c r="CJ83" s="1438">
        <f t="shared" ca="1" si="55"/>
        <v>5.3754999999925888</v>
      </c>
      <c r="CK83" s="1438">
        <f t="shared" ca="1" si="56"/>
        <v>1.9739999999999454</v>
      </c>
      <c r="CL83" s="1438">
        <f t="shared" ca="1" si="57"/>
        <v>2.1259999999999639</v>
      </c>
      <c r="CM83" s="1438">
        <f t="shared" ca="1" si="58"/>
        <v>4.2705000000001201</v>
      </c>
      <c r="CN83" s="1438">
        <f ca="1">IF(B83&gt;=$J$5,0,CONTADORES!CB79-CONTADORES!CB78)</f>
        <v>4.6999999999998181</v>
      </c>
      <c r="CO83" s="1438">
        <f t="shared" ca="1" si="59"/>
        <v>4.2705000000001201</v>
      </c>
      <c r="CP83" s="1438">
        <f t="shared" ca="1" si="60"/>
        <v>1.0519999999999716</v>
      </c>
      <c r="CQ83" s="1438">
        <f t="shared" ca="1" si="61"/>
        <v>1.0519999999999716</v>
      </c>
      <c r="CR83" s="1438">
        <f t="shared" ca="1" si="62"/>
        <v>1.4479999999999715</v>
      </c>
      <c r="CS83" s="1439">
        <f ca="1">IF($B83&gt;=$J$5,0,CONTADORES!$BI79)</f>
        <v>9739.650116144021</v>
      </c>
      <c r="CT83" s="1334">
        <f>CONTADORES!E79</f>
        <v>0</v>
      </c>
      <c r="CU83" s="1334">
        <f>CONTADORES!CG79</f>
        <v>0</v>
      </c>
    </row>
    <row r="84" spans="2:99">
      <c r="B84" s="390">
        <v>45000</v>
      </c>
      <c r="C84" s="198">
        <f t="shared" ca="1" si="35"/>
        <v>295.80000000004657</v>
      </c>
      <c r="D84" s="196">
        <f ca="1">'CALCULO DE GAS'!D86</f>
        <v>4.8884701907734467</v>
      </c>
      <c r="E84" s="196">
        <f ca="1">IF(B84&gt;=$J$5,0,(CONTADORES!$AD80-CONTADORES!$AD79)-$H84)</f>
        <v>24</v>
      </c>
      <c r="F84" s="198">
        <f t="shared" ca="1" si="34"/>
        <v>0</v>
      </c>
      <c r="G84" s="196">
        <f ca="1">IF(B84&gt;=$J$5,0,CONTADORES!$AF80-CONTADORES!$AF79)</f>
        <v>0</v>
      </c>
      <c r="H84" s="1396">
        <f ca="1">IF(G84&gt;0,CONTADORES!$AE80-CONTADORES!$AE79,0)</f>
        <v>0</v>
      </c>
      <c r="I84" s="199">
        <f ca="1">IF(B84&gt;=$J$5,0,CONTADORES!$AB80-CONTADORES!$AB79)</f>
        <v>295.80000000004657</v>
      </c>
      <c r="J84" s="198">
        <f t="shared" ca="1" si="36"/>
        <v>148.59999999999854</v>
      </c>
      <c r="K84" s="196">
        <f ca="1">'CALCULO DE GAS'!E86</f>
        <v>3.6881110885286663</v>
      </c>
      <c r="L84" s="1396">
        <f ca="1">IF(B84&gt;=$J$5,0,(CONTADORES!$Y80-CONTADORES!$Y79)-$O84)</f>
        <v>24</v>
      </c>
      <c r="M84" s="1396">
        <f t="shared" ca="1" si="33"/>
        <v>0</v>
      </c>
      <c r="N84" s="1396">
        <f ca="1">IF(B84&gt;=$J$5,0,CONTADORES!$AA80-CONTADORES!$AA79)</f>
        <v>0</v>
      </c>
      <c r="O84" s="1396">
        <f ca="1">IF(N84&gt;0,CONTADORES!$Z80-CONTADORES!$Z79,0)</f>
        <v>0</v>
      </c>
      <c r="P84" s="202">
        <f ca="1">IF(B84&gt;=$J$5,0,CONTADORES!$W80-CONTADORES!$W79)</f>
        <v>148.59999999999854</v>
      </c>
      <c r="Q84" s="202">
        <f ca="1">IF(B84&gt;=$J$5,0,CONTADORES!$B80-CONTADORES!$B79)</f>
        <v>0</v>
      </c>
      <c r="R84" s="196">
        <f t="shared" ca="1" si="37"/>
        <v>0</v>
      </c>
      <c r="S84" s="11">
        <f ca="1">IF(B84&gt;=$J$5,0,CONTADORES!$D80-CONTADORES!$D79)</f>
        <v>0</v>
      </c>
      <c r="T84" s="198">
        <f ca="1">IF(B84&gt;=$J$5,0,CONTADORES!$BB80-CONTADORES!$BB79)</f>
        <v>0</v>
      </c>
      <c r="U84" s="196">
        <f t="shared" ca="1" si="38"/>
        <v>0</v>
      </c>
      <c r="V84" s="199">
        <f ca="1">IF(B84&gt;=$J$5,0,CONTADORES!$BD80-CONTADORES!$BD79)</f>
        <v>0</v>
      </c>
      <c r="W84" s="1397">
        <f t="shared" ca="1" si="39"/>
        <v>444.40000000004511</v>
      </c>
      <c r="X84" s="1397">
        <f t="shared" ca="1" si="40"/>
        <v>0</v>
      </c>
      <c r="Y84" s="1398">
        <f t="shared" ca="1" si="41"/>
        <v>444.40000000004511</v>
      </c>
      <c r="Z84" s="1398">
        <f t="shared" ca="1" si="42"/>
        <v>8.576581279302113</v>
      </c>
      <c r="AA84" s="1398">
        <f t="shared" ca="1" si="43"/>
        <v>0</v>
      </c>
      <c r="AB84" s="1398">
        <f t="shared" ca="1" si="44"/>
        <v>48</v>
      </c>
      <c r="AC84" s="1397">
        <f t="shared" ca="1" si="45"/>
        <v>0</v>
      </c>
      <c r="AD84" s="1397">
        <f ca="1">IF(B84&gt;=$J$5,0,CONTADORES!H80-CONTADORES!H79)</f>
        <v>170.69999999995343</v>
      </c>
      <c r="AE84" s="1397">
        <f ca="1">IF(B84&gt;=$J$5,0,CONTADORES!J80-CONTADORES!J79)</f>
        <v>24</v>
      </c>
      <c r="AF84" s="1397">
        <f ca="1">IF(B84&gt;=$J$5,0,CONTADORES!AU80-CONTADORES!AU79)</f>
        <v>143.79999999998836</v>
      </c>
      <c r="AG84" s="1397">
        <f ca="1">IF(B84&gt;=$J$5,0,CONTADORES!AW80-CONTADORES!AW79)</f>
        <v>24</v>
      </c>
      <c r="AH84" s="1397">
        <f ca="1">IF(B84&gt;=$J$5,0,(CONTADORES!AM80-CONTADORES!AM79)+(CONTADORES!M80-CONTADORES!M79))</f>
        <v>8.3000000000029104</v>
      </c>
      <c r="AI84" s="1397">
        <f ca="1">IF(B84&gt;=$J$5,0,(CONTADORES!AK80-CONTADORES!AK79)+(CONTADORES!O80-CONTADORES!O79))</f>
        <v>37.80000000000291</v>
      </c>
      <c r="AJ84" s="1397">
        <f ca="1">IF(B84&gt;=$J$5,0,(CONTADORES!AI80-CONTADORES!AI79))</f>
        <v>6.6999999999970896</v>
      </c>
      <c r="AK84" s="1397">
        <f ca="1">IF(B84&gt;=$J$5,0,(CONTADORES!Q80-CONTADORES!Q79))</f>
        <v>14.799999999988358</v>
      </c>
      <c r="AL84" s="1397">
        <f t="shared" ca="1" si="46"/>
        <v>32.600000000122293</v>
      </c>
      <c r="AM84" s="1397">
        <f ca="1">IF(B84&gt;=$J$5,0,(((CONTADORES!F80-CONTADORES!F79)+(CONTADORES!AQ80-CONTADORES!AQ79))))-BS84-AF84-AN84-BV84-BY84-CD84-CB84</f>
        <v>11.015999999989983</v>
      </c>
      <c r="AN84" s="1397">
        <f ca="1">IF(B84&gt;=$J$5,0,(CONTADORES!AX80-CONTADORES!AX79)+(CONTADORES!AZ80-CONTADORES!AZ79)+(CONTADORES!BE80-CONTADORES!BE79))-CB84</f>
        <v>2.5200000000005458</v>
      </c>
      <c r="AO84" s="1437">
        <f ca="1">IF(B84&gt;=$J$5,0,(CONTADORES!AC80-CONTADORES!AC79))</f>
        <v>148.29999999998836</v>
      </c>
      <c r="AP84" s="1437">
        <f ca="1">IF(B84&gt;=$J$5,0,(CONTADORES!X80-CONTADORES!X79))</f>
        <v>78.199999999998909</v>
      </c>
      <c r="AQ84" s="1404">
        <f ca="1">IF(B84&gt;=$J$5,0,(CONTADORES!C80-CONTADORES!C79))</f>
        <v>0</v>
      </c>
      <c r="AR84" s="1399">
        <f ca="1">IF(B84&gt;=$J$5,0,(CONTADORES!BC80-CONTADORES!BC79))</f>
        <v>0</v>
      </c>
      <c r="AS84" s="1397">
        <f ca="1">IF(B84&gt;=$J$5,0,CONTADORES!S80-CONTADORES!S79)</f>
        <v>17.300000000017462</v>
      </c>
      <c r="AT84" s="1397">
        <f ca="1">IF(B84&gt;=$J$5,0,(CONTADORES!U80-CONTADORES!U79)+(CONTADORES!AG80-CONTADORES!AG79))</f>
        <v>2.0999999999985448</v>
      </c>
      <c r="AU84" s="1409">
        <f>CONTADORES!I80-CONTADORES!I79</f>
        <v>85.799999999988358</v>
      </c>
      <c r="AV84" s="1438">
        <f>CONTADORES!AV80-CONTADORES!AV79</f>
        <v>62.599999999976717</v>
      </c>
      <c r="AW84" s="1438">
        <f ca="1">IF(B84&gt;=$J$5,0,(CONTADORES!N80-CONTADORES!N79)+(CONTADORES!AN80-CONTADORES!AN79))</f>
        <v>3</v>
      </c>
      <c r="AX84" s="1438">
        <f ca="1">IF(B84&gt;=$J$5,0,(CONTADORES!P80-CONTADORES!P79)+(CONTADORES!AL80-CONTADORES!AL79))</f>
        <v>30.30000000000291</v>
      </c>
      <c r="AY84" s="1438">
        <f ca="1">IF(B84&gt;=$J$5,0,(CONTADORES!AJ80-CONTADORES!AJ79))</f>
        <v>5.1999999999970896</v>
      </c>
      <c r="AZ84" s="1438">
        <f ca="1">IF(B84&gt;=$J$5,0,(CONTADORES!R80-CONTADORES!R79))</f>
        <v>12.30000000000291</v>
      </c>
      <c r="BA84" s="1397">
        <f t="shared" ca="1" si="47"/>
        <v>10.951000000018922</v>
      </c>
      <c r="BB84" s="1397">
        <f ca="1">IF(B84&gt;=$J$5,0,(((CONTADORES!G80-CONTADORES!G79)+(CONTADORES!AR80-CONTADORES!AR79))))-AV84-BC84-BT84-BW84-BZ84-CE84</f>
        <v>8.8020000000007084</v>
      </c>
      <c r="BC84" s="1397">
        <f ca="1">IF(B84&gt;=$J$5,0,(CONTADORES!AY80-CONTADORES!AY79)+(CONTADORES!BA80-CONTADORES!BA79)+(CONTADORES!BF80-CONTADORES!BF79))-CC84</f>
        <v>1.2510000000000567</v>
      </c>
      <c r="BD84" s="1397">
        <f t="shared" ca="1" si="48"/>
        <v>226.49999999998727</v>
      </c>
      <c r="BE84" s="1409">
        <f ca="1">IF($B84&gt;=$J$5,0,CONTADORES!$BG80)</f>
        <v>5957.77</v>
      </c>
      <c r="BF84" s="1438">
        <f ca="1">IF($B84&gt;=$J$5,0,CONTADORES!$BH80)</f>
        <v>35231.531578947397</v>
      </c>
      <c r="BG84" s="1397">
        <f ca="1">IF($B84&gt;=$J$5,0,CONTADORES!$BJ80)</f>
        <v>5346.19</v>
      </c>
      <c r="BH84" s="1409">
        <f ca="1">IF(B84&gt;=$J$5,0,((CONTADORES!BK80-CONTADORES!BK79)/1000))</f>
        <v>1.3919999999999999</v>
      </c>
      <c r="BI84" s="1409">
        <f ca="1">IF(C84&gt;=$J$5,0,((CONTADORES!BL80-CONTADORES!BL79)/1000))</f>
        <v>1.4370000000000001</v>
      </c>
      <c r="BJ84" s="1399">
        <f ca="1">IF(C84&gt;=$J$5,0,((CONTADORES!BM80-CONTADORES!BM79)/1000))</f>
        <v>0</v>
      </c>
      <c r="BK84" s="1399">
        <f ca="1">IF(D84&gt;=$J$5,0,((CONTADORES!BN80-CONTADORES!BN79)/1000))</f>
        <v>0</v>
      </c>
      <c r="BL84" s="1399">
        <f t="shared" ca="1" si="49"/>
        <v>1.3919999999999999</v>
      </c>
      <c r="BM84" s="1399">
        <f t="shared" ca="1" si="50"/>
        <v>1.4370000000000001</v>
      </c>
      <c r="BN84" s="1409">
        <f ca="1">IF(W84&gt;=$J$5,0,CONTADORES!$BO80)</f>
        <v>132.06961239338921</v>
      </c>
      <c r="BO84" s="1438">
        <f ca="1">IF(W84&gt;=$J$5,0,CONTADORES!$BP80)</f>
        <v>45.860956902526539</v>
      </c>
      <c r="BP84" s="1397">
        <f ca="1">IF(W84&gt;=$J$5,0,CONTADORES!$BQ80)</f>
        <v>661.77367292024826</v>
      </c>
      <c r="BQ84" s="1397">
        <f ca="1">IF(B84&gt;=$J$5,0,(CONTADORES!AS80-CONTADORES!AS79))</f>
        <v>5</v>
      </c>
      <c r="BR84" s="1397">
        <f ca="1">IF(B84&gt;=$J$5,0,(CONTADORES!AT80-CONTADORES!AT79))</f>
        <v>0</v>
      </c>
      <c r="BS84" s="1409">
        <f ca="1">IF(B84&gt;=$J$5,0,CONTADORES!BR80-CONTADORES!BR79)/1000</f>
        <v>2.6160000000000001</v>
      </c>
      <c r="BT84" s="1438">
        <f ca="1">IF(B84&gt;=$J$5,0,CONTADORES!BS80-CONTADORES!BS79)</f>
        <v>1</v>
      </c>
      <c r="BU84" s="1438">
        <f ca="1">IF(B84&gt;=$J$5,0,CONTADORES!BT80-CONTADORES!BT79)</f>
        <v>24</v>
      </c>
      <c r="BV84" s="1438">
        <f ca="1">IF(B84&gt;=$J$5,0,CONTADORES!BU80-CONTADORES!BU79)/1000</f>
        <v>5.8680000000000003</v>
      </c>
      <c r="BW84" s="1438">
        <f ca="1">IF(B84&gt;=$J$5,0,CONTADORES!BV80-CONTADORES!BV79)/1000</f>
        <v>0.107</v>
      </c>
      <c r="BX84" s="1438">
        <f ca="1">IF(B84&gt;=$J$5,0,CONTADORES!BW80-CONTADORES!BW79)</f>
        <v>24</v>
      </c>
      <c r="BY84" s="1438">
        <f ca="1">IF(B84&gt;=$J$5,0,CONTADORES!BX80-CONTADORES!BX79)/1000</f>
        <v>0</v>
      </c>
      <c r="BZ84" s="1438">
        <f ca="1">IF(B84&gt;=$J$5,0,CONTADORES!BY80-CONTADORES!BY79)/1000</f>
        <v>0</v>
      </c>
      <c r="CA84" s="1438">
        <f ca="1">IF(B84&gt;=$J$5,0,CONTADORES!BZ80-CONTADORES!BZ79)</f>
        <v>0</v>
      </c>
      <c r="CB84" s="1409">
        <f ca="1">IF(B84&gt;=$J$5,0,(CONTADORES!CC80-CONTADORES!CC79)+(CONTADORES!CE80-CONTADORES!CE79))/1000</f>
        <v>1.38</v>
      </c>
      <c r="CC84" s="1438">
        <f ca="1">IF(B84&gt;=$J$5,0,(CONTADORES!CD80-CONTADORES!CD79)+(CONTADORES!CF80-CONTADORES!CF79))/1000</f>
        <v>0.749</v>
      </c>
      <c r="CD84" s="1409">
        <f ca="1">IF(B84&gt;=$J$5,0,CONTADORES!CA80-CONTADORES!CA79)</f>
        <v>6.2999999999992724</v>
      </c>
      <c r="CE84" s="1438">
        <f ca="1">IF(B84&gt;=$J$5,0,CONTADORES!CB80-CONTADORES!CB79)</f>
        <v>4.4399999999995998</v>
      </c>
      <c r="CF84" s="1438">
        <f t="shared" ca="1" si="51"/>
        <v>11.807999999994264</v>
      </c>
      <c r="CG84" s="1438">
        <f t="shared" ca="1" si="52"/>
        <v>8.8409999999999549</v>
      </c>
      <c r="CH84" s="1438">
        <f t="shared" ca="1" si="53"/>
        <v>5.5079999999949916</v>
      </c>
      <c r="CI84" s="1438">
        <f t="shared" ca="1" si="54"/>
        <v>1.0080000000002183</v>
      </c>
      <c r="CJ84" s="1438">
        <f t="shared" ca="1" si="55"/>
        <v>5.5079999999949916</v>
      </c>
      <c r="CK84" s="1438">
        <f t="shared" ca="1" si="56"/>
        <v>1.5120000000003275</v>
      </c>
      <c r="CL84" s="1438">
        <f t="shared" ca="1" si="57"/>
        <v>2.3880000000002184</v>
      </c>
      <c r="CM84" s="1438">
        <f t="shared" ca="1" si="58"/>
        <v>4.4010000000003542</v>
      </c>
      <c r="CN84" s="1438">
        <f ca="1">IF(B84&gt;=$J$5,0,CONTADORES!CB80-CONTADORES!CB79)</f>
        <v>4.4399999999995998</v>
      </c>
      <c r="CO84" s="1438">
        <f t="shared" ca="1" si="59"/>
        <v>4.4010000000003542</v>
      </c>
      <c r="CP84" s="1438">
        <f t="shared" ca="1" si="60"/>
        <v>0.62550000000002837</v>
      </c>
      <c r="CQ84" s="1438">
        <f t="shared" ca="1" si="61"/>
        <v>0.62550000000002837</v>
      </c>
      <c r="CR84" s="1438">
        <f t="shared" ca="1" si="62"/>
        <v>1.3745000000000283</v>
      </c>
      <c r="CS84" s="1439">
        <f ca="1">IF($B84&gt;=$J$5,0,CONTADORES!$BI80)</f>
        <v>9329.6572155100603</v>
      </c>
      <c r="CT84" s="1334">
        <f>CONTADORES!E80</f>
        <v>0</v>
      </c>
      <c r="CU84" s="1334">
        <f>CONTADORES!CG80</f>
        <v>0</v>
      </c>
    </row>
    <row r="85" spans="2:99">
      <c r="B85" s="390">
        <v>45001</v>
      </c>
      <c r="C85" s="198">
        <f t="shared" ca="1" si="35"/>
        <v>290.5</v>
      </c>
      <c r="D85" s="196">
        <f ca="1">'CALCULO DE GAS'!D87</f>
        <v>4.8452507394014965</v>
      </c>
      <c r="E85" s="196">
        <f ca="1">IF(B85&gt;=$J$5,0,(CONTADORES!$AD81-CONTADORES!$AD80)-$H85)</f>
        <v>24</v>
      </c>
      <c r="F85" s="198">
        <f t="shared" ca="1" si="34"/>
        <v>0</v>
      </c>
      <c r="G85" s="196">
        <f ca="1">IF(B85&gt;=$J$5,0,CONTADORES!$AF81-CONTADORES!$AF80)</f>
        <v>0</v>
      </c>
      <c r="H85" s="1396">
        <f ca="1">IF(G85&gt;0,CONTADORES!$AE81-CONTADORES!$AE80,0)</f>
        <v>0</v>
      </c>
      <c r="I85" s="199">
        <f ca="1">IF(B85&gt;=$J$5,0,CONTADORES!$AB81-CONTADORES!$AB80)</f>
        <v>290.5</v>
      </c>
      <c r="J85" s="198">
        <f t="shared" ca="1" si="36"/>
        <v>158.5</v>
      </c>
      <c r="K85" s="196">
        <f ca="1">'CALCULO DE GAS'!E87</f>
        <v>3.7688417618453864</v>
      </c>
      <c r="L85" s="1396">
        <f ca="1">IF(B85&gt;=$J$5,0,(CONTADORES!$Y81-CONTADORES!$Y80)-$O85)</f>
        <v>24</v>
      </c>
      <c r="M85" s="1396">
        <f t="shared" ca="1" si="33"/>
        <v>0</v>
      </c>
      <c r="N85" s="1396">
        <f ca="1">IF(B85&gt;=$J$5,0,CONTADORES!$AA81-CONTADORES!$AA80)</f>
        <v>0</v>
      </c>
      <c r="O85" s="1396">
        <f ca="1">IF(N85&gt;0,CONTADORES!$Z81-CONTADORES!$Z80,0)</f>
        <v>0</v>
      </c>
      <c r="P85" s="202">
        <f ca="1">IF(B85&gt;=$J$5,0,CONTADORES!$W81-CONTADORES!$W80)</f>
        <v>158.5</v>
      </c>
      <c r="Q85" s="202">
        <f ca="1">IF(B85&gt;=$J$5,0,CONTADORES!$B81-CONTADORES!$B80)</f>
        <v>0</v>
      </c>
      <c r="R85" s="196">
        <f t="shared" ca="1" si="37"/>
        <v>0</v>
      </c>
      <c r="S85" s="11">
        <f ca="1">IF(B85&gt;=$J$5,0,CONTADORES!$D81-CONTADORES!$D80)</f>
        <v>0</v>
      </c>
      <c r="T85" s="198">
        <f ca="1">IF(B85&gt;=$J$5,0,CONTADORES!$BB81-CONTADORES!$BB80)</f>
        <v>0</v>
      </c>
      <c r="U85" s="196">
        <f t="shared" ca="1" si="38"/>
        <v>0</v>
      </c>
      <c r="V85" s="199">
        <f ca="1">IF(B85&gt;=$J$5,0,CONTADORES!$BD81-CONTADORES!$BD80)</f>
        <v>0</v>
      </c>
      <c r="W85" s="1397">
        <f t="shared" ca="1" si="39"/>
        <v>449</v>
      </c>
      <c r="X85" s="1397">
        <f t="shared" ca="1" si="40"/>
        <v>0</v>
      </c>
      <c r="Y85" s="1398">
        <f t="shared" ca="1" si="41"/>
        <v>449</v>
      </c>
      <c r="Z85" s="1398">
        <f t="shared" ca="1" si="42"/>
        <v>8.6140925012468834</v>
      </c>
      <c r="AA85" s="1398">
        <f t="shared" ca="1" si="43"/>
        <v>0</v>
      </c>
      <c r="AB85" s="1398">
        <f t="shared" ca="1" si="44"/>
        <v>48</v>
      </c>
      <c r="AC85" s="1397">
        <f t="shared" ca="1" si="45"/>
        <v>0</v>
      </c>
      <c r="AD85" s="1397">
        <f ca="1">IF(B85&gt;=$J$5,0,CONTADORES!H81-CONTADORES!H80)</f>
        <v>166.90000000002328</v>
      </c>
      <c r="AE85" s="1397">
        <f ca="1">IF(B85&gt;=$J$5,0,CONTADORES!J81-CONTADORES!J80)</f>
        <v>24</v>
      </c>
      <c r="AF85" s="1397">
        <f ca="1">IF(B85&gt;=$J$5,0,CONTADORES!AU81-CONTADORES!AU80)</f>
        <v>144.79999999998836</v>
      </c>
      <c r="AG85" s="1397">
        <f ca="1">IF(B85&gt;=$J$5,0,CONTADORES!AW81-CONTADORES!AW80)</f>
        <v>24</v>
      </c>
      <c r="AH85" s="1397">
        <f ca="1">IF(B85&gt;=$J$5,0,(CONTADORES!AM81-CONTADORES!AM80)+(CONTADORES!M81-CONTADORES!M80))</f>
        <v>8.7999999999956344</v>
      </c>
      <c r="AI85" s="1397">
        <f ca="1">IF(B85&gt;=$J$5,0,(CONTADORES!AK81-CONTADORES!AK80)+(CONTADORES!O81-CONTADORES!O80))</f>
        <v>39.299999999995634</v>
      </c>
      <c r="AJ85" s="1397">
        <f ca="1">IF(B85&gt;=$J$5,0,(CONTADORES!AI81-CONTADORES!AI80))</f>
        <v>6.8000000000029104</v>
      </c>
      <c r="AK85" s="1397">
        <f ca="1">IF(B85&gt;=$J$5,0,(CONTADORES!Q81-CONTADORES!Q80))</f>
        <v>15.100000000005821</v>
      </c>
      <c r="AL85" s="1397">
        <f t="shared" ca="1" si="46"/>
        <v>38.499999999967258</v>
      </c>
      <c r="AM85" s="1397">
        <f ca="1">IF(B85&gt;=$J$5,0,(((CONTADORES!F81-CONTADORES!F80)+(CONTADORES!AQ81-CONTADORES!AQ80))))-BS85-AF85-AN85-BV85-BY85-CD85-CB85</f>
        <v>9.9215000000208207</v>
      </c>
      <c r="AN85" s="1397">
        <f ca="1">IF(B85&gt;=$J$5,0,(CONTADORES!AX81-CONTADORES!AX80)+(CONTADORES!AZ81-CONTADORES!AZ80)+(CONTADORES!BE81-CONTADORES!BE80))-CB85</f>
        <v>2.6419999999995452</v>
      </c>
      <c r="AO85" s="1437">
        <f ca="1">IF(B85&gt;=$J$5,0,(CONTADORES!AC81-CONTADORES!AC80))</f>
        <v>147</v>
      </c>
      <c r="AP85" s="1437">
        <f ca="1">IF(B85&gt;=$J$5,0,(CONTADORES!X81-CONTADORES!X80))</f>
        <v>82.200000000000728</v>
      </c>
      <c r="AQ85" s="1404">
        <f ca="1">IF(B85&gt;=$J$5,0,(CONTADORES!C81-CONTADORES!C80))</f>
        <v>0</v>
      </c>
      <c r="AR85" s="1399">
        <f ca="1">IF(B85&gt;=$J$5,0,(CONTADORES!BC81-CONTADORES!BC80))</f>
        <v>0</v>
      </c>
      <c r="AS85" s="1397">
        <f ca="1">IF(B85&gt;=$J$5,0,CONTADORES!S81-CONTADORES!S80)</f>
        <v>17.299999999988358</v>
      </c>
      <c r="AT85" s="1397">
        <f ca="1">IF(B85&gt;=$J$5,0,(CONTADORES!U81-CONTADORES!U80)+(CONTADORES!AG81-CONTADORES!AG80))</f>
        <v>2.3000000000029104</v>
      </c>
      <c r="AU85" s="1409">
        <f>CONTADORES!I81-CONTADORES!I80</f>
        <v>83.200000000011642</v>
      </c>
      <c r="AV85" s="1438">
        <f>CONTADORES!AV81-CONTADORES!AV80</f>
        <v>62.700000000011642</v>
      </c>
      <c r="AW85" s="1438">
        <f ca="1">IF(B85&gt;=$J$5,0,(CONTADORES!N81-CONTADORES!N80)+(CONTADORES!AN81-CONTADORES!AN80))</f>
        <v>3.2000000000007276</v>
      </c>
      <c r="AX85" s="1438">
        <f ca="1">IF(B85&gt;=$J$5,0,(CONTADORES!P81-CONTADORES!P80)+(CONTADORES!AL81-CONTADORES!AL80))</f>
        <v>31.099999999998545</v>
      </c>
      <c r="AY85" s="1438">
        <f ca="1">IF(B85&gt;=$J$5,0,(CONTADORES!AJ81-CONTADORES!AJ80))</f>
        <v>5.3000000000029104</v>
      </c>
      <c r="AZ85" s="1438">
        <f ca="1">IF(B85&gt;=$J$5,0,(CONTADORES!R81-CONTADORES!R80))</f>
        <v>12.5</v>
      </c>
      <c r="BA85" s="1397">
        <f t="shared" ca="1" si="47"/>
        <v>15.145999999975061</v>
      </c>
      <c r="BB85" s="1397">
        <f ca="1">IF(B85&gt;=$J$5,0,(((CONTADORES!G81-CONTADORES!G80)+(CONTADORES!AR81-CONTADORES!AR80))))-AV85-BC85-BT85-BW85-BZ85-CE85</f>
        <v>8.2430000000000998</v>
      </c>
      <c r="BC85" s="1397">
        <f ca="1">IF(B85&gt;=$J$5,0,(CONTADORES!AY81-CONTADORES!AY80)+(CONTADORES!BA81-CONTADORES!BA80)+(CONTADORES!BF81-CONTADORES!BF80))-CC85</f>
        <v>1.4460000000000455</v>
      </c>
      <c r="BD85" s="1397">
        <f t="shared" ca="1" si="48"/>
        <v>229.20000000000073</v>
      </c>
      <c r="BE85" s="1409">
        <f ca="1">IF($B85&gt;=$J$5,0,CONTADORES!$BG81)</f>
        <v>6193.4</v>
      </c>
      <c r="BF85" s="1438">
        <f ca="1">IF($B85&gt;=$J$5,0,CONTADORES!$BH81)</f>
        <v>35139.433333333298</v>
      </c>
      <c r="BG85" s="1397">
        <f ca="1">IF($B85&gt;=$J$5,0,CONTADORES!$BJ81)</f>
        <v>5496.19</v>
      </c>
      <c r="BH85" s="1409">
        <f ca="1">IF(B85&gt;=$J$5,0,((CONTADORES!BK81-CONTADORES!BK80)/1000))</f>
        <v>1.3480000000000001</v>
      </c>
      <c r="BI85" s="1409">
        <f ca="1">IF(C85&gt;=$J$5,0,((CONTADORES!BL81-CONTADORES!BL80)/1000))</f>
        <v>1.3959999999999999</v>
      </c>
      <c r="BJ85" s="1399">
        <f ca="1">IF(C85&gt;=$J$5,0,((CONTADORES!BM81-CONTADORES!BM80)/1000))</f>
        <v>0</v>
      </c>
      <c r="BK85" s="1399">
        <f ca="1">IF(D85&gt;=$J$5,0,((CONTADORES!BN81-CONTADORES!BN80)/1000))</f>
        <v>0</v>
      </c>
      <c r="BL85" s="1399">
        <f t="shared" ca="1" si="49"/>
        <v>1.3480000000000001</v>
      </c>
      <c r="BM85" s="1399">
        <f t="shared" ca="1" si="50"/>
        <v>1.3959999999999999</v>
      </c>
      <c r="BN85" s="1409">
        <f ca="1">IF(W85&gt;=$J$5,0,CONTADORES!$BO81)</f>
        <v>131.61270463621801</v>
      </c>
      <c r="BO85" s="1438">
        <f ca="1">IF(W85&gt;=$J$5,0,CONTADORES!$BP81)</f>
        <v>45.483274941842701</v>
      </c>
      <c r="BP85" s="1397">
        <f ca="1">IF(W85&gt;=$J$5,0,CONTADORES!$BQ81)</f>
        <v>660.0754649134833</v>
      </c>
      <c r="BQ85" s="1397">
        <f ca="1">IF(B85&gt;=$J$5,0,(CONTADORES!AS81-CONTADORES!AS80))</f>
        <v>4.9000000000014552</v>
      </c>
      <c r="BR85" s="1397">
        <f ca="1">IF(B85&gt;=$J$5,0,(CONTADORES!AT81-CONTADORES!AT80))</f>
        <v>0</v>
      </c>
      <c r="BS85" s="1409">
        <f ca="1">IF(B85&gt;=$J$5,0,CONTADORES!BR81-CONTADORES!BR80)/1000</f>
        <v>2.2244999999999999</v>
      </c>
      <c r="BT85" s="1438">
        <f ca="1">IF(B85&gt;=$J$5,0,CONTADORES!BS81-CONTADORES!BS80)</f>
        <v>1</v>
      </c>
      <c r="BU85" s="1438">
        <f ca="1">IF(B85&gt;=$J$5,0,CONTADORES!BT81-CONTADORES!BT80)</f>
        <v>24</v>
      </c>
      <c r="BV85" s="1438">
        <f ca="1">IF(B85&gt;=$J$5,0,CONTADORES!BU81-CONTADORES!BU80)/1000</f>
        <v>5.9539999999999997</v>
      </c>
      <c r="BW85" s="1438">
        <f ca="1">IF(B85&gt;=$J$5,0,CONTADORES!BV81-CONTADORES!BV80)/1000</f>
        <v>0.151</v>
      </c>
      <c r="BX85" s="1438">
        <f ca="1">IF(B85&gt;=$J$5,0,CONTADORES!BW81-CONTADORES!BW80)</f>
        <v>24</v>
      </c>
      <c r="BY85" s="1438">
        <f ca="1">IF(B85&gt;=$J$5,0,CONTADORES!BX81-CONTADORES!BX80)/1000</f>
        <v>0</v>
      </c>
      <c r="BZ85" s="1438">
        <f ca="1">IF(B85&gt;=$J$5,0,CONTADORES!BY81-CONTADORES!BY80)/1000</f>
        <v>0</v>
      </c>
      <c r="CA85" s="1438">
        <f ca="1">IF(B85&gt;=$J$5,0,CONTADORES!BZ81-CONTADORES!BZ80)</f>
        <v>0</v>
      </c>
      <c r="CB85" s="1409">
        <f ca="1">IF(B85&gt;=$J$5,0,(CONTADORES!CC81-CONTADORES!CC80)+(CONTADORES!CE81-CONTADORES!CE80))/1000</f>
        <v>1.3580000000000001</v>
      </c>
      <c r="CC85" s="1438">
        <f ca="1">IF(B85&gt;=$J$5,0,(CONTADORES!CD81-CONTADORES!CD80)+(CONTADORES!CF81-CONTADORES!CF80))/1000</f>
        <v>0.754</v>
      </c>
      <c r="CD85" s="1409">
        <f ca="1">IF(B85&gt;=$J$5,0,CONTADORES!CA81-CONTADORES!CA80)</f>
        <v>6.7000000000007276</v>
      </c>
      <c r="CE85" s="1438">
        <f ca="1">IF(B85&gt;=$J$5,0,CONTADORES!CB81-CONTADORES!CB80)</f>
        <v>4.4600000000000364</v>
      </c>
      <c r="CF85" s="1438">
        <f t="shared" ca="1" si="51"/>
        <v>11.660750000011138</v>
      </c>
      <c r="CG85" s="1438">
        <f t="shared" ca="1" si="52"/>
        <v>8.5815000000000872</v>
      </c>
      <c r="CH85" s="1438">
        <f t="shared" ca="1" si="53"/>
        <v>4.9607500000104103</v>
      </c>
      <c r="CI85" s="1438">
        <f t="shared" ca="1" si="54"/>
        <v>1.0567999999998181</v>
      </c>
      <c r="CJ85" s="1438">
        <f t="shared" ca="1" si="55"/>
        <v>4.9607500000104103</v>
      </c>
      <c r="CK85" s="1438">
        <f t="shared" ca="1" si="56"/>
        <v>1.585199999999727</v>
      </c>
      <c r="CL85" s="1438">
        <f t="shared" ca="1" si="57"/>
        <v>2.4147999999998184</v>
      </c>
      <c r="CM85" s="1438">
        <f t="shared" ca="1" si="58"/>
        <v>4.1215000000000499</v>
      </c>
      <c r="CN85" s="1438">
        <f ca="1">IF(B85&gt;=$J$5,0,CONTADORES!CB81-CONTADORES!CB80)</f>
        <v>4.4600000000000364</v>
      </c>
      <c r="CO85" s="1438">
        <f t="shared" ca="1" si="59"/>
        <v>4.1215000000000499</v>
      </c>
      <c r="CP85" s="1438">
        <f t="shared" ca="1" si="60"/>
        <v>0.72300000000002274</v>
      </c>
      <c r="CQ85" s="1438">
        <f t="shared" ca="1" si="61"/>
        <v>0.72300000000002274</v>
      </c>
      <c r="CR85" s="1438">
        <f t="shared" ca="1" si="62"/>
        <v>1.4770000000000227</v>
      </c>
      <c r="CS85" s="1439">
        <f ca="1">IF($B85&gt;=$J$5,0,CONTADORES!$BI81)</f>
        <v>10160.7535027913</v>
      </c>
      <c r="CT85" s="1334">
        <f>CONTADORES!E81</f>
        <v>0</v>
      </c>
      <c r="CU85" s="1334">
        <f>CONTADORES!CG81</f>
        <v>0</v>
      </c>
    </row>
    <row r="86" spans="2:99">
      <c r="B86" s="390">
        <v>45002</v>
      </c>
      <c r="C86" s="198">
        <f t="shared" ca="1" si="35"/>
        <v>283</v>
      </c>
      <c r="D86" s="196">
        <f ca="1">'CALCULO DE GAS'!D88</f>
        <v>4.7840911384039906</v>
      </c>
      <c r="E86" s="196">
        <f ca="1">IF(B86&gt;=$J$5,0,(CONTADORES!$AD82-CONTADORES!$AD81)-$H86)</f>
        <v>24</v>
      </c>
      <c r="F86" s="198">
        <v>0</v>
      </c>
      <c r="G86" s="196">
        <f ca="1">IF(B86&gt;=$J$5,0,CONTADORES!$AF82-CONTADORES!$AF81)</f>
        <v>0</v>
      </c>
      <c r="H86" s="1396">
        <f ca="1">IF(G86&gt;0,CONTADORES!$AE82-CONTADORES!$AE81,0)</f>
        <v>0</v>
      </c>
      <c r="I86" s="199">
        <f ca="1">IF(B86&gt;=$J$5,0,CONTADORES!$AB82-CONTADORES!$AB81)</f>
        <v>283</v>
      </c>
      <c r="J86" s="198">
        <f t="shared" ca="1" si="36"/>
        <v>162</v>
      </c>
      <c r="K86" s="196">
        <f ca="1">'CALCULO DE GAS'!E88</f>
        <v>3.7973829089775561</v>
      </c>
      <c r="L86" s="1396">
        <f ca="1">IF(B86&gt;=$J$5,0,(CONTADORES!$Y82-CONTADORES!$Y81)-$O86)</f>
        <v>24</v>
      </c>
      <c r="M86" s="1396">
        <f t="shared" ref="M86:M106" ca="1" si="63">IF(O86=0,0,"ERROR")</f>
        <v>0</v>
      </c>
      <c r="N86" s="1396">
        <f ca="1">IF(B86&gt;=$J$5,0,CONTADORES!$AA82-CONTADORES!$AA81)</f>
        <v>0</v>
      </c>
      <c r="O86" s="1396">
        <f ca="1">IF(N86&gt;0,CONTADORES!$Z82-CONTADORES!$Z81,0)</f>
        <v>0</v>
      </c>
      <c r="P86" s="202">
        <f ca="1">IF(B86&gt;=$J$5,0,CONTADORES!$W82-CONTADORES!$W81)</f>
        <v>162</v>
      </c>
      <c r="Q86" s="202">
        <f ca="1">IF(B86&gt;=$J$5,0,CONTADORES!$B82-CONTADORES!$B81)</f>
        <v>0</v>
      </c>
      <c r="R86" s="196">
        <f t="shared" ca="1" si="37"/>
        <v>0</v>
      </c>
      <c r="S86" s="11">
        <f ca="1">IF(B86&gt;=$J$5,0,CONTADORES!$D82-CONTADORES!$D81)</f>
        <v>0</v>
      </c>
      <c r="T86" s="198">
        <f ca="1">IF(B86&gt;=$J$5,0,CONTADORES!$BB82-CONTADORES!$BB81)</f>
        <v>0</v>
      </c>
      <c r="U86" s="196">
        <f t="shared" ca="1" si="38"/>
        <v>0</v>
      </c>
      <c r="V86" s="199">
        <f ca="1">IF(B86&gt;=$J$5,0,CONTADORES!$BD82-CONTADORES!$BD81)</f>
        <v>0</v>
      </c>
      <c r="W86" s="1397">
        <f t="shared" ca="1" si="39"/>
        <v>445</v>
      </c>
      <c r="X86" s="1397">
        <f t="shared" ca="1" si="40"/>
        <v>0</v>
      </c>
      <c r="Y86" s="1398">
        <f t="shared" ca="1" si="41"/>
        <v>445</v>
      </c>
      <c r="Z86" s="1398">
        <f t="shared" ca="1" si="42"/>
        <v>8.5814740473815476</v>
      </c>
      <c r="AA86" s="1398">
        <f t="shared" ca="1" si="43"/>
        <v>0</v>
      </c>
      <c r="AB86" s="1398">
        <f t="shared" ca="1" si="44"/>
        <v>48</v>
      </c>
      <c r="AC86" s="1397">
        <f t="shared" ca="1" si="45"/>
        <v>0</v>
      </c>
      <c r="AD86" s="1397">
        <f ca="1">IF(B86&gt;=$J$5,0,CONTADORES!H82-CONTADORES!H81)</f>
        <v>167</v>
      </c>
      <c r="AE86" s="1397">
        <f ca="1">IF(B86&gt;=$J$5,0,CONTADORES!J82-CONTADORES!J81)</f>
        <v>24</v>
      </c>
      <c r="AF86" s="1397">
        <f ca="1">IF(B86&gt;=$J$5,0,CONTADORES!AU82-CONTADORES!AU81)</f>
        <v>144</v>
      </c>
      <c r="AG86" s="1397">
        <f ca="1">IF(B86&gt;=$J$5,0,CONTADORES!AW82-CONTADORES!AW81)</f>
        <v>24</v>
      </c>
      <c r="AH86" s="1397">
        <f ca="1">IF(B86&gt;=$J$5,0,(CONTADORES!AM82-CONTADORES!AM81)+(CONTADORES!M82-CONTADORES!M81))</f>
        <v>8.2000000000043656</v>
      </c>
      <c r="AI86" s="1397">
        <f ca="1">IF(B86&gt;=$J$5,0,(CONTADORES!AK82-CONTADORES!AK81)+(CONTADORES!O82-CONTADORES!O81))</f>
        <v>38.5</v>
      </c>
      <c r="AJ86" s="1397">
        <f ca="1">IF(B86&gt;=$J$5,0,(CONTADORES!AI82-CONTADORES!AI81))</f>
        <v>7.3999999999941792</v>
      </c>
      <c r="AK86" s="1397">
        <f ca="1">IF(B86&gt;=$J$5,0,(CONTADORES!Q82-CONTADORES!Q81))</f>
        <v>14.899999999994179</v>
      </c>
      <c r="AL86" s="1397">
        <f t="shared" ca="1" si="46"/>
        <v>34.800000000006548</v>
      </c>
      <c r="AM86" s="1397">
        <f ca="1">IF(B86&gt;=$J$5,0,(((CONTADORES!F82-CONTADORES!F81)+(CONTADORES!AQ82-CONTADORES!AQ81))))-BS86-AF86-AN86-BV86-BY86-CD86-CB86</f>
        <v>11.642000000001284</v>
      </c>
      <c r="AN86" s="1397">
        <f ca="1">IF(B86&gt;=$J$5,0,(CONTADORES!AX82-CONTADORES!AX81)+(CONTADORES!AZ82-CONTADORES!AZ81)+(CONTADORES!BE82-CONTADORES!BE81))-CB86</f>
        <v>2.5120000000005458</v>
      </c>
      <c r="AO86" s="1437">
        <f ca="1">IF(B86&gt;=$J$5,0,(CONTADORES!AC82-CONTADORES!AC81))</f>
        <v>145</v>
      </c>
      <c r="AP86" s="1437">
        <f ca="1">IF(B86&gt;=$J$5,0,(CONTADORES!X82-CONTADORES!X81))</f>
        <v>82</v>
      </c>
      <c r="AQ86" s="1404">
        <f ca="1">IF(B86&gt;=$J$5,0,(CONTADORES!C82-CONTADORES!C81))</f>
        <v>0</v>
      </c>
      <c r="AR86" s="1399">
        <f ca="1">IF(B86&gt;=$J$5,0,(CONTADORES!BC82-CONTADORES!BC81))</f>
        <v>0</v>
      </c>
      <c r="AS86" s="1397">
        <f ca="1">IF(B86&gt;=$J$5,0,CONTADORES!S82-CONTADORES!S81)</f>
        <v>17.299999999988358</v>
      </c>
      <c r="AT86" s="1397">
        <f ca="1">IF(B86&gt;=$J$5,0,(CONTADORES!U82-CONTADORES!U81)+(CONTADORES!AG82-CONTADORES!AG81))</f>
        <v>2.0999999999985448</v>
      </c>
      <c r="AU86" s="1409">
        <f>CONTADORES!I82-CONTADORES!I81</f>
        <v>84</v>
      </c>
      <c r="AV86" s="1438">
        <f>CONTADORES!AV82-CONTADORES!AV81</f>
        <v>63</v>
      </c>
      <c r="AW86" s="1438">
        <f ca="1">IF(B86&gt;=$J$5,0,(CONTADORES!N82-CONTADORES!N81)+(CONTADORES!AN82-CONTADORES!AN81))</f>
        <v>3.1000000000003638</v>
      </c>
      <c r="AX86" s="1438">
        <f ca="1">IF(B86&gt;=$J$5,0,(CONTADORES!P82-CONTADORES!P81)+(CONTADORES!AL82-CONTADORES!AL81))</f>
        <v>30.80000000000291</v>
      </c>
      <c r="AY86" s="1438">
        <f ca="1">IF(B86&gt;=$J$5,0,(CONTADORES!AJ82-CONTADORES!AJ81))</f>
        <v>5.5999999999985448</v>
      </c>
      <c r="AZ86" s="1438">
        <f ca="1">IF(B86&gt;=$J$5,0,(CONTADORES!R82-CONTADORES!R81))</f>
        <v>12.30000000000291</v>
      </c>
      <c r="BA86" s="1397">
        <f t="shared" ca="1" si="47"/>
        <v>11.221999999995433</v>
      </c>
      <c r="BB86" s="1397">
        <f ca="1">IF(B86&gt;=$J$5,0,(((CONTADORES!G82-CONTADORES!G81)+(CONTADORES!AR82-CONTADORES!AR81))))-AV86-BC86-BT86-BW86-BZ86-CE86</f>
        <v>9.2349999999997614</v>
      </c>
      <c r="BC86" s="1397">
        <f ca="1">IF(B86&gt;=$J$5,0,(CONTADORES!AY82-CONTADORES!AY81)+(CONTADORES!BA82-CONTADORES!BA81)+(CONTADORES!BF82-CONTADORES!BF81))-CC86</f>
        <v>1.2220000000000568</v>
      </c>
      <c r="BD86" s="1397">
        <f t="shared" ca="1" si="48"/>
        <v>227</v>
      </c>
      <c r="BE86" s="1409">
        <f ca="1">IF($B86&gt;=$J$5,0,CONTADORES!$BG82)</f>
        <v>6217.25</v>
      </c>
      <c r="BF86" s="1438">
        <f ca="1">IF($B86&gt;=$J$5,0,CONTADORES!$BH82)</f>
        <v>35115.236842105303</v>
      </c>
      <c r="BG86" s="1397">
        <f ca="1">IF($B86&gt;=$J$5,0,CONTADORES!$BJ82)</f>
        <v>5355.74</v>
      </c>
      <c r="BH86" s="1409">
        <f ca="1">IF(B86&gt;=$J$5,0,((CONTADORES!BK82-CONTADORES!BK81)/1000))</f>
        <v>1.415</v>
      </c>
      <c r="BI86" s="1409">
        <f ca="1">IF(C86&gt;=$J$5,0,((CONTADORES!BL82-CONTADORES!BL81)/1000))</f>
        <v>1.45</v>
      </c>
      <c r="BJ86" s="1399">
        <f ca="1">IF(C86&gt;=$J$5,0,((CONTADORES!BM82-CONTADORES!BM81)/1000))</f>
        <v>0</v>
      </c>
      <c r="BK86" s="1399">
        <f ca="1">IF(D86&gt;=$J$5,0,((CONTADORES!BN82-CONTADORES!BN81)/1000))</f>
        <v>0</v>
      </c>
      <c r="BL86" s="1399">
        <f t="shared" ca="1" si="49"/>
        <v>1.415</v>
      </c>
      <c r="BM86" s="1399">
        <f t="shared" ca="1" si="50"/>
        <v>1.45</v>
      </c>
      <c r="BN86" s="1409">
        <f ca="1">IF(W86&gt;=$J$5,0,CONTADORES!$BO82)</f>
        <v>130.83402082276115</v>
      </c>
      <c r="BO86" s="1438">
        <f ca="1">IF(W86&gt;=$J$5,0,CONTADORES!$BP82)</f>
        <v>45.630790556564868</v>
      </c>
      <c r="BP86" s="1397">
        <f ca="1">IF(W86&gt;=$J$5,0,CONTADORES!$BQ82)</f>
        <v>661.30108901499557</v>
      </c>
      <c r="BQ86" s="1397">
        <f ca="1">IF(B86&gt;=$J$5,0,(CONTADORES!AS82-CONTADORES!AS81))</f>
        <v>5</v>
      </c>
      <c r="BR86" s="1397">
        <f ca="1">IF(B86&gt;=$J$5,0,(CONTADORES!AT82-CONTADORES!AT81))</f>
        <v>0</v>
      </c>
      <c r="BS86" s="1409">
        <f ca="1">IF(B86&gt;=$J$5,0,CONTADORES!BR82-CONTADORES!BR81)/1000</f>
        <v>2.2000000000000002</v>
      </c>
      <c r="BT86" s="1438">
        <f ca="1">IF(B86&gt;=$J$5,0,CONTADORES!BS82-CONTADORES!BS81)</f>
        <v>1</v>
      </c>
      <c r="BU86" s="1438">
        <f ca="1">IF(B86&gt;=$J$5,0,CONTADORES!BT82-CONTADORES!BT81)</f>
        <v>24</v>
      </c>
      <c r="BV86" s="1438">
        <f ca="1">IF(B86&gt;=$J$5,0,CONTADORES!BU82-CONTADORES!BU81)/1000</f>
        <v>5.758</v>
      </c>
      <c r="BW86" s="1438">
        <f ca="1">IF(B86&gt;=$J$5,0,CONTADORES!BV82-CONTADORES!BV81)/1000</f>
        <v>0.24299999999999999</v>
      </c>
      <c r="BX86" s="1438">
        <f ca="1">IF(B86&gt;=$J$5,0,CONTADORES!BW82-CONTADORES!BW81)</f>
        <v>24</v>
      </c>
      <c r="BY86" s="1438">
        <f ca="1">IF(B86&gt;=$J$5,0,CONTADORES!BX82-CONTADORES!BX81)/1000</f>
        <v>0</v>
      </c>
      <c r="BZ86" s="1438">
        <f ca="1">IF(B86&gt;=$J$5,0,CONTADORES!BY82-CONTADORES!BY81)/1000</f>
        <v>0</v>
      </c>
      <c r="CA86" s="1438">
        <f ca="1">IF(B86&gt;=$J$5,0,CONTADORES!BZ82-CONTADORES!BZ81)</f>
        <v>0</v>
      </c>
      <c r="CB86" s="1409">
        <f ca="1">IF(B86&gt;=$J$5,0,(CONTADORES!CC82-CONTADORES!CC81)+(CONTADORES!CE82-CONTADORES!CE81))/1000</f>
        <v>1.3879999999999999</v>
      </c>
      <c r="CC86" s="1438">
        <f ca="1">IF(B86&gt;=$J$5,0,(CONTADORES!CD82-CONTADORES!CD81)+(CONTADORES!CF82-CONTADORES!CF81))/1000</f>
        <v>0.77800000000000002</v>
      </c>
      <c r="CD86" s="1409">
        <f ca="1">IF(B86&gt;=$J$5,0,CONTADORES!CA82-CONTADORES!CA81)</f>
        <v>6.6999999999989086</v>
      </c>
      <c r="CE86" s="1438">
        <f ca="1">IF(B86&gt;=$J$5,0,CONTADORES!CB82-CONTADORES!CB81)</f>
        <v>4.5</v>
      </c>
      <c r="CF86" s="1438">
        <f t="shared" ca="1" si="51"/>
        <v>12.52099999999955</v>
      </c>
      <c r="CG86" s="1438">
        <f t="shared" ca="1" si="52"/>
        <v>9.1174999999998807</v>
      </c>
      <c r="CH86" s="1438">
        <f t="shared" ca="1" si="53"/>
        <v>5.8210000000006419</v>
      </c>
      <c r="CI86" s="1438">
        <f t="shared" ca="1" si="54"/>
        <v>1.0048000000002184</v>
      </c>
      <c r="CJ86" s="1438">
        <f t="shared" ca="1" si="55"/>
        <v>5.8210000000006419</v>
      </c>
      <c r="CK86" s="1438">
        <f t="shared" ca="1" si="56"/>
        <v>1.5072000000003274</v>
      </c>
      <c r="CL86" s="1438">
        <f t="shared" ca="1" si="57"/>
        <v>2.3928000000002183</v>
      </c>
      <c r="CM86" s="1438">
        <f t="shared" ca="1" si="58"/>
        <v>4.6174999999998807</v>
      </c>
      <c r="CN86" s="1438">
        <f ca="1">IF(B86&gt;=$J$5,0,CONTADORES!CB82-CONTADORES!CB81)</f>
        <v>4.5</v>
      </c>
      <c r="CO86" s="1438">
        <f t="shared" ca="1" si="59"/>
        <v>4.6174999999998807</v>
      </c>
      <c r="CP86" s="1438">
        <f t="shared" ca="1" si="60"/>
        <v>0.61100000000002841</v>
      </c>
      <c r="CQ86" s="1438">
        <f t="shared" ca="1" si="61"/>
        <v>0.61100000000002841</v>
      </c>
      <c r="CR86" s="1438">
        <f t="shared" ca="1" si="62"/>
        <v>1.3890000000000284</v>
      </c>
      <c r="CS86" s="1439">
        <f ca="1">IF($B86&gt;=$J$5,0,CONTADORES!$BI82)</f>
        <v>9688.6093046726492</v>
      </c>
      <c r="CT86" s="1334">
        <f>CONTADORES!E82</f>
        <v>0</v>
      </c>
      <c r="CU86" s="1334">
        <f>CONTADORES!CG82</f>
        <v>0</v>
      </c>
    </row>
    <row r="87" spans="2:99">
      <c r="B87" s="390">
        <v>45003</v>
      </c>
      <c r="C87" s="198">
        <f t="shared" ca="1" si="35"/>
        <v>298</v>
      </c>
      <c r="D87" s="196">
        <f ca="1">'CALCULO DE GAS'!D89</f>
        <v>4.9064103403990025</v>
      </c>
      <c r="E87" s="196">
        <f ca="1">IF(B87&gt;=$J$5,0,(CONTADORES!$AD83-CONTADORES!$AD82)-$H87)</f>
        <v>24</v>
      </c>
      <c r="F87" s="198">
        <f t="shared" ref="F87:F118" ca="1" si="64">IF(H87=0,0,"ERROR")</f>
        <v>0</v>
      </c>
      <c r="G87" s="196">
        <f ca="1">IF(B87&gt;=$J$5,0,CONTADORES!$AF83-CONTADORES!$AF82)</f>
        <v>0</v>
      </c>
      <c r="H87" s="1396">
        <f ca="1">IF(G87&gt;0,CONTADORES!$AE83-CONTADORES!$AE82,0)</f>
        <v>0</v>
      </c>
      <c r="I87" s="199">
        <f ca="1">IF(B87&gt;=$J$5,0,CONTADORES!$AB83-CONTADORES!$AB82)</f>
        <v>298</v>
      </c>
      <c r="J87" s="198">
        <f t="shared" ca="1" si="36"/>
        <v>151</v>
      </c>
      <c r="K87" s="196">
        <f ca="1">'CALCULO DE GAS'!E89</f>
        <v>3.70768216084788</v>
      </c>
      <c r="L87" s="1396">
        <f ca="1">IF(B87&gt;=$J$5,0,(CONTADORES!$Y83-CONTADORES!$Y82)-$O87)</f>
        <v>24</v>
      </c>
      <c r="M87" s="1396">
        <f t="shared" ca="1" si="63"/>
        <v>0</v>
      </c>
      <c r="N87" s="1396">
        <f ca="1">IF(B87&gt;=$J$5,0,CONTADORES!$AA83-CONTADORES!$AA82)</f>
        <v>0</v>
      </c>
      <c r="O87" s="1396">
        <f ca="1">IF(N87&gt;0,CONTADORES!$Z83-CONTADORES!$Z82,0)</f>
        <v>0</v>
      </c>
      <c r="P87" s="202">
        <f ca="1">IF(B87&gt;=$J$5,0,CONTADORES!$W83-CONTADORES!$W82)</f>
        <v>151</v>
      </c>
      <c r="Q87" s="202">
        <f ca="1">IF(B87&gt;=$J$5,0,CONTADORES!$B83-CONTADORES!$B82)</f>
        <v>0</v>
      </c>
      <c r="R87" s="196">
        <f t="shared" ca="1" si="37"/>
        <v>0</v>
      </c>
      <c r="S87" s="11">
        <f ca="1">IF(B87&gt;=$J$5,0,CONTADORES!$D83-CONTADORES!$D82)</f>
        <v>0</v>
      </c>
      <c r="T87" s="198">
        <f ca="1">IF(B87&gt;=$J$5,0,CONTADORES!$BB83-CONTADORES!$BB82)</f>
        <v>0</v>
      </c>
      <c r="U87" s="196">
        <f t="shared" ca="1" si="38"/>
        <v>0</v>
      </c>
      <c r="V87" s="199">
        <f ca="1">IF(B87&gt;=$J$5,0,CONTADORES!$BD83-CONTADORES!$BD82)</f>
        <v>0</v>
      </c>
      <c r="W87" s="1397">
        <f t="shared" ca="1" si="39"/>
        <v>449</v>
      </c>
      <c r="X87" s="1397">
        <f t="shared" ca="1" si="40"/>
        <v>0</v>
      </c>
      <c r="Y87" s="1398">
        <f t="shared" ca="1" si="41"/>
        <v>449</v>
      </c>
      <c r="Z87" s="1398">
        <f t="shared" ca="1" si="42"/>
        <v>8.6140925012468834</v>
      </c>
      <c r="AA87" s="1398">
        <f t="shared" ca="1" si="43"/>
        <v>0</v>
      </c>
      <c r="AB87" s="1398">
        <f t="shared" ca="1" si="44"/>
        <v>48</v>
      </c>
      <c r="AC87" s="1397">
        <f t="shared" ca="1" si="45"/>
        <v>0</v>
      </c>
      <c r="AD87" s="1397">
        <f ca="1">IF(B87&gt;=$J$5,0,CONTADORES!H83-CONTADORES!H82)</f>
        <v>168</v>
      </c>
      <c r="AE87" s="1397">
        <f ca="1">IF(B87&gt;=$J$5,0,CONTADORES!J83-CONTADORES!J82)</f>
        <v>24</v>
      </c>
      <c r="AF87" s="1397">
        <f ca="1">IF(B87&gt;=$J$5,0,CONTADORES!AU83-CONTADORES!AU82)</f>
        <v>145</v>
      </c>
      <c r="AG87" s="1397">
        <f ca="1">IF(B87&gt;=$J$5,0,CONTADORES!AW83-CONTADORES!AW82)</f>
        <v>24</v>
      </c>
      <c r="AH87" s="1397">
        <f ca="1">IF(B87&gt;=$J$5,0,(CONTADORES!AM83-CONTADORES!AM82)+(CONTADORES!M83-CONTADORES!M82))</f>
        <v>10.099999999998545</v>
      </c>
      <c r="AI87" s="1397">
        <f ca="1">IF(B87&gt;=$J$5,0,(CONTADORES!AK83-CONTADORES!AK82)+(CONTADORES!O83-CONTADORES!O82))</f>
        <v>38.700000000004366</v>
      </c>
      <c r="AJ87" s="1397">
        <f ca="1">IF(B87&gt;=$J$5,0,(CONTADORES!AI83-CONTADORES!AI82))</f>
        <v>9.3999999999941792</v>
      </c>
      <c r="AK87" s="1397">
        <f ca="1">IF(B87&gt;=$J$5,0,(CONTADORES!Q83-CONTADORES!Q82))</f>
        <v>15.899999999994179</v>
      </c>
      <c r="AL87" s="1397">
        <f t="shared" ca="1" si="46"/>
        <v>32.400000000008674</v>
      </c>
      <c r="AM87" s="1397">
        <f ca="1">IF(B87&gt;=$J$5,0,(((CONTADORES!F83-CONTADORES!F82)+(CONTADORES!AQ83-CONTADORES!AQ82))))-BS87-AF87-AN87-BV87-BY87-CD87-CB87</f>
        <v>10.969000000000456</v>
      </c>
      <c r="AN87" s="1397">
        <f ca="1">IF(B87&gt;=$J$5,0,(CONTADORES!AX83-CONTADORES!AX82)+(CONTADORES!AZ83-CONTADORES!AZ82)+(CONTADORES!BE83-CONTADORES!BE82))-CB87</f>
        <v>2.616999999999909</v>
      </c>
      <c r="AO87" s="1437">
        <f ca="1">IF(B87&gt;=$J$5,0,(CONTADORES!AC83-CONTADORES!AC82))</f>
        <v>152</v>
      </c>
      <c r="AP87" s="1437">
        <f ca="1">IF(B87&gt;=$J$5,0,(CONTADORES!X83-CONTADORES!X82))</f>
        <v>78</v>
      </c>
      <c r="AQ87" s="1404">
        <f ca="1">IF(B87&gt;=$J$5,0,(CONTADORES!C83-CONTADORES!C82))</f>
        <v>0</v>
      </c>
      <c r="AR87" s="1399">
        <f ca="1">IF(B87&gt;=$J$5,0,(CONTADORES!BC83-CONTADORES!BC82))</f>
        <v>0</v>
      </c>
      <c r="AS87" s="1397">
        <f ca="1">IF(B87&gt;=$J$5,0,CONTADORES!S83-CONTADORES!S82)</f>
        <v>17.300000000017462</v>
      </c>
      <c r="AT87" s="1397">
        <f ca="1">IF(B87&gt;=$J$5,0,(CONTADORES!U83-CONTADORES!U82)+(CONTADORES!AG83-CONTADORES!AG82))</f>
        <v>2.1999999999970896</v>
      </c>
      <c r="AU87" s="1409">
        <f>CONTADORES!I83-CONTADORES!I82</f>
        <v>86</v>
      </c>
      <c r="AV87" s="1438">
        <f>CONTADORES!AV83-CONTADORES!AV82</f>
        <v>63</v>
      </c>
      <c r="AW87" s="1438">
        <f ca="1">IF(B87&gt;=$J$5,0,(CONTADORES!N83-CONTADORES!N82)+(CONTADORES!AN83-CONTADORES!AN82))</f>
        <v>3.7999999999992724</v>
      </c>
      <c r="AX87" s="1438">
        <f ca="1">IF(B87&gt;=$J$5,0,(CONTADORES!P83-CONTADORES!P82)+(CONTADORES!AL83-CONTADORES!AL82))</f>
        <v>30.900000000001455</v>
      </c>
      <c r="AY87" s="1438">
        <f ca="1">IF(B87&gt;=$J$5,0,(CONTADORES!AJ83-CONTADORES!AJ82))</f>
        <v>7.2999999999956344</v>
      </c>
      <c r="AZ87" s="1438">
        <f ca="1">IF(B87&gt;=$J$5,0,(CONTADORES!R83-CONTADORES!R82))</f>
        <v>13.099999999991269</v>
      </c>
      <c r="BA87" s="1397">
        <f t="shared" ca="1" si="47"/>
        <v>9.5680000000123471</v>
      </c>
      <c r="BB87" s="1397">
        <f ca="1">IF(B87&gt;=$J$5,0,(((CONTADORES!G83-CONTADORES!G82)+(CONTADORES!AR83-CONTADORES!AR82))))-AV87-BC87-BT87-BW87-BZ87-CE87</f>
        <v>8.3179999999999659</v>
      </c>
      <c r="BC87" s="1397">
        <f ca="1">IF(B87&gt;=$J$5,0,(CONTADORES!AY83-CONTADORES!AY82)+(CONTADORES!BA83-CONTADORES!BA82)+(CONTADORES!BF83-CONTADORES!BF82))-CC87</f>
        <v>1.5680000000000343</v>
      </c>
      <c r="BD87" s="1397">
        <f t="shared" ca="1" si="48"/>
        <v>230</v>
      </c>
      <c r="BE87" s="1409">
        <f ca="1">IF($B87&gt;=$J$5,0,CONTADORES!$BG83)</f>
        <v>6883.93</v>
      </c>
      <c r="BF87" s="1438">
        <f ca="1">IF($B87&gt;=$J$5,0,CONTADORES!$BH83)</f>
        <v>35318.1280701754</v>
      </c>
      <c r="BG87" s="1397">
        <f ca="1">IF($B87&gt;=$J$5,0,CONTADORES!$BJ83)</f>
        <v>6046.45</v>
      </c>
      <c r="BH87" s="1409">
        <f ca="1">IF(B87&gt;=$J$5,0,((CONTADORES!BK83-CONTADORES!BK82)/1000))</f>
        <v>1.429</v>
      </c>
      <c r="BI87" s="1409">
        <f ca="1">IF(C87&gt;=$J$5,0,((CONTADORES!BL83-CONTADORES!BL82)/1000))</f>
        <v>1.41</v>
      </c>
      <c r="BJ87" s="1399">
        <f ca="1">IF(C87&gt;=$J$5,0,((CONTADORES!BM83-CONTADORES!BM82)/1000))</f>
        <v>0</v>
      </c>
      <c r="BK87" s="1399">
        <f ca="1">IF(D87&gt;=$J$5,0,((CONTADORES!BN83-CONTADORES!BN82)/1000))</f>
        <v>0</v>
      </c>
      <c r="BL87" s="1399">
        <f t="shared" ca="1" si="49"/>
        <v>1.429</v>
      </c>
      <c r="BM87" s="1399">
        <f t="shared" ca="1" si="50"/>
        <v>1.41</v>
      </c>
      <c r="BN87" s="1409">
        <f ca="1">IF(W87&gt;=$J$5,0,CONTADORES!$BO83)</f>
        <v>130.83402082276115</v>
      </c>
      <c r="BO87" s="1438">
        <f ca="1">IF(W87&gt;=$J$5,0,CONTADORES!$BP83)</f>
        <v>45.559221166353922</v>
      </c>
      <c r="BP87" s="1397">
        <f ca="1">IF(W87&gt;=$J$5,0,CONTADORES!$BQ83)</f>
        <v>658.30650527455964</v>
      </c>
      <c r="BQ87" s="1397">
        <f ca="1">IF(B87&gt;=$J$5,0,(CONTADORES!AS83-CONTADORES!AS82))</f>
        <v>5</v>
      </c>
      <c r="BR87" s="1397">
        <f ca="1">IF(B87&gt;=$J$5,0,(CONTADORES!AT83-CONTADORES!AT82))</f>
        <v>0</v>
      </c>
      <c r="BS87" s="1409">
        <f ca="1">IF(B87&gt;=$J$5,0,CONTADORES!BR83-CONTADORES!BR82)/1000</f>
        <v>2</v>
      </c>
      <c r="BT87" s="1438">
        <f ca="1">IF(B87&gt;=$J$5,0,CONTADORES!BS83-CONTADORES!BS82)</f>
        <v>1</v>
      </c>
      <c r="BU87" s="1438">
        <f ca="1">IF(B87&gt;=$J$5,0,CONTADORES!BT83-CONTADORES!BT82)</f>
        <v>23.299999999999272</v>
      </c>
      <c r="BV87" s="1438">
        <f ca="1">IF(B87&gt;=$J$5,0,CONTADORES!BU83-CONTADORES!BU82)/1000</f>
        <v>6.0309999999999997</v>
      </c>
      <c r="BW87" s="1438">
        <f ca="1">IF(B87&gt;=$J$5,0,CONTADORES!BV83-CONTADORES!BV82)/1000</f>
        <v>0.114</v>
      </c>
      <c r="BX87" s="1438">
        <f ca="1">IF(B87&gt;=$J$5,0,CONTADORES!BW83-CONTADORES!BW82)</f>
        <v>24</v>
      </c>
      <c r="BY87" s="1438">
        <f ca="1">IF(B87&gt;=$J$5,0,CONTADORES!BX83-CONTADORES!BX82)/1000</f>
        <v>0</v>
      </c>
      <c r="BZ87" s="1438">
        <f ca="1">IF(B87&gt;=$J$5,0,CONTADORES!BY83-CONTADORES!BY82)/1000</f>
        <v>0</v>
      </c>
      <c r="CA87" s="1438">
        <f ca="1">IF(B87&gt;=$J$5,0,CONTADORES!BZ83-CONTADORES!BZ82)</f>
        <v>0</v>
      </c>
      <c r="CB87" s="1409">
        <f ca="1">IF(B87&gt;=$J$5,0,(CONTADORES!CC83-CONTADORES!CC82)+(CONTADORES!CE83-CONTADORES!CE82))/1000</f>
        <v>1.4830000000000001</v>
      </c>
      <c r="CC87" s="1438">
        <f ca="1">IF(B87&gt;=$J$5,0,(CONTADORES!CD83-CONTADORES!CD82)+(CONTADORES!CF83-CONTADORES!CF82))/1000</f>
        <v>0.83199999999999996</v>
      </c>
      <c r="CD87" s="1409">
        <f ca="1">IF(B87&gt;=$J$5,0,CONTADORES!CA83-CONTADORES!CA82)</f>
        <v>6.3999999999996362</v>
      </c>
      <c r="CE87" s="1438">
        <f ca="1">IF(B87&gt;=$J$5,0,CONTADORES!CB83-CONTADORES!CB82)</f>
        <v>4.5</v>
      </c>
      <c r="CF87" s="1438">
        <f t="shared" ca="1" si="51"/>
        <v>11.884499999999864</v>
      </c>
      <c r="CG87" s="1438">
        <f t="shared" ca="1" si="52"/>
        <v>8.6589999999999829</v>
      </c>
      <c r="CH87" s="1438">
        <f t="shared" ca="1" si="53"/>
        <v>5.484500000000228</v>
      </c>
      <c r="CI87" s="1438">
        <f t="shared" ca="1" si="54"/>
        <v>1.0467999999999635</v>
      </c>
      <c r="CJ87" s="1438">
        <f t="shared" ca="1" si="55"/>
        <v>5.484500000000228</v>
      </c>
      <c r="CK87" s="1438">
        <f t="shared" ca="1" si="56"/>
        <v>1.5701999999999454</v>
      </c>
      <c r="CL87" s="1438">
        <f t="shared" ca="1" si="57"/>
        <v>2.5297999999999634</v>
      </c>
      <c r="CM87" s="1438">
        <f t="shared" ca="1" si="58"/>
        <v>4.1589999999999829</v>
      </c>
      <c r="CN87" s="1438">
        <f ca="1">IF(B87&gt;=$J$5,0,CONTADORES!CB83-CONTADORES!CB82)</f>
        <v>4.5</v>
      </c>
      <c r="CO87" s="1438">
        <f t="shared" ca="1" si="59"/>
        <v>4.1589999999999829</v>
      </c>
      <c r="CP87" s="1438">
        <f t="shared" ca="1" si="60"/>
        <v>0.78400000000001713</v>
      </c>
      <c r="CQ87" s="1438">
        <f t="shared" ca="1" si="61"/>
        <v>0.78400000000001713</v>
      </c>
      <c r="CR87" s="1438">
        <f t="shared" ca="1" si="62"/>
        <v>1.616000000000017</v>
      </c>
      <c r="CS87" s="1439">
        <f ca="1">IF($B87&gt;=$J$5,0,CONTADORES!$BI83)</f>
        <v>10366.936183399301</v>
      </c>
      <c r="CT87" s="1334">
        <f>CONTADORES!E83</f>
        <v>0</v>
      </c>
      <c r="CU87" s="1334">
        <f>CONTADORES!CG83</f>
        <v>0</v>
      </c>
    </row>
    <row r="88" spans="2:99">
      <c r="B88" s="390">
        <v>45004</v>
      </c>
      <c r="C88" s="198">
        <f t="shared" ca="1" si="35"/>
        <v>290</v>
      </c>
      <c r="D88" s="196">
        <f ca="1">'CALCULO DE GAS'!D90</f>
        <v>4.8411734326683291</v>
      </c>
      <c r="E88" s="196">
        <f ca="1">IF(B88&gt;=$J$5,0,(CONTADORES!$AD84-CONTADORES!$AD83)-$H88)</f>
        <v>24</v>
      </c>
      <c r="F88" s="198">
        <f t="shared" ca="1" si="64"/>
        <v>0</v>
      </c>
      <c r="G88" s="196">
        <f ca="1">IF(B88&gt;=$J$5,0,CONTADORES!$AF84-CONTADORES!$AF83)</f>
        <v>0</v>
      </c>
      <c r="H88" s="1396">
        <f ca="1">IF(G88&gt;0,CONTADORES!$AE84-CONTADORES!$AE83,0)</f>
        <v>0</v>
      </c>
      <c r="I88" s="199">
        <f ca="1">IF(B88&gt;=$J$5,0,CONTADORES!$AB84-CONTADORES!$AB83)</f>
        <v>290</v>
      </c>
      <c r="J88" s="198">
        <f t="shared" ca="1" si="36"/>
        <v>158</v>
      </c>
      <c r="K88" s="196">
        <f ca="1">'CALCULO DE GAS'!E90</f>
        <v>3.7647644551122195</v>
      </c>
      <c r="L88" s="1396">
        <f ca="1">IF(B88&gt;=$J$5,0,(CONTADORES!$Y84-CONTADORES!$Y83)-$O88)</f>
        <v>24</v>
      </c>
      <c r="M88" s="1396">
        <f t="shared" ca="1" si="63"/>
        <v>0</v>
      </c>
      <c r="N88" s="1396">
        <f ca="1">IF(B88&gt;=$J$5,0,CONTADORES!$AA84-CONTADORES!$AA83)</f>
        <v>0</v>
      </c>
      <c r="O88" s="1396">
        <f ca="1">IF(N88&gt;0,CONTADORES!$Z84-CONTADORES!$Z83,0)</f>
        <v>0</v>
      </c>
      <c r="P88" s="202">
        <f ca="1">IF(B88&gt;=$J$5,0,CONTADORES!$W84-CONTADORES!$W83)</f>
        <v>158</v>
      </c>
      <c r="Q88" s="202">
        <f ca="1">IF(B88&gt;=$J$5,0,CONTADORES!$B84-CONTADORES!$B83)</f>
        <v>0</v>
      </c>
      <c r="R88" s="196">
        <f t="shared" ca="1" si="37"/>
        <v>0</v>
      </c>
      <c r="S88" s="11">
        <f ca="1">IF(B88&gt;=$J$5,0,CONTADORES!$D84-CONTADORES!$D83)</f>
        <v>0</v>
      </c>
      <c r="T88" s="198">
        <f ca="1">IF(B88&gt;=$J$5,0,CONTADORES!$BB84-CONTADORES!$BB83)</f>
        <v>0</v>
      </c>
      <c r="U88" s="196">
        <f t="shared" ca="1" si="38"/>
        <v>0</v>
      </c>
      <c r="V88" s="199">
        <f ca="1">IF(B88&gt;=$J$5,0,CONTADORES!$BD84-CONTADORES!$BD83)</f>
        <v>0</v>
      </c>
      <c r="W88" s="1397">
        <f t="shared" ca="1" si="39"/>
        <v>448</v>
      </c>
      <c r="X88" s="1397">
        <f t="shared" ca="1" si="40"/>
        <v>0</v>
      </c>
      <c r="Y88" s="1398">
        <f t="shared" ca="1" si="41"/>
        <v>448</v>
      </c>
      <c r="Z88" s="1398">
        <f t="shared" ca="1" si="42"/>
        <v>8.6059378877805486</v>
      </c>
      <c r="AA88" s="1398">
        <f t="shared" ca="1" si="43"/>
        <v>0</v>
      </c>
      <c r="AB88" s="1398">
        <f t="shared" ca="1" si="44"/>
        <v>48</v>
      </c>
      <c r="AC88" s="1397">
        <f t="shared" ca="1" si="45"/>
        <v>0</v>
      </c>
      <c r="AD88" s="1397">
        <f ca="1">IF(B88&gt;=$J$5,0,CONTADORES!H84-CONTADORES!H83)</f>
        <v>168</v>
      </c>
      <c r="AE88" s="1397">
        <f ca="1">IF(B88&gt;=$J$5,0,CONTADORES!J84-CONTADORES!J83)</f>
        <v>24</v>
      </c>
      <c r="AF88" s="1397">
        <f ca="1">IF(B88&gt;=$J$5,0,CONTADORES!AU84-CONTADORES!AU83)</f>
        <v>142</v>
      </c>
      <c r="AG88" s="1397">
        <f ca="1">IF(B88&gt;=$J$5,0,CONTADORES!AW84-CONTADORES!AW83)</f>
        <v>24</v>
      </c>
      <c r="AH88" s="1397">
        <f ca="1">IF(B88&gt;=$J$5,0,(CONTADORES!AM84-CONTADORES!AM83)+(CONTADORES!M84-CONTADORES!M83))</f>
        <v>7.9000000000014552</v>
      </c>
      <c r="AI88" s="1397">
        <f ca="1">IF(B88&gt;=$J$5,0,(CONTADORES!AK84-CONTADORES!AK83)+(CONTADORES!O84-CONTADORES!O83))</f>
        <v>38.899999999994179</v>
      </c>
      <c r="AJ88" s="1397">
        <f ca="1">IF(B88&gt;=$J$5,0,(CONTADORES!AI84-CONTADORES!AI83))</f>
        <v>9</v>
      </c>
      <c r="AK88" s="1397">
        <f ca="1">IF(B88&gt;=$J$5,0,(CONTADORES!Q84-CONTADORES!Q83))</f>
        <v>15.200000000011642</v>
      </c>
      <c r="AL88" s="1397">
        <f t="shared" ca="1" si="46"/>
        <v>37.799999999991996</v>
      </c>
      <c r="AM88" s="1397">
        <f ca="1">IF(B88&gt;=$J$5,0,(((CONTADORES!F84-CONTADORES!F83)+(CONTADORES!AQ84-CONTADORES!AQ83))))-BS88-AF88-AN88-BV88-BY88-CD88-CB88</f>
        <v>10.622999999999614</v>
      </c>
      <c r="AN88" s="1397">
        <f ca="1">IF(B88&gt;=$J$5,0,(CONTADORES!AX84-CONTADORES!AX83)+(CONTADORES!AZ84-CONTADORES!AZ83)+(CONTADORES!BE84-CONTADORES!BE83))-CB88</f>
        <v>2.4969999999996473</v>
      </c>
      <c r="AO88" s="1437">
        <f ca="1">IF(B88&gt;=$J$5,0,(CONTADORES!AC84-CONTADORES!AC83))</f>
        <v>151</v>
      </c>
      <c r="AP88" s="1437">
        <f ca="1">IF(B88&gt;=$J$5,0,(CONTADORES!X84-CONTADORES!X83))</f>
        <v>80</v>
      </c>
      <c r="AQ88" s="1404">
        <f ca="1">IF(B88&gt;=$J$5,0,(CONTADORES!C84-CONTADORES!C83))</f>
        <v>0</v>
      </c>
      <c r="AR88" s="1399">
        <f ca="1">IF(B88&gt;=$J$5,0,(CONTADORES!BC84-CONTADORES!BC83))</f>
        <v>0</v>
      </c>
      <c r="AS88" s="1397">
        <f ca="1">IF(B88&gt;=$J$5,0,CONTADORES!S84-CONTADORES!S83)</f>
        <v>16.899999999994179</v>
      </c>
      <c r="AT88" s="1397">
        <f ca="1">IF(B88&gt;=$J$5,0,(CONTADORES!U84-CONTADORES!U83)+(CONTADORES!AG84-CONTADORES!AG83))</f>
        <v>2.2000000000043656</v>
      </c>
      <c r="AU88" s="1409">
        <f>CONTADORES!I84-CONTADORES!I83</f>
        <v>84</v>
      </c>
      <c r="AV88" s="1438">
        <f>CONTADORES!AV84-CONTADORES!AV83</f>
        <v>62</v>
      </c>
      <c r="AW88" s="1438">
        <f ca="1">IF(B88&gt;=$J$5,0,(CONTADORES!N84-CONTADORES!N83)+(CONTADORES!AN84-CONTADORES!AN83))</f>
        <v>3</v>
      </c>
      <c r="AX88" s="1438">
        <f ca="1">IF(B88&gt;=$J$5,0,(CONTADORES!P84-CONTADORES!P83)+(CONTADORES!AL84-CONTADORES!AL83))</f>
        <v>32</v>
      </c>
      <c r="AY88" s="1438">
        <f ca="1">IF(B88&gt;=$J$5,0,(CONTADORES!AJ84-CONTADORES!AJ83))</f>
        <v>6.9000000000014552</v>
      </c>
      <c r="AZ88" s="1438">
        <f ca="1">IF(B88&gt;=$J$5,0,(CONTADORES!R84-CONTADORES!R83))</f>
        <v>12.80000000000291</v>
      </c>
      <c r="BA88" s="1397">
        <f t="shared" ca="1" si="47"/>
        <v>14.884999999996211</v>
      </c>
      <c r="BB88" s="1397">
        <f ca="1">IF(B88&gt;=$J$5,0,(((CONTADORES!G84-CONTADORES!G83)+(CONTADORES!AR84-CONTADORES!AR83))))-AV88-BC88-BT88-BW88-BZ88-CE88</f>
        <v>7.7809999999988353</v>
      </c>
      <c r="BC88" s="1397">
        <f ca="1">IF(B88&gt;=$J$5,0,(CONTADORES!AY84-CONTADORES!AY83)+(CONTADORES!BA84-CONTADORES!BA83)+(CONTADORES!BF84-CONTADORES!BF83))-CC88</f>
        <v>1.3550000000000728</v>
      </c>
      <c r="BD88" s="1397">
        <f t="shared" ca="1" si="48"/>
        <v>231</v>
      </c>
      <c r="BE88" s="1409">
        <f ca="1">IF($B88&gt;=$J$5,0,CONTADORES!$BG84)</f>
        <v>6603.52</v>
      </c>
      <c r="BF88" s="1438">
        <f ca="1">IF($B88&gt;=$J$5,0,CONTADORES!$BH84)</f>
        <v>34928.294736842101</v>
      </c>
      <c r="BG88" s="1397">
        <f ca="1">IF($B88&gt;=$J$5,0,CONTADORES!$BJ84)</f>
        <v>5256.55</v>
      </c>
      <c r="BH88" s="1409">
        <f ca="1">IF(B88&gt;=$J$5,0,((CONTADORES!BK84-CONTADORES!BK83)/1000))</f>
        <v>1.4430000000000001</v>
      </c>
      <c r="BI88" s="1409">
        <f ca="1">IF(C88&gt;=$J$5,0,((CONTADORES!BL84-CONTADORES!BL83)/1000))</f>
        <v>1.421</v>
      </c>
      <c r="BJ88" s="1399">
        <f ca="1">IF(C88&gt;=$J$5,0,((CONTADORES!BM84-CONTADORES!BM83)/1000))</f>
        <v>0</v>
      </c>
      <c r="BK88" s="1399">
        <f ca="1">IF(D88&gt;=$J$5,0,((CONTADORES!BN84-CONTADORES!BN83)/1000))</f>
        <v>0</v>
      </c>
      <c r="BL88" s="1399">
        <f t="shared" ca="1" si="49"/>
        <v>1.4430000000000001</v>
      </c>
      <c r="BM88" s="1399">
        <f t="shared" ca="1" si="50"/>
        <v>1.421</v>
      </c>
      <c r="BN88" s="1409">
        <f ca="1">IF(W88&gt;=$J$5,0,CONTADORES!$BO84)</f>
        <v>130.79658403541899</v>
      </c>
      <c r="BO88" s="1438">
        <f ca="1">IF(W88&gt;=$J$5,0,CONTADORES!$BP84)</f>
        <v>45.659451403684884</v>
      </c>
      <c r="BP88" s="1397">
        <f ca="1">IF(W88&gt;=$J$5,0,CONTADORES!$BQ84)</f>
        <v>657.75044920212849</v>
      </c>
      <c r="BQ88" s="1397">
        <f ca="1">IF(B88&gt;=$J$5,0,(CONTADORES!AS84-CONTADORES!AS83))</f>
        <v>4</v>
      </c>
      <c r="BR88" s="1397">
        <f ca="1">IF(B88&gt;=$J$5,0,(CONTADORES!AT84-CONTADORES!AT83))</f>
        <v>0</v>
      </c>
      <c r="BS88" s="1409">
        <f ca="1">IF(B88&gt;=$J$5,0,CONTADORES!BR84-CONTADORES!BR83)/1000</f>
        <v>2.2999999999999998</v>
      </c>
      <c r="BT88" s="1438">
        <f ca="1">IF(B88&gt;=$J$5,0,CONTADORES!BS84-CONTADORES!BS83)</f>
        <v>1</v>
      </c>
      <c r="BU88" s="1438">
        <f ca="1">IF(B88&gt;=$J$5,0,CONTADORES!BT84-CONTADORES!BT83)</f>
        <v>24</v>
      </c>
      <c r="BV88" s="1438">
        <f ca="1">IF(B88&gt;=$J$5,0,CONTADORES!BU84-CONTADORES!BU83)/1000</f>
        <v>5.9269999999999996</v>
      </c>
      <c r="BW88" s="1438">
        <f ca="1">IF(B88&gt;=$J$5,0,CONTADORES!BV84-CONTADORES!BV83)/1000</f>
        <v>6.4000000000000001E-2</v>
      </c>
      <c r="BX88" s="1438">
        <f ca="1">IF(B88&gt;=$J$5,0,CONTADORES!BW84-CONTADORES!BW83)</f>
        <v>24</v>
      </c>
      <c r="BY88" s="1438">
        <f ca="1">IF(B88&gt;=$J$5,0,CONTADORES!BX84-CONTADORES!BX83)/1000</f>
        <v>0</v>
      </c>
      <c r="BZ88" s="1438">
        <f ca="1">IF(B88&gt;=$J$5,0,CONTADORES!BY84-CONTADORES!BY83)/1000</f>
        <v>0</v>
      </c>
      <c r="CA88" s="1438">
        <f ca="1">IF(B88&gt;=$J$5,0,CONTADORES!BZ84-CONTADORES!BZ83)</f>
        <v>0</v>
      </c>
      <c r="CB88" s="1409">
        <f ca="1">IF(B88&gt;=$J$5,0,(CONTADORES!CC84-CONTADORES!CC83)+(CONTADORES!CE84-CONTADORES!CE83))/1000</f>
        <v>1.4530000000000001</v>
      </c>
      <c r="CC88" s="1438">
        <f ca="1">IF(B88&gt;=$J$5,0,(CONTADORES!CD84-CONTADORES!CD83)+(CONTADORES!CF84-CONTADORES!CF83))/1000</f>
        <v>0.81499999999999995</v>
      </c>
      <c r="CD88" s="1409">
        <f ca="1">IF(B88&gt;=$J$5,0,CONTADORES!CA84-CONTADORES!CA83)</f>
        <v>6.4000000000014552</v>
      </c>
      <c r="CE88" s="1438">
        <f ca="1">IF(B88&gt;=$J$5,0,CONTADORES!CB84-CONTADORES!CB83)</f>
        <v>4.4000000000005457</v>
      </c>
      <c r="CF88" s="1438">
        <f t="shared" ca="1" si="51"/>
        <v>11.711500000001262</v>
      </c>
      <c r="CG88" s="1438">
        <f t="shared" ca="1" si="52"/>
        <v>8.2904999999999625</v>
      </c>
      <c r="CH88" s="1438">
        <f t="shared" ca="1" si="53"/>
        <v>5.3114999999998069</v>
      </c>
      <c r="CI88" s="1438">
        <f t="shared" ca="1" si="54"/>
        <v>0.99879999999985891</v>
      </c>
      <c r="CJ88" s="1438">
        <f t="shared" ca="1" si="55"/>
        <v>5.3114999999998069</v>
      </c>
      <c r="CK88" s="1438">
        <f t="shared" ca="1" si="56"/>
        <v>1.4981999999997884</v>
      </c>
      <c r="CL88" s="1438">
        <f t="shared" ca="1" si="57"/>
        <v>2.4517999999998592</v>
      </c>
      <c r="CM88" s="1438">
        <f t="shared" ca="1" si="58"/>
        <v>3.8904999999994176</v>
      </c>
      <c r="CN88" s="1438">
        <f ca="1">IF(B88&gt;=$J$5,0,CONTADORES!CB84-CONTADORES!CB83)</f>
        <v>4.4000000000005457</v>
      </c>
      <c r="CO88" s="1438">
        <f t="shared" ca="1" si="59"/>
        <v>3.8904999999994176</v>
      </c>
      <c r="CP88" s="1438">
        <f t="shared" ca="1" si="60"/>
        <v>0.67750000000003641</v>
      </c>
      <c r="CQ88" s="1438">
        <f t="shared" ca="1" si="61"/>
        <v>0.67750000000003641</v>
      </c>
      <c r="CR88" s="1438">
        <f t="shared" ca="1" si="62"/>
        <v>1.4925000000000364</v>
      </c>
      <c r="CS88" s="1439">
        <f ca="1">IF($B88&gt;=$J$5,0,CONTADORES!$BI84)</f>
        <v>10410.887873737</v>
      </c>
      <c r="CT88" s="1334">
        <f>CONTADORES!E84</f>
        <v>0</v>
      </c>
      <c r="CU88" s="1334">
        <f>CONTADORES!CG84</f>
        <v>0</v>
      </c>
    </row>
    <row r="89" spans="2:99">
      <c r="B89" s="390">
        <v>45005</v>
      </c>
      <c r="C89" s="198">
        <f t="shared" ca="1" si="35"/>
        <v>300</v>
      </c>
      <c r="D89" s="196">
        <f ca="1">'CALCULO DE GAS'!D91</f>
        <v>4.9227195673316713</v>
      </c>
      <c r="E89" s="196">
        <f ca="1">IF(B89&gt;=$J$5,0,(CONTADORES!$AD85-CONTADORES!$AD84)-$H89)</f>
        <v>24</v>
      </c>
      <c r="F89" s="198">
        <f t="shared" ca="1" si="64"/>
        <v>0</v>
      </c>
      <c r="G89" s="196">
        <f ca="1">IF(B89&gt;=$J$5,0,CONTADORES!$AF85-CONTADORES!$AF84)</f>
        <v>0</v>
      </c>
      <c r="H89" s="1396">
        <f ca="1">IF(G89&gt;0,CONTADORES!$AE85-CONTADORES!$AE84,0)</f>
        <v>0</v>
      </c>
      <c r="I89" s="199">
        <f ca="1">IF(B89&gt;=$J$5,0,CONTADORES!$AB85-CONTADORES!$AB84)</f>
        <v>300</v>
      </c>
      <c r="J89" s="198">
        <f t="shared" ca="1" si="36"/>
        <v>156</v>
      </c>
      <c r="K89" s="196">
        <f ca="1">'CALCULO DE GAS'!E91</f>
        <v>3.7484552281795511</v>
      </c>
      <c r="L89" s="1396">
        <f ca="1">IF(B89&gt;=$J$5,0,(CONTADORES!$Y85-CONTADORES!$Y84)-$O89)</f>
        <v>24</v>
      </c>
      <c r="M89" s="1396">
        <f t="shared" ca="1" si="63"/>
        <v>0</v>
      </c>
      <c r="N89" s="1396">
        <f ca="1">IF(B89&gt;=$J$5,0,CONTADORES!$AA85-CONTADORES!$AA84)</f>
        <v>0</v>
      </c>
      <c r="O89" s="1396">
        <f ca="1">IF(N89&gt;0,CONTADORES!$Z85-CONTADORES!$Z84,0)</f>
        <v>0</v>
      </c>
      <c r="P89" s="202">
        <f ca="1">IF(B89&gt;=$J$5,0,CONTADORES!$W85-CONTADORES!$W84)</f>
        <v>156</v>
      </c>
      <c r="Q89" s="202">
        <f ca="1">IF(B89&gt;=$J$5,0,CONTADORES!$B85-CONTADORES!$B84)</f>
        <v>0</v>
      </c>
      <c r="R89" s="196">
        <f t="shared" ca="1" si="37"/>
        <v>0</v>
      </c>
      <c r="S89" s="11">
        <f ca="1">IF(B89&gt;=$J$5,0,CONTADORES!$D85-CONTADORES!$D84)</f>
        <v>0</v>
      </c>
      <c r="T89" s="198">
        <f ca="1">IF(B89&gt;=$J$5,0,CONTADORES!$BB85-CONTADORES!$BB84)</f>
        <v>0</v>
      </c>
      <c r="U89" s="196">
        <f t="shared" ca="1" si="38"/>
        <v>0</v>
      </c>
      <c r="V89" s="199">
        <f ca="1">IF(B89&gt;=$J$5,0,CONTADORES!$BD85-CONTADORES!$BD84)</f>
        <v>0</v>
      </c>
      <c r="W89" s="1397">
        <f t="shared" ca="1" si="39"/>
        <v>456</v>
      </c>
      <c r="X89" s="1397">
        <f t="shared" ca="1" si="40"/>
        <v>0</v>
      </c>
      <c r="Y89" s="1398">
        <f t="shared" ca="1" si="41"/>
        <v>456</v>
      </c>
      <c r="Z89" s="1398">
        <f t="shared" ca="1" si="42"/>
        <v>8.6711747955112219</v>
      </c>
      <c r="AA89" s="1398">
        <f t="shared" ca="1" si="43"/>
        <v>0</v>
      </c>
      <c r="AB89" s="1398">
        <f t="shared" ca="1" si="44"/>
        <v>48</v>
      </c>
      <c r="AC89" s="1397">
        <f t="shared" ca="1" si="45"/>
        <v>0</v>
      </c>
      <c r="AD89" s="1397">
        <f ca="1">IF(B89&gt;=$J$5,0,CONTADORES!H85-CONTADORES!H84)</f>
        <v>168</v>
      </c>
      <c r="AE89" s="1397">
        <f ca="1">IF(B89&gt;=$J$5,0,CONTADORES!J85-CONTADORES!J84)</f>
        <v>24</v>
      </c>
      <c r="AF89" s="1397">
        <f ca="1">IF(B89&gt;=$J$5,0,CONTADORES!AU85-CONTADORES!AU84)</f>
        <v>144</v>
      </c>
      <c r="AG89" s="1397">
        <f ca="1">IF(B89&gt;=$J$5,0,CONTADORES!AW85-CONTADORES!AW84)</f>
        <v>24</v>
      </c>
      <c r="AH89" s="1397">
        <f ca="1">IF(B89&gt;=$J$5,0,(CONTADORES!AM85-CONTADORES!AM84)+(CONTADORES!M85-CONTADORES!M84))</f>
        <v>11.5</v>
      </c>
      <c r="AI89" s="1397">
        <f ca="1">IF(B89&gt;=$J$5,0,(CONTADORES!AK85-CONTADORES!AK84)+(CONTADORES!O85-CONTADORES!O84))</f>
        <v>41.599999999998545</v>
      </c>
      <c r="AJ89" s="1397">
        <f ca="1">IF(B89&gt;=$J$5,0,(CONTADORES!AI85-CONTADORES!AI84))</f>
        <v>8.8000000000029104</v>
      </c>
      <c r="AK89" s="1397">
        <f ca="1">IF(B89&gt;=$J$5,0,(CONTADORES!Q85-CONTADORES!Q84))</f>
        <v>16.199999999982538</v>
      </c>
      <c r="AL89" s="1397">
        <f t="shared" ca="1" si="46"/>
        <v>35.500000000014552</v>
      </c>
      <c r="AM89" s="1397">
        <f ca="1">IF(B89&gt;=$J$5,0,(((CONTADORES!F85-CONTADORES!F84)+(CONTADORES!AQ85-CONTADORES!AQ84))))-BS89-AF89-AN89-BV89-BY89-CD89-CB89</f>
        <v>10.622000000002924</v>
      </c>
      <c r="AN89" s="1397">
        <f ca="1">IF(B89&gt;=$J$5,0,(CONTADORES!AX85-CONTADORES!AX84)+(CONTADORES!AZ85-CONTADORES!AZ84)+(CONTADORES!BE85-CONTADORES!BE84))-CB89</f>
        <v>2.9349999999996363</v>
      </c>
      <c r="AO89" s="1437">
        <f ca="1">IF(B89&gt;=$J$5,0,(CONTADORES!AC85-CONTADORES!AC84))</f>
        <v>154</v>
      </c>
      <c r="AP89" s="1437">
        <f ca="1">IF(B89&gt;=$J$5,0,(CONTADORES!X85-CONTADORES!X84))</f>
        <v>80</v>
      </c>
      <c r="AQ89" s="1404">
        <f ca="1">IF(B89&gt;=$J$5,0,(CONTADORES!C85-CONTADORES!C84))</f>
        <v>0</v>
      </c>
      <c r="AR89" s="1399">
        <f ca="1">IF(B89&gt;=$J$5,0,(CONTADORES!BC85-CONTADORES!BC84))</f>
        <v>0</v>
      </c>
      <c r="AS89" s="1397">
        <f ca="1">IF(B89&gt;=$J$5,0,CONTADORES!S85-CONTADORES!S84)</f>
        <v>17.100000000005821</v>
      </c>
      <c r="AT89" s="1397">
        <f ca="1">IF(B89&gt;=$J$5,0,(CONTADORES!U85-CONTADORES!U84)+(CONTADORES!AG85-CONTADORES!AG84))</f>
        <v>2.1999999999970896</v>
      </c>
      <c r="AU89" s="1409">
        <f>CONTADORES!I85-CONTADORES!I84</f>
        <v>85</v>
      </c>
      <c r="AV89" s="1438">
        <f>CONTADORES!AV85-CONTADORES!AV84</f>
        <v>63</v>
      </c>
      <c r="AW89" s="1438">
        <f ca="1">IF(B89&gt;=$J$5,0,(CONTADORES!N85-CONTADORES!N84)+(CONTADORES!AN85-CONTADORES!AN84))</f>
        <v>4.5</v>
      </c>
      <c r="AX89" s="1438">
        <f ca="1">IF(B89&gt;=$J$5,0,(CONTADORES!P85-CONTADORES!P84)+(CONTADORES!AL85-CONTADORES!AL84))</f>
        <v>33.599999999998545</v>
      </c>
      <c r="AY89" s="1438">
        <f ca="1">IF(B89&gt;=$J$5,0,(CONTADORES!AJ85-CONTADORES!AJ84))</f>
        <v>6.9000000000014552</v>
      </c>
      <c r="AZ89" s="1438">
        <f ca="1">IF(B89&gt;=$J$5,0,(CONTADORES!R85-CONTADORES!R84))</f>
        <v>13.30000000000291</v>
      </c>
      <c r="BA89" s="1397">
        <f t="shared" ca="1" si="47"/>
        <v>11.18199999999635</v>
      </c>
      <c r="BB89" s="1397">
        <f ca="1">IF(B89&gt;=$J$5,0,(((CONTADORES!G85-CONTADORES!G84)+(CONTADORES!AR85-CONTADORES!AR84))))-AV89-BC89-BT89-BW89-BZ89-CE89</f>
        <v>8.6300000000017398</v>
      </c>
      <c r="BC89" s="1397">
        <f ca="1">IF(B89&gt;=$J$5,0,(CONTADORES!AY85-CONTADORES!AY84)+(CONTADORES!BA85-CONTADORES!BA84)+(CONTADORES!BF85-CONTADORES!BF84))-CC89</f>
        <v>1.1819999999997157</v>
      </c>
      <c r="BD89" s="1397">
        <f t="shared" ca="1" si="48"/>
        <v>234</v>
      </c>
      <c r="BE89" s="1409">
        <f ca="1">IF($B89&gt;=$J$5,0,CONTADORES!$BG85)</f>
        <v>6000.67</v>
      </c>
      <c r="BF89" s="1438">
        <f ca="1">IF($B89&gt;=$J$5,0,CONTADORES!$BH85)</f>
        <v>34737.321052631603</v>
      </c>
      <c r="BG89" s="1397">
        <f ca="1">IF($B89&gt;=$J$5,0,CONTADORES!$BJ85)</f>
        <v>5333.94</v>
      </c>
      <c r="BH89" s="1409">
        <f ca="1">IF(B89&gt;=$J$5,0,((CONTADORES!BK85-CONTADORES!BK84)/1000))</f>
        <v>1.409</v>
      </c>
      <c r="BI89" s="1409">
        <f ca="1">IF(C89&gt;=$J$5,0,((CONTADORES!BL85-CONTADORES!BL84)/1000))</f>
        <v>1.4</v>
      </c>
      <c r="BJ89" s="1399">
        <f ca="1">IF(C89&gt;=$J$5,0,((CONTADORES!BM85-CONTADORES!BM84)/1000))</f>
        <v>0</v>
      </c>
      <c r="BK89" s="1399">
        <f ca="1">IF(D89&gt;=$J$5,0,((CONTADORES!BN85-CONTADORES!BN84)/1000))</f>
        <v>0</v>
      </c>
      <c r="BL89" s="1399">
        <f t="shared" ca="1" si="49"/>
        <v>1.409</v>
      </c>
      <c r="BM89" s="1399">
        <f t="shared" ca="1" si="50"/>
        <v>1.4</v>
      </c>
      <c r="BN89" s="1409">
        <f ca="1">IF(W89&gt;=$J$5,0,CONTADORES!$BO85)</f>
        <v>129.503145408233</v>
      </c>
      <c r="BO89" s="1438">
        <f ca="1">IF(W89&gt;=$J$5,0,CONTADORES!$BP85)</f>
        <v>45.246761238001682</v>
      </c>
      <c r="BP89" s="1397">
        <f ca="1">IF(W89&gt;=$J$5,0,CONTADORES!$BQ85)</f>
        <v>656.15019677862824</v>
      </c>
      <c r="BQ89" s="1397">
        <f ca="1">IF(B89&gt;=$J$5,0,(CONTADORES!AS85-CONTADORES!AS84))</f>
        <v>5</v>
      </c>
      <c r="BR89" s="1397">
        <f ca="1">IF(B89&gt;=$J$5,0,(CONTADORES!AT85-CONTADORES!AT84))</f>
        <v>0</v>
      </c>
      <c r="BS89" s="1409">
        <f ca="1">IF(B89&gt;=$J$5,0,CONTADORES!BR85-CONTADORES!BR84)/1000</f>
        <v>2.2000000000000002</v>
      </c>
      <c r="BT89" s="1438">
        <f ca="1">IF(B89&gt;=$J$5,0,CONTADORES!BS85-CONTADORES!BS84)</f>
        <v>1</v>
      </c>
      <c r="BU89" s="1438">
        <f ca="1">IF(B89&gt;=$J$5,0,CONTADORES!BT85-CONTADORES!BT84)</f>
        <v>24</v>
      </c>
      <c r="BV89" s="1438">
        <f ca="1">IF(B89&gt;=$J$5,0,CONTADORES!BU85-CONTADORES!BU84)/1000</f>
        <v>5.9779999999999998</v>
      </c>
      <c r="BW89" s="1438">
        <f ca="1">IF(B89&gt;=$J$5,0,CONTADORES!BV85-CONTADORES!BV84)/1000</f>
        <v>8.7999999999999995E-2</v>
      </c>
      <c r="BX89" s="1438">
        <f ca="1">IF(B89&gt;=$J$5,0,CONTADORES!BW85-CONTADORES!BW84)</f>
        <v>24</v>
      </c>
      <c r="BY89" s="1438">
        <f ca="1">IF(B89&gt;=$J$5,0,CONTADORES!BX85-CONTADORES!BX84)/1000</f>
        <v>0</v>
      </c>
      <c r="BZ89" s="1438">
        <f ca="1">IF(B89&gt;=$J$5,0,CONTADORES!BY85-CONTADORES!BY84)/1000</f>
        <v>0</v>
      </c>
      <c r="CA89" s="1438">
        <f ca="1">IF(B89&gt;=$J$5,0,CONTADORES!BZ85-CONTADORES!BZ84)</f>
        <v>0</v>
      </c>
      <c r="CB89" s="1409">
        <f ca="1">IF(B89&gt;=$J$5,0,(CONTADORES!CC85-CONTADORES!CC84)+(CONTADORES!CE85-CONTADORES!CE84))/1000</f>
        <v>1.4650000000000001</v>
      </c>
      <c r="CC89" s="1438">
        <f ca="1">IF(B89&gt;=$J$5,0,(CONTADORES!CD85-CONTADORES!CD84)+(CONTADORES!CF85-CONTADORES!CF84))/1000</f>
        <v>0.81799999999999995</v>
      </c>
      <c r="CD89" s="1409">
        <f ca="1">IF(B89&gt;=$J$5,0,CONTADORES!CA85-CONTADORES!CA84)</f>
        <v>7.1999999999989086</v>
      </c>
      <c r="CE89" s="1438">
        <f ca="1">IF(B89&gt;=$J$5,0,CONTADORES!CB85-CONTADORES!CB84)</f>
        <v>4.7999999999992724</v>
      </c>
      <c r="CF89" s="1438">
        <f t="shared" ca="1" si="51"/>
        <v>12.51100000000037</v>
      </c>
      <c r="CG89" s="1438">
        <f t="shared" ca="1" si="52"/>
        <v>9.1150000000001423</v>
      </c>
      <c r="CH89" s="1438">
        <f t="shared" ca="1" si="53"/>
        <v>5.3110000000014619</v>
      </c>
      <c r="CI89" s="1438">
        <f t="shared" ca="1" si="54"/>
        <v>1.1739999999998545</v>
      </c>
      <c r="CJ89" s="1438">
        <f t="shared" ca="1" si="55"/>
        <v>5.3110000000014619</v>
      </c>
      <c r="CK89" s="1438">
        <f t="shared" ca="1" si="56"/>
        <v>1.7609999999997819</v>
      </c>
      <c r="CL89" s="1438">
        <f t="shared" ca="1" si="57"/>
        <v>2.6389999999998546</v>
      </c>
      <c r="CM89" s="1438">
        <f t="shared" ca="1" si="58"/>
        <v>4.3150000000008699</v>
      </c>
      <c r="CN89" s="1438">
        <f ca="1">IF(B89&gt;=$J$5,0,CONTADORES!CB85-CONTADORES!CB84)</f>
        <v>4.7999999999992724</v>
      </c>
      <c r="CO89" s="1438">
        <f t="shared" ca="1" si="59"/>
        <v>4.3150000000008699</v>
      </c>
      <c r="CP89" s="1438">
        <f t="shared" ca="1" si="60"/>
        <v>0.59099999999985786</v>
      </c>
      <c r="CQ89" s="1438">
        <f t="shared" ca="1" si="61"/>
        <v>0.59099999999985786</v>
      </c>
      <c r="CR89" s="1438">
        <f t="shared" ca="1" si="62"/>
        <v>1.4089999999998577</v>
      </c>
      <c r="CS89" s="1439">
        <f ca="1">IF($B89&gt;=$J$5,0,CONTADORES!$BI85)</f>
        <v>10572.9787641316</v>
      </c>
      <c r="CT89" s="1334">
        <f>CONTADORES!E85</f>
        <v>0</v>
      </c>
      <c r="CU89" s="1334">
        <f>CONTADORES!CG85</f>
        <v>0</v>
      </c>
    </row>
    <row r="90" spans="2:99">
      <c r="B90" s="390">
        <v>45006</v>
      </c>
      <c r="C90" s="198">
        <f t="shared" ca="1" si="35"/>
        <v>303</v>
      </c>
      <c r="D90" s="196">
        <f ca="1">'CALCULO DE GAS'!D92</f>
        <v>4.9471834077306731</v>
      </c>
      <c r="E90" s="196">
        <f ca="1">IF(B90&gt;=$J$5,0,(CONTADORES!$AD86-CONTADORES!$AD85)-$H90)</f>
        <v>24</v>
      </c>
      <c r="F90" s="198">
        <f t="shared" ca="1" si="64"/>
        <v>0</v>
      </c>
      <c r="G90" s="196">
        <f ca="1">IF(B90&gt;=$J$5,0,CONTADORES!$AF86-CONTADORES!$AF85)</f>
        <v>0</v>
      </c>
      <c r="H90" s="1396">
        <f ca="1">IF(G90&gt;0,CONTADORES!$AE86-CONTADORES!$AE85,0)</f>
        <v>0</v>
      </c>
      <c r="I90" s="199">
        <f ca="1">IF(B90&gt;=$J$5,0,CONTADORES!$AB86-CONTADORES!$AB85)</f>
        <v>303</v>
      </c>
      <c r="J90" s="198">
        <f t="shared" ca="1" si="36"/>
        <v>154</v>
      </c>
      <c r="K90" s="196">
        <f ca="1">'CALCULO DE GAS'!E92</f>
        <v>3.7321460012468828</v>
      </c>
      <c r="L90" s="1396">
        <f ca="1">IF(B90&gt;=$J$5,0,(CONTADORES!$Y86-CONTADORES!$Y85)-$O90)</f>
        <v>24</v>
      </c>
      <c r="M90" s="1396">
        <f t="shared" ca="1" si="63"/>
        <v>0</v>
      </c>
      <c r="N90" s="1396">
        <f ca="1">IF(B90&gt;=$J$5,0,CONTADORES!$AA86-CONTADORES!$AA85)</f>
        <v>0</v>
      </c>
      <c r="O90" s="1396">
        <f ca="1">IF(N90&gt;0,CONTADORES!$Z86-CONTADORES!$Z85,0)</f>
        <v>0</v>
      </c>
      <c r="P90" s="202">
        <f ca="1">IF(B90&gt;=$J$5,0,CONTADORES!$W86-CONTADORES!$W85)</f>
        <v>154</v>
      </c>
      <c r="Q90" s="202">
        <f ca="1">IF(B90&gt;=$J$5,0,CONTADORES!$B86-CONTADORES!$B85)</f>
        <v>0.2419999999999618</v>
      </c>
      <c r="R90" s="196">
        <f t="shared" ca="1" si="37"/>
        <v>29.039999999995416</v>
      </c>
      <c r="S90" s="11">
        <f ca="1">IF(B90&gt;=$J$5,0,CONTADORES!$D86-CONTADORES!$D85)</f>
        <v>0.8000000000001819</v>
      </c>
      <c r="T90" s="198">
        <f ca="1">IF(B90&gt;=$J$5,0,CONTADORES!$BB86-CONTADORES!$BB85)</f>
        <v>0.31100000000003547</v>
      </c>
      <c r="U90" s="196">
        <f t="shared" ca="1" si="38"/>
        <v>37.320000000004256</v>
      </c>
      <c r="V90" s="199">
        <f ca="1">IF(B90&gt;=$J$5,0,CONTADORES!$BD86-CONTADORES!$BD85)</f>
        <v>0.39999999999986358</v>
      </c>
      <c r="W90" s="1397">
        <f t="shared" ca="1" si="39"/>
        <v>457</v>
      </c>
      <c r="X90" s="1397">
        <f t="shared" ca="1" si="40"/>
        <v>0.55299999999999727</v>
      </c>
      <c r="Y90" s="1398">
        <f t="shared" ca="1" si="41"/>
        <v>457.553</v>
      </c>
      <c r="Z90" s="1398">
        <f t="shared" ca="1" si="42"/>
        <v>8.679329408977555</v>
      </c>
      <c r="AA90" s="1398">
        <f t="shared" ca="1" si="43"/>
        <v>66.359999999999673</v>
      </c>
      <c r="AB90" s="1398">
        <f t="shared" ca="1" si="44"/>
        <v>48</v>
      </c>
      <c r="AC90" s="1397">
        <f t="shared" ca="1" si="45"/>
        <v>1.2000000000000455</v>
      </c>
      <c r="AD90" s="1397">
        <f ca="1">IF(B90&gt;=$J$5,0,CONTADORES!H86-CONTADORES!H85)</f>
        <v>170</v>
      </c>
      <c r="AE90" s="1397">
        <f ca="1">IF(B90&gt;=$J$5,0,CONTADORES!J86-CONTADORES!J85)</f>
        <v>24</v>
      </c>
      <c r="AF90" s="1397">
        <f ca="1">IF(B90&gt;=$J$5,0,CONTADORES!AU86-CONTADORES!AU85)</f>
        <v>149</v>
      </c>
      <c r="AG90" s="1397">
        <f ca="1">IF(B90&gt;=$J$5,0,CONTADORES!AW86-CONTADORES!AW85)</f>
        <v>24</v>
      </c>
      <c r="AH90" s="1397">
        <f ca="1">IF(B90&gt;=$J$5,0,(CONTADORES!AM86-CONTADORES!AM85)+(CONTADORES!M86-CONTADORES!M85))</f>
        <v>11.399999999994179</v>
      </c>
      <c r="AI90" s="1397">
        <f ca="1">IF(B90&gt;=$J$5,0,(CONTADORES!AK86-CONTADORES!AK85)+(CONTADORES!O86-CONTADORES!O85))</f>
        <v>43.600000000005821</v>
      </c>
      <c r="AJ90" s="1397">
        <f ca="1">IF(B90&gt;=$J$5,0,(CONTADORES!AI86-CONTADORES!AI85))</f>
        <v>8.5</v>
      </c>
      <c r="AK90" s="1397">
        <f ca="1">IF(B90&gt;=$J$5,0,(CONTADORES!Q86-CONTADORES!Q85))</f>
        <v>16.5</v>
      </c>
      <c r="AL90" s="1397">
        <f t="shared" ca="1" si="46"/>
        <v>31.052999999999884</v>
      </c>
      <c r="AM90" s="1397">
        <f ca="1">IF(B90&gt;=$J$5,0,(((CONTADORES!F86-CONTADORES!F85)+(CONTADORES!AQ86-CONTADORES!AQ85))))-BS90-AF90-AN90-BV90-BY90-CD90-CB90</f>
        <v>7.8379999999991137</v>
      </c>
      <c r="AN90" s="1397">
        <f ca="1">IF(B90&gt;=$J$5,0,(CONTADORES!AX86-CONTADORES!AX85)+(CONTADORES!AZ86-CONTADORES!AZ85)+(CONTADORES!BE86-CONTADORES!BE85))-CB90</f>
        <v>2.5640000000008927</v>
      </c>
      <c r="AO90" s="1437">
        <f ca="1">IF(B90&gt;=$J$5,0,(CONTADORES!AC86-CONTADORES!AC85))</f>
        <v>152</v>
      </c>
      <c r="AP90" s="1437">
        <f ca="1">IF(B90&gt;=$J$5,0,(CONTADORES!X86-CONTADORES!X85))</f>
        <v>82</v>
      </c>
      <c r="AQ90" s="1404">
        <f ca="1">IF(B90&gt;=$J$5,0,(CONTADORES!C86-CONTADORES!C85))</f>
        <v>8.4000000000060027E-2</v>
      </c>
      <c r="AR90" s="1399">
        <f ca="1">IF(B90&gt;=$J$5,0,(CONTADORES!BC86-CONTADORES!BC85))</f>
        <v>0.117999999999995</v>
      </c>
      <c r="AS90" s="1397">
        <f ca="1">IF(B90&gt;=$J$5,0,CONTADORES!S86-CONTADORES!S85)</f>
        <v>15.799999999988358</v>
      </c>
      <c r="AT90" s="1397">
        <f ca="1">IF(B90&gt;=$J$5,0,(CONTADORES!U86-CONTADORES!U85)+(CONTADORES!AG86-CONTADORES!AG85))</f>
        <v>2.5</v>
      </c>
      <c r="AU90" s="1409">
        <f>CONTADORES!I86-CONTADORES!I85</f>
        <v>85</v>
      </c>
      <c r="AV90" s="1438">
        <f>CONTADORES!AV86-CONTADORES!AV85</f>
        <v>64</v>
      </c>
      <c r="AW90" s="1438">
        <f ca="1">IF(B90&gt;=$J$5,0,(CONTADORES!N86-CONTADORES!N85)+(CONTADORES!AN86-CONTADORES!AN85))</f>
        <v>4.5</v>
      </c>
      <c r="AX90" s="1438">
        <f ca="1">IF(B90&gt;=$J$5,0,(CONTADORES!P86-CONTADORES!P85)+(CONTADORES!AL86-CONTADORES!AL85))</f>
        <v>35.599999999998545</v>
      </c>
      <c r="AY90" s="1438">
        <f ca="1">IF(B90&gt;=$J$5,0,(CONTADORES!AJ86-CONTADORES!AJ85))</f>
        <v>6.5999999999985448</v>
      </c>
      <c r="AZ90" s="1438">
        <f ca="1">IF(B90&gt;=$J$5,0,(CONTADORES!R86-CONTADORES!R85))</f>
        <v>13.69999999999709</v>
      </c>
      <c r="BA90" s="1397">
        <f t="shared" ca="1" si="47"/>
        <v>8.0640000000062457</v>
      </c>
      <c r="BB90" s="1397">
        <f ca="1">IF(B90&gt;=$J$5,0,(((CONTADORES!G86-CONTADORES!G85)+(CONTADORES!AR86-CONTADORES!AR85))))-AV90-BC90-BT90-BW90-BZ90-CE90</f>
        <v>8.4759999999995568</v>
      </c>
      <c r="BC90" s="1397">
        <f ca="1">IF(B90&gt;=$J$5,0,(CONTADORES!AY86-CONTADORES!AY85)+(CONTADORES!BA86-CONTADORES!BA85)+(CONTADORES!BF86-CONTADORES!BF85))-CC90</f>
        <v>1.2920000000000806</v>
      </c>
      <c r="BD90" s="1397">
        <f t="shared" ca="1" si="48"/>
        <v>234.20200000000006</v>
      </c>
      <c r="BE90" s="1409">
        <f ca="1">IF($B90&gt;=$J$5,0,CONTADORES!$BG86)</f>
        <v>7031.12</v>
      </c>
      <c r="BF90" s="1438">
        <f ca="1">IF($B90&gt;=$J$5,0,CONTADORES!$BH86)</f>
        <v>34610.863157894702</v>
      </c>
      <c r="BG90" s="1397">
        <f ca="1">IF($B90&gt;=$J$5,0,CONTADORES!$BJ86)</f>
        <v>5027.07</v>
      </c>
      <c r="BH90" s="1409">
        <f ca="1">IF(B90&gt;=$J$5,0,((CONTADORES!BK86-CONTADORES!BK85)/1000))</f>
        <v>1.448</v>
      </c>
      <c r="BI90" s="1409">
        <f ca="1">IF(C90&gt;=$J$5,0,((CONTADORES!BL86-CONTADORES!BL85)/1000))</f>
        <v>1.4350000000000001</v>
      </c>
      <c r="BJ90" s="1399">
        <f ca="1">IF(C90&gt;=$J$5,0,((CONTADORES!BM86-CONTADORES!BM85)/1000))</f>
        <v>0</v>
      </c>
      <c r="BK90" s="1399">
        <f ca="1">IF(D90&gt;=$J$5,0,((CONTADORES!BN86-CONTADORES!BN85)/1000))</f>
        <v>0</v>
      </c>
      <c r="BL90" s="1399">
        <f t="shared" ca="1" si="49"/>
        <v>1.448</v>
      </c>
      <c r="BM90" s="1399">
        <f t="shared" ca="1" si="50"/>
        <v>1.4350000000000001</v>
      </c>
      <c r="BN90" s="1409">
        <f ca="1">IF(W90&gt;=$J$5,0,CONTADORES!$BO86)</f>
        <v>131.067292328565</v>
      </c>
      <c r="BO90" s="1438">
        <f ca="1">IF(W90&gt;=$J$5,0,CONTADORES!$BP86)</f>
        <v>45.470614983876175</v>
      </c>
      <c r="BP90" s="1397">
        <f ca="1">IF(W90&gt;=$J$5,0,CONTADORES!$BQ86)</f>
        <v>655.77184791877823</v>
      </c>
      <c r="BQ90" s="1397">
        <f ca="1">IF(B90&gt;=$J$5,0,(CONTADORES!AS86-CONTADORES!AS85))</f>
        <v>5</v>
      </c>
      <c r="BR90" s="1397">
        <f ca="1">IF(B90&gt;=$J$5,0,(CONTADORES!AT86-CONTADORES!AT85))</f>
        <v>0</v>
      </c>
      <c r="BS90" s="1409">
        <f ca="1">IF(B90&gt;=$J$5,0,CONTADORES!BR86-CONTADORES!BR85)/1000</f>
        <v>2.1</v>
      </c>
      <c r="BT90" s="1438">
        <f ca="1">IF(B90&gt;=$J$5,0,CONTADORES!BS86-CONTADORES!BS85)</f>
        <v>1</v>
      </c>
      <c r="BU90" s="1438">
        <f ca="1">IF(B90&gt;=$J$5,0,CONTADORES!BT86-CONTADORES!BT85)</f>
        <v>24</v>
      </c>
      <c r="BV90" s="1438">
        <f ca="1">IF(B90&gt;=$J$5,0,CONTADORES!BU86-CONTADORES!BU85)/1000</f>
        <v>6.0119999999999996</v>
      </c>
      <c r="BW90" s="1438">
        <f ca="1">IF(B90&gt;=$J$5,0,CONTADORES!BV86-CONTADORES!BV85)/1000</f>
        <v>0.13200000000000001</v>
      </c>
      <c r="BX90" s="1438">
        <f ca="1">IF(B90&gt;=$J$5,0,CONTADORES!BW86-CONTADORES!BW85)</f>
        <v>24</v>
      </c>
      <c r="BY90" s="1438">
        <f ca="1">IF(B90&gt;=$J$5,0,CONTADORES!BX86-CONTADORES!BX85)/1000</f>
        <v>0</v>
      </c>
      <c r="BZ90" s="1438">
        <f ca="1">IF(B90&gt;=$J$5,0,CONTADORES!BY86-CONTADORES!BY85)/1000</f>
        <v>0</v>
      </c>
      <c r="CA90" s="1438">
        <f ca="1">IF(B90&gt;=$J$5,0,CONTADORES!BZ86-CONTADORES!BZ85)</f>
        <v>0</v>
      </c>
      <c r="CB90" s="1409">
        <f ca="1">IF(B90&gt;=$J$5,0,(CONTADORES!CC86-CONTADORES!CC85)+(CONTADORES!CE86-CONTADORES!CE85))/1000</f>
        <v>1.486</v>
      </c>
      <c r="CC90" s="1438">
        <f ca="1">IF(B90&gt;=$J$5,0,(CONTADORES!CD86-CONTADORES!CD85)+(CONTADORES!CF86-CONTADORES!CF85))/1000</f>
        <v>0.83799999999999997</v>
      </c>
      <c r="CD90" s="1409">
        <f ca="1">IF(B90&gt;=$J$5,0,CONTADORES!CA86-CONTADORES!CA85)</f>
        <v>7.5</v>
      </c>
      <c r="CE90" s="1438">
        <f ca="1">IF(B90&gt;=$J$5,0,CONTADORES!CB86-CONTADORES!CB85)</f>
        <v>5</v>
      </c>
      <c r="CF90" s="1438">
        <f t="shared" ca="1" si="51"/>
        <v>11.418999999999556</v>
      </c>
      <c r="CG90" s="1438">
        <f t="shared" ca="1" si="52"/>
        <v>9.2379999999997793</v>
      </c>
      <c r="CH90" s="1438">
        <f t="shared" ca="1" si="53"/>
        <v>3.9189999999995568</v>
      </c>
      <c r="CI90" s="1438">
        <f t="shared" ca="1" si="54"/>
        <v>1.0256000000003571</v>
      </c>
      <c r="CJ90" s="1438">
        <f t="shared" ca="1" si="55"/>
        <v>3.9189999999995568</v>
      </c>
      <c r="CK90" s="1438">
        <f t="shared" ca="1" si="56"/>
        <v>1.5384000000005356</v>
      </c>
      <c r="CL90" s="1438">
        <f t="shared" ca="1" si="57"/>
        <v>2.5116000000003571</v>
      </c>
      <c r="CM90" s="1438">
        <f t="shared" ca="1" si="58"/>
        <v>4.2379999999997784</v>
      </c>
      <c r="CN90" s="1438">
        <f ca="1">IF(B90&gt;=$J$5,0,CONTADORES!CB86-CONTADORES!CB85)</f>
        <v>5</v>
      </c>
      <c r="CO90" s="1438">
        <f t="shared" ca="1" si="59"/>
        <v>4.2379999999997784</v>
      </c>
      <c r="CP90" s="1438">
        <f t="shared" ca="1" si="60"/>
        <v>0.64600000000004032</v>
      </c>
      <c r="CQ90" s="1438">
        <f t="shared" ca="1" si="61"/>
        <v>0.64600000000004032</v>
      </c>
      <c r="CR90" s="1438">
        <f t="shared" ca="1" si="62"/>
        <v>1.4840000000000404</v>
      </c>
      <c r="CS90" s="1439">
        <f ca="1">IF($B90&gt;=$J$5,0,CONTADORES!$BI86)</f>
        <v>10404.382279318999</v>
      </c>
      <c r="CT90" s="1334">
        <f>CONTADORES!E86</f>
        <v>0.2</v>
      </c>
      <c r="CU90" s="1334">
        <f>CONTADORES!CG86</f>
        <v>0.3</v>
      </c>
    </row>
    <row r="91" spans="2:99">
      <c r="B91" s="390">
        <v>45007</v>
      </c>
      <c r="C91" s="198">
        <f t="shared" ca="1" si="35"/>
        <v>298</v>
      </c>
      <c r="D91" s="196">
        <f ca="1">'CALCULO DE GAS'!D93</f>
        <v>4.9064103403990025</v>
      </c>
      <c r="E91" s="196">
        <f ca="1">IF(B91&gt;=$J$5,0,(CONTADORES!$AD87-CONTADORES!$AD86)-$H91)</f>
        <v>24</v>
      </c>
      <c r="F91" s="198">
        <f t="shared" ca="1" si="64"/>
        <v>0</v>
      </c>
      <c r="G91" s="196">
        <f ca="1">IF(B91&gt;=$J$5,0,CONTADORES!$AF87-CONTADORES!$AF86)</f>
        <v>0</v>
      </c>
      <c r="H91" s="1396">
        <f ca="1">IF(G91&gt;0,CONTADORES!$AE87-CONTADORES!$AE86,0)</f>
        <v>0</v>
      </c>
      <c r="I91" s="199">
        <f ca="1">IF(B91&gt;=$J$5,0,CONTADORES!$AB87-CONTADORES!$AB86)</f>
        <v>298</v>
      </c>
      <c r="J91" s="198">
        <f t="shared" ca="1" si="36"/>
        <v>154</v>
      </c>
      <c r="K91" s="196">
        <f ca="1">'CALCULO DE GAS'!E93</f>
        <v>3.7321460012468828</v>
      </c>
      <c r="L91" s="1396">
        <f ca="1">IF(B91&gt;=$J$5,0,(CONTADORES!$Y87-CONTADORES!$Y86)-$O91)</f>
        <v>24</v>
      </c>
      <c r="M91" s="1396">
        <f t="shared" ca="1" si="63"/>
        <v>0</v>
      </c>
      <c r="N91" s="1396">
        <f ca="1">IF(B91&gt;=$J$5,0,CONTADORES!$AA87-CONTADORES!$AA86)</f>
        <v>0</v>
      </c>
      <c r="O91" s="1396">
        <f ca="1">IF(N91&gt;0,CONTADORES!$Z87-CONTADORES!$Z86,0)</f>
        <v>0</v>
      </c>
      <c r="P91" s="202">
        <f ca="1">IF(B91&gt;=$J$5,0,CONTADORES!$W87-CONTADORES!$W86)</f>
        <v>154</v>
      </c>
      <c r="Q91" s="202">
        <f ca="1">IF(B91&gt;=$J$5,0,CONTADORES!$B87-CONTADORES!$B86)</f>
        <v>0</v>
      </c>
      <c r="R91" s="196">
        <f t="shared" ca="1" si="37"/>
        <v>0</v>
      </c>
      <c r="S91" s="11">
        <f ca="1">IF(B91&gt;=$J$5,0,CONTADORES!$D87-CONTADORES!$D86)</f>
        <v>0</v>
      </c>
      <c r="T91" s="198">
        <f ca="1">IF(B91&gt;=$J$5,0,CONTADORES!$BB87-CONTADORES!$BB86)</f>
        <v>0</v>
      </c>
      <c r="U91" s="196">
        <f t="shared" ca="1" si="38"/>
        <v>0</v>
      </c>
      <c r="V91" s="199">
        <f ca="1">IF(B91&gt;=$J$5,0,CONTADORES!$BD87-CONTADORES!$BD86)</f>
        <v>0</v>
      </c>
      <c r="W91" s="1397">
        <f t="shared" ca="1" si="39"/>
        <v>452</v>
      </c>
      <c r="X91" s="1397">
        <f t="shared" ca="1" si="40"/>
        <v>0</v>
      </c>
      <c r="Y91" s="1398">
        <f t="shared" ca="1" si="41"/>
        <v>452</v>
      </c>
      <c r="Z91" s="1398">
        <f t="shared" ca="1" si="42"/>
        <v>8.6385563416458844</v>
      </c>
      <c r="AA91" s="1398">
        <f t="shared" ca="1" si="43"/>
        <v>0</v>
      </c>
      <c r="AB91" s="1398">
        <f t="shared" ca="1" si="44"/>
        <v>48</v>
      </c>
      <c r="AC91" s="1397">
        <f t="shared" ca="1" si="45"/>
        <v>0</v>
      </c>
      <c r="AD91" s="1397">
        <f ca="1">IF(B91&gt;=$J$5,0,CONTADORES!H87-CONTADORES!H86)</f>
        <v>166</v>
      </c>
      <c r="AE91" s="1397">
        <f ca="1">IF(B91&gt;=$J$5,0,CONTADORES!J87-CONTADORES!J86)</f>
        <v>24</v>
      </c>
      <c r="AF91" s="1397">
        <f ca="1">IF(B91&gt;=$J$5,0,CONTADORES!AU87-CONTADORES!AU86)</f>
        <v>139</v>
      </c>
      <c r="AG91" s="1397">
        <f ca="1">IF(B91&gt;=$J$5,0,CONTADORES!AW87-CONTADORES!AW86)</f>
        <v>24</v>
      </c>
      <c r="AH91" s="1397">
        <f ca="1">IF(B91&gt;=$J$5,0,(CONTADORES!AM87-CONTADORES!AM86)+(CONTADORES!M87-CONTADORES!M86))</f>
        <v>14.100000000005821</v>
      </c>
      <c r="AI91" s="1397">
        <f ca="1">IF(B91&gt;=$J$5,0,(CONTADORES!AK87-CONTADORES!AK86)+(CONTADORES!O87-CONTADORES!O86))</f>
        <v>39.19999999999709</v>
      </c>
      <c r="AJ91" s="1397">
        <f ca="1">IF(B91&gt;=$J$5,0,(CONTADORES!AI87-CONTADORES!AI86))</f>
        <v>8</v>
      </c>
      <c r="AK91" s="1397">
        <f ca="1">IF(B91&gt;=$J$5,0,(CONTADORES!Q87-CONTADORES!Q86))</f>
        <v>15.700000000011642</v>
      </c>
      <c r="AL91" s="1397">
        <f t="shared" ca="1" si="46"/>
        <v>39.699999999986233</v>
      </c>
      <c r="AM91" s="1397">
        <f ca="1">IF(B91&gt;=$J$5,0,(((CONTADORES!F87-CONTADORES!F86)+(CONTADORES!AQ87-CONTADORES!AQ86))))-BS91-AF91-AN91-BV91-BY91-CD91-CB91</f>
        <v>11.434999999998739</v>
      </c>
      <c r="AN91" s="1397">
        <f ca="1">IF(B91&gt;=$J$5,0,(CONTADORES!AX87-CONTADORES!AX86)+(CONTADORES!AZ87-CONTADORES!AZ86)+(CONTADORES!BE87-CONTADORES!BE86))-CB91</f>
        <v>2.3209999999998181</v>
      </c>
      <c r="AO91" s="1437">
        <f ca="1">IF(B91&gt;=$J$5,0,(CONTADORES!AC87-CONTADORES!AC86))</f>
        <v>150</v>
      </c>
      <c r="AP91" s="1437">
        <f ca="1">IF(B91&gt;=$J$5,0,(CONTADORES!X87-CONTADORES!X86))</f>
        <v>82</v>
      </c>
      <c r="AQ91" s="1404">
        <f ca="1">IF(B91&gt;=$J$5,0,(CONTADORES!C87-CONTADORES!C86))</f>
        <v>0</v>
      </c>
      <c r="AR91" s="1399">
        <f ca="1">IF(B91&gt;=$J$5,0,(CONTADORES!BC87-CONTADORES!BC86))</f>
        <v>0</v>
      </c>
      <c r="AS91" s="1397">
        <f ca="1">IF(B91&gt;=$J$5,0,CONTADORES!S87-CONTADORES!S86)</f>
        <v>14.5</v>
      </c>
      <c r="AT91" s="1397">
        <f ca="1">IF(B91&gt;=$J$5,0,(CONTADORES!U87-CONTADORES!U86)+(CONTADORES!AG87-CONTADORES!AG86))</f>
        <v>2.5999999999985448</v>
      </c>
      <c r="AU91" s="1409">
        <f>CONTADORES!I87-CONTADORES!I86</f>
        <v>84</v>
      </c>
      <c r="AV91" s="1438">
        <f>CONTADORES!AV87-CONTADORES!AV86</f>
        <v>62</v>
      </c>
      <c r="AW91" s="1438">
        <f ca="1">IF(B91&gt;=$J$5,0,(CONTADORES!N87-CONTADORES!N86)+(CONTADORES!AN87-CONTADORES!AN86))</f>
        <v>5.6000000000021828</v>
      </c>
      <c r="AX91" s="1438">
        <f ca="1">IF(B91&gt;=$J$5,0,(CONTADORES!P87-CONTADORES!P86)+(CONTADORES!AL87-CONTADORES!AL86))</f>
        <v>31.900000000001455</v>
      </c>
      <c r="AY91" s="1438">
        <f ca="1">IF(B91&gt;=$J$5,0,(CONTADORES!AJ87-CONTADORES!AJ86))</f>
        <v>6.2000000000043656</v>
      </c>
      <c r="AZ91" s="1438">
        <f ca="1">IF(B91&gt;=$J$5,0,(CONTADORES!R87-CONTADORES!R86))</f>
        <v>12.69999999999709</v>
      </c>
      <c r="BA91" s="1397">
        <f t="shared" ca="1" si="47"/>
        <v>14.935999999995289</v>
      </c>
      <c r="BB91" s="1397">
        <f ca="1">IF(B91&gt;=$J$5,0,(((CONTADORES!G87-CONTADORES!G86)+(CONTADORES!AR87-CONTADORES!AR86))))-AV91-BC91-BT91-BW91-BZ91-CE91</f>
        <v>6.5739999999993515</v>
      </c>
      <c r="BC91" s="1397">
        <f ca="1">IF(B91&gt;=$J$5,0,(CONTADORES!AY87-CONTADORES!AY86)+(CONTADORES!BA87-CONTADORES!BA86)+(CONTADORES!BF87-CONTADORES!BF86))-CC91</f>
        <v>1.4360000000001023</v>
      </c>
      <c r="BD91" s="1397">
        <f t="shared" ca="1" si="48"/>
        <v>232</v>
      </c>
      <c r="BE91" s="1409">
        <f ca="1">IF($B91&gt;=$J$5,0,CONTADORES!$BG87)</f>
        <v>6453.46</v>
      </c>
      <c r="BF91" s="1438">
        <f ca="1">IF($B91&gt;=$J$5,0,CONTADORES!$BH87)</f>
        <v>31828.163157894702</v>
      </c>
      <c r="BG91" s="1397">
        <f ca="1">IF($B91&gt;=$J$5,0,CONTADORES!$BJ87)</f>
        <v>4924.47</v>
      </c>
      <c r="BH91" s="1409">
        <f ca="1">IF(B91&gt;=$J$5,0,((CONTADORES!BK87-CONTADORES!BK86)/1000))</f>
        <v>1.4610000000000001</v>
      </c>
      <c r="BI91" s="1409">
        <f ca="1">IF(C91&gt;=$J$5,0,((CONTADORES!BL87-CONTADORES!BL86)/1000))</f>
        <v>1.458</v>
      </c>
      <c r="BJ91" s="1399">
        <f ca="1">IF(C91&gt;=$J$5,0,((CONTADORES!BM87-CONTADORES!BM86)/1000))</f>
        <v>0</v>
      </c>
      <c r="BK91" s="1399">
        <f ca="1">IF(D91&gt;=$J$5,0,((CONTADORES!BN87-CONTADORES!BN86)/1000))</f>
        <v>0</v>
      </c>
      <c r="BL91" s="1399">
        <f t="shared" ca="1" si="49"/>
        <v>1.4610000000000001</v>
      </c>
      <c r="BM91" s="1399">
        <f t="shared" ca="1" si="50"/>
        <v>1.458</v>
      </c>
      <c r="BN91" s="1409">
        <f ca="1">IF(W91&gt;=$J$5,0,CONTADORES!$BO87)</f>
        <v>130.763453116124</v>
      </c>
      <c r="BO91" s="1438">
        <f ca="1">IF(W91&gt;=$J$5,0,CONTADORES!$BP87)</f>
        <v>45.922880594600535</v>
      </c>
      <c r="BP91" s="1397">
        <f ca="1">IF(W91&gt;=$J$5,0,CONTADORES!$BQ87)</f>
        <v>664.73434461103068</v>
      </c>
      <c r="BQ91" s="1397">
        <f ca="1">IF(B91&gt;=$J$5,0,(CONTADORES!AS87-CONTADORES!AS86))</f>
        <v>5</v>
      </c>
      <c r="BR91" s="1397">
        <f ca="1">IF(B91&gt;=$J$5,0,(CONTADORES!AT87-CONTADORES!AT86))</f>
        <v>0</v>
      </c>
      <c r="BS91" s="1409">
        <f ca="1">IF(B91&gt;=$J$5,0,CONTADORES!BR87-CONTADORES!BR86)/1000</f>
        <v>2.2000000000000002</v>
      </c>
      <c r="BT91" s="1438">
        <f ca="1">IF(B91&gt;=$J$5,0,CONTADORES!BS87-CONTADORES!BS86)</f>
        <v>1</v>
      </c>
      <c r="BU91" s="1438">
        <f ca="1">IF(B91&gt;=$J$5,0,CONTADORES!BT87-CONTADORES!BT86)</f>
        <v>24</v>
      </c>
      <c r="BV91" s="1438">
        <f ca="1">IF(B91&gt;=$J$5,0,CONTADORES!BU87-CONTADORES!BU86)/1000</f>
        <v>5.7649999999999997</v>
      </c>
      <c r="BW91" s="1438">
        <f ca="1">IF(B91&gt;=$J$5,0,CONTADORES!BV87-CONTADORES!BV86)/1000</f>
        <v>0.09</v>
      </c>
      <c r="BX91" s="1438">
        <f ca="1">IF(B91&gt;=$J$5,0,CONTADORES!BW87-CONTADORES!BW86)</f>
        <v>24</v>
      </c>
      <c r="BY91" s="1438">
        <f ca="1">IF(B91&gt;=$J$5,0,CONTADORES!BX87-CONTADORES!BX86)/1000</f>
        <v>0</v>
      </c>
      <c r="BZ91" s="1438">
        <f ca="1">IF(B91&gt;=$J$5,0,CONTADORES!BY87-CONTADORES!BY86)/1000</f>
        <v>0</v>
      </c>
      <c r="CA91" s="1438">
        <f ca="1">IF(B91&gt;=$J$5,0,CONTADORES!BZ87-CONTADORES!BZ86)</f>
        <v>0</v>
      </c>
      <c r="CB91" s="1409">
        <f ca="1">IF(B91&gt;=$J$5,0,(CONTADORES!CC87-CONTADORES!CC86)+(CONTADORES!CE87-CONTADORES!CE86))/1000</f>
        <v>1.379</v>
      </c>
      <c r="CC91" s="1438">
        <f ca="1">IF(B91&gt;=$J$5,0,(CONTADORES!CD87-CONTADORES!CD86)+(CONTADORES!CF87-CONTADORES!CF86))/1000</f>
        <v>0.76400000000000001</v>
      </c>
      <c r="CD91" s="1409">
        <f ca="1">IF(B91&gt;=$J$5,0,CONTADORES!CA87-CONTADORES!CA86)</f>
        <v>7.2000000000007276</v>
      </c>
      <c r="CE91" s="1438">
        <f ca="1">IF(B91&gt;=$J$5,0,CONTADORES!CB87-CONTADORES!CB86)</f>
        <v>4.8000000000001819</v>
      </c>
      <c r="CF91" s="1438">
        <f t="shared" ca="1" si="51"/>
        <v>12.917500000000096</v>
      </c>
      <c r="CG91" s="1438">
        <f t="shared" ca="1" si="52"/>
        <v>8.0869999999998576</v>
      </c>
      <c r="CH91" s="1438">
        <f t="shared" ca="1" si="53"/>
        <v>5.7174999999993696</v>
      </c>
      <c r="CI91" s="1438">
        <f t="shared" ca="1" si="54"/>
        <v>0.92839999999992728</v>
      </c>
      <c r="CJ91" s="1438">
        <f t="shared" ca="1" si="55"/>
        <v>5.7174999999993696</v>
      </c>
      <c r="CK91" s="1438">
        <f t="shared" ca="1" si="56"/>
        <v>1.3925999999998908</v>
      </c>
      <c r="CL91" s="1438">
        <f t="shared" ca="1" si="57"/>
        <v>2.3073999999999275</v>
      </c>
      <c r="CM91" s="1438">
        <f t="shared" ca="1" si="58"/>
        <v>3.2869999999996757</v>
      </c>
      <c r="CN91" s="1438">
        <f ca="1">IF(B91&gt;=$J$5,0,CONTADORES!CB87-CONTADORES!CB86)</f>
        <v>4.8000000000001819</v>
      </c>
      <c r="CO91" s="1438">
        <f t="shared" ca="1" si="59"/>
        <v>3.2869999999996757</v>
      </c>
      <c r="CP91" s="1438">
        <f t="shared" ca="1" si="60"/>
        <v>0.71800000000005115</v>
      </c>
      <c r="CQ91" s="1438">
        <f t="shared" ca="1" si="61"/>
        <v>0.71800000000005115</v>
      </c>
      <c r="CR91" s="1438">
        <f t="shared" ca="1" si="62"/>
        <v>1.4820000000000513</v>
      </c>
      <c r="CS91" s="1439">
        <f ca="1">IF($B91&gt;=$J$5,0,CONTADORES!$BI87)</f>
        <v>9807.5832180759098</v>
      </c>
      <c r="CT91" s="1334">
        <f>CONTADORES!E87</f>
        <v>0</v>
      </c>
      <c r="CU91" s="1334">
        <f>CONTADORES!CG87</f>
        <v>0</v>
      </c>
    </row>
    <row r="92" spans="2:99">
      <c r="B92" s="390">
        <v>45008</v>
      </c>
      <c r="C92" s="198">
        <f t="shared" ca="1" si="35"/>
        <v>300</v>
      </c>
      <c r="D92" s="196">
        <f ca="1">'CALCULO DE GAS'!D94</f>
        <v>4.9227195673316713</v>
      </c>
      <c r="E92" s="196">
        <f ca="1">IF(B92&gt;=$J$5,0,(CONTADORES!$AD88-CONTADORES!$AD87)-$H92)</f>
        <v>24</v>
      </c>
      <c r="F92" s="198">
        <f t="shared" ca="1" si="64"/>
        <v>0</v>
      </c>
      <c r="G92" s="196">
        <f ca="1">IF(B92&gt;=$J$5,0,CONTADORES!$AF88-CONTADORES!$AF87)</f>
        <v>0</v>
      </c>
      <c r="H92" s="1396">
        <f ca="1">IF(G92&gt;0,CONTADORES!$AE88-CONTADORES!$AE87,0)</f>
        <v>0</v>
      </c>
      <c r="I92" s="199">
        <f ca="1">IF(B92&gt;=$J$5,0,CONTADORES!$AB88-CONTADORES!$AB87)</f>
        <v>300</v>
      </c>
      <c r="J92" s="198">
        <f t="shared" ca="1" si="36"/>
        <v>149</v>
      </c>
      <c r="K92" s="196">
        <f ca="1">'CALCULO DE GAS'!E94</f>
        <v>3.6913729339152122</v>
      </c>
      <c r="L92" s="1396">
        <f ca="1">IF(B92&gt;=$J$5,0,(CONTADORES!$Y88-CONTADORES!$Y87)-$O92)</f>
        <v>24</v>
      </c>
      <c r="M92" s="1396">
        <f t="shared" ca="1" si="63"/>
        <v>0</v>
      </c>
      <c r="N92" s="1396">
        <f ca="1">IF(B92&gt;=$J$5,0,CONTADORES!$AA88-CONTADORES!$AA87)</f>
        <v>0</v>
      </c>
      <c r="O92" s="1396">
        <f ca="1">IF(N92&gt;0,CONTADORES!$Z88-CONTADORES!$Z87,0)</f>
        <v>0</v>
      </c>
      <c r="P92" s="202">
        <f ca="1">IF(B92&gt;=$J$5,0,CONTADORES!$W88-CONTADORES!$W87)</f>
        <v>149</v>
      </c>
      <c r="Q92" s="202">
        <f ca="1">IF(B92&gt;=$J$5,0,CONTADORES!$B88-CONTADORES!$B87)</f>
        <v>0</v>
      </c>
      <c r="R92" s="196">
        <f t="shared" ca="1" si="37"/>
        <v>0</v>
      </c>
      <c r="S92" s="11">
        <f ca="1">IF(B92&gt;=$J$5,0,CONTADORES!$D88-CONTADORES!$D87)</f>
        <v>0</v>
      </c>
      <c r="T92" s="198">
        <f ca="1">IF(B92&gt;=$J$5,0,CONTADORES!$BB88-CONTADORES!$BB87)</f>
        <v>0</v>
      </c>
      <c r="U92" s="196">
        <f t="shared" ca="1" si="38"/>
        <v>0</v>
      </c>
      <c r="V92" s="199">
        <f ca="1">IF(B92&gt;=$J$5,0,CONTADORES!$BD88-CONTADORES!$BD87)</f>
        <v>0</v>
      </c>
      <c r="W92" s="1397">
        <f t="shared" ca="1" si="39"/>
        <v>449</v>
      </c>
      <c r="X92" s="1397">
        <f t="shared" ca="1" si="40"/>
        <v>0</v>
      </c>
      <c r="Y92" s="1398">
        <f t="shared" ca="1" si="41"/>
        <v>449</v>
      </c>
      <c r="Z92" s="1398">
        <f t="shared" ca="1" si="42"/>
        <v>8.6140925012468834</v>
      </c>
      <c r="AA92" s="1398">
        <f t="shared" ca="1" si="43"/>
        <v>0</v>
      </c>
      <c r="AB92" s="1398">
        <f t="shared" ca="1" si="44"/>
        <v>48</v>
      </c>
      <c r="AC92" s="1397">
        <f t="shared" ca="1" si="45"/>
        <v>0</v>
      </c>
      <c r="AD92" s="1397">
        <f ca="1">IF(B92&gt;=$J$5,0,CONTADORES!H88-CONTADORES!H87)</f>
        <v>170</v>
      </c>
      <c r="AE92" s="1397">
        <f ca="1">IF(B92&gt;=$J$5,0,CONTADORES!J88-CONTADORES!J87)</f>
        <v>24</v>
      </c>
      <c r="AF92" s="1397">
        <f ca="1">IF(B92&gt;=$J$5,0,CONTADORES!AU88-CONTADORES!AU87)</f>
        <v>143</v>
      </c>
      <c r="AG92" s="1397">
        <f ca="1">IF(B92&gt;=$J$5,0,CONTADORES!AW88-CONTADORES!AW87)</f>
        <v>24</v>
      </c>
      <c r="AH92" s="1397">
        <f ca="1">IF(B92&gt;=$J$5,0,(CONTADORES!AM88-CONTADORES!AM87)+(CONTADORES!M88-CONTADORES!M87))</f>
        <v>11.599999999998545</v>
      </c>
      <c r="AI92" s="1397">
        <f ca="1">IF(B92&gt;=$J$5,0,(CONTADORES!AK88-CONTADORES!AK87)+(CONTADORES!O88-CONTADORES!O87))</f>
        <v>39.30000000000291</v>
      </c>
      <c r="AJ92" s="1397">
        <f ca="1">IF(B92&gt;=$J$5,0,(CONTADORES!AI88-CONTADORES!AI87))</f>
        <v>8.3000000000029104</v>
      </c>
      <c r="AK92" s="1397">
        <f ca="1">IF(B92&gt;=$J$5,0,(CONTADORES!Q88-CONTADORES!Q87))</f>
        <v>15.399999999994179</v>
      </c>
      <c r="AL92" s="1397">
        <f t="shared" ca="1" si="46"/>
        <v>32.300000000002854</v>
      </c>
      <c r="AM92" s="1397">
        <f ca="1">IF(B92&gt;=$J$5,0,(((CONTADORES!F88-CONTADORES!F87)+(CONTADORES!AQ88-CONTADORES!AQ87))))-BS92-AF92-AN92-BV92-BY92-CD92-CB92</f>
        <v>9.7559999999984548</v>
      </c>
      <c r="AN92" s="1397">
        <f ca="1">IF(B92&gt;=$J$5,0,(CONTADORES!AX88-CONTADORES!AX87)+(CONTADORES!AZ88-CONTADORES!AZ87)+(CONTADORES!BE88-CONTADORES!BE87))-CB92</f>
        <v>2.4049999999997271</v>
      </c>
      <c r="AO92" s="1437">
        <f ca="1">IF(B92&gt;=$J$5,0,(CONTADORES!AC88-CONTADORES!AC87))</f>
        <v>152</v>
      </c>
      <c r="AP92" s="1437">
        <f ca="1">IF(B92&gt;=$J$5,0,(CONTADORES!X88-CONTADORES!X87))</f>
        <v>79</v>
      </c>
      <c r="AQ92" s="1404">
        <f ca="1">IF(B92&gt;=$J$5,0,(CONTADORES!C88-CONTADORES!C87))</f>
        <v>0</v>
      </c>
      <c r="AR92" s="1399">
        <f ca="1">IF(B92&gt;=$J$5,0,(CONTADORES!BC88-CONTADORES!BC87))</f>
        <v>0</v>
      </c>
      <c r="AS92" s="1397">
        <f ca="1">IF(B92&gt;=$J$5,0,CONTADORES!S88-CONTADORES!S87)</f>
        <v>14.899999999994179</v>
      </c>
      <c r="AT92" s="1397">
        <f ca="1">IF(B92&gt;=$J$5,0,(CONTADORES!U88-CONTADORES!U87)+(CONTADORES!AG88-CONTADORES!AG87))</f>
        <v>2.7000000000043656</v>
      </c>
      <c r="AU92" s="1409">
        <f>CONTADORES!I88-CONTADORES!I87</f>
        <v>84</v>
      </c>
      <c r="AV92" s="1438">
        <f>CONTADORES!AV88-CONTADORES!AV87</f>
        <v>62</v>
      </c>
      <c r="AW92" s="1438">
        <f ca="1">IF(B92&gt;=$J$5,0,(CONTADORES!N88-CONTADORES!N87)+(CONTADORES!AN88-CONTADORES!AN87))</f>
        <v>4.6999999999970896</v>
      </c>
      <c r="AX92" s="1438">
        <f ca="1">IF(B92&gt;=$J$5,0,(CONTADORES!P88-CONTADORES!P87)+(CONTADORES!AL88-CONTADORES!AL87))</f>
        <v>32.299999999995634</v>
      </c>
      <c r="AY92" s="1438">
        <f ca="1">IF(B92&gt;=$J$5,0,(CONTADORES!AJ88-CONTADORES!AJ87))</f>
        <v>6.3999999999941792</v>
      </c>
      <c r="AZ92" s="1438">
        <f ca="1">IF(B92&gt;=$J$5,0,(CONTADORES!R88-CONTADORES!R87))</f>
        <v>12.700000000011642</v>
      </c>
      <c r="BA92" s="1397">
        <f t="shared" ca="1" si="47"/>
        <v>12.439000000000732</v>
      </c>
      <c r="BB92" s="1397">
        <f ca="1">IF(B92&gt;=$J$5,0,(((CONTADORES!G88-CONTADORES!G87)+(CONTADORES!AR88-CONTADORES!AR87))))-AV92-BC92-BT92-BW92-BZ92-CE92</f>
        <v>8.320000000001011</v>
      </c>
      <c r="BC92" s="1397">
        <f ca="1">IF(B92&gt;=$J$5,0,(CONTADORES!AY88-CONTADORES!AY87)+(CONTADORES!BA88-CONTADORES!BA87)+(CONTADORES!BF88-CONTADORES!BF87))-CC92</f>
        <v>1.2389999999997157</v>
      </c>
      <c r="BD92" s="1397">
        <f t="shared" ca="1" si="48"/>
        <v>231</v>
      </c>
      <c r="BE92" s="1409">
        <f ca="1">IF($B92&gt;=$J$5,0,CONTADORES!$BG88)</f>
        <v>6626.24</v>
      </c>
      <c r="BF92" s="1438">
        <f ca="1">IF($B92&gt;=$J$5,0,CONTADORES!$BH88)</f>
        <v>31643.640350877198</v>
      </c>
      <c r="BG92" s="1397">
        <f ca="1">IF($B92&gt;=$J$5,0,CONTADORES!$BJ88)</f>
        <v>5392.19</v>
      </c>
      <c r="BH92" s="1409">
        <f ca="1">IF(B92&gt;=$J$5,0,((CONTADORES!BK88-CONTADORES!BK87)/1000))</f>
        <v>1.431</v>
      </c>
      <c r="BI92" s="1409">
        <f ca="1">IF(C92&gt;=$J$5,0,((CONTADORES!BL88-CONTADORES!BL87)/1000))</f>
        <v>1.421</v>
      </c>
      <c r="BJ92" s="1399">
        <f ca="1">IF(C92&gt;=$J$5,0,((CONTADORES!BM88-CONTADORES!BM87)/1000))</f>
        <v>0</v>
      </c>
      <c r="BK92" s="1399">
        <f ca="1">IF(D92&gt;=$J$5,0,((CONTADORES!BN88-CONTADORES!BN87)/1000))</f>
        <v>0</v>
      </c>
      <c r="BL92" s="1399">
        <f t="shared" ca="1" si="49"/>
        <v>1.431</v>
      </c>
      <c r="BM92" s="1399">
        <f t="shared" ca="1" si="50"/>
        <v>1.421</v>
      </c>
      <c r="BN92" s="1409">
        <f ca="1">IF(W92&gt;=$J$5,0,CONTADORES!$BO88)</f>
        <v>130.86418150328299</v>
      </c>
      <c r="BO92" s="1438">
        <f ca="1">IF(W92&gt;=$J$5,0,CONTADORES!$BP88)</f>
        <v>45.591657247425907</v>
      </c>
      <c r="BP92" s="1397">
        <f ca="1">IF(W92&gt;=$J$5,0,CONTADORES!$BQ88)</f>
        <v>663.04612273297209</v>
      </c>
      <c r="BQ92" s="1397">
        <f ca="1">IF(B92&gt;=$J$5,0,(CONTADORES!AS88-CONTADORES!AS87))</f>
        <v>5</v>
      </c>
      <c r="BR92" s="1397">
        <f ca="1">IF(B92&gt;=$J$5,0,(CONTADORES!AT88-CONTADORES!AT87))</f>
        <v>0</v>
      </c>
      <c r="BS92" s="1409">
        <f ca="1">IF(B92&gt;=$J$5,0,CONTADORES!BR88-CONTADORES!BR87)/1000</f>
        <v>2</v>
      </c>
      <c r="BT92" s="1438">
        <f ca="1">IF(B92&gt;=$J$5,0,CONTADORES!BS88-CONTADORES!BS87)</f>
        <v>1</v>
      </c>
      <c r="BU92" s="1438">
        <f ca="1">IF(B92&gt;=$J$5,0,CONTADORES!BT88-CONTADORES!BT87)</f>
        <v>24</v>
      </c>
      <c r="BV92" s="1438">
        <f ca="1">IF(B92&gt;=$J$5,0,CONTADORES!BU88-CONTADORES!BU87)/1000</f>
        <v>5.944</v>
      </c>
      <c r="BW92" s="1438">
        <f ca="1">IF(B92&gt;=$J$5,0,CONTADORES!BV88-CONTADORES!BV87)/1000</f>
        <v>0.14099999999999999</v>
      </c>
      <c r="BX92" s="1438">
        <f ca="1">IF(B92&gt;=$J$5,0,CONTADORES!BW88-CONTADORES!BW87)</f>
        <v>24</v>
      </c>
      <c r="BY92" s="1438">
        <f ca="1">IF(B92&gt;=$J$5,0,CONTADORES!BX88-CONTADORES!BX87)/1000</f>
        <v>0</v>
      </c>
      <c r="BZ92" s="1438">
        <f ca="1">IF(B92&gt;=$J$5,0,CONTADORES!BY88-CONTADORES!BY87)/1000</f>
        <v>0</v>
      </c>
      <c r="CA92" s="1438">
        <f ca="1">IF(B92&gt;=$J$5,0,CONTADORES!BZ88-CONTADORES!BZ87)</f>
        <v>0</v>
      </c>
      <c r="CB92" s="1409">
        <f ca="1">IF(B92&gt;=$J$5,0,(CONTADORES!CC88-CONTADORES!CC87)+(CONTADORES!CE88-CONTADORES!CE87))/1000</f>
        <v>1.395</v>
      </c>
      <c r="CC92" s="1438">
        <f ca="1">IF(B92&gt;=$J$5,0,(CONTADORES!CD88-CONTADORES!CD87)+(CONTADORES!CF88-CONTADORES!CF87))/1000</f>
        <v>0.76100000000000001</v>
      </c>
      <c r="CD92" s="1409">
        <f ca="1">IF(B92&gt;=$J$5,0,CONTADORES!CA88-CONTADORES!CA87)</f>
        <v>7.6000000000003638</v>
      </c>
      <c r="CE92" s="1438">
        <f ca="1">IF(B92&gt;=$J$5,0,CONTADORES!CB88-CONTADORES!CB87)</f>
        <v>5</v>
      </c>
      <c r="CF92" s="1438">
        <f t="shared" ca="1" si="51"/>
        <v>12.477999999999591</v>
      </c>
      <c r="CG92" s="1438">
        <f t="shared" ca="1" si="52"/>
        <v>9.1600000000005046</v>
      </c>
      <c r="CH92" s="1438">
        <f t="shared" ca="1" si="53"/>
        <v>4.8779999999992274</v>
      </c>
      <c r="CI92" s="1438">
        <f t="shared" ca="1" si="54"/>
        <v>0.96199999999989094</v>
      </c>
      <c r="CJ92" s="1438">
        <f t="shared" ca="1" si="55"/>
        <v>4.8779999999992274</v>
      </c>
      <c r="CK92" s="1438">
        <f t="shared" ca="1" si="56"/>
        <v>1.4429999999998362</v>
      </c>
      <c r="CL92" s="1438">
        <f t="shared" ca="1" si="57"/>
        <v>2.356999999999891</v>
      </c>
      <c r="CM92" s="1438">
        <f t="shared" ca="1" si="58"/>
        <v>4.1600000000005055</v>
      </c>
      <c r="CN92" s="1438">
        <f ca="1">IF(B92&gt;=$J$5,0,CONTADORES!CB88-CONTADORES!CB87)</f>
        <v>5</v>
      </c>
      <c r="CO92" s="1438">
        <f t="shared" ca="1" si="59"/>
        <v>4.1600000000005055</v>
      </c>
      <c r="CP92" s="1438">
        <f t="shared" ca="1" si="60"/>
        <v>0.61949999999985783</v>
      </c>
      <c r="CQ92" s="1438">
        <f t="shared" ca="1" si="61"/>
        <v>0.61949999999985783</v>
      </c>
      <c r="CR92" s="1438">
        <f t="shared" ca="1" si="62"/>
        <v>1.380499999999858</v>
      </c>
      <c r="CS92" s="1439">
        <f ca="1">IF($B92&gt;=$J$5,0,CONTADORES!$BI88)</f>
        <v>9378.9106511157806</v>
      </c>
      <c r="CT92" s="1334">
        <f>CONTADORES!E88</f>
        <v>0</v>
      </c>
      <c r="CU92" s="1334">
        <f>CONTADORES!CG88</f>
        <v>0</v>
      </c>
    </row>
    <row r="93" spans="2:99">
      <c r="B93" s="390">
        <v>45009</v>
      </c>
      <c r="C93" s="198">
        <f t="shared" ca="1" si="35"/>
        <v>299</v>
      </c>
      <c r="D93" s="196">
        <f ca="1">'CALCULO DE GAS'!D95</f>
        <v>4.9145649538653373</v>
      </c>
      <c r="E93" s="196">
        <f ca="1">IF(B93&gt;=$J$5,0,(CONTADORES!$AD89-CONTADORES!$AD88)-$H93)</f>
        <v>24</v>
      </c>
      <c r="F93" s="198">
        <f t="shared" ca="1" si="64"/>
        <v>0</v>
      </c>
      <c r="G93" s="196">
        <f ca="1">IF(B93&gt;=$J$5,0,CONTADORES!$AF89-CONTADORES!$AF88)</f>
        <v>0</v>
      </c>
      <c r="H93" s="1396">
        <f ca="1">IF(G93&gt;0,CONTADORES!$AE89-CONTADORES!$AE88,0)</f>
        <v>0</v>
      </c>
      <c r="I93" s="199">
        <f ca="1">IF(B93&gt;=$J$5,0,CONTADORES!$AB89-CONTADORES!$AB88)</f>
        <v>299</v>
      </c>
      <c r="J93" s="198">
        <f t="shared" ca="1" si="36"/>
        <v>146</v>
      </c>
      <c r="K93" s="196">
        <f ca="1">'CALCULO DE GAS'!E95</f>
        <v>3.6669090935162094</v>
      </c>
      <c r="L93" s="1396">
        <f ca="1">IF(B93&gt;=$J$5,0,(CONTADORES!$Y89-CONTADORES!$Y88)-$O93)</f>
        <v>24</v>
      </c>
      <c r="M93" s="1396">
        <f t="shared" ca="1" si="63"/>
        <v>0</v>
      </c>
      <c r="N93" s="1396">
        <f ca="1">IF(B93&gt;=$J$5,0,CONTADORES!$AA89-CONTADORES!$AA88)</f>
        <v>0</v>
      </c>
      <c r="O93" s="1396">
        <f ca="1">IF(N93&gt;0,CONTADORES!$Z89-CONTADORES!$Z88,0)</f>
        <v>0</v>
      </c>
      <c r="P93" s="202">
        <f ca="1">IF(B93&gt;=$J$5,0,CONTADORES!$W89-CONTADORES!$W88)</f>
        <v>146</v>
      </c>
      <c r="Q93" s="202">
        <f ca="1">IF(B93&gt;=$J$5,0,CONTADORES!$B89-CONTADORES!$B88)</f>
        <v>0</v>
      </c>
      <c r="R93" s="196">
        <f t="shared" ca="1" si="37"/>
        <v>0</v>
      </c>
      <c r="S93" s="11">
        <f ca="1">IF(B93&gt;=$J$5,0,CONTADORES!$D89-CONTADORES!$D88)</f>
        <v>0</v>
      </c>
      <c r="T93" s="198">
        <f ca="1">IF(B93&gt;=$J$5,0,CONTADORES!$BB89-CONTADORES!$BB88)</f>
        <v>0</v>
      </c>
      <c r="U93" s="196">
        <f t="shared" ca="1" si="38"/>
        <v>0</v>
      </c>
      <c r="V93" s="199">
        <f ca="1">IF(B93&gt;=$J$5,0,CONTADORES!$BD89-CONTADORES!$BD88)</f>
        <v>0</v>
      </c>
      <c r="W93" s="1397">
        <f t="shared" ca="1" si="39"/>
        <v>445</v>
      </c>
      <c r="X93" s="1397">
        <f t="shared" ca="1" si="40"/>
        <v>0</v>
      </c>
      <c r="Y93" s="1398">
        <f t="shared" ca="1" si="41"/>
        <v>445</v>
      </c>
      <c r="Z93" s="1398">
        <f t="shared" ca="1" si="42"/>
        <v>8.5814740473815476</v>
      </c>
      <c r="AA93" s="1398">
        <f t="shared" ca="1" si="43"/>
        <v>0</v>
      </c>
      <c r="AB93" s="1398">
        <f t="shared" ca="1" si="44"/>
        <v>48</v>
      </c>
      <c r="AC93" s="1397">
        <f t="shared" ca="1" si="45"/>
        <v>0</v>
      </c>
      <c r="AD93" s="1397">
        <f ca="1">IF(B93&gt;=$J$5,0,CONTADORES!H89-CONTADORES!H88)</f>
        <v>168</v>
      </c>
      <c r="AE93" s="1397">
        <f ca="1">IF(B93&gt;=$J$5,0,CONTADORES!J89-CONTADORES!J88)</f>
        <v>24</v>
      </c>
      <c r="AF93" s="1397">
        <f ca="1">IF(B93&gt;=$J$5,0,CONTADORES!AU89-CONTADORES!AU88)</f>
        <v>146</v>
      </c>
      <c r="AG93" s="1397">
        <f ca="1">IF(B93&gt;=$J$5,0,CONTADORES!AW89-CONTADORES!AW88)</f>
        <v>24</v>
      </c>
      <c r="AH93" s="1397">
        <f ca="1">IF(B93&gt;=$J$5,0,(CONTADORES!AM89-CONTADORES!AM88)+(CONTADORES!M89-CONTADORES!M88))</f>
        <v>4.2999999999956344</v>
      </c>
      <c r="AI93" s="1397">
        <f ca="1">IF(B93&gt;=$J$5,0,(CONTADORES!AK89-CONTADORES!AK88)+(CONTADORES!O89-CONTADORES!O88))</f>
        <v>40.299999999995634</v>
      </c>
      <c r="AJ93" s="1397">
        <f ca="1">IF(B93&gt;=$J$5,0,(CONTADORES!AI89-CONTADORES!AI88))</f>
        <v>8.3000000000029104</v>
      </c>
      <c r="AK93" s="1397">
        <f ca="1">IF(B93&gt;=$J$5,0,(CONTADORES!Q89-CONTADORES!Q88))</f>
        <v>14.200000000011642</v>
      </c>
      <c r="AL93" s="1397">
        <f t="shared" ca="1" si="46"/>
        <v>34.699999999993452</v>
      </c>
      <c r="AM93" s="1397">
        <f ca="1">IF(B93&gt;=$J$5,0,(((CONTADORES!F89-CONTADORES!F88)+(CONTADORES!AQ89-CONTADORES!AQ88))))-BS93-AF93-AN93-BV93-BY93-CD93-CB93</f>
        <v>9.8540000000025465</v>
      </c>
      <c r="AN93" s="1397">
        <f ca="1">IF(B93&gt;=$J$5,0,(CONTADORES!AX89-CONTADORES!AX88)+(CONTADORES!AZ89-CONTADORES!AZ88)+(CONTADORES!BE89-CONTADORES!BE88))-CB93</f>
        <v>2.4879999999996363</v>
      </c>
      <c r="AO93" s="1437">
        <f ca="1">IF(B93&gt;=$J$5,0,(CONTADORES!AC89-CONTADORES!AC88))</f>
        <v>154</v>
      </c>
      <c r="AP93" s="1437">
        <f ca="1">IF(B93&gt;=$J$5,0,(CONTADORES!X89-CONTADORES!X88))</f>
        <v>75</v>
      </c>
      <c r="AQ93" s="1404">
        <f ca="1">IF(B93&gt;=$J$5,0,(CONTADORES!C89-CONTADORES!C88))</f>
        <v>0</v>
      </c>
      <c r="AR93" s="1399">
        <f ca="1">IF(B93&gt;=$J$5,0,(CONTADORES!BC89-CONTADORES!BC88))</f>
        <v>0</v>
      </c>
      <c r="AS93" s="1397">
        <f ca="1">IF(B93&gt;=$J$5,0,CONTADORES!S89-CONTADORES!S88)</f>
        <v>15.200000000011642</v>
      </c>
      <c r="AT93" s="1397">
        <f ca="1">IF(B93&gt;=$J$5,0,(CONTADORES!U89-CONTADORES!U88)+(CONTADORES!AG89-CONTADORES!AG88))</f>
        <v>2.6999999999970896</v>
      </c>
      <c r="AU93" s="1409">
        <f>CONTADORES!I89-CONTADORES!I88</f>
        <v>86</v>
      </c>
      <c r="AV93" s="1438">
        <f>CONTADORES!AV89-CONTADORES!AV88</f>
        <v>64</v>
      </c>
      <c r="AW93" s="1438">
        <f ca="1">IF(B93&gt;=$J$5,0,(CONTADORES!N89-CONTADORES!N88)+(CONTADORES!AN89-CONTADORES!AN88))</f>
        <v>1.7000000000007276</v>
      </c>
      <c r="AX93" s="1438">
        <f ca="1">IF(B93&gt;=$J$5,0,(CONTADORES!P89-CONTADORES!P88)+(CONTADORES!AL89-CONTADORES!AL88))</f>
        <v>33.099999999998545</v>
      </c>
      <c r="AY93" s="1438">
        <f ca="1">IF(B93&gt;=$J$5,0,(CONTADORES!AJ89-CONTADORES!AJ88))</f>
        <v>6.5</v>
      </c>
      <c r="AZ93" s="1438">
        <f ca="1">IF(B93&gt;=$J$5,0,(CONTADORES!R89-CONTADORES!R88))</f>
        <v>12.19999999999709</v>
      </c>
      <c r="BA93" s="1397">
        <f t="shared" ca="1" si="47"/>
        <v>9.4280000000043458</v>
      </c>
      <c r="BB93" s="1397">
        <f ca="1">IF(B93&gt;=$J$5,0,(((CONTADORES!G89-CONTADORES!G88)+(CONTADORES!AR89-CONTADORES!AR88))))-AV93-BC93-BT93-BW93-BZ93-CE93</f>
        <v>7.6589999999987164</v>
      </c>
      <c r="BC93" s="1397">
        <f ca="1">IF(B93&gt;=$J$5,0,(CONTADORES!AY89-CONTADORES!AY88)+(CONTADORES!BA89-CONTADORES!BA88)+(CONTADORES!BF89-CONTADORES!BF88))-CC93</f>
        <v>1.3280000000001932</v>
      </c>
      <c r="BD93" s="1397">
        <f t="shared" ca="1" si="48"/>
        <v>229</v>
      </c>
      <c r="BE93" s="1409">
        <f ca="1">IF($B93&gt;=$J$5,0,CONTADORES!$BG89)</f>
        <v>6499.82</v>
      </c>
      <c r="BF93" s="1438">
        <f ca="1">IF($B93&gt;=$J$5,0,CONTADORES!$BH89)</f>
        <v>31995.115789473701</v>
      </c>
      <c r="BG93" s="1397">
        <f ca="1">IF($B93&gt;=$J$5,0,CONTADORES!$BJ89)</f>
        <v>5464.5</v>
      </c>
      <c r="BH93" s="1409">
        <f ca="1">IF(B93&gt;=$J$5,0,((CONTADORES!BK89-CONTADORES!BK88)/1000))</f>
        <v>1.4419999999999999</v>
      </c>
      <c r="BI93" s="1409">
        <f ca="1">IF(C93&gt;=$J$5,0,((CONTADORES!BL89-CONTADORES!BL88)/1000))</f>
        <v>1.429</v>
      </c>
      <c r="BJ93" s="1399">
        <f ca="1">IF(C93&gt;=$J$5,0,((CONTADORES!BM89-CONTADORES!BM88)/1000))</f>
        <v>0</v>
      </c>
      <c r="BK93" s="1399">
        <f ca="1">IF(D93&gt;=$J$5,0,((CONTADORES!BN89-CONTADORES!BN88)/1000))</f>
        <v>0</v>
      </c>
      <c r="BL93" s="1399">
        <f t="shared" ca="1" si="49"/>
        <v>1.4419999999999999</v>
      </c>
      <c r="BM93" s="1399">
        <f t="shared" ca="1" si="50"/>
        <v>1.429</v>
      </c>
      <c r="BN93" s="1409">
        <f ca="1">IF(W93&gt;=$J$5,0,CONTADORES!$BO89)</f>
        <v>94.680571456170199</v>
      </c>
      <c r="BO93" s="1438">
        <f ca="1">IF(W93&gt;=$J$5,0,CONTADORES!$BP89)</f>
        <v>32.93379909199156</v>
      </c>
      <c r="BP93" s="1397">
        <f ca="1">IF(W93&gt;=$J$5,0,CONTADORES!$BQ89)</f>
        <v>482.61651091617665</v>
      </c>
      <c r="BQ93" s="1397">
        <f ca="1">IF(B93&gt;=$J$5,0,(CONTADORES!AS89-CONTADORES!AS88))</f>
        <v>5</v>
      </c>
      <c r="BR93" s="1397">
        <f ca="1">IF(B93&gt;=$J$5,0,(CONTADORES!AT89-CONTADORES!AT88))</f>
        <v>0</v>
      </c>
      <c r="BS93" s="1409">
        <f ca="1">IF(B93&gt;=$J$5,0,CONTADORES!BR89-CONTADORES!BR88)/1000</f>
        <v>2</v>
      </c>
      <c r="BT93" s="1438">
        <f ca="1">IF(B93&gt;=$J$5,0,CONTADORES!BS89-CONTADORES!BS88)</f>
        <v>1</v>
      </c>
      <c r="BU93" s="1438">
        <f ca="1">IF(B93&gt;=$J$5,0,CONTADORES!BT89-CONTADORES!BT88)</f>
        <v>24</v>
      </c>
      <c r="BV93" s="1438">
        <f ca="1">IF(B93&gt;=$J$5,0,CONTADORES!BU89-CONTADORES!BU88)/1000</f>
        <v>5.8460000000000001</v>
      </c>
      <c r="BW93" s="1438">
        <f ca="1">IF(B93&gt;=$J$5,0,CONTADORES!BV89-CONTADORES!BV88)/1000</f>
        <v>0.21299999999999999</v>
      </c>
      <c r="BX93" s="1438">
        <f ca="1">IF(B93&gt;=$J$5,0,CONTADORES!BW89-CONTADORES!BW88)</f>
        <v>24</v>
      </c>
      <c r="BY93" s="1438">
        <f ca="1">IF(B93&gt;=$J$5,0,CONTADORES!BX89-CONTADORES!BX88)/1000</f>
        <v>0</v>
      </c>
      <c r="BZ93" s="1438">
        <f ca="1">IF(B93&gt;=$J$5,0,CONTADORES!BY89-CONTADORES!BY88)/1000</f>
        <v>0</v>
      </c>
      <c r="CA93" s="1438">
        <f ca="1">IF(B93&gt;=$J$5,0,CONTADORES!BZ89-CONTADORES!BZ88)</f>
        <v>0</v>
      </c>
      <c r="CB93" s="1409">
        <f ca="1">IF(B93&gt;=$J$5,0,(CONTADORES!CC89-CONTADORES!CC88)+(CONTADORES!CE89-CONTADORES!CE88))/1000</f>
        <v>1.4119999999999999</v>
      </c>
      <c r="CC93" s="1438">
        <f ca="1">IF(B93&gt;=$J$5,0,(CONTADORES!CD89-CONTADORES!CD88)+(CONTADORES!CF89-CONTADORES!CF88))/1000</f>
        <v>0.77200000000000002</v>
      </c>
      <c r="CD93" s="1409">
        <f ca="1">IF(B93&gt;=$J$5,0,CONTADORES!CA89-CONTADORES!CA88)</f>
        <v>7.5999999999985448</v>
      </c>
      <c r="CE93" s="1438">
        <f ca="1">IF(B93&gt;=$J$5,0,CONTADORES!CB89-CONTADORES!CB88)</f>
        <v>5.1000000000003638</v>
      </c>
      <c r="CF93" s="1438">
        <f t="shared" ca="1" si="51"/>
        <v>12.526999999999818</v>
      </c>
      <c r="CG93" s="1438">
        <f t="shared" ca="1" si="52"/>
        <v>8.929499999999722</v>
      </c>
      <c r="CH93" s="1438">
        <f t="shared" ca="1" si="53"/>
        <v>4.9270000000012732</v>
      </c>
      <c r="CI93" s="1438">
        <f t="shared" ca="1" si="54"/>
        <v>0.99519999999985453</v>
      </c>
      <c r="CJ93" s="1438">
        <f t="shared" ca="1" si="55"/>
        <v>4.9270000000012732</v>
      </c>
      <c r="CK93" s="1438">
        <f t="shared" ca="1" si="56"/>
        <v>1.4927999999997819</v>
      </c>
      <c r="CL93" s="1438">
        <f t="shared" ca="1" si="57"/>
        <v>2.4071999999998543</v>
      </c>
      <c r="CM93" s="1438">
        <f t="shared" ca="1" si="58"/>
        <v>3.8294999999993582</v>
      </c>
      <c r="CN93" s="1438">
        <f ca="1">IF(B93&gt;=$J$5,0,CONTADORES!CB89-CONTADORES!CB88)</f>
        <v>5.1000000000003638</v>
      </c>
      <c r="CO93" s="1438">
        <f t="shared" ca="1" si="59"/>
        <v>3.8294999999993582</v>
      </c>
      <c r="CP93" s="1438">
        <f t="shared" ca="1" si="60"/>
        <v>0.66400000000009662</v>
      </c>
      <c r="CQ93" s="1438">
        <f t="shared" ca="1" si="61"/>
        <v>0.66400000000009662</v>
      </c>
      <c r="CR93" s="1438">
        <f t="shared" ca="1" si="62"/>
        <v>1.4360000000000968</v>
      </c>
      <c r="CS93" s="1439">
        <f ca="1">IF($B93&gt;=$J$5,0,CONTADORES!$BI89)</f>
        <v>9359.6904413439006</v>
      </c>
      <c r="CT93" s="1334">
        <f>CONTADORES!E89</f>
        <v>0</v>
      </c>
      <c r="CU93" s="1334">
        <f>CONTADORES!CG89</f>
        <v>0</v>
      </c>
    </row>
    <row r="94" spans="2:99">
      <c r="B94" s="390">
        <v>45010</v>
      </c>
      <c r="C94" s="198">
        <f t="shared" ca="1" si="35"/>
        <v>300</v>
      </c>
      <c r="D94" s="196">
        <f ca="1">'CALCULO DE GAS'!D96</f>
        <v>4.9227195673316713</v>
      </c>
      <c r="E94" s="196">
        <f ca="1">IF(B94&gt;=$J$5,0,(CONTADORES!$AD90-CONTADORES!$AD89)-$H94)</f>
        <v>24</v>
      </c>
      <c r="F94" s="198">
        <f t="shared" ca="1" si="64"/>
        <v>0</v>
      </c>
      <c r="G94" s="196">
        <f ca="1">IF(B94&gt;=$J$5,0,CONTADORES!$AF90-CONTADORES!$AF89)</f>
        <v>0</v>
      </c>
      <c r="H94" s="1396">
        <f ca="1">IF(G94&gt;0,CONTADORES!$AE90-CONTADORES!$AE89,0)</f>
        <v>0</v>
      </c>
      <c r="I94" s="199">
        <f ca="1">IF(B94&gt;=$J$5,0,CONTADORES!$AB90-CONTADORES!$AB89)</f>
        <v>300</v>
      </c>
      <c r="J94" s="198">
        <f t="shared" ca="1" si="36"/>
        <v>146</v>
      </c>
      <c r="K94" s="196">
        <f ca="1">'CALCULO DE GAS'!E96</f>
        <v>3.6669090935162094</v>
      </c>
      <c r="L94" s="1396">
        <f ca="1">IF(B94&gt;=$J$5,0,(CONTADORES!$Y90-CONTADORES!$Y89)-$O94)</f>
        <v>24</v>
      </c>
      <c r="M94" s="1396">
        <f t="shared" ca="1" si="63"/>
        <v>0</v>
      </c>
      <c r="N94" s="1396">
        <f ca="1">IF(B94&gt;=$J$5,0,CONTADORES!$AA90-CONTADORES!$AA89)</f>
        <v>0</v>
      </c>
      <c r="O94" s="1396">
        <f ca="1">IF(N94&gt;0,CONTADORES!$Z90-CONTADORES!$Z89,0)</f>
        <v>0</v>
      </c>
      <c r="P94" s="202">
        <f ca="1">IF(B94&gt;=$J$5,0,CONTADORES!$W90-CONTADORES!$W89)</f>
        <v>146</v>
      </c>
      <c r="Q94" s="202">
        <f ca="1">IF(B94&gt;=$J$5,0,CONTADORES!$B90-CONTADORES!$B89)</f>
        <v>0</v>
      </c>
      <c r="R94" s="196">
        <f t="shared" ca="1" si="37"/>
        <v>0</v>
      </c>
      <c r="S94" s="11">
        <f ca="1">IF(B94&gt;=$J$5,0,CONTADORES!$D90-CONTADORES!$D89)</f>
        <v>0</v>
      </c>
      <c r="T94" s="198">
        <f ca="1">IF(B94&gt;=$J$5,0,CONTADORES!$BB90-CONTADORES!$BB89)</f>
        <v>0</v>
      </c>
      <c r="U94" s="196">
        <f t="shared" ca="1" si="38"/>
        <v>0</v>
      </c>
      <c r="V94" s="199">
        <f ca="1">IF(B94&gt;=$J$5,0,CONTADORES!$BD90-CONTADORES!$BD89)</f>
        <v>0</v>
      </c>
      <c r="W94" s="1397">
        <f t="shared" ca="1" si="39"/>
        <v>446</v>
      </c>
      <c r="X94" s="1397">
        <f t="shared" ca="1" si="40"/>
        <v>0</v>
      </c>
      <c r="Y94" s="1398">
        <f t="shared" ca="1" si="41"/>
        <v>446</v>
      </c>
      <c r="Z94" s="1398">
        <f t="shared" ca="1" si="42"/>
        <v>8.5896286608478807</v>
      </c>
      <c r="AA94" s="1398">
        <f t="shared" ca="1" si="43"/>
        <v>0</v>
      </c>
      <c r="AB94" s="1398">
        <f t="shared" ca="1" si="44"/>
        <v>48</v>
      </c>
      <c r="AC94" s="1397">
        <f t="shared" ca="1" si="45"/>
        <v>0</v>
      </c>
      <c r="AD94" s="1397">
        <f ca="1">IF(B94&gt;=$J$5,0,CONTADORES!H90-CONTADORES!H89)</f>
        <v>164</v>
      </c>
      <c r="AE94" s="1397">
        <f ca="1">IF(B94&gt;=$J$5,0,CONTADORES!J90-CONTADORES!J89)</f>
        <v>24</v>
      </c>
      <c r="AF94" s="1397">
        <f ca="1">IF(B94&gt;=$J$5,0,CONTADORES!AU90-CONTADORES!AU89)</f>
        <v>145</v>
      </c>
      <c r="AG94" s="1397">
        <f ca="1">IF(B94&gt;=$J$5,0,CONTADORES!AW90-CONTADORES!AW89)</f>
        <v>24</v>
      </c>
      <c r="AH94" s="1397">
        <f ca="1">IF(B94&gt;=$J$5,0,(CONTADORES!AM90-CONTADORES!AM89)+(CONTADORES!M90-CONTADORES!M89))</f>
        <v>11.100000000005821</v>
      </c>
      <c r="AI94" s="1397">
        <f ca="1">IF(B94&gt;=$J$5,0,(CONTADORES!AK90-CONTADORES!AK89)+(CONTADORES!O90-CONTADORES!O89))</f>
        <v>40.099999999998545</v>
      </c>
      <c r="AJ94" s="1397">
        <f ca="1">IF(B94&gt;=$J$5,0,(CONTADORES!AI90-CONTADORES!AI89))</f>
        <v>7.6999999999970896</v>
      </c>
      <c r="AK94" s="1397">
        <f ca="1">IF(B94&gt;=$J$5,0,(CONTADORES!Q90-CONTADORES!Q89))</f>
        <v>14.5</v>
      </c>
      <c r="AL94" s="1397">
        <f t="shared" ca="1" si="46"/>
        <v>35.299999999999272</v>
      </c>
      <c r="AM94" s="1397">
        <f ca="1">IF(B94&gt;=$J$5,0,(((CONTADORES!F90-CONTADORES!F89)+(CONTADORES!AQ90-CONTADORES!AQ89))))-BS94-AF94-AN94-BV94-BY94-CD94-CB94</f>
        <v>9.6349999999982696</v>
      </c>
      <c r="AN94" s="1397">
        <f ca="1">IF(B94&gt;=$J$5,0,(CONTADORES!AX90-CONTADORES!AX89)+(CONTADORES!AZ90-CONTADORES!AZ89)+(CONTADORES!BE90-CONTADORES!BE89))-CB94</f>
        <v>2.394000000000637</v>
      </c>
      <c r="AO94" s="1437">
        <f ca="1">IF(B94&gt;=$J$5,0,(CONTADORES!AC90-CONTADORES!AC89))</f>
        <v>156</v>
      </c>
      <c r="AP94" s="1437">
        <f ca="1">IF(B94&gt;=$J$5,0,(CONTADORES!X90-CONTADORES!X89))</f>
        <v>74</v>
      </c>
      <c r="AQ94" s="1404">
        <f ca="1">IF(B94&gt;=$J$5,0,(CONTADORES!C90-CONTADORES!C89))</f>
        <v>0</v>
      </c>
      <c r="AR94" s="1399">
        <f ca="1">IF(B94&gt;=$J$5,0,(CONTADORES!BC90-CONTADORES!BC89))</f>
        <v>0</v>
      </c>
      <c r="AS94" s="1397">
        <f ca="1">IF(B94&gt;=$J$5,0,CONTADORES!S90-CONTADORES!S89)</f>
        <v>16.100000000005821</v>
      </c>
      <c r="AT94" s="1397">
        <f ca="1">IF(B94&gt;=$J$5,0,(CONTADORES!U90-CONTADORES!U89)+(CONTADORES!AG90-CONTADORES!AG89))</f>
        <v>2.4000000000014552</v>
      </c>
      <c r="AU94" s="1409">
        <f>CONTADORES!I90-CONTADORES!I89</f>
        <v>84</v>
      </c>
      <c r="AV94" s="1438">
        <f>CONTADORES!AV90-CONTADORES!AV89</f>
        <v>63</v>
      </c>
      <c r="AW94" s="1438">
        <f ca="1">IF(B94&gt;=$J$5,0,(CONTADORES!N90-CONTADORES!N89)+(CONTADORES!AN90-CONTADORES!AN89))</f>
        <v>4.4000000000014552</v>
      </c>
      <c r="AX94" s="1438">
        <f ca="1">IF(B94&gt;=$J$5,0,(CONTADORES!P90-CONTADORES!P89)+(CONTADORES!AL90-CONTADORES!AL89))</f>
        <v>33</v>
      </c>
      <c r="AY94" s="1438">
        <f ca="1">IF(B94&gt;=$J$5,0,(CONTADORES!AJ90-CONTADORES!AJ89))</f>
        <v>6</v>
      </c>
      <c r="AZ94" s="1438">
        <f ca="1">IF(B94&gt;=$J$5,0,(CONTADORES!R90-CONTADORES!R89))</f>
        <v>11.80000000000291</v>
      </c>
      <c r="BA94" s="1397">
        <f t="shared" ca="1" si="47"/>
        <v>11.227999999995461</v>
      </c>
      <c r="BB94" s="1397">
        <f ca="1">IF(B94&gt;=$J$5,0,(((CONTADORES!G90-CONTADORES!G89)+(CONTADORES!AR90-CONTADORES!AR89))))-AV94-BC94-BT94-BW94-BZ94-CE94</f>
        <v>8.446000000000204</v>
      </c>
      <c r="BC94" s="1397">
        <f ca="1">IF(B94&gt;=$J$5,0,(CONTADORES!AY90-CONTADORES!AY89)+(CONTADORES!BA90-CONTADORES!BA89)+(CONTADORES!BF90-CONTADORES!BF89))-CC94</f>
        <v>1.4280000000001591</v>
      </c>
      <c r="BD94" s="1397">
        <f t="shared" ca="1" si="48"/>
        <v>230</v>
      </c>
      <c r="BE94" s="1409">
        <f ca="1">IF($B94&gt;=$J$5,0,CONTADORES!$BG90)</f>
        <v>6009.07</v>
      </c>
      <c r="BF94" s="1438">
        <f ca="1">IF($B94&gt;=$J$5,0,CONTADORES!$BH90)</f>
        <v>33479.059649122799</v>
      </c>
      <c r="BG94" s="1397">
        <f ca="1">IF($B94&gt;=$J$5,0,CONTADORES!$BJ90)</f>
        <v>5163.76</v>
      </c>
      <c r="BH94" s="1409">
        <f ca="1">IF(B94&gt;=$J$5,0,((CONTADORES!BK90-CONTADORES!BK89)/1000))</f>
        <v>1.476</v>
      </c>
      <c r="BI94" s="1409">
        <f ca="1">IF(C94&gt;=$J$5,0,((CONTADORES!BL90-CONTADORES!BL89)/1000))</f>
        <v>1.3660000000000001</v>
      </c>
      <c r="BJ94" s="1399">
        <f ca="1">IF(C94&gt;=$J$5,0,((CONTADORES!BM90-CONTADORES!BM89)/1000))</f>
        <v>0</v>
      </c>
      <c r="BK94" s="1399">
        <f ca="1">IF(D94&gt;=$J$5,0,((CONTADORES!BN90-CONTADORES!BN89)/1000))</f>
        <v>0</v>
      </c>
      <c r="BL94" s="1399">
        <f t="shared" ca="1" si="49"/>
        <v>1.476</v>
      </c>
      <c r="BM94" s="1399">
        <f t="shared" ca="1" si="50"/>
        <v>1.3660000000000001</v>
      </c>
      <c r="BN94" s="1409">
        <f ca="1">IF(W94&gt;=$J$5,0,CONTADORES!$BO90)</f>
        <v>132.685847074376</v>
      </c>
      <c r="BO94" s="1438">
        <f ca="1">IF(W94&gt;=$J$5,0,CONTADORES!$BP90)</f>
        <v>45.865618595493061</v>
      </c>
      <c r="BP94" s="1397">
        <f ca="1">IF(W94&gt;=$J$5,0,CONTADORES!$BQ90)</f>
        <v>668.85226694164658</v>
      </c>
      <c r="BQ94" s="1397">
        <f ca="1">IF(B94&gt;=$J$5,0,(CONTADORES!AS90-CONTADORES!AS89))</f>
        <v>5</v>
      </c>
      <c r="BR94" s="1397">
        <f ca="1">IF(B94&gt;=$J$5,0,(CONTADORES!AT90-CONTADORES!AT89))</f>
        <v>0</v>
      </c>
      <c r="BS94" s="1409">
        <f ca="1">IF(B94&gt;=$J$5,0,CONTADORES!BR90-CONTADORES!BR89)/1000</f>
        <v>2</v>
      </c>
      <c r="BT94" s="1438">
        <f ca="1">IF(B94&gt;=$J$5,0,CONTADORES!BS90-CONTADORES!BS89)</f>
        <v>1</v>
      </c>
      <c r="BU94" s="1438">
        <f ca="1">IF(B94&gt;=$J$5,0,CONTADORES!BT90-CONTADORES!BT89)</f>
        <v>24</v>
      </c>
      <c r="BV94" s="1438">
        <f ca="1">IF(B94&gt;=$J$5,0,CONTADORES!BU90-CONTADORES!BU89)/1000</f>
        <v>5.7649999999999997</v>
      </c>
      <c r="BW94" s="1438">
        <f ca="1">IF(B94&gt;=$J$5,0,CONTADORES!BV90-CONTADORES!BV89)/1000</f>
        <v>0.22600000000000001</v>
      </c>
      <c r="BX94" s="1438">
        <f ca="1">IF(B94&gt;=$J$5,0,CONTADORES!BW90-CONTADORES!BW89)</f>
        <v>24</v>
      </c>
      <c r="BY94" s="1438">
        <f ca="1">IF(B94&gt;=$J$5,0,CONTADORES!BX90-CONTADORES!BX89)/1000</f>
        <v>0</v>
      </c>
      <c r="BZ94" s="1438">
        <f ca="1">IF(B94&gt;=$J$5,0,CONTADORES!BY90-CONTADORES!BY89)/1000</f>
        <v>0</v>
      </c>
      <c r="CA94" s="1438">
        <f ca="1">IF(B94&gt;=$J$5,0,CONTADORES!BZ90-CONTADORES!BZ89)</f>
        <v>0</v>
      </c>
      <c r="CB94" s="1409">
        <f ca="1">IF(B94&gt;=$J$5,0,(CONTADORES!CC90-CONTADORES!CC89)+(CONTADORES!CE90-CONTADORES!CE89))/1000</f>
        <v>1.4059999999999999</v>
      </c>
      <c r="CC94" s="1438">
        <f ca="1">IF(B94&gt;=$J$5,0,(CONTADORES!CD90-CONTADORES!CD89)+(CONTADORES!CF90-CONTADORES!CF89))/1000</f>
        <v>0.77200000000000002</v>
      </c>
      <c r="CD94" s="1409">
        <f ca="1">IF(B94&gt;=$J$5,0,CONTADORES!CA90-CONTADORES!CA89)</f>
        <v>7.1000000000003638</v>
      </c>
      <c r="CE94" s="1438">
        <f ca="1">IF(B94&gt;=$J$5,0,CONTADORES!CB90-CONTADORES!CB89)</f>
        <v>4.6999999999998181</v>
      </c>
      <c r="CF94" s="1438">
        <f t="shared" ca="1" si="51"/>
        <v>11.917499999999499</v>
      </c>
      <c r="CG94" s="1438">
        <f t="shared" ca="1" si="52"/>
        <v>8.9229999999999201</v>
      </c>
      <c r="CH94" s="1438">
        <f t="shared" ca="1" si="53"/>
        <v>4.8174999999991348</v>
      </c>
      <c r="CI94" s="1438">
        <f t="shared" ca="1" si="54"/>
        <v>0.9576000000002548</v>
      </c>
      <c r="CJ94" s="1438">
        <f t="shared" ca="1" si="55"/>
        <v>4.8174999999991348</v>
      </c>
      <c r="CK94" s="1438">
        <f t="shared" ca="1" si="56"/>
        <v>1.4364000000003823</v>
      </c>
      <c r="CL94" s="1438">
        <f t="shared" ca="1" si="57"/>
        <v>2.3636000000002548</v>
      </c>
      <c r="CM94" s="1438">
        <f t="shared" ca="1" si="58"/>
        <v>4.223000000000102</v>
      </c>
      <c r="CN94" s="1438">
        <f ca="1">IF(B94&gt;=$J$5,0,CONTADORES!CB90-CONTADORES!CB89)</f>
        <v>4.6999999999998181</v>
      </c>
      <c r="CO94" s="1438">
        <f t="shared" ca="1" si="59"/>
        <v>4.223000000000102</v>
      </c>
      <c r="CP94" s="1438">
        <f t="shared" ca="1" si="60"/>
        <v>0.71400000000007957</v>
      </c>
      <c r="CQ94" s="1438">
        <f t="shared" ca="1" si="61"/>
        <v>0.71400000000007957</v>
      </c>
      <c r="CR94" s="1438">
        <f t="shared" ca="1" si="62"/>
        <v>1.4860000000000797</v>
      </c>
      <c r="CS94" s="1439">
        <f ca="1">IF($B94&gt;=$J$5,0,CONTADORES!$BI90)</f>
        <v>10387.3527774991</v>
      </c>
      <c r="CT94" s="1334">
        <f>CONTADORES!E90</f>
        <v>0</v>
      </c>
      <c r="CU94" s="1334">
        <f>CONTADORES!CG90</f>
        <v>0</v>
      </c>
    </row>
    <row r="95" spans="2:99">
      <c r="B95" s="390">
        <v>45011</v>
      </c>
      <c r="C95" s="198">
        <f t="shared" ca="1" si="35"/>
        <v>296</v>
      </c>
      <c r="D95" s="196">
        <f ca="1">'CALCULO DE GAS'!D97</f>
        <v>4.8901011134663346</v>
      </c>
      <c r="E95" s="196">
        <f ca="1">IF(B95&gt;=$J$5,0,(CONTADORES!$AD91-CONTADORES!$AD90)-$H95)</f>
        <v>24</v>
      </c>
      <c r="F95" s="198">
        <f t="shared" ca="1" si="64"/>
        <v>0</v>
      </c>
      <c r="G95" s="196">
        <f ca="1">IF(B95&gt;=$J$5,0,CONTADORES!$AF91-CONTADORES!$AF90)</f>
        <v>0</v>
      </c>
      <c r="H95" s="1396">
        <f ca="1">IF(G95&gt;0,CONTADORES!$AE91-CONTADORES!$AE90,0)</f>
        <v>0</v>
      </c>
      <c r="I95" s="199">
        <f ca="1">IF(B95&gt;=$J$5,0,CONTADORES!$AB91-CONTADORES!$AB90)</f>
        <v>296</v>
      </c>
      <c r="J95" s="198">
        <f t="shared" ca="1" si="36"/>
        <v>146</v>
      </c>
      <c r="K95" s="196">
        <f ca="1">'CALCULO DE GAS'!E97</f>
        <v>3.6669090935162094</v>
      </c>
      <c r="L95" s="1396">
        <f ca="1">IF(B95&gt;=$J$5,0,(CONTADORES!$Y91-CONTADORES!$Y90)-$O95)</f>
        <v>24</v>
      </c>
      <c r="M95" s="1396">
        <f t="shared" ca="1" si="63"/>
        <v>0</v>
      </c>
      <c r="N95" s="1396">
        <f ca="1">IF(B95&gt;=$J$5,0,CONTADORES!$AA91-CONTADORES!$AA90)</f>
        <v>0</v>
      </c>
      <c r="O95" s="1396">
        <f ca="1">IF(N95&gt;0,CONTADORES!$Z91-CONTADORES!$Z90,0)</f>
        <v>0</v>
      </c>
      <c r="P95" s="202">
        <f ca="1">IF(B95&gt;=$J$5,0,CONTADORES!$W91-CONTADORES!$W90)</f>
        <v>146</v>
      </c>
      <c r="Q95" s="202">
        <f ca="1">IF(B95&gt;=$J$5,0,CONTADORES!$B91-CONTADORES!$B90)</f>
        <v>0</v>
      </c>
      <c r="R95" s="196">
        <f t="shared" ca="1" si="37"/>
        <v>0</v>
      </c>
      <c r="S95" s="11">
        <f ca="1">IF(B95&gt;=$J$5,0,CONTADORES!$D91-CONTADORES!$D90)</f>
        <v>0</v>
      </c>
      <c r="T95" s="198">
        <f ca="1">IF(B95&gt;=$J$5,0,CONTADORES!$BB91-CONTADORES!$BB90)</f>
        <v>0</v>
      </c>
      <c r="U95" s="196">
        <f t="shared" ca="1" si="38"/>
        <v>0</v>
      </c>
      <c r="V95" s="199">
        <f ca="1">IF(B95&gt;=$J$5,0,CONTADORES!$BD91-CONTADORES!$BD90)</f>
        <v>0</v>
      </c>
      <c r="W95" s="1397">
        <f t="shared" ca="1" si="39"/>
        <v>442</v>
      </c>
      <c r="X95" s="1397">
        <f t="shared" ca="1" si="40"/>
        <v>0</v>
      </c>
      <c r="Y95" s="1398">
        <f t="shared" ca="1" si="41"/>
        <v>442</v>
      </c>
      <c r="Z95" s="1398">
        <f t="shared" ca="1" si="42"/>
        <v>8.5570102069825431</v>
      </c>
      <c r="AA95" s="1398">
        <f t="shared" ca="1" si="43"/>
        <v>0</v>
      </c>
      <c r="AB95" s="1398">
        <f t="shared" ca="1" si="44"/>
        <v>48</v>
      </c>
      <c r="AC95" s="1397">
        <f t="shared" ca="1" si="45"/>
        <v>0</v>
      </c>
      <c r="AD95" s="1397">
        <f ca="1">IF(B95&gt;=$J$5,0,CONTADORES!H91-CONTADORES!H90)</f>
        <v>160</v>
      </c>
      <c r="AE95" s="1397">
        <f ca="1">IF(B95&gt;=$J$5,0,CONTADORES!J91-CONTADORES!J90)</f>
        <v>23.200000000011642</v>
      </c>
      <c r="AF95" s="1397">
        <f ca="1">IF(B95&gt;=$J$5,0,CONTADORES!AU91-CONTADORES!AU90)</f>
        <v>146</v>
      </c>
      <c r="AG95" s="1397">
        <f ca="1">IF(B95&gt;=$J$5,0,CONTADORES!AW91-CONTADORES!AW90)</f>
        <v>24</v>
      </c>
      <c r="AH95" s="1397">
        <f ca="1">IF(B95&gt;=$J$5,0,(CONTADORES!AM91-CONTADORES!AM90)+(CONTADORES!M91-CONTADORES!M90))</f>
        <v>8</v>
      </c>
      <c r="AI95" s="1397">
        <f ca="1">IF(B95&gt;=$J$5,0,(CONTADORES!AK91-CONTADORES!AK90)+(CONTADORES!O91-CONTADORES!O90))</f>
        <v>40.900000000001455</v>
      </c>
      <c r="AJ95" s="1397">
        <f ca="1">IF(B95&gt;=$J$5,0,(CONTADORES!AI91-CONTADORES!AI90))</f>
        <v>8.1000000000058208</v>
      </c>
      <c r="AK95" s="1397">
        <f ca="1">IF(B95&gt;=$J$5,0,(CONTADORES!Q91-CONTADORES!Q90))</f>
        <v>14.199999999982538</v>
      </c>
      <c r="AL95" s="1397">
        <f t="shared" ca="1" si="46"/>
        <v>35.500000000010857</v>
      </c>
      <c r="AM95" s="1397">
        <f ca="1">IF(B95&gt;=$J$5,0,(((CONTADORES!F91-CONTADORES!F90)+(CONTADORES!AQ91-CONTADORES!AQ90))))-BS95-AF95-AN95-BV95-BY95-CD95-CB95</f>
        <v>10.921999999998269</v>
      </c>
      <c r="AN95" s="1397">
        <f ca="1">IF(B95&gt;=$J$5,0,(CONTADORES!AX91-CONTADORES!AX90)+(CONTADORES!AZ91-CONTADORES!AZ90)+(CONTADORES!BE91-CONTADORES!BE90))-CB95</f>
        <v>2.8060000000002727</v>
      </c>
      <c r="AO95" s="1437">
        <f ca="1">IF(B95&gt;=$J$5,0,(CONTADORES!AC91-CONTADORES!AC90))</f>
        <v>149</v>
      </c>
      <c r="AP95" s="1437">
        <f ca="1">IF(B95&gt;=$J$5,0,(CONTADORES!X91-CONTADORES!X90))</f>
        <v>75</v>
      </c>
      <c r="AQ95" s="1404">
        <f ca="1">IF(B95&gt;=$J$5,0,(CONTADORES!C91-CONTADORES!C90))</f>
        <v>0</v>
      </c>
      <c r="AR95" s="1399">
        <f ca="1">IF(B95&gt;=$J$5,0,(CONTADORES!BC91-CONTADORES!BC90))</f>
        <v>0</v>
      </c>
      <c r="AS95" s="1397">
        <f ca="1">IF(B95&gt;=$J$5,0,CONTADORES!S91-CONTADORES!S90)</f>
        <v>17.199999999982538</v>
      </c>
      <c r="AT95" s="1397">
        <f ca="1">IF(B95&gt;=$J$5,0,(CONTADORES!U91-CONTADORES!U90)+(CONTADORES!AG91-CONTADORES!AG90))</f>
        <v>2.3000000000029104</v>
      </c>
      <c r="AU95" s="1409">
        <f>CONTADORES!I91-CONTADORES!I90</f>
        <v>82</v>
      </c>
      <c r="AV95" s="1438">
        <f>CONTADORES!AV91-CONTADORES!AV90</f>
        <v>64</v>
      </c>
      <c r="AW95" s="1438">
        <f ca="1">IF(B95&gt;=$J$5,0,(CONTADORES!N91-CONTADORES!N90)+(CONTADORES!AN91-CONTADORES!AN90))</f>
        <v>3.0999999999985448</v>
      </c>
      <c r="AX95" s="1438">
        <f ca="1">IF(B95&gt;=$J$5,0,(CONTADORES!P91-CONTADORES!P90)+(CONTADORES!AL91-CONTADORES!AL90))</f>
        <v>33.400000000001455</v>
      </c>
      <c r="AY95" s="1438">
        <f ca="1">IF(B95&gt;=$J$5,0,(CONTADORES!AJ91-CONTADORES!AJ90))</f>
        <v>6.3000000000029104</v>
      </c>
      <c r="AZ95" s="1438">
        <f ca="1">IF(B95&gt;=$J$5,0,(CONTADORES!R91-CONTADORES!R90))</f>
        <v>11.799999999988358</v>
      </c>
      <c r="BA95" s="1397">
        <f t="shared" ca="1" si="47"/>
        <v>9.6360000000087211</v>
      </c>
      <c r="BB95" s="1397">
        <f ca="1">IF(B95&gt;=$J$5,0,(((CONTADORES!G91-CONTADORES!G90)+(CONTADORES!AR91-CONTADORES!AR90))))-AV95-BC95-BT95-BW95-BZ95-CE95</f>
        <v>6.063000000000148</v>
      </c>
      <c r="BC95" s="1397">
        <f ca="1">IF(B95&gt;=$J$5,0,(CONTADORES!AY91-CONTADORES!AY90)+(CONTADORES!BA91-CONTADORES!BA90)+(CONTADORES!BF91-CONTADORES!BF90))-CC95</f>
        <v>1.6360000000000341</v>
      </c>
      <c r="BD95" s="1397">
        <f t="shared" ca="1" si="48"/>
        <v>224</v>
      </c>
      <c r="BE95" s="1409">
        <f ca="1">IF($B95&gt;=$J$5,0,CONTADORES!$BG91)</f>
        <v>6141.37</v>
      </c>
      <c r="BF95" s="1438">
        <f ca="1">IF($B95&gt;=$J$5,0,CONTADORES!$BH91)</f>
        <v>33241.587719298201</v>
      </c>
      <c r="BG95" s="1397">
        <f ca="1">IF($B95&gt;=$J$5,0,CONTADORES!$BJ91)</f>
        <v>5549.3</v>
      </c>
      <c r="BH95" s="1409">
        <f ca="1">IF(B95&gt;=$J$5,0,((CONTADORES!BK91-CONTADORES!BK90)/1000))</f>
        <v>1.4550000000000001</v>
      </c>
      <c r="BI95" s="1409">
        <f ca="1">IF(C95&gt;=$J$5,0,((CONTADORES!BL91-CONTADORES!BL90)/1000))</f>
        <v>1.407</v>
      </c>
      <c r="BJ95" s="1399">
        <f ca="1">IF(C95&gt;=$J$5,0,((CONTADORES!BM91-CONTADORES!BM90)/1000))</f>
        <v>0</v>
      </c>
      <c r="BK95" s="1399">
        <f ca="1">IF(D95&gt;=$J$5,0,((CONTADORES!BN91-CONTADORES!BN90)/1000))</f>
        <v>0</v>
      </c>
      <c r="BL95" s="1399">
        <f t="shared" ca="1" si="49"/>
        <v>1.4550000000000001</v>
      </c>
      <c r="BM95" s="1399">
        <f t="shared" ca="1" si="50"/>
        <v>1.407</v>
      </c>
      <c r="BN95" s="1409">
        <f ca="1">IF(W95&gt;=$J$5,0,CONTADORES!$BO91)</f>
        <v>132.03838790522201</v>
      </c>
      <c r="BO95" s="1438">
        <f ca="1">IF(W95&gt;=$J$5,0,CONTADORES!$BP91)</f>
        <v>45.607514236833488</v>
      </c>
      <c r="BP95" s="1397">
        <f ca="1">IF(W95&gt;=$J$5,0,CONTADORES!$BQ91)</f>
        <v>667.99039099214247</v>
      </c>
      <c r="BQ95" s="1397">
        <f ca="1">IF(B95&gt;=$J$5,0,(CONTADORES!AS91-CONTADORES!AS90))</f>
        <v>5</v>
      </c>
      <c r="BR95" s="1397">
        <f ca="1">IF(B95&gt;=$J$5,0,(CONTADORES!AT91-CONTADORES!AT90))</f>
        <v>0</v>
      </c>
      <c r="BS95" s="1409">
        <f ca="1">IF(B95&gt;=$J$5,0,CONTADORES!BR91-CONTADORES!BR90)/1000</f>
        <v>2</v>
      </c>
      <c r="BT95" s="1438">
        <f ca="1">IF(B95&gt;=$J$5,0,CONTADORES!BS91-CONTADORES!BS90)</f>
        <v>1</v>
      </c>
      <c r="BU95" s="1438">
        <f ca="1">IF(B95&gt;=$J$5,0,CONTADORES!BT91-CONTADORES!BT90)</f>
        <v>22</v>
      </c>
      <c r="BV95" s="1438">
        <f ca="1">IF(B95&gt;=$J$5,0,CONTADORES!BU91-CONTADORES!BU90)/1000</f>
        <v>1.524</v>
      </c>
      <c r="BW95" s="1438">
        <f ca="1">IF(B95&gt;=$J$5,0,CONTADORES!BV91-CONTADORES!BV90)/1000</f>
        <v>5.5E-2</v>
      </c>
      <c r="BX95" s="1438">
        <f ca="1">IF(B95&gt;=$J$5,0,CONTADORES!BW91-CONTADORES!BW90)</f>
        <v>5.8999999999978172</v>
      </c>
      <c r="BY95" s="1438">
        <f ca="1">IF(B95&gt;=$J$5,0,CONTADORES!BX91-CONTADORES!BX90)/1000</f>
        <v>4.4539999999999997</v>
      </c>
      <c r="BZ95" s="1438">
        <f ca="1">IF(B95&gt;=$J$5,0,CONTADORES!BY91-CONTADORES!BY90)/1000</f>
        <v>4.5999999999999999E-2</v>
      </c>
      <c r="CA95" s="1438">
        <f ca="1">IF(B95&gt;=$J$5,0,CONTADORES!BZ91-CONTADORES!BZ90)</f>
        <v>17.399999999997817</v>
      </c>
      <c r="CB95" s="1409">
        <f ca="1">IF(B95&gt;=$J$5,0,(CONTADORES!CC91-CONTADORES!CC90)+(CONTADORES!CE91-CONTADORES!CE90))/1000</f>
        <v>1.3939999999999999</v>
      </c>
      <c r="CC95" s="1438">
        <f ca="1">IF(B95&gt;=$J$5,0,(CONTADORES!CD91-CONTADORES!CD90)+(CONTADORES!CF91-CONTADORES!CF90))/1000</f>
        <v>0.76400000000000001</v>
      </c>
      <c r="CD95" s="1409">
        <f ca="1">IF(B95&gt;=$J$5,0,CONTADORES!CA91-CONTADORES!CA90)</f>
        <v>6.2000000000007276</v>
      </c>
      <c r="CE95" s="1438">
        <f ca="1">IF(B95&gt;=$J$5,0,CONTADORES!CB91-CONTADORES!CB90)</f>
        <v>4.1999999999998181</v>
      </c>
      <c r="CF95" s="1438">
        <f t="shared" ca="1" si="51"/>
        <v>11.660999999999863</v>
      </c>
      <c r="CG95" s="1438">
        <f t="shared" ca="1" si="52"/>
        <v>7.2314999999998921</v>
      </c>
      <c r="CH95" s="1438">
        <f t="shared" ca="1" si="53"/>
        <v>5.4609999999991343</v>
      </c>
      <c r="CI95" s="1438">
        <f t="shared" ca="1" si="54"/>
        <v>1.1224000000001091</v>
      </c>
      <c r="CJ95" s="1438">
        <f t="shared" ca="1" si="55"/>
        <v>5.4609999999991343</v>
      </c>
      <c r="CK95" s="1438">
        <f t="shared" ca="1" si="56"/>
        <v>1.6836000000001636</v>
      </c>
      <c r="CL95" s="1438">
        <f t="shared" ca="1" si="57"/>
        <v>2.5164000000001092</v>
      </c>
      <c r="CM95" s="1438">
        <f t="shared" ca="1" si="58"/>
        <v>3.031500000000074</v>
      </c>
      <c r="CN95" s="1438">
        <f ca="1">IF(B95&gt;=$J$5,0,CONTADORES!CB91-CONTADORES!CB90)</f>
        <v>4.1999999999998181</v>
      </c>
      <c r="CO95" s="1438">
        <f t="shared" ca="1" si="59"/>
        <v>3.031500000000074</v>
      </c>
      <c r="CP95" s="1438">
        <f t="shared" ca="1" si="60"/>
        <v>0.81800000000001705</v>
      </c>
      <c r="CQ95" s="1438">
        <f t="shared" ca="1" si="61"/>
        <v>0.81800000000001705</v>
      </c>
      <c r="CR95" s="1438">
        <f t="shared" ca="1" si="62"/>
        <v>1.5820000000000172</v>
      </c>
      <c r="CS95" s="1439">
        <f ca="1">IF($B95&gt;=$J$5,0,CONTADORES!$BI91)</f>
        <v>9183.3816274330693</v>
      </c>
      <c r="CT95" s="1334">
        <f>CONTADORES!E91</f>
        <v>0</v>
      </c>
      <c r="CU95" s="1334">
        <f>CONTADORES!CG91</f>
        <v>0</v>
      </c>
    </row>
    <row r="96" spans="2:99">
      <c r="B96" s="390">
        <v>45012</v>
      </c>
      <c r="C96" s="198">
        <f t="shared" ca="1" si="35"/>
        <v>294</v>
      </c>
      <c r="D96" s="196">
        <f ca="1">'CALCULO DE GAS'!D98</f>
        <v>4.8737918865336667</v>
      </c>
      <c r="E96" s="196">
        <f ca="1">IF(B96&gt;=$J$5,0,(CONTADORES!$AD92-CONTADORES!$AD91)-$H96)</f>
        <v>24</v>
      </c>
      <c r="F96" s="198">
        <f t="shared" ca="1" si="64"/>
        <v>0</v>
      </c>
      <c r="G96" s="196">
        <f ca="1">IF(B96&gt;=$J$5,0,CONTADORES!$AF92-CONTADORES!$AF91)</f>
        <v>0</v>
      </c>
      <c r="H96" s="1396">
        <f ca="1">IF(G96&gt;0,CONTADORES!$AE92-CONTADORES!$AE91,0)</f>
        <v>0</v>
      </c>
      <c r="I96" s="199">
        <f ca="1">IF(B96&gt;=$J$5,0,CONTADORES!$AB92-CONTADORES!$AB91)</f>
        <v>294</v>
      </c>
      <c r="J96" s="198">
        <f t="shared" ca="1" si="36"/>
        <v>152</v>
      </c>
      <c r="K96" s="196">
        <f ca="1">'CALCULO DE GAS'!E98</f>
        <v>3.715836774314214</v>
      </c>
      <c r="L96" s="1396">
        <f ca="1">IF(B96&gt;=$J$5,0,(CONTADORES!$Y92-CONTADORES!$Y91)-$O96)</f>
        <v>24</v>
      </c>
      <c r="M96" s="1396">
        <f t="shared" ca="1" si="63"/>
        <v>0</v>
      </c>
      <c r="N96" s="1396">
        <f ca="1">IF(B96&gt;=$J$5,0,CONTADORES!$AA92-CONTADORES!$AA91)</f>
        <v>0</v>
      </c>
      <c r="O96" s="1396">
        <f ca="1">IF(N96&gt;0,CONTADORES!$Z92-CONTADORES!$Z91,0)</f>
        <v>0</v>
      </c>
      <c r="P96" s="202">
        <f ca="1">IF(B96&gt;=$J$5,0,CONTADORES!$W92-CONTADORES!$W91)</f>
        <v>152</v>
      </c>
      <c r="Q96" s="202">
        <f ca="1">IF(B96&gt;=$J$5,0,CONTADORES!$B92-CONTADORES!$B91)</f>
        <v>0.32099999999991269</v>
      </c>
      <c r="R96" s="196">
        <f t="shared" ca="1" si="37"/>
        <v>38.519999999989523</v>
      </c>
      <c r="S96" s="11">
        <f ca="1">IF(B96&gt;=$J$5,0,CONTADORES!$D92-CONTADORES!$D91)</f>
        <v>0.6999999999998181</v>
      </c>
      <c r="T96" s="198">
        <f ca="1">IF(B96&gt;=$J$5,0,CONTADORES!$BB92-CONTADORES!$BB91)</f>
        <v>0</v>
      </c>
      <c r="U96" s="196">
        <f t="shared" ca="1" si="38"/>
        <v>0</v>
      </c>
      <c r="V96" s="199">
        <f ca="1">IF(B96&gt;=$J$5,0,CONTADORES!$BD92-CONTADORES!$BD91)</f>
        <v>0</v>
      </c>
      <c r="W96" s="1397">
        <f t="shared" ca="1" si="39"/>
        <v>446</v>
      </c>
      <c r="X96" s="1397">
        <f t="shared" ca="1" si="40"/>
        <v>0.32099999999991269</v>
      </c>
      <c r="Y96" s="1398">
        <f t="shared" ca="1" si="41"/>
        <v>446.32099999999991</v>
      </c>
      <c r="Z96" s="1398">
        <f t="shared" ca="1" si="42"/>
        <v>8.5896286608478807</v>
      </c>
      <c r="AA96" s="1398">
        <f t="shared" ca="1" si="43"/>
        <v>38.519999999989523</v>
      </c>
      <c r="AB96" s="1398">
        <f t="shared" ca="1" si="44"/>
        <v>48</v>
      </c>
      <c r="AC96" s="1397">
        <f t="shared" ca="1" si="45"/>
        <v>0.6999999999998181</v>
      </c>
      <c r="AD96" s="1397">
        <f ca="1">IF(B96&gt;=$J$5,0,CONTADORES!H92-CONTADORES!H91)</f>
        <v>162</v>
      </c>
      <c r="AE96" s="1397">
        <f ca="1">IF(B96&gt;=$J$5,0,CONTADORES!J92-CONTADORES!J91)</f>
        <v>24</v>
      </c>
      <c r="AF96" s="1397">
        <f ca="1">IF(B96&gt;=$J$5,0,CONTADORES!AU92-CONTADORES!AU91)</f>
        <v>146</v>
      </c>
      <c r="AG96" s="1397">
        <f ca="1">IF(B96&gt;=$J$5,0,CONTADORES!AW92-CONTADORES!AW91)</f>
        <v>24</v>
      </c>
      <c r="AH96" s="1397">
        <f ca="1">IF(B96&gt;=$J$5,0,(CONTADORES!AM92-CONTADORES!AM91)+(CONTADORES!M92-CONTADORES!M91))</f>
        <v>9</v>
      </c>
      <c r="AI96" s="1397">
        <f ca="1">IF(B96&gt;=$J$5,0,(CONTADORES!AK92-CONTADORES!AK91)+(CONTADORES!O92-CONTADORES!O91))</f>
        <v>42</v>
      </c>
      <c r="AJ96" s="1397">
        <f ca="1">IF(B96&gt;=$J$5,0,(CONTADORES!AI92-CONTADORES!AI91))</f>
        <v>8</v>
      </c>
      <c r="AK96" s="1397">
        <f ca="1">IF(B96&gt;=$J$5,0,(CONTADORES!Q92-CONTADORES!Q91))</f>
        <v>14.200000000011642</v>
      </c>
      <c r="AL96" s="1397">
        <f t="shared" ca="1" si="46"/>
        <v>36.320999999985361</v>
      </c>
      <c r="AM96" s="1397">
        <f ca="1">IF(B96&gt;=$J$5,0,(((CONTADORES!F92-CONTADORES!F91)+(CONTADORES!AQ92-CONTADORES!AQ91))))-BS96-AF96-AN96-BV96-BY96-CD96-CB96</f>
        <v>10.844000000003001</v>
      </c>
      <c r="AN96" s="1397">
        <f ca="1">IF(B96&gt;=$J$5,0,(CONTADORES!AX92-CONTADORES!AX91)+(CONTADORES!AZ92-CONTADORES!AZ91)+(CONTADORES!BE92-CONTADORES!BE91))-CB96</f>
        <v>2.6379999999995452</v>
      </c>
      <c r="AO96" s="1437">
        <f ca="1">IF(B96&gt;=$J$5,0,(CONTADORES!AC92-CONTADORES!AC91))</f>
        <v>148</v>
      </c>
      <c r="AP96" s="1437">
        <f ca="1">IF(B96&gt;=$J$5,0,(CONTADORES!X92-CONTADORES!X91))</f>
        <v>78</v>
      </c>
      <c r="AQ96" s="1404">
        <f ca="1">IF(B96&gt;=$J$5,0,(CONTADORES!C92-CONTADORES!C91))</f>
        <v>0.11099999999999</v>
      </c>
      <c r="AR96" s="1399">
        <f ca="1">IF(B96&gt;=$J$5,0,(CONTADORES!BC92-CONTADORES!BC91))</f>
        <v>0</v>
      </c>
      <c r="AS96" s="1397">
        <f ca="1">IF(B96&gt;=$J$5,0,CONTADORES!S92-CONTADORES!S91)</f>
        <v>15.5</v>
      </c>
      <c r="AT96" s="1397">
        <f ca="1">IF(B96&gt;=$J$5,0,(CONTADORES!U92-CONTADORES!U91)+(CONTADORES!AG92-CONTADORES!AG91))</f>
        <v>2.3999999999941792</v>
      </c>
      <c r="AU96" s="1409">
        <f>CONTADORES!I92-CONTADORES!I91</f>
        <v>82</v>
      </c>
      <c r="AV96" s="1438">
        <f>CONTADORES!AV92-CONTADORES!AV91</f>
        <v>63</v>
      </c>
      <c r="AW96" s="1438">
        <f ca="1">IF(B96&gt;=$J$5,0,(CONTADORES!N92-CONTADORES!N91)+(CONTADORES!AN92-CONTADORES!AN91))</f>
        <v>3.4000000000014552</v>
      </c>
      <c r="AX96" s="1438">
        <f ca="1">IF(B96&gt;=$J$5,0,(CONTADORES!P92-CONTADORES!P91)+(CONTADORES!AL92-CONTADORES!AL91))</f>
        <v>34.099999999998545</v>
      </c>
      <c r="AY96" s="1438">
        <f ca="1">IF(B96&gt;=$J$5,0,(CONTADORES!AJ92-CONTADORES!AJ91))</f>
        <v>6.0999999999985448</v>
      </c>
      <c r="AZ96" s="1438">
        <f ca="1">IF(B96&gt;=$J$5,0,(CONTADORES!R92-CONTADORES!R91))</f>
        <v>11.700000000011642</v>
      </c>
      <c r="BA96" s="1397">
        <f t="shared" ca="1" si="47"/>
        <v>11.467999999989473</v>
      </c>
      <c r="BB96" s="1397">
        <f ca="1">IF(B96&gt;=$J$5,0,(((CONTADORES!G92-CONTADORES!G91)+(CONTADORES!AR92-CONTADORES!AR91))))-AV96-BC96-BT96-BW96-BZ96-CE96</f>
        <v>7.2029999999998306</v>
      </c>
      <c r="BC96" s="1397">
        <f ca="1">IF(B96&gt;=$J$5,0,(CONTADORES!AY92-CONTADORES!AY91)+(CONTADORES!BA92-CONTADORES!BA91)+(CONTADORES!BF92-CONTADORES!BF91))-CC96</f>
        <v>1.4569999999999887</v>
      </c>
      <c r="BD96" s="1397">
        <f t="shared" ca="1" si="48"/>
        <v>226.11099999999999</v>
      </c>
      <c r="BE96" s="1409">
        <f ca="1">IF($B96&gt;=$J$5,0,CONTADORES!$BG92)</f>
        <v>6513.88</v>
      </c>
      <c r="BF96" s="1438">
        <f ca="1">IF($B96&gt;=$J$5,0,CONTADORES!$BH92)</f>
        <v>33453.443859649102</v>
      </c>
      <c r="BG96" s="1397">
        <f ca="1">IF($B96&gt;=$J$5,0,CONTADORES!$BJ92)</f>
        <v>5642.13</v>
      </c>
      <c r="BH96" s="1409">
        <f ca="1">IF(B96&gt;=$J$5,0,((CONTADORES!BK92-CONTADORES!BK91)/1000))</f>
        <v>1.458</v>
      </c>
      <c r="BI96" s="1409">
        <f ca="1">IF(C96&gt;=$J$5,0,((CONTADORES!BL92-CONTADORES!BL91)/1000))</f>
        <v>1.41</v>
      </c>
      <c r="BJ96" s="1399">
        <f ca="1">IF(C96&gt;=$J$5,0,((CONTADORES!BM92-CONTADORES!BM91)/1000))</f>
        <v>0</v>
      </c>
      <c r="BK96" s="1399">
        <f ca="1">IF(D96&gt;=$J$5,0,((CONTADORES!BN92-CONTADORES!BN91)/1000))</f>
        <v>0</v>
      </c>
      <c r="BL96" s="1399">
        <f t="shared" ca="1" si="49"/>
        <v>1.458</v>
      </c>
      <c r="BM96" s="1399">
        <f t="shared" ca="1" si="50"/>
        <v>1.41</v>
      </c>
      <c r="BN96" s="1409">
        <f ca="1">IF(W96&gt;=$J$5,0,CONTADORES!$BO92)</f>
        <v>131.78702058969017</v>
      </c>
      <c r="BO96" s="1438">
        <f ca="1">IF(W96&gt;=$J$5,0,CONTADORES!$BP92)</f>
        <v>46.015834887293863</v>
      </c>
      <c r="BP96" s="1397">
        <f ca="1">IF(W96&gt;=$J$5,0,CONTADORES!$BQ92)</f>
        <v>669.13047769868228</v>
      </c>
      <c r="BQ96" s="1397">
        <f ca="1">IF(B96&gt;=$J$5,0,(CONTADORES!AS92-CONTADORES!AS91))</f>
        <v>5</v>
      </c>
      <c r="BR96" s="1397">
        <f ca="1">IF(B96&gt;=$J$5,0,(CONTADORES!AT92-CONTADORES!AT91))</f>
        <v>0</v>
      </c>
      <c r="BS96" s="1409">
        <f ca="1">IF(B96&gt;=$J$5,0,CONTADORES!BR92-CONTADORES!BR91)/1000</f>
        <v>2</v>
      </c>
      <c r="BT96" s="1438">
        <f ca="1">IF(B96&gt;=$J$5,0,CONTADORES!BS92-CONTADORES!BS91)</f>
        <v>1</v>
      </c>
      <c r="BU96" s="1438">
        <f ca="1">IF(B96&gt;=$J$5,0,CONTADORES!BT92-CONTADORES!BT91)</f>
        <v>24</v>
      </c>
      <c r="BV96" s="1438">
        <f ca="1">IF(B96&gt;=$J$5,0,CONTADORES!BU92-CONTADORES!BU91)/1000</f>
        <v>0</v>
      </c>
      <c r="BW96" s="1438">
        <f ca="1">IF(B96&gt;=$J$5,0,CONTADORES!BV92-CONTADORES!BV91)/1000</f>
        <v>0</v>
      </c>
      <c r="BX96" s="1438">
        <f ca="1">IF(B96&gt;=$J$5,0,CONTADORES!BW92-CONTADORES!BW91)</f>
        <v>0</v>
      </c>
      <c r="BY96" s="1438">
        <f ca="1">IF(B96&gt;=$J$5,0,CONTADORES!BX92-CONTADORES!BX91)/1000</f>
        <v>6.3559999999999999</v>
      </c>
      <c r="BZ96" s="1438">
        <f ca="1">IF(B96&gt;=$J$5,0,CONTADORES!BY92-CONTADORES!BY91)/1000</f>
        <v>0.04</v>
      </c>
      <c r="CA96" s="1438">
        <f ca="1">IF(B96&gt;=$J$5,0,CONTADORES!BZ92-CONTADORES!BZ91)</f>
        <v>24</v>
      </c>
      <c r="CB96" s="1409">
        <f ca="1">IF(B96&gt;=$J$5,0,(CONTADORES!CC92-CONTADORES!CC91)+(CONTADORES!CE92-CONTADORES!CE91))/1000</f>
        <v>1.3620000000000001</v>
      </c>
      <c r="CC96" s="1438">
        <f ca="1">IF(B96&gt;=$J$5,0,(CONTADORES!CD92-CONTADORES!CD91)+(CONTADORES!CF92-CONTADORES!CF91))/1000</f>
        <v>0.74299999999999999</v>
      </c>
      <c r="CD96" s="1409">
        <f ca="1">IF(B96&gt;=$J$5,0,CONTADORES!CA92-CONTADORES!CA91)</f>
        <v>5.6000000000003638</v>
      </c>
      <c r="CE96" s="1438">
        <f ca="1">IF(B96&gt;=$J$5,0,CONTADORES!CB92-CONTADORES!CB91)</f>
        <v>3.9000000000005457</v>
      </c>
      <c r="CF96" s="1438">
        <f t="shared" ca="1" si="51"/>
        <v>11.022000000001864</v>
      </c>
      <c r="CG96" s="1438">
        <f t="shared" ca="1" si="52"/>
        <v>7.501500000000461</v>
      </c>
      <c r="CH96" s="1438">
        <f t="shared" ca="1" si="53"/>
        <v>5.4220000000015007</v>
      </c>
      <c r="CI96" s="1438">
        <f t="shared" ca="1" si="54"/>
        <v>1.0551999999998181</v>
      </c>
      <c r="CJ96" s="1438">
        <f t="shared" ca="1" si="55"/>
        <v>5.4220000000015007</v>
      </c>
      <c r="CK96" s="1438">
        <f t="shared" ca="1" si="56"/>
        <v>1.5827999999997271</v>
      </c>
      <c r="CL96" s="1438">
        <f t="shared" ca="1" si="57"/>
        <v>2.4171999999998182</v>
      </c>
      <c r="CM96" s="1438">
        <f t="shared" ca="1" si="58"/>
        <v>3.6014999999999153</v>
      </c>
      <c r="CN96" s="1438">
        <f ca="1">IF(B96&gt;=$J$5,0,CONTADORES!CB92-CONTADORES!CB91)</f>
        <v>3.9000000000005457</v>
      </c>
      <c r="CO96" s="1438">
        <f t="shared" ca="1" si="59"/>
        <v>3.6014999999999153</v>
      </c>
      <c r="CP96" s="1438">
        <f t="shared" ca="1" si="60"/>
        <v>0.72849999999999437</v>
      </c>
      <c r="CQ96" s="1438">
        <f t="shared" ca="1" si="61"/>
        <v>0.72849999999999437</v>
      </c>
      <c r="CR96" s="1438">
        <f t="shared" ca="1" si="62"/>
        <v>1.4714999999999945</v>
      </c>
      <c r="CS96" s="1439">
        <f ca="1">IF($B96&gt;=$J$5,0,CONTADORES!$BI92)</f>
        <v>9366.7454665413607</v>
      </c>
      <c r="CT96" s="1334">
        <f>CONTADORES!E92</f>
        <v>0.3</v>
      </c>
      <c r="CU96" s="1334">
        <f>CONTADORES!CG92</f>
        <v>0</v>
      </c>
    </row>
    <row r="97" spans="2:99">
      <c r="B97" s="390">
        <v>45013</v>
      </c>
      <c r="C97" s="198">
        <f t="shared" ca="1" si="35"/>
        <v>297</v>
      </c>
      <c r="D97" s="196">
        <f ca="1">'CALCULO DE GAS'!D99</f>
        <v>4.8982557269326685</v>
      </c>
      <c r="E97" s="196">
        <f ca="1">IF(B97&gt;=$J$5,0,(CONTADORES!$AD93-CONTADORES!$AD92)-$H97)</f>
        <v>24</v>
      </c>
      <c r="F97" s="198">
        <f t="shared" ca="1" si="64"/>
        <v>0</v>
      </c>
      <c r="G97" s="196">
        <f ca="1">IF(B97&gt;=$J$5,0,CONTADORES!$AF93-CONTADORES!$AF92)</f>
        <v>0</v>
      </c>
      <c r="H97" s="1396">
        <f ca="1">IF(G97&gt;0,CONTADORES!$AE93-CONTADORES!$AE92,0)</f>
        <v>0</v>
      </c>
      <c r="I97" s="199">
        <f ca="1">IF(B97&gt;=$J$5,0,CONTADORES!$AB93-CONTADORES!$AB92)</f>
        <v>297</v>
      </c>
      <c r="J97" s="198">
        <f t="shared" ca="1" si="36"/>
        <v>147</v>
      </c>
      <c r="K97" s="196">
        <f ca="1">'CALCULO DE GAS'!E99</f>
        <v>3.6750637069825434</v>
      </c>
      <c r="L97" s="1396">
        <f ca="1">IF(B97&gt;=$J$5,0,(CONTADORES!$Y93-CONTADORES!$Y92)-$O97)</f>
        <v>24</v>
      </c>
      <c r="M97" s="1396">
        <f t="shared" ca="1" si="63"/>
        <v>0</v>
      </c>
      <c r="N97" s="1396">
        <f ca="1">IF(B97&gt;=$J$5,0,CONTADORES!$AA93-CONTADORES!$AA92)</f>
        <v>0</v>
      </c>
      <c r="O97" s="1396">
        <f ca="1">IF(N97&gt;0,CONTADORES!$Z93-CONTADORES!$Z92,0)</f>
        <v>0</v>
      </c>
      <c r="P97" s="202">
        <f ca="1">IF(B97&gt;=$J$5,0,CONTADORES!$W93-CONTADORES!$W92)</f>
        <v>147</v>
      </c>
      <c r="Q97" s="202">
        <f ca="1">IF(B97&gt;=$J$5,0,CONTADORES!$B93-CONTADORES!$B92)</f>
        <v>0</v>
      </c>
      <c r="R97" s="196">
        <f t="shared" ca="1" si="37"/>
        <v>0</v>
      </c>
      <c r="S97" s="11">
        <f ca="1">IF(B97&gt;=$J$5,0,CONTADORES!$D93-CONTADORES!$D92)</f>
        <v>0</v>
      </c>
      <c r="T97" s="198">
        <f ca="1">IF(B97&gt;=$J$5,0,CONTADORES!$BB93-CONTADORES!$BB92)</f>
        <v>0.36199999999996635</v>
      </c>
      <c r="U97" s="196">
        <f t="shared" ca="1" si="38"/>
        <v>43.439999999995962</v>
      </c>
      <c r="V97" s="199">
        <f ca="1">IF(B97&gt;=$J$5,0,CONTADORES!$BD93-CONTADORES!$BD92)</f>
        <v>0.40000000000009095</v>
      </c>
      <c r="W97" s="1397">
        <f t="shared" ca="1" si="39"/>
        <v>444</v>
      </c>
      <c r="X97" s="1397">
        <f t="shared" ca="1" si="40"/>
        <v>0.36199999999996635</v>
      </c>
      <c r="Y97" s="1398">
        <f t="shared" ca="1" si="41"/>
        <v>444.36199999999997</v>
      </c>
      <c r="Z97" s="1398">
        <f t="shared" ca="1" si="42"/>
        <v>8.5733194339152128</v>
      </c>
      <c r="AA97" s="1398">
        <f t="shared" ca="1" si="43"/>
        <v>43.439999999995962</v>
      </c>
      <c r="AB97" s="1398">
        <f t="shared" ca="1" si="44"/>
        <v>48</v>
      </c>
      <c r="AC97" s="1397">
        <f t="shared" ca="1" si="45"/>
        <v>0.40000000000009095</v>
      </c>
      <c r="AD97" s="1397">
        <f ca="1">IF(B97&gt;=$J$5,0,CONTADORES!H93-CONTADORES!H92)</f>
        <v>165</v>
      </c>
      <c r="AE97" s="1397">
        <f ca="1">IF(B97&gt;=$J$5,0,CONTADORES!J93-CONTADORES!J92)</f>
        <v>24</v>
      </c>
      <c r="AF97" s="1397">
        <f ca="1">IF(B97&gt;=$J$5,0,CONTADORES!AU93-CONTADORES!AU92)</f>
        <v>148</v>
      </c>
      <c r="AG97" s="1397">
        <f ca="1">IF(B97&gt;=$J$5,0,CONTADORES!AW93-CONTADORES!AW92)</f>
        <v>24</v>
      </c>
      <c r="AH97" s="1397">
        <f ca="1">IF(B97&gt;=$J$5,0,(CONTADORES!AM93-CONTADORES!AM92)+(CONTADORES!M93-CONTADORES!M92))</f>
        <v>6.6999999999970896</v>
      </c>
      <c r="AI97" s="1397">
        <f ca="1">IF(B97&gt;=$J$5,0,(CONTADORES!AK93-CONTADORES!AK92)+(CONTADORES!O93-CONTADORES!O92))</f>
        <v>41.30000000000291</v>
      </c>
      <c r="AJ97" s="1397">
        <f ca="1">IF(B97&gt;=$J$5,0,(CONTADORES!AI93-CONTADORES!AI92))</f>
        <v>7.1999999999970896</v>
      </c>
      <c r="AK97" s="1397">
        <f ca="1">IF(B97&gt;=$J$5,0,(CONTADORES!Q93-CONTADORES!Q92))</f>
        <v>13.5</v>
      </c>
      <c r="AL97" s="1397">
        <f t="shared" ca="1" si="46"/>
        <v>32.062000000004275</v>
      </c>
      <c r="AM97" s="1397">
        <f ca="1">IF(B97&gt;=$J$5,0,(((CONTADORES!F93-CONTADORES!F92)+(CONTADORES!AQ93-CONTADORES!AQ92))))-BS97-AF97-AN97-BV97-BY97-CD97-CB97</f>
        <v>11.491999999998908</v>
      </c>
      <c r="AN97" s="1397">
        <f ca="1">IF(B97&gt;=$J$5,0,(CONTADORES!AX93-CONTADORES!AX92)+(CONTADORES!AZ93-CONTADORES!AZ92)+(CONTADORES!BE93-CONTADORES!BE92))-CB97</f>
        <v>2.9969999999996362</v>
      </c>
      <c r="AO97" s="1437">
        <f ca="1">IF(B97&gt;=$J$5,0,(CONTADORES!AC93-CONTADORES!AC92))</f>
        <v>150</v>
      </c>
      <c r="AP97" s="1437">
        <f ca="1">IF(B97&gt;=$J$5,0,(CONTADORES!X93-CONTADORES!X92))</f>
        <v>72</v>
      </c>
      <c r="AQ97" s="1404">
        <f ca="1">IF(B97&gt;=$J$5,0,(CONTADORES!C93-CONTADORES!C92))</f>
        <v>0</v>
      </c>
      <c r="AR97" s="1399">
        <f ca="1">IF(B97&gt;=$J$5,0,(CONTADORES!BC93-CONTADORES!BC92))</f>
        <v>0.13800000000003365</v>
      </c>
      <c r="AS97" s="1397">
        <f ca="1">IF(B97&gt;=$J$5,0,CONTADORES!S93-CONTADORES!S92)</f>
        <v>14.200000000011642</v>
      </c>
      <c r="AT97" s="1397">
        <f ca="1">IF(B97&gt;=$J$5,0,(CONTADORES!U93-CONTADORES!U92)+(CONTADORES!AG93-CONTADORES!AG92))</f>
        <v>2.6000000000058208</v>
      </c>
      <c r="AU97" s="1409">
        <f>CONTADORES!I93-CONTADORES!I92</f>
        <v>85</v>
      </c>
      <c r="AV97" s="1438">
        <f>CONTADORES!AV93-CONTADORES!AV92</f>
        <v>65</v>
      </c>
      <c r="AW97" s="1438">
        <f ca="1">IF(B97&gt;=$J$5,0,(CONTADORES!N93-CONTADORES!N92)+(CONTADORES!AN93-CONTADORES!AN92))</f>
        <v>2.5</v>
      </c>
      <c r="AX97" s="1438">
        <f ca="1">IF(B97&gt;=$J$5,0,(CONTADORES!P93-CONTADORES!P92)+(CONTADORES!AL93-CONTADORES!AL92))</f>
        <v>33.600000000005821</v>
      </c>
      <c r="AY97" s="1438">
        <f ca="1">IF(B97&gt;=$J$5,0,(CONTADORES!AJ93-CONTADORES!AJ92))</f>
        <v>5.5</v>
      </c>
      <c r="AZ97" s="1438">
        <f ca="1">IF(B97&gt;=$J$5,0,(CONTADORES!R93-CONTADORES!R92))</f>
        <v>10.899999999994179</v>
      </c>
      <c r="BA97" s="1397">
        <f t="shared" ca="1" si="47"/>
        <v>7.6600000000001955</v>
      </c>
      <c r="BB97" s="1397">
        <f ca="1">IF(B97&gt;=$J$5,0,(((CONTADORES!G93-CONTADORES!G92)+(CONTADORES!AR93-CONTADORES!AR92))))-AV97-BC97-BT97-BW97-BZ97-CE97</f>
        <v>5.3760000000008201</v>
      </c>
      <c r="BC97" s="1397">
        <f ca="1">IF(B97&gt;=$J$5,0,(CONTADORES!AY93-CONTADORES!AY92)+(CONTADORES!BA93-CONTADORES!BA92)+(CONTADORES!BF93-CONTADORES!BF92))-CC97</f>
        <v>1.0219999999997271</v>
      </c>
      <c r="BD97" s="1397">
        <f t="shared" ca="1" si="48"/>
        <v>222.13800000000003</v>
      </c>
      <c r="BE97" s="1409">
        <f ca="1">IF($B97&gt;=$J$5,0,CONTADORES!$BG93)</f>
        <v>6054.4</v>
      </c>
      <c r="BF97" s="1438">
        <f ca="1">IF($B97&gt;=$J$5,0,CONTADORES!$BH93)</f>
        <v>32680.889473684201</v>
      </c>
      <c r="BG97" s="1397">
        <f ca="1">IF($B97&gt;=$J$5,0,CONTADORES!$BJ93)</f>
        <v>5434.86</v>
      </c>
      <c r="BH97" s="1409">
        <f ca="1">IF(B97&gt;=$J$5,0,((CONTADORES!BK93-CONTADORES!BK92)/1000))</f>
        <v>1.4139999999999999</v>
      </c>
      <c r="BI97" s="1409">
        <f ca="1">IF(C97&gt;=$J$5,0,((CONTADORES!BL93-CONTADORES!BL92)/1000))</f>
        <v>1.4159999999999999</v>
      </c>
      <c r="BJ97" s="1399">
        <f ca="1">IF(C97&gt;=$J$5,0,((CONTADORES!BM93-CONTADORES!BM92)/1000))</f>
        <v>0</v>
      </c>
      <c r="BK97" s="1399">
        <f ca="1">IF(D97&gt;=$J$5,0,((CONTADORES!BN93-CONTADORES!BN92)/1000))</f>
        <v>0</v>
      </c>
      <c r="BL97" s="1399">
        <f t="shared" ca="1" si="49"/>
        <v>1.4139999999999999</v>
      </c>
      <c r="BM97" s="1399">
        <f t="shared" ca="1" si="50"/>
        <v>1.4159999999999999</v>
      </c>
      <c r="BN97" s="1409">
        <f ca="1">IF(W97&gt;=$J$5,0,CONTADORES!$BO93)</f>
        <v>131.41925333267434</v>
      </c>
      <c r="BO97" s="1438">
        <f ca="1">IF(W97&gt;=$J$5,0,CONTADORES!$BP93)</f>
        <v>45.903739253079728</v>
      </c>
      <c r="BP97" s="1397">
        <f ca="1">IF(W97&gt;=$J$5,0,CONTADORES!$BQ93)</f>
        <v>667.66544093729215</v>
      </c>
      <c r="BQ97" s="1397">
        <f ca="1">IF(B97&gt;=$J$5,0,(CONTADORES!AS93-CONTADORES!AS92))</f>
        <v>4</v>
      </c>
      <c r="BR97" s="1397">
        <f ca="1">IF(B97&gt;=$J$5,0,(CONTADORES!AT93-CONTADORES!AT92))</f>
        <v>0</v>
      </c>
      <c r="BS97" s="1409">
        <f ca="1">IF(B97&gt;=$J$5,0,CONTADORES!BR93-CONTADORES!BR92)/1000</f>
        <v>1</v>
      </c>
      <c r="BT97" s="1438">
        <f ca="1">IF(B97&gt;=$J$5,0,CONTADORES!BS93-CONTADORES!BS92)</f>
        <v>1</v>
      </c>
      <c r="BU97" s="1438">
        <f ca="1">IF(B97&gt;=$J$5,0,CONTADORES!BT93-CONTADORES!BT92)</f>
        <v>9.7000000000007276</v>
      </c>
      <c r="BV97" s="1438">
        <f ca="1">IF(B97&gt;=$J$5,0,CONTADORES!BU93-CONTADORES!BU92)/1000</f>
        <v>3.637</v>
      </c>
      <c r="BW97" s="1438">
        <f ca="1">IF(B97&gt;=$J$5,0,CONTADORES!BV93-CONTADORES!BV92)/1000</f>
        <v>1E-3</v>
      </c>
      <c r="BX97" s="1438">
        <f ca="1">IF(B97&gt;=$J$5,0,CONTADORES!BW93-CONTADORES!BW92)</f>
        <v>14.100000000002183</v>
      </c>
      <c r="BY97" s="1438">
        <f ca="1">IF(B97&gt;=$J$5,0,CONTADORES!BX93-CONTADORES!BX92)/1000</f>
        <v>4.5709999999999997</v>
      </c>
      <c r="BZ97" s="1438">
        <f ca="1">IF(B97&gt;=$J$5,0,CONTADORES!BY93-CONTADORES!BY92)/1000</f>
        <v>1E-3</v>
      </c>
      <c r="CA97" s="1438">
        <f ca="1">IF(B97&gt;=$J$5,0,CONTADORES!BZ93-CONTADORES!BZ92)</f>
        <v>24</v>
      </c>
      <c r="CB97" s="1409">
        <f ca="1">IF(B97&gt;=$J$5,0,(CONTADORES!CC93-CONTADORES!CC92)+(CONTADORES!CE93-CONTADORES!CE92))/1000</f>
        <v>1.403</v>
      </c>
      <c r="CC97" s="1438">
        <f ca="1">IF(B97&gt;=$J$5,0,(CONTADORES!CD93-CONTADORES!CD92)+(CONTADORES!CF93-CONTADORES!CF92))/1000</f>
        <v>0.77800000000000002</v>
      </c>
      <c r="CD97" s="1409">
        <f ca="1">IF(B97&gt;=$J$5,0,CONTADORES!CA93-CONTADORES!CA92)</f>
        <v>5.5</v>
      </c>
      <c r="CE97" s="1438">
        <f ca="1">IF(B97&gt;=$J$5,0,CONTADORES!CB93-CONTADORES!CB92)</f>
        <v>3.7999999999992724</v>
      </c>
      <c r="CF97" s="1438">
        <f t="shared" ca="1" si="51"/>
        <v>11.245999999999455</v>
      </c>
      <c r="CG97" s="1438">
        <f t="shared" ca="1" si="52"/>
        <v>6.4879999999996825</v>
      </c>
      <c r="CH97" s="1438">
        <f t="shared" ca="1" si="53"/>
        <v>5.7459999999994542</v>
      </c>
      <c r="CI97" s="1438">
        <f t="shared" ca="1" si="54"/>
        <v>1.1987999999998544</v>
      </c>
      <c r="CJ97" s="1438">
        <f t="shared" ca="1" si="55"/>
        <v>5.7459999999994542</v>
      </c>
      <c r="CK97" s="1438">
        <f t="shared" ca="1" si="56"/>
        <v>1.7981999999997818</v>
      </c>
      <c r="CL97" s="1438">
        <f t="shared" ca="1" si="57"/>
        <v>2.6017999999998542</v>
      </c>
      <c r="CM97" s="1438">
        <f t="shared" ca="1" si="58"/>
        <v>2.6880000000004101</v>
      </c>
      <c r="CN97" s="1438">
        <f ca="1">IF(B97&gt;=$J$5,0,CONTADORES!CB93-CONTADORES!CB92)</f>
        <v>3.7999999999992724</v>
      </c>
      <c r="CO97" s="1438">
        <f t="shared" ca="1" si="59"/>
        <v>2.6880000000004101</v>
      </c>
      <c r="CP97" s="1438">
        <f t="shared" ca="1" si="60"/>
        <v>0.51099999999986356</v>
      </c>
      <c r="CQ97" s="1438">
        <f t="shared" ca="1" si="61"/>
        <v>0.51099999999986356</v>
      </c>
      <c r="CR97" s="1438">
        <f t="shared" ca="1" si="62"/>
        <v>1.2889999999998636</v>
      </c>
      <c r="CS97" s="1439">
        <f ca="1">IF($B97&gt;=$J$5,0,CONTADORES!$BI93)</f>
        <v>9268.6622886526293</v>
      </c>
      <c r="CT97" s="1334">
        <f>CONTADORES!E93</f>
        <v>0</v>
      </c>
      <c r="CU97" s="1334">
        <f>CONTADORES!CG93</f>
        <v>0.4</v>
      </c>
    </row>
    <row r="98" spans="2:99">
      <c r="B98" s="390">
        <v>45014</v>
      </c>
      <c r="C98" s="198">
        <f t="shared" ca="1" si="35"/>
        <v>295</v>
      </c>
      <c r="D98" s="196">
        <f ca="1">'CALCULO DE GAS'!D100</f>
        <v>4.8819464999999997</v>
      </c>
      <c r="E98" s="196">
        <f ca="1">IF(B98&gt;=$J$5,0,(CONTADORES!$AD94-CONTADORES!$AD93)-$H98)</f>
        <v>24</v>
      </c>
      <c r="F98" s="198">
        <f t="shared" ca="1" si="64"/>
        <v>0</v>
      </c>
      <c r="G98" s="196">
        <f ca="1">IF(B98&gt;=$J$5,0,CONTADORES!$AF94-CONTADORES!$AF93)</f>
        <v>0</v>
      </c>
      <c r="H98" s="1396">
        <f ca="1">IF(G98&gt;0,CONTADORES!$AE94-CONTADORES!$AE93,0)</f>
        <v>0</v>
      </c>
      <c r="I98" s="199">
        <f ca="1">IF(B98&gt;=$J$5,0,CONTADORES!$AB94-CONTADORES!$AB93)</f>
        <v>295</v>
      </c>
      <c r="J98" s="198">
        <f t="shared" ca="1" si="36"/>
        <v>151</v>
      </c>
      <c r="K98" s="196">
        <f ca="1">'CALCULO DE GAS'!E100</f>
        <v>3.70768216084788</v>
      </c>
      <c r="L98" s="1396">
        <f ca="1">IF(B98&gt;=$J$5,0,(CONTADORES!$Y94-CONTADORES!$Y93)-$O98)</f>
        <v>24</v>
      </c>
      <c r="M98" s="1396">
        <f t="shared" ca="1" si="63"/>
        <v>0</v>
      </c>
      <c r="N98" s="1396">
        <f ca="1">IF(B98&gt;=$J$5,0,CONTADORES!$AA94-CONTADORES!$AA93)</f>
        <v>0</v>
      </c>
      <c r="O98" s="1396">
        <f ca="1">IF(N98&gt;0,CONTADORES!$Z94-CONTADORES!$Z93,0)</f>
        <v>0</v>
      </c>
      <c r="P98" s="202">
        <f ca="1">IF(B98&gt;=$J$5,0,CONTADORES!$W94-CONTADORES!$W93)</f>
        <v>151</v>
      </c>
      <c r="Q98" s="202">
        <f ca="1">IF(B98&gt;=$J$5,0,CONTADORES!$B94-CONTADORES!$B93)</f>
        <v>0</v>
      </c>
      <c r="R98" s="196">
        <f t="shared" ca="1" si="37"/>
        <v>0</v>
      </c>
      <c r="S98" s="11">
        <f ca="1">IF(B98&gt;=$J$5,0,CONTADORES!$D94-CONTADORES!$D93)</f>
        <v>0</v>
      </c>
      <c r="T98" s="198">
        <f ca="1">IF(B98&gt;=$J$5,0,CONTADORES!$BB94-CONTADORES!$BB93)</f>
        <v>0</v>
      </c>
      <c r="U98" s="196">
        <f t="shared" ca="1" si="38"/>
        <v>0</v>
      </c>
      <c r="V98" s="199">
        <f ca="1">IF(B98&gt;=$J$5,0,CONTADORES!$BD94-CONTADORES!$BD93)</f>
        <v>0</v>
      </c>
      <c r="W98" s="1397">
        <f t="shared" ca="1" si="39"/>
        <v>446</v>
      </c>
      <c r="X98" s="1397">
        <f t="shared" ca="1" si="40"/>
        <v>0</v>
      </c>
      <c r="Y98" s="1398">
        <f t="shared" ca="1" si="41"/>
        <v>446</v>
      </c>
      <c r="Z98" s="1398">
        <f t="shared" ca="1" si="42"/>
        <v>8.5896286608478789</v>
      </c>
      <c r="AA98" s="1398">
        <f t="shared" ca="1" si="43"/>
        <v>0</v>
      </c>
      <c r="AB98" s="1398">
        <f t="shared" ca="1" si="44"/>
        <v>48</v>
      </c>
      <c r="AC98" s="1397">
        <f t="shared" ca="1" si="45"/>
        <v>0</v>
      </c>
      <c r="AD98" s="1397">
        <f ca="1">IF(B98&gt;=$J$5,0,CONTADORES!H94-CONTADORES!H93)</f>
        <v>163</v>
      </c>
      <c r="AE98" s="1397">
        <f ca="1">IF(B98&gt;=$J$5,0,CONTADORES!J94-CONTADORES!J93)</f>
        <v>24</v>
      </c>
      <c r="AF98" s="1397">
        <f ca="1">IF(B98&gt;=$J$5,0,CONTADORES!AU94-CONTADORES!AU93)</f>
        <v>148</v>
      </c>
      <c r="AG98" s="1397">
        <f ca="1">IF(B98&gt;=$J$5,0,CONTADORES!AW94-CONTADORES!AW93)</f>
        <v>24</v>
      </c>
      <c r="AH98" s="1397">
        <f ca="1">IF(B98&gt;=$J$5,0,(CONTADORES!AM94-CONTADORES!AM93)+(CONTADORES!M94-CONTADORES!M93))</f>
        <v>9</v>
      </c>
      <c r="AI98" s="1397">
        <f ca="1">IF(B98&gt;=$J$5,0,(CONTADORES!AK94-CONTADORES!AK93)+(CONTADORES!O94-CONTADORES!O93))</f>
        <v>40</v>
      </c>
      <c r="AJ98" s="1397">
        <f ca="1">IF(B98&gt;=$J$5,0,(CONTADORES!AI94-CONTADORES!AI93))</f>
        <v>7.5999999999912689</v>
      </c>
      <c r="AK98" s="1397">
        <f ca="1">IF(B98&gt;=$J$5,0,(CONTADORES!Q94-CONTADORES!Q93))</f>
        <v>14</v>
      </c>
      <c r="AL98" s="1397">
        <f t="shared" ca="1" si="46"/>
        <v>36.000000000007333</v>
      </c>
      <c r="AM98" s="1397">
        <f ca="1">IF(B98&gt;=$J$5,0,(((CONTADORES!F94-CONTADORES!F93)+(CONTADORES!AQ94-CONTADORES!AQ93))))-BS98-AF98-AN98-BV98-BY98-CD98-CB98</f>
        <v>10.322000000002546</v>
      </c>
      <c r="AN98" s="1397">
        <f ca="1">IF(B98&gt;=$J$5,0,(CONTADORES!AX94-CONTADORES!AX93)+(CONTADORES!AZ94-CONTADORES!AZ93)+(CONTADORES!BE94-CONTADORES!BE93))-CB98</f>
        <v>3.231000000000364</v>
      </c>
      <c r="AO98" s="1437">
        <f ca="1">IF(B98&gt;=$J$5,0,(CONTADORES!AC94-CONTADORES!AC93))</f>
        <v>149</v>
      </c>
      <c r="AP98" s="1437">
        <f ca="1">IF(B98&gt;=$J$5,0,(CONTADORES!X94-CONTADORES!X93))</f>
        <v>79</v>
      </c>
      <c r="AQ98" s="1404">
        <f ca="1">IF(B98&gt;=$J$5,0,(CONTADORES!C94-CONTADORES!C93))</f>
        <v>0</v>
      </c>
      <c r="AR98" s="1399">
        <f ca="1">IF(B98&gt;=$J$5,0,(CONTADORES!BC94-CONTADORES!BC93))</f>
        <v>0</v>
      </c>
      <c r="AS98" s="1397">
        <f ca="1">IF(B98&gt;=$J$5,0,CONTADORES!S94-CONTADORES!S93)</f>
        <v>16</v>
      </c>
      <c r="AT98" s="1397">
        <f ca="1">IF(B98&gt;=$J$5,0,(CONTADORES!U94-CONTADORES!U93)+(CONTADORES!AG94-CONTADORES!AG93))</f>
        <v>2.5</v>
      </c>
      <c r="AU98" s="1409">
        <f>CONTADORES!I94-CONTADORES!I93</f>
        <v>83</v>
      </c>
      <c r="AV98" s="1438">
        <f>CONTADORES!AV94-CONTADORES!AV93</f>
        <v>63</v>
      </c>
      <c r="AW98" s="1438">
        <f ca="1">IF(B98&gt;=$J$5,0,(CONTADORES!N94-CONTADORES!N93)+(CONTADORES!AN94-CONTADORES!AN93))</f>
        <v>3.5</v>
      </c>
      <c r="AX98" s="1438">
        <f ca="1">IF(B98&gt;=$J$5,0,(CONTADORES!P94-CONTADORES!P93)+(CONTADORES!AL94-CONTADORES!AL93))</f>
        <v>32.5</v>
      </c>
      <c r="AY98" s="1438">
        <f ca="1">IF(B98&gt;=$J$5,0,(CONTADORES!AJ94-CONTADORES!AJ93))</f>
        <v>5.9000000000014552</v>
      </c>
      <c r="AZ98" s="1438">
        <f ca="1">IF(B98&gt;=$J$5,0,(CONTADORES!R94-CONTADORES!R93))</f>
        <v>12</v>
      </c>
      <c r="BA98" s="1397">
        <f t="shared" ca="1" si="47"/>
        <v>9.8539999999985071</v>
      </c>
      <c r="BB98" s="1397">
        <f ca="1">IF(B98&gt;=$J$5,0,(((CONTADORES!G94-CONTADORES!G93)+(CONTADORES!AR94-CONTADORES!AR93))))-AV98-BC98-BT98-BW98-BZ98-CE98</f>
        <v>10.73699999999943</v>
      </c>
      <c r="BC98" s="1397">
        <f ca="1">IF(B98&gt;=$J$5,0,(CONTADORES!AY94-CONTADORES!AY93)+(CONTADORES!BA94-CONTADORES!BA93)+(CONTADORES!BF94-CONTADORES!BF93))-CC98</f>
        <v>0.85400000000002274</v>
      </c>
      <c r="BD98" s="1397">
        <f t="shared" ca="1" si="48"/>
        <v>228</v>
      </c>
      <c r="BE98" s="1409">
        <f ca="1">IF($B98&gt;=$J$5,0,CONTADORES!$BG94)</f>
        <v>6288.3899999999994</v>
      </c>
      <c r="BF98" s="1438">
        <f ca="1">IF($B98&gt;=$J$5,0,CONTADORES!$BH94)</f>
        <v>32111.591228070174</v>
      </c>
      <c r="BG98" s="1397">
        <f ca="1">IF($B98&gt;=$J$5,0,CONTADORES!$BJ94)</f>
        <v>5545.63</v>
      </c>
      <c r="BH98" s="1409">
        <f ca="1">IF(B98&gt;=$J$5,0,((CONTADORES!BK94-CONTADORES!BK93)/1000))</f>
        <v>1.44</v>
      </c>
      <c r="BI98" s="1409">
        <f ca="1">IF(C98&gt;=$J$5,0,((CONTADORES!BL94-CONTADORES!BL93)/1000))</f>
        <v>1.415</v>
      </c>
      <c r="BJ98" s="1399">
        <f ca="1">IF(C98&gt;=$J$5,0,((CONTADORES!BM94-CONTADORES!BM93)/1000))</f>
        <v>0</v>
      </c>
      <c r="BK98" s="1399">
        <f ca="1">IF(D98&gt;=$J$5,0,((CONTADORES!BN94-CONTADORES!BN93)/1000))</f>
        <v>0</v>
      </c>
      <c r="BL98" s="1399">
        <f t="shared" ca="1" si="49"/>
        <v>1.44</v>
      </c>
      <c r="BM98" s="1399">
        <f t="shared" ca="1" si="50"/>
        <v>1.415</v>
      </c>
      <c r="BN98" s="1409">
        <f ca="1">IF(W98&gt;=$J$5,0,CONTADORES!$BO94)</f>
        <v>130.91554604109632</v>
      </c>
      <c r="BO98" s="1438">
        <f ca="1">IF(W98&gt;=$J$5,0,CONTADORES!$BP94)</f>
        <v>45.878862287135149</v>
      </c>
      <c r="BP98" s="1397">
        <f ca="1">IF(W98&gt;=$J$5,0,CONTADORES!$BQ94)</f>
        <v>666.91458466298593</v>
      </c>
      <c r="BQ98" s="1397">
        <f ca="1">IF(B98&gt;=$J$5,0,(CONTADORES!AS94-CONTADORES!AS93))</f>
        <v>5</v>
      </c>
      <c r="BR98" s="1397">
        <f ca="1">IF(B98&gt;=$J$5,0,(CONTADORES!AT94-CONTADORES!AT93))</f>
        <v>0</v>
      </c>
      <c r="BS98" s="1409">
        <f ca="1">IF(B98&gt;=$J$5,0,CONTADORES!BR94-CONTADORES!BR93)/1000</f>
        <v>3</v>
      </c>
      <c r="BT98" s="1438">
        <f ca="1">IF(B98&gt;=$J$5,0,CONTADORES!BS94-CONTADORES!BS93)</f>
        <v>1</v>
      </c>
      <c r="BU98" s="1438">
        <f ca="1">IF(B98&gt;=$J$5,0,CONTADORES!BT94-CONTADORES!BT93)</f>
        <v>23.799999999999272</v>
      </c>
      <c r="BV98" s="1438">
        <f ca="1">IF(B98&gt;=$J$5,0,CONTADORES!BU94-CONTADORES!BU93)/1000</f>
        <v>0.151</v>
      </c>
      <c r="BW98" s="1438">
        <f ca="1">IF(B98&gt;=$J$5,0,CONTADORES!BV94-CONTADORES!BV93)/1000</f>
        <v>1E-3</v>
      </c>
      <c r="BX98" s="1438">
        <f ca="1">IF(B98&gt;=$J$5,0,CONTADORES!BW94-CONTADORES!BW93)</f>
        <v>1.2000000000007276</v>
      </c>
      <c r="BY98" s="1438">
        <f ca="1">IF(B98&gt;=$J$5,0,CONTADORES!BX94-CONTADORES!BX93)/1000</f>
        <v>4.7270000000000003</v>
      </c>
      <c r="BZ98" s="1438">
        <f ca="1">IF(B98&gt;=$J$5,0,CONTADORES!BY94-CONTADORES!BY93)/1000</f>
        <v>1.008</v>
      </c>
      <c r="CA98" s="1438">
        <f ca="1">IF(B98&gt;=$J$5,0,CONTADORES!BZ94-CONTADORES!BZ93)</f>
        <v>24</v>
      </c>
      <c r="CB98" s="1409">
        <f ca="1">IF(B98&gt;=$J$5,0,(CONTADORES!CC94-CONTADORES!CC93)+(CONTADORES!CE94-CONTADORES!CE93))/1000</f>
        <v>1.369</v>
      </c>
      <c r="CC98" s="1438">
        <f ca="1">IF(B98&gt;=$J$5,0,(CONTADORES!CD94-CONTADORES!CD93)+(CONTADORES!CF94-CONTADORES!CF93))/1000</f>
        <v>0.746</v>
      </c>
      <c r="CD98" s="1409">
        <f ca="1">IF(B98&gt;=$J$5,0,CONTADORES!CA94-CONTADORES!CA93)</f>
        <v>5.5999999999985448</v>
      </c>
      <c r="CE98" s="1438">
        <f ca="1">IF(B98&gt;=$J$5,0,CONTADORES!CB94-CONTADORES!CB93)</f>
        <v>3.9000000000005457</v>
      </c>
      <c r="CF98" s="1438">
        <f t="shared" ca="1" si="51"/>
        <v>10.760999999999818</v>
      </c>
      <c r="CG98" s="1438">
        <f t="shared" ca="1" si="52"/>
        <v>9.2685000000002606</v>
      </c>
      <c r="CH98" s="1438">
        <f t="shared" ca="1" si="53"/>
        <v>5.1610000000012732</v>
      </c>
      <c r="CI98" s="1438">
        <f t="shared" ca="1" si="54"/>
        <v>1.2924000000001457</v>
      </c>
      <c r="CJ98" s="1438">
        <f t="shared" ca="1" si="55"/>
        <v>5.1610000000012732</v>
      </c>
      <c r="CK98" s="1438">
        <f t="shared" ca="1" si="56"/>
        <v>1.9386000000002184</v>
      </c>
      <c r="CL98" s="1438">
        <f t="shared" ca="1" si="57"/>
        <v>2.6614000000001456</v>
      </c>
      <c r="CM98" s="1438">
        <f t="shared" ca="1" si="58"/>
        <v>5.3684999999997149</v>
      </c>
      <c r="CN98" s="1438">
        <f ca="1">IF(B98&gt;=$J$5,0,CONTADORES!CB94-CONTADORES!CB93)</f>
        <v>3.9000000000005457</v>
      </c>
      <c r="CO98" s="1438">
        <f t="shared" ca="1" si="59"/>
        <v>5.3684999999997149</v>
      </c>
      <c r="CP98" s="1438">
        <f t="shared" ca="1" si="60"/>
        <v>0.42700000000001137</v>
      </c>
      <c r="CQ98" s="1438">
        <f t="shared" ca="1" si="61"/>
        <v>0.42700000000001137</v>
      </c>
      <c r="CR98" s="1438">
        <f t="shared" ca="1" si="62"/>
        <v>1.1730000000000114</v>
      </c>
      <c r="CS98" s="1439">
        <f ca="1">IF($B98&gt;=$J$5,0,CONTADORES!$BI94)</f>
        <v>9090.9585129200768</v>
      </c>
      <c r="CT98" s="1334">
        <f>CONTADORES!E94</f>
        <v>0</v>
      </c>
      <c r="CU98" s="1334">
        <f>CONTADORES!CG94</f>
        <v>0</v>
      </c>
    </row>
    <row r="99" spans="2:99">
      <c r="B99" s="390">
        <v>45015</v>
      </c>
      <c r="C99" s="198">
        <f t="shared" ca="1" si="35"/>
        <v>285</v>
      </c>
      <c r="D99" s="196">
        <f ca="1">'CALCULO DE GAS'!D101</f>
        <v>4.8004003653366585</v>
      </c>
      <c r="E99" s="196">
        <f ca="1">IF(B99&gt;=$J$5,0,(CONTADORES!$AD95-CONTADORES!$AD94)-$H99)</f>
        <v>24</v>
      </c>
      <c r="F99" s="198">
        <f t="shared" ca="1" si="64"/>
        <v>0</v>
      </c>
      <c r="G99" s="196">
        <f ca="1">IF(B99&gt;=$J$5,0,CONTADORES!$AF95-CONTADORES!$AF94)</f>
        <v>0</v>
      </c>
      <c r="H99" s="1396">
        <f ca="1">IF(G99&gt;0,CONTADORES!$AE95-CONTADORES!$AE94,0)</f>
        <v>0</v>
      </c>
      <c r="I99" s="199">
        <f ca="1">IF(B99&gt;=$J$5,0,CONTADORES!$AB95-CONTADORES!$AB94)</f>
        <v>285</v>
      </c>
      <c r="J99" s="198">
        <f t="shared" ca="1" si="36"/>
        <v>145.79999999999927</v>
      </c>
      <c r="K99" s="196">
        <f ca="1">'CALCULO DE GAS'!E101</f>
        <v>3.6652781708229365</v>
      </c>
      <c r="L99" s="1396">
        <f ca="1">IF(B99&gt;=$J$5,0,(CONTADORES!$Y95-CONTADORES!$Y94)-$O99)</f>
        <v>24</v>
      </c>
      <c r="M99" s="1396">
        <f t="shared" ca="1" si="63"/>
        <v>0</v>
      </c>
      <c r="N99" s="1396">
        <f ca="1">IF(B99&gt;=$J$5,0,CONTADORES!$AA95-CONTADORES!$AA94)</f>
        <v>0</v>
      </c>
      <c r="O99" s="1396">
        <f ca="1">IF(N99&gt;0,CONTADORES!$Z95-CONTADORES!$Z94,0)</f>
        <v>0</v>
      </c>
      <c r="P99" s="202">
        <f ca="1">IF(B99&gt;=$J$5,0,CONTADORES!$W95-CONTADORES!$W94)</f>
        <v>145.79999999999927</v>
      </c>
      <c r="Q99" s="202">
        <f ca="1">IF(B99&gt;=$J$5,0,CONTADORES!$B95-CONTADORES!$B94)</f>
        <v>0</v>
      </c>
      <c r="R99" s="196">
        <f t="shared" ca="1" si="37"/>
        <v>0</v>
      </c>
      <c r="S99" s="11">
        <f ca="1">IF(B99&gt;=$J$5,0,CONTADORES!$D95-CONTADORES!$D94)</f>
        <v>0</v>
      </c>
      <c r="T99" s="198">
        <f ca="1">IF(B99&gt;=$J$5,0,CONTADORES!$BB95-CONTADORES!$BB94)</f>
        <v>0</v>
      </c>
      <c r="U99" s="196">
        <f t="shared" ca="1" si="38"/>
        <v>0</v>
      </c>
      <c r="V99" s="199">
        <f ca="1">IF(B99&gt;=$J$5,0,CONTADORES!$BD95-CONTADORES!$BD94)</f>
        <v>0</v>
      </c>
      <c r="W99" s="1397">
        <f t="shared" ca="1" si="39"/>
        <v>430.79999999999927</v>
      </c>
      <c r="X99" s="1397">
        <f t="shared" ca="1" si="40"/>
        <v>0</v>
      </c>
      <c r="Y99" s="1398">
        <f t="shared" ca="1" si="41"/>
        <v>430.79999999999927</v>
      </c>
      <c r="Z99" s="1398">
        <f t="shared" ca="1" si="42"/>
        <v>8.4656785361595954</v>
      </c>
      <c r="AA99" s="1398">
        <f t="shared" ca="1" si="43"/>
        <v>0</v>
      </c>
      <c r="AB99" s="1398">
        <f t="shared" ca="1" si="44"/>
        <v>48</v>
      </c>
      <c r="AC99" s="1397">
        <f t="shared" ca="1" si="45"/>
        <v>0</v>
      </c>
      <c r="AD99" s="1397">
        <f ca="1">IF(B99&gt;=$J$5,0,CONTADORES!H95-CONTADORES!H94)</f>
        <v>160</v>
      </c>
      <c r="AE99" s="1397">
        <f ca="1">IF(B99&gt;=$J$5,0,CONTADORES!J95-CONTADORES!J94)</f>
        <v>24</v>
      </c>
      <c r="AF99" s="1397">
        <f ca="1">IF(B99&gt;=$J$5,0,CONTADORES!AU95-CONTADORES!AU94)</f>
        <v>146</v>
      </c>
      <c r="AG99" s="1397">
        <f ca="1">IF(B99&gt;=$J$5,0,CONTADORES!AW95-CONTADORES!AW94)</f>
        <v>24</v>
      </c>
      <c r="AH99" s="1397">
        <f ca="1">IF(B99&gt;=$J$5,0,(CONTADORES!AM95-CONTADORES!AM94)+(CONTADORES!M95-CONTADORES!M94))</f>
        <v>0.69999999999708962</v>
      </c>
      <c r="AI99" s="1397">
        <f ca="1">IF(B99&gt;=$J$5,0,(CONTADORES!AK95-CONTADORES!AK94)+(CONTADORES!O95-CONTADORES!O94))</f>
        <v>39.299999999995634</v>
      </c>
      <c r="AJ99" s="1397">
        <f ca="1">IF(B99&gt;=$J$5,0,(CONTADORES!AI95-CONTADORES!AI94))</f>
        <v>7.9000000000087311</v>
      </c>
      <c r="AK99" s="1397">
        <f ca="1">IF(B99&gt;=$J$5,0,(CONTADORES!Q95-CONTADORES!Q94))</f>
        <v>13</v>
      </c>
      <c r="AL99" s="1397">
        <f t="shared" ca="1" si="46"/>
        <v>35.39999999999776</v>
      </c>
      <c r="AM99" s="1397">
        <f ca="1">IF(B99&gt;=$J$5,0,(((CONTADORES!F95-CONTADORES!F94)+(CONTADORES!AQ95-CONTADORES!AQ94))))-BS99-AF99-AN99-BV99-BY99-CD99-CB99</f>
        <v>10.690999999998184</v>
      </c>
      <c r="AN99" s="1397">
        <f ca="1">IF(B99&gt;=$J$5,0,(CONTADORES!AX95-CONTADORES!AX94)+(CONTADORES!AZ95-CONTADORES!AZ94)+(CONTADORES!BE95-CONTADORES!BE94))-CB99</f>
        <v>3.2220000000003637</v>
      </c>
      <c r="AO99" s="1437">
        <f ca="1">IF(B99&gt;=$J$5,0,(CONTADORES!AC95-CONTADORES!AC94))</f>
        <v>151</v>
      </c>
      <c r="AP99" s="1437">
        <f ca="1">IF(B99&gt;=$J$5,0,(CONTADORES!X95-CONTADORES!X94))</f>
        <v>75.200000000000728</v>
      </c>
      <c r="AQ99" s="1404">
        <f ca="1">IF(B99&gt;=$J$5,0,(CONTADORES!C95-CONTADORES!C94))</f>
        <v>0</v>
      </c>
      <c r="AR99" s="1399">
        <f ca="1">IF(B99&gt;=$J$5,0,(CONTADORES!BC95-CONTADORES!BC94))</f>
        <v>0</v>
      </c>
      <c r="AS99" s="1397">
        <f ca="1">IF(B99&gt;=$J$5,0,CONTADORES!S95-CONTADORES!S94)</f>
        <v>17</v>
      </c>
      <c r="AT99" s="1397">
        <f ca="1">IF(B99&gt;=$J$5,0,(CONTADORES!U95-CONTADORES!U94)+(CONTADORES!AG95-CONTADORES!AG94))</f>
        <v>2.0999999999985448</v>
      </c>
      <c r="AU99" s="1409">
        <f>CONTADORES!I95-CONTADORES!I94</f>
        <v>82</v>
      </c>
      <c r="AV99" s="1438">
        <f>CONTADORES!AV95-CONTADORES!AV94</f>
        <v>64</v>
      </c>
      <c r="AW99" s="1438">
        <f ca="1">IF(B99&gt;=$J$5,0,(CONTADORES!N95-CONTADORES!N94)+(CONTADORES!AN95-CONTADORES!AN94))</f>
        <v>0.2999999999992724</v>
      </c>
      <c r="AX99" s="1438">
        <f ca="1">IF(B99&gt;=$J$5,0,(CONTADORES!P95-CONTADORES!P94)+(CONTADORES!AL95-CONTADORES!AL94))</f>
        <v>31.799999999995634</v>
      </c>
      <c r="AY99" s="1438">
        <f ca="1">IF(B99&gt;=$J$5,0,(CONTADORES!AJ95-CONTADORES!AJ94))</f>
        <v>6</v>
      </c>
      <c r="AZ99" s="1438">
        <f ca="1">IF(B99&gt;=$J$5,0,(CONTADORES!R95-CONTADORES!R94))</f>
        <v>11</v>
      </c>
      <c r="BA99" s="1397">
        <f t="shared" ca="1" si="47"/>
        <v>12.549000000005606</v>
      </c>
      <c r="BB99" s="1397">
        <f ca="1">IF(B99&gt;=$J$5,0,(((CONTADORES!G95-CONTADORES!G94)+(CONTADORES!AR95-CONTADORES!AR94))))-AV99-BC99-BT99-BW99-BZ99-CE99</f>
        <v>11.113000000000547</v>
      </c>
      <c r="BC99" s="1397">
        <f ca="1">IF(B99&gt;=$J$5,0,(CONTADORES!AY95-CONTADORES!AY94)+(CONTADORES!BA95-CONTADORES!BA94)+(CONTADORES!BF95-CONTADORES!BF94))-CC99</f>
        <v>0.749</v>
      </c>
      <c r="BD99" s="1397">
        <f t="shared" ca="1" si="48"/>
        <v>226.20000000000073</v>
      </c>
      <c r="BE99" s="1409">
        <f ca="1">IF($B99&gt;=$J$5,0,CONTADORES!$BG95)</f>
        <v>6896.0999999999995</v>
      </c>
      <c r="BF99" s="1438">
        <f ca="1">IF($B99&gt;=$J$5,0,CONTADORES!$BH95)</f>
        <v>31859.249122807014</v>
      </c>
      <c r="BG99" s="1397">
        <f ca="1">IF($B99&gt;=$J$5,0,CONTADORES!$BJ95)</f>
        <v>4991.3900000000003</v>
      </c>
      <c r="BH99" s="1409">
        <f ca="1">IF(B99&gt;=$J$5,0,((CONTADORES!BK95-CONTADORES!BK94)/1000))</f>
        <v>1.4870000000000001</v>
      </c>
      <c r="BI99" s="1409">
        <f ca="1">IF(C99&gt;=$J$5,0,((CONTADORES!BL95-CONTADORES!BL94)/1000))</f>
        <v>1.401</v>
      </c>
      <c r="BJ99" s="1399">
        <f ca="1">IF(C99&gt;=$J$5,0,((CONTADORES!BM95-CONTADORES!BM94)/1000))</f>
        <v>0</v>
      </c>
      <c r="BK99" s="1399">
        <f ca="1">IF(D99&gt;=$J$5,0,((CONTADORES!BN95-CONTADORES!BN94)/1000))</f>
        <v>0</v>
      </c>
      <c r="BL99" s="1399">
        <f t="shared" ca="1" si="49"/>
        <v>1.4870000000000001</v>
      </c>
      <c r="BM99" s="1399">
        <f t="shared" ca="1" si="50"/>
        <v>1.401</v>
      </c>
      <c r="BN99" s="1409">
        <f ca="1">IF(W99&gt;=$J$5,0,CONTADORES!$BO95)</f>
        <v>130.763453116124</v>
      </c>
      <c r="BO99" s="1438">
        <f ca="1">IF(W99&gt;=$J$5,0,CONTADORES!$BP95)</f>
        <v>45.637235951879298</v>
      </c>
      <c r="BP99" s="1397">
        <f ca="1">IF(W99&gt;=$J$5,0,CONTADORES!$BQ95)</f>
        <v>664.73434461103102</v>
      </c>
      <c r="BQ99" s="1397">
        <f ca="1">IF(B99&gt;=$J$5,0,(CONTADORES!AS95-CONTADORES!AS94))</f>
        <v>5</v>
      </c>
      <c r="BR99" s="1397">
        <f ca="1">IF(B99&gt;=$J$5,0,(CONTADORES!AT95-CONTADORES!AT94))</f>
        <v>0</v>
      </c>
      <c r="BS99" s="1409">
        <f ca="1">IF(B99&gt;=$J$5,0,CONTADORES!BR95-CONTADORES!BR94)/1000</f>
        <v>2.952</v>
      </c>
      <c r="BT99" s="1438">
        <f ca="1">IF(B99&gt;=$J$5,0,CONTADORES!BS95-CONTADORES!BS94)</f>
        <v>1</v>
      </c>
      <c r="BU99" s="1438">
        <f ca="1">IF(B99&gt;=$J$5,0,CONTADORES!BT95-CONTADORES!BT94)</f>
        <v>24</v>
      </c>
      <c r="BV99" s="1438">
        <f ca="1">IF(B99&gt;=$J$5,0,CONTADORES!BU95-CONTADORES!BU94)/1000</f>
        <v>0</v>
      </c>
      <c r="BW99" s="1438">
        <f ca="1">IF(B99&gt;=$J$5,0,CONTADORES!BV95-CONTADORES!BV94)/1000</f>
        <v>0</v>
      </c>
      <c r="BX99" s="1438">
        <f ca="1">IF(B99&gt;=$J$5,0,CONTADORES!BW95-CONTADORES!BW94)</f>
        <v>0</v>
      </c>
      <c r="BY99" s="1438">
        <f ca="1">IF(B99&gt;=$J$5,0,CONTADORES!BX95-CONTADORES!BX94)/1000</f>
        <v>4.8570000000000002</v>
      </c>
      <c r="BZ99" s="1438">
        <f ca="1">IF(B99&gt;=$J$5,0,CONTADORES!BY95-CONTADORES!BY94)/1000</f>
        <v>1.038</v>
      </c>
      <c r="CA99" s="1438">
        <f ca="1">IF(B99&gt;=$J$5,0,CONTADORES!BZ95-CONTADORES!BZ94)</f>
        <v>24</v>
      </c>
      <c r="CB99" s="1409">
        <f ca="1">IF(B99&gt;=$J$5,0,(CONTADORES!CC95-CONTADORES!CC94)+(CONTADORES!CE95-CONTADORES!CE94))/1000</f>
        <v>1.3779999999999999</v>
      </c>
      <c r="CC99" s="1438">
        <f ca="1">IF(B99&gt;=$J$5,0,(CONTADORES!CD95-CONTADORES!CD94)+(CONTADORES!CF95-CONTADORES!CF94))/1000</f>
        <v>0.751</v>
      </c>
      <c r="CD99" s="1409">
        <f ca="1">IF(B99&gt;=$J$5,0,CONTADORES!CA95-CONTADORES!CA94)</f>
        <v>5.4000000000014552</v>
      </c>
      <c r="CE99" s="1438">
        <f ca="1">IF(B99&gt;=$J$5,0,CONTADORES!CB95-CONTADORES!CB94)</f>
        <v>3.8999999999996362</v>
      </c>
      <c r="CF99" s="1438">
        <f t="shared" ca="1" si="51"/>
        <v>10.745500000000547</v>
      </c>
      <c r="CG99" s="1438">
        <f t="shared" ca="1" si="52"/>
        <v>9.4564999999999095</v>
      </c>
      <c r="CH99" s="1438">
        <f t="shared" ca="1" si="53"/>
        <v>5.3454999999990918</v>
      </c>
      <c r="CI99" s="1438">
        <f t="shared" ca="1" si="54"/>
        <v>1.2888000000001456</v>
      </c>
      <c r="CJ99" s="1438">
        <f t="shared" ca="1" si="55"/>
        <v>5.3454999999990918</v>
      </c>
      <c r="CK99" s="1438">
        <f t="shared" ca="1" si="56"/>
        <v>1.9332000000002181</v>
      </c>
      <c r="CL99" s="1438">
        <f t="shared" ca="1" si="57"/>
        <v>2.6668000000001455</v>
      </c>
      <c r="CM99" s="1438">
        <f t="shared" ca="1" si="58"/>
        <v>5.5565000000002733</v>
      </c>
      <c r="CN99" s="1438">
        <f ca="1">IF(B99&gt;=$J$5,0,CONTADORES!CB95-CONTADORES!CB94)</f>
        <v>3.8999999999996362</v>
      </c>
      <c r="CO99" s="1438">
        <f t="shared" ca="1" si="59"/>
        <v>5.5565000000002733</v>
      </c>
      <c r="CP99" s="1438">
        <f t="shared" ca="1" si="60"/>
        <v>0.3745</v>
      </c>
      <c r="CQ99" s="1438">
        <f t="shared" ca="1" si="61"/>
        <v>0.3745</v>
      </c>
      <c r="CR99" s="1438">
        <f t="shared" ca="1" si="62"/>
        <v>1.1254999999999999</v>
      </c>
      <c r="CS99" s="1439">
        <f ca="1">IF($B99&gt;=$J$5,0,CONTADORES!$BI95)</f>
        <v>10402.764225489444</v>
      </c>
      <c r="CT99" s="1334">
        <f>CONTADORES!E95</f>
        <v>0</v>
      </c>
      <c r="CU99" s="1334">
        <f>CONTADORES!CG95</f>
        <v>0</v>
      </c>
    </row>
    <row r="100" spans="2:99" ht="15" thickBot="1">
      <c r="B100" s="1043">
        <v>45016</v>
      </c>
      <c r="C100" s="200">
        <f t="shared" ca="1" si="35"/>
        <v>310</v>
      </c>
      <c r="D100" s="197">
        <f ca="1">'CALCULO DE GAS'!D102</f>
        <v>5.0042657019950134</v>
      </c>
      <c r="E100" s="197">
        <f ca="1">IF(B100&gt;=$J$5,0,(CONTADORES!$AD96-CONTADORES!$AD95)-$H100)</f>
        <v>24</v>
      </c>
      <c r="F100" s="200">
        <f t="shared" ca="1" si="64"/>
        <v>0</v>
      </c>
      <c r="G100" s="197">
        <f ca="1">IF(B100&gt;=$J$5,0,CONTADORES!$AF96-CONTADORES!$AF95)</f>
        <v>0</v>
      </c>
      <c r="H100" s="1424">
        <f ca="1">IF(G100&gt;0,CONTADORES!$AE96-CONTADORES!$AE95,0)</f>
        <v>0</v>
      </c>
      <c r="I100" s="201">
        <f ca="1">IF(B100&gt;=$J$5,0,CONTADORES!$AB96-CONTADORES!$AB95)</f>
        <v>310</v>
      </c>
      <c r="J100" s="200">
        <f t="shared" ca="1" si="36"/>
        <v>148</v>
      </c>
      <c r="K100" s="197">
        <f ca="1">'CALCULO DE GAS'!E102</f>
        <v>3.6832183204488778</v>
      </c>
      <c r="L100" s="1424">
        <f ca="1">IF(B100&gt;=$J$5,0,(CONTADORES!$Y96-CONTADORES!$Y95)-$O100)</f>
        <v>24</v>
      </c>
      <c r="M100" s="1424">
        <f t="shared" ca="1" si="63"/>
        <v>0</v>
      </c>
      <c r="N100" s="1424">
        <f ca="1">IF(B100&gt;=$J$5,0,CONTADORES!$AA96-CONTADORES!$AA95)</f>
        <v>0</v>
      </c>
      <c r="O100" s="1424">
        <f ca="1">IF(N100&gt;0,CONTADORES!$Z96-CONTADORES!$Z95,0)</f>
        <v>0</v>
      </c>
      <c r="P100" s="203">
        <f ca="1">IF(B100&gt;=$J$5,0,CONTADORES!$W96-CONTADORES!$W95)</f>
        <v>148</v>
      </c>
      <c r="Q100" s="203">
        <f ca="1">IF(B100&gt;=$J$5,0,CONTADORES!$B96-CONTADORES!$B95)</f>
        <v>0</v>
      </c>
      <c r="R100" s="197">
        <f t="shared" ca="1" si="37"/>
        <v>0</v>
      </c>
      <c r="S100" s="64">
        <f ca="1">IF(B100&gt;=$J$5,0,CONTADORES!$D96-CONTADORES!$D95)</f>
        <v>0</v>
      </c>
      <c r="T100" s="203">
        <f ca="1">IF(B100&gt;=$J$5,0,CONTADORES!$BB96-CONTADORES!$BB95)</f>
        <v>0</v>
      </c>
      <c r="U100" s="197">
        <f t="shared" ca="1" si="38"/>
        <v>0</v>
      </c>
      <c r="V100" s="201">
        <f ca="1">IF(B100&gt;=$J$5,0,CONTADORES!$BD96-CONTADORES!$BD95)</f>
        <v>0</v>
      </c>
      <c r="W100" s="1425">
        <f t="shared" ca="1" si="39"/>
        <v>458</v>
      </c>
      <c r="X100" s="1425">
        <f t="shared" ca="1" si="40"/>
        <v>0</v>
      </c>
      <c r="Y100" s="1426">
        <f t="shared" ca="1" si="41"/>
        <v>458</v>
      </c>
      <c r="Z100" s="1426">
        <f t="shared" ca="1" si="42"/>
        <v>8.6874840224438916</v>
      </c>
      <c r="AA100" s="1426">
        <f t="shared" ca="1" si="43"/>
        <v>0</v>
      </c>
      <c r="AB100" s="1426">
        <f t="shared" ca="1" si="44"/>
        <v>48</v>
      </c>
      <c r="AC100" s="1426">
        <f t="shared" ca="1" si="45"/>
        <v>0</v>
      </c>
      <c r="AD100" s="1426">
        <f ca="1">IF(B100&gt;=$J$5,0,CONTADORES!H96-CONTADORES!H95)</f>
        <v>164</v>
      </c>
      <c r="AE100" s="1426">
        <f ca="1">IF(B100&gt;=$J$5,0,CONTADORES!J96-CONTADORES!J95)</f>
        <v>24</v>
      </c>
      <c r="AF100" s="1425">
        <f ca="1">IF(B100&gt;=$J$5,0,CONTADORES!AU96-CONTADORES!AU95)</f>
        <v>148</v>
      </c>
      <c r="AG100" s="1426">
        <f ca="1">IF(B100&gt;=$J$5,0,CONTADORES!AW96-CONTADORES!AW95)</f>
        <v>24</v>
      </c>
      <c r="AH100" s="1425">
        <f ca="1">IF(B100&gt;=$J$5,0,(CONTADORES!AM96-CONTADORES!AM95)+(CONTADORES!M96-CONTADORES!M95))</f>
        <v>16.80000000000291</v>
      </c>
      <c r="AI100" s="1425">
        <f ca="1">IF(B100&gt;=$J$5,0,(CONTADORES!AK96-CONTADORES!AK95)+(CONTADORES!O96-CONTADORES!O95))</f>
        <v>40</v>
      </c>
      <c r="AJ100" s="1425">
        <f ca="1">IF(B100&gt;=$J$5,0,(CONTADORES!AI96-CONTADORES!AI95))</f>
        <v>7.0999999999912689</v>
      </c>
      <c r="AK100" s="1766">
        <f ca="1">IF(B100&gt;=$J$5,0,(CONTADORES!Q96-CONTADORES!Q95))</f>
        <v>6.6000000000058208</v>
      </c>
      <c r="AL100" s="1397">
        <f t="shared" ca="1" si="46"/>
        <v>44.800000000002854</v>
      </c>
      <c r="AM100" s="1397">
        <f ca="1">IF(B100&gt;=$J$5,0,(((CONTADORES!F96-CONTADORES!F95)+(CONTADORES!AQ96-CONTADORES!AQ95))))-BS100-AF100-AN100-BV100-BY100-CD100-CB100</f>
        <v>12.624999999998717</v>
      </c>
      <c r="AN100" s="1397">
        <f ca="1">IF(B100&gt;=$J$5,0,(CONTADORES!AX96-CONTADORES!AX95)+(CONTADORES!AZ96-CONTADORES!AZ95)+(CONTADORES!BE96-CONTADORES!BE95))-CB100</f>
        <v>2.7729999999998181</v>
      </c>
      <c r="AO100" s="1427">
        <f ca="1">IF(B100&gt;=$J$5,0,(CONTADORES!AC96-CONTADORES!AC95))</f>
        <v>158</v>
      </c>
      <c r="AP100" s="1427">
        <f ca="1">IF(B100&gt;=$J$5,0,(CONTADORES!X96-CONTADORES!X95))</f>
        <v>77.899999999999636</v>
      </c>
      <c r="AQ100" s="1428">
        <f ca="1">IF(B100&gt;=$J$5,0,(CONTADORES!C96-CONTADORES!C95))</f>
        <v>0</v>
      </c>
      <c r="AR100" s="1428">
        <f ca="1">IF(B100&gt;=$J$5,0,(CONTADORES!BC96-CONTADORES!BC95))</f>
        <v>0</v>
      </c>
      <c r="AS100" s="1425">
        <f ca="1">IF(B100&gt;=$J$5,0,CONTADORES!S96-CONTADORES!S95)</f>
        <v>16</v>
      </c>
      <c r="AT100" s="1425">
        <f ca="1">IF(B100&gt;=$J$5,0,(CONTADORES!U96-CONTADORES!U95)+(CONTADORES!AG96-CONTADORES!AG95))</f>
        <v>2.5</v>
      </c>
      <c r="AU100" s="1426">
        <f>CONTADORES!I96-CONTADORES!I95</f>
        <v>84</v>
      </c>
      <c r="AV100" s="1425">
        <f>CONTADORES!AV96-CONTADORES!AV95</f>
        <v>64</v>
      </c>
      <c r="AW100" s="1425">
        <f ca="1">IF(B100&gt;=$J$5,0,(CONTADORES!N96-CONTADORES!N95)+(CONTADORES!AN96-CONTADORES!AN95))</f>
        <v>6.5999999999985448</v>
      </c>
      <c r="AX100" s="1425">
        <f ca="1">IF(B100&gt;=$J$5,0,(CONTADORES!P96-CONTADORES!P95)+(CONTADORES!AL96-CONTADORES!AL95))</f>
        <v>32.5</v>
      </c>
      <c r="AY100" s="1425">
        <f ca="1">IF(B100&gt;=$J$5,0,(CONTADORES!AJ96-CONTADORES!AJ95))</f>
        <v>5.4000000000014552</v>
      </c>
      <c r="AZ100" s="1425">
        <f ca="1">IF(B100&gt;=$J$5,0,(CONTADORES!R96-CONTADORES!R95))</f>
        <v>13.19999999999709</v>
      </c>
      <c r="BA100" s="1397">
        <f t="shared" ca="1" si="47"/>
        <v>11.628000000002373</v>
      </c>
      <c r="BB100" s="1445">
        <f ca="1">IF(B100&gt;=$J$5,0,(((CONTADORES!G96-CONTADORES!G95)+(CONTADORES!AR96-CONTADORES!AR95))))-AV100-BC100-BT100-BW100-BZ100-CE100</f>
        <v>11.386999999999794</v>
      </c>
      <c r="BC100" s="1426">
        <f ca="1">IF(B100&gt;=$J$5,0,(CONTADORES!AY96-CONTADORES!AY95)+(CONTADORES!BA96-CONTADORES!BA95)+(CONTADORES!BF96-CONTADORES!BF95))-CC100</f>
        <v>0.62800000000020462</v>
      </c>
      <c r="BD100" s="1425">
        <f t="shared" ca="1" si="48"/>
        <v>235.89999999999964</v>
      </c>
      <c r="BE100" s="1426">
        <f ca="1">IF($B100&gt;=$J$5,0,CONTADORES!$BG96)</f>
        <v>5744.58</v>
      </c>
      <c r="BF100" s="1425">
        <f ca="1">IF($B100&gt;=$J$5,0,CONTADORES!$BH96)</f>
        <v>31353.4762308998</v>
      </c>
      <c r="BG100" s="1425">
        <f ca="1">IF($B100&gt;=$J$5,0,CONTADORES!$BJ96)</f>
        <v>6173.96</v>
      </c>
      <c r="BH100" s="1425">
        <f ca="1">IF(B100&gt;=$J$5,0,((CONTADORES!BK96-CONTADORES!BK95)/1000))</f>
        <v>1.4039999999999999</v>
      </c>
      <c r="BI100" s="1425">
        <f ca="1">IF(C100&gt;=$J$5,0,((CONTADORES!BL96-CONTADORES!BL95)/1000))</f>
        <v>1.415</v>
      </c>
      <c r="BJ100" s="1425">
        <f ca="1">IF(C100&gt;=$J$5,0,((CONTADORES!BM96-CONTADORES!BM95)/1000))</f>
        <v>0</v>
      </c>
      <c r="BK100" s="1425">
        <f ca="1">IF(D100&gt;=$J$5,0,((CONTADORES!BN96-CONTADORES!BN95)/1000))</f>
        <v>0</v>
      </c>
      <c r="BL100" s="61">
        <f t="shared" ca="1" si="49"/>
        <v>1.4039999999999999</v>
      </c>
      <c r="BM100" s="1427">
        <f t="shared" ca="1" si="50"/>
        <v>1.415</v>
      </c>
      <c r="BN100" s="1426">
        <f ca="1">IF(W100&gt;=$J$5,0,CONTADORES!$BO96)</f>
        <v>130.412812715538</v>
      </c>
      <c r="BO100" s="1425">
        <f ca="1">IF(W100&gt;=$J$5,0,CONTADORES!$BP96)</f>
        <v>45.589890160538197</v>
      </c>
      <c r="BP100" s="1425">
        <f ca="1">IF(W100&gt;=$J$5,0,CONTADORES!$BQ96)</f>
        <v>664.95577543561501</v>
      </c>
      <c r="BQ100" s="1425">
        <f ca="1">IF(B100&gt;=$J$5,0,(CONTADORES!AS96-CONTADORES!AS95))</f>
        <v>4.9000000000014552</v>
      </c>
      <c r="BR100" s="1445">
        <f ca="1">IF(B100&gt;=$J$5,0,(CONTADORES!AT96-CONTADORES!AT95))</f>
        <v>0</v>
      </c>
      <c r="BS100" s="1409">
        <f ca="1">IF(B100&gt;=$J$5,0,CONTADORES!BR96-CONTADORES!BR95)/1000</f>
        <v>3.2160000000000002</v>
      </c>
      <c r="BT100" s="1425">
        <f ca="1">IF(B100&gt;=$J$5,0,CONTADORES!BS96-CONTADORES!BS95)</f>
        <v>1</v>
      </c>
      <c r="BU100" s="1425">
        <f ca="1">IF(B100&gt;=$J$5,0,CONTADORES!BT96-CONTADORES!BT95)</f>
        <v>24</v>
      </c>
      <c r="BV100" s="1425">
        <f ca="1">IF(B100&gt;=$J$5,0,CONTADORES!BU96-CONTADORES!BU95)/1000</f>
        <v>0</v>
      </c>
      <c r="BW100" s="1425">
        <f ca="1">IF(B100&gt;=$J$5,0,CONTADORES!BV96-CONTADORES!BV95)/1000</f>
        <v>0</v>
      </c>
      <c r="BX100" s="1425">
        <f ca="1">IF(B100&gt;=$J$5,0,CONTADORES!BW96-CONTADORES!BW95)</f>
        <v>0</v>
      </c>
      <c r="BY100" s="1425">
        <f ca="1">IF(B100&gt;=$J$5,0,CONTADORES!BX96-CONTADORES!BX95)/1000</f>
        <v>5.0590000000000002</v>
      </c>
      <c r="BZ100" s="1425">
        <f ca="1">IF(B100&gt;=$J$5,0,CONTADORES!BY96-CONTADORES!BY95)/1000</f>
        <v>0.98499999999999999</v>
      </c>
      <c r="CA100" s="1425">
        <f ca="1">IF(B100&gt;=$J$5,0,CONTADORES!BZ96-CONTADORES!BZ95)</f>
        <v>24</v>
      </c>
      <c r="CB100" s="1426">
        <f ca="1">IF(B100&gt;=$J$5,0,(CONTADORES!CC96-CONTADORES!CC95)+(CONTADORES!CE96-CONTADORES!CE95))/1000</f>
        <v>1.427</v>
      </c>
      <c r="CC100" s="1425">
        <f ca="1">IF(B100&gt;=$J$5,0,(CONTADORES!CD96-CONTADORES!CD95)+(CONTADORES!CF96-CONTADORES!CF95))/1000</f>
        <v>0.77200000000000002</v>
      </c>
      <c r="CD100" s="1426">
        <f ca="1">IF(B100&gt;=$J$5,0,CONTADORES!CA96-CONTADORES!CA95)</f>
        <v>5.5999999999985448</v>
      </c>
      <c r="CE100" s="1425">
        <f ca="1">IF(B100&gt;=$J$5,0,CONTADORES!CB96-CONTADORES!CB95)</f>
        <v>3.8000000000001819</v>
      </c>
      <c r="CF100" s="1425">
        <f t="shared" ca="1" si="51"/>
        <v>11.912499999997904</v>
      </c>
      <c r="CG100" s="1425">
        <f t="shared" ca="1" si="52"/>
        <v>9.4935000000000791</v>
      </c>
      <c r="CH100" s="1425">
        <f t="shared" ca="1" si="53"/>
        <v>6.3124999999993587</v>
      </c>
      <c r="CI100" s="1425">
        <f t="shared" ca="1" si="54"/>
        <v>1.1091999999999274</v>
      </c>
      <c r="CJ100" s="1425">
        <f t="shared" ca="1" si="55"/>
        <v>6.3124999999993587</v>
      </c>
      <c r="CK100" s="1425">
        <f t="shared" ca="1" si="56"/>
        <v>1.6637999999998907</v>
      </c>
      <c r="CL100" s="1425">
        <f t="shared" ca="1" si="57"/>
        <v>2.5361999999999272</v>
      </c>
      <c r="CM100" s="1425">
        <f t="shared" ca="1" si="58"/>
        <v>5.6934999999998972</v>
      </c>
      <c r="CN100" s="1425">
        <f ca="1">IF(B100&gt;=$J$5,0,CONTADORES!CB96-CONTADORES!CB95)</f>
        <v>3.8000000000001819</v>
      </c>
      <c r="CO100" s="1425">
        <f t="shared" ca="1" si="59"/>
        <v>5.6934999999998972</v>
      </c>
      <c r="CP100" s="1425">
        <f t="shared" ca="1" si="60"/>
        <v>0.31400000000010231</v>
      </c>
      <c r="CQ100" s="1425">
        <f t="shared" ca="1" si="61"/>
        <v>0.31400000000010231</v>
      </c>
      <c r="CR100" s="1425">
        <f t="shared" ca="1" si="62"/>
        <v>1.0860000000001024</v>
      </c>
      <c r="CS100" s="1430">
        <f ca="1">IF($B100&gt;=$J$5,0,CONTADORES!$BI96)</f>
        <v>8610.2825506172194</v>
      </c>
      <c r="CT100" s="1335">
        <f>CONTADORES!E96</f>
        <v>0</v>
      </c>
      <c r="CU100" s="1335">
        <f>CONTADORES!CG96</f>
        <v>0</v>
      </c>
    </row>
    <row r="101" spans="2:99">
      <c r="B101" s="390">
        <v>45017</v>
      </c>
      <c r="C101" s="198">
        <f t="shared" ca="1" si="35"/>
        <v>307</v>
      </c>
      <c r="D101" s="196">
        <f ca="1">'CALCULO DE GAS'!D106</f>
        <v>5.1077563100802248</v>
      </c>
      <c r="E101" s="196">
        <f ca="1">IF(B101&gt;=$J$5,0,(CONTADORES!$AD99-CONTADORES!$AD98)-$H101)</f>
        <v>24</v>
      </c>
      <c r="F101" s="198">
        <f t="shared" ca="1" si="64"/>
        <v>0</v>
      </c>
      <c r="G101" s="196">
        <f ca="1">IF(B101&gt;=$J$5,0,CONTADORES!$AF99-CONTADORES!$AF98)</f>
        <v>0</v>
      </c>
      <c r="H101" s="204">
        <f ca="1">IF(G101&gt;0,CONTADORES!$AE99-CONTADORES!$AE98,0)</f>
        <v>0</v>
      </c>
      <c r="I101" s="199">
        <f ca="1">IF(B101&gt;=$J$5,0,CONTADORES!$AB99-CONTADORES!$AB98)</f>
        <v>307</v>
      </c>
      <c r="J101" s="198">
        <f t="shared" ca="1" si="36"/>
        <v>147.20000000000073</v>
      </c>
      <c r="K101" s="196">
        <f ca="1">'CALCULO DE GAS'!E106</f>
        <v>3.7711661461458035</v>
      </c>
      <c r="L101" s="1396">
        <f ca="1">IF(B101&gt;=$J$5,0,(CONTADORES!$Y99-CONTADORES!$Y98)-$O101)</f>
        <v>24</v>
      </c>
      <c r="M101" s="1396">
        <f t="shared" ca="1" si="63"/>
        <v>0</v>
      </c>
      <c r="N101" s="1396">
        <f ca="1">IF(B101&gt;=$J$5,0,CONTADORES!$AA99-CONTADORES!$AA98)</f>
        <v>0</v>
      </c>
      <c r="O101" s="1396">
        <f ca="1">IF(N101&gt;0,CONTADORES!$Z99-CONTADORES!$Z98,0)</f>
        <v>0</v>
      </c>
      <c r="P101" s="202">
        <f ca="1">IF(B101&gt;=$J$5,0,CONTADORES!$W99-CONTADORES!$W98)</f>
        <v>147.20000000000073</v>
      </c>
      <c r="Q101" s="202">
        <f ca="1">IF(B101&gt;=$J$5,0,CONTADORES!$B99-CONTADORES!$B98)</f>
        <v>0</v>
      </c>
      <c r="R101" s="196">
        <f t="shared" ca="1" si="37"/>
        <v>0</v>
      </c>
      <c r="S101" s="11">
        <f ca="1">IF(B101&gt;=$J$5,0,CONTADORES!$D99-CONTADORES!$D98)</f>
        <v>0</v>
      </c>
      <c r="T101" s="198">
        <f ca="1">IF(B101&gt;=$J$5,0,CONTADORES!$BB99-CONTADORES!$BB98)</f>
        <v>0</v>
      </c>
      <c r="U101" s="196">
        <f t="shared" ref="U101:U164" ca="1" si="65">$T101*120</f>
        <v>0</v>
      </c>
      <c r="V101" s="199">
        <f ca="1">IF(B101&gt;=$J$5,0,CONTADORES!$BD99-CONTADORES!$BD98)</f>
        <v>0</v>
      </c>
      <c r="W101" s="1397">
        <f t="shared" ca="1" si="39"/>
        <v>454.20000000000073</v>
      </c>
      <c r="X101" s="1397">
        <f t="shared" ca="1" si="40"/>
        <v>0</v>
      </c>
      <c r="Y101" s="1398">
        <f t="shared" ca="1" si="41"/>
        <v>454.20000000000073</v>
      </c>
      <c r="Z101" s="1398">
        <f t="shared" ca="1" si="42"/>
        <v>8.8789224562260287</v>
      </c>
      <c r="AA101" s="1398">
        <f t="shared" ca="1" si="43"/>
        <v>0</v>
      </c>
      <c r="AB101" s="1398">
        <f t="shared" ca="1" si="44"/>
        <v>48</v>
      </c>
      <c r="AC101" s="1397">
        <f t="shared" ca="1" si="45"/>
        <v>0</v>
      </c>
      <c r="AD101" s="1397">
        <f ca="1">IF(B101&gt;=$J$5,0,CONTADORES!H99-CONTADORES!H98)</f>
        <v>166</v>
      </c>
      <c r="AE101" s="1397">
        <f ca="1">IF(B101&gt;=$J$5,0,CONTADORES!J99-CONTADORES!J98)</f>
        <v>24</v>
      </c>
      <c r="AF101" s="1397">
        <f ca="1">IF(B101&gt;=$J$5,0,CONTADORES!AU99-CONTADORES!AU98)</f>
        <v>153</v>
      </c>
      <c r="AG101" s="1397">
        <f ca="1">IF(B101&gt;=$J$5,0,CONTADORES!AW99-CONTADORES!AW98)</f>
        <v>24</v>
      </c>
      <c r="AH101" s="1434">
        <f ca="1">IF(B101&gt;=$J$5,0,(CONTADORES!AM99-CONTADORES!AM98)+(CONTADORES!M99-CONTADORES!M98))</f>
        <v>10.400000000001455</v>
      </c>
      <c r="AI101" s="1435">
        <f ca="1">IF(B101&gt;=$J$5,0,(CONTADORES!AK99-CONTADORES!AK98)+(CONTADORES!O99-CONTADORES!O98))</f>
        <v>39.100000000005821</v>
      </c>
      <c r="AJ101" s="1435">
        <f ca="1">IF(B101&gt;=$J$5,0,(CONTADORES!AI99-CONTADORES!AI98))</f>
        <v>7</v>
      </c>
      <c r="AK101" s="1767">
        <f ca="1">IF(B101&gt;=$J$5,0,(CONTADORES!Q99-CONTADORES!Q98))</f>
        <v>24.399999999994179</v>
      </c>
      <c r="AL101" s="1434">
        <f t="shared" ca="1" si="46"/>
        <v>24.499999999996362</v>
      </c>
      <c r="AM101" s="1434">
        <f ca="1">IF(B101&gt;=$J$5,0,(((CONTADORES!F99-CONTADORES!F98)+(CONTADORES!AQ99-CONTADORES!AQ98))))-BS101-AF101-AN101-BV101-BY101-CD101-CB101</f>
        <v>11.078000000002262</v>
      </c>
      <c r="AN101" s="1434">
        <f ca="1">IF(B101&gt;=$J$5,0,(CONTADORES!AX99-CONTADORES!AX98)+(CONTADORES!AZ99-CONTADORES!AZ98)+(CONTADORES!BE99-CONTADORES!BE98))-CB101</f>
        <v>2.7820000000006369</v>
      </c>
      <c r="AO101" s="1446">
        <f ca="1">IF(B101&gt;=$J$5,0,(CONTADORES!AC99-CONTADORES!AC98))</f>
        <v>165</v>
      </c>
      <c r="AP101" s="1446">
        <f ca="1">IF(B101&gt;=$J$5,0,(CONTADORES!X99-CONTADORES!X98))</f>
        <v>69.399999999999636</v>
      </c>
      <c r="AQ101" s="1404">
        <f ca="1">IF(B101&gt;=$J$5,0,(CONTADORES!C99-CONTADORES!C98))</f>
        <v>0</v>
      </c>
      <c r="AR101" s="1399">
        <f ca="1">IF(B101&gt;=$J$5,0,(CONTADORES!BC99-CONTADORES!BC98))</f>
        <v>0</v>
      </c>
      <c r="AS101" s="1397">
        <f ca="1">IF(B101&gt;=$J$5,0,CONTADORES!S99-CONTADORES!S98)</f>
        <v>15</v>
      </c>
      <c r="AT101" s="1397">
        <f ca="1">IF(B101&gt;=$J$5,0,(CONTADORES!U99-CONTADORES!U98)+(CONTADORES!AG99-CONTADORES!AG98))</f>
        <v>2.5999999999985448</v>
      </c>
      <c r="AU101" s="1434">
        <f>CONTADORES!I99-CONTADORES!I98</f>
        <v>84</v>
      </c>
      <c r="AV101" s="1435">
        <f>CONTADORES!AV99-CONTADORES!AV98</f>
        <v>67</v>
      </c>
      <c r="AW101" s="1435">
        <f ca="1">IF(B101&gt;=$J$5,0,(CONTADORES!N99-CONTADORES!N98)+(CONTADORES!AN99-CONTADORES!AN98))</f>
        <v>3.9000000000014552</v>
      </c>
      <c r="AX101" s="1435">
        <f ca="1">IF(B101&gt;=$J$5,0,(CONTADORES!P99-CONTADORES!P98)+(CONTADORES!AL99-CONTADORES!AL98))</f>
        <v>31.5</v>
      </c>
      <c r="AY101" s="1435">
        <f ca="1">IF(B101&gt;=$J$5,0,(CONTADORES!AJ99-CONTADORES!AJ98))</f>
        <v>5.2999999999956344</v>
      </c>
      <c r="AZ101" s="1435">
        <f ca="1">IF(B101&gt;=$J$5,0,(CONTADORES!R99-CONTADORES!R98))</f>
        <v>11.80000000000291</v>
      </c>
      <c r="BA101" s="1434">
        <f t="shared" ca="1" si="47"/>
        <v>13.328000000000344</v>
      </c>
      <c r="BB101" s="1434">
        <f ca="1">IF(B100&gt;=$J$5,0,(((CONTADORES!G99-CONTADORES!G98)+(CONTADORES!AR99-CONTADORES!AR98))))-AV101-BC101-BT101-BW101-BZ101-CE101</f>
        <v>10.125999999999728</v>
      </c>
      <c r="BC101" s="1435">
        <f ca="1">IF(B101&gt;=$J$5,0,(CONTADORES!AY99-CONTADORES!AY98)+(CONTADORES!BA99-CONTADORES!BA98)+(CONTADORES!BF99-CONTADORES!BF98))-CC101</f>
        <v>0.82799999999990903</v>
      </c>
      <c r="BD101" s="1397">
        <f t="shared" ca="1" si="48"/>
        <v>234.39999999999964</v>
      </c>
      <c r="BE101" s="1398">
        <f ca="1">IF($B101&gt;=$J$5,0,CONTADORES!$BG99)</f>
        <v>5823.93</v>
      </c>
      <c r="BF101" s="1397">
        <f ca="1">IF($B101&gt;=$J$5,0,CONTADORES!$BH99)</f>
        <v>32326.485964912299</v>
      </c>
      <c r="BG101" s="1397">
        <f ca="1">IF($B101&gt;=$J$5,0,CONTADORES!$BJ99)</f>
        <v>5572.87</v>
      </c>
      <c r="BH101" s="1434">
        <f ca="1">IF(B101&gt;=$J$5,0,((CONTADORES!BK99-CONTADORES!BK98)/1000))</f>
        <v>1.4330000000000001</v>
      </c>
      <c r="BI101" s="1434">
        <f ca="1">IF(C101&gt;=$J$5,0,((CONTADORES!BL99-CONTADORES!BL98)/1000))</f>
        <v>1.413</v>
      </c>
      <c r="BJ101" s="1434">
        <f ca="1">IF(C101&gt;=$J$5,0,((CONTADORES!BM99-CONTADORES!BM98)/1000))</f>
        <v>0</v>
      </c>
      <c r="BK101" s="1434">
        <f ca="1">IF(D101&gt;=$J$5,0,((CONTADORES!BN99-CONTADORES!BN98)/1000))</f>
        <v>0</v>
      </c>
      <c r="BL101" s="1399">
        <f t="shared" ca="1" si="49"/>
        <v>1.4330000000000001</v>
      </c>
      <c r="BM101" s="1399">
        <f t="shared" ca="1" si="50"/>
        <v>1.413</v>
      </c>
      <c r="BN101" s="1398">
        <f ca="1">IF(W101&gt;=$J$5,0,CONTADORES!$BO99)</f>
        <v>130.32623534070501</v>
      </c>
      <c r="BO101" s="1397">
        <f ca="1">IF(W101&gt;=$J$5,0,CONTADORES!$BP99)</f>
        <v>45.645950755511997</v>
      </c>
      <c r="BP101" s="1397">
        <f ca="1">IF(W101&gt;=$J$5,0,CONTADORES!$BQ99)</f>
        <v>662.71155775227101</v>
      </c>
      <c r="BQ101" s="1397">
        <f ca="1">IF(B101&gt;=$J$5,0,(CONTADORES!AS99-CONTADORES!AS98))</f>
        <v>4.5</v>
      </c>
      <c r="BR101" s="1434">
        <f ca="1">IF(C101&gt;=$J$5,0,(CONTADORES!AT99-CONTADORES!AT98))</f>
        <v>0</v>
      </c>
      <c r="BS101" s="1434">
        <f ca="1">IF(B101&gt;=$J$5,0,CONTADORES!BR99-CONTADORES!BR98)/1000</f>
        <v>3.3359999999999999</v>
      </c>
      <c r="BT101" s="1435">
        <f ca="1">IF(B101&gt;=$J$5,0,CONTADORES!BS99-CONTADORES!BS98)</f>
        <v>1</v>
      </c>
      <c r="BU101" s="1435">
        <f ca="1">IF(B101&gt;=$J$5,0,CONTADORES!BT99-CONTADORES!BT98)</f>
        <v>24</v>
      </c>
      <c r="BV101" s="1435">
        <f ca="1">IF(B101&gt;=$J$5,0,CONTADORES!BU99-CONTADORES!BU98)/1000</f>
        <v>0</v>
      </c>
      <c r="BW101" s="1435">
        <f ca="1">IF(B101&gt;=$J$5,0,CONTADORES!BV99-CONTADORES!BV98)/1000</f>
        <v>0</v>
      </c>
      <c r="BX101" s="1435">
        <f ca="1">IF(B101&gt;=$J$5,0,CONTADORES!BW99-CONTADORES!BW98)</f>
        <v>0</v>
      </c>
      <c r="BY101" s="1435">
        <f ca="1">IF(B101&gt;=$J$5,0,CONTADORES!BX99-CONTADORES!BX98)/1000</f>
        <v>5.0860000000000003</v>
      </c>
      <c r="BZ101" s="1435">
        <f ca="1">IF(B101&gt;=$J$5,0,CONTADORES!BY99-CONTADORES!BY98)/1000</f>
        <v>0.94599999999999995</v>
      </c>
      <c r="CA101" s="1435">
        <f ca="1">IF(B101&gt;=$J$5,0,CONTADORES!BZ99-CONTADORES!BZ98)</f>
        <v>24</v>
      </c>
      <c r="CB101" s="1434">
        <f ca="1">IF(B101&gt;=$J$5,0,(CONTADORES!CC99-CONTADORES!CC98)+(CONTADORES!CE99-CONTADORES!CE98))/1000</f>
        <v>2.0179999999999998</v>
      </c>
      <c r="CC101" s="1435">
        <f ca="1">IF(B101&gt;=$J$5,0,(CONTADORES!CD99-CONTADORES!CD98)+(CONTADORES!CF99-CONTADORES!CF98))/1000</f>
        <v>0.77200000000000002</v>
      </c>
      <c r="CD101" s="1434">
        <f ca="1">IF(B101&gt;=$J$5,0,CONTADORES!CA99-CONTADORES!CA98)</f>
        <v>5.5</v>
      </c>
      <c r="CE101" s="1435">
        <f ca="1">IF(B101&gt;=$J$5,0,CONTADORES!CB99-CONTADORES!CB98)</f>
        <v>3.8999999999996362</v>
      </c>
      <c r="CF101" s="1435">
        <f t="shared" ca="1" si="51"/>
        <v>11.039000000001131</v>
      </c>
      <c r="CG101" s="1435">
        <f t="shared" ca="1" si="52"/>
        <v>8.9629999999995</v>
      </c>
      <c r="CH101" s="1435">
        <f t="shared" ca="1" si="53"/>
        <v>5.5390000000011312</v>
      </c>
      <c r="CI101" s="1435">
        <f t="shared" ca="1" si="54"/>
        <v>1.1128000000002547</v>
      </c>
      <c r="CJ101" s="1435">
        <f t="shared" ca="1" si="55"/>
        <v>5.5390000000011312</v>
      </c>
      <c r="CK101" s="1435">
        <f t="shared" ca="1" si="56"/>
        <v>1.6692000000003822</v>
      </c>
      <c r="CL101" s="1435">
        <f t="shared" ca="1" si="57"/>
        <v>3.1308000000002547</v>
      </c>
      <c r="CM101" s="1435">
        <f t="shared" ca="1" si="58"/>
        <v>5.0629999999998638</v>
      </c>
      <c r="CN101" s="1435">
        <f ca="1">IF(B101&gt;=$J$5,0,CONTADORES!CB99-CONTADORES!CB98)</f>
        <v>3.8999999999996362</v>
      </c>
      <c r="CO101" s="1435">
        <f t="shared" ca="1" si="59"/>
        <v>5.0629999999998638</v>
      </c>
      <c r="CP101" s="1435">
        <f t="shared" ca="1" si="60"/>
        <v>0.41399999999995452</v>
      </c>
      <c r="CQ101" s="1435">
        <f t="shared" ca="1" si="61"/>
        <v>0.41399999999995452</v>
      </c>
      <c r="CR101" s="1435">
        <f t="shared" ca="1" si="62"/>
        <v>1.1859999999999546</v>
      </c>
      <c r="CS101" s="1436">
        <f ca="1">IF($B101&gt;=$J$5,0,CONTADORES!$BI99)</f>
        <v>9995.3979890534993</v>
      </c>
      <c r="CT101" s="1333">
        <f>CONTADORES!E99</f>
        <v>0</v>
      </c>
      <c r="CU101" s="1333">
        <f>CONTADORES!CG99</f>
        <v>0</v>
      </c>
    </row>
    <row r="102" spans="2:99">
      <c r="B102" s="390">
        <v>45018</v>
      </c>
      <c r="C102" s="198">
        <f t="shared" ca="1" si="35"/>
        <v>308</v>
      </c>
      <c r="D102" s="196">
        <f ca="1">'CALCULO DE GAS'!D107</f>
        <v>5.1161204537844451</v>
      </c>
      <c r="E102" s="196">
        <f ca="1">IF(B102&gt;=$J$5,0,(CONTADORES!$AD100-CONTADORES!$AD99)-$H102)</f>
        <v>24</v>
      </c>
      <c r="F102" s="198">
        <f t="shared" si="64"/>
        <v>0</v>
      </c>
      <c r="G102" s="196">
        <f ca="1">IF(B102&gt;=$J$5,0,CONTADORES!$AF100-CONTADORES!$AF99)</f>
        <v>0</v>
      </c>
      <c r="H102" s="1396">
        <v>0</v>
      </c>
      <c r="I102" s="199">
        <f ca="1">IF(B102&gt;=$J$5,0,CONTADORES!$AB100-CONTADORES!$AB99)</f>
        <v>308</v>
      </c>
      <c r="J102" s="198">
        <f t="shared" ca="1" si="36"/>
        <v>147</v>
      </c>
      <c r="K102" s="196">
        <f ca="1">'CALCULO DE GAS'!E107</f>
        <v>3.7694933174049532</v>
      </c>
      <c r="L102" s="1396">
        <f ca="1">IF(B102&gt;=$J$5,0,(CONTADORES!$Y100-CONTADORES!$Y99)-$O102)</f>
        <v>24</v>
      </c>
      <c r="M102" s="1396">
        <f t="shared" ca="1" si="63"/>
        <v>0</v>
      </c>
      <c r="N102" s="1396">
        <f ca="1">IF(B102&gt;=$J$5,0,CONTADORES!$AA100-CONTADORES!$AA99)</f>
        <v>0</v>
      </c>
      <c r="O102" s="1396">
        <f ca="1">IF(N102&gt;0,CONTADORES!$Z100-CONTADORES!$Z99,0)</f>
        <v>0</v>
      </c>
      <c r="P102" s="202">
        <f ca="1">IF(B102&gt;=$J$5,0,CONTADORES!$W100-CONTADORES!$W99)</f>
        <v>147</v>
      </c>
      <c r="Q102" s="202">
        <f ca="1">IF(B102&gt;=$J$5,0,CONTADORES!$B100-CONTADORES!$B99)</f>
        <v>0</v>
      </c>
      <c r="R102" s="196">
        <f t="shared" ca="1" si="37"/>
        <v>0</v>
      </c>
      <c r="S102" s="11">
        <f ca="1">IF(B102&gt;=$J$5,0,CONTADORES!$D100-CONTADORES!$D99)</f>
        <v>0</v>
      </c>
      <c r="T102" s="198">
        <f ca="1">IF(B102&gt;=$J$5,0,CONTADORES!$BB100-CONTADORES!$BB99)</f>
        <v>0</v>
      </c>
      <c r="U102" s="196">
        <f t="shared" ca="1" si="65"/>
        <v>0</v>
      </c>
      <c r="V102" s="199">
        <f ca="1">IF(B102&gt;=$J$5,0,CONTADORES!$BD100-CONTADORES!$BD99)</f>
        <v>0</v>
      </c>
      <c r="W102" s="1397">
        <f t="shared" ca="1" si="39"/>
        <v>455</v>
      </c>
      <c r="X102" s="1397">
        <f t="shared" ca="1" si="40"/>
        <v>0</v>
      </c>
      <c r="Y102" s="1398">
        <f t="shared" ca="1" si="41"/>
        <v>455</v>
      </c>
      <c r="Z102" s="1398">
        <f t="shared" ca="1" si="42"/>
        <v>8.8856137711893979</v>
      </c>
      <c r="AA102" s="1398">
        <f t="shared" ca="1" si="43"/>
        <v>0</v>
      </c>
      <c r="AB102" s="1398">
        <f t="shared" ca="1" si="44"/>
        <v>48</v>
      </c>
      <c r="AC102" s="1397">
        <f t="shared" ca="1" si="45"/>
        <v>0</v>
      </c>
      <c r="AD102" s="1438">
        <f ca="1">IF(B102&gt;=$J$5,0,CONTADORES!H100-CONTADORES!H99)</f>
        <v>165</v>
      </c>
      <c r="AE102" s="1397">
        <f ca="1">IF(B102&gt;=$J$5,0,CONTADORES!J100-CONTADORES!J99)</f>
        <v>24</v>
      </c>
      <c r="AF102" s="1438">
        <f ca="1">IF(B102&gt;=$J$5,0,CONTADORES!AU100-CONTADORES!AU99)</f>
        <v>153</v>
      </c>
      <c r="AG102" s="1397">
        <f ca="1">IF(B102&gt;=$J$5,0,CONTADORES!AW100-CONTADORES!AW99)</f>
        <v>24</v>
      </c>
      <c r="AH102" s="1397">
        <f ca="1">IF(B102&gt;=$J$5,0,(CONTADORES!AM100-CONTADORES!AM99)+(CONTADORES!M100-CONTADORES!M99))</f>
        <v>12.19999999999709</v>
      </c>
      <c r="AI102" s="1397">
        <f ca="1">IF(B102&gt;=$J$5,0,(CONTADORES!AK100-CONTADORES!AK99)+(CONTADORES!O100-CONTADORES!O99))</f>
        <v>39.099999999998545</v>
      </c>
      <c r="AJ102" s="1397">
        <f ca="1">IF(B102&gt;=$J$5,0,(CONTADORES!AI100-CONTADORES!AI99))</f>
        <v>7</v>
      </c>
      <c r="AK102" s="1397">
        <f ca="1">IF(B102&gt;=$J$5,0,(CONTADORES!Q100-CONTADORES!Q99))</f>
        <v>16</v>
      </c>
      <c r="AL102" s="1397">
        <f t="shared" ca="1" si="46"/>
        <v>34.300000000006605</v>
      </c>
      <c r="AM102" s="1397">
        <f ca="1">IF(B102&gt;=$J$5,0,(((CONTADORES!F100-CONTADORES!F99)+(CONTADORES!AQ100-CONTADORES!AQ99))))-BS102-AF102-AN102-BV102-BY102-CD102-CB102</f>
        <v>10.455399999997457</v>
      </c>
      <c r="AN102" s="1397">
        <f ca="1">IF(B102&gt;=$J$5,0,(CONTADORES!AX100-CONTADORES!AX99)+(CONTADORES!AZ100-CONTADORES!AZ99)+(CONTADORES!BE100-CONTADORES!BE99))-CB102</f>
        <v>3.8970000000002729</v>
      </c>
      <c r="AO102" s="1399">
        <f ca="1">IF(B102&gt;=$J$5,0,(CONTADORES!AC100-CONTADORES!AC99))</f>
        <v>160</v>
      </c>
      <c r="AP102" s="1399">
        <f ca="1">IF(B102&gt;=$J$5,0,(CONTADORES!X100-CONTADORES!X99))</f>
        <v>70.5</v>
      </c>
      <c r="AQ102" s="1404">
        <f ca="1">IF(B102&gt;=$J$5,0,(CONTADORES!C100-CONTADORES!C99))</f>
        <v>0</v>
      </c>
      <c r="AR102" s="1399">
        <f ca="1">IF(B102&gt;=$J$5,0,(CONTADORES!BC100-CONTADORES!BC99))</f>
        <v>0</v>
      </c>
      <c r="AS102" s="1438">
        <f ca="1">IF(B102&gt;=$J$5,0,CONTADORES!S100-CONTADORES!S99)</f>
        <v>13</v>
      </c>
      <c r="AT102" s="1438">
        <f ca="1">IF(B102&gt;=$J$5,0,(CONTADORES!U100-CONTADORES!U99)+(CONTADORES!AG100-CONTADORES!AG99))</f>
        <v>2.4000000000014552</v>
      </c>
      <c r="AU102" s="1409">
        <f>CONTADORES!I100-CONTADORES!I99</f>
        <v>84</v>
      </c>
      <c r="AV102" s="1438">
        <f>CONTADORES!AV100-CONTADORES!AV99</f>
        <v>65</v>
      </c>
      <c r="AW102" s="1438">
        <f ca="1">IF(B102&gt;=$J$5,0,(CONTADORES!N100-CONTADORES!N99)+(CONTADORES!AN100-CONTADORES!AN99))</f>
        <v>4.7000000000007276</v>
      </c>
      <c r="AX102" s="1438">
        <f ca="1">IF(B102&gt;=$J$5,0,(CONTADORES!P100-CONTADORES!P99)+(CONTADORES!AL100-CONTADORES!AL99))</f>
        <v>31.400000000001455</v>
      </c>
      <c r="AY102" s="1438">
        <f ca="1">IF(B102&gt;=$J$5,0,(CONTADORES!AJ100-CONTADORES!AJ99))</f>
        <v>5.4000000000014552</v>
      </c>
      <c r="AZ102" s="1438">
        <f ca="1">IF(B102&gt;=$J$5,0,(CONTADORES!R100-CONTADORES!R99))</f>
        <v>13</v>
      </c>
      <c r="BA102" s="1409">
        <f t="shared" ca="1" si="47"/>
        <v>8.4349999999961938</v>
      </c>
      <c r="BB102" s="1409">
        <f ca="1">IF(B101&gt;=$J$5,0,(((CONTADORES!G100-CONTADORES!G99)+(CONTADORES!AR100-CONTADORES!AR99))))-AV102-BC102-BT102-BW102-BZ102-CE102</f>
        <v>11.578999999999978</v>
      </c>
      <c r="BC102" s="1438">
        <f ca="1">IF(B102&gt;=$J$5,0,(CONTADORES!AY100-CONTADORES!AY99)+(CONTADORES!BA100-CONTADORES!BA99)+(CONTADORES!BF100-CONTADORES!BF99))-CC102</f>
        <v>0.83500000000002272</v>
      </c>
      <c r="BD102" s="1397">
        <f t="shared" ca="1" si="48"/>
        <v>230.5</v>
      </c>
      <c r="BE102" s="1398">
        <f ca="1">IF($B102&gt;=$J$5,0,CONTADORES!$BG100)</f>
        <v>5520.96</v>
      </c>
      <c r="BF102" s="1397">
        <f ca="1">IF($B102&gt;=$J$5,0,CONTADORES!$BH100)</f>
        <v>31966.496491228099</v>
      </c>
      <c r="BG102" s="1397">
        <f ca="1">IF($B102&gt;=$J$5,0,CONTADORES!$BJ100)</f>
        <v>5526.36</v>
      </c>
      <c r="BH102" s="1397">
        <f ca="1">IF(B102&gt;=$J$5,0,((CONTADORES!BK100-CONTADORES!BK99)/1000))</f>
        <v>1.3759999999999999</v>
      </c>
      <c r="BI102" s="1397">
        <f ca="1">IF(C102&gt;=$J$5,0,((CONTADORES!BL100-CONTADORES!BL99)/1000))</f>
        <v>1.339</v>
      </c>
      <c r="BJ102" s="1397">
        <f ca="1">IF(C102&gt;=$J$5,0,((CONTADORES!BM100-CONTADORES!BM99)/1000))</f>
        <v>0</v>
      </c>
      <c r="BK102" s="1397">
        <f ca="1">IF(D102&gt;=$J$5,0,((CONTADORES!BN100-CONTADORES!BN99)/1000))</f>
        <v>0</v>
      </c>
      <c r="BL102" s="1399">
        <f t="shared" ca="1" si="49"/>
        <v>1.3759999999999999</v>
      </c>
      <c r="BM102" s="1399">
        <f t="shared" ca="1" si="50"/>
        <v>1.339</v>
      </c>
      <c r="BN102" s="1398">
        <f ca="1">IF(W102&gt;=$J$5,0,CONTADORES!$BO100)</f>
        <v>130.28247650440201</v>
      </c>
      <c r="BO102" s="1397">
        <f ca="1">IF(W102&gt;=$J$5,0,CONTADORES!$BP100)</f>
        <v>45.592190698440703</v>
      </c>
      <c r="BP102" s="1397">
        <f ca="1">IF(W102&gt;=$J$5,0,CONTADORES!$BQ100)</f>
        <v>662.88881896539203</v>
      </c>
      <c r="BQ102" s="1397">
        <f ca="1">IF(B102&gt;=$J$5,0,(CONTADORES!AS100-CONTADORES!AS99))</f>
        <v>4</v>
      </c>
      <c r="BR102" s="1397">
        <f ca="1">IF(C102&gt;=$J$5,0,(CONTADORES!AT100-CONTADORES!AT99))</f>
        <v>0</v>
      </c>
      <c r="BS102" s="1409">
        <f ca="1">IF(B102&gt;=$J$5,0,CONTADORES!BR100-CONTADORES!BR99)/1000</f>
        <v>1.8486000000000931</v>
      </c>
      <c r="BT102" s="1438">
        <f ca="1">IF(B102&gt;=$J$5,0,CONTADORES!BS100-CONTADORES!BS99)</f>
        <v>1</v>
      </c>
      <c r="BU102" s="1438">
        <f ca="1">IF(B102&gt;=$J$5,0,CONTADORES!BT100-CONTADORES!BT99)</f>
        <v>23.400000000001455</v>
      </c>
      <c r="BV102" s="1438">
        <f ca="1">IF(B102&gt;=$J$5,0,CONTADORES!BU100-CONTADORES!BU99)/1000</f>
        <v>1.859</v>
      </c>
      <c r="BW102" s="1438">
        <f ca="1">IF(B102&gt;=$J$5,0,CONTADORES!BV100-CONTADORES!BV99)/1000</f>
        <v>4.4999999999999998E-2</v>
      </c>
      <c r="BX102" s="1438">
        <f ca="1">IF(B102&gt;=$J$5,0,CONTADORES!BW100-CONTADORES!BW99)</f>
        <v>9.7999999999992724</v>
      </c>
      <c r="BY102" s="1438">
        <f ca="1">IF(B102&gt;=$J$5,0,CONTADORES!BX100-CONTADORES!BX99)/1000</f>
        <v>4.0369999999999999</v>
      </c>
      <c r="BZ102" s="1438">
        <f ca="1">IF(B102&gt;=$J$5,0,CONTADORES!BY100-CONTADORES!BY99)/1000</f>
        <v>0.54100000000000004</v>
      </c>
      <c r="CA102" s="1438">
        <f ca="1">IF(B102&gt;=$J$5,0,CONTADORES!BZ100-CONTADORES!BZ99)</f>
        <v>24</v>
      </c>
      <c r="CB102" s="1409">
        <f ca="1">IF(B102&gt;=$J$5,0,(CONTADORES!CC100-CONTADORES!CC99)+(CONTADORES!CE100-CONTADORES!CE99))/1000</f>
        <v>0.80300000000000005</v>
      </c>
      <c r="CC102" s="1438">
        <f ca="1">IF(B102&gt;=$J$5,0,(CONTADORES!CD100-CONTADORES!CD99)+(CONTADORES!CF100-CONTADORES!CF99))/1000</f>
        <v>0.76500000000000001</v>
      </c>
      <c r="CD102" s="1409">
        <f ca="1">IF(B102&gt;=$J$5,0,CONTADORES!CA100-CONTADORES!CA99)</f>
        <v>5.5</v>
      </c>
      <c r="CE102" s="1438">
        <f ca="1">IF(B102&gt;=$J$5,0,CONTADORES!CB100-CONTADORES!CB99)</f>
        <v>3.8000000000001819</v>
      </c>
      <c r="CF102" s="1438">
        <f t="shared" ca="1" si="51"/>
        <v>10.727699999998729</v>
      </c>
      <c r="CG102" s="1438">
        <f t="shared" ca="1" si="52"/>
        <v>9.5895000000001716</v>
      </c>
      <c r="CH102" s="1438">
        <f t="shared" ca="1" si="53"/>
        <v>5.2276999999987286</v>
      </c>
      <c r="CI102" s="1438">
        <f t="shared" ca="1" si="54"/>
        <v>1.5588000000001092</v>
      </c>
      <c r="CJ102" s="1438">
        <f t="shared" ca="1" si="55"/>
        <v>5.2276999999987286</v>
      </c>
      <c r="CK102" s="1438">
        <f t="shared" ca="1" si="56"/>
        <v>2.3382000000001639</v>
      </c>
      <c r="CL102" s="1438">
        <f t="shared" ca="1" si="57"/>
        <v>2.3618000000001094</v>
      </c>
      <c r="CM102" s="1438">
        <f t="shared" ca="1" si="58"/>
        <v>5.7894999999999888</v>
      </c>
      <c r="CN102" s="1438">
        <f ca="1">IF(B102&gt;=$J$5,0,CONTADORES!CB100-CONTADORES!CB99)</f>
        <v>3.8000000000001819</v>
      </c>
      <c r="CO102" s="1438">
        <f t="shared" ca="1" si="59"/>
        <v>5.7894999999999888</v>
      </c>
      <c r="CP102" s="1438">
        <f t="shared" ca="1" si="60"/>
        <v>0.41750000000001136</v>
      </c>
      <c r="CQ102" s="1438">
        <f t="shared" ca="1" si="61"/>
        <v>0.41750000000001136</v>
      </c>
      <c r="CR102" s="1438">
        <f t="shared" ca="1" si="62"/>
        <v>1.1825000000000114</v>
      </c>
      <c r="CS102" s="1439">
        <f ca="1">IF($B102&gt;=$J$5,0,CONTADORES!$BI100)</f>
        <v>9431.29354661867</v>
      </c>
      <c r="CT102" s="1334">
        <f>CONTADORES!E100</f>
        <v>0</v>
      </c>
      <c r="CU102" s="1334">
        <f>CONTADORES!CG100</f>
        <v>0</v>
      </c>
    </row>
    <row r="103" spans="2:99">
      <c r="B103" s="390">
        <v>45019</v>
      </c>
      <c r="C103" s="198">
        <f t="shared" ca="1" si="35"/>
        <v>303</v>
      </c>
      <c r="D103" s="196">
        <f ca="1">'CALCULO DE GAS'!D108</f>
        <v>5.0742997352633425</v>
      </c>
      <c r="E103" s="196">
        <f ca="1">IF(B103&gt;=$J$5,0,(CONTADORES!$AD101-CONTADORES!$AD100)-$H103)</f>
        <v>24</v>
      </c>
      <c r="F103" s="198">
        <f t="shared" ca="1" si="64"/>
        <v>0</v>
      </c>
      <c r="G103" s="196">
        <f ca="1">IF(B103&gt;=$J$5,0,CONTADORES!$AF101-CONTADORES!$AF100)</f>
        <v>0</v>
      </c>
      <c r="H103" s="1396">
        <f ca="1">IF(G103&gt;0,CONTADORES!$AE101-CONTADORES!$AE100,0)</f>
        <v>0</v>
      </c>
      <c r="I103" s="199">
        <f ca="1">IF(B103&gt;=$J$5,0,CONTADORES!$AB101-CONTADORES!$AB100)</f>
        <v>303</v>
      </c>
      <c r="J103" s="198">
        <f t="shared" ca="1" si="36"/>
        <v>147.20000000000073</v>
      </c>
      <c r="K103" s="196">
        <f ca="1">'CALCULO DE GAS'!E108</f>
        <v>3.7711661461458035</v>
      </c>
      <c r="L103" s="1396">
        <f ca="1">IF(B103&gt;=$J$5,0,(CONTADORES!$Y101-CONTADORES!$Y100)-$O103)</f>
        <v>24</v>
      </c>
      <c r="M103" s="1396">
        <f t="shared" ca="1" si="63"/>
        <v>0</v>
      </c>
      <c r="N103" s="1396">
        <f ca="1">IF(B103&gt;=$J$5,0,CONTADORES!$AA101-CONTADORES!$AA100)</f>
        <v>0</v>
      </c>
      <c r="O103" s="1396">
        <f ca="1">IF(N103&gt;0,CONTADORES!$Z101-CONTADORES!$Z100,0)</f>
        <v>0</v>
      </c>
      <c r="P103" s="202">
        <f ca="1">IF(B103&gt;=$J$5,0,CONTADORES!$W101-CONTADORES!$W100)</f>
        <v>147.20000000000073</v>
      </c>
      <c r="Q103" s="202">
        <f ca="1">IF(B103&gt;=$J$5,0,CONTADORES!$B101-CONTADORES!$B100)</f>
        <v>0.14499999999998181</v>
      </c>
      <c r="R103" s="196">
        <f t="shared" ca="1" si="37"/>
        <v>17.399999999997817</v>
      </c>
      <c r="S103" s="11">
        <f ca="1">IF(B103&gt;=$J$5,0,CONTADORES!$D101-CONTADORES!$D100)</f>
        <v>0.6000000000003638</v>
      </c>
      <c r="T103" s="198">
        <f ca="1">IF(B103&gt;=$J$5,0,CONTADORES!$BB101-CONTADORES!$BB100)</f>
        <v>0.28600000000005821</v>
      </c>
      <c r="U103" s="196">
        <f t="shared" ca="1" si="65"/>
        <v>34.320000000006985</v>
      </c>
      <c r="V103" s="199">
        <f ca="1">IF(B103&gt;=$J$5,0,CONTADORES!$BD101-CONTADORES!$BD100)</f>
        <v>0.39999999999986358</v>
      </c>
      <c r="W103" s="1397">
        <f t="shared" ca="1" si="39"/>
        <v>450.20000000000073</v>
      </c>
      <c r="X103" s="1397">
        <f t="shared" ca="1" si="40"/>
        <v>0.43100000000004002</v>
      </c>
      <c r="Y103" s="1398">
        <f t="shared" ca="1" si="41"/>
        <v>450.63100000000077</v>
      </c>
      <c r="Z103" s="1398">
        <f t="shared" ca="1" si="42"/>
        <v>8.8454658814091456</v>
      </c>
      <c r="AA103" s="1398">
        <f t="shared" ca="1" si="43"/>
        <v>51.720000000004802</v>
      </c>
      <c r="AB103" s="1398">
        <f t="shared" ca="1" si="44"/>
        <v>48</v>
      </c>
      <c r="AC103" s="1397">
        <f t="shared" ca="1" si="45"/>
        <v>1.0000000000002274</v>
      </c>
      <c r="AD103" s="1438">
        <f ca="1">IF(B103&gt;=$J$5,0,CONTADORES!H101-CONTADORES!H100)</f>
        <v>169</v>
      </c>
      <c r="AE103" s="1397">
        <f ca="1">IF(B103&gt;=$J$5,0,CONTADORES!J101-CONTADORES!J100)</f>
        <v>24</v>
      </c>
      <c r="AF103" s="1438">
        <f ca="1">IF(B103&gt;=$J$5,0,CONTADORES!AU101-CONTADORES!AU100)</f>
        <v>153</v>
      </c>
      <c r="AG103" s="1397">
        <f ca="1">IF(B103&gt;=$J$5,0,CONTADORES!AW101-CONTADORES!AW100)</f>
        <v>24</v>
      </c>
      <c r="AH103" s="1397">
        <f ca="1">IF(B103&gt;=$J$5,0,(CONTADORES!AM101-CONTADORES!AM100)+(CONTADORES!M101-CONTADORES!M100))</f>
        <v>5</v>
      </c>
      <c r="AI103" s="1397">
        <f ca="1">IF(B103&gt;=$J$5,0,(CONTADORES!AK101-CONTADORES!AK100)+(CONTADORES!O101-CONTADORES!O100))</f>
        <v>38.400000000001455</v>
      </c>
      <c r="AJ103" s="1397">
        <f ca="1">IF(B103&gt;=$J$5,0,(CONTADORES!AI101-CONTADORES!AI100))</f>
        <v>8.9000000000087311</v>
      </c>
      <c r="AK103" s="1397">
        <f ca="1">IF(B103&gt;=$J$5,0,(CONTADORES!Q101-CONTADORES!Q100))</f>
        <v>15.100000000005821</v>
      </c>
      <c r="AL103" s="1397">
        <f t="shared" ca="1" si="46"/>
        <v>32.930999999985431</v>
      </c>
      <c r="AM103" s="1397">
        <f ca="1">IF(B103&gt;=$J$5,0,(((CONTADORES!F101-CONTADORES!F100)+(CONTADORES!AQ101-CONTADORES!AQ100))))-BS103-AF103-AN103-BV103-BY103-CD103-CB103</f>
        <v>8.1400000000002759</v>
      </c>
      <c r="AN103" s="1397">
        <f ca="1">IF(B103&gt;=$J$5,0,(CONTADORES!AX101-CONTADORES!AX100)+(CONTADORES!AZ101-CONTADORES!AZ100)+(CONTADORES!BE101-CONTADORES!BE100))-CB103</f>
        <v>2.7589999999989994</v>
      </c>
      <c r="AO103" s="1399">
        <f ca="1">IF(B103&gt;=$J$5,0,(CONTADORES!AC101-CONTADORES!AC100))</f>
        <v>153</v>
      </c>
      <c r="AP103" s="1399">
        <f ca="1">IF(B103&gt;=$J$5,0,(CONTADORES!X101-CONTADORES!X100))</f>
        <v>71.799999999999272</v>
      </c>
      <c r="AQ103" s="1404">
        <f ca="1">IF(B103&gt;=$J$5,0,(CONTADORES!C101-CONTADORES!C100))</f>
        <v>6.9999999999936335E-2</v>
      </c>
      <c r="AR103" s="1399">
        <f ca="1">IF(B103&gt;=$J$5,0,(CONTADORES!BC101-CONTADORES!BC100))</f>
        <v>0.10899999999998045</v>
      </c>
      <c r="AS103" s="1438">
        <f ca="1">IF(B103&gt;=$J$5,0,CONTADORES!S101-CONTADORES!S100)</f>
        <v>15</v>
      </c>
      <c r="AT103" s="1438">
        <f ca="1">IF(B103&gt;=$J$5,0,(CONTADORES!U101-CONTADORES!U100)+(CONTADORES!AG101-CONTADORES!AG100))</f>
        <v>2.4000000000014552</v>
      </c>
      <c r="AU103" s="1409">
        <f>CONTADORES!I101-CONTADORES!I100</f>
        <v>85</v>
      </c>
      <c r="AV103" s="1438">
        <f>CONTADORES!AV101-CONTADORES!AV100</f>
        <v>67</v>
      </c>
      <c r="AW103" s="1438">
        <f ca="1">IF(B103&gt;=$J$5,0,(CONTADORES!N101-CONTADORES!N100)+(CONTADORES!AN101-CONTADORES!AN100))</f>
        <v>1.8999999999978172</v>
      </c>
      <c r="AX103" s="1438">
        <f ca="1">IF(B103&gt;=$J$5,0,(CONTADORES!P101-CONTADORES!P100)+(CONTADORES!AL101-CONTADORES!AL100))</f>
        <v>30.900000000001455</v>
      </c>
      <c r="AY103" s="1438">
        <f ca="1">IF(B103&gt;=$J$5,0,(CONTADORES!AJ101-CONTADORES!AJ100))</f>
        <v>6.9000000000014552</v>
      </c>
      <c r="AZ103" s="1438">
        <f ca="1">IF(B103&gt;=$J$5,0,(CONTADORES!R101-CONTADORES!R100))</f>
        <v>12.399999999994179</v>
      </c>
      <c r="BA103" s="1409">
        <f t="shared" ca="1" si="47"/>
        <v>11.344000000004087</v>
      </c>
      <c r="BB103" s="1409">
        <f ca="1">IF(B102&gt;=$J$5,0,(((CONTADORES!G101-CONTADORES!G100)+(CONTADORES!AR101-CONTADORES!AR100))))-AV103-BC103-BT103-BW103-BZ103-CE103</f>
        <v>2.3430000000002158</v>
      </c>
      <c r="BC103" s="1438">
        <f ca="1">IF(B103&gt;=$J$5,0,(CONTADORES!AY101-CONTADORES!AY100)+(CONTADORES!BA101-CONTADORES!BA100)+(CONTADORES!BF101-CONTADORES!BF100))-CC103</f>
        <v>0.66500000000014781</v>
      </c>
      <c r="BD103" s="1397">
        <f t="shared" ca="1" si="48"/>
        <v>224.97899999999919</v>
      </c>
      <c r="BE103" s="1398">
        <f ca="1">IF($B103&gt;=$J$5,0,CONTADORES!$BG101)</f>
        <v>5807.6800000000012</v>
      </c>
      <c r="BF103" s="1397">
        <f ca="1">IF($B103&gt;=$J$5,0,CONTADORES!$BH101)</f>
        <v>31388.359649122809</v>
      </c>
      <c r="BG103" s="1397">
        <f ca="1">IF($B103&gt;=$J$5,0,CONTADORES!$BJ101)</f>
        <v>4155.13</v>
      </c>
      <c r="BH103" s="1397">
        <f ca="1">IF(B103&gt;=$J$5,0,((CONTADORES!BK101-CONTADORES!BK100)/1000))</f>
        <v>0.94899999999999995</v>
      </c>
      <c r="BI103" s="1397">
        <f ca="1">IF(C103&gt;=$J$5,0,((CONTADORES!BL101-CONTADORES!BL100)/1000))</f>
        <v>0.84799999999999998</v>
      </c>
      <c r="BJ103" s="1397">
        <f ca="1">IF(C103&gt;=$J$5,0,((CONTADORES!BM101-CONTADORES!BM100)/1000))</f>
        <v>0</v>
      </c>
      <c r="BK103" s="1397">
        <f ca="1">IF(D103&gt;=$J$5,0,((CONTADORES!BN101-CONTADORES!BN100)/1000))</f>
        <v>0</v>
      </c>
      <c r="BL103" s="1399">
        <f t="shared" ca="1" si="49"/>
        <v>0.94899999999999995</v>
      </c>
      <c r="BM103" s="1399">
        <f t="shared" ca="1" si="50"/>
        <v>0.84799999999999998</v>
      </c>
      <c r="BN103" s="1398">
        <f ca="1">IF(W103&gt;=$J$5,0,CONTADORES!$BO101)</f>
        <v>130.19357967594499</v>
      </c>
      <c r="BO103" s="1397">
        <f ca="1">IF(W103&gt;=$J$5,0,CONTADORES!$BP101)</f>
        <v>45.769488714425101</v>
      </c>
      <c r="BP103" s="1397">
        <f ca="1">IF(W103&gt;=$J$5,0,CONTADORES!$BQ101)</f>
        <v>664</v>
      </c>
      <c r="BQ103" s="1397">
        <f ca="1">IF(B103&gt;=$J$5,0,(CONTADORES!AS101-CONTADORES!AS100))</f>
        <v>4.6999999999970896</v>
      </c>
      <c r="BR103" s="1397">
        <f ca="1">IF(C103&gt;=$J$5,0,(CONTADORES!AT101-CONTADORES!AT100))</f>
        <v>0</v>
      </c>
      <c r="BS103" s="1409">
        <f ca="1">IF(B103&gt;=$J$5,0,CONTADORES!BR101-CONTADORES!BR100)/1000</f>
        <v>0</v>
      </c>
      <c r="BT103" s="1438">
        <f ca="1">IF(B103&gt;=$J$5,0,CONTADORES!BS101-CONTADORES!BS100)</f>
        <v>1</v>
      </c>
      <c r="BU103" s="1438">
        <f ca="1">IF(B103&gt;=$J$5,0,CONTADORES!BT101-CONTADORES!BT100)</f>
        <v>0</v>
      </c>
      <c r="BV103" s="1438">
        <f ca="1">IF(B103&gt;=$J$5,0,CONTADORES!BU101-CONTADORES!BU100)/1000</f>
        <v>5.9429999999999996</v>
      </c>
      <c r="BW103" s="1438">
        <f ca="1">IF(B103&gt;=$J$5,0,CONTADORES!BV101-CONTADORES!BV100)/1000</f>
        <v>0.09</v>
      </c>
      <c r="BX103" s="1438">
        <f ca="1">IF(B103&gt;=$J$5,0,CONTADORES!BW101-CONTADORES!BW100)</f>
        <v>24</v>
      </c>
      <c r="BY103" s="1438">
        <f ca="1">IF(B103&gt;=$J$5,0,CONTADORES!BX101-CONTADORES!BX100)/1000</f>
        <v>2.617</v>
      </c>
      <c r="BZ103" s="1438">
        <f ca="1">IF(B103&gt;=$J$5,0,CONTADORES!BY101-CONTADORES!BY100)/1000</f>
        <v>2E-3</v>
      </c>
      <c r="CA103" s="1438">
        <f ca="1">IF(B103&gt;=$J$5,0,CONTADORES!BZ101-CONTADORES!BZ100)</f>
        <v>24</v>
      </c>
      <c r="CB103" s="1409">
        <f ca="1">IF(B103&gt;=$J$5,0,(CONTADORES!CC101-CONTADORES!CC100)+(CONTADORES!CE101-CONTADORES!CE100))/1000</f>
        <v>1.341</v>
      </c>
      <c r="CC103" s="1438">
        <f ca="1">IF(B103&gt;=$J$5,0,(CONTADORES!CD101-CONTADORES!CD100)+(CONTADORES!CF101-CONTADORES!CF100))/1000</f>
        <v>0.73499999999999999</v>
      </c>
      <c r="CD103" s="1409">
        <f ca="1">IF(B103&gt;=$J$5,0,CONTADORES!CA101-CONTADORES!CA100)</f>
        <v>7.5</v>
      </c>
      <c r="CE103" s="1438">
        <f ca="1">IF(B103&gt;=$J$5,0,CONTADORES!CB101-CONTADORES!CB100)</f>
        <v>4.6999999999998181</v>
      </c>
      <c r="CF103" s="1438">
        <f t="shared" ca="1" si="51"/>
        <v>11.570000000000139</v>
      </c>
      <c r="CG103" s="1438">
        <f t="shared" ca="1" si="52"/>
        <v>5.8714999999999264</v>
      </c>
      <c r="CH103" s="1438">
        <f t="shared" ca="1" si="53"/>
        <v>4.070000000000138</v>
      </c>
      <c r="CI103" s="1438">
        <f t="shared" ca="1" si="54"/>
        <v>1.1035999999995998</v>
      </c>
      <c r="CJ103" s="1438">
        <f t="shared" ca="1" si="55"/>
        <v>4.070000000000138</v>
      </c>
      <c r="CK103" s="1438">
        <f t="shared" ca="1" si="56"/>
        <v>1.6553999999993996</v>
      </c>
      <c r="CL103" s="1438">
        <f t="shared" ca="1" si="57"/>
        <v>2.4445999999995998</v>
      </c>
      <c r="CM103" s="1438">
        <f t="shared" ca="1" si="58"/>
        <v>1.1715000000001079</v>
      </c>
      <c r="CN103" s="1438">
        <f ca="1">IF(B103&gt;=$J$5,0,CONTADORES!CB101-CONTADORES!CB100)</f>
        <v>4.6999999999998181</v>
      </c>
      <c r="CO103" s="1438">
        <f t="shared" ca="1" si="59"/>
        <v>1.1715000000001079</v>
      </c>
      <c r="CP103" s="1438">
        <f t="shared" ca="1" si="60"/>
        <v>0.3325000000000739</v>
      </c>
      <c r="CQ103" s="1438">
        <f t="shared" ca="1" si="61"/>
        <v>0.3325000000000739</v>
      </c>
      <c r="CR103" s="1438">
        <f t="shared" ca="1" si="62"/>
        <v>1.0675000000000738</v>
      </c>
      <c r="CS103" s="1439">
        <f ca="1">IF($B103&gt;=$J$5,0,CONTADORES!$BI101)</f>
        <v>9118.4701941348758</v>
      </c>
      <c r="CT103" s="1334">
        <f>CONTADORES!E101</f>
        <v>0.6</v>
      </c>
      <c r="CU103" s="1334">
        <f>CONTADORES!CG101</f>
        <v>0.4</v>
      </c>
    </row>
    <row r="104" spans="2:99">
      <c r="B104" s="390">
        <v>45020</v>
      </c>
      <c r="C104" s="198">
        <f t="shared" ca="1" si="35"/>
        <v>322.90000000002328</v>
      </c>
      <c r="D104" s="196">
        <f ca="1">'CALCULO DE GAS'!D109</f>
        <v>5.2407461949775236</v>
      </c>
      <c r="E104" s="196">
        <f ca="1">IF(B104&gt;=$J$5,0,(CONTADORES!$AD102-CONTADORES!$AD101)-$H104)</f>
        <v>24</v>
      </c>
      <c r="F104" s="198">
        <f t="shared" ca="1" si="64"/>
        <v>0</v>
      </c>
      <c r="G104" s="196">
        <f ca="1">IF(B104&gt;=$J$5,0,CONTADORES!$AF102-CONTADORES!$AF101)</f>
        <v>0</v>
      </c>
      <c r="H104" s="1396">
        <f ca="1">IF(G104&gt;0,CONTADORES!$AE102-CONTADORES!$AE101,0)</f>
        <v>0</v>
      </c>
      <c r="I104" s="199">
        <f ca="1">IF(B104&gt;=$J$5,0,CONTADORES!$AB102-CONTADORES!$AB101)</f>
        <v>322.90000000002328</v>
      </c>
      <c r="J104" s="198">
        <f t="shared" ca="1" si="36"/>
        <v>148.09999999999854</v>
      </c>
      <c r="K104" s="196">
        <f ca="1">'CALCULO DE GAS'!E109</f>
        <v>3.7786938754795836</v>
      </c>
      <c r="L104" s="1396">
        <f ca="1">IF(B104&gt;=$J$5,0,(CONTADORES!$Y102-CONTADORES!$Y101)-$O104)</f>
        <v>24</v>
      </c>
      <c r="M104" s="1396">
        <f t="shared" ca="1" si="63"/>
        <v>0</v>
      </c>
      <c r="N104" s="1396">
        <f ca="1">IF(B104&gt;=$J$5,0,CONTADORES!$AA102-CONTADORES!$AA101)</f>
        <v>0</v>
      </c>
      <c r="O104" s="1396">
        <f ca="1">IF(N104&gt;0,CONTADORES!$Z102-CONTADORES!$Z101,0)</f>
        <v>0</v>
      </c>
      <c r="P104" s="202">
        <f ca="1">IF(B104&gt;=$J$5,0,CONTADORES!$W102-CONTADORES!$W101)</f>
        <v>148.09999999999854</v>
      </c>
      <c r="Q104" s="202">
        <f ca="1">IF(B104&gt;=$J$5,0,CONTADORES!$B102-CONTADORES!$B101)</f>
        <v>0.25600000000008549</v>
      </c>
      <c r="R104" s="196">
        <f t="shared" ca="1" si="37"/>
        <v>30.720000000010259</v>
      </c>
      <c r="S104" s="11">
        <f ca="1">IF(B104&gt;=$J$5,0,CONTADORES!$D102-CONTADORES!$D101)</f>
        <v>0.5999999999994543</v>
      </c>
      <c r="T104" s="198">
        <f ca="1">IF(B104&gt;=$J$5,0,CONTADORES!$BB102-CONTADORES!$BB101)</f>
        <v>0</v>
      </c>
      <c r="U104" s="196">
        <f t="shared" ca="1" si="65"/>
        <v>0</v>
      </c>
      <c r="V104" s="199">
        <f ca="1">IF(B104&gt;=$J$5,0,CONTADORES!$BD102-CONTADORES!$BD101)</f>
        <v>0</v>
      </c>
      <c r="W104" s="1397">
        <f t="shared" ca="1" si="39"/>
        <v>471.00000000002183</v>
      </c>
      <c r="X104" s="1397">
        <f t="shared" ca="1" si="40"/>
        <v>0.25600000000008549</v>
      </c>
      <c r="Y104" s="1398">
        <f t="shared" ca="1" si="41"/>
        <v>471.25600000002191</v>
      </c>
      <c r="Z104" s="1398">
        <f t="shared" ca="1" si="42"/>
        <v>9.019440070457108</v>
      </c>
      <c r="AA104" s="1398">
        <f t="shared" ca="1" si="43"/>
        <v>30.720000000010259</v>
      </c>
      <c r="AB104" s="1398">
        <f t="shared" ca="1" si="44"/>
        <v>48</v>
      </c>
      <c r="AC104" s="1397">
        <f t="shared" ca="1" si="45"/>
        <v>0.5999999999994543</v>
      </c>
      <c r="AD104" s="1438">
        <f ca="1">IF(B104&gt;=$J$5,0,CONTADORES!H102-CONTADORES!H101)</f>
        <v>168.90000000002328</v>
      </c>
      <c r="AE104" s="1397">
        <f ca="1">IF(B104&gt;=$J$5,0,CONTADORES!J102-CONTADORES!J101)</f>
        <v>24</v>
      </c>
      <c r="AF104" s="1438">
        <f ca="1">IF(B104&gt;=$J$5,0,CONTADORES!AU102-CONTADORES!AU101)</f>
        <v>152.79999999998836</v>
      </c>
      <c r="AG104" s="1397">
        <f ca="1">IF(B104&gt;=$J$5,0,CONTADORES!AW102-CONTADORES!AW101)</f>
        <v>24</v>
      </c>
      <c r="AH104" s="1397">
        <f ca="1">IF(B104&gt;=$J$5,0,(CONTADORES!AM102-CONTADORES!AM101)+(CONTADORES!M102-CONTADORES!M101))</f>
        <v>18.900000000001455</v>
      </c>
      <c r="AI104" s="1397">
        <f ca="1">IF(B104&gt;=$J$5,0,(CONTADORES!AK102-CONTADORES!AK101)+(CONTADORES!O102-CONTADORES!O101))</f>
        <v>36.899999999994179</v>
      </c>
      <c r="AJ104" s="1397">
        <f ca="1">IF(B104&gt;=$J$5,0,(CONTADORES!AI102-CONTADORES!AI101))</f>
        <v>9.8999999999941792</v>
      </c>
      <c r="AK104" s="1397">
        <f ca="1">IF(B104&gt;=$J$5,0,(CONTADORES!Q102-CONTADORES!Q101))</f>
        <v>17.299999999988358</v>
      </c>
      <c r="AL104" s="1397">
        <f t="shared" ca="1" si="46"/>
        <v>35.756000000007475</v>
      </c>
      <c r="AM104" s="1397">
        <f ca="1">IF(B104&gt;=$J$5,0,(((CONTADORES!F102-CONTADORES!F101)+(CONTADORES!AQ102-CONTADORES!AQ101))))-BS104-AF104-AN104-BV104-BY104-CD104-CB104</f>
        <v>9.6510000000245597</v>
      </c>
      <c r="AN104" s="1397">
        <f ca="1">IF(B104&gt;=$J$5,0,(CONTADORES!AX102-CONTADORES!AX101)+(CONTADORES!AZ102-CONTADORES!AZ101)+(CONTADORES!BE102-CONTADORES!BE101))-CB104</f>
        <v>2.9220000000001751</v>
      </c>
      <c r="AO104" s="1399">
        <f ca="1">IF(B104&gt;=$J$5,0,(CONTADORES!AC102-CONTADORES!AC101))</f>
        <v>154.29999999998836</v>
      </c>
      <c r="AP104" s="1399">
        <f ca="1">IF(B104&gt;=$J$5,0,(CONTADORES!X102-CONTADORES!X101))</f>
        <v>78.900000000001455</v>
      </c>
      <c r="AQ104" s="1404">
        <f ca="1">IF(B104&gt;=$J$5,0,(CONTADORES!C102-CONTADORES!C101))</f>
        <v>0.12300000000004729</v>
      </c>
      <c r="AR104" s="1399">
        <f ca="1">IF(B104&gt;=$J$5,0,(CONTADORES!BC102-CONTADORES!BC101))</f>
        <v>0</v>
      </c>
      <c r="AS104" s="1438">
        <f ca="1">IF(B104&gt;=$J$5,0,CONTADORES!S102-CONTADORES!S101)</f>
        <v>16</v>
      </c>
      <c r="AT104" s="1438">
        <f ca="1">IF(B104&gt;=$J$5,0,(CONTADORES!U102-CONTADORES!U101)+(CONTADORES!AG102-CONTADORES!AG101))</f>
        <v>2.2999999999956344</v>
      </c>
      <c r="AU104" s="1409">
        <f>CONTADORES!I102-CONTADORES!I101</f>
        <v>85.299999999988358</v>
      </c>
      <c r="AV104" s="1438">
        <f>CONTADORES!AV102-CONTADORES!AV101</f>
        <v>66.100000000005821</v>
      </c>
      <c r="AW104" s="1438">
        <f ca="1">IF(B104&gt;=$J$5,0,(CONTADORES!N102-CONTADORES!N101)+(CONTADORES!AN102-CONTADORES!AN101))</f>
        <v>7.4000000000014552</v>
      </c>
      <c r="AX104" s="1438">
        <f ca="1">IF(B104&gt;=$J$5,0,(CONTADORES!P102-CONTADORES!P101)+(CONTADORES!AL102-CONTADORES!AL101))</f>
        <v>29.599999999998545</v>
      </c>
      <c r="AY104" s="1438">
        <f ca="1">IF(B104&gt;=$J$5,0,(CONTADORES!AJ102-CONTADORES!AJ101))</f>
        <v>7.5999999999985448</v>
      </c>
      <c r="AZ104" s="1438">
        <f ca="1">IF(B104&gt;=$J$5,0,(CONTADORES!R102-CONTADORES!R101))</f>
        <v>13.700000000011642</v>
      </c>
      <c r="BA104" s="1409">
        <f t="shared" ca="1" si="47"/>
        <v>11.221999999979658</v>
      </c>
      <c r="BB104" s="1409">
        <f ca="1">IF(B103&gt;=$J$5,0,(((CONTADORES!G102-CONTADORES!G101)+(CONTADORES!AR102-CONTADORES!AR101))))-AV104-BC104-BT104-BW104-BZ104-CE104</f>
        <v>4.88300000000606</v>
      </c>
      <c r="BC104" s="1438">
        <f ca="1">IF(B104&gt;=$J$5,0,(CONTADORES!AY102-CONTADORES!AY101)+(CONTADORES!BA102-CONTADORES!BA101)+(CONTADORES!BF102-CONTADORES!BF101))-CC104</f>
        <v>0.64899999999976121</v>
      </c>
      <c r="BD104" s="1397">
        <f t="shared" ca="1" si="48"/>
        <v>233.32299999998986</v>
      </c>
      <c r="BE104" s="1398">
        <f ca="1">IF($B104&gt;=$J$5,0,CONTADORES!$BG102)</f>
        <v>5701</v>
      </c>
      <c r="BF104" s="1397">
        <f ca="1">IF($B104&gt;=$J$5,0,CONTADORES!$BH102)</f>
        <v>31970</v>
      </c>
      <c r="BG104" s="1397">
        <f ca="1">IF($B104&gt;=$J$5,0,CONTADORES!$BJ102)</f>
        <v>5695</v>
      </c>
      <c r="BH104" s="1397">
        <f ca="1">IF(B104&gt;=$J$5,0,((CONTADORES!BK102-CONTADORES!BK101)/1000))</f>
        <v>0.92</v>
      </c>
      <c r="BI104" s="1397">
        <f ca="1">IF(C104&gt;=$J$5,0,((CONTADORES!BL102-CONTADORES!BL101)/1000))</f>
        <v>0.83699999999999997</v>
      </c>
      <c r="BJ104" s="1397">
        <f ca="1">IF(C104&gt;=$J$5,0,((CONTADORES!BM102-CONTADORES!BM101)/1000))</f>
        <v>0</v>
      </c>
      <c r="BK104" s="1397">
        <f ca="1">IF(D104&gt;=$J$5,0,((CONTADORES!BN102-CONTADORES!BN101)/1000))</f>
        <v>0</v>
      </c>
      <c r="BL104" s="1399">
        <f t="shared" ca="1" si="49"/>
        <v>0.92</v>
      </c>
      <c r="BM104" s="1399">
        <f t="shared" ca="1" si="50"/>
        <v>0.83699999999999997</v>
      </c>
      <c r="BN104" s="1398">
        <f ca="1">IF(W104&gt;=$J$5,0,CONTADORES!$BO102)</f>
        <v>129.28020978440117</v>
      </c>
      <c r="BO104" s="1397">
        <f ca="1">IF(W104&gt;=$J$5,0,CONTADORES!$BP102)</f>
        <v>45.754192675398663</v>
      </c>
      <c r="BP104" s="1397">
        <f ca="1">IF(W104&gt;=$J$5,0,CONTADORES!$BQ102)</f>
        <v>663.38524597542994</v>
      </c>
      <c r="BQ104" s="1397">
        <f ca="1">IF(B104&gt;=$J$5,0,(CONTADORES!AS102-CONTADORES!AS101))</f>
        <v>5</v>
      </c>
      <c r="BR104" s="1397">
        <f ca="1">IF(C104&gt;=$J$5,0,(CONTADORES!AT102-CONTADORES!AT101))</f>
        <v>0</v>
      </c>
      <c r="BS104" s="1409">
        <f ca="1">IF(B104&gt;=$J$5,0,CONTADORES!BR102-CONTADORES!BR101)/1000</f>
        <v>0.09</v>
      </c>
      <c r="BT104" s="1438">
        <f ca="1">IF(B104&gt;=$J$5,0,CONTADORES!BS102-CONTADORES!BS101)</f>
        <v>1</v>
      </c>
      <c r="BU104" s="1438">
        <f ca="1">IF(B104&gt;=$J$5,0,CONTADORES!BT102-CONTADORES!BT101)</f>
        <v>1</v>
      </c>
      <c r="BV104" s="1438">
        <f ca="1">IF(B104&gt;=$J$5,0,CONTADORES!BU102-CONTADORES!BU101)/1000</f>
        <v>6.0389999999999997</v>
      </c>
      <c r="BW104" s="1438">
        <f ca="1">IF(B104&gt;=$J$5,0,CONTADORES!BV102-CONTADORES!BV101)/1000</f>
        <v>6.8000000000000005E-2</v>
      </c>
      <c r="BX104" s="1438">
        <f ca="1">IF(B104&gt;=$J$5,0,CONTADORES!BW102-CONTADORES!BW101)</f>
        <v>24</v>
      </c>
      <c r="BY104" s="1438">
        <f ca="1">IF(B104&gt;=$J$5,0,CONTADORES!BX102-CONTADORES!BX101)/1000</f>
        <v>2.65</v>
      </c>
      <c r="BZ104" s="1438">
        <f ca="1">IF(B104&gt;=$J$5,0,CONTADORES!BY102-CONTADORES!BY101)/1000</f>
        <v>0</v>
      </c>
      <c r="CA104" s="1438">
        <f ca="1">IF(B104&gt;=$J$5,0,CONTADORES!BZ102-CONTADORES!BZ101)</f>
        <v>24</v>
      </c>
      <c r="CB104" s="1409">
        <f ca="1">IF(B104&gt;=$J$5,0,(CONTADORES!CC102-CONTADORES!CC101)+(CONTADORES!CE102-CONTADORES!CE101))/1000</f>
        <v>1.448</v>
      </c>
      <c r="CC104" s="1438">
        <f ca="1">IF(B104&gt;=$J$5,0,(CONTADORES!CD102-CONTADORES!CD101)+(CONTADORES!CF102-CONTADORES!CF101))/1000</f>
        <v>0.80100000000000005</v>
      </c>
      <c r="CD104" s="1409">
        <f ca="1">IF(B104&gt;=$J$5,0,CONTADORES!CA102-CONTADORES!CA101)</f>
        <v>8</v>
      </c>
      <c r="CE104" s="1438">
        <f ca="1">IF(B104&gt;=$J$5,0,CONTADORES!CB102-CONTADORES!CB101)</f>
        <v>5</v>
      </c>
      <c r="CF104" s="1438">
        <f t="shared" ca="1" si="51"/>
        <v>12.82550000001228</v>
      </c>
      <c r="CG104" s="1438">
        <f t="shared" ca="1" si="52"/>
        <v>7.44150000000303</v>
      </c>
      <c r="CH104" s="1438">
        <f t="shared" ca="1" si="53"/>
        <v>4.8255000000122799</v>
      </c>
      <c r="CI104" s="1438">
        <f t="shared" ca="1" si="54"/>
        <v>1.16880000000007</v>
      </c>
      <c r="CJ104" s="1438">
        <f t="shared" ca="1" si="55"/>
        <v>4.8255000000122799</v>
      </c>
      <c r="CK104" s="1438">
        <f t="shared" ca="1" si="56"/>
        <v>1.7532000000001051</v>
      </c>
      <c r="CL104" s="1438">
        <f t="shared" ca="1" si="57"/>
        <v>2.6168000000000697</v>
      </c>
      <c r="CM104" s="1438">
        <f t="shared" ca="1" si="58"/>
        <v>2.44150000000303</v>
      </c>
      <c r="CN104" s="1438">
        <f ca="1">IF(B104&gt;=$J$5,0,CONTADORES!CB102-CONTADORES!CB101)</f>
        <v>5</v>
      </c>
      <c r="CO104" s="1438">
        <f t="shared" ca="1" si="59"/>
        <v>2.44150000000303</v>
      </c>
      <c r="CP104" s="1438">
        <f t="shared" ca="1" si="60"/>
        <v>0.32449999999988061</v>
      </c>
      <c r="CQ104" s="1438">
        <f t="shared" ca="1" si="61"/>
        <v>0.32449999999988061</v>
      </c>
      <c r="CR104" s="1438">
        <f t="shared" ca="1" si="62"/>
        <v>1.1254999999998807</v>
      </c>
      <c r="CS104" s="1439">
        <f ca="1">IF($B104&gt;=$J$5,0,CONTADORES!$BI102)</f>
        <v>9387</v>
      </c>
      <c r="CT104" s="1334">
        <f>CONTADORES!E102</f>
        <v>1</v>
      </c>
      <c r="CU104" s="1334">
        <f>CONTADORES!CG102</f>
        <v>0</v>
      </c>
    </row>
    <row r="105" spans="2:99">
      <c r="B105" s="390">
        <v>45021</v>
      </c>
      <c r="C105" s="198">
        <f t="shared" ca="1" si="35"/>
        <v>302.40000000002328</v>
      </c>
      <c r="D105" s="196">
        <f ca="1">'CALCULO DE GAS'!D110</f>
        <v>5.0692812490410049</v>
      </c>
      <c r="E105" s="196">
        <f ca="1">IF(B105&gt;=$J$5,0,(CONTADORES!$AD103-CONTADORES!$AD102)-$H105)</f>
        <v>24</v>
      </c>
      <c r="F105" s="198">
        <f t="shared" ca="1" si="64"/>
        <v>0</v>
      </c>
      <c r="G105" s="196">
        <f ca="1">IF(B105&gt;=$J$5,0,CONTADORES!$AF103-CONTADORES!$AF102)</f>
        <v>0</v>
      </c>
      <c r="H105" s="1396">
        <f ca="1">IF(G105&gt;0,CONTADORES!$AE103-CONTADORES!$AE102,0)</f>
        <v>0</v>
      </c>
      <c r="I105" s="199">
        <f ca="1">IF(B105&gt;=$J$5,0,CONTADORES!$AB103-CONTADORES!$AB102)</f>
        <v>302.40000000002328</v>
      </c>
      <c r="J105" s="198">
        <f t="shared" ca="1" si="36"/>
        <v>150.40000000000146</v>
      </c>
      <c r="K105" s="196">
        <f ca="1">'CALCULO DE GAS'!E110</f>
        <v>3.7979314059993148</v>
      </c>
      <c r="L105" s="1396">
        <f ca="1">IF(B105&gt;=$J$5,0,(CONTADORES!$Y103-CONTADORES!$Y102)-$O105)</f>
        <v>24</v>
      </c>
      <c r="M105" s="1396">
        <f t="shared" ca="1" si="63"/>
        <v>0</v>
      </c>
      <c r="N105" s="1396">
        <f ca="1">IF(B105&gt;=$J$5,0,CONTADORES!$AA103-CONTADORES!$AA102)</f>
        <v>0</v>
      </c>
      <c r="O105" s="1396">
        <f ca="1">IF(N105&gt;0,CONTADORES!$Z103-CONTADORES!$Z102,0)</f>
        <v>0</v>
      </c>
      <c r="P105" s="202">
        <f ca="1">IF(B105&gt;=$J$5,0,CONTADORES!$W103-CONTADORES!$W102)</f>
        <v>150.40000000000146</v>
      </c>
      <c r="Q105" s="202">
        <f ca="1">IF(B105&gt;=$J$5,0,CONTADORES!$B103-CONTADORES!$B102)</f>
        <v>0</v>
      </c>
      <c r="R105" s="196">
        <f t="shared" ca="1" si="37"/>
        <v>0</v>
      </c>
      <c r="S105" s="11">
        <f ca="1">IF(B105&gt;=$J$5,0,CONTADORES!$D103-CONTADORES!$D102)</f>
        <v>0</v>
      </c>
      <c r="T105" s="198">
        <f ca="1">IF(B105&gt;=$J$5,0,CONTADORES!$BB103-CONTADORES!$BB102)</f>
        <v>0</v>
      </c>
      <c r="U105" s="196">
        <f t="shared" ca="1" si="65"/>
        <v>0</v>
      </c>
      <c r="V105" s="199">
        <f ca="1">IF(B105&gt;=$J$5,0,CONTADORES!$BD103-CONTADORES!$BD102)</f>
        <v>0</v>
      </c>
      <c r="W105" s="1397">
        <f t="shared" ca="1" si="39"/>
        <v>452.80000000002474</v>
      </c>
      <c r="X105" s="1397">
        <f t="shared" ca="1" si="40"/>
        <v>0</v>
      </c>
      <c r="Y105" s="1398">
        <f t="shared" ca="1" si="41"/>
        <v>452.80000000002474</v>
      </c>
      <c r="Z105" s="1398">
        <f t="shared" ca="1" si="42"/>
        <v>8.8672126550403192</v>
      </c>
      <c r="AA105" s="1398">
        <f t="shared" ca="1" si="43"/>
        <v>0</v>
      </c>
      <c r="AB105" s="1398">
        <f t="shared" ca="1" si="44"/>
        <v>48</v>
      </c>
      <c r="AC105" s="1397">
        <f t="shared" ca="1" si="45"/>
        <v>0</v>
      </c>
      <c r="AD105" s="1438">
        <f ca="1">IF(B105&gt;=$J$5,0,CONTADORES!H103-CONTADORES!H102)</f>
        <v>168.29999999993015</v>
      </c>
      <c r="AE105" s="1397">
        <f ca="1">IF(B105&gt;=$J$5,0,CONTADORES!J103-CONTADORES!J102)</f>
        <v>24</v>
      </c>
      <c r="AF105" s="1438">
        <f ca="1">IF(B105&gt;=$J$5,0,CONTADORES!AU103-CONTADORES!AU102)</f>
        <v>152.40000000002328</v>
      </c>
      <c r="AG105" s="1397">
        <f ca="1">IF(B105&gt;=$J$5,0,CONTADORES!AW103-CONTADORES!AW102)</f>
        <v>24</v>
      </c>
      <c r="AH105" s="1397">
        <f ca="1">IF(B105&gt;=$J$5,0,(CONTADORES!AM103-CONTADORES!AM102)+(CONTADORES!M103-CONTADORES!M102))</f>
        <v>7.3000000000029104</v>
      </c>
      <c r="AI105" s="1397">
        <f ca="1">IF(B105&gt;=$J$5,0,(CONTADORES!AK103-CONTADORES!AK102)+(CONTADORES!O103-CONTADORES!O102))</f>
        <v>37.30000000000291</v>
      </c>
      <c r="AJ105" s="1397">
        <f ca="1">IF(B105&gt;=$J$5,0,(CONTADORES!AI103-CONTADORES!AI102))</f>
        <v>9.1000000000058208</v>
      </c>
      <c r="AK105" s="1397">
        <f ca="1">IF(B105&gt;=$J$5,0,(CONTADORES!Q103-CONTADORES!Q102))</f>
        <v>15.100000000005821</v>
      </c>
      <c r="AL105" s="1397">
        <f t="shared" ca="1" si="46"/>
        <v>34.700000000066154</v>
      </c>
      <c r="AM105" s="1397">
        <f ca="1">IF(B105&gt;=$J$5,0,(((CONTADORES!F103-CONTADORES!F102)+(CONTADORES!AQ103-CONTADORES!AQ102))))-BS105-AF105-AN105-BV105-BY105-CD105-CB105</f>
        <v>8.9688999999871832</v>
      </c>
      <c r="AN105" s="1397">
        <f ca="1">IF(B105&gt;=$J$5,0,(CONTADORES!AX103-CONTADORES!AX102)+(CONTADORES!AZ103-CONTADORES!AZ102)+(CONTADORES!BE103-CONTADORES!BE102))-CB105</f>
        <v>3.207000000000364</v>
      </c>
      <c r="AO105" s="1399">
        <f ca="1">IF(B105&gt;=$J$5,0,(CONTADORES!AC103-CONTADORES!AC102))</f>
        <v>151.10000000003492</v>
      </c>
      <c r="AP105" s="1399">
        <f ca="1">IF(B105&gt;=$J$5,0,(CONTADORES!X103-CONTADORES!X102))</f>
        <v>78.099999999998545</v>
      </c>
      <c r="AQ105" s="1404">
        <f ca="1">IF(B105&gt;=$J$5,0,(CONTADORES!C103-CONTADORES!C102))</f>
        <v>0</v>
      </c>
      <c r="AR105" s="1399">
        <f ca="1">IF(B105&gt;=$J$5,0,(CONTADORES!BC103-CONTADORES!BC102))</f>
        <v>0</v>
      </c>
      <c r="AS105" s="1438">
        <f ca="1">IF(B105&gt;=$J$5,0,CONTADORES!S103-CONTADORES!S102)</f>
        <v>16.899999999994179</v>
      </c>
      <c r="AT105" s="1438">
        <f ca="1">IF(B105&gt;=$J$5,0,(CONTADORES!U103-CONTADORES!U102)+(CONTADORES!AG103-CONTADORES!AG102))</f>
        <v>2.0999999999985448</v>
      </c>
      <c r="AU105" s="1409">
        <f>CONTADORES!I103-CONTADORES!I102</f>
        <v>84.200000000011642</v>
      </c>
      <c r="AV105" s="1438">
        <f>CONTADORES!AV103-CONTADORES!AV102</f>
        <v>65.799999999988358</v>
      </c>
      <c r="AW105" s="1438">
        <f ca="1">IF(B105&gt;=$J$5,0,(CONTADORES!N103-CONTADORES!N102)+(CONTADORES!AN103-CONTADORES!AN102))</f>
        <v>2.9000000000014552</v>
      </c>
      <c r="AX105" s="1438">
        <f ca="1">IF(B105&gt;=$J$5,0,(CONTADORES!P103-CONTADORES!P102)+(CONTADORES!AL103-CONTADORES!AL102))</f>
        <v>29.900000000001455</v>
      </c>
      <c r="AY105" s="1438">
        <f ca="1">IF(B105&gt;=$J$5,0,(CONTADORES!AJ103-CONTADORES!AJ102))</f>
        <v>7</v>
      </c>
      <c r="AZ105" s="1438">
        <f ca="1">IF(B105&gt;=$J$5,0,(CONTADORES!R103-CONTADORES!R102))</f>
        <v>12.5</v>
      </c>
      <c r="BA105" s="1409">
        <f t="shared" ca="1" si="47"/>
        <v>11.937000000024369</v>
      </c>
      <c r="BB105" s="1409">
        <f ca="1">IF(B104&gt;=$J$5,0,(((CONTADORES!G103-CONTADORES!G102)+(CONTADORES!AR103-CONTADORES!AR102))))-AV105-BC105-BT105-BW105-BZ105-CE105</f>
        <v>7.3590000000057305</v>
      </c>
      <c r="BC105" s="1438">
        <f ca="1">IF(B105&gt;=$J$5,0,(CONTADORES!AY103-CONTADORES!AY102)+(CONTADORES!BA103-CONTADORES!BA102)+(CONTADORES!BF103-CONTADORES!BF102))-CC105</f>
        <v>0.83699999999990904</v>
      </c>
      <c r="BD105" s="1397">
        <f t="shared" ca="1" si="48"/>
        <v>229.20000000003347</v>
      </c>
      <c r="BE105" s="1398">
        <f ca="1">IF($B105&gt;=$J$5,0,CONTADORES!$BG103)</f>
        <v>6004.43</v>
      </c>
      <c r="BF105" s="1397">
        <f ca="1">IF($B105&gt;=$J$5,0,CONTADORES!$BH103)</f>
        <v>33390.356140350901</v>
      </c>
      <c r="BG105" s="1397">
        <f ca="1">IF($B105&gt;=$J$5,0,CONTADORES!$BJ103)</f>
        <v>5404.25</v>
      </c>
      <c r="BH105" s="1397">
        <f ca="1">IF(B105&gt;=$J$5,0,((CONTADORES!BK103-CONTADORES!BK102)/1000))</f>
        <v>0.89300000000000002</v>
      </c>
      <c r="BI105" s="1397">
        <f ca="1">IF(C105&gt;=$J$5,0,((CONTADORES!BL103-CONTADORES!BL102)/1000))</f>
        <v>0.83899999999999997</v>
      </c>
      <c r="BJ105" s="1397">
        <f ca="1">IF(C105&gt;=$J$5,0,((CONTADORES!BM103-CONTADORES!BM102)/1000))</f>
        <v>0</v>
      </c>
      <c r="BK105" s="1397">
        <f ca="1">IF(D105&gt;=$J$5,0,((CONTADORES!BN103-CONTADORES!BN102)/1000))</f>
        <v>0</v>
      </c>
      <c r="BL105" s="1399">
        <f t="shared" ca="1" si="49"/>
        <v>0.89300000000000002</v>
      </c>
      <c r="BM105" s="1399">
        <f t="shared" ca="1" si="50"/>
        <v>0.83899999999999997</v>
      </c>
      <c r="BN105" s="1398">
        <f ca="1">IF(W105&gt;=$J$5,0,CONTADORES!$BO103)</f>
        <v>130.2486999189401</v>
      </c>
      <c r="BO105" s="1397">
        <f ca="1">IF(W105&gt;=$J$5,0,CONTADORES!$BP103)</f>
        <v>45.53392308805585</v>
      </c>
      <c r="BP105" s="1397">
        <f ca="1">IF(W105&gt;=$J$5,0,CONTADORES!$BQ103)</f>
        <v>659.80857541728392</v>
      </c>
      <c r="BQ105" s="1397">
        <f ca="1">IF(B105&gt;=$J$5,0,(CONTADORES!AS103-CONTADORES!AS102))</f>
        <v>4.5999999999985448</v>
      </c>
      <c r="BR105" s="1397">
        <f ca="1">IF(C105&gt;=$J$5,0,(CONTADORES!AT103-CONTADORES!AT102))</f>
        <v>0</v>
      </c>
      <c r="BS105" s="1409">
        <f ca="1">IF(B105&gt;=$J$5,0,CONTADORES!BR103-CONTADORES!BR102)/1000</f>
        <v>1.8921000000000932</v>
      </c>
      <c r="BT105" s="1438">
        <f ca="1">IF(B105&gt;=$J$5,0,CONTADORES!BS103-CONTADORES!BS102)</f>
        <v>1</v>
      </c>
      <c r="BU105" s="1438">
        <f ca="1">IF(B105&gt;=$J$5,0,CONTADORES!BT103-CONTADORES!BT102)</f>
        <v>16</v>
      </c>
      <c r="BV105" s="1438">
        <f ca="1">IF(B105&gt;=$J$5,0,CONTADORES!BU103-CONTADORES!BU102)/1000</f>
        <v>1.6679999999999999</v>
      </c>
      <c r="BW105" s="1438">
        <f ca="1">IF(B105&gt;=$J$5,0,CONTADORES!BV103-CONTADORES!BV102)/1000</f>
        <v>8.0000000000000002E-3</v>
      </c>
      <c r="BX105" s="1438">
        <f ca="1">IF(B105&gt;=$J$5,0,CONTADORES!BW103-CONTADORES!BW102)</f>
        <v>6.5</v>
      </c>
      <c r="BY105" s="1438">
        <f ca="1">IF(B105&gt;=$J$5,0,CONTADORES!BX103-CONTADORES!BX102)/1000</f>
        <v>4.4710000000000001</v>
      </c>
      <c r="BZ105" s="1438">
        <f ca="1">IF(B105&gt;=$J$5,0,CONTADORES!BY103-CONTADORES!BY102)/1000</f>
        <v>0.59599999999999997</v>
      </c>
      <c r="CA105" s="1438">
        <f ca="1">IF(B105&gt;=$J$5,0,CONTADORES!BZ103-CONTADORES!BZ102)</f>
        <v>23.600000000002183</v>
      </c>
      <c r="CB105" s="1409">
        <f ca="1">IF(B105&gt;=$J$5,0,(CONTADORES!CC103-CONTADORES!CC102)+(CONTADORES!CE103-CONTADORES!CE102))/1000</f>
        <v>1.393</v>
      </c>
      <c r="CC105" s="1438">
        <f ca="1">IF(B105&gt;=$J$5,0,(CONTADORES!CD103-CONTADORES!CD102)+(CONTADORES!CF103-CONTADORES!CF102))/1000</f>
        <v>0.76300000000000001</v>
      </c>
      <c r="CD105" s="1409">
        <f ca="1">IF(B105&gt;=$J$5,0,CONTADORES!CA103-CONTADORES!CA102)</f>
        <v>7</v>
      </c>
      <c r="CE105" s="1438">
        <f ca="1">IF(B105&gt;=$J$5,0,CONTADORES!CB103-CONTADORES!CB102)</f>
        <v>4.4000000000005457</v>
      </c>
      <c r="CF105" s="1438">
        <f t="shared" ca="1" si="51"/>
        <v>11.484449999993592</v>
      </c>
      <c r="CG105" s="1438">
        <f t="shared" ca="1" si="52"/>
        <v>8.0795000000034101</v>
      </c>
      <c r="CH105" s="1438">
        <f t="shared" ca="1" si="53"/>
        <v>4.4844499999935916</v>
      </c>
      <c r="CI105" s="1438">
        <f t="shared" ca="1" si="54"/>
        <v>1.2828000000001456</v>
      </c>
      <c r="CJ105" s="1438">
        <f t="shared" ca="1" si="55"/>
        <v>4.4844499999935916</v>
      </c>
      <c r="CK105" s="1438">
        <f t="shared" ca="1" si="56"/>
        <v>1.9242000000002184</v>
      </c>
      <c r="CL105" s="1438">
        <f t="shared" ca="1" si="57"/>
        <v>2.6758000000001454</v>
      </c>
      <c r="CM105" s="1438">
        <f t="shared" ca="1" si="58"/>
        <v>3.6795000000028653</v>
      </c>
      <c r="CN105" s="1438">
        <f ca="1">IF(B105&gt;=$J$5,0,CONTADORES!CB103-CONTADORES!CB102)</f>
        <v>4.4000000000005457</v>
      </c>
      <c r="CO105" s="1438">
        <f t="shared" ca="1" si="59"/>
        <v>3.6795000000028653</v>
      </c>
      <c r="CP105" s="1438">
        <f t="shared" ca="1" si="60"/>
        <v>0.41849999999995452</v>
      </c>
      <c r="CQ105" s="1438">
        <f t="shared" ca="1" si="61"/>
        <v>0.41849999999995452</v>
      </c>
      <c r="CR105" s="1438">
        <f t="shared" ca="1" si="62"/>
        <v>1.1814999999999545</v>
      </c>
      <c r="CS105" s="1439">
        <f ca="1">IF($B105&gt;=$J$5,0,CONTADORES!$BI103)</f>
        <v>9692.8795700307091</v>
      </c>
      <c r="CT105" s="1334">
        <f>CONTADORES!E103</f>
        <v>0</v>
      </c>
      <c r="CU105" s="1334">
        <f>CONTADORES!CG103</f>
        <v>0</v>
      </c>
    </row>
    <row r="106" spans="2:99">
      <c r="B106" s="390">
        <v>45022</v>
      </c>
      <c r="C106" s="198">
        <f t="shared" ca="1" si="35"/>
        <v>308.69999999995343</v>
      </c>
      <c r="D106" s="196">
        <f ca="1">'CALCULO DE GAS'!D111</f>
        <v>5.1219753543770095</v>
      </c>
      <c r="E106" s="196">
        <f ca="1">IF(B106&gt;=$J$5,0,(CONTADORES!$AD104-CONTADORES!$AD103)-$H106)</f>
        <v>24</v>
      </c>
      <c r="F106" s="198">
        <f t="shared" ca="1" si="64"/>
        <v>0</v>
      </c>
      <c r="G106" s="196">
        <f ca="1">IF(B106&gt;=$J$5,0,CONTADORES!$AF104-CONTADORES!$AF103)</f>
        <v>0</v>
      </c>
      <c r="H106" s="1396">
        <f ca="1">IF(G106&gt;0,CONTADORES!$AE104-CONTADORES!$AE103,0)</f>
        <v>0</v>
      </c>
      <c r="I106" s="199">
        <f ca="1">IF(B106&gt;=$J$5,0,CONTADORES!$AB104-CONTADORES!$AB103)</f>
        <v>308.69999999995343</v>
      </c>
      <c r="J106" s="198">
        <f t="shared" ca="1" si="36"/>
        <v>151.29999999999927</v>
      </c>
      <c r="K106" s="196">
        <f ca="1">'CALCULO DE GAS'!E111</f>
        <v>3.8054591353330949</v>
      </c>
      <c r="L106" s="1396">
        <f ca="1">IF(B106&gt;=$J$5,0,(CONTADORES!$Y104-CONTADORES!$Y103)-$O106)</f>
        <v>24</v>
      </c>
      <c r="M106" s="1396">
        <f t="shared" ca="1" si="63"/>
        <v>0</v>
      </c>
      <c r="N106" s="1396">
        <f ca="1">IF(B106&gt;=$J$5,0,CONTADORES!$AA104-CONTADORES!$AA103)</f>
        <v>0</v>
      </c>
      <c r="O106" s="1396">
        <f ca="1">IF(N106&gt;0,CONTADORES!$Z104-CONTADORES!$Z103,0)</f>
        <v>0</v>
      </c>
      <c r="P106" s="202">
        <f ca="1">IF(B106&gt;=$J$5,0,CONTADORES!$W104-CONTADORES!$W103)</f>
        <v>151.29999999999927</v>
      </c>
      <c r="Q106" s="202">
        <f ca="1">IF(B106&gt;=$J$5,0,CONTADORES!$B104-CONTADORES!$B103)</f>
        <v>0</v>
      </c>
      <c r="R106" s="196">
        <f t="shared" ca="1" si="37"/>
        <v>0</v>
      </c>
      <c r="S106" s="11">
        <f ca="1">IF(B106&gt;=$J$5,0,CONTADORES!$D104-CONTADORES!$D103)</f>
        <v>0</v>
      </c>
      <c r="T106" s="198">
        <f ca="1">IF(B106&gt;=$J$5,0,CONTADORES!$BB104-CONTADORES!$BB103)</f>
        <v>0</v>
      </c>
      <c r="U106" s="196">
        <f t="shared" ca="1" si="65"/>
        <v>0</v>
      </c>
      <c r="V106" s="199">
        <f ca="1">IF(B106&gt;=$J$5,0,CONTADORES!$BD104-CONTADORES!$BD103)</f>
        <v>0</v>
      </c>
      <c r="W106" s="1397">
        <f t="shared" ca="1" si="39"/>
        <v>459.99999999995271</v>
      </c>
      <c r="X106" s="1397">
        <f t="shared" ca="1" si="40"/>
        <v>0</v>
      </c>
      <c r="Y106" s="1398">
        <f t="shared" ca="1" si="41"/>
        <v>459.99999999995271</v>
      </c>
      <c r="Z106" s="1398">
        <f t="shared" ca="1" si="42"/>
        <v>8.9274344897101052</v>
      </c>
      <c r="AA106" s="1398">
        <f t="shared" ca="1" si="43"/>
        <v>0</v>
      </c>
      <c r="AB106" s="1398">
        <f t="shared" ca="1" si="44"/>
        <v>48</v>
      </c>
      <c r="AC106" s="1397">
        <f t="shared" ca="1" si="45"/>
        <v>0</v>
      </c>
      <c r="AD106" s="1438">
        <f ca="1">IF(B106&gt;=$J$5,0,CONTADORES!H104-CONTADORES!H103)</f>
        <v>168.80000000004657</v>
      </c>
      <c r="AE106" s="1397">
        <f ca="1">IF(B106&gt;=$J$5,0,CONTADORES!J104-CONTADORES!J103)</f>
        <v>24</v>
      </c>
      <c r="AF106" s="1438">
        <f ca="1">IF(B106&gt;=$J$5,0,CONTADORES!AU104-CONTADORES!AU103)</f>
        <v>153.79999999998836</v>
      </c>
      <c r="AG106" s="1397">
        <f ca="1">IF(B106&gt;=$J$5,0,CONTADORES!AW104-CONTADORES!AW103)</f>
        <v>24</v>
      </c>
      <c r="AH106" s="1397">
        <f ca="1">IF(B106&gt;=$J$5,0,(CONTADORES!AM104-CONTADORES!AM103)+(CONTADORES!M104-CONTADORES!M103))</f>
        <v>10.099999999998545</v>
      </c>
      <c r="AI106" s="1397">
        <f ca="1">IF(B106&gt;=$J$5,0,(CONTADORES!AK104-CONTADORES!AK103)+(CONTADORES!O104-CONTADORES!O103))</f>
        <v>39.69999999999709</v>
      </c>
      <c r="AJ106" s="1397">
        <f ca="1">IF(B106&gt;=$J$5,0,(CONTADORES!AI104-CONTADORES!AI103))</f>
        <v>9.1999999999970896</v>
      </c>
      <c r="AK106" s="1397">
        <f ca="1">IF(B106&gt;=$J$5,0,(CONTADORES!Q104-CONTADORES!Q103))</f>
        <v>15.299999999988358</v>
      </c>
      <c r="AL106" s="1397">
        <f t="shared" ca="1" si="46"/>
        <v>35.099999999947556</v>
      </c>
      <c r="AM106" s="1397">
        <f ca="1">IF(B106&gt;=$J$5,0,(((CONTADORES!F104-CONTADORES!F103)+(CONTADORES!AQ104-CONTADORES!AQ103))))-BS106-AF106-AN106-BV106-BY106-CD106-CB106</f>
        <v>8.3826999999883505</v>
      </c>
      <c r="AN106" s="1397">
        <f ca="1">IF(B106&gt;=$J$5,0,(CONTADORES!AX104-CONTADORES!AX103)+(CONTADORES!AZ104-CONTADORES!AZ103)+(CONTADORES!BE104-CONTADORES!BE103))-CB106</f>
        <v>3.1250000000002061</v>
      </c>
      <c r="AO106" s="1399">
        <f ca="1">IF(B106&gt;=$J$5,0,(CONTADORES!AC104-CONTADORES!AC103))</f>
        <v>161.59999999997672</v>
      </c>
      <c r="AP106" s="1399">
        <f ca="1">IF(B106&gt;=$J$5,0,(CONTADORES!X104-CONTADORES!X103))</f>
        <v>73.200000000000728</v>
      </c>
      <c r="AQ106" s="1404">
        <f ca="1">IF(B106&gt;=$J$5,0,(CONTADORES!C104-CONTADORES!C103))</f>
        <v>0</v>
      </c>
      <c r="AR106" s="1399">
        <f ca="1">IF(B106&gt;=$J$5,0,(CONTADORES!BC104-CONTADORES!BC103))</f>
        <v>0</v>
      </c>
      <c r="AS106" s="1438">
        <f ca="1">IF(B106&gt;=$J$5,0,CONTADORES!S104-CONTADORES!S103)</f>
        <v>15.600000000005821</v>
      </c>
      <c r="AT106" s="1438">
        <f ca="1">IF(B106&gt;=$J$5,0,(CONTADORES!U104-CONTADORES!U103)+(CONTADORES!AG104-CONTADORES!AG103))</f>
        <v>2.2000000000043656</v>
      </c>
      <c r="AU106" s="1409">
        <f>CONTADORES!I104-CONTADORES!I103</f>
        <v>84.5</v>
      </c>
      <c r="AV106" s="1438">
        <f>CONTADORES!AV104-CONTADORES!AV103</f>
        <v>67.100000000005821</v>
      </c>
      <c r="AW106" s="1438">
        <f ca="1">IF(B106&gt;=$J$5,0,(CONTADORES!N104-CONTADORES!N103)+(CONTADORES!AN104-CONTADORES!AN103))</f>
        <v>3.8999999999978172</v>
      </c>
      <c r="AX106" s="1438">
        <f ca="1">IF(B106&gt;=$J$5,0,(CONTADORES!P104-CONTADORES!P103)+(CONTADORES!AL104-CONTADORES!AL103))</f>
        <v>32.099999999998545</v>
      </c>
      <c r="AY106" s="1438">
        <f ca="1">IF(B106&gt;=$J$5,0,(CONTADORES!AJ104-CONTADORES!AJ103))</f>
        <v>7.2000000000043656</v>
      </c>
      <c r="AZ106" s="1438">
        <f ca="1">IF(B106&gt;=$J$5,0,(CONTADORES!R104-CONTADORES!R103))</f>
        <v>12.599999999991269</v>
      </c>
      <c r="BA106" s="1409">
        <f t="shared" ca="1" si="47"/>
        <v>10.270999999991801</v>
      </c>
      <c r="BB106" s="1409">
        <f ca="1">IF(B105&gt;=$J$5,0,(((CONTADORES!G104-CONTADORES!G103)+(CONTADORES!AR104-CONTADORES!AR103))))-AV106-BC106-BT106-BW106-BZ106-CE106</f>
        <v>8.1629999999878375</v>
      </c>
      <c r="BC106" s="1438">
        <f ca="1">IF(B106&gt;=$J$5,0,(CONTADORES!AY104-CONTADORES!AY103)+(CONTADORES!BA104-CONTADORES!BA103)+(CONTADORES!BF104-CONTADORES!BF103))-CC106</f>
        <v>1.1610000000001568</v>
      </c>
      <c r="BD106" s="1397">
        <f t="shared" ca="1" si="48"/>
        <v>234.79999999997744</v>
      </c>
      <c r="BE106" s="1398">
        <f ca="1">IF($B106&gt;=$J$5,0,CONTADORES!$BG104)</f>
        <v>6386.3</v>
      </c>
      <c r="BF106" s="1397">
        <f ca="1">IF($B106&gt;=$J$5,0,CONTADORES!$BH104)</f>
        <v>33356.677192982497</v>
      </c>
      <c r="BG106" s="1397">
        <f ca="1">IF($B106&gt;=$J$5,0,CONTADORES!$BJ104)</f>
        <v>6600.88</v>
      </c>
      <c r="BH106" s="1397">
        <f ca="1">IF(B106&gt;=$J$5,0,((CONTADORES!BK104-CONTADORES!BK103)/1000))</f>
        <v>0.85399999999999998</v>
      </c>
      <c r="BI106" s="1397">
        <f ca="1">IF(C106&gt;=$J$5,0,((CONTADORES!BL104-CONTADORES!BL103)/1000))</f>
        <v>0.82399999999999995</v>
      </c>
      <c r="BJ106" s="1397">
        <f ca="1">IF(C106&gt;=$J$5,0,((CONTADORES!BM104-CONTADORES!BM103)/1000))</f>
        <v>0</v>
      </c>
      <c r="BK106" s="1397">
        <f ca="1">IF(D106&gt;=$J$5,0,((CONTADORES!BN104-CONTADORES!BN103)/1000))</f>
        <v>0</v>
      </c>
      <c r="BL106" s="1399">
        <f t="shared" ca="1" si="49"/>
        <v>0.85399999999999998</v>
      </c>
      <c r="BM106" s="1399">
        <f t="shared" ca="1" si="50"/>
        <v>0.82399999999999995</v>
      </c>
      <c r="BN106" s="1398">
        <f ca="1">IF(W106&gt;=$J$5,0,CONTADORES!$BO104)</f>
        <v>129.69306315120127</v>
      </c>
      <c r="BO106" s="1397">
        <f ca="1">IF(W106&gt;=$J$5,0,CONTADORES!$BP104)</f>
        <v>45.306726928359346</v>
      </c>
      <c r="BP106" s="1397">
        <f ca="1">IF(W106&gt;=$J$5,0,CONTADORES!$BQ104)</f>
        <v>660.88650491377734</v>
      </c>
      <c r="BQ106" s="1397">
        <f ca="1">IF(B106&gt;=$J$5,0,(CONTADORES!AS104-CONTADORES!AS103))</f>
        <v>4.3000000000029104</v>
      </c>
      <c r="BR106" s="1397">
        <f ca="1">IF(C106&gt;=$J$5,0,(CONTADORES!AT104-CONTADORES!AT103))</f>
        <v>0</v>
      </c>
      <c r="BS106" s="1409">
        <f ca="1">IF(B106&gt;=$J$5,0,CONTADORES!BR104-CONTADORES!BR103)/1000</f>
        <v>2.1652999999998137</v>
      </c>
      <c r="BT106" s="1438">
        <f ca="1">IF(B106&gt;=$J$5,0,CONTADORES!BS104-CONTADORES!BS103)</f>
        <v>1</v>
      </c>
      <c r="BU106" s="1438">
        <f ca="1">IF(B106&gt;=$J$5,0,CONTADORES!BT104-CONTADORES!BT103)</f>
        <v>24</v>
      </c>
      <c r="BV106" s="1438">
        <f ca="1">IF(B106&gt;=$J$5,0,CONTADORES!BU104-CONTADORES!BU103)/1000</f>
        <v>0</v>
      </c>
      <c r="BW106" s="1438">
        <f ca="1">IF(B106&gt;=$J$5,0,CONTADORES!BV104-CONTADORES!BV103)/1000</f>
        <v>0</v>
      </c>
      <c r="BX106" s="1438">
        <f ca="1">IF(B106&gt;=$J$5,0,CONTADORES!BW104-CONTADORES!BW103)</f>
        <v>0</v>
      </c>
      <c r="BY106" s="1438">
        <f ca="1">IF(B106&gt;=$J$5,0,CONTADORES!BX104-CONTADORES!BX103)/1000</f>
        <v>4.8220000000000001</v>
      </c>
      <c r="BZ106" s="1438">
        <f ca="1">IF(B106&gt;=$J$5,0,CONTADORES!BY104-CONTADORES!BY103)/1000</f>
        <v>0.876</v>
      </c>
      <c r="CA106" s="1438">
        <f ca="1">IF(B106&gt;=$J$5,0,CONTADORES!BZ104-CONTADORES!BZ103)</f>
        <v>24</v>
      </c>
      <c r="CB106" s="1409">
        <f ca="1">IF(B106&gt;=$J$5,0,(CONTADORES!CC104-CONTADORES!CC103)+(CONTADORES!CE104-CONTADORES!CE103))/1000</f>
        <v>1.3049999999999999</v>
      </c>
      <c r="CC106" s="1438">
        <f ca="1">IF(B106&gt;=$J$5,0,(CONTADORES!CD104-CONTADORES!CD103)+(CONTADORES!CF104-CONTADORES!CF103))/1000</f>
        <v>0.72899999999999998</v>
      </c>
      <c r="CD106" s="1409">
        <f ca="1">IF(B106&gt;=$J$5,0,CONTADORES!CA104-CONTADORES!CA103)</f>
        <v>8.2000000000007276</v>
      </c>
      <c r="CE106" s="1438">
        <f ca="1">IF(B106&gt;=$J$5,0,CONTADORES!CB104-CONTADORES!CB103)</f>
        <v>5.1999999999998181</v>
      </c>
      <c r="CF106" s="1438">
        <f t="shared" ca="1" si="51"/>
        <v>12.391349999994903</v>
      </c>
      <c r="CG106" s="1438">
        <f t="shared" ca="1" si="52"/>
        <v>9.2814999999937378</v>
      </c>
      <c r="CH106" s="1438">
        <f t="shared" ca="1" si="53"/>
        <v>4.1913499999941752</v>
      </c>
      <c r="CI106" s="1438">
        <f t="shared" ca="1" si="54"/>
        <v>1.2500000000000826</v>
      </c>
      <c r="CJ106" s="1438">
        <f t="shared" ca="1" si="55"/>
        <v>4.1913499999941752</v>
      </c>
      <c r="CK106" s="1438">
        <f t="shared" ca="1" si="56"/>
        <v>1.8750000000001235</v>
      </c>
      <c r="CL106" s="1438">
        <f t="shared" ca="1" si="57"/>
        <v>2.5550000000000823</v>
      </c>
      <c r="CM106" s="1438">
        <f t="shared" ca="1" si="58"/>
        <v>4.0814999999939188</v>
      </c>
      <c r="CN106" s="1438">
        <f ca="1">IF(B106&gt;=$J$5,0,CONTADORES!CB104-CONTADORES!CB103)</f>
        <v>5.1999999999998181</v>
      </c>
      <c r="CO106" s="1438">
        <f t="shared" ca="1" si="59"/>
        <v>4.0814999999939188</v>
      </c>
      <c r="CP106" s="1438">
        <f t="shared" ca="1" si="60"/>
        <v>0.5805000000000784</v>
      </c>
      <c r="CQ106" s="1438">
        <f t="shared" ca="1" si="61"/>
        <v>0.5805000000000784</v>
      </c>
      <c r="CR106" s="1438">
        <f t="shared" ca="1" si="62"/>
        <v>1.3095000000000785</v>
      </c>
      <c r="CS106" s="1439">
        <f ca="1">IF($B106&gt;=$J$5,0,CONTADORES!$BI104)</f>
        <v>9489.9605797448403</v>
      </c>
      <c r="CT106" s="1334">
        <f>CONTADORES!E104</f>
        <v>0</v>
      </c>
      <c r="CU106" s="1334">
        <f>CONTADORES!CG104</f>
        <v>0</v>
      </c>
    </row>
    <row r="107" spans="2:99">
      <c r="B107" s="390">
        <v>45023</v>
      </c>
      <c r="C107" s="198">
        <f t="shared" ca="1" si="35"/>
        <v>314</v>
      </c>
      <c r="D107" s="196">
        <f ca="1">'CALCULO DE GAS'!D112</f>
        <v>5.1663053160097672</v>
      </c>
      <c r="E107" s="196">
        <f ca="1">IF(B107&gt;=$J$5,0,(CONTADORES!$AD105-CONTADORES!$AD104)-$H107)</f>
        <v>24</v>
      </c>
      <c r="F107" s="198">
        <f t="shared" ca="1" si="64"/>
        <v>0</v>
      </c>
      <c r="G107" s="196">
        <f ca="1">IF(B107&gt;=$J$5,0,CONTADORES!$AF105-CONTADORES!$AF104)</f>
        <v>0</v>
      </c>
      <c r="H107" s="1396">
        <f ca="1">IF(G107&gt;0,CONTADORES!$AE105-CONTADORES!$AE104,0)</f>
        <v>0</v>
      </c>
      <c r="I107" s="199">
        <f ca="1">IF(B107&gt;=$J$5,0,CONTADORES!$AB105-CONTADORES!$AB104)</f>
        <v>314</v>
      </c>
      <c r="J107" s="198">
        <f t="shared" ca="1" si="36"/>
        <v>148</v>
      </c>
      <c r="K107" s="196">
        <f ca="1">'CALCULO DE GAS'!E112</f>
        <v>3.777857461109174</v>
      </c>
      <c r="L107" s="1396">
        <f ca="1">IF(B107&gt;=$J$5,0,(CONTADORES!$Y105-CONTADORES!$Y104)-$O107)</f>
        <v>24</v>
      </c>
      <c r="M107" s="1396">
        <v>0</v>
      </c>
      <c r="N107" s="1396">
        <f ca="1">IF(B107&gt;=$J$5,0,CONTADORES!$AA105-CONTADORES!$AA104)</f>
        <v>0</v>
      </c>
      <c r="O107" s="1396">
        <f ca="1">IF(N107&gt;0,CONTADORES!$Z105-CONTADORES!$Z104,0)</f>
        <v>0</v>
      </c>
      <c r="P107" s="202">
        <f ca="1">IF(B107&gt;=$J$5,0,CONTADORES!$W105-CONTADORES!$W104)</f>
        <v>148</v>
      </c>
      <c r="Q107" s="202">
        <f ca="1">IF(B107&gt;=$J$5,0,CONTADORES!$B105-CONTADORES!$B104)</f>
        <v>0</v>
      </c>
      <c r="R107" s="196">
        <f t="shared" ca="1" si="37"/>
        <v>0</v>
      </c>
      <c r="S107" s="11">
        <f ca="1">IF(B107&gt;=$J$5,0,CONTADORES!$D105-CONTADORES!$D104)</f>
        <v>0</v>
      </c>
      <c r="T107" s="198">
        <f ca="1">IF(B107&gt;=$J$5,0,CONTADORES!$BB105-CONTADORES!$BB104)</f>
        <v>0</v>
      </c>
      <c r="U107" s="196">
        <f t="shared" ca="1" si="65"/>
        <v>0</v>
      </c>
      <c r="V107" s="199">
        <f ca="1">IF(B107&gt;=$J$5,0,CONTADORES!$BD105-CONTADORES!$BD104)</f>
        <v>0</v>
      </c>
      <c r="W107" s="1397">
        <f t="shared" ca="1" si="39"/>
        <v>462</v>
      </c>
      <c r="X107" s="1397">
        <f t="shared" ca="1" si="40"/>
        <v>0</v>
      </c>
      <c r="Y107" s="1398">
        <f t="shared" ca="1" si="41"/>
        <v>462</v>
      </c>
      <c r="Z107" s="1398">
        <f t="shared" ca="1" si="42"/>
        <v>8.9441627771189403</v>
      </c>
      <c r="AA107" s="1398">
        <f t="shared" ca="1" si="43"/>
        <v>0</v>
      </c>
      <c r="AB107" s="1398">
        <f t="shared" ca="1" si="44"/>
        <v>48</v>
      </c>
      <c r="AC107" s="1397">
        <f t="shared" ca="1" si="45"/>
        <v>0</v>
      </c>
      <c r="AD107" s="1438">
        <f ca="1">IF(B107&gt;=$J$5,0,CONTADORES!H105-CONTADORES!H104)</f>
        <v>166</v>
      </c>
      <c r="AE107" s="1397">
        <f ca="1">IF(B107&gt;=$J$5,0,CONTADORES!J105-CONTADORES!J104)</f>
        <v>24</v>
      </c>
      <c r="AF107" s="1438">
        <f ca="1">IF(B107&gt;=$J$5,0,CONTADORES!AU105-CONTADORES!AU104)</f>
        <v>154</v>
      </c>
      <c r="AG107" s="1397">
        <f ca="1">IF(B107&gt;=$J$5,0,CONTADORES!AW105-CONTADORES!AW104)</f>
        <v>24</v>
      </c>
      <c r="AH107" s="1397">
        <f ca="1">IF(B107&gt;=$J$5,0,(CONTADORES!AM105-CONTADORES!AM104)+(CONTADORES!M105-CONTADORES!M104))</f>
        <v>12.399999999995998</v>
      </c>
      <c r="AI107" s="1397">
        <f ca="1">IF(B107&gt;=$J$5,0,(CONTADORES!AK105-CONTADORES!AK104)+(CONTADORES!O105-CONTADORES!O104))</f>
        <v>42.30000000000291</v>
      </c>
      <c r="AJ107" s="1397">
        <f ca="1">IF(B107&gt;=$J$5,0,(CONTADORES!AI105-CONTADORES!AI104))</f>
        <v>10</v>
      </c>
      <c r="AK107" s="1397">
        <f ca="1">IF(B107&gt;=$J$5,0,(CONTADORES!Q105-CONTADORES!Q104))</f>
        <v>14.900000000023283</v>
      </c>
      <c r="AL107" s="1397">
        <f t="shared" ca="1" si="46"/>
        <v>33.799999999979264</v>
      </c>
      <c r="AM107" s="1397">
        <f ca="1">IF(B107&gt;=$J$5,0,(((CONTADORES!F105-CONTADORES!F104)+(CONTADORES!AQ105-CONTADORES!AQ104))))-BS107-AF107-AN107-BV107-BY107-CD107-CB107</f>
        <v>9.1009999999980931</v>
      </c>
      <c r="AN107" s="1397">
        <f ca="1">IF(B107&gt;=$J$5,0,(CONTADORES!AX105-CONTADORES!AX104)+(CONTADORES!AZ105-CONTADORES!AZ104)+(CONTADORES!BE105-CONTADORES!BE104))-CB107</f>
        <v>3.3859999999997275</v>
      </c>
      <c r="AO107" s="1399">
        <f ca="1">IF(B107&gt;=$J$5,0,(CONTADORES!AC105-CONTADORES!AC104))</f>
        <v>164</v>
      </c>
      <c r="AP107" s="1399">
        <f ca="1">IF(B107&gt;=$J$5,0,(CONTADORES!X105-CONTADORES!X104))</f>
        <v>76</v>
      </c>
      <c r="AQ107" s="1404">
        <f ca="1">IF(B107&gt;=$J$5,0,(CONTADORES!C105-CONTADORES!C104))</f>
        <v>0</v>
      </c>
      <c r="AR107" s="1399">
        <f ca="1">IF(B107&gt;=$J$5,0,(CONTADORES!BC105-CONTADORES!BC104))</f>
        <v>0</v>
      </c>
      <c r="AS107" s="1438">
        <f ca="1">IF(B107&gt;=$J$5,0,CONTADORES!S105-CONTADORES!S104)</f>
        <v>15.299999999988358</v>
      </c>
      <c r="AT107" s="1438">
        <f ca="1">IF(B107&gt;=$J$5,0,(CONTADORES!U105-CONTADORES!U104)+(CONTADORES!AG105-CONTADORES!AG104))</f>
        <v>2.1999999999970896</v>
      </c>
      <c r="AU107" s="1409">
        <f>CONTADORES!I105-CONTADORES!I104</f>
        <v>85</v>
      </c>
      <c r="AV107" s="1438">
        <f>CONTADORES!AV105-CONTADORES!AV104</f>
        <v>66</v>
      </c>
      <c r="AW107" s="1438">
        <f ca="1">IF(B107&gt;=$J$5,0,(CONTADORES!N105-CONTADORES!N104)+(CONTADORES!AN105-CONTADORES!AN104))</f>
        <v>4.9000000000014552</v>
      </c>
      <c r="AX107" s="1438">
        <f ca="1">IF(B107&gt;=$J$5,0,(CONTADORES!P105-CONTADORES!P104)+(CONTADORES!AL105-CONTADORES!AL104))</f>
        <v>34.5</v>
      </c>
      <c r="AY107" s="1438">
        <f ca="1">IF(B107&gt;=$J$5,0,(CONTADORES!AJ105-CONTADORES!AJ104))</f>
        <v>7.5999999999985448</v>
      </c>
      <c r="AZ107" s="1438">
        <f ca="1">IF(B107&gt;=$J$5,0,(CONTADORES!R105-CONTADORES!R104))</f>
        <v>12.30000000000291</v>
      </c>
      <c r="BA107" s="1409">
        <f t="shared" ca="1" si="47"/>
        <v>12.123999999996897</v>
      </c>
      <c r="BB107" s="1409">
        <f ca="1">IF(B106&gt;=$J$5,0,(((CONTADORES!G105-CONTADORES!G104)+(CONTADORES!AR105-CONTADORES!AR104))))-AV107-BC107-BT107-BW107-BZ107-CE107</f>
        <v>8.6649999999997274</v>
      </c>
      <c r="BC107" s="1438">
        <f ca="1">IF(B107&gt;=$J$5,0,(CONTADORES!AY105-CONTADORES!AY104)+(CONTADORES!BA105-CONTADORES!BA104)+(CONTADORES!BF105-CONTADORES!BF104))-CC107</f>
        <v>1.1240000000000909</v>
      </c>
      <c r="BD107" s="1397">
        <f t="shared" ca="1" si="48"/>
        <v>240</v>
      </c>
      <c r="BE107" s="1398">
        <f ca="1">IF($B107&gt;=$J$5,0,CONTADORES!$BG105)</f>
        <v>6074.88</v>
      </c>
      <c r="BF107" s="1397">
        <f ca="1">IF($B107&gt;=$J$5,0,CONTADORES!$BH105)</f>
        <v>30799.2807017544</v>
      </c>
      <c r="BG107" s="1397">
        <f ca="1">IF($B107&gt;=$J$5,0,CONTADORES!$BJ105)</f>
        <v>5754.63</v>
      </c>
      <c r="BH107" s="1397">
        <f ca="1">IF(B107&gt;=$J$5,0,((CONTADORES!BK105-CONTADORES!BK104)/1000))</f>
        <v>0.88500000000000001</v>
      </c>
      <c r="BI107" s="1397">
        <f ca="1">IF(C107&gt;=$J$5,0,((CONTADORES!BL105-CONTADORES!BL104)/1000))</f>
        <v>0.85299999999999998</v>
      </c>
      <c r="BJ107" s="1397">
        <f ca="1">IF(C107&gt;=$J$5,0,((CONTADORES!BM105-CONTADORES!BM104)/1000))</f>
        <v>0</v>
      </c>
      <c r="BK107" s="1397">
        <f ca="1">IF(D107&gt;=$J$5,0,((CONTADORES!BN105-CONTADORES!BN104)/1000))</f>
        <v>0</v>
      </c>
      <c r="BL107" s="1399">
        <f t="shared" ca="1" si="49"/>
        <v>0.88500000000000001</v>
      </c>
      <c r="BM107" s="1399">
        <f t="shared" ca="1" si="50"/>
        <v>0.85299999999999998</v>
      </c>
      <c r="BN107" s="1398">
        <f ca="1">IF(W107&gt;=$J$5,0,CONTADORES!$BO105)</f>
        <v>129.69306315120127</v>
      </c>
      <c r="BO107" s="1397">
        <f ca="1">IF(W107&gt;=$J$5,0,CONTADORES!$BP105)</f>
        <v>45.368977783894763</v>
      </c>
      <c r="BP107" s="1397">
        <f ca="1">IF(W107&gt;=$J$5,0,CONTADORES!$BQ105)</f>
        <v>659.73858685067842</v>
      </c>
      <c r="BQ107" s="1397">
        <f ca="1">IF(B107&gt;=$J$5,0,(CONTADORES!AS105-CONTADORES!AS104))</f>
        <v>4</v>
      </c>
      <c r="BR107" s="1397">
        <f ca="1">IF(C107&gt;=$J$5,0,(CONTADORES!AT105-CONTADORES!AT104))</f>
        <v>0</v>
      </c>
      <c r="BS107" s="1409">
        <f ca="1">IF(B107&gt;=$J$5,0,CONTADORES!BR105-CONTADORES!BR104)/1000</f>
        <v>2</v>
      </c>
      <c r="BT107" s="1438">
        <f ca="1">IF(B107&gt;=$J$5,0,CONTADORES!BS105-CONTADORES!BS104)</f>
        <v>1</v>
      </c>
      <c r="BU107" s="1438">
        <f ca="1">IF(B107&gt;=$J$5,0,CONTADORES!BT105-CONTADORES!BT104)</f>
        <v>23.599999999998545</v>
      </c>
      <c r="BV107" s="1438">
        <f ca="1">IF(B107&gt;=$J$5,0,CONTADORES!BU105-CONTADORES!BU104)/1000</f>
        <v>0</v>
      </c>
      <c r="BW107" s="1438">
        <f ca="1">IF(B107&gt;=$J$5,0,CONTADORES!BV105-CONTADORES!BV104)/1000</f>
        <v>0</v>
      </c>
      <c r="BX107" s="1438">
        <f ca="1">IF(B107&gt;=$J$5,0,CONTADORES!BW105-CONTADORES!BW104)</f>
        <v>0</v>
      </c>
      <c r="BY107" s="1438">
        <f ca="1">IF(B107&gt;=$J$5,0,CONTADORES!BX105-CONTADORES!BX104)/1000</f>
        <v>4.9989999999999997</v>
      </c>
      <c r="BZ107" s="1438">
        <f ca="1">IF(B107&gt;=$J$5,0,CONTADORES!BY105-CONTADORES!BY104)/1000</f>
        <v>0.91100000000000003</v>
      </c>
      <c r="CA107" s="1438">
        <f ca="1">IF(B107&gt;=$J$5,0,CONTADORES!BZ105-CONTADORES!BZ104)</f>
        <v>24</v>
      </c>
      <c r="CB107" s="1409">
        <f ca="1">IF(B107&gt;=$J$5,0,(CONTADORES!CC105-CONTADORES!CC104)+(CONTADORES!CE105-CONTADORES!CE104))/1000</f>
        <v>1.4139999999999999</v>
      </c>
      <c r="CC107" s="1438">
        <f ca="1">IF(B107&gt;=$J$5,0,(CONTADORES!CD105-CONTADORES!CD104)+(CONTADORES!CF105-CONTADORES!CF104))/1000</f>
        <v>0.77600000000000002</v>
      </c>
      <c r="CD107" s="1409">
        <f ca="1">IF(B107&gt;=$J$5,0,CONTADORES!CA105-CONTADORES!CA104)</f>
        <v>7.7000000000007276</v>
      </c>
      <c r="CE107" s="1438">
        <f ca="1">IF(B107&gt;=$J$5,0,CONTADORES!CB105-CONTADORES!CB104)</f>
        <v>5.1000000000003638</v>
      </c>
      <c r="CF107" s="1438">
        <f t="shared" ca="1" si="51"/>
        <v>12.250499999999775</v>
      </c>
      <c r="CG107" s="1438">
        <f t="shared" ca="1" si="52"/>
        <v>9.4325000000002284</v>
      </c>
      <c r="CH107" s="1438">
        <f t="shared" ca="1" si="53"/>
        <v>4.5504999999990465</v>
      </c>
      <c r="CI107" s="1438">
        <f t="shared" ca="1" si="54"/>
        <v>1.354399999999891</v>
      </c>
      <c r="CJ107" s="1442">
        <f t="shared" ca="1" si="55"/>
        <v>4.5504999999990465</v>
      </c>
      <c r="CK107" s="1438">
        <f t="shared" ca="1" si="56"/>
        <v>2.0315999999998366</v>
      </c>
      <c r="CL107" s="1438">
        <f t="shared" ca="1" si="57"/>
        <v>2.7683999999998909</v>
      </c>
      <c r="CM107" s="1438">
        <f t="shared" ca="1" si="58"/>
        <v>4.3324999999998637</v>
      </c>
      <c r="CN107" s="1438">
        <f ca="1">IF(B107&gt;=$J$5,0,CONTADORES!CB105-CONTADORES!CB104)</f>
        <v>5.1000000000003638</v>
      </c>
      <c r="CO107" s="1438">
        <f t="shared" ca="1" si="59"/>
        <v>4.3324999999998637</v>
      </c>
      <c r="CP107" s="1438">
        <f t="shared" ca="1" si="60"/>
        <v>0.56200000000004546</v>
      </c>
      <c r="CQ107" s="1438">
        <f t="shared" ca="1" si="61"/>
        <v>0.56200000000004546</v>
      </c>
      <c r="CR107" s="1438">
        <f t="shared" ca="1" si="62"/>
        <v>1.3380000000000454</v>
      </c>
      <c r="CS107" s="1439">
        <f ca="1">IF($B107&gt;=$J$5,0,CONTADORES!$BI105)</f>
        <v>9930.7662402141996</v>
      </c>
      <c r="CT107" s="1334">
        <f>CONTADORES!E105</f>
        <v>0</v>
      </c>
      <c r="CU107" s="1334">
        <f>CONTADORES!CG105</f>
        <v>0</v>
      </c>
    </row>
    <row r="108" spans="2:99">
      <c r="B108" s="390">
        <v>45024</v>
      </c>
      <c r="C108" s="198">
        <f t="shared" ca="1" si="35"/>
        <v>308</v>
      </c>
      <c r="D108" s="196">
        <f ca="1">'CALCULO DE GAS'!D113</f>
        <v>5.1161204537844451</v>
      </c>
      <c r="E108" s="196">
        <f ca="1">IF(B108&gt;=$J$5,0,(CONTADORES!$AD106-CONTADORES!$AD105)-$H108)</f>
        <v>24</v>
      </c>
      <c r="F108" s="198">
        <f t="shared" ca="1" si="64"/>
        <v>0</v>
      </c>
      <c r="G108" s="196">
        <f ca="1">IF(B108&gt;=$J$5,0,CONTADORES!$AF106-CONTADORES!$AF105)</f>
        <v>0</v>
      </c>
      <c r="H108" s="1396">
        <f ca="1">IF(G108&gt;0,CONTADORES!$AE106-CONTADORES!$AE105,0)</f>
        <v>0</v>
      </c>
      <c r="I108" s="199">
        <f ca="1">IF(B108&gt;=$J$5,0,CONTADORES!$AB106-CONTADORES!$AB105)</f>
        <v>308</v>
      </c>
      <c r="J108" s="198">
        <f t="shared" ca="1" si="36"/>
        <v>146</v>
      </c>
      <c r="K108" s="196">
        <f ca="1">'CALCULO DE GAS'!E113</f>
        <v>3.7611291737007324</v>
      </c>
      <c r="L108" s="1396">
        <f ca="1">IF(B108&gt;=$J$5,0,(CONTADORES!$Y106-CONTADORES!$Y105)-$O108)</f>
        <v>24</v>
      </c>
      <c r="M108" s="1396">
        <v>0</v>
      </c>
      <c r="N108" s="1396">
        <f ca="1">IF(B108&gt;=$J$5,0,CONTADORES!$AA106-CONTADORES!$AA105)</f>
        <v>0</v>
      </c>
      <c r="O108" s="1396">
        <f ca="1">IF(N108&gt;0,CONTADORES!$Z106-CONTADORES!$Z105,0)</f>
        <v>0</v>
      </c>
      <c r="P108" s="202">
        <f ca="1">IF(B108&gt;=$J$5,0,CONTADORES!$W106-CONTADORES!$W105)</f>
        <v>146</v>
      </c>
      <c r="Q108" s="202">
        <f ca="1">IF(B108&gt;=$J$5,0,CONTADORES!$B106-CONTADORES!$B105)</f>
        <v>0</v>
      </c>
      <c r="R108" s="196">
        <f t="shared" ca="1" si="37"/>
        <v>0</v>
      </c>
      <c r="S108" s="11">
        <f ca="1">IF(B108&gt;=$J$5,0,CONTADORES!$D106-CONTADORES!$D105)</f>
        <v>0</v>
      </c>
      <c r="T108" s="198">
        <f ca="1">IF(B108&gt;=$J$5,0,CONTADORES!$BB106-CONTADORES!$BB105)</f>
        <v>0</v>
      </c>
      <c r="U108" s="196">
        <f t="shared" ca="1" si="65"/>
        <v>0</v>
      </c>
      <c r="V108" s="199">
        <f ca="1">IF(B108&gt;=$J$5,0,CONTADORES!$BD106-CONTADORES!$BD105)</f>
        <v>0</v>
      </c>
      <c r="W108" s="1397">
        <f t="shared" ca="1" si="39"/>
        <v>454</v>
      </c>
      <c r="X108" s="1397">
        <f t="shared" ca="1" si="40"/>
        <v>0</v>
      </c>
      <c r="Y108" s="1398">
        <f t="shared" ca="1" si="41"/>
        <v>454</v>
      </c>
      <c r="Z108" s="1398">
        <f t="shared" ca="1" si="42"/>
        <v>8.8772496274851775</v>
      </c>
      <c r="AA108" s="1398">
        <f t="shared" ca="1" si="43"/>
        <v>0</v>
      </c>
      <c r="AB108" s="1398">
        <f t="shared" ca="1" si="44"/>
        <v>48</v>
      </c>
      <c r="AC108" s="1397">
        <f t="shared" ca="1" si="45"/>
        <v>0</v>
      </c>
      <c r="AD108" s="1438">
        <f ca="1">IF(B108&gt;=$J$5,0,CONTADORES!H106-CONTADORES!H105)</f>
        <v>162</v>
      </c>
      <c r="AE108" s="1397">
        <f ca="1">IF(B108&gt;=$J$5,0,CONTADORES!J106-CONTADORES!J105)</f>
        <v>24</v>
      </c>
      <c r="AF108" s="1438">
        <f ca="1">IF(B108&gt;=$J$5,0,CONTADORES!AU106-CONTADORES!AU105)</f>
        <v>150</v>
      </c>
      <c r="AG108" s="1397">
        <f ca="1">IF(B108&gt;=$J$5,0,CONTADORES!AW106-CONTADORES!AW105)</f>
        <v>24</v>
      </c>
      <c r="AH108" s="1397">
        <f ca="1">IF(B108&gt;=$J$5,0,(CONTADORES!AM106-CONTADORES!AM105)+(CONTADORES!M106-CONTADORES!M105))</f>
        <v>13.700000000004366</v>
      </c>
      <c r="AI108" s="1397">
        <f ca="1">IF(B108&gt;=$J$5,0,(CONTADORES!AK106-CONTADORES!AK105)+(CONTADORES!O106-CONTADORES!O105))</f>
        <v>41.69999999999709</v>
      </c>
      <c r="AJ108" s="1397">
        <f ca="1">IF(B108&gt;=$J$5,0,(CONTADORES!AI106-CONTADORES!AI105))</f>
        <v>7.3000000000029104</v>
      </c>
      <c r="AK108" s="1397">
        <f ca="1">IF(B108&gt;=$J$5,0,(CONTADORES!Q106-CONTADORES!Q105))</f>
        <v>14.599999999976717</v>
      </c>
      <c r="AL108" s="1397">
        <f t="shared" ca="1" si="46"/>
        <v>36.600000000016621</v>
      </c>
      <c r="AM108" s="1397">
        <f ca="1">IF(B108&gt;=$J$5,0,(((CONTADORES!F106-CONTADORES!F105)+(CONTADORES!AQ106-CONTADORES!AQ105))))-BS108-AF108-AN108-BV108-BY108-CD108-CB108</f>
        <v>8.6800000000018258</v>
      </c>
      <c r="AN108" s="1397">
        <f ca="1">IF(B108&gt;=$J$5,0,(CONTADORES!AX106-CONTADORES!AX105)+(CONTADORES!AZ106-CONTADORES!AZ105)+(CONTADORES!BE106-CONTADORES!BE105))-CB108</f>
        <v>3.7250000000003638</v>
      </c>
      <c r="AO108" s="1399">
        <f ca="1">IF(B108&gt;=$J$5,0,(CONTADORES!AC106-CONTADORES!AC105))</f>
        <v>156</v>
      </c>
      <c r="AP108" s="1399">
        <f ca="1">IF(B108&gt;=$J$5,0,(CONTADORES!X106-CONTADORES!X105))</f>
        <v>77</v>
      </c>
      <c r="AQ108" s="1404">
        <f ca="1">IF(B108&gt;=$J$5,0,(CONTADORES!C106-CONTADORES!C105))</f>
        <v>0</v>
      </c>
      <c r="AR108" s="1399">
        <f ca="1">IF(B108&gt;=$J$5,0,(CONTADORES!BC106-CONTADORES!BC105))</f>
        <v>0</v>
      </c>
      <c r="AS108" s="1438">
        <f ca="1">IF(B108&gt;=$J$5,0,CONTADORES!S106-CONTADORES!S105)</f>
        <v>13.900000000023283</v>
      </c>
      <c r="AT108" s="1438">
        <f ca="1">IF(B108&gt;=$J$5,0,(CONTADORES!U106-CONTADORES!U105)+(CONTADORES!AG106-CONTADORES!AG105))</f>
        <v>2.4000000000014552</v>
      </c>
      <c r="AU108" s="1409">
        <f>CONTADORES!I106-CONTADORES!I105</f>
        <v>82</v>
      </c>
      <c r="AV108" s="1438">
        <f>CONTADORES!AV106-CONTADORES!AV105</f>
        <v>65</v>
      </c>
      <c r="AW108" s="1438">
        <f ca="1">IF(B108&gt;=$J$5,0,(CONTADORES!N106-CONTADORES!N105)+(CONTADORES!AN106-CONTADORES!AN105))</f>
        <v>5.3999999999978172</v>
      </c>
      <c r="AX108" s="1438">
        <f ca="1">IF(B108&gt;=$J$5,0,(CONTADORES!P106-CONTADORES!P105)+(CONTADORES!AL106-CONTADORES!AL105))</f>
        <v>33.900000000001455</v>
      </c>
      <c r="AY108" s="1438">
        <f ca="1">IF(B108&gt;=$J$5,0,(CONTADORES!AJ106-CONTADORES!AJ105))</f>
        <v>5.6999999999970896</v>
      </c>
      <c r="AZ108" s="1438">
        <f ca="1">IF(B108&gt;=$J$5,0,(CONTADORES!R106-CONTADORES!R105))</f>
        <v>11.80000000000291</v>
      </c>
      <c r="BA108" s="1409">
        <f t="shared" ca="1" si="47"/>
        <v>11.448000000000718</v>
      </c>
      <c r="BB108" s="1409">
        <f ca="1">IF(B107&gt;=$J$5,0,(((CONTADORES!G106-CONTADORES!G105)+(CONTADORES!AR106-CONTADORES!AR105))))-AV108-BC108-BT108-BW108-BZ108-CE108</f>
        <v>8.81299999999991</v>
      </c>
      <c r="BC108" s="1438">
        <f ca="1">IF(B108&gt;=$J$5,0,(CONTADORES!AY106-CONTADORES!AY105)+(CONTADORES!BA106-CONTADORES!BA105)+(CONTADORES!BF106-CONTADORES!BF105))-CC108</f>
        <v>1.1480000000000909</v>
      </c>
      <c r="BD108" s="1397">
        <f t="shared" ca="1" si="48"/>
        <v>233</v>
      </c>
      <c r="BE108" s="1398">
        <f ca="1">IF($B108&gt;=$J$5,0,CONTADORES!$BG106)</f>
        <v>5798.71</v>
      </c>
      <c r="BF108" s="1397">
        <f ca="1">IF($B108&gt;=$J$5,0,CONTADORES!$BH106)</f>
        <v>30490.3543859649</v>
      </c>
      <c r="BG108" s="1397">
        <f ca="1">IF($B108&gt;=$J$5,0,CONTADORES!$BJ106)</f>
        <v>5635.8</v>
      </c>
      <c r="BH108" s="1397">
        <f ca="1">IF(B108&gt;=$J$5,0,((CONTADORES!BK106-CONTADORES!BK105)/1000))</f>
        <v>0.85599999999999998</v>
      </c>
      <c r="BI108" s="1397">
        <f ca="1">IF(C108&gt;=$J$5,0,((CONTADORES!BL106-CONTADORES!BL105)/1000))</f>
        <v>0.84299999999999997</v>
      </c>
      <c r="BJ108" s="1397">
        <f ca="1">IF(C108&gt;=$J$5,0,((CONTADORES!BM106-CONTADORES!BM105)/1000))</f>
        <v>0</v>
      </c>
      <c r="BK108" s="1397">
        <f ca="1">IF(D108&gt;=$J$5,0,((CONTADORES!BN106-CONTADORES!BN105)/1000))</f>
        <v>0</v>
      </c>
      <c r="BL108" s="1399">
        <f t="shared" ca="1" si="49"/>
        <v>0.85599999999999998</v>
      </c>
      <c r="BM108" s="1399">
        <f t="shared" ca="1" si="50"/>
        <v>0.84299999999999997</v>
      </c>
      <c r="BN108" s="1398">
        <f ca="1">IF(W108&gt;=$J$5,0,CONTADORES!$BO106)</f>
        <v>130.85178095729799</v>
      </c>
      <c r="BO108" s="1397">
        <f ca="1">IF(W108&gt;=$J$5,0,CONTADORES!$BP106)</f>
        <v>44.930665393039895</v>
      </c>
      <c r="BP108" s="1397">
        <f ca="1">IF(W108&gt;=$J$5,0,CONTADORES!$BQ106)</f>
        <v>660.59702977318057</v>
      </c>
      <c r="BQ108" s="1397">
        <f ca="1">IF(B108&gt;=$J$5,0,(CONTADORES!AS106-CONTADORES!AS105))</f>
        <v>4</v>
      </c>
      <c r="BR108" s="1397">
        <f ca="1">IF(C108&gt;=$J$5,0,(CONTADORES!AT106-CONTADORES!AT105))</f>
        <v>0</v>
      </c>
      <c r="BS108" s="1409">
        <f ca="1">IF(B108&gt;=$J$5,0,CONTADORES!BR106-CONTADORES!BR105)/1000</f>
        <v>2.1</v>
      </c>
      <c r="BT108" s="1438">
        <f ca="1">IF(B108&gt;=$J$5,0,CONTADORES!BS106-CONTADORES!BS105)</f>
        <v>1</v>
      </c>
      <c r="BU108" s="1438">
        <f ca="1">IF(B108&gt;=$J$5,0,CONTADORES!BT106-CONTADORES!BT105)</f>
        <v>24</v>
      </c>
      <c r="BV108" s="1438">
        <f ca="1">IF(B108&gt;=$J$5,0,CONTADORES!BU106-CONTADORES!BU105)/1000</f>
        <v>0</v>
      </c>
      <c r="BW108" s="1438">
        <f ca="1">IF(B108&gt;=$J$5,0,CONTADORES!BV106-CONTADORES!BV105)/1000</f>
        <v>0</v>
      </c>
      <c r="BX108" s="1438">
        <f ca="1">IF(B108&gt;=$J$5,0,CONTADORES!BW106-CONTADORES!BW105)</f>
        <v>0</v>
      </c>
      <c r="BY108" s="1438">
        <f ca="1">IF(B108&gt;=$J$5,0,CONTADORES!BX106-CONTADORES!BX105)/1000</f>
        <v>4.72</v>
      </c>
      <c r="BZ108" s="1438">
        <f ca="1">IF(B108&gt;=$J$5,0,CONTADORES!BY106-CONTADORES!BY105)/1000</f>
        <v>1.0389999999999999</v>
      </c>
      <c r="CA108" s="1438">
        <f ca="1">IF(B108&gt;=$J$5,0,CONTADORES!BZ106-CONTADORES!BZ105)</f>
        <v>24</v>
      </c>
      <c r="CB108" s="1409">
        <f ca="1">IF(B108&gt;=$J$5,0,(CONTADORES!CC106-CONTADORES!CC105)+(CONTADORES!CE106-CONTADORES!CE105))/1000</f>
        <v>1.375</v>
      </c>
      <c r="CC108" s="1438">
        <f ca="1">IF(B108&gt;=$J$5,0,(CONTADORES!CD106-CONTADORES!CD105)+(CONTADORES!CF106-CONTADORES!CF105))/1000</f>
        <v>0.752</v>
      </c>
      <c r="CD108" s="1409">
        <f ca="1">IF(B108&gt;=$J$5,0,CONTADORES!CA106-CONTADORES!CA105)</f>
        <v>7.5</v>
      </c>
      <c r="CE108" s="1438">
        <f ca="1">IF(B108&gt;=$J$5,0,CONTADORES!CB106-CONTADORES!CB105)</f>
        <v>5</v>
      </c>
      <c r="CF108" s="1438">
        <f t="shared" ca="1" si="51"/>
        <v>11.840000000000913</v>
      </c>
      <c r="CG108" s="1438">
        <f t="shared" ca="1" si="52"/>
        <v>9.406499999999955</v>
      </c>
      <c r="CH108" s="1438">
        <f t="shared" ca="1" si="53"/>
        <v>4.3400000000009129</v>
      </c>
      <c r="CI108" s="1438">
        <f t="shared" ca="1" si="54"/>
        <v>1.4900000000001457</v>
      </c>
      <c r="CJ108" s="1438">
        <f t="shared" ca="1" si="55"/>
        <v>4.3400000000009129</v>
      </c>
      <c r="CK108" s="1438">
        <f t="shared" ca="1" si="56"/>
        <v>2.2350000000002179</v>
      </c>
      <c r="CL108" s="1438">
        <f t="shared" ca="1" si="57"/>
        <v>2.8650000000001459</v>
      </c>
      <c r="CM108" s="1438">
        <f t="shared" ca="1" si="58"/>
        <v>4.406499999999955</v>
      </c>
      <c r="CN108" s="1438">
        <f ca="1">IF(B108&gt;=$J$5,0,CONTADORES!CB106-CONTADORES!CB105)</f>
        <v>5</v>
      </c>
      <c r="CO108" s="1438">
        <f t="shared" ca="1" si="59"/>
        <v>4.406499999999955</v>
      </c>
      <c r="CP108" s="1438">
        <f t="shared" ca="1" si="60"/>
        <v>0.57400000000004547</v>
      </c>
      <c r="CQ108" s="1438">
        <f t="shared" ca="1" si="61"/>
        <v>0.57400000000004547</v>
      </c>
      <c r="CR108" s="1438">
        <f t="shared" ca="1" si="62"/>
        <v>1.3260000000000454</v>
      </c>
      <c r="CS108" s="1439">
        <f ca="1">IF($B108&gt;=$J$5,0,CONTADORES!$BI106)</f>
        <v>10363.526500341301</v>
      </c>
      <c r="CT108" s="1334">
        <f>CONTADORES!E106</f>
        <v>0</v>
      </c>
      <c r="CU108" s="1334">
        <f>CONTADORES!CG106</f>
        <v>0</v>
      </c>
    </row>
    <row r="109" spans="2:99" s="1410" customFormat="1">
      <c r="B109" s="390">
        <v>45025</v>
      </c>
      <c r="C109" s="1411">
        <f t="shared" ca="1" si="35"/>
        <v>299</v>
      </c>
      <c r="D109" s="1412">
        <f ca="1">'CALCULO DE GAS'!D114</f>
        <v>5.0408431604464612</v>
      </c>
      <c r="E109" s="1412">
        <f ca="1">IF(B109&gt;=$J$5,0,(CONTADORES!$AD107-CONTADORES!$AD106)-$H109)</f>
        <v>24</v>
      </c>
      <c r="F109" s="1411">
        <f t="shared" ca="1" si="64"/>
        <v>0</v>
      </c>
      <c r="G109" s="1412">
        <f ca="1">IF(B109&gt;=$J$5,0,CONTADORES!$AF107-CONTADORES!$AF106)</f>
        <v>0</v>
      </c>
      <c r="H109" s="1413">
        <f ca="1">IF(G109&gt;0,CONTADORES!$AE107-CONTADORES!$AE106,0)</f>
        <v>0</v>
      </c>
      <c r="I109" s="1414">
        <f ca="1">IF(B109&gt;=$J$5,0,CONTADORES!$AB107-CONTADORES!$AB106)</f>
        <v>299</v>
      </c>
      <c r="J109" s="1411">
        <f t="shared" ca="1" si="36"/>
        <v>149</v>
      </c>
      <c r="K109" s="1412">
        <f ca="1">'CALCULO DE GAS'!E114</f>
        <v>3.7862216048133943</v>
      </c>
      <c r="L109" s="1413">
        <f ca="1">IF(B109&gt;=$J$5,0,(CONTADORES!$Y107-CONTADORES!$Y106)-$O109)</f>
        <v>24</v>
      </c>
      <c r="M109" s="1413">
        <f t="shared" ref="M109:M140" ca="1" si="66">IF(O109=0,0,"ERROR")</f>
        <v>0</v>
      </c>
      <c r="N109" s="1413">
        <f ca="1">IF(B109&gt;=$J$5,0,CONTADORES!$AA107-CONTADORES!$AA106)</f>
        <v>0</v>
      </c>
      <c r="O109" s="1413">
        <f ca="1">IF(N109&gt;0,CONTADORES!$Z107-CONTADORES!$Z106,0)</f>
        <v>0</v>
      </c>
      <c r="P109" s="1415">
        <f ca="1">IF(B109&gt;=$J$5,0,CONTADORES!$W107-CONTADORES!$W106)</f>
        <v>149</v>
      </c>
      <c r="Q109" s="1415">
        <f ca="1">IF(B109&gt;=$J$5,0,CONTADORES!$B107-CONTADORES!$B106)</f>
        <v>0</v>
      </c>
      <c r="R109" s="1412">
        <f t="shared" ca="1" si="37"/>
        <v>0</v>
      </c>
      <c r="S109" s="11">
        <f ca="1">IF(B109&gt;=$J$5,0,CONTADORES!$D107-CONTADORES!$D106)</f>
        <v>0</v>
      </c>
      <c r="T109" s="1411">
        <f ca="1">IF(B109&gt;=$J$5,0,CONTADORES!$BB107-CONTADORES!$BB106)</f>
        <v>0</v>
      </c>
      <c r="U109" s="1412">
        <f t="shared" ca="1" si="65"/>
        <v>0</v>
      </c>
      <c r="V109" s="1414">
        <f ca="1">IF(B109&gt;=$J$5,0,CONTADORES!$BD107-CONTADORES!$BD106)</f>
        <v>0</v>
      </c>
      <c r="W109" s="1402">
        <f t="shared" ca="1" si="39"/>
        <v>448</v>
      </c>
      <c r="X109" s="1402">
        <f t="shared" ca="1" si="40"/>
        <v>0</v>
      </c>
      <c r="Y109" s="1407">
        <f t="shared" ca="1" si="41"/>
        <v>448</v>
      </c>
      <c r="Z109" s="1407">
        <f t="shared" ca="1" si="42"/>
        <v>8.8270647652598555</v>
      </c>
      <c r="AA109" s="1407">
        <f t="shared" ca="1" si="43"/>
        <v>0</v>
      </c>
      <c r="AB109" s="1407">
        <f t="shared" ca="1" si="44"/>
        <v>48</v>
      </c>
      <c r="AC109" s="1402">
        <f t="shared" ca="1" si="45"/>
        <v>0</v>
      </c>
      <c r="AD109" s="1442">
        <f ca="1">IF(B109&gt;=$J$5,0,CONTADORES!H107-CONTADORES!H106)</f>
        <v>166</v>
      </c>
      <c r="AE109" s="1402">
        <f ca="1">IF(B109&gt;=$J$5,0,CONTADORES!J107-CONTADORES!J106)</f>
        <v>24</v>
      </c>
      <c r="AF109" s="1438">
        <f ca="1">IF(B109&gt;=$J$5,0,CONTADORES!AU107-CONTADORES!AU106)</f>
        <v>149</v>
      </c>
      <c r="AG109" s="1402">
        <f ca="1">IF(B109&gt;=$J$5,0,CONTADORES!AW107-CONTADORES!AW106)</f>
        <v>24</v>
      </c>
      <c r="AH109" s="1402">
        <f ca="1">IF(B109&gt;=$J$5,0,(CONTADORES!AM107-CONTADORES!AM106)+(CONTADORES!M107-CONTADORES!M106))</f>
        <v>12.19999999999709</v>
      </c>
      <c r="AI109" s="1402">
        <f ca="1">IF(B109&gt;=$J$5,0,(CONTADORES!AK107-CONTADORES!AK106)+(CONTADORES!O107-CONTADORES!O106))</f>
        <v>40.400000000001455</v>
      </c>
      <c r="AJ109" s="1402">
        <f ca="1">IF(B109&gt;=$J$5,0,(CONTADORES!AI107-CONTADORES!AI106))</f>
        <v>6.3000000000029104</v>
      </c>
      <c r="AK109" s="1402">
        <f ca="1">IF(B109&gt;=$J$5,0,(CONTADORES!Q107-CONTADORES!Q106))</f>
        <v>14.5</v>
      </c>
      <c r="AL109" s="1402">
        <f t="shared" ca="1" si="46"/>
        <v>34.299999999999272</v>
      </c>
      <c r="AM109" s="1402">
        <f ca="1">IF(B109&gt;=$J$5,0,(((CONTADORES!F107-CONTADORES!F106)+(CONTADORES!AQ107-CONTADORES!AQ106))))-BS109-AF109-AN109-BV109-BY109-CD109-CB109</f>
        <v>5.4280000000011857</v>
      </c>
      <c r="AN109" s="1397">
        <f ca="1">IF(B109&gt;=$J$5,0,(CONTADORES!AX107-CONTADORES!AX106)+(CONTADORES!AZ107-CONTADORES!AZ106)+(CONTADORES!BE107-CONTADORES!BE106))-CB109</f>
        <v>3.6039999999995476</v>
      </c>
      <c r="AO109" s="1417">
        <f ca="1">IF(B109&gt;=$J$5,0,(CONTADORES!AC107-CONTADORES!AC106))</f>
        <v>152</v>
      </c>
      <c r="AP109" s="1417">
        <f ca="1">IF(B109&gt;=$J$5,0,(CONTADORES!X107-CONTADORES!X106))</f>
        <v>78</v>
      </c>
      <c r="AQ109" s="1418">
        <f ca="1">IF(B109&gt;=$J$5,0,(CONTADORES!C107-CONTADORES!C106))</f>
        <v>0</v>
      </c>
      <c r="AR109" s="1417">
        <f ca="1">IF(B109&gt;=$J$5,0,(CONTADORES!BC107-CONTADORES!BC106))</f>
        <v>0</v>
      </c>
      <c r="AS109" s="1442">
        <f ca="1">IF(B109&gt;=$J$5,0,CONTADORES!S107-CONTADORES!S106)</f>
        <v>13.899999999994179</v>
      </c>
      <c r="AT109" s="1442">
        <f ca="1">IF(B109&gt;=$J$5,0,(CONTADORES!U107-CONTADORES!U106)+(CONTADORES!AG107-CONTADORES!AG106))</f>
        <v>2.4000000000014552</v>
      </c>
      <c r="AU109" s="1441">
        <f>CONTADORES!I107-CONTADORES!I106</f>
        <v>84</v>
      </c>
      <c r="AV109" s="1442">
        <f>CONTADORES!AV107-CONTADORES!AV106</f>
        <v>64</v>
      </c>
      <c r="AW109" s="1442">
        <f ca="1">IF(B109&gt;=$J$5,0,(CONTADORES!N107-CONTADORES!N106)+(CONTADORES!AN107-CONTADORES!AN106))</f>
        <v>4.7000000000007276</v>
      </c>
      <c r="AX109" s="1442">
        <f ca="1">IF(B109&gt;=$J$5,0,(CONTADORES!P107-CONTADORES!P106)+(CONTADORES!AL107-CONTADORES!AL106))</f>
        <v>32.900000000001455</v>
      </c>
      <c r="AY109" s="1442">
        <f ca="1">IF(B109&gt;=$J$5,0,(CONTADORES!AJ107-CONTADORES!AJ106))</f>
        <v>4.8000000000029104</v>
      </c>
      <c r="AZ109" s="1442">
        <f ca="1">IF(B109&gt;=$J$5,0,(CONTADORES!R107-CONTADORES!R106))</f>
        <v>11.5</v>
      </c>
      <c r="BA109" s="1409">
        <f t="shared" ca="1" si="47"/>
        <v>11.364999999994751</v>
      </c>
      <c r="BB109" s="1409">
        <f ca="1">IF(B108&gt;=$J$5,0,(((CONTADORES!G107-CONTADORES!G106)+(CONTADORES!AR107-CONTADORES!AR106))))-AV109-BC109-BT109-BW109-BZ109-CE109</f>
        <v>7.7220000000009037</v>
      </c>
      <c r="BC109" s="1438">
        <f ca="1">IF(B109&gt;=$J$5,0,(CONTADORES!AY107-CONTADORES!AY106)+(CONTADORES!BA107-CONTADORES!BA106)+(CONTADORES!BF107-CONTADORES!BF106))-CC109</f>
        <v>1.1149999999996418</v>
      </c>
      <c r="BD109" s="1402">
        <f t="shared" ca="1" si="48"/>
        <v>230</v>
      </c>
      <c r="BE109" s="1407">
        <f ca="1">IF($B109&gt;=$J$5,0,CONTADORES!$BG107)</f>
        <v>5734.93</v>
      </c>
      <c r="BF109" s="1402">
        <f ca="1">IF($B109&gt;=$J$5,0,CONTADORES!$BH107)</f>
        <v>29387.143859649099</v>
      </c>
      <c r="BG109" s="1402">
        <f ca="1">IF($B109&gt;=$J$5,0,CONTADORES!$BJ107)</f>
        <v>5437.47</v>
      </c>
      <c r="BH109" s="1402">
        <f ca="1">IF(B109&gt;=$J$5,0,((CONTADORES!BK107-CONTADORES!BK106)/1000))</f>
        <v>0.86099999999999999</v>
      </c>
      <c r="BI109" s="1402">
        <f ca="1">IF(C109&gt;=$J$5,0,((CONTADORES!BL107-CONTADORES!BL106)/1000))</f>
        <v>0.84299999999999997</v>
      </c>
      <c r="BJ109" s="1402">
        <f ca="1">IF(C109&gt;=$J$5,0,((CONTADORES!BM107-CONTADORES!BM106)/1000))</f>
        <v>0</v>
      </c>
      <c r="BK109" s="1402">
        <f ca="1">IF(D109&gt;=$J$5,0,((CONTADORES!BN107-CONTADORES!BN106)/1000))</f>
        <v>0</v>
      </c>
      <c r="BL109" s="1417">
        <f t="shared" ca="1" si="49"/>
        <v>0.86099999999999999</v>
      </c>
      <c r="BM109" s="1417">
        <f t="shared" ca="1" si="50"/>
        <v>0.84299999999999997</v>
      </c>
      <c r="BN109" s="1407">
        <f ca="1">IF(W109&gt;=$J$5,0,CONTADORES!$BO107)</f>
        <v>129.29385016975945</v>
      </c>
      <c r="BO109" s="1402">
        <f ca="1">IF(W109&gt;=$J$5,0,CONTADORES!$BP107)</f>
        <v>45.123441264453724</v>
      </c>
      <c r="BP109" s="1402">
        <f ca="1">IF(W109&gt;=$J$5,0,CONTADORES!$BQ107)</f>
        <v>660.08776074191076</v>
      </c>
      <c r="BQ109" s="1402">
        <f ca="1">IF(B109&gt;=$J$5,0,(CONTADORES!AS107-CONTADORES!AS106))</f>
        <v>4</v>
      </c>
      <c r="BR109" s="1402">
        <f ca="1">IF(C109&gt;=$J$5,0,(CONTADORES!AT107-CONTADORES!AT106))</f>
        <v>0</v>
      </c>
      <c r="BS109" s="1409">
        <f ca="1">IF(B109&gt;=$J$5,0,CONTADORES!BR107-CONTADORES!BR106)/1000</f>
        <v>2.1</v>
      </c>
      <c r="BT109" s="1442">
        <f ca="1">IF(B109&gt;=$J$5,0,CONTADORES!BS107-CONTADORES!BS106)</f>
        <v>1</v>
      </c>
      <c r="BU109" s="1442">
        <f ca="1">IF(B109&gt;=$J$5,0,CONTADORES!BT107-CONTADORES!BT106)</f>
        <v>24</v>
      </c>
      <c r="BV109" s="1438">
        <f ca="1">IF(B109&gt;=$J$5,0,CONTADORES!BU107-CONTADORES!BU106)/1000</f>
        <v>0</v>
      </c>
      <c r="BW109" s="1442">
        <f ca="1">IF(B109&gt;=$J$5,0,CONTADORES!BV107-CONTADORES!BV106)/1000</f>
        <v>0</v>
      </c>
      <c r="BX109" s="1442">
        <f ca="1">IF(B109&gt;=$J$5,0,CONTADORES!BW107-CONTADORES!BW106)</f>
        <v>0</v>
      </c>
      <c r="BY109" s="1438">
        <f ca="1">IF(B109&gt;=$J$5,0,CONTADORES!BX107-CONTADORES!BX106)/1000</f>
        <v>4.8620000000000001</v>
      </c>
      <c r="BZ109" s="1442">
        <f ca="1">IF(B109&gt;=$J$5,0,CONTADORES!BY107-CONTADORES!BY106)/1000</f>
        <v>1.0629999999999999</v>
      </c>
      <c r="CA109" s="1442">
        <f ca="1">IF(B109&gt;=$J$5,0,CONTADORES!BZ107-CONTADORES!BZ106)</f>
        <v>24</v>
      </c>
      <c r="CB109" s="1409">
        <f ca="1">IF(B109&gt;=$J$5,0,(CONTADORES!CC107-CONTADORES!CC106)+(CONTADORES!CE107-CONTADORES!CE106))/1000</f>
        <v>1.706</v>
      </c>
      <c r="CC109" s="1442">
        <f ca="1">IF(B109&gt;=$J$5,0,(CONTADORES!CD107-CONTADORES!CD106)+(CONTADORES!CF107-CONTADORES!CF106))/1000</f>
        <v>0.93500000000000005</v>
      </c>
      <c r="CD109" s="1409">
        <f ca="1">IF(B109&gt;=$J$5,0,CONTADORES!CA107-CONTADORES!CA106)</f>
        <v>7.5999999999985448</v>
      </c>
      <c r="CE109" s="1442">
        <f ca="1">IF(B109&gt;=$J$5,0,CONTADORES!CB107-CONTADORES!CB106)</f>
        <v>4.8999999999996362</v>
      </c>
      <c r="CF109" s="1442">
        <f t="shared" ca="1" si="51"/>
        <v>10.313999999999137</v>
      </c>
      <c r="CG109" s="1442">
        <f t="shared" ca="1" si="52"/>
        <v>8.7610000000000881</v>
      </c>
      <c r="CH109" s="1442">
        <f t="shared" ca="1" si="53"/>
        <v>2.7140000000005928</v>
      </c>
      <c r="CI109" s="1442">
        <f t="shared" ca="1" si="54"/>
        <v>1.441599999999819</v>
      </c>
      <c r="CJ109" s="1442">
        <f t="shared" ca="1" si="55"/>
        <v>2.7140000000005928</v>
      </c>
      <c r="CK109" s="1442">
        <f t="shared" ca="1" si="56"/>
        <v>2.1623999999997285</v>
      </c>
      <c r="CL109" s="1442">
        <f t="shared" ca="1" si="57"/>
        <v>3.147599999999819</v>
      </c>
      <c r="CM109" s="1442">
        <f t="shared" ca="1" si="58"/>
        <v>3.8610000000004518</v>
      </c>
      <c r="CN109" s="1442">
        <f ca="1">IF(B109&gt;=$J$5,0,CONTADORES!CB107-CONTADORES!CB106)</f>
        <v>4.8999999999996362</v>
      </c>
      <c r="CO109" s="1442">
        <f t="shared" ca="1" si="59"/>
        <v>3.8610000000004518</v>
      </c>
      <c r="CP109" s="1442">
        <f t="shared" ca="1" si="60"/>
        <v>0.55749999999982092</v>
      </c>
      <c r="CQ109" s="1442">
        <f t="shared" ca="1" si="61"/>
        <v>0.55749999999982092</v>
      </c>
      <c r="CR109" s="1442">
        <f t="shared" ca="1" si="62"/>
        <v>1.492499999999821</v>
      </c>
      <c r="CS109" s="1443">
        <f ca="1">IF($B109&gt;=$J$5,0,CONTADORES!$BI107)</f>
        <v>10087.747131124501</v>
      </c>
      <c r="CT109" s="1334">
        <f>CONTADORES!E107</f>
        <v>0</v>
      </c>
      <c r="CU109" s="1334">
        <f>CONTADORES!CG107</f>
        <v>0</v>
      </c>
    </row>
    <row r="110" spans="2:99">
      <c r="B110" s="390">
        <v>45026</v>
      </c>
      <c r="C110" s="198">
        <f t="shared" ca="1" si="35"/>
        <v>303</v>
      </c>
      <c r="D110" s="196">
        <f ca="1">'CALCULO DE GAS'!D115</f>
        <v>5.0742997352633425</v>
      </c>
      <c r="E110" s="196">
        <f ca="1">IF(B110&gt;=$J$5,0,(CONTADORES!$AD108-CONTADORES!$AD107)-$H110)</f>
        <v>24</v>
      </c>
      <c r="F110" s="198">
        <f t="shared" ca="1" si="64"/>
        <v>0</v>
      </c>
      <c r="G110" s="196">
        <f ca="1">IF(B110&gt;=$J$5,0,CONTADORES!$AF108-CONTADORES!$AF107)</f>
        <v>0</v>
      </c>
      <c r="H110" s="1396">
        <f ca="1">IF(G110&gt;0,CONTADORES!$AE108-CONTADORES!$AE107,0)</f>
        <v>0</v>
      </c>
      <c r="I110" s="199">
        <f ca="1">IF(B110&gt;=$J$5,0,CONTADORES!$AB108-CONTADORES!$AB107)</f>
        <v>303</v>
      </c>
      <c r="J110" s="198">
        <f t="shared" ca="1" si="36"/>
        <v>146</v>
      </c>
      <c r="K110" s="196">
        <f ca="1">'CALCULO DE GAS'!E115</f>
        <v>3.7611291737007324</v>
      </c>
      <c r="L110" s="1396">
        <f ca="1">IF(B110&gt;=$J$5,0,(CONTADORES!$Y108-CONTADORES!$Y107)-$O110)</f>
        <v>24</v>
      </c>
      <c r="M110" s="1396">
        <f t="shared" ca="1" si="66"/>
        <v>0</v>
      </c>
      <c r="N110" s="1396">
        <f ca="1">IF(B110&gt;=$J$5,0,CONTADORES!$AA108-CONTADORES!$AA107)</f>
        <v>0</v>
      </c>
      <c r="O110" s="1396">
        <f ca="1">IF(N110&gt;0,CONTADORES!$Z108-CONTADORES!$Z107,0)</f>
        <v>0</v>
      </c>
      <c r="P110" s="202">
        <f ca="1">IF(B110&gt;=$J$5,0,CONTADORES!$W108-CONTADORES!$W107)</f>
        <v>146</v>
      </c>
      <c r="Q110" s="202">
        <f ca="1">IF(B110&gt;=$J$5,0,CONTADORES!$B108-CONTADORES!$B107)</f>
        <v>0</v>
      </c>
      <c r="R110" s="196">
        <f t="shared" ca="1" si="37"/>
        <v>0</v>
      </c>
      <c r="S110" s="11">
        <f ca="1">IF(B110&gt;=$J$5,0,CONTADORES!$D108-CONTADORES!$D107)</f>
        <v>0</v>
      </c>
      <c r="T110" s="198">
        <f ca="1">IF(B110&gt;=$J$5,0,CONTADORES!$BB108-CONTADORES!$BB107)</f>
        <v>0</v>
      </c>
      <c r="U110" s="196">
        <f t="shared" ca="1" si="65"/>
        <v>0</v>
      </c>
      <c r="V110" s="199">
        <f ca="1">IF(B110&gt;=$J$5,0,CONTADORES!$BD108-CONTADORES!$BD107)</f>
        <v>0</v>
      </c>
      <c r="W110" s="1397">
        <f t="shared" ca="1" si="39"/>
        <v>449</v>
      </c>
      <c r="X110" s="1397">
        <f t="shared" ca="1" si="40"/>
        <v>0</v>
      </c>
      <c r="Y110" s="1398">
        <f t="shared" ca="1" si="41"/>
        <v>449</v>
      </c>
      <c r="Z110" s="1398">
        <f t="shared" ca="1" si="42"/>
        <v>8.8354289089640758</v>
      </c>
      <c r="AA110" s="1398">
        <f t="shared" ca="1" si="43"/>
        <v>0</v>
      </c>
      <c r="AB110" s="1398">
        <f t="shared" ca="1" si="44"/>
        <v>48</v>
      </c>
      <c r="AC110" s="1397">
        <f t="shared" ca="1" si="45"/>
        <v>0</v>
      </c>
      <c r="AD110" s="1438">
        <f ca="1">IF(B110&gt;=$J$5,0,CONTADORES!H108-CONTADORES!H107)</f>
        <v>162</v>
      </c>
      <c r="AE110" s="1397">
        <f ca="1">IF(B110&gt;=$J$5,0,CONTADORES!J108-CONTADORES!J107)</f>
        <v>24</v>
      </c>
      <c r="AF110" s="1438">
        <f ca="1">IF(B110&gt;=$J$5,0,CONTADORES!AU108-CONTADORES!AU107)</f>
        <v>150</v>
      </c>
      <c r="AG110" s="1397">
        <f ca="1">IF(B110&gt;=$J$5,0,CONTADORES!AW108-CONTADORES!AW107)</f>
        <v>24</v>
      </c>
      <c r="AH110" s="1397">
        <f ca="1">IF(B110&gt;=$J$5,0,(CONTADORES!AM108-CONTADORES!AM107)+(CONTADORES!M108-CONTADORES!M107))</f>
        <v>11.200000000004366</v>
      </c>
      <c r="AI110" s="1397">
        <f ca="1">IF(B110&gt;=$J$5,0,(CONTADORES!AK108-CONTADORES!AK107)+(CONTADORES!O108-CONTADORES!O107))</f>
        <v>40.099999999998545</v>
      </c>
      <c r="AJ110" s="1397">
        <f ca="1">IF(B110&gt;=$J$5,0,(CONTADORES!AI108-CONTADORES!AI107))</f>
        <v>7.5999999999912689</v>
      </c>
      <c r="AK110" s="1397">
        <f ca="1">IF(B110&gt;=$J$5,0,(CONTADORES!Q108-CONTADORES!Q107))</f>
        <v>14.600000000005821</v>
      </c>
      <c r="AL110" s="1397">
        <f t="shared" ca="1" si="46"/>
        <v>33.299999999999216</v>
      </c>
      <c r="AM110" s="1402">
        <f ca="1">IF(B110&gt;=$J$5,0,(((CONTADORES!F108-CONTADORES!F107)+(CONTADORES!AQ108-CONTADORES!AQ107))))-BS110-AF110-AN110-BV110-BY110-CD110-CB110</f>
        <v>10.845999999999625</v>
      </c>
      <c r="AN110" s="1397">
        <f ca="1">IF(B110&gt;=$J$5,0,(CONTADORES!AX108-CONTADORES!AX107)+(CONTADORES!AZ108-CONTADORES!AZ107)+(CONTADORES!BE108-CONTADORES!BE107))-CB110</f>
        <v>3.7180000000003641</v>
      </c>
      <c r="AO110" s="1399">
        <f ca="1">IF(B110&gt;=$J$5,0,(CONTADORES!AC108-CONTADORES!AC107))</f>
        <v>153</v>
      </c>
      <c r="AP110" s="1399">
        <f ca="1">IF(B110&gt;=$J$5,0,(CONTADORES!X108-CONTADORES!X107))</f>
        <v>78</v>
      </c>
      <c r="AQ110" s="1404">
        <f ca="1">IF(B110&gt;=$J$5,0,(CONTADORES!C108-CONTADORES!C107))</f>
        <v>0</v>
      </c>
      <c r="AR110" s="1399">
        <f ca="1">IF(B110&gt;=$J$5,0,(CONTADORES!BC108-CONTADORES!BC107))</f>
        <v>0</v>
      </c>
      <c r="AS110" s="1438">
        <f ca="1">IF(B110&gt;=$J$5,0,CONTADORES!S108-CONTADORES!S107)</f>
        <v>14.699999999982538</v>
      </c>
      <c r="AT110" s="1438">
        <f ca="1">IF(B110&gt;=$J$5,0,(CONTADORES!U108-CONTADORES!U107)+(CONTADORES!AG108-CONTADORES!AG107))</f>
        <v>2.5999999999985448</v>
      </c>
      <c r="AU110" s="1409">
        <f>CONTADORES!I108-CONTADORES!I107</f>
        <v>84</v>
      </c>
      <c r="AV110" s="1438">
        <f>CONTADORES!AV108-CONTADORES!AV107</f>
        <v>65</v>
      </c>
      <c r="AW110" s="1438">
        <f ca="1">IF(B110&gt;=$J$5,0,(CONTADORES!N108-CONTADORES!N107)+(CONTADORES!AN108-CONTADORES!AN107))</f>
        <v>4.4000000000014552</v>
      </c>
      <c r="AX110" s="1438">
        <f ca="1">IF(B110&gt;=$J$5,0,(CONTADORES!P108-CONTADORES!P107)+(CONTADORES!AL108-CONTADORES!AL107))</f>
        <v>32.5</v>
      </c>
      <c r="AY110" s="1438">
        <f ca="1">IF(B110&gt;=$J$5,0,(CONTADORES!AJ108-CONTADORES!AJ107))</f>
        <v>5.7999999999956344</v>
      </c>
      <c r="AZ110" s="1438">
        <f ca="1">IF(B110&gt;=$J$5,0,(CONTADORES!R108-CONTADORES!R107))</f>
        <v>11.599999999991269</v>
      </c>
      <c r="BA110" s="1409">
        <f t="shared" ca="1" si="47"/>
        <v>9.5500000000120053</v>
      </c>
      <c r="BB110" s="1409">
        <f ca="1">IF(B109&gt;=$J$5,0,(((CONTADORES!G108-CONTADORES!G107)+(CONTADORES!AR108-CONTADORES!AR107))))-AV110-BC110-BT110-BW110-BZ110-CE110</f>
        <v>9.5009999999998183</v>
      </c>
      <c r="BC110" s="1438">
        <f ca="1">IF(B110&gt;=$J$5,0,(CONTADORES!AY108-CONTADORES!AY107)+(CONTADORES!BA108-CONTADORES!BA107)+(CONTADORES!BF108-CONTADORES!BF107))-CC110</f>
        <v>1.25</v>
      </c>
      <c r="BD110" s="1397">
        <f t="shared" ca="1" si="48"/>
        <v>231</v>
      </c>
      <c r="BE110" s="1398">
        <f ca="1">IF($B110&gt;=$J$5,0,CONTADORES!$BG108)</f>
        <v>6193.27</v>
      </c>
      <c r="BF110" s="1397">
        <f ca="1">IF($B110&gt;=$J$5,0,CONTADORES!$BH108)</f>
        <v>32679.3438596491</v>
      </c>
      <c r="BG110" s="1397">
        <f ca="1">IF($B110&gt;=$J$5,0,CONTADORES!$BJ108)</f>
        <v>5864.78</v>
      </c>
      <c r="BH110" s="1397">
        <f ca="1">IF(B110&gt;=$J$5,0,((CONTADORES!BK108-CONTADORES!BK107)/1000))</f>
        <v>0.879</v>
      </c>
      <c r="BI110" s="1397">
        <f ca="1">IF(C110&gt;=$J$5,0,((CONTADORES!BL108-CONTADORES!BL107)/1000))</f>
        <v>0.83599999999999997</v>
      </c>
      <c r="BJ110" s="1397">
        <f ca="1">IF(C110&gt;=$J$5,0,((CONTADORES!BM108-CONTADORES!BM107)/1000))</f>
        <v>0</v>
      </c>
      <c r="BK110" s="1397">
        <f ca="1">IF(D110&gt;=$J$5,0,((CONTADORES!BN108-CONTADORES!BN107)/1000))</f>
        <v>0</v>
      </c>
      <c r="BL110" s="1399">
        <f t="shared" ca="1" si="49"/>
        <v>0.879</v>
      </c>
      <c r="BM110" s="1399">
        <f t="shared" ca="1" si="50"/>
        <v>0.83599999999999997</v>
      </c>
      <c r="BN110" s="1398">
        <f ca="1">IF(W110&gt;=$J$5,0,CONTADORES!$BO108)</f>
        <v>130.62138786160733</v>
      </c>
      <c r="BO110" s="1397">
        <f ca="1">IF(W110&gt;=$J$5,0,CONTADORES!$BP108)</f>
        <v>44.943074935112932</v>
      </c>
      <c r="BP110" s="1397">
        <f ca="1">IF(W110&gt;=$J$5,0,CONTADORES!$BQ108)</f>
        <v>662.41372473420563</v>
      </c>
      <c r="BQ110" s="1397">
        <f ca="1">IF(B110&gt;=$J$5,0,(CONTADORES!AS108-CONTADORES!AS107))</f>
        <v>5</v>
      </c>
      <c r="BR110" s="1397">
        <f ca="1">IF(C110&gt;=$J$5,0,(CONTADORES!AT108-CONTADORES!AT107))</f>
        <v>0</v>
      </c>
      <c r="BS110" s="1409">
        <f ca="1">IF(B110&gt;=$J$5,0,CONTADORES!BR108-CONTADORES!BR107)/1000</f>
        <v>2.2999999999999998</v>
      </c>
      <c r="BT110" s="1438">
        <f ca="1">IF(B110&gt;=$J$5,0,CONTADORES!BS108-CONTADORES!BS107)</f>
        <v>1</v>
      </c>
      <c r="BU110" s="1438">
        <f ca="1">IF(B110&gt;=$J$5,0,CONTADORES!BT108-CONTADORES!BT107)</f>
        <v>24</v>
      </c>
      <c r="BV110" s="1438">
        <f ca="1">IF(B110&gt;=$J$5,0,CONTADORES!BU108-CONTADORES!BU107)/1000</f>
        <v>0</v>
      </c>
      <c r="BW110" s="1438">
        <f ca="1">IF(B110&gt;=$J$5,0,CONTADORES!BV108-CONTADORES!BV107)/1000</f>
        <v>0</v>
      </c>
      <c r="BX110" s="1438">
        <f ca="1">IF(B110&gt;=$J$5,0,CONTADORES!BW108-CONTADORES!BW107)</f>
        <v>0</v>
      </c>
      <c r="BY110" s="1438">
        <f ca="1">IF(B110&gt;=$J$5,0,CONTADORES!BX108-CONTADORES!BX107)/1000</f>
        <v>4.7539999999999996</v>
      </c>
      <c r="BZ110" s="1438">
        <f ca="1">IF(B110&gt;=$J$5,0,CONTADORES!BY108-CONTADORES!BY107)/1000</f>
        <v>0.94899999999999995</v>
      </c>
      <c r="CA110" s="1438">
        <f ca="1">IF(B110&gt;=$J$5,0,CONTADORES!BZ108-CONTADORES!BZ107)</f>
        <v>24</v>
      </c>
      <c r="CB110" s="1409">
        <f ca="1">IF(B110&gt;=$J$5,0,(CONTADORES!CC108-CONTADORES!CC107)+(CONTADORES!CE108-CONTADORES!CE107))/1000</f>
        <v>1.3819999999999999</v>
      </c>
      <c r="CC110" s="1438">
        <f ca="1">IF(B110&gt;=$J$5,0,(CONTADORES!CD108-CONTADORES!CD107)+(CONTADORES!CF108-CONTADORES!CF107))/1000</f>
        <v>0.75</v>
      </c>
      <c r="CD110" s="1409">
        <f ca="1">IF(B110&gt;=$J$5,0,CONTADORES!CA108-CONTADORES!CA107)</f>
        <v>7.2000000000007276</v>
      </c>
      <c r="CE110" s="1438">
        <f ca="1">IF(B110&gt;=$J$5,0,CONTADORES!CB108-CONTADORES!CB107)</f>
        <v>4.6999999999998181</v>
      </c>
      <c r="CF110" s="1438">
        <f t="shared" ca="1" si="51"/>
        <v>12.623000000000541</v>
      </c>
      <c r="CG110" s="1438">
        <f t="shared" ca="1" si="52"/>
        <v>9.4504999999997281</v>
      </c>
      <c r="CH110" s="1438">
        <f t="shared" ca="1" si="53"/>
        <v>5.4229999999998126</v>
      </c>
      <c r="CI110" s="1438">
        <f t="shared" ca="1" si="54"/>
        <v>1.4872000000001457</v>
      </c>
      <c r="CJ110" s="1438">
        <f t="shared" ca="1" si="55"/>
        <v>5.4229999999998126</v>
      </c>
      <c r="CK110" s="1438">
        <f t="shared" ca="1" si="56"/>
        <v>2.2308000000002184</v>
      </c>
      <c r="CL110" s="1438">
        <f t="shared" ca="1" si="57"/>
        <v>2.8692000000001459</v>
      </c>
      <c r="CM110" s="1438">
        <f t="shared" ca="1" si="58"/>
        <v>4.7504999999999091</v>
      </c>
      <c r="CN110" s="1438">
        <f ca="1">IF(B110&gt;=$J$5,0,CONTADORES!CB108-CONTADORES!CB107)</f>
        <v>4.6999999999998181</v>
      </c>
      <c r="CO110" s="1438">
        <f t="shared" ca="1" si="59"/>
        <v>4.7504999999999091</v>
      </c>
      <c r="CP110" s="1438">
        <f t="shared" ca="1" si="60"/>
        <v>0.625</v>
      </c>
      <c r="CQ110" s="1438">
        <f t="shared" ca="1" si="61"/>
        <v>0.625</v>
      </c>
      <c r="CR110" s="1438">
        <f t="shared" ca="1" si="62"/>
        <v>1.375</v>
      </c>
      <c r="CS110" s="1439">
        <f ca="1">IF($B110&gt;=$J$5,0,CONTADORES!$BI108)</f>
        <v>5600.5547354546597</v>
      </c>
      <c r="CT110" s="1334">
        <f>CONTADORES!E108</f>
        <v>0</v>
      </c>
      <c r="CU110" s="1334">
        <f>CONTADORES!CG108</f>
        <v>0</v>
      </c>
    </row>
    <row r="111" spans="2:99">
      <c r="B111" s="390">
        <v>45027</v>
      </c>
      <c r="C111" s="198">
        <f t="shared" ca="1" si="35"/>
        <v>296</v>
      </c>
      <c r="D111" s="196">
        <f ca="1">'CALCULO DE GAS'!D116</f>
        <v>5.0157507293337993</v>
      </c>
      <c r="E111" s="196">
        <f ca="1">IF(B111&gt;=$J$5,0,(CONTADORES!$AD109-CONTADORES!$AD108)-$H111)</f>
        <v>24</v>
      </c>
      <c r="F111" s="198">
        <f t="shared" ca="1" si="64"/>
        <v>0</v>
      </c>
      <c r="G111" s="196">
        <f ca="1">IF(B111&gt;=$J$5,0,CONTADORES!$AF109-CONTADORES!$AF108)</f>
        <v>0</v>
      </c>
      <c r="H111" s="1396">
        <f ca="1">IF(G111&gt;0,CONTADORES!$AE109-CONTADORES!$AE108,0)</f>
        <v>0</v>
      </c>
      <c r="I111" s="199">
        <f ca="1">IF(B111&gt;=$J$5,0,CONTADORES!$AB109-CONTADORES!$AB108)</f>
        <v>296</v>
      </c>
      <c r="J111" s="198">
        <f t="shared" ca="1" si="36"/>
        <v>149</v>
      </c>
      <c r="K111" s="196">
        <f ca="1">'CALCULO DE GAS'!E116</f>
        <v>3.7862216048133943</v>
      </c>
      <c r="L111" s="1396">
        <f ca="1">IF(B111&gt;=$J$5,0,(CONTADORES!$Y109-CONTADORES!$Y108)-$O111)</f>
        <v>24</v>
      </c>
      <c r="M111" s="1396">
        <f t="shared" ca="1" si="66"/>
        <v>0</v>
      </c>
      <c r="N111" s="1396">
        <f ca="1">IF(B111&gt;=$J$5,0,CONTADORES!$AA109-CONTADORES!$AA108)</f>
        <v>0</v>
      </c>
      <c r="O111" s="1396">
        <f ca="1">IF(N111&gt;0,CONTADORES!$Z109-CONTADORES!$Z108,0)</f>
        <v>0</v>
      </c>
      <c r="P111" s="202">
        <f ca="1">IF(B111&gt;=$J$5,0,CONTADORES!$W109-CONTADORES!$W108)</f>
        <v>149</v>
      </c>
      <c r="Q111" s="202">
        <f ca="1">IF(B111&gt;=$J$5,0,CONTADORES!$B109-CONTADORES!$B108)</f>
        <v>0.32999999999992724</v>
      </c>
      <c r="R111" s="196">
        <f t="shared" ca="1" si="37"/>
        <v>39.599999999991269</v>
      </c>
      <c r="S111" s="11">
        <f ca="1">IF(B111&gt;=$J$5,0,CONTADORES!$D109-CONTADORES!$D108)</f>
        <v>0.6000000000003638</v>
      </c>
      <c r="T111" s="198">
        <f ca="1">IF(B111&gt;=$J$5,0,CONTADORES!$BB109-CONTADORES!$BB108)</f>
        <v>0.40300000000002001</v>
      </c>
      <c r="U111" s="196">
        <f t="shared" ca="1" si="65"/>
        <v>48.360000000002401</v>
      </c>
      <c r="V111" s="199">
        <f ca="1">IF(B111&gt;=$J$5,0,CONTADORES!$BD109-CONTADORES!$BD108)</f>
        <v>0.60000000000013642</v>
      </c>
      <c r="W111" s="1397">
        <f t="shared" ca="1" si="39"/>
        <v>445</v>
      </c>
      <c r="X111" s="1397">
        <f t="shared" ca="1" si="40"/>
        <v>0.73299999999994725</v>
      </c>
      <c r="Y111" s="1398">
        <f t="shared" ca="1" si="41"/>
        <v>445.73299999999995</v>
      </c>
      <c r="Z111" s="1398">
        <f t="shared" ca="1" si="42"/>
        <v>8.8019723341471945</v>
      </c>
      <c r="AA111" s="1398">
        <f t="shared" ca="1" si="43"/>
        <v>87.95999999999367</v>
      </c>
      <c r="AB111" s="1398">
        <f t="shared" ca="1" si="44"/>
        <v>48</v>
      </c>
      <c r="AC111" s="1397">
        <f t="shared" ca="1" si="45"/>
        <v>1.2000000000005002</v>
      </c>
      <c r="AD111" s="1438">
        <f ca="1">IF(B111&gt;=$J$5,0,CONTADORES!H109-CONTADORES!H108)</f>
        <v>163</v>
      </c>
      <c r="AE111" s="1397">
        <f ca="1">IF(B111&gt;=$J$5,0,CONTADORES!J109-CONTADORES!J108)</f>
        <v>24</v>
      </c>
      <c r="AF111" s="1438">
        <f ca="1">IF(B111&gt;=$J$5,0,CONTADORES!AU109-CONTADORES!AU108)</f>
        <v>152</v>
      </c>
      <c r="AG111" s="1397">
        <f ca="1">IF(B111&gt;=$J$5,0,CONTADORES!AW109-CONTADORES!AW108)</f>
        <v>24</v>
      </c>
      <c r="AH111" s="1397">
        <f ca="1">IF(B111&gt;=$J$5,0,(CONTADORES!AM109-CONTADORES!AM108)+(CONTADORES!M109-CONTADORES!M108))</f>
        <v>8.0999999999985448</v>
      </c>
      <c r="AI111" s="1397">
        <f ca="1">IF(B111&gt;=$J$5,0,(CONTADORES!AK109-CONTADORES!AK108)+(CONTADORES!O109-CONTADORES!O108))</f>
        <v>40.30000000000291</v>
      </c>
      <c r="AJ111" s="1397">
        <f ca="1">IF(B111&gt;=$J$5,0,(CONTADORES!AI109-CONTADORES!AI108))</f>
        <v>5.6000000000058208</v>
      </c>
      <c r="AK111" s="1397">
        <f ca="1">IF(B111&gt;=$J$5,0,(CONTADORES!Q109-CONTADORES!Q108))</f>
        <v>14.200000000011642</v>
      </c>
      <c r="AL111" s="1397">
        <f t="shared" ca="1" si="46"/>
        <v>34.232999999981757</v>
      </c>
      <c r="AM111" s="1397">
        <f ca="1">IF(B111&gt;=$J$5,0,(((CONTADORES!F109-CONTADORES!F108)+(CONTADORES!AQ109-CONTADORES!AQ108))))-BS111-AF111-AN111-BV111-BY111-CD111-CB111</f>
        <v>8.6980000000002935</v>
      </c>
      <c r="AN111" s="1397">
        <f ca="1">IF(B111&gt;=$J$5,0,(CONTADORES!AX109-CONTADORES!AX108)+(CONTADORES!AZ109-CONTADORES!AZ108)+(CONTADORES!BE109-CONTADORES!BE108))-CB111</f>
        <v>3.9379999999997191</v>
      </c>
      <c r="AO111" s="1399">
        <f ca="1">IF(B111&gt;=$J$5,0,(CONTADORES!AC109-CONTADORES!AC108))</f>
        <v>152</v>
      </c>
      <c r="AP111" s="1399">
        <f ca="1">IF(B111&gt;=$J$5,0,(CONTADORES!X109-CONTADORES!X108))</f>
        <v>76</v>
      </c>
      <c r="AQ111" s="1404">
        <f ca="1">IF(B111&gt;=$J$5,0,(CONTADORES!C109-CONTADORES!C108))</f>
        <v>0.16800000000000637</v>
      </c>
      <c r="AR111" s="1399">
        <f ca="1">IF(B111&gt;=$J$5,0,(CONTADORES!BC109-CONTADORES!BC108))</f>
        <v>0.15300000000002001</v>
      </c>
      <c r="AS111" s="1438">
        <f ca="1">IF(B111&gt;=$J$5,0,CONTADORES!S109-CONTADORES!S108)</f>
        <v>14.800000000017462</v>
      </c>
      <c r="AT111" s="1438">
        <f ca="1">IF(B111&gt;=$J$5,0,(CONTADORES!U109-CONTADORES!U108)+(CONTADORES!AG109-CONTADORES!AG108))</f>
        <v>2.5</v>
      </c>
      <c r="AU111" s="1409">
        <f>CONTADORES!I109-CONTADORES!I108</f>
        <v>83</v>
      </c>
      <c r="AV111" s="1438">
        <f>CONTADORES!AV109-CONTADORES!AV108</f>
        <v>66</v>
      </c>
      <c r="AW111" s="1438">
        <f ca="1">IF(B111&gt;=$J$5,0,(CONTADORES!N109-CONTADORES!N108)+(CONTADORES!AN109-CONTADORES!AN108))</f>
        <v>3.0999999999985448</v>
      </c>
      <c r="AX111" s="1438">
        <f ca="1">IF(B111&gt;=$J$5,0,(CONTADORES!P109-CONTADORES!P108)+(CONTADORES!AL109-CONTADORES!AL108))</f>
        <v>32.5</v>
      </c>
      <c r="AY111" s="1438">
        <f ca="1">IF(B111&gt;=$J$5,0,(CONTADORES!AJ109-CONTADORES!AJ108))</f>
        <v>4.3000000000029104</v>
      </c>
      <c r="AZ111" s="1438">
        <f ca="1">IF(B111&gt;=$J$5,0,(CONTADORES!R109-CONTADORES!R108))</f>
        <v>11.5</v>
      </c>
      <c r="BA111" s="1409">
        <f t="shared" ca="1" si="47"/>
        <v>11.031999999998192</v>
      </c>
      <c r="BB111" s="1409">
        <f ca="1">IF(B110&gt;=$J$5,0,(((CONTADORES!G109-CONTADORES!G108)+(CONTADORES!AR109-CONTADORES!AR108))))-AV111-BC111-BT111-BW111-BZ111-CE111</f>
        <v>8.4390000000001706</v>
      </c>
      <c r="BC111" s="1438">
        <f ca="1">IF(B111&gt;=$J$5,0,(CONTADORES!AY109-CONTADORES!AY108)+(CONTADORES!BA109-CONTADORES!BA108)+(CONTADORES!BF109-CONTADORES!BF108))-CC111</f>
        <v>1.2310000000000101</v>
      </c>
      <c r="BD111" s="1397">
        <f t="shared" ca="1" si="48"/>
        <v>228.32100000000003</v>
      </c>
      <c r="BE111" s="1398">
        <f ca="1">IF($B111&gt;=$J$5,0,CONTADORES!$BG109)</f>
        <v>5678.48</v>
      </c>
      <c r="BF111" s="1397">
        <f ca="1">IF($B111&gt;=$J$5,0,CONTADORES!$BH109)</f>
        <v>32058.159649122801</v>
      </c>
      <c r="BG111" s="1397">
        <f ca="1">IF($B111&gt;=$J$5,0,CONTADORES!$BJ109)</f>
        <v>5245.77</v>
      </c>
      <c r="BH111" s="1397">
        <f ca="1">IF(B111&gt;=$J$5,0,((CONTADORES!BK109-CONTADORES!BK108)/1000))</f>
        <v>0.48</v>
      </c>
      <c r="BI111" s="1397">
        <f ca="1">IF(C111&gt;=$J$5,0,((CONTADORES!BL109-CONTADORES!BL108)/1000))</f>
        <v>0.43</v>
      </c>
      <c r="BJ111" s="1397">
        <f ca="1">IF(C111&gt;=$J$5,0,((CONTADORES!BM109-CONTADORES!BM108)/1000))</f>
        <v>0.09</v>
      </c>
      <c r="BK111" s="1397">
        <f ca="1">IF(D111&gt;=$J$5,0,((CONTADORES!BN109-CONTADORES!BN108)/1000))</f>
        <v>7.0999999999999994E-2</v>
      </c>
      <c r="BL111" s="1399">
        <f t="shared" ca="1" si="49"/>
        <v>0.56999999999999995</v>
      </c>
      <c r="BM111" s="1399">
        <f t="shared" ca="1" si="50"/>
        <v>0.501</v>
      </c>
      <c r="BN111" s="1398">
        <f ca="1">IF(W111&gt;=$J$5,0,CONTADORES!$BO109)</f>
        <v>129.8438605139018</v>
      </c>
      <c r="BO111" s="1397">
        <f ca="1">IF(W111&gt;=$J$5,0,CONTADORES!$BP109)</f>
        <v>44.941819399338584</v>
      </c>
      <c r="BP111" s="1397">
        <f ca="1">IF(W111&gt;=$J$5,0,CONTADORES!$BQ109)</f>
        <v>658.33196238456151</v>
      </c>
      <c r="BQ111" s="1397">
        <f ca="1">IF(B111&gt;=$J$5,0,(CONTADORES!AS109-CONTADORES!AS108))</f>
        <v>5</v>
      </c>
      <c r="BR111" s="1397">
        <f ca="1">IF(C111&gt;=$J$5,0,(CONTADORES!AT109-CONTADORES!AT108))</f>
        <v>0</v>
      </c>
      <c r="BS111" s="1409">
        <f ca="1">IF(B111&gt;=$J$5,0,CONTADORES!BR109-CONTADORES!BR108)/1000</f>
        <v>2.2000000000000002</v>
      </c>
      <c r="BT111" s="1438">
        <f ca="1">IF(B111&gt;=$J$5,0,CONTADORES!BS109-CONTADORES!BS108)</f>
        <v>1</v>
      </c>
      <c r="BU111" s="1438">
        <f ca="1">IF(B111&gt;=$J$5,0,CONTADORES!BT109-CONTADORES!BT108)</f>
        <v>24</v>
      </c>
      <c r="BV111" s="1438">
        <f ca="1">IF(B111&gt;=$J$5,0,CONTADORES!BU109-CONTADORES!BU108)/1000</f>
        <v>0</v>
      </c>
      <c r="BW111" s="1438">
        <f ca="1">IF(B111&gt;=$J$5,0,CONTADORES!BV109-CONTADORES!BV108)/1000</f>
        <v>0</v>
      </c>
      <c r="BX111" s="1438">
        <f ca="1">IF(B111&gt;=$J$5,0,CONTADORES!BW109-CONTADORES!BW108)</f>
        <v>0</v>
      </c>
      <c r="BY111" s="1438">
        <f ca="1">IF(B111&gt;=$J$5,0,CONTADORES!BX109-CONTADORES!BX108)/1000</f>
        <v>4.7619999999999996</v>
      </c>
      <c r="BZ111" s="1438">
        <f ca="1">IF(B111&gt;=$J$5,0,CONTADORES!BY109-CONTADORES!BY108)/1000</f>
        <v>0.63</v>
      </c>
      <c r="CA111" s="1438">
        <f ca="1">IF(B111&gt;=$J$5,0,CONTADORES!BZ109-CONTADORES!BZ108)</f>
        <v>24</v>
      </c>
      <c r="CB111" s="1409">
        <f ca="1">IF(B111&gt;=$J$5,0,(CONTADORES!CC109-CONTADORES!CC108)+(CONTADORES!CE109-CONTADORES!CE108))/1000</f>
        <v>1.4019999999999999</v>
      </c>
      <c r="CC111" s="1438">
        <f ca="1">IF(B111&gt;=$J$5,0,(CONTADORES!CD109-CONTADORES!CD108)+(CONTADORES!CF109-CONTADORES!CF108))/1000</f>
        <v>0.78900000000000003</v>
      </c>
      <c r="CD111" s="1409">
        <f ca="1">IF(B111&gt;=$J$5,0,CONTADORES!CA109-CONTADORES!CA108)</f>
        <v>7.2999999999992724</v>
      </c>
      <c r="CE111" s="1438">
        <f ca="1">IF(B111&gt;=$J$5,0,CONTADORES!CB109-CONTADORES!CB108)</f>
        <v>4.8000000000001819</v>
      </c>
      <c r="CF111" s="1438">
        <f t="shared" ca="1" si="51"/>
        <v>11.648999999999418</v>
      </c>
      <c r="CG111" s="1438">
        <f t="shared" ca="1" si="52"/>
        <v>9.0195000000002672</v>
      </c>
      <c r="CH111" s="1438">
        <f t="shared" ca="1" si="53"/>
        <v>4.3490000000001467</v>
      </c>
      <c r="CI111" s="1438">
        <f t="shared" ca="1" si="54"/>
        <v>1.5751999999998878</v>
      </c>
      <c r="CJ111" s="1438">
        <f t="shared" ca="1" si="55"/>
        <v>4.3490000000001467</v>
      </c>
      <c r="CK111" s="1438">
        <f t="shared" ca="1" si="56"/>
        <v>2.3627999999998313</v>
      </c>
      <c r="CL111" s="1438">
        <f t="shared" ca="1" si="57"/>
        <v>2.9771999999998879</v>
      </c>
      <c r="CM111" s="1438">
        <f t="shared" ca="1" si="58"/>
        <v>4.2195000000000853</v>
      </c>
      <c r="CN111" s="1438">
        <f ca="1">IF(B111&gt;=$J$5,0,CONTADORES!CB109-CONTADORES!CB108)</f>
        <v>4.8000000000001819</v>
      </c>
      <c r="CO111" s="1438">
        <f t="shared" ca="1" si="59"/>
        <v>4.2195000000000853</v>
      </c>
      <c r="CP111" s="1438">
        <f t="shared" ca="1" si="60"/>
        <v>0.61550000000000504</v>
      </c>
      <c r="CQ111" s="1438">
        <f t="shared" ca="1" si="61"/>
        <v>0.61550000000000504</v>
      </c>
      <c r="CR111" s="1438">
        <f t="shared" ca="1" si="62"/>
        <v>1.404500000000005</v>
      </c>
      <c r="CS111" s="1439">
        <f ca="1">IF($B111&gt;=$J$5,0,CONTADORES!$BI109)</f>
        <v>7377.2743725119899</v>
      </c>
      <c r="CT111" s="1334">
        <f>CONTADORES!E109</f>
        <v>0.6</v>
      </c>
      <c r="CU111" s="1334">
        <f>CONTADORES!CG109</f>
        <v>0.5</v>
      </c>
    </row>
    <row r="112" spans="2:99">
      <c r="B112" s="390">
        <v>45028</v>
      </c>
      <c r="C112" s="198">
        <f t="shared" ca="1" si="35"/>
        <v>292</v>
      </c>
      <c r="D112" s="196">
        <f ca="1">'CALCULO DE GAS'!D117</f>
        <v>4.9822941545169179</v>
      </c>
      <c r="E112" s="196">
        <f ca="1">IF(B112&gt;=$J$5,0,(CONTADORES!$AD110-CONTADORES!$AD109)-$H112)</f>
        <v>24</v>
      </c>
      <c r="F112" s="198">
        <f t="shared" ca="1" si="64"/>
        <v>0</v>
      </c>
      <c r="G112" s="196">
        <f ca="1">IF(B112&gt;=$J$5,0,CONTADORES!$AF110-CONTADORES!$AF109)</f>
        <v>0</v>
      </c>
      <c r="H112" s="1396">
        <f ca="1">IF(G112&gt;0,CONTADORES!$AE110-CONTADORES!$AE109,0)</f>
        <v>0</v>
      </c>
      <c r="I112" s="199">
        <f ca="1">IF(B112&gt;=$J$5,0,CONTADORES!$AB110-CONTADORES!$AB109)</f>
        <v>292</v>
      </c>
      <c r="J112" s="198">
        <f t="shared" ca="1" si="36"/>
        <v>148</v>
      </c>
      <c r="K112" s="196">
        <f ca="1">'CALCULO DE GAS'!E117</f>
        <v>3.777857461109174</v>
      </c>
      <c r="L112" s="1396">
        <f ca="1">IF(B112&gt;=$J$5,0,(CONTADORES!$Y110-CONTADORES!$Y109)-$O112)</f>
        <v>24</v>
      </c>
      <c r="M112" s="1396">
        <f t="shared" ca="1" si="66"/>
        <v>0</v>
      </c>
      <c r="N112" s="1396">
        <f ca="1">IF(B112&gt;=$J$5,0,CONTADORES!$AA110-CONTADORES!$AA109)</f>
        <v>0</v>
      </c>
      <c r="O112" s="1396">
        <f ca="1">IF(N112&gt;0,CONTADORES!$Z110-CONTADORES!$Z109,0)</f>
        <v>0</v>
      </c>
      <c r="P112" s="202">
        <f ca="1">IF(B112&gt;=$J$5,0,CONTADORES!$W110-CONTADORES!$W109)</f>
        <v>148</v>
      </c>
      <c r="Q112" s="202">
        <f ca="1">IF(B112&gt;=$J$5,0,CONTADORES!$B110-CONTADORES!$B109)</f>
        <v>0</v>
      </c>
      <c r="R112" s="196">
        <f t="shared" ca="1" si="37"/>
        <v>0</v>
      </c>
      <c r="S112" s="11">
        <f ca="1">IF(B112&gt;=$J$5,0,CONTADORES!$D110-CONTADORES!$D109)</f>
        <v>0</v>
      </c>
      <c r="T112" s="198">
        <f ca="1">IF(B112&gt;=$J$5,0,CONTADORES!$BB110-CONTADORES!$BB109)</f>
        <v>0</v>
      </c>
      <c r="U112" s="196">
        <f t="shared" ca="1" si="65"/>
        <v>0</v>
      </c>
      <c r="V112" s="199">
        <f ca="1">IF(B112&gt;=$J$5,0,CONTADORES!$BD110-CONTADORES!$BD109)</f>
        <v>0</v>
      </c>
      <c r="W112" s="1397">
        <f t="shared" ca="1" si="39"/>
        <v>440</v>
      </c>
      <c r="X112" s="1397">
        <f t="shared" ca="1" si="40"/>
        <v>0</v>
      </c>
      <c r="Y112" s="1398">
        <f t="shared" ca="1" si="41"/>
        <v>440</v>
      </c>
      <c r="Z112" s="1398">
        <f t="shared" ca="1" si="42"/>
        <v>8.7601516156260928</v>
      </c>
      <c r="AA112" s="1398">
        <f t="shared" ca="1" si="43"/>
        <v>0</v>
      </c>
      <c r="AB112" s="1398">
        <f t="shared" ca="1" si="44"/>
        <v>48</v>
      </c>
      <c r="AC112" s="1397">
        <f t="shared" ca="1" si="45"/>
        <v>0</v>
      </c>
      <c r="AD112" s="1438">
        <f ca="1">IF(B112&gt;=$J$5,0,CONTADORES!H110-CONTADORES!H109)</f>
        <v>162</v>
      </c>
      <c r="AE112" s="1397">
        <f ca="1">IF(B112&gt;=$J$5,0,CONTADORES!J110-CONTADORES!J109)</f>
        <v>24</v>
      </c>
      <c r="AF112" s="1438">
        <f ca="1">IF(B112&gt;=$J$5,0,CONTADORES!AU110-CONTADORES!AU109)</f>
        <v>150</v>
      </c>
      <c r="AG112" s="1397">
        <f ca="1">IF(B112&gt;=$J$5,0,CONTADORES!AW110-CONTADORES!AW109)</f>
        <v>24</v>
      </c>
      <c r="AH112" s="1397">
        <f ca="1">IF(B112&gt;=$J$5,0,(CONTADORES!AM110-CONTADORES!AM109)+(CONTADORES!M110-CONTADORES!M109))</f>
        <v>9.9000000000014552</v>
      </c>
      <c r="AI112" s="1397">
        <f ca="1">IF(B112&gt;=$J$5,0,(CONTADORES!AK110-CONTADORES!AK109)+(CONTADORES!O110-CONTADORES!O109))</f>
        <v>38.400000000001455</v>
      </c>
      <c r="AJ112" s="1397">
        <f ca="1">IF(B112&gt;=$J$5,0,(CONTADORES!AI110-CONTADORES!AI109))</f>
        <v>5.6999999999970896</v>
      </c>
      <c r="AK112" s="1397">
        <f ca="1">IF(B112&gt;=$J$5,0,(CONTADORES!Q110-CONTADORES!Q109))</f>
        <v>14.199999999982538</v>
      </c>
      <c r="AL112" s="1397">
        <f t="shared" ca="1" si="46"/>
        <v>33.400000000016007</v>
      </c>
      <c r="AM112" s="1397">
        <f ca="1">IF(B112&gt;=$J$5,0,(((CONTADORES!F110-CONTADORES!F109)+(CONTADORES!AQ110-CONTADORES!AQ109))))-BS112-AF112-AN112-BV112-BY112-CD112-CB112</f>
        <v>7.67900000000009</v>
      </c>
      <c r="AN112" s="1397">
        <f ca="1">IF(B112&gt;=$J$5,0,(CONTADORES!AX110-CONTADORES!AX109)+(CONTADORES!AZ110-CONTADORES!AZ109)+(CONTADORES!BE110-CONTADORES!BE109))-CB112</f>
        <v>3.8790000000006364</v>
      </c>
      <c r="AO112" s="1399">
        <f ca="1">IF(B112&gt;=$J$5,0,(CONTADORES!AC110-CONTADORES!AC109))</f>
        <v>150</v>
      </c>
      <c r="AP112" s="1399">
        <f ca="1">IF(B112&gt;=$J$5,0,(CONTADORES!X110-CONTADORES!X109))</f>
        <v>77</v>
      </c>
      <c r="AQ112" s="1404">
        <f ca="1">IF(B112&gt;=$J$5,0,(CONTADORES!C110-CONTADORES!C109))</f>
        <v>0</v>
      </c>
      <c r="AR112" s="1399">
        <f ca="1">IF(B112&gt;=$J$5,0,(CONTADORES!BC110-CONTADORES!BC109))</f>
        <v>0</v>
      </c>
      <c r="AS112" s="1438">
        <f ca="1">IF(B112&gt;=$J$5,0,CONTADORES!S110-CONTADORES!S109)</f>
        <v>15</v>
      </c>
      <c r="AT112" s="1438">
        <f ca="1">IF(B112&gt;=$J$5,0,(CONTADORES!U110-CONTADORES!U109)+(CONTADORES!AG110-CONTADORES!AG109))</f>
        <v>2.5</v>
      </c>
      <c r="AU112" s="1409">
        <f>CONTADORES!I110-CONTADORES!I109</f>
        <v>84</v>
      </c>
      <c r="AV112" s="1438">
        <f>CONTADORES!AV110-CONTADORES!AV109</f>
        <v>64</v>
      </c>
      <c r="AW112" s="1438">
        <f ca="1">IF(B112&gt;=$J$5,0,(CONTADORES!N110-CONTADORES!N109)+(CONTADORES!AN110-CONTADORES!AN109))</f>
        <v>3.6000000000021828</v>
      </c>
      <c r="AX112" s="1438">
        <f ca="1">IF(B112&gt;=$J$5,0,(CONTADORES!P110-CONTADORES!P109)+(CONTADORES!AL110-CONTADORES!AL109))</f>
        <v>31.099999999998545</v>
      </c>
      <c r="AY112" s="1438">
        <f ca="1">IF(B112&gt;=$J$5,0,(CONTADORES!AJ110-CONTADORES!AJ109))</f>
        <v>4.4000000000014552</v>
      </c>
      <c r="AZ112" s="1438">
        <f ca="1">IF(B112&gt;=$J$5,0,(CONTADORES!R110-CONTADORES!R109))</f>
        <v>11.30000000000291</v>
      </c>
      <c r="BA112" s="1409">
        <f t="shared" ca="1" si="47"/>
        <v>11.916999999995255</v>
      </c>
      <c r="BB112" s="1409">
        <f ca="1">IF(B111&gt;=$J$5,0,(((CONTADORES!G110-CONTADORES!G109)+(CONTADORES!AR110-CONTADORES!AR109))))-AV112-BC112-BT112-BW112-BZ112-CE112</f>
        <v>8.5569999999999986</v>
      </c>
      <c r="BC112" s="1438">
        <f ca="1">IF(B112&gt;=$J$5,0,(CONTADORES!AY110-CONTADORES!AY109)+(CONTADORES!BA110-CONTADORES!BA109)+(CONTADORES!BF110-CONTADORES!BF109))-CC112</f>
        <v>1.2170000000000001</v>
      </c>
      <c r="BD112" s="1397">
        <f t="shared" ca="1" si="48"/>
        <v>227</v>
      </c>
      <c r="BE112" s="1398">
        <f ca="1">IF($B112&gt;=$J$5,0,CONTADORES!$BG110)</f>
        <v>6036.13</v>
      </c>
      <c r="BF112" s="1397">
        <f ca="1">IF($B112&gt;=$J$5,0,CONTADORES!$BH110)</f>
        <v>33018.115789473697</v>
      </c>
      <c r="BG112" s="1397">
        <f ca="1">IF($B112&gt;=$J$5,0,CONTADORES!$BJ110)</f>
        <v>5409.52</v>
      </c>
      <c r="BH112" s="1397">
        <f ca="1">IF(B112&gt;=$J$5,0,((CONTADORES!BK110-CONTADORES!BK109)/1000))</f>
        <v>0</v>
      </c>
      <c r="BI112" s="1397">
        <f ca="1">IF(C112&gt;=$J$5,0,((CONTADORES!BL110-CONTADORES!BL109)/1000))</f>
        <v>0</v>
      </c>
      <c r="BJ112" s="1397">
        <f ca="1">IF(C112&gt;=$J$5,0,((CONTADORES!BM110-CONTADORES!BM109)/1000))</f>
        <v>0.24099999999999999</v>
      </c>
      <c r="BK112" s="1397">
        <f ca="1">IF(D112&gt;=$J$5,0,((CONTADORES!BN110-CONTADORES!BN109)/1000))</f>
        <v>0.13500000000000001</v>
      </c>
      <c r="BL112" s="1399">
        <f t="shared" ca="1" si="49"/>
        <v>0.24099999999999999</v>
      </c>
      <c r="BM112" s="1399">
        <f t="shared" ca="1" si="50"/>
        <v>0.13500000000000001</v>
      </c>
      <c r="BN112" s="1398">
        <f ca="1">IF(W112&gt;=$J$5,0,CONTADORES!$BO110)</f>
        <v>114</v>
      </c>
      <c r="BO112" s="1397">
        <f ca="1">IF(W112&gt;=$J$5,0,CONTADORES!$BP110)</f>
        <v>39.555999999999997</v>
      </c>
      <c r="BP112" s="1397">
        <f ca="1">IF(W112&gt;=$J$5,0,CONTADORES!$BQ110)</f>
        <v>580</v>
      </c>
      <c r="BQ112" s="1397">
        <f ca="1">IF(B112&gt;=$J$5,0,(CONTADORES!AS110-CONTADORES!AS109))</f>
        <v>4</v>
      </c>
      <c r="BR112" s="1397">
        <f ca="1">IF(C112&gt;=$J$5,0,(CONTADORES!AT110-CONTADORES!AT109))</f>
        <v>0</v>
      </c>
      <c r="BS112" s="1409">
        <f ca="1">IF(B112&gt;=$J$5,0,CONTADORES!BR110-CONTADORES!BR109)/1000</f>
        <v>2</v>
      </c>
      <c r="BT112" s="1438">
        <f ca="1">IF(B112&gt;=$J$5,0,CONTADORES!BS110-CONTADORES!BS109)</f>
        <v>1</v>
      </c>
      <c r="BU112" s="1438">
        <f ca="1">IF(B112&gt;=$J$5,0,CONTADORES!BT110-CONTADORES!BT109)</f>
        <v>24</v>
      </c>
      <c r="BV112" s="1438">
        <f ca="1">IF(B112&gt;=$J$5,0,CONTADORES!BU110-CONTADORES!BU109)/1000</f>
        <v>0</v>
      </c>
      <c r="BW112" s="1438">
        <f ca="1">IF(B112&gt;=$J$5,0,CONTADORES!BV110-CONTADORES!BV109)/1000</f>
        <v>0</v>
      </c>
      <c r="BX112" s="1438">
        <f ca="1">IF(B112&gt;=$J$5,0,CONTADORES!BW110-CONTADORES!BW109)</f>
        <v>0</v>
      </c>
      <c r="BY112" s="1438">
        <f ca="1">IF(B112&gt;=$J$5,0,CONTADORES!BX110-CONTADORES!BX109)/1000</f>
        <v>4.7210000000000001</v>
      </c>
      <c r="BZ112" s="1438">
        <f ca="1">IF(B112&gt;=$J$5,0,CONTADORES!BY110-CONTADORES!BY109)/1000</f>
        <v>0.72599999999999998</v>
      </c>
      <c r="CA112" s="1438">
        <f ca="1">IF(B112&gt;=$J$5,0,CONTADORES!BZ110-CONTADORES!BZ109)</f>
        <v>24</v>
      </c>
      <c r="CB112" s="1409">
        <f ca="1">IF(B112&gt;=$J$5,0,(CONTADORES!CC110-CONTADORES!CC109)+(CONTADORES!CE110-CONTADORES!CE109))/1000</f>
        <v>1.421</v>
      </c>
      <c r="CC112" s="1438">
        <f ca="1">IF(B112&gt;=$J$5,0,(CONTADORES!CD110-CONTADORES!CD109)+(CONTADORES!CF110-CONTADORES!CF109))/1000</f>
        <v>0.78300000000000003</v>
      </c>
      <c r="CD112" s="1409">
        <f ca="1">IF(B112&gt;=$J$5,0,CONTADORES!CA110-CONTADORES!CA109)</f>
        <v>6.7000000000007276</v>
      </c>
      <c r="CE112" s="1438">
        <f ca="1">IF(B112&gt;=$J$5,0,CONTADORES!CB110-CONTADORES!CB109)</f>
        <v>4.3999999999996362</v>
      </c>
      <c r="CF112" s="1438">
        <f t="shared" ca="1" si="51"/>
        <v>10.539500000000773</v>
      </c>
      <c r="CG112" s="1438">
        <f t="shared" ca="1" si="52"/>
        <v>8.6784999999996355</v>
      </c>
      <c r="CH112" s="1438">
        <f t="shared" ca="1" si="53"/>
        <v>3.839500000000045</v>
      </c>
      <c r="CI112" s="1438">
        <f t="shared" ca="1" si="54"/>
        <v>1.5516000000002546</v>
      </c>
      <c r="CJ112" s="1438">
        <f t="shared" ca="1" si="55"/>
        <v>3.839500000000045</v>
      </c>
      <c r="CK112" s="1438">
        <f t="shared" ca="1" si="56"/>
        <v>2.3274000000003818</v>
      </c>
      <c r="CL112" s="1438">
        <f t="shared" ca="1" si="57"/>
        <v>2.9726000000002548</v>
      </c>
      <c r="CM112" s="1438">
        <f t="shared" ca="1" si="58"/>
        <v>4.2784999999999993</v>
      </c>
      <c r="CN112" s="1438">
        <f ca="1">IF(B112&gt;=$J$5,0,CONTADORES!CB110-CONTADORES!CB109)</f>
        <v>4.3999999999996362</v>
      </c>
      <c r="CO112" s="1438">
        <f t="shared" ca="1" si="59"/>
        <v>4.2784999999999993</v>
      </c>
      <c r="CP112" s="1438">
        <f t="shared" ca="1" si="60"/>
        <v>0.60850000000000004</v>
      </c>
      <c r="CQ112" s="1438">
        <f t="shared" ca="1" si="61"/>
        <v>0.60850000000000004</v>
      </c>
      <c r="CR112" s="1438">
        <f t="shared" ca="1" si="62"/>
        <v>1.3915000000000002</v>
      </c>
      <c r="CS112" s="1439">
        <f ca="1">IF($B112&gt;=$J$5,0,CONTADORES!$BI110)</f>
        <v>9477.5478687720406</v>
      </c>
      <c r="CT112" s="1334">
        <f>CONTADORES!E110</f>
        <v>0</v>
      </c>
      <c r="CU112" s="1334">
        <f>CONTADORES!CG110</f>
        <v>0</v>
      </c>
    </row>
    <row r="113" spans="2:99">
      <c r="B113" s="390">
        <v>45029</v>
      </c>
      <c r="C113" s="198">
        <f t="shared" ca="1" si="35"/>
        <v>298</v>
      </c>
      <c r="D113" s="196">
        <f ca="1">'CALCULO DE GAS'!D118</f>
        <v>5.03247901674224</v>
      </c>
      <c r="E113" s="196">
        <f ca="1">IF(B113&gt;=$J$5,0,(CONTADORES!$AD111-CONTADORES!$AD110)-$H113)</f>
        <v>24</v>
      </c>
      <c r="F113" s="198">
        <f t="shared" ca="1" si="64"/>
        <v>0</v>
      </c>
      <c r="G113" s="196">
        <f ca="1">IF(B113&gt;=$J$5,0,CONTADORES!$AF111-CONTADORES!$AF110)</f>
        <v>0</v>
      </c>
      <c r="H113" s="1396">
        <f ca="1">IF(G113&gt;0,CONTADORES!$AE111-CONTADORES!$AE110,0)</f>
        <v>0</v>
      </c>
      <c r="I113" s="199">
        <f ca="1">IF(B113&gt;=$J$5,0,CONTADORES!$AB111-CONTADORES!$AB110)</f>
        <v>298</v>
      </c>
      <c r="J113" s="198">
        <f t="shared" ca="1" si="36"/>
        <v>147</v>
      </c>
      <c r="K113" s="196">
        <f ca="1">'CALCULO DE GAS'!E118</f>
        <v>3.7694933174049532</v>
      </c>
      <c r="L113" s="1396">
        <f ca="1">IF(B113&gt;=$J$5,0,(CONTADORES!$Y111-CONTADORES!$Y110)-$O113)</f>
        <v>24</v>
      </c>
      <c r="M113" s="1396">
        <f t="shared" ca="1" si="66"/>
        <v>0</v>
      </c>
      <c r="N113" s="1396">
        <f ca="1">IF(B113&gt;=$J$5,0,CONTADORES!$AA111-CONTADORES!$AA110)</f>
        <v>0</v>
      </c>
      <c r="O113" s="1396">
        <f ca="1">IF(N113&gt;0,CONTADORES!$Z111-CONTADORES!$Z110,0)</f>
        <v>0</v>
      </c>
      <c r="P113" s="202">
        <f ca="1">IF(B113&gt;=$J$5,0,CONTADORES!$W111-CONTADORES!$W110)</f>
        <v>147</v>
      </c>
      <c r="Q113" s="202">
        <f ca="1">IF(B113&gt;=$J$5,0,CONTADORES!$B111-CONTADORES!$B110)</f>
        <v>0</v>
      </c>
      <c r="R113" s="196">
        <f t="shared" ca="1" si="37"/>
        <v>0</v>
      </c>
      <c r="S113" s="11">
        <f ca="1">IF(B113&gt;=$J$5,0,CONTADORES!$D111-CONTADORES!$D110)</f>
        <v>0</v>
      </c>
      <c r="T113" s="198">
        <f ca="1">IF(B113&gt;=$J$5,0,CONTADORES!$BB111-CONTADORES!$BB110)</f>
        <v>0</v>
      </c>
      <c r="U113" s="196">
        <f t="shared" ca="1" si="65"/>
        <v>0</v>
      </c>
      <c r="V113" s="199">
        <f ca="1">IF(B113&gt;=$J$5,0,CONTADORES!$BD111-CONTADORES!$BD110)</f>
        <v>0</v>
      </c>
      <c r="W113" s="1397">
        <f t="shared" ca="1" si="39"/>
        <v>445</v>
      </c>
      <c r="X113" s="1397">
        <f t="shared" ca="1" si="40"/>
        <v>0</v>
      </c>
      <c r="Y113" s="1398">
        <f t="shared" ca="1" si="41"/>
        <v>445</v>
      </c>
      <c r="Z113" s="1398">
        <f t="shared" ca="1" si="42"/>
        <v>8.8019723341471927</v>
      </c>
      <c r="AA113" s="1398">
        <f t="shared" ca="1" si="43"/>
        <v>0</v>
      </c>
      <c r="AB113" s="1398">
        <f t="shared" ca="1" si="44"/>
        <v>48</v>
      </c>
      <c r="AC113" s="1397">
        <f t="shared" ca="1" si="45"/>
        <v>0</v>
      </c>
      <c r="AD113" s="1438">
        <f ca="1">IF(B113&gt;=$J$5,0,CONTADORES!H111-CONTADORES!H110)</f>
        <v>163</v>
      </c>
      <c r="AE113" s="1397">
        <f ca="1">IF(B113&gt;=$J$5,0,CONTADORES!J111-CONTADORES!J110)</f>
        <v>24</v>
      </c>
      <c r="AF113" s="1438">
        <f ca="1">IF(B113&gt;=$J$5,0,CONTADORES!AU111-CONTADORES!AU110)</f>
        <v>149</v>
      </c>
      <c r="AG113" s="1397">
        <f ca="1">IF(B113&gt;=$J$5,0,CONTADORES!AW111-CONTADORES!AW110)</f>
        <v>24</v>
      </c>
      <c r="AH113" s="1397">
        <f ca="1">IF(B113&gt;=$J$5,0,(CONTADORES!AM111-CONTADORES!AM110)+(CONTADORES!M111-CONTADORES!M110))</f>
        <v>12</v>
      </c>
      <c r="AI113" s="1397">
        <f ca="1">IF(B113&gt;=$J$5,0,(CONTADORES!AK111-CONTADORES!AK110)+(CONTADORES!O111-CONTADORES!O110))</f>
        <v>38</v>
      </c>
      <c r="AJ113" s="1397">
        <f ca="1">IF(B113&gt;=$J$5,0,(CONTADORES!AI111-CONTADORES!AI110))</f>
        <v>7.3999999999941792</v>
      </c>
      <c r="AK113" s="1397">
        <f ca="1">IF(B113&gt;=$J$5,0,(CONTADORES!Q111-CONTADORES!Q110))</f>
        <v>15</v>
      </c>
      <c r="AL113" s="1397">
        <f t="shared" ca="1" si="46"/>
        <v>32.400000000008788</v>
      </c>
      <c r="AM113" s="1397">
        <f ca="1">IF(B113&gt;=$J$5,0,(((CONTADORES!F111-CONTADORES!F110)+(CONTADORES!AQ111-CONTADORES!AQ110))))-BS113-AF113-AN113-BV113-BY113-CD113-CB113</f>
        <v>9.8479999999977235</v>
      </c>
      <c r="AN113" s="1397">
        <f ca="1">IF(B113&gt;=$J$5,0,(CONTADORES!AX111-CONTADORES!AX110)+(CONTADORES!AZ111-CONTADORES!AZ110)+(CONTADORES!BE111-CONTADORES!BE110))-CB113</f>
        <v>3.7119999999989997</v>
      </c>
      <c r="AO113" s="1399">
        <f ca="1">IF(B113&gt;=$J$5,0,(CONTADORES!AC111-CONTADORES!AC110))</f>
        <v>151</v>
      </c>
      <c r="AP113" s="1399">
        <f ca="1">IF(B113&gt;=$J$5,0,(CONTADORES!X111-CONTADORES!X110))</f>
        <v>76</v>
      </c>
      <c r="AQ113" s="1404">
        <f ca="1">IF(B113&gt;=$J$5,0,(CONTADORES!C111-CONTADORES!C110))</f>
        <v>0</v>
      </c>
      <c r="AR113" s="1399">
        <f ca="1">IF(B113&gt;=$J$5,0,(CONTADORES!BC111-CONTADORES!BC110))</f>
        <v>0</v>
      </c>
      <c r="AS113" s="1438">
        <f ca="1">IF(B113&gt;=$J$5,0,CONTADORES!S111-CONTADORES!S110)</f>
        <v>14.899999999994179</v>
      </c>
      <c r="AT113" s="1438">
        <f ca="1">IF(B113&gt;=$J$5,0,(CONTADORES!U111-CONTADORES!U110)+(CONTADORES!AG111-CONTADORES!AG110))</f>
        <v>2.3000000000029104</v>
      </c>
      <c r="AU113" s="1409">
        <f>CONTADORES!I111-CONTADORES!I110</f>
        <v>83</v>
      </c>
      <c r="AV113" s="1438">
        <f>CONTADORES!AV111-CONTADORES!AV110</f>
        <v>65</v>
      </c>
      <c r="AW113" s="1438">
        <f ca="1">IF(B113&gt;=$J$5,0,(CONTADORES!N111-CONTADORES!N110)+(CONTADORES!AN111-CONTADORES!AN110))</f>
        <v>4.7999999999992724</v>
      </c>
      <c r="AX113" s="1438">
        <f ca="1">IF(B113&gt;=$J$5,0,(CONTADORES!P111-CONTADORES!P110)+(CONTADORES!AL111-CONTADORES!AL110))</f>
        <v>31</v>
      </c>
      <c r="AY113" s="1438">
        <f ca="1">IF(B113&gt;=$J$5,0,(CONTADORES!AJ111-CONTADORES!AJ110))</f>
        <v>5.5999999999985448</v>
      </c>
      <c r="AZ113" s="1438">
        <f ca="1">IF(B113&gt;=$J$5,0,(CONTADORES!R111-CONTADORES!R110))</f>
        <v>11.900000000008731</v>
      </c>
      <c r="BA113" s="1409">
        <f t="shared" ca="1" si="47"/>
        <v>10.036999999992901</v>
      </c>
      <c r="BB113" s="1409">
        <f ca="1">IF(B112&gt;=$J$5,0,(((CONTADORES!G111-CONTADORES!G110)+(CONTADORES!AR111-CONTADORES!AR110))))-AV113-BC113-BT113-BW113-BZ113-CE113</f>
        <v>8.2820000000000338</v>
      </c>
      <c r="BC113" s="1438">
        <f ca="1">IF(B113&gt;=$J$5,0,(CONTADORES!AY111-CONTADORES!AY110)+(CONTADORES!BA111-CONTADORES!BA110)+(CONTADORES!BF111-CONTADORES!BF110))-CC113</f>
        <v>1.336999999999966</v>
      </c>
      <c r="BD113" s="1397">
        <f t="shared" ca="1" si="48"/>
        <v>227</v>
      </c>
      <c r="BE113" s="1398">
        <f ca="1">IF($B113&gt;=$J$5,0,CONTADORES!$BG111)</f>
        <v>5997.6</v>
      </c>
      <c r="BF113" s="1397">
        <f ca="1">IF($B113&gt;=$J$5,0,CONTADORES!$BH111)</f>
        <v>33611.922807017501</v>
      </c>
      <c r="BG113" s="1397">
        <f ca="1">IF($B113&gt;=$J$5,0,CONTADORES!$BJ111)</f>
        <v>5417.49</v>
      </c>
      <c r="BH113" s="1397">
        <f ca="1">IF(B113&gt;=$J$5,0,((CONTADORES!BK111-CONTADORES!BK110)/1000))</f>
        <v>0</v>
      </c>
      <c r="BI113" s="1397">
        <f ca="1">IF(C113&gt;=$J$5,0,((CONTADORES!BL111-CONTADORES!BL110)/1000))</f>
        <v>0</v>
      </c>
      <c r="BJ113" s="1397">
        <f ca="1">IF(C113&gt;=$J$5,0,((CONTADORES!BM111-CONTADORES!BM110)/1000))</f>
        <v>0.24099999999999999</v>
      </c>
      <c r="BK113" s="1397">
        <f ca="1">IF(D113&gt;=$J$5,0,((CONTADORES!BN111-CONTADORES!BN110)/1000))</f>
        <v>0.13</v>
      </c>
      <c r="BL113" s="1399">
        <f t="shared" ca="1" si="49"/>
        <v>0.24099999999999999</v>
      </c>
      <c r="BM113" s="1399">
        <f t="shared" ca="1" si="50"/>
        <v>0.13</v>
      </c>
      <c r="BN113" s="1398">
        <f ca="1">IF(W113&gt;=$J$5,0,CONTADORES!$BO111)</f>
        <v>61</v>
      </c>
      <c r="BO113" s="1397">
        <f ca="1">IF(W113&gt;=$J$5,0,CONTADORES!$BP111)</f>
        <v>20.395</v>
      </c>
      <c r="BP113" s="1397">
        <f ca="1">IF(W113&gt;=$J$5,0,CONTADORES!$BQ111)</f>
        <v>309</v>
      </c>
      <c r="BQ113" s="1397">
        <f ca="1">IF(B113&gt;=$J$5,0,(CONTADORES!AS111-CONTADORES!AS110))</f>
        <v>5</v>
      </c>
      <c r="BR113" s="1397">
        <f ca="1">IF(C113&gt;=$J$5,0,(CONTADORES!AT111-CONTADORES!AT110))</f>
        <v>0</v>
      </c>
      <c r="BS113" s="1409">
        <f ca="1">IF(B113&gt;=$J$5,0,CONTADORES!BR111-CONTADORES!BR110)/1000</f>
        <v>3</v>
      </c>
      <c r="BT113" s="1438">
        <f ca="1">IF(B113&gt;=$J$5,0,CONTADORES!BS111-CONTADORES!BS110)</f>
        <v>1</v>
      </c>
      <c r="BU113" s="1438">
        <f ca="1">IF(B113&gt;=$J$5,0,CONTADORES!BT111-CONTADORES!BT110)</f>
        <v>24</v>
      </c>
      <c r="BV113" s="1438">
        <f ca="1">IF(B113&gt;=$J$5,0,CONTADORES!BU111-CONTADORES!BU110)/1000</f>
        <v>0</v>
      </c>
      <c r="BW113" s="1438">
        <f ca="1">IF(B113&gt;=$J$5,0,CONTADORES!BV111-CONTADORES!BV110)/1000</f>
        <v>0</v>
      </c>
      <c r="BX113" s="1438">
        <f ca="1">IF(B113&gt;=$J$5,0,CONTADORES!BW111-CONTADORES!BW110)</f>
        <v>0</v>
      </c>
      <c r="BY113" s="1438">
        <f ca="1">IF(B113&gt;=$J$5,0,CONTADORES!BX111-CONTADORES!BX110)/1000</f>
        <v>4.6520000000000001</v>
      </c>
      <c r="BZ113" s="1438">
        <f ca="1">IF(B113&gt;=$J$5,0,CONTADORES!BY111-CONTADORES!BY110)/1000</f>
        <v>0.38100000000000001</v>
      </c>
      <c r="CA113" s="1438">
        <f ca="1">IF(B113&gt;=$J$5,0,CONTADORES!BZ111-CONTADORES!BZ110)</f>
        <v>24</v>
      </c>
      <c r="CB113" s="1409">
        <f ca="1">IF(B113&gt;=$J$5,0,(CONTADORES!CC111-CONTADORES!CC110)+(CONTADORES!CE111-CONTADORES!CE110))/1000</f>
        <v>1.3879999999999999</v>
      </c>
      <c r="CC113" s="1438">
        <f ca="1">IF(B113&gt;=$J$5,0,(CONTADORES!CD111-CONTADORES!CD110)+(CONTADORES!CF111-CONTADORES!CF110))/1000</f>
        <v>0.76300000000000001</v>
      </c>
      <c r="CD113" s="1409">
        <f ca="1">IF(B113&gt;=$J$5,0,CONTADORES!CA111-CONTADORES!CA110)</f>
        <v>5.6000000000003638</v>
      </c>
      <c r="CE113" s="1438">
        <f ca="1">IF(B113&gt;=$J$5,0,CONTADORES!CB111-CONTADORES!CB110)</f>
        <v>3.9000000000005457</v>
      </c>
      <c r="CF113" s="1438">
        <f t="shared" ca="1" si="51"/>
        <v>10.523999999999226</v>
      </c>
      <c r="CG113" s="1438">
        <f t="shared" ca="1" si="52"/>
        <v>8.0410000000005617</v>
      </c>
      <c r="CH113" s="1438">
        <f t="shared" ca="1" si="53"/>
        <v>4.9239999999988617</v>
      </c>
      <c r="CI113" s="1438">
        <f t="shared" ca="1" si="54"/>
        <v>1.4847999999996</v>
      </c>
      <c r="CJ113" s="1438">
        <f t="shared" ca="1" si="55"/>
        <v>4.9239999999988617</v>
      </c>
      <c r="CK113" s="1438">
        <f t="shared" ca="1" si="56"/>
        <v>2.2271999999993994</v>
      </c>
      <c r="CL113" s="1438">
        <f t="shared" ca="1" si="57"/>
        <v>2.8727999999996001</v>
      </c>
      <c r="CM113" s="1438">
        <f t="shared" ca="1" si="58"/>
        <v>4.1410000000000169</v>
      </c>
      <c r="CN113" s="1438">
        <f ca="1">IF(B113&gt;=$J$5,0,CONTADORES!CB111-CONTADORES!CB110)</f>
        <v>3.9000000000005457</v>
      </c>
      <c r="CO113" s="1438">
        <f t="shared" ca="1" si="59"/>
        <v>4.1410000000000169</v>
      </c>
      <c r="CP113" s="1438">
        <f t="shared" ca="1" si="60"/>
        <v>0.668499999999983</v>
      </c>
      <c r="CQ113" s="1438">
        <f t="shared" ca="1" si="61"/>
        <v>0.668499999999983</v>
      </c>
      <c r="CR113" s="1438">
        <f t="shared" ca="1" si="62"/>
        <v>1.4314999999999829</v>
      </c>
      <c r="CS113" s="1439">
        <f ca="1">IF($B113&gt;=$J$5,0,CONTADORES!$BI111)</f>
        <v>9442.1045044965194</v>
      </c>
      <c r="CT113" s="1334">
        <f>CONTADORES!E111</f>
        <v>0</v>
      </c>
      <c r="CU113" s="1334">
        <f>CONTADORES!CG111</f>
        <v>0</v>
      </c>
    </row>
    <row r="114" spans="2:99">
      <c r="B114" s="390">
        <v>45030</v>
      </c>
      <c r="C114" s="198">
        <f t="shared" ca="1" si="35"/>
        <v>320</v>
      </c>
      <c r="D114" s="196">
        <f ca="1">'CALCULO DE GAS'!D119</f>
        <v>5.216490178235091</v>
      </c>
      <c r="E114" s="196">
        <f ca="1">IF(B114&gt;=$J$5,0,(CONTADORES!$AD112-CONTADORES!$AD111)-$H114)</f>
        <v>24</v>
      </c>
      <c r="F114" s="198">
        <f t="shared" ca="1" si="64"/>
        <v>0</v>
      </c>
      <c r="G114" s="196">
        <f ca="1">IF(B114&gt;=$J$5,0,CONTADORES!$AF112-CONTADORES!$AF111)</f>
        <v>0</v>
      </c>
      <c r="H114" s="1396">
        <f ca="1">IF(G114&gt;0,CONTADORES!$AE112-CONTADORES!$AE111,0)</f>
        <v>0</v>
      </c>
      <c r="I114" s="199">
        <f ca="1">IF(B114&gt;=$J$5,0,CONTADORES!$AB112-CONTADORES!$AB111)</f>
        <v>320</v>
      </c>
      <c r="J114" s="198">
        <f t="shared" ca="1" si="36"/>
        <v>117</v>
      </c>
      <c r="K114" s="196">
        <f ca="1">'CALCULO DE GAS'!E119</f>
        <v>3.5185690062783399</v>
      </c>
      <c r="L114" s="1396">
        <f ca="1">IF(B114&gt;=$J$5,0,(CONTADORES!$Y112-CONTADORES!$Y111)-$O114)</f>
        <v>24</v>
      </c>
      <c r="M114" s="1396">
        <f t="shared" ca="1" si="66"/>
        <v>0</v>
      </c>
      <c r="N114" s="1396">
        <f ca="1">IF(B114&gt;=$J$5,0,CONTADORES!$AA112-CONTADORES!$AA111)</f>
        <v>0</v>
      </c>
      <c r="O114" s="1396">
        <f ca="1">IF(N114&gt;0,CONTADORES!$Z112-CONTADORES!$Z111,0)</f>
        <v>0</v>
      </c>
      <c r="P114" s="202">
        <f ca="1">IF(B114&gt;=$J$5,0,CONTADORES!$W112-CONTADORES!$W111)</f>
        <v>117</v>
      </c>
      <c r="Q114" s="202">
        <f ca="1">IF(B114&gt;=$J$5,0,CONTADORES!$B112-CONTADORES!$B111)</f>
        <v>0</v>
      </c>
      <c r="R114" s="196">
        <f t="shared" ca="1" si="37"/>
        <v>0</v>
      </c>
      <c r="S114" s="11">
        <f ca="1">IF(B114&gt;=$J$5,0,CONTADORES!$D112-CONTADORES!$D111)</f>
        <v>0</v>
      </c>
      <c r="T114" s="198">
        <f ca="1">IF(B114&gt;=$J$5,0,CONTADORES!$BB112-CONTADORES!$BB111)</f>
        <v>0</v>
      </c>
      <c r="U114" s="196">
        <f t="shared" ca="1" si="65"/>
        <v>0</v>
      </c>
      <c r="V114" s="199">
        <f ca="1">IF(B114&gt;=$J$5,0,CONTADORES!$BD112-CONTADORES!$BD111)</f>
        <v>0</v>
      </c>
      <c r="W114" s="1397">
        <f t="shared" ca="1" si="39"/>
        <v>437</v>
      </c>
      <c r="X114" s="1397">
        <f t="shared" ca="1" si="40"/>
        <v>0</v>
      </c>
      <c r="Y114" s="1398">
        <f t="shared" ca="1" si="41"/>
        <v>437</v>
      </c>
      <c r="Z114" s="1398">
        <f t="shared" ca="1" si="42"/>
        <v>8.7350591845134318</v>
      </c>
      <c r="AA114" s="1398">
        <f t="shared" ca="1" si="43"/>
        <v>0</v>
      </c>
      <c r="AB114" s="1398">
        <f t="shared" ca="1" si="44"/>
        <v>48</v>
      </c>
      <c r="AC114" s="1397">
        <f t="shared" ca="1" si="45"/>
        <v>0</v>
      </c>
      <c r="AD114" s="1438">
        <f ca="1">IF(B114&gt;=$J$5,0,CONTADORES!H112-CONTADORES!H111)</f>
        <v>160</v>
      </c>
      <c r="AE114" s="1397">
        <f ca="1">IF(B114&gt;=$J$5,0,CONTADORES!J112-CONTADORES!J111)</f>
        <v>24</v>
      </c>
      <c r="AF114" s="1438">
        <f ca="1">IF(B114&gt;=$J$5,0,CONTADORES!AU112-CONTADORES!AU111)</f>
        <v>150</v>
      </c>
      <c r="AG114" s="1397">
        <f ca="1">IF(B114&gt;=$J$5,0,CONTADORES!AW112-CONTADORES!AW111)</f>
        <v>24</v>
      </c>
      <c r="AH114" s="1397">
        <f ca="1">IF(B114&gt;=$J$5,0,(CONTADORES!AM112-CONTADORES!AM111)+(CONTADORES!M112-CONTADORES!M111))</f>
        <v>5.8999999999941792</v>
      </c>
      <c r="AI114" s="1397">
        <f ca="1">IF(B114&gt;=$J$5,0,(CONTADORES!AK112-CONTADORES!AK111)+(CONTADORES!O112-CONTADORES!O111))</f>
        <v>39.69999999999709</v>
      </c>
      <c r="AJ114" s="1397">
        <f ca="1">IF(B114&gt;=$J$5,0,(CONTADORES!AI112-CONTADORES!AI111))</f>
        <v>7.6000000000058208</v>
      </c>
      <c r="AK114" s="1397">
        <f ca="1">IF(B114&gt;=$J$5,0,(CONTADORES!Q112-CONTADORES!Q111))</f>
        <v>14.300000000017462</v>
      </c>
      <c r="AL114" s="1397">
        <f t="shared" ca="1" si="46"/>
        <v>31.199999999982538</v>
      </c>
      <c r="AM114" s="1397">
        <f ca="1">IF(B114&gt;=$J$5,0,(((CONTADORES!F112-CONTADORES!F111)+(CONTADORES!AQ112-CONTADORES!AQ111))))-BS114-AF114-AN114-BV114-BY114-CD114-CB114</f>
        <v>10.83100000000208</v>
      </c>
      <c r="AN114" s="1397">
        <f ca="1">IF(B114&gt;=$J$5,0,(CONTADORES!AX112-CONTADORES!AX111)+(CONTADORES!AZ112-CONTADORES!AZ111)+(CONTADORES!BE112-CONTADORES!BE111))-CB114</f>
        <v>3.7000000000008186</v>
      </c>
      <c r="AO114" s="1399">
        <f ca="1">IF(B114&gt;=$J$5,0,(CONTADORES!AC112-CONTADORES!AC111))</f>
        <v>165</v>
      </c>
      <c r="AP114" s="1399">
        <f ca="1">IF(B114&gt;=$J$5,0,(CONTADORES!X112-CONTADORES!X111))</f>
        <v>63</v>
      </c>
      <c r="AQ114" s="1404">
        <f ca="1">IF(B114&gt;=$J$5,0,(CONTADORES!C112-CONTADORES!C111))</f>
        <v>0</v>
      </c>
      <c r="AR114" s="1399">
        <f ca="1">IF(B114&gt;=$J$5,0,(CONTADORES!BC112-CONTADORES!BC111))</f>
        <v>0</v>
      </c>
      <c r="AS114" s="1438">
        <f ca="1">IF(B114&gt;=$J$5,0,CONTADORES!S112-CONTADORES!S111)</f>
        <v>15.299999999988358</v>
      </c>
      <c r="AT114" s="1438">
        <f ca="1">IF(B114&gt;=$J$5,0,(CONTADORES!U112-CONTADORES!U111)+(CONTADORES!AG112-CONTADORES!AG111))</f>
        <v>2.0999999999985448</v>
      </c>
      <c r="AU114" s="1409">
        <f>CONTADORES!I112-CONTADORES!I111</f>
        <v>82</v>
      </c>
      <c r="AV114" s="1438">
        <f>CONTADORES!AV112-CONTADORES!AV111</f>
        <v>65</v>
      </c>
      <c r="AW114" s="1438">
        <f ca="1">IF(B114&gt;=$J$5,0,(CONTADORES!N112-CONTADORES!N111)+(CONTADORES!AN112-CONTADORES!AN111))</f>
        <v>2.2000000000007276</v>
      </c>
      <c r="AX114" s="1438">
        <f ca="1">IF(B114&gt;=$J$5,0,(CONTADORES!P112-CONTADORES!P111)+(CONTADORES!AL112-CONTADORES!AL111))</f>
        <v>32.400000000001455</v>
      </c>
      <c r="AY114" s="1438">
        <f ca="1">IF(B114&gt;=$J$5,0,(CONTADORES!AJ112-CONTADORES!AJ111))</f>
        <v>5.5999999999985448</v>
      </c>
      <c r="AZ114" s="1438">
        <f ca="1">IF(B114&gt;=$J$5,0,(CONTADORES!R112-CONTADORES!R111))</f>
        <v>11.899999999994179</v>
      </c>
      <c r="BA114" s="1409">
        <f t="shared" ca="1" si="47"/>
        <v>12.134000000005074</v>
      </c>
      <c r="BB114" s="1409">
        <f ca="1">IF(B113&gt;=$J$5,0,(((CONTADORES!G112-CONTADORES!G111)+(CONTADORES!AR112-CONTADORES!AR111))))-AV114-BC114-BT114-BW114-BZ114-CE114</f>
        <v>9.5020000000002725</v>
      </c>
      <c r="BC114" s="1438">
        <f ca="1">IF(B114&gt;=$J$5,0,(CONTADORES!AY112-CONTADORES!AY111)+(CONTADORES!BA112-CONTADORES!BA111)+(CONTADORES!BF112-CONTADORES!BF111))-CC114</f>
        <v>1.1340000000000909</v>
      </c>
      <c r="BD114" s="1397">
        <f t="shared" ca="1" si="48"/>
        <v>228</v>
      </c>
      <c r="BE114" s="1398">
        <f ca="1">IF($B114&gt;=$J$5,0,CONTADORES!$BG112)</f>
        <v>6226.59</v>
      </c>
      <c r="BF114" s="1397">
        <f ca="1">IF($B114&gt;=$J$5,0,CONTADORES!$BH112)</f>
        <v>33448.592982456103</v>
      </c>
      <c r="BG114" s="1397">
        <f ca="1">IF($B114&gt;=$J$5,0,CONTADORES!$BJ112)</f>
        <v>4974.82</v>
      </c>
      <c r="BH114" s="1397">
        <f ca="1">IF(B114&gt;=$J$5,0,((CONTADORES!BK112-CONTADORES!BK111)/1000))</f>
        <v>0.21199999999999999</v>
      </c>
      <c r="BI114" s="1397">
        <f ca="1">IF(C114&gt;=$J$5,0,((CONTADORES!BL112-CONTADORES!BL111)/1000))</f>
        <v>0.19900000000000001</v>
      </c>
      <c r="BJ114" s="1397">
        <f ca="1">IF(C114&gt;=$J$5,0,((CONTADORES!BM112-CONTADORES!BM111)/1000))</f>
        <v>0.24199999999999999</v>
      </c>
      <c r="BK114" s="1397">
        <f ca="1">IF(D114&gt;=$J$5,0,((CONTADORES!BN112-CONTADORES!BN111)/1000))</f>
        <v>0.12</v>
      </c>
      <c r="BL114" s="1399">
        <f t="shared" ca="1" si="49"/>
        <v>0.45399999999999996</v>
      </c>
      <c r="BM114" s="1399">
        <f t="shared" ca="1" si="50"/>
        <v>0.31900000000000001</v>
      </c>
      <c r="BN114" s="1398">
        <f ca="1">IF(W114&gt;=$J$5,0,CONTADORES!$BO112)</f>
        <v>129</v>
      </c>
      <c r="BO114" s="1397">
        <f ca="1">IF(W114&gt;=$J$5,0,CONTADORES!$BP112)</f>
        <v>44.43</v>
      </c>
      <c r="BP114" s="1397">
        <f ca="1">IF(W114&gt;=$J$5,0,CONTADORES!$BQ112)</f>
        <v>655</v>
      </c>
      <c r="BQ114" s="1397">
        <f ca="1">IF(B114&gt;=$J$5,0,(CONTADORES!AS112-CONTADORES!AS111))</f>
        <v>5</v>
      </c>
      <c r="BR114" s="1397">
        <f ca="1">IF(C114&gt;=$J$5,0,(CONTADORES!AT112-CONTADORES!AT111))</f>
        <v>0</v>
      </c>
      <c r="BS114" s="1409">
        <f ca="1">IF(B114&gt;=$J$5,0,CONTADORES!BR112-CONTADORES!BR111)/1000</f>
        <v>2.2999999999999998</v>
      </c>
      <c r="BT114" s="1438">
        <f ca="1">IF(B114&gt;=$J$5,0,CONTADORES!BS112-CONTADORES!BS111)</f>
        <v>1</v>
      </c>
      <c r="BU114" s="1438">
        <f ca="1">IF(B114&gt;=$J$5,0,CONTADORES!BT112-CONTADORES!BT111)</f>
        <v>24</v>
      </c>
      <c r="BV114" s="1438">
        <f ca="1">IF(B114&gt;=$J$5,0,CONTADORES!BU112-CONTADORES!BU111)/1000</f>
        <v>0</v>
      </c>
      <c r="BW114" s="1438">
        <f ca="1">IF(B114&gt;=$J$5,0,CONTADORES!BV112-CONTADORES!BV111)/1000</f>
        <v>0</v>
      </c>
      <c r="BX114" s="1438">
        <f ca="1">IF(B114&gt;=$J$5,0,CONTADORES!BW112-CONTADORES!BW111)</f>
        <v>0</v>
      </c>
      <c r="BY114" s="1438">
        <f ca="1">IF(B114&gt;=$J$5,0,CONTADORES!BX112-CONTADORES!BX111)/1000</f>
        <v>4.569</v>
      </c>
      <c r="BZ114" s="1438">
        <f ca="1">IF(B114&gt;=$J$5,0,CONTADORES!BY112-CONTADORES!BY111)/1000</f>
        <v>0.46400000000000002</v>
      </c>
      <c r="CA114" s="1438">
        <f ca="1">IF(B114&gt;=$J$5,0,CONTADORES!BZ112-CONTADORES!BZ111)</f>
        <v>24</v>
      </c>
      <c r="CB114" s="1409">
        <f ca="1">IF(B114&gt;=$J$5,0,(CONTADORES!CC112-CONTADORES!CC111)+(CONTADORES!CE112-CONTADORES!CE111))/1000</f>
        <v>1.4</v>
      </c>
      <c r="CC114" s="1438">
        <f ca="1">IF(B114&gt;=$J$5,0,(CONTADORES!CD112-CONTADORES!CD111)+(CONTADORES!CF112-CONTADORES!CF111))/1000</f>
        <v>0.76600000000000001</v>
      </c>
      <c r="CD114" s="1409">
        <f ca="1">IF(B114&gt;=$J$5,0,CONTADORES!CA112-CONTADORES!CA111)</f>
        <v>5.5</v>
      </c>
      <c r="CE114" s="1438">
        <f ca="1">IF(B114&gt;=$J$5,0,CONTADORES!CB112-CONTADORES!CB111)</f>
        <v>3.8999999999996362</v>
      </c>
      <c r="CF114" s="1438">
        <f t="shared" ca="1" si="51"/>
        <v>10.915500000001039</v>
      </c>
      <c r="CG114" s="1438">
        <f t="shared" ca="1" si="52"/>
        <v>8.6509999999997724</v>
      </c>
      <c r="CH114" s="1438">
        <f t="shared" ca="1" si="53"/>
        <v>5.4155000000010398</v>
      </c>
      <c r="CI114" s="1438">
        <f t="shared" ca="1" si="54"/>
        <v>1.4800000000003275</v>
      </c>
      <c r="CJ114" s="1438">
        <f t="shared" ca="1" si="55"/>
        <v>5.4155000000010398</v>
      </c>
      <c r="CK114" s="1438">
        <f t="shared" ca="1" si="56"/>
        <v>2.2200000000004909</v>
      </c>
      <c r="CL114" s="1438">
        <f t="shared" ca="1" si="57"/>
        <v>2.8800000000003276</v>
      </c>
      <c r="CM114" s="1438">
        <f t="shared" ca="1" si="58"/>
        <v>4.7510000000001362</v>
      </c>
      <c r="CN114" s="1438">
        <f ca="1">IF(B114&gt;=$J$5,0,CONTADORES!CB112-CONTADORES!CB111)</f>
        <v>3.8999999999996362</v>
      </c>
      <c r="CO114" s="1438">
        <f t="shared" ca="1" si="59"/>
        <v>4.7510000000001362</v>
      </c>
      <c r="CP114" s="1438">
        <f t="shared" ca="1" si="60"/>
        <v>0.56700000000004547</v>
      </c>
      <c r="CQ114" s="1438">
        <f t="shared" ca="1" si="61"/>
        <v>0.56700000000004547</v>
      </c>
      <c r="CR114" s="1438">
        <f t="shared" ca="1" si="62"/>
        <v>1.3330000000000455</v>
      </c>
      <c r="CS114" s="1439">
        <f ca="1">IF($B114&gt;=$J$5,0,CONTADORES!$BI112)</f>
        <v>8867.2385318864108</v>
      </c>
      <c r="CT114" s="1334">
        <f>CONTADORES!E112</f>
        <v>0</v>
      </c>
      <c r="CU114" s="1334">
        <f>CONTADORES!CG112</f>
        <v>0</v>
      </c>
    </row>
    <row r="115" spans="2:99">
      <c r="B115" s="390">
        <v>45031</v>
      </c>
      <c r="C115" s="198">
        <f t="shared" ca="1" si="35"/>
        <v>364</v>
      </c>
      <c r="D115" s="196">
        <f ca="1">'CALCULO DE GAS'!D120</f>
        <v>5.5845125012207895</v>
      </c>
      <c r="E115" s="196">
        <f ca="1">IF(B115&gt;=$J$5,0,(CONTADORES!$AD113-CONTADORES!$AD112)-$H115)</f>
        <v>24</v>
      </c>
      <c r="F115" s="198">
        <f t="shared" ca="1" si="64"/>
        <v>0</v>
      </c>
      <c r="G115" s="196">
        <f ca="1">IF(B115&gt;=$J$5,0,CONTADORES!$AF113-CONTADORES!$AF112)</f>
        <v>0</v>
      </c>
      <c r="H115" s="1396">
        <f ca="1">IF(G115&gt;0,CONTADORES!$AE113-CONTADORES!$AE112,0)</f>
        <v>0</v>
      </c>
      <c r="I115" s="199">
        <f ca="1">IF(B115&gt;=$J$5,0,CONTADORES!$AB113-CONTADORES!$AB112)</f>
        <v>364</v>
      </c>
      <c r="J115" s="198">
        <f t="shared" ca="1" si="36"/>
        <v>86</v>
      </c>
      <c r="K115" s="196">
        <f ca="1">'CALCULO DE GAS'!E120</f>
        <v>3.2592805514475058</v>
      </c>
      <c r="L115" s="1396">
        <f ca="1">IF(B115&gt;=$J$5,0,(CONTADORES!$Y113-CONTADORES!$Y112)-$O115)</f>
        <v>24</v>
      </c>
      <c r="M115" s="1396">
        <f t="shared" ca="1" si="66"/>
        <v>0</v>
      </c>
      <c r="N115" s="1396">
        <f ca="1">IF(B115&gt;=$J$5,0,CONTADORES!$AA113-CONTADORES!$AA112)</f>
        <v>0</v>
      </c>
      <c r="O115" s="1396">
        <f ca="1">IF(N115&gt;0,CONTADORES!$Z113-CONTADORES!$Z112,0)</f>
        <v>0</v>
      </c>
      <c r="P115" s="202">
        <f ca="1">IF(B115&gt;=$J$5,0,CONTADORES!$W113-CONTADORES!$W112)</f>
        <v>86</v>
      </c>
      <c r="Q115" s="202">
        <f ca="1">IF(B115&gt;=$J$5,0,CONTADORES!$B113-CONTADORES!$B112)</f>
        <v>0</v>
      </c>
      <c r="R115" s="196">
        <f t="shared" ca="1" si="37"/>
        <v>0</v>
      </c>
      <c r="S115" s="11">
        <f ca="1">IF(B115&gt;=$J$5,0,CONTADORES!$D113-CONTADORES!$D112)</f>
        <v>0</v>
      </c>
      <c r="T115" s="198">
        <f ca="1">IF(B115&gt;=$J$5,0,CONTADORES!$BB113-CONTADORES!$BB112)</f>
        <v>0</v>
      </c>
      <c r="U115" s="196">
        <f t="shared" ca="1" si="65"/>
        <v>0</v>
      </c>
      <c r="V115" s="199">
        <f ca="1">IF(B115&gt;=$J$5,0,CONTADORES!$BD113-CONTADORES!$BD112)</f>
        <v>0</v>
      </c>
      <c r="W115" s="1397">
        <f t="shared" ca="1" si="39"/>
        <v>450</v>
      </c>
      <c r="X115" s="1397">
        <f t="shared" ca="1" si="40"/>
        <v>0</v>
      </c>
      <c r="Y115" s="1398">
        <f t="shared" ca="1" si="41"/>
        <v>450</v>
      </c>
      <c r="Z115" s="1398">
        <f t="shared" ca="1" si="42"/>
        <v>8.8437930526682962</v>
      </c>
      <c r="AA115" s="1398">
        <f t="shared" ca="1" si="43"/>
        <v>0</v>
      </c>
      <c r="AB115" s="1398">
        <f t="shared" ca="1" si="44"/>
        <v>48</v>
      </c>
      <c r="AC115" s="1397">
        <f t="shared" ca="1" si="45"/>
        <v>0</v>
      </c>
      <c r="AD115" s="1438">
        <f ca="1">IF(B115&gt;=$J$5,0,CONTADORES!H113-CONTADORES!H112)</f>
        <v>162</v>
      </c>
      <c r="AE115" s="1397">
        <f ca="1">IF(B115&gt;=$J$5,0,CONTADORES!J113-CONTADORES!J112)</f>
        <v>24</v>
      </c>
      <c r="AF115" s="1438">
        <f ca="1">IF(B115&gt;=$J$5,0,CONTADORES!AU113-CONTADORES!AU112)</f>
        <v>150</v>
      </c>
      <c r="AG115" s="1397">
        <f ca="1">IF(B115&gt;=$J$5,0,CONTADORES!AW113-CONTADORES!AW112)</f>
        <v>24</v>
      </c>
      <c r="AH115" s="1397">
        <f ca="1">IF(B115&gt;=$J$5,0,(CONTADORES!AM113-CONTADORES!AM112)+(CONTADORES!M113-CONTADORES!M112))</f>
        <v>12.200000000004366</v>
      </c>
      <c r="AI115" s="1397">
        <f ca="1">IF(B115&gt;=$J$5,0,(CONTADORES!AK113-CONTADORES!AK112)+(CONTADORES!O113-CONTADORES!O112))</f>
        <v>41.099999999998545</v>
      </c>
      <c r="AJ115" s="1397">
        <f ca="1">IF(B115&gt;=$J$5,0,(CONTADORES!AI113-CONTADORES!AI112))</f>
        <v>8</v>
      </c>
      <c r="AK115" s="1397">
        <f ca="1">IF(B115&gt;=$J$5,0,(CONTADORES!Q113-CONTADORES!Q112))</f>
        <v>15.199999999982538</v>
      </c>
      <c r="AL115" s="1397">
        <f t="shared" ca="1" si="46"/>
        <v>33.200000000015223</v>
      </c>
      <c r="AM115" s="1397">
        <f ca="1">IF(B115&gt;=$J$5,0,(((CONTADORES!F113-CONTADORES!F112)+(CONTADORES!AQ113-CONTADORES!AQ112))))-BS115-AF115-AN115-BV115-BY115-CD115-CB115</f>
        <v>10.508999999999212</v>
      </c>
      <c r="AN115" s="1397">
        <f ca="1">IF(B115&gt;=$J$5,0,(CONTADORES!AX113-CONTADORES!AX112)+(CONTADORES!AZ113-CONTADORES!AZ112)+(CONTADORES!BE113-CONTADORES!BE112))-CB115</f>
        <v>3.88699999999971</v>
      </c>
      <c r="AO115" s="1399">
        <f ca="1">IF(B115&gt;=$J$5,0,(CONTADORES!AC113-CONTADORES!AC112))</f>
        <v>190</v>
      </c>
      <c r="AP115" s="1399">
        <f ca="1">IF(B115&gt;=$J$5,0,(CONTADORES!X113-CONTADORES!X112))</f>
        <v>43</v>
      </c>
      <c r="AQ115" s="1404">
        <f ca="1">IF(B115&gt;=$J$5,0,(CONTADORES!C113-CONTADORES!C112))</f>
        <v>0</v>
      </c>
      <c r="AR115" s="1399">
        <f ca="1">IF(B115&gt;=$J$5,0,(CONTADORES!BC113-CONTADORES!BC112))</f>
        <v>0</v>
      </c>
      <c r="AS115" s="1438">
        <f ca="1">IF(B115&gt;=$J$5,0,CONTADORES!S113-CONTADORES!S112)</f>
        <v>15</v>
      </c>
      <c r="AT115" s="1438">
        <f ca="1">IF(B115&gt;=$J$5,0,(CONTADORES!U113-CONTADORES!U112)+(CONTADORES!AG113-CONTADORES!AG112))</f>
        <v>2.5</v>
      </c>
      <c r="AU115" s="1409">
        <f>CONTADORES!I113-CONTADORES!I112</f>
        <v>83</v>
      </c>
      <c r="AV115" s="1438">
        <f>CONTADORES!AV113-CONTADORES!AV112</f>
        <v>65</v>
      </c>
      <c r="AW115" s="1438">
        <f ca="1">IF(B115&gt;=$J$5,0,(CONTADORES!N113-CONTADORES!N112)+(CONTADORES!AN113-CONTADORES!AN112))</f>
        <v>4.3999999999978172</v>
      </c>
      <c r="AX115" s="1438">
        <f ca="1">IF(B115&gt;=$J$5,0,(CONTADORES!P113-CONTADORES!P112)+(CONTADORES!AL113-CONTADORES!AL112))</f>
        <v>33.899999999994179</v>
      </c>
      <c r="AY115" s="1438">
        <f ca="1">IF(B115&gt;=$J$5,0,(CONTADORES!AJ113-CONTADORES!AJ112))</f>
        <v>6.0999999999985448</v>
      </c>
      <c r="AZ115" s="1438">
        <f ca="1">IF(B115&gt;=$J$5,0,(CONTADORES!R113-CONTADORES!R112))</f>
        <v>12.100000000005821</v>
      </c>
      <c r="BA115" s="1409">
        <f t="shared" ca="1" si="47"/>
        <v>11.693000000003622</v>
      </c>
      <c r="BB115" s="1409">
        <f ca="1">IF(B114&gt;=$J$5,0,(((CONTADORES!G113-CONTADORES!G112)+(CONTADORES!AR113-CONTADORES!AR112))))-AV115-BC115-BT115-BW115-BZ115-CE115</f>
        <v>9.454999999999453</v>
      </c>
      <c r="BC115" s="1438">
        <f ca="1">IF(B115&gt;=$J$5,0,(CONTADORES!AY113-CONTADORES!AY112)+(CONTADORES!BA113-CONTADORES!BA112)+(CONTADORES!BF113-CONTADORES!BF112))-CC115</f>
        <v>1.2230000000000012</v>
      </c>
      <c r="BD115" s="1397">
        <f t="shared" ca="1" si="48"/>
        <v>233</v>
      </c>
      <c r="BE115" s="1398">
        <f ca="1">IF($B115&gt;=$J$5,0,CONTADORES!$BG113)</f>
        <v>5856.83</v>
      </c>
      <c r="BF115" s="1397">
        <f ca="1">IF($B115&gt;=$J$5,0,CONTADORES!$BH113)</f>
        <v>33527.743859649097</v>
      </c>
      <c r="BG115" s="1397">
        <f ca="1">IF($B115&gt;=$J$5,0,CONTADORES!$BJ113)</f>
        <v>4760.01</v>
      </c>
      <c r="BH115" s="1397">
        <f ca="1">IF(B115&gt;=$J$5,0,((CONTADORES!BK113-CONTADORES!BK112)/1000))</f>
        <v>1.5960000000000001</v>
      </c>
      <c r="BI115" s="1397">
        <f ca="1">IF(C115&gt;=$J$5,0,((CONTADORES!BL113-CONTADORES!BL112)/1000))</f>
        <v>1.494</v>
      </c>
      <c r="BJ115" s="1397">
        <f ca="1">IF(C115&gt;=$J$5,0,((CONTADORES!BM113-CONTADORES!BM112)/1000))</f>
        <v>0</v>
      </c>
      <c r="BK115" s="1397">
        <f ca="1">IF(D115&gt;=$J$5,0,((CONTADORES!BN113-CONTADORES!BN112)/1000))</f>
        <v>0</v>
      </c>
      <c r="BL115" s="1399">
        <f t="shared" ca="1" si="49"/>
        <v>1.5960000000000001</v>
      </c>
      <c r="BM115" s="1399">
        <f t="shared" ca="1" si="50"/>
        <v>1.494</v>
      </c>
      <c r="BN115" s="1398">
        <f ca="1">IF(W115&gt;=$J$5,0,CONTADORES!$BO113)</f>
        <v>130</v>
      </c>
      <c r="BO115" s="1397">
        <f ca="1">IF(W115&gt;=$J$5,0,CONTADORES!$BP113)</f>
        <v>45.965000000000003</v>
      </c>
      <c r="BP115" s="1397">
        <f ca="1">IF(W115&gt;=$J$5,0,CONTADORES!$BQ113)</f>
        <v>659</v>
      </c>
      <c r="BQ115" s="1397">
        <f ca="1">IF(B115&gt;=$J$5,0,(CONTADORES!AS113-CONTADORES!AS112))</f>
        <v>5</v>
      </c>
      <c r="BR115" s="1397">
        <f ca="1">IF(C115&gt;=$J$5,0,(CONTADORES!AT113-CONTADORES!AT112))</f>
        <v>0</v>
      </c>
      <c r="BS115" s="1409">
        <f ca="1">IF(B115&gt;=$J$5,0,CONTADORES!BR113-CONTADORES!BR112)/1000</f>
        <v>2.2000000000000002</v>
      </c>
      <c r="BT115" s="1438">
        <f ca="1">IF(B115&gt;=$J$5,0,CONTADORES!BS113-CONTADORES!BS112)</f>
        <v>1</v>
      </c>
      <c r="BU115" s="1438">
        <f ca="1">IF(B115&gt;=$J$5,0,CONTADORES!BT113-CONTADORES!BT112)</f>
        <v>24</v>
      </c>
      <c r="BV115" s="1438">
        <f ca="1">IF(B115&gt;=$J$5,0,CONTADORES!BU113-CONTADORES!BU112)/1000</f>
        <v>0</v>
      </c>
      <c r="BW115" s="1438">
        <f ca="1">IF(B115&gt;=$J$5,0,CONTADORES!BV113-CONTADORES!BV112)/1000</f>
        <v>0</v>
      </c>
      <c r="BX115" s="1438">
        <f ca="1">IF(B115&gt;=$J$5,0,CONTADORES!BW113-CONTADORES!BW112)</f>
        <v>0</v>
      </c>
      <c r="BY115" s="1438">
        <f ca="1">IF(B115&gt;=$J$5,0,CONTADORES!BX113-CONTADORES!BX112)/1000</f>
        <v>4.641</v>
      </c>
      <c r="BZ115" s="1438">
        <f ca="1">IF(B115&gt;=$J$5,0,CONTADORES!BY113-CONTADORES!BY112)/1000</f>
        <v>0.42199999999999999</v>
      </c>
      <c r="CA115" s="1438">
        <f ca="1">IF(B115&gt;=$J$5,0,CONTADORES!BZ113-CONTADORES!BZ112)</f>
        <v>24</v>
      </c>
      <c r="CB115" s="1409">
        <f ca="1">IF(B115&gt;=$J$5,0,(CONTADORES!CC113-CONTADORES!CC112)+(CONTADORES!CE113-CONTADORES!CE112))/1000</f>
        <v>1.4630000000000001</v>
      </c>
      <c r="CC115" s="1438">
        <f ca="1">IF(B115&gt;=$J$5,0,(CONTADORES!CD113-CONTADORES!CD112)+(CONTADORES!CF113-CONTADORES!CF112))/1000</f>
        <v>0.80700000000000005</v>
      </c>
      <c r="CD115" s="1409">
        <f ca="1">IF(B115&gt;=$J$5,0,CONTADORES!CA113-CONTADORES!CA112)</f>
        <v>5.6000000000003638</v>
      </c>
      <c r="CE115" s="1438">
        <f ca="1">IF(B115&gt;=$J$5,0,CONTADORES!CB113-CONTADORES!CB112)</f>
        <v>3.9000000000005457</v>
      </c>
      <c r="CF115" s="1438">
        <f t="shared" ca="1" si="51"/>
        <v>10.85449999999997</v>
      </c>
      <c r="CG115" s="1438">
        <f t="shared" ca="1" si="52"/>
        <v>8.6275000000002713</v>
      </c>
      <c r="CH115" s="1438">
        <f t="shared" ca="1" si="53"/>
        <v>5.2544999999996058</v>
      </c>
      <c r="CI115" s="1438">
        <f t="shared" ca="1" si="54"/>
        <v>1.5547999999998841</v>
      </c>
      <c r="CJ115" s="1438">
        <f t="shared" ca="1" si="55"/>
        <v>5.2544999999996058</v>
      </c>
      <c r="CK115" s="1438">
        <f t="shared" ca="1" si="56"/>
        <v>2.3321999999998262</v>
      </c>
      <c r="CL115" s="1438">
        <f t="shared" ca="1" si="57"/>
        <v>3.0177999999998839</v>
      </c>
      <c r="CM115" s="1438">
        <f t="shared" ca="1" si="58"/>
        <v>4.7274999999997265</v>
      </c>
      <c r="CN115" s="1438">
        <f ca="1">IF(B115&gt;=$J$5,0,CONTADORES!CB113-CONTADORES!CB112)</f>
        <v>3.9000000000005457</v>
      </c>
      <c r="CO115" s="1438">
        <f t="shared" ca="1" si="59"/>
        <v>4.7274999999997265</v>
      </c>
      <c r="CP115" s="1438">
        <f t="shared" ca="1" si="60"/>
        <v>0.6115000000000006</v>
      </c>
      <c r="CQ115" s="1438">
        <f t="shared" ca="1" si="61"/>
        <v>0.6115000000000006</v>
      </c>
      <c r="CR115" s="1438">
        <f t="shared" ca="1" si="62"/>
        <v>1.4185000000000008</v>
      </c>
      <c r="CS115" s="1439">
        <f ca="1">IF($B115&gt;=$J$5,0,CONTADORES!$BI113)</f>
        <v>9779.0691189899899</v>
      </c>
      <c r="CT115" s="1334">
        <f>CONTADORES!E113</f>
        <v>0</v>
      </c>
      <c r="CU115" s="1334">
        <f>CONTADORES!CG113</f>
        <v>0</v>
      </c>
    </row>
    <row r="116" spans="2:99">
      <c r="B116" s="390">
        <v>45032</v>
      </c>
      <c r="C116" s="198">
        <f t="shared" ca="1" si="35"/>
        <v>380</v>
      </c>
      <c r="D116" s="196">
        <f ca="1">'CALCULO DE GAS'!D121</f>
        <v>5.7183388004883167</v>
      </c>
      <c r="E116" s="196">
        <f ca="1">IF(B116&gt;=$J$5,0,(CONTADORES!$AD114-CONTADORES!$AD113)-$H116)</f>
        <v>24</v>
      </c>
      <c r="F116" s="198">
        <f t="shared" ca="1" si="64"/>
        <v>0</v>
      </c>
      <c r="G116" s="196">
        <f ca="1">IF(B116&gt;=$J$5,0,CONTADORES!$AF114-CONTADORES!$AF113)</f>
        <v>0</v>
      </c>
      <c r="H116" s="1396">
        <f ca="1">IF(G116&gt;0,CONTADORES!$AE114-CONTADORES!$AE113,0)</f>
        <v>0</v>
      </c>
      <c r="I116" s="199">
        <f ca="1">IF(B116&gt;=$J$5,0,CONTADORES!$AB114-CONTADORES!$AB113)</f>
        <v>380</v>
      </c>
      <c r="J116" s="198">
        <f t="shared" ca="1" si="36"/>
        <v>62.599999999998545</v>
      </c>
      <c r="K116" s="196">
        <f ca="1">'CALCULO DE GAS'!E121</f>
        <v>3.0635595887687357</v>
      </c>
      <c r="L116" s="1396">
        <f ca="1">IF(B116&gt;=$J$5,0,(CONTADORES!$Y114-CONTADORES!$Y113)-$O116)</f>
        <v>18</v>
      </c>
      <c r="M116" s="1396">
        <f t="shared" ca="1" si="66"/>
        <v>0</v>
      </c>
      <c r="N116" s="1396">
        <f ca="1">IF(B116&gt;=$J$5,0,CONTADORES!$AA114-CONTADORES!$AA113)</f>
        <v>0</v>
      </c>
      <c r="O116" s="1396">
        <f ca="1">IF(N116&gt;0,CONTADORES!$Z114-CONTADORES!$Z113,0)</f>
        <v>0</v>
      </c>
      <c r="P116" s="202">
        <f ca="1">IF(B116&gt;=$J$5,0,CONTADORES!$W114-CONTADORES!$W113)</f>
        <v>62.599999999998545</v>
      </c>
      <c r="Q116" s="202">
        <f ca="1">IF(B116&gt;=$J$5,0,CONTADORES!$B114-CONTADORES!$B113)</f>
        <v>0</v>
      </c>
      <c r="R116" s="196">
        <f t="shared" ca="1" si="37"/>
        <v>0</v>
      </c>
      <c r="S116" s="11">
        <f ca="1">IF(B116&gt;=$J$5,0,CONTADORES!$D114-CONTADORES!$D113)</f>
        <v>0</v>
      </c>
      <c r="T116" s="198">
        <f ca="1">IF(B116&gt;=$J$5,0,CONTADORES!$BB114-CONTADORES!$BB113)</f>
        <v>3.6359999999999673</v>
      </c>
      <c r="U116" s="196">
        <f t="shared" ca="1" si="65"/>
        <v>436.31999999999607</v>
      </c>
      <c r="V116" s="199">
        <f ca="1">IF(B116&gt;=$J$5,0,CONTADORES!$BD114-CONTADORES!$BD113)</f>
        <v>4</v>
      </c>
      <c r="W116" s="1397">
        <f t="shared" ca="1" si="39"/>
        <v>442.59999999999854</v>
      </c>
      <c r="X116" s="1397">
        <f t="shared" ca="1" si="40"/>
        <v>3.6359999999999673</v>
      </c>
      <c r="Y116" s="1398">
        <f t="shared" ca="1" si="41"/>
        <v>446.23599999999851</v>
      </c>
      <c r="Z116" s="1398">
        <f t="shared" ca="1" si="42"/>
        <v>8.7818983892570515</v>
      </c>
      <c r="AA116" s="1398">
        <f t="shared" ca="1" si="43"/>
        <v>436.31999999999607</v>
      </c>
      <c r="AB116" s="1398">
        <f t="shared" ca="1" si="44"/>
        <v>42</v>
      </c>
      <c r="AC116" s="1397">
        <f t="shared" ca="1" si="45"/>
        <v>4</v>
      </c>
      <c r="AD116" s="1438">
        <f ca="1">IF(B116&gt;=$J$5,0,CONTADORES!H114-CONTADORES!H113)</f>
        <v>162</v>
      </c>
      <c r="AE116" s="1402">
        <f ca="1">IF(B116&gt;=$J$5,0,CONTADORES!J114-CONTADORES!J113)</f>
        <v>24</v>
      </c>
      <c r="AF116" s="1438">
        <f ca="1">IF(B116&gt;=$J$5,0,CONTADORES!AU114-CONTADORES!AU113)</f>
        <v>150</v>
      </c>
      <c r="AG116" s="1397">
        <f ca="1">IF(B116&gt;=$J$5,0,CONTADORES!AW114-CONTADORES!AW113)</f>
        <v>24</v>
      </c>
      <c r="AH116" s="1397">
        <f ca="1">IF(B116&gt;=$J$5,0,(CONTADORES!AM114-CONTADORES!AM113)+(CONTADORES!M114-CONTADORES!M113))</f>
        <v>9.1999999999970896</v>
      </c>
      <c r="AI116" s="1397">
        <f ca="1">IF(B116&gt;=$J$5,0,(CONTADORES!AK114-CONTADORES!AK113)+(CONTADORES!O114-CONTADORES!O113))</f>
        <v>41.30000000000291</v>
      </c>
      <c r="AJ116" s="1397">
        <f ca="1">IF(B116&gt;=$J$5,0,(CONTADORES!AI114-CONTADORES!AI113))</f>
        <v>7</v>
      </c>
      <c r="AK116" s="1397">
        <f ca="1">IF(B116&gt;=$J$5,0,(CONTADORES!Q114-CONTADORES!Q113))</f>
        <v>14.5</v>
      </c>
      <c r="AL116" s="1397">
        <f t="shared" ca="1" si="46"/>
        <v>36.935999999999183</v>
      </c>
      <c r="AM116" s="1397">
        <f ca="1">IF(B116&gt;=$J$5,0,(((CONTADORES!F114-CONTADORES!F113)+(CONTADORES!AQ114-CONTADORES!AQ113))))-BS116-AF116-AN116-BV116-BY116-CD116-CB116</f>
        <v>7.2760000000002609</v>
      </c>
      <c r="AN116" s="1397">
        <f ca="1">IF(B116&gt;=$J$5,0,(CONTADORES!AX114-CONTADORES!AX113)+(CONTADORES!AZ114-CONTADORES!AZ113)+(CONTADORES!BE114-CONTADORES!BE113))-CB116</f>
        <v>3.8579999999993633</v>
      </c>
      <c r="AO116" s="1399">
        <f ca="1">IF(B116&gt;=$J$5,0,(CONTADORES!AC114-CONTADORES!AC113))</f>
        <v>199</v>
      </c>
      <c r="AP116" s="1399">
        <f ca="1">IF(B116&gt;=$J$5,0,(CONTADORES!X114-CONTADORES!X113))</f>
        <v>32</v>
      </c>
      <c r="AQ116" s="1404">
        <f ca="1">IF(B116&gt;=$J$5,0,(CONTADORES!C114-CONTADORES!C113))</f>
        <v>0</v>
      </c>
      <c r="AR116" s="1399">
        <f ca="1">IF(B116&gt;=$J$5,0,(CONTADORES!BC114-CONTADORES!BC113))</f>
        <v>1.3949999999999818</v>
      </c>
      <c r="AS116" s="1438">
        <f ca="1">IF(B116&gt;=$J$5,0,CONTADORES!S114-CONTADORES!S113)</f>
        <v>14.300000000017462</v>
      </c>
      <c r="AT116" s="1438">
        <f ca="1">IF(B116&gt;=$J$5,0,(CONTADORES!U114-CONTADORES!U113)+(CONTADORES!AG114-CONTADORES!AG113))</f>
        <v>2.4000000000014552</v>
      </c>
      <c r="AU116" s="1409">
        <f>CONTADORES!I114-CONTADORES!I113</f>
        <v>83</v>
      </c>
      <c r="AV116" s="1438">
        <f>CONTADORES!AV114-CONTADORES!AV113</f>
        <v>65</v>
      </c>
      <c r="AW116" s="1438">
        <f ca="1">IF(B116&gt;=$J$5,0,(CONTADORES!N114-CONTADORES!N113)+(CONTADORES!AN114-CONTADORES!AN113))</f>
        <v>3.4000000000014552</v>
      </c>
      <c r="AX116" s="1438">
        <f ca="1">IF(B116&gt;=$J$5,0,(CONTADORES!P114-CONTADORES!P113)+(CONTADORES!AL114-CONTADORES!AL113))</f>
        <v>33.80000000000291</v>
      </c>
      <c r="AY116" s="1438">
        <f ca="1">IF(B116&gt;=$J$5,0,(CONTADORES!AJ114-CONTADORES!AJ113))</f>
        <v>5.2000000000043656</v>
      </c>
      <c r="AZ116" s="1438">
        <f ca="1">IF(B116&gt;=$J$5,0,(CONTADORES!R114-CONTADORES!R113))</f>
        <v>11.69999999999709</v>
      </c>
      <c r="BA116" s="1409">
        <f t="shared" ca="1" si="47"/>
        <v>14.653999999994511</v>
      </c>
      <c r="BB116" s="1409">
        <f ca="1">IF(B115&gt;=$J$5,0,(((CONTADORES!G114-CONTADORES!G113)+(CONTADORES!AR114-CONTADORES!AR113))))-AV116-BC116-BT116-BW116-BZ116-CE116</f>
        <v>8.2050000000000907</v>
      </c>
      <c r="BC116" s="1438">
        <f ca="1">IF(B116&gt;=$J$5,0,(CONTADORES!AY114-CONTADORES!AY113)+(CONTADORES!BA114-CONTADORES!BA113)+(CONTADORES!BF114-CONTADORES!BF113))-CC116</f>
        <v>1.3589999999999089</v>
      </c>
      <c r="BD116" s="1397">
        <f t="shared" ca="1" si="48"/>
        <v>232.39499999999998</v>
      </c>
      <c r="BE116" s="1398">
        <f ca="1">IF($B116&gt;=$J$5,0,CONTADORES!$BG114)</f>
        <v>5404.84</v>
      </c>
      <c r="BF116" s="1397">
        <f ca="1">IF($B116&gt;=$J$5,0,CONTADORES!$BH114)</f>
        <v>33610.575438596497</v>
      </c>
      <c r="BG116" s="1397">
        <f ca="1">IF($B116&gt;=$J$5,0,CONTADORES!$BJ114)</f>
        <v>5376.88</v>
      </c>
      <c r="BH116" s="1397">
        <f ca="1">IF(B116&gt;=$J$5,0,((CONTADORES!BK114-CONTADORES!BK113)/1000))</f>
        <v>1.454</v>
      </c>
      <c r="BI116" s="1397">
        <f ca="1">IF(C116&gt;=$J$5,0,((CONTADORES!BL114-CONTADORES!BL113)/1000))</f>
        <v>1.373</v>
      </c>
      <c r="BJ116" s="1397">
        <f ca="1">IF(C116&gt;=$J$5,0,((CONTADORES!BM114-CONTADORES!BM113)/1000))</f>
        <v>0</v>
      </c>
      <c r="BK116" s="1397">
        <f ca="1">IF(D116&gt;=$J$5,0,((CONTADORES!BN114-CONTADORES!BN113)/1000))</f>
        <v>0</v>
      </c>
      <c r="BL116" s="1399">
        <f t="shared" ca="1" si="49"/>
        <v>1.454</v>
      </c>
      <c r="BM116" s="1399">
        <f t="shared" ca="1" si="50"/>
        <v>1.373</v>
      </c>
      <c r="BN116" s="1398">
        <f ca="1">IF(W116&gt;=$J$5,0,CONTADORES!$BO114)</f>
        <v>129</v>
      </c>
      <c r="BO116" s="1397">
        <f ca="1">IF(W116&gt;=$J$5,0,CONTADORES!$BP114)</f>
        <v>45.613999999999997</v>
      </c>
      <c r="BP116" s="1397">
        <f ca="1">IF(W116&gt;=$J$5,0,CONTADORES!$BQ114)</f>
        <v>660</v>
      </c>
      <c r="BQ116" s="1397">
        <f ca="1">IF(B116&gt;=$J$5,0,(CONTADORES!AS114-CONTADORES!AS113))</f>
        <v>4</v>
      </c>
      <c r="BR116" s="1397">
        <f ca="1">IF(C116&gt;=$J$5,0,(CONTADORES!AT114-CONTADORES!AT113))</f>
        <v>0</v>
      </c>
      <c r="BS116" s="1409">
        <f ca="1">IF(B116&gt;=$J$5,0,CONTADORES!BR114-CONTADORES!BR113)/1000</f>
        <v>2.2999999999999998</v>
      </c>
      <c r="BT116" s="1438">
        <f ca="1">IF(B116&gt;=$J$5,0,CONTADORES!BS114-CONTADORES!BS113)</f>
        <v>1</v>
      </c>
      <c r="BU116" s="1438">
        <f ca="1">IF(B116&gt;=$J$5,0,CONTADORES!BT114-CONTADORES!BT113)</f>
        <v>24</v>
      </c>
      <c r="BV116" s="1438">
        <f ca="1">IF(B116&gt;=$J$5,0,CONTADORES!BU114-CONTADORES!BU113)/1000</f>
        <v>0</v>
      </c>
      <c r="BW116" s="1438">
        <f ca="1">IF(B116&gt;=$J$5,0,CONTADORES!BV114-CONTADORES!BV113)/1000</f>
        <v>0</v>
      </c>
      <c r="BX116" s="1438">
        <f ca="1">IF(B116&gt;=$J$5,0,CONTADORES!BW114-CONTADORES!BW113)</f>
        <v>0</v>
      </c>
      <c r="BY116" s="1438">
        <f ca="1">IF(B116&gt;=$J$5,0,CONTADORES!BX114-CONTADORES!BX113)/1000</f>
        <v>4.6239999999999997</v>
      </c>
      <c r="BZ116" s="1438">
        <f ca="1">IF(B116&gt;=$J$5,0,CONTADORES!BY114-CONTADORES!BY113)/1000</f>
        <v>0.436</v>
      </c>
      <c r="CA116" s="1438">
        <f ca="1">IF(B116&gt;=$J$5,0,CONTADORES!BZ114-CONTADORES!BZ113)</f>
        <v>24</v>
      </c>
      <c r="CB116" s="1409">
        <f ca="1">IF(B116&gt;=$J$5,0,(CONTADORES!CC114-CONTADORES!CC113)+(CONTADORES!CE114-CONTADORES!CE113))/1000</f>
        <v>1.3420000000000001</v>
      </c>
      <c r="CC116" s="1438">
        <f ca="1">IF(B116&gt;=$J$5,0,(CONTADORES!CD114-CONTADORES!CD113)+(CONTADORES!CF114-CONTADORES!CF113))/1000</f>
        <v>0.74099999999999999</v>
      </c>
      <c r="CD116" s="1409">
        <f ca="1">IF(B116&gt;=$J$5,0,CONTADORES!CA114-CONTADORES!CA113)</f>
        <v>5.8999999999996362</v>
      </c>
      <c r="CE116" s="1438">
        <f ca="1">IF(B116&gt;=$J$5,0,CONTADORES!CB114-CONTADORES!CB113)</f>
        <v>3.8999999999996362</v>
      </c>
      <c r="CF116" s="1438">
        <f t="shared" ca="1" si="51"/>
        <v>9.5379999999997658</v>
      </c>
      <c r="CG116" s="1438">
        <f t="shared" ca="1" si="52"/>
        <v>8.0024999999996815</v>
      </c>
      <c r="CH116" s="1438">
        <f t="shared" ca="1" si="53"/>
        <v>3.6380000000001305</v>
      </c>
      <c r="CI116" s="1438">
        <f t="shared" ca="1" si="54"/>
        <v>1.5431999999997454</v>
      </c>
      <c r="CJ116" s="1438">
        <f t="shared" ca="1" si="55"/>
        <v>3.6380000000001305</v>
      </c>
      <c r="CK116" s="1438">
        <f t="shared" ca="1" si="56"/>
        <v>2.3147999999996181</v>
      </c>
      <c r="CL116" s="1438">
        <f t="shared" ca="1" si="57"/>
        <v>2.8851999999997453</v>
      </c>
      <c r="CM116" s="1438">
        <f t="shared" ca="1" si="58"/>
        <v>4.1025000000000453</v>
      </c>
      <c r="CN116" s="1438">
        <f ca="1">IF(B116&gt;=$J$5,0,CONTADORES!CB114-CONTADORES!CB113)</f>
        <v>3.8999999999996362</v>
      </c>
      <c r="CO116" s="1438">
        <f t="shared" ca="1" si="59"/>
        <v>4.1025000000000453</v>
      </c>
      <c r="CP116" s="1438">
        <f t="shared" ca="1" si="60"/>
        <v>0.67949999999995447</v>
      </c>
      <c r="CQ116" s="1438">
        <f t="shared" ca="1" si="61"/>
        <v>0.67949999999995447</v>
      </c>
      <c r="CR116" s="1438">
        <f t="shared" ca="1" si="62"/>
        <v>1.4204999999999544</v>
      </c>
      <c r="CS116" s="1439">
        <f ca="1">IF($B116&gt;=$J$5,0,CONTADORES!$BI114)</f>
        <v>9960.2949223194501</v>
      </c>
      <c r="CT116" s="1334">
        <f>CONTADORES!E114</f>
        <v>0</v>
      </c>
      <c r="CU116" s="1334">
        <f>CONTADORES!CG114</f>
        <v>1</v>
      </c>
    </row>
    <row r="117" spans="2:99">
      <c r="B117" s="390">
        <v>45033</v>
      </c>
      <c r="C117" s="198">
        <f t="shared" ca="1" si="35"/>
        <v>427</v>
      </c>
      <c r="D117" s="196">
        <f ca="1">'CALCULO DE GAS'!D122</f>
        <v>6.1114535545866779</v>
      </c>
      <c r="E117" s="196">
        <f ca="1">IF(B117&gt;=$J$5,0,(CONTADORES!$AD115-CONTADORES!$AD114)-$H117)</f>
        <v>24</v>
      </c>
      <c r="F117" s="198">
        <f t="shared" ca="1" si="64"/>
        <v>0</v>
      </c>
      <c r="G117" s="196">
        <f ca="1">IF(B117&gt;=$J$5,0,CONTADORES!$AF115-CONTADORES!$AF114)</f>
        <v>0</v>
      </c>
      <c r="H117" s="1396">
        <f ca="1">IF(G117&gt;0,CONTADORES!$AE115-CONTADORES!$AE114,0)</f>
        <v>0</v>
      </c>
      <c r="I117" s="199">
        <f ca="1">IF(B117&gt;=$J$5,0,CONTADORES!$AB115-CONTADORES!$AB114)</f>
        <v>427</v>
      </c>
      <c r="J117" s="198">
        <f t="shared" ca="1" si="36"/>
        <v>0</v>
      </c>
      <c r="K117" s="196">
        <f ca="1">'CALCULO DE GAS'!E122</f>
        <v>0</v>
      </c>
      <c r="L117" s="1396">
        <f ca="1">IF(B117&gt;=$J$5,0,(CONTADORES!$Y115-CONTADORES!$Y114)-$O117)</f>
        <v>0</v>
      </c>
      <c r="M117" s="1396">
        <f t="shared" ca="1" si="66"/>
        <v>0</v>
      </c>
      <c r="N117" s="1396">
        <f ca="1">IF(B117&gt;=$J$5,0,CONTADORES!$AA115-CONTADORES!$AA114)</f>
        <v>0</v>
      </c>
      <c r="O117" s="1396">
        <f ca="1">IF(N117&gt;0,CONTADORES!$Z115-CONTADORES!$Z114,0)</f>
        <v>0</v>
      </c>
      <c r="P117" s="202">
        <f ca="1">IF(B117&gt;=$J$5,0,CONTADORES!$W115-CONTADORES!$W114)</f>
        <v>0</v>
      </c>
      <c r="Q117" s="202">
        <f ca="1">IF(B117&gt;=$J$5,0,CONTADORES!$B115-CONTADORES!$B114)</f>
        <v>1.7300000000000182</v>
      </c>
      <c r="R117" s="196">
        <f t="shared" ca="1" si="37"/>
        <v>207.60000000000218</v>
      </c>
      <c r="S117" s="11">
        <f ca="1">IF(B117&gt;=$J$5,0,CONTADORES!$D115-CONTADORES!$D114)</f>
        <v>2.1000000000003638</v>
      </c>
      <c r="T117" s="198">
        <f ca="1">IF(B117&gt;=$J$5,0,CONTADORES!$BB115-CONTADORES!$BB114)</f>
        <v>7.9139999999999873</v>
      </c>
      <c r="U117" s="196">
        <f t="shared" ca="1" si="65"/>
        <v>949.67999999999847</v>
      </c>
      <c r="V117" s="199">
        <f ca="1">IF(B117&gt;=$J$5,0,CONTADORES!$BD115-CONTADORES!$BD114)</f>
        <v>8.5999999999999091</v>
      </c>
      <c r="W117" s="1397">
        <f t="shared" ca="1" si="39"/>
        <v>427</v>
      </c>
      <c r="X117" s="1397">
        <f t="shared" ca="1" si="40"/>
        <v>9.6440000000000055</v>
      </c>
      <c r="Y117" s="1398">
        <f t="shared" ca="1" si="41"/>
        <v>436.64400000000001</v>
      </c>
      <c r="Z117" s="1398">
        <f t="shared" ca="1" si="42"/>
        <v>6.1114535545866779</v>
      </c>
      <c r="AA117" s="1398">
        <f t="shared" ca="1" si="43"/>
        <v>1157.2800000000007</v>
      </c>
      <c r="AB117" s="1398">
        <f t="shared" ca="1" si="44"/>
        <v>24</v>
      </c>
      <c r="AC117" s="1397">
        <f t="shared" ca="1" si="45"/>
        <v>10.700000000000273</v>
      </c>
      <c r="AD117" s="1438">
        <f ca="1">IF(B117&gt;=$J$5,0,CONTADORES!H115-CONTADORES!H114)</f>
        <v>163</v>
      </c>
      <c r="AE117" s="1402">
        <f ca="1">IF(B117&gt;=$J$5,0,CONTADORES!J115-CONTADORES!J114)</f>
        <v>24</v>
      </c>
      <c r="AF117" s="1438">
        <f ca="1">IF(B117&gt;=$J$5,0,CONTADORES!AU115-CONTADORES!AU114)</f>
        <v>147</v>
      </c>
      <c r="AG117" s="1397">
        <f ca="1">IF(B117&gt;=$J$5,0,CONTADORES!AW115-CONTADORES!AW114)</f>
        <v>24</v>
      </c>
      <c r="AH117" s="1397">
        <f ca="1">IF(B117&gt;=$J$5,0,(CONTADORES!AM115-CONTADORES!AM114)+(CONTADORES!M115-CONTADORES!M114))</f>
        <v>7.5999999999985448</v>
      </c>
      <c r="AI117" s="1397">
        <f ca="1">IF(B117&gt;=$J$5,0,(CONTADORES!AK115-CONTADORES!AK114)+(CONTADORES!O115-CONTADORES!O114))</f>
        <v>39.30000000000291</v>
      </c>
      <c r="AJ117" s="1397">
        <f ca="1">IF(B117&gt;=$J$5,0,(CONTADORES!AI115-CONTADORES!AI114))</f>
        <v>7</v>
      </c>
      <c r="AK117" s="1397">
        <f ca="1">IF(B117&gt;=$J$5,0,(CONTADORES!Q115-CONTADORES!Q114))</f>
        <v>13.800000000017462</v>
      </c>
      <c r="AL117" s="1397">
        <f t="shared" ca="1" si="46"/>
        <v>38.543999999979633</v>
      </c>
      <c r="AM117" s="1397">
        <f ca="1">IF(B117&gt;=$J$5,0,(((CONTADORES!F115-CONTADORES!F114)+(CONTADORES!AQ115-CONTADORES!AQ114))))-BS117-AF117-AN117-BV117-BY117-CD117-CB117</f>
        <v>3.0390000000022841</v>
      </c>
      <c r="AN117" s="1397">
        <f ca="1">IF(B117&gt;=$J$5,0,(CONTADORES!AX115-CONTADORES!AX114)+(CONTADORES!AZ115-CONTADORES!AZ114)+(CONTADORES!BE115-CONTADORES!BE114))-CB117</f>
        <v>3.844000000000273</v>
      </c>
      <c r="AO117" s="1399">
        <f ca="1">IF(B117&gt;=$J$5,0,(CONTADORES!AC115-CONTADORES!AC114))</f>
        <v>225</v>
      </c>
      <c r="AP117" s="1399">
        <f ca="1">IF(B117&gt;=$J$5,0,(CONTADORES!X115-CONTADORES!X114))</f>
        <v>0</v>
      </c>
      <c r="AQ117" s="1404">
        <f ca="1">IF(B117&gt;=$J$5,0,(CONTADORES!C115-CONTADORES!C114))</f>
        <v>0.86900000000002819</v>
      </c>
      <c r="AR117" s="1399">
        <f ca="1">IF(B117&gt;=$J$5,0,(CONTADORES!BC115-CONTADORES!BC114))</f>
        <v>3.0380000000000109</v>
      </c>
      <c r="AS117" s="1438">
        <f ca="1">IF(B117&gt;=$J$5,0,CONTADORES!S115-CONTADORES!S114)</f>
        <v>13.199999999982538</v>
      </c>
      <c r="AT117" s="1438">
        <f ca="1">IF(B117&gt;=$J$5,0,(CONTADORES!U115-CONTADORES!U114)+(CONTADORES!AG115-CONTADORES!AG114))</f>
        <v>2.0999999999985448</v>
      </c>
      <c r="AU117" s="1409">
        <f>CONTADORES!I115-CONTADORES!I114</f>
        <v>82</v>
      </c>
      <c r="AV117" s="1438">
        <f>CONTADORES!AV115-CONTADORES!AV114</f>
        <v>63</v>
      </c>
      <c r="AW117" s="1438">
        <f ca="1">IF(B117&gt;=$J$5,0,(CONTADORES!N115-CONTADORES!N114)+(CONTADORES!AN115-CONTADORES!AN114))</f>
        <v>2.8999999999978172</v>
      </c>
      <c r="AX117" s="1438">
        <f ca="1">IF(B117&gt;=$J$5,0,(CONTADORES!P115-CONTADORES!P114)+(CONTADORES!AL115-CONTADORES!AL114))</f>
        <v>32.099999999998545</v>
      </c>
      <c r="AY117" s="1438">
        <f ca="1">IF(B117&gt;=$J$5,0,(CONTADORES!AJ115-CONTADORES!AJ114))</f>
        <v>5.2999999999956344</v>
      </c>
      <c r="AZ117" s="1438">
        <f ca="1">IF(B117&gt;=$J$5,0,(CONTADORES!R115-CONTADORES!R114))</f>
        <v>11.099999999991269</v>
      </c>
      <c r="BA117" s="1409">
        <f t="shared" ca="1" si="47"/>
        <v>18.46500000001663</v>
      </c>
      <c r="BB117" s="1409">
        <f ca="1">IF(B116&gt;=$J$5,0,(((CONTADORES!G115-CONTADORES!G114)+(CONTADORES!AR115-CONTADORES!AR114))))-AV117-BC117-BT117-BW117-BZ117-CE117</f>
        <v>6.4770000000004551</v>
      </c>
      <c r="BC117" s="1438">
        <f ca="1">IF(B117&gt;=$J$5,0,(CONTADORES!AY115-CONTADORES!AY114)+(CONTADORES!BA115-CONTADORES!BA114)+(CONTADORES!BF115-CONTADORES!BF114))-CC117</f>
        <v>1.158000000000091</v>
      </c>
      <c r="BD117" s="1397">
        <f t="shared" ca="1" si="48"/>
        <v>228.90700000000004</v>
      </c>
      <c r="BE117" s="1398">
        <f ca="1">IF($B117&gt;=$J$5,0,CONTADORES!$BG115)</f>
        <v>5892.79</v>
      </c>
      <c r="BF117" s="1397">
        <f ca="1">IF($B117&gt;=$J$5,0,CONTADORES!$BH115)</f>
        <v>31634.173684210498</v>
      </c>
      <c r="BG117" s="1397">
        <f ca="1">IF($B117&gt;=$J$5,0,CONTADORES!$BJ115)</f>
        <v>4959.7</v>
      </c>
      <c r="BH117" s="1397">
        <f ca="1">IF(B117&gt;=$J$5,0,((CONTADORES!BK115-CONTADORES!BK114)/1000))</f>
        <v>1.0469999999999999</v>
      </c>
      <c r="BI117" s="1397">
        <f ca="1">IF(C117&gt;=$J$5,0,((CONTADORES!BL115-CONTADORES!BL114)/1000))</f>
        <v>0.95</v>
      </c>
      <c r="BJ117" s="1397">
        <f ca="1">IF(C117&gt;=$J$5,0,((CONTADORES!BM115-CONTADORES!BM114)/1000))</f>
        <v>0</v>
      </c>
      <c r="BK117" s="1397">
        <f ca="1">IF(D117&gt;=$J$5,0,((CONTADORES!BN115-CONTADORES!BN114)/1000))</f>
        <v>0</v>
      </c>
      <c r="BL117" s="1399">
        <f t="shared" ca="1" si="49"/>
        <v>1.0469999999999999</v>
      </c>
      <c r="BM117" s="1399">
        <f t="shared" ca="1" si="50"/>
        <v>0.95</v>
      </c>
      <c r="BN117" s="1398">
        <f ca="1">IF(W117&gt;=$J$5,0,CONTADORES!$BO115)</f>
        <v>131</v>
      </c>
      <c r="BO117" s="1397">
        <f ca="1">IF(W117&gt;=$J$5,0,CONTADORES!$BP115)</f>
        <v>45.276000000000003</v>
      </c>
      <c r="BP117" s="1397">
        <f ca="1">IF(W117&gt;=$J$5,0,CONTADORES!$BQ115)</f>
        <v>660</v>
      </c>
      <c r="BQ117" s="1397">
        <f ca="1">IF(B117&gt;=$J$5,0,(CONTADORES!AS115-CONTADORES!AS114))</f>
        <v>5</v>
      </c>
      <c r="BR117" s="1397">
        <f ca="1">IF(C117&gt;=$J$5,0,(CONTADORES!AT115-CONTADORES!AT114))</f>
        <v>0</v>
      </c>
      <c r="BS117" s="1409">
        <f ca="1">IF(B117&gt;=$J$5,0,CONTADORES!BR115-CONTADORES!BR114)/1000</f>
        <v>2.2000000000000002</v>
      </c>
      <c r="BT117" s="1438">
        <f ca="1">IF(B117&gt;=$J$5,0,CONTADORES!BS115-CONTADORES!BS114)</f>
        <v>1</v>
      </c>
      <c r="BU117" s="1438">
        <f ca="1">IF(B117&gt;=$J$5,0,CONTADORES!BT115-CONTADORES!BT114)</f>
        <v>24</v>
      </c>
      <c r="BV117" s="1438">
        <f ca="1">IF(B117&gt;=$J$5,0,CONTADORES!BU115-CONTADORES!BU114)/1000</f>
        <v>0</v>
      </c>
      <c r="BW117" s="1438">
        <f ca="1">IF(B117&gt;=$J$5,0,CONTADORES!BV115-CONTADORES!BV114)/1000</f>
        <v>0</v>
      </c>
      <c r="BX117" s="1438">
        <f ca="1">IF(B117&gt;=$J$5,0,CONTADORES!BW115-CONTADORES!BW114)</f>
        <v>0</v>
      </c>
      <c r="BY117" s="1438">
        <f ca="1">IF(B117&gt;=$J$5,0,CONTADORES!BX115-CONTADORES!BX114)/1000</f>
        <v>4.7610000000000001</v>
      </c>
      <c r="BZ117" s="1438">
        <f ca="1">IF(B117&gt;=$J$5,0,CONTADORES!BY115-CONTADORES!BY114)/1000</f>
        <v>0.76500000000000001</v>
      </c>
      <c r="CA117" s="1438">
        <f ca="1">IF(B117&gt;=$J$5,0,CONTADORES!BZ115-CONTADORES!BZ114)</f>
        <v>24</v>
      </c>
      <c r="CB117" s="1409">
        <f ca="1">IF(B117&gt;=$J$5,0,(CONTADORES!CC115-CONTADORES!CC114)+(CONTADORES!CE115-CONTADORES!CE114))/1000</f>
        <v>1.3560000000000001</v>
      </c>
      <c r="CC117" s="1438">
        <f ca="1">IF(B117&gt;=$J$5,0,(CONTADORES!CD115-CONTADORES!CD114)+(CONTADORES!CF115-CONTADORES!CF114))/1000</f>
        <v>0.74199999999999999</v>
      </c>
      <c r="CD117" s="1409">
        <f ca="1">IF(B117&gt;=$J$5,0,CONTADORES!CA115-CONTADORES!CA114)</f>
        <v>5.1999999999989086</v>
      </c>
      <c r="CE117" s="1438">
        <f ca="1">IF(B117&gt;=$J$5,0,CONTADORES!CB115-CONTADORES!CB114)</f>
        <v>3.8999999999996362</v>
      </c>
      <c r="CF117" s="1438">
        <f t="shared" ca="1" si="51"/>
        <v>6.7195000000000507</v>
      </c>
      <c r="CG117" s="1438">
        <f t="shared" ca="1" si="52"/>
        <v>7.1384999999998637</v>
      </c>
      <c r="CH117" s="1438">
        <f t="shared" ca="1" si="53"/>
        <v>1.519500000001142</v>
      </c>
      <c r="CI117" s="1438">
        <f t="shared" ca="1" si="54"/>
        <v>1.5376000000001093</v>
      </c>
      <c r="CJ117" s="1438">
        <f t="shared" ca="1" si="55"/>
        <v>1.519500000001142</v>
      </c>
      <c r="CK117" s="1438">
        <f t="shared" ca="1" si="56"/>
        <v>2.3064000000001634</v>
      </c>
      <c r="CL117" s="1438">
        <f t="shared" ca="1" si="57"/>
        <v>2.8936000000001094</v>
      </c>
      <c r="CM117" s="1438">
        <f t="shared" ca="1" si="58"/>
        <v>3.2385000000002275</v>
      </c>
      <c r="CN117" s="1438">
        <f ca="1">IF(B117&gt;=$J$5,0,CONTADORES!CB115-CONTADORES!CB114)</f>
        <v>3.8999999999996362</v>
      </c>
      <c r="CO117" s="1438">
        <f t="shared" ca="1" si="59"/>
        <v>3.2385000000002275</v>
      </c>
      <c r="CP117" s="1438">
        <f t="shared" ca="1" si="60"/>
        <v>0.57900000000004548</v>
      </c>
      <c r="CQ117" s="1438">
        <f t="shared" ca="1" si="61"/>
        <v>0.57900000000004548</v>
      </c>
      <c r="CR117" s="1438">
        <f t="shared" ca="1" si="62"/>
        <v>1.3210000000000455</v>
      </c>
      <c r="CS117" s="1439">
        <f ca="1">IF($B117&gt;=$J$5,0,CONTADORES!$BI115)</f>
        <v>10484.473646685799</v>
      </c>
      <c r="CT117" s="1334">
        <f>CONTADORES!E115</f>
        <v>0.4</v>
      </c>
      <c r="CU117" s="1334">
        <f>CONTADORES!CG115</f>
        <v>1</v>
      </c>
    </row>
    <row r="118" spans="2:99">
      <c r="B118" s="390">
        <v>45034</v>
      </c>
      <c r="C118" s="198">
        <f t="shared" ca="1" si="35"/>
        <v>438</v>
      </c>
      <c r="D118" s="196">
        <f ca="1">'CALCULO DE GAS'!D123</f>
        <v>6.2034591353331034</v>
      </c>
      <c r="E118" s="196">
        <f ca="1">IF(B118&gt;=$J$5,0,(CONTADORES!$AD116-CONTADORES!$AD115)-$H118)</f>
        <v>24</v>
      </c>
      <c r="F118" s="198">
        <f t="shared" ca="1" si="64"/>
        <v>0</v>
      </c>
      <c r="G118" s="196">
        <f ca="1">IF(B118&gt;=$J$5,0,CONTADORES!$AF116-CONTADORES!$AF115)</f>
        <v>0</v>
      </c>
      <c r="H118" s="1396">
        <f ca="1">IF(G118&gt;0,CONTADORES!$AE116-CONTADORES!$AE115,0)</f>
        <v>0</v>
      </c>
      <c r="I118" s="199">
        <f ca="1">IF(B118&gt;=$J$5,0,CONTADORES!$AB116-CONTADORES!$AB115)</f>
        <v>438</v>
      </c>
      <c r="J118" s="198">
        <f t="shared" ca="1" si="36"/>
        <v>0</v>
      </c>
      <c r="K118" s="196">
        <f ca="1">'CALCULO DE GAS'!E123</f>
        <v>0</v>
      </c>
      <c r="L118" s="1396">
        <f ca="1">IF(B118&gt;=$J$5,0,(CONTADORES!$Y116-CONTADORES!$Y115)-$O118)</f>
        <v>0</v>
      </c>
      <c r="M118" s="1396">
        <f t="shared" ca="1" si="66"/>
        <v>0</v>
      </c>
      <c r="N118" s="1396">
        <f ca="1">IF(B118&gt;=$J$5,0,CONTADORES!$AA116-CONTADORES!$AA115)</f>
        <v>0</v>
      </c>
      <c r="O118" s="1396">
        <f ca="1">IF(N118&gt;0,CONTADORES!$Z116-CONTADORES!$Z115,0)</f>
        <v>0</v>
      </c>
      <c r="P118" s="202">
        <f ca="1">IF(B118&gt;=$J$5,0,CONTADORES!$W116-CONTADORES!$W115)</f>
        <v>0</v>
      </c>
      <c r="Q118" s="202">
        <f ca="1">IF(B118&gt;=$J$5,0,CONTADORES!$B116-CONTADORES!$B115)</f>
        <v>0</v>
      </c>
      <c r="R118" s="196">
        <f t="shared" ca="1" si="37"/>
        <v>0</v>
      </c>
      <c r="S118" s="11">
        <f ca="1">IF(B118&gt;=$J$5,0,CONTADORES!$D116-CONTADORES!$D115)</f>
        <v>0</v>
      </c>
      <c r="T118" s="198">
        <f ca="1">IF(B118&gt;=$J$5,0,CONTADORES!$BB116-CONTADORES!$BB115)</f>
        <v>10.381999999999948</v>
      </c>
      <c r="U118" s="196">
        <f t="shared" ca="1" si="65"/>
        <v>1245.8399999999938</v>
      </c>
      <c r="V118" s="199">
        <f ca="1">IF(B118&gt;=$J$5,0,CONTADORES!$BD116-CONTADORES!$BD115)</f>
        <v>11.200000000000045</v>
      </c>
      <c r="W118" s="1397">
        <f t="shared" ca="1" si="39"/>
        <v>438</v>
      </c>
      <c r="X118" s="1397">
        <f t="shared" ca="1" si="40"/>
        <v>10.381999999999948</v>
      </c>
      <c r="Y118" s="1398">
        <f t="shared" ca="1" si="41"/>
        <v>448.38199999999995</v>
      </c>
      <c r="Z118" s="1398">
        <f t="shared" ca="1" si="42"/>
        <v>6.2034591353331034</v>
      </c>
      <c r="AA118" s="1398">
        <f t="shared" ca="1" si="43"/>
        <v>1245.8399999999938</v>
      </c>
      <c r="AB118" s="1398">
        <f t="shared" ca="1" si="44"/>
        <v>24</v>
      </c>
      <c r="AC118" s="1397">
        <f t="shared" ca="1" si="45"/>
        <v>11.200000000000045</v>
      </c>
      <c r="AD118" s="1438">
        <f ca="1">IF(B118&gt;=$J$5,0,CONTADORES!H116-CONTADORES!H115)</f>
        <v>166</v>
      </c>
      <c r="AE118" s="1402">
        <f ca="1">IF(B118&gt;=$J$5,0,CONTADORES!J116-CONTADORES!J115)</f>
        <v>24</v>
      </c>
      <c r="AF118" s="1438">
        <f ca="1">IF(B118&gt;=$J$5,0,CONTADORES!AU116-CONTADORES!AU115)</f>
        <v>147</v>
      </c>
      <c r="AG118" s="1397">
        <f ca="1">IF(B118&gt;=$J$5,0,CONTADORES!AW116-CONTADORES!AW115)</f>
        <v>24</v>
      </c>
      <c r="AH118" s="1397">
        <f ca="1">IF(B118&gt;=$J$5,0,(CONTADORES!AM116-CONTADORES!AM115)+(CONTADORES!M116-CONTADORES!M115))</f>
        <v>15.600000000005821</v>
      </c>
      <c r="AI118" s="1397">
        <f ca="1">IF(B118&gt;=$J$5,0,(CONTADORES!AK116-CONTADORES!AK115)+(CONTADORES!O116-CONTADORES!O115))</f>
        <v>39.799999999995634</v>
      </c>
      <c r="AJ118" s="1397">
        <f ca="1">IF(B118&gt;=$J$5,0,(CONTADORES!AI116-CONTADORES!AI115))</f>
        <v>5.6000000000058208</v>
      </c>
      <c r="AK118" s="1397">
        <f ca="1">IF(B118&gt;=$J$5,0,(CONTADORES!Q116-CONTADORES!Q115))</f>
        <v>14.399999999994179</v>
      </c>
      <c r="AL118" s="1397">
        <f t="shared" ca="1" si="46"/>
        <v>41.78200000000146</v>
      </c>
      <c r="AM118" s="1397">
        <f ca="1">IF(B118&gt;=$J$5,0,(((CONTADORES!F116-CONTADORES!F115)+(CONTADORES!AQ116-CONTADORES!AQ115))))-BS118-AF118-AN118-BV118-BY118-CD118-CB118</f>
        <v>0.56299999999673722</v>
      </c>
      <c r="AN118" s="1397">
        <f ca="1">IF(B118&gt;=$J$5,0,(CONTADORES!AX116-CONTADORES!AX115)+(CONTADORES!AZ116-CONTADORES!AZ115)+(CONTADORES!BE116-CONTADORES!BE115))-CB118</f>
        <v>3.7020000000003641</v>
      </c>
      <c r="AO118" s="1399">
        <f ca="1">IF(B118&gt;=$J$5,0,(CONTADORES!AC116-CONTADORES!AC115))</f>
        <v>229</v>
      </c>
      <c r="AP118" s="1399">
        <f ca="1">IF(B118&gt;=$J$5,0,(CONTADORES!X116-CONTADORES!X115))</f>
        <v>0</v>
      </c>
      <c r="AQ118" s="1404">
        <f ca="1">IF(B118&gt;=$J$5,0,(CONTADORES!C116-CONTADORES!C115))</f>
        <v>0</v>
      </c>
      <c r="AR118" s="1399">
        <f ca="1">IF(B118&gt;=$J$5,0,(CONTADORES!BC116-CONTADORES!BC115))</f>
        <v>3.9920000000000186</v>
      </c>
      <c r="AS118" s="1438">
        <f ca="1">IF(B118&gt;=$J$5,0,CONTADORES!S116-CONTADORES!S115)</f>
        <v>14.200000000011642</v>
      </c>
      <c r="AT118" s="1438">
        <f ca="1">IF(B118&gt;=$J$5,0,(CONTADORES!U116-CONTADORES!U115)+(CONTADORES!AG116-CONTADORES!AG115))</f>
        <v>1.9000000000014552</v>
      </c>
      <c r="AU118" s="1409">
        <f>CONTADORES!I116-CONTADORES!I115</f>
        <v>83</v>
      </c>
      <c r="AV118" s="1438">
        <f>CONTADORES!AV116-CONTADORES!AV115</f>
        <v>63</v>
      </c>
      <c r="AW118" s="1438">
        <f ca="1">IF(B118&gt;=$J$5,0,(CONTADORES!N116-CONTADORES!N115)+(CONTADORES!AN116-CONTADORES!AN115))</f>
        <v>6</v>
      </c>
      <c r="AX118" s="1438">
        <f ca="1">IF(B118&gt;=$J$5,0,(CONTADORES!P116-CONTADORES!P115)+(CONTADORES!AL116-CONTADORES!AL115))</f>
        <v>32.5</v>
      </c>
      <c r="AY118" s="1438">
        <f ca="1">IF(B118&gt;=$J$5,0,(CONTADORES!AJ116-CONTADORES!AJ115))</f>
        <v>4.2000000000043656</v>
      </c>
      <c r="AZ118" s="1438">
        <f ca="1">IF(B118&gt;=$J$5,0,(CONTADORES!R116-CONTADORES!R115))</f>
        <v>11.100000000005821</v>
      </c>
      <c r="BA118" s="1409">
        <f t="shared" ca="1" si="47"/>
        <v>18.628999999989674</v>
      </c>
      <c r="BB118" s="1409">
        <f ca="1">IF(B117&gt;=$J$5,0,(((CONTADORES!G116-CONTADORES!G115)+(CONTADORES!AR116-CONTADORES!AR115))))-AV118-BC118-BT118-BW118-BZ118-CE118</f>
        <v>6.8739999999993628</v>
      </c>
      <c r="BC118" s="1438">
        <f ca="1">IF(B118&gt;=$J$5,0,(CONTADORES!AY116-CONTADORES!AY115)+(CONTADORES!BA116-CONTADORES!BA115)+(CONTADORES!BF116-CONTADORES!BF115))-CC118</f>
        <v>1.137000000000091</v>
      </c>
      <c r="BD118" s="1397">
        <f t="shared" ca="1" si="48"/>
        <v>232.99200000000002</v>
      </c>
      <c r="BE118" s="1398">
        <f ca="1">IF($B118&gt;=$J$5,0,CONTADORES!$BG116)</f>
        <v>5880.04</v>
      </c>
      <c r="BF118" s="1397">
        <f ca="1">IF($B118&gt;=$J$5,0,CONTADORES!$BH116)</f>
        <v>32593.391228070199</v>
      </c>
      <c r="BG118" s="1397">
        <f ca="1">IF($B118&gt;=$J$5,0,CONTADORES!$BJ116)</f>
        <v>5797.72</v>
      </c>
      <c r="BH118" s="1397">
        <f ca="1">IF(B118&gt;=$J$5,0,((CONTADORES!BK116-CONTADORES!BK115)/1000))</f>
        <v>0.86599999999999999</v>
      </c>
      <c r="BI118" s="1397">
        <f ca="1">IF(C118&gt;=$J$5,0,((CONTADORES!BL116-CONTADORES!BL115)/1000))</f>
        <v>0.78800000000000003</v>
      </c>
      <c r="BJ118" s="1397">
        <f ca="1">IF(C118&gt;=$J$5,0,((CONTADORES!BM116-CONTADORES!BM115)/1000))</f>
        <v>0</v>
      </c>
      <c r="BK118" s="1397">
        <f ca="1">IF(D118&gt;=$J$5,0,((CONTADORES!BN116-CONTADORES!BN115)/1000))</f>
        <v>0</v>
      </c>
      <c r="BL118" s="1399">
        <f t="shared" ca="1" si="49"/>
        <v>0.86599999999999999</v>
      </c>
      <c r="BM118" s="1399">
        <f t="shared" ca="1" si="50"/>
        <v>0.78800000000000003</v>
      </c>
      <c r="BN118" s="1398">
        <f ca="1">IF(W118&gt;=$J$5,0,CONTADORES!$BO116)</f>
        <v>130</v>
      </c>
      <c r="BO118" s="1397">
        <f ca="1">IF(W118&gt;=$J$5,0,CONTADORES!$BP116)</f>
        <v>44.606999999999999</v>
      </c>
      <c r="BP118" s="1397">
        <f ca="1">IF(W118&gt;=$J$5,0,CONTADORES!$BQ116)</f>
        <v>656</v>
      </c>
      <c r="BQ118" s="1397">
        <f ca="1">IF(B118&gt;=$J$5,0,(CONTADORES!AS116-CONTADORES!AS115))</f>
        <v>5</v>
      </c>
      <c r="BR118" s="1397">
        <f ca="1">IF(C118&gt;=$J$5,0,(CONTADORES!AT116-CONTADORES!AT115))</f>
        <v>0</v>
      </c>
      <c r="BS118" s="1409">
        <f ca="1">IF(B118&gt;=$J$5,0,CONTADORES!BR116-CONTADORES!BR115)/1000</f>
        <v>2.2000000000000002</v>
      </c>
      <c r="BT118" s="1438">
        <f ca="1">IF(B118&gt;=$J$5,0,CONTADORES!BS116-CONTADORES!BS115)</f>
        <v>1</v>
      </c>
      <c r="BU118" s="1438">
        <f ca="1">IF(B118&gt;=$J$5,0,CONTADORES!BT116-CONTADORES!BT115)</f>
        <v>24</v>
      </c>
      <c r="BV118" s="1438">
        <f ca="1">IF(B118&gt;=$J$5,0,CONTADORES!BU116-CONTADORES!BU115)/1000</f>
        <v>0</v>
      </c>
      <c r="BW118" s="1438">
        <f ca="1">IF(B118&gt;=$J$5,0,CONTADORES!BV116-CONTADORES!BV115)/1000</f>
        <v>0</v>
      </c>
      <c r="BX118" s="1438">
        <f ca="1">IF(B118&gt;=$J$5,0,CONTADORES!BW116-CONTADORES!BW115)</f>
        <v>0</v>
      </c>
      <c r="BY118" s="1438">
        <f ca="1">IF(B118&gt;=$J$5,0,CONTADORES!BX116-CONTADORES!BX115)/1000</f>
        <v>4.8369999999999997</v>
      </c>
      <c r="BZ118" s="1438">
        <f ca="1">IF(B118&gt;=$J$5,0,CONTADORES!BY116-CONTADORES!BY115)/1000</f>
        <v>1.089</v>
      </c>
      <c r="CA118" s="1438">
        <f ca="1">IF(B118&gt;=$J$5,0,CONTADORES!BZ116-CONTADORES!BZ115)</f>
        <v>24</v>
      </c>
      <c r="CB118" s="1409">
        <f ca="1">IF(B118&gt;=$J$5,0,(CONTADORES!CC116-CONTADORES!CC115)+(CONTADORES!CE116-CONTADORES!CE115))/1000</f>
        <v>1.3979999999999999</v>
      </c>
      <c r="CC118" s="1438">
        <f ca="1">IF(B118&gt;=$J$5,0,(CONTADORES!CD116-CONTADORES!CD115)+(CONTADORES!CF116-CONTADORES!CF115))/1000</f>
        <v>0.76300000000000001</v>
      </c>
      <c r="CD118" s="1409">
        <f ca="1">IF(B118&gt;=$J$5,0,CONTADORES!CA116-CONTADORES!CA115)</f>
        <v>5.5</v>
      </c>
      <c r="CE118" s="1438">
        <f ca="1">IF(B118&gt;=$J$5,0,CONTADORES!CB116-CONTADORES!CB115)</f>
        <v>3.7000000000007276</v>
      </c>
      <c r="CF118" s="1438">
        <f t="shared" ca="1" si="51"/>
        <v>5.7814999999983687</v>
      </c>
      <c r="CG118" s="1438">
        <f t="shared" ca="1" si="52"/>
        <v>7.137000000000409</v>
      </c>
      <c r="CH118" s="1438">
        <f t="shared" ca="1" si="53"/>
        <v>0.28149999999836861</v>
      </c>
      <c r="CI118" s="1438">
        <f t="shared" ca="1" si="54"/>
        <v>1.4808000000001458</v>
      </c>
      <c r="CJ118" s="1438">
        <f t="shared" ca="1" si="55"/>
        <v>0.28149999999836861</v>
      </c>
      <c r="CK118" s="1438">
        <f t="shared" ca="1" si="56"/>
        <v>2.2212000000002181</v>
      </c>
      <c r="CL118" s="1438">
        <f t="shared" ca="1" si="57"/>
        <v>2.8788000000001457</v>
      </c>
      <c r="CM118" s="1438">
        <f t="shared" ca="1" si="58"/>
        <v>3.4369999999996814</v>
      </c>
      <c r="CN118" s="1438">
        <f ca="1">IF(B118&gt;=$J$5,0,CONTADORES!CB116-CONTADORES!CB115)</f>
        <v>3.7000000000007276</v>
      </c>
      <c r="CO118" s="1438">
        <f t="shared" ca="1" si="59"/>
        <v>3.4369999999996814</v>
      </c>
      <c r="CP118" s="1438">
        <f t="shared" ca="1" si="60"/>
        <v>0.56850000000004552</v>
      </c>
      <c r="CQ118" s="1438">
        <f t="shared" ca="1" si="61"/>
        <v>0.56850000000004552</v>
      </c>
      <c r="CR118" s="1438">
        <f t="shared" ca="1" si="62"/>
        <v>1.3315000000000454</v>
      </c>
      <c r="CS118" s="1439">
        <f ca="1">IF($B118&gt;=$J$5,0,CONTADORES!$BI116)</f>
        <v>10830.358417338301</v>
      </c>
      <c r="CT118" s="1334">
        <f>CONTADORES!E116</f>
        <v>0</v>
      </c>
      <c r="CU118" s="1334">
        <f>CONTADORES!CG116</f>
        <v>1</v>
      </c>
    </row>
    <row r="119" spans="2:99">
      <c r="B119" s="390">
        <v>45035</v>
      </c>
      <c r="C119" s="198">
        <f t="shared" ca="1" si="35"/>
        <v>326</v>
      </c>
      <c r="D119" s="196">
        <f ca="1">'CALCULO DE GAS'!D124</f>
        <v>5.266675040460413</v>
      </c>
      <c r="E119" s="196">
        <f ca="1">IF(B119&gt;=$J$5,0,(CONTADORES!$AD117-CONTADORES!$AD116)-$H119)</f>
        <v>24</v>
      </c>
      <c r="F119" s="198">
        <f t="shared" ref="F119:F150" ca="1" si="67">IF(H119=0,0,"ERROR")</f>
        <v>0</v>
      </c>
      <c r="G119" s="196">
        <f ca="1">IF(B119&gt;=$J$5,0,CONTADORES!$AF117-CONTADORES!$AF116)</f>
        <v>0</v>
      </c>
      <c r="H119" s="1396">
        <f ca="1">IF(G119&gt;0,CONTADORES!$AE117-CONTADORES!$AE116,0)</f>
        <v>0</v>
      </c>
      <c r="I119" s="199">
        <f ca="1">IF(B119&gt;=$J$5,0,CONTADORES!$AB117-CONTADORES!$AB116)</f>
        <v>326</v>
      </c>
      <c r="J119" s="198">
        <f t="shared" ca="1" si="36"/>
        <v>0</v>
      </c>
      <c r="K119" s="196">
        <f ca="1">'CALCULO DE GAS'!E124</f>
        <v>0</v>
      </c>
      <c r="L119" s="1396">
        <f ca="1">IF(B119&gt;=$J$5,0,(CONTADORES!$Y117-CONTADORES!$Y116)-$O119)</f>
        <v>0</v>
      </c>
      <c r="M119" s="1396">
        <f t="shared" ca="1" si="66"/>
        <v>0</v>
      </c>
      <c r="N119" s="1396">
        <f ca="1">IF(B119&gt;=$J$5,0,CONTADORES!$AA117-CONTADORES!$AA116)</f>
        <v>0</v>
      </c>
      <c r="O119" s="1396">
        <f ca="1">IF(N119&gt;0,CONTADORES!$Z117-CONTADORES!$Z116,0)</f>
        <v>0</v>
      </c>
      <c r="P119" s="202">
        <f ca="1">IF(B119&gt;=$J$5,0,CONTADORES!$W117-CONTADORES!$W116)</f>
        <v>0</v>
      </c>
      <c r="Q119" s="202">
        <f ca="1">IF(B119&gt;=$J$5,0,CONTADORES!$B117-CONTADORES!$B116)</f>
        <v>0</v>
      </c>
      <c r="R119" s="196">
        <f t="shared" ca="1" si="37"/>
        <v>0</v>
      </c>
      <c r="S119" s="11">
        <f ca="1">IF(B119&gt;=$J$5,0,CONTADORES!$D117-CONTADORES!$D116)</f>
        <v>0</v>
      </c>
      <c r="T119" s="198">
        <f ca="1">IF(B119&gt;=$J$5,0,CONTADORES!$BB117-CONTADORES!$BB116)</f>
        <v>2.94500000000005</v>
      </c>
      <c r="U119" s="196">
        <f t="shared" ca="1" si="65"/>
        <v>353.400000000006</v>
      </c>
      <c r="V119" s="199">
        <f ca="1">IF(B119&gt;=$J$5,0,CONTADORES!$BD117-CONTADORES!$BD116)</f>
        <v>3.0999999999999091</v>
      </c>
      <c r="W119" s="1397">
        <f t="shared" ca="1" si="39"/>
        <v>326</v>
      </c>
      <c r="X119" s="1397">
        <f t="shared" ca="1" si="40"/>
        <v>2.94500000000005</v>
      </c>
      <c r="Y119" s="1398">
        <f t="shared" ca="1" si="41"/>
        <v>328.94500000000005</v>
      </c>
      <c r="Z119" s="1398">
        <f t="shared" ca="1" si="42"/>
        <v>5.266675040460413</v>
      </c>
      <c r="AA119" s="1398">
        <f t="shared" ca="1" si="43"/>
        <v>353.400000000006</v>
      </c>
      <c r="AB119" s="1398">
        <f t="shared" ca="1" si="44"/>
        <v>24</v>
      </c>
      <c r="AC119" s="1397">
        <f t="shared" ca="1" si="45"/>
        <v>3.0999999999999091</v>
      </c>
      <c r="AD119" s="1438">
        <f ca="1">IF(B119&gt;=$J$5,0,CONTADORES!H117-CONTADORES!H116)</f>
        <v>166</v>
      </c>
      <c r="AE119" s="1402">
        <f ca="1">IF(B119&gt;=$J$5,0,CONTADORES!J117-CONTADORES!J116)</f>
        <v>24</v>
      </c>
      <c r="AF119" s="1438">
        <f ca="1">IF(B119&gt;=$J$5,0,CONTADORES!AU117-CONTADORES!AU116)</f>
        <v>41</v>
      </c>
      <c r="AG119" s="1397">
        <f ca="1">IF(B119&gt;=$J$5,0,CONTADORES!AW117-CONTADORES!AW116)</f>
        <v>6.3999999999941792</v>
      </c>
      <c r="AH119" s="1397">
        <f ca="1">IF(B119&gt;=$J$5,0,(CONTADORES!AM117-CONTADORES!AM116)+(CONTADORES!M117-CONTADORES!M116))</f>
        <v>7.1999999999970896</v>
      </c>
      <c r="AI119" s="1397">
        <f ca="1">IF(B119&gt;=$J$5,0,(CONTADORES!AK117-CONTADORES!AK116)+(CONTADORES!O117-CONTADORES!O116))</f>
        <v>40.5</v>
      </c>
      <c r="AJ119" s="1397">
        <f ca="1">IF(B119&gt;=$J$5,0,(CONTADORES!AI117-CONTADORES!AI116))</f>
        <v>6.5999999999912689</v>
      </c>
      <c r="AK119" s="1397">
        <f ca="1">IF(B119&gt;=$J$5,0,(CONTADORES!Q117-CONTADORES!Q116))</f>
        <v>10</v>
      </c>
      <c r="AL119" s="1397">
        <f t="shared" ca="1" si="46"/>
        <v>35.645000000011692</v>
      </c>
      <c r="AM119" s="1397">
        <f ca="1">IF(B119&gt;=$J$5,0,(((CONTADORES!F117-CONTADORES!F116)+(CONTADORES!AQ117-CONTADORES!AQ116))))-BS119-AF119-AN119-BV119-BY119-CD119-CB119</f>
        <v>4.6059999999995425</v>
      </c>
      <c r="AN119" s="1397">
        <f ca="1">IF(B119&gt;=$J$5,0,(CONTADORES!AX117-CONTADORES!AX116)+(CONTADORES!AZ117-CONTADORES!AZ116)+(CONTADORES!BE117-CONTADORES!BE116))-CB119</f>
        <v>3.5840000000000911</v>
      </c>
      <c r="AO119" s="1399">
        <f ca="1">IF(B119&gt;=$J$5,0,(CONTADORES!AC117-CONTADORES!AC116))</f>
        <v>178</v>
      </c>
      <c r="AP119" s="1399">
        <f ca="1">IF(B119&gt;=$J$5,0,(CONTADORES!X117-CONTADORES!X116))</f>
        <v>0</v>
      </c>
      <c r="AQ119" s="1404">
        <f ca="1">IF(B119&gt;=$J$5,0,(CONTADORES!C117-CONTADORES!C116))</f>
        <v>0</v>
      </c>
      <c r="AR119" s="1399">
        <f ca="1">IF(B119&gt;=$J$5,0,(CONTADORES!BC117-CONTADORES!BC116))</f>
        <v>1.1299999999999955</v>
      </c>
      <c r="AS119" s="1438">
        <f ca="1">IF(B119&gt;=$J$5,0,CONTADORES!S117-CONTADORES!S116)</f>
        <v>15</v>
      </c>
      <c r="AT119" s="1438">
        <f ca="1">IF(B119&gt;=$J$5,0,(CONTADORES!U117-CONTADORES!U116)+(CONTADORES!AG117-CONTADORES!AG116))</f>
        <v>2.0999999999985448</v>
      </c>
      <c r="AU119" s="1409">
        <f>CONTADORES!I117-CONTADORES!I116</f>
        <v>83</v>
      </c>
      <c r="AV119" s="1438">
        <f>CONTADORES!AV117-CONTADORES!AV116</f>
        <v>18</v>
      </c>
      <c r="AW119" s="1438">
        <f ca="1">IF(B119&gt;=$J$5,0,(CONTADORES!N117-CONTADORES!N116)+(CONTADORES!AN117-CONTADORES!AN116))</f>
        <v>2.7000000000007276</v>
      </c>
      <c r="AX119" s="1438">
        <f ca="1">IF(B119&gt;=$J$5,0,(CONTADORES!P117-CONTADORES!P116)+(CONTADORES!AL117-CONTADORES!AL116))</f>
        <v>33.200000000004366</v>
      </c>
      <c r="AY119" s="1438">
        <f ca="1">IF(B119&gt;=$J$5,0,(CONTADORES!AJ117-CONTADORES!AJ116))</f>
        <v>5</v>
      </c>
      <c r="AZ119" s="1438">
        <f ca="1">IF(B119&gt;=$J$5,0,(CONTADORES!R117-CONTADORES!R116))</f>
        <v>9</v>
      </c>
      <c r="BA119" s="1409">
        <f t="shared" ca="1" si="47"/>
        <v>17.207999999995593</v>
      </c>
      <c r="BB119" s="1409">
        <f ca="1">IF(B118&gt;=$J$5,0,(((CONTADORES!G117-CONTADORES!G116)+(CONTADORES!AR117-CONTADORES!AR116))))-AV119-BC119-BT119-BW119-BZ119-CE119</f>
        <v>3.5109999999995445</v>
      </c>
      <c r="BC119" s="1438">
        <f ca="1">IF(B119&gt;=$J$5,0,(CONTADORES!AY117-CONTADORES!AY116)+(CONTADORES!BA117-CONTADORES!BA116)+(CONTADORES!BF117-CONTADORES!BF116))-CC119</f>
        <v>1.178000000000091</v>
      </c>
      <c r="BD119" s="1397">
        <f t="shared" ca="1" si="48"/>
        <v>179.13</v>
      </c>
      <c r="BE119" s="1398">
        <f ca="1">IF($B119&gt;=$J$5,0,CONTADORES!$BG117)</f>
        <v>5590.6</v>
      </c>
      <c r="BF119" s="1397">
        <f ca="1">IF($B119&gt;=$J$5,0,CONTADORES!$BH117)</f>
        <v>29024.963157894701</v>
      </c>
      <c r="BG119" s="1397">
        <f ca="1">IF($B119&gt;=$J$5,0,CONTADORES!$BJ117)</f>
        <v>5155.2700000000004</v>
      </c>
      <c r="BH119" s="1397">
        <f ca="1">IF(B119&gt;=$J$5,0,((CONTADORES!BK117-CONTADORES!BK116)/1000))</f>
        <v>0.93300000000000005</v>
      </c>
      <c r="BI119" s="1397">
        <f ca="1">IF(C119&gt;=$J$5,0,((CONTADORES!BL117-CONTADORES!BL116)/1000))</f>
        <v>0.82899999999999996</v>
      </c>
      <c r="BJ119" s="1397">
        <f ca="1">IF(C119&gt;=$J$5,0,((CONTADORES!BM117-CONTADORES!BM116)/1000))</f>
        <v>0</v>
      </c>
      <c r="BK119" s="1397">
        <f ca="1">IF(D119&gt;=$J$5,0,((CONTADORES!BN117-CONTADORES!BN116)/1000))</f>
        <v>0</v>
      </c>
      <c r="BL119" s="1399">
        <f t="shared" ca="1" si="49"/>
        <v>0.93300000000000005</v>
      </c>
      <c r="BM119" s="1399">
        <f t="shared" ca="1" si="50"/>
        <v>0.82899999999999996</v>
      </c>
      <c r="BN119" s="1398">
        <f ca="1">IF(W119&gt;=$J$5,0,CONTADORES!$BO117)</f>
        <v>129.69988749225317</v>
      </c>
      <c r="BO119" s="1397">
        <f ca="1">IF(W119&gt;=$J$5,0,CONTADORES!$BP117)</f>
        <v>45.275405983889954</v>
      </c>
      <c r="BP119" s="1397">
        <f ca="1">IF(W119&gt;=$J$5,0,CONTADORES!$BQ117)</f>
        <v>657.14702474552973</v>
      </c>
      <c r="BQ119" s="1397">
        <f ca="1">IF(B119&gt;=$J$5,0,(CONTADORES!AS117-CONTADORES!AS116))</f>
        <v>5</v>
      </c>
      <c r="BR119" s="1397">
        <f ca="1">IF(C119&gt;=$J$5,0,(CONTADORES!AT117-CONTADORES!AT116))</f>
        <v>0</v>
      </c>
      <c r="BS119" s="1409">
        <f ca="1">IF(B119&gt;=$J$5,0,CONTADORES!BR117-CONTADORES!BR116)/1000</f>
        <v>2.2000000000000002</v>
      </c>
      <c r="BT119" s="1438">
        <f ca="1">IF(B119&gt;=$J$5,0,CONTADORES!BS117-CONTADORES!BS116)</f>
        <v>1</v>
      </c>
      <c r="BU119" s="1438">
        <f ca="1">IF(B119&gt;=$J$5,0,CONTADORES!BT117-CONTADORES!BT116)</f>
        <v>24</v>
      </c>
      <c r="BV119" s="1438">
        <f ca="1">IF(B119&gt;=$J$5,0,CONTADORES!BU117-CONTADORES!BU116)/1000</f>
        <v>0</v>
      </c>
      <c r="BW119" s="1438">
        <f ca="1">IF(B119&gt;=$J$5,0,CONTADORES!BV117-CONTADORES!BV116)/1000</f>
        <v>0</v>
      </c>
      <c r="BX119" s="1438">
        <f ca="1">IF(B119&gt;=$J$5,0,CONTADORES!BW117-CONTADORES!BW116)</f>
        <v>0</v>
      </c>
      <c r="BY119" s="1438">
        <f ca="1">IF(B119&gt;=$J$5,0,CONTADORES!BX117-CONTADORES!BX116)/1000</f>
        <v>4.694</v>
      </c>
      <c r="BZ119" s="1438">
        <f ca="1">IF(B119&gt;=$J$5,0,CONTADORES!BY117-CONTADORES!BY116)/1000</f>
        <v>0.71099999999999997</v>
      </c>
      <c r="CA119" s="1438">
        <f ca="1">IF(B119&gt;=$J$5,0,CONTADORES!BZ117-CONTADORES!BZ116)</f>
        <v>24</v>
      </c>
      <c r="CB119" s="1409">
        <f ca="1">IF(B119&gt;=$J$5,0,(CONTADORES!CC117-CONTADORES!CC116)+(CONTADORES!CE117-CONTADORES!CE116))/1000</f>
        <v>1.3160000000000001</v>
      </c>
      <c r="CC119" s="1438">
        <f ca="1">IF(B119&gt;=$J$5,0,(CONTADORES!CD117-CONTADORES!CD116)+(CONTADORES!CF117-CONTADORES!CF116))/1000</f>
        <v>0.72199999999999998</v>
      </c>
      <c r="CD119" s="1409">
        <f ca="1">IF(B119&gt;=$J$5,0,CONTADORES!CA117-CONTADORES!CA116)</f>
        <v>5.6000000000003638</v>
      </c>
      <c r="CE119" s="1438">
        <f ca="1">IF(B119&gt;=$J$5,0,CONTADORES!CB117-CONTADORES!CB116)</f>
        <v>3.8999999999996362</v>
      </c>
      <c r="CF119" s="1438">
        <f t="shared" ca="1" si="51"/>
        <v>7.9030000000001355</v>
      </c>
      <c r="CG119" s="1438">
        <f t="shared" ca="1" si="52"/>
        <v>5.6554999999994084</v>
      </c>
      <c r="CH119" s="1438">
        <f t="shared" ca="1" si="53"/>
        <v>2.3029999999997712</v>
      </c>
      <c r="CI119" s="1438">
        <f t="shared" ca="1" si="54"/>
        <v>1.4336000000000366</v>
      </c>
      <c r="CJ119" s="1438">
        <f t="shared" ca="1" si="55"/>
        <v>2.3029999999997712</v>
      </c>
      <c r="CK119" s="1438">
        <f t="shared" ca="1" si="56"/>
        <v>2.1504000000000545</v>
      </c>
      <c r="CL119" s="1438">
        <f t="shared" ca="1" si="57"/>
        <v>2.7496000000000365</v>
      </c>
      <c r="CM119" s="1438">
        <f t="shared" ca="1" si="58"/>
        <v>1.7554999999997722</v>
      </c>
      <c r="CN119" s="1438">
        <f ca="1">IF(B119&gt;=$J$5,0,CONTADORES!CB117-CONTADORES!CB116)</f>
        <v>3.8999999999996362</v>
      </c>
      <c r="CO119" s="1438">
        <f t="shared" ca="1" si="59"/>
        <v>1.7554999999997722</v>
      </c>
      <c r="CP119" s="1438">
        <f t="shared" ca="1" si="60"/>
        <v>0.58900000000004549</v>
      </c>
      <c r="CQ119" s="1438">
        <f t="shared" ca="1" si="61"/>
        <v>0.58900000000004549</v>
      </c>
      <c r="CR119" s="1438">
        <f t="shared" ca="1" si="62"/>
        <v>1.3110000000000455</v>
      </c>
      <c r="CS119" s="1439">
        <f ca="1">IF($B119&gt;=$J$5,0,CONTADORES!$BI117)</f>
        <v>9443.8835803979691</v>
      </c>
      <c r="CT119" s="1334">
        <f>CONTADORES!E117</f>
        <v>0</v>
      </c>
      <c r="CU119" s="1334">
        <f>CONTADORES!CG117</f>
        <v>0</v>
      </c>
    </row>
    <row r="120" spans="2:99">
      <c r="B120" s="390">
        <v>45036</v>
      </c>
      <c r="C120" s="198">
        <f t="shared" ca="1" si="35"/>
        <v>265</v>
      </c>
      <c r="D120" s="196">
        <f ca="1">'CALCULO DE GAS'!D125</f>
        <v>4.7564622745029652</v>
      </c>
      <c r="E120" s="196">
        <f ca="1">IF(B120&gt;=$J$5,0,(CONTADORES!$AD118-CONTADORES!$AD117)-$H120)</f>
        <v>24</v>
      </c>
      <c r="F120" s="198">
        <f t="shared" ca="1" si="67"/>
        <v>0</v>
      </c>
      <c r="G120" s="196">
        <f ca="1">IF(B120&gt;=$J$5,0,CONTADORES!$AF118-CONTADORES!$AF117)</f>
        <v>0</v>
      </c>
      <c r="H120" s="1396">
        <f ca="1">IF(G120&gt;0,CONTADORES!$AE118-CONTADORES!$AE117,0)</f>
        <v>0</v>
      </c>
      <c r="I120" s="199">
        <f ca="1">IF(B120&gt;=$J$5,0,CONTADORES!$AB118-CONTADORES!$AB117)</f>
        <v>265</v>
      </c>
      <c r="J120" s="198">
        <f t="shared" ca="1" si="36"/>
        <v>100.20000000000437</v>
      </c>
      <c r="K120" s="196">
        <f ca="1">'CALCULO DE GAS'!E125</f>
        <v>3.3780513920474728</v>
      </c>
      <c r="L120" s="1396">
        <f ca="1">IF(B120&gt;=$J$5,0,(CONTADORES!$Y118-CONTADORES!$Y117)-$O120)</f>
        <v>19.299999999988358</v>
      </c>
      <c r="M120" s="1396">
        <f t="shared" ca="1" si="66"/>
        <v>0</v>
      </c>
      <c r="N120" s="1396">
        <f ca="1">IF(B120&gt;=$J$5,0,CONTADORES!$AA118-CONTADORES!$AA117)</f>
        <v>0</v>
      </c>
      <c r="O120" s="1396">
        <f ca="1">IF(N120&gt;0,CONTADORES!$Z118-CONTADORES!$Z117,0)</f>
        <v>0</v>
      </c>
      <c r="P120" s="202">
        <f ca="1">IF(B120&gt;=$J$5,0,CONTADORES!$W118-CONTADORES!$W117)</f>
        <v>100.20000000000437</v>
      </c>
      <c r="Q120" s="202">
        <f ca="1">IF(B120&gt;=$J$5,0,CONTADORES!$B118-CONTADORES!$B117)</f>
        <v>0</v>
      </c>
      <c r="R120" s="196">
        <f t="shared" ca="1" si="37"/>
        <v>0</v>
      </c>
      <c r="S120" s="11">
        <f ca="1">IF(B120&gt;=$J$5,0,CONTADORES!$D118-CONTADORES!$D117)</f>
        <v>0</v>
      </c>
      <c r="T120" s="198">
        <f ca="1">IF(B120&gt;=$J$5,0,CONTADORES!$BB118-CONTADORES!$BB117)</f>
        <v>0</v>
      </c>
      <c r="U120" s="196">
        <f t="shared" ca="1" si="65"/>
        <v>0</v>
      </c>
      <c r="V120" s="199">
        <f ca="1">IF(B120&gt;=$J$5,0,CONTADORES!$BD118-CONTADORES!$BD117)</f>
        <v>0</v>
      </c>
      <c r="W120" s="1397">
        <f t="shared" ca="1" si="39"/>
        <v>365.20000000000437</v>
      </c>
      <c r="X120" s="1397">
        <f t="shared" ca="1" si="40"/>
        <v>0</v>
      </c>
      <c r="Y120" s="1398">
        <f t="shared" ca="1" si="41"/>
        <v>365.20000000000437</v>
      </c>
      <c r="Z120" s="1398">
        <f t="shared" ca="1" si="42"/>
        <v>8.1345136665504381</v>
      </c>
      <c r="AA120" s="1398">
        <f t="shared" ca="1" si="43"/>
        <v>0</v>
      </c>
      <c r="AB120" s="1398">
        <f t="shared" ca="1" si="44"/>
        <v>43.299999999988358</v>
      </c>
      <c r="AC120" s="1397">
        <f t="shared" ca="1" si="45"/>
        <v>0</v>
      </c>
      <c r="AD120" s="1438">
        <f ca="1">IF(B120&gt;=$J$5,0,CONTADORES!H118-CONTADORES!H117)</f>
        <v>163.46900000004098</v>
      </c>
      <c r="AE120" s="1402">
        <f ca="1">IF(B120&gt;=$J$5,0,CONTADORES!J118-CONTADORES!J117)</f>
        <v>24</v>
      </c>
      <c r="AF120" s="1438">
        <f ca="1">IF(B120&gt;=$J$5,0,CONTADORES!AU118-CONTADORES!AU117)</f>
        <v>78</v>
      </c>
      <c r="AG120" s="1397">
        <f ca="1">IF(B120&gt;=$J$5,0,CONTADORES!AW118-CONTADORES!AW117)</f>
        <v>13</v>
      </c>
      <c r="AH120" s="1397">
        <f ca="1">IF(B120&gt;=$J$5,0,(CONTADORES!AM118-CONTADORES!AM117)+(CONTADORES!M118-CONTADORES!M117))</f>
        <v>7.1999999999970896</v>
      </c>
      <c r="AI120" s="1397">
        <f ca="1">IF(B120&gt;=$J$5,0,(CONTADORES!AK118-CONTADORES!AK117)+(CONTADORES!O118-CONTADORES!O117))</f>
        <v>39.400000000001455</v>
      </c>
      <c r="AJ120" s="1397">
        <f ca="1">IF(B120&gt;=$J$5,0,(CONTADORES!AI118-CONTADORES!AI117))</f>
        <v>6.6000000000058208</v>
      </c>
      <c r="AK120" s="1397">
        <f ca="1">IF(B120&gt;=$J$5,0,(CONTADORES!Q118-CONTADORES!Q117))</f>
        <v>10</v>
      </c>
      <c r="AL120" s="1397">
        <f t="shared" ca="1" si="46"/>
        <v>32.330999999958294</v>
      </c>
      <c r="AM120" s="1397">
        <f ca="1">IF(B120&gt;=$J$5,0,(((CONTADORES!F118-CONTADORES!F117)+(CONTADORES!AQ118-CONTADORES!AQ117))))-BS120-AF120-AN120-BV120-BY120-CD120-CB120</f>
        <v>12.005000000001733</v>
      </c>
      <c r="AN120" s="1397">
        <f ca="1">IF(B120&gt;=$J$5,0,(CONTADORES!AX118-CONTADORES!AX117)+(CONTADORES!AZ118-CONTADORES!AZ117)+(CONTADORES!BE118-CONTADORES!BE117))-CB120</f>
        <v>2.7989999999993636</v>
      </c>
      <c r="AO120" s="1399">
        <f ca="1">IF(B120&gt;=$J$5,0,(CONTADORES!AC118-CONTADORES!AC117))</f>
        <v>135</v>
      </c>
      <c r="AP120" s="1399">
        <f ca="1">IF(B120&gt;=$J$5,0,(CONTADORES!X118-CONTADORES!X117))</f>
        <v>58.299999999999272</v>
      </c>
      <c r="AQ120" s="1404">
        <f ca="1">IF(B120&gt;=$J$5,0,(CONTADORES!C118-CONTADORES!C117))</f>
        <v>0</v>
      </c>
      <c r="AR120" s="1399">
        <f ca="1">IF(B120&gt;=$J$5,0,(CONTADORES!BC118-CONTADORES!BC117))</f>
        <v>0</v>
      </c>
      <c r="AS120" s="1438">
        <f ca="1">IF(B120&gt;=$J$5,0,CONTADORES!S118-CONTADORES!S117)</f>
        <v>16</v>
      </c>
      <c r="AT120" s="1438">
        <f ca="1">IF(B120&gt;=$J$5,0,(CONTADORES!U118-CONTADORES!U117)+(CONTADORES!AG118-CONTADORES!AG117))</f>
        <v>2.5</v>
      </c>
      <c r="AU120" s="1409">
        <f>CONTADORES!I118-CONTADORES!I117</f>
        <v>82.603999999992084</v>
      </c>
      <c r="AV120" s="1438">
        <f>CONTADORES!AV118-CONTADORES!AV117</f>
        <v>34</v>
      </c>
      <c r="AW120" s="1438">
        <f ca="1">IF(B120&gt;=$J$5,0,(CONTADORES!N118-CONTADORES!N117)+(CONTADORES!AN118-CONTADORES!AN117))</f>
        <v>2.7999999999992724</v>
      </c>
      <c r="AX120" s="1438">
        <f ca="1">IF(B120&gt;=$J$5,0,(CONTADORES!P118-CONTADORES!P117)+(CONTADORES!AL118-CONTADORES!AL117))</f>
        <v>32.19999999999709</v>
      </c>
      <c r="AY120" s="1438">
        <f ca="1">IF(B120&gt;=$J$5,0,(CONTADORES!AJ118-CONTADORES!AJ117))</f>
        <v>5</v>
      </c>
      <c r="AZ120" s="1438">
        <f ca="1">IF(B120&gt;=$J$5,0,(CONTADORES!R118-CONTADORES!R117))</f>
        <v>7</v>
      </c>
      <c r="BA120" s="1409">
        <f t="shared" ca="1" si="47"/>
        <v>13.932000000010817</v>
      </c>
      <c r="BB120" s="1409">
        <f ca="1">IF(B119&gt;=$J$5,0,(((CONTADORES!G118-CONTADORES!G117)+(CONTADORES!AR118-CONTADORES!AR117))))-AV120-BC120-BT120-BW120-BZ120-CE120</f>
        <v>8.817999999999909</v>
      </c>
      <c r="BC120" s="1438">
        <f ca="1">IF(B120&gt;=$J$5,0,(CONTADORES!AY118-CONTADORES!AY117)+(CONTADORES!BA118-CONTADORES!BA117)+(CONTADORES!BF118-CONTADORES!BF117))-CC120</f>
        <v>0.83599999999990904</v>
      </c>
      <c r="BD120" s="1397">
        <f t="shared" ca="1" si="48"/>
        <v>193.29999999999927</v>
      </c>
      <c r="BE120" s="1398">
        <f ca="1">IF($B120&gt;=$J$5,0,CONTADORES!$BG118)</f>
        <v>6260.92</v>
      </c>
      <c r="BF120" s="1397">
        <f ca="1">IF($B120&gt;=$J$5,0,CONTADORES!$BH118)</f>
        <v>28498.985964912299</v>
      </c>
      <c r="BG120" s="1397">
        <f ca="1">IF($B120&gt;=$J$5,0,CONTADORES!$BJ118)</f>
        <v>5711.28</v>
      </c>
      <c r="BH120" s="1397">
        <f ca="1">IF(B120&gt;=$J$5,0,((CONTADORES!BK118-CONTADORES!BK117)/1000))</f>
        <v>0.88100000000000001</v>
      </c>
      <c r="BI120" s="1397">
        <f ca="1">IF(C120&gt;=$J$5,0,((CONTADORES!BL118-CONTADORES!BL117)/1000))</f>
        <v>0.78700000000000003</v>
      </c>
      <c r="BJ120" s="1397">
        <f ca="1">IF(C120&gt;=$J$5,0,((CONTADORES!BM118-CONTADORES!BM117)/1000))</f>
        <v>0</v>
      </c>
      <c r="BK120" s="1397">
        <f ca="1">IF(D120&gt;=$J$5,0,((CONTADORES!BN118-CONTADORES!BN117)/1000))</f>
        <v>0</v>
      </c>
      <c r="BL120" s="1399">
        <f t="shared" ca="1" si="49"/>
        <v>0.88100000000000001</v>
      </c>
      <c r="BM120" s="1399">
        <f t="shared" ca="1" si="50"/>
        <v>0.78700000000000003</v>
      </c>
      <c r="BN120" s="1398">
        <f ca="1">IF(W120&gt;=$J$5,0,CONTADORES!$BO118)</f>
        <v>128.34628767629732</v>
      </c>
      <c r="BO120" s="1397">
        <f ca="1">IF(W120&gt;=$J$5,0,CONTADORES!$BP118)</f>
        <v>44.99303214787215</v>
      </c>
      <c r="BP120" s="1397">
        <f ca="1">IF(W120&gt;=$J$5,0,CONTADORES!$BQ118)</f>
        <v>655.60694171786474</v>
      </c>
      <c r="BQ120" s="1397">
        <f ca="1">IF(B120&gt;=$J$5,0,(CONTADORES!AS118-CONTADORES!AS117))</f>
        <v>4.6999999999970896</v>
      </c>
      <c r="BR120" s="1397">
        <f ca="1">IF(C120&gt;=$J$5,0,(CONTADORES!AT118-CONTADORES!AT117))</f>
        <v>0</v>
      </c>
      <c r="BS120" s="1409">
        <f ca="1">IF(B120&gt;=$J$5,0,CONTADORES!BR118-CONTADORES!BR117)/1000</f>
        <v>2.16</v>
      </c>
      <c r="BT120" s="1438">
        <f ca="1">IF(B120&gt;=$J$5,0,CONTADORES!BS118-CONTADORES!BS117)</f>
        <v>1</v>
      </c>
      <c r="BU120" s="1438">
        <f ca="1">IF(B120&gt;=$J$5,0,CONTADORES!BT118-CONTADORES!BT117)</f>
        <v>24</v>
      </c>
      <c r="BV120" s="1438">
        <f ca="1">IF(B120&gt;=$J$5,0,CONTADORES!BU118-CONTADORES!BU117)/1000</f>
        <v>0</v>
      </c>
      <c r="BW120" s="1438">
        <f ca="1">IF(B120&gt;=$J$5,0,CONTADORES!BV118-CONTADORES!BV117)/1000</f>
        <v>0</v>
      </c>
      <c r="BX120" s="1438">
        <f ca="1">IF(B120&gt;=$J$5,0,CONTADORES!BW118-CONTADORES!BW117)</f>
        <v>0</v>
      </c>
      <c r="BY120" s="1438">
        <f ca="1">IF(B120&gt;=$J$5,0,CONTADORES!BX118-CONTADORES!BX117)/1000</f>
        <v>4.4349999999999996</v>
      </c>
      <c r="BZ120" s="1438">
        <f ca="1">IF(B120&gt;=$J$5,0,CONTADORES!BY118-CONTADORES!BY117)/1000</f>
        <v>0.54600000000000004</v>
      </c>
      <c r="CA120" s="1438">
        <f ca="1">IF(B120&gt;=$J$5,0,CONTADORES!BZ118-CONTADORES!BZ117)</f>
        <v>24.389999999999418</v>
      </c>
      <c r="CB120" s="1409">
        <f ca="1">IF(B120&gt;=$J$5,0,(CONTADORES!CC118-CONTADORES!CC117)+(CONTADORES!CE118-CONTADORES!CE117))/1000</f>
        <v>1.401</v>
      </c>
      <c r="CC120" s="1438">
        <f ca="1">IF(B120&gt;=$J$5,0,(CONTADORES!CD118-CONTADORES!CD117)+(CONTADORES!CF118-CONTADORES!CF117))/1000</f>
        <v>0.76400000000000001</v>
      </c>
      <c r="CD120" s="1409">
        <f ca="1">IF(B120&gt;=$J$5,0,CONTADORES!CA118-CONTADORES!CA117)</f>
        <v>5.3999999999996362</v>
      </c>
      <c r="CE120" s="1438">
        <f ca="1">IF(B120&gt;=$J$5,0,CONTADORES!CB118-CONTADORES!CB117)</f>
        <v>3.8000000000001819</v>
      </c>
      <c r="CF120" s="1438">
        <f t="shared" ca="1" si="51"/>
        <v>11.402500000000503</v>
      </c>
      <c r="CG120" s="1438">
        <f t="shared" ca="1" si="52"/>
        <v>8.2090000000001364</v>
      </c>
      <c r="CH120" s="1438">
        <f t="shared" ca="1" si="53"/>
        <v>6.0025000000008664</v>
      </c>
      <c r="CI120" s="1438">
        <f t="shared" ca="1" si="54"/>
        <v>1.1195999999997455</v>
      </c>
      <c r="CJ120" s="1438">
        <f t="shared" ca="1" si="55"/>
        <v>6.0025000000008664</v>
      </c>
      <c r="CK120" s="1438">
        <f t="shared" ca="1" si="56"/>
        <v>1.6793999999996181</v>
      </c>
      <c r="CL120" s="1438">
        <f t="shared" ca="1" si="57"/>
        <v>2.5205999999997455</v>
      </c>
      <c r="CM120" s="1438">
        <f t="shared" ca="1" si="58"/>
        <v>4.4089999999999545</v>
      </c>
      <c r="CN120" s="1438">
        <f ca="1">IF(B120&gt;=$J$5,0,CONTADORES!CB118-CONTADORES!CB117)</f>
        <v>3.8000000000001819</v>
      </c>
      <c r="CO120" s="1438">
        <f t="shared" ca="1" si="59"/>
        <v>4.4089999999999545</v>
      </c>
      <c r="CP120" s="1438">
        <f t="shared" ca="1" si="60"/>
        <v>0.41799999999995452</v>
      </c>
      <c r="CQ120" s="1438">
        <f t="shared" ca="1" si="61"/>
        <v>0.41799999999995452</v>
      </c>
      <c r="CR120" s="1438">
        <f t="shared" ca="1" si="62"/>
        <v>1.1819999999999546</v>
      </c>
      <c r="CS120" s="1439">
        <f ca="1">IF($B120&gt;=$J$5,0,CONTADORES!$BI118)</f>
        <v>9236.9576916597998</v>
      </c>
      <c r="CT120" s="1334">
        <f>CONTADORES!E118</f>
        <v>0</v>
      </c>
      <c r="CU120" s="1334">
        <f>CONTADORES!CG118</f>
        <v>0</v>
      </c>
    </row>
    <row r="121" spans="2:99">
      <c r="B121" s="390">
        <v>45037</v>
      </c>
      <c r="C121" s="198">
        <f t="shared" ca="1" si="35"/>
        <v>216</v>
      </c>
      <c r="D121" s="196">
        <f ca="1">'CALCULO DE GAS'!D126</f>
        <v>4.3466192329961642</v>
      </c>
      <c r="E121" s="196">
        <f ca="1">IF(B121&gt;=$J$5,0,(CONTADORES!$AD119-CONTADORES!$AD118)-$H121)</f>
        <v>22</v>
      </c>
      <c r="F121" s="198">
        <f t="shared" ca="1" si="67"/>
        <v>0</v>
      </c>
      <c r="G121" s="196">
        <f ca="1">IF(B121&gt;=$J$5,0,CONTADORES!$AF119-CONTADORES!$AF118)</f>
        <v>0</v>
      </c>
      <c r="H121" s="1396">
        <f ca="1">IF(G121&gt;0,CONTADORES!$AE119-CONTADORES!$AE118,0)</f>
        <v>0</v>
      </c>
      <c r="I121" s="199">
        <f ca="1">IF(B121&gt;=$J$5,0,CONTADORES!$AB119-CONTADORES!$AB118)</f>
        <v>216</v>
      </c>
      <c r="J121" s="198">
        <f t="shared" ca="1" si="36"/>
        <v>113.79999999999563</v>
      </c>
      <c r="K121" s="196">
        <f ca="1">'CALCULO DE GAS'!E126</f>
        <v>3.491803746424798</v>
      </c>
      <c r="L121" s="1396">
        <f ca="1">IF(B121&gt;=$J$5,0,(CONTADORES!$Y119-CONTADORES!$Y118)-$O121)</f>
        <v>18.600000000005821</v>
      </c>
      <c r="M121" s="1396">
        <f t="shared" ca="1" si="66"/>
        <v>0</v>
      </c>
      <c r="N121" s="1396">
        <f ca="1">IF(B121&gt;=$J$5,0,CONTADORES!$AA119-CONTADORES!$AA118)</f>
        <v>0</v>
      </c>
      <c r="O121" s="1396">
        <f ca="1">IF(N121&gt;0,CONTADORES!$Z119-CONTADORES!$Z118,0)</f>
        <v>0</v>
      </c>
      <c r="P121" s="202">
        <f ca="1">IF(B121&gt;=$J$5,0,CONTADORES!$W119-CONTADORES!$W118)</f>
        <v>113.79999999999563</v>
      </c>
      <c r="Q121" s="202">
        <f ca="1">IF(B121&gt;=$J$5,0,CONTADORES!$B119-CONTADORES!$B118)</f>
        <v>2.3489999999999327</v>
      </c>
      <c r="R121" s="196">
        <f t="shared" ca="1" si="37"/>
        <v>281.87999999999192</v>
      </c>
      <c r="S121" s="11">
        <f ca="1">IF(B121&gt;=$J$5,0,CONTADORES!$D119-CONTADORES!$D118)</f>
        <v>3</v>
      </c>
      <c r="T121" s="198">
        <f ca="1">IF(B121&gt;=$J$5,0,CONTADORES!$BB119-CONTADORES!$BB118)</f>
        <v>0.24500000000000455</v>
      </c>
      <c r="U121" s="196">
        <f t="shared" ca="1" si="65"/>
        <v>29.400000000000546</v>
      </c>
      <c r="V121" s="199">
        <f ca="1">IF(B121&gt;=$J$5,0,CONTADORES!$BD119-CONTADORES!$BD118)</f>
        <v>1.5</v>
      </c>
      <c r="W121" s="1397">
        <f t="shared" ca="1" si="39"/>
        <v>329.79999999999563</v>
      </c>
      <c r="X121" s="1397">
        <f t="shared" ca="1" si="40"/>
        <v>2.5939999999999372</v>
      </c>
      <c r="Y121" s="1398">
        <f t="shared" ca="1" si="41"/>
        <v>332.39399999999557</v>
      </c>
      <c r="Z121" s="1398">
        <f t="shared" ca="1" si="42"/>
        <v>7.8384229794209617</v>
      </c>
      <c r="AA121" s="1398">
        <f t="shared" ca="1" si="43"/>
        <v>311.27999999999247</v>
      </c>
      <c r="AB121" s="1398">
        <f t="shared" ca="1" si="44"/>
        <v>40.600000000005821</v>
      </c>
      <c r="AC121" s="1397">
        <f t="shared" ca="1" si="45"/>
        <v>4.5</v>
      </c>
      <c r="AD121" s="1438">
        <f ca="1">IF(B121&gt;=$J$5,0,CONTADORES!H119-CONTADORES!H118)</f>
        <v>125.53099999995902</v>
      </c>
      <c r="AE121" s="1402">
        <f ca="1">IF(B121&gt;=$J$5,0,CONTADORES!J119-CONTADORES!J118)</f>
        <v>17.899999999994179</v>
      </c>
      <c r="AF121" s="1438">
        <f ca="1">IF(B121&gt;=$J$5,0,CONTADORES!AU119-CONTADORES!AU118)</f>
        <v>84</v>
      </c>
      <c r="AG121" s="1397">
        <f ca="1">IF(B121&gt;=$J$5,0,CONTADORES!AW119-CONTADORES!AW118)</f>
        <v>14.400000000008731</v>
      </c>
      <c r="AH121" s="1397">
        <f ca="1">IF(B121&gt;=$J$5,0,(CONTADORES!AM119-CONTADORES!AM118)+(CONTADORES!M119-CONTADORES!M118))</f>
        <v>14.30000000000291</v>
      </c>
      <c r="AI121" s="1397">
        <f ca="1">IF(B121&gt;=$J$5,0,(CONTADORES!AK119-CONTADORES!AK118)+(CONTADORES!O119-CONTADORES!O118))</f>
        <v>37.900000000001455</v>
      </c>
      <c r="AJ121" s="1397">
        <f ca="1">IF(B121&gt;=$J$5,0,(CONTADORES!AI119-CONTADORES!AI118))</f>
        <v>6.3000000000029104</v>
      </c>
      <c r="AK121" s="1397">
        <f ca="1">IF(B121&gt;=$J$5,0,(CONTADORES!Q119-CONTADORES!Q118))</f>
        <v>12</v>
      </c>
      <c r="AL121" s="1397">
        <f t="shared" ca="1" si="46"/>
        <v>33.263000000027091</v>
      </c>
      <c r="AM121" s="1397">
        <f ca="1">IF(B121&gt;=$J$5,0,(((CONTADORES!F119-CONTADORES!F118)+(CONTADORES!AQ119-CONTADORES!AQ118))))-BS121-AF121-AN121-BV121-BY121-CD121-CB121</f>
        <v>8.8635000000006396</v>
      </c>
      <c r="AN121" s="1397">
        <f ca="1">IF(B121&gt;=$J$5,0,(CONTADORES!AX119-CONTADORES!AX118)+(CONTADORES!AZ119-CONTADORES!AZ118)+(CONTADORES!BE119-CONTADORES!BE118))-CB121</f>
        <v>0.52400000000081848</v>
      </c>
      <c r="AO121" s="1399">
        <f ca="1">IF(B121&gt;=$J$5,0,(CONTADORES!AC119-CONTADORES!AC118))</f>
        <v>111</v>
      </c>
      <c r="AP121" s="1399">
        <f ca="1">IF(B121&gt;=$J$5,0,(CONTADORES!X119-CONTADORES!X118))</f>
        <v>60.799999999999272</v>
      </c>
      <c r="AQ121" s="1404">
        <f ca="1">IF(B121&gt;=$J$5,0,(CONTADORES!C119-CONTADORES!C118))</f>
        <v>1.4230000000000018</v>
      </c>
      <c r="AR121" s="1399">
        <f ca="1">IF(B121&gt;=$J$5,0,(CONTADORES!BC119-CONTADORES!BC118))</f>
        <v>0.14799999999996771</v>
      </c>
      <c r="AS121" s="1438">
        <f ca="1">IF(B121&gt;=$J$5,0,CONTADORES!S119-CONTADORES!S118)</f>
        <v>14</v>
      </c>
      <c r="AT121" s="1438">
        <f ca="1">IF(B121&gt;=$J$5,0,(CONTADORES!U119-CONTADORES!U118)+(CONTADORES!AG119-CONTADORES!AG118))</f>
        <v>2.2999999999956344</v>
      </c>
      <c r="AU121" s="1409">
        <f>CONTADORES!I119-CONTADORES!I118</f>
        <v>62.596000000019558</v>
      </c>
      <c r="AV121" s="1438">
        <f>CONTADORES!AV119-CONTADORES!AV118</f>
        <v>38</v>
      </c>
      <c r="AW121" s="1438">
        <f ca="1">IF(B121&gt;=$J$5,0,(CONTADORES!N119-CONTADORES!N118)+(CONTADORES!AN119-CONTADORES!AN118))</f>
        <v>5.5</v>
      </c>
      <c r="AX121" s="1438">
        <f ca="1">IF(B121&gt;=$J$5,0,(CONTADORES!P119-CONTADORES!P118)+(CONTADORES!AL119-CONTADORES!AL118))</f>
        <v>31.200000000004366</v>
      </c>
      <c r="AY121" s="1438">
        <f ca="1">IF(B121&gt;=$J$5,0,(CONTADORES!AJ119-CONTADORES!AJ118))</f>
        <v>4.9000000000014552</v>
      </c>
      <c r="AZ121" s="1438">
        <f ca="1">IF(B121&gt;=$J$5,0,(CONTADORES!R119-CONTADORES!R118))</f>
        <v>10</v>
      </c>
      <c r="BA121" s="1409">
        <f t="shared" ca="1" si="47"/>
        <v>11.258999999973696</v>
      </c>
      <c r="BB121" s="1409">
        <f ca="1">IF(B120&gt;=$J$5,0,(((CONTADORES!G119-CONTADORES!G118)+(CONTADORES!AR119-CONTADORES!AR118))))-AV121-BC121-BT121-BW121-BZ121-CE121</f>
        <v>5.1420000000001815</v>
      </c>
      <c r="BC121" s="1438">
        <f ca="1">IF(B121&gt;=$J$5,0,(CONTADORES!AY119-CONTADORES!AY118)+(CONTADORES!BA119-CONTADORES!BA118)+(CONTADORES!BF119-CONTADORES!BF118))-CC121</f>
        <v>8.3999999999818109E-2</v>
      </c>
      <c r="BD121" s="1397">
        <f t="shared" ca="1" si="48"/>
        <v>173.37099999999924</v>
      </c>
      <c r="BE121" s="1398">
        <f ca="1">IF($B121&gt;=$J$5,0,CONTADORES!$BG119)</f>
        <v>6343.2</v>
      </c>
      <c r="BF121" s="1397">
        <f ca="1">IF($B121&gt;=$J$5,0,CONTADORES!$BH119)</f>
        <v>20825.6578947368</v>
      </c>
      <c r="BG121" s="1397">
        <f ca="1">IF($B121&gt;=$J$5,0,CONTADORES!$BJ119)</f>
        <v>4649.9799999999996</v>
      </c>
      <c r="BH121" s="1397">
        <f ca="1">IF(B121&gt;=$J$5,0,((CONTADORES!BK119-CONTADORES!BK118)/1000))</f>
        <v>0.88900000000000001</v>
      </c>
      <c r="BI121" s="1397">
        <f ca="1">IF(C121&gt;=$J$5,0,((CONTADORES!BL119-CONTADORES!BL118)/1000))</f>
        <v>0.78800000000000003</v>
      </c>
      <c r="BJ121" s="1397">
        <f ca="1">IF(C121&gt;=$J$5,0,((CONTADORES!BM119-CONTADORES!BM118)/1000))</f>
        <v>0</v>
      </c>
      <c r="BK121" s="1397">
        <f ca="1">IF(D121&gt;=$J$5,0,((CONTADORES!BN119-CONTADORES!BN118)/1000))</f>
        <v>0</v>
      </c>
      <c r="BL121" s="1399">
        <f t="shared" ca="1" si="49"/>
        <v>0.88900000000000001</v>
      </c>
      <c r="BM121" s="1399">
        <f t="shared" ca="1" si="50"/>
        <v>0.78800000000000003</v>
      </c>
      <c r="BN121" s="1398">
        <f ca="1">IF(W121&gt;=$J$5,0,CONTADORES!$BO119)</f>
        <v>128.995421219246</v>
      </c>
      <c r="BO121" s="1397">
        <f ca="1">IF(W121&gt;=$J$5,0,CONTADORES!$BP119)</f>
        <v>44.96095179897037</v>
      </c>
      <c r="BP121" s="1397">
        <f ca="1">IF(W121&gt;=$J$5,0,CONTADORES!$BQ119)</f>
        <v>660.3204663335008</v>
      </c>
      <c r="BQ121" s="1397">
        <f ca="1">IF(B121&gt;=$J$5,0,(CONTADORES!AS119-CONTADORES!AS118))</f>
        <v>4.9000000000014552</v>
      </c>
      <c r="BR121" s="1397">
        <f ca="1">IF(C121&gt;=$J$5,0,(CONTADORES!AT119-CONTADORES!AT118))</f>
        <v>0</v>
      </c>
      <c r="BS121" s="1409">
        <f ca="1">IF(B121&gt;=$J$5,0,CONTADORES!BR119-CONTADORES!BR118)/1000</f>
        <v>1.8414999999999999</v>
      </c>
      <c r="BT121" s="1438">
        <f ca="1">IF(B121&gt;=$J$5,0,CONTADORES!BS119-CONTADORES!BS118)</f>
        <v>1</v>
      </c>
      <c r="BU121" s="1438">
        <f ca="1">IF(B121&gt;=$J$5,0,CONTADORES!BT119-CONTADORES!BT118)</f>
        <v>14.5</v>
      </c>
      <c r="BV121" s="1438">
        <f ca="1">IF(B121&gt;=$J$5,0,CONTADORES!BU119-CONTADORES!BU118)/1000</f>
        <v>0</v>
      </c>
      <c r="BW121" s="1438">
        <f ca="1">IF(B121&gt;=$J$5,0,CONTADORES!BV119-CONTADORES!BV118)/1000</f>
        <v>0</v>
      </c>
      <c r="BX121" s="1438">
        <f ca="1">IF(B121&gt;=$J$5,0,CONTADORES!BW119-CONTADORES!BW118)</f>
        <v>0</v>
      </c>
      <c r="BY121" s="1438">
        <f ca="1">IF(B121&gt;=$J$5,0,CONTADORES!BX119-CONTADORES!BX118)/1000</f>
        <v>2.5950000000000002</v>
      </c>
      <c r="BZ121" s="1438">
        <f ca="1">IF(B121&gt;=$J$5,0,CONTADORES!BY119-CONTADORES!BY118)/1000</f>
        <v>0.27400000000000002</v>
      </c>
      <c r="CA121" s="1438">
        <f ca="1">IF(B121&gt;=$J$5,0,CONTADORES!BZ119-CONTADORES!BZ118)</f>
        <v>14.650000000001455</v>
      </c>
      <c r="CB121" s="1409">
        <f ca="1">IF(B121&gt;=$J$5,0,(CONTADORES!CC119-CONTADORES!CC118)+(CONTADORES!CE119-CONTADORES!CE118))/1000</f>
        <v>1.0760000000000001</v>
      </c>
      <c r="CC121" s="1438">
        <f ca="1">IF(B121&gt;=$J$5,0,(CONTADORES!CD119-CONTADORES!CD118)+(CONTADORES!CF119-CONTADORES!CF118))/1000</f>
        <v>0.61599999999999999</v>
      </c>
      <c r="CD121" s="1409">
        <f ca="1">IF(B121&gt;=$J$5,0,CONTADORES!CA119-CONTADORES!CA118)</f>
        <v>4.2000000000007276</v>
      </c>
      <c r="CE121" s="1438">
        <f ca="1">IF(B121&gt;=$J$5,0,CONTADORES!CB119-CONTADORES!CB118)</f>
        <v>2.8000000000001819</v>
      </c>
      <c r="CF121" s="1438">
        <f t="shared" ca="1" si="51"/>
        <v>8.6317500000010483</v>
      </c>
      <c r="CG121" s="1438">
        <f t="shared" ca="1" si="52"/>
        <v>5.3710000000002722</v>
      </c>
      <c r="CH121" s="1438">
        <f t="shared" ca="1" si="53"/>
        <v>4.4317500000003198</v>
      </c>
      <c r="CI121" s="1438">
        <f t="shared" ca="1" si="54"/>
        <v>0.20960000000032741</v>
      </c>
      <c r="CJ121" s="1438">
        <f t="shared" ca="1" si="55"/>
        <v>4.4317500000003198</v>
      </c>
      <c r="CK121" s="1438">
        <f t="shared" ca="1" si="56"/>
        <v>0.31440000000049106</v>
      </c>
      <c r="CL121" s="1438">
        <f t="shared" ca="1" si="57"/>
        <v>1.2856000000003274</v>
      </c>
      <c r="CM121" s="1438">
        <f t="shared" ca="1" si="58"/>
        <v>2.5710000000000908</v>
      </c>
      <c r="CN121" s="1438">
        <f ca="1">IF(B121&gt;=$J$5,0,CONTADORES!CB119-CONTADORES!CB118)</f>
        <v>2.8000000000001819</v>
      </c>
      <c r="CO121" s="1438">
        <f t="shared" ca="1" si="59"/>
        <v>2.5710000000000908</v>
      </c>
      <c r="CP121" s="1438">
        <f t="shared" ca="1" si="60"/>
        <v>4.1999999999909055E-2</v>
      </c>
      <c r="CQ121" s="1438">
        <f t="shared" ca="1" si="61"/>
        <v>4.1999999999909055E-2</v>
      </c>
      <c r="CR121" s="1438">
        <f t="shared" ca="1" si="62"/>
        <v>0.6579999999999091</v>
      </c>
      <c r="CS121" s="1439">
        <f ca="1">IF($B121&gt;=$J$5,0,CONTADORES!$BI119)</f>
        <v>6676.55566120819</v>
      </c>
      <c r="CT121" s="1334">
        <f>CONTADORES!E119</f>
        <v>2.2999999999999998</v>
      </c>
      <c r="CU121" s="1334">
        <f>CONTADORES!CG119</f>
        <v>0.2</v>
      </c>
    </row>
    <row r="122" spans="2:99">
      <c r="B122" s="390">
        <v>45038</v>
      </c>
      <c r="C122" s="198">
        <f t="shared" ca="1" si="35"/>
        <v>288</v>
      </c>
      <c r="D122" s="196">
        <f ca="1">'CALCULO DE GAS'!D127</f>
        <v>4.9488375797000357</v>
      </c>
      <c r="E122" s="196">
        <f ca="1">IF(B122&gt;=$J$5,0,(CONTADORES!$AD120-CONTADORES!$AD119)-$H122)</f>
        <v>24</v>
      </c>
      <c r="F122" s="198">
        <f t="shared" ca="1" si="67"/>
        <v>0</v>
      </c>
      <c r="G122" s="196">
        <f ca="1">IF(B122&gt;=$J$5,0,CONTADORES!$AF120-CONTADORES!$AF119)</f>
        <v>0</v>
      </c>
      <c r="H122" s="1396">
        <f ca="1">IF(G122&gt;0,CONTADORES!$AE120-CONTADORES!$AE119,0)</f>
        <v>0</v>
      </c>
      <c r="I122" s="199">
        <f ca="1">IF(B122&gt;=$J$5,0,CONTADORES!$AB120-CONTADORES!$AB119)</f>
        <v>288</v>
      </c>
      <c r="J122" s="198">
        <f t="shared" ca="1" si="36"/>
        <v>153</v>
      </c>
      <c r="K122" s="196">
        <f ca="1">'CALCULO DE GAS'!E127</f>
        <v>3.8196781796302757</v>
      </c>
      <c r="L122" s="1396">
        <f ca="1">IF(B122&gt;=$J$5,0,(CONTADORES!$Y120-CONTADORES!$Y119)-$O122)</f>
        <v>24</v>
      </c>
      <c r="M122" s="1396">
        <f t="shared" ca="1" si="66"/>
        <v>0</v>
      </c>
      <c r="N122" s="1396">
        <f ca="1">IF(B122&gt;=$J$5,0,CONTADORES!$AA120-CONTADORES!$AA119)</f>
        <v>0</v>
      </c>
      <c r="O122" s="1396">
        <f ca="1">IF(N122&gt;0,CONTADORES!$Z120-CONTADORES!$Z119,0)</f>
        <v>0</v>
      </c>
      <c r="P122" s="202">
        <f ca="1">IF(B122&gt;=$J$5,0,CONTADORES!$W120-CONTADORES!$W119)</f>
        <v>153</v>
      </c>
      <c r="Q122" s="202">
        <f ca="1">IF(B122&gt;=$J$5,0,CONTADORES!$B120-CONTADORES!$B119)</f>
        <v>0</v>
      </c>
      <c r="R122" s="196">
        <f t="shared" ca="1" si="37"/>
        <v>0</v>
      </c>
      <c r="S122" s="11">
        <f ca="1">IF(B122&gt;=$J$5,0,CONTADORES!$D120-CONTADORES!$D119)</f>
        <v>0</v>
      </c>
      <c r="T122" s="198">
        <f ca="1">IF(B122&gt;=$J$5,0,CONTADORES!$BB120-CONTADORES!$BB119)</f>
        <v>0</v>
      </c>
      <c r="U122" s="196">
        <f t="shared" ca="1" si="65"/>
        <v>0</v>
      </c>
      <c r="V122" s="199">
        <f ca="1">IF(B122&gt;=$J$5,0,CONTADORES!$BD120-CONTADORES!$BD119)</f>
        <v>0</v>
      </c>
      <c r="W122" s="1397">
        <f t="shared" ca="1" si="39"/>
        <v>441</v>
      </c>
      <c r="X122" s="1397">
        <f t="shared" ca="1" si="40"/>
        <v>0</v>
      </c>
      <c r="Y122" s="1398">
        <f t="shared" ca="1" si="41"/>
        <v>441</v>
      </c>
      <c r="Z122" s="1398">
        <f t="shared" ca="1" si="42"/>
        <v>8.7685157593303114</v>
      </c>
      <c r="AA122" s="1398">
        <f t="shared" ca="1" si="43"/>
        <v>0</v>
      </c>
      <c r="AB122" s="1398">
        <f t="shared" ca="1" si="44"/>
        <v>48</v>
      </c>
      <c r="AC122" s="1397">
        <f t="shared" ca="1" si="45"/>
        <v>0</v>
      </c>
      <c r="AD122" s="1438">
        <f ca="1">IF(B122&gt;=$J$5,0,CONTADORES!H120-CONTADORES!H119)</f>
        <v>165.80000000004657</v>
      </c>
      <c r="AE122" s="1402">
        <f ca="1">IF(B122&gt;=$J$5,0,CONTADORES!J120-CONTADORES!J119)</f>
        <v>24</v>
      </c>
      <c r="AF122" s="1438">
        <f ca="1">IF(B122&gt;=$J$5,0,CONTADORES!AU120-CONTADORES!AU119)</f>
        <v>149</v>
      </c>
      <c r="AG122" s="1397">
        <f ca="1">IF(B122&gt;=$J$5,0,CONTADORES!AW120-CONTADORES!AW119)</f>
        <v>24</v>
      </c>
      <c r="AH122" s="1397">
        <f ca="1">IF(B122&gt;=$J$5,0,(CONTADORES!AM120-CONTADORES!AM119)+(CONTADORES!M120-CONTADORES!M119))</f>
        <v>10</v>
      </c>
      <c r="AI122" s="1397">
        <f ca="1">IF(B122&gt;=$J$5,0,(CONTADORES!AK120-CONTADORES!AK119)+(CONTADORES!O120-CONTADORES!O119))</f>
        <v>35.599999999998545</v>
      </c>
      <c r="AJ122" s="1397">
        <f ca="1">IF(B122&gt;=$J$5,0,(CONTADORES!AI120-CONTADORES!AI119))</f>
        <v>6.2999999999883585</v>
      </c>
      <c r="AK122" s="1397">
        <f ca="1">IF(B122&gt;=$J$5,0,(CONTADORES!Q120-CONTADORES!Q119))</f>
        <v>13</v>
      </c>
      <c r="AL122" s="1397">
        <f t="shared" ca="1" si="46"/>
        <v>32.399999999943191</v>
      </c>
      <c r="AM122" s="1397">
        <f ca="1">IF(B122&gt;=$J$5,0,(((CONTADORES!F120-CONTADORES!F119)+(CONTADORES!AQ120-CONTADORES!AQ119))))-BS122-AF122-AN122-BV122-BY122-CD122-CB122</f>
        <v>9.4140000000234778</v>
      </c>
      <c r="AN122" s="1397">
        <f ca="1">IF(B122&gt;=$J$5,0,(CONTADORES!AX120-CONTADORES!AX119)+(CONTADORES!AZ120-CONTADORES!AZ119)+(CONTADORES!BE120-CONTADORES!BE119))-CB122</f>
        <v>2.8039999999998182</v>
      </c>
      <c r="AO122" s="1399">
        <f ca="1">IF(B122&gt;=$J$5,0,(CONTADORES!AC120-CONTADORES!AC119))</f>
        <v>142</v>
      </c>
      <c r="AP122" s="1399">
        <f ca="1">IF(B122&gt;=$J$5,0,(CONTADORES!X120-CONTADORES!X119))</f>
        <v>81.100000000002183</v>
      </c>
      <c r="AQ122" s="1404">
        <f ca="1">IF(B122&gt;=$J$5,0,(CONTADORES!C120-CONTADORES!C119))</f>
        <v>0</v>
      </c>
      <c r="AR122" s="1399">
        <f ca="1">IF(B122&gt;=$J$5,0,(CONTADORES!BC120-CONTADORES!BC119))</f>
        <v>0</v>
      </c>
      <c r="AS122" s="1438">
        <f ca="1">IF(B122&gt;=$J$5,0,CONTADORES!S120-CONTADORES!S119)</f>
        <v>13</v>
      </c>
      <c r="AT122" s="1438">
        <f ca="1">IF(B122&gt;=$J$5,0,(CONTADORES!U120-CONTADORES!U119)+(CONTADORES!AG120-CONTADORES!AG119))</f>
        <v>2.4000000000014552</v>
      </c>
      <c r="AU122" s="1409">
        <f>CONTADORES!I120-CONTADORES!I119</f>
        <v>87.200000000011642</v>
      </c>
      <c r="AV122" s="1438">
        <f>CONTADORES!AV120-CONTADORES!AV119</f>
        <v>64</v>
      </c>
      <c r="AW122" s="1438">
        <f ca="1">IF(B122&gt;=$J$5,0,(CONTADORES!N120-CONTADORES!N119)+(CONTADORES!AN120-CONTADORES!AN119))</f>
        <v>4</v>
      </c>
      <c r="AX122" s="1438">
        <f ca="1">IF(B122&gt;=$J$5,0,(CONTADORES!P120-CONTADORES!P119)+(CONTADORES!AL120-CONTADORES!AL119))</f>
        <v>29</v>
      </c>
      <c r="AY122" s="1438">
        <f ca="1">IF(B122&gt;=$J$5,0,(CONTADORES!AJ120-CONTADORES!AJ119))</f>
        <v>4.6999999999970896</v>
      </c>
      <c r="AZ122" s="1438">
        <f ca="1">IF(B122&gt;=$J$5,0,(CONTADORES!R120-CONTADORES!R119))</f>
        <v>10</v>
      </c>
      <c r="BA122" s="1409">
        <f ca="1">BD122-(AU122+AV122+AW122+AX122+AY122+AZ122+BT122+BW122+BZ122+CG122+CO122+CQ122+CR122)</f>
        <v>5.5279999999929146</v>
      </c>
      <c r="BB122" s="1409">
        <f ca="1">IF(B121&gt;=$J$5,0,(((CONTADORES!G120-CONTADORES!G119)+(CONTADORES!AR120-CONTADORES!AR119))))-AV122-BC122-BT122-BW122-BZ122-CE122</f>
        <v>11.095000000000498</v>
      </c>
      <c r="BC122" s="1438">
        <f ca="1">IF(B122&gt;=$J$5,0,(CONTADORES!AY120-CONTADORES!AY119)+(CONTADORES!BA120-CONTADORES!BA119)+(CONTADORES!BF120-CONTADORES!BF119))-CC122</f>
        <v>0.52800000000040925</v>
      </c>
      <c r="BD122" s="1397">
        <f ca="1">SUM(AO122:AR122)</f>
        <v>223.10000000000218</v>
      </c>
      <c r="BE122" s="1398">
        <f ca="1">IF($B122&gt;=$J$5,0,CONTADORES!$BG120)</f>
        <v>5474.48</v>
      </c>
      <c r="BF122" s="1397">
        <f ca="1">IF($B122&gt;=$J$5,0,CONTADORES!$BH120)</f>
        <v>32821.905263157903</v>
      </c>
      <c r="BG122" s="1397">
        <f ca="1">IF($B122&gt;=$J$5,0,CONTADORES!$BJ120)</f>
        <v>5279.85</v>
      </c>
      <c r="BH122" s="1397">
        <f ca="1">IF(B122&gt;=$J$5,0,((CONTADORES!BK120-CONTADORES!BK119)/1000))</f>
        <v>0.86599999999999999</v>
      </c>
      <c r="BI122" s="1397">
        <f ca="1">IF(C122&gt;=$J$5,0,((CONTADORES!BL120-CONTADORES!BL119)/1000))</f>
        <v>0.78600000000000003</v>
      </c>
      <c r="BJ122" s="1397">
        <f ca="1">IF(C122&gt;=$J$5,0,((CONTADORES!BM120-CONTADORES!BM119)/1000))</f>
        <v>0</v>
      </c>
      <c r="BK122" s="1397">
        <f ca="1">IF(D122&gt;=$J$5,0,((CONTADORES!BN120-CONTADORES!BN119)/1000))</f>
        <v>0</v>
      </c>
      <c r="BL122" s="1399">
        <f t="shared" ca="1" si="49"/>
        <v>0.86599999999999999</v>
      </c>
      <c r="BM122" s="1399">
        <f t="shared" ca="1" si="50"/>
        <v>0.78600000000000003</v>
      </c>
      <c r="BN122" s="1398">
        <f ca="1">IF(W122&gt;=$J$5,0,CONTADORES!$BO120)</f>
        <v>125.93026278630199</v>
      </c>
      <c r="BO122" s="1397">
        <f ca="1">IF(W122&gt;=$J$5,0,CONTADORES!$BP120)</f>
        <v>44.283502881374197</v>
      </c>
      <c r="BP122" s="1397">
        <f ca="1">IF(W122&gt;=$J$5,0,CONTADORES!$BQ120)</f>
        <v>645.80348578578401</v>
      </c>
      <c r="BQ122" s="1397">
        <f ca="1">IF(B122&gt;=$J$5,0,(CONTADORES!AS120-CONTADORES!AS119))</f>
        <v>4.5</v>
      </c>
      <c r="BR122" s="1397">
        <f ca="1">IF(C122&gt;=$J$5,0,(CONTADORES!AT120-CONTADORES!AT119))</f>
        <v>0</v>
      </c>
      <c r="BS122" s="1409">
        <f ca="1">IF(B122&gt;=$J$5,0,CONTADORES!BR120-CONTADORES!BR119)/1000</f>
        <v>3.3839999999999999</v>
      </c>
      <c r="BT122" s="1438">
        <f ca="1">IF(B122&gt;=$J$5,0,CONTADORES!BS120-CONTADORES!BS119)</f>
        <v>1</v>
      </c>
      <c r="BU122" s="1438">
        <f ca="1">IF(B122&gt;=$J$5,0,CONTADORES!BT120-CONTADORES!BT119)</f>
        <v>24</v>
      </c>
      <c r="BV122" s="1438">
        <f ca="1">IF(B122&gt;=$J$5,0,CONTADORES!BU120-CONTADORES!BU119)/1000</f>
        <v>0</v>
      </c>
      <c r="BW122" s="1438">
        <f ca="1">IF(B122&gt;=$J$5,0,CONTADORES!BV120-CONTADORES!BV119)/1000</f>
        <v>0</v>
      </c>
      <c r="BX122" s="1438">
        <f ca="1">IF(B122&gt;=$J$5,0,CONTADORES!BW120-CONTADORES!BW119)</f>
        <v>0</v>
      </c>
      <c r="BY122" s="1438">
        <f ca="1">IF(B122&gt;=$J$5,0,CONTADORES!BX120-CONTADORES!BX119)/1000</f>
        <v>4.9020000000000001</v>
      </c>
      <c r="BZ122" s="1438">
        <f ca="1">IF(B122&gt;=$J$5,0,CONTADORES!BY120-CONTADORES!BY119)/1000</f>
        <v>0.877</v>
      </c>
      <c r="CA122" s="1438">
        <f ca="1">IF(B122&gt;=$J$5,0,CONTADORES!BZ120-CONTADORES!BZ119)</f>
        <v>23.959999999999127</v>
      </c>
      <c r="CB122" s="1409">
        <f ca="1">IF(B122&gt;=$J$5,0,(CONTADORES!CC120-CONTADORES!CC119)+(CONTADORES!CE120-CONTADORES!CE119))/1000</f>
        <v>1.3959999999999999</v>
      </c>
      <c r="CC122" s="1438">
        <f ca="1">IF(B122&gt;=$J$5,0,(CONTADORES!CD120-CONTADORES!CD119)+(CONTADORES!CF120-CONTADORES!CF119))/1000</f>
        <v>0.77200000000000002</v>
      </c>
      <c r="CD122" s="1409">
        <f ca="1">IF(B122&gt;=$J$5,0,CONTADORES!CA120-CONTADORES!CA119)</f>
        <v>7</v>
      </c>
      <c r="CE122" s="1438">
        <f ca="1">IF(B122&gt;=$J$5,0,CONTADORES!CB120-CONTADORES!CB119)</f>
        <v>4.3999999999996362</v>
      </c>
      <c r="CF122" s="1438">
        <f t="shared" ca="1" si="51"/>
        <v>11.707000000011739</v>
      </c>
      <c r="CG122" s="1438">
        <f t="shared" ca="1" si="52"/>
        <v>9.9474999999998843</v>
      </c>
      <c r="CH122" s="1438">
        <f t="shared" ca="1" si="53"/>
        <v>4.7070000000117389</v>
      </c>
      <c r="CI122" s="1438">
        <f t="shared" ca="1" si="54"/>
        <v>1.1215999999999273</v>
      </c>
      <c r="CJ122" s="1438">
        <f t="shared" ca="1" si="55"/>
        <v>4.7070000000117389</v>
      </c>
      <c r="CK122" s="1438">
        <f t="shared" ca="1" si="56"/>
        <v>1.6823999999998909</v>
      </c>
      <c r="CL122" s="1438">
        <f t="shared" ca="1" si="57"/>
        <v>2.517599999999927</v>
      </c>
      <c r="CM122" s="1438">
        <f t="shared" ca="1" si="58"/>
        <v>5.547500000000249</v>
      </c>
      <c r="CN122" s="1438">
        <f ca="1">IF(B122&gt;=$J$5,0,CONTADORES!CB120-CONTADORES!CB119)</f>
        <v>4.3999999999996362</v>
      </c>
      <c r="CO122" s="1438">
        <f ca="1">BB122-CM122</f>
        <v>5.547500000000249</v>
      </c>
      <c r="CP122" s="1438">
        <f t="shared" ca="1" si="60"/>
        <v>0.26400000000020463</v>
      </c>
      <c r="CQ122" s="1438">
        <f t="shared" ca="1" si="61"/>
        <v>0.26400000000020463</v>
      </c>
      <c r="CR122" s="1438">
        <f t="shared" ca="1" si="62"/>
        <v>1.0360000000002048</v>
      </c>
      <c r="CS122" s="1439">
        <f ca="1">IF($B122&gt;=$J$5,0,CONTADORES!$BI120)</f>
        <v>9853.2864287339708</v>
      </c>
      <c r="CT122" s="1334">
        <f>CONTADORES!E120</f>
        <v>0</v>
      </c>
      <c r="CU122" s="1334">
        <f>CONTADORES!CG120</f>
        <v>0</v>
      </c>
    </row>
    <row r="123" spans="2:99">
      <c r="B123" s="390">
        <v>45039</v>
      </c>
      <c r="C123" s="198">
        <f t="shared" ca="1" si="35"/>
        <v>295</v>
      </c>
      <c r="D123" s="196">
        <f ca="1">'CALCULO DE GAS'!D128</f>
        <v>5.0073865856295789</v>
      </c>
      <c r="E123" s="196">
        <f ca="1">IF(B123&gt;=$J$5,0,(CONTADORES!$AD121-CONTADORES!$AD120)-$H123)</f>
        <v>24</v>
      </c>
      <c r="F123" s="198">
        <f t="shared" ca="1" si="67"/>
        <v>0</v>
      </c>
      <c r="G123" s="196">
        <f ca="1">IF(B123&gt;=$J$5,0,CONTADORES!$AF121-CONTADORES!$AF120)</f>
        <v>0</v>
      </c>
      <c r="H123" s="1396">
        <f ca="1">IF(G123&gt;0,CONTADORES!$AE121-CONTADORES!$AE120,0)</f>
        <v>0</v>
      </c>
      <c r="I123" s="199">
        <f ca="1">IF(B123&gt;=$J$5,0,CONTADORES!$AB121-CONTADORES!$AB120)</f>
        <v>295</v>
      </c>
      <c r="J123" s="198">
        <f t="shared" ca="1" si="36"/>
        <v>155.40000000000146</v>
      </c>
      <c r="K123" s="196">
        <f ca="1">'CALCULO DE GAS'!E128</f>
        <v>3.8397521245204169</v>
      </c>
      <c r="L123" s="1396">
        <f ca="1">IF(B123&gt;=$J$5,0,(CONTADORES!$Y121-CONTADORES!$Y120)-$O123)</f>
        <v>24</v>
      </c>
      <c r="M123" s="1396">
        <f t="shared" ca="1" si="66"/>
        <v>0</v>
      </c>
      <c r="N123" s="1396">
        <f ca="1">IF(B123&gt;=$J$5,0,CONTADORES!$AA121-CONTADORES!$AA120)</f>
        <v>0</v>
      </c>
      <c r="O123" s="1396">
        <f ca="1">IF(N123&gt;0,CONTADORES!$Z121-CONTADORES!$Z120,0)</f>
        <v>0</v>
      </c>
      <c r="P123" s="202">
        <f ca="1">IF(B123&gt;=$J$5,0,CONTADORES!$W121-CONTADORES!$W120)</f>
        <v>155.40000000000146</v>
      </c>
      <c r="Q123" s="202">
        <f ca="1">IF(B123&gt;=$J$5,0,CONTADORES!$B121-CONTADORES!$B120)</f>
        <v>0</v>
      </c>
      <c r="R123" s="196">
        <f t="shared" ca="1" si="37"/>
        <v>0</v>
      </c>
      <c r="S123" s="11">
        <f ca="1">IF(B123&gt;=$J$5,0,CONTADORES!$D121-CONTADORES!$D120)</f>
        <v>0</v>
      </c>
      <c r="T123" s="198">
        <f ca="1">IF(B123&gt;=$J$5,0,CONTADORES!$BB121-CONTADORES!$BB120)</f>
        <v>0</v>
      </c>
      <c r="U123" s="196">
        <f t="shared" ca="1" si="65"/>
        <v>0</v>
      </c>
      <c r="V123" s="199">
        <f ca="1">IF(B123&gt;=$J$5,0,CONTADORES!$BD121-CONTADORES!$BD120)</f>
        <v>0</v>
      </c>
      <c r="W123" s="1397">
        <f t="shared" ca="1" si="39"/>
        <v>450.40000000000146</v>
      </c>
      <c r="X123" s="1397">
        <f t="shared" ca="1" si="40"/>
        <v>0</v>
      </c>
      <c r="Y123" s="1398">
        <f t="shared" ca="1" si="41"/>
        <v>450.40000000000146</v>
      </c>
      <c r="Z123" s="1398">
        <f t="shared" ca="1" si="42"/>
        <v>8.847138710149995</v>
      </c>
      <c r="AA123" s="1398">
        <f t="shared" ca="1" si="43"/>
        <v>0</v>
      </c>
      <c r="AB123" s="1398">
        <f t="shared" ca="1" si="44"/>
        <v>48</v>
      </c>
      <c r="AC123" s="1397">
        <f t="shared" ca="1" si="45"/>
        <v>0</v>
      </c>
      <c r="AD123" s="1438">
        <f ca="1">IF(B123&gt;=$J$5,0,CONTADORES!H121-CONTADORES!H120)</f>
        <v>170.19999999995343</v>
      </c>
      <c r="AE123" s="1402">
        <f ca="1">IF(B123&gt;=$J$5,0,CONTADORES!J121-CONTADORES!J120)</f>
        <v>24</v>
      </c>
      <c r="AF123" s="1438">
        <f ca="1">IF(B123&gt;=$J$5,0,CONTADORES!AU121-CONTADORES!AU120)</f>
        <v>156.5</v>
      </c>
      <c r="AG123" s="1397">
        <f ca="1">IF(B123&gt;=$J$5,0,CONTADORES!AW121-CONTADORES!AW120)</f>
        <v>24</v>
      </c>
      <c r="AH123" s="1397">
        <f ca="1">IF(B123&gt;=$J$5,0,(CONTADORES!AM121-CONTADORES!AM120)+(CONTADORES!M121-CONTADORES!M120))</f>
        <v>6.6999999999970896</v>
      </c>
      <c r="AI123" s="1397">
        <f ca="1">IF(B123&gt;=$J$5,0,(CONTADORES!AK121-CONTADORES!AK120)+(CONTADORES!O121-CONTADORES!O120))</f>
        <v>35.400000000001455</v>
      </c>
      <c r="AJ123" s="1397">
        <f ca="1">IF(B123&gt;=$J$5,0,(CONTADORES!AI121-CONTADORES!AI120))</f>
        <v>6.2000000000116415</v>
      </c>
      <c r="AK123" s="1397">
        <f ca="1">IF(B123&gt;=$J$5,0,(CONTADORES!Q121-CONTADORES!Q120))</f>
        <v>13</v>
      </c>
      <c r="AL123" s="1397">
        <f t="shared" ca="1" si="46"/>
        <v>33.900000000063301</v>
      </c>
      <c r="AM123" s="1397">
        <f ca="1">IF(B123&gt;=$J$5,0,(((CONTADORES!F121-CONTADORES!F120)+(CONTADORES!AQ121-CONTADORES!AQ120))))-BS123-AF123-AN123-BV123-BY123-CD123-CB123</f>
        <v>9.6929999999750667</v>
      </c>
      <c r="AN123" s="1397">
        <f ca="1">IF(B123&gt;=$J$5,0,(CONTADORES!AX121-CONTADORES!AX120)+(CONTADORES!AZ121-CONTADORES!AZ120)+(CONTADORES!BE121-CONTADORES!BE120))-CB123</f>
        <v>2.3940000000001822</v>
      </c>
      <c r="AO123" s="1399">
        <f ca="1">IF(B123&gt;=$J$5,0,(CONTADORES!AC121-CONTADORES!AC120))</f>
        <v>154</v>
      </c>
      <c r="AP123" s="1399">
        <f ca="1">IF(B123&gt;=$J$5,0,(CONTADORES!X121-CONTADORES!X120))</f>
        <v>73.799999999999272</v>
      </c>
      <c r="AQ123" s="1404">
        <f ca="1">IF(B123&gt;=$J$5,0,(CONTADORES!C121-CONTADORES!C120))</f>
        <v>0</v>
      </c>
      <c r="AR123" s="1399">
        <f ca="1">IF(B123&gt;=$J$5,0,(CONTADORES!BC121-CONTADORES!BC120))</f>
        <v>0</v>
      </c>
      <c r="AS123" s="1438">
        <f ca="1">IF(B123&gt;=$J$5,0,CONTADORES!S121-CONTADORES!S120)</f>
        <v>15</v>
      </c>
      <c r="AT123" s="1438">
        <f ca="1">IF(B123&gt;=$J$5,0,(CONTADORES!U121-CONTADORES!U120)+(CONTADORES!AG121-CONTADORES!AG120))</f>
        <v>2.5</v>
      </c>
      <c r="AU123" s="1409">
        <f>CONTADORES!I121-CONTADORES!I120</f>
        <v>81.099999999976717</v>
      </c>
      <c r="AV123" s="1438">
        <f>CONTADORES!AV121-CONTADORES!AV120</f>
        <v>68.5</v>
      </c>
      <c r="AW123" s="1438">
        <f ca="1">IF(B123&gt;=$J$5,0,(CONTADORES!N121-CONTADORES!N120)+(CONTADORES!AN121-CONTADORES!AN120))</f>
        <v>2.6000000000021828</v>
      </c>
      <c r="AX123" s="1438">
        <f ca="1">IF(B123&gt;=$J$5,0,(CONTADORES!P121-CONTADORES!P120)+(CONTADORES!AL121-CONTADORES!AL120))</f>
        <v>30.30000000000291</v>
      </c>
      <c r="AY123" s="1438">
        <f ca="1">IF(B123&gt;=$J$5,0,(CONTADORES!AJ121-CONTADORES!AJ120))</f>
        <v>4.5999999999985448</v>
      </c>
      <c r="AZ123" s="1438">
        <f ca="1">IF(B123&gt;=$J$5,0,(CONTADORES!R121-CONTADORES!R120))</f>
        <v>11</v>
      </c>
      <c r="BA123" s="1409">
        <f t="shared" ca="1" si="47"/>
        <v>13.524000000019271</v>
      </c>
      <c r="BB123" s="1409">
        <f ca="1">IF(B122&gt;=$J$5,0,(((CONTADORES!G121-CONTADORES!G120)+(CONTADORES!AR121-CONTADORES!AR120))))-AV123-BC123-BT123-BW123-BZ123-CE123</f>
        <v>8.6359999999998518</v>
      </c>
      <c r="BC123" s="1438">
        <f ca="1">IF(B123&gt;=$J$5,0,(CONTADORES!AY121-CONTADORES!AY120)+(CONTADORES!BA121-CONTADORES!BA120)+(CONTADORES!BF121-CONTADORES!BF120))-CC123</f>
        <v>0.52399999999978397</v>
      </c>
      <c r="BD123" s="1397">
        <f t="shared" ca="1" si="48"/>
        <v>227.79999999999927</v>
      </c>
      <c r="BE123" s="1398">
        <f ca="1">IF($B123&gt;=$J$5,0,CONTADORES!$BG121)</f>
        <v>5985.85</v>
      </c>
      <c r="BF123" s="1397">
        <f ca="1">IF($B123&gt;=$J$5,0,CONTADORES!$BH121)</f>
        <v>32664.349122807002</v>
      </c>
      <c r="BG123" s="1397">
        <f ca="1">IF($B123&gt;=$J$5,0,CONTADORES!$BJ121)</f>
        <v>5380.24</v>
      </c>
      <c r="BH123" s="1397">
        <f ca="1">IF(B123&gt;=$J$5,0,((CONTADORES!BK121-CONTADORES!BK120)/1000))</f>
        <v>1.4510000000000001</v>
      </c>
      <c r="BI123" s="1397">
        <f ca="1">IF(C123&gt;=$J$5,0,((CONTADORES!BL121-CONTADORES!BL120)/1000))</f>
        <v>1.419</v>
      </c>
      <c r="BJ123" s="1397">
        <f ca="1">IF(C123&gt;=$J$5,0,((CONTADORES!BM121-CONTADORES!BM120)/1000))</f>
        <v>0</v>
      </c>
      <c r="BK123" s="1397">
        <f ca="1">IF(D123&gt;=$J$5,0,((CONTADORES!BN121-CONTADORES!BN120)/1000))</f>
        <v>0</v>
      </c>
      <c r="BL123" s="1399">
        <f t="shared" ca="1" si="49"/>
        <v>1.4510000000000001</v>
      </c>
      <c r="BM123" s="1399">
        <f t="shared" ca="1" si="50"/>
        <v>1.419</v>
      </c>
      <c r="BN123" s="1398">
        <f ca="1">IF(W123&gt;=$J$5,0,CONTADORES!$BO121)</f>
        <v>129.94017089930799</v>
      </c>
      <c r="BO123" s="1397">
        <f ca="1">IF(W123&gt;=$J$5,0,CONTADORES!$BP121)</f>
        <v>44.137556039713161</v>
      </c>
      <c r="BP123" s="1397">
        <f ca="1">IF(W123&gt;=$J$5,0,CONTADORES!$BQ121)</f>
        <v>658.16644766729155</v>
      </c>
      <c r="BQ123" s="1397">
        <f ca="1">IF(B123&gt;=$J$5,0,(CONTADORES!AS121-CONTADORES!AS120))</f>
        <v>4.4000000000014552</v>
      </c>
      <c r="BR123" s="1397">
        <f ca="1">IF(C123&gt;=$J$5,0,(CONTADORES!AT121-CONTADORES!AT120))</f>
        <v>0</v>
      </c>
      <c r="BS123" s="1409">
        <f ca="1">IF(B123&gt;=$J$5,0,CONTADORES!BR121-CONTADORES!BR120)/1000</f>
        <v>3.2879999999999998</v>
      </c>
      <c r="BT123" s="1438">
        <f ca="1">IF(B123&gt;=$J$5,0,CONTADORES!BS121-CONTADORES!BS120)</f>
        <v>1</v>
      </c>
      <c r="BU123" s="1438">
        <f ca="1">IF(B123&gt;=$J$5,0,CONTADORES!BT121-CONTADORES!BT120)</f>
        <v>24</v>
      </c>
      <c r="BV123" s="1438">
        <f ca="1">IF(B123&gt;=$J$5,0,CONTADORES!BU121-CONTADORES!BU120)/1000</f>
        <v>0</v>
      </c>
      <c r="BW123" s="1438">
        <f ca="1">IF(B123&gt;=$J$5,0,CONTADORES!BV121-CONTADORES!BV120)/1000</f>
        <v>0</v>
      </c>
      <c r="BX123" s="1438">
        <f ca="1">IF(B123&gt;=$J$5,0,CONTADORES!BW121-CONTADORES!BW120)</f>
        <v>0</v>
      </c>
      <c r="BY123" s="1438">
        <f ca="1">IF(B123&gt;=$J$5,0,CONTADORES!BX121-CONTADORES!BX120)/1000</f>
        <v>4.9189999999999996</v>
      </c>
      <c r="BZ123" s="1438">
        <f ca="1">IF(B123&gt;=$J$5,0,CONTADORES!BY121-CONTADORES!BY120)/1000</f>
        <v>0.74</v>
      </c>
      <c r="CA123" s="1438">
        <f ca="1">IF(B123&gt;=$J$5,0,CONTADORES!BZ121-CONTADORES!BZ120)</f>
        <v>24</v>
      </c>
      <c r="CB123" s="1409">
        <f ca="1">IF(B123&gt;=$J$5,0,(CONTADORES!CC121-CONTADORES!CC120)+(CONTADORES!CE121-CONTADORES!CE120))/1000</f>
        <v>1.4059999999999999</v>
      </c>
      <c r="CC123" s="1438">
        <f ca="1">IF(B123&gt;=$J$5,0,(CONTADORES!CD121-CONTADORES!CD120)+(CONTADORES!CF121-CONTADORES!CF120))/1000</f>
        <v>0.77600000000000002</v>
      </c>
      <c r="CD123" s="1409">
        <f ca="1">IF(B123&gt;=$J$5,0,CONTADORES!CA121-CONTADORES!CA120)</f>
        <v>6.7999999999992724</v>
      </c>
      <c r="CE123" s="1438">
        <f ca="1">IF(B123&gt;=$J$5,0,CONTADORES!CB121-CONTADORES!CB120)</f>
        <v>4.5</v>
      </c>
      <c r="CF123" s="1438">
        <f t="shared" ca="1" si="51"/>
        <v>11.646499999986805</v>
      </c>
      <c r="CG123" s="1438">
        <f t="shared" ca="1" si="52"/>
        <v>8.8179999999999268</v>
      </c>
      <c r="CH123" s="1438">
        <f t="shared" ca="1" si="53"/>
        <v>4.8464999999875333</v>
      </c>
      <c r="CI123" s="1438">
        <f t="shared" ca="1" si="54"/>
        <v>0.95760000000007295</v>
      </c>
      <c r="CJ123" s="1438">
        <f t="shared" ca="1" si="55"/>
        <v>4.8464999999875333</v>
      </c>
      <c r="CK123" s="1438">
        <f t="shared" ca="1" si="56"/>
        <v>1.4364000000001091</v>
      </c>
      <c r="CL123" s="1438">
        <f t="shared" ca="1" si="57"/>
        <v>2.3636000000000728</v>
      </c>
      <c r="CM123" s="1438">
        <f t="shared" ca="1" si="58"/>
        <v>4.3179999999999259</v>
      </c>
      <c r="CN123" s="1438">
        <f ca="1">IF(B123&gt;=$J$5,0,CONTADORES!CB121-CONTADORES!CB120)</f>
        <v>4.5</v>
      </c>
      <c r="CO123" s="1438">
        <f t="shared" ca="1" si="59"/>
        <v>4.3179999999999259</v>
      </c>
      <c r="CP123" s="1438">
        <f t="shared" ca="1" si="60"/>
        <v>0.26199999999989199</v>
      </c>
      <c r="CQ123" s="1438">
        <f t="shared" ca="1" si="61"/>
        <v>0.26199999999989199</v>
      </c>
      <c r="CR123" s="1438">
        <f t="shared" ca="1" si="62"/>
        <v>1.0379999999998919</v>
      </c>
      <c r="CS123" s="1439">
        <f ca="1">IF($B123&gt;=$J$5,0,CONTADORES!$BI121)</f>
        <v>8053.07625386777</v>
      </c>
      <c r="CT123" s="1334">
        <f>CONTADORES!E121</f>
        <v>0</v>
      </c>
      <c r="CU123" s="1334">
        <f>CONTADORES!CG121</f>
        <v>0</v>
      </c>
    </row>
    <row r="124" spans="2:99">
      <c r="B124" s="390">
        <v>45040</v>
      </c>
      <c r="C124" s="198">
        <f t="shared" ca="1" si="35"/>
        <v>302</v>
      </c>
      <c r="D124" s="196">
        <f ca="1">'CALCULO DE GAS'!D129</f>
        <v>5.0659355915591222</v>
      </c>
      <c r="E124" s="196">
        <f ca="1">IF(B124&gt;=$J$5,0,(CONTADORES!$AD122-CONTADORES!$AD121)-$H124)</f>
        <v>24</v>
      </c>
      <c r="F124" s="198">
        <f t="shared" ca="1" si="67"/>
        <v>0</v>
      </c>
      <c r="G124" s="196">
        <f ca="1">IF(B124&gt;=$J$5,0,CONTADORES!$AF122-CONTADORES!$AF121)</f>
        <v>0</v>
      </c>
      <c r="H124" s="1396">
        <f ca="1">IF(G124&gt;0,CONTADORES!$AE122-CONTADORES!$AE121,0)</f>
        <v>0</v>
      </c>
      <c r="I124" s="199">
        <f ca="1">IF(B124&gt;=$J$5,0,CONTADORES!$AB122-CONTADORES!$AB121)</f>
        <v>302</v>
      </c>
      <c r="J124" s="198">
        <f t="shared" ca="1" si="36"/>
        <v>153</v>
      </c>
      <c r="K124" s="196">
        <f ca="1">'CALCULO DE GAS'!E129</f>
        <v>3.8196781796302757</v>
      </c>
      <c r="L124" s="1396">
        <f ca="1">IF(B124&gt;=$J$5,0,(CONTADORES!$Y122-CONTADORES!$Y121)-$O124)</f>
        <v>24</v>
      </c>
      <c r="M124" s="1396">
        <f t="shared" ca="1" si="66"/>
        <v>0</v>
      </c>
      <c r="N124" s="1396">
        <f ca="1">IF(B124&gt;=$J$5,0,CONTADORES!$AA122-CONTADORES!$AA121)</f>
        <v>0</v>
      </c>
      <c r="O124" s="1396">
        <f ca="1">IF(N124&gt;0,CONTADORES!$Z122-CONTADORES!$Z121,0)</f>
        <v>0</v>
      </c>
      <c r="P124" s="202">
        <f ca="1">IF(B124&gt;=$J$5,0,CONTADORES!$W122-CONTADORES!$W121)</f>
        <v>153</v>
      </c>
      <c r="Q124" s="202">
        <f ca="1">IF(B124&gt;=$J$5,0,CONTADORES!$B122-CONTADORES!$B121)</f>
        <v>0</v>
      </c>
      <c r="R124" s="196">
        <f t="shared" ca="1" si="37"/>
        <v>0</v>
      </c>
      <c r="S124" s="11">
        <f ca="1">IF(B124&gt;=$J$5,0,CONTADORES!$D122-CONTADORES!$D121)</f>
        <v>0</v>
      </c>
      <c r="T124" s="198">
        <f ca="1">IF(B124&gt;=$J$5,0,CONTADORES!$BB122-CONTADORES!$BB121)</f>
        <v>0</v>
      </c>
      <c r="U124" s="196">
        <f t="shared" ca="1" si="65"/>
        <v>0</v>
      </c>
      <c r="V124" s="199">
        <f ca="1">IF(B124&gt;=$J$5,0,CONTADORES!$BD122-CONTADORES!$BD121)</f>
        <v>0</v>
      </c>
      <c r="W124" s="1397">
        <f t="shared" ca="1" si="39"/>
        <v>455</v>
      </c>
      <c r="X124" s="1397">
        <f t="shared" ca="1" si="40"/>
        <v>0</v>
      </c>
      <c r="Y124" s="1398">
        <f t="shared" ca="1" si="41"/>
        <v>455</v>
      </c>
      <c r="Z124" s="1398">
        <f t="shared" ca="1" si="42"/>
        <v>8.8856137711893979</v>
      </c>
      <c r="AA124" s="1398">
        <f t="shared" ca="1" si="43"/>
        <v>0</v>
      </c>
      <c r="AB124" s="1398">
        <f t="shared" ca="1" si="44"/>
        <v>48</v>
      </c>
      <c r="AC124" s="1397">
        <f t="shared" ca="1" si="45"/>
        <v>0</v>
      </c>
      <c r="AD124" s="1438">
        <f ca="1">IF(B124&gt;=$J$5,0,CONTADORES!H122-CONTADORES!H121)</f>
        <v>163.09999999997672</v>
      </c>
      <c r="AE124" s="1402">
        <f ca="1">IF(B124&gt;=$J$5,0,CONTADORES!J122-CONTADORES!J121)</f>
        <v>24</v>
      </c>
      <c r="AF124" s="1438">
        <f ca="1">IF(B124&gt;=$J$5,0,CONTADORES!AU122-CONTADORES!AU121)</f>
        <v>154.5</v>
      </c>
      <c r="AG124" s="1397">
        <f ca="1">IF(B124&gt;=$J$5,0,CONTADORES!AW122-CONTADORES!AW121)</f>
        <v>24</v>
      </c>
      <c r="AH124" s="1397">
        <f ca="1">IF(B124&gt;=$J$5,0,(CONTADORES!AM122-CONTADORES!AM121)+(CONTADORES!M122-CONTADORES!M121))</f>
        <v>18.80000000000291</v>
      </c>
      <c r="AI124" s="1397">
        <f ca="1">IF(B124&gt;=$J$5,0,(CONTADORES!AK122-CONTADORES!AK121)+(CONTADORES!O122-CONTADORES!O121))</f>
        <v>34.900000000001455</v>
      </c>
      <c r="AJ124" s="1397">
        <f ca="1">IF(B124&gt;=$J$5,0,(CONTADORES!AI122-CONTADORES!AI121))</f>
        <v>5.8999999999941792</v>
      </c>
      <c r="AK124" s="1397">
        <f ca="1">IF(B124&gt;=$J$5,0,(CONTADORES!Q122-CONTADORES!Q121))</f>
        <v>14.299999999988358</v>
      </c>
      <c r="AL124" s="1397">
        <f t="shared" ca="1" si="46"/>
        <v>35.400000000034197</v>
      </c>
      <c r="AM124" s="1397">
        <f ca="1">IF(B124&gt;=$J$5,0,(((CONTADORES!F122-CONTADORES!F121)+(CONTADORES!AQ122-CONTADORES!AQ121))))-BS124-AF124-AN124-BV124-BY124-CD124-CB124</f>
        <v>10.152000000002342</v>
      </c>
      <c r="AN124" s="1397">
        <f ca="1">IF(B124&gt;=$J$5,0,(CONTADORES!AX122-CONTADORES!AX121)+(CONTADORES!AZ122-CONTADORES!AZ121)+(CONTADORES!BE122-CONTADORES!BE121))-CB124</f>
        <v>3.0119999999998361</v>
      </c>
      <c r="AO124" s="1399">
        <f ca="1">IF(B124&gt;=$J$5,0,(CONTADORES!AC122-CONTADORES!AC121))</f>
        <v>154</v>
      </c>
      <c r="AP124" s="1399">
        <f ca="1">IF(B124&gt;=$J$5,0,(CONTADORES!X122-CONTADORES!X121))</f>
        <v>76</v>
      </c>
      <c r="AQ124" s="1404">
        <f ca="1">IF(B124&gt;=$J$5,0,(CONTADORES!C122-CONTADORES!C121))</f>
        <v>0</v>
      </c>
      <c r="AR124" s="1399">
        <f ca="1">IF(B124&gt;=$J$5,0,(CONTADORES!BC122-CONTADORES!BC121))</f>
        <v>0</v>
      </c>
      <c r="AS124" s="1438">
        <f ca="1">IF(B124&gt;=$J$5,0,CONTADORES!S122-CONTADORES!S121)</f>
        <v>15</v>
      </c>
      <c r="AT124" s="1438">
        <f ca="1">IF(B124&gt;=$J$5,0,(CONTADORES!U122-CONTADORES!U121)+(CONTADORES!AG122-CONTADORES!AG121))</f>
        <v>2.4000000000014552</v>
      </c>
      <c r="AU124" s="1409">
        <f>CONTADORES!I122-CONTADORES!I121</f>
        <v>82.400000000023283</v>
      </c>
      <c r="AV124" s="1438">
        <f>CONTADORES!AV122-CONTADORES!AV121</f>
        <v>66.5</v>
      </c>
      <c r="AW124" s="1438">
        <f ca="1">IF(B124&gt;=$J$5,0,(CONTADORES!N122-CONTADORES!N121)+(CONTADORES!AN122-CONTADORES!AN121))</f>
        <v>7.3999999999978172</v>
      </c>
      <c r="AX124" s="1438">
        <f ca="1">IF(B124&gt;=$J$5,0,(CONTADORES!P122-CONTADORES!P121)+(CONTADORES!AL122-CONTADORES!AL121))</f>
        <v>29.299999999995634</v>
      </c>
      <c r="AY124" s="1438">
        <f ca="1">IF(B124&gt;=$J$5,0,(CONTADORES!AJ122-CONTADORES!AJ121))</f>
        <v>4.3000000000029104</v>
      </c>
      <c r="AZ124" s="1438">
        <f ca="1">IF(B124&gt;=$J$5,0,(CONTADORES!R122-CONTADORES!R121))</f>
        <v>11</v>
      </c>
      <c r="BA124" s="1409">
        <f t="shared" ca="1" si="47"/>
        <v>10.419999999980689</v>
      </c>
      <c r="BB124" s="1409">
        <f ca="1">IF(B123&gt;=$J$5,0,(((CONTADORES!G122-CONTADORES!G121)+(CONTADORES!AR122-CONTADORES!AR121))))-AV124-BC124-BT124-BW124-BZ124-CE124</f>
        <v>11.575999999999993</v>
      </c>
      <c r="BC124" s="1438">
        <f ca="1">IF(B124&gt;=$J$5,0,(CONTADORES!AY122-CONTADORES!AY121)+(CONTADORES!BA122-CONTADORES!BA121)+(CONTADORES!BF122-CONTADORES!BF121))-CC124</f>
        <v>0.8499999999998249</v>
      </c>
      <c r="BD124" s="1397">
        <f t="shared" ca="1" si="48"/>
        <v>230</v>
      </c>
      <c r="BE124" s="1398">
        <f ca="1">IF($B124&gt;=$J$5,0,CONTADORES!$BG122)</f>
        <v>5797.38</v>
      </c>
      <c r="BF124" s="1397">
        <f ca="1">IF($B124&gt;=$J$5,0,CONTADORES!$BH122)</f>
        <v>31199.435087719299</v>
      </c>
      <c r="BG124" s="1397">
        <f ca="1">IF($B124&gt;=$J$5,0,CONTADORES!$BJ122)</f>
        <v>4739.2</v>
      </c>
      <c r="BH124" s="1397">
        <f ca="1">IF(B124&gt;=$J$5,0,((CONTADORES!BK122-CONTADORES!BK121)/1000))</f>
        <v>1.464</v>
      </c>
      <c r="BI124" s="1397">
        <f ca="1">IF(C124&gt;=$J$5,0,((CONTADORES!BL122-CONTADORES!BL121)/1000))</f>
        <v>1.415</v>
      </c>
      <c r="BJ124" s="1397">
        <f ca="1">IF(C124&gt;=$J$5,0,((CONTADORES!BM122-CONTADORES!BM121)/1000))</f>
        <v>0</v>
      </c>
      <c r="BK124" s="1397">
        <f ca="1">IF(D124&gt;=$J$5,0,((CONTADORES!BN122-CONTADORES!BN121)/1000))</f>
        <v>0</v>
      </c>
      <c r="BL124" s="1399">
        <f t="shared" ca="1" si="49"/>
        <v>1.464</v>
      </c>
      <c r="BM124" s="1399">
        <f t="shared" ca="1" si="50"/>
        <v>1.415</v>
      </c>
      <c r="BN124" s="1398">
        <f ca="1">IF(W124&gt;=$J$5,0,CONTADORES!$BO122)</f>
        <v>129.431980553985</v>
      </c>
      <c r="BO124" s="1397">
        <f ca="1">IF(W124&gt;=$J$5,0,CONTADORES!$BP122)</f>
        <v>43.380620366443516</v>
      </c>
      <c r="BP124" s="1397">
        <f ca="1">IF(W124&gt;=$J$5,0,CONTADORES!$BQ122)</f>
        <v>656.97515090355535</v>
      </c>
      <c r="BQ124" s="1397">
        <f ca="1">IF(B124&gt;=$J$5,0,(CONTADORES!AS122-CONTADORES!AS121))</f>
        <v>5.1999999999970896</v>
      </c>
      <c r="BR124" s="1397">
        <f ca="1">IF(C124&gt;=$J$5,0,(CONTADORES!AT122-CONTADORES!AT121))</f>
        <v>0</v>
      </c>
      <c r="BS124" s="1409">
        <f ca="1">IF(B124&gt;=$J$5,0,CONTADORES!BR122-CONTADORES!BR121)/1000</f>
        <v>3.12</v>
      </c>
      <c r="BT124" s="1438">
        <f ca="1">IF(B124&gt;=$J$5,0,CONTADORES!BS122-CONTADORES!BS121)</f>
        <v>1</v>
      </c>
      <c r="BU124" s="1438">
        <f ca="1">IF(B124&gt;=$J$5,0,CONTADORES!BT122-CONTADORES!BT121)</f>
        <v>24</v>
      </c>
      <c r="BV124" s="1438">
        <f ca="1">IF(B124&gt;=$J$5,0,CONTADORES!BU122-CONTADORES!BU121)/1000</f>
        <v>0</v>
      </c>
      <c r="BW124" s="1438">
        <f ca="1">IF(B124&gt;=$J$5,0,CONTADORES!BV122-CONTADORES!BV121)/1000</f>
        <v>0</v>
      </c>
      <c r="BX124" s="1438">
        <f ca="1">IF(B124&gt;=$J$5,0,CONTADORES!BW122-CONTADORES!BW121)</f>
        <v>0</v>
      </c>
      <c r="BY124" s="1438">
        <f ca="1">IF(B124&gt;=$J$5,0,CONTADORES!BX122-CONTADORES!BX121)/1000</f>
        <v>4.8979999999999997</v>
      </c>
      <c r="BZ124" s="1438">
        <f ca="1">IF(B124&gt;=$J$5,0,CONTADORES!BY122-CONTADORES!BY121)/1000</f>
        <v>0.77400000000000002</v>
      </c>
      <c r="CA124" s="1438">
        <f ca="1">IF(B124&gt;=$J$5,0,CONTADORES!BZ122-CONTADORES!BZ121)</f>
        <v>23.540000000000873</v>
      </c>
      <c r="CB124" s="1409">
        <f ca="1">IF(B124&gt;=$J$5,0,(CONTADORES!CC122-CONTADORES!CC121)+(CONTADORES!CE122-CONTADORES!CE121))/1000</f>
        <v>1.4179999999999999</v>
      </c>
      <c r="CC124" s="1438">
        <f ca="1">IF(B124&gt;=$J$5,0,(CONTADORES!CD122-CONTADORES!CD121)+(CONTADORES!CF122-CONTADORES!CF121))/1000</f>
        <v>0.78</v>
      </c>
      <c r="CD124" s="1409">
        <f ca="1">IF(B124&gt;=$J$5,0,CONTADORES!CA122-CONTADORES!CA121)</f>
        <v>5.5</v>
      </c>
      <c r="CE124" s="1438">
        <f ca="1">IF(B124&gt;=$J$5,0,CONTADORES!CB122-CONTADORES!CB121)</f>
        <v>3.6999999999998181</v>
      </c>
      <c r="CF124" s="1438">
        <f t="shared" ca="1" si="51"/>
        <v>10.576000000001171</v>
      </c>
      <c r="CG124" s="1438">
        <f t="shared" ca="1" si="52"/>
        <v>9.4879999999998148</v>
      </c>
      <c r="CH124" s="1438">
        <f t="shared" ca="1" si="53"/>
        <v>5.0760000000011711</v>
      </c>
      <c r="CI124" s="1438">
        <f t="shared" ca="1" si="54"/>
        <v>1.2047999999999346</v>
      </c>
      <c r="CJ124" s="1438">
        <f t="shared" ca="1" si="55"/>
        <v>5.0760000000011711</v>
      </c>
      <c r="CK124" s="1438">
        <f t="shared" ca="1" si="56"/>
        <v>1.8071999999999016</v>
      </c>
      <c r="CL124" s="1438">
        <f t="shared" ca="1" si="57"/>
        <v>2.6227999999999345</v>
      </c>
      <c r="CM124" s="1438">
        <f t="shared" ca="1" si="58"/>
        <v>5.7879999999999967</v>
      </c>
      <c r="CN124" s="1438">
        <f ca="1">IF(B124&gt;=$J$5,0,CONTADORES!CB122-CONTADORES!CB121)</f>
        <v>3.6999999999998181</v>
      </c>
      <c r="CO124" s="1438">
        <f t="shared" ca="1" si="59"/>
        <v>5.7879999999999967</v>
      </c>
      <c r="CP124" s="1438">
        <f t="shared" ca="1" si="60"/>
        <v>0.42499999999991245</v>
      </c>
      <c r="CQ124" s="1438">
        <f t="shared" ca="1" si="61"/>
        <v>0.42499999999991245</v>
      </c>
      <c r="CR124" s="1438">
        <f t="shared" ca="1" si="62"/>
        <v>1.2049999999999126</v>
      </c>
      <c r="CS124" s="1439">
        <f ca="1">IF($B124&gt;=$J$5,0,CONTADORES!$BI122)</f>
        <v>10028.583781802899</v>
      </c>
      <c r="CT124" s="1334">
        <f>CONTADORES!E122</f>
        <v>0</v>
      </c>
      <c r="CU124" s="1334">
        <f>CONTADORES!CG122</f>
        <v>0</v>
      </c>
    </row>
    <row r="125" spans="2:99">
      <c r="B125" s="390">
        <v>45041</v>
      </c>
      <c r="C125" s="198">
        <f t="shared" ca="1" si="35"/>
        <v>291</v>
      </c>
      <c r="D125" s="196">
        <f ca="1">'CALCULO DE GAS'!D130</f>
        <v>4.9739300108126976</v>
      </c>
      <c r="E125" s="196">
        <f ca="1">IF(B125&gt;=$J$5,0,(CONTADORES!$AD123-CONTADORES!$AD122)-$H125)</f>
        <v>24</v>
      </c>
      <c r="F125" s="198">
        <f t="shared" ca="1" si="67"/>
        <v>0</v>
      </c>
      <c r="G125" s="196">
        <f ca="1">IF(B125&gt;=$J$5,0,CONTADORES!$AF123-CONTADORES!$AF122)</f>
        <v>0</v>
      </c>
      <c r="H125" s="1396">
        <f ca="1">IF(G125&gt;0,CONTADORES!$AE123-CONTADORES!$AE122,0)</f>
        <v>0</v>
      </c>
      <c r="I125" s="199">
        <f ca="1">IF(B125&gt;=$J$5,0,CONTADORES!$AB123-CONTADORES!$AB122)</f>
        <v>291</v>
      </c>
      <c r="J125" s="198">
        <f t="shared" ca="1" si="36"/>
        <v>157</v>
      </c>
      <c r="K125" s="196">
        <f ca="1">'CALCULO DE GAS'!E130</f>
        <v>3.8531347544471579</v>
      </c>
      <c r="L125" s="1396">
        <f ca="1">IF(B125&gt;=$J$5,0,(CONTADORES!$Y123-CONTADORES!$Y122)-$O125)</f>
        <v>24</v>
      </c>
      <c r="M125" s="1396">
        <f t="shared" ca="1" si="66"/>
        <v>0</v>
      </c>
      <c r="N125" s="1396">
        <f ca="1">IF(B125&gt;=$J$5,0,CONTADORES!$AA123-CONTADORES!$AA122)</f>
        <v>0</v>
      </c>
      <c r="O125" s="1396">
        <f ca="1">IF(N125&gt;0,CONTADORES!$Z123-CONTADORES!$Z122,0)</f>
        <v>0</v>
      </c>
      <c r="P125" s="202">
        <f ca="1">IF(B125&gt;=$J$5,0,CONTADORES!$W123-CONTADORES!$W122)</f>
        <v>157</v>
      </c>
      <c r="Q125" s="202">
        <f ca="1">IF(B125&gt;=$J$5,0,CONTADORES!$B123-CONTADORES!$B122)</f>
        <v>0.38200000000006185</v>
      </c>
      <c r="R125" s="196">
        <f t="shared" ca="1" si="37"/>
        <v>45.840000000007421</v>
      </c>
      <c r="S125" s="11">
        <f ca="1">IF(B125&gt;=$J$5,0,CONTADORES!$D123-CONTADORES!$D122)</f>
        <v>0.6999999999998181</v>
      </c>
      <c r="T125" s="198">
        <f ca="1">IF(B125&gt;=$J$5,0,CONTADORES!$BB123-CONTADORES!$BB122)</f>
        <v>0.69000000000005457</v>
      </c>
      <c r="U125" s="196">
        <f t="shared" ca="1" si="65"/>
        <v>82.800000000006548</v>
      </c>
      <c r="V125" s="199">
        <f ca="1">IF(B125&gt;=$J$5,0,CONTADORES!$BD123-CONTADORES!$BD122)</f>
        <v>0.8000000000001819</v>
      </c>
      <c r="W125" s="1397">
        <f t="shared" ca="1" si="39"/>
        <v>448</v>
      </c>
      <c r="X125" s="1397">
        <f t="shared" ca="1" si="40"/>
        <v>1.0720000000001164</v>
      </c>
      <c r="Y125" s="1398">
        <f t="shared" ca="1" si="41"/>
        <v>449.07200000000012</v>
      </c>
      <c r="Z125" s="1398">
        <f t="shared" ca="1" si="42"/>
        <v>8.8270647652598555</v>
      </c>
      <c r="AA125" s="1398">
        <f t="shared" ca="1" si="43"/>
        <v>128.64000000001397</v>
      </c>
      <c r="AB125" s="1398">
        <f t="shared" ca="1" si="44"/>
        <v>48</v>
      </c>
      <c r="AC125" s="1397">
        <f t="shared" ca="1" si="45"/>
        <v>1.5</v>
      </c>
      <c r="AD125" s="1438">
        <f ca="1">IF(B125&gt;=$J$5,0,CONTADORES!H123-CONTADORES!H122)</f>
        <v>168.5</v>
      </c>
      <c r="AE125" s="1402">
        <f ca="1">IF(B125&gt;=$J$5,0,CONTADORES!J123-CONTADORES!J122)</f>
        <v>24</v>
      </c>
      <c r="AF125" s="1438">
        <f ca="1">IF(B125&gt;=$J$5,0,CONTADORES!AU123-CONTADORES!AU122)</f>
        <v>159</v>
      </c>
      <c r="AG125" s="1397">
        <f ca="1">IF(B125&gt;=$J$5,0,CONTADORES!AW123-CONTADORES!AW122)</f>
        <v>24</v>
      </c>
      <c r="AH125" s="1397">
        <f ca="1">IF(B125&gt;=$J$5,0,(CONTADORES!AM123-CONTADORES!AM122)+(CONTADORES!M123-CONTADORES!M122))</f>
        <v>5</v>
      </c>
      <c r="AI125" s="1397">
        <f ca="1">IF(B125&gt;=$J$5,0,(CONTADORES!AK123-CONTADORES!AK122)+(CONTADORES!O123-CONTADORES!O122))</f>
        <v>36.099999999991269</v>
      </c>
      <c r="AJ125" s="1397">
        <f ca="1">IF(B125&gt;=$J$5,0,(CONTADORES!AI123-CONTADORES!AI122))</f>
        <v>5.3000000000029104</v>
      </c>
      <c r="AK125" s="1397">
        <f ca="1">IF(B125&gt;=$J$5,0,(CONTADORES!Q123-CONTADORES!Q122))</f>
        <v>11.700000000011642</v>
      </c>
      <c r="AL125" s="1397">
        <f t="shared" ca="1" si="46"/>
        <v>34.071999999996535</v>
      </c>
      <c r="AM125" s="1397">
        <f ca="1">IF(B125&gt;=$J$5,0,(((CONTADORES!F123-CONTADORES!F122)+(CONTADORES!AQ123-CONTADORES!AQ122))))-BS125-AF125-AN125-BV125-BY125-CD125-CB125</f>
        <v>8.8559999999976515</v>
      </c>
      <c r="AN125" s="1397">
        <f ca="1">IF(B125&gt;=$J$5,0,(CONTADORES!AX123-CONTADORES!AX122)+(CONTADORES!AZ123-CONTADORES!AZ122)+(CONTADORES!BE123-CONTADORES!BE122))-CB125</f>
        <v>3.3179999999998113</v>
      </c>
      <c r="AO125" s="1399">
        <f ca="1">IF(B125&gt;=$J$5,0,(CONTADORES!AC123-CONTADORES!AC122))</f>
        <v>154</v>
      </c>
      <c r="AP125" s="1399">
        <f ca="1">IF(B125&gt;=$J$5,0,(CONTADORES!X123-CONTADORES!X122))</f>
        <v>74</v>
      </c>
      <c r="AQ125" s="1404">
        <f ca="1">IF(B125&gt;=$J$5,0,(CONTADORES!C123-CONTADORES!C122))</f>
        <v>0.19200000000000728</v>
      </c>
      <c r="AR125" s="1399">
        <f ca="1">IF(B125&gt;=$J$5,0,(CONTADORES!BC123-CONTADORES!BC122))</f>
        <v>0.26600000000001955</v>
      </c>
      <c r="AS125" s="1438">
        <f ca="1">IF(B125&gt;=$J$5,0,CONTADORES!S123-CONTADORES!S122)</f>
        <v>14</v>
      </c>
      <c r="AT125" s="1438">
        <f ca="1">IF(B125&gt;=$J$5,0,(CONTADORES!U123-CONTADORES!U122)+(CONTADORES!AG123-CONTADORES!AG122))</f>
        <v>2.5999999999985448</v>
      </c>
      <c r="AU125" s="1409">
        <f>CONTADORES!I123-CONTADORES!I122</f>
        <v>84.899999999965075</v>
      </c>
      <c r="AV125" s="1438">
        <f>CONTADORES!AV123-CONTADORES!AV122</f>
        <v>69</v>
      </c>
      <c r="AW125" s="1438">
        <f ca="1">IF(B125&gt;=$J$5,0,(CONTADORES!N123-CONTADORES!N122)+(CONTADORES!AN123-CONTADORES!AN122))</f>
        <v>2</v>
      </c>
      <c r="AX125" s="1438">
        <f ca="1">IF(B125&gt;=$J$5,0,(CONTADORES!P123-CONTADORES!P122)+(CONTADORES!AL123-CONTADORES!AL122))</f>
        <v>30.30000000000291</v>
      </c>
      <c r="AY125" s="1438">
        <f ca="1">IF(B125&gt;=$J$5,0,(CONTADORES!AJ123-CONTADORES!AJ122))</f>
        <v>4.0999999999985448</v>
      </c>
      <c r="AZ125" s="1438">
        <f ca="1">IF(B125&gt;=$J$5,0,(CONTADORES!R123-CONTADORES!R122))</f>
        <v>9</v>
      </c>
      <c r="BA125" s="1409">
        <f t="shared" ca="1" si="47"/>
        <v>12.051000000033326</v>
      </c>
      <c r="BB125" s="1409">
        <f ca="1">IF(B124&gt;=$J$5,0,(((CONTADORES!G123-CONTADORES!G122)+(CONTADORES!AR123-CONTADORES!AR122))))-AV125-BC125-BT125-BW125-BZ125-CE125</f>
        <v>8.6990000000001917</v>
      </c>
      <c r="BC125" s="1438">
        <f ca="1">IF(B125&gt;=$J$5,0,(CONTADORES!AY123-CONTADORES!AY122)+(CONTADORES!BA123-CONTADORES!BA122)+(CONTADORES!BF123-CONTADORES!BF122))-CC125</f>
        <v>0.92299999999998972</v>
      </c>
      <c r="BD125" s="1397">
        <f t="shared" ca="1" si="48"/>
        <v>228.45800000000003</v>
      </c>
      <c r="BE125" s="1398">
        <f ca="1">IF($B125&gt;=$J$5,0,CONTADORES!$BG123)</f>
        <v>6134.89</v>
      </c>
      <c r="BF125" s="1397">
        <f ca="1">IF($B125&gt;=$J$5,0,CONTADORES!$BH123)</f>
        <v>31580.7368421053</v>
      </c>
      <c r="BG125" s="1397">
        <f ca="1">IF($B125&gt;=$J$5,0,CONTADORES!$BJ123)</f>
        <v>5338.3</v>
      </c>
      <c r="BH125" s="1397">
        <f ca="1">IF(B125&gt;=$J$5,0,((CONTADORES!BK123-CONTADORES!BK122)/1000))</f>
        <v>1.4570000000000001</v>
      </c>
      <c r="BI125" s="1397">
        <f ca="1">IF(C125&gt;=$J$5,0,((CONTADORES!BL123-CONTADORES!BL122)/1000))</f>
        <v>1.2370000000000001</v>
      </c>
      <c r="BJ125" s="1397">
        <f ca="1">IF(C125&gt;=$J$5,0,((CONTADORES!BM123-CONTADORES!BM122)/1000))</f>
        <v>0</v>
      </c>
      <c r="BK125" s="1397">
        <f ca="1">IF(D125&gt;=$J$5,0,((CONTADORES!BN123-CONTADORES!BN122)/1000))</f>
        <v>0</v>
      </c>
      <c r="BL125" s="1399">
        <f t="shared" ca="1" si="49"/>
        <v>1.4570000000000001</v>
      </c>
      <c r="BM125" s="1399">
        <f t="shared" ca="1" si="50"/>
        <v>1.2370000000000001</v>
      </c>
      <c r="BN125" s="1398">
        <f ca="1">IF(W125&gt;=$J$5,0,CONTADORES!$BO123)</f>
        <v>128.54187628231799</v>
      </c>
      <c r="BO125" s="1397">
        <f ca="1">IF(W125&gt;=$J$5,0,CONTADORES!$BP123)</f>
        <v>44.24261154176196</v>
      </c>
      <c r="BP125" s="1397">
        <f ca="1">IF(W125&gt;=$J$5,0,CONTADORES!$BQ123)</f>
        <v>660.39790557230572</v>
      </c>
      <c r="BQ125" s="1397">
        <f ca="1">IF(B125&gt;=$J$5,0,(CONTADORES!AS123-CONTADORES!AS122))</f>
        <v>4.8000000000029104</v>
      </c>
      <c r="BR125" s="1397">
        <f ca="1">IF(C125&gt;=$J$5,0,(CONTADORES!AT123-CONTADORES!AT122))</f>
        <v>0</v>
      </c>
      <c r="BS125" s="1409">
        <f ca="1">IF(B125&gt;=$J$5,0,CONTADORES!BR123-CONTADORES!BR122)/1000</f>
        <v>2.7360000000000002</v>
      </c>
      <c r="BT125" s="1438">
        <f ca="1">IF(B125&gt;=$J$5,0,CONTADORES!BS123-CONTADORES!BS122)</f>
        <v>1</v>
      </c>
      <c r="BU125" s="1438">
        <f ca="1">IF(B125&gt;=$J$5,0,CONTADORES!BT123-CONTADORES!BT122)</f>
        <v>24</v>
      </c>
      <c r="BV125" s="1438">
        <f ca="1">IF(B125&gt;=$J$5,0,CONTADORES!BU123-CONTADORES!BU122)/1000</f>
        <v>0</v>
      </c>
      <c r="BW125" s="1438">
        <f ca="1">IF(B125&gt;=$J$5,0,CONTADORES!BV123-CONTADORES!BV122)/1000</f>
        <v>0</v>
      </c>
      <c r="BX125" s="1438">
        <f ca="1">IF(B125&gt;=$J$5,0,CONTADORES!BW123-CONTADORES!BW122)</f>
        <v>0</v>
      </c>
      <c r="BY125" s="1438">
        <f ca="1">IF(B125&gt;=$J$5,0,CONTADORES!BX123-CONTADORES!BX122)/1000</f>
        <v>4.9379999999999997</v>
      </c>
      <c r="BZ125" s="1438">
        <f ca="1">IF(B125&gt;=$J$5,0,CONTADORES!BY123-CONTADORES!BY122)/1000</f>
        <v>0.67800000000000005</v>
      </c>
      <c r="CA125" s="1438">
        <f ca="1">IF(B125&gt;=$J$5,0,CONTADORES!BZ123-CONTADORES!BZ122)</f>
        <v>23.959999999999127</v>
      </c>
      <c r="CB125" s="1409">
        <f ca="1">IF(B125&gt;=$J$5,0,(CONTADORES!CC123-CONTADORES!CC122)+(CONTADORES!CE123-CONTADORES!CE122))/1000</f>
        <v>1.452</v>
      </c>
      <c r="CC125" s="1438">
        <f ca="1">IF(B125&gt;=$J$5,0,(CONTADORES!CD123-CONTADORES!CD122)+(CONTADORES!CF123-CONTADORES!CF122))/1000</f>
        <v>0.80700000000000005</v>
      </c>
      <c r="CD125" s="1409">
        <f ca="1">IF(B125&gt;=$J$5,0,CONTADORES!CA123-CONTADORES!CA122)</f>
        <v>8.1000000000003638</v>
      </c>
      <c r="CE125" s="1438">
        <f ca="1">IF(B125&gt;=$J$5,0,CONTADORES!CB123-CONTADORES!CB122)</f>
        <v>5</v>
      </c>
      <c r="CF125" s="1438">
        <f t="shared" ca="1" si="51"/>
        <v>12.527999999999189</v>
      </c>
      <c r="CG125" s="1438">
        <f t="shared" ca="1" si="52"/>
        <v>9.349500000000095</v>
      </c>
      <c r="CH125" s="1438">
        <f t="shared" ca="1" si="53"/>
        <v>4.4279999999988258</v>
      </c>
      <c r="CI125" s="1438">
        <f t="shared" ca="1" si="54"/>
        <v>1.3271999999999247</v>
      </c>
      <c r="CJ125" s="1438">
        <f t="shared" ca="1" si="55"/>
        <v>4.4279999999988258</v>
      </c>
      <c r="CK125" s="1438">
        <f t="shared" ca="1" si="56"/>
        <v>1.9907999999998867</v>
      </c>
      <c r="CL125" s="1438">
        <f t="shared" ca="1" si="57"/>
        <v>2.7791999999999248</v>
      </c>
      <c r="CM125" s="1438">
        <f t="shared" ca="1" si="58"/>
        <v>4.3495000000000958</v>
      </c>
      <c r="CN125" s="1438">
        <f ca="1">IF(B125&gt;=$J$5,0,CONTADORES!CB123-CONTADORES!CB122)</f>
        <v>5</v>
      </c>
      <c r="CO125" s="1438">
        <f t="shared" ca="1" si="59"/>
        <v>4.3495000000000958</v>
      </c>
      <c r="CP125" s="1438">
        <f t="shared" ca="1" si="60"/>
        <v>0.46149999999999486</v>
      </c>
      <c r="CQ125" s="1438">
        <f t="shared" ca="1" si="61"/>
        <v>0.46149999999999486</v>
      </c>
      <c r="CR125" s="1438">
        <f t="shared" ca="1" si="62"/>
        <v>1.2684999999999949</v>
      </c>
      <c r="CS125" s="1439">
        <f ca="1">IF($B125&gt;=$J$5,0,CONTADORES!$BI123)</f>
        <v>8926.8647690566395</v>
      </c>
      <c r="CT125" s="1334">
        <f>CONTADORES!E123</f>
        <v>0.4</v>
      </c>
      <c r="CU125" s="1334">
        <f>CONTADORES!CG123</f>
        <v>0.7</v>
      </c>
    </row>
    <row r="126" spans="2:99">
      <c r="B126" s="390">
        <v>45042</v>
      </c>
      <c r="C126" s="198">
        <f t="shared" ca="1" si="35"/>
        <v>282.13000000000466</v>
      </c>
      <c r="D126" s="196">
        <f ca="1">'CALCULO DE GAS'!D131</f>
        <v>4.8997400561563005</v>
      </c>
      <c r="E126" s="196">
        <f ca="1">IF(B126&gt;=$J$5,0,(CONTADORES!$AD124-CONTADORES!$AD123)-$H126)</f>
        <v>24</v>
      </c>
      <c r="F126" s="198">
        <f t="shared" ca="1" si="67"/>
        <v>0</v>
      </c>
      <c r="G126" s="196">
        <f ca="1">IF(B126&gt;=$J$5,0,CONTADORES!$AF124-CONTADORES!$AF123)</f>
        <v>0</v>
      </c>
      <c r="H126" s="1396">
        <f ca="1">IF(G126&gt;0,CONTADORES!$AE124-CONTADORES!$AE123,0)</f>
        <v>0</v>
      </c>
      <c r="I126" s="199">
        <f ca="1">IF(B126&gt;=$J$5,0,CONTADORES!$AB124-CONTADORES!$AB123)</f>
        <v>282.13000000000466</v>
      </c>
      <c r="J126" s="198">
        <f t="shared" ca="1" si="36"/>
        <v>148.91000000000349</v>
      </c>
      <c r="K126" s="196">
        <f ca="1">'CALCULO DE GAS'!E131</f>
        <v>3.7854688318800433</v>
      </c>
      <c r="L126" s="1396">
        <f ca="1">IF(B126&gt;=$J$5,0,(CONTADORES!$Y124-CONTADORES!$Y123)-$O126)</f>
        <v>24</v>
      </c>
      <c r="M126" s="1396">
        <f t="shared" ca="1" si="66"/>
        <v>0</v>
      </c>
      <c r="N126" s="1396">
        <f ca="1">IF(B126&gt;=$J$5,0,CONTADORES!$AA124-CONTADORES!$AA123)</f>
        <v>0</v>
      </c>
      <c r="O126" s="1396">
        <f ca="1">IF(N126&gt;0,CONTADORES!$Z124-CONTADORES!$Z123,0)</f>
        <v>0</v>
      </c>
      <c r="P126" s="202">
        <f ca="1">IF(B126&gt;=$J$5,0,CONTADORES!$W124-CONTADORES!$W123)</f>
        <v>148.91000000000349</v>
      </c>
      <c r="Q126" s="202">
        <f ca="1">IF(B126&gt;=$J$5,0,CONTADORES!$B124-CONTADORES!$B123)</f>
        <v>0</v>
      </c>
      <c r="R126" s="196">
        <f t="shared" ca="1" si="37"/>
        <v>0</v>
      </c>
      <c r="S126" s="11">
        <f ca="1">IF(B126&gt;=$J$5,0,CONTADORES!$D124-CONTADORES!$D123)</f>
        <v>0</v>
      </c>
      <c r="T126" s="198">
        <f ca="1">IF(B126&gt;=$J$5,0,CONTADORES!$BB124-CONTADORES!$BB123)</f>
        <v>0</v>
      </c>
      <c r="U126" s="196">
        <f t="shared" ca="1" si="65"/>
        <v>0</v>
      </c>
      <c r="V126" s="199">
        <f ca="1">IF(B126&gt;=$J$5,0,CONTADORES!$BD124-CONTADORES!$BD123)</f>
        <v>0</v>
      </c>
      <c r="W126" s="1397">
        <f t="shared" ca="1" si="39"/>
        <v>431.04000000000815</v>
      </c>
      <c r="X126" s="1397">
        <f t="shared" ca="1" si="40"/>
        <v>0</v>
      </c>
      <c r="Y126" s="1398">
        <f t="shared" ca="1" si="41"/>
        <v>431.04000000000815</v>
      </c>
      <c r="Z126" s="1398">
        <f t="shared" ca="1" si="42"/>
        <v>8.6852088880363443</v>
      </c>
      <c r="AA126" s="1398">
        <f t="shared" ca="1" si="43"/>
        <v>0</v>
      </c>
      <c r="AB126" s="1398">
        <f t="shared" ca="1" si="44"/>
        <v>48</v>
      </c>
      <c r="AC126" s="1397">
        <f t="shared" ca="1" si="45"/>
        <v>0</v>
      </c>
      <c r="AD126" s="1438">
        <f ca="1">IF(B126&gt;=$J$5,0,CONTADORES!H124-CONTADORES!H123)</f>
        <v>160.40000000002328</v>
      </c>
      <c r="AE126" s="1402">
        <f ca="1">IF(B126&gt;=$J$5,0,CONTADORES!J124-CONTADORES!J123)</f>
        <v>24</v>
      </c>
      <c r="AF126" s="1438">
        <f ca="1">IF(B126&gt;=$J$5,0,CONTADORES!AU124-CONTADORES!AU123)</f>
        <v>151.01000000000931</v>
      </c>
      <c r="AG126" s="1397">
        <f ca="1">IF(B126&gt;=$J$5,0,CONTADORES!AW124-CONTADORES!AW123)</f>
        <v>24</v>
      </c>
      <c r="AH126" s="1397">
        <f ca="1">IF(B126&gt;=$J$5,0,(CONTADORES!AM124-CONTADORES!AM123)+(CONTADORES!M124-CONTADORES!M123))</f>
        <v>4.5999999999985448</v>
      </c>
      <c r="AI126" s="1397">
        <f ca="1">IF(B126&gt;=$J$5,0,(CONTADORES!AK124-CONTADORES!AK123)+(CONTADORES!O124-CONTADORES!O123))</f>
        <v>34.660000000003492</v>
      </c>
      <c r="AJ126" s="1397">
        <f ca="1">IF(B126&gt;=$J$5,0,(CONTADORES!AI124-CONTADORES!AI123))</f>
        <v>6.3499999999912689</v>
      </c>
      <c r="AK126" s="1397">
        <f ca="1">IF(B126&gt;=$J$5,0,(CONTADORES!Q124-CONTADORES!Q123))</f>
        <v>11.260000000009313</v>
      </c>
      <c r="AL126" s="1397">
        <f t="shared" ca="1" si="46"/>
        <v>33.769999999993161</v>
      </c>
      <c r="AM126" s="1397">
        <f ca="1">IF(B126&gt;=$J$5,0,(((CONTADORES!F124-CONTADORES!F123)+(CONTADORES!AQ124-CONTADORES!AQ123))))-BS126-AF126-AN126-BV126-BY126-CD126-CB126</f>
        <v>8.1939999999792708</v>
      </c>
      <c r="AN126" s="1397">
        <f ca="1">IF(B126&gt;=$J$5,0,(CONTADORES!AX124-CONTADORES!AX123)+(CONTADORES!AZ124-CONTADORES!AZ123)+(CONTADORES!BE124-CONTADORES!BE123))-CB126</f>
        <v>3.5460000000003635</v>
      </c>
      <c r="AO126" s="1399">
        <f ca="1">IF(B126&gt;=$J$5,0,(CONTADORES!AC124-CONTADORES!AC123))</f>
        <v>146.26000000000931</v>
      </c>
      <c r="AP126" s="1399">
        <f ca="1">IF(B126&gt;=$J$5,0,(CONTADORES!X124-CONTADORES!X123))</f>
        <v>72.56000000000131</v>
      </c>
      <c r="AQ126" s="1404">
        <f ca="1">IF(B126&gt;=$J$5,0,(CONTADORES!C124-CONTADORES!C123))</f>
        <v>0</v>
      </c>
      <c r="AR126" s="1399">
        <f ca="1">IF(B126&gt;=$J$5,0,(CONTADORES!BC124-CONTADORES!BC123))</f>
        <v>0</v>
      </c>
      <c r="AS126" s="1438">
        <f ca="1">IF(B126&gt;=$J$5,0,CONTADORES!S124-CONTADORES!S123)</f>
        <v>15.149999999994179</v>
      </c>
      <c r="AT126" s="1438">
        <f ca="1">IF(B126&gt;=$J$5,0,(CONTADORES!U124-CONTADORES!U123)+(CONTADORES!AG124-CONTADORES!AG123))</f>
        <v>2.4700000000011642</v>
      </c>
      <c r="AU126" s="1409">
        <f>CONTADORES!I124-CONTADORES!I123</f>
        <v>80.600000000034925</v>
      </c>
      <c r="AV126" s="1438">
        <f>CONTADORES!AV124-CONTADORES!AV123</f>
        <v>65.589999999996508</v>
      </c>
      <c r="AW126" s="1438">
        <f ca="1">IF(B126&gt;=$J$5,0,(CONTADORES!N124-CONTADORES!N123)+(CONTADORES!AN124-CONTADORES!AN123))</f>
        <v>1.9000000000014552</v>
      </c>
      <c r="AX126" s="1438">
        <f ca="1">IF(B126&gt;=$J$5,0,(CONTADORES!P124-CONTADORES!P123)+(CONTADORES!AL124-CONTADORES!AL123))</f>
        <v>29.059999999997672</v>
      </c>
      <c r="AY126" s="1438">
        <f ca="1">IF(B126&gt;=$J$5,0,(CONTADORES!AJ124-CONTADORES!AJ123))</f>
        <v>4.7799999999988358</v>
      </c>
      <c r="AZ126" s="1438">
        <f ca="1">IF(B126&gt;=$J$5,0,(CONTADORES!R124-CONTADORES!R123))</f>
        <v>9.9700000000011642</v>
      </c>
      <c r="BA126" s="1409">
        <f t="shared" ca="1" si="47"/>
        <v>9.2819999999702247</v>
      </c>
      <c r="BB126" s="1409">
        <f ca="1">IF(B125&gt;=$J$5,0,(((CONTADORES!G124-CONTADORES!G123)+(CONTADORES!AR124-CONTADORES!AR123))))-AV126-BC126-BT126-BW126-BZ126-CE126</f>
        <v>8.9350000000093495</v>
      </c>
      <c r="BC126" s="1438">
        <f ca="1">IF(B126&gt;=$J$5,0,(CONTADORES!AY124-CONTADORES!AY123)+(CONTADORES!BA124-CONTADORES!BA123)+(CONTADORES!BF124-CONTADORES!BF123))-CC126</f>
        <v>1.0820000000004002</v>
      </c>
      <c r="BD126" s="1397">
        <f t="shared" ca="1" si="48"/>
        <v>218.82000000001062</v>
      </c>
      <c r="BE126" s="1398">
        <f ca="1">IF($B126&gt;=$J$5,0,CONTADORES!$BG124)</f>
        <v>6214.34</v>
      </c>
      <c r="BF126" s="1397">
        <f ca="1">IF($B126&gt;=$J$5,0,CONTADORES!$BH124)</f>
        <v>32825.263157894697</v>
      </c>
      <c r="BG126" s="1397">
        <f ca="1">IF($B126&gt;=$J$5,0,CONTADORES!$BJ124)</f>
        <v>6730.87</v>
      </c>
      <c r="BH126" s="1397">
        <f ca="1">IF(B126&gt;=$J$5,0,((CONTADORES!BK124-CONTADORES!BK123)/1000))</f>
        <v>1.458</v>
      </c>
      <c r="BI126" s="1397">
        <f ca="1">IF(C126&gt;=$J$5,0,((CONTADORES!BL124-CONTADORES!BL123)/1000))</f>
        <v>1.5780000000000001</v>
      </c>
      <c r="BJ126" s="1397">
        <f ca="1">IF(C126&gt;=$J$5,0,((CONTADORES!BM124-CONTADORES!BM123)/1000))</f>
        <v>0</v>
      </c>
      <c r="BK126" s="1397">
        <f ca="1">IF(D126&gt;=$J$5,0,((CONTADORES!BN124-CONTADORES!BN123)/1000))</f>
        <v>0</v>
      </c>
      <c r="BL126" s="1399">
        <f t="shared" ca="1" si="49"/>
        <v>1.458</v>
      </c>
      <c r="BM126" s="1399">
        <f t="shared" ca="1" si="50"/>
        <v>1.5780000000000001</v>
      </c>
      <c r="BN126" s="1398">
        <f ca="1">IF(W126&gt;=$J$5,0,CONTADORES!$BO124)</f>
        <v>129.17926576624299</v>
      </c>
      <c r="BO126" s="1397">
        <f ca="1">IF(W126&gt;=$J$5,0,CONTADORES!$BP124)</f>
        <v>44.218274851092929</v>
      </c>
      <c r="BP126" s="1397">
        <f ca="1">IF(W126&gt;=$J$5,0,CONTADORES!$BQ124)</f>
        <v>657.67237462041362</v>
      </c>
      <c r="BQ126" s="1397">
        <f ca="1">IF(B126&gt;=$J$5,0,(CONTADORES!AS124-CONTADORES!AS123))</f>
        <v>5.1070000000036089</v>
      </c>
      <c r="BR126" s="1397">
        <f ca="1">IF(C126&gt;=$J$5,0,(CONTADORES!AT124-CONTADORES!AT123))</f>
        <v>0</v>
      </c>
      <c r="BS126" s="1409">
        <f ca="1">IF(B126&gt;=$J$5,0,CONTADORES!BR124-CONTADORES!BR123)/1000</f>
        <v>2.8079999999999998</v>
      </c>
      <c r="BT126" s="1438">
        <f ca="1">IF(B126&gt;=$J$5,0,CONTADORES!BS124-CONTADORES!BS123)</f>
        <v>1</v>
      </c>
      <c r="BU126" s="1438">
        <f ca="1">IF(B126&gt;=$J$5,0,CONTADORES!BT124-CONTADORES!BT123)</f>
        <v>24</v>
      </c>
      <c r="BV126" s="1438">
        <f ca="1">IF(B126&gt;=$J$5,0,CONTADORES!BU124-CONTADORES!BU123)/1000</f>
        <v>0</v>
      </c>
      <c r="BW126" s="1438">
        <f ca="1">IF(B126&gt;=$J$5,0,CONTADORES!BV124-CONTADORES!BV123)/1000</f>
        <v>0</v>
      </c>
      <c r="BX126" s="1438">
        <f ca="1">IF(B126&gt;=$J$5,0,CONTADORES!BW124-CONTADORES!BW123)</f>
        <v>0</v>
      </c>
      <c r="BY126" s="1438">
        <f ca="1">IF(B126&gt;=$J$5,0,CONTADORES!BX124-CONTADORES!BX123)/1000</f>
        <v>4.798</v>
      </c>
      <c r="BZ126" s="1438">
        <f ca="1">IF(B126&gt;=$J$5,0,CONTADORES!BY124-CONTADORES!BY123)/1000</f>
        <v>0.76300000000000001</v>
      </c>
      <c r="CA126" s="1438">
        <f ca="1">IF(B126&gt;=$J$5,0,CONTADORES!BZ124-CONTADORES!BZ123)</f>
        <v>24</v>
      </c>
      <c r="CB126" s="1409">
        <f ca="1">IF(B126&gt;=$J$5,0,(CONTADORES!CC124-CONTADORES!CC123)+(CONTADORES!CE124-CONTADORES!CE123))/1000</f>
        <v>1.304</v>
      </c>
      <c r="CC126" s="1438">
        <f ca="1">IF(B126&gt;=$J$5,0,(CONTADORES!CD124-CONTADORES!CD123)+(CONTADORES!CF124-CONTADORES!CF123))/1000</f>
        <v>0.72799999999999998</v>
      </c>
      <c r="CD126" s="1409">
        <f ca="1">IF(B126&gt;=$J$5,0,CONTADORES!CA124-CONTADORES!CA123)</f>
        <v>8.3400000000001455</v>
      </c>
      <c r="CE126" s="1438">
        <f ca="1">IF(B126&gt;=$J$5,0,CONTADORES!CB124-CONTADORES!CB123)</f>
        <v>5.1300000000001091</v>
      </c>
      <c r="CF126" s="1438">
        <f t="shared" ca="1" si="51"/>
        <v>12.43699999998978</v>
      </c>
      <c r="CG126" s="1438">
        <f t="shared" ca="1" si="52"/>
        <v>9.5975000000047839</v>
      </c>
      <c r="CH126" s="1438">
        <f t="shared" ca="1" si="53"/>
        <v>4.0969999999896354</v>
      </c>
      <c r="CI126" s="1438">
        <f t="shared" ca="1" si="54"/>
        <v>1.4184000000001455</v>
      </c>
      <c r="CJ126" s="1438">
        <f t="shared" ca="1" si="55"/>
        <v>4.0969999999896354</v>
      </c>
      <c r="CK126" s="1438">
        <f t="shared" ca="1" si="56"/>
        <v>2.1276000000002178</v>
      </c>
      <c r="CL126" s="1438">
        <f t="shared" ca="1" si="57"/>
        <v>2.7224000000001456</v>
      </c>
      <c r="CM126" s="1438">
        <f t="shared" ca="1" si="58"/>
        <v>4.4675000000046747</v>
      </c>
      <c r="CN126" s="1438">
        <f ca="1">IF(B126&gt;=$J$5,0,CONTADORES!CB124-CONTADORES!CB123)</f>
        <v>5.1300000000001091</v>
      </c>
      <c r="CO126" s="1438">
        <f t="shared" ca="1" si="59"/>
        <v>4.4675000000046747</v>
      </c>
      <c r="CP126" s="1438">
        <f t="shared" ca="1" si="60"/>
        <v>0.5410000000002001</v>
      </c>
      <c r="CQ126" s="1438">
        <f t="shared" ca="1" si="61"/>
        <v>0.5410000000002001</v>
      </c>
      <c r="CR126" s="1438">
        <f t="shared" ca="1" si="62"/>
        <v>1.2690000000002</v>
      </c>
      <c r="CS126" s="1439">
        <f ca="1">IF($B126&gt;=$J$5,0,CONTADORES!$BI124)</f>
        <v>8978.7398152334899</v>
      </c>
      <c r="CT126" s="1334">
        <f>CONTADORES!E124</f>
        <v>0</v>
      </c>
      <c r="CU126" s="1334">
        <f>CONTADORES!CG124</f>
        <v>0</v>
      </c>
    </row>
    <row r="127" spans="2:99">
      <c r="B127" s="390">
        <v>45043</v>
      </c>
      <c r="C127" s="198">
        <f t="shared" ca="1" si="35"/>
        <v>307.51000000000931</v>
      </c>
      <c r="D127" s="196">
        <f ca="1">'CALCULO DE GAS'!D132</f>
        <v>5.1120220233694544</v>
      </c>
      <c r="E127" s="196">
        <f ca="1">IF(B127&gt;=$J$5,0,(CONTADORES!$AD125-CONTADORES!$AD124)-$H127)</f>
        <v>24</v>
      </c>
      <c r="F127" s="198">
        <f t="shared" ca="1" si="67"/>
        <v>0</v>
      </c>
      <c r="G127" s="196">
        <f ca="1">IF(B127&gt;=$J$5,0,CONTADORES!$AF125-CONTADORES!$AF124)</f>
        <v>0</v>
      </c>
      <c r="H127" s="1396">
        <f ca="1">IF(G127&gt;0,CONTADORES!$AE125-CONTADORES!$AE124,0)</f>
        <v>0</v>
      </c>
      <c r="I127" s="199">
        <f ca="1">IF(B127&gt;=$J$5,0,CONTADORES!$AB125-CONTADORES!$AB124)</f>
        <v>307.51000000000931</v>
      </c>
      <c r="J127" s="198">
        <f t="shared" ca="1" si="36"/>
        <v>151.15999999999622</v>
      </c>
      <c r="K127" s="196">
        <f ca="1">'CALCULO DE GAS'!E132</f>
        <v>3.8042881552144783</v>
      </c>
      <c r="L127" s="1396">
        <f ca="1">IF(B127&gt;=$J$5,0,(CONTADORES!$Y125-CONTADORES!$Y124)-$O127)</f>
        <v>24</v>
      </c>
      <c r="M127" s="1396">
        <f t="shared" ca="1" si="66"/>
        <v>0</v>
      </c>
      <c r="N127" s="1396">
        <f ca="1">IF(B127&gt;=$J$5,0,CONTADORES!$AA125-CONTADORES!$AA124)</f>
        <v>0</v>
      </c>
      <c r="O127" s="1396">
        <f ca="1">IF(N127&gt;0,CONTADORES!$Z125-CONTADORES!$Z124,0)</f>
        <v>0</v>
      </c>
      <c r="P127" s="202">
        <f ca="1">IF(B127&gt;=$J$5,0,CONTADORES!$W125-CONTADORES!$W124)</f>
        <v>151.15999999999622</v>
      </c>
      <c r="Q127" s="202">
        <f ca="1">IF(B127&gt;=$J$5,0,CONTADORES!$B125-CONTADORES!$B124)</f>
        <v>0</v>
      </c>
      <c r="R127" s="196">
        <f t="shared" ca="1" si="37"/>
        <v>0</v>
      </c>
      <c r="S127" s="11">
        <f ca="1">IF(B127&gt;=$J$5,0,CONTADORES!$D125-CONTADORES!$D124)</f>
        <v>0</v>
      </c>
      <c r="T127" s="198">
        <f ca="1">IF(B127&gt;=$J$5,0,CONTADORES!$BB125-CONTADORES!$BB124)</f>
        <v>0</v>
      </c>
      <c r="U127" s="196">
        <f t="shared" ca="1" si="65"/>
        <v>0</v>
      </c>
      <c r="V127" s="199">
        <f ca="1">IF(B127&gt;=$J$5,0,CONTADORES!$BD125-CONTADORES!$BD124)</f>
        <v>0</v>
      </c>
      <c r="W127" s="1397">
        <f t="shared" ca="1" si="39"/>
        <v>458.67000000000553</v>
      </c>
      <c r="X127" s="1397">
        <f t="shared" ca="1" si="40"/>
        <v>0</v>
      </c>
      <c r="Y127" s="1398">
        <f t="shared" ca="1" si="41"/>
        <v>458.67000000000553</v>
      </c>
      <c r="Z127" s="1398">
        <f t="shared" ca="1" si="42"/>
        <v>8.9163101785839327</v>
      </c>
      <c r="AA127" s="1398">
        <f t="shared" ca="1" si="43"/>
        <v>0</v>
      </c>
      <c r="AB127" s="1398">
        <f t="shared" ca="1" si="44"/>
        <v>48</v>
      </c>
      <c r="AC127" s="1397">
        <f t="shared" ca="1" si="45"/>
        <v>0</v>
      </c>
      <c r="AD127" s="1438">
        <f ca="1">IF(B127&gt;=$J$5,0,CONTADORES!H125-CONTADORES!H124)</f>
        <v>165.28000000002794</v>
      </c>
      <c r="AE127" s="1402">
        <f ca="1">IF(B127&gt;=$J$5,0,CONTADORES!J125-CONTADORES!J124)</f>
        <v>24</v>
      </c>
      <c r="AF127" s="1438">
        <f ca="1">IF(B127&gt;=$J$5,0,CONTADORES!AU125-CONTADORES!AU124)</f>
        <v>156.89000000001397</v>
      </c>
      <c r="AG127" s="1397">
        <f ca="1">IF(B127&gt;=$J$5,0,CONTADORES!AW125-CONTADORES!AW124)</f>
        <v>24</v>
      </c>
      <c r="AH127" s="1397">
        <f ca="1">IF(B127&gt;=$J$5,0,(CONTADORES!AM125-CONTADORES!AM124)+(CONTADORES!M125-CONTADORES!M124))</f>
        <v>13.400000000001455</v>
      </c>
      <c r="AI127" s="1397">
        <f ca="1">IF(B127&gt;=$J$5,0,(CONTADORES!AK125-CONTADORES!AK124)+(CONTADORES!O125-CONTADORES!O124))</f>
        <v>39.380000000004657</v>
      </c>
      <c r="AJ127" s="1397">
        <f ca="1">IF(B127&gt;=$J$5,0,(CONTADORES!AI125-CONTADORES!AI124))</f>
        <v>6.5600000000122236</v>
      </c>
      <c r="AK127" s="1397">
        <f ca="1">IF(B127&gt;=$J$5,0,(CONTADORES!Q125-CONTADORES!Q124))</f>
        <v>12.979999999981374</v>
      </c>
      <c r="AL127" s="1397">
        <f t="shared" ca="1" si="46"/>
        <v>35.269999999953143</v>
      </c>
      <c r="AM127" s="1397">
        <f ca="1">IF(B127&gt;=$J$5,0,(((CONTADORES!F125-CONTADORES!F124)+(CONTADORES!AQ125-CONTADORES!AQ124))))-BS127-AF127-AN127-BV127-BY127-CD127-CB127</f>
        <v>9.9250000000113072</v>
      </c>
      <c r="AN127" s="1397">
        <f ca="1">IF(B127&gt;=$J$5,0,(CONTADORES!AX125-CONTADORES!AX124)+(CONTADORES!AZ125-CONTADORES!AZ124)+(CONTADORES!BE125-CONTADORES!BE124))-CB127</f>
        <v>0.79599999999923043</v>
      </c>
      <c r="AO127" s="1399">
        <f ca="1">IF(B127&gt;=$J$5,0,(CONTADORES!AC125-CONTADORES!AC124))</f>
        <v>155.29999999998836</v>
      </c>
      <c r="AP127" s="1399">
        <f ca="1">IF(B127&gt;=$J$5,0,(CONTADORES!X125-CONTADORES!X124))</f>
        <v>78.049999999999272</v>
      </c>
      <c r="AQ127" s="1404">
        <f ca="1">IF(B127&gt;=$J$5,0,(CONTADORES!C125-CONTADORES!C124))</f>
        <v>0</v>
      </c>
      <c r="AR127" s="1399">
        <f ca="1">IF(B127&gt;=$J$5,0,(CONTADORES!BC125-CONTADORES!BC124))</f>
        <v>0</v>
      </c>
      <c r="AS127" s="1438">
        <f ca="1">IF(B127&gt;=$J$5,0,CONTADORES!S125-CONTADORES!S124)</f>
        <v>15.190000000002328</v>
      </c>
      <c r="AT127" s="1438">
        <f ca="1">IF(B127&gt;=$J$5,0,(CONTADORES!U125-CONTADORES!U124)+(CONTADORES!AG125-CONTADORES!AG124))</f>
        <v>2.5100000000020373</v>
      </c>
      <c r="AU127" s="1409">
        <f>CONTADORES!I125-CONTADORES!I124</f>
        <v>83.169999999983702</v>
      </c>
      <c r="AV127" s="1438">
        <f>CONTADORES!AV125-CONTADORES!AV124</f>
        <v>67.910000000003492</v>
      </c>
      <c r="AW127" s="1438">
        <f ca="1">IF(B127&gt;=$J$5,0,(CONTADORES!N125-CONTADORES!N124)+(CONTADORES!AN125-CONTADORES!AN124))</f>
        <v>5.2999999999992724</v>
      </c>
      <c r="AX127" s="1438">
        <f ca="1">IF(B127&gt;=$J$5,0,(CONTADORES!P125-CONTADORES!P124)+(CONTADORES!AL125-CONTADORES!AL124))</f>
        <v>33.309999999997672</v>
      </c>
      <c r="AY127" s="1438">
        <f ca="1">IF(B127&gt;=$J$5,0,(CONTADORES!AJ125-CONTADORES!AJ124))</f>
        <v>4.930000000000291</v>
      </c>
      <c r="AZ127" s="1438">
        <f ca="1">IF(B127&gt;=$J$5,0,(CONTADORES!R125-CONTADORES!R124))</f>
        <v>10.119999999995343</v>
      </c>
      <c r="BA127" s="1409">
        <f t="shared" ca="1" si="47"/>
        <v>10.111000000017526</v>
      </c>
      <c r="BB127" s="1409">
        <f ca="1">IF(B126&gt;=$J$5,0,(((CONTADORES!G125-CONTADORES!G124)+(CONTADORES!AR125-CONTADORES!AR124))))-AV127-BC127-BT127-BW127-BZ127-CE127</f>
        <v>9.0949999999905202</v>
      </c>
      <c r="BC127" s="1438">
        <f ca="1">IF(B127&gt;=$J$5,0,(CONTADORES!AY125-CONTADORES!AY124)+(CONTADORES!BA125-CONTADORES!BA124)+(CONTADORES!BF125-CONTADORES!BF124))-CC127</f>
        <v>1.1009999999996953</v>
      </c>
      <c r="BD127" s="1397">
        <f t="shared" ca="1" si="48"/>
        <v>233.34999999998763</v>
      </c>
      <c r="BE127" s="1398">
        <f ca="1">IF($B127&gt;=$J$5,0,CONTADORES!$BG125)</f>
        <v>6038.57</v>
      </c>
      <c r="BF127" s="1397">
        <f ca="1">IF($B127&gt;=$J$5,0,CONTADORES!$BH125)</f>
        <v>33383.052631578903</v>
      </c>
      <c r="BG127" s="1397">
        <f ca="1">IF($B127&gt;=$J$5,0,CONTADORES!$BJ125)</f>
        <v>7164.13</v>
      </c>
      <c r="BH127" s="1397">
        <f ca="1">IF(B127&gt;=$J$5,0,((CONTADORES!BK125-CONTADORES!BK124)/1000))</f>
        <v>1.4039999999999999</v>
      </c>
      <c r="BI127" s="1397">
        <f ca="1">IF(C127&gt;=$J$5,0,((CONTADORES!BL125-CONTADORES!BL124)/1000))</f>
        <v>1.379</v>
      </c>
      <c r="BJ127" s="1397">
        <f ca="1">IF(C127&gt;=$J$5,0,((CONTADORES!BM125-CONTADORES!BM124)/1000))</f>
        <v>0</v>
      </c>
      <c r="BK127" s="1397">
        <f ca="1">IF(D127&gt;=$J$5,0,((CONTADORES!BN125-CONTADORES!BN124)/1000))</f>
        <v>0</v>
      </c>
      <c r="BL127" s="1399">
        <f t="shared" ca="1" si="49"/>
        <v>1.4039999999999999</v>
      </c>
      <c r="BM127" s="1399">
        <f t="shared" ca="1" si="50"/>
        <v>1.379</v>
      </c>
      <c r="BN127" s="1398">
        <f ca="1">IF(W127&gt;=$J$5,0,CONTADORES!$BO125)</f>
        <v>122.52083263889</v>
      </c>
      <c r="BO127" s="1397">
        <f ca="1">IF(W127&gt;=$J$5,0,CONTADORES!$BP125)</f>
        <v>41.208231951143794</v>
      </c>
      <c r="BP127" s="1397">
        <f ca="1">IF(W127&gt;=$J$5,0,CONTADORES!$BQ125)</f>
        <v>620.77309544929801</v>
      </c>
      <c r="BQ127" s="1397">
        <f ca="1">IF(B127&gt;=$J$5,0,(CONTADORES!AS125-CONTADORES!AS124))</f>
        <v>5.0999999999985448</v>
      </c>
      <c r="BR127" s="1397">
        <f ca="1">IF(C127&gt;=$J$5,0,(CONTADORES!AT125-CONTADORES!AT124))</f>
        <v>0</v>
      </c>
      <c r="BS127" s="1409">
        <f ca="1">IF(B127&gt;=$J$5,0,CONTADORES!BR125-CONTADORES!BR124)/1000</f>
        <v>2.52</v>
      </c>
      <c r="BT127" s="1438">
        <f ca="1">IF(B127&gt;=$J$5,0,CONTADORES!BS125-CONTADORES!BS124)</f>
        <v>1</v>
      </c>
      <c r="BU127" s="1438">
        <f ca="1">IF(B127&gt;=$J$5,0,CONTADORES!BT125-CONTADORES!BT124)</f>
        <v>24</v>
      </c>
      <c r="BV127" s="1438">
        <f ca="1">IF(B127&gt;=$J$5,0,CONTADORES!BU125-CONTADORES!BU124)/1000</f>
        <v>0</v>
      </c>
      <c r="BW127" s="1438">
        <f ca="1">IF(B127&gt;=$J$5,0,CONTADORES!BV125-CONTADORES!BV124)/1000</f>
        <v>0</v>
      </c>
      <c r="BX127" s="1438">
        <f ca="1">IF(B127&gt;=$J$5,0,CONTADORES!BW125-CONTADORES!BW124)</f>
        <v>0</v>
      </c>
      <c r="BY127" s="1438">
        <f ca="1">IF(B127&gt;=$J$5,0,CONTADORES!BX125-CONTADORES!BX124)/1000</f>
        <v>5.0149999999999997</v>
      </c>
      <c r="BZ127" s="1438">
        <f ca="1">IF(B127&gt;=$J$5,0,CONTADORES!BY125-CONTADORES!BY124)/1000</f>
        <v>0.81399999999999995</v>
      </c>
      <c r="CA127" s="1438">
        <f ca="1">IF(B127&gt;=$J$5,0,CONTADORES!BZ125-CONTADORES!BZ124)</f>
        <v>23.889999999999418</v>
      </c>
      <c r="CB127" s="1409">
        <f ca="1">IF(B127&gt;=$J$5,0,(CONTADORES!CC125-CONTADORES!CC124)+(CONTADORES!CE125-CONTADORES!CE124))/1000</f>
        <v>1.8939999999999999</v>
      </c>
      <c r="CC127" s="1438">
        <f ca="1">IF(B127&gt;=$J$5,0,(CONTADORES!CD125-CONTADORES!CD124)+(CONTADORES!CF125-CONTADORES!CF124))/1000</f>
        <v>1.109</v>
      </c>
      <c r="CD127" s="1409">
        <f ca="1">IF(B127&gt;=$J$5,0,CONTADORES!CA125-CONTADORES!CA124)</f>
        <v>8.7600000000002183</v>
      </c>
      <c r="CE127" s="1438">
        <f ca="1">IF(B127&gt;=$J$5,0,CONTADORES!CB125-CONTADORES!CB124)</f>
        <v>5.3800000000001091</v>
      </c>
      <c r="CF127" s="1438">
        <f t="shared" ca="1" si="51"/>
        <v>13.722500000005873</v>
      </c>
      <c r="CG127" s="1438">
        <f t="shared" ca="1" si="52"/>
        <v>9.9274999999953693</v>
      </c>
      <c r="CH127" s="1438">
        <f t="shared" ca="1" si="53"/>
        <v>4.9625000000056536</v>
      </c>
      <c r="CI127" s="1438">
        <f t="shared" ca="1" si="54"/>
        <v>0.31839999999969221</v>
      </c>
      <c r="CJ127" s="1438">
        <f t="shared" ca="1" si="55"/>
        <v>4.9625000000056536</v>
      </c>
      <c r="CK127" s="1438">
        <f t="shared" ca="1" si="56"/>
        <v>0.47759999999953823</v>
      </c>
      <c r="CL127" s="1438">
        <f t="shared" ca="1" si="57"/>
        <v>2.2123999999996919</v>
      </c>
      <c r="CM127" s="1438">
        <f t="shared" ca="1" si="58"/>
        <v>4.5474999999952601</v>
      </c>
      <c r="CN127" s="1438">
        <f ca="1">IF(B127&gt;=$J$5,0,CONTADORES!CB125-CONTADORES!CB124)</f>
        <v>5.3800000000001091</v>
      </c>
      <c r="CO127" s="1438">
        <f t="shared" ca="1" si="59"/>
        <v>4.5474999999952601</v>
      </c>
      <c r="CP127" s="1438">
        <f t="shared" ca="1" si="60"/>
        <v>0.55049999999984767</v>
      </c>
      <c r="CQ127" s="1438">
        <f t="shared" ca="1" si="61"/>
        <v>0.55049999999984767</v>
      </c>
      <c r="CR127" s="1438">
        <f t="shared" ca="1" si="62"/>
        <v>1.6594999999998477</v>
      </c>
      <c r="CS127" s="1439">
        <f ca="1">IF($B127&gt;=$J$5,0,CONTADORES!$BI125)</f>
        <v>8297.4321643570893</v>
      </c>
      <c r="CT127" s="1334">
        <f>CONTADORES!E125</f>
        <v>0</v>
      </c>
      <c r="CU127" s="1334">
        <f>CONTADORES!CG125</f>
        <v>0</v>
      </c>
    </row>
    <row r="128" spans="2:99">
      <c r="B128" s="390">
        <v>45044</v>
      </c>
      <c r="C128" s="198">
        <f t="shared" ca="1" si="35"/>
        <v>298.85999999998603</v>
      </c>
      <c r="D128" s="196">
        <f ca="1">'CALCULO DE GAS'!D133</f>
        <v>5.0396721803277522</v>
      </c>
      <c r="E128" s="196">
        <f ca="1">IF(B128&gt;=$J$5,0,(CONTADORES!$AD126-CONTADORES!$AD125)-$H128)</f>
        <v>24</v>
      </c>
      <c r="F128" s="198">
        <f t="shared" ca="1" si="67"/>
        <v>0</v>
      </c>
      <c r="G128" s="196">
        <f ca="1">IF(B128&gt;=$J$5,0,CONTADORES!$AF126-CONTADORES!$AF125)</f>
        <v>0</v>
      </c>
      <c r="H128" s="1396">
        <f ca="1">IF(G128&gt;0,CONTADORES!$AE126-CONTADORES!$AE125,0)</f>
        <v>0</v>
      </c>
      <c r="I128" s="199">
        <f ca="1">IF(B128&gt;=$J$5,0,CONTADORES!$AB126-CONTADORES!$AB125)</f>
        <v>298.85999999998603</v>
      </c>
      <c r="J128" s="198">
        <f t="shared" ca="1" si="36"/>
        <v>151.94000000000233</v>
      </c>
      <c r="K128" s="196">
        <f ca="1">'CALCULO DE GAS'!E133</f>
        <v>3.8108121873038217</v>
      </c>
      <c r="L128" s="1396">
        <f ca="1">IF(B128&gt;=$J$5,0,(CONTADORES!$Y126-CONTADORES!$Y125)-$O128)</f>
        <v>24</v>
      </c>
      <c r="M128" s="1396">
        <f t="shared" ca="1" si="66"/>
        <v>0</v>
      </c>
      <c r="N128" s="1396">
        <f ca="1">IF(B128&gt;=$J$5,0,CONTADORES!$AA126-CONTADORES!$AA125)</f>
        <v>0</v>
      </c>
      <c r="O128" s="1396">
        <f ca="1">IF(N128&gt;0,CONTADORES!$Z126-CONTADORES!$Z125,0)</f>
        <v>0</v>
      </c>
      <c r="P128" s="202">
        <f ca="1">IF(B128&gt;=$J$5,0,CONTADORES!$W126-CONTADORES!$W125)</f>
        <v>151.94000000000233</v>
      </c>
      <c r="Q128" s="202">
        <f ca="1">IF(B128&gt;=$J$5,0,CONTADORES!$B126-CONTADORES!$B125)</f>
        <v>0</v>
      </c>
      <c r="R128" s="196">
        <f t="shared" ca="1" si="37"/>
        <v>0</v>
      </c>
      <c r="S128" s="11">
        <f ca="1">IF(B128&gt;=$J$5,0,CONTADORES!$D126-CONTADORES!$D125)</f>
        <v>0</v>
      </c>
      <c r="T128" s="198">
        <f ca="1">IF(B128&gt;=$J$5,0,CONTADORES!$BB126-CONTADORES!$BB125)</f>
        <v>0</v>
      </c>
      <c r="U128" s="196">
        <f t="shared" ca="1" si="65"/>
        <v>0</v>
      </c>
      <c r="V128" s="199">
        <f ca="1">IF(B128&gt;=$J$5,0,CONTADORES!$BD126-CONTADORES!$BD125)</f>
        <v>0</v>
      </c>
      <c r="W128" s="1397">
        <f t="shared" ca="1" si="39"/>
        <v>450.79999999998836</v>
      </c>
      <c r="X128" s="1397">
        <f t="shared" ca="1" si="40"/>
        <v>0</v>
      </c>
      <c r="Y128" s="1398">
        <f t="shared" ca="1" si="41"/>
        <v>450.79999999998836</v>
      </c>
      <c r="Z128" s="1398">
        <f t="shared" ca="1" si="42"/>
        <v>8.850484367631573</v>
      </c>
      <c r="AA128" s="1398">
        <f t="shared" ca="1" si="43"/>
        <v>0</v>
      </c>
      <c r="AB128" s="1398">
        <f t="shared" ca="1" si="44"/>
        <v>48</v>
      </c>
      <c r="AC128" s="1397">
        <f t="shared" ca="1" si="45"/>
        <v>0</v>
      </c>
      <c r="AD128" s="1438">
        <f ca="1">IF(B128&gt;=$J$5,0,CONTADORES!H126-CONTADORES!H125)</f>
        <v>166.93000000005122</v>
      </c>
      <c r="AE128" s="1402">
        <f ca="1">IF(B128&gt;=$J$5,0,CONTADORES!J126-CONTADORES!J125)</f>
        <v>24</v>
      </c>
      <c r="AF128" s="1438">
        <f ca="1">IF(B128&gt;=$J$5,0,CONTADORES!AU126-CONTADORES!AU125)</f>
        <v>154.79999999998836</v>
      </c>
      <c r="AG128" s="1397">
        <f ca="1">IF(B128&gt;=$J$5,0,CONTADORES!AW126-CONTADORES!AW125)</f>
        <v>24</v>
      </c>
      <c r="AH128" s="1397">
        <f ca="1">IF(B128&gt;=$J$5,0,(CONTADORES!AM126-CONTADORES!AM125)+(CONTADORES!M126-CONTADORES!M125))</f>
        <v>10.69999999999709</v>
      </c>
      <c r="AI128" s="1397">
        <f ca="1">IF(B128&gt;=$J$5,0,(CONTADORES!AK126-CONTADORES!AK125)+(CONTADORES!O126-CONTADORES!O125))</f>
        <v>38.209999999991851</v>
      </c>
      <c r="AJ128" s="1397">
        <f ca="1">IF(B128&gt;=$J$5,0,(CONTADORES!AI126-CONTADORES!AI125))</f>
        <v>6.3899999999994179</v>
      </c>
      <c r="AK128" s="1397">
        <f ca="1">IF(B128&gt;=$J$5,0,(CONTADORES!Q126-CONTADORES!Q125))</f>
        <v>10.930000000022119</v>
      </c>
      <c r="AL128" s="1397">
        <f t="shared" ca="1" si="46"/>
        <v>34.439999999962367</v>
      </c>
      <c r="AM128" s="1397">
        <f ca="1">IF(B128&gt;=$J$5,0,(((CONTADORES!F126-CONTADORES!F125)+(CONTADORES!AQ126-CONTADORES!AQ125))))-BS128-AF128-AN128-BV128-BY128-CD128-CB128</f>
        <v>4.6899999999754325</v>
      </c>
      <c r="AN128" s="1397">
        <f ca="1">IF(B128&gt;=$J$5,0,(CONTADORES!AX126-CONTADORES!AX125)+(CONTADORES!AZ126-CONTADORES!AZ125)+(CONTADORES!BE126-CONTADORES!BE125))-CB128</f>
        <v>5.4790000000006369</v>
      </c>
      <c r="AO128" s="1399">
        <f ca="1">IF(B128&gt;=$J$5,0,(CONTADORES!AC126-CONTADORES!AC125))</f>
        <v>156.03999999997905</v>
      </c>
      <c r="AP128" s="1399">
        <f ca="1">IF(B128&gt;=$J$5,0,(CONTADORES!X126-CONTADORES!X125))</f>
        <v>73.829999999998108</v>
      </c>
      <c r="AQ128" s="1404">
        <f ca="1">IF(B128&gt;=$J$5,0,(CONTADORES!C126-CONTADORES!C125))</f>
        <v>0</v>
      </c>
      <c r="AR128" s="1399">
        <f ca="1">IF(B128&gt;=$J$5,0,(CONTADORES!BC126-CONTADORES!BC125))</f>
        <v>0</v>
      </c>
      <c r="AS128" s="1438">
        <f ca="1">IF(B128&gt;=$J$5,0,CONTADORES!S126-CONTADORES!S125)</f>
        <v>15.149999999994179</v>
      </c>
      <c r="AT128" s="1438">
        <f ca="1">IF(B128&gt;=$J$5,0,(CONTADORES!U126-CONTADORES!U125)+(CONTADORES!AG126-CONTADORES!AG125))</f>
        <v>2.5199999999967986</v>
      </c>
      <c r="AU128" s="1409">
        <f>CONTADORES!I126-CONTADORES!I125</f>
        <v>83.809999999997672</v>
      </c>
      <c r="AV128" s="1438">
        <f>CONTADORES!AV126-CONTADORES!AV125</f>
        <v>67.100000000005821</v>
      </c>
      <c r="AW128" s="1438">
        <f ca="1">IF(B128&gt;=$J$5,0,(CONTADORES!N126-CONTADORES!N125)+(CONTADORES!AN126-CONTADORES!AN125))</f>
        <v>3.7000000000007276</v>
      </c>
      <c r="AX128" s="1438">
        <f ca="1">IF(B128&gt;=$J$5,0,(CONTADORES!P126-CONTADORES!P125)+(CONTADORES!AL126-CONTADORES!AL125))</f>
        <v>32.530000000006112</v>
      </c>
      <c r="AY128" s="1438">
        <f ca="1">IF(B128&gt;=$J$5,0,(CONTADORES!AJ126-CONTADORES!AJ125))</f>
        <v>4.819999999999709</v>
      </c>
      <c r="AZ128" s="1438">
        <f ca="1">IF(B128&gt;=$J$5,0,(CONTADORES!R126-CONTADORES!R125))</f>
        <v>8.930000000007567</v>
      </c>
      <c r="BA128" s="1409">
        <f t="shared" ca="1" si="47"/>
        <v>10.830999999977024</v>
      </c>
      <c r="BB128" s="1409">
        <f ca="1">IF(B127&gt;=$J$5,0,(((CONTADORES!G126-CONTADORES!G125)+(CONTADORES!AR126-CONTADORES!AR125))))-AV128-BC128-BT128-BW128-BZ128-CE128</f>
        <v>8.9249999999825302</v>
      </c>
      <c r="BC128" s="1438">
        <f ca="1">IF(B128&gt;=$J$5,0,(CONTADORES!AY126-CONTADORES!AY125)+(CONTADORES!BA126-CONTADORES!BA125)+(CONTADORES!BF126-CONTADORES!BF125))-CC128</f>
        <v>0.87099999999993638</v>
      </c>
      <c r="BD128" s="1397">
        <f t="shared" ca="1" si="48"/>
        <v>229.86999999997715</v>
      </c>
      <c r="BE128" s="1398">
        <f ca="1">IF($B128&gt;=$J$5,0,CONTADORES!$BG126)</f>
        <v>5857.72</v>
      </c>
      <c r="BF128" s="1397">
        <f ca="1">IF($B128&gt;=$J$5,0,CONTADORES!$BH126)</f>
        <v>34187.477192982398</v>
      </c>
      <c r="BG128" s="1397">
        <f ca="1">IF($B128&gt;=$J$5,0,CONTADORES!$BJ126)</f>
        <v>6739.38</v>
      </c>
      <c r="BH128" s="1397">
        <f ca="1">IF(B128&gt;=$J$5,0,((CONTADORES!BK126-CONTADORES!BK125)/1000))</f>
        <v>1.5229999999999999</v>
      </c>
      <c r="BI128" s="1397">
        <f ca="1">IF(C128&gt;=$J$5,0,((CONTADORES!BL126-CONTADORES!BL125)/1000))</f>
        <v>1.4910000000000001</v>
      </c>
      <c r="BJ128" s="1397">
        <f ca="1">IF(C128&gt;=$J$5,0,((CONTADORES!BM126-CONTADORES!BM125)/1000))</f>
        <v>0</v>
      </c>
      <c r="BK128" s="1397">
        <f ca="1">IF(D128&gt;=$J$5,0,((CONTADORES!BN126-CONTADORES!BN125)/1000))</f>
        <v>0</v>
      </c>
      <c r="BL128" s="1399">
        <f t="shared" ca="1" si="49"/>
        <v>1.5229999999999999</v>
      </c>
      <c r="BM128" s="1399">
        <f t="shared" ca="1" si="50"/>
        <v>1.4910000000000001</v>
      </c>
      <c r="BN128" s="1398">
        <f ca="1">IF(W128&gt;=$J$5,0,CONTADORES!$BO126)</f>
        <v>129.48772586628905</v>
      </c>
      <c r="BO128" s="1397">
        <f ca="1">IF(W128&gt;=$J$5,0,CONTADORES!$BP126)</f>
        <v>43.084051010367354</v>
      </c>
      <c r="BP128" s="1397">
        <f ca="1">IF(W128&gt;=$J$5,0,CONTADORES!$BQ126)</f>
        <v>663.04138305065226</v>
      </c>
      <c r="BQ128" s="1397">
        <f ca="1">IF(B128&gt;=$J$5,0,(CONTADORES!AS126-CONTADORES!AS125))</f>
        <v>5.1999999999970896</v>
      </c>
      <c r="BR128" s="1397">
        <f ca="1">IF(C128&gt;=$J$5,0,(CONTADORES!AT126-CONTADORES!AT125))</f>
        <v>0</v>
      </c>
      <c r="BS128" s="1409">
        <f ca="1">IF(B128&gt;=$J$5,0,CONTADORES!BR126-CONTADORES!BR125)/1000</f>
        <v>2.76</v>
      </c>
      <c r="BT128" s="1438">
        <f ca="1">IF(B128&gt;=$J$5,0,CONTADORES!BS126-CONTADORES!BS125)</f>
        <v>1</v>
      </c>
      <c r="BU128" s="1438">
        <f ca="1">IF(B128&gt;=$J$5,0,CONTADORES!BT126-CONTADORES!BT125)</f>
        <v>24</v>
      </c>
      <c r="BV128" s="1438">
        <f ca="1">IF(B128&gt;=$J$5,0,CONTADORES!BU126-CONTADORES!BU125)/1000</f>
        <v>0</v>
      </c>
      <c r="BW128" s="1438">
        <f ca="1">IF(B128&gt;=$J$5,0,CONTADORES!BV126-CONTADORES!BV125)/1000</f>
        <v>0</v>
      </c>
      <c r="BX128" s="1438">
        <f ca="1">IF(B128&gt;=$J$5,0,CONTADORES!BW126-CONTADORES!BW125)</f>
        <v>0</v>
      </c>
      <c r="BY128" s="1438">
        <f ca="1">IF(B128&gt;=$J$5,0,CONTADORES!BX126-CONTADORES!BX125)/1000</f>
        <v>5.07</v>
      </c>
      <c r="BZ128" s="1438">
        <f ca="1">IF(B128&gt;=$J$5,0,CONTADORES!BY126-CONTADORES!BY125)/1000</f>
        <v>0.98399999999999999</v>
      </c>
      <c r="CA128" s="1438">
        <f ca="1">IF(B128&gt;=$J$5,0,CONTADORES!BZ126-CONTADORES!BZ125)</f>
        <v>24.229999999999563</v>
      </c>
      <c r="CB128" s="1409">
        <f ca="1">IF(B128&gt;=$J$5,0,(CONTADORES!CC126-CONTADORES!CC125)+(CONTADORES!CE126-CONTADORES!CE125))/1000</f>
        <v>1.571</v>
      </c>
      <c r="CC128" s="1438">
        <f ca="1">IF(B128&gt;=$J$5,0,(CONTADORES!CD126-CONTADORES!CD125)+(CONTADORES!CF126-CONTADORES!CF125))/1000</f>
        <v>0.94899999999999995</v>
      </c>
      <c r="CD128" s="1409">
        <f ca="1">IF(B128&gt;=$J$5,0,CONTADORES!CA126-CONTADORES!CA125)</f>
        <v>8.8299999999999272</v>
      </c>
      <c r="CE128" s="1438">
        <f ca="1">IF(B128&gt;=$J$5,0,CONTADORES!CB126-CONTADORES!CB125)</f>
        <v>5.4200000000000728</v>
      </c>
      <c r="CF128" s="1438">
        <f t="shared" ca="1" si="51"/>
        <v>11.174999999987644</v>
      </c>
      <c r="CG128" s="1438">
        <f t="shared" ca="1" si="52"/>
        <v>9.8824999999913388</v>
      </c>
      <c r="CH128" s="1438">
        <f t="shared" ca="1" si="53"/>
        <v>2.3449999999877162</v>
      </c>
      <c r="CI128" s="1438">
        <f t="shared" ca="1" si="54"/>
        <v>2.1916000000002547</v>
      </c>
      <c r="CJ128" s="1438">
        <f t="shared" ca="1" si="55"/>
        <v>2.3449999999877162</v>
      </c>
      <c r="CK128" s="1438">
        <f t="shared" ca="1" si="56"/>
        <v>3.2874000000003822</v>
      </c>
      <c r="CL128" s="1438">
        <f t="shared" ca="1" si="57"/>
        <v>3.7626000000002549</v>
      </c>
      <c r="CM128" s="1438">
        <f t="shared" ca="1" si="58"/>
        <v>4.4624999999912651</v>
      </c>
      <c r="CN128" s="1438">
        <f ca="1">IF(B128&gt;=$J$5,0,CONTADORES!CB126-CONTADORES!CB125)</f>
        <v>5.4200000000000728</v>
      </c>
      <c r="CO128" s="1438">
        <f t="shared" ca="1" si="59"/>
        <v>4.4624999999912651</v>
      </c>
      <c r="CP128" s="1438">
        <f t="shared" ca="1" si="60"/>
        <v>0.43549999999996819</v>
      </c>
      <c r="CQ128" s="1438">
        <f t="shared" ca="1" si="61"/>
        <v>0.43549999999996819</v>
      </c>
      <c r="CR128" s="1438">
        <f t="shared" ca="1" si="62"/>
        <v>1.3844999999999681</v>
      </c>
      <c r="CS128" s="1439">
        <f ca="1">IF($B128&gt;=$J$5,0,CONTADORES!$BI126)</f>
        <v>9094.1833088041894</v>
      </c>
      <c r="CT128" s="1334">
        <f>CONTADORES!E126</f>
        <v>0</v>
      </c>
      <c r="CU128" s="1334">
        <f>CONTADORES!CG126</f>
        <v>0</v>
      </c>
    </row>
    <row r="129" spans="2:99">
      <c r="B129" s="390">
        <v>45045</v>
      </c>
      <c r="C129" s="198">
        <f t="shared" ca="1" si="35"/>
        <v>291.6600000000326</v>
      </c>
      <c r="D129" s="196">
        <f ca="1">'CALCULO DE GAS'!D134</f>
        <v>4.9794503456577548</v>
      </c>
      <c r="E129" s="196">
        <f ca="1">IF(B129&gt;=$J$5,0,(CONTADORES!$AD127-CONTADORES!$AD126)-$H129)</f>
        <v>24</v>
      </c>
      <c r="F129" s="198">
        <f t="shared" ca="1" si="67"/>
        <v>0</v>
      </c>
      <c r="G129" s="196">
        <f ca="1">IF(B129&gt;=$J$5,0,CONTADORES!$AF127-CONTADORES!$AF126)</f>
        <v>0</v>
      </c>
      <c r="H129" s="1396">
        <f ca="1">IF(G129&gt;0,CONTADORES!$AE127-CONTADORES!$AE126,0)</f>
        <v>0</v>
      </c>
      <c r="I129" s="199">
        <f ca="1">IF(B129&gt;=$J$5,0,CONTADORES!$AB127-CONTADORES!$AB126)</f>
        <v>291.6600000000326</v>
      </c>
      <c r="J129" s="198">
        <f t="shared" ca="1" si="36"/>
        <v>147.88999999999942</v>
      </c>
      <c r="K129" s="196">
        <f ca="1">'CALCULO DE GAS'!E134</f>
        <v>3.7769374053017044</v>
      </c>
      <c r="L129" s="1396">
        <f ca="1">IF(B129&gt;=$J$5,0,(CONTADORES!$Y127-CONTADORES!$Y126)-$O129)</f>
        <v>24</v>
      </c>
      <c r="M129" s="1396">
        <f t="shared" ca="1" si="66"/>
        <v>0</v>
      </c>
      <c r="N129" s="1396">
        <f ca="1">IF(B129&gt;=$J$5,0,CONTADORES!$AA127-CONTADORES!$AA126)</f>
        <v>0</v>
      </c>
      <c r="O129" s="1396">
        <f ca="1">IF(N129&gt;0,CONTADORES!$Z127-CONTADORES!$Z126,0)</f>
        <v>0</v>
      </c>
      <c r="P129" s="202">
        <f ca="1">IF(B129&gt;=$J$5,0,CONTADORES!$W127-CONTADORES!$W126)</f>
        <v>147.88999999999942</v>
      </c>
      <c r="Q129" s="202">
        <f ca="1">IF(B129&gt;=$J$5,0,CONTADORES!$B127-CONTADORES!$B126)</f>
        <v>0</v>
      </c>
      <c r="R129" s="196">
        <f t="shared" ca="1" si="37"/>
        <v>0</v>
      </c>
      <c r="S129" s="11">
        <f ca="1">IF(B129&gt;=$J$5,0,CONTADORES!$D127-CONTADORES!$D126)</f>
        <v>0</v>
      </c>
      <c r="T129" s="198">
        <f ca="1">IF(B129&gt;=$J$5,0,CONTADORES!$BB127-CONTADORES!$BB126)</f>
        <v>0</v>
      </c>
      <c r="U129" s="196">
        <f t="shared" ca="1" si="65"/>
        <v>0</v>
      </c>
      <c r="V129" s="199">
        <f ca="1">IF(B129&gt;=$J$5,0,CONTADORES!$BD127-CONTADORES!$BD126)</f>
        <v>0</v>
      </c>
      <c r="W129" s="1397">
        <f t="shared" ca="1" si="39"/>
        <v>439.55000000003201</v>
      </c>
      <c r="X129" s="1397">
        <f t="shared" ca="1" si="40"/>
        <v>0</v>
      </c>
      <c r="Y129" s="1398">
        <f t="shared" ca="1" si="41"/>
        <v>439.55000000003201</v>
      </c>
      <c r="Z129" s="1398">
        <f t="shared" ca="1" si="42"/>
        <v>8.7563877509594583</v>
      </c>
      <c r="AA129" s="1398">
        <f t="shared" ca="1" si="43"/>
        <v>0</v>
      </c>
      <c r="AB129" s="1398">
        <f t="shared" ca="1" si="44"/>
        <v>48</v>
      </c>
      <c r="AC129" s="1397">
        <f t="shared" ca="1" si="45"/>
        <v>0</v>
      </c>
      <c r="AD129" s="1438">
        <f ca="1">IF(B129&gt;=$J$5,0,CONTADORES!H127-CONTADORES!H126)</f>
        <v>165.54000000003725</v>
      </c>
      <c r="AE129" s="1402">
        <f ca="1">IF(B129&gt;=$J$5,0,CONTADORES!J127-CONTADORES!J126)</f>
        <v>24</v>
      </c>
      <c r="AF129" s="1438">
        <f ca="1">IF(B129&gt;=$J$5,0,CONTADORES!AU127-CONTADORES!AU126)</f>
        <v>143.85999999998603</v>
      </c>
      <c r="AG129" s="1397">
        <f ca="1">IF(B129&gt;=$J$5,0,CONTADORES!AW127-CONTADORES!AW126)</f>
        <v>22.600000000005821</v>
      </c>
      <c r="AH129" s="1397">
        <f ca="1">IF(B129&gt;=$J$5,0,(CONTADORES!AM127-CONTADORES!AM126)+(CONTADORES!M127-CONTADORES!M126))</f>
        <v>9.2000000000043656</v>
      </c>
      <c r="AI129" s="1397">
        <f ca="1">IF(B129&gt;=$J$5,0,(CONTADORES!AK127-CONTADORES!AK126)+(CONTADORES!O127-CONTADORES!O126))</f>
        <v>38.160000000003492</v>
      </c>
      <c r="AJ129" s="1397">
        <f ca="1">IF(B129&gt;=$J$5,0,(CONTADORES!AI127-CONTADORES!AI126))</f>
        <v>6.5299999999988358</v>
      </c>
      <c r="AK129" s="1397">
        <f ca="1">IF(B129&gt;=$J$5,0,(CONTADORES!Q127-CONTADORES!Q126))</f>
        <v>12.5</v>
      </c>
      <c r="AL129" s="1397">
        <f t="shared" ca="1" si="46"/>
        <v>33.81999999996691</v>
      </c>
      <c r="AM129" s="1397">
        <f ca="1">IF(B129&gt;=$J$5,0,(((CONTADORES!F127-CONTADORES!F126)+(CONTADORES!AQ127-CONTADORES!AQ126))))-BS129-AF129-AN129-BV129-BY129-CD129-CB129</f>
        <v>9.1390000000349723</v>
      </c>
      <c r="AN129" s="1397">
        <f ca="1">IF(B129&gt;=$J$5,0,(CONTADORES!AX127-CONTADORES!AX126)+(CONTADORES!AZ127-CONTADORES!AZ126)+(CONTADORES!BE127-CONTADORES!BE126))-CB129</f>
        <v>3.5149999999997457</v>
      </c>
      <c r="AO129" s="1399">
        <f ca="1">IF(B129&gt;=$J$5,0,(CONTADORES!AC127-CONTADORES!AC126))</f>
        <v>150.5</v>
      </c>
      <c r="AP129" s="1399">
        <f ca="1">IF(B129&gt;=$J$5,0,(CONTADORES!X127-CONTADORES!X126))</f>
        <v>73.06000000000131</v>
      </c>
      <c r="AQ129" s="1404">
        <f ca="1">IF(B129&gt;=$J$5,0,(CONTADORES!C127-CONTADORES!C126))</f>
        <v>0</v>
      </c>
      <c r="AR129" s="1399">
        <f ca="1">IF(B129&gt;=$J$5,0,(CONTADORES!BC127-CONTADORES!BC126))</f>
        <v>0</v>
      </c>
      <c r="AS129" s="1438">
        <f ca="1">IF(B129&gt;=$J$5,0,CONTADORES!S127-CONTADORES!S126)</f>
        <v>14.540000000008149</v>
      </c>
      <c r="AT129" s="1438">
        <f ca="1">IF(B129&gt;=$J$5,0,(CONTADORES!U127-CONTADORES!U126)+(CONTADORES!AG127-CONTADORES!AG126))</f>
        <v>2.4800000000032014</v>
      </c>
      <c r="AU129" s="1409">
        <f>CONTADORES!I127-CONTADORES!I126</f>
        <v>83.460000000020955</v>
      </c>
      <c r="AV129" s="1438">
        <f>CONTADORES!AV127-CONTADORES!AV126</f>
        <v>62.470000000001164</v>
      </c>
      <c r="AW129" s="1438">
        <f ca="1">IF(B129&gt;=$J$5,0,(CONTADORES!N127-CONTADORES!N126)+(CONTADORES!AN127-CONTADORES!AN126))</f>
        <v>3.9000000000014552</v>
      </c>
      <c r="AX129" s="1438">
        <f ca="1">IF(B129&gt;=$J$5,0,(CONTADORES!P127-CONTADORES!P126)+(CONTADORES!AL127-CONTADORES!AL126))</f>
        <v>32.419999999998254</v>
      </c>
      <c r="AY129" s="1438">
        <f ca="1">IF(B129&gt;=$J$5,0,(CONTADORES!AJ127-CONTADORES!AJ126))</f>
        <v>4.9500000000043656</v>
      </c>
      <c r="AZ129" s="1438">
        <f ca="1">IF(B129&gt;=$J$5,0,(CONTADORES!R127-CONTADORES!R126))</f>
        <v>9.9799999999959255</v>
      </c>
      <c r="BA129" s="1409">
        <f t="shared" ca="1" si="47"/>
        <v>10.421999999956711</v>
      </c>
      <c r="BB129" s="1409">
        <f ca="1">IF(B128&gt;=$J$5,0,(((CONTADORES!G127-CONTADORES!G126)+(CONTADORES!AR127-CONTADORES!AR126))))-AV129-BC129-BT129-BW129-BZ129-CE129</f>
        <v>6.7650000000222281</v>
      </c>
      <c r="BC129" s="1438">
        <f ca="1">IF(B129&gt;=$J$5,0,(CONTADORES!AY127-CONTADORES!AY126)+(CONTADORES!BA127-CONTADORES!BA126)+(CONTADORES!BF127-CONTADORES!BF126))-CC129</f>
        <v>1.0820000000002183</v>
      </c>
      <c r="BD129" s="1397">
        <f t="shared" ca="1" si="48"/>
        <v>223.56000000000131</v>
      </c>
      <c r="BE129" s="1398">
        <f ca="1">IF($B129&gt;=$J$5,0,CONTADORES!$BG127)</f>
        <v>6073.63</v>
      </c>
      <c r="BF129" s="1397">
        <f ca="1">IF($B129&gt;=$J$5,0,CONTADORES!$BH127)</f>
        <v>33829.589473684202</v>
      </c>
      <c r="BG129" s="1397">
        <f ca="1">IF($B129&gt;=$J$5,0,CONTADORES!$BJ127)</f>
        <v>6956.41</v>
      </c>
      <c r="BH129" s="1397">
        <f ca="1">IF(B129&gt;=$J$5,0,((CONTADORES!BK127-CONTADORES!BK126)/1000))</f>
        <v>1.5640000000000001</v>
      </c>
      <c r="BI129" s="1397">
        <f ca="1">IF(C129&gt;=$J$5,0,((CONTADORES!BL127-CONTADORES!BL126)/1000))</f>
        <v>1.484</v>
      </c>
      <c r="BJ129" s="1397">
        <f ca="1">IF(C129&gt;=$J$5,0,((CONTADORES!BM127-CONTADORES!BM126)/1000))</f>
        <v>0</v>
      </c>
      <c r="BK129" s="1397">
        <f ca="1">IF(D129&gt;=$J$5,0,((CONTADORES!BN127-CONTADORES!BN126)/1000))</f>
        <v>0</v>
      </c>
      <c r="BL129" s="1399">
        <f t="shared" ca="1" si="49"/>
        <v>1.5640000000000001</v>
      </c>
      <c r="BM129" s="1399">
        <f t="shared" ca="1" si="50"/>
        <v>1.484</v>
      </c>
      <c r="BN129" s="1398">
        <f ca="1">IF(W129&gt;=$J$5,0,CONTADORES!$BO127)</f>
        <v>127.26679615701511</v>
      </c>
      <c r="BO129" s="1397">
        <f ca="1">IF(W129&gt;=$J$5,0,CONTADORES!$BP127)</f>
        <v>43.355926760939361</v>
      </c>
      <c r="BP129" s="1397">
        <f ca="1">IF(W129&gt;=$J$5,0,CONTADORES!$BQ127)</f>
        <v>652.65758019151099</v>
      </c>
      <c r="BQ129" s="1397">
        <f ca="1">IF(B129&gt;=$J$5,0,(CONTADORES!AS127-CONTADORES!AS126))</f>
        <v>4.6929999999993015</v>
      </c>
      <c r="BR129" s="1397">
        <f ca="1">IF(C129&gt;=$J$5,0,(CONTADORES!AT127-CONTADORES!AT126))</f>
        <v>0</v>
      </c>
      <c r="BS129" s="1409">
        <f ca="1">IF(B129&gt;=$J$5,0,CONTADORES!BR127-CONTADORES!BR126)/1000</f>
        <v>1.968</v>
      </c>
      <c r="BT129" s="1438">
        <f ca="1">IF(B129&gt;=$J$5,0,CONTADORES!BS127-CONTADORES!BS126)</f>
        <v>1</v>
      </c>
      <c r="BU129" s="1438">
        <f ca="1">IF(B129&gt;=$J$5,0,CONTADORES!BT127-CONTADORES!BT126)</f>
        <v>24</v>
      </c>
      <c r="BV129" s="1438">
        <f ca="1">IF(B129&gt;=$J$5,0,CONTADORES!BU127-CONTADORES!BU126)/1000</f>
        <v>0</v>
      </c>
      <c r="BW129" s="1438">
        <f ca="1">IF(B129&gt;=$J$5,0,CONTADORES!BV127-CONTADORES!BV126)/1000</f>
        <v>0</v>
      </c>
      <c r="BX129" s="1438">
        <f ca="1">IF(B129&gt;=$J$5,0,CONTADORES!BW127-CONTADORES!BW126)</f>
        <v>0</v>
      </c>
      <c r="BY129" s="1438">
        <f ca="1">IF(B129&gt;=$J$5,0,CONTADORES!BX127-CONTADORES!BX126)/1000</f>
        <v>4.9530000000000003</v>
      </c>
      <c r="BZ129" s="1438">
        <f ca="1">IF(B129&gt;=$J$5,0,CONTADORES!BY127-CONTADORES!BY126)/1000</f>
        <v>0.72299999999999998</v>
      </c>
      <c r="CA129" s="1438">
        <f ca="1">IF(B129&gt;=$J$5,0,CONTADORES!BZ127-CONTADORES!BZ126)</f>
        <v>24</v>
      </c>
      <c r="CB129" s="1409">
        <f ca="1">IF(B129&gt;=$J$5,0,(CONTADORES!CC127-CONTADORES!CC126)+(CONTADORES!CE127-CONTADORES!CE126))/1000</f>
        <v>1.5149999999999999</v>
      </c>
      <c r="CC129" s="1438">
        <f ca="1">IF(B129&gt;=$J$5,0,(CONTADORES!CD127-CONTADORES!CD126)+(CONTADORES!CF127-CONTADORES!CF126))/1000</f>
        <v>0.92800000000000005</v>
      </c>
      <c r="CD129" s="1409">
        <f ca="1">IF(B129&gt;=$J$5,0,CONTADORES!CA127-CONTADORES!CA126)</f>
        <v>8.8500000000003638</v>
      </c>
      <c r="CE129" s="1438">
        <f ca="1">IF(B129&gt;=$J$5,0,CONTADORES!CB127-CONTADORES!CB126)</f>
        <v>5.4600000000000364</v>
      </c>
      <c r="CF129" s="1438">
        <f t="shared" ca="1" si="51"/>
        <v>13.41950000001785</v>
      </c>
      <c r="CG129" s="1438">
        <f t="shared" ca="1" si="52"/>
        <v>8.8425000000111496</v>
      </c>
      <c r="CH129" s="1438">
        <f t="shared" ca="1" si="53"/>
        <v>4.5695000000174861</v>
      </c>
      <c r="CI129" s="1438">
        <f t="shared" ca="1" si="54"/>
        <v>1.4059999999998984</v>
      </c>
      <c r="CJ129" s="1438">
        <f t="shared" ca="1" si="55"/>
        <v>4.5695000000174861</v>
      </c>
      <c r="CK129" s="1438">
        <f t="shared" ca="1" si="56"/>
        <v>2.1089999999998472</v>
      </c>
      <c r="CL129" s="1438">
        <f t="shared" ca="1" si="57"/>
        <v>2.9209999999998981</v>
      </c>
      <c r="CM129" s="1438">
        <f t="shared" ca="1" si="58"/>
        <v>3.3825000000111141</v>
      </c>
      <c r="CN129" s="1438">
        <f ca="1">IF(B129&gt;=$J$5,0,CONTADORES!CB127-CONTADORES!CB126)</f>
        <v>5.4600000000000364</v>
      </c>
      <c r="CO129" s="1438">
        <f t="shared" ca="1" si="59"/>
        <v>3.3825000000111141</v>
      </c>
      <c r="CP129" s="1438">
        <f t="shared" ca="1" si="60"/>
        <v>0.54100000000010917</v>
      </c>
      <c r="CQ129" s="1438">
        <f t="shared" ca="1" si="61"/>
        <v>0.54100000000010917</v>
      </c>
      <c r="CR129" s="1438">
        <f t="shared" ca="1" si="62"/>
        <v>1.4690000000001091</v>
      </c>
      <c r="CS129" s="1439">
        <f ca="1">IF($B129&gt;=$J$5,0,CONTADORES!$BI127)</f>
        <v>9644.5303851075605</v>
      </c>
      <c r="CT129" s="1334">
        <f>CONTADORES!E127</f>
        <v>0</v>
      </c>
      <c r="CU129" s="1334">
        <f>CONTADORES!CG127</f>
        <v>0</v>
      </c>
    </row>
    <row r="130" spans="2:99" ht="15" thickBot="1">
      <c r="B130" s="1043">
        <v>45046</v>
      </c>
      <c r="C130" s="200">
        <f t="shared" ca="1" si="35"/>
        <v>302.98999999999069</v>
      </c>
      <c r="D130" s="197">
        <f ca="1">'CALCULO DE GAS'!D135</f>
        <v>5.0742160938262222</v>
      </c>
      <c r="E130" s="197">
        <f ca="1">IF(B130&gt;=$J$5,0,(CONTADORES!$AD128-CONTADORES!$AD127)-$H130)</f>
        <v>24</v>
      </c>
      <c r="F130" s="200">
        <f t="shared" ca="1" si="67"/>
        <v>0</v>
      </c>
      <c r="G130" s="197">
        <f ca="1">IF(B130&gt;=$J$5,0,CONTADORES!$AF128-CONTADORES!$AF127)</f>
        <v>0</v>
      </c>
      <c r="H130" s="1424">
        <f ca="1">IF(G130&gt;0,CONTADORES!$AE128-CONTADORES!$AE127,0)</f>
        <v>0</v>
      </c>
      <c r="I130" s="201">
        <f ca="1">IF(B130&gt;=$J$5,0,CONTADORES!$AB128-CONTADORES!$AB127)</f>
        <v>302.98999999999069</v>
      </c>
      <c r="J130" s="200">
        <f t="shared" ca="1" si="36"/>
        <v>144</v>
      </c>
      <c r="K130" s="197">
        <f ca="1">'CALCULO DE GAS'!E135</f>
        <v>3.7444008862922917</v>
      </c>
      <c r="L130" s="1424">
        <f ca="1">IF(B130&gt;=$J$5,0,(CONTADORES!$Y128-CONTADORES!$Y127)-$O130)</f>
        <v>24</v>
      </c>
      <c r="M130" s="1424">
        <f t="shared" ca="1" si="66"/>
        <v>0</v>
      </c>
      <c r="N130" s="1424">
        <f ca="1">IF(B130&gt;=$J$5,0,CONTADORES!$AA128-CONTADORES!$AA127)</f>
        <v>0</v>
      </c>
      <c r="O130" s="1424">
        <f ca="1">IF(N130&gt;0,CONTADORES!$Z128-CONTADORES!$Z127,0)</f>
        <v>0</v>
      </c>
      <c r="P130" s="203">
        <f ca="1">IF(B130&gt;=$J$5,0,CONTADORES!$W128-CONTADORES!$W127)</f>
        <v>144</v>
      </c>
      <c r="Q130" s="203">
        <f ca="1">IF(B130&gt;=$J$5,0,CONTADORES!$B128-CONTADORES!$B127)</f>
        <v>0</v>
      </c>
      <c r="R130" s="197">
        <f t="shared" ca="1" si="37"/>
        <v>0</v>
      </c>
      <c r="S130" s="64">
        <f ca="1">IF(B130&gt;=$J$5,0,CONTADORES!$D128-CONTADORES!$D127)</f>
        <v>0</v>
      </c>
      <c r="T130" s="200">
        <f ca="1">IF(B130&gt;=$J$5,0,CONTADORES!$BB128-CONTADORES!$BB127)</f>
        <v>0</v>
      </c>
      <c r="U130" s="197">
        <f t="shared" ca="1" si="65"/>
        <v>0</v>
      </c>
      <c r="V130" s="201">
        <f ca="1">IF(B130&gt;=$J$5,0,CONTADORES!$BD128-CONTADORES!$BD127)</f>
        <v>0</v>
      </c>
      <c r="W130" s="1425">
        <f t="shared" ca="1" si="39"/>
        <v>446.98999999999069</v>
      </c>
      <c r="X130" s="1425">
        <f t="shared" ca="1" si="40"/>
        <v>0</v>
      </c>
      <c r="Y130" s="1426">
        <f t="shared" ca="1" si="41"/>
        <v>446.98999999999069</v>
      </c>
      <c r="Z130" s="1426">
        <f t="shared" ca="1" si="42"/>
        <v>8.818616980118513</v>
      </c>
      <c r="AA130" s="1426">
        <f t="shared" ca="1" si="43"/>
        <v>0</v>
      </c>
      <c r="AB130" s="1426">
        <f t="shared" ca="1" si="44"/>
        <v>48</v>
      </c>
      <c r="AC130" s="1425">
        <f t="shared" ca="1" si="45"/>
        <v>0</v>
      </c>
      <c r="AD130" s="1425">
        <f ca="1">IF(B130&gt;=$J$5,0,CONTADORES!H128-CONTADORES!H127)</f>
        <v>163.19999999995343</v>
      </c>
      <c r="AE130" s="1447">
        <f ca="1">IF(B130&gt;=$J$5,0,CONTADORES!J128-CONTADORES!J127)</f>
        <v>24</v>
      </c>
      <c r="AF130" s="1425">
        <f ca="1">IF(B130&gt;=$J$5,0,CONTADORES!AU128-CONTADORES!AU127)</f>
        <v>152.64000000001397</v>
      </c>
      <c r="AG130" s="1425">
        <f ca="1">IF(B130&gt;=$J$5,0,CONTADORES!AW128-CONTADORES!AW127)</f>
        <v>24</v>
      </c>
      <c r="AH130" s="1425">
        <f ca="1">IF(B130&gt;=$J$5,0,(CONTADORES!AM128-CONTADORES!AM127)+(CONTADORES!M128-CONTADORES!M127))</f>
        <v>13.19999999999709</v>
      </c>
      <c r="AI130" s="1425">
        <f ca="1">IF(B130&gt;=$J$5,0,(CONTADORES!AK128-CONTADORES!AK127)+(CONTADORES!O128-CONTADORES!O127))</f>
        <v>38.279999999998836</v>
      </c>
      <c r="AJ130" s="1425">
        <f ca="1">IF(B130&gt;=$J$5,0,(CONTADORES!AI128-CONTADORES!AI127))</f>
        <v>6.6999999999970896</v>
      </c>
      <c r="AK130" s="1425">
        <f ca="1">IF(B130&gt;=$J$5,0,(CONTADORES!Q128-CONTADORES!Q127))</f>
        <v>12.429999999993015</v>
      </c>
      <c r="AL130" s="1425">
        <f t="shared" ca="1" si="46"/>
        <v>33.280000000071539</v>
      </c>
      <c r="AM130" s="1425">
        <f ca="1">IF(B130&gt;=$J$5,0,(((CONTADORES!F128-CONTADORES!F127)+(CONTADORES!AQ128-CONTADORES!AQ127))))-BS130-AF130-AN130-BV130-BY130-CD130-CB130</f>
        <v>6.5129999999666826</v>
      </c>
      <c r="AN130" s="1425">
        <f ca="1">IF(B130&gt;=$J$5,0,(CONTADORES!AX128-CONTADORES!AX127)+(CONTADORES!AZ128-CONTADORES!AZ127)+(CONTADORES!BE128-CONTADORES!BE127))-CB130</f>
        <v>2.6749999999996361</v>
      </c>
      <c r="AO130" s="1427">
        <f ca="1">IF(B130&gt;=$J$5,0,(CONTADORES!AC128-CONTADORES!AC127))</f>
        <v>148.28000000002794</v>
      </c>
      <c r="AP130" s="1427">
        <f ca="1">IF(B130&gt;=$J$5,0,(CONTADORES!X128-CONTADORES!X127))</f>
        <v>74.56000000000131</v>
      </c>
      <c r="AQ130" s="1428">
        <f ca="1">IF(B130&gt;=$J$5,0,(CONTADORES!C128-CONTADORES!C127))</f>
        <v>0</v>
      </c>
      <c r="AR130" s="1427">
        <f ca="1">IF(B130&gt;=$J$5,0,(CONTADORES!BC128-CONTADORES!BC127))</f>
        <v>0</v>
      </c>
      <c r="AS130" s="1425">
        <f ca="1">IF(B130&gt;=$J$5,0,CONTADORES!S128-CONTADORES!S127)</f>
        <v>14.079999999987194</v>
      </c>
      <c r="AT130" s="1425">
        <f ca="1">IF(B130&gt;=$J$5,0,(CONTADORES!U128-CONTADORES!U127)+(CONTADORES!AG128-CONTADORES!AG127))</f>
        <v>2.3899999999994179</v>
      </c>
      <c r="AU130" s="1426">
        <f ca="1">IF(B130&gt;=$J$5,0,(CONTADORES!I128-CONTADORES!I127))</f>
        <v>81.820000000006985</v>
      </c>
      <c r="AV130" s="1425">
        <f>CONTADORES!AV128-CONTADORES!AV127</f>
        <v>66.220000000001164</v>
      </c>
      <c r="AW130" s="1425">
        <f ca="1">IF(B130&gt;=$J$5,0,(CONTADORES!N128-CONTADORES!N127)+(CONTADORES!AN128-CONTADORES!AN127))</f>
        <v>5.1999999999970896</v>
      </c>
      <c r="AX130" s="1425">
        <f ca="1">IF(B130&gt;=$J$5,0,(CONTADORES!P128-CONTADORES!P127)+(CONTADORES!AL128-CONTADORES!AL127))</f>
        <v>32.330000000001746</v>
      </c>
      <c r="AY130" s="1425">
        <f ca="1">IF(B130&gt;=$J$5,0,(CONTADORES!AJ128-CONTADORES!AJ127))</f>
        <v>4.9499999999970896</v>
      </c>
      <c r="AZ130" s="1425">
        <f ca="1">IF(B130&gt;=$J$5,0,(CONTADORES!R128-CONTADORES!R127))</f>
        <v>9.6999999999970896</v>
      </c>
      <c r="BA130" s="1426">
        <f t="shared" ca="1" si="47"/>
        <v>10.038000000029626</v>
      </c>
      <c r="BB130" s="1426">
        <f ca="1">IF(B129&gt;=$J$5,0,(((CONTADORES!G128-CONTADORES!G127)+(CONTADORES!AR128-CONTADORES!AR127))))-AV130-BC130-BT130-BW130-BZ130-CE130</f>
        <v>4.0229999999987811</v>
      </c>
      <c r="BC130" s="1425">
        <f ca="1">IF(B130&gt;=$J$5,0,(CONTADORES!AY128-CONTADORES!AY127)+(CONTADORES!BA128-CONTADORES!BA127)+(CONTADORES!BF128-CONTADORES!BF127))-CC130</f>
        <v>0.57800000000001817</v>
      </c>
      <c r="BD130" s="1425">
        <f t="shared" ca="1" si="48"/>
        <v>222.84000000002925</v>
      </c>
      <c r="BE130" s="1426">
        <f ca="1">IF($B130&gt;=$J$5,0,CONTADORES!$BG128)</f>
        <v>6517.29</v>
      </c>
      <c r="BF130" s="1425">
        <f ca="1">IF($B130&gt;=$J$5,0,CONTADORES!$BH128)</f>
        <v>31535.787719298241</v>
      </c>
      <c r="BG130" s="1425">
        <f ca="1">IF($B130&gt;=$J$5,0,CONTADORES!$BJ128)</f>
        <v>7583.88</v>
      </c>
      <c r="BH130" s="1425">
        <f ca="1">IF(B130&gt;=$J$5,0,((CONTADORES!BK128-CONTADORES!BK127)/1000))</f>
        <v>1.4730000000000001</v>
      </c>
      <c r="BI130" s="1425">
        <f ca="1">IF(C130&gt;=$J$5,0,((CONTADORES!BL128-CONTADORES!BL127)/1000))</f>
        <v>1.4159999999999999</v>
      </c>
      <c r="BJ130" s="1425">
        <f ca="1">IF(C130&gt;=$J$5,0,((CONTADORES!BM128-CONTADORES!BM127)/1000))</f>
        <v>0</v>
      </c>
      <c r="BK130" s="1425">
        <f ca="1">IF(D130&gt;=$J$5,0,((CONTADORES!BN128-CONTADORES!BN127)/1000))</f>
        <v>0</v>
      </c>
      <c r="BL130" s="1427">
        <f t="shared" ca="1" si="49"/>
        <v>1.4730000000000001</v>
      </c>
      <c r="BM130" s="1427">
        <f t="shared" ca="1" si="50"/>
        <v>1.4159999999999999</v>
      </c>
      <c r="BN130" s="1426">
        <f ca="1">IF(W130&gt;=$J$5,0,CONTADORES!$BO128)</f>
        <v>127.528825340876</v>
      </c>
      <c r="BO130" s="1425">
        <f ca="1">IF(W130&gt;=$J$5,0,CONTADORES!$BP128)</f>
        <v>43.163697067008741</v>
      </c>
      <c r="BP130" s="1425">
        <f ca="1">IF(W130&gt;=$J$5,0,CONTADORES!$BQ128)</f>
        <v>647.31505238714817</v>
      </c>
      <c r="BQ130" s="1425">
        <f ca="1">IF(B130&gt;=$J$5,0,(CONTADORES!AS128-CONTADORES!AS127))</f>
        <v>4.7000000000043656</v>
      </c>
      <c r="BR130" s="1425">
        <f ca="1">IF(C130&gt;=$J$5,0,(CONTADORES!AT128-CONTADORES!AT127))</f>
        <v>0</v>
      </c>
      <c r="BS130" s="1426">
        <f ca="1">IF(B130&gt;=$J$5,0,CONTADORES!BR128-CONTADORES!BR127)/1000</f>
        <v>2.9039999999999999</v>
      </c>
      <c r="BT130" s="1425">
        <f ca="1">IF(B130&gt;=$J$5,0,CONTADORES!BS128-CONTADORES!BS127)</f>
        <v>1</v>
      </c>
      <c r="BU130" s="1425">
        <f ca="1">IF(B130&gt;=$J$5,0,CONTADORES!BT128-CONTADORES!BT127)</f>
        <v>23.150000000001455</v>
      </c>
      <c r="BV130" s="1425">
        <f ca="1">IF(B130&gt;=$J$5,0,CONTADORES!BU128-CONTADORES!BU127)/1000</f>
        <v>0</v>
      </c>
      <c r="BW130" s="1425">
        <f ca="1">IF(B130&gt;=$J$5,0,CONTADORES!BV128-CONTADORES!BV127)/1000</f>
        <v>0</v>
      </c>
      <c r="BX130" s="1425">
        <f ca="1">IF(B130&gt;=$J$5,0,CONTADORES!BW128-CONTADORES!BW127)</f>
        <v>0</v>
      </c>
      <c r="BY130" s="1425">
        <f ca="1">IF(B130&gt;=$J$5,0,CONTADORES!BX128-CONTADORES!BX127)/1000</f>
        <v>4.9729999999999999</v>
      </c>
      <c r="BZ130" s="1425">
        <f ca="1">IF(B130&gt;=$J$5,0,CONTADORES!BY128-CONTADORES!BY127)/1000</f>
        <v>0.71899999999999997</v>
      </c>
      <c r="CA130" s="1425">
        <f ca="1">IF(B130&gt;=$J$5,0,CONTADORES!BZ128-CONTADORES!BZ127)</f>
        <v>24</v>
      </c>
      <c r="CB130" s="1426">
        <f ca="1">IF(B130&gt;=$J$5,0,(CONTADORES!CC128-CONTADORES!CC127)+(CONTADORES!CE128-CONTADORES!CE127))/1000</f>
        <v>1.4750000000000001</v>
      </c>
      <c r="CC130" s="1425">
        <f ca="1">IF(B130&gt;=$J$5,0,(CONTADORES!CD128-CONTADORES!CD127)+(CONTADORES!CF128-CONTADORES!CF127))/1000</f>
        <v>0.90200000000000002</v>
      </c>
      <c r="CD130" s="1426">
        <f ca="1">IF(B130&gt;=$J$5,0,CONTADORES!CA128-CONTADORES!CA127)</f>
        <v>8.7199999999993452</v>
      </c>
      <c r="CE130" s="1425">
        <f ca="1">IF(B130&gt;=$J$5,0,CONTADORES!CB128-CONTADORES!CB127)</f>
        <v>5.3599999999996726</v>
      </c>
      <c r="CF130" s="1425">
        <f t="shared" ca="1" si="51"/>
        <v>11.976499999982686</v>
      </c>
      <c r="CG130" s="1425">
        <f t="shared" ca="1" si="52"/>
        <v>7.3714999999990631</v>
      </c>
      <c r="CH130" s="1425">
        <f t="shared" ca="1" si="53"/>
        <v>3.2564999999833413</v>
      </c>
      <c r="CI130" s="1425">
        <f t="shared" ca="1" si="54"/>
        <v>1.0699999999998544</v>
      </c>
      <c r="CJ130" s="1425">
        <f t="shared" ca="1" si="55"/>
        <v>3.2564999999833413</v>
      </c>
      <c r="CK130" s="1425">
        <f t="shared" ca="1" si="56"/>
        <v>1.6049999999997817</v>
      </c>
      <c r="CL130" s="1425">
        <f t="shared" ca="1" si="57"/>
        <v>2.5449999999998543</v>
      </c>
      <c r="CM130" s="1425">
        <f t="shared" ca="1" si="58"/>
        <v>2.0114999999993906</v>
      </c>
      <c r="CN130" s="1425">
        <f ca="1">IF(B130&gt;=$J$5,0,CONTADORES!CB128-CONTADORES!CB127)</f>
        <v>5.3599999999996726</v>
      </c>
      <c r="CO130" s="1425">
        <f t="shared" ca="1" si="59"/>
        <v>2.0114999999993906</v>
      </c>
      <c r="CP130" s="1425">
        <f t="shared" ca="1" si="60"/>
        <v>0.28900000000000908</v>
      </c>
      <c r="CQ130" s="1425">
        <f t="shared" ca="1" si="61"/>
        <v>0.28900000000000908</v>
      </c>
      <c r="CR130" s="1425">
        <f t="shared" ca="1" si="62"/>
        <v>1.1910000000000092</v>
      </c>
      <c r="CS130" s="1430">
        <f ca="1">IF($B130&gt;=$J$5,0,CONTADORES!$BI128)</f>
        <v>7608.1909239212346</v>
      </c>
      <c r="CT130" s="1335">
        <f>CONTADORES!E128</f>
        <v>0</v>
      </c>
      <c r="CU130" s="1335">
        <f>CONTADORES!CG128</f>
        <v>0</v>
      </c>
    </row>
    <row r="131" spans="2:99">
      <c r="B131" s="390">
        <v>45047</v>
      </c>
      <c r="C131" s="198">
        <f t="shared" ca="1" si="35"/>
        <v>307.15000000002328</v>
      </c>
      <c r="D131" s="196">
        <f ca="1">'CALCULO DE GAS'!D140</f>
        <v>5.2262848504997255</v>
      </c>
      <c r="E131" s="196">
        <f ca="1">IF(B131&gt;=$J$5,0,(CONTADORES!$AD131-CONTADORES!$AD130)-$H131)</f>
        <v>24</v>
      </c>
      <c r="F131" s="198">
        <f t="shared" ca="1" si="67"/>
        <v>0</v>
      </c>
      <c r="G131" s="196">
        <f ca="1">IF(B131&gt;=$J$5,0,CONTADORES!$AF131-CONTADORES!$AF130)</f>
        <v>0</v>
      </c>
      <c r="H131" s="196">
        <f ca="1">IF(G131&gt;0,CONTADORES!$AE131-CONTADORES!$AE130,0)</f>
        <v>0</v>
      </c>
      <c r="I131" s="199">
        <f ca="1">IF(B131&gt;=$J$5,0,CONTADORES!$AB131-CONTADORES!$AB130)</f>
        <v>307.15000000002328</v>
      </c>
      <c r="J131" s="198">
        <f t="shared" ca="1" si="36"/>
        <v>145.09999999999854</v>
      </c>
      <c r="K131" s="196">
        <f ca="1">'CALCULO DE GAS'!E140</f>
        <v>3.8397628476450887</v>
      </c>
      <c r="L131" s="1396">
        <f ca="1">IF(B131&gt;=$J$5,0,(CONTADORES!$Y131-CONTADORES!$Y130)-$O131)</f>
        <v>24</v>
      </c>
      <c r="M131" s="1396">
        <f t="shared" ca="1" si="66"/>
        <v>0</v>
      </c>
      <c r="N131" s="1396">
        <f ca="1">IF(B131&gt;=$J$5,0,CONTADORES!$AA131-CONTADORES!$AA130)</f>
        <v>0</v>
      </c>
      <c r="O131" s="1396">
        <f ca="1">IF(N131&gt;0,CONTADORES!$Z131-CONTADORES!$Z130,0)</f>
        <v>0</v>
      </c>
      <c r="P131" s="202">
        <f ca="1">IF(B131&gt;=$J$5,0,CONTADORES!$W131-CONTADORES!$W130)</f>
        <v>145.09999999999854</v>
      </c>
      <c r="Q131" s="202">
        <f ca="1">IF(B131&gt;=$J$5,0,CONTADORES!$B131-CONTADORES!$B130)</f>
        <v>0</v>
      </c>
      <c r="R131" s="196">
        <f t="shared" ca="1" si="37"/>
        <v>0</v>
      </c>
      <c r="S131" s="11">
        <f ca="1">IF(B131&gt;=$J$5,0,CONTADORES!$D131-CONTADORES!$D130)</f>
        <v>0</v>
      </c>
      <c r="T131" s="198">
        <f ca="1">IF(B131&gt;=$J$5,0,CONTADORES!$BB131-CONTADORES!$BB130)</f>
        <v>0</v>
      </c>
      <c r="U131" s="196">
        <f t="shared" ca="1" si="65"/>
        <v>0</v>
      </c>
      <c r="V131" s="199">
        <f ca="1">IF(B131&gt;=$J$5,0,CONTADORES!$BD131-CONTADORES!$BD130)</f>
        <v>0</v>
      </c>
      <c r="W131" s="1397">
        <f t="shared" ca="1" si="39"/>
        <v>452.25000000002183</v>
      </c>
      <c r="X131" s="1397">
        <f t="shared" ca="1" si="40"/>
        <v>0</v>
      </c>
      <c r="Y131" s="1398">
        <f t="shared" ca="1" si="41"/>
        <v>452.25000000002183</v>
      </c>
      <c r="Z131" s="1398">
        <f t="shared" ca="1" si="42"/>
        <v>9.0660476981448141</v>
      </c>
      <c r="AA131" s="1398">
        <f t="shared" ca="1" si="43"/>
        <v>0</v>
      </c>
      <c r="AB131" s="1398">
        <f t="shared" ca="1" si="44"/>
        <v>48</v>
      </c>
      <c r="AC131" s="1397">
        <f t="shared" ca="1" si="45"/>
        <v>0</v>
      </c>
      <c r="AD131" s="1397">
        <f ca="1">IF(B131&gt;=$J$5,0,CONTADORES!H131-CONTADORES!H130)</f>
        <v>163.69999999999982</v>
      </c>
      <c r="AE131" s="1398">
        <f ca="1">IF(B131&gt;=$J$5,0,CONTADORES!J131-CONTADORES!J130)</f>
        <v>24</v>
      </c>
      <c r="AF131" s="1397">
        <f ca="1">IF(B131&gt;=$J$5,0,CONTADORES!AU131-CONTADORES!AU130)</f>
        <v>153.05999999999767</v>
      </c>
      <c r="AG131" s="1398">
        <f ca="1">IF(B131&gt;=$J$5,0,CONTADORES!AW131-CONTADORES!AW130)</f>
        <v>24</v>
      </c>
      <c r="AH131" s="1398">
        <f ca="1">IF(B131&gt;=$J$5,0,(CONTADORES!AM131-CONTADORES!AM130)+(CONTADORES!M131-CONTADORES!M130))</f>
        <v>12.900000000001455</v>
      </c>
      <c r="AI131" s="1397">
        <f ca="1">IF(B131&gt;=$J$5,0,(CONTADORES!AK131-CONTADORES!AK130)+(CONTADORES!O131-CONTADORES!O130))</f>
        <v>38.180000000007567</v>
      </c>
      <c r="AJ131" s="1397">
        <f ca="1">IF(B131&gt;=$J$5,0,(CONTADORES!AI131-CONTADORES!AI130))</f>
        <v>8.1699999999982538</v>
      </c>
      <c r="AK131" s="1397">
        <f ca="1">IF(B131&gt;=$J$5,0,(CONTADORES!Q131-CONTADORES!Q130))</f>
        <v>13.619999999995343</v>
      </c>
      <c r="AL131" s="1398">
        <f t="shared" ca="1" si="46"/>
        <v>34.080000000020846</v>
      </c>
      <c r="AM131" s="1397">
        <f ca="1">IF(B131&gt;=$J$5,0,(((CONTADORES!F131-CONTADORES!F130)+(CONTADORES!AQ131-CONTADORES!AQ130))))-BS131-AF131-AN131-BV131-BY131-CD131-CB131</f>
        <v>7.1299999999998773</v>
      </c>
      <c r="AN131" s="1397">
        <f ca="1">IF(B131&gt;=$J$5,0,(CONTADORES!AX131-CONTADORES!AX130)+(CONTADORES!AZ131-CONTADORES!AZ130)+(CONTADORES!BE131-CONTADORES!BE130))-CB131</f>
        <v>3.1980000000001274</v>
      </c>
      <c r="AO131" s="1397">
        <f ca="1">IF(B131&gt;=$J$5,0,(CONTADORES!AC131-CONTADORES!AC130))</f>
        <v>155.4199999999837</v>
      </c>
      <c r="AP131" s="1397">
        <f ca="1">IF(B131&gt;=$J$5,0,(CONTADORES!X131-CONTADORES!X130))</f>
        <v>71.539999999997235</v>
      </c>
      <c r="AQ131" s="1397">
        <f ca="1">IF(B131&gt;=$J$5,0,(CONTADORES!C131-CONTADORES!C130))</f>
        <v>0</v>
      </c>
      <c r="AR131" s="1397">
        <f ca="1">IF(B131&gt;=$J$5,0,(CONTADORES!BC131-CONTADORES!BC130))</f>
        <v>0</v>
      </c>
      <c r="AS131" s="1397">
        <f ca="1">IF(B131&gt;=$J$5,0,CONTADORES!S131-CONTADORES!S130)</f>
        <v>14.310000000026776</v>
      </c>
      <c r="AT131" s="1397">
        <f ca="1">IF(B131&gt;=$J$5,0,(CONTADORES!U131-CONTADORES!U130)+(CONTADORES!AG131-CONTADORES!AG130))</f>
        <v>2.430000000000291</v>
      </c>
      <c r="AU131" s="1397">
        <f ca="1">IF(B131&gt;=$J$5,0,(CONTADORES!I131-CONTADORES!I130))</f>
        <v>82.2800000000002</v>
      </c>
      <c r="AV131" s="1397">
        <f ca="1">IF(B131&gt;=$J$5,0,(CONTADORES!AV131-CONTADORES!AV130))</f>
        <v>66.309999999997672</v>
      </c>
      <c r="AW131" s="1397">
        <f ca="1">IF(B131&gt;=$J$5,0,(CONTADORES!N131-CONTADORES!N130)+(CONTADORES!AN131-CONTADORES!AN130))</f>
        <v>5</v>
      </c>
      <c r="AX131" s="1397">
        <f ca="1">IF(B131&gt;=$J$5,0,(CONTADORES!P131-CONTADORES!P130)+(CONTADORES!AL131-CONTADORES!AL130))</f>
        <v>32.349999999998545</v>
      </c>
      <c r="AY131" s="1397">
        <f ca="1">IF(B131&gt;=$J$5,0,(CONTADORES!AJ131-CONTADORES!AJ130))</f>
        <v>6.3000000000029104</v>
      </c>
      <c r="AZ131" s="1397">
        <f ca="1">IF(B131&gt;=$J$5,0,(CONTADORES!R131-CONTADORES!R130))</f>
        <v>10.639999999999418</v>
      </c>
      <c r="BA131" s="1398">
        <f t="shared" ca="1" si="47"/>
        <v>3.4489999999966869</v>
      </c>
      <c r="BB131" s="1397">
        <f ca="1">IF(B131&gt;=$J$5,0,(((CONTADORES!G131-CONTADORES!G130)+(CONTADORES!AR131-CONTADORES!AR130)+AR131)-(AV131+BC131)))</f>
        <v>10.679999999985284</v>
      </c>
      <c r="BC131" s="1397">
        <f ca="1">IF(B131&gt;=$J$5,0,(CONTADORES!AY131-CONTADORES!AY130)+(CONTADORES!BA131-CONTADORES!BA130)+(CONTADORES!BF131-CONTADORES!BF130))</f>
        <v>1.8099999999999454</v>
      </c>
      <c r="BD131" s="1397">
        <f t="shared" ca="1" si="48"/>
        <v>226.95999999998094</v>
      </c>
      <c r="BE131" s="1398">
        <f ca="1">IF($B131&gt;=$J$5,0,CONTADORES!$BG131)</f>
        <v>6464.8</v>
      </c>
      <c r="BF131" s="1397">
        <f ca="1">IF($B131&gt;=$J$5,0,CONTADORES!$BH131)</f>
        <v>31984.514035087701</v>
      </c>
      <c r="BG131" s="1397">
        <f ca="1">IF($B131&gt;=$J$5,0,CONTADORES!$BJ131)</f>
        <v>6806.3</v>
      </c>
      <c r="BH131" s="1397">
        <f ca="1">IF(B131&gt;=$J$5,0,((CONTADORES!BK131-CONTADORES!BK130)/1000))</f>
        <v>1.5169999999999999</v>
      </c>
      <c r="BI131" s="1397">
        <f ca="1">IF(B131&gt;=$J$5,0,((CONTADORES!BL131-CONTADORES!BL130)/1000))</f>
        <v>1.43</v>
      </c>
      <c r="BJ131" s="1397">
        <f ca="1">IF(B131&gt;=$J$5,0,((CONTADORES!BM131-CONTADORES!BM130)/1000))</f>
        <v>0</v>
      </c>
      <c r="BK131" s="1397">
        <f ca="1">IF(B131&gt;=$J$5,0,((CONTADORES!BN131-CONTADORES!BN130)/1000))</f>
        <v>0</v>
      </c>
      <c r="BL131" s="1399">
        <f t="shared" ca="1" si="49"/>
        <v>1.5169999999999999</v>
      </c>
      <c r="BM131" s="1399">
        <f t="shared" ca="1" si="50"/>
        <v>1.43</v>
      </c>
      <c r="BN131" s="1398">
        <f ca="1">IF(W131&gt;=$J$5,0,CONTADORES!$BO131)</f>
        <v>127.528825340876</v>
      </c>
      <c r="BO131" s="1397">
        <f ca="1">IF(W131&gt;=$J$5,0,CONTADORES!$BP131)</f>
        <v>42.899039622060492</v>
      </c>
      <c r="BP131" s="1397">
        <f ca="1">IF(W131&gt;=$J$5,0,CONTADORES!$BQ131)</f>
        <v>644.26913276066671</v>
      </c>
      <c r="BQ131" s="1397">
        <f ca="1">IF(B131&gt;=$J$5,0,(CONTADORES!AS131-CONTADORES!AS130))</f>
        <v>5.0999999999985448</v>
      </c>
      <c r="BR131" s="1397">
        <f ca="1">IF(B131&gt;=$J$5,0,(CONTADORES!AT131-CONTADORES!AT130))</f>
        <v>0</v>
      </c>
      <c r="BS131" s="1398">
        <f ca="1">IF(B131&gt;=$J$5,0,CONTADORES!BR131-CONTADORES!BR130)/1000</f>
        <v>2.8559999999999999</v>
      </c>
      <c r="BT131" s="1398">
        <f ca="1">IF(B131&gt;=$J$5,0,CONTADORES!BS131-CONTADORES!BS130)</f>
        <v>1</v>
      </c>
      <c r="BU131" s="1398">
        <f ca="1">IF(B131&gt;=$J$5,0,CONTADORES!BT131-CONTADORES!BT130)</f>
        <v>24</v>
      </c>
      <c r="BV131" s="1398">
        <f ca="1">IF(B131&gt;=$J$5,0,CONTADORES!BU131-CONTADORES!BU130)/1000</f>
        <v>0</v>
      </c>
      <c r="BW131" s="1398">
        <f ca="1">IF(B131&gt;=$J$5,0,CONTADORES!BV131-CONTADORES!BV130)/1000</f>
        <v>0</v>
      </c>
      <c r="BX131" s="1398">
        <f ca="1">IF(B131&gt;=$J$5,0,CONTADORES!BW131-CONTADORES!BW130)</f>
        <v>0</v>
      </c>
      <c r="BY131" s="1398">
        <f ca="1">IF(B131&gt;=$J$5,0,CONTADORES!BX131-CONTADORES!BX130)/1000</f>
        <v>5.1539999999999999</v>
      </c>
      <c r="BZ131" s="1398">
        <f ca="1">IF(B131&gt;=$J$5,0,CONTADORES!BY131-CONTADORES!BY130)/1000</f>
        <v>0.85599999999999998</v>
      </c>
      <c r="CA131" s="1398">
        <f ca="1">IF(B131&gt;=$J$5,0,CONTADORES!BZ131-CONTADORES!BZ130)</f>
        <v>24</v>
      </c>
      <c r="CB131" s="1398">
        <f ca="1">IF(B131&gt;=$J$5,0,(CONTADORES!CC131-CONTADORES!CC130)+(CONTADORES!CE131-CONTADORES!CE130))/1000</f>
        <v>1.4119999999999999</v>
      </c>
      <c r="CC131" s="1398">
        <f ca="1">IF(B131&gt;=$J$5,0,(CONTADORES!CD131-CONTADORES!CD130)+(CONTADORES!CF131-CONTADORES!CF130))/1000</f>
        <v>0.85499999999999998</v>
      </c>
      <c r="CD131" s="1398">
        <f ca="1">IF(B131&gt;=$J$5,0,CONTADORES!CA131-CONTADORES!CA130)</f>
        <v>8.7900000000008731</v>
      </c>
      <c r="CE131" s="1398">
        <f ca="1">IF(B131&gt;=$J$5,0,CONTADORES!CB131-CONTADORES!CB130)</f>
        <v>5.430000000000291</v>
      </c>
      <c r="CF131" s="1398">
        <f t="shared" ca="1" si="51"/>
        <v>12.355000000000812</v>
      </c>
      <c r="CG131" s="1398">
        <f t="shared" ca="1" si="52"/>
        <v>10.769999999992933</v>
      </c>
      <c r="CH131" s="1398">
        <f t="shared" ca="1" si="53"/>
        <v>3.5649999999999387</v>
      </c>
      <c r="CI131" s="1398">
        <f t="shared" ca="1" si="54"/>
        <v>1.279200000000051</v>
      </c>
      <c r="CJ131" s="1398">
        <f t="shared" ca="1" si="55"/>
        <v>3.5649999999999387</v>
      </c>
      <c r="CK131" s="1398">
        <f t="shared" ca="1" si="56"/>
        <v>1.9188000000000764</v>
      </c>
      <c r="CL131" s="1398">
        <f t="shared" ca="1" si="57"/>
        <v>2.6912000000000509</v>
      </c>
      <c r="CM131" s="1398">
        <f t="shared" ca="1" si="58"/>
        <v>5.3399999999926422</v>
      </c>
      <c r="CN131" s="1398">
        <f ca="1">IF(B131&gt;=$J$5,0,CONTADORES!CB131-CONTADORES!CB130)</f>
        <v>5.430000000000291</v>
      </c>
      <c r="CO131" s="1398">
        <f t="shared" ca="1" si="59"/>
        <v>5.3399999999926422</v>
      </c>
      <c r="CP131" s="1398">
        <f t="shared" ca="1" si="60"/>
        <v>0.90499999999997272</v>
      </c>
      <c r="CQ131" s="1398">
        <f t="shared" ca="1" si="61"/>
        <v>0.90499999999997272</v>
      </c>
      <c r="CR131" s="1398">
        <f t="shared" ca="1" si="62"/>
        <v>1.7599999999999727</v>
      </c>
      <c r="CS131" s="1448">
        <f ca="1">IF($B131&gt;=$J$5,0,CONTADORES!$BI131)</f>
        <v>7677.3688134100503</v>
      </c>
      <c r="CT131" s="1369">
        <f>CONTADORES!E131</f>
        <v>0</v>
      </c>
      <c r="CU131" s="1369">
        <f>CONTADORES!CG131</f>
        <v>0</v>
      </c>
    </row>
    <row r="132" spans="2:99">
      <c r="B132" s="390">
        <v>45048</v>
      </c>
      <c r="C132" s="198">
        <f t="shared" ca="1" si="35"/>
        <v>312.69999999995343</v>
      </c>
      <c r="D132" s="196">
        <f ca="1">'CALCULO DE GAS'!D141</f>
        <v>5.2737714109177771</v>
      </c>
      <c r="E132" s="196">
        <f ca="1">IF(B132&gt;=$J$5,0,(CONTADORES!$AD132-CONTADORES!$AD131)-$H132)</f>
        <v>24</v>
      </c>
      <c r="F132" s="198">
        <f t="shared" ca="1" si="67"/>
        <v>0</v>
      </c>
      <c r="G132" s="196">
        <f ca="1">IF(B132&gt;=$J$5,0,CONTADORES!$AF132-CONTADORES!$AF131)</f>
        <v>0</v>
      </c>
      <c r="H132" s="196">
        <f ca="1">IF(G132&gt;0,CONTADORES!$AE132-CONTADORES!$AE131,0)</f>
        <v>0</v>
      </c>
      <c r="I132" s="199">
        <f ca="1">IF(B132&gt;=$J$5,0,CONTADORES!$AB132-CONTADORES!$AB131)</f>
        <v>312.69999999995343</v>
      </c>
      <c r="J132" s="198">
        <f t="shared" ca="1" si="36"/>
        <v>148</v>
      </c>
      <c r="K132" s="196">
        <f ca="1">'CALCULO DE GAS'!E141</f>
        <v>3.8645756449809716</v>
      </c>
      <c r="L132" s="1396">
        <f ca="1">IF(B132&gt;=$J$5,0,(CONTADORES!$Y132-CONTADORES!$Y131)-$O132)</f>
        <v>24</v>
      </c>
      <c r="M132" s="1396">
        <f t="shared" ca="1" si="66"/>
        <v>0</v>
      </c>
      <c r="N132" s="1396">
        <f ca="1">IF(B132&gt;=$J$5,0,CONTADORES!$AA132-CONTADORES!$AA131)</f>
        <v>0</v>
      </c>
      <c r="O132" s="1396">
        <f ca="1">IF(N132&gt;0,CONTADORES!$Z132-CONTADORES!$Z131,0)</f>
        <v>0</v>
      </c>
      <c r="P132" s="202">
        <f ca="1">IF(B132&gt;=$J$5,0,CONTADORES!$W132-CONTADORES!$W131)</f>
        <v>148</v>
      </c>
      <c r="Q132" s="202">
        <f ca="1">IF(B132&gt;=$J$5,0,CONTADORES!$B132-CONTADORES!$B131)</f>
        <v>0.17599999999993088</v>
      </c>
      <c r="R132" s="196">
        <f t="shared" ca="1" si="37"/>
        <v>21.119999999991705</v>
      </c>
      <c r="S132" s="11">
        <f ca="1">IF(B132&gt;=$J$5,0,CONTADORES!$D132-CONTADORES!$D131)</f>
        <v>0.5999999999994543</v>
      </c>
      <c r="T132" s="198">
        <f ca="1">IF(B132&gt;=$J$5,0,CONTADORES!$BB132-CONTADORES!$BB131)</f>
        <v>0.20299999999997453</v>
      </c>
      <c r="U132" s="196">
        <f t="shared" ca="1" si="65"/>
        <v>24.359999999996944</v>
      </c>
      <c r="V132" s="199">
        <f ca="1">IF(B132&gt;=$J$5,0,CONTADORES!$BD132-CONTADORES!$BD131)</f>
        <v>0.29999999999995453</v>
      </c>
      <c r="W132" s="1397">
        <f t="shared" ca="1" si="39"/>
        <v>460.69999999995343</v>
      </c>
      <c r="X132" s="1397">
        <f t="shared" ca="1" si="40"/>
        <v>0.37899999999990541</v>
      </c>
      <c r="Y132" s="1398">
        <f t="shared" ca="1" si="41"/>
        <v>461.07899999995334</v>
      </c>
      <c r="Z132" s="1398">
        <f t="shared" ca="1" si="42"/>
        <v>9.1383470558987483</v>
      </c>
      <c r="AA132" s="1398">
        <f t="shared" ca="1" si="43"/>
        <v>45.47999999998865</v>
      </c>
      <c r="AB132" s="1398">
        <f t="shared" ca="1" si="44"/>
        <v>48</v>
      </c>
      <c r="AC132" s="1397">
        <f t="shared" ca="1" si="45"/>
        <v>0.89999999999940883</v>
      </c>
      <c r="AD132" s="1397">
        <f ca="1">IF(B132&gt;=$J$5,0,CONTADORES!H132-CONTADORES!H131)</f>
        <v>167.59999999999991</v>
      </c>
      <c r="AE132" s="1398">
        <f ca="1">IF(B132&gt;=$J$5,0,CONTADORES!J132-CONTADORES!J131)</f>
        <v>24</v>
      </c>
      <c r="AF132" s="1397">
        <f ca="1">IF(B132&gt;=$J$5,0,CONTADORES!AU132-CONTADORES!AU131)</f>
        <v>153.73999999999069</v>
      </c>
      <c r="AG132" s="1398">
        <f ca="1">IF(B132&gt;=$J$5,0,CONTADORES!AW132-CONTADORES!AW131)</f>
        <v>24</v>
      </c>
      <c r="AH132" s="1398">
        <f ca="1">IF(B132&gt;=$J$5,0,(CONTADORES!AM132-CONTADORES!AM131)+(CONTADORES!M132-CONTADORES!M131))</f>
        <v>14.30000000000291</v>
      </c>
      <c r="AI132" s="1397">
        <f ca="1">IF(B132&gt;=$J$5,0,(CONTADORES!AK132-CONTADORES!AK131)+(CONTADORES!O132-CONTADORES!O131))</f>
        <v>38.529999999998836</v>
      </c>
      <c r="AJ132" s="1397">
        <f ca="1">IF(B132&gt;=$J$5,0,(CONTADORES!AI132-CONTADORES!AI131))</f>
        <v>7.1000000000058208</v>
      </c>
      <c r="AK132" s="1397">
        <f ca="1">IF(B132&gt;=$J$5,0,(CONTADORES!Q132-CONTADORES!Q131))</f>
        <v>14.880000000004657</v>
      </c>
      <c r="AL132" s="1398">
        <f t="shared" ca="1" si="46"/>
        <v>36.068999999917196</v>
      </c>
      <c r="AM132" s="1397">
        <f ca="1">IF(B132&gt;=$J$5,0,(((CONTADORES!F132-CONTADORES!F131)+(CONTADORES!AQ132-CONTADORES!AQ131))))-BS132-AF132-AN132-BV132-BY132-CD132-CB132</f>
        <v>7.4810000000343138</v>
      </c>
      <c r="AN132" s="1397">
        <f ca="1">IF(B132&gt;=$J$5,0,(CONTADORES!AX132-CONTADORES!AX131)+(CONTADORES!AZ132-CONTADORES!AZ131)+(CONTADORES!BE132-CONTADORES!BE131))-CB132</f>
        <v>3.1139999999998906</v>
      </c>
      <c r="AO132" s="1397">
        <f ca="1">IF(B132&gt;=$J$5,0,(CONTADORES!AC132-CONTADORES!AC131))</f>
        <v>155.20000000001164</v>
      </c>
      <c r="AP132" s="1397">
        <f ca="1">IF(B132&gt;=$J$5,0,(CONTADORES!X132-CONTADORES!X131))</f>
        <v>75.400000000001455</v>
      </c>
      <c r="AQ132" s="1397">
        <f ca="1">IF(B132&gt;=$J$5,0,(CONTADORES!C132-CONTADORES!C131))</f>
        <v>8.7999999999965439E-2</v>
      </c>
      <c r="AR132" s="1397">
        <f ca="1">IF(B132&gt;=$J$5,0,(CONTADORES!BC132-CONTADORES!BC131))</f>
        <v>7.6999999999998181E-2</v>
      </c>
      <c r="AS132" s="1397">
        <f ca="1">IF(B132&gt;=$J$5,0,CONTADORES!S132-CONTADORES!S131)</f>
        <v>14.819999999977881</v>
      </c>
      <c r="AT132" s="1397">
        <f ca="1">IF(B132&gt;=$J$5,0,(CONTADORES!U132-CONTADORES!U131)+(CONTADORES!AG132-CONTADORES!AG131))</f>
        <v>2.5</v>
      </c>
      <c r="AU132" s="1397">
        <f ca="1">IF(B132&gt;=$J$5,0,(CONTADORES!I132-CONTADORES!I131))</f>
        <v>83.7199999999998</v>
      </c>
      <c r="AV132" s="1397">
        <f ca="1">IF(B132&gt;=$J$5,0,(CONTADORES!AV132-CONTADORES!AV131))</f>
        <v>66.399999999994179</v>
      </c>
      <c r="AW132" s="1397">
        <f ca="1">IF(B132&gt;=$J$5,0,(CONTADORES!N132-CONTADORES!N131)+(CONTADORES!AN132-CONTADORES!AN131))</f>
        <v>5.7000000000007276</v>
      </c>
      <c r="AX132" s="1397">
        <f ca="1">IF(B132&gt;=$J$5,0,(CONTADORES!P132-CONTADORES!P131)+(CONTADORES!AL132-CONTADORES!AL131))</f>
        <v>32.69999999999709</v>
      </c>
      <c r="AY132" s="1397">
        <f ca="1">IF(B132&gt;=$J$5,0,(CONTADORES!AJ132-CONTADORES!AJ131))</f>
        <v>5.6699999999982538</v>
      </c>
      <c r="AZ132" s="1397">
        <f ca="1">IF(B132&gt;=$J$5,0,(CONTADORES!R132-CONTADORES!R131))</f>
        <v>11.559999999997672</v>
      </c>
      <c r="BA132" s="1398">
        <f t="shared" ca="1" si="47"/>
        <v>4.016000000014543</v>
      </c>
      <c r="BB132" s="1397">
        <f ca="1">IF(B132&gt;=$J$5,0,(((CONTADORES!G132-CONTADORES!G131)+(CONTADORES!AR132-CONTADORES!AR131)+AR132)-(AV132+BC132)))</f>
        <v>10.217000000011211</v>
      </c>
      <c r="BC132" s="1397">
        <f ca="1">IF(B132&gt;=$J$5,0,(CONTADORES!AY132-CONTADORES!AY131)+(CONTADORES!BA132-CONTADORES!BA131)+(CONTADORES!BF132-CONTADORES!BF131))</f>
        <v>2.6599999999998829</v>
      </c>
      <c r="BD132" s="1397">
        <f t="shared" ca="1" si="48"/>
        <v>230.76500000001306</v>
      </c>
      <c r="BE132" s="1398">
        <f ca="1">IF($B132&gt;=$J$5,0,CONTADORES!$BG132)</f>
        <v>6386.78</v>
      </c>
      <c r="BF132" s="1397">
        <f ca="1">IF($B132&gt;=$J$5,0,CONTADORES!$BH132)</f>
        <v>30225.768421052599</v>
      </c>
      <c r="BG132" s="1397">
        <f ca="1">IF($B132&gt;=$J$5,0,CONTADORES!$BJ132)</f>
        <v>7587.6</v>
      </c>
      <c r="BH132" s="1397">
        <f ca="1">IF(B132&gt;=$J$5,0,((CONTADORES!BK132-CONTADORES!BK131)/1000))</f>
        <v>1.5209999999999999</v>
      </c>
      <c r="BI132" s="1397">
        <f ca="1">IF(B132&gt;=$J$5,0,((CONTADORES!BL132-CONTADORES!BL131)/1000))</f>
        <v>1.4359999999999999</v>
      </c>
      <c r="BJ132" s="1397">
        <f ca="1">IF(B132&gt;=$J$5,0,((CONTADORES!BM132-CONTADORES!BM131)/1000))</f>
        <v>0</v>
      </c>
      <c r="BK132" s="1397">
        <f ca="1">IF(B132&gt;=$J$5,0,((CONTADORES!BN132-CONTADORES!BN131)/1000))</f>
        <v>0</v>
      </c>
      <c r="BL132" s="1399">
        <f t="shared" ca="1" si="49"/>
        <v>1.5209999999999999</v>
      </c>
      <c r="BM132" s="1399">
        <f t="shared" ca="1" si="50"/>
        <v>1.4359999999999999</v>
      </c>
      <c r="BN132" s="1398">
        <f ca="1">IF(W132&gt;=$J$5,0,CONTADORES!$BO132)</f>
        <v>126.88072282516499</v>
      </c>
      <c r="BO132" s="1397">
        <f ca="1">IF(W132&gt;=$J$5,0,CONTADORES!$BP132)</f>
        <v>43.320134322908515</v>
      </c>
      <c r="BP132" s="1397">
        <f ca="1">IF(W132&gt;=$J$5,0,CONTADORES!$BQ132)</f>
        <v>645.58039392356091</v>
      </c>
      <c r="BQ132" s="1397">
        <f ca="1">IF(B132&gt;=$J$5,0,(CONTADORES!AS132-CONTADORES!AS131))</f>
        <v>4.9000000000014552</v>
      </c>
      <c r="BR132" s="1397">
        <f ca="1">IF(B132&gt;=$J$5,0,(CONTADORES!AT132-CONTADORES!AT131))</f>
        <v>0</v>
      </c>
      <c r="BS132" s="1398">
        <f ca="1">IF(B132&gt;=$J$5,0,CONTADORES!BR132-CONTADORES!BR131)/1000</f>
        <v>2.8319999999999999</v>
      </c>
      <c r="BT132" s="1398">
        <f ca="1">IF(B132&gt;=$J$5,0,CONTADORES!BS132-CONTADORES!BS131)</f>
        <v>1</v>
      </c>
      <c r="BU132" s="1398">
        <f ca="1">IF(B132&gt;=$J$5,0,CONTADORES!BT132-CONTADORES!BT131)</f>
        <v>23.94999999999709</v>
      </c>
      <c r="BV132" s="1398">
        <f ca="1">IF(B132&gt;=$J$5,0,CONTADORES!BU132-CONTADORES!BU131)/1000</f>
        <v>0</v>
      </c>
      <c r="BW132" s="1398">
        <f ca="1">IF(B132&gt;=$J$5,0,CONTADORES!BV132-CONTADORES!BV131)/1000</f>
        <v>0</v>
      </c>
      <c r="BX132" s="1398">
        <f ca="1">IF(B132&gt;=$J$5,0,CONTADORES!BW132-CONTADORES!BW131)</f>
        <v>0</v>
      </c>
      <c r="BY132" s="1398">
        <f ca="1">IF(B132&gt;=$J$5,0,CONTADORES!BX132-CONTADORES!BX131)/1000</f>
        <v>5.2169999999999996</v>
      </c>
      <c r="BZ132" s="1398">
        <f ca="1">IF(B132&gt;=$J$5,0,CONTADORES!BY132-CONTADORES!BY131)/1000</f>
        <v>0.89300000000000002</v>
      </c>
      <c r="CA132" s="1398">
        <f ca="1">IF(B132&gt;=$J$5,0,CONTADORES!BZ132-CONTADORES!BZ131)</f>
        <v>23.979999999999563</v>
      </c>
      <c r="CB132" s="1398">
        <f ca="1">IF(B132&gt;=$J$5,0,(CONTADORES!CC132-CONTADORES!CC131)+(CONTADORES!CE132-CONTADORES!CE131))/1000</f>
        <v>1.506</v>
      </c>
      <c r="CC132" s="1398">
        <f ca="1">IF(B132&gt;=$J$5,0,(CONTADORES!CD132-CONTADORES!CD131)+(CONTADORES!CF132-CONTADORES!CF131))/1000</f>
        <v>0.90900000000000003</v>
      </c>
      <c r="CD132" s="1398">
        <f ca="1">IF(B132&gt;=$J$5,0,CONTADORES!CA132-CONTADORES!CA131)</f>
        <v>8.7099999999991269</v>
      </c>
      <c r="CE132" s="1398">
        <f ca="1">IF(B132&gt;=$J$5,0,CONTADORES!CB132-CONTADORES!CB131)</f>
        <v>5.319999999999709</v>
      </c>
      <c r="CF132" s="1398">
        <f t="shared" ca="1" si="51"/>
        <v>12.450500000016284</v>
      </c>
      <c r="CG132" s="1398">
        <f t="shared" ca="1" si="52"/>
        <v>10.428500000005315</v>
      </c>
      <c r="CH132" s="1398">
        <f t="shared" ca="1" si="53"/>
        <v>3.7405000000171569</v>
      </c>
      <c r="CI132" s="1398">
        <f t="shared" ca="1" si="54"/>
        <v>1.2455999999999563</v>
      </c>
      <c r="CJ132" s="1398">
        <f t="shared" ca="1" si="55"/>
        <v>3.7405000000171569</v>
      </c>
      <c r="CK132" s="1398">
        <f t="shared" ca="1" si="56"/>
        <v>1.8683999999999343</v>
      </c>
      <c r="CL132" s="1398">
        <f t="shared" ca="1" si="57"/>
        <v>2.7515999999999563</v>
      </c>
      <c r="CM132" s="1398">
        <f t="shared" ca="1" si="58"/>
        <v>5.1085000000056056</v>
      </c>
      <c r="CN132" s="1398">
        <f ca="1">IF(B132&gt;=$J$5,0,CONTADORES!CB132-CONTADORES!CB131)</f>
        <v>5.319999999999709</v>
      </c>
      <c r="CO132" s="1398">
        <f t="shared" ca="1" si="59"/>
        <v>5.1085000000056056</v>
      </c>
      <c r="CP132" s="1398">
        <f t="shared" ca="1" si="60"/>
        <v>1.3299999999999415</v>
      </c>
      <c r="CQ132" s="1398">
        <f t="shared" ca="1" si="61"/>
        <v>1.3299999999999415</v>
      </c>
      <c r="CR132" s="1398">
        <f t="shared" ca="1" si="62"/>
        <v>2.2389999999999413</v>
      </c>
      <c r="CS132" s="1448">
        <f ca="1">IF($B132&gt;=$J$5,0,CONTADORES!$BI132)</f>
        <v>5970.7538574295204</v>
      </c>
      <c r="CT132" s="1369">
        <f>CONTADORES!E132</f>
        <v>1</v>
      </c>
      <c r="CU132" s="1369">
        <f>CONTADORES!CG132</f>
        <v>1</v>
      </c>
    </row>
    <row r="133" spans="2:99">
      <c r="B133" s="390">
        <v>45049</v>
      </c>
      <c r="C133" s="198">
        <f t="shared" ca="1" si="35"/>
        <v>286</v>
      </c>
      <c r="D133" s="196">
        <f ca="1">'CALCULO DE GAS'!D142</f>
        <v>5.0453225526879191</v>
      </c>
      <c r="E133" s="196">
        <f ca="1">IF(B133&gt;=$J$5,0,(CONTADORES!$AD133-CONTADORES!$AD132)-$H133)</f>
        <v>24</v>
      </c>
      <c r="F133" s="198">
        <f t="shared" ca="1" si="67"/>
        <v>0</v>
      </c>
      <c r="G133" s="196">
        <f ca="1">IF(B133&gt;=$J$5,0,CONTADORES!$AF133-CONTADORES!$AF132)</f>
        <v>0</v>
      </c>
      <c r="H133" s="196">
        <f ca="1">IF(G133&gt;0,CONTADORES!$AE133-CONTADORES!$AE132,0)</f>
        <v>0</v>
      </c>
      <c r="I133" s="199">
        <f ca="1">IF(B133&gt;=$J$5,0,CONTADORES!$AB133-CONTADORES!$AB132)</f>
        <v>286</v>
      </c>
      <c r="J133" s="198">
        <f t="shared" ca="1" si="36"/>
        <v>146</v>
      </c>
      <c r="K133" s="196">
        <f ca="1">'CALCULO DE GAS'!E142</f>
        <v>3.8474633709562331</v>
      </c>
      <c r="L133" s="1396">
        <f ca="1">IF(B133&gt;=$J$5,0,(CONTADORES!$Y133-CONTADORES!$Y132)-$O133)</f>
        <v>24</v>
      </c>
      <c r="M133" s="1396">
        <f t="shared" ca="1" si="66"/>
        <v>0</v>
      </c>
      <c r="N133" s="1396">
        <f ca="1">IF(B133&gt;=$J$5,0,CONTADORES!$AA133-CONTADORES!$AA132)</f>
        <v>0</v>
      </c>
      <c r="O133" s="1396">
        <f ca="1">IF(N133&gt;0,CONTADORES!$Z133-CONTADORES!$Z132,0)</f>
        <v>0</v>
      </c>
      <c r="P133" s="202">
        <f ca="1">IF(B133&gt;=$J$5,0,CONTADORES!$W133-CONTADORES!$W132)</f>
        <v>146</v>
      </c>
      <c r="Q133" s="202">
        <f ca="1">IF(B133&gt;=$J$5,0,CONTADORES!$B133-CONTADORES!$B132)</f>
        <v>0</v>
      </c>
      <c r="R133" s="196">
        <f t="shared" ca="1" si="37"/>
        <v>0</v>
      </c>
      <c r="S133" s="11">
        <f ca="1">IF(B133&gt;=$J$5,0,CONTADORES!$D133-CONTADORES!$D132)</f>
        <v>0</v>
      </c>
      <c r="T133" s="198">
        <f ca="1">IF(B133&gt;=$J$5,0,CONTADORES!$BB133-CONTADORES!$BB132)</f>
        <v>0</v>
      </c>
      <c r="U133" s="196">
        <f t="shared" ca="1" si="65"/>
        <v>0</v>
      </c>
      <c r="V133" s="199">
        <f ca="1">IF(B133&gt;=$J$5,0,CONTADORES!$BD133-CONTADORES!$BD132)</f>
        <v>0</v>
      </c>
      <c r="W133" s="1397">
        <f t="shared" ca="1" si="39"/>
        <v>432</v>
      </c>
      <c r="X133" s="1397">
        <f t="shared" ca="1" si="40"/>
        <v>0</v>
      </c>
      <c r="Y133" s="1398">
        <f t="shared" ca="1" si="41"/>
        <v>432</v>
      </c>
      <c r="Z133" s="1398">
        <f t="shared" ca="1" si="42"/>
        <v>8.8927859236441513</v>
      </c>
      <c r="AA133" s="1398">
        <f t="shared" ca="1" si="43"/>
        <v>0</v>
      </c>
      <c r="AB133" s="1398">
        <f t="shared" ca="1" si="44"/>
        <v>48</v>
      </c>
      <c r="AC133" s="1397">
        <f t="shared" ca="1" si="45"/>
        <v>0</v>
      </c>
      <c r="AD133" s="1397">
        <f ca="1">IF(B133&gt;=$J$5,0,CONTADORES!H133-CONTADORES!H132)</f>
        <v>155</v>
      </c>
      <c r="AE133" s="1398">
        <f ca="1">IF(B133&gt;=$J$5,0,CONTADORES!J133-CONTADORES!J132)</f>
        <v>22.399999999994179</v>
      </c>
      <c r="AF133" s="1397">
        <f ca="1">IF(B133&gt;=$J$5,0,CONTADORES!AU133-CONTADORES!AU132)</f>
        <v>152</v>
      </c>
      <c r="AG133" s="1398">
        <f ca="1">IF(B133&gt;=$J$5,0,CONTADORES!AW133-CONTADORES!AW132)</f>
        <v>24</v>
      </c>
      <c r="AH133" s="1398">
        <f ca="1">IF(B133&gt;=$J$5,0,(CONTADORES!AM133-CONTADORES!AM132)+(CONTADORES!M133-CONTADORES!M132))</f>
        <v>6.1999999999989086</v>
      </c>
      <c r="AI133" s="1397">
        <f ca="1">IF(B133&gt;=$J$5,0,(CONTADORES!AK133-CONTADORES!AK132)+(CONTADORES!O133-CONTADORES!O132))</f>
        <v>38.5</v>
      </c>
      <c r="AJ133" s="1397">
        <f ca="1">IF(B133&gt;=$J$5,0,(CONTADORES!AI133-CONTADORES!AI132))</f>
        <v>4.1999999999970896</v>
      </c>
      <c r="AK133" s="1397">
        <f ca="1">IF(B133&gt;=$J$5,0,(CONTADORES!Q133-CONTADORES!Q132))</f>
        <v>13.399999999994179</v>
      </c>
      <c r="AL133" s="1398">
        <f t="shared" ca="1" si="46"/>
        <v>33.000000000009095</v>
      </c>
      <c r="AM133" s="1397">
        <f ca="1">IF(B133&gt;=$J$5,0,(((CONTADORES!F133-CONTADORES!F132)+(CONTADORES!AQ133-CONTADORES!AQ132))))-BS133-AF133-AN133-BV133-BY133-CD133-CB133</f>
        <v>7.9159999999999133</v>
      </c>
      <c r="AN133" s="1397">
        <f ca="1">IF(B133&gt;=$J$5,0,(CONTADORES!AX133-CONTADORES!AX132)+(CONTADORES!AZ133-CONTADORES!AZ132)+(CONTADORES!BE133-CONTADORES!BE132))-CB133</f>
        <v>3.355000000000091</v>
      </c>
      <c r="AO133" s="1397">
        <f ca="1">IF(B133&gt;=$J$5,0,(CONTADORES!AC133-CONTADORES!AC132))</f>
        <v>143</v>
      </c>
      <c r="AP133" s="1397">
        <f ca="1">IF(B133&gt;=$J$5,0,(CONTADORES!X133-CONTADORES!X132))</f>
        <v>74</v>
      </c>
      <c r="AQ133" s="1397">
        <f ca="1">IF(B133&gt;=$J$5,0,(CONTADORES!C133-CONTADORES!C132))</f>
        <v>0</v>
      </c>
      <c r="AR133" s="1397">
        <f ca="1">IF(B133&gt;=$J$5,0,(CONTADORES!BC133-CONTADORES!BC132))</f>
        <v>0</v>
      </c>
      <c r="AS133" s="1397">
        <f ca="1">IF(B133&gt;=$J$5,0,CONTADORES!S133-CONTADORES!S132)</f>
        <v>14.960000000020955</v>
      </c>
      <c r="AT133" s="1397">
        <f ca="1">IF(B133&gt;=$J$5,0,(CONTADORES!U133-CONTADORES!U132)+(CONTADORES!AG133-CONTADORES!AG132))</f>
        <v>2.5</v>
      </c>
      <c r="AU133" s="1397">
        <f ca="1">IF(B133&gt;=$J$5,0,(CONTADORES!I133-CONTADORES!I132))</f>
        <v>78.900000000000091</v>
      </c>
      <c r="AV133" s="1397">
        <f ca="1">IF(B133&gt;=$J$5,0,(CONTADORES!AV133-CONTADORES!AV132))</f>
        <v>66</v>
      </c>
      <c r="AW133" s="1397">
        <f ca="1">IF(B133&gt;=$J$5,0,(CONTADORES!N133-CONTADORES!N132)+(CONTADORES!AN133-CONTADORES!AN132))</f>
        <v>2.4000000000014552</v>
      </c>
      <c r="AX133" s="1397">
        <f ca="1">IF(B133&gt;=$J$5,0,(CONTADORES!P133-CONTADORES!P132)+(CONTADORES!AL133-CONTADORES!AL132))</f>
        <v>32.700000000004366</v>
      </c>
      <c r="AY133" s="1397">
        <f ca="1">IF(B133&gt;=$J$5,0,(CONTADORES!AJ133-CONTADORES!AJ132))</f>
        <v>3.2999999999956344</v>
      </c>
      <c r="AZ133" s="1397">
        <f ca="1">IF(B133&gt;=$J$5,0,(CONTADORES!R133-CONTADORES!R132))</f>
        <v>10.700000000011642</v>
      </c>
      <c r="BA133" s="1398">
        <f t="shared" ca="1" si="47"/>
        <v>1.9099999999862689</v>
      </c>
      <c r="BB133" s="1397">
        <f ca="1">IF(B133&gt;=$J$5,0,(((CONTADORES!G133-CONTADORES!G132)+(CONTADORES!AR133-CONTADORES!AR132)+AR133)-(AV133+BC133)))</f>
        <v>10.439999999999998</v>
      </c>
      <c r="BC133" s="1397">
        <f ca="1">IF(B133&gt;=$J$5,0,(CONTADORES!AY133-CONTADORES!AY132)+(CONTADORES!BA133-CONTADORES!BA132)+(CONTADORES!BF133-CONTADORES!BF132))</f>
        <v>2.5600000000000023</v>
      </c>
      <c r="BD133" s="1397">
        <f t="shared" ca="1" si="48"/>
        <v>217</v>
      </c>
      <c r="BE133" s="1398">
        <f ca="1">IF($B133&gt;=$J$5,0,CONTADORES!$BG133)</f>
        <v>6240.02</v>
      </c>
      <c r="BF133" s="1397">
        <f ca="1">IF($B133&gt;=$J$5,0,CONTADORES!$BH133)</f>
        <v>30956.035087719294</v>
      </c>
      <c r="BG133" s="1397">
        <f ca="1">IF($B133&gt;=$J$5,0,CONTADORES!$BJ133)</f>
        <v>7128.04</v>
      </c>
      <c r="BH133" s="1397">
        <f ca="1">IF(B133&gt;=$J$5,0,((CONTADORES!BK133-CONTADORES!BK132)/1000))</f>
        <v>1.583</v>
      </c>
      <c r="BI133" s="1397">
        <f ca="1">IF(B133&gt;=$J$5,0,((CONTADORES!BL133-CONTADORES!BL132)/1000))</f>
        <v>1.5069999999999999</v>
      </c>
      <c r="BJ133" s="1397">
        <f ca="1">IF(B133&gt;=$J$5,0,((CONTADORES!BM133-CONTADORES!BM132)/1000))</f>
        <v>0</v>
      </c>
      <c r="BK133" s="1397">
        <f ca="1">IF(B133&gt;=$J$5,0,((CONTADORES!BN133-CONTADORES!BN132)/1000))</f>
        <v>0</v>
      </c>
      <c r="BL133" s="1399">
        <f t="shared" ca="1" si="49"/>
        <v>1.583</v>
      </c>
      <c r="BM133" s="1399">
        <f t="shared" ca="1" si="50"/>
        <v>1.5069999999999999</v>
      </c>
      <c r="BN133" s="1398">
        <f ca="1">IF(W133&gt;=$J$5,0,CONTADORES!$BO133)</f>
        <v>128</v>
      </c>
      <c r="BO133" s="1397">
        <f ca="1">IF(W133&gt;=$J$5,0,CONTADORES!$BP133)</f>
        <v>43.244999999999997</v>
      </c>
      <c r="BP133" s="1397">
        <f ca="1">IF(W133&gt;=$J$5,0,CONTADORES!$BQ133)</f>
        <v>649</v>
      </c>
      <c r="BQ133" s="1397">
        <f ca="1">IF(B133&gt;=$J$5,0,(CONTADORES!AS133-CONTADORES!AS132))</f>
        <v>5.2999999999956344</v>
      </c>
      <c r="BR133" s="1397">
        <f ca="1">IF(B133&gt;=$J$5,0,(CONTADORES!AT133-CONTADORES!AT132))</f>
        <v>0</v>
      </c>
      <c r="BS133" s="1398">
        <f ca="1">IF(B133&gt;=$J$5,0,CONTADORES!BR133-CONTADORES!BR132)/1000</f>
        <v>2.88</v>
      </c>
      <c r="BT133" s="1398">
        <f ca="1">IF(B133&gt;=$J$5,0,CONTADORES!BS133-CONTADORES!BS132)</f>
        <v>1</v>
      </c>
      <c r="BU133" s="1398">
        <f ca="1">IF(B133&gt;=$J$5,0,CONTADORES!BT133-CONTADORES!BT132)</f>
        <v>24</v>
      </c>
      <c r="BV133" s="1398">
        <f ca="1">IF(B133&gt;=$J$5,0,CONTADORES!BU133-CONTADORES!BU132)/1000</f>
        <v>0</v>
      </c>
      <c r="BW133" s="1398">
        <f ca="1">IF(B133&gt;=$J$5,0,CONTADORES!BV133-CONTADORES!BV132)/1000</f>
        <v>0</v>
      </c>
      <c r="BX133" s="1398">
        <f ca="1">IF(B133&gt;=$J$5,0,CONTADORES!BW133-CONTADORES!BW132)</f>
        <v>0</v>
      </c>
      <c r="BY133" s="1398">
        <f ca="1">IF(B133&gt;=$J$5,0,CONTADORES!BX133-CONTADORES!BX132)/1000</f>
        <v>5.3040000000000003</v>
      </c>
      <c r="BZ133" s="1398">
        <f ca="1">IF(B133&gt;=$J$5,0,CONTADORES!BY133-CONTADORES!BY132)/1000</f>
        <v>0.76100000000000001</v>
      </c>
      <c r="CA133" s="1398">
        <f ca="1">IF(B133&gt;=$J$5,0,CONTADORES!BZ133-CONTADORES!BZ132)</f>
        <v>24</v>
      </c>
      <c r="CB133" s="1398">
        <f ca="1">IF(B133&gt;=$J$5,0,(CONTADORES!CC133-CONTADORES!CC132)+(CONTADORES!CE133-CONTADORES!CE132))/1000</f>
        <v>1.5449999999999999</v>
      </c>
      <c r="CC133" s="1398">
        <f ca="1">IF(B133&gt;=$J$5,0,(CONTADORES!CD133-CONTADORES!CD132)+(CONTADORES!CF133-CONTADORES!CF132))/1000</f>
        <v>0.92900000000000005</v>
      </c>
      <c r="CD133" s="1398">
        <f ca="1">IF(B133&gt;=$J$5,0,CONTADORES!CA133-CONTADORES!CA132)</f>
        <v>8.7000000000007276</v>
      </c>
      <c r="CE133" s="1398">
        <f ca="1">IF(B133&gt;=$J$5,0,CONTADORES!CB133-CONTADORES!CB132)</f>
        <v>5.4000000000005457</v>
      </c>
      <c r="CF133" s="1398">
        <f t="shared" ca="1" si="51"/>
        <v>12.658000000000683</v>
      </c>
      <c r="CG133" s="1398">
        <f t="shared" ca="1" si="52"/>
        <v>10.620000000000545</v>
      </c>
      <c r="CH133" s="1398">
        <f t="shared" ca="1" si="53"/>
        <v>3.9579999999999567</v>
      </c>
      <c r="CI133" s="1398">
        <f t="shared" ca="1" si="54"/>
        <v>1.3420000000000365</v>
      </c>
      <c r="CJ133" s="1398">
        <f t="shared" ca="1" si="55"/>
        <v>3.9579999999999567</v>
      </c>
      <c r="CK133" s="1398">
        <f t="shared" ca="1" si="56"/>
        <v>2.0130000000000545</v>
      </c>
      <c r="CL133" s="1398">
        <f t="shared" ca="1" si="57"/>
        <v>2.8870000000000364</v>
      </c>
      <c r="CM133" s="1398">
        <f t="shared" ca="1" si="58"/>
        <v>5.2199999999999989</v>
      </c>
      <c r="CN133" s="1398">
        <f ca="1">IF(B133&gt;=$J$5,0,CONTADORES!CB133-CONTADORES!CB132)</f>
        <v>5.4000000000005457</v>
      </c>
      <c r="CO133" s="1398">
        <f t="shared" ca="1" si="59"/>
        <v>5.2199999999999989</v>
      </c>
      <c r="CP133" s="1398">
        <f t="shared" ca="1" si="60"/>
        <v>1.2800000000000011</v>
      </c>
      <c r="CQ133" s="1398">
        <f t="shared" ca="1" si="61"/>
        <v>1.2800000000000011</v>
      </c>
      <c r="CR133" s="1398">
        <f t="shared" ca="1" si="62"/>
        <v>2.2090000000000014</v>
      </c>
      <c r="CS133" s="1448">
        <f ca="1">IF($B133&gt;=$J$5,0,CONTADORES!$BI133)</f>
        <v>8966.2605874286655</v>
      </c>
      <c r="CT133" s="1369">
        <f>CONTADORES!E133</f>
        <v>0</v>
      </c>
      <c r="CU133" s="1369">
        <f>CONTADORES!CG133</f>
        <v>0</v>
      </c>
    </row>
    <row r="134" spans="2:99">
      <c r="B134" s="390">
        <v>45050</v>
      </c>
      <c r="C134" s="198">
        <f t="shared" ca="1" si="35"/>
        <v>295</v>
      </c>
      <c r="D134" s="196">
        <f ca="1">'CALCULO DE GAS'!D143</f>
        <v>5.1223277857992411</v>
      </c>
      <c r="E134" s="196">
        <f ca="1">IF(B134&gt;=$J$5,0,(CONTADORES!$AD134-CONTADORES!$AD133)-$H134)</f>
        <v>24</v>
      </c>
      <c r="F134" s="198">
        <f t="shared" ca="1" si="67"/>
        <v>0</v>
      </c>
      <c r="G134" s="196">
        <f ca="1">IF(B134&gt;=$J$5,0,CONTADORES!$AF134-CONTADORES!$AF133)</f>
        <v>0</v>
      </c>
      <c r="H134" s="196">
        <f ca="1">IF(G134&gt;0,CONTADORES!$AE134-CONTADORES!$AE133,0)</f>
        <v>0</v>
      </c>
      <c r="I134" s="199">
        <f ca="1">IF(B134&gt;=$J$5,0,CONTADORES!$AB134-CONTADORES!$AB133)</f>
        <v>295</v>
      </c>
      <c r="J134" s="198">
        <f t="shared" ca="1" si="36"/>
        <v>150</v>
      </c>
      <c r="K134" s="196">
        <f ca="1">'CALCULO DE GAS'!E143</f>
        <v>3.8816879190057101</v>
      </c>
      <c r="L134" s="1396">
        <f ca="1">IF(B134&gt;=$J$5,0,(CONTADORES!$Y134-CONTADORES!$Y133)-$O134)</f>
        <v>24</v>
      </c>
      <c r="M134" s="1396">
        <f t="shared" ca="1" si="66"/>
        <v>0</v>
      </c>
      <c r="N134" s="1396">
        <f ca="1">IF(B134&gt;=$J$5,0,CONTADORES!$AA134-CONTADORES!$AA133)</f>
        <v>0</v>
      </c>
      <c r="O134" s="1396">
        <f ca="1">IF(N134&gt;0,CONTADORES!$Z134-CONTADORES!$Z133,0)</f>
        <v>0</v>
      </c>
      <c r="P134" s="202">
        <f ca="1">IF(B134&gt;=$J$5,0,CONTADORES!$W134-CONTADORES!$W133)</f>
        <v>150</v>
      </c>
      <c r="Q134" s="202">
        <f ca="1">IF(B134&gt;=$J$5,0,CONTADORES!$B134-CONTADORES!$B133)</f>
        <v>0</v>
      </c>
      <c r="R134" s="196">
        <f t="shared" ca="1" si="37"/>
        <v>0</v>
      </c>
      <c r="S134" s="11">
        <f ca="1">IF(B134&gt;=$J$5,0,CONTADORES!$D134-CONTADORES!$D133)</f>
        <v>0</v>
      </c>
      <c r="T134" s="198">
        <f ca="1">IF(B134&gt;=$J$5,0,CONTADORES!$BB134-CONTADORES!$BB133)</f>
        <v>0</v>
      </c>
      <c r="U134" s="196">
        <f t="shared" ca="1" si="65"/>
        <v>0</v>
      </c>
      <c r="V134" s="199">
        <f ca="1">IF(B134&gt;=$J$5,0,CONTADORES!$BD134-CONTADORES!$BD133)</f>
        <v>0</v>
      </c>
      <c r="W134" s="1397">
        <f t="shared" ca="1" si="39"/>
        <v>445</v>
      </c>
      <c r="X134" s="1397">
        <f t="shared" ca="1" si="40"/>
        <v>0</v>
      </c>
      <c r="Y134" s="1398">
        <f t="shared" ca="1" si="41"/>
        <v>445</v>
      </c>
      <c r="Z134" s="1398">
        <f t="shared" ca="1" si="42"/>
        <v>9.0040157048049512</v>
      </c>
      <c r="AA134" s="1398">
        <f t="shared" ca="1" si="43"/>
        <v>0</v>
      </c>
      <c r="AB134" s="1398">
        <f t="shared" ca="1" si="44"/>
        <v>48</v>
      </c>
      <c r="AC134" s="1397">
        <f t="shared" ca="1" si="45"/>
        <v>0</v>
      </c>
      <c r="AD134" s="1397">
        <f ca="1">IF(B134&gt;=$J$5,0,CONTADORES!H134-CONTADORES!H133)</f>
        <v>165.40000000000009</v>
      </c>
      <c r="AE134" s="1398">
        <f ca="1">IF(B134&gt;=$J$5,0,CONTADORES!J134-CONTADORES!J133)</f>
        <v>24</v>
      </c>
      <c r="AF134" s="1397">
        <f ca="1">IF(B134&gt;=$J$5,0,CONTADORES!AU134-CONTADORES!AU133)</f>
        <v>154</v>
      </c>
      <c r="AG134" s="1398">
        <f ca="1">IF(B134&gt;=$J$5,0,CONTADORES!AW134-CONTADORES!AW133)</f>
        <v>24</v>
      </c>
      <c r="AH134" s="1398">
        <f ca="1">IF(B134&gt;=$J$5,0,(CONTADORES!AM134-CONTADORES!AM133)+(CONTADORES!M134-CONTADORES!M133))</f>
        <v>7.2999999999956344</v>
      </c>
      <c r="AI134" s="1397">
        <f ca="1">IF(B134&gt;=$J$5,0,(CONTADORES!AK134-CONTADORES!AK133)+(CONTADORES!O134-CONTADORES!O133))</f>
        <v>38.599999999991269</v>
      </c>
      <c r="AJ134" s="1397">
        <f ca="1">IF(B134&gt;=$J$5,0,(CONTADORES!AI134-CONTADORES!AI133))</f>
        <v>4.8000000000029104</v>
      </c>
      <c r="AK134" s="1397">
        <f ca="1">IF(B134&gt;=$J$5,0,(CONTADORES!Q134-CONTADORES!Q133))</f>
        <v>12.700000000011642</v>
      </c>
      <c r="AL134" s="1398">
        <f t="shared" ca="1" si="46"/>
        <v>34.099999999999966</v>
      </c>
      <c r="AM134" s="1397">
        <f ca="1">IF(B134&gt;=$J$5,0,(((CONTADORES!F134-CONTADORES!F133)+(CONTADORES!AQ134-CONTADORES!AQ133))))-BS134-AF134-AN134-BV134-BY134-CD134-CB134</f>
        <v>5.9519999999990141</v>
      </c>
      <c r="AN134" s="1397">
        <f ca="1">IF(B134&gt;=$J$5,0,(CONTADORES!AX134-CONTADORES!AX133)+(CONTADORES!AZ134-CONTADORES!AZ133)+(CONTADORES!BE134-CONTADORES!BE133))-CB134</f>
        <v>3.863999999999908</v>
      </c>
      <c r="AO134" s="1397">
        <f ca="1">IF(B134&gt;=$J$5,0,(CONTADORES!AC134-CONTADORES!AC133))</f>
        <v>148</v>
      </c>
      <c r="AP134" s="1397">
        <f ca="1">IF(B134&gt;=$J$5,0,(CONTADORES!X134-CONTADORES!X133))</f>
        <v>74</v>
      </c>
      <c r="AQ134" s="1397">
        <f ca="1">IF(B134&gt;=$J$5,0,(CONTADORES!C134-CONTADORES!C133))</f>
        <v>0</v>
      </c>
      <c r="AR134" s="1397">
        <f ca="1">IF(B134&gt;=$J$5,0,(CONTADORES!BC134-CONTADORES!BC133))</f>
        <v>0</v>
      </c>
      <c r="AS134" s="1397">
        <f ca="1">IF(B134&gt;=$J$5,0,CONTADORES!S134-CONTADORES!S133)</f>
        <v>14.099999999976717</v>
      </c>
      <c r="AT134" s="1397">
        <f ca="1">IF(B134&gt;=$J$5,0,(CONTADORES!U134-CONTADORES!U133)+(CONTADORES!AG134-CONTADORES!AG133))</f>
        <v>2.5</v>
      </c>
      <c r="AU134" s="1397">
        <f ca="1">IF(B134&gt;=$J$5,0,(CONTADORES!I134-CONTADORES!I133))</f>
        <v>83.5</v>
      </c>
      <c r="AV134" s="1397">
        <f ca="1">IF(B134&gt;=$J$5,0,(CONTADORES!AV134-CONTADORES!AV133))</f>
        <v>66</v>
      </c>
      <c r="AW134" s="1397">
        <f ca="1">IF(B134&gt;=$J$5,0,(CONTADORES!N134-CONTADORES!N133)+(CONTADORES!AN134-CONTADORES!AN133))</f>
        <v>2.7999999999992724</v>
      </c>
      <c r="AX134" s="1397">
        <f ca="1">IF(B134&gt;=$J$5,0,(CONTADORES!P134-CONTADORES!P133)+(CONTADORES!AL134-CONTADORES!AL133))</f>
        <v>32.69999999999709</v>
      </c>
      <c r="AY134" s="1397">
        <f ca="1">IF(B134&gt;=$J$5,0,(CONTADORES!AJ134-CONTADORES!AJ133))</f>
        <v>3.5</v>
      </c>
      <c r="AZ134" s="1397">
        <f ca="1">IF(B134&gt;=$J$5,0,(CONTADORES!R134-CONTADORES!R133))</f>
        <v>10.19999999999709</v>
      </c>
      <c r="BA134" s="1398">
        <f t="shared" ca="1" si="47"/>
        <v>3.0960000000061996</v>
      </c>
      <c r="BB134" s="1397">
        <f ca="1">IF(B134&gt;=$J$5,0,(((CONTADORES!G134-CONTADORES!G133)+(CONTADORES!AR134-CONTADORES!AR133)+AR134)-(AV134+BC134)))</f>
        <v>10.060000000000372</v>
      </c>
      <c r="BC134" s="1397">
        <f ca="1">IF(B134&gt;=$J$5,0,(CONTADORES!AY134-CONTADORES!AY133)+(CONTADORES!BA134-CONTADORES!BA133)+(CONTADORES!BF134-CONTADORES!BF133))</f>
        <v>2.039999999999992</v>
      </c>
      <c r="BD134" s="1397">
        <f t="shared" ca="1" si="48"/>
        <v>222</v>
      </c>
      <c r="BE134" s="1398">
        <f ca="1">IF($B134&gt;=$J$5,0,CONTADORES!$BG134)</f>
        <v>6067.45</v>
      </c>
      <c r="BF134" s="1397">
        <f ca="1">IF($B134&gt;=$J$5,0,CONTADORES!$BH134)</f>
        <v>31565.14736842105</v>
      </c>
      <c r="BG134" s="1397">
        <f ca="1">IF($B134&gt;=$J$5,0,CONTADORES!$BJ134)</f>
        <v>6754.2100000000009</v>
      </c>
      <c r="BH134" s="1397">
        <f ca="1">IF(B134&gt;=$J$5,0,((CONTADORES!BK134-CONTADORES!BK133)/1000))</f>
        <v>1.472</v>
      </c>
      <c r="BI134" s="1397">
        <f ca="1">IF(B134&gt;=$J$5,0,((CONTADORES!BL134-CONTADORES!BL133)/1000))</f>
        <v>1.423</v>
      </c>
      <c r="BJ134" s="1397">
        <f ca="1">IF(B134&gt;=$J$5,0,((CONTADORES!BM134-CONTADORES!BM133)/1000))</f>
        <v>0</v>
      </c>
      <c r="BK134" s="1397">
        <f ca="1">IF(B134&gt;=$J$5,0,((CONTADORES!BN134-CONTADORES!BN133)/1000))</f>
        <v>0</v>
      </c>
      <c r="BL134" s="1399">
        <f t="shared" ca="1" si="49"/>
        <v>1.472</v>
      </c>
      <c r="BM134" s="1399">
        <f t="shared" ca="1" si="50"/>
        <v>1.423</v>
      </c>
      <c r="BN134" s="1398">
        <f ca="1">IF(W134&gt;=$J$5,0,CONTADORES!$BO134)</f>
        <v>126</v>
      </c>
      <c r="BO134" s="1397">
        <f ca="1">IF(W134&gt;=$J$5,0,CONTADORES!$BP134)</f>
        <v>43.695999999999998</v>
      </c>
      <c r="BP134" s="1397">
        <f ca="1">IF(W134&gt;=$J$5,0,CONTADORES!$BQ134)</f>
        <v>643</v>
      </c>
      <c r="BQ134" s="1397">
        <f ca="1">IF(B134&gt;=$J$5,0,(CONTADORES!AS134-CONTADORES!AS133))</f>
        <v>5.4000000000014552</v>
      </c>
      <c r="BR134" s="1397">
        <f ca="1">IF(B134&gt;=$J$5,0,(CONTADORES!AT134-CONTADORES!AT133))</f>
        <v>0</v>
      </c>
      <c r="BS134" s="1398">
        <f ca="1">IF(B134&gt;=$J$5,0,CONTADORES!BR134-CONTADORES!BR133)/1000</f>
        <v>2.64</v>
      </c>
      <c r="BT134" s="1398">
        <f ca="1">IF(B134&gt;=$J$5,0,CONTADORES!BS134-CONTADORES!BS133)</f>
        <v>1</v>
      </c>
      <c r="BU134" s="1398">
        <f ca="1">IF(B134&gt;=$J$5,0,CONTADORES!BT134-CONTADORES!BT133)</f>
        <v>24</v>
      </c>
      <c r="BV134" s="1398">
        <f ca="1">IF(B134&gt;=$J$5,0,CONTADORES!BU134-CONTADORES!BU133)/1000</f>
        <v>0</v>
      </c>
      <c r="BW134" s="1398">
        <f ca="1">IF(B134&gt;=$J$5,0,CONTADORES!BV134-CONTADORES!BV133)/1000</f>
        <v>0</v>
      </c>
      <c r="BX134" s="1398">
        <f ca="1">IF(B134&gt;=$J$5,0,CONTADORES!BW134-CONTADORES!BW133)</f>
        <v>0</v>
      </c>
      <c r="BY134" s="1398">
        <f ca="1">IF(B134&gt;=$J$5,0,CONTADORES!BX134-CONTADORES!BX133)/1000</f>
        <v>5.2880000000000003</v>
      </c>
      <c r="BZ134" s="1398">
        <f ca="1">IF(B134&gt;=$J$5,0,CONTADORES!BY134-CONTADORES!BY133)/1000</f>
        <v>0.751</v>
      </c>
      <c r="CA134" s="1398">
        <f ca="1">IF(B134&gt;=$J$5,0,CONTADORES!BZ134-CONTADORES!BZ133)</f>
        <v>24</v>
      </c>
      <c r="CB134" s="1398">
        <f ca="1">IF(B134&gt;=$J$5,0,(CONTADORES!CC134-CONTADORES!CC133)+(CONTADORES!CE134-CONTADORES!CE133))/1000</f>
        <v>1.456</v>
      </c>
      <c r="CC134" s="1398">
        <f ca="1">IF(B134&gt;=$J$5,0,(CONTADORES!CD134-CONTADORES!CD133)+(CONTADORES!CF134-CONTADORES!CF133))/1000</f>
        <v>0.85299999999999998</v>
      </c>
      <c r="CD134" s="1398">
        <f ca="1">IF(B134&gt;=$J$5,0,CONTADORES!CA134-CONTADORES!CA133)</f>
        <v>8.8999999999996362</v>
      </c>
      <c r="CE134" s="1398">
        <f ca="1">IF(B134&gt;=$J$5,0,CONTADORES!CB134-CONTADORES!CB133)</f>
        <v>5.5</v>
      </c>
      <c r="CF134" s="1398">
        <f t="shared" ca="1" si="51"/>
        <v>11.875999999999143</v>
      </c>
      <c r="CG134" s="1398">
        <f t="shared" ca="1" si="52"/>
        <v>10.530000000000186</v>
      </c>
      <c r="CH134" s="1398">
        <f t="shared" ca="1" si="53"/>
        <v>2.975999999999507</v>
      </c>
      <c r="CI134" s="1398">
        <f t="shared" ca="1" si="54"/>
        <v>1.5455999999999632</v>
      </c>
      <c r="CJ134" s="1398">
        <f t="shared" ca="1" si="55"/>
        <v>2.975999999999507</v>
      </c>
      <c r="CK134" s="1398">
        <f t="shared" ca="1" si="56"/>
        <v>2.3183999999999445</v>
      </c>
      <c r="CL134" s="1398">
        <f t="shared" ca="1" si="57"/>
        <v>3.0015999999999634</v>
      </c>
      <c r="CM134" s="1398">
        <f t="shared" ca="1" si="58"/>
        <v>5.0300000000001859</v>
      </c>
      <c r="CN134" s="1398">
        <f ca="1">IF(B134&gt;=$J$5,0,CONTADORES!CB134-CONTADORES!CB133)</f>
        <v>5.5</v>
      </c>
      <c r="CO134" s="1398">
        <f t="shared" ca="1" si="59"/>
        <v>5.0300000000001859</v>
      </c>
      <c r="CP134" s="1398">
        <f t="shared" ca="1" si="60"/>
        <v>1.019999999999996</v>
      </c>
      <c r="CQ134" s="1398">
        <f t="shared" ca="1" si="61"/>
        <v>1.019999999999996</v>
      </c>
      <c r="CR134" s="1398">
        <f t="shared" ca="1" si="62"/>
        <v>1.872999999999996</v>
      </c>
      <c r="CS134" s="1448">
        <f ca="1">IF($B134&gt;=$J$5,0,CONTADORES!$BI134)</f>
        <v>11404.249954931394</v>
      </c>
      <c r="CT134" s="1369">
        <f>CONTADORES!E134</f>
        <v>0</v>
      </c>
      <c r="CU134" s="1369">
        <f>CONTADORES!CG134</f>
        <v>0</v>
      </c>
    </row>
    <row r="135" spans="2:99">
      <c r="B135" s="390">
        <v>45051</v>
      </c>
      <c r="C135" s="198">
        <f t="shared" ca="1" si="35"/>
        <v>314</v>
      </c>
      <c r="D135" s="196">
        <f ca="1">'CALCULO DE GAS'!D144</f>
        <v>5.2848943890342559</v>
      </c>
      <c r="E135" s="196">
        <f ca="1">IF(B135&gt;=$J$5,0,(CONTADORES!$AD135-CONTADORES!$AD134)-$H135)</f>
        <v>24</v>
      </c>
      <c r="F135" s="198">
        <f t="shared" ca="1" si="67"/>
        <v>0</v>
      </c>
      <c r="G135" s="196">
        <f ca="1">IF(B135&gt;=$J$5,0,CONTADORES!$AF135-CONTADORES!$AF134)</f>
        <v>0</v>
      </c>
      <c r="H135" s="196">
        <f ca="1">IF(G135&gt;0,CONTADORES!$AE135-CONTADORES!$AE134,0)</f>
        <v>0</v>
      </c>
      <c r="I135" s="199">
        <f ca="1">IF(B135&gt;=$J$5,0,CONTADORES!$AB135-CONTADORES!$AB134)</f>
        <v>314</v>
      </c>
      <c r="J135" s="198">
        <f t="shared" ca="1" si="36"/>
        <v>148</v>
      </c>
      <c r="K135" s="196">
        <f ca="1">'CALCULO DE GAS'!E144</f>
        <v>3.8645756449809716</v>
      </c>
      <c r="L135" s="1396">
        <f ca="1">IF(B135&gt;=$J$5,0,(CONTADORES!$Y135-CONTADORES!$Y134)-$O135)</f>
        <v>24</v>
      </c>
      <c r="M135" s="1396">
        <f t="shared" ca="1" si="66"/>
        <v>0</v>
      </c>
      <c r="N135" s="1396">
        <f ca="1">IF(B135&gt;=$J$5,0,CONTADORES!$AA135-CONTADORES!$AA134)</f>
        <v>0</v>
      </c>
      <c r="O135" s="1396">
        <f ca="1">IF(N135&gt;0,CONTADORES!$Z135-CONTADORES!$Z134,0)</f>
        <v>0</v>
      </c>
      <c r="P135" s="202">
        <f ca="1">IF(B135&gt;=$J$5,0,CONTADORES!$W135-CONTADORES!$W134)</f>
        <v>148</v>
      </c>
      <c r="Q135" s="202">
        <f ca="1">IF(B135&gt;=$J$5,0,CONTADORES!$B135-CONTADORES!$B134)</f>
        <v>0</v>
      </c>
      <c r="R135" s="196">
        <f t="shared" ca="1" si="37"/>
        <v>0</v>
      </c>
      <c r="S135" s="11">
        <f ca="1">IF(B135&gt;=$J$5,0,CONTADORES!$D135-CONTADORES!$D134)</f>
        <v>0</v>
      </c>
      <c r="T135" s="198">
        <f ca="1">IF(B135&gt;=$J$5,0,CONTADORES!$BB135-CONTADORES!$BB134)</f>
        <v>0</v>
      </c>
      <c r="U135" s="196">
        <f t="shared" ca="1" si="65"/>
        <v>0</v>
      </c>
      <c r="V135" s="199">
        <f ca="1">IF(B135&gt;=$J$5,0,CONTADORES!$BD135-CONTADORES!$BD134)</f>
        <v>0</v>
      </c>
      <c r="W135" s="1397">
        <f t="shared" ca="1" si="39"/>
        <v>462</v>
      </c>
      <c r="X135" s="1397">
        <f t="shared" ca="1" si="40"/>
        <v>0</v>
      </c>
      <c r="Y135" s="1398">
        <f t="shared" ca="1" si="41"/>
        <v>462</v>
      </c>
      <c r="Z135" s="1398">
        <f t="shared" ca="1" si="42"/>
        <v>9.1494700340152271</v>
      </c>
      <c r="AA135" s="1398">
        <f t="shared" ca="1" si="43"/>
        <v>0</v>
      </c>
      <c r="AB135" s="1398">
        <f t="shared" ca="1" si="44"/>
        <v>48</v>
      </c>
      <c r="AC135" s="1397">
        <f t="shared" ca="1" si="45"/>
        <v>0</v>
      </c>
      <c r="AD135" s="1397">
        <f ca="1">IF(B135&gt;=$J$5,0,CONTADORES!H135-CONTADORES!H134)</f>
        <v>164</v>
      </c>
      <c r="AE135" s="1398">
        <f ca="1">IF(B135&gt;=$J$5,0,CONTADORES!J135-CONTADORES!J134)</f>
        <v>24</v>
      </c>
      <c r="AF135" s="1397">
        <f ca="1">IF(B135&gt;=$J$5,0,CONTADORES!AU135-CONTADORES!AU134)</f>
        <v>152</v>
      </c>
      <c r="AG135" s="1398">
        <f ca="1">IF(B135&gt;=$J$5,0,CONTADORES!AW135-CONTADORES!AW134)</f>
        <v>24</v>
      </c>
      <c r="AH135" s="1398">
        <f ca="1">IF(B135&gt;=$J$5,0,(CONTADORES!AM135-CONTADORES!AM134)+(CONTADORES!M135-CONTADORES!M134))</f>
        <v>20.100000000005821</v>
      </c>
      <c r="AI135" s="1397">
        <f ca="1">IF(B135&gt;=$J$5,0,(CONTADORES!AK135-CONTADORES!AK134)+(CONTADORES!O135-CONTADORES!O134))</f>
        <v>38.80000000000291</v>
      </c>
      <c r="AJ135" s="1397">
        <f ca="1">IF(B135&gt;=$J$5,0,(CONTADORES!AI135-CONTADORES!AI134))</f>
        <v>8.0999999999912689</v>
      </c>
      <c r="AK135" s="1397">
        <f ca="1">IF(B135&gt;=$J$5,0,(CONTADORES!Q135-CONTADORES!Q134))</f>
        <v>15.099999999976717</v>
      </c>
      <c r="AL135" s="1398">
        <f t="shared" ca="1" si="46"/>
        <v>34.90000000002334</v>
      </c>
      <c r="AM135" s="1397">
        <f ca="1">IF(B135&gt;=$J$5,0,(((CONTADORES!F135-CONTADORES!F134)+(CONTADORES!AQ135-CONTADORES!AQ134))))-BS135-AF135-AN135-BV135-BY135-CD135-CB135</f>
        <v>6.8239999999996446</v>
      </c>
      <c r="AN135" s="1397">
        <f ca="1">IF(B135&gt;=$J$5,0,(CONTADORES!AX135-CONTADORES!AX134)+(CONTADORES!AZ135-CONTADORES!AZ134)+(CONTADORES!BE135-CONTADORES!BE134))-CB135</f>
        <v>3.5610000000003641</v>
      </c>
      <c r="AO135" s="1397">
        <f ca="1">IF(B135&gt;=$J$5,0,(CONTADORES!AC135-CONTADORES!AC134))</f>
        <v>152</v>
      </c>
      <c r="AP135" s="1397">
        <f ca="1">IF(B135&gt;=$J$5,0,(CONTADORES!X135-CONTADORES!X134))</f>
        <v>79</v>
      </c>
      <c r="AQ135" s="1397">
        <f ca="1">IF(B135&gt;=$J$5,0,(CONTADORES!C135-CONTADORES!C134))</f>
        <v>0</v>
      </c>
      <c r="AR135" s="1397">
        <f ca="1">IF(B135&gt;=$J$5,0,(CONTADORES!BC135-CONTADORES!BC134))</f>
        <v>0</v>
      </c>
      <c r="AS135" s="1397">
        <f ca="1">IF(B135&gt;=$J$5,0,CONTADORES!S135-CONTADORES!S134)</f>
        <v>14.700000000011642</v>
      </c>
      <c r="AT135" s="1397">
        <f ca="1">IF(B135&gt;=$J$5,0,(CONTADORES!U135-CONTADORES!U134)+(CONTADORES!AG135-CONTADORES!AG134))</f>
        <v>2.4000000000014552</v>
      </c>
      <c r="AU135" s="1397">
        <f ca="1">IF(B135&gt;=$J$5,0,(CONTADORES!I135-CONTADORES!I134))</f>
        <v>83</v>
      </c>
      <c r="AV135" s="1397">
        <f ca="1">IF(B135&gt;=$J$5,0,(CONTADORES!AV135-CONTADORES!AV134))</f>
        <v>66</v>
      </c>
      <c r="AW135" s="1397">
        <f ca="1">IF(B135&gt;=$J$5,0,(CONTADORES!N135-CONTADORES!N134)+(CONTADORES!AN135-CONTADORES!AN134))</f>
        <v>8</v>
      </c>
      <c r="AX135" s="1397">
        <f ca="1">IF(B135&gt;=$J$5,0,(CONTADORES!P135-CONTADORES!P134)+(CONTADORES!AL135-CONTADORES!AL134))</f>
        <v>32.900000000001455</v>
      </c>
      <c r="AY135" s="1397">
        <f ca="1">IF(B135&gt;=$J$5,0,(CONTADORES!AJ135-CONTADORES!AJ134))</f>
        <v>6.1000000000058208</v>
      </c>
      <c r="AZ135" s="1397">
        <f ca="1">IF(B135&gt;=$J$5,0,(CONTADORES!R135-CONTADORES!R134))</f>
        <v>11.80000000000291</v>
      </c>
      <c r="BA135" s="1398">
        <f t="shared" ca="1" si="47"/>
        <v>2.6359999999905313</v>
      </c>
      <c r="BB135" s="1397">
        <f ca="1">IF(B135&gt;=$J$5,0,(((CONTADORES!G135-CONTADORES!G134)+(CONTADORES!AR135-CONTADORES!AR134)+AR135)-(AV135+BC135)))</f>
        <v>9.7899999999997362</v>
      </c>
      <c r="BC135" s="1397">
        <f ca="1">IF(B135&gt;=$J$5,0,(CONTADORES!AY135-CONTADORES!AY134)+(CONTADORES!BA135-CONTADORES!BA134)+(CONTADORES!BF135-CONTADORES!BF134))</f>
        <v>2.4100000000000819</v>
      </c>
      <c r="BD135" s="1397">
        <f t="shared" ca="1" si="48"/>
        <v>231</v>
      </c>
      <c r="BE135" s="1398">
        <f ca="1">IF($B135&gt;=$J$5,0,CONTADORES!$BG135)</f>
        <v>6089.87</v>
      </c>
      <c r="BF135" s="1397">
        <f ca="1">IF($B135&gt;=$J$5,0,CONTADORES!$BH135)</f>
        <v>30634.694736842099</v>
      </c>
      <c r="BG135" s="1397">
        <f ca="1">IF($B135&gt;=$J$5,0,CONTADORES!$BJ135)</f>
        <v>6586.1699999999992</v>
      </c>
      <c r="BH135" s="1397">
        <f ca="1">IF(B135&gt;=$J$5,0,((CONTADORES!BK135-CONTADORES!BK134)/1000))</f>
        <v>1.5129999999999999</v>
      </c>
      <c r="BI135" s="1397">
        <f ca="1">IF(B135&gt;=$J$5,0,((CONTADORES!BL135-CONTADORES!BL134)/1000))</f>
        <v>1.4590000000000001</v>
      </c>
      <c r="BJ135" s="1397">
        <f ca="1">IF(B135&gt;=$J$5,0,((CONTADORES!BM135-CONTADORES!BM134)/1000))</f>
        <v>0</v>
      </c>
      <c r="BK135" s="1397">
        <f ca="1">IF(B135&gt;=$J$5,0,((CONTADORES!BN135-CONTADORES!BN134)/1000))</f>
        <v>0</v>
      </c>
      <c r="BL135" s="1399">
        <f t="shared" ca="1" si="49"/>
        <v>1.5129999999999999</v>
      </c>
      <c r="BM135" s="1399">
        <f t="shared" ca="1" si="50"/>
        <v>1.4590000000000001</v>
      </c>
      <c r="BN135" s="1398">
        <f ca="1">IF(W135&gt;=$J$5,0,CONTADORES!$BO135)</f>
        <v>126</v>
      </c>
      <c r="BO135" s="1397">
        <f ca="1">IF(W135&gt;=$J$5,0,CONTADORES!$BP135)</f>
        <v>43.548999999999999</v>
      </c>
      <c r="BP135" s="1397">
        <f ca="1">IF(W135&gt;=$J$5,0,CONTADORES!$BQ135)</f>
        <v>639</v>
      </c>
      <c r="BQ135" s="1397">
        <f ca="1">IF(B135&gt;=$J$5,0,(CONTADORES!AS135-CONTADORES!AS134))</f>
        <v>5</v>
      </c>
      <c r="BR135" s="1397">
        <f ca="1">IF(B135&gt;=$J$5,0,(CONTADORES!AT135-CONTADORES!AT134))</f>
        <v>0</v>
      </c>
      <c r="BS135" s="1398">
        <f ca="1">IF(B135&gt;=$J$5,0,CONTADORES!BR135-CONTADORES!BR134)/1000</f>
        <v>2.8079999999999998</v>
      </c>
      <c r="BT135" s="1398">
        <f ca="1">IF(B135&gt;=$J$5,0,CONTADORES!BS135-CONTADORES!BS134)</f>
        <v>1</v>
      </c>
      <c r="BU135" s="1398">
        <f ca="1">IF(B135&gt;=$J$5,0,CONTADORES!BT135-CONTADORES!BT134)</f>
        <v>24</v>
      </c>
      <c r="BV135" s="1398">
        <f ca="1">IF(B135&gt;=$J$5,0,CONTADORES!BU135-CONTADORES!BU134)/1000</f>
        <v>0</v>
      </c>
      <c r="BW135" s="1398">
        <f ca="1">IF(B135&gt;=$J$5,0,CONTADORES!BV135-CONTADORES!BV134)/1000</f>
        <v>0</v>
      </c>
      <c r="BX135" s="1398">
        <f ca="1">IF(B135&gt;=$J$5,0,CONTADORES!BW135-CONTADORES!BW134)</f>
        <v>0</v>
      </c>
      <c r="BY135" s="1398">
        <f ca="1">IF(B135&gt;=$J$5,0,CONTADORES!BX135-CONTADORES!BX134)/1000</f>
        <v>5.2679999999999998</v>
      </c>
      <c r="BZ135" s="1398">
        <f ca="1">IF(B135&gt;=$J$5,0,CONTADORES!BY135-CONTADORES!BY134)/1000</f>
        <v>0.82799999999999996</v>
      </c>
      <c r="CA135" s="1398">
        <f ca="1">IF(B135&gt;=$J$5,0,CONTADORES!BZ135-CONTADORES!BZ134)</f>
        <v>24</v>
      </c>
      <c r="CB135" s="1398">
        <f ca="1">IF(B135&gt;=$J$5,0,(CONTADORES!CC135-CONTADORES!CC134)+(CONTADORES!CE135-CONTADORES!CE134))/1000</f>
        <v>1.5389999999999999</v>
      </c>
      <c r="CC135" s="1398">
        <f ca="1">IF(B135&gt;=$J$5,0,(CONTADORES!CD135-CONTADORES!CD134)+(CONTADORES!CF135-CONTADORES!CF134))/1000</f>
        <v>0.93600000000000005</v>
      </c>
      <c r="CD135" s="1398">
        <f ca="1">IF(B135&gt;=$J$5,0,CONTADORES!CA135-CONTADORES!CA134)</f>
        <v>9</v>
      </c>
      <c r="CE135" s="1398">
        <f ca="1">IF(B135&gt;=$J$5,0,CONTADORES!CB135-CONTADORES!CB134)</f>
        <v>5.5999999999994543</v>
      </c>
      <c r="CF135" s="1398">
        <f t="shared" ca="1" si="51"/>
        <v>12.411999999999821</v>
      </c>
      <c r="CG135" s="1398">
        <f t="shared" ca="1" si="52"/>
        <v>10.494999999999322</v>
      </c>
      <c r="CH135" s="1398">
        <f t="shared" ca="1" si="53"/>
        <v>3.4119999999998223</v>
      </c>
      <c r="CI135" s="1398">
        <f t="shared" ca="1" si="54"/>
        <v>1.4244000000001458</v>
      </c>
      <c r="CJ135" s="1398">
        <f t="shared" ca="1" si="55"/>
        <v>3.4119999999998223</v>
      </c>
      <c r="CK135" s="1398">
        <f t="shared" ca="1" si="56"/>
        <v>2.1366000000002181</v>
      </c>
      <c r="CL135" s="1398">
        <f t="shared" ca="1" si="57"/>
        <v>2.9634000000001457</v>
      </c>
      <c r="CM135" s="1398">
        <f t="shared" ca="1" si="58"/>
        <v>4.8949999999998681</v>
      </c>
      <c r="CN135" s="1398">
        <f ca="1">IF(B135&gt;=$J$5,0,CONTADORES!CB135-CONTADORES!CB134)</f>
        <v>5.5999999999994543</v>
      </c>
      <c r="CO135" s="1398">
        <f t="shared" ca="1" si="59"/>
        <v>4.8949999999998681</v>
      </c>
      <c r="CP135" s="1398">
        <f t="shared" ca="1" si="60"/>
        <v>1.2050000000000409</v>
      </c>
      <c r="CQ135" s="1398">
        <f t="shared" ca="1" si="61"/>
        <v>1.2050000000000409</v>
      </c>
      <c r="CR135" s="1398">
        <f t="shared" ca="1" si="62"/>
        <v>2.1410000000000409</v>
      </c>
      <c r="CS135" s="1448">
        <f ca="1">IF($B135&gt;=$J$5,0,CONTADORES!$BI135)</f>
        <v>9095.0709682805682</v>
      </c>
      <c r="CT135" s="1369">
        <f>CONTADORES!E135</f>
        <v>0</v>
      </c>
      <c r="CU135" s="1369">
        <f>CONTADORES!CG135</f>
        <v>0</v>
      </c>
    </row>
    <row r="136" spans="2:99">
      <c r="B136" s="390">
        <v>45052</v>
      </c>
      <c r="C136" s="198">
        <f t="shared" ca="1" si="35"/>
        <v>216</v>
      </c>
      <c r="D136" s="196">
        <f ca="1">'CALCULO DE GAS'!D145</f>
        <v>4.4463929618220757</v>
      </c>
      <c r="E136" s="196">
        <f ca="1">IF(B136&gt;=$J$5,0,(CONTADORES!$AD136-CONTADORES!$AD135)-$H136)</f>
        <v>24</v>
      </c>
      <c r="F136" s="198">
        <f t="shared" ca="1" si="67"/>
        <v>0</v>
      </c>
      <c r="G136" s="196">
        <f ca="1">IF(B136&gt;=$J$5,0,CONTADORES!$AF136-CONTADORES!$AF135)</f>
        <v>0</v>
      </c>
      <c r="H136" s="196">
        <f ca="1">IF(G136&gt;0,CONTADORES!$AE136-CONTADORES!$AE135,0)</f>
        <v>0</v>
      </c>
      <c r="I136" s="199">
        <f ca="1">IF(B136&gt;=$J$5,0,CONTADORES!$AB136-CONTADORES!$AB135)</f>
        <v>216</v>
      </c>
      <c r="J136" s="198">
        <f t="shared" ca="1" si="36"/>
        <v>238</v>
      </c>
      <c r="K136" s="196">
        <f ca="1">'CALCULO DE GAS'!E145</f>
        <v>4.6346279760941975</v>
      </c>
      <c r="L136" s="1396">
        <f ca="1">IF(B136&gt;=$J$5,0,(CONTADORES!$Y136-CONTADORES!$Y135)-$O136)</f>
        <v>24</v>
      </c>
      <c r="M136" s="1396">
        <f t="shared" ca="1" si="66"/>
        <v>0</v>
      </c>
      <c r="N136" s="1396">
        <f ca="1">IF(B136&gt;=$J$5,0,CONTADORES!$AA136-CONTADORES!$AA135)</f>
        <v>0</v>
      </c>
      <c r="O136" s="1396">
        <f ca="1">IF(N136&gt;0,CONTADORES!$Z136-CONTADORES!$Z135,0)</f>
        <v>0</v>
      </c>
      <c r="P136" s="202">
        <f ca="1">IF(B136&gt;=$J$5,0,CONTADORES!$W136-CONTADORES!$W135)</f>
        <v>238</v>
      </c>
      <c r="Q136" s="202">
        <f ca="1">IF(B136&gt;=$J$5,0,CONTADORES!$B136-CONTADORES!$B135)</f>
        <v>0</v>
      </c>
      <c r="R136" s="196">
        <f t="shared" ca="1" si="37"/>
        <v>0</v>
      </c>
      <c r="S136" s="11">
        <f ca="1">IF(B136&gt;=$J$5,0,CONTADORES!$D136-CONTADORES!$D135)</f>
        <v>0</v>
      </c>
      <c r="T136" s="198">
        <f ca="1">IF(B136&gt;=$J$5,0,CONTADORES!$BB136-CONTADORES!$BB135)</f>
        <v>0</v>
      </c>
      <c r="U136" s="196">
        <f t="shared" ca="1" si="65"/>
        <v>0</v>
      </c>
      <c r="V136" s="199">
        <f ca="1">IF(B136&gt;=$J$5,0,CONTADORES!$BD136-CONTADORES!$BD135)</f>
        <v>0</v>
      </c>
      <c r="W136" s="1397">
        <f t="shared" ca="1" si="39"/>
        <v>454</v>
      </c>
      <c r="X136" s="1397">
        <f t="shared" ca="1" si="40"/>
        <v>0</v>
      </c>
      <c r="Y136" s="1398">
        <f t="shared" ca="1" si="41"/>
        <v>454</v>
      </c>
      <c r="Z136" s="1398">
        <f t="shared" ca="1" si="42"/>
        <v>9.0810209379162732</v>
      </c>
      <c r="AA136" s="1398">
        <f t="shared" ca="1" si="43"/>
        <v>0</v>
      </c>
      <c r="AB136" s="1398">
        <f t="shared" ca="1" si="44"/>
        <v>48</v>
      </c>
      <c r="AC136" s="1397">
        <f t="shared" ca="1" si="45"/>
        <v>0</v>
      </c>
      <c r="AD136" s="1397">
        <f ca="1">IF(B136&gt;=$J$5,0,CONTADORES!H136-CONTADORES!H135)</f>
        <v>165</v>
      </c>
      <c r="AE136" s="1398">
        <f ca="1">IF(B136&gt;=$J$5,0,CONTADORES!J136-CONTADORES!J135)</f>
        <v>24</v>
      </c>
      <c r="AF136" s="1397">
        <f ca="1">IF(B136&gt;=$J$5,0,CONTADORES!AU136-CONTADORES!AU135)</f>
        <v>152</v>
      </c>
      <c r="AG136" s="1398">
        <f ca="1">IF(B136&gt;=$J$5,0,CONTADORES!AW136-CONTADORES!AW135)</f>
        <v>24</v>
      </c>
      <c r="AH136" s="1398">
        <f ca="1">IF(B136&gt;=$J$5,0,(CONTADORES!AM136-CONTADORES!AM135)+(CONTADORES!M136-CONTADORES!M135))</f>
        <v>12.19999999999709</v>
      </c>
      <c r="AI136" s="1397">
        <f ca="1">IF(B136&gt;=$J$5,0,(CONTADORES!AK136-CONTADORES!AK135)+(CONTADORES!O136-CONTADORES!O135))</f>
        <v>40.5</v>
      </c>
      <c r="AJ136" s="1397">
        <f ca="1">IF(B136&gt;=$J$5,0,(CONTADORES!AI136-CONTADORES!AI135))</f>
        <v>7.8000000000029104</v>
      </c>
      <c r="AK136" s="1397">
        <f ca="1">IF(B136&gt;=$J$5,0,(CONTADORES!Q136-CONTADORES!Q135))</f>
        <v>13.5</v>
      </c>
      <c r="AL136" s="1398">
        <f t="shared" ca="1" si="46"/>
        <v>34</v>
      </c>
      <c r="AM136" s="1397">
        <f ca="1">IF(B136&gt;=$J$5,0,(((CONTADORES!F136-CONTADORES!F135)+(CONTADORES!AQ136-CONTADORES!AQ135))))-BS136-AF136-AN136-BV136-BY136-CD136-CB136</f>
        <v>7.0479999999999929</v>
      </c>
      <c r="AN136" s="1397">
        <f ca="1">IF(B136&gt;=$J$5,0,(CONTADORES!AX136-CONTADORES!AX135)+(CONTADORES!AZ136-CONTADORES!AZ135)+(CONTADORES!BE136-CONTADORES!BE135))-CB136</f>
        <v>3.090000000000364</v>
      </c>
      <c r="AO136" s="1397">
        <f ca="1">IF(B136&gt;=$J$5,0,(CONTADORES!AC136-CONTADORES!AC135))</f>
        <v>112</v>
      </c>
      <c r="AP136" s="1397">
        <f ca="1">IF(B136&gt;=$J$5,0,(CONTADORES!X136-CONTADORES!X135))</f>
        <v>117</v>
      </c>
      <c r="AQ136" s="1397">
        <f ca="1">IF(B136&gt;=$J$5,0,(CONTADORES!C136-CONTADORES!C135))</f>
        <v>0</v>
      </c>
      <c r="AR136" s="1397">
        <f ca="1">IF(B136&gt;=$J$5,0,(CONTADORES!BC136-CONTADORES!BC135))</f>
        <v>0</v>
      </c>
      <c r="AS136" s="1397">
        <f ca="1">IF(B136&gt;=$J$5,0,CONTADORES!S136-CONTADORES!S135)</f>
        <v>14.399999999994179</v>
      </c>
      <c r="AT136" s="1397">
        <f ca="1">IF(B136&gt;=$J$5,0,(CONTADORES!U136-CONTADORES!U135)+(CONTADORES!AG136-CONTADORES!AG135))</f>
        <v>2.5999999999985448</v>
      </c>
      <c r="AU136" s="1397">
        <f ca="1">IF(B136&gt;=$J$5,0,(CONTADORES!I136-CONTADORES!I135))</f>
        <v>83</v>
      </c>
      <c r="AV136" s="1397">
        <f ca="1">IF(B136&gt;=$J$5,0,(CONTADORES!AV136-CONTADORES!AV135))</f>
        <v>66</v>
      </c>
      <c r="AW136" s="1397">
        <f ca="1">IF(B136&gt;=$J$5,0,(CONTADORES!N136-CONTADORES!N135)+(CONTADORES!AN136-CONTADORES!AN135))</f>
        <v>4.7999999999992724</v>
      </c>
      <c r="AX136" s="1397">
        <f ca="1">IF(B136&gt;=$J$5,0,(CONTADORES!P136-CONTADORES!P135)+(CONTADORES!AL136-CONTADORES!AL135))</f>
        <v>34.69999999999709</v>
      </c>
      <c r="AY136" s="1397">
        <f ca="1">IF(B136&gt;=$J$5,0,(CONTADORES!AJ136-CONTADORES!AJ135))</f>
        <v>5.8999999999941792</v>
      </c>
      <c r="AZ136" s="1397">
        <f ca="1">IF(B136&gt;=$J$5,0,(CONTADORES!R136-CONTADORES!R135))</f>
        <v>10.69999999999709</v>
      </c>
      <c r="BA136" s="1398">
        <f t="shared" ca="1" si="47"/>
        <v>3.4800000000125522</v>
      </c>
      <c r="BB136" s="1397">
        <f ca="1">IF(B136&gt;=$J$5,0,(((CONTADORES!G136-CONTADORES!G135)+(CONTADORES!AR136-CONTADORES!AR135)+AR136)-(AV136+BC136)))</f>
        <v>9.6999999999998181</v>
      </c>
      <c r="BC136" s="1397">
        <f ca="1">IF(B136&gt;=$J$5,0,(CONTADORES!AY136-CONTADORES!AY135)+(CONTADORES!BA136-CONTADORES!BA135)+(CONTADORES!BF136-CONTADORES!BF135))</f>
        <v>2.5</v>
      </c>
      <c r="BD136" s="1397">
        <f t="shared" ca="1" si="48"/>
        <v>229</v>
      </c>
      <c r="BE136" s="1398">
        <f ca="1">IF($B136&gt;=$J$5,0,CONTADORES!$BG136)</f>
        <v>5765.8899999999994</v>
      </c>
      <c r="BF136" s="1397">
        <f ca="1">IF($B136&gt;=$J$5,0,CONTADORES!$BH136)</f>
        <v>30284.508771929824</v>
      </c>
      <c r="BG136" s="1397">
        <f ca="1">IF($B136&gt;=$J$5,0,CONTADORES!$BJ136)</f>
        <v>5880.92</v>
      </c>
      <c r="BH136" s="1397">
        <f ca="1">IF(B136&gt;=$J$5,0,((CONTADORES!BK136-CONTADORES!BK135)/1000))</f>
        <v>1.5449999999999999</v>
      </c>
      <c r="BI136" s="1397">
        <f ca="1">IF(B136&gt;=$J$5,0,((CONTADORES!BL136-CONTADORES!BL135)/1000))</f>
        <v>1.4750000000000001</v>
      </c>
      <c r="BJ136" s="1397">
        <f ca="1">IF(B136&gt;=$J$5,0,((CONTADORES!BM136-CONTADORES!BM135)/1000))</f>
        <v>0</v>
      </c>
      <c r="BK136" s="1397">
        <f ca="1">IF(B136&gt;=$J$5,0,((CONTADORES!BN136-CONTADORES!BN135)/1000))</f>
        <v>0</v>
      </c>
      <c r="BL136" s="1399">
        <f t="shared" ca="1" si="49"/>
        <v>1.5449999999999999</v>
      </c>
      <c r="BM136" s="1399">
        <f t="shared" ca="1" si="50"/>
        <v>1.4750000000000001</v>
      </c>
      <c r="BN136" s="1398">
        <f ca="1">IF(W136&gt;=$J$5,0,CONTADORES!$BO136)</f>
        <v>116</v>
      </c>
      <c r="BO136" s="1397">
        <f ca="1">IF(W136&gt;=$J$5,0,CONTADORES!$BP136)</f>
        <v>40.255000000000003</v>
      </c>
      <c r="BP136" s="1397">
        <f ca="1">IF(W136&gt;=$J$5,0,CONTADORES!$BQ136)</f>
        <v>589</v>
      </c>
      <c r="BQ136" s="1397">
        <f ca="1">IF(B136&gt;=$J$5,0,(CONTADORES!AS136-CONTADORES!AS135))</f>
        <v>5</v>
      </c>
      <c r="BR136" s="1397">
        <f ca="1">IF(B136&gt;=$J$5,0,(CONTADORES!AT136-CONTADORES!AT135))</f>
        <v>0</v>
      </c>
      <c r="BS136" s="1398">
        <f ca="1">IF(B136&gt;=$J$5,0,CONTADORES!BR136-CONTADORES!BR135)/1000</f>
        <v>3.12</v>
      </c>
      <c r="BT136" s="1398">
        <f ca="1">IF(B136&gt;=$J$5,0,CONTADORES!BS136-CONTADORES!BS135)</f>
        <v>1</v>
      </c>
      <c r="BU136" s="1398">
        <f ca="1">IF(B136&gt;=$J$5,0,CONTADORES!BT136-CONTADORES!BT135)</f>
        <v>24</v>
      </c>
      <c r="BV136" s="1398">
        <f ca="1">IF(B136&gt;=$J$5,0,CONTADORES!BU136-CONTADORES!BU135)/1000</f>
        <v>0</v>
      </c>
      <c r="BW136" s="1398">
        <f ca="1">IF(B136&gt;=$J$5,0,CONTADORES!BV136-CONTADORES!BV135)/1000</f>
        <v>0</v>
      </c>
      <c r="BX136" s="1398">
        <f ca="1">IF(B136&gt;=$J$5,0,CONTADORES!BW136-CONTADORES!BW135)</f>
        <v>0</v>
      </c>
      <c r="BY136" s="1398">
        <f ca="1">IF(B136&gt;=$J$5,0,CONTADORES!BX136-CONTADORES!BX135)/1000</f>
        <v>5.3319999999999999</v>
      </c>
      <c r="BZ136" s="1398">
        <f ca="1">IF(B136&gt;=$J$5,0,CONTADORES!BY136-CONTADORES!BY135)/1000</f>
        <v>0.79600000000000004</v>
      </c>
      <c r="CA136" s="1398">
        <f ca="1">IF(B136&gt;=$J$5,0,CONTADORES!BZ136-CONTADORES!BZ135)</f>
        <v>24</v>
      </c>
      <c r="CB136" s="1398">
        <f ca="1">IF(B136&gt;=$J$5,0,(CONTADORES!CC136-CONTADORES!CC135)+(CONTADORES!CE136-CONTADORES!CE135))/1000</f>
        <v>1.51</v>
      </c>
      <c r="CC136" s="1398">
        <f ca="1">IF(B136&gt;=$J$5,0,(CONTADORES!CD136-CONTADORES!CD135)+(CONTADORES!CF136-CONTADORES!CF135))/1000</f>
        <v>0.92400000000000004</v>
      </c>
      <c r="CD136" s="1398">
        <f ca="1">IF(B136&gt;=$J$5,0,CONTADORES!CA136-CONTADORES!CA135)</f>
        <v>8.8999999999996362</v>
      </c>
      <c r="CE136" s="1398">
        <f ca="1">IF(B136&gt;=$J$5,0,CONTADORES!CB136-CONTADORES!CB135)</f>
        <v>5.5</v>
      </c>
      <c r="CF136" s="1398">
        <f t="shared" ca="1" si="51"/>
        <v>12.423999999999634</v>
      </c>
      <c r="CG136" s="1398">
        <f t="shared" ca="1" si="52"/>
        <v>10.349999999999909</v>
      </c>
      <c r="CH136" s="1398">
        <f t="shared" ca="1" si="53"/>
        <v>3.5239999999999965</v>
      </c>
      <c r="CI136" s="1398">
        <f t="shared" ca="1" si="54"/>
        <v>1.2360000000001456</v>
      </c>
      <c r="CJ136" s="1398">
        <f t="shared" ca="1" si="55"/>
        <v>3.5239999999999965</v>
      </c>
      <c r="CK136" s="1398">
        <f t="shared" ca="1" si="56"/>
        <v>1.8540000000002184</v>
      </c>
      <c r="CL136" s="1398">
        <f t="shared" ca="1" si="57"/>
        <v>2.7460000000001457</v>
      </c>
      <c r="CM136" s="1398">
        <f t="shared" ca="1" si="58"/>
        <v>4.8499999999999091</v>
      </c>
      <c r="CN136" s="1398">
        <f ca="1">IF(B136&gt;=$J$5,0,CONTADORES!CB136-CONTADORES!CB135)</f>
        <v>5.5</v>
      </c>
      <c r="CO136" s="1398">
        <f t="shared" ca="1" si="59"/>
        <v>4.8499999999999091</v>
      </c>
      <c r="CP136" s="1398">
        <f t="shared" ca="1" si="60"/>
        <v>1.25</v>
      </c>
      <c r="CQ136" s="1398">
        <f t="shared" ca="1" si="61"/>
        <v>1.25</v>
      </c>
      <c r="CR136" s="1398">
        <f t="shared" ca="1" si="62"/>
        <v>2.1739999999999999</v>
      </c>
      <c r="CS136" s="1448">
        <f ca="1">IF($B136&gt;=$J$5,0,CONTADORES!$BI136)</f>
        <v>8715.8118260026677</v>
      </c>
      <c r="CT136" s="1369">
        <f>CONTADORES!E136</f>
        <v>0</v>
      </c>
      <c r="CU136" s="1369">
        <f>CONTADORES!CG136</f>
        <v>0</v>
      </c>
    </row>
    <row r="137" spans="2:99">
      <c r="B137" s="390">
        <v>45053</v>
      </c>
      <c r="C137" s="198">
        <f t="shared" ca="1" si="35"/>
        <v>149</v>
      </c>
      <c r="D137" s="196">
        <f ca="1">'CALCULO DE GAS'!D146</f>
        <v>3.8731317819933411</v>
      </c>
      <c r="E137" s="196">
        <f ca="1">IF(B137&gt;=$J$5,0,(CONTADORES!$AD137-CONTADORES!$AD136)-$H137)</f>
        <v>24</v>
      </c>
      <c r="F137" s="198">
        <f t="shared" ca="1" si="67"/>
        <v>0</v>
      </c>
      <c r="G137" s="196">
        <f ca="1">IF(B137&gt;=$J$5,0,CONTADORES!$AF137-CONTADORES!$AF136)</f>
        <v>0</v>
      </c>
      <c r="H137" s="196">
        <f ca="1">IF(G137&gt;0,CONTADORES!$AE137-CONTADORES!$AE136,0)</f>
        <v>0</v>
      </c>
      <c r="I137" s="199">
        <f ca="1">IF(B137&gt;=$J$5,0,CONTADORES!$AB137-CONTADORES!$AB136)</f>
        <v>149</v>
      </c>
      <c r="J137" s="198">
        <f t="shared" ca="1" si="36"/>
        <v>301</v>
      </c>
      <c r="K137" s="196">
        <f ca="1">'CALCULO DE GAS'!E146</f>
        <v>5.1736646078734561</v>
      </c>
      <c r="L137" s="1396">
        <f ca="1">IF(B137&gt;=$J$5,0,(CONTADORES!$Y137-CONTADORES!$Y136)-$O137)</f>
        <v>24</v>
      </c>
      <c r="M137" s="1396">
        <f t="shared" ca="1" si="66"/>
        <v>0</v>
      </c>
      <c r="N137" s="1396">
        <f ca="1">IF(B137&gt;=$J$5,0,CONTADORES!$AA137-CONTADORES!$AA136)</f>
        <v>0</v>
      </c>
      <c r="O137" s="1396">
        <f ca="1">IF(N137&gt;0,CONTADORES!$Z137-CONTADORES!$Z136,0)</f>
        <v>0</v>
      </c>
      <c r="P137" s="202">
        <f ca="1">IF(B137&gt;=$J$5,0,CONTADORES!$W137-CONTADORES!$W136)</f>
        <v>301</v>
      </c>
      <c r="Q137" s="202">
        <f ca="1">IF(B137&gt;=$J$5,0,CONTADORES!$B137-CONTADORES!$B136)</f>
        <v>0</v>
      </c>
      <c r="R137" s="196">
        <f t="shared" ca="1" si="37"/>
        <v>0</v>
      </c>
      <c r="S137" s="11">
        <f ca="1">IF(B137&gt;=$J$5,0,CONTADORES!$D137-CONTADORES!$D136)</f>
        <v>0</v>
      </c>
      <c r="T137" s="198">
        <f ca="1">IF(B137&gt;=$J$5,0,CONTADORES!$BB137-CONTADORES!$BB136)</f>
        <v>0</v>
      </c>
      <c r="U137" s="196">
        <f t="shared" ca="1" si="65"/>
        <v>0</v>
      </c>
      <c r="V137" s="199">
        <f ca="1">IF(B137&gt;=$J$5,0,CONTADORES!$BD137-CONTADORES!$BD136)</f>
        <v>0</v>
      </c>
      <c r="W137" s="1397">
        <f t="shared" ca="1" si="39"/>
        <v>450</v>
      </c>
      <c r="X137" s="1397">
        <f t="shared" ca="1" si="40"/>
        <v>0</v>
      </c>
      <c r="Y137" s="1398">
        <f t="shared" ca="1" si="41"/>
        <v>450</v>
      </c>
      <c r="Z137" s="1398">
        <f t="shared" ca="1" si="42"/>
        <v>9.0467963898667971</v>
      </c>
      <c r="AA137" s="1398">
        <f t="shared" ca="1" si="43"/>
        <v>0</v>
      </c>
      <c r="AB137" s="1398">
        <f t="shared" ca="1" si="44"/>
        <v>48</v>
      </c>
      <c r="AC137" s="1397">
        <f t="shared" ca="1" si="45"/>
        <v>0</v>
      </c>
      <c r="AD137" s="1397">
        <f ca="1">IF(B137&gt;=$J$5,0,CONTADORES!H137-CONTADORES!H136)</f>
        <v>168</v>
      </c>
      <c r="AE137" s="1398">
        <f ca="1">IF(B137&gt;=$J$5,0,CONTADORES!J137-CONTADORES!J136)</f>
        <v>24</v>
      </c>
      <c r="AF137" s="1397">
        <f ca="1">IF(B137&gt;=$J$5,0,CONTADORES!AU137-CONTADORES!AU136)</f>
        <v>152</v>
      </c>
      <c r="AG137" s="1398">
        <f ca="1">IF(B137&gt;=$J$5,0,CONTADORES!AW137-CONTADORES!AW136)</f>
        <v>23.999999999985448</v>
      </c>
      <c r="AH137" s="1398">
        <f ca="1">IF(B137&gt;=$J$5,0,(CONTADORES!AM137-CONTADORES!AM136)+(CONTADORES!M137-CONTADORES!M136))</f>
        <v>7.4000000000014552</v>
      </c>
      <c r="AI137" s="1397">
        <f ca="1">IF(B137&gt;=$J$5,0,(CONTADORES!AK137-CONTADORES!AK136)+(CONTADORES!O137-CONTADORES!O136))</f>
        <v>40.30000000000291</v>
      </c>
      <c r="AJ137" s="1397">
        <f ca="1">IF(B137&gt;=$J$5,0,(CONTADORES!AI137-CONTADORES!AI136))</f>
        <v>7.3000000000029104</v>
      </c>
      <c r="AK137" s="1397">
        <f ca="1">IF(B137&gt;=$J$5,0,(CONTADORES!Q137-CONTADORES!Q136))</f>
        <v>12.5</v>
      </c>
      <c r="AL137" s="1398">
        <f t="shared" ca="1" si="46"/>
        <v>32.499999999992781</v>
      </c>
      <c r="AM137" s="1397">
        <f ca="1">IF(B137&gt;=$J$5,0,(((CONTADORES!F137-CONTADORES!F136)+(CONTADORES!AQ137-CONTADORES!AQ136))))-BS137-AF137-AN137-BV137-BY137-CD137-CB137</f>
        <v>9.1479999999989232</v>
      </c>
      <c r="AN137" s="1397">
        <f ca="1">IF(B137&gt;=$J$5,0,(CONTADORES!AX137-CONTADORES!AX136)+(CONTADORES!AZ137-CONTADORES!AZ136)+(CONTADORES!BE137-CONTADORES!BE136))-CB137</f>
        <v>2.5060000000000002</v>
      </c>
      <c r="AO137" s="1397">
        <f ca="1">IF(B137&gt;=$J$5,0,(CONTADORES!AC137-CONTADORES!AC136))</f>
        <v>73</v>
      </c>
      <c r="AP137" s="1397">
        <f ca="1">IF(B137&gt;=$J$5,0,(CONTADORES!X137-CONTADORES!X136))</f>
        <v>154</v>
      </c>
      <c r="AQ137" s="1397">
        <f ca="1">IF(B137&gt;=$J$5,0,(CONTADORES!C137-CONTADORES!C136))</f>
        <v>0</v>
      </c>
      <c r="AR137" s="1397">
        <f ca="1">IF(B137&gt;=$J$5,0,(CONTADORES!BC137-CONTADORES!BC136))</f>
        <v>0</v>
      </c>
      <c r="AS137" s="1397">
        <f ca="1">IF(B137&gt;=$J$5,0,CONTADORES!S137-CONTADORES!S136)</f>
        <v>13.899999999994179</v>
      </c>
      <c r="AT137" s="1397">
        <f ca="1">IF(B137&gt;=$J$5,0,(CONTADORES!U137-CONTADORES!U136)+(CONTADORES!AG137-CONTADORES!AG136))</f>
        <v>2.4000000000014552</v>
      </c>
      <c r="AU137" s="1397">
        <f ca="1">IF(B137&gt;=$J$5,0,(CONTADORES!I137-CONTADORES!I136))</f>
        <v>84</v>
      </c>
      <c r="AV137" s="1397">
        <f ca="1">IF(B137&gt;=$J$5,0,(CONTADORES!AV137-CONTADORES!AV136))</f>
        <v>66</v>
      </c>
      <c r="AW137" s="1397">
        <f ca="1">IF(B137&gt;=$J$5,0,(CONTADORES!N137-CONTADORES!N136)+(CONTADORES!AN137-CONTADORES!AN136))</f>
        <v>2.9000000000014552</v>
      </c>
      <c r="AX137" s="1397">
        <f ca="1">IF(B137&gt;=$J$5,0,(CONTADORES!P137-CONTADORES!P136)+(CONTADORES!AL137-CONTADORES!AL136))</f>
        <v>34.400000000001455</v>
      </c>
      <c r="AY137" s="1397">
        <f ca="1">IF(B137&gt;=$J$5,0,(CONTADORES!AJ137-CONTADORES!AJ136))</f>
        <v>5.6000000000058208</v>
      </c>
      <c r="AZ137" s="1397">
        <f ca="1">IF(B137&gt;=$J$5,0,(CONTADORES!R137-CONTADORES!R136))</f>
        <v>10.099999999991269</v>
      </c>
      <c r="BA137" s="1398">
        <f t="shared" ca="1" si="47"/>
        <v>3.8850000000000193</v>
      </c>
      <c r="BB137" s="1397">
        <f ca="1">IF(B137&gt;=$J$5,0,(((CONTADORES!G137-CONTADORES!G136)+(CONTADORES!AR137-CONTADORES!AR136)+AR137)-(AV137+BC137)))</f>
        <v>9.9000000000000909</v>
      </c>
      <c r="BC137" s="1397">
        <f ca="1">IF(B137&gt;=$J$5,0,(CONTADORES!AY137-CONTADORES!AY136)+(CONTADORES!BA137-CONTADORES!BA136)+(CONTADORES!BF137-CONTADORES!BF136))</f>
        <v>2.0999999999999091</v>
      </c>
      <c r="BD137" s="1397">
        <f t="shared" ca="1" si="48"/>
        <v>227</v>
      </c>
      <c r="BE137" s="1398">
        <f ca="1">IF($B137&gt;=$J$5,0,CONTADORES!$BG137)</f>
        <v>5638.51</v>
      </c>
      <c r="BF137" s="1397">
        <f ca="1">IF($B137&gt;=$J$5,0,CONTADORES!$BH137)</f>
        <v>29489.107017543858</v>
      </c>
      <c r="BG137" s="1397">
        <f ca="1">IF($B137&gt;=$J$5,0,CONTADORES!$BJ137)</f>
        <v>6530.3099999999995</v>
      </c>
      <c r="BH137" s="1397">
        <f ca="1">IF(B137&gt;=$J$5,0,((CONTADORES!BK137-CONTADORES!BK136)/1000))</f>
        <v>1.5109999999999999</v>
      </c>
      <c r="BI137" s="1397">
        <f ca="1">IF(B137&gt;=$J$5,0,((CONTADORES!BL137-CONTADORES!BL136)/1000))</f>
        <v>1.468</v>
      </c>
      <c r="BJ137" s="1397">
        <f ca="1">IF(B137&gt;=$J$5,0,((CONTADORES!BM137-CONTADORES!BM136)/1000))</f>
        <v>0</v>
      </c>
      <c r="BK137" s="1397">
        <f ca="1">IF(B137&gt;=$J$5,0,((CONTADORES!BN137-CONTADORES!BN136)/1000))</f>
        <v>0</v>
      </c>
      <c r="BL137" s="1399">
        <f t="shared" ca="1" si="49"/>
        <v>1.5109999999999999</v>
      </c>
      <c r="BM137" s="1399">
        <f t="shared" ca="1" si="50"/>
        <v>1.468</v>
      </c>
      <c r="BN137" s="1398">
        <f ca="1">IF(W137&gt;=$J$5,0,CONTADORES!$BO137)</f>
        <v>81</v>
      </c>
      <c r="BO137" s="1397">
        <f ca="1">IF(W137&gt;=$J$5,0,CONTADORES!$BP137)</f>
        <v>28.899000000000001</v>
      </c>
      <c r="BP137" s="1397">
        <f ca="1">IF(W137&gt;=$J$5,0,CONTADORES!$BQ137)</f>
        <v>408</v>
      </c>
      <c r="BQ137" s="1397">
        <f ca="1">IF(B137&gt;=$J$5,0,(CONTADORES!AS137-CONTADORES!AS136))</f>
        <v>5</v>
      </c>
      <c r="BR137" s="1397">
        <f ca="1">IF(B137&gt;=$J$5,0,(CONTADORES!AT137-CONTADORES!AT136))</f>
        <v>0</v>
      </c>
      <c r="BS137" s="1398">
        <f ca="1">IF(B137&gt;=$J$5,0,CONTADORES!BR137-CONTADORES!BR136)/1000</f>
        <v>2.64</v>
      </c>
      <c r="BT137" s="1398">
        <f ca="1">IF(B137&gt;=$J$5,0,CONTADORES!BS137-CONTADORES!BS136)</f>
        <v>1</v>
      </c>
      <c r="BU137" s="1398">
        <f ca="1">IF(B137&gt;=$J$5,0,CONTADORES!BT137-CONTADORES!BT136)</f>
        <v>24</v>
      </c>
      <c r="BV137" s="1398">
        <f ca="1">IF(B137&gt;=$J$5,0,CONTADORES!BU137-CONTADORES!BU136)/1000</f>
        <v>0</v>
      </c>
      <c r="BW137" s="1398">
        <f ca="1">IF(B137&gt;=$J$5,0,CONTADORES!BV137-CONTADORES!BV136)/1000</f>
        <v>0</v>
      </c>
      <c r="BX137" s="1398">
        <f ca="1">IF(B137&gt;=$J$5,0,CONTADORES!BW137-CONTADORES!BW136)</f>
        <v>0</v>
      </c>
      <c r="BY137" s="1398">
        <f ca="1">IF(B137&gt;=$J$5,0,CONTADORES!BX137-CONTADORES!BX136)/1000</f>
        <v>5.4119999999999999</v>
      </c>
      <c r="BZ137" s="1398">
        <f ca="1">IF(B137&gt;=$J$5,0,CONTADORES!BY137-CONTADORES!BY136)/1000</f>
        <v>0.70599999999999996</v>
      </c>
      <c r="CA137" s="1398">
        <f ca="1">IF(B137&gt;=$J$5,0,CONTADORES!BZ137-CONTADORES!BZ136)</f>
        <v>24</v>
      </c>
      <c r="CB137" s="1398">
        <f ca="1">IF(B137&gt;=$J$5,0,(CONTADORES!CC137-CONTADORES!CC136)+(CONTADORES!CE137-CONTADORES!CE136))/1000</f>
        <v>1.494</v>
      </c>
      <c r="CC137" s="1398">
        <f ca="1">IF(B137&gt;=$J$5,0,(CONTADORES!CD137-CONTADORES!CD136)+(CONTADORES!CF137-CONTADORES!CF136))/1000</f>
        <v>0.90900000000000003</v>
      </c>
      <c r="CD137" s="1398">
        <f ca="1">IF(B137&gt;=$J$5,0,CONTADORES!CA137-CONTADORES!CA136)</f>
        <v>8.8000000000010914</v>
      </c>
      <c r="CE137" s="1398">
        <f ca="1">IF(B137&gt;=$J$5,0,CONTADORES!CB137-CONTADORES!CB136)</f>
        <v>5.5</v>
      </c>
      <c r="CF137" s="1398">
        <f t="shared" ca="1" si="51"/>
        <v>13.374000000000553</v>
      </c>
      <c r="CG137" s="1398">
        <f t="shared" ca="1" si="52"/>
        <v>10.450000000000045</v>
      </c>
      <c r="CH137" s="1398">
        <f t="shared" ca="1" si="53"/>
        <v>4.5739999999994616</v>
      </c>
      <c r="CI137" s="1398">
        <f t="shared" ca="1" si="54"/>
        <v>1.0024000000000002</v>
      </c>
      <c r="CJ137" s="1398">
        <f t="shared" ca="1" si="55"/>
        <v>4.5739999999994616</v>
      </c>
      <c r="CK137" s="1398">
        <f t="shared" ca="1" si="56"/>
        <v>1.5036</v>
      </c>
      <c r="CL137" s="1398">
        <f t="shared" ca="1" si="57"/>
        <v>2.4964000000000004</v>
      </c>
      <c r="CM137" s="1398">
        <f t="shared" ca="1" si="58"/>
        <v>4.9500000000000455</v>
      </c>
      <c r="CN137" s="1398">
        <f ca="1">IF(B137&gt;=$J$5,0,CONTADORES!CB137-CONTADORES!CB136)</f>
        <v>5.5</v>
      </c>
      <c r="CO137" s="1398">
        <f t="shared" ca="1" si="59"/>
        <v>4.9500000000000455</v>
      </c>
      <c r="CP137" s="1398">
        <f t="shared" ca="1" si="60"/>
        <v>1.0499999999999545</v>
      </c>
      <c r="CQ137" s="1398">
        <f t="shared" ca="1" si="61"/>
        <v>1.0499999999999545</v>
      </c>
      <c r="CR137" s="1398">
        <f t="shared" ca="1" si="62"/>
        <v>1.9589999999999546</v>
      </c>
      <c r="CS137" s="1448">
        <f ca="1">IF($B137&gt;=$J$5,0,CONTADORES!$BI137)</f>
        <v>8837.5347951816475</v>
      </c>
      <c r="CT137" s="1369">
        <f>CONTADORES!E137</f>
        <v>0</v>
      </c>
      <c r="CU137" s="1369">
        <f>CONTADORES!CG137</f>
        <v>0</v>
      </c>
    </row>
    <row r="138" spans="2:99" s="1410" customFormat="1">
      <c r="B138" s="390">
        <v>45054</v>
      </c>
      <c r="C138" s="198">
        <f t="shared" ca="1" si="35"/>
        <v>148</v>
      </c>
      <c r="D138" s="196">
        <f ca="1">'CALCULO DE GAS'!D147</f>
        <v>3.8645756449809716</v>
      </c>
      <c r="E138" s="196">
        <f ca="1">IF(B138&gt;=$J$5,0,(CONTADORES!$AD138-CONTADORES!$AD137)-$H138)</f>
        <v>24</v>
      </c>
      <c r="F138" s="198">
        <f t="shared" ca="1" si="67"/>
        <v>0</v>
      </c>
      <c r="G138" s="196">
        <f ca="1">IF(B138&gt;=$J$5,0,CONTADORES!$AF138-CONTADORES!$AF137)</f>
        <v>0</v>
      </c>
      <c r="H138" s="196">
        <f ca="1">IF(G138&gt;0,CONTADORES!$AE138-CONTADORES!$AE137,0)</f>
        <v>0</v>
      </c>
      <c r="I138" s="199">
        <f ca="1">IF(B138&gt;=$J$5,0,CONTADORES!$AB138-CONTADORES!$AB137)</f>
        <v>148</v>
      </c>
      <c r="J138" s="198">
        <f t="shared" ca="1" si="36"/>
        <v>292</v>
      </c>
      <c r="K138" s="196">
        <f ca="1">'CALCULO DE GAS'!E147</f>
        <v>5.0966593747621332</v>
      </c>
      <c r="L138" s="1396">
        <f ca="1">IF(B138&gt;=$J$5,0,(CONTADORES!$Y138-CONTADORES!$Y137)-$O138)</f>
        <v>24</v>
      </c>
      <c r="M138" s="1396">
        <f t="shared" ca="1" si="66"/>
        <v>0</v>
      </c>
      <c r="N138" s="1396">
        <f ca="1">IF(B138&gt;=$J$5,0,CONTADORES!$AA138-CONTADORES!$AA137)</f>
        <v>0</v>
      </c>
      <c r="O138" s="1396">
        <f ca="1">IF(N138&gt;0,CONTADORES!$Z138-CONTADORES!$Z137,0)</f>
        <v>0</v>
      </c>
      <c r="P138" s="202">
        <f ca="1">IF(B138&gt;=$J$5,0,CONTADORES!$W138-CONTADORES!$W137)</f>
        <v>292</v>
      </c>
      <c r="Q138" s="202">
        <f ca="1">IF(B138&gt;=$J$5,0,CONTADORES!$B138-CONTADORES!$B137)</f>
        <v>0.36800000000016553</v>
      </c>
      <c r="R138" s="196">
        <f t="shared" ca="1" si="37"/>
        <v>44.160000000019863</v>
      </c>
      <c r="S138" s="11">
        <f ca="1">IF(B138&gt;=$J$5,0,CONTADORES!$D138-CONTADORES!$D137)</f>
        <v>0.7000000000007276</v>
      </c>
      <c r="T138" s="198">
        <f ca="1">IF(B138&gt;=$J$5,0,CONTADORES!$BB138-CONTADORES!$BB137)</f>
        <v>0.32699999999999818</v>
      </c>
      <c r="U138" s="196">
        <f t="shared" ca="1" si="65"/>
        <v>39.239999999999782</v>
      </c>
      <c r="V138" s="199">
        <f ca="1">IF(B138&gt;=$J$5,0,CONTADORES!$BD138-CONTADORES!$BD137)</f>
        <v>0.59999999999990905</v>
      </c>
      <c r="W138" s="1397">
        <f t="shared" ca="1" si="39"/>
        <v>440</v>
      </c>
      <c r="X138" s="1397">
        <f t="shared" ca="1" si="40"/>
        <v>0.69500000000016371</v>
      </c>
      <c r="Y138" s="1398">
        <f t="shared" ca="1" si="41"/>
        <v>440.69500000000016</v>
      </c>
      <c r="Z138" s="1398">
        <f t="shared" ca="1" si="42"/>
        <v>8.9612350197431052</v>
      </c>
      <c r="AA138" s="1398">
        <f t="shared" ca="1" si="43"/>
        <v>83.400000000019645</v>
      </c>
      <c r="AB138" s="1398">
        <f t="shared" ca="1" si="44"/>
        <v>48</v>
      </c>
      <c r="AC138" s="1397">
        <f t="shared" ca="1" si="45"/>
        <v>1.3000000000006366</v>
      </c>
      <c r="AD138" s="1397">
        <f ca="1">IF(B138&gt;=$J$5,0,CONTADORES!H138-CONTADORES!H137)</f>
        <v>156</v>
      </c>
      <c r="AE138" s="1398">
        <f ca="1">IF(B138&gt;=$J$5,0,CONTADORES!J138-CONTADORES!J137)</f>
        <v>21.899999999994179</v>
      </c>
      <c r="AF138" s="1397">
        <f ca="1">IF(B138&gt;=$J$5,0,CONTADORES!AU138-CONTADORES!AU137)</f>
        <v>152</v>
      </c>
      <c r="AG138" s="1398">
        <f ca="1">IF(B138&gt;=$J$5,0,CONTADORES!AW138-CONTADORES!AW137)</f>
        <v>24</v>
      </c>
      <c r="AH138" s="1398">
        <f ca="1">IF(B138&gt;=$J$5,0,(CONTADORES!AM138-CONTADORES!AM137)+(CONTADORES!M138-CONTADORES!M137))</f>
        <v>12</v>
      </c>
      <c r="AI138" s="1397">
        <f ca="1">IF(B138&gt;=$J$5,0,(CONTADORES!AK138-CONTADORES!AK137)+(CONTADORES!O138-CONTADORES!O137))</f>
        <v>38.600000000005821</v>
      </c>
      <c r="AJ138" s="1397">
        <f ca="1">IF(B138&gt;=$J$5,0,(CONTADORES!AI138-CONTADORES!AI137))</f>
        <v>6.5999999999912689</v>
      </c>
      <c r="AK138" s="1397">
        <f ca="1">IF(B138&gt;=$J$5,0,(CONTADORES!Q138-CONTADORES!Q137))</f>
        <v>13.400000000023283</v>
      </c>
      <c r="AL138" s="1398">
        <f t="shared" ca="1" si="46"/>
        <v>34.094999999979848</v>
      </c>
      <c r="AM138" s="1397">
        <f ca="1">IF(B138&gt;=$J$5,0,(((CONTADORES!F138-CONTADORES!F137)+(CONTADORES!AQ138-CONTADORES!AQ137))))-BS138-AF138-AN138-BV138-BY138-CD138-CB138</f>
        <v>6.5360000000010912</v>
      </c>
      <c r="AN138" s="1397">
        <f ca="1">IF(B138&gt;=$J$5,0,(CONTADORES!AX138-CONTADORES!AX137)+(CONTADORES!AZ138-CONTADORES!AZ137)+(CONTADORES!BE138-CONTADORES!BE137))-CB138</f>
        <v>3.2659999999992726</v>
      </c>
      <c r="AO138" s="1397">
        <f ca="1">IF(B138&gt;=$J$5,0,(CONTADORES!AC138-CONTADORES!AC137))</f>
        <v>68</v>
      </c>
      <c r="AP138" s="1397">
        <f ca="1">IF(B138&gt;=$J$5,0,(CONTADORES!X138-CONTADORES!X137))</f>
        <v>153</v>
      </c>
      <c r="AQ138" s="1397">
        <f ca="1">IF(B138&gt;=$J$5,0,(CONTADORES!C138-CONTADORES!C137))</f>
        <v>0.19200000000000728</v>
      </c>
      <c r="AR138" s="1397">
        <f ca="1">IF(B138&gt;=$J$5,0,(CONTADORES!BC138-CONTADORES!BC137))</f>
        <v>0.1239999999999668</v>
      </c>
      <c r="AS138" s="1397">
        <f ca="1">IF(B138&gt;=$J$5,0,CONTADORES!S138-CONTADORES!S137)</f>
        <v>14.5</v>
      </c>
      <c r="AT138" s="1397">
        <f ca="1">IF(B138&gt;=$J$5,0,(CONTADORES!U138-CONTADORES!U137)+(CONTADORES!AG138-CONTADORES!AG137))</f>
        <v>2.3999999999941792</v>
      </c>
      <c r="AU138" s="1397">
        <f ca="1">IF(B138&gt;=$J$5,0,(CONTADORES!I138-CONTADORES!I137))</f>
        <v>77</v>
      </c>
      <c r="AV138" s="1397">
        <f ca="1">IF(B138&gt;=$J$5,0,(CONTADORES!AV138-CONTADORES!AV137))</f>
        <v>66</v>
      </c>
      <c r="AW138" s="1397">
        <f ca="1">IF(B138&gt;=$J$5,0,(CONTADORES!N138-CONTADORES!N137)+(CONTADORES!AN138-CONTADORES!AN137))</f>
        <v>4.7000000000007276</v>
      </c>
      <c r="AX138" s="1397">
        <f ca="1">IF(B138&gt;=$J$5,0,(CONTADORES!P138-CONTADORES!P137)+(CONTADORES!AL138-CONTADORES!AL137))</f>
        <v>32.900000000001455</v>
      </c>
      <c r="AY138" s="1397">
        <f ca="1">IF(B138&gt;=$J$5,0,(CONTADORES!AJ138-CONTADORES!AJ137))</f>
        <v>5</v>
      </c>
      <c r="AZ138" s="1397">
        <f ca="1">IF(B138&gt;=$J$5,0,(CONTADORES!R138-CONTADORES!R137))</f>
        <v>10.600000000005821</v>
      </c>
      <c r="BA138" s="1398">
        <f t="shared" ca="1" si="47"/>
        <v>5.1529999999909251</v>
      </c>
      <c r="BB138" s="1397">
        <f ca="1">IF(B138&gt;=$J$5,0,(((CONTADORES!G138-CONTADORES!G137)+(CONTADORES!AR138-CONTADORES!AR137)+AR138)-(AV138+BC138)))</f>
        <v>9.4240000000006034</v>
      </c>
      <c r="BC138" s="1397">
        <f ca="1">IF(B138&gt;=$J$5,0,(CONTADORES!AY138-CONTADORES!AY137)+(CONTADORES!BA138-CONTADORES!BA137)+(CONTADORES!BF138-CONTADORES!BF137))</f>
        <v>2.5999999999999091</v>
      </c>
      <c r="BD138" s="1397">
        <f t="shared" ca="1" si="48"/>
        <v>221.31599999999997</v>
      </c>
      <c r="BE138" s="1398">
        <f ca="1">IF($B138&gt;=$J$5,0,CONTADORES!$BG138)</f>
        <v>5588.0599999999995</v>
      </c>
      <c r="BF138" s="1397">
        <f ca="1">IF($B138&gt;=$J$5,0,CONTADORES!$BH138)</f>
        <v>30372.764912280705</v>
      </c>
      <c r="BG138" s="1397">
        <f ca="1">IF($B138&gt;=$J$5,0,CONTADORES!$BJ138)</f>
        <v>6202.95</v>
      </c>
      <c r="BH138" s="1397">
        <f ca="1">IF(B138&gt;=$J$5,0,((CONTADORES!BK138-CONTADORES!BK137)/1000))</f>
        <v>1.536</v>
      </c>
      <c r="BI138" s="1397">
        <f ca="1">IF(B138&gt;=$J$5,0,((CONTADORES!BL138-CONTADORES!BL137)/1000))</f>
        <v>1.4850000000000001</v>
      </c>
      <c r="BJ138" s="1397">
        <f ca="1">IF(B138&gt;=$J$5,0,((CONTADORES!BM138-CONTADORES!BM137)/1000))</f>
        <v>0</v>
      </c>
      <c r="BK138" s="1397">
        <f ca="1">IF(B138&gt;=$J$5,0,((CONTADORES!BN138-CONTADORES!BN137)/1000))</f>
        <v>0</v>
      </c>
      <c r="BL138" s="1399">
        <f t="shared" ca="1" si="49"/>
        <v>1.536</v>
      </c>
      <c r="BM138" s="1399">
        <f t="shared" ca="1" si="50"/>
        <v>1.4850000000000001</v>
      </c>
      <c r="BN138" s="1398">
        <f ca="1">IF(W138&gt;=$J$5,0,CONTADORES!$BO138)</f>
        <v>126</v>
      </c>
      <c r="BO138" s="1397">
        <f ca="1">IF(W138&gt;=$J$5,0,CONTADORES!$BP138)</f>
        <v>43.377000000000002</v>
      </c>
      <c r="BP138" s="1397">
        <f ca="1">IF(W138&gt;=$J$5,0,CONTADORES!$BQ138)</f>
        <v>639</v>
      </c>
      <c r="BQ138" s="1397">
        <f ca="1">IF(B138&gt;=$J$5,0,(CONTADORES!AS138-CONTADORES!AS137))</f>
        <v>6</v>
      </c>
      <c r="BR138" s="1397">
        <f ca="1">IF(B138&gt;=$J$5,0,(CONTADORES!AT138-CONTADORES!AT137))</f>
        <v>0</v>
      </c>
      <c r="BS138" s="1398">
        <f ca="1">IF(B138&gt;=$J$5,0,CONTADORES!BR138-CONTADORES!BR137)/1000</f>
        <v>2.2559999999999998</v>
      </c>
      <c r="BT138" s="1398">
        <f ca="1">IF(B138&gt;=$J$5,0,CONTADORES!BS138-CONTADORES!BS137)</f>
        <v>1</v>
      </c>
      <c r="BU138" s="1398">
        <f ca="1">IF(B138&gt;=$J$5,0,CONTADORES!BT138-CONTADORES!BT137)</f>
        <v>24</v>
      </c>
      <c r="BV138" s="1398">
        <f ca="1">IF(B138&gt;=$J$5,0,CONTADORES!BU138-CONTADORES!BU137)/1000</f>
        <v>0</v>
      </c>
      <c r="BW138" s="1398">
        <f ca="1">IF(B138&gt;=$J$5,0,CONTADORES!BV138-CONTADORES!BV137)/1000</f>
        <v>0</v>
      </c>
      <c r="BX138" s="1398">
        <f ca="1">IF(B138&gt;=$J$5,0,CONTADORES!BW138-CONTADORES!BW137)</f>
        <v>0</v>
      </c>
      <c r="BY138" s="1398">
        <f ca="1">IF(B138&gt;=$J$5,0,CONTADORES!BX138-CONTADORES!BX137)/1000</f>
        <v>5.508</v>
      </c>
      <c r="BZ138" s="1398">
        <f ca="1">IF(B138&gt;=$J$5,0,CONTADORES!BY138-CONTADORES!BY137)/1000</f>
        <v>0.60099999999999998</v>
      </c>
      <c r="CA138" s="1398">
        <f ca="1">IF(B138&gt;=$J$5,0,CONTADORES!BZ138-CONTADORES!BZ137)</f>
        <v>24</v>
      </c>
      <c r="CB138" s="1398">
        <f ca="1">IF(B138&gt;=$J$5,0,(CONTADORES!CC138-CONTADORES!CC137)+(CONTADORES!CE138-CONTADORES!CE137))/1000</f>
        <v>1.534</v>
      </c>
      <c r="CC138" s="1398">
        <f ca="1">IF(B138&gt;=$J$5,0,(CONTADORES!CD138-CONTADORES!CD137)+(CONTADORES!CF138-CONTADORES!CF137))/1000</f>
        <v>0.93799999999999994</v>
      </c>
      <c r="CD138" s="1398">
        <f ca="1">IF(B138&gt;=$J$5,0,CONTADORES!CA138-CONTADORES!CA137)</f>
        <v>8.8999999999996362</v>
      </c>
      <c r="CE138" s="1398">
        <f ca="1">IF(B138&gt;=$J$5,0,CONTADORES!CB138-CONTADORES!CB137)</f>
        <v>5.4000000000005457</v>
      </c>
      <c r="CF138" s="1398">
        <f t="shared" ca="1" si="51"/>
        <v>12.168000000000182</v>
      </c>
      <c r="CG138" s="1398">
        <f t="shared" ca="1" si="52"/>
        <v>10.112000000000847</v>
      </c>
      <c r="CH138" s="1398">
        <f t="shared" ca="1" si="53"/>
        <v>3.2680000000005456</v>
      </c>
      <c r="CI138" s="1398">
        <f t="shared" ca="1" si="54"/>
        <v>1.3063999999997091</v>
      </c>
      <c r="CJ138" s="1398">
        <f t="shared" ca="1" si="55"/>
        <v>3.2680000000005456</v>
      </c>
      <c r="CK138" s="1398">
        <f t="shared" ca="1" si="56"/>
        <v>1.9595999999995635</v>
      </c>
      <c r="CL138" s="1398">
        <f t="shared" ca="1" si="57"/>
        <v>2.8403999999997094</v>
      </c>
      <c r="CM138" s="1398">
        <f t="shared" ca="1" si="58"/>
        <v>4.7120000000003017</v>
      </c>
      <c r="CN138" s="1398">
        <f ca="1">IF(B138&gt;=$J$5,0,CONTADORES!CB138-CONTADORES!CB137)</f>
        <v>5.4000000000005457</v>
      </c>
      <c r="CO138" s="1398">
        <f t="shared" ca="1" si="59"/>
        <v>4.7120000000003017</v>
      </c>
      <c r="CP138" s="1398">
        <f t="shared" ca="1" si="60"/>
        <v>1.2999999999999545</v>
      </c>
      <c r="CQ138" s="1398">
        <f t="shared" ca="1" si="61"/>
        <v>1.2999999999999545</v>
      </c>
      <c r="CR138" s="1398">
        <f t="shared" ca="1" si="62"/>
        <v>2.2379999999999542</v>
      </c>
      <c r="CS138" s="1448">
        <f ca="1">IF($B138&gt;=$J$5,0,CONTADORES!$BI138)</f>
        <v>8792.6011974950743</v>
      </c>
      <c r="CT138" s="1369">
        <f>CONTADORES!E138</f>
        <v>1</v>
      </c>
      <c r="CU138" s="1369">
        <f>CONTADORES!CG138</f>
        <v>1</v>
      </c>
    </row>
    <row r="139" spans="2:99" s="1410" customFormat="1">
      <c r="B139" s="390">
        <v>45055</v>
      </c>
      <c r="C139" s="198">
        <f t="shared" ref="C139:C202" ca="1" si="68">I139-F139</f>
        <v>152.30000000004657</v>
      </c>
      <c r="D139" s="196">
        <f ca="1">'CALCULO DE GAS'!D148</f>
        <v>3.9013670341345574</v>
      </c>
      <c r="E139" s="196">
        <f ca="1">IF(B139&gt;=$J$5,0,(CONTADORES!$AD139-CONTADORES!$AD138)-$H139)</f>
        <v>24</v>
      </c>
      <c r="F139" s="198">
        <f t="shared" ca="1" si="67"/>
        <v>0</v>
      </c>
      <c r="G139" s="196">
        <f ca="1">IF(B139&gt;=$J$5,0,CONTADORES!$AF139-CONTADORES!$AF138)</f>
        <v>0</v>
      </c>
      <c r="H139" s="196">
        <f ca="1">IF(G139&gt;0,CONTADORES!$AE139-CONTADORES!$AE138,0)</f>
        <v>0</v>
      </c>
      <c r="I139" s="199">
        <f ca="1">IF(B139&gt;=$J$5,0,CONTADORES!$AB139-CONTADORES!$AB138)</f>
        <v>152.30000000004657</v>
      </c>
      <c r="J139" s="198">
        <f t="shared" ref="J139:J202" ca="1" si="69">P139-M139</f>
        <v>295.90000000000146</v>
      </c>
      <c r="K139" s="196">
        <f ca="1">'CALCULO DE GAS'!E148</f>
        <v>5.1300283091103864</v>
      </c>
      <c r="L139" s="1396">
        <f ca="1">IF(B139&gt;=$J$5,0,(CONTADORES!$Y139-CONTADORES!$Y138)-$O139)</f>
        <v>24</v>
      </c>
      <c r="M139" s="1396">
        <f t="shared" ca="1" si="66"/>
        <v>0</v>
      </c>
      <c r="N139" s="1396">
        <f ca="1">IF(B139&gt;=$J$5,0,CONTADORES!$AA139-CONTADORES!$AA138)</f>
        <v>0</v>
      </c>
      <c r="O139" s="1396">
        <f ca="1">IF(N139&gt;0,CONTADORES!$Z139-CONTADORES!$Z138,0)</f>
        <v>0</v>
      </c>
      <c r="P139" s="202">
        <f ca="1">IF(B139&gt;=$J$5,0,CONTADORES!$W139-CONTADORES!$W138)</f>
        <v>295.90000000000146</v>
      </c>
      <c r="Q139" s="202">
        <f ca="1">IF(B139&gt;=$J$5,0,CONTADORES!$B139-CONTADORES!$B138)</f>
        <v>0</v>
      </c>
      <c r="R139" s="196">
        <f t="shared" ref="R139:R202" ca="1" si="70">$Q139*120</f>
        <v>0</v>
      </c>
      <c r="S139" s="11">
        <f ca="1">IF(B139&gt;=$J$5,0,CONTADORES!$D139-CONTADORES!$D138)</f>
        <v>0</v>
      </c>
      <c r="T139" s="198">
        <f ca="1">IF(B139&gt;=$J$5,0,CONTADORES!$BB139-CONTADORES!$BB138)</f>
        <v>0</v>
      </c>
      <c r="U139" s="196">
        <f t="shared" ca="1" si="65"/>
        <v>0</v>
      </c>
      <c r="V139" s="199">
        <f ca="1">IF(B139&gt;=$J$5,0,CONTADORES!$BD139-CONTADORES!$BD138)</f>
        <v>0</v>
      </c>
      <c r="W139" s="1397">
        <f t="shared" ref="W139:W202" ca="1" si="71">C139+J139</f>
        <v>448.20000000004802</v>
      </c>
      <c r="X139" s="1397">
        <f t="shared" ref="X139:X202" ca="1" si="72">F139+M139+Q139+T139</f>
        <v>0</v>
      </c>
      <c r="Y139" s="1398">
        <f t="shared" ref="Y139:Y202" ca="1" si="73">W139+X139</f>
        <v>448.20000000004802</v>
      </c>
      <c r="Z139" s="1398">
        <f t="shared" ref="Z139:Z202" ca="1" si="74">D139+K139</f>
        <v>9.0313953432449434</v>
      </c>
      <c r="AA139" s="1398">
        <f t="shared" ref="AA139:AA202" ca="1" si="75">G139+N139+R139+U139</f>
        <v>0</v>
      </c>
      <c r="AB139" s="1398">
        <f t="shared" ref="AB139:AB202" ca="1" si="76">E139+L139</f>
        <v>48</v>
      </c>
      <c r="AC139" s="1397">
        <f t="shared" ref="AC139:AC202" ca="1" si="77">H139+O139+S139+V139</f>
        <v>0</v>
      </c>
      <c r="AD139" s="1397">
        <f ca="1">IF(B139&gt;=$J$5,0,CONTADORES!H139-CONTADORES!H138)</f>
        <v>167.80000000000018</v>
      </c>
      <c r="AE139" s="1398">
        <f ca="1">IF(B139&gt;=$J$5,0,CONTADORES!J139-CONTADORES!J138)</f>
        <v>24</v>
      </c>
      <c r="AF139" s="1397">
        <f ca="1">IF(B139&gt;=$J$5,0,CONTADORES!AU139-CONTADORES!AU138)</f>
        <v>152.20000000001164</v>
      </c>
      <c r="AG139" s="1398">
        <f ca="1">IF(B139&gt;=$J$5,0,CONTADORES!AW139-CONTADORES!AW138)</f>
        <v>24</v>
      </c>
      <c r="AH139" s="1398">
        <f ca="1">IF(B139&gt;=$J$5,0,(CONTADORES!AM139-CONTADORES!AM138)+(CONTADORES!M139-CONTADORES!M138))</f>
        <v>5.5</v>
      </c>
      <c r="AI139" s="1397">
        <f ca="1">IF(B139&gt;=$J$5,0,(CONTADORES!AK139-CONTADORES!AK138)+(CONTADORES!O139-CONTADORES!O138))</f>
        <v>38.19999999999709</v>
      </c>
      <c r="AJ139" s="1397">
        <f ca="1">IF(B139&gt;=$J$5,0,(CONTADORES!AI139-CONTADORES!AI138))</f>
        <v>5.3000000000029104</v>
      </c>
      <c r="AK139" s="1397">
        <f ca="1">IF(B139&gt;=$J$5,0,(CONTADORES!Q139-CONTADORES!Q138))</f>
        <v>12.099999999976717</v>
      </c>
      <c r="AL139" s="1398">
        <f t="shared" ref="AL139:AL202" ca="1" si="78">Y139-(AD139+AF139+AH139+AI139+AJ139+AK139+CJ139+CK139+BS139+BV139+BY139+CF139+CL139)</f>
        <v>36.400000000084219</v>
      </c>
      <c r="AM139" s="1397">
        <f ca="1">IF(B139&gt;=$J$5,0,(((CONTADORES!F139-CONTADORES!F138)+(CONTADORES!AQ139-CONTADORES!AQ138))))-BS139-AF139-AN139-BV139-BY139-CD139-CB139</f>
        <v>10.635999999975702</v>
      </c>
      <c r="AN139" s="1397">
        <f ca="1">IF(B139&gt;=$J$5,0,(CONTADORES!AX139-CONTADORES!AX138)+(CONTADORES!AZ139-CONTADORES!AZ138)+(CONTADORES!BE139-CONTADORES!BE138))-CB139</f>
        <v>3.2500000000002727</v>
      </c>
      <c r="AO139" s="1397">
        <f ca="1">IF(B139&gt;=$J$5,0,(CONTADORES!AC139-CONTADORES!AC138))</f>
        <v>71.400000000023283</v>
      </c>
      <c r="AP139" s="1397">
        <f ca="1">IF(B139&gt;=$J$5,0,(CONTADORES!X139-CONTADORES!X138))</f>
        <v>152</v>
      </c>
      <c r="AQ139" s="1397">
        <f ca="1">IF(B139&gt;=$J$5,0,(CONTADORES!C139-CONTADORES!C138))</f>
        <v>0</v>
      </c>
      <c r="AR139" s="1397">
        <f ca="1">IF(B139&gt;=$J$5,0,(CONTADORES!BC139-CONTADORES!BC138))</f>
        <v>0</v>
      </c>
      <c r="AS139" s="1397">
        <f ca="1">IF(B139&gt;=$J$5,0,CONTADORES!S139-CONTADORES!S138)</f>
        <v>14.5</v>
      </c>
      <c r="AT139" s="1397">
        <f ca="1">IF(B139&gt;=$J$5,0,(CONTADORES!U139-CONTADORES!U138)+(CONTADORES!AG139-CONTADORES!AG138))</f>
        <v>2.5</v>
      </c>
      <c r="AU139" s="1397">
        <f ca="1">IF(B139&gt;=$J$5,0,(CONTADORES!I139-CONTADORES!I138))</f>
        <v>83.699999999999818</v>
      </c>
      <c r="AV139" s="1397">
        <f ca="1">IF(B139&gt;=$J$5,0,(CONTADORES!AV139-CONTADORES!AV138))</f>
        <v>66.399999999994179</v>
      </c>
      <c r="AW139" s="1397">
        <f ca="1">IF(B139&gt;=$J$5,0,(CONTADORES!N139-CONTADORES!N138)+(CONTADORES!AN139-CONTADORES!AN138))</f>
        <v>2.0999999999985448</v>
      </c>
      <c r="AX139" s="1397">
        <f ca="1">IF(B139&gt;=$J$5,0,(CONTADORES!P139-CONTADORES!P138)+(CONTADORES!AL139-CONTADORES!AL138))</f>
        <v>32.19999999999709</v>
      </c>
      <c r="AY139" s="1397">
        <f ca="1">IF(B139&gt;=$J$5,0,(CONTADORES!AJ139-CONTADORES!AJ138))</f>
        <v>3.7999999999956344</v>
      </c>
      <c r="AZ139" s="1397">
        <f ca="1">IF(B139&gt;=$J$5,0,(CONTADORES!R139-CONTADORES!R138))</f>
        <v>9.8000000000029104</v>
      </c>
      <c r="BA139" s="1398">
        <f t="shared" ref="BA139:BA202" ca="1" si="79">BD139-(AU139+AV139+AW139+AX139+AY139+AZ139+BT139+BW139+BZ139+CG139+CO139+CQ139+CR139)</f>
        <v>6.3640000000300176</v>
      </c>
      <c r="BB139" s="1397">
        <f ca="1">IF(B139&gt;=$J$5,0,(((CONTADORES!G139-CONTADORES!G138)+(CONTADORES!AR139-CONTADORES!AR138)+AR139)-(AV139+BC139)))</f>
        <v>9.1000000000058208</v>
      </c>
      <c r="BC139" s="1397">
        <f ca="1">IF(B139&gt;=$J$5,0,(CONTADORES!AY139-CONTADORES!AY138)+(CONTADORES!BA139-CONTADORES!BA138)+(CONTADORES!BF139-CONTADORES!BF138))</f>
        <v>2.5</v>
      </c>
      <c r="BD139" s="1397">
        <f t="shared" ref="BD139:BD202" ca="1" si="80">SUM(AO139:AR139)</f>
        <v>223.40000000002328</v>
      </c>
      <c r="BE139" s="1398">
        <f ca="1">IF($B139&gt;=$J$5,0,CONTADORES!$BG139)</f>
        <v>5954.67</v>
      </c>
      <c r="BF139" s="1397">
        <f ca="1">IF($B139&gt;=$J$5,0,CONTADORES!$BH139)</f>
        <v>29295.264912280705</v>
      </c>
      <c r="BG139" s="1397">
        <f ca="1">IF($B139&gt;=$J$5,0,CONTADORES!$BJ139)</f>
        <v>6183.32</v>
      </c>
      <c r="BH139" s="1397">
        <f ca="1">IF(B139&gt;=$J$5,0,((CONTADORES!BK139-CONTADORES!BK138)/1000))</f>
        <v>1.516</v>
      </c>
      <c r="BI139" s="1397">
        <f ca="1">IF(B139&gt;=$J$5,0,((CONTADORES!BL139-CONTADORES!BL138)/1000))</f>
        <v>1.4770000000000001</v>
      </c>
      <c r="BJ139" s="1397">
        <f ca="1">IF(B139&gt;=$J$5,0,((CONTADORES!BM139-CONTADORES!BM138)/1000))</f>
        <v>0</v>
      </c>
      <c r="BK139" s="1397">
        <f ca="1">IF(B139&gt;=$J$5,0,((CONTADORES!BN139-CONTADORES!BN138)/1000))</f>
        <v>0</v>
      </c>
      <c r="BL139" s="1399">
        <f t="shared" ref="BL139:BL202" ca="1" si="81">BH139+BJ139</f>
        <v>1.516</v>
      </c>
      <c r="BM139" s="1399">
        <f t="shared" ref="BM139:BM202" ca="1" si="82">BI139+BK139</f>
        <v>1.4770000000000001</v>
      </c>
      <c r="BN139" s="1398">
        <f ca="1">IF(W139&gt;=$J$5,0,CONTADORES!$BO139)</f>
        <v>125</v>
      </c>
      <c r="BO139" s="1397">
        <f ca="1">IF(W139&gt;=$J$5,0,CONTADORES!$BP139)</f>
        <v>42.612000000000002</v>
      </c>
      <c r="BP139" s="1397">
        <f ca="1">IF(W139&gt;=$J$5,0,CONTADORES!$BQ139)</f>
        <v>635</v>
      </c>
      <c r="BQ139" s="1397">
        <f ca="1">IF(B139&gt;=$J$5,0,(CONTADORES!AS139-CONTADORES!AS138))</f>
        <v>5</v>
      </c>
      <c r="BR139" s="1397">
        <f ca="1">IF(B139&gt;=$J$5,0,(CONTADORES!AT139-CONTADORES!AT138))</f>
        <v>0</v>
      </c>
      <c r="BS139" s="1398">
        <f ca="1">IF(B139&gt;=$J$5,0,CONTADORES!BR139-CONTADORES!BR138)/1000</f>
        <v>2.6160000000000001</v>
      </c>
      <c r="BT139" s="1398">
        <f ca="1">IF(B139&gt;=$J$5,0,CONTADORES!BS139-CONTADORES!BS138)</f>
        <v>1</v>
      </c>
      <c r="BU139" s="1398">
        <f ca="1">IF(B139&gt;=$J$5,0,CONTADORES!BT139-CONTADORES!BT138)</f>
        <v>24</v>
      </c>
      <c r="BV139" s="1398">
        <f ca="1">IF(B139&gt;=$J$5,0,CONTADORES!BU139-CONTADORES!BU138)/1000</f>
        <v>0</v>
      </c>
      <c r="BW139" s="1398">
        <f ca="1">IF(B139&gt;=$J$5,0,CONTADORES!BV139-CONTADORES!BV138)/1000</f>
        <v>0</v>
      </c>
      <c r="BX139" s="1398">
        <f ca="1">IF(B139&gt;=$J$5,0,CONTADORES!BW139-CONTADORES!BW138)</f>
        <v>0</v>
      </c>
      <c r="BY139" s="1398">
        <f ca="1">IF(B139&gt;=$J$5,0,CONTADORES!BX139-CONTADORES!BX138)/1000</f>
        <v>5.4480000000000004</v>
      </c>
      <c r="BZ139" s="1398">
        <f ca="1">IF(B139&gt;=$J$5,0,CONTADORES!BY139-CONTADORES!BY138)/1000</f>
        <v>0.73599999999999999</v>
      </c>
      <c r="CA139" s="1398">
        <f ca="1">IF(B139&gt;=$J$5,0,CONTADORES!BZ139-CONTADORES!BZ138)</f>
        <v>24</v>
      </c>
      <c r="CB139" s="1398">
        <f ca="1">IF(B139&gt;=$J$5,0,(CONTADORES!CC139-CONTADORES!CC138)+(CONTADORES!CE139-CONTADORES!CE138))/1000</f>
        <v>1.45</v>
      </c>
      <c r="CC139" s="1398">
        <f ca="1">IF(B139&gt;=$J$5,0,(CONTADORES!CD139-CONTADORES!CD138)+(CONTADORES!CF139-CONTADORES!CF138))/1000</f>
        <v>0.9</v>
      </c>
      <c r="CD139" s="1398">
        <f ca="1">IF(B139&gt;=$J$5,0,CONTADORES!CA139-CONTADORES!CA138)</f>
        <v>7.2999999999992724</v>
      </c>
      <c r="CE139" s="1398">
        <f ca="1">IF(B139&gt;=$J$5,0,CONTADORES!CB139-CONTADORES!CB138)</f>
        <v>4.7999999999992724</v>
      </c>
      <c r="CF139" s="1398">
        <f t="shared" ref="CF139:CF202" ca="1" si="83">CD139+CH139</f>
        <v>12.617999999987124</v>
      </c>
      <c r="CG139" s="1398">
        <f t="shared" ref="CG139:CG202" ca="1" si="84">CN139+CM139</f>
        <v>9.3500000000021828</v>
      </c>
      <c r="CH139" s="1398">
        <f t="shared" ref="CH139:CH202" ca="1" si="85">(AM139*0.5)</f>
        <v>5.3179999999878511</v>
      </c>
      <c r="CI139" s="1398">
        <f t="shared" ref="CI139:CI202" ca="1" si="86">(AN139*0.4)</f>
        <v>1.3000000000001091</v>
      </c>
      <c r="CJ139" s="1398">
        <f t="shared" ref="CJ139:CJ202" ca="1" si="87">AM139-CH139</f>
        <v>5.3179999999878511</v>
      </c>
      <c r="CK139" s="1398">
        <f t="shared" ref="CK139:CK202" ca="1" si="88">AN139-CI139</f>
        <v>1.9500000000001636</v>
      </c>
      <c r="CL139" s="1398">
        <f t="shared" ref="CL139:CL202" ca="1" si="89">CB139+CI139</f>
        <v>2.7500000000001092</v>
      </c>
      <c r="CM139" s="1398">
        <f t="shared" ref="CM139:CM202" ca="1" si="90">(BB139*0.5)</f>
        <v>4.5500000000029104</v>
      </c>
      <c r="CN139" s="1398">
        <f ca="1">IF(B139&gt;=$J$5,0,CONTADORES!CB139-CONTADORES!CB138)</f>
        <v>4.7999999999992724</v>
      </c>
      <c r="CO139" s="1398">
        <f t="shared" ref="CO139:CO202" ca="1" si="91">BB139-CM139</f>
        <v>4.5500000000029104</v>
      </c>
      <c r="CP139" s="1398">
        <f t="shared" ref="CP139:CP202" ca="1" si="92">BC139*0.5</f>
        <v>1.25</v>
      </c>
      <c r="CQ139" s="1398">
        <f t="shared" ref="CQ139:CQ202" ca="1" si="93">BC139-CP139</f>
        <v>1.25</v>
      </c>
      <c r="CR139" s="1398">
        <f t="shared" ref="CR139:CR202" ca="1" si="94">CC139+CP139</f>
        <v>2.15</v>
      </c>
      <c r="CS139" s="1448">
        <f ca="1">IF($B139&gt;=$J$5,0,CONTADORES!$BI139)</f>
        <v>8261.0734566587762</v>
      </c>
      <c r="CT139" s="1369">
        <f>CONTADORES!E139</f>
        <v>0</v>
      </c>
      <c r="CU139" s="1369">
        <f>CONTADORES!CG139</f>
        <v>0</v>
      </c>
    </row>
    <row r="140" spans="2:99">
      <c r="B140" s="390">
        <v>45056</v>
      </c>
      <c r="C140" s="198">
        <f t="shared" ca="1" si="68"/>
        <v>147.59999999997672</v>
      </c>
      <c r="D140" s="196">
        <f ca="1">'CALCULO DE GAS'!D149</f>
        <v>3.8611531901758243</v>
      </c>
      <c r="E140" s="196">
        <f ca="1">IF(B140&gt;=$J$5,0,(CONTADORES!$AD140-CONTADORES!$AD139)-$H140)</f>
        <v>24</v>
      </c>
      <c r="F140" s="198">
        <f t="shared" ca="1" si="67"/>
        <v>0</v>
      </c>
      <c r="G140" s="196">
        <f ca="1">IF(B140&gt;=$J$5,0,CONTADORES!$AF140-CONTADORES!$AF139)</f>
        <v>0</v>
      </c>
      <c r="H140" s="196">
        <f ca="1">IF(G140&gt;0,CONTADORES!$AE140-CONTADORES!$AE139,0)</f>
        <v>0</v>
      </c>
      <c r="I140" s="199">
        <f ca="1">IF(B140&gt;=$J$5,0,CONTADORES!$AB140-CONTADORES!$AB139)</f>
        <v>147.59999999997672</v>
      </c>
      <c r="J140" s="198">
        <f t="shared" ca="1" si="69"/>
        <v>291.90000000000146</v>
      </c>
      <c r="K140" s="196">
        <f ca="1">'CALCULO DE GAS'!E149</f>
        <v>5.0958037610609095</v>
      </c>
      <c r="L140" s="1396">
        <f ca="1">IF(B140&gt;=$J$5,0,(CONTADORES!$Y140-CONTADORES!$Y139)-$O140)</f>
        <v>24</v>
      </c>
      <c r="M140" s="1396">
        <f t="shared" ca="1" si="66"/>
        <v>0</v>
      </c>
      <c r="N140" s="1396">
        <f ca="1">IF(B140&gt;=$J$5,0,CONTADORES!$AA140-CONTADORES!$AA139)</f>
        <v>0</v>
      </c>
      <c r="O140" s="1396">
        <f ca="1">IF(N140&gt;0,CONTADORES!$Z140-CONTADORES!$Z139,0)</f>
        <v>0</v>
      </c>
      <c r="P140" s="202">
        <f ca="1">IF(B140&gt;=$J$5,0,CONTADORES!$W140-CONTADORES!$W139)</f>
        <v>291.90000000000146</v>
      </c>
      <c r="Q140" s="202">
        <f ca="1">IF(B140&gt;=$J$5,0,CONTADORES!$B140-CONTADORES!$B139)</f>
        <v>0</v>
      </c>
      <c r="R140" s="196">
        <f t="shared" ca="1" si="70"/>
        <v>0</v>
      </c>
      <c r="S140" s="11">
        <f ca="1">IF(B140&gt;=$J$5,0,CONTADORES!$D140-CONTADORES!$D139)</f>
        <v>0</v>
      </c>
      <c r="T140" s="198">
        <f ca="1">IF(B140&gt;=$J$5,0,CONTADORES!$BB140-CONTADORES!$BB139)</f>
        <v>0</v>
      </c>
      <c r="U140" s="196">
        <f t="shared" ca="1" si="65"/>
        <v>0</v>
      </c>
      <c r="V140" s="199">
        <f ca="1">IF(B140&gt;=$J$5,0,CONTADORES!$BD140-CONTADORES!$BD139)</f>
        <v>0</v>
      </c>
      <c r="W140" s="1397">
        <f t="shared" ca="1" si="71"/>
        <v>439.49999999997817</v>
      </c>
      <c r="X140" s="1397">
        <f t="shared" ca="1" si="72"/>
        <v>0</v>
      </c>
      <c r="Y140" s="1398">
        <f t="shared" ca="1" si="73"/>
        <v>439.49999999997817</v>
      </c>
      <c r="Z140" s="1398">
        <f t="shared" ca="1" si="74"/>
        <v>8.9569569512367337</v>
      </c>
      <c r="AA140" s="1398">
        <f t="shared" ca="1" si="75"/>
        <v>0</v>
      </c>
      <c r="AB140" s="1398">
        <f t="shared" ca="1" si="76"/>
        <v>48</v>
      </c>
      <c r="AC140" s="1397">
        <f t="shared" ca="1" si="77"/>
        <v>0</v>
      </c>
      <c r="AD140" s="1397">
        <f ca="1">IF(B140&gt;=$J$5,0,CONTADORES!H140-CONTADORES!H139)</f>
        <v>165.39999999999964</v>
      </c>
      <c r="AE140" s="1398">
        <f ca="1">IF(B140&gt;=$J$5,0,CONTADORES!J140-CONTADORES!J139)</f>
        <v>24</v>
      </c>
      <c r="AF140" s="1397">
        <f ca="1">IF(B140&gt;=$J$5,0,CONTADORES!AU140-CONTADORES!AU139)</f>
        <v>147.5</v>
      </c>
      <c r="AG140" s="1398">
        <f ca="1">IF(B140&gt;=$J$5,0,CONTADORES!AW140-CONTADORES!AW139)</f>
        <v>24</v>
      </c>
      <c r="AH140" s="1398">
        <f ca="1">IF(B140&gt;=$J$5,0,(CONTADORES!AM140-CONTADORES!AM139)+(CONTADORES!M140-CONTADORES!M139))</f>
        <v>12.299999999995634</v>
      </c>
      <c r="AI140" s="1397">
        <f ca="1">IF(B140&gt;=$J$5,0,(CONTADORES!AK140-CONTADORES!AK139)+(CONTADORES!O140-CONTADORES!O139))</f>
        <v>37.099999999991269</v>
      </c>
      <c r="AJ140" s="1397">
        <f ca="1">IF(B140&gt;=$J$5,0,(CONTADORES!AI140-CONTADORES!AI139))</f>
        <v>5.1999999999970896</v>
      </c>
      <c r="AK140" s="1397">
        <f ca="1">IF(B140&gt;=$J$5,0,(CONTADORES!Q140-CONTADORES!Q139))</f>
        <v>10.800000000017462</v>
      </c>
      <c r="AL140" s="1398">
        <f t="shared" ca="1" si="78"/>
        <v>33.499999999939917</v>
      </c>
      <c r="AM140" s="1397">
        <f ca="1">IF(B140&gt;=$J$5,0,(((CONTADORES!F140-CONTADORES!F139)+(CONTADORES!AQ140-CONTADORES!AQ139))))-BS140-AF140-AN140-BV140-BY140-CD140-CB140</f>
        <v>8.5955000000369317</v>
      </c>
      <c r="AN140" s="1397">
        <f ca="1">IF(B140&gt;=$J$5,0,(CONTADORES!AX140-CONTADORES!AX139)+(CONTADORES!AZ140-CONTADORES!AZ139)+(CONTADORES!BE140-CONTADORES!BE139))-CB140</f>
        <v>3.3189999999998179</v>
      </c>
      <c r="AO140" s="1397">
        <f ca="1">IF(B140&gt;=$J$5,0,(CONTADORES!AC140-CONTADORES!AC139))</f>
        <v>75.099999999976717</v>
      </c>
      <c r="AP140" s="1397">
        <f ca="1">IF(B140&gt;=$J$5,0,(CONTADORES!X140-CONTADORES!X139))</f>
        <v>143.20000000000073</v>
      </c>
      <c r="AQ140" s="1397">
        <f ca="1">IF(B140&gt;=$J$5,0,(CONTADORES!C140-CONTADORES!C139))</f>
        <v>0</v>
      </c>
      <c r="AR140" s="1397">
        <f ca="1">IF(B140&gt;=$J$5,0,(CONTADORES!BC140-CONTADORES!BC139))</f>
        <v>0</v>
      </c>
      <c r="AS140" s="1397">
        <f ca="1">IF(B140&gt;=$J$5,0,CONTADORES!S140-CONTADORES!S139)</f>
        <v>14.100000000005821</v>
      </c>
      <c r="AT140" s="1397">
        <f ca="1">IF(B140&gt;=$J$5,0,(CONTADORES!U140-CONTADORES!U139)+(CONTADORES!AG140-CONTADORES!AG139))</f>
        <v>2.4000000000014552</v>
      </c>
      <c r="AU140" s="1397">
        <f ca="1">IF(B140&gt;=$J$5,0,(CONTADORES!I140-CONTADORES!I139))</f>
        <v>82.600000000000364</v>
      </c>
      <c r="AV140" s="1397">
        <f ca="1">IF(B140&gt;=$J$5,0,(CONTADORES!AV140-CONTADORES!AV139))</f>
        <v>64</v>
      </c>
      <c r="AW140" s="1397">
        <f ca="1">IF(B140&gt;=$J$5,0,(CONTADORES!N140-CONTADORES!N139)+(CONTADORES!AN140-CONTADORES!AN139))</f>
        <v>4.9000000000014552</v>
      </c>
      <c r="AX140" s="1397">
        <f ca="1">IF(B140&gt;=$J$5,0,(CONTADORES!P140-CONTADORES!P139)+(CONTADORES!AL140-CONTADORES!AL139))</f>
        <v>31.5</v>
      </c>
      <c r="AY140" s="1397">
        <f ca="1">IF(B140&gt;=$J$5,0,(CONTADORES!AJ140-CONTADORES!AJ139))</f>
        <v>3.9000000000014552</v>
      </c>
      <c r="AZ140" s="1397">
        <f ca="1">IF(B140&gt;=$J$5,0,(CONTADORES!R140-CONTADORES!R139))</f>
        <v>8.5999999999912689</v>
      </c>
      <c r="BA140" s="1398">
        <f t="shared" ca="1" si="79"/>
        <v>5.7079999999891129</v>
      </c>
      <c r="BB140" s="1397">
        <f ca="1">IF(B140&gt;=$J$5,0,(((CONTADORES!G140-CONTADORES!G139)+(CONTADORES!AR140-CONTADORES!AR139)+AR140)-(AV140+BC140)))</f>
        <v>7.9999999999936335</v>
      </c>
      <c r="BC140" s="1397">
        <f ca="1">IF(B140&gt;=$J$5,0,(CONTADORES!AY140-CONTADORES!AY139)+(CONTADORES!BA140-CONTADORES!BA139)+(CONTADORES!BF140-CONTADORES!BF139))</f>
        <v>2.5</v>
      </c>
      <c r="BD140" s="1397">
        <f t="shared" ca="1" si="80"/>
        <v>218.29999999997744</v>
      </c>
      <c r="BE140" s="1398">
        <f ca="1">IF($B140&gt;=$J$5,0,CONTADORES!$BG140)</f>
        <v>5799.84</v>
      </c>
      <c r="BF140" s="1397">
        <f ca="1">IF($B140&gt;=$J$5,0,CONTADORES!$BH140)</f>
        <v>29341.110526315792</v>
      </c>
      <c r="BG140" s="1397">
        <f ca="1">IF($B140&gt;=$J$5,0,CONTADORES!$BJ140)</f>
        <v>5967.74</v>
      </c>
      <c r="BH140" s="1397">
        <f ca="1">IF(B140&gt;=$J$5,0,((CONTADORES!BK140-CONTADORES!BK139)/1000))</f>
        <v>1.153</v>
      </c>
      <c r="BI140" s="1397">
        <f ca="1">IF(B140&gt;=$J$5,0,((CONTADORES!BL140-CONTADORES!BL139)/1000))</f>
        <v>1.0960000000000001</v>
      </c>
      <c r="BJ140" s="1397">
        <f ca="1">IF(B140&gt;=$J$5,0,((CONTADORES!BM140-CONTADORES!BM139)/1000))</f>
        <v>0</v>
      </c>
      <c r="BK140" s="1397">
        <f ca="1">IF(B140&gt;=$J$5,0,((CONTADORES!BN140-CONTADORES!BN139)/1000))</f>
        <v>0</v>
      </c>
      <c r="BL140" s="1399">
        <f t="shared" ca="1" si="81"/>
        <v>1.153</v>
      </c>
      <c r="BM140" s="1399">
        <f t="shared" ca="1" si="82"/>
        <v>1.0960000000000001</v>
      </c>
      <c r="BN140" s="1398">
        <f ca="1">IF(W140&gt;=$J$5,0,CONTADORES!$BO140)</f>
        <v>126</v>
      </c>
      <c r="BO140" s="1397">
        <f ca="1">IF(W140&gt;=$J$5,0,CONTADORES!$BP140)</f>
        <v>43.603000000000002</v>
      </c>
      <c r="BP140" s="1397">
        <f ca="1">IF(W140&gt;=$J$5,0,CONTADORES!$BQ140)</f>
        <v>642</v>
      </c>
      <c r="BQ140" s="1397">
        <f ca="1">IF(B140&gt;=$J$5,0,(CONTADORES!AS140-CONTADORES!AS139))</f>
        <v>5</v>
      </c>
      <c r="BR140" s="1397">
        <f ca="1">IF(B140&gt;=$J$5,0,(CONTADORES!AT140-CONTADORES!AT139))</f>
        <v>0</v>
      </c>
      <c r="BS140" s="1398">
        <f ca="1">IF(B140&gt;=$J$5,0,CONTADORES!BR140-CONTADORES!BR139)/1000</f>
        <v>0.34649999999999997</v>
      </c>
      <c r="BT140" s="1398">
        <f ca="1">IF(B140&gt;=$J$5,0,CONTADORES!BS140-CONTADORES!BS139)</f>
        <v>1</v>
      </c>
      <c r="BU140" s="1398">
        <f ca="1">IF(B140&gt;=$J$5,0,CONTADORES!BT140-CONTADORES!BT139)</f>
        <v>3.3300000000017462</v>
      </c>
      <c r="BV140" s="1398">
        <f ca="1">IF(B140&gt;=$J$5,0,CONTADORES!BU140-CONTADORES!BU139)/1000</f>
        <v>4.0330000000000004</v>
      </c>
      <c r="BW140" s="1398">
        <f ca="1">IF(B140&gt;=$J$5,0,CONTADORES!BV140-CONTADORES!BV139)/1000</f>
        <v>0.249</v>
      </c>
      <c r="BX140" s="1398">
        <f ca="1">IF(B140&gt;=$J$5,0,CONTADORES!BW140-CONTADORES!BW139)</f>
        <v>20.399999999997817</v>
      </c>
      <c r="BY140" s="1398">
        <f ca="1">IF(B140&gt;=$J$5,0,CONTADORES!BX140-CONTADORES!BX139)/1000</f>
        <v>3.9249999999999998</v>
      </c>
      <c r="BZ140" s="1398">
        <f ca="1">IF(B140&gt;=$J$5,0,CONTADORES!BY140-CONTADORES!BY139)/1000</f>
        <v>0.188</v>
      </c>
      <c r="CA140" s="1398">
        <f ca="1">IF(B140&gt;=$J$5,0,CONTADORES!BZ140-CONTADORES!BZ139)</f>
        <v>24</v>
      </c>
      <c r="CB140" s="1398">
        <f ca="1">IF(B140&gt;=$J$5,0,(CONTADORES!CC140-CONTADORES!CC139)+(CONTADORES!CE140-CONTADORES!CE139))/1000</f>
        <v>1.381</v>
      </c>
      <c r="CC140" s="1398">
        <f ca="1">IF(B140&gt;=$J$5,0,(CONTADORES!CD140-CONTADORES!CD139)+(CONTADORES!CF140-CONTADORES!CF139))/1000</f>
        <v>0.85499999999999998</v>
      </c>
      <c r="CD140" s="1398">
        <f ca="1">IF(B140&gt;=$J$5,0,CONTADORES!CA140-CONTADORES!CA139)</f>
        <v>6.1000000000003638</v>
      </c>
      <c r="CE140" s="1398">
        <f ca="1">IF(B140&gt;=$J$5,0,CONTADORES!CB140-CONTADORES!CB139)</f>
        <v>4.3000000000001819</v>
      </c>
      <c r="CF140" s="1398">
        <f t="shared" ca="1" si="83"/>
        <v>10.39775000001883</v>
      </c>
      <c r="CG140" s="1398">
        <f t="shared" ca="1" si="84"/>
        <v>8.2999999999969987</v>
      </c>
      <c r="CH140" s="1398">
        <f t="shared" ca="1" si="85"/>
        <v>4.2977500000184659</v>
      </c>
      <c r="CI140" s="1398">
        <f t="shared" ca="1" si="86"/>
        <v>1.3275999999999273</v>
      </c>
      <c r="CJ140" s="1398">
        <f t="shared" ca="1" si="87"/>
        <v>4.2977500000184659</v>
      </c>
      <c r="CK140" s="1398">
        <f t="shared" ca="1" si="88"/>
        <v>1.9913999999998906</v>
      </c>
      <c r="CL140" s="1398">
        <f t="shared" ca="1" si="89"/>
        <v>2.7085999999999273</v>
      </c>
      <c r="CM140" s="1398">
        <f t="shared" ca="1" si="90"/>
        <v>3.9999999999968168</v>
      </c>
      <c r="CN140" s="1398">
        <f ca="1">IF(B140&gt;=$J$5,0,CONTADORES!CB140-CONTADORES!CB139)</f>
        <v>4.3000000000001819</v>
      </c>
      <c r="CO140" s="1398">
        <f t="shared" ca="1" si="91"/>
        <v>3.9999999999968168</v>
      </c>
      <c r="CP140" s="1398">
        <f t="shared" ca="1" si="92"/>
        <v>1.25</v>
      </c>
      <c r="CQ140" s="1398">
        <f t="shared" ca="1" si="93"/>
        <v>1.25</v>
      </c>
      <c r="CR140" s="1398">
        <f t="shared" ca="1" si="94"/>
        <v>2.105</v>
      </c>
      <c r="CS140" s="1448">
        <f ca="1">IF($B140&gt;=$J$5,0,CONTADORES!$BI140)</f>
        <v>7576.1774173766835</v>
      </c>
      <c r="CT140" s="1369">
        <f>CONTADORES!E140</f>
        <v>0</v>
      </c>
      <c r="CU140" s="1369">
        <f>CONTADORES!CG140</f>
        <v>0</v>
      </c>
    </row>
    <row r="141" spans="2:99">
      <c r="B141" s="390">
        <v>45057</v>
      </c>
      <c r="C141" s="198">
        <f t="shared" ca="1" si="68"/>
        <v>149.09999999997672</v>
      </c>
      <c r="D141" s="196">
        <f ca="1">'CALCULO DE GAS'!D150</f>
        <v>3.8739873956943782</v>
      </c>
      <c r="E141" s="196">
        <f ca="1">IF(B141&gt;=$J$5,0,(CONTADORES!$AD141-CONTADORES!$AD140)-$H141)</f>
        <v>24</v>
      </c>
      <c r="F141" s="198">
        <f t="shared" ca="1" si="67"/>
        <v>0</v>
      </c>
      <c r="G141" s="196">
        <f ca="1">IF(B141&gt;=$J$5,0,CONTADORES!$AF141-CONTADORES!$AF140)</f>
        <v>0</v>
      </c>
      <c r="H141" s="196">
        <f ca="1">IF(G141&gt;0,CONTADORES!$AE141-CONTADORES!$AE140,0)</f>
        <v>0</v>
      </c>
      <c r="I141" s="199">
        <f ca="1">IF(B141&gt;=$J$5,0,CONTADORES!$AB141-CONTADORES!$AB140)</f>
        <v>149.09999999997672</v>
      </c>
      <c r="J141" s="198">
        <f t="shared" ca="1" si="69"/>
        <v>306.09999999999854</v>
      </c>
      <c r="K141" s="196">
        <f ca="1">'CALCULO DE GAS'!E150</f>
        <v>5.2173009066365266</v>
      </c>
      <c r="L141" s="1396">
        <f ca="1">IF(B141&gt;=$J$5,0,(CONTADORES!$Y141-CONTADORES!$Y140)-$O141)</f>
        <v>24</v>
      </c>
      <c r="M141" s="1396">
        <f t="shared" ref="M141:M172" ca="1" si="95">IF(O141=0,0,"ERROR")</f>
        <v>0</v>
      </c>
      <c r="N141" s="1396">
        <f ca="1">IF(B141&gt;=$J$5,0,CONTADORES!$AA141-CONTADORES!$AA140)</f>
        <v>0</v>
      </c>
      <c r="O141" s="1396">
        <f ca="1">IF(N141&gt;0,CONTADORES!$Z141-CONTADORES!$Z140,0)</f>
        <v>0</v>
      </c>
      <c r="P141" s="202">
        <f ca="1">IF(B141&gt;=$J$5,0,CONTADORES!$W141-CONTADORES!$W140)</f>
        <v>306.09999999999854</v>
      </c>
      <c r="Q141" s="202">
        <f ca="1">IF(B141&gt;=$J$5,0,CONTADORES!$B141-CONTADORES!$B140)</f>
        <v>0</v>
      </c>
      <c r="R141" s="196">
        <f t="shared" ca="1" si="70"/>
        <v>0</v>
      </c>
      <c r="S141" s="11">
        <f ca="1">IF(B141&gt;=$J$5,0,CONTADORES!$D141-CONTADORES!$D140)</f>
        <v>0</v>
      </c>
      <c r="T141" s="198">
        <f ca="1">IF(B141&gt;=$J$5,0,CONTADORES!$BB141-CONTADORES!$BB140)</f>
        <v>0</v>
      </c>
      <c r="U141" s="196">
        <f t="shared" ca="1" si="65"/>
        <v>0</v>
      </c>
      <c r="V141" s="199">
        <f ca="1">IF(B141&gt;=$J$5,0,CONTADORES!$BD141-CONTADORES!$BD140)</f>
        <v>0</v>
      </c>
      <c r="W141" s="1397">
        <f t="shared" ca="1" si="71"/>
        <v>455.19999999997526</v>
      </c>
      <c r="X141" s="1397">
        <f t="shared" ca="1" si="72"/>
        <v>0</v>
      </c>
      <c r="Y141" s="1398">
        <f t="shared" ca="1" si="73"/>
        <v>455.19999999997526</v>
      </c>
      <c r="Z141" s="1398">
        <f t="shared" ca="1" si="74"/>
        <v>9.0912883023309057</v>
      </c>
      <c r="AA141" s="1398">
        <f t="shared" ca="1" si="75"/>
        <v>0</v>
      </c>
      <c r="AB141" s="1398">
        <f t="shared" ca="1" si="76"/>
        <v>48</v>
      </c>
      <c r="AC141" s="1397">
        <f t="shared" ca="1" si="77"/>
        <v>0</v>
      </c>
      <c r="AD141" s="1397">
        <f ca="1">IF(B141&gt;=$J$5,0,CONTADORES!H141-CONTADORES!H140)</f>
        <v>168.40000000000055</v>
      </c>
      <c r="AE141" s="1398">
        <f ca="1">IF(B141&gt;=$J$5,0,CONTADORES!J141-CONTADORES!J140)</f>
        <v>24</v>
      </c>
      <c r="AF141" s="1397">
        <f ca="1">IF(B141&gt;=$J$5,0,CONTADORES!AU141-CONTADORES!AU140)</f>
        <v>147.39999999996508</v>
      </c>
      <c r="AG141" s="1398">
        <f ca="1">IF(B141&gt;=$J$5,0,CONTADORES!AW141-CONTADORES!AW140)</f>
        <v>24</v>
      </c>
      <c r="AH141" s="1398">
        <f ca="1">IF(B141&gt;=$J$5,0,(CONTADORES!AM141-CONTADORES!AM140)+(CONTADORES!M141-CONTADORES!M140))</f>
        <v>17.80000000000291</v>
      </c>
      <c r="AI141" s="1397">
        <f ca="1">IF(B141&gt;=$J$5,0,(CONTADORES!AK141-CONTADORES!AK140)+(CONTADORES!O141-CONTADORES!O140))</f>
        <v>37.900000000008731</v>
      </c>
      <c r="AJ141" s="1397">
        <f ca="1">IF(B141&gt;=$J$5,0,(CONTADORES!AI141-CONTADORES!AI140))</f>
        <v>6.1000000000058208</v>
      </c>
      <c r="AK141" s="1397">
        <f ca="1">IF(B141&gt;=$J$5,0,(CONTADORES!Q141-CONTADORES!Q140))</f>
        <v>13.399999999994179</v>
      </c>
      <c r="AL141" s="1398">
        <f t="shared" ca="1" si="78"/>
        <v>35.100000000010368</v>
      </c>
      <c r="AM141" s="1397">
        <f ca="1">IF(B141&gt;=$J$5,0,(((CONTADORES!F141-CONTADORES!F140)+(CONTADORES!AQ141-CONTADORES!AQ140))))-BS141-AF141-AN141-BV141-BY141-CD141-CB141</f>
        <v>9.4489999999878105</v>
      </c>
      <c r="AN141" s="1397">
        <f ca="1">IF(B141&gt;=$J$5,0,(CONTADORES!AX141-CONTADORES!AX140)+(CONTADORES!AZ141-CONTADORES!AZ140)+(CONTADORES!BE141-CONTADORES!BE140))-CB141</f>
        <v>3.3720000000005457</v>
      </c>
      <c r="AO141" s="1397">
        <f ca="1">IF(B141&gt;=$J$5,0,(CONTADORES!AC141-CONTADORES!AC140))</f>
        <v>70.5</v>
      </c>
      <c r="AP141" s="1397">
        <f ca="1">IF(B141&gt;=$J$5,0,(CONTADORES!X141-CONTADORES!X140))</f>
        <v>155.70000000000073</v>
      </c>
      <c r="AQ141" s="1397">
        <f ca="1">IF(B141&gt;=$J$5,0,(CONTADORES!C141-CONTADORES!C140))</f>
        <v>0</v>
      </c>
      <c r="AR141" s="1397">
        <f ca="1">IF(B141&gt;=$J$5,0,(CONTADORES!BC141-CONTADORES!BC140))</f>
        <v>0</v>
      </c>
      <c r="AS141" s="1397">
        <f ca="1">IF(B141&gt;=$J$5,0,CONTADORES!S141-CONTADORES!S140)</f>
        <v>14.800000000017462</v>
      </c>
      <c r="AT141" s="1397">
        <f ca="1">IF(B141&gt;=$J$5,0,(CONTADORES!U141-CONTADORES!U140)+(CONTADORES!AG141-CONTADORES!AG140))</f>
        <v>2.5999999999985448</v>
      </c>
      <c r="AU141" s="1397">
        <f ca="1">IF(B141&gt;=$J$5,0,(CONTADORES!I141-CONTADORES!I140))</f>
        <v>83.5</v>
      </c>
      <c r="AV141" s="1397">
        <f ca="1">IF(B141&gt;=$J$5,0,(CONTADORES!AV141-CONTADORES!AV140))</f>
        <v>64</v>
      </c>
      <c r="AW141" s="1397">
        <f ca="1">IF(B141&gt;=$J$5,0,(CONTADORES!N141-CONTADORES!N140)+(CONTADORES!AN141-CONTADORES!AN140))</f>
        <v>7.0999999999985448</v>
      </c>
      <c r="AX141" s="1397">
        <f ca="1">IF(B141&gt;=$J$5,0,(CONTADORES!P141-CONTADORES!P140)+(CONTADORES!AL141-CONTADORES!AL140))</f>
        <v>32.099999999998545</v>
      </c>
      <c r="AY141" s="1397">
        <f ca="1">IF(B141&gt;=$J$5,0,(CONTADORES!AJ141-CONTADORES!AJ140))</f>
        <v>4.5</v>
      </c>
      <c r="AZ141" s="1397">
        <f ca="1">IF(B141&gt;=$J$5,0,(CONTADORES!R141-CONTADORES!R140))</f>
        <v>9.9000000000087311</v>
      </c>
      <c r="BA141" s="1398">
        <f t="shared" ca="1" si="79"/>
        <v>7.7699999999879878</v>
      </c>
      <c r="BB141" s="1397">
        <f ca="1">IF(B141&gt;=$J$5,0,(((CONTADORES!G141-CONTADORES!G140)+(CONTADORES!AR141-CONTADORES!AR140)+AR141)-(AV141+BC141)))</f>
        <v>9.1000000000062755</v>
      </c>
      <c r="BC141" s="1397">
        <f ca="1">IF(B141&gt;=$J$5,0,(CONTADORES!AY141-CONTADORES!AY140)+(CONTADORES!BA141-CONTADORES!BA140)+(CONTADORES!BF141-CONTADORES!BF140))</f>
        <v>2.4000000000000909</v>
      </c>
      <c r="BD141" s="1397">
        <f t="shared" ca="1" si="80"/>
        <v>226.20000000000073</v>
      </c>
      <c r="BE141" s="1398">
        <f ca="1">IF($B141&gt;=$J$5,0,CONTADORES!$BG141)</f>
        <v>5573.84</v>
      </c>
      <c r="BF141" s="1397">
        <f ca="1">IF($B141&gt;=$J$5,0,CONTADORES!$BH141)</f>
        <v>30119.514035087701</v>
      </c>
      <c r="BG141" s="1397">
        <f ca="1">IF($B141&gt;=$J$5,0,CONTADORES!$BJ141)</f>
        <v>5586.58</v>
      </c>
      <c r="BH141" s="1397">
        <f ca="1">IF(B141&gt;=$J$5,0,((CONTADORES!BK141-CONTADORES!BK140)/1000))</f>
        <v>0.93200000000000005</v>
      </c>
      <c r="BI141" s="1397">
        <f ca="1">IF(B141&gt;=$J$5,0,((CONTADORES!BL141-CONTADORES!BL140)/1000))</f>
        <v>0.85299999999999998</v>
      </c>
      <c r="BJ141" s="1397">
        <f ca="1">IF(B141&gt;=$J$5,0,((CONTADORES!BM141-CONTADORES!BM140)/1000))</f>
        <v>0</v>
      </c>
      <c r="BK141" s="1397">
        <f ca="1">IF(B141&gt;=$J$5,0,((CONTADORES!BN141-CONTADORES!BN140)/1000))</f>
        <v>0</v>
      </c>
      <c r="BL141" s="1399">
        <f t="shared" ca="1" si="81"/>
        <v>0.93200000000000005</v>
      </c>
      <c r="BM141" s="1399">
        <f t="shared" ca="1" si="82"/>
        <v>0.85299999999999998</v>
      </c>
      <c r="BN141" s="1398">
        <f ca="1">IF(W141&gt;=$J$5,0,CONTADORES!$BO141)</f>
        <v>126</v>
      </c>
      <c r="BO141" s="1397">
        <f ca="1">IF(W141&gt;=$J$5,0,CONTADORES!$BP141)</f>
        <v>43.372</v>
      </c>
      <c r="BP141" s="1397">
        <f ca="1">IF(W141&gt;=$J$5,0,CONTADORES!$BQ141)</f>
        <v>641</v>
      </c>
      <c r="BQ141" s="1397">
        <f ca="1">IF(B141&gt;=$J$5,0,(CONTADORES!AS141-CONTADORES!AS140))</f>
        <v>5</v>
      </c>
      <c r="BR141" s="1397">
        <f ca="1">IF(B141&gt;=$J$5,0,(CONTADORES!AT141-CONTADORES!AT140))</f>
        <v>0</v>
      </c>
      <c r="BS141" s="1398">
        <f ca="1">IF(B141&gt;=$J$5,0,CONTADORES!BR141-CONTADORES!BR140)/1000</f>
        <v>0</v>
      </c>
      <c r="BT141" s="1398">
        <f ca="1">IF(B141&gt;=$J$5,0,CONTADORES!BS141-CONTADORES!BS140)</f>
        <v>0</v>
      </c>
      <c r="BU141" s="1398">
        <f ca="1">IF(B141&gt;=$J$5,0,CONTADORES!BT141-CONTADORES!BT140)</f>
        <v>0</v>
      </c>
      <c r="BV141" s="1398">
        <f ca="1">IF(B141&gt;=$J$5,0,CONTADORES!BU141-CONTADORES!BU140)/1000</f>
        <v>4.7729999999999997</v>
      </c>
      <c r="BW141" s="1398">
        <f ca="1">IF(B141&gt;=$J$5,0,CONTADORES!BV141-CONTADORES!BV140)/1000</f>
        <v>0.39300000000000002</v>
      </c>
      <c r="BX141" s="1398">
        <f ca="1">IF(B141&gt;=$J$5,0,CONTADORES!BW141-CONTADORES!BW140)</f>
        <v>24</v>
      </c>
      <c r="BY141" s="1398">
        <f ca="1">IF(B141&gt;=$J$5,0,CONTADORES!BX141-CONTADORES!BX140)/1000</f>
        <v>3.6779999999999999</v>
      </c>
      <c r="BZ141" s="1398">
        <f ca="1">IF(B141&gt;=$J$5,0,CONTADORES!BY141-CONTADORES!BY140)/1000</f>
        <v>0.104</v>
      </c>
      <c r="CA141" s="1398">
        <f ca="1">IF(B141&gt;=$J$5,0,CONTADORES!BZ141-CONTADORES!BZ140)</f>
        <v>24</v>
      </c>
      <c r="CB141" s="1398">
        <f ca="1">IF(B141&gt;=$J$5,0,(CONTADORES!CC141-CONTADORES!CC140)+(CONTADORES!CE141-CONTADORES!CE140))/1000</f>
        <v>1.528</v>
      </c>
      <c r="CC141" s="1398">
        <f ca="1">IF(B141&gt;=$J$5,0,(CONTADORES!CD141-CONTADORES!CD140)+(CONTADORES!CF141-CONTADORES!CF140))/1000</f>
        <v>0.93300000000000005</v>
      </c>
      <c r="CD141" s="1398">
        <f ca="1">IF(B141&gt;=$J$5,0,CONTADORES!CA141-CONTADORES!CA140)</f>
        <v>6.2999999999992724</v>
      </c>
      <c r="CE141" s="1398">
        <f ca="1">IF(B141&gt;=$J$5,0,CONTADORES!CB141-CONTADORES!CB140)</f>
        <v>4.4000000000005457</v>
      </c>
      <c r="CF141" s="1398">
        <f t="shared" ca="1" si="83"/>
        <v>11.024499999993179</v>
      </c>
      <c r="CG141" s="1398">
        <f t="shared" ca="1" si="84"/>
        <v>8.9500000000036835</v>
      </c>
      <c r="CH141" s="1398">
        <f t="shared" ca="1" si="85"/>
        <v>4.7244999999939052</v>
      </c>
      <c r="CI141" s="1398">
        <f t="shared" ca="1" si="86"/>
        <v>1.3488000000002183</v>
      </c>
      <c r="CJ141" s="1398">
        <f t="shared" ca="1" si="87"/>
        <v>4.7244999999939052</v>
      </c>
      <c r="CK141" s="1398">
        <f t="shared" ca="1" si="88"/>
        <v>2.0232000000003274</v>
      </c>
      <c r="CL141" s="1398">
        <f t="shared" ca="1" si="89"/>
        <v>2.8768000000002183</v>
      </c>
      <c r="CM141" s="1398">
        <f t="shared" ca="1" si="90"/>
        <v>4.5500000000031378</v>
      </c>
      <c r="CN141" s="1398">
        <f ca="1">IF(B141&gt;=$J$5,0,CONTADORES!CB141-CONTADORES!CB140)</f>
        <v>4.4000000000005457</v>
      </c>
      <c r="CO141" s="1398">
        <f t="shared" ca="1" si="91"/>
        <v>4.5500000000031378</v>
      </c>
      <c r="CP141" s="1398">
        <f t="shared" ca="1" si="92"/>
        <v>1.2000000000000455</v>
      </c>
      <c r="CQ141" s="1398">
        <f t="shared" ca="1" si="93"/>
        <v>1.2000000000000455</v>
      </c>
      <c r="CR141" s="1398">
        <f t="shared" ca="1" si="94"/>
        <v>2.1330000000000453</v>
      </c>
      <c r="CS141" s="1448">
        <f ca="1">IF($B141&gt;=$J$5,0,CONTADORES!$BI141)</f>
        <v>7321.9405397298297</v>
      </c>
      <c r="CT141" s="1369">
        <f>CONTADORES!E141</f>
        <v>0</v>
      </c>
      <c r="CU141" s="1369">
        <f>CONTADORES!CG141</f>
        <v>0</v>
      </c>
    </row>
    <row r="142" spans="2:99">
      <c r="B142" s="390">
        <v>45058</v>
      </c>
      <c r="C142" s="198">
        <f t="shared" ca="1" si="68"/>
        <v>150</v>
      </c>
      <c r="D142" s="196">
        <f ca="1">'CALCULO DE GAS'!D151</f>
        <v>3.8816879190057101</v>
      </c>
      <c r="E142" s="196">
        <f ca="1">IF(B142&gt;=$J$5,0,(CONTADORES!$AD142-CONTADORES!$AD141)-$H142)</f>
        <v>24</v>
      </c>
      <c r="F142" s="198">
        <f t="shared" ca="1" si="67"/>
        <v>0</v>
      </c>
      <c r="G142" s="196">
        <f ca="1">IF(B142&gt;=$J$5,0,CONTADORES!$AF142-CONTADORES!$AF141)</f>
        <v>0</v>
      </c>
      <c r="H142" s="196">
        <f ca="1">IF(G142&gt;0,CONTADORES!$AE142-CONTADORES!$AE141,0)</f>
        <v>0</v>
      </c>
      <c r="I142" s="199">
        <f ca="1">IF(B142&gt;=$J$5,0,CONTADORES!$AB142-CONTADORES!$AB141)</f>
        <v>150</v>
      </c>
      <c r="J142" s="198">
        <f t="shared" ca="1" si="69"/>
        <v>296.09999999999854</v>
      </c>
      <c r="K142" s="196">
        <f ca="1">'CALCULO DE GAS'!E151</f>
        <v>5.1317395365128355</v>
      </c>
      <c r="L142" s="1396">
        <f ca="1">IF(B142&gt;=$J$5,0,(CONTADORES!$Y142-CONTADORES!$Y141)-$O142)</f>
        <v>24</v>
      </c>
      <c r="M142" s="1396">
        <f t="shared" ca="1" si="95"/>
        <v>0</v>
      </c>
      <c r="N142" s="1396">
        <f ca="1">IF(B142&gt;=$J$5,0,CONTADORES!$AA142-CONTADORES!$AA141)</f>
        <v>0</v>
      </c>
      <c r="O142" s="1396">
        <f ca="1">IF(N142&gt;0,CONTADORES!$Z142-CONTADORES!$Z141,0)</f>
        <v>0</v>
      </c>
      <c r="P142" s="202">
        <f ca="1">IF(B142&gt;=$J$5,0,CONTADORES!$W142-CONTADORES!$W141)</f>
        <v>296.09999999999854</v>
      </c>
      <c r="Q142" s="202">
        <f ca="1">IF(B142&gt;=$J$5,0,CONTADORES!$B142-CONTADORES!$B141)</f>
        <v>0</v>
      </c>
      <c r="R142" s="196">
        <f t="shared" ca="1" si="70"/>
        <v>0</v>
      </c>
      <c r="S142" s="11">
        <f ca="1">IF(B142&gt;=$J$5,0,CONTADORES!$D142-CONTADORES!$D141)</f>
        <v>0</v>
      </c>
      <c r="T142" s="198">
        <f ca="1">IF(B142&gt;=$J$5,0,CONTADORES!$BB142-CONTADORES!$BB141)</f>
        <v>0</v>
      </c>
      <c r="U142" s="196">
        <f t="shared" ca="1" si="65"/>
        <v>0</v>
      </c>
      <c r="V142" s="199">
        <f ca="1">IF(B142&gt;=$J$5,0,CONTADORES!$BD142-CONTADORES!$BD141)</f>
        <v>0</v>
      </c>
      <c r="W142" s="1397">
        <f t="shared" ca="1" si="71"/>
        <v>446.09999999999854</v>
      </c>
      <c r="X142" s="1397">
        <f t="shared" ca="1" si="72"/>
        <v>0</v>
      </c>
      <c r="Y142" s="1398">
        <f t="shared" ca="1" si="73"/>
        <v>446.09999999999854</v>
      </c>
      <c r="Z142" s="1398">
        <f t="shared" ca="1" si="74"/>
        <v>9.0134274555185456</v>
      </c>
      <c r="AA142" s="1398">
        <f t="shared" ca="1" si="75"/>
        <v>0</v>
      </c>
      <c r="AB142" s="1398">
        <f t="shared" ca="1" si="76"/>
        <v>48</v>
      </c>
      <c r="AC142" s="1397">
        <f t="shared" ca="1" si="77"/>
        <v>0</v>
      </c>
      <c r="AD142" s="1397">
        <f ca="1">IF(B142&gt;=$J$5,0,CONTADORES!H142-CONTADORES!H141)</f>
        <v>169.39999999999964</v>
      </c>
      <c r="AE142" s="1398">
        <f ca="1">IF(B142&gt;=$J$5,0,CONTADORES!J142-CONTADORES!J141)</f>
        <v>24</v>
      </c>
      <c r="AF142" s="1397">
        <f ca="1">IF(B142&gt;=$J$5,0,CONTADORES!AU142-CONTADORES!AU141)</f>
        <v>146.90000000002328</v>
      </c>
      <c r="AG142" s="1398">
        <f ca="1">IF(B142&gt;=$J$5,0,CONTADORES!AW142-CONTADORES!AW141)</f>
        <v>24</v>
      </c>
      <c r="AH142" s="1398">
        <f ca="1">IF(B142&gt;=$J$5,0,(CONTADORES!AM142-CONTADORES!AM141)+(CONTADORES!M142-CONTADORES!M141))</f>
        <v>10.69999999999709</v>
      </c>
      <c r="AI142" s="1397">
        <f ca="1">IF(B142&gt;=$J$5,0,(CONTADORES!AK142-CONTADORES!AK141)+(CONTADORES!O142-CONTADORES!O141))</f>
        <v>36.899999999994179</v>
      </c>
      <c r="AJ142" s="1397">
        <f ca="1">IF(B142&gt;=$J$5,0,(CONTADORES!AI142-CONTADORES!AI141))</f>
        <v>5.8999999999941792</v>
      </c>
      <c r="AK142" s="1397">
        <f ca="1">IF(B142&gt;=$J$5,0,(CONTADORES!Q142-CONTADORES!Q141))</f>
        <v>12</v>
      </c>
      <c r="AL142" s="1398">
        <f t="shared" ca="1" si="78"/>
        <v>34.099999999989507</v>
      </c>
      <c r="AM142" s="1397">
        <f ca="1">IF(B142&gt;=$J$5,0,(((CONTADORES!F142-CONTADORES!F141)+(CONTADORES!AQ142-CONTADORES!AQ141))))-BS142-AF142-AN142-BV142-BY142-CD142-CB142</f>
        <v>10.684000000000003</v>
      </c>
      <c r="AN142" s="1397">
        <f ca="1">IF(B142&gt;=$J$5,0,(CONTADORES!AX142-CONTADORES!AX141)+(CONTADORES!AZ142-CONTADORES!AZ141)+(CONTADORES!BE142-CONTADORES!BE141))-CB142</f>
        <v>3.3379999999996359</v>
      </c>
      <c r="AO142" s="1397">
        <f ca="1">IF(B142&gt;=$J$5,0,(CONTADORES!AC142-CONTADORES!AC141))</f>
        <v>75</v>
      </c>
      <c r="AP142" s="1397">
        <f ca="1">IF(B142&gt;=$J$5,0,(CONTADORES!X142-CONTADORES!X141))</f>
        <v>147.09999999999854</v>
      </c>
      <c r="AQ142" s="1397">
        <f ca="1">IF(B142&gt;=$J$5,0,(CONTADORES!C142-CONTADORES!C141))</f>
        <v>0</v>
      </c>
      <c r="AR142" s="1397">
        <f ca="1">IF(B142&gt;=$J$5,0,(CONTADORES!BC142-CONTADORES!BC141))</f>
        <v>0</v>
      </c>
      <c r="AS142" s="1397">
        <f ca="1">IF(B142&gt;=$J$5,0,CONTADORES!S142-CONTADORES!S141)</f>
        <v>14.599999999976717</v>
      </c>
      <c r="AT142" s="1397">
        <f ca="1">IF(B142&gt;=$J$5,0,(CONTADORES!U142-CONTADORES!U141)+(CONTADORES!AG142-CONTADORES!AG141))</f>
        <v>2.5</v>
      </c>
      <c r="AU142" s="1397">
        <f ca="1">IF(B142&gt;=$J$5,0,(CONTADORES!I142-CONTADORES!I141))</f>
        <v>84.199999999999818</v>
      </c>
      <c r="AV142" s="1397">
        <f ca="1">IF(B142&gt;=$J$5,0,(CONTADORES!AV142-CONTADORES!AV141))</f>
        <v>63.600000000005821</v>
      </c>
      <c r="AW142" s="1397">
        <f ca="1">IF(B142&gt;=$J$5,0,(CONTADORES!N142-CONTADORES!N141)+(CONTADORES!AN142-CONTADORES!AN141))</f>
        <v>4.2999999999992724</v>
      </c>
      <c r="AX142" s="1397">
        <f ca="1">IF(B142&gt;=$J$5,0,(CONTADORES!P142-CONTADORES!P141)+(CONTADORES!AL142-CONTADORES!AL141))</f>
        <v>31.200000000004366</v>
      </c>
      <c r="AY142" s="1397">
        <f ca="1">IF(B142&gt;=$J$5,0,(CONTADORES!AJ142-CONTADORES!AJ141))</f>
        <v>4.3000000000029104</v>
      </c>
      <c r="AZ142" s="1397">
        <f ca="1">IF(B142&gt;=$J$5,0,(CONTADORES!R142-CONTADORES!R141))</f>
        <v>9.3000000000029104</v>
      </c>
      <c r="BA142" s="1398">
        <f t="shared" ca="1" si="79"/>
        <v>7.2589999999906922</v>
      </c>
      <c r="BB142" s="1397">
        <f ca="1">IF(B142&gt;=$J$5,0,(((CONTADORES!G142-CONTADORES!G141)+(CONTADORES!AR142-CONTADORES!AR141)+AR142)-(AV142+BC142)))</f>
        <v>9.9999999999931788</v>
      </c>
      <c r="BC142" s="1397">
        <f ca="1">IF(B142&gt;=$J$5,0,(CONTADORES!AY142-CONTADORES!AY141)+(CONTADORES!BA142-CONTADORES!BA141)+(CONTADORES!BF142-CONTADORES!BF141))</f>
        <v>2.2000000000002728</v>
      </c>
      <c r="BD142" s="1397">
        <f t="shared" ca="1" si="80"/>
        <v>222.09999999999854</v>
      </c>
      <c r="BE142" s="1398">
        <f ca="1">IF($B142&gt;=$J$5,0,CONTADORES!$BG142)</f>
        <v>5838.4</v>
      </c>
      <c r="BF142" s="1397">
        <f ca="1">IF($B142&gt;=$J$5,0,CONTADORES!$BH142)</f>
        <v>30944.549122806999</v>
      </c>
      <c r="BG142" s="1397">
        <f ca="1">IF($B142&gt;=$J$5,0,CONTADORES!$BJ142)</f>
        <v>5979.91</v>
      </c>
      <c r="BH142" s="1397">
        <f ca="1">IF(B142&gt;=$J$5,0,((CONTADORES!BK142-CONTADORES!BK141)/1000))</f>
        <v>0.96799999999999997</v>
      </c>
      <c r="BI142" s="1397">
        <f ca="1">IF(B142&gt;=$J$5,0,((CONTADORES!BL142-CONTADORES!BL141)/1000))</f>
        <v>0.84199999999999997</v>
      </c>
      <c r="BJ142" s="1397">
        <f ca="1">IF(B142&gt;=$J$5,0,((CONTADORES!BM142-CONTADORES!BM141)/1000))</f>
        <v>0</v>
      </c>
      <c r="BK142" s="1397">
        <f ca="1">IF(B142&gt;=$J$5,0,((CONTADORES!BN142-CONTADORES!BN141)/1000))</f>
        <v>0</v>
      </c>
      <c r="BL142" s="1399">
        <f t="shared" ca="1" si="81"/>
        <v>0.96799999999999997</v>
      </c>
      <c r="BM142" s="1399">
        <f t="shared" ca="1" si="82"/>
        <v>0.84199999999999997</v>
      </c>
      <c r="BN142" s="1398">
        <f ca="1">IF(W142&gt;=$J$5,0,CONTADORES!$BO142)</f>
        <v>125</v>
      </c>
      <c r="BO142" s="1397">
        <f ca="1">IF(W142&gt;=$J$5,0,CONTADORES!$BP142)</f>
        <v>42.79</v>
      </c>
      <c r="BP142" s="1397">
        <f ca="1">IF(W142&gt;=$J$5,0,CONTADORES!$BQ142)</f>
        <v>640</v>
      </c>
      <c r="BQ142" s="1397">
        <f ca="1">IF(B142&gt;=$J$5,0,(CONTADORES!AS142-CONTADORES!AS141))</f>
        <v>5</v>
      </c>
      <c r="BR142" s="1397">
        <f ca="1">IF(B142&gt;=$J$5,0,(CONTADORES!AT142-CONTADORES!AT141))</f>
        <v>0</v>
      </c>
      <c r="BS142" s="1398">
        <f ca="1">IF(B142&gt;=$J$5,0,CONTADORES!BR142-CONTADORES!BR141)/1000</f>
        <v>0</v>
      </c>
      <c r="BT142" s="1398">
        <f ca="1">IF(B142&gt;=$J$5,0,CONTADORES!BS142-CONTADORES!BS141)</f>
        <v>0</v>
      </c>
      <c r="BU142" s="1398">
        <f ca="1">IF(B142&gt;=$J$5,0,CONTADORES!BT142-CONTADORES!BT141)</f>
        <v>0</v>
      </c>
      <c r="BV142" s="1398">
        <f ca="1">IF(B142&gt;=$J$5,0,CONTADORES!BU142-CONTADORES!BU141)/1000</f>
        <v>4.657</v>
      </c>
      <c r="BW142" s="1398">
        <f ca="1">IF(B142&gt;=$J$5,0,CONTADORES!BV142-CONTADORES!BV141)/1000</f>
        <v>0.40100000000000002</v>
      </c>
      <c r="BX142" s="1398">
        <f ca="1">IF(B142&gt;=$J$5,0,CONTADORES!BW142-CONTADORES!BW141)</f>
        <v>24</v>
      </c>
      <c r="BY142" s="1398">
        <f ca="1">IF(B142&gt;=$J$5,0,CONTADORES!BX142-CONTADORES!BX141)/1000</f>
        <v>3.6589999999999998</v>
      </c>
      <c r="BZ142" s="1398">
        <f ca="1">IF(B142&gt;=$J$5,0,CONTADORES!BY142-CONTADORES!BY141)/1000</f>
        <v>8.5999999999999993E-2</v>
      </c>
      <c r="CA142" s="1398">
        <f ca="1">IF(B142&gt;=$J$5,0,CONTADORES!BZ142-CONTADORES!BZ141)</f>
        <v>24</v>
      </c>
      <c r="CB142" s="1398">
        <f ca="1">IF(B142&gt;=$J$5,0,(CONTADORES!CC142-CONTADORES!CC141)+(CONTADORES!CE142-CONTADORES!CE141))/1000</f>
        <v>1.5620000000000001</v>
      </c>
      <c r="CC142" s="1398">
        <f ca="1">IF(B142&gt;=$J$5,0,(CONTADORES!CD142-CONTADORES!CD141)+(CONTADORES!CF142-CONTADORES!CF141))/1000</f>
        <v>0.95399999999999996</v>
      </c>
      <c r="CD142" s="1398">
        <f ca="1">IF(B142&gt;=$J$5,0,CONTADORES!CA142-CONTADORES!CA141)</f>
        <v>6.3000000000010914</v>
      </c>
      <c r="CE142" s="1398">
        <f ca="1">IF(B142&gt;=$J$5,0,CONTADORES!CB142-CONTADORES!CB141)</f>
        <v>4.2999999999992724</v>
      </c>
      <c r="CF142" s="1398">
        <f t="shared" ca="1" si="83"/>
        <v>11.642000000001094</v>
      </c>
      <c r="CG142" s="1398">
        <f t="shared" ca="1" si="84"/>
        <v>9.2999999999958618</v>
      </c>
      <c r="CH142" s="1398">
        <f t="shared" ca="1" si="85"/>
        <v>5.3420000000000014</v>
      </c>
      <c r="CI142" s="1398">
        <f t="shared" ca="1" si="86"/>
        <v>1.3351999999998545</v>
      </c>
      <c r="CJ142" s="1398">
        <f t="shared" ca="1" si="87"/>
        <v>5.3420000000000014</v>
      </c>
      <c r="CK142" s="1398">
        <f t="shared" ca="1" si="88"/>
        <v>2.0027999999997812</v>
      </c>
      <c r="CL142" s="1398">
        <f t="shared" ca="1" si="89"/>
        <v>2.8971999999998546</v>
      </c>
      <c r="CM142" s="1398">
        <f t="shared" ca="1" si="90"/>
        <v>4.9999999999965894</v>
      </c>
      <c r="CN142" s="1398">
        <f ca="1">IF(B142&gt;=$J$5,0,CONTADORES!CB142-CONTADORES!CB141)</f>
        <v>4.2999999999992724</v>
      </c>
      <c r="CO142" s="1398">
        <f t="shared" ca="1" si="91"/>
        <v>4.9999999999965894</v>
      </c>
      <c r="CP142" s="1398">
        <f t="shared" ca="1" si="92"/>
        <v>1.1000000000001364</v>
      </c>
      <c r="CQ142" s="1398">
        <f t="shared" ca="1" si="93"/>
        <v>1.1000000000001364</v>
      </c>
      <c r="CR142" s="1398">
        <f t="shared" ca="1" si="94"/>
        <v>2.0540000000001362</v>
      </c>
      <c r="CS142" s="1448">
        <f ca="1">IF($B142&gt;=$J$5,0,CONTADORES!$BI142)</f>
        <v>8745.8427386345793</v>
      </c>
      <c r="CT142" s="1369">
        <f>CONTADORES!E142</f>
        <v>0</v>
      </c>
      <c r="CU142" s="1369">
        <f>CONTADORES!CG142</f>
        <v>0</v>
      </c>
    </row>
    <row r="143" spans="2:99">
      <c r="B143" s="390">
        <v>45059</v>
      </c>
      <c r="C143" s="198">
        <f t="shared" ca="1" si="68"/>
        <v>150</v>
      </c>
      <c r="D143" s="196">
        <f ca="1">'CALCULO DE GAS'!D152</f>
        <v>3.8816879190057101</v>
      </c>
      <c r="E143" s="196">
        <f ca="1">IF(B143&gt;=$J$5,0,(CONTADORES!$AD143-CONTADORES!$AD142)-$H143)</f>
        <v>24</v>
      </c>
      <c r="F143" s="198">
        <f t="shared" ca="1" si="67"/>
        <v>0</v>
      </c>
      <c r="G143" s="196">
        <f ca="1">IF(B143&gt;=$J$5,0,CONTADORES!$AF143-CONTADORES!$AF142)</f>
        <v>0</v>
      </c>
      <c r="H143" s="196">
        <f ca="1">IF(G143&gt;0,CONTADORES!$AE143-CONTADORES!$AE142,0)</f>
        <v>0</v>
      </c>
      <c r="I143" s="199">
        <f ca="1">IF(B143&gt;=$J$5,0,CONTADORES!$AB143-CONTADORES!$AB142)</f>
        <v>150</v>
      </c>
      <c r="J143" s="198">
        <f t="shared" ca="1" si="69"/>
        <v>280</v>
      </c>
      <c r="K143" s="196">
        <f ca="1">'CALCULO DE GAS'!E152</f>
        <v>4.9939857306137032</v>
      </c>
      <c r="L143" s="1396">
        <f ca="1">IF(B143&gt;=$J$5,0,(CONTADORES!$Y143-CONTADORES!$Y142)-$O143)</f>
        <v>24</v>
      </c>
      <c r="M143" s="1396">
        <f t="shared" ca="1" si="95"/>
        <v>0</v>
      </c>
      <c r="N143" s="1396">
        <f ca="1">IF(B143&gt;=$J$5,0,CONTADORES!$AA143-CONTADORES!$AA142)</f>
        <v>0</v>
      </c>
      <c r="O143" s="1396">
        <f ca="1">IF(N143&gt;0,CONTADORES!$Z143-CONTADORES!$Z142,0)</f>
        <v>0</v>
      </c>
      <c r="P143" s="202">
        <f ca="1">IF(B143&gt;=$J$5,0,CONTADORES!$W143-CONTADORES!$W142)</f>
        <v>280</v>
      </c>
      <c r="Q143" s="202">
        <f ca="1">IF(B143&gt;=$J$5,0,CONTADORES!$B143-CONTADORES!$B142)</f>
        <v>0</v>
      </c>
      <c r="R143" s="196">
        <f t="shared" ca="1" si="70"/>
        <v>0</v>
      </c>
      <c r="S143" s="11">
        <f ca="1">IF(B143&gt;=$J$5,0,CONTADORES!$D143-CONTADORES!$D142)</f>
        <v>0</v>
      </c>
      <c r="T143" s="198">
        <f ca="1">IF(B143&gt;=$J$5,0,CONTADORES!$BB143-CONTADORES!$BB142)</f>
        <v>0</v>
      </c>
      <c r="U143" s="196">
        <f t="shared" ca="1" si="65"/>
        <v>0</v>
      </c>
      <c r="V143" s="199">
        <f ca="1">IF(B143&gt;=$J$5,0,CONTADORES!$BD143-CONTADORES!$BD142)</f>
        <v>0</v>
      </c>
      <c r="W143" s="1397">
        <f t="shared" ca="1" si="71"/>
        <v>430</v>
      </c>
      <c r="X143" s="1397">
        <f t="shared" ca="1" si="72"/>
        <v>0</v>
      </c>
      <c r="Y143" s="1398">
        <f t="shared" ca="1" si="73"/>
        <v>430</v>
      </c>
      <c r="Z143" s="1398">
        <f t="shared" ca="1" si="74"/>
        <v>8.8756736496194133</v>
      </c>
      <c r="AA143" s="1398">
        <f t="shared" ca="1" si="75"/>
        <v>0</v>
      </c>
      <c r="AB143" s="1398">
        <f t="shared" ca="1" si="76"/>
        <v>48</v>
      </c>
      <c r="AC143" s="1397">
        <f t="shared" ca="1" si="77"/>
        <v>0</v>
      </c>
      <c r="AD143" s="1397">
        <f ca="1">IF(B143&gt;=$J$5,0,CONTADORES!H143-CONTADORES!H142)</f>
        <v>168</v>
      </c>
      <c r="AE143" s="1398">
        <f ca="1">IF(B143&gt;=$J$5,0,CONTADORES!J143-CONTADORES!J142)</f>
        <v>24</v>
      </c>
      <c r="AF143" s="1397">
        <f ca="1">IF(B143&gt;=$J$5,0,CONTADORES!AU143-CONTADORES!AU142)</f>
        <v>148</v>
      </c>
      <c r="AG143" s="1398">
        <f ca="1">IF(B143&gt;=$J$5,0,CONTADORES!AW143-CONTADORES!AW142)</f>
        <v>24</v>
      </c>
      <c r="AH143" s="1398">
        <f ca="1">IF(B143&gt;=$J$5,0,(CONTADORES!AM143-CONTADORES!AM142)+(CONTADORES!M143-CONTADORES!M142))</f>
        <v>0</v>
      </c>
      <c r="AI143" s="1397">
        <f ca="1">IF(B143&gt;=$J$5,0,(CONTADORES!AK143-CONTADORES!AK142)+(CONTADORES!O143-CONTADORES!O142))</f>
        <v>36.900000000008731</v>
      </c>
      <c r="AJ143" s="1397">
        <f ca="1">IF(B143&gt;=$J$5,0,(CONTADORES!AI143-CONTADORES!AI142))</f>
        <v>4.7000000000116415</v>
      </c>
      <c r="AK143" s="1397">
        <f ca="1">IF(B143&gt;=$J$5,0,(CONTADORES!Q143-CONTADORES!Q142))</f>
        <v>9.7999999999883585</v>
      </c>
      <c r="AL143" s="1398">
        <f t="shared" ca="1" si="78"/>
        <v>35.199999999993452</v>
      </c>
      <c r="AM143" s="1397">
        <f ca="1">IF(B143&gt;=$J$5,0,(((CONTADORES!F143-CONTADORES!F142)+(CONTADORES!AQ143-CONTADORES!AQ142))))-BS143-AF143-AN143-BV143-BY143-CD143-CB143</f>
        <v>8.2639999999984521</v>
      </c>
      <c r="AN143" s="1397">
        <f ca="1">IF(B143&gt;=$J$5,0,(CONTADORES!AX143-CONTADORES!AX142)+(CONTADORES!AZ143-CONTADORES!AZ142)+(CONTADORES!BE143-CONTADORES!BE142))-CB143</f>
        <v>2.8370000000000912</v>
      </c>
      <c r="AO143" s="1397">
        <f ca="1">IF(B143&gt;=$J$5,0,(CONTADORES!AC143-CONTADORES!AC142))</f>
        <v>68</v>
      </c>
      <c r="AP143" s="1397">
        <f ca="1">IF(B143&gt;=$J$5,0,(CONTADORES!X143-CONTADORES!X142))</f>
        <v>142</v>
      </c>
      <c r="AQ143" s="1397">
        <f ca="1">IF(B143&gt;=$J$5,0,(CONTADORES!C143-CONTADORES!C142))</f>
        <v>0</v>
      </c>
      <c r="AR143" s="1397">
        <f ca="1">IF(B143&gt;=$J$5,0,(CONTADORES!BC143-CONTADORES!BC142))</f>
        <v>0</v>
      </c>
      <c r="AS143" s="1397">
        <f ca="1">IF(B143&gt;=$J$5,0,CONTADORES!S143-CONTADORES!S142)</f>
        <v>13.800000000017462</v>
      </c>
      <c r="AT143" s="1397">
        <f ca="1">IF(B143&gt;=$J$5,0,(CONTADORES!U143-CONTADORES!U142)+(CONTADORES!AG143-CONTADORES!AG142))</f>
        <v>2.4000000000014552</v>
      </c>
      <c r="AU143" s="1397">
        <f ca="1">IF(B143&gt;=$J$5,0,(CONTADORES!I143-CONTADORES!I142))</f>
        <v>83</v>
      </c>
      <c r="AV143" s="1397">
        <f ca="1">IF(B143&gt;=$J$5,0,(CONTADORES!AV143-CONTADORES!AV142))</f>
        <v>64</v>
      </c>
      <c r="AW143" s="1397">
        <f ca="1">IF(B143&gt;=$J$5,0,(CONTADORES!N143-CONTADORES!N142)+(CONTADORES!AN143-CONTADORES!AN142))</f>
        <v>0</v>
      </c>
      <c r="AX143" s="1397">
        <f ca="1">IF(B143&gt;=$J$5,0,(CONTADORES!P143-CONTADORES!P142)+(CONTADORES!AL143-CONTADORES!AL142))</f>
        <v>31.19999999999709</v>
      </c>
      <c r="AY143" s="1397">
        <f ca="1">IF(B143&gt;=$J$5,0,(CONTADORES!AJ143-CONTADORES!AJ142))</f>
        <v>3.5</v>
      </c>
      <c r="AZ143" s="1397">
        <f ca="1">IF(B143&gt;=$J$5,0,(CONTADORES!R143-CONTADORES!R142))</f>
        <v>8.0999999999912689</v>
      </c>
      <c r="BA143" s="1398">
        <f t="shared" ca="1" si="79"/>
        <v>3.5990000000109319</v>
      </c>
      <c r="BB143" s="1397">
        <f ca="1">IF(B143&gt;=$J$5,0,(((CONTADORES!G143-CONTADORES!G142)+(CONTADORES!AR143-CONTADORES!AR142)+AR143)-(AV143+BC143)))</f>
        <v>8.6000000000003638</v>
      </c>
      <c r="BC143" s="1397">
        <f ca="1">IF(B143&gt;=$J$5,0,(CONTADORES!AY143-CONTADORES!AY142)+(CONTADORES!BA143-CONTADORES!BA142)+(CONTADORES!BF143-CONTADORES!BF142))</f>
        <v>2.1999999999998181</v>
      </c>
      <c r="BD143" s="1397">
        <f t="shared" ca="1" si="80"/>
        <v>210</v>
      </c>
      <c r="BE143" s="1398">
        <f ca="1">IF($B143&gt;=$J$5,0,CONTADORES!$BG143)</f>
        <v>6266.05</v>
      </c>
      <c r="BF143" s="1397">
        <f ca="1">IF($B143&gt;=$J$5,0,CONTADORES!$BH143)</f>
        <v>31651.029824561399</v>
      </c>
      <c r="BG143" s="1397">
        <f ca="1">IF($B143&gt;=$J$5,0,CONTADORES!$BJ143)</f>
        <v>6045.46</v>
      </c>
      <c r="BH143" s="1397">
        <f ca="1">IF(B143&gt;=$J$5,0,((CONTADORES!BK143-CONTADORES!BK142)/1000))</f>
        <v>0.752</v>
      </c>
      <c r="BI143" s="1397">
        <f ca="1">IF(B143&gt;=$J$5,0,((CONTADORES!BL143-CONTADORES!BL142)/1000))</f>
        <v>0.71099999999999997</v>
      </c>
      <c r="BJ143" s="1397">
        <f ca="1">IF(B143&gt;=$J$5,0,((CONTADORES!BM143-CONTADORES!BM142)/1000))</f>
        <v>0</v>
      </c>
      <c r="BK143" s="1397">
        <f ca="1">IF(B143&gt;=$J$5,0,((CONTADORES!BN143-CONTADORES!BN142)/1000))</f>
        <v>0</v>
      </c>
      <c r="BL143" s="1399">
        <f t="shared" ca="1" si="81"/>
        <v>0.752</v>
      </c>
      <c r="BM143" s="1399">
        <f t="shared" ca="1" si="82"/>
        <v>0.71099999999999997</v>
      </c>
      <c r="BN143" s="1398">
        <f ca="1">IF(W143&gt;=$J$5,0,CONTADORES!$BO143)</f>
        <v>127</v>
      </c>
      <c r="BO143" s="1397">
        <f ca="1">IF(W143&gt;=$J$5,0,CONTADORES!$BP143)</f>
        <v>42.929000000000002</v>
      </c>
      <c r="BP143" s="1397">
        <f ca="1">IF(W143&gt;=$J$5,0,CONTADORES!$BQ143)</f>
        <v>646</v>
      </c>
      <c r="BQ143" s="1397">
        <f ca="1">IF(B143&gt;=$J$5,0,(CONTADORES!AS143-CONTADORES!AS142))</f>
        <v>5</v>
      </c>
      <c r="BR143" s="1397">
        <f ca="1">IF(B143&gt;=$J$5,0,(CONTADORES!AT143-CONTADORES!AT142))</f>
        <v>0</v>
      </c>
      <c r="BS143" s="1398">
        <f ca="1">IF(B143&gt;=$J$5,0,CONTADORES!BR143-CONTADORES!BR142)/1000</f>
        <v>0</v>
      </c>
      <c r="BT143" s="1398">
        <f ca="1">IF(B143&gt;=$J$5,0,CONTADORES!BS143-CONTADORES!BS142)</f>
        <v>0</v>
      </c>
      <c r="BU143" s="1398">
        <f ca="1">IF(B143&gt;=$J$5,0,CONTADORES!BT143-CONTADORES!BT142)</f>
        <v>0</v>
      </c>
      <c r="BV143" s="1398">
        <f ca="1">IF(B143&gt;=$J$5,0,CONTADORES!BU143-CONTADORES!BU142)/1000</f>
        <v>4.6719999999999997</v>
      </c>
      <c r="BW143" s="1398">
        <f ca="1">IF(B143&gt;=$J$5,0,CONTADORES!BV143-CONTADORES!BV142)/1000</f>
        <v>0.35599999999999998</v>
      </c>
      <c r="BX143" s="1398">
        <f ca="1">IF(B143&gt;=$J$5,0,CONTADORES!BW143-CONTADORES!BW142)</f>
        <v>24</v>
      </c>
      <c r="BY143" s="1398">
        <f ca="1">IF(B143&gt;=$J$5,0,CONTADORES!BX143-CONTADORES!BX142)/1000</f>
        <v>3.7639999999999998</v>
      </c>
      <c r="BZ143" s="1398">
        <f ca="1">IF(B143&gt;=$J$5,0,CONTADORES!BY143-CONTADORES!BY142)/1000</f>
        <v>9.2999999999999999E-2</v>
      </c>
      <c r="CA143" s="1398">
        <f ca="1">IF(B143&gt;=$J$5,0,CONTADORES!BZ143-CONTADORES!BZ142)</f>
        <v>24</v>
      </c>
      <c r="CB143" s="1398">
        <f ca="1">IF(B143&gt;=$J$5,0,(CONTADORES!CC143-CONTADORES!CC142)+(CONTADORES!CE143-CONTADORES!CE142))/1000</f>
        <v>1.5629999999999999</v>
      </c>
      <c r="CC143" s="1398">
        <f ca="1">IF(B143&gt;=$J$5,0,(CONTADORES!CD143-CONTADORES!CD142)+(CONTADORES!CF143-CONTADORES!CF142))/1000</f>
        <v>0.95199999999999996</v>
      </c>
      <c r="CD143" s="1398">
        <f ca="1">IF(B143&gt;=$J$5,0,CONTADORES!CA143-CONTADORES!CA142)</f>
        <v>6.2999999999992724</v>
      </c>
      <c r="CE143" s="1398">
        <f ca="1">IF(B143&gt;=$J$5,0,CONTADORES!CB143-CONTADORES!CB142)</f>
        <v>4.4000000000005457</v>
      </c>
      <c r="CF143" s="1398">
        <f t="shared" ca="1" si="83"/>
        <v>10.431999999998499</v>
      </c>
      <c r="CG143" s="1398">
        <f t="shared" ca="1" si="84"/>
        <v>8.7000000000007276</v>
      </c>
      <c r="CH143" s="1398">
        <f t="shared" ca="1" si="85"/>
        <v>4.1319999999992261</v>
      </c>
      <c r="CI143" s="1398">
        <f t="shared" ca="1" si="86"/>
        <v>1.1348000000000364</v>
      </c>
      <c r="CJ143" s="1398">
        <f t="shared" ca="1" si="87"/>
        <v>4.1319999999992261</v>
      </c>
      <c r="CK143" s="1398">
        <f t="shared" ca="1" si="88"/>
        <v>1.7022000000000548</v>
      </c>
      <c r="CL143" s="1398">
        <f t="shared" ca="1" si="89"/>
        <v>2.6978000000000364</v>
      </c>
      <c r="CM143" s="1398">
        <f t="shared" ca="1" si="90"/>
        <v>4.3000000000001819</v>
      </c>
      <c r="CN143" s="1398">
        <f ca="1">IF(B143&gt;=$J$5,0,CONTADORES!CB143-CONTADORES!CB142)</f>
        <v>4.4000000000005457</v>
      </c>
      <c r="CO143" s="1398">
        <f t="shared" ca="1" si="91"/>
        <v>4.3000000000001819</v>
      </c>
      <c r="CP143" s="1398">
        <f t="shared" ca="1" si="92"/>
        <v>1.0999999999999091</v>
      </c>
      <c r="CQ143" s="1398">
        <f t="shared" ca="1" si="93"/>
        <v>1.0999999999999091</v>
      </c>
      <c r="CR143" s="1398">
        <f t="shared" ca="1" si="94"/>
        <v>2.051999999999909</v>
      </c>
      <c r="CS143" s="1448">
        <f ca="1">IF($B143&gt;=$J$5,0,CONTADORES!$BI143)</f>
        <v>9201.1224669225994</v>
      </c>
      <c r="CT143" s="1369">
        <f>CONTADORES!E143</f>
        <v>0</v>
      </c>
      <c r="CU143" s="1369">
        <f>CONTADORES!CG143</f>
        <v>0</v>
      </c>
    </row>
    <row r="144" spans="2:99">
      <c r="B144" s="390">
        <v>45060</v>
      </c>
      <c r="C144" s="198">
        <f t="shared" ca="1" si="68"/>
        <v>32</v>
      </c>
      <c r="D144" s="196">
        <f ca="1">'CALCULO DE GAS'!D153</f>
        <v>2.8720637515461465</v>
      </c>
      <c r="E144" s="196">
        <f ca="1">IF(B144&gt;=$J$5,0,(CONTADORES!$AD144-CONTADORES!$AD143)-$H144)</f>
        <v>5.1999999999825377</v>
      </c>
      <c r="F144" s="198">
        <f t="shared" ca="1" si="67"/>
        <v>0</v>
      </c>
      <c r="G144" s="196">
        <f ca="1">IF(B144&gt;=$J$5,0,CONTADORES!$AF144-CONTADORES!$AF143)</f>
        <v>0</v>
      </c>
      <c r="H144" s="196">
        <f ca="1">IF(G144&gt;0,CONTADORES!$AE144-CONTADORES!$AE143,0)</f>
        <v>0</v>
      </c>
      <c r="I144" s="199">
        <f ca="1">IF(B144&gt;=$J$5,0,CONTADORES!$AB144-CONTADORES!$AB143)</f>
        <v>32</v>
      </c>
      <c r="J144" s="198">
        <f t="shared" ca="1" si="69"/>
        <v>394</v>
      </c>
      <c r="K144" s="196">
        <f ca="1">'CALCULO DE GAS'!E153</f>
        <v>5.9693853500237903</v>
      </c>
      <c r="L144" s="1396">
        <f ca="1">IF(B144&gt;=$J$5,0,(CONTADORES!$Y144-CONTADORES!$Y143)-$O144)</f>
        <v>24</v>
      </c>
      <c r="M144" s="1396">
        <f t="shared" ca="1" si="95"/>
        <v>0</v>
      </c>
      <c r="N144" s="1396">
        <f ca="1">IF(B144&gt;=$J$5,0,CONTADORES!$AA144-CONTADORES!$AA143)</f>
        <v>0</v>
      </c>
      <c r="O144" s="1396">
        <f ca="1">IF(N144&gt;0,CONTADORES!$Z144-CONTADORES!$Z143,0)</f>
        <v>0</v>
      </c>
      <c r="P144" s="202">
        <f ca="1">IF(B144&gt;=$J$5,0,CONTADORES!$W144-CONTADORES!$W143)</f>
        <v>394</v>
      </c>
      <c r="Q144" s="202">
        <f ca="1">IF(B144&gt;=$J$5,0,CONTADORES!$B144-CONTADORES!$B143)</f>
        <v>0</v>
      </c>
      <c r="R144" s="196">
        <f t="shared" ca="1" si="70"/>
        <v>0</v>
      </c>
      <c r="S144" s="11">
        <f ca="1">IF(B144&gt;=$J$5,0,CONTADORES!$D144-CONTADORES!$D143)</f>
        <v>0</v>
      </c>
      <c r="T144" s="198">
        <f ca="1">IF(B144&gt;=$J$5,0,CONTADORES!$BB144-CONTADORES!$BB143)</f>
        <v>1.8809999999999718</v>
      </c>
      <c r="U144" s="196">
        <f t="shared" ca="1" si="65"/>
        <v>225.71999999999662</v>
      </c>
      <c r="V144" s="199">
        <f ca="1">IF(B144&gt;=$J$5,0,CONTADORES!$BD144-CONTADORES!$BD143)</f>
        <v>2.1000000000001364</v>
      </c>
      <c r="W144" s="1397">
        <f t="shared" ca="1" si="71"/>
        <v>426</v>
      </c>
      <c r="X144" s="1397">
        <f t="shared" ca="1" si="72"/>
        <v>1.8809999999999718</v>
      </c>
      <c r="Y144" s="1398">
        <f t="shared" ca="1" si="73"/>
        <v>427.88099999999997</v>
      </c>
      <c r="Z144" s="1398">
        <f t="shared" ca="1" si="74"/>
        <v>8.8414491015699372</v>
      </c>
      <c r="AA144" s="1398">
        <f t="shared" ca="1" si="75"/>
        <v>225.71999999999662</v>
      </c>
      <c r="AB144" s="1398">
        <f t="shared" ca="1" si="76"/>
        <v>29.199999999982538</v>
      </c>
      <c r="AC144" s="1397">
        <f t="shared" ca="1" si="77"/>
        <v>2.1000000000001364</v>
      </c>
      <c r="AD144" s="1397">
        <f ca="1">IF(B144&gt;=$J$5,0,CONTADORES!H144-CONTADORES!H143)</f>
        <v>156</v>
      </c>
      <c r="AE144" s="1398">
        <f ca="1">IF(B144&gt;=$J$5,0,CONTADORES!J144-CONTADORES!J143)</f>
        <v>22.200000000011642</v>
      </c>
      <c r="AF144" s="1397">
        <f ca="1">IF(B144&gt;=$J$5,0,CONTADORES!AU144-CONTADORES!AU143)</f>
        <v>150</v>
      </c>
      <c r="AG144" s="1398">
        <f ca="1">IF(B144&gt;=$J$5,0,CONTADORES!AW144-CONTADORES!AW143)</f>
        <v>24</v>
      </c>
      <c r="AH144" s="1398">
        <f ca="1">IF(B144&gt;=$J$5,0,(CONTADORES!AM144-CONTADORES!AM143)+(CONTADORES!M144-CONTADORES!M143))</f>
        <v>10.600000000000364</v>
      </c>
      <c r="AI144" s="1397">
        <f ca="1">IF(B144&gt;=$J$5,0,(CONTADORES!AK144-CONTADORES!AK143)+(CONTADORES!O144-CONTADORES!O143))</f>
        <v>35.899999999994179</v>
      </c>
      <c r="AJ144" s="1397">
        <f ca="1">IF(B144&gt;=$J$5,0,(CONTADORES!AI144-CONTADORES!AI143))</f>
        <v>3.8999999999941792</v>
      </c>
      <c r="AK144" s="1397">
        <f ca="1">IF(B144&gt;=$J$5,0,(CONTADORES!Q144-CONTADORES!Q143))</f>
        <v>11.900000000023283</v>
      </c>
      <c r="AL144" s="1398">
        <f t="shared" ca="1" si="78"/>
        <v>31.58099999998791</v>
      </c>
      <c r="AM144" s="1397">
        <f ca="1">IF(B144&gt;=$J$5,0,(((CONTADORES!F144-CONTADORES!F143)+(CONTADORES!AQ144-CONTADORES!AQ143))))-BS144-AF144-AN144-BV144-BY144-CD144-CB144</f>
        <v>8.666999999999998</v>
      </c>
      <c r="AN144" s="1397">
        <f ca="1">IF(B144&gt;=$J$5,0,(CONTADORES!AX144-CONTADORES!AX143)+(CONTADORES!AZ144-CONTADORES!AZ143)+(CONTADORES!BE144-CONTADORES!BE143))-CB144</f>
        <v>2.5830000000003639</v>
      </c>
      <c r="AO144" s="1397">
        <f ca="1">IF(B144&gt;=$J$5,0,(CONTADORES!AC144-CONTADORES!AC143))</f>
        <v>20</v>
      </c>
      <c r="AP144" s="1397">
        <f ca="1">IF(B144&gt;=$J$5,0,(CONTADORES!X144-CONTADORES!X143))</f>
        <v>199</v>
      </c>
      <c r="AQ144" s="1397">
        <f ca="1">IF(B144&gt;=$J$5,0,(CONTADORES!C144-CONTADORES!C143))</f>
        <v>0</v>
      </c>
      <c r="AR144" s="1397">
        <f ca="1">IF(B144&gt;=$J$5,0,(CONTADORES!BC144-CONTADORES!BC143))</f>
        <v>0.72200000000003683</v>
      </c>
      <c r="AS144" s="1397">
        <f ca="1">IF(B144&gt;=$J$5,0,CONTADORES!S144-CONTADORES!S143)</f>
        <v>14</v>
      </c>
      <c r="AT144" s="1397">
        <f ca="1">IF(B144&gt;=$J$5,0,(CONTADORES!U144-CONTADORES!U143)+(CONTADORES!AG144-CONTADORES!AG143))</f>
        <v>2.2000000000043656</v>
      </c>
      <c r="AU144" s="1397">
        <f ca="1">IF(B144&gt;=$J$5,0,(CONTADORES!I144-CONTADORES!I143))</f>
        <v>79</v>
      </c>
      <c r="AV144" s="1397">
        <f ca="1">IF(B144&gt;=$J$5,0,(CONTADORES!AV144-CONTADORES!AV143))</f>
        <v>66</v>
      </c>
      <c r="AW144" s="1397">
        <f ca="1">IF(B144&gt;=$J$5,0,(CONTADORES!N144-CONTADORES!N143)+(CONTADORES!AN144-CONTADORES!AN143))</f>
        <v>4.1000000000021828</v>
      </c>
      <c r="AX144" s="1397">
        <f ca="1">IF(B144&gt;=$J$5,0,(CONTADORES!P144-CONTADORES!P143)+(CONTADORES!AL144-CONTADORES!AL143))</f>
        <v>30.099999999998545</v>
      </c>
      <c r="AY144" s="1397">
        <f ca="1">IF(B144&gt;=$J$5,0,(CONTADORES!AJ144-CONTADORES!AJ143))</f>
        <v>2.7999999999956344</v>
      </c>
      <c r="AZ144" s="1397">
        <f ca="1">IF(B144&gt;=$J$5,0,(CONTADORES!R144-CONTADORES!R143))</f>
        <v>9.5</v>
      </c>
      <c r="BA144" s="1398">
        <f t="shared" ca="1" si="79"/>
        <v>11.294000000003649</v>
      </c>
      <c r="BB144" s="1397">
        <f ca="1">IF(B144&gt;=$J$5,0,(((CONTADORES!G144-CONTADORES!G143)+(CONTADORES!AR144-CONTADORES!AR143)+AR144)-(AV144+BC144)))</f>
        <v>8.4219999999998549</v>
      </c>
      <c r="BC144" s="1397">
        <f ca="1">IF(B144&gt;=$J$5,0,(CONTADORES!AY144-CONTADORES!AY143)+(CONTADORES!BA144-CONTADORES!BA143)+(CONTADORES!BF144-CONTADORES!BF143))</f>
        <v>2.3000000000001819</v>
      </c>
      <c r="BD144" s="1397">
        <f t="shared" ca="1" si="80"/>
        <v>219.72200000000004</v>
      </c>
      <c r="BE144" s="1398">
        <f ca="1">IF($B144&gt;=$J$5,0,CONTADORES!$BG144)</f>
        <v>5862.03</v>
      </c>
      <c r="BF144" s="1397">
        <f ca="1">IF($B144&gt;=$J$5,0,CONTADORES!$BH144)</f>
        <v>31216.312280701801</v>
      </c>
      <c r="BG144" s="1397">
        <f ca="1">IF($B144&gt;=$J$5,0,CONTADORES!$BJ144)</f>
        <v>6767.44</v>
      </c>
      <c r="BH144" s="1397">
        <f ca="1">IF(B144&gt;=$J$5,0,((CONTADORES!BK144-CONTADORES!BK143)/1000))</f>
        <v>0.83799999999999997</v>
      </c>
      <c r="BI144" s="1397">
        <f ca="1">IF(B144&gt;=$J$5,0,((CONTADORES!BL144-CONTADORES!BL143)/1000))</f>
        <v>0.88300000000000001</v>
      </c>
      <c r="BJ144" s="1397">
        <f ca="1">IF(B144&gt;=$J$5,0,((CONTADORES!BM144-CONTADORES!BM143)/1000))</f>
        <v>0</v>
      </c>
      <c r="BK144" s="1397">
        <f ca="1">IF(B144&gt;=$J$5,0,((CONTADORES!BN144-CONTADORES!BN143)/1000))</f>
        <v>0</v>
      </c>
      <c r="BL144" s="1399">
        <f t="shared" ca="1" si="81"/>
        <v>0.83799999999999997</v>
      </c>
      <c r="BM144" s="1399">
        <f t="shared" ca="1" si="82"/>
        <v>0.88300000000000001</v>
      </c>
      <c r="BN144" s="1398">
        <f ca="1">IF(W144&gt;=$J$5,0,CONTADORES!$BO144)</f>
        <v>127</v>
      </c>
      <c r="BO144" s="1397">
        <f ca="1">IF(W144&gt;=$J$5,0,CONTADORES!$BP144)</f>
        <v>43.009</v>
      </c>
      <c r="BP144" s="1397">
        <f ca="1">IF(W144&gt;=$J$5,0,CONTADORES!$BQ144)</f>
        <v>641</v>
      </c>
      <c r="BQ144" s="1397">
        <f ca="1">IF(B144&gt;=$J$5,0,(CONTADORES!AS144-CONTADORES!AS143))</f>
        <v>5</v>
      </c>
      <c r="BR144" s="1397">
        <f ca="1">IF(B144&gt;=$J$5,0,(CONTADORES!AT144-CONTADORES!AT143))</f>
        <v>0</v>
      </c>
      <c r="BS144" s="1398">
        <f ca="1">IF(B144&gt;=$J$5,0,CONTADORES!BR144-CONTADORES!BR143)/1000</f>
        <v>0</v>
      </c>
      <c r="BT144" s="1398">
        <f ca="1">IF(B144&gt;=$J$5,0,CONTADORES!BS144-CONTADORES!BS143)</f>
        <v>0</v>
      </c>
      <c r="BU144" s="1398">
        <f ca="1">IF(B144&gt;=$J$5,0,CONTADORES!BT144-CONTADORES!BT143)</f>
        <v>0</v>
      </c>
      <c r="BV144" s="1398">
        <f ca="1">IF(B144&gt;=$J$5,0,CONTADORES!BU144-CONTADORES!BU143)/1000</f>
        <v>4.625</v>
      </c>
      <c r="BW144" s="1398">
        <f ca="1">IF(B144&gt;=$J$5,0,CONTADORES!BV144-CONTADORES!BV143)/1000</f>
        <v>0.39</v>
      </c>
      <c r="BX144" s="1398">
        <f ca="1">IF(B144&gt;=$J$5,0,CONTADORES!BW144-CONTADORES!BW143)</f>
        <v>24</v>
      </c>
      <c r="BY144" s="1398">
        <f ca="1">IF(B144&gt;=$J$5,0,CONTADORES!BX144-CONTADORES!BX143)/1000</f>
        <v>3.7080000000000002</v>
      </c>
      <c r="BZ144" s="1398">
        <f ca="1">IF(B144&gt;=$J$5,0,CONTADORES!BY144-CONTADORES!BY143)/1000</f>
        <v>9.4E-2</v>
      </c>
      <c r="CA144" s="1398">
        <f ca="1">IF(B144&gt;=$J$5,0,CONTADORES!BZ144-CONTADORES!BZ143)</f>
        <v>24</v>
      </c>
      <c r="CB144" s="1398">
        <f ca="1">IF(B144&gt;=$J$5,0,(CONTADORES!CC144-CONTADORES!CC143)+(CONTADORES!CE144-CONTADORES!CE143))/1000</f>
        <v>2.0169999999999999</v>
      </c>
      <c r="CC144" s="1398">
        <f ca="1">IF(B144&gt;=$J$5,0,(CONTADORES!CD144-CONTADORES!CD143)+(CONTADORES!CF144-CONTADORES!CF143))/1000</f>
        <v>1.222</v>
      </c>
      <c r="CD144" s="1398">
        <f ca="1">IF(B144&gt;=$J$5,0,CONTADORES!CA144-CONTADORES!CA143)</f>
        <v>6.3999999999996362</v>
      </c>
      <c r="CE144" s="1398">
        <f ca="1">IF(B144&gt;=$J$5,0,CONTADORES!CB144-CONTADORES!CB143)</f>
        <v>4.5</v>
      </c>
      <c r="CF144" s="1398">
        <f t="shared" ca="1" si="83"/>
        <v>10.733499999999635</v>
      </c>
      <c r="CG144" s="1398">
        <f t="shared" ca="1" si="84"/>
        <v>8.7109999999999275</v>
      </c>
      <c r="CH144" s="1398">
        <f t="shared" ca="1" si="85"/>
        <v>4.333499999999999</v>
      </c>
      <c r="CI144" s="1398">
        <f t="shared" ca="1" si="86"/>
        <v>1.0332000000001456</v>
      </c>
      <c r="CJ144" s="1398">
        <f t="shared" ca="1" si="87"/>
        <v>4.333499999999999</v>
      </c>
      <c r="CK144" s="1398">
        <f t="shared" ca="1" si="88"/>
        <v>1.5498000000002183</v>
      </c>
      <c r="CL144" s="1398">
        <f t="shared" ca="1" si="89"/>
        <v>3.0502000000001455</v>
      </c>
      <c r="CM144" s="1398">
        <f t="shared" ca="1" si="90"/>
        <v>4.2109999999999275</v>
      </c>
      <c r="CN144" s="1398">
        <f ca="1">IF(B144&gt;=$J$5,0,CONTADORES!CB144-CONTADORES!CB143)</f>
        <v>4.5</v>
      </c>
      <c r="CO144" s="1398">
        <f t="shared" ca="1" si="91"/>
        <v>4.2109999999999275</v>
      </c>
      <c r="CP144" s="1398">
        <f t="shared" ca="1" si="92"/>
        <v>1.1500000000000909</v>
      </c>
      <c r="CQ144" s="1398">
        <f t="shared" ca="1" si="93"/>
        <v>1.1500000000000909</v>
      </c>
      <c r="CR144" s="1398">
        <f t="shared" ca="1" si="94"/>
        <v>2.3720000000000909</v>
      </c>
      <c r="CS144" s="1448">
        <f ca="1">IF($B144&gt;=$J$5,0,CONTADORES!$BI144)</f>
        <v>8672.3310111917908</v>
      </c>
      <c r="CT144" s="1369">
        <f>CONTADORES!E144</f>
        <v>0</v>
      </c>
      <c r="CU144" s="1369">
        <f>CONTADORES!CG144</f>
        <v>1.88</v>
      </c>
    </row>
    <row r="145" spans="2:99">
      <c r="B145" s="390">
        <v>45061</v>
      </c>
      <c r="C145" s="198">
        <f t="shared" ca="1" si="68"/>
        <v>146</v>
      </c>
      <c r="D145" s="196">
        <f ca="1">'CALCULO DE GAS'!D154</f>
        <v>3.8474633709562331</v>
      </c>
      <c r="E145" s="196">
        <f ca="1">IF(B145&gt;=$J$5,0,(CONTADORES!$AD145-CONTADORES!$AD144)-$H145)</f>
        <v>24</v>
      </c>
      <c r="F145" s="198">
        <f t="shared" ca="1" si="67"/>
        <v>0</v>
      </c>
      <c r="G145" s="196">
        <f ca="1">IF(B145&gt;=$J$5,0,CONTADORES!$AF145-CONTADORES!$AF144)</f>
        <v>0</v>
      </c>
      <c r="H145" s="196">
        <f ca="1">IF(G145&gt;0,CONTADORES!$AE145-CONTADORES!$AE144,0)</f>
        <v>0</v>
      </c>
      <c r="I145" s="199">
        <f ca="1">IF(B145&gt;=$J$5,0,CONTADORES!$AB145-CONTADORES!$AB144)</f>
        <v>146</v>
      </c>
      <c r="J145" s="198">
        <f t="shared" ca="1" si="69"/>
        <v>302</v>
      </c>
      <c r="K145" s="196">
        <f ca="1">'CALCULO DE GAS'!E154</f>
        <v>5.1822207448858251</v>
      </c>
      <c r="L145" s="1396">
        <f ca="1">IF(B145&gt;=$J$5,0,(CONTADORES!$Y145-CONTADORES!$Y144)-$O145)</f>
        <v>24</v>
      </c>
      <c r="M145" s="1396">
        <f t="shared" ca="1" si="95"/>
        <v>0</v>
      </c>
      <c r="N145" s="1396">
        <f ca="1">IF(B145&gt;=$J$5,0,CONTADORES!$AA145-CONTADORES!$AA144)</f>
        <v>0</v>
      </c>
      <c r="O145" s="1396">
        <f ca="1">IF(N145&gt;0,CONTADORES!$Z145-CONTADORES!$Z144,0)</f>
        <v>0</v>
      </c>
      <c r="P145" s="202">
        <f ca="1">IF(B145&gt;=$J$5,0,CONTADORES!$W145-CONTADORES!$W144)</f>
        <v>302</v>
      </c>
      <c r="Q145" s="202">
        <f ca="1">IF(B145&gt;=$J$5,0,CONTADORES!$B145-CONTADORES!$B144)</f>
        <v>0</v>
      </c>
      <c r="R145" s="196">
        <f t="shared" ca="1" si="70"/>
        <v>0</v>
      </c>
      <c r="S145" s="11">
        <f ca="1">IF(B145&gt;=$J$5,0,CONTADORES!$D145-CONTADORES!$D144)</f>
        <v>0</v>
      </c>
      <c r="T145" s="198">
        <f ca="1">IF(B145&gt;=$J$5,0,CONTADORES!$BB145-CONTADORES!$BB144)</f>
        <v>0</v>
      </c>
      <c r="U145" s="196">
        <f t="shared" ca="1" si="65"/>
        <v>0</v>
      </c>
      <c r="V145" s="199">
        <f ca="1">IF(B145&gt;=$J$5,0,CONTADORES!$BD145-CONTADORES!$BD144)</f>
        <v>0</v>
      </c>
      <c r="W145" s="1397">
        <f t="shared" ca="1" si="71"/>
        <v>448</v>
      </c>
      <c r="X145" s="1397">
        <f t="shared" ca="1" si="72"/>
        <v>0</v>
      </c>
      <c r="Y145" s="1398">
        <f t="shared" ca="1" si="73"/>
        <v>448</v>
      </c>
      <c r="Z145" s="1398">
        <f t="shared" ca="1" si="74"/>
        <v>9.0296841158420591</v>
      </c>
      <c r="AA145" s="1398">
        <f t="shared" ca="1" si="75"/>
        <v>0</v>
      </c>
      <c r="AB145" s="1398">
        <f t="shared" ca="1" si="76"/>
        <v>48</v>
      </c>
      <c r="AC145" s="1397">
        <f t="shared" ca="1" si="77"/>
        <v>0</v>
      </c>
      <c r="AD145" s="1397">
        <f ca="1">IF(B145&gt;=$J$5,0,CONTADORES!H145-CONTADORES!H144)</f>
        <v>163</v>
      </c>
      <c r="AE145" s="1398">
        <f ca="1">IF(B145&gt;=$J$5,0,CONTADORES!J145-CONTADORES!J144)</f>
        <v>24</v>
      </c>
      <c r="AF145" s="1397">
        <f ca="1">IF(B145&gt;=$J$5,0,CONTADORES!AU145-CONTADORES!AU144)</f>
        <v>146</v>
      </c>
      <c r="AG145" s="1398">
        <f ca="1">IF(B145&gt;=$J$5,0,CONTADORES!AW145-CONTADORES!AW144)</f>
        <v>24</v>
      </c>
      <c r="AH145" s="1398">
        <f ca="1">IF(B145&gt;=$J$5,0,(CONTADORES!AM145-CONTADORES!AM144)+(CONTADORES!M145-CONTADORES!M144))</f>
        <v>21.100000000005821</v>
      </c>
      <c r="AI145" s="1397">
        <f ca="1">IF(B145&gt;=$J$5,0,(CONTADORES!AK145-CONTADORES!AK144)+(CONTADORES!O145-CONTADORES!O144))</f>
        <v>34.899999999994179</v>
      </c>
      <c r="AJ145" s="1397">
        <f ca="1">IF(B145&gt;=$J$5,0,(CONTADORES!AI145-CONTADORES!AI144))</f>
        <v>5.5</v>
      </c>
      <c r="AK145" s="1397">
        <f ca="1">IF(B145&gt;=$J$5,0,(CONTADORES!Q145-CONTADORES!Q144))</f>
        <v>13.799999999988358</v>
      </c>
      <c r="AL145" s="1398">
        <f t="shared" ca="1" si="78"/>
        <v>35.900000000008731</v>
      </c>
      <c r="AM145" s="1397">
        <f ca="1">IF(B145&gt;=$J$5,0,(((CONTADORES!F145-CONTADORES!F144)+(CONTADORES!AQ145-CONTADORES!AQ144))))-BS145-AF145-AN145-BV145-BY145-CD145-CB145</f>
        <v>8.7380000000019091</v>
      </c>
      <c r="AN145" s="1397">
        <f ca="1">IF(B145&gt;=$J$5,0,(CONTADORES!AX145-CONTADORES!AX144)+(CONTADORES!AZ145-CONTADORES!AZ144)+(CONTADORES!BE145-CONTADORES!BE144))-CB145</f>
        <v>3.777999999999909</v>
      </c>
      <c r="AO145" s="1397">
        <f ca="1">IF(B145&gt;=$J$5,0,(CONTADORES!AC145-CONTADORES!AC144))</f>
        <v>72</v>
      </c>
      <c r="AP145" s="1397">
        <f ca="1">IF(B145&gt;=$J$5,0,(CONTADORES!X145-CONTADORES!X144))</f>
        <v>151</v>
      </c>
      <c r="AQ145" s="1397">
        <f ca="1">IF(B145&gt;=$J$5,0,(CONTADORES!C145-CONTADORES!C144))</f>
        <v>0</v>
      </c>
      <c r="AR145" s="1397">
        <f ca="1">IF(B145&gt;=$J$5,0,(CONTADORES!BC145-CONTADORES!BC144))</f>
        <v>0</v>
      </c>
      <c r="AS145" s="1397">
        <f ca="1">IF(B145&gt;=$J$5,0,CONTADORES!S145-CONTADORES!S144)</f>
        <v>13.199999999982538</v>
      </c>
      <c r="AT145" s="1397">
        <f ca="1">IF(B145&gt;=$J$5,0,(CONTADORES!U145-CONTADORES!U144)+(CONTADORES!AG145-CONTADORES!AG144))</f>
        <v>2.3999999999941792</v>
      </c>
      <c r="AU145" s="1397">
        <f ca="1">IF(B145&gt;=$J$5,0,(CONTADORES!I145-CONTADORES!I144))</f>
        <v>82</v>
      </c>
      <c r="AV145" s="1397">
        <f ca="1">IF(B145&gt;=$J$5,0,(CONTADORES!AV145-CONTADORES!AV144))</f>
        <v>63</v>
      </c>
      <c r="AW145" s="1397">
        <f ca="1">IF(B145&gt;=$J$5,0,(CONTADORES!N145-CONTADORES!N144)+(CONTADORES!AN145-CONTADORES!AN144))</f>
        <v>8.2999999999992724</v>
      </c>
      <c r="AX145" s="1397">
        <f ca="1">IF(B145&gt;=$J$5,0,(CONTADORES!P145-CONTADORES!P144)+(CONTADORES!AL145-CONTADORES!AL144))</f>
        <v>29.30000000000291</v>
      </c>
      <c r="AY145" s="1397">
        <f ca="1">IF(B145&gt;=$J$5,0,(CONTADORES!AJ145-CONTADORES!AJ144))</f>
        <v>4.0999999999985448</v>
      </c>
      <c r="AZ145" s="1397">
        <f ca="1">IF(B145&gt;=$J$5,0,(CONTADORES!R145-CONTADORES!R144))</f>
        <v>10.400000000008731</v>
      </c>
      <c r="BA145" s="1398">
        <f t="shared" ca="1" si="79"/>
        <v>9.1099999999900092</v>
      </c>
      <c r="BB145" s="1397">
        <f ca="1">IF(B145&gt;=$J$5,0,(((CONTADORES!G145-CONTADORES!G144)+(CONTADORES!AR145-CONTADORES!AR144)+AR145)-(AV145+BC145)))</f>
        <v>9.1000000000003638</v>
      </c>
      <c r="BC145" s="1397">
        <f ca="1">IF(B145&gt;=$J$5,0,(CONTADORES!AY145-CONTADORES!AY144)+(CONTADORES!BA145-CONTADORES!BA144)+(CONTADORES!BF145-CONTADORES!BF144))</f>
        <v>2.5</v>
      </c>
      <c r="BD145" s="1397">
        <f t="shared" ca="1" si="80"/>
        <v>223</v>
      </c>
      <c r="BE145" s="1398">
        <f ca="1">IF($B145&gt;=$J$5,0,CONTADORES!$BG145)</f>
        <v>5861.16</v>
      </c>
      <c r="BF145" s="1397">
        <f ca="1">IF($B145&gt;=$J$5,0,CONTADORES!$BH145)</f>
        <v>31373.6456140351</v>
      </c>
      <c r="BG145" s="1397">
        <f ca="1">IF($B145&gt;=$J$5,0,CONTADORES!$BJ145)</f>
        <v>6170.5</v>
      </c>
      <c r="BH145" s="1397">
        <f ca="1">IF(B145&gt;=$J$5,0,((CONTADORES!BK145-CONTADORES!BK144)/1000))</f>
        <v>0.95499999999999996</v>
      </c>
      <c r="BI145" s="1397">
        <f ca="1">IF(B145&gt;=$J$5,0,((CONTADORES!BL145-CONTADORES!BL144)/1000))</f>
        <v>0.84499999999999997</v>
      </c>
      <c r="BJ145" s="1397">
        <f ca="1">IF(B145&gt;=$J$5,0,((CONTADORES!BM145-CONTADORES!BM144)/1000))</f>
        <v>0</v>
      </c>
      <c r="BK145" s="1397">
        <f ca="1">IF(B145&gt;=$J$5,0,((CONTADORES!BN145-CONTADORES!BN144)/1000))</f>
        <v>0</v>
      </c>
      <c r="BL145" s="1399">
        <f t="shared" ca="1" si="81"/>
        <v>0.95499999999999996</v>
      </c>
      <c r="BM145" s="1399">
        <f t="shared" ca="1" si="82"/>
        <v>0.84499999999999997</v>
      </c>
      <c r="BN145" s="1398">
        <f ca="1">IF(W145&gt;=$J$5,0,CONTADORES!$BO145)</f>
        <v>128</v>
      </c>
      <c r="BO145" s="1397">
        <f ca="1">IF(W145&gt;=$J$5,0,CONTADORES!$BP145)</f>
        <v>43.220999999999997</v>
      </c>
      <c r="BP145" s="1397">
        <f ca="1">IF(W145&gt;=$J$5,0,CONTADORES!$BQ145)</f>
        <v>644</v>
      </c>
      <c r="BQ145" s="1397">
        <f ca="1">IF(B145&gt;=$J$5,0,(CONTADORES!AS145-CONTADORES!AS144))</f>
        <v>5</v>
      </c>
      <c r="BR145" s="1397">
        <f ca="1">IF(B145&gt;=$J$5,0,(CONTADORES!AT145-CONTADORES!AT144))</f>
        <v>0</v>
      </c>
      <c r="BS145" s="1398">
        <f ca="1">IF(B145&gt;=$J$5,0,CONTADORES!BR145-CONTADORES!BR144)/1000</f>
        <v>0</v>
      </c>
      <c r="BT145" s="1398">
        <f ca="1">IF(B145&gt;=$J$5,0,CONTADORES!BS145-CONTADORES!BS144)</f>
        <v>0</v>
      </c>
      <c r="BU145" s="1398">
        <f ca="1">IF(B145&gt;=$J$5,0,CONTADORES!BT145-CONTADORES!BT144)</f>
        <v>0</v>
      </c>
      <c r="BV145" s="1398">
        <f ca="1">IF(B145&gt;=$J$5,0,CONTADORES!BU145-CONTADORES!BU144)/1000</f>
        <v>4.5910000000000002</v>
      </c>
      <c r="BW145" s="1398">
        <f ca="1">IF(B145&gt;=$J$5,0,CONTADORES!BV145-CONTADORES!BV144)/1000</f>
        <v>0.28399999999999997</v>
      </c>
      <c r="BX145" s="1398">
        <f ca="1">IF(B145&gt;=$J$5,0,CONTADORES!BW145-CONTADORES!BW144)</f>
        <v>24</v>
      </c>
      <c r="BY145" s="1398">
        <f ca="1">IF(B145&gt;=$J$5,0,CONTADORES!BX145-CONTADORES!BX144)/1000</f>
        <v>3.5710000000000002</v>
      </c>
      <c r="BZ145" s="1398">
        <f ca="1">IF(B145&gt;=$J$5,0,CONTADORES!BY145-CONTADORES!BY144)/1000</f>
        <v>0.106</v>
      </c>
      <c r="CA145" s="1398">
        <f ca="1">IF(B145&gt;=$J$5,0,CONTADORES!BZ145-CONTADORES!BZ144)</f>
        <v>24</v>
      </c>
      <c r="CB145" s="1398">
        <f ca="1">IF(B145&gt;=$J$5,0,(CONTADORES!CC145-CONTADORES!CC144)+(CONTADORES!CE145-CONTADORES!CE144))/1000</f>
        <v>0.82199999999999995</v>
      </c>
      <c r="CC145" s="1398">
        <f ca="1">IF(B145&gt;=$J$5,0,(CONTADORES!CD145-CONTADORES!CD144)+(CONTADORES!CF145-CONTADORES!CF144))/1000</f>
        <v>0.5</v>
      </c>
      <c r="CD145" s="1398">
        <f ca="1">IF(B145&gt;=$J$5,0,CONTADORES!CA145-CONTADORES!CA144)</f>
        <v>6.3000000000010914</v>
      </c>
      <c r="CE145" s="1398">
        <f ca="1">IF(B145&gt;=$J$5,0,CONTADORES!CB145-CONTADORES!CB144)</f>
        <v>4.3000000000001819</v>
      </c>
      <c r="CF145" s="1398">
        <f t="shared" ca="1" si="83"/>
        <v>10.669000000002047</v>
      </c>
      <c r="CG145" s="1398">
        <f t="shared" ca="1" si="84"/>
        <v>8.8500000000003638</v>
      </c>
      <c r="CH145" s="1398">
        <f t="shared" ca="1" si="85"/>
        <v>4.3690000000009546</v>
      </c>
      <c r="CI145" s="1398">
        <f t="shared" ca="1" si="86"/>
        <v>1.5111999999999637</v>
      </c>
      <c r="CJ145" s="1398">
        <f t="shared" ca="1" si="87"/>
        <v>4.3690000000009546</v>
      </c>
      <c r="CK145" s="1398">
        <f t="shared" ca="1" si="88"/>
        <v>2.2667999999999453</v>
      </c>
      <c r="CL145" s="1398">
        <f t="shared" ca="1" si="89"/>
        <v>2.3331999999999637</v>
      </c>
      <c r="CM145" s="1398">
        <f t="shared" ca="1" si="90"/>
        <v>4.5500000000001819</v>
      </c>
      <c r="CN145" s="1398">
        <f ca="1">IF(B145&gt;=$J$5,0,CONTADORES!CB145-CONTADORES!CB144)</f>
        <v>4.3000000000001819</v>
      </c>
      <c r="CO145" s="1398">
        <f t="shared" ca="1" si="91"/>
        <v>4.5500000000001819</v>
      </c>
      <c r="CP145" s="1398">
        <f t="shared" ca="1" si="92"/>
        <v>1.25</v>
      </c>
      <c r="CQ145" s="1398">
        <f t="shared" ca="1" si="93"/>
        <v>1.25</v>
      </c>
      <c r="CR145" s="1398">
        <f t="shared" ca="1" si="94"/>
        <v>1.75</v>
      </c>
      <c r="CS145" s="1448">
        <f ca="1">IF($B145&gt;=$J$5,0,CONTADORES!$BI145)</f>
        <v>6637.3947574126796</v>
      </c>
      <c r="CT145" s="1369">
        <f>CONTADORES!E145</f>
        <v>0</v>
      </c>
      <c r="CU145" s="1369">
        <f>CONTADORES!CG145</f>
        <v>0</v>
      </c>
    </row>
    <row r="146" spans="2:99">
      <c r="B146" s="390">
        <v>45062</v>
      </c>
      <c r="C146" s="198">
        <f t="shared" ca="1" si="68"/>
        <v>138</v>
      </c>
      <c r="D146" s="196">
        <f ca="1">'CALCULO DE GAS'!D155</f>
        <v>3.7790142748572797</v>
      </c>
      <c r="E146" s="196">
        <f ca="1">IF(B146&gt;=$J$5,0,(CONTADORES!$AD146-CONTADORES!$AD145)-$H146)</f>
        <v>24</v>
      </c>
      <c r="F146" s="198">
        <f t="shared" ca="1" si="67"/>
        <v>0</v>
      </c>
      <c r="G146" s="196">
        <f ca="1">IF(B146&gt;=$J$5,0,CONTADORES!$AF146-CONTADORES!$AF145)</f>
        <v>0</v>
      </c>
      <c r="H146" s="196">
        <f ca="1">IF(G146&gt;0,CONTADORES!$AE146-CONTADORES!$AE145,0)</f>
        <v>0</v>
      </c>
      <c r="I146" s="199">
        <f ca="1">IF(B146&gt;=$J$5,0,CONTADORES!$AB146-CONTADORES!$AB145)</f>
        <v>138</v>
      </c>
      <c r="J146" s="198">
        <f t="shared" ca="1" si="69"/>
        <v>298</v>
      </c>
      <c r="K146" s="196">
        <f ca="1">'CALCULO DE GAS'!E155</f>
        <v>5.147996196836349</v>
      </c>
      <c r="L146" s="1396">
        <f ca="1">IF(B146&gt;=$J$5,0,(CONTADORES!$Y146-CONTADORES!$Y145)-$O146)</f>
        <v>24</v>
      </c>
      <c r="M146" s="1396">
        <f t="shared" ca="1" si="95"/>
        <v>0</v>
      </c>
      <c r="N146" s="1396">
        <f ca="1">IF(B146&gt;=$J$5,0,CONTADORES!$AA146-CONTADORES!$AA145)</f>
        <v>0</v>
      </c>
      <c r="O146" s="1396">
        <f ca="1">IF(N146&gt;0,CONTADORES!$Z146-CONTADORES!$Z145,0)</f>
        <v>0</v>
      </c>
      <c r="P146" s="202">
        <f ca="1">IF(B146&gt;=$J$5,0,CONTADORES!$W146-CONTADORES!$W145)</f>
        <v>298</v>
      </c>
      <c r="Q146" s="202">
        <f ca="1">IF(B146&gt;=$J$5,0,CONTADORES!$B146-CONTADORES!$B145)</f>
        <v>0.68799999999987449</v>
      </c>
      <c r="R146" s="196">
        <f t="shared" ca="1" si="70"/>
        <v>82.559999999984939</v>
      </c>
      <c r="S146" s="11">
        <f ca="1">IF(B146&gt;=$J$5,0,CONTADORES!$D146-CONTADORES!$D145)</f>
        <v>1</v>
      </c>
      <c r="T146" s="198">
        <f ca="1">IF(B146&gt;=$J$5,0,CONTADORES!$BB146-CONTADORES!$BB145)</f>
        <v>0</v>
      </c>
      <c r="U146" s="196">
        <f t="shared" ca="1" si="65"/>
        <v>0</v>
      </c>
      <c r="V146" s="199">
        <f ca="1">IF(B146&gt;=$J$5,0,CONTADORES!$BD146-CONTADORES!$BD145)</f>
        <v>0</v>
      </c>
      <c r="W146" s="1397">
        <f t="shared" ca="1" si="71"/>
        <v>436</v>
      </c>
      <c r="X146" s="1397">
        <f t="shared" ca="1" si="72"/>
        <v>0.68799999999987449</v>
      </c>
      <c r="Y146" s="1398">
        <f t="shared" ca="1" si="73"/>
        <v>436.68799999999987</v>
      </c>
      <c r="Z146" s="1398">
        <f t="shared" ca="1" si="74"/>
        <v>8.9270104716936292</v>
      </c>
      <c r="AA146" s="1398">
        <f t="shared" ca="1" si="75"/>
        <v>82.559999999984939</v>
      </c>
      <c r="AB146" s="1398">
        <f t="shared" ca="1" si="76"/>
        <v>48</v>
      </c>
      <c r="AC146" s="1397">
        <f t="shared" ca="1" si="77"/>
        <v>1</v>
      </c>
      <c r="AD146" s="1397">
        <f ca="1">IF(B146&gt;=$J$5,0,CONTADORES!H146-CONTADORES!H145)</f>
        <v>166</v>
      </c>
      <c r="AE146" s="1398">
        <f ca="1">IF(B146&gt;=$J$5,0,CONTADORES!J146-CONTADORES!J145)</f>
        <v>24</v>
      </c>
      <c r="AF146" s="1397">
        <f ca="1">IF(B146&gt;=$J$5,0,CONTADORES!AU146-CONTADORES!AU145)</f>
        <v>147</v>
      </c>
      <c r="AG146" s="1398">
        <f ca="1">IF(B146&gt;=$J$5,0,CONTADORES!AW146-CONTADORES!AW145)</f>
        <v>24</v>
      </c>
      <c r="AH146" s="1398">
        <f ca="1">IF(B146&gt;=$J$5,0,(CONTADORES!AM146-CONTADORES!AM145)+(CONTADORES!M146-CONTADORES!M145))</f>
        <v>6.5</v>
      </c>
      <c r="AI146" s="1397">
        <f ca="1">IF(B146&gt;=$J$5,0,(CONTADORES!AK146-CONTADORES!AK145)+(CONTADORES!O146-CONTADORES!O145))</f>
        <v>35.100000000005821</v>
      </c>
      <c r="AJ146" s="1397">
        <f ca="1">IF(B146&gt;=$J$5,0,(CONTADORES!AI146-CONTADORES!AI145))</f>
        <v>6.6999999999970896</v>
      </c>
      <c r="AK146" s="1397">
        <f ca="1">IF(B146&gt;=$J$5,0,(CONTADORES!Q146-CONTADORES!Q145))</f>
        <v>12.299999999988358</v>
      </c>
      <c r="AL146" s="1398">
        <f t="shared" ca="1" si="78"/>
        <v>33.888000000011459</v>
      </c>
      <c r="AM146" s="1397">
        <f ca="1">IF(B146&gt;=$J$5,0,(((CONTADORES!F146-CONTADORES!F145)+(CONTADORES!AQ146-CONTADORES!AQ145))))-BS146-AF146-AN146-BV146-BY146-CD146-CB146</f>
        <v>8.2869999999977164</v>
      </c>
      <c r="AN146" s="1397">
        <f ca="1">IF(B146&gt;=$J$5,0,(CONTADORES!AX146-CONTADORES!AX145)+(CONTADORES!AZ146-CONTADORES!AZ145)+(CONTADORES!BE146-CONTADORES!BE145))-CB146</f>
        <v>4.0069999999997341</v>
      </c>
      <c r="AO146" s="1397">
        <f ca="1">IF(B146&gt;=$J$5,0,(CONTADORES!AC146-CONTADORES!AC145))</f>
        <v>71</v>
      </c>
      <c r="AP146" s="1397">
        <f ca="1">IF(B146&gt;=$J$5,0,(CONTADORES!X146-CONTADORES!X145))</f>
        <v>148</v>
      </c>
      <c r="AQ146" s="1397">
        <f ca="1">IF(B146&gt;=$J$5,0,(CONTADORES!C146-CONTADORES!C145))</f>
        <v>0.34500000000002728</v>
      </c>
      <c r="AR146" s="1397">
        <f ca="1">IF(B146&gt;=$J$5,0,(CONTADORES!BC146-CONTADORES!BC145))</f>
        <v>0</v>
      </c>
      <c r="AS146" s="1397">
        <f ca="1">IF(B146&gt;=$J$5,0,CONTADORES!S146-CONTADORES!S145)</f>
        <v>14.400000000023283</v>
      </c>
      <c r="AT146" s="1397">
        <f ca="1">IF(B146&gt;=$J$5,0,(CONTADORES!U146-CONTADORES!U145)+(CONTADORES!AG146-CONTADORES!AG145))</f>
        <v>2.6000000000058208</v>
      </c>
      <c r="AU146" s="1397">
        <f ca="1">IF(B146&gt;=$J$5,0,(CONTADORES!I146-CONTADORES!I145))</f>
        <v>83</v>
      </c>
      <c r="AV146" s="1397">
        <f ca="1">IF(B146&gt;=$J$5,0,(CONTADORES!AV146-CONTADORES!AV145))</f>
        <v>64</v>
      </c>
      <c r="AW146" s="1397">
        <f ca="1">IF(B146&gt;=$J$5,0,(CONTADORES!N146-CONTADORES!N145)+(CONTADORES!AN146-CONTADORES!AN145))</f>
        <v>2.5</v>
      </c>
      <c r="AX146" s="1397">
        <f ca="1">IF(B146&gt;=$J$5,0,(CONTADORES!P146-CONTADORES!P145)+(CONTADORES!AL146-CONTADORES!AL145))</f>
        <v>29.69999999999709</v>
      </c>
      <c r="AY146" s="1397">
        <f ca="1">IF(B146&gt;=$J$5,0,(CONTADORES!AJ146-CONTADORES!AJ145))</f>
        <v>5.1000000000058208</v>
      </c>
      <c r="AZ146" s="1397">
        <f ca="1">IF(B146&gt;=$J$5,0,(CONTADORES!R146-CONTADORES!R145))</f>
        <v>10</v>
      </c>
      <c r="BA146" s="1398">
        <f t="shared" ca="1" si="79"/>
        <v>7.7439999999980103</v>
      </c>
      <c r="BB146" s="1397">
        <f ca="1">IF(B146&gt;=$J$5,0,(((CONTADORES!G146-CONTADORES!G145)+(CONTADORES!AR146-CONTADORES!AR145)+AR146)-(AV146+BC146)))</f>
        <v>8.2399999999994407</v>
      </c>
      <c r="BC146" s="1397">
        <f ca="1">IF(B146&gt;=$J$5,0,(CONTADORES!AY146-CONTADORES!AY145)+(CONTADORES!BA146-CONTADORES!BA145)+(CONTADORES!BF146-CONTADORES!BF145))</f>
        <v>2.8600000000000136</v>
      </c>
      <c r="BD146" s="1397">
        <f t="shared" ca="1" si="80"/>
        <v>219.34500000000003</v>
      </c>
      <c r="BE146" s="1398">
        <f ca="1">IF($B146&gt;=$J$5,0,CONTADORES!$BG146)</f>
        <v>5755.4299999999994</v>
      </c>
      <c r="BF146" s="1397">
        <f ca="1">IF($B146&gt;=$J$5,0,CONTADORES!$BH146)</f>
        <v>31916.333333333336</v>
      </c>
      <c r="BG146" s="1397">
        <f ca="1">IF($B146&gt;=$J$5,0,CONTADORES!$BJ146)</f>
        <v>4883.4900000000007</v>
      </c>
      <c r="BH146" s="1397">
        <f ca="1">IF(B146&gt;=$J$5,0,((CONTADORES!BK146-CONTADORES!BK145)/1000))</f>
        <v>0.98099999999999998</v>
      </c>
      <c r="BI146" s="1397">
        <f ca="1">IF(B146&gt;=$J$5,0,((CONTADORES!BL146-CONTADORES!BL145)/1000))</f>
        <v>0.77200000000000002</v>
      </c>
      <c r="BJ146" s="1397">
        <f ca="1">IF(B146&gt;=$J$5,0,((CONTADORES!BM146-CONTADORES!BM145)/1000))</f>
        <v>0</v>
      </c>
      <c r="BK146" s="1397">
        <f ca="1">IF(B146&gt;=$J$5,0,((CONTADORES!BN146-CONTADORES!BN145)/1000))</f>
        <v>0</v>
      </c>
      <c r="BL146" s="1399">
        <f t="shared" ca="1" si="81"/>
        <v>0.98099999999999998</v>
      </c>
      <c r="BM146" s="1399">
        <f t="shared" ca="1" si="82"/>
        <v>0.77200000000000002</v>
      </c>
      <c r="BN146" s="1398">
        <f ca="1">IF(W146&gt;=$J$5,0,CONTADORES!$BO146)</f>
        <v>127</v>
      </c>
      <c r="BO146" s="1397">
        <f ca="1">IF(W146&gt;=$J$5,0,CONTADORES!$BP146)</f>
        <v>43.119</v>
      </c>
      <c r="BP146" s="1397">
        <f ca="1">IF(W146&gt;=$J$5,0,CONTADORES!$BQ146)</f>
        <v>640</v>
      </c>
      <c r="BQ146" s="1397">
        <f ca="1">IF(B146&gt;=$J$5,0,(CONTADORES!AS146-CONTADORES!AS145))</f>
        <v>5</v>
      </c>
      <c r="BR146" s="1397">
        <f ca="1">IF(B146&gt;=$J$5,0,(CONTADORES!AT146-CONTADORES!AT145))</f>
        <v>0</v>
      </c>
      <c r="BS146" s="1398">
        <f ca="1">IF(B146&gt;=$J$5,0,CONTADORES!BR146-CONTADORES!BR145)/1000</f>
        <v>0</v>
      </c>
      <c r="BT146" s="1398">
        <f ca="1">IF(B146&gt;=$J$5,0,CONTADORES!BS146-CONTADORES!BS145)</f>
        <v>0</v>
      </c>
      <c r="BU146" s="1398">
        <f ca="1">IF(B146&gt;=$J$5,0,CONTADORES!BT146-CONTADORES!BT145)</f>
        <v>0</v>
      </c>
      <c r="BV146" s="1398">
        <f ca="1">IF(B146&gt;=$J$5,0,CONTADORES!BU146-CONTADORES!BU145)/1000</f>
        <v>4.548</v>
      </c>
      <c r="BW146" s="1398">
        <f ca="1">IF(B146&gt;=$J$5,0,CONTADORES!BV146-CONTADORES!BV145)/1000</f>
        <v>0.27600000000000002</v>
      </c>
      <c r="BX146" s="1398">
        <f ca="1">IF(B146&gt;=$J$5,0,CONTADORES!BW146-CONTADORES!BW145)</f>
        <v>24</v>
      </c>
      <c r="BY146" s="1398">
        <f ca="1">IF(B146&gt;=$J$5,0,CONTADORES!BX146-CONTADORES!BX145)/1000</f>
        <v>3.4849999999999999</v>
      </c>
      <c r="BZ146" s="1398">
        <f ca="1">IF(B146&gt;=$J$5,0,CONTADORES!BY146-CONTADORES!BY145)/1000</f>
        <v>0.11600000000000001</v>
      </c>
      <c r="CA146" s="1398">
        <f ca="1">IF(B146&gt;=$J$5,0,CONTADORES!BZ146-CONTADORES!BZ145)</f>
        <v>24</v>
      </c>
      <c r="CB146" s="1398">
        <f ca="1">IF(B146&gt;=$J$5,0,(CONTADORES!CC146-CONTADORES!CC145)+(CONTADORES!CE146-CONTADORES!CE145))/1000</f>
        <v>1.4730000000000001</v>
      </c>
      <c r="CC146" s="1398">
        <f ca="1">IF(B146&gt;=$J$5,0,(CONTADORES!CD146-CONTADORES!CD145)+(CONTADORES!CF146-CONTADORES!CF145))/1000</f>
        <v>0.90900000000000003</v>
      </c>
      <c r="CD146" s="1398">
        <f ca="1">IF(B146&gt;=$J$5,0,CONTADORES!CA146-CONTADORES!CA145)</f>
        <v>7.3999999999996362</v>
      </c>
      <c r="CE146" s="1398">
        <f ca="1">IF(B146&gt;=$J$5,0,CONTADORES!CB146-CONTADORES!CB145)</f>
        <v>4.8999999999996362</v>
      </c>
      <c r="CF146" s="1398">
        <f t="shared" ca="1" si="83"/>
        <v>11.543499999998495</v>
      </c>
      <c r="CG146" s="1398">
        <f t="shared" ca="1" si="84"/>
        <v>9.0199999999993565</v>
      </c>
      <c r="CH146" s="1398">
        <f t="shared" ca="1" si="85"/>
        <v>4.1434999999988582</v>
      </c>
      <c r="CI146" s="1398">
        <f t="shared" ca="1" si="86"/>
        <v>1.6027999999998936</v>
      </c>
      <c r="CJ146" s="1398">
        <f t="shared" ca="1" si="87"/>
        <v>4.1434999999988582</v>
      </c>
      <c r="CK146" s="1398">
        <f t="shared" ca="1" si="88"/>
        <v>2.4041999999998405</v>
      </c>
      <c r="CL146" s="1398">
        <f t="shared" ca="1" si="89"/>
        <v>3.0757999999998935</v>
      </c>
      <c r="CM146" s="1398">
        <f t="shared" ca="1" si="90"/>
        <v>4.1199999999997203</v>
      </c>
      <c r="CN146" s="1398">
        <f ca="1">IF(B146&gt;=$J$5,0,CONTADORES!CB146-CONTADORES!CB145)</f>
        <v>4.8999999999996362</v>
      </c>
      <c r="CO146" s="1398">
        <f t="shared" ca="1" si="91"/>
        <v>4.1199999999997203</v>
      </c>
      <c r="CP146" s="1398">
        <f t="shared" ca="1" si="92"/>
        <v>1.4300000000000068</v>
      </c>
      <c r="CQ146" s="1398">
        <f t="shared" ca="1" si="93"/>
        <v>1.4300000000000068</v>
      </c>
      <c r="CR146" s="1398">
        <f t="shared" ca="1" si="94"/>
        <v>2.3390000000000066</v>
      </c>
      <c r="CS146" s="1448">
        <f ca="1">IF($B146&gt;=$J$5,0,CONTADORES!$BI146)</f>
        <v>11411.131561915401</v>
      </c>
      <c r="CT146" s="1369">
        <f>CONTADORES!E146</f>
        <v>0.7</v>
      </c>
      <c r="CU146" s="1369">
        <f>CONTADORES!CG146</f>
        <v>0</v>
      </c>
    </row>
    <row r="147" spans="2:99">
      <c r="B147" s="390">
        <v>45063</v>
      </c>
      <c r="C147" s="198">
        <f t="shared" ca="1" si="68"/>
        <v>134.98999999999069</v>
      </c>
      <c r="D147" s="196">
        <f ca="1">'CALCULO DE GAS'!D156</f>
        <v>3.7532603024499691</v>
      </c>
      <c r="E147" s="196">
        <f ca="1">IF(B147&gt;=$J$5,0,(CONTADORES!$AD147-CONTADORES!$AD146)-$H147)</f>
        <v>24</v>
      </c>
      <c r="F147" s="198">
        <f t="shared" ca="1" si="67"/>
        <v>0</v>
      </c>
      <c r="G147" s="196">
        <f ca="1">IF(B147&gt;=$J$5,0,CONTADORES!$AF147-CONTADORES!$AF146)</f>
        <v>0</v>
      </c>
      <c r="H147" s="196">
        <f ca="1">IF(G147&gt;0,CONTADORES!$AE147-CONTADORES!$AE146,0)</f>
        <v>0</v>
      </c>
      <c r="I147" s="199">
        <f ca="1">IF(B147&gt;=$J$5,0,CONTADORES!$AB147-CONTADORES!$AB146)</f>
        <v>134.98999999999069</v>
      </c>
      <c r="J147" s="198">
        <f t="shared" ca="1" si="69"/>
        <v>304.44999999999709</v>
      </c>
      <c r="K147" s="196">
        <f ca="1">'CALCULO DE GAS'!E156</f>
        <v>5.2031832805661047</v>
      </c>
      <c r="L147" s="1396">
        <f ca="1">IF(B147&gt;=$J$5,0,(CONTADORES!$Y147-CONTADORES!$Y146)-$O147)</f>
        <v>24</v>
      </c>
      <c r="M147" s="1396">
        <f t="shared" ca="1" si="95"/>
        <v>0</v>
      </c>
      <c r="N147" s="1396">
        <f ca="1">IF(B147&gt;=$J$5,0,CONTADORES!$AA147-CONTADORES!$AA146)</f>
        <v>0</v>
      </c>
      <c r="O147" s="1396">
        <f ca="1">IF(N147&gt;0,CONTADORES!$Z147-CONTADORES!$Z146,0)</f>
        <v>0</v>
      </c>
      <c r="P147" s="202">
        <f ca="1">IF(B147&gt;=$J$5,0,CONTADORES!$W147-CONTADORES!$W146)</f>
        <v>304.44999999999709</v>
      </c>
      <c r="Q147" s="202">
        <f ca="1">IF(B147&gt;=$J$5,0,CONTADORES!$B147-CONTADORES!$B146)</f>
        <v>0</v>
      </c>
      <c r="R147" s="196">
        <f t="shared" ca="1" si="70"/>
        <v>0</v>
      </c>
      <c r="S147" s="11">
        <f ca="1">IF(B147&gt;=$J$5,0,CONTADORES!$D147-CONTADORES!$D146)</f>
        <v>0</v>
      </c>
      <c r="T147" s="198">
        <f ca="1">IF(B147&gt;=$J$5,0,CONTADORES!$BB147-CONTADORES!$BB146)</f>
        <v>0</v>
      </c>
      <c r="U147" s="196">
        <f t="shared" ca="1" si="65"/>
        <v>0</v>
      </c>
      <c r="V147" s="199">
        <f ca="1">IF(B147&gt;=$J$5,0,CONTADORES!$BD147-CONTADORES!$BD146)</f>
        <v>0</v>
      </c>
      <c r="W147" s="1397">
        <f t="shared" ca="1" si="71"/>
        <v>439.43999999998778</v>
      </c>
      <c r="X147" s="1397">
        <f t="shared" ca="1" si="72"/>
        <v>0</v>
      </c>
      <c r="Y147" s="1398">
        <f t="shared" ca="1" si="73"/>
        <v>439.43999999998778</v>
      </c>
      <c r="Z147" s="1398">
        <f t="shared" ca="1" si="74"/>
        <v>8.9564435830160747</v>
      </c>
      <c r="AA147" s="1398">
        <f t="shared" ca="1" si="75"/>
        <v>0</v>
      </c>
      <c r="AB147" s="1398">
        <f t="shared" ca="1" si="76"/>
        <v>48</v>
      </c>
      <c r="AC147" s="1397">
        <f t="shared" ca="1" si="77"/>
        <v>0</v>
      </c>
      <c r="AD147" s="1397">
        <f ca="1">IF(B147&gt;=$J$5,0,CONTADORES!H147-CONTADORES!H146)</f>
        <v>165.77000000000044</v>
      </c>
      <c r="AE147" s="1398">
        <f ca="1">IF(B147&gt;=$J$5,0,CONTADORES!J147-CONTADORES!J146)</f>
        <v>24</v>
      </c>
      <c r="AF147" s="1397">
        <f ca="1">IF(B147&gt;=$J$5,0,CONTADORES!AU147-CONTADORES!AU146)</f>
        <v>146.95000000001164</v>
      </c>
      <c r="AG147" s="1398">
        <f ca="1">IF(B147&gt;=$J$5,0,CONTADORES!AW147-CONTADORES!AW146)</f>
        <v>24</v>
      </c>
      <c r="AH147" s="1398">
        <f ca="1">IF(B147&gt;=$J$5,0,(CONTADORES!AM147-CONTADORES!AM146)+(CONTADORES!M147-CONTADORES!M146))</f>
        <v>10</v>
      </c>
      <c r="AI147" s="1397">
        <f ca="1">IF(B147&gt;=$J$5,0,(CONTADORES!AK147-CONTADORES!AK146)+(CONTADORES!O147-CONTADORES!O146))</f>
        <v>35.600000000005821</v>
      </c>
      <c r="AJ147" s="1397">
        <f ca="1">IF(B147&gt;=$J$5,0,(CONTADORES!AI147-CONTADORES!AI146))</f>
        <v>5.3700000000098953</v>
      </c>
      <c r="AK147" s="1397">
        <f ca="1">IF(B147&gt;=$J$5,0,(CONTADORES!Q147-CONTADORES!Q146))</f>
        <v>13.220000000001164</v>
      </c>
      <c r="AL147" s="1398">
        <f ca="1">Y147-(AD147+AF147+AH147+AI147+AJ147+AK147+CJ147+CK147+BS147+BV147+BY147+CF147+CL147)</f>
        <v>34.679999999982158</v>
      </c>
      <c r="AM147" s="1397">
        <f ca="1">IF(B147&gt;=$J$5,0,(((CONTADORES!F147-CONTADORES!F146)+(CONTADORES!AQ147-CONTADORES!AQ146))))-BS147-AF147-AN147-BV147-BY147-CD147-CB147</f>
        <v>8.2939999999772667</v>
      </c>
      <c r="AN147" s="1397">
        <f ca="1">IF(B147&gt;=$J$5,0,(CONTADORES!AX147-CONTADORES!AX146)+(CONTADORES!AZ147-CONTADORES!AZ146)+(CONTADORES!BE147-CONTADORES!BE146))-CB147</f>
        <v>3.3459999999997407</v>
      </c>
      <c r="AO147" s="1397">
        <f ca="1">IF(B147&gt;=$J$5,0,(CONTADORES!AC147-CONTADORES!AC146))</f>
        <v>67.700000000011642</v>
      </c>
      <c r="AP147" s="1397">
        <f ca="1">IF(B147&gt;=$J$5,0,(CONTADORES!X147-CONTADORES!X146))</f>
        <v>151.84000000000015</v>
      </c>
      <c r="AQ147" s="1397">
        <f ca="1">IF(B147&gt;=$J$5,0,(CONTADORES!C147-CONTADORES!C146))</f>
        <v>0</v>
      </c>
      <c r="AR147" s="1397">
        <f ca="1">IF(B147&gt;=$J$5,0,(CONTADORES!BC147-CONTADORES!BC146))</f>
        <v>0</v>
      </c>
      <c r="AS147" s="1397">
        <f ca="1">IF(B147&gt;=$J$5,0,CONTADORES!S147-CONTADORES!S146)</f>
        <v>14.539999999979045</v>
      </c>
      <c r="AT147" s="1397">
        <f ca="1">IF(B147&gt;=$J$5,0,(CONTADORES!U147-CONTADORES!U146)+(CONTADORES!AG147-CONTADORES!AG146))</f>
        <v>2.3600000000005821</v>
      </c>
      <c r="AU147" s="1397">
        <f ca="1">IF(B147&gt;=$J$5,0,(CONTADORES!I147-CONTADORES!I146))</f>
        <v>82.860000000000127</v>
      </c>
      <c r="AV147" s="1397">
        <f ca="1">IF(B147&gt;=$J$5,0,(CONTADORES!AV147-CONTADORES!AV146))</f>
        <v>63.549999999988358</v>
      </c>
      <c r="AW147" s="1397">
        <f ca="1">IF(B147&gt;=$J$5,0,(CONTADORES!N147-CONTADORES!N146)+(CONTADORES!AN147-CONTADORES!AN146))</f>
        <v>4</v>
      </c>
      <c r="AX147" s="1397">
        <f ca="1">IF(B147&gt;=$J$5,0,(CONTADORES!P147-CONTADORES!P146)+(CONTADORES!AL147-CONTADORES!AL146))</f>
        <v>30.190000000002328</v>
      </c>
      <c r="AY147" s="1397">
        <f ca="1">IF(B147&gt;=$J$5,0,(CONTADORES!AJ147-CONTADORES!AJ146))</f>
        <v>3.9499999999970896</v>
      </c>
      <c r="AZ147" s="1397">
        <f ca="1">IF(B147&gt;=$J$5,0,(CONTADORES!R147-CONTADORES!R146))</f>
        <v>10.549999999988358</v>
      </c>
      <c r="BA147" s="1398">
        <f t="shared" ca="1" si="79"/>
        <v>7.6750000000120622</v>
      </c>
      <c r="BB147" s="1397">
        <f ca="1">IF(B147&gt;=$J$5,0,(((CONTADORES!G147-CONTADORES!G146)+(CONTADORES!AR147-CONTADORES!AR146)+AR147)-(AV147+BC147)))</f>
        <v>8.6600000000234445</v>
      </c>
      <c r="BC147" s="1397">
        <f ca="1">IF(B147&gt;=$J$5,0,(CONTADORES!AY147-CONTADORES!AY146)+(CONTADORES!BA147-CONTADORES!BA146)+(CONTADORES!BF147-CONTADORES!BF146))</f>
        <v>2.2900000000000205</v>
      </c>
      <c r="BD147" s="1397">
        <f t="shared" ca="1" si="80"/>
        <v>219.54000000001179</v>
      </c>
      <c r="BE147" s="1398">
        <f ca="1">IF($B147&gt;=$J$5,0,CONTADORES!$BG147)</f>
        <v>5687.95</v>
      </c>
      <c r="BF147" s="1397">
        <f ca="1">IF($B147&gt;=$J$5,0,CONTADORES!$BH147)</f>
        <v>28775.877192982502</v>
      </c>
      <c r="BG147" s="1397">
        <f ca="1">IF($B147&gt;=$J$5,0,CONTADORES!$BJ147)</f>
        <v>4801.01</v>
      </c>
      <c r="BH147" s="1397">
        <f ca="1">IF(B147&gt;=$J$5,0,((CONTADORES!BK147-CONTADORES!BK146)/1000))</f>
        <v>0.94799999999999995</v>
      </c>
      <c r="BI147" s="1397">
        <f ca="1">IF(B147&gt;=$J$5,0,((CONTADORES!BL147-CONTADORES!BL146)/1000))</f>
        <v>0.873</v>
      </c>
      <c r="BJ147" s="1397">
        <f ca="1">IF(B147&gt;=$J$5,0,((CONTADORES!BM147-CONTADORES!BM146)/1000))</f>
        <v>0</v>
      </c>
      <c r="BK147" s="1397">
        <f ca="1">IF(B147&gt;=$J$5,0,((CONTADORES!BN147-CONTADORES!BN146)/1000))</f>
        <v>0</v>
      </c>
      <c r="BL147" s="1399">
        <f t="shared" ca="1" si="81"/>
        <v>0.94799999999999995</v>
      </c>
      <c r="BM147" s="1399">
        <f t="shared" ca="1" si="82"/>
        <v>0.873</v>
      </c>
      <c r="BN147" s="1398">
        <f ca="1">IF(W147&gt;=$J$5,0,CONTADORES!$BO147)</f>
        <v>126</v>
      </c>
      <c r="BO147" s="1397">
        <f ca="1">IF(W147&gt;=$J$5,0,CONTADORES!$BP147)</f>
        <v>42.57</v>
      </c>
      <c r="BP147" s="1397">
        <f ca="1">IF(W147&gt;=$J$5,0,CONTADORES!$BQ147)</f>
        <v>642</v>
      </c>
      <c r="BQ147" s="1397">
        <f ca="1">IF(B147&gt;=$J$5,0,(CONTADORES!AS147-CONTADORES!AS146))</f>
        <v>4.6920000000027358</v>
      </c>
      <c r="BR147" s="1397">
        <f ca="1">IF(B147&gt;=$J$5,0,(CONTADORES!AT147-CONTADORES!AT146))</f>
        <v>0</v>
      </c>
      <c r="BS147" s="1398">
        <f ca="1">IF(B147&gt;=$J$5,0,CONTADORES!BR147-CONTADORES!BR146)/1000</f>
        <v>0</v>
      </c>
      <c r="BT147" s="1398">
        <f ca="1">IF(B147&gt;=$J$5,0,CONTADORES!BS147-CONTADORES!BS146)</f>
        <v>0</v>
      </c>
      <c r="BU147" s="1398">
        <f ca="1">IF(B147&gt;=$J$5,0,CONTADORES!BT147-CONTADORES!BT146)</f>
        <v>0</v>
      </c>
      <c r="BV147" s="1398">
        <f ca="1">IF(B147&gt;=$J$5,0,CONTADORES!BU147-CONTADORES!BU146)/1000</f>
        <v>4.5369999999999999</v>
      </c>
      <c r="BW147" s="1398">
        <f ca="1">IF(B147&gt;=$J$5,0,CONTADORES!BV147-CONTADORES!BV146)/1000</f>
        <v>0.30299999999999999</v>
      </c>
      <c r="BX147" s="1398">
        <f ca="1">IF(B147&gt;=$J$5,0,CONTADORES!BW147-CONTADORES!BW146)</f>
        <v>24</v>
      </c>
      <c r="BY147" s="1398">
        <f ca="1">IF(B147&gt;=$J$5,0,CONTADORES!BX147-CONTADORES!BX146)/1000</f>
        <v>3.5390000000000001</v>
      </c>
      <c r="BZ147" s="1398">
        <f ca="1">IF(B147&gt;=$J$5,0,CONTADORES!BY147-CONTADORES!BY146)/1000</f>
        <v>0.108</v>
      </c>
      <c r="CA147" s="1398">
        <f ca="1">IF(B147&gt;=$J$5,0,CONTADORES!BZ147-CONTADORES!BZ146)</f>
        <v>24</v>
      </c>
      <c r="CB147" s="1398">
        <f ca="1">IF(B147&gt;=$J$5,0,(CONTADORES!CC147-CONTADORES!CC146)+(CONTADORES!CE147-CONTADORES!CE146))/1000</f>
        <v>1.0640000000000001</v>
      </c>
      <c r="CC147" s="1398">
        <f ca="1">IF(B147&gt;=$J$5,0,(CONTADORES!CD147-CONTADORES!CD146)+(CONTADORES!CF147-CONTADORES!CF146))/1000</f>
        <v>0.65400000000000003</v>
      </c>
      <c r="CD147" s="1398">
        <f ca="1">IF(B147&gt;=$J$5,0,CONTADORES!CA147-CONTADORES!CA146)</f>
        <v>7.069999999999709</v>
      </c>
      <c r="CE147" s="1398">
        <f ca="1">IF(B147&gt;=$J$5,0,CONTADORES!CB147-CONTADORES!CB146)</f>
        <v>4.75</v>
      </c>
      <c r="CF147" s="1398">
        <f t="shared" ca="1" si="83"/>
        <v>11.216999999988342</v>
      </c>
      <c r="CG147" s="1398">
        <f t="shared" ca="1" si="84"/>
        <v>9.0800000000117222</v>
      </c>
      <c r="CH147" s="1398">
        <f t="shared" ca="1" si="85"/>
        <v>4.1469999999886333</v>
      </c>
      <c r="CI147" s="1398">
        <f t="shared" ca="1" si="86"/>
        <v>1.3383999999998963</v>
      </c>
      <c r="CJ147" s="1398">
        <f t="shared" ca="1" si="87"/>
        <v>4.1469999999886333</v>
      </c>
      <c r="CK147" s="1398">
        <f t="shared" ca="1" si="88"/>
        <v>2.0075999999998446</v>
      </c>
      <c r="CL147" s="1398">
        <f t="shared" ca="1" si="89"/>
        <v>2.4023999999998962</v>
      </c>
      <c r="CM147" s="1398">
        <f t="shared" ca="1" si="90"/>
        <v>4.3300000000117222</v>
      </c>
      <c r="CN147" s="1398">
        <f ca="1">IF(B147&gt;=$J$5,0,CONTADORES!CB147-CONTADORES!CB146)</f>
        <v>4.75</v>
      </c>
      <c r="CO147" s="1398">
        <f t="shared" ca="1" si="91"/>
        <v>4.3300000000117222</v>
      </c>
      <c r="CP147" s="1398">
        <f t="shared" ca="1" si="92"/>
        <v>1.1450000000000102</v>
      </c>
      <c r="CQ147" s="1398">
        <f t="shared" ca="1" si="93"/>
        <v>1.1450000000000102</v>
      </c>
      <c r="CR147" s="1398">
        <f t="shared" ca="1" si="94"/>
        <v>1.7990000000000101</v>
      </c>
      <c r="CS147" s="1448">
        <f ca="1">IF($B147&gt;=$J$5,0,CONTADORES!$BI147)</f>
        <v>8044.7365776820297</v>
      </c>
      <c r="CT147" s="1369">
        <f>CONTADORES!E147</f>
        <v>0</v>
      </c>
      <c r="CU147" s="1369">
        <f>CONTADORES!CG147</f>
        <v>0</v>
      </c>
    </row>
    <row r="148" spans="2:99">
      <c r="B148" s="390">
        <v>45064</v>
      </c>
      <c r="C148" s="198">
        <f t="shared" ca="1" si="68"/>
        <v>176.77500000002328</v>
      </c>
      <c r="D148" s="196">
        <f ca="1">'CALCULO DE GAS'!D157</f>
        <v>4.1107784875120945</v>
      </c>
      <c r="E148" s="196">
        <f ca="1">IF(B148&gt;=$J$5,0,(CONTADORES!$AD148-CONTADORES!$AD147)-$H148)</f>
        <v>24</v>
      </c>
      <c r="F148" s="198">
        <f t="shared" ca="1" si="67"/>
        <v>0</v>
      </c>
      <c r="G148" s="196">
        <f ca="1">IF(B148&gt;=$J$5,0,CONTADORES!$AF148-CONTADORES!$AF147)</f>
        <v>0</v>
      </c>
      <c r="H148" s="196">
        <f ca="1">IF(G148&gt;0,CONTADORES!$AE148-CONTADORES!$AE147,0)</f>
        <v>0</v>
      </c>
      <c r="I148" s="199">
        <f ca="1">IF(B148&gt;=$J$5,0,CONTADORES!$AB148-CONTADORES!$AB147)</f>
        <v>176.77500000002328</v>
      </c>
      <c r="J148" s="198">
        <f t="shared" ca="1" si="69"/>
        <v>268.37800000000425</v>
      </c>
      <c r="K148" s="196">
        <f ca="1">'CALCULO DE GAS'!E157</f>
        <v>4.894546306255986</v>
      </c>
      <c r="L148" s="1396">
        <f ca="1">IF(B148&gt;=$J$5,0,(CONTADORES!$Y148-CONTADORES!$Y147)-$O148)</f>
        <v>24</v>
      </c>
      <c r="M148" s="1396">
        <f t="shared" ca="1" si="95"/>
        <v>0</v>
      </c>
      <c r="N148" s="1396">
        <f ca="1">IF(B148&gt;=$J$5,0,CONTADORES!$AA148-CONTADORES!$AA147)</f>
        <v>0</v>
      </c>
      <c r="O148" s="1396">
        <f ca="1">IF(N148&gt;0,CONTADORES!$Z148-CONTADORES!$Z147,0)</f>
        <v>0</v>
      </c>
      <c r="P148" s="202">
        <f ca="1">IF(B148&gt;=$J$5,0,CONTADORES!$W148-CONTADORES!$W147)</f>
        <v>268.37800000000425</v>
      </c>
      <c r="Q148" s="202">
        <f ca="1">IF(B148&gt;=$J$5,0,CONTADORES!$B148-CONTADORES!$B147)</f>
        <v>0</v>
      </c>
      <c r="R148" s="196">
        <f t="shared" ca="1" si="70"/>
        <v>0</v>
      </c>
      <c r="S148" s="11">
        <f ca="1">IF(B148&gt;=$J$5,0,CONTADORES!$D148-CONTADORES!$D147)</f>
        <v>0</v>
      </c>
      <c r="T148" s="198">
        <f ca="1">IF(B148&gt;=$J$5,0,CONTADORES!$BB148-CONTADORES!$BB147)</f>
        <v>0</v>
      </c>
      <c r="U148" s="196">
        <f t="shared" ca="1" si="65"/>
        <v>0</v>
      </c>
      <c r="V148" s="199">
        <f ca="1">IF(B148&gt;=$J$5,0,CONTADORES!$BD148-CONTADORES!$BD147)</f>
        <v>0</v>
      </c>
      <c r="W148" s="1397">
        <f t="shared" ca="1" si="71"/>
        <v>445.15300000002753</v>
      </c>
      <c r="X148" s="1397">
        <f t="shared" ca="1" si="72"/>
        <v>0</v>
      </c>
      <c r="Y148" s="1398">
        <f t="shared" ca="1" si="73"/>
        <v>445.15300000002753</v>
      </c>
      <c r="Z148" s="1398">
        <f t="shared" ca="1" si="74"/>
        <v>9.0053247937680805</v>
      </c>
      <c r="AA148" s="1398">
        <f t="shared" ca="1" si="75"/>
        <v>0</v>
      </c>
      <c r="AB148" s="1398">
        <f t="shared" ca="1" si="76"/>
        <v>48</v>
      </c>
      <c r="AC148" s="1397">
        <f t="shared" ca="1" si="77"/>
        <v>0</v>
      </c>
      <c r="AD148" s="1397">
        <f ca="1">IF(B148&gt;=$J$5,0,CONTADORES!H148-CONTADORES!H147)</f>
        <v>167.73199999999997</v>
      </c>
      <c r="AE148" s="1398">
        <f ca="1">IF(B148&gt;=$J$5,0,CONTADORES!J148-CONTADORES!J147)</f>
        <v>24</v>
      </c>
      <c r="AF148" s="1397">
        <f ca="1">IF(B148&gt;=$J$5,0,CONTADORES!AU148-CONTADORES!AU147)</f>
        <v>150.64999999996508</v>
      </c>
      <c r="AG148" s="1398">
        <f ca="1">IF(B148&gt;=$J$5,0,CONTADORES!AW148-CONTADORES!AW147)</f>
        <v>24</v>
      </c>
      <c r="AH148" s="1398">
        <f ca="1">IF(B148&gt;=$J$5,0,(CONTADORES!AM148-CONTADORES!AM147)+(CONTADORES!M148-CONTADORES!M147))</f>
        <v>10.399999999994179</v>
      </c>
      <c r="AI148" s="1397">
        <f ca="1">IF(B148&gt;=$J$5,0,(CONTADORES!AK148-CONTADORES!AK147)+(CONTADORES!O148-CONTADORES!O147))</f>
        <v>36.720000000001164</v>
      </c>
      <c r="AJ148" s="1397">
        <f ca="1">IF(B148&gt;=$J$5,0,(CONTADORES!AI148-CONTADORES!AI147))</f>
        <v>4.8799999999901047</v>
      </c>
      <c r="AK148" s="1397">
        <f ca="1">IF(B148&gt;=$J$5,0,(CONTADORES!Q148-CONTADORES!Q147))</f>
        <v>12.550000000017462</v>
      </c>
      <c r="AL148" s="1398">
        <f t="shared" ca="1" si="78"/>
        <v>35.570999999999913</v>
      </c>
      <c r="AM148" s="1397">
        <f ca="1">IF(B148&gt;=$J$5,0,(((CONTADORES!F148-CONTADORES!F147)+(CONTADORES!AQ148-CONTADORES!AQ147))))-BS148-AF148-AN148-BV148-BY148-CD148-CB148</f>
        <v>7.7509000000595369</v>
      </c>
      <c r="AN148" s="1397">
        <f ca="1">IF(B148&gt;=$J$5,0,(CONTADORES!AX148-CONTADORES!AX147)+(CONTADORES!AZ148-CONTADORES!AZ147)+(CONTADORES!BE148-CONTADORES!BE147))-CB148</f>
        <v>3.0290000000003294</v>
      </c>
      <c r="AO148" s="1397">
        <f ca="1">IF(B148&gt;=$J$5,0,(CONTADORES!AC148-CONTADORES!AC147))</f>
        <v>89.856999999959953</v>
      </c>
      <c r="AP148" s="1397">
        <f ca="1">IF(B148&gt;=$J$5,0,(CONTADORES!X148-CONTADORES!X147))</f>
        <v>134.89700000000084</v>
      </c>
      <c r="AQ148" s="1397">
        <f ca="1">IF(B148&gt;=$J$5,0,(CONTADORES!C148-CONTADORES!C147))</f>
        <v>0</v>
      </c>
      <c r="AR148" s="1397">
        <f ca="1">IF(B148&gt;=$J$5,0,(CONTADORES!BC148-CONTADORES!BC147))</f>
        <v>0</v>
      </c>
      <c r="AS148" s="1397">
        <f ca="1">IF(B148&gt;=$J$5,0,CONTADORES!S148-CONTADORES!S147)</f>
        <v>14.880000000004657</v>
      </c>
      <c r="AT148" s="1397">
        <f ca="1">IF(B148&gt;=$J$5,0,(CONTADORES!U148-CONTADORES!U147)+(CONTADORES!AG148-CONTADORES!AG147))</f>
        <v>2.5299999999988358</v>
      </c>
      <c r="AU148" s="1397">
        <f ca="1">IF(B148&gt;=$J$5,0,(CONTADORES!I148-CONTADORES!I147))</f>
        <v>83.808999999999742</v>
      </c>
      <c r="AV148" s="1397">
        <f ca="1">IF(B148&gt;=$J$5,0,(CONTADORES!AV148-CONTADORES!AV147))</f>
        <v>65.350000000005821</v>
      </c>
      <c r="AW148" s="1397">
        <f ca="1">IF(B148&gt;=$J$5,0,(CONTADORES!N148-CONTADORES!N147)+(CONTADORES!AN148-CONTADORES!AN147))</f>
        <v>4.0999999999985448</v>
      </c>
      <c r="AX148" s="1397">
        <f ca="1">IF(B148&gt;=$J$5,0,(CONTADORES!P148-CONTADORES!P147)+(CONTADORES!AL148-CONTADORES!AL147))</f>
        <v>31.209999999999127</v>
      </c>
      <c r="AY148" s="1397">
        <f ca="1">IF(B148&gt;=$J$5,0,(CONTADORES!AJ148-CONTADORES!AJ147))</f>
        <v>3.6600000000034925</v>
      </c>
      <c r="AZ148" s="1397">
        <f ca="1">IF(B148&gt;=$J$5,0,(CONTADORES!R148-CONTADORES!R147))</f>
        <v>10.06600000000617</v>
      </c>
      <c r="BA148" s="1398">
        <f t="shared" ca="1" si="79"/>
        <v>6.3139999999592646</v>
      </c>
      <c r="BB148" s="1397">
        <f ca="1">IF(B148&gt;=$J$5,0,(((CONTADORES!G148-CONTADORES!G147)+(CONTADORES!AR148-CONTADORES!AR147)+AR148)-(AV148+BC148)))</f>
        <v>10.349999999988711</v>
      </c>
      <c r="BC148" s="1397">
        <f ca="1">IF(B148&gt;=$J$5,0,(CONTADORES!AY148-CONTADORES!AY147)+(CONTADORES!BA148-CONTADORES!BA147)+(CONTADORES!BF148-CONTADORES!BF147))</f>
        <v>2.8000000000000114</v>
      </c>
      <c r="BD148" s="1397">
        <f t="shared" ca="1" si="80"/>
        <v>224.7539999999608</v>
      </c>
      <c r="BE148" s="1398">
        <f ca="1">IF($B148&gt;=$J$5,0,CONTADORES!$BG148)</f>
        <v>5513.42</v>
      </c>
      <c r="BF148" s="1397">
        <f ca="1">IF($B148&gt;=$J$5,0,CONTADORES!$BH148)</f>
        <v>30427.087719298299</v>
      </c>
      <c r="BG148" s="1397">
        <f ca="1">IF($B148&gt;=$J$5,0,CONTADORES!$BJ148)</f>
        <v>5136.8100000000004</v>
      </c>
      <c r="BH148" s="1397">
        <f ca="1">IF(B148&gt;=$J$5,0,((CONTADORES!BK148-CONTADORES!BK147)/1000))</f>
        <v>0.01</v>
      </c>
      <c r="BI148" s="1397">
        <f ca="1">IF(B148&gt;=$J$5,0,((CONTADORES!BL148-CONTADORES!BL147)/1000))</f>
        <v>6.0000000000000001E-3</v>
      </c>
      <c r="BJ148" s="1397">
        <f ca="1">IF(B148&gt;=$J$5,0,((CONTADORES!BM148-CONTADORES!BM147)/1000))</f>
        <v>0.25700000000000001</v>
      </c>
      <c r="BK148" s="1397">
        <f ca="1">IF(B148&gt;=$J$5,0,((CONTADORES!BN148-CONTADORES!BN147)/1000))</f>
        <v>0.13100000000000001</v>
      </c>
      <c r="BL148" s="1399">
        <f t="shared" ca="1" si="81"/>
        <v>0.26700000000000002</v>
      </c>
      <c r="BM148" s="1399">
        <f t="shared" ca="1" si="82"/>
        <v>0.13700000000000001</v>
      </c>
      <c r="BN148" s="1398">
        <f ca="1">IF(W148&gt;=$J$5,0,CONTADORES!$BO148)</f>
        <v>125</v>
      </c>
      <c r="BO148" s="1397">
        <f ca="1">IF(W148&gt;=$J$5,0,CONTADORES!$BP148)</f>
        <v>42.527000000000001</v>
      </c>
      <c r="BP148" s="1397">
        <f ca="1">IF(W148&gt;=$J$5,0,CONTADORES!$BQ148)</f>
        <v>643</v>
      </c>
      <c r="BQ148" s="1397">
        <f ca="1">IF(B148&gt;=$J$5,0,(CONTADORES!AS148-CONTADORES!AS147))</f>
        <v>5.2379999999975553</v>
      </c>
      <c r="BR148" s="1397">
        <f ca="1">IF(B148&gt;=$J$5,0,(CONTADORES!AT148-CONTADORES!AT147))</f>
        <v>0</v>
      </c>
      <c r="BS148" s="1398">
        <f ca="1">IF(B148&gt;=$J$5,0,CONTADORES!BR148-CONTADORES!BR147)/1000</f>
        <v>1.1541000000000932</v>
      </c>
      <c r="BT148" s="1398">
        <f ca="1">IF(B148&gt;=$J$5,0,CONTADORES!BS148-CONTADORES!BS147)</f>
        <v>1</v>
      </c>
      <c r="BU148" s="1398">
        <f ca="1">IF(B148&gt;=$J$5,0,CONTADORES!BT148-CONTADORES!BT147)</f>
        <v>13.470000000001164</v>
      </c>
      <c r="BV148" s="1398">
        <f ca="1">IF(B148&gt;=$J$5,0,CONTADORES!BU148-CONTADORES!BU147)/1000</f>
        <v>2.0030000000000001</v>
      </c>
      <c r="BW148" s="1398">
        <f ca="1">IF(B148&gt;=$J$5,0,CONTADORES!BV148-CONTADORES!BV147)/1000</f>
        <v>0.15</v>
      </c>
      <c r="BX148" s="1398">
        <f ca="1">IF(B148&gt;=$J$5,0,CONTADORES!BW148-CONTADORES!BW147)</f>
        <v>10.530000000002474</v>
      </c>
      <c r="BY148" s="1398">
        <f ca="1">IF(B148&gt;=$J$5,0,CONTADORES!BX148-CONTADORES!BX147)/1000</f>
        <v>4.7220000000000004</v>
      </c>
      <c r="BZ148" s="1398">
        <f ca="1">IF(B148&gt;=$J$5,0,CONTADORES!BY148-CONTADORES!BY147)/1000</f>
        <v>0.43</v>
      </c>
      <c r="CA148" s="1398">
        <f ca="1">IF(B148&gt;=$J$5,0,CONTADORES!BZ148-CONTADORES!BZ147)</f>
        <v>24</v>
      </c>
      <c r="CB148" s="1398">
        <f ca="1">IF(B148&gt;=$J$5,0,(CONTADORES!CC148-CONTADORES!CC147)+(CONTADORES!CE148-CONTADORES!CE147))/1000</f>
        <v>1.421</v>
      </c>
      <c r="CC148" s="1398">
        <f ca="1">IF(B148&gt;=$J$5,0,(CONTADORES!CD148-CONTADORES!CD147)+(CONTADORES!CF148-CONTADORES!CF147))/1000</f>
        <v>0.89500000000000002</v>
      </c>
      <c r="CD148" s="1398">
        <f ca="1">IF(B148&gt;=$J$5,0,CONTADORES!CA148-CONTADORES!CA147)</f>
        <v>6.569999999999709</v>
      </c>
      <c r="CE148" s="1398">
        <f ca="1">IF(B148&gt;=$J$5,0,CONTADORES!CB148-CONTADORES!CB147)</f>
        <v>4.6199999999998909</v>
      </c>
      <c r="CF148" s="1398">
        <f t="shared" ca="1" si="83"/>
        <v>10.445450000029478</v>
      </c>
      <c r="CG148" s="1398">
        <f t="shared" ca="1" si="84"/>
        <v>9.7949999999942463</v>
      </c>
      <c r="CH148" s="1398">
        <f t="shared" ca="1" si="85"/>
        <v>3.8754500000297685</v>
      </c>
      <c r="CI148" s="1398">
        <f t="shared" ca="1" si="86"/>
        <v>1.2116000000001319</v>
      </c>
      <c r="CJ148" s="1398">
        <f t="shared" ca="1" si="87"/>
        <v>3.8754500000297685</v>
      </c>
      <c r="CK148" s="1398">
        <f t="shared" ca="1" si="88"/>
        <v>1.8174000000001975</v>
      </c>
      <c r="CL148" s="1398">
        <f t="shared" ca="1" si="89"/>
        <v>2.6326000000001319</v>
      </c>
      <c r="CM148" s="1398">
        <f t="shared" ca="1" si="90"/>
        <v>5.1749999999943554</v>
      </c>
      <c r="CN148" s="1398">
        <f ca="1">IF(B148&gt;=$J$5,0,CONTADORES!CB148-CONTADORES!CB147)</f>
        <v>4.6199999999998909</v>
      </c>
      <c r="CO148" s="1398">
        <f t="shared" ca="1" si="91"/>
        <v>5.1749999999943554</v>
      </c>
      <c r="CP148" s="1398">
        <f t="shared" ca="1" si="92"/>
        <v>1.4000000000000057</v>
      </c>
      <c r="CQ148" s="1398">
        <f t="shared" ca="1" si="93"/>
        <v>1.4000000000000057</v>
      </c>
      <c r="CR148" s="1398">
        <f t="shared" ca="1" si="94"/>
        <v>2.2950000000000057</v>
      </c>
      <c r="CS148" s="1448">
        <f ca="1">IF($B148&gt;=$J$5,0,CONTADORES!$BI148)</f>
        <v>8342.5197304453995</v>
      </c>
      <c r="CT148" s="1369">
        <f>CONTADORES!E148</f>
        <v>0</v>
      </c>
      <c r="CU148" s="1369">
        <f>CONTADORES!CG148</f>
        <v>0</v>
      </c>
    </row>
    <row r="149" spans="2:99">
      <c r="B149" s="390">
        <v>45065</v>
      </c>
      <c r="C149" s="198">
        <f t="shared" ca="1" si="68"/>
        <v>291.56499999994412</v>
      </c>
      <c r="D149" s="196">
        <f ca="1">'CALCULO DE GAS'!D158</f>
        <v>5.0929374551612749</v>
      </c>
      <c r="E149" s="196">
        <f ca="1">IF(B149&gt;=$J$5,0,(CONTADORES!$AD149-CONTADORES!$AD148)-$H149)</f>
        <v>24</v>
      </c>
      <c r="F149" s="198">
        <f t="shared" ca="1" si="67"/>
        <v>0</v>
      </c>
      <c r="G149" s="196">
        <f ca="1">IF(B149&gt;=$J$5,0,CONTADORES!$AF149-CONTADORES!$AF148)</f>
        <v>0</v>
      </c>
      <c r="H149" s="196">
        <f ca="1">IF(G149&gt;0,CONTADORES!$AE149-CONTADORES!$AE148,0)</f>
        <v>0</v>
      </c>
      <c r="I149" s="199">
        <f ca="1">IF(B149&gt;=$J$5,0,CONTADORES!$AB149-CONTADORES!$AB148)</f>
        <v>291.56499999994412</v>
      </c>
      <c r="J149" s="198">
        <f t="shared" ca="1" si="69"/>
        <v>147.50299999999697</v>
      </c>
      <c r="K149" s="196">
        <f ca="1">'CALCULO DE GAS'!E158</f>
        <v>3.860323244885798</v>
      </c>
      <c r="L149" s="1396">
        <f ca="1">IF(B149&gt;=$J$5,0,(CONTADORES!$Y149-CONTADORES!$Y148)-$O149)</f>
        <v>24</v>
      </c>
      <c r="M149" s="1396">
        <f t="shared" ca="1" si="95"/>
        <v>0</v>
      </c>
      <c r="N149" s="1396">
        <f ca="1">IF(B149&gt;=$J$5,0,CONTADORES!$AA149-CONTADORES!$AA148)</f>
        <v>0</v>
      </c>
      <c r="O149" s="1396">
        <f ca="1">IF(N149&gt;0,CONTADORES!$Z149-CONTADORES!$Z148,0)</f>
        <v>0</v>
      </c>
      <c r="P149" s="202">
        <f ca="1">IF(B149&gt;=$J$5,0,CONTADORES!$W149-CONTADORES!$W148)</f>
        <v>147.50299999999697</v>
      </c>
      <c r="Q149" s="202">
        <f ca="1">IF(B149&gt;=$J$5,0,CONTADORES!$B149-CONTADORES!$B148)</f>
        <v>0</v>
      </c>
      <c r="R149" s="196">
        <f t="shared" ca="1" si="70"/>
        <v>0</v>
      </c>
      <c r="S149" s="11">
        <f ca="1">IF(B149&gt;=$J$5,0,CONTADORES!$D149-CONTADORES!$D148)</f>
        <v>0</v>
      </c>
      <c r="T149" s="198">
        <f ca="1">IF(B149&gt;=$J$5,0,CONTADORES!$BB149-CONTADORES!$BB148)</f>
        <v>0</v>
      </c>
      <c r="U149" s="196">
        <f t="shared" ca="1" si="65"/>
        <v>0</v>
      </c>
      <c r="V149" s="199">
        <f ca="1">IF(B149&gt;=$J$5,0,CONTADORES!$BD149-CONTADORES!$BD148)</f>
        <v>0</v>
      </c>
      <c r="W149" s="1397">
        <f t="shared" ca="1" si="71"/>
        <v>439.06799999994109</v>
      </c>
      <c r="X149" s="1397">
        <f t="shared" ca="1" si="72"/>
        <v>0</v>
      </c>
      <c r="Y149" s="1398">
        <f t="shared" ca="1" si="73"/>
        <v>439.06799999994109</v>
      </c>
      <c r="Z149" s="1398">
        <f t="shared" ca="1" si="74"/>
        <v>8.953260700047073</v>
      </c>
      <c r="AA149" s="1398">
        <f t="shared" ca="1" si="75"/>
        <v>0</v>
      </c>
      <c r="AB149" s="1398">
        <f t="shared" ca="1" si="76"/>
        <v>48</v>
      </c>
      <c r="AC149" s="1397">
        <f t="shared" ca="1" si="77"/>
        <v>0</v>
      </c>
      <c r="AD149" s="1397">
        <f ca="1">IF(B149&gt;=$J$5,0,CONTADORES!H149-CONTADORES!H148)</f>
        <v>165.33799999999974</v>
      </c>
      <c r="AE149" s="1398">
        <f ca="1">IF(B149&gt;=$J$5,0,CONTADORES!J149-CONTADORES!J148)</f>
        <v>24</v>
      </c>
      <c r="AF149" s="1397">
        <f ca="1">IF(B149&gt;=$J$5,0,CONTADORES!AU149-CONTADORES!AU148)</f>
        <v>145.50900000002002</v>
      </c>
      <c r="AG149" s="1398">
        <f ca="1">IF(B149&gt;=$J$5,0,CONTADORES!AW149-CONTADORES!AW148)</f>
        <v>24</v>
      </c>
      <c r="AH149" s="1398">
        <f ca="1">IF(B149&gt;=$J$5,0,(CONTADORES!AM149-CONTADORES!AM148)+(CONTADORES!M149-CONTADORES!M148))</f>
        <v>10.400000000001455</v>
      </c>
      <c r="AI149" s="1397">
        <f ca="1">IF(B149&gt;=$J$5,0,(CONTADORES!AK149-CONTADORES!AK148)+(CONTADORES!O149-CONTADORES!O148))</f>
        <v>34.969999999986612</v>
      </c>
      <c r="AJ149" s="1397">
        <f ca="1">IF(B149&gt;=$J$5,0,(CONTADORES!AI149-CONTADORES!AI148))</f>
        <v>6.8700000000098953</v>
      </c>
      <c r="AK149" s="1397">
        <f ca="1">IF(B149&gt;=$J$5,0,(CONTADORES!Q149-CONTADORES!Q148))</f>
        <v>12.299999999988358</v>
      </c>
      <c r="AL149" s="1398">
        <f t="shared" ca="1" si="78"/>
        <v>34.189999999976976</v>
      </c>
      <c r="AM149" s="1397">
        <f ca="1">IF(B149&gt;=$J$5,0,(((CONTADORES!F149-CONTADORES!F148)+(CONTADORES!AQ149-CONTADORES!AQ148))))-BS149-AF149-AN149-BV149-BY149-CD149-CB149</f>
        <v>13.237999999957811</v>
      </c>
      <c r="AN149" s="1397">
        <f ca="1">IF(B149&gt;=$J$5,0,(CONTADORES!AX149-CONTADORES!AX148)+(CONTADORES!AZ149-CONTADORES!AZ148)+(CONTADORES!BE149-CONTADORES!BE148))-CB149</f>
        <v>0.78299999999931891</v>
      </c>
      <c r="AO149" s="1397">
        <f ca="1">IF(B149&gt;=$J$5,0,(CONTADORES!AC149-CONTADORES!AC148))</f>
        <v>148.75300000002608</v>
      </c>
      <c r="AP149" s="1397">
        <f ca="1">IF(B149&gt;=$J$5,0,(CONTADORES!X149-CONTADORES!X148))</f>
        <v>75.076999999997497</v>
      </c>
      <c r="AQ149" s="1397">
        <f ca="1">IF(B149&gt;=$J$5,0,(CONTADORES!C149-CONTADORES!C148))</f>
        <v>0</v>
      </c>
      <c r="AR149" s="1397">
        <f ca="1">IF(B149&gt;=$J$5,0,(CONTADORES!BC149-CONTADORES!BC148))</f>
        <v>0</v>
      </c>
      <c r="AS149" s="1397">
        <f ca="1">IF(B149&gt;=$J$5,0,CONTADORES!S149-CONTADORES!S148)</f>
        <v>14.360000000015134</v>
      </c>
      <c r="AT149" s="1397">
        <f ca="1">IF(B149&gt;=$J$5,0,(CONTADORES!U149-CONTADORES!U148)+(CONTADORES!AG149-CONTADORES!AG148))</f>
        <v>2.4599999999991269</v>
      </c>
      <c r="AU149" s="1397">
        <f ca="1">IF(B149&gt;=$J$5,0,(CONTADORES!I149-CONTADORES!I148))</f>
        <v>82.911000000000058</v>
      </c>
      <c r="AV149" s="1397">
        <f ca="1">IF(B149&gt;=$J$5,0,(CONTADORES!AV149-CONTADORES!AV148))</f>
        <v>63.159000000014203</v>
      </c>
      <c r="AW149" s="1397">
        <f ca="1">IF(B149&gt;=$J$5,0,(CONTADORES!N149-CONTADORES!N148)+(CONTADORES!AN149-CONTADORES!AN148))</f>
        <v>4.1000000000021828</v>
      </c>
      <c r="AX149" s="1397">
        <f ca="1">IF(B149&gt;=$J$5,0,(CONTADORES!P149-CONTADORES!P148)+(CONTADORES!AL149-CONTADORES!AL148))</f>
        <v>29.889999999999418</v>
      </c>
      <c r="AY149" s="1397">
        <f ca="1">IF(B149&gt;=$J$5,0,(CONTADORES!AJ149-CONTADORES!AJ148))</f>
        <v>5.1599999999962165</v>
      </c>
      <c r="AZ149" s="1397">
        <f ca="1">IF(B149&gt;=$J$5,0,(CONTADORES!R149-CONTADORES!R148))</f>
        <v>9.7440000000060536</v>
      </c>
      <c r="BA149" s="1407">
        <f t="shared" ca="1" si="79"/>
        <v>5.6680000000305881</v>
      </c>
      <c r="BB149" s="1397">
        <f ca="1">IF(B149&gt;=$J$5,0,(((CONTADORES!G149-CONTADORES!G148)+(CONTADORES!AR149-CONTADORES!AR148)+AR149)-(AV149+BC149)))</f>
        <v>14.460999999974547</v>
      </c>
      <c r="BC149" s="1397">
        <f ca="1">IF(B149&gt;=$J$5,0,(CONTADORES!AY149-CONTADORES!AY148)+(CONTADORES!BA149-CONTADORES!BA148)+(CONTADORES!BF149-CONTADORES!BF148))</f>
        <v>1.4799999999997908</v>
      </c>
      <c r="BD149" s="1397">
        <f t="shared" ca="1" si="80"/>
        <v>223.83000000002357</v>
      </c>
      <c r="BE149" s="1398">
        <f ca="1">IF($B149&gt;=$J$5,0,CONTADORES!$BG149)</f>
        <v>5610.01</v>
      </c>
      <c r="BF149" s="1397">
        <f ca="1">IF($B149&gt;=$J$5,0,CONTADORES!$BH149)</f>
        <v>29876.659649122801</v>
      </c>
      <c r="BG149" s="1397">
        <f ca="1">IF($B149&gt;=$J$5,0,CONTADORES!$BJ149)</f>
        <v>4131.09</v>
      </c>
      <c r="BH149" s="1397">
        <f ca="1">IF(B149&gt;=$J$5,0,((CONTADORES!BK149-CONTADORES!BK148)/1000))</f>
        <v>0</v>
      </c>
      <c r="BI149" s="1397">
        <f ca="1">IF(B149&gt;=$J$5,0,((CONTADORES!BL149-CONTADORES!BL148)/1000))</f>
        <v>0</v>
      </c>
      <c r="BJ149" s="1397">
        <f ca="1">IF(B149&gt;=$J$5,0,((CONTADORES!BM149-CONTADORES!BM148)/1000))</f>
        <v>0.17199999999999999</v>
      </c>
      <c r="BK149" s="1397">
        <f ca="1">IF(B149&gt;=$J$5,0,((CONTADORES!BN149-CONTADORES!BN148)/1000))</f>
        <v>0.11</v>
      </c>
      <c r="BL149" s="1399">
        <f t="shared" ca="1" si="81"/>
        <v>0.17199999999999999</v>
      </c>
      <c r="BM149" s="1399">
        <f t="shared" ca="1" si="82"/>
        <v>0.11</v>
      </c>
      <c r="BN149" s="1398">
        <f ca="1">IF(W149&gt;=$J$5,0,CONTADORES!$BO149)</f>
        <v>123.701260102197</v>
      </c>
      <c r="BO149" s="1397">
        <f ca="1">IF(W149&gt;=$J$5,0,CONTADORES!$BP149)</f>
        <v>42.644944021007461</v>
      </c>
      <c r="BP149" s="1397">
        <f ca="1">IF(W149&gt;=$J$5,0,CONTADORES!$BQ149)</f>
        <v>629.97309397759864</v>
      </c>
      <c r="BQ149" s="1397">
        <f ca="1">IF(B149&gt;=$J$5,0,(CONTADORES!AS149-CONTADORES!AS148))</f>
        <v>4.9479999999966822</v>
      </c>
      <c r="BR149" s="1397">
        <f ca="1">IF(B149&gt;=$J$5,0,(CONTADORES!AT149-CONTADORES!AT148))</f>
        <v>0</v>
      </c>
      <c r="BS149" s="1398">
        <f ca="1">IF(B149&gt;=$J$5,0,CONTADORES!BR149-CONTADORES!BR148)/1000</f>
        <v>2.2559999999999998</v>
      </c>
      <c r="BT149" s="1398">
        <f ca="1">IF(B149&gt;=$J$5,0,CONTADORES!BS149-CONTADORES!BS148)</f>
        <v>1</v>
      </c>
      <c r="BU149" s="1398">
        <f ca="1">IF(B149&gt;=$J$5,0,CONTADORES!BT149-CONTADORES!BT148)</f>
        <v>24</v>
      </c>
      <c r="BV149" s="1398">
        <f ca="1">IF(B149&gt;=$J$5,0,CONTADORES!BU149-CONTADORES!BU148)/1000</f>
        <v>0</v>
      </c>
      <c r="BW149" s="1398">
        <f ca="1">IF(B149&gt;=$J$5,0,CONTADORES!BV149-CONTADORES!BV148)/1000</f>
        <v>0</v>
      </c>
      <c r="BX149" s="1398">
        <f ca="1">IF(B149&gt;=$J$5,0,CONTADORES!BW149-CONTADORES!BW148)</f>
        <v>0</v>
      </c>
      <c r="BY149" s="1398">
        <f ca="1">IF(B149&gt;=$J$5,0,CONTADORES!BX149-CONTADORES!BX148)/1000</f>
        <v>5.0869999999999997</v>
      </c>
      <c r="BZ149" s="1398">
        <f ca="1">IF(B149&gt;=$J$5,0,CONTADORES!BY149-CONTADORES!BY148)/1000</f>
        <v>0.63800000000000001</v>
      </c>
      <c r="CA149" s="1398">
        <f ca="1">IF(B149&gt;=$J$5,0,CONTADORES!BZ149-CONTADORES!BZ148)</f>
        <v>24</v>
      </c>
      <c r="CB149" s="1398">
        <f ca="1">IF(B149&gt;=$J$5,0,(CONTADORES!CC149-CONTADORES!CC148)+(CONTADORES!CE149-CONTADORES!CE148))/1000</f>
        <v>1.4970000000000001</v>
      </c>
      <c r="CC149" s="1398">
        <f ca="1">IF(B149&gt;=$J$5,0,(CONTADORES!CD149-CONTADORES!CD148)+(CONTADORES!CF149-CONTADORES!CF148))/1000</f>
        <v>0.92900000000000005</v>
      </c>
      <c r="CD149" s="1398">
        <f ca="1">IF(B149&gt;=$J$5,0,CONTADORES!CA149-CONTADORES!CA148)</f>
        <v>6.6300000000010186</v>
      </c>
      <c r="CE149" s="1398">
        <f ca="1">IF(B149&gt;=$J$5,0,CONTADORES!CB149-CONTADORES!CB148)</f>
        <v>4.6900000000005093</v>
      </c>
      <c r="CF149" s="1398">
        <f t="shared" ca="1" si="83"/>
        <v>13.248999999979924</v>
      </c>
      <c r="CG149" s="1398">
        <f t="shared" ca="1" si="84"/>
        <v>11.920499999987783</v>
      </c>
      <c r="CH149" s="1398">
        <f t="shared" ca="1" si="85"/>
        <v>6.6189999999789055</v>
      </c>
      <c r="CI149" s="1398">
        <f t="shared" ca="1" si="86"/>
        <v>0.31319999999972759</v>
      </c>
      <c r="CJ149" s="1398">
        <f t="shared" ca="1" si="87"/>
        <v>6.6189999999789055</v>
      </c>
      <c r="CK149" s="1398">
        <f t="shared" ca="1" si="88"/>
        <v>0.46979999999959132</v>
      </c>
      <c r="CL149" s="1398">
        <f t="shared" ca="1" si="89"/>
        <v>1.8101999999997278</v>
      </c>
      <c r="CM149" s="1398">
        <f t="shared" ca="1" si="90"/>
        <v>7.2304999999872734</v>
      </c>
      <c r="CN149" s="1398">
        <f ca="1">IF(B149&gt;=$J$5,0,CONTADORES!CB149-CONTADORES!CB148)</f>
        <v>4.6900000000005093</v>
      </c>
      <c r="CO149" s="1398">
        <f t="shared" ca="1" si="91"/>
        <v>7.2304999999872734</v>
      </c>
      <c r="CP149" s="1398">
        <f t="shared" ca="1" si="92"/>
        <v>0.73999999999989541</v>
      </c>
      <c r="CQ149" s="1398">
        <f t="shared" ca="1" si="93"/>
        <v>0.73999999999989541</v>
      </c>
      <c r="CR149" s="1398">
        <f t="shared" ca="1" si="94"/>
        <v>1.6689999999998955</v>
      </c>
      <c r="CS149" s="1448">
        <f ca="1">IF($B149&gt;=$J$5,0,CONTADORES!$BI149)</f>
        <v>2487.85129502058</v>
      </c>
      <c r="CT149" s="1369">
        <f>CONTADORES!E149</f>
        <v>0</v>
      </c>
      <c r="CU149" s="1369">
        <f>CONTADORES!CG149</f>
        <v>0</v>
      </c>
    </row>
    <row r="150" spans="2:99">
      <c r="B150" s="390">
        <v>45066</v>
      </c>
      <c r="C150" s="198">
        <f t="shared" ca="1" si="68"/>
        <v>307.67000000004191</v>
      </c>
      <c r="D150" s="196">
        <f ca="1">'CALCULO DE GAS'!D159</f>
        <v>5.2307340417463175</v>
      </c>
      <c r="E150" s="196">
        <f ca="1">IF(B150&gt;=$J$5,0,(CONTADORES!$AD150-CONTADORES!$AD149)-$H150)</f>
        <v>24</v>
      </c>
      <c r="F150" s="198">
        <f t="shared" ca="1" si="67"/>
        <v>0</v>
      </c>
      <c r="G150" s="196">
        <f ca="1">IF(B150&gt;=$J$5,0,CONTADORES!$AF150-CONTADORES!$AF149)</f>
        <v>0</v>
      </c>
      <c r="H150" s="196">
        <f ca="1">IF(G150&gt;0,CONTADORES!$AE150-CONTADORES!$AE149,0)</f>
        <v>0</v>
      </c>
      <c r="I150" s="199">
        <f ca="1">IF(B150&gt;=$J$5,0,CONTADORES!$AB150-CONTADORES!$AB149)</f>
        <v>307.67000000004191</v>
      </c>
      <c r="J150" s="198">
        <f t="shared" ca="1" si="69"/>
        <v>147.64199999999983</v>
      </c>
      <c r="K150" s="196">
        <f ca="1">'CALCULO DE GAS'!E159</f>
        <v>3.8615125479305421</v>
      </c>
      <c r="L150" s="1396">
        <f ca="1">IF(B150&gt;=$J$5,0,(CONTADORES!$Y150-CONTADORES!$Y149)-$O150)</f>
        <v>24</v>
      </c>
      <c r="M150" s="1396">
        <f t="shared" ca="1" si="95"/>
        <v>0</v>
      </c>
      <c r="N150" s="1396">
        <f ca="1">IF(B150&gt;=$J$5,0,CONTADORES!$AA150-CONTADORES!$AA149)</f>
        <v>0</v>
      </c>
      <c r="O150" s="1396">
        <f ca="1">IF(N150&gt;0,CONTADORES!$Z150-CONTADORES!$Z149,0)</f>
        <v>0</v>
      </c>
      <c r="P150" s="202">
        <f ca="1">IF(B150&gt;=$J$5,0,CONTADORES!$W150-CONTADORES!$W149)</f>
        <v>147.64199999999983</v>
      </c>
      <c r="Q150" s="202">
        <f ca="1">IF(B150&gt;=$J$5,0,CONTADORES!$B150-CONTADORES!$B149)</f>
        <v>0</v>
      </c>
      <c r="R150" s="196">
        <f t="shared" ca="1" si="70"/>
        <v>0</v>
      </c>
      <c r="S150" s="11">
        <f ca="1">IF(B150&gt;=$J$5,0,CONTADORES!$D150-CONTADORES!$D149)</f>
        <v>0</v>
      </c>
      <c r="T150" s="198">
        <f ca="1">IF(B150&gt;=$J$5,0,CONTADORES!$BB150-CONTADORES!$BB149)</f>
        <v>0</v>
      </c>
      <c r="U150" s="196">
        <f t="shared" ca="1" si="65"/>
        <v>0</v>
      </c>
      <c r="V150" s="199">
        <f ca="1">IF(B150&gt;=$J$5,0,CONTADORES!$BD150-CONTADORES!$BD149)</f>
        <v>0</v>
      </c>
      <c r="W150" s="1397">
        <f t="shared" ca="1" si="71"/>
        <v>455.31200000004173</v>
      </c>
      <c r="X150" s="1397">
        <f t="shared" ca="1" si="72"/>
        <v>0</v>
      </c>
      <c r="Y150" s="1398">
        <f t="shared" ca="1" si="73"/>
        <v>455.31200000004173</v>
      </c>
      <c r="Z150" s="1398">
        <f t="shared" ca="1" si="74"/>
        <v>9.0922465896768596</v>
      </c>
      <c r="AA150" s="1398">
        <f t="shared" ca="1" si="75"/>
        <v>0</v>
      </c>
      <c r="AB150" s="1398">
        <f t="shared" ca="1" si="76"/>
        <v>48</v>
      </c>
      <c r="AC150" s="1397">
        <f t="shared" ca="1" si="77"/>
        <v>0</v>
      </c>
      <c r="AD150" s="1397">
        <f ca="1">IF(B150&gt;=$J$5,0,CONTADORES!H150-CONTADORES!H149)</f>
        <v>173.96000000000004</v>
      </c>
      <c r="AE150" s="1398">
        <f ca="1">IF(B150&gt;=$J$5,0,CONTADORES!J150-CONTADORES!J149)</f>
        <v>24</v>
      </c>
      <c r="AF150" s="1397">
        <f ca="1">IF(B150&gt;=$J$5,0,CONTADORES!AU150-CONTADORES!AU149)</f>
        <v>150.39100000000326</v>
      </c>
      <c r="AG150" s="1398">
        <f ca="1">IF(B150&gt;=$J$5,0,CONTADORES!AW150-CONTADORES!AW149)</f>
        <v>24</v>
      </c>
      <c r="AH150" s="1398">
        <f ca="1">IF(B150&gt;=$J$5,0,(CONTADORES!AM150-CONTADORES!AM149)+(CONTADORES!M150-CONTADORES!M149))</f>
        <v>13.30000000000291</v>
      </c>
      <c r="AI150" s="1397">
        <f ca="1">IF(B150&gt;=$J$5,0,(CONTADORES!AK150-CONTADORES!AK149)+(CONTADORES!O150-CONTADORES!O149))</f>
        <v>34.690000000002328</v>
      </c>
      <c r="AJ150" s="1397">
        <f ca="1">IF(B150&gt;=$J$5,0,(CONTADORES!AI150-CONTADORES!AI149))</f>
        <v>10.369999999995343</v>
      </c>
      <c r="AK150" s="1397">
        <f ca="1">IF(B150&gt;=$J$5,0,(CONTADORES!Q150-CONTADORES!Q149))</f>
        <v>14.540000000008149</v>
      </c>
      <c r="AL150" s="1398">
        <f t="shared" ca="1" si="78"/>
        <v>35.052000000009684</v>
      </c>
      <c r="AM150" s="1397">
        <f ca="1">IF(B150&gt;=$J$5,0,(((CONTADORES!F150-CONTADORES!F149)+(CONTADORES!AQ150-CONTADORES!AQ149))))-BS150-AF150-AN150-BV150-BY150-CD150-CB150</f>
        <v>9.887100000020272</v>
      </c>
      <c r="AN150" s="1397">
        <f ca="1">IF(B150&gt;=$J$5,0,(CONTADORES!AX150-CONTADORES!AX149)+(CONTADORES!AZ150-CONTADORES!AZ149)+(CONTADORES!BE150-CONTADORES!BE149))-CB150</f>
        <v>0.2250000000003638</v>
      </c>
      <c r="AO150" s="1397">
        <f ca="1">IF(B150&gt;=$J$5,0,(CONTADORES!AC150-CONTADORES!AC149))</f>
        <v>148.78999999997905</v>
      </c>
      <c r="AP150" s="1397">
        <f ca="1">IF(B150&gt;=$J$5,0,(CONTADORES!X150-CONTADORES!X149))</f>
        <v>79.186000000001513</v>
      </c>
      <c r="AQ150" s="1397">
        <f ca="1">IF(B150&gt;=$J$5,0,(CONTADORES!C150-CONTADORES!C149))</f>
        <v>0</v>
      </c>
      <c r="AR150" s="1397">
        <f ca="1">IF(B150&gt;=$J$5,0,(CONTADORES!BC150-CONTADORES!BC149))</f>
        <v>0</v>
      </c>
      <c r="AS150" s="1397">
        <f ca="1">IF(B150&gt;=$J$5,0,CONTADORES!S150-CONTADORES!S149)</f>
        <v>14.690000000002328</v>
      </c>
      <c r="AT150" s="1397">
        <f ca="1">IF(B150&gt;=$J$5,0,(CONTADORES!U150-CONTADORES!U149)+(CONTADORES!AG150-CONTADORES!AG149))</f>
        <v>2.4599999999991269</v>
      </c>
      <c r="AU150" s="1397">
        <f ca="1">IF(B150&gt;=$J$5,0,(CONTADORES!I150-CONTADORES!I149))</f>
        <v>84.519999999999982</v>
      </c>
      <c r="AV150" s="1397">
        <f ca="1">IF(B150&gt;=$J$5,0,(CONTADORES!AV150-CONTADORES!AV149))</f>
        <v>65.14100000000326</v>
      </c>
      <c r="AW150" s="1397">
        <f ca="1">IF(B150&gt;=$J$5,0,(CONTADORES!N150-CONTADORES!N149)+(CONTADORES!AN150-CONTADORES!AN149))</f>
        <v>5.1999999999970896</v>
      </c>
      <c r="AX150" s="1397">
        <f ca="1">IF(B150&gt;=$J$5,0,(CONTADORES!P150-CONTADORES!P149)+(CONTADORES!AL150-CONTADORES!AL149))</f>
        <v>29.590000000003783</v>
      </c>
      <c r="AY150" s="1397">
        <f ca="1">IF(B150&gt;=$J$5,0,(CONTADORES!AJ150-CONTADORES!AJ149))</f>
        <v>7.9599999999991269</v>
      </c>
      <c r="AZ150" s="1397">
        <f ca="1">IF(B150&gt;=$J$5,0,(CONTADORES!R150-CONTADORES!R149))</f>
        <v>11.639999999999418</v>
      </c>
      <c r="BA150" s="1398">
        <f t="shared" ca="1" si="79"/>
        <v>6.3689999999698159</v>
      </c>
      <c r="BB150" s="1397">
        <f ca="1">IF(B150&gt;=$J$5,0,(((CONTADORES!G150-CONTADORES!G149)+(CONTADORES!AR150-CONTADORES!AR149)+AR150)-(AV150+BC150)))</f>
        <v>11.249000000008436</v>
      </c>
      <c r="BC150" s="1397">
        <f ca="1">IF(B150&gt;=$J$5,0,(CONTADORES!AY150-CONTADORES!AY149)+(CONTADORES!BA150-CONTADORES!BA149)+(CONTADORES!BF150-CONTADORES!BF149))</f>
        <v>9.9999999997635314E-3</v>
      </c>
      <c r="BD150" s="1397">
        <f t="shared" ca="1" si="80"/>
        <v>227.97599999998056</v>
      </c>
      <c r="BE150" s="1398">
        <f ca="1">IF($B150&gt;=$J$5,0,CONTADORES!$BG150)</f>
        <v>6318.21</v>
      </c>
      <c r="BF150" s="1397">
        <f ca="1">IF($B150&gt;=$J$5,0,CONTADORES!$BH150)</f>
        <v>28646.8421052632</v>
      </c>
      <c r="BG150" s="1397">
        <f ca="1">IF($B150&gt;=$J$5,0,CONTADORES!$BJ150)</f>
        <v>4105.3900000000003</v>
      </c>
      <c r="BH150" s="1397">
        <f ca="1">IF(B150&gt;=$J$5,0,((CONTADORES!BK150-CONTADORES!BK149)/1000))</f>
        <v>0</v>
      </c>
      <c r="BI150" s="1397">
        <f ca="1">IF(B150&gt;=$J$5,0,((CONTADORES!BL150-CONTADORES!BL149)/1000))</f>
        <v>0</v>
      </c>
      <c r="BJ150" s="1397">
        <f ca="1">IF(B150&gt;=$J$5,0,((CONTADORES!BM150-CONTADORES!BM149)/1000))</f>
        <v>0.253</v>
      </c>
      <c r="BK150" s="1397">
        <f ca="1">IF(B150&gt;=$J$5,0,((CONTADORES!BN150-CONTADORES!BN149)/1000))</f>
        <v>0.155</v>
      </c>
      <c r="BL150" s="1399">
        <f t="shared" ca="1" si="81"/>
        <v>0.253</v>
      </c>
      <c r="BM150" s="1399">
        <f t="shared" ca="1" si="82"/>
        <v>0.155</v>
      </c>
      <c r="BN150" s="1398">
        <f ca="1">IF(W150&gt;=$J$5,0,CONTADORES!$BO150)</f>
        <v>126.74116936970699</v>
      </c>
      <c r="BO150" s="1397">
        <f ca="1">IF(W150&gt;=$J$5,0,CONTADORES!$BP150)</f>
        <v>41.805094031479207</v>
      </c>
      <c r="BP150" s="1397">
        <f ca="1">IF(W150&gt;=$J$5,0,CONTADORES!$BQ150)</f>
        <v>641.76998235538724</v>
      </c>
      <c r="BQ150" s="1397">
        <f ca="1">IF(B150&gt;=$J$5,0,(CONTADORES!AS150-CONTADORES!AS149))</f>
        <v>5.0140000000028522</v>
      </c>
      <c r="BR150" s="1397">
        <f ca="1">IF(B150&gt;=$J$5,0,(CONTADORES!AT150-CONTADORES!AT149))</f>
        <v>0</v>
      </c>
      <c r="BS150" s="1398">
        <f ca="1">IF(B150&gt;=$J$5,0,CONTADORES!BR150-CONTADORES!BR149)/1000</f>
        <v>2.067899999999907</v>
      </c>
      <c r="BT150" s="1398">
        <f ca="1">IF(B150&gt;=$J$5,0,CONTADORES!BS150-CONTADORES!BS149)</f>
        <v>1</v>
      </c>
      <c r="BU150" s="1398">
        <f ca="1">IF(B150&gt;=$J$5,0,CONTADORES!BT150-CONTADORES!BT149)</f>
        <v>22</v>
      </c>
      <c r="BV150" s="1398">
        <f ca="1">IF(B150&gt;=$J$5,0,CONTADORES!BU150-CONTADORES!BU149)/1000</f>
        <v>1.1399999999999999</v>
      </c>
      <c r="BW150" s="1398">
        <f ca="1">IF(B150&gt;=$J$5,0,CONTADORES!BV150-CONTADORES!BV149)/1000</f>
        <v>1E-3</v>
      </c>
      <c r="BX150" s="1398">
        <f ca="1">IF(B150&gt;=$J$5,0,CONTADORES!BW150-CONTADORES!BW149)</f>
        <v>9.3699999999989814</v>
      </c>
      <c r="BY150" s="1398">
        <f ca="1">IF(B150&gt;=$J$5,0,CONTADORES!BX150-CONTADORES!BX149)/1000</f>
        <v>2.254</v>
      </c>
      <c r="BZ150" s="1398">
        <f ca="1">IF(B150&gt;=$J$5,0,CONTADORES!BY150-CONTADORES!BY149)/1000</f>
        <v>0.161</v>
      </c>
      <c r="CA150" s="1398">
        <f ca="1">IF(B150&gt;=$J$5,0,CONTADORES!BZ150-CONTADORES!BZ149)</f>
        <v>15.229999999999563</v>
      </c>
      <c r="CB150" s="1398">
        <f ca="1">IF(B150&gt;=$J$5,0,(CONTADORES!CC150-CONTADORES!CC149)+(CONTADORES!CE150-CONTADORES!CE149))/1000</f>
        <v>0.875</v>
      </c>
      <c r="CC150" s="1398">
        <f ca="1">IF(B150&gt;=$J$5,0,(CONTADORES!CD150-CONTADORES!CD149)+(CONTADORES!CF150-CONTADORES!CF149))/1000</f>
        <v>0.51500000000000001</v>
      </c>
      <c r="CD150" s="1398">
        <f ca="1">IF(B150&gt;=$J$5,0,CONTADORES!CA150-CONTADORES!CA149)</f>
        <v>6.5599999999994907</v>
      </c>
      <c r="CE150" s="1398">
        <f ca="1">IF(B150&gt;=$J$5,0,CONTADORES!CB150-CONTADORES!CB149)</f>
        <v>4.6199999999998909</v>
      </c>
      <c r="CF150" s="1398">
        <f t="shared" ca="1" si="83"/>
        <v>11.503550000009627</v>
      </c>
      <c r="CG150" s="1398">
        <f t="shared" ca="1" si="84"/>
        <v>10.244500000004109</v>
      </c>
      <c r="CH150" s="1398">
        <f t="shared" ca="1" si="85"/>
        <v>4.943550000010136</v>
      </c>
      <c r="CI150" s="1398">
        <f t="shared" ca="1" si="86"/>
        <v>9.0000000000145519E-2</v>
      </c>
      <c r="CJ150" s="1398">
        <f t="shared" ca="1" si="87"/>
        <v>4.943550000010136</v>
      </c>
      <c r="CK150" s="1398">
        <f t="shared" ca="1" si="88"/>
        <v>0.13500000000021828</v>
      </c>
      <c r="CL150" s="1398">
        <f t="shared" ca="1" si="89"/>
        <v>0.96500000000014552</v>
      </c>
      <c r="CM150" s="1398">
        <f t="shared" ca="1" si="90"/>
        <v>5.6245000000042182</v>
      </c>
      <c r="CN150" s="1398">
        <f ca="1">IF(B150&gt;=$J$5,0,CONTADORES!CB150-CONTADORES!CB149)</f>
        <v>4.6199999999998909</v>
      </c>
      <c r="CO150" s="1398">
        <f t="shared" ca="1" si="91"/>
        <v>5.6245000000042182</v>
      </c>
      <c r="CP150" s="1398">
        <f t="shared" ca="1" si="92"/>
        <v>4.9999999998817657E-3</v>
      </c>
      <c r="CQ150" s="1398">
        <f t="shared" ca="1" si="93"/>
        <v>4.9999999998817657E-3</v>
      </c>
      <c r="CR150" s="1398">
        <f t="shared" ca="1" si="94"/>
        <v>0.51999999999988178</v>
      </c>
      <c r="CS150" s="1448">
        <f ca="1">IF($B150&gt;=$J$5,0,CONTADORES!$BI150)</f>
        <v>2562.15979850638</v>
      </c>
      <c r="CT150" s="1369">
        <f>CONTADORES!E150</f>
        <v>0</v>
      </c>
      <c r="CU150" s="1369">
        <f>CONTADORES!CG150</f>
        <v>0</v>
      </c>
    </row>
    <row r="151" spans="2:99">
      <c r="B151" s="390">
        <v>45067</v>
      </c>
      <c r="C151" s="198">
        <f t="shared" ca="1" si="68"/>
        <v>303.25</v>
      </c>
      <c r="D151" s="196">
        <f ca="1">'CALCULO DE GAS'!D160</f>
        <v>5.1929159161512874</v>
      </c>
      <c r="E151" s="196">
        <f ca="1">IF(B151&gt;=$J$5,0,(CONTADORES!$AD151-CONTADORES!$AD150)-$H151)</f>
        <v>24</v>
      </c>
      <c r="F151" s="198">
        <f t="shared" ref="F151:F182" ca="1" si="96">IF(H151=0,0,"ERROR")</f>
        <v>0</v>
      </c>
      <c r="G151" s="196">
        <f ca="1">IF(B151&gt;=$J$5,0,CONTADORES!$AF151-CONTADORES!$AF150)</f>
        <v>0</v>
      </c>
      <c r="H151" s="196">
        <f ca="1">IF(G151&gt;0,CONTADORES!$AE151-CONTADORES!$AE150,0)</f>
        <v>0</v>
      </c>
      <c r="I151" s="199">
        <f ca="1">IF(B151&gt;=$J$5,0,CONTADORES!$AB151-CONTADORES!$AB150)</f>
        <v>303.25</v>
      </c>
      <c r="J151" s="198">
        <f t="shared" ca="1" si="69"/>
        <v>147.62299999999959</v>
      </c>
      <c r="K151" s="196">
        <f ca="1">'CALCULO DE GAS'!E160</f>
        <v>3.8613499813273053</v>
      </c>
      <c r="L151" s="1396">
        <f ca="1">IF(B151&gt;=$J$5,0,(CONTADORES!$Y151-CONTADORES!$Y150)-$O151)</f>
        <v>24</v>
      </c>
      <c r="M151" s="1396">
        <f t="shared" ca="1" si="95"/>
        <v>0</v>
      </c>
      <c r="N151" s="1396">
        <f ca="1">IF(B151&gt;=$J$5,0,CONTADORES!$AA151-CONTADORES!$AA150)</f>
        <v>0</v>
      </c>
      <c r="O151" s="1396">
        <f ca="1">IF(N151&gt;0,CONTADORES!$Z151-CONTADORES!$Z150,0)</f>
        <v>0</v>
      </c>
      <c r="P151" s="202">
        <f ca="1">IF(B151&gt;=$J$5,0,CONTADORES!$W151-CONTADORES!$W150)</f>
        <v>147.62299999999959</v>
      </c>
      <c r="Q151" s="202">
        <f ca="1">IF(B151&gt;=$J$5,0,CONTADORES!$B151-CONTADORES!$B150)</f>
        <v>0</v>
      </c>
      <c r="R151" s="196">
        <f t="shared" ca="1" si="70"/>
        <v>0</v>
      </c>
      <c r="S151" s="11">
        <f ca="1">IF(B151&gt;=$J$5,0,CONTADORES!$D151-CONTADORES!$D150)</f>
        <v>0</v>
      </c>
      <c r="T151" s="198">
        <f ca="1">IF(B151&gt;=$J$5,0,CONTADORES!$BB151-CONTADORES!$BB150)</f>
        <v>0</v>
      </c>
      <c r="U151" s="196">
        <f t="shared" ca="1" si="65"/>
        <v>0</v>
      </c>
      <c r="V151" s="199">
        <f ca="1">IF(B151&gt;=$J$5,0,CONTADORES!$BD151-CONTADORES!$BD150)</f>
        <v>0</v>
      </c>
      <c r="W151" s="1397">
        <f t="shared" ca="1" si="71"/>
        <v>450.87299999999959</v>
      </c>
      <c r="X151" s="1397">
        <f t="shared" ca="1" si="72"/>
        <v>0</v>
      </c>
      <c r="Y151" s="1398">
        <f t="shared" ca="1" si="73"/>
        <v>450.87299999999959</v>
      </c>
      <c r="Z151" s="1398">
        <f t="shared" ca="1" si="74"/>
        <v>9.0542658974785937</v>
      </c>
      <c r="AA151" s="1398">
        <f t="shared" ca="1" si="75"/>
        <v>0</v>
      </c>
      <c r="AB151" s="1398">
        <f t="shared" ca="1" si="76"/>
        <v>48</v>
      </c>
      <c r="AC151" s="1397">
        <f t="shared" ca="1" si="77"/>
        <v>0</v>
      </c>
      <c r="AD151" s="1397">
        <f ca="1">IF(B151&gt;=$J$5,0,CONTADORES!H151-CONTADORES!H150)</f>
        <v>177.59999999999945</v>
      </c>
      <c r="AE151" s="1398">
        <f ca="1">IF(B151&gt;=$J$5,0,CONTADORES!J151-CONTADORES!J150)</f>
        <v>24</v>
      </c>
      <c r="AF151" s="1397">
        <f ca="1">IF(B151&gt;=$J$5,0,CONTADORES!AU151-CONTADORES!AU150)</f>
        <v>147.09999999997672</v>
      </c>
      <c r="AG151" s="1398">
        <f ca="1">IF(B151&gt;=$J$5,0,CONTADORES!AW151-CONTADORES!AW150)</f>
        <v>24</v>
      </c>
      <c r="AH151" s="1398">
        <f ca="1">IF(B151&gt;=$J$5,0,(CONTADORES!AM151-CONTADORES!AM150)+(CONTADORES!M151-CONTADORES!M150))</f>
        <v>11</v>
      </c>
      <c r="AI151" s="1397">
        <f ca="1">IF(B151&gt;=$J$5,0,(CONTADORES!AK151-CONTADORES!AK150)+(CONTADORES!O151-CONTADORES!O150))</f>
        <v>34.669999999998254</v>
      </c>
      <c r="AJ151" s="1397">
        <f ca="1">IF(B151&gt;=$J$5,0,(CONTADORES!AI151-CONTADORES!AI150))</f>
        <v>8.6499999999941792</v>
      </c>
      <c r="AK151" s="1397">
        <f ca="1">IF(B151&gt;=$J$5,0,(CONTADORES!Q151-CONTADORES!Q150))</f>
        <v>14.049999999988358</v>
      </c>
      <c r="AL151" s="1398">
        <f t="shared" ca="1" si="78"/>
        <v>31.303000000057239</v>
      </c>
      <c r="AM151" s="1397">
        <f ca="1">IF(B151&gt;=$J$5,0,(((CONTADORES!F151-CONTADORES!F150)+(CONTADORES!AQ151-CONTADORES!AQ150))))-BS151-AF151-AN151-BV151-BY151-CD151-CB151</f>
        <v>10.589999999986318</v>
      </c>
      <c r="AN151" s="1397">
        <f ca="1">IF(B151&gt;=$J$5,0,(CONTADORES!AX151-CONTADORES!AX150)+(CONTADORES!AZ151-CONTADORES!AZ150)+(CONTADORES!BE151-CONTADORES!BE150))-CB151</f>
        <v>1.2279999999997271</v>
      </c>
      <c r="AO151" s="1397">
        <f ca="1">IF(B151&gt;=$J$5,0,(CONTADORES!AC151-CONTADORES!AC150))</f>
        <v>150.78000000002794</v>
      </c>
      <c r="AP151" s="1397">
        <f ca="1">IF(B151&gt;=$J$5,0,(CONTADORES!X151-CONTADORES!X150))</f>
        <v>70</v>
      </c>
      <c r="AQ151" s="1397">
        <f ca="1">IF(B151&gt;=$J$5,0,(CONTADORES!C151-CONTADORES!C150))</f>
        <v>0</v>
      </c>
      <c r="AR151" s="1397">
        <f ca="1">IF(B151&gt;=$J$5,0,(CONTADORES!BC151-CONTADORES!BC150))</f>
        <v>0</v>
      </c>
      <c r="AS151" s="1397">
        <f ca="1">IF(B151&gt;=$J$5,0,CONTADORES!S151-CONTADORES!S150)</f>
        <v>14.349999999976717</v>
      </c>
      <c r="AT151" s="1397">
        <f ca="1">IF(B151&gt;=$J$5,0,(CONTADORES!U151-CONTADORES!U150)+(CONTADORES!AG151-CONTADORES!AG150))</f>
        <v>2.4400000000023283</v>
      </c>
      <c r="AU151" s="1397">
        <f ca="1">IF(B151&gt;=$J$5,0,(CONTADORES!I151-CONTADORES!I150))</f>
        <v>85.5</v>
      </c>
      <c r="AV151" s="1397">
        <f ca="1">IF(B151&gt;=$J$5,0,(CONTADORES!AV151-CONTADORES!AV150))</f>
        <v>63.899999999994179</v>
      </c>
      <c r="AW151" s="1397">
        <f ca="1">IF(B151&gt;=$J$5,0,(CONTADORES!N151-CONTADORES!N150)+(CONTADORES!AN151-CONTADORES!AN150))</f>
        <v>4.2000000000007276</v>
      </c>
      <c r="AX151" s="1397">
        <f ca="1">IF(B151&gt;=$J$5,0,(CONTADORES!P151-CONTADORES!P150)+(CONTADORES!AL151-CONTADORES!AL150))</f>
        <v>29.330000000001746</v>
      </c>
      <c r="AY151" s="1397">
        <f ca="1">IF(B151&gt;=$J$5,0,(CONTADORES!AJ151-CONTADORES!AJ150))</f>
        <v>6.6100000000005821</v>
      </c>
      <c r="AZ151" s="1397">
        <f ca="1">IF(B151&gt;=$J$5,0,(CONTADORES!R151-CONTADORES!R150))</f>
        <v>11.289999999993597</v>
      </c>
      <c r="BA151" s="1398">
        <f t="shared" ca="1" si="79"/>
        <v>3.7830000000324446</v>
      </c>
      <c r="BB151" s="1397">
        <f ca="1">IF(B151&gt;=$J$5,0,(((CONTADORES!G151-CONTADORES!G150)+(CONTADORES!AR151-CONTADORES!AR150)+AR151)-(AV151+BC151)))</f>
        <v>9.7000000000052751</v>
      </c>
      <c r="BC151" s="1397">
        <f ca="1">IF(B151&gt;=$J$5,0,(CONTADORES!AY151-CONTADORES!AY150)+(CONTADORES!BA151-CONTADORES!BA150)+(CONTADORES!BF151-CONTADORES!BF150))</f>
        <v>0</v>
      </c>
      <c r="BD151" s="1397">
        <f t="shared" ca="1" si="80"/>
        <v>220.78000000002794</v>
      </c>
      <c r="BE151" s="1398">
        <f ca="1">IF($B151&gt;=$J$5,0,CONTADORES!$BG151)</f>
        <v>6545.74</v>
      </c>
      <c r="BF151" s="1397">
        <f ca="1">IF($B151&gt;=$J$5,0,CONTADORES!$BH151)</f>
        <v>25277.633333333299</v>
      </c>
      <c r="BG151" s="1397">
        <f ca="1">IF($B151&gt;=$J$5,0,CONTADORES!$BJ151)</f>
        <v>5032.6000000000004</v>
      </c>
      <c r="BH151" s="1397">
        <f ca="1">IF(B151&gt;=$J$5,0,((CONTADORES!BK151-CONTADORES!BK150)/1000))</f>
        <v>0</v>
      </c>
      <c r="BI151" s="1397">
        <f ca="1">IF(B151&gt;=$J$5,0,((CONTADORES!BL151-CONTADORES!BL150)/1000))</f>
        <v>0</v>
      </c>
      <c r="BJ151" s="1397">
        <f ca="1">IF(B151&gt;=$J$5,0,((CONTADORES!BM151-CONTADORES!BM150)/1000))</f>
        <v>0.20599999999999999</v>
      </c>
      <c r="BK151" s="1397">
        <f ca="1">IF(B151&gt;=$J$5,0,((CONTADORES!BN151-CONTADORES!BN150)/1000))</f>
        <v>0.14099999999999999</v>
      </c>
      <c r="BL151" s="1399">
        <f t="shared" ca="1" si="81"/>
        <v>0.20599999999999999</v>
      </c>
      <c r="BM151" s="1399">
        <f t="shared" ca="1" si="82"/>
        <v>0.14099999999999999</v>
      </c>
      <c r="BN151" s="1398">
        <f ca="1">IF(W151&gt;=$J$5,0,CONTADORES!$BO151)</f>
        <v>126.127023187989</v>
      </c>
      <c r="BO151" s="1397">
        <f ca="1">IF(W151&gt;=$J$5,0,CONTADORES!$BP151)</f>
        <v>42.568092991101331</v>
      </c>
      <c r="BP151" s="1397">
        <f ca="1">IF(W151&gt;=$J$5,0,CONTADORES!$BQ151)</f>
        <v>641.93916170546902</v>
      </c>
      <c r="BQ151" s="1397">
        <f ca="1">IF(B151&gt;=$J$5,0,(CONTADORES!AS151-CONTADORES!AS150))</f>
        <v>4.6840000000011059</v>
      </c>
      <c r="BR151" s="1397">
        <f ca="1">IF(B151&gt;=$J$5,0,(CONTADORES!AT151-CONTADORES!AT150))</f>
        <v>0</v>
      </c>
      <c r="BS151" s="1398">
        <f ca="1">IF(B151&gt;=$J$5,0,CONTADORES!BR151-CONTADORES!BR150)/1000</f>
        <v>2.6640000000000001</v>
      </c>
      <c r="BT151" s="1398">
        <f ca="1">IF(B151&gt;=$J$5,0,CONTADORES!BS151-CONTADORES!BS150)</f>
        <v>1</v>
      </c>
      <c r="BU151" s="1398">
        <f ca="1">IF(B151&gt;=$J$5,0,CONTADORES!BT151-CONTADORES!BT150)</f>
        <v>17.599999999998545</v>
      </c>
      <c r="BV151" s="1398">
        <f ca="1">IF(B151&gt;=$J$5,0,CONTADORES!BU151-CONTADORES!BU150)/1000</f>
        <v>4.4109999999999996</v>
      </c>
      <c r="BW151" s="1398">
        <f ca="1">IF(B151&gt;=$J$5,0,CONTADORES!BV151-CONTADORES!BV150)/1000</f>
        <v>0.38</v>
      </c>
      <c r="BX151" s="1398">
        <f ca="1">IF(B151&gt;=$J$5,0,CONTADORES!BW151-CONTADORES!BW150)</f>
        <v>24</v>
      </c>
      <c r="BY151" s="1398">
        <f ca="1">IF(B151&gt;=$J$5,0,CONTADORES!BX151-CONTADORES!BX150)/1000</f>
        <v>0.14499999999999999</v>
      </c>
      <c r="BZ151" s="1398">
        <f ca="1">IF(B151&gt;=$J$5,0,CONTADORES!BY151-CONTADORES!BY150)/1000</f>
        <v>0</v>
      </c>
      <c r="CA151" s="1398">
        <f ca="1">IF(B151&gt;=$J$5,0,CONTADORES!BZ151-CONTADORES!BZ150)</f>
        <v>0.97000000000116415</v>
      </c>
      <c r="CB151" s="1398">
        <f ca="1">IF(B151&gt;=$J$5,0,(CONTADORES!CC151-CONTADORES!CC150)+(CONTADORES!CE151-CONTADORES!CE150))/1000</f>
        <v>1.0720000000000001</v>
      </c>
      <c r="CC151" s="1398">
        <f ca="1">IF(B151&gt;=$J$5,0,(CONTADORES!CD151-CONTADORES!CD150)+(CONTADORES!CF151-CONTADORES!CF150))/1000</f>
        <v>0.65700000000000003</v>
      </c>
      <c r="CD151" s="1398">
        <f ca="1">IF(B151&gt;=$J$5,0,CONTADORES!CA151-CONTADORES!CA150)</f>
        <v>6.3899999999994179</v>
      </c>
      <c r="CE151" s="1398">
        <f ca="1">IF(B151&gt;=$J$5,0,CONTADORES!CB151-CONTADORES!CB150)</f>
        <v>4.4299999999993815</v>
      </c>
      <c r="CF151" s="1398">
        <f t="shared" ca="1" si="83"/>
        <v>11.684999999992577</v>
      </c>
      <c r="CG151" s="1398">
        <f t="shared" ca="1" si="84"/>
        <v>9.2800000000020191</v>
      </c>
      <c r="CH151" s="1398">
        <f t="shared" ca="1" si="85"/>
        <v>5.2949999999931592</v>
      </c>
      <c r="CI151" s="1398">
        <f t="shared" ca="1" si="86"/>
        <v>0.49119999999989084</v>
      </c>
      <c r="CJ151" s="1398">
        <f t="shared" ca="1" si="87"/>
        <v>5.2949999999931592</v>
      </c>
      <c r="CK151" s="1398">
        <f t="shared" ca="1" si="88"/>
        <v>0.73679999999983625</v>
      </c>
      <c r="CL151" s="1398">
        <f t="shared" ca="1" si="89"/>
        <v>1.5631999999998909</v>
      </c>
      <c r="CM151" s="1398">
        <f t="shared" ca="1" si="90"/>
        <v>4.8500000000026375</v>
      </c>
      <c r="CN151" s="1398">
        <f ca="1">IF(B151&gt;=$J$5,0,CONTADORES!CB151-CONTADORES!CB150)</f>
        <v>4.4299999999993815</v>
      </c>
      <c r="CO151" s="1398">
        <f t="shared" ca="1" si="91"/>
        <v>4.8500000000026375</v>
      </c>
      <c r="CP151" s="1398">
        <f t="shared" ca="1" si="92"/>
        <v>0</v>
      </c>
      <c r="CQ151" s="1398">
        <f t="shared" ca="1" si="93"/>
        <v>0</v>
      </c>
      <c r="CR151" s="1398">
        <f t="shared" ca="1" si="94"/>
        <v>0.65700000000000003</v>
      </c>
      <c r="CS151" s="1448">
        <f ca="1">IF($B151&gt;=$J$5,0,CONTADORES!$BI151)</f>
        <v>1369.3191721857199</v>
      </c>
      <c r="CT151" s="1369">
        <f>CONTADORES!E151</f>
        <v>0</v>
      </c>
      <c r="CU151" s="1369">
        <f>CONTADORES!CG151</f>
        <v>0</v>
      </c>
    </row>
    <row r="152" spans="2:99">
      <c r="B152" s="390">
        <v>45068</v>
      </c>
      <c r="C152" s="198">
        <f t="shared" ca="1" si="68"/>
        <v>306.81000000005588</v>
      </c>
      <c r="D152" s="196">
        <f ca="1">'CALCULO DE GAS'!D161</f>
        <v>5.2233757639157989</v>
      </c>
      <c r="E152" s="196">
        <f ca="1">IF(B152&gt;=$J$5,0,(CONTADORES!$AD152-CONTADORES!$AD151)-$H152)</f>
        <v>24</v>
      </c>
      <c r="F152" s="198">
        <f t="shared" ca="1" si="96"/>
        <v>0</v>
      </c>
      <c r="G152" s="196">
        <f ca="1">IF(B152&gt;=$J$5,0,CONTADORES!$AF152-CONTADORES!$AF151)</f>
        <v>0</v>
      </c>
      <c r="H152" s="196">
        <f ca="1">IF(G152&gt;0,CONTADORES!$AE152-CONTADORES!$AE151,0)</f>
        <v>0</v>
      </c>
      <c r="I152" s="199">
        <f ca="1">IF(B152&gt;=$J$5,0,CONTADORES!$AB152-CONTADORES!$AB151)</f>
        <v>306.81000000005588</v>
      </c>
      <c r="J152" s="198">
        <f t="shared" ca="1" si="69"/>
        <v>150.19400000000314</v>
      </c>
      <c r="K152" s="196">
        <f ca="1">'CALCULO DE GAS'!E161</f>
        <v>3.8833478095861365</v>
      </c>
      <c r="L152" s="1396">
        <f ca="1">IF(B152&gt;=$J$5,0,(CONTADORES!$Y152-CONTADORES!$Y151)-$O152)</f>
        <v>24</v>
      </c>
      <c r="M152" s="1396">
        <f t="shared" ca="1" si="95"/>
        <v>0</v>
      </c>
      <c r="N152" s="1396">
        <f ca="1">IF(B152&gt;=$J$5,0,CONTADORES!$AA152-CONTADORES!$AA151)</f>
        <v>0</v>
      </c>
      <c r="O152" s="1396">
        <f ca="1">IF(N152&gt;0,CONTADORES!$Z152-CONTADORES!$Z151,0)</f>
        <v>0</v>
      </c>
      <c r="P152" s="202">
        <f ca="1">IF(B152&gt;=$J$5,0,CONTADORES!$W152-CONTADORES!$W151)</f>
        <v>150.19400000000314</v>
      </c>
      <c r="Q152" s="202">
        <f ca="1">IF(B152&gt;=$J$5,0,CONTADORES!$B152-CONTADORES!$B151)</f>
        <v>0.24500000000011823</v>
      </c>
      <c r="R152" s="196">
        <f t="shared" ca="1" si="70"/>
        <v>29.400000000014188</v>
      </c>
      <c r="S152" s="11">
        <f ca="1">IF(B152&gt;=$J$5,0,CONTADORES!$D152-CONTADORES!$D151)</f>
        <v>0.5</v>
      </c>
      <c r="T152" s="198">
        <f ca="1">IF(B152&gt;=$J$5,0,CONTADORES!$BB152-CONTADORES!$BB151)</f>
        <v>0.40899999999999181</v>
      </c>
      <c r="U152" s="196">
        <f t="shared" ca="1" si="65"/>
        <v>49.079999999999018</v>
      </c>
      <c r="V152" s="199">
        <f ca="1">IF(B152&gt;=$J$5,0,CONTADORES!$BD152-CONTADORES!$BD151)</f>
        <v>0.5</v>
      </c>
      <c r="W152" s="1397">
        <f t="shared" ca="1" si="71"/>
        <v>457.00400000005902</v>
      </c>
      <c r="X152" s="1397">
        <f t="shared" ca="1" si="72"/>
        <v>0.65400000000011005</v>
      </c>
      <c r="Y152" s="1398">
        <f t="shared" ca="1" si="73"/>
        <v>457.65800000005913</v>
      </c>
      <c r="Z152" s="1398">
        <f t="shared" ca="1" si="74"/>
        <v>9.1067235735019345</v>
      </c>
      <c r="AA152" s="1398">
        <f t="shared" ca="1" si="75"/>
        <v>78.480000000013206</v>
      </c>
      <c r="AB152" s="1398">
        <f t="shared" ca="1" si="76"/>
        <v>48</v>
      </c>
      <c r="AC152" s="1397">
        <f t="shared" ca="1" si="77"/>
        <v>1</v>
      </c>
      <c r="AD152" s="1397">
        <f ca="1">IF(B152&gt;=$J$5,0,CONTADORES!H152-CONTADORES!H151)</f>
        <v>178</v>
      </c>
      <c r="AE152" s="1398">
        <f ca="1">IF(B152&gt;=$J$5,0,CONTADORES!J152-CONTADORES!J151)</f>
        <v>24</v>
      </c>
      <c r="AF152" s="1397">
        <f ca="1">IF(B152&gt;=$J$5,0,CONTADORES!AU152-CONTADORES!AU151)</f>
        <v>147.20000000001164</v>
      </c>
      <c r="AG152" s="1398">
        <f ca="1">IF(B152&gt;=$J$5,0,CONTADORES!AW152-CONTADORES!AW151)</f>
        <v>24</v>
      </c>
      <c r="AH152" s="1398">
        <f ca="1">IF(B152&gt;=$J$5,0,(CONTADORES!AM152-CONTADORES!AM151)+(CONTADORES!M152-CONTADORES!M151))</f>
        <v>14.099999999998545</v>
      </c>
      <c r="AI152" s="1397">
        <f ca="1">IF(B152&gt;=$J$5,0,(CONTADORES!AK152-CONTADORES!AK151)+(CONTADORES!O152-CONTADORES!O151))</f>
        <v>32.389999999999418</v>
      </c>
      <c r="AJ152" s="1397">
        <f ca="1">IF(B152&gt;=$J$5,0,(CONTADORES!AI152-CONTADORES!AI151))</f>
        <v>8.6699999999982538</v>
      </c>
      <c r="AK152" s="1397">
        <f ca="1">IF(B152&gt;=$J$5,0,(CONTADORES!Q152-CONTADORES!Q151))</f>
        <v>13.990000000019791</v>
      </c>
      <c r="AL152" s="1398">
        <f t="shared" ca="1" si="78"/>
        <v>40.108000000030813</v>
      </c>
      <c r="AM152" s="1397">
        <f ca="1">IF(B152&gt;=$J$5,0,(((CONTADORES!F152-CONTADORES!F151)+(CONTADORES!AQ152-CONTADORES!AQ151))))-BS152-AF152-AN152-BV152-BY152-CD152-CB152</f>
        <v>7.044000000000092</v>
      </c>
      <c r="AN152" s="1397">
        <f ca="1">IF(B152&gt;=$J$5,0,(CONTADORES!AX152-CONTADORES!AX151)+(CONTADORES!AZ152-CONTADORES!AZ151)+(CONTADORES!BE152-CONTADORES!BE151))-CB152</f>
        <v>1.0220000000002729</v>
      </c>
      <c r="AO152" s="1397">
        <f ca="1">IF(B152&gt;=$J$5,0,(CONTADORES!AC152-CONTADORES!AC151))</f>
        <v>149.75</v>
      </c>
      <c r="AP152" s="1397">
        <f ca="1">IF(B152&gt;=$J$5,0,(CONTADORES!X152-CONTADORES!X151))</f>
        <v>77</v>
      </c>
      <c r="AQ152" s="1397">
        <f ca="1">IF(B152&gt;=$J$5,0,(CONTADORES!C152-CONTADORES!C151))</f>
        <v>0.1169999999999618</v>
      </c>
      <c r="AR152" s="1397">
        <f ca="1">IF(B152&gt;=$J$5,0,(CONTADORES!BC152-CONTADORES!BC151))</f>
        <v>0.15600000000000591</v>
      </c>
      <c r="AS152" s="1397">
        <f ca="1">IF(B152&gt;=$J$5,0,CONTADORES!S152-CONTADORES!S151)</f>
        <v>13.870000000024447</v>
      </c>
      <c r="AT152" s="1397">
        <f ca="1">IF(B152&gt;=$J$5,0,(CONTADORES!U152-CONTADORES!U151)+(CONTADORES!AG152-CONTADORES!AG151))</f>
        <v>2.3899999999994179</v>
      </c>
      <c r="AU152" s="1397">
        <f ca="1">IF(B152&gt;=$J$5,0,(CONTADORES!I152-CONTADORES!I151))</f>
        <v>85.200000000000273</v>
      </c>
      <c r="AV152" s="1397">
        <f ca="1">IF(B152&gt;=$J$5,0,(CONTADORES!AV152-CONTADORES!AV151))</f>
        <v>63.799999999988358</v>
      </c>
      <c r="AW152" s="1397">
        <f ca="1">IF(B152&gt;=$J$5,0,(CONTADORES!N152-CONTADORES!N151)+(CONTADORES!AN152-CONTADORES!AN151))</f>
        <v>5.4000000000014552</v>
      </c>
      <c r="AX152" s="1397">
        <f ca="1">IF(B152&gt;=$J$5,0,(CONTADORES!P152-CONTADORES!P151)+(CONTADORES!AL152-CONTADORES!AL151))</f>
        <v>27.489999999997963</v>
      </c>
      <c r="AY152" s="1397">
        <f ca="1">IF(B152&gt;=$J$5,0,(CONTADORES!AJ152-CONTADORES!AJ151))</f>
        <v>6.6600000000034925</v>
      </c>
      <c r="AZ152" s="1397">
        <f ca="1">IF(B152&gt;=$J$5,0,(CONTADORES!R152-CONTADORES!R151))</f>
        <v>11.070000000006985</v>
      </c>
      <c r="BA152" s="1398">
        <f t="shared" ca="1" si="79"/>
        <v>9.3209999999827744</v>
      </c>
      <c r="BB152" s="1397">
        <f ca="1">IF(B152&gt;=$J$5,0,(((CONTADORES!G152-CONTADORES!G151)+(CONTADORES!AR152-CONTADORES!AR151)+AR152)-(AV152+BC152)))</f>
        <v>10.986000000018123</v>
      </c>
      <c r="BC152" s="1397">
        <f ca="1">IF(B152&gt;=$J$5,0,(CONTADORES!AY152-CONTADORES!AY151)+(CONTADORES!BA152-CONTADORES!BA151)+(CONTADORES!BF152-CONTADORES!BF151))</f>
        <v>0.17000000000007276</v>
      </c>
      <c r="BD152" s="1397">
        <f t="shared" ca="1" si="80"/>
        <v>227.02299999999997</v>
      </c>
      <c r="BE152" s="1398">
        <f ca="1">IF($B152&gt;=$J$5,0,CONTADORES!$BG152)</f>
        <v>6389.46</v>
      </c>
      <c r="BF152" s="1397">
        <f ca="1">IF($B152&gt;=$J$5,0,CONTADORES!$BH152)</f>
        <v>26867.2192982456</v>
      </c>
      <c r="BG152" s="1397">
        <f ca="1">IF($B152&gt;=$J$5,0,CONTADORES!$BJ152)</f>
        <v>4293.07</v>
      </c>
      <c r="BH152" s="1397">
        <f ca="1">IF(B152&gt;=$J$5,0,((CONTADORES!BK152-CONTADORES!BK151)/1000))</f>
        <v>0</v>
      </c>
      <c r="BI152" s="1397">
        <f ca="1">IF(B152&gt;=$J$5,0,((CONTADORES!BL152-CONTADORES!BL151)/1000))</f>
        <v>0</v>
      </c>
      <c r="BJ152" s="1397">
        <f ca="1">IF(B152&gt;=$J$5,0,((CONTADORES!BM152-CONTADORES!BM151)/1000))</f>
        <v>0.216</v>
      </c>
      <c r="BK152" s="1397">
        <f ca="1">IF(B152&gt;=$J$5,0,((CONTADORES!BN152-CONTADORES!BN151)/1000))</f>
        <v>0.13900000000000001</v>
      </c>
      <c r="BL152" s="1399">
        <f t="shared" ca="1" si="81"/>
        <v>0.216</v>
      </c>
      <c r="BM152" s="1399">
        <f t="shared" ca="1" si="82"/>
        <v>0.13900000000000001</v>
      </c>
      <c r="BN152" s="1398">
        <f ca="1">IF(W152&gt;=$J$5,0,CONTADORES!$BO152)</f>
        <v>127.358912652238</v>
      </c>
      <c r="BO152" s="1397">
        <f ca="1">IF(W152&gt;=$J$5,0,CONTADORES!$BP152)</f>
        <v>42.695818945979894</v>
      </c>
      <c r="BP152" s="1397">
        <f ca="1">IF(W152&gt;=$J$5,0,CONTADORES!$BQ152)</f>
        <v>644.12304031523684</v>
      </c>
      <c r="BQ152" s="1397">
        <f ca="1">IF(B152&gt;=$J$5,0,(CONTADORES!AS152-CONTADORES!AS151))</f>
        <v>4.6710000000020955</v>
      </c>
      <c r="BR152" s="1397">
        <f ca="1">IF(B152&gt;=$J$5,0,(CONTADORES!AT152-CONTADORES!AT151))</f>
        <v>0</v>
      </c>
      <c r="BS152" s="1398">
        <f ca="1">IF(B152&gt;=$J$5,0,CONTADORES!BR152-CONTADORES!BR151)/1000</f>
        <v>2.2559999999999998</v>
      </c>
      <c r="BT152" s="1398">
        <f ca="1">IF(B152&gt;=$J$5,0,CONTADORES!BS152-CONTADORES!BS151)</f>
        <v>1</v>
      </c>
      <c r="BU152" s="1398">
        <f ca="1">IF(B152&gt;=$J$5,0,CONTADORES!BT152-CONTADORES!BT151)</f>
        <v>24</v>
      </c>
      <c r="BV152" s="1398">
        <f ca="1">IF(B152&gt;=$J$5,0,CONTADORES!BU152-CONTADORES!BU151)/1000</f>
        <v>4.3040000000000003</v>
      </c>
      <c r="BW152" s="1398">
        <f ca="1">IF(B152&gt;=$J$5,0,CONTADORES!BV152-CONTADORES!BV151)/1000</f>
        <v>0.88300000000000001</v>
      </c>
      <c r="BX152" s="1398">
        <f ca="1">IF(B152&gt;=$J$5,0,CONTADORES!BW152-CONTADORES!BW151)</f>
        <v>24</v>
      </c>
      <c r="BY152" s="1398">
        <f ca="1">IF(B152&gt;=$J$5,0,CONTADORES!BX152-CONTADORES!BX151)/1000</f>
        <v>1.046</v>
      </c>
      <c r="BZ152" s="1398">
        <f ca="1">IF(B152&gt;=$J$5,0,CONTADORES!BY152-CONTADORES!BY151)/1000</f>
        <v>0</v>
      </c>
      <c r="CA152" s="1398">
        <f ca="1">IF(B152&gt;=$J$5,0,CONTADORES!BZ152-CONTADORES!BZ151)</f>
        <v>10.930000000000291</v>
      </c>
      <c r="CB152" s="1398">
        <f ca="1">IF(B152&gt;=$J$5,0,(CONTADORES!CC152-CONTADORES!CC151)+(CONTADORES!CE152-CONTADORES!CE151))/1000</f>
        <v>1.4279999999999999</v>
      </c>
      <c r="CC152" s="1398">
        <f ca="1">IF(B152&gt;=$J$5,0,(CONTADORES!CD152-CONTADORES!CD151)+(CONTADORES!CF152-CONTADORES!CF151))/1000</f>
        <v>0.81299999999999994</v>
      </c>
      <c r="CD152" s="1398">
        <f ca="1">IF(B152&gt;=$J$5,0,CONTADORES!CA152-CONTADORES!CA151)</f>
        <v>6.1000000000003638</v>
      </c>
      <c r="CE152" s="1398">
        <f ca="1">IF(B152&gt;=$J$5,0,CONTADORES!CB152-CONTADORES!CB151)</f>
        <v>4.2300000000004729</v>
      </c>
      <c r="CF152" s="1398">
        <f t="shared" ca="1" si="83"/>
        <v>9.6220000000004102</v>
      </c>
      <c r="CG152" s="1398">
        <f t="shared" ca="1" si="84"/>
        <v>9.7230000000095345</v>
      </c>
      <c r="CH152" s="1398">
        <f t="shared" ca="1" si="85"/>
        <v>3.522000000000046</v>
      </c>
      <c r="CI152" s="1398">
        <f t="shared" ca="1" si="86"/>
        <v>0.40880000000010919</v>
      </c>
      <c r="CJ152" s="1398">
        <f t="shared" ca="1" si="87"/>
        <v>3.522000000000046</v>
      </c>
      <c r="CK152" s="1398">
        <f t="shared" ca="1" si="88"/>
        <v>0.61320000000016373</v>
      </c>
      <c r="CL152" s="1398">
        <f t="shared" ca="1" si="89"/>
        <v>1.836800000000109</v>
      </c>
      <c r="CM152" s="1398">
        <f t="shared" ca="1" si="90"/>
        <v>5.4930000000090615</v>
      </c>
      <c r="CN152" s="1398">
        <f ca="1">IF(B152&gt;=$J$5,0,CONTADORES!CB152-CONTADORES!CB151)</f>
        <v>4.2300000000004729</v>
      </c>
      <c r="CO152" s="1398">
        <f t="shared" ca="1" si="91"/>
        <v>5.4930000000090615</v>
      </c>
      <c r="CP152" s="1398">
        <f t="shared" ca="1" si="92"/>
        <v>8.500000000003638E-2</v>
      </c>
      <c r="CQ152" s="1398">
        <f t="shared" ca="1" si="93"/>
        <v>8.500000000003638E-2</v>
      </c>
      <c r="CR152" s="1398">
        <f t="shared" ca="1" si="94"/>
        <v>0.89800000000003632</v>
      </c>
      <c r="CS152" s="1448">
        <f ca="1">IF($B152&gt;=$J$5,0,CONTADORES!$BI152)</f>
        <v>4026.9658815862999</v>
      </c>
      <c r="CT152" s="1369">
        <f>CONTADORES!E152</f>
        <v>0.2</v>
      </c>
      <c r="CU152" s="1369">
        <f>CONTADORES!CG152</f>
        <v>0.4</v>
      </c>
    </row>
    <row r="153" spans="2:99">
      <c r="B153" s="390">
        <v>45069</v>
      </c>
      <c r="C153" s="198">
        <f t="shared" ca="1" si="68"/>
        <v>246.93999999994412</v>
      </c>
      <c r="D153" s="196">
        <f ca="1">'CALCULO DE GAS'!D162</f>
        <v>4.7111198409843</v>
      </c>
      <c r="E153" s="196">
        <f ca="1">IF(B153&gt;=$J$5,0,(CONTADORES!$AD153-CONTADORES!$AD152)-$H153)</f>
        <v>24</v>
      </c>
      <c r="F153" s="198">
        <f t="shared" ca="1" si="96"/>
        <v>0</v>
      </c>
      <c r="G153" s="196">
        <f ca="1">IF(B153&gt;=$J$5,0,CONTADORES!$AF153-CONTADORES!$AF152)</f>
        <v>0</v>
      </c>
      <c r="H153" s="196">
        <f ca="1">IF(G153&gt;0,CONTADORES!$AE153-CONTADORES!$AE152,0)</f>
        <v>0</v>
      </c>
      <c r="I153" s="199">
        <f ca="1">IF(B153&gt;=$J$5,0,CONTADORES!$AB153-CONTADORES!$AB152)</f>
        <v>246.93999999994412</v>
      </c>
      <c r="J153" s="198">
        <f t="shared" ca="1" si="69"/>
        <v>127.20999999999913</v>
      </c>
      <c r="K153" s="196">
        <f ca="1">'CALCULO DE GAS'!E162</f>
        <v>3.6866935564938088</v>
      </c>
      <c r="L153" s="1396">
        <f ca="1">IF(B153&gt;=$J$5,0,(CONTADORES!$Y153-CONTADORES!$Y152)-$O153)</f>
        <v>24</v>
      </c>
      <c r="M153" s="1396">
        <f t="shared" ca="1" si="95"/>
        <v>0</v>
      </c>
      <c r="N153" s="1396">
        <f ca="1">IF(B153&gt;=$J$5,0,CONTADORES!$AA153-CONTADORES!$AA152)</f>
        <v>0</v>
      </c>
      <c r="O153" s="1396">
        <f ca="1">IF(N153&gt;0,CONTADORES!$Z153-CONTADORES!$Z152,0)</f>
        <v>0</v>
      </c>
      <c r="P153" s="202">
        <f ca="1">IF(B153&gt;=$J$5,0,CONTADORES!$W153-CONTADORES!$W152)</f>
        <v>127.20999999999913</v>
      </c>
      <c r="Q153" s="202">
        <f ca="1">IF(B153&gt;=$J$5,0,CONTADORES!$B153-CONTADORES!$B152)</f>
        <v>0</v>
      </c>
      <c r="R153" s="196">
        <f t="shared" ca="1" si="70"/>
        <v>0</v>
      </c>
      <c r="S153" s="11">
        <f ca="1">IF(B153&gt;=$J$5,0,CONTADORES!$D153-CONTADORES!$D152)</f>
        <v>0</v>
      </c>
      <c r="T153" s="198">
        <f ca="1">IF(B153&gt;=$J$5,0,CONTADORES!$BB153-CONTADORES!$BB152)</f>
        <v>0</v>
      </c>
      <c r="U153" s="196">
        <f t="shared" ca="1" si="65"/>
        <v>0</v>
      </c>
      <c r="V153" s="199">
        <f ca="1">IF(B153&gt;=$J$5,0,CONTADORES!$BD153-CONTADORES!$BD152)</f>
        <v>0</v>
      </c>
      <c r="W153" s="1397">
        <f t="shared" ca="1" si="71"/>
        <v>374.14999999994325</v>
      </c>
      <c r="X153" s="1397">
        <f t="shared" ca="1" si="72"/>
        <v>0</v>
      </c>
      <c r="Y153" s="1398">
        <f t="shared" ca="1" si="73"/>
        <v>374.14999999994325</v>
      </c>
      <c r="Z153" s="1398">
        <f t="shared" ca="1" si="74"/>
        <v>8.3978133974781084</v>
      </c>
      <c r="AA153" s="1398">
        <f t="shared" ca="1" si="75"/>
        <v>0</v>
      </c>
      <c r="AB153" s="1398">
        <f t="shared" ca="1" si="76"/>
        <v>48</v>
      </c>
      <c r="AC153" s="1397">
        <f t="shared" ca="1" si="77"/>
        <v>0</v>
      </c>
      <c r="AD153" s="1397">
        <f ca="1">IF(B153&gt;=$J$5,0,CONTADORES!H153-CONTADORES!H152)</f>
        <v>103.10000000000036</v>
      </c>
      <c r="AE153" s="1398">
        <f ca="1">IF(B153&gt;=$J$5,0,CONTADORES!J153-CONTADORES!J152)</f>
        <v>15</v>
      </c>
      <c r="AF153" s="1397">
        <f ca="1">IF(B153&gt;=$J$5,0,CONTADORES!AU153-CONTADORES!AU152)</f>
        <v>143.20000000001164</v>
      </c>
      <c r="AG153" s="1398">
        <f ca="1">IF(B153&gt;=$J$5,0,CONTADORES!AW153-CONTADORES!AW152)</f>
        <v>24</v>
      </c>
      <c r="AH153" s="1398">
        <f ca="1">IF(B153&gt;=$J$5,0,(CONTADORES!AM153-CONTADORES!AM152)+(CONTADORES!M153-CONTADORES!M152))</f>
        <v>9.0999999999985448</v>
      </c>
      <c r="AI153" s="1397">
        <f ca="1">IF(B153&gt;=$J$5,0,(CONTADORES!AK153-CONTADORES!AK152)+(CONTADORES!O153-CONTADORES!O152))</f>
        <v>32.760000000009313</v>
      </c>
      <c r="AJ153" s="1397">
        <f ca="1">IF(B153&gt;=$J$5,0,(CONTADORES!AI153-CONTADORES!AI152))</f>
        <v>7.9900000000052387</v>
      </c>
      <c r="AK153" s="1397">
        <f ca="1">IF(B153&gt;=$J$5,0,(CONTADORES!Q153-CONTADORES!Q152))</f>
        <v>12.049999999988358</v>
      </c>
      <c r="AL153" s="1398">
        <f t="shared" ca="1" si="78"/>
        <v>35.049999999928275</v>
      </c>
      <c r="AM153" s="1397">
        <f ca="1">IF(B153&gt;=$J$5,0,(((CONTADORES!F153-CONTADORES!F152)+(CONTADORES!AQ153-CONTADORES!AQ152))))-BS153-AF153-AN153-BV153-BY153-CD153-CB153</f>
        <v>12.837000000001993</v>
      </c>
      <c r="AN153" s="1397">
        <f ca="1">IF(B153&gt;=$J$5,0,(CONTADORES!AX153-CONTADORES!AX152)+(CONTADORES!AZ153-CONTADORES!AZ152)+(CONTADORES!BE153-CONTADORES!BE152))-CB153</f>
        <v>3.1339999999998942</v>
      </c>
      <c r="AO153" s="1397">
        <f ca="1">IF(B153&gt;=$J$5,0,(CONTADORES!AC153-CONTADORES!AC152))</f>
        <v>124.36999999999534</v>
      </c>
      <c r="AP153" s="1397">
        <f ca="1">IF(B153&gt;=$J$5,0,(CONTADORES!X153-CONTADORES!X152))</f>
        <v>62</v>
      </c>
      <c r="AQ153" s="1397">
        <f ca="1">IF(B153&gt;=$J$5,0,(CONTADORES!C153-CONTADORES!C152))</f>
        <v>0</v>
      </c>
      <c r="AR153" s="1397">
        <f ca="1">IF(B153&gt;=$J$5,0,(CONTADORES!BC153-CONTADORES!BC152))</f>
        <v>0</v>
      </c>
      <c r="AS153" s="1397">
        <f ca="1">IF(B153&gt;=$J$5,0,CONTADORES!S153-CONTADORES!S152)</f>
        <v>15.10999999998603</v>
      </c>
      <c r="AT153" s="1397">
        <f ca="1">IF(B153&gt;=$J$5,0,(CONTADORES!U153-CONTADORES!U152)+(CONTADORES!AG153-CONTADORES!AG152))</f>
        <v>2.4599999999991269</v>
      </c>
      <c r="AU153" s="1397">
        <f ca="1">IF(B153&gt;=$J$5,0,(CONTADORES!I153-CONTADORES!I152))</f>
        <v>51.099999999999909</v>
      </c>
      <c r="AV153" s="1397">
        <f ca="1">IF(B153&gt;=$J$5,0,(CONTADORES!AV153-CONTADORES!AV152))</f>
        <v>62.100000000005821</v>
      </c>
      <c r="AW153" s="1397">
        <f ca="1">IF(B153&gt;=$J$5,0,(CONTADORES!N153-CONTADORES!N152)+(CONTADORES!AN153-CONTADORES!AN152))</f>
        <v>3.5</v>
      </c>
      <c r="AX153" s="1397">
        <f ca="1">IF(B153&gt;=$J$5,0,(CONTADORES!P153-CONTADORES!P152)+(CONTADORES!AL153-CONTADORES!AL152))</f>
        <v>27.69999999999709</v>
      </c>
      <c r="AY153" s="1397">
        <f ca="1">IF(B153&gt;=$J$5,0,(CONTADORES!AJ153-CONTADORES!AJ152))</f>
        <v>6.0999999999985448</v>
      </c>
      <c r="AZ153" s="1397">
        <f ca="1">IF(B153&gt;=$J$5,0,(CONTADORES!R153-CONTADORES!R152))</f>
        <v>10.039999999993597</v>
      </c>
      <c r="BA153" s="1398">
        <f t="shared" ca="1" si="79"/>
        <v>5.3250000000188891</v>
      </c>
      <c r="BB153" s="1397">
        <f ca="1">IF(B153&gt;=$J$5,0,(((CONTADORES!G153-CONTADORES!G152)+(CONTADORES!AR153-CONTADORES!AR152)+AR153)-(AV153+BC153)))</f>
        <v>11.119999999981928</v>
      </c>
      <c r="BC153" s="1397">
        <f ca="1">IF(B153&gt;=$J$5,0,(CONTADORES!AY153-CONTADORES!AY152)+(CONTADORES!BA153-CONTADORES!BA152)+(CONTADORES!BF153-CONTADORES!BF152))</f>
        <v>2.1800000000000637</v>
      </c>
      <c r="BD153" s="1397">
        <f t="shared" ca="1" si="80"/>
        <v>186.36999999999534</v>
      </c>
      <c r="BE153" s="1398">
        <f ca="1">IF($B153&gt;=$J$5,0,CONTADORES!$BG153)</f>
        <v>5483.98</v>
      </c>
      <c r="BF153" s="1397">
        <f ca="1">IF($B153&gt;=$J$5,0,CONTADORES!$BH153)</f>
        <v>29353.9385964912</v>
      </c>
      <c r="BG153" s="1397">
        <f ca="1">IF($B153&gt;=$J$5,0,CONTADORES!$BJ153)</f>
        <v>3518.36</v>
      </c>
      <c r="BH153" s="1397">
        <f ca="1">IF(B153&gt;=$J$5,0,((CONTADORES!BK153-CONTADORES!BK152)/1000))</f>
        <v>0.104</v>
      </c>
      <c r="BI153" s="1397">
        <f ca="1">IF(B153&gt;=$J$5,0,((CONTADORES!BL153-CONTADORES!BL152)/1000))</f>
        <v>0.123</v>
      </c>
      <c r="BJ153" s="1397">
        <f ca="1">IF(B153&gt;=$J$5,0,((CONTADORES!BM153-CONTADORES!BM152)/1000))</f>
        <v>0.21199999999999999</v>
      </c>
      <c r="BK153" s="1397">
        <f ca="1">IF(B153&gt;=$J$5,0,((CONTADORES!BN153-CONTADORES!BN152)/1000))</f>
        <v>0.125</v>
      </c>
      <c r="BL153" s="1399">
        <f t="shared" ca="1" si="81"/>
        <v>0.316</v>
      </c>
      <c r="BM153" s="1399">
        <f t="shared" ca="1" si="82"/>
        <v>0.248</v>
      </c>
      <c r="BN153" s="1398">
        <f ca="1">IF(W153&gt;=$J$5,0,CONTADORES!$BO153)</f>
        <v>127.39522803069747</v>
      </c>
      <c r="BO153" s="1397">
        <f ca="1">IF(W153&gt;=$J$5,0,CONTADORES!$BP153)</f>
        <v>42.985598180893739</v>
      </c>
      <c r="BP153" s="1397">
        <f ca="1">IF(W153&gt;=$J$5,0,CONTADORES!$BQ153)</f>
        <v>641.0294303915266</v>
      </c>
      <c r="BQ153" s="1397">
        <f ca="1">IF(B153&gt;=$J$5,0,(CONTADORES!AS153-CONTADORES!AS152))</f>
        <v>5.7529999999969732</v>
      </c>
      <c r="BR153" s="1397">
        <f ca="1">IF(B153&gt;=$J$5,0,(CONTADORES!AT153-CONTADORES!AT152))</f>
        <v>0</v>
      </c>
      <c r="BS153" s="1398">
        <f ca="1">IF(B153&gt;=$J$5,0,CONTADORES!BR153-CONTADORES!BR152)/1000</f>
        <v>2.4180000000000001</v>
      </c>
      <c r="BT153" s="1398">
        <f ca="1">IF(B153&gt;=$J$5,0,CONTADORES!BS153-CONTADORES!BS152)</f>
        <v>1</v>
      </c>
      <c r="BU153" s="1398">
        <f ca="1">IF(B153&gt;=$J$5,0,CONTADORES!BT153-CONTADORES!BT152)</f>
        <v>24</v>
      </c>
      <c r="BV153" s="1398">
        <f ca="1">IF(B153&gt;=$J$5,0,CONTADORES!BU153-CONTADORES!BU152)/1000</f>
        <v>4.4550000000000001</v>
      </c>
      <c r="BW153" s="1398">
        <f ca="1">IF(B153&gt;=$J$5,0,CONTADORES!BV153-CONTADORES!BV152)/1000</f>
        <v>0.74099999999999999</v>
      </c>
      <c r="BX153" s="1398">
        <f ca="1">IF(B153&gt;=$J$5,0,CONTADORES!BW153-CONTADORES!BW152)</f>
        <v>24</v>
      </c>
      <c r="BY153" s="1398">
        <f ca="1">IF(B153&gt;=$J$5,0,CONTADORES!BX153-CONTADORES!BX152)/1000</f>
        <v>0</v>
      </c>
      <c r="BZ153" s="1398">
        <f ca="1">IF(B153&gt;=$J$5,0,CONTADORES!BY153-CONTADORES!BY152)/1000</f>
        <v>0</v>
      </c>
      <c r="CA153" s="1398">
        <f ca="1">IF(B153&gt;=$J$5,0,CONTADORES!BZ153-CONTADORES!BZ152)</f>
        <v>0</v>
      </c>
      <c r="CB153" s="1398">
        <f ca="1">IF(B153&gt;=$J$5,0,(CONTADORES!CC153-CONTADORES!CC152)+(CONTADORES!CE153-CONTADORES!CE152))/1000</f>
        <v>1.5760000000000001</v>
      </c>
      <c r="CC153" s="1398">
        <f ca="1">IF(B153&gt;=$J$5,0,(CONTADORES!CD153-CONTADORES!CD152)+(CONTADORES!CF153-CONTADORES!CF152))/1000</f>
        <v>0.90400000000000003</v>
      </c>
      <c r="CD153" s="1398">
        <f ca="1">IF(B153&gt;=$J$5,0,CONTADORES!CA153-CONTADORES!CA152)</f>
        <v>6.4799999999995634</v>
      </c>
      <c r="CE153" s="1398">
        <f ca="1">IF(B153&gt;=$J$5,0,CONTADORES!CB153-CONTADORES!CB152)</f>
        <v>4.5599999999994907</v>
      </c>
      <c r="CF153" s="1398">
        <f t="shared" ca="1" si="83"/>
        <v>12.89850000000056</v>
      </c>
      <c r="CG153" s="1398">
        <f t="shared" ca="1" si="84"/>
        <v>10.119999999990455</v>
      </c>
      <c r="CH153" s="1398">
        <f t="shared" ca="1" si="85"/>
        <v>6.4185000000009964</v>
      </c>
      <c r="CI153" s="1398">
        <f t="shared" ca="1" si="86"/>
        <v>1.2535999999999579</v>
      </c>
      <c r="CJ153" s="1398">
        <f t="shared" ca="1" si="87"/>
        <v>6.4185000000009964</v>
      </c>
      <c r="CK153" s="1398">
        <f t="shared" ca="1" si="88"/>
        <v>1.8803999999999363</v>
      </c>
      <c r="CL153" s="1398">
        <f t="shared" ca="1" si="89"/>
        <v>2.8295999999999579</v>
      </c>
      <c r="CM153" s="1398">
        <f t="shared" ca="1" si="90"/>
        <v>5.5599999999909642</v>
      </c>
      <c r="CN153" s="1398">
        <f ca="1">IF(B153&gt;=$J$5,0,CONTADORES!CB153-CONTADORES!CB152)</f>
        <v>4.5599999999994907</v>
      </c>
      <c r="CO153" s="1398">
        <f t="shared" ca="1" si="91"/>
        <v>5.5599999999909642</v>
      </c>
      <c r="CP153" s="1398">
        <f t="shared" ca="1" si="92"/>
        <v>1.0900000000000318</v>
      </c>
      <c r="CQ153" s="1398">
        <f t="shared" ca="1" si="93"/>
        <v>1.0900000000000318</v>
      </c>
      <c r="CR153" s="1398">
        <f t="shared" ca="1" si="94"/>
        <v>1.9940000000000317</v>
      </c>
      <c r="CS153" s="1448">
        <f ca="1">IF($B153&gt;=$J$5,0,CONTADORES!$BI153)</f>
        <v>16392.339300860302</v>
      </c>
      <c r="CT153" s="1369">
        <f>CONTADORES!E153</f>
        <v>0</v>
      </c>
      <c r="CU153" s="1369">
        <f>CONTADORES!CG153</f>
        <v>0</v>
      </c>
    </row>
    <row r="154" spans="2:99">
      <c r="B154" s="390">
        <v>45070</v>
      </c>
      <c r="C154" s="198">
        <f t="shared" ca="1" si="68"/>
        <v>166</v>
      </c>
      <c r="D154" s="196">
        <f ca="1">'CALCULO DE GAS'!D163</f>
        <v>4.018586111203617</v>
      </c>
      <c r="E154" s="196">
        <f ca="1">IF(B154&gt;=$J$5,0,(CONTADORES!$AD154-CONTADORES!$AD153)-$H154)</f>
        <v>24</v>
      </c>
      <c r="F154" s="198">
        <f t="shared" ca="1" si="96"/>
        <v>0</v>
      </c>
      <c r="G154" s="196">
        <f ca="1">IF(B154&gt;=$J$5,0,CONTADORES!$AF154-CONTADORES!$AF153)</f>
        <v>0</v>
      </c>
      <c r="H154" s="196">
        <f ca="1">IF(G154&gt;0,CONTADORES!$AE154-CONTADORES!$AE153,0)</f>
        <v>0</v>
      </c>
      <c r="I154" s="199">
        <f ca="1">IF(B154&gt;=$J$5,0,CONTADORES!$AB154-CONTADORES!$AB153)</f>
        <v>166</v>
      </c>
      <c r="J154" s="198">
        <f t="shared" ca="1" si="69"/>
        <v>84</v>
      </c>
      <c r="K154" s="196">
        <f ca="1">'CALCULO DE GAS'!E163</f>
        <v>3.3169828761893441</v>
      </c>
      <c r="L154" s="1396">
        <f ca="1">IF(B154&gt;=$J$5,0,(CONTADORES!$Y154-CONTADORES!$Y153)-$O154)</f>
        <v>24</v>
      </c>
      <c r="M154" s="1396">
        <f t="shared" ca="1" si="95"/>
        <v>0</v>
      </c>
      <c r="N154" s="1396">
        <f ca="1">IF(B154&gt;=$J$5,0,CONTADORES!$AA154-CONTADORES!$AA153)</f>
        <v>0</v>
      </c>
      <c r="O154" s="1396">
        <f ca="1">IF(N154&gt;0,CONTADORES!$Z154-CONTADORES!$Z153,0)</f>
        <v>0</v>
      </c>
      <c r="P154" s="202">
        <f ca="1">IF(B154&gt;=$J$5,0,CONTADORES!$W154-CONTADORES!$W153)</f>
        <v>84</v>
      </c>
      <c r="Q154" s="202">
        <f ca="1">IF(B154&gt;=$J$5,0,CONTADORES!$B154-CONTADORES!$B153)</f>
        <v>0</v>
      </c>
      <c r="R154" s="196">
        <f t="shared" ca="1" si="70"/>
        <v>0</v>
      </c>
      <c r="S154" s="11">
        <f ca="1">IF(B154&gt;=$J$5,0,CONTADORES!$D154-CONTADORES!$D153)</f>
        <v>0</v>
      </c>
      <c r="T154" s="198">
        <f ca="1">IF(B154&gt;=$J$5,0,CONTADORES!$BB154-CONTADORES!$BB153)</f>
        <v>0</v>
      </c>
      <c r="U154" s="196">
        <f t="shared" ca="1" si="65"/>
        <v>0</v>
      </c>
      <c r="V154" s="199">
        <f ca="1">IF(B154&gt;=$J$5,0,CONTADORES!$BD154-CONTADORES!$BD153)</f>
        <v>0</v>
      </c>
      <c r="W154" s="1397">
        <f t="shared" ca="1" si="71"/>
        <v>250</v>
      </c>
      <c r="X154" s="1397">
        <f t="shared" ca="1" si="72"/>
        <v>0</v>
      </c>
      <c r="Y154" s="1398">
        <f t="shared" ca="1" si="73"/>
        <v>250</v>
      </c>
      <c r="Z154" s="1398">
        <f t="shared" ca="1" si="74"/>
        <v>7.3355689873929606</v>
      </c>
      <c r="AA154" s="1398">
        <f t="shared" ca="1" si="75"/>
        <v>0</v>
      </c>
      <c r="AB154" s="1398">
        <f t="shared" ca="1" si="76"/>
        <v>48</v>
      </c>
      <c r="AC154" s="1397">
        <f t="shared" ca="1" si="77"/>
        <v>0</v>
      </c>
      <c r="AD154" s="1397">
        <f ca="1">IF(B154&gt;=$J$5,0,CONTADORES!H154-CONTADORES!H153)</f>
        <v>0</v>
      </c>
      <c r="AE154" s="1398">
        <f ca="1">IF(B154&gt;=$J$5,0,CONTADORES!J154-CONTADORES!J153)</f>
        <v>0</v>
      </c>
      <c r="AF154" s="1397">
        <f ca="1">IF(B154&gt;=$J$5,0,CONTADORES!AU154-CONTADORES!AU153)</f>
        <v>134</v>
      </c>
      <c r="AG154" s="1398">
        <f ca="1">IF(B154&gt;=$J$5,0,CONTADORES!AW154-CONTADORES!AW153)</f>
        <v>24</v>
      </c>
      <c r="AH154" s="1398">
        <f ca="1">IF(B154&gt;=$J$5,0,(CONTADORES!AM154-CONTADORES!AM153)+(CONTADORES!M154-CONTADORES!M153))</f>
        <v>5.2000000000043656</v>
      </c>
      <c r="AI154" s="1397">
        <f ca="1">IF(B154&gt;=$J$5,0,(CONTADORES!AK154-CONTADORES!AK153)+(CONTADORES!O154-CONTADORES!O153))</f>
        <v>34.80000000000291</v>
      </c>
      <c r="AJ154" s="1397">
        <f ca="1">IF(B154&gt;=$J$5,0,(CONTADORES!AI154-CONTADORES!AI153))</f>
        <v>5.3000000000029104</v>
      </c>
      <c r="AK154" s="1397">
        <f ca="1">IF(B154&gt;=$J$5,0,(CONTADORES!Q154-CONTADORES!Q153))</f>
        <v>12</v>
      </c>
      <c r="AL154" s="1398">
        <f t="shared" ca="1" si="78"/>
        <v>31.599999999991297</v>
      </c>
      <c r="AM154" s="1397">
        <f ca="1">IF(B154&gt;=$J$5,0,(((CONTADORES!F154-CONTADORES!F153)+(CONTADORES!AQ154-CONTADORES!AQ153))))-BS154-AF154-AN154-BV154-BY154-CD154-CB154</f>
        <v>9.7829999999969139</v>
      </c>
      <c r="AN154" s="1397">
        <f ca="1">IF(B154&gt;=$J$5,0,(CONTADORES!AX154-CONTADORES!AX153)+(CONTADORES!AZ154-CONTADORES!AZ153)+(CONTADORES!BE154-CONTADORES!BE153))-CB154</f>
        <v>2.9560000000005457</v>
      </c>
      <c r="AO154" s="1397">
        <f ca="1">IF(B154&gt;=$J$5,0,(CONTADORES!AC154-CONTADORES!AC153))</f>
        <v>85</v>
      </c>
      <c r="AP154" s="1397">
        <f ca="1">IF(B154&gt;=$J$5,0,(CONTADORES!X154-CONTADORES!X153))</f>
        <v>44</v>
      </c>
      <c r="AQ154" s="1397">
        <f ca="1">IF(B154&gt;=$J$5,0,(CONTADORES!C154-CONTADORES!C153))</f>
        <v>0</v>
      </c>
      <c r="AR154" s="1397">
        <f ca="1">IF(B154&gt;=$J$5,0,(CONTADORES!BC154-CONTADORES!BC153))</f>
        <v>0</v>
      </c>
      <c r="AS154" s="1397">
        <f ca="1">IF(B154&gt;=$J$5,0,CONTADORES!S154-CONTADORES!S153)</f>
        <v>15</v>
      </c>
      <c r="AT154" s="1397">
        <f ca="1">IF(B154&gt;=$J$5,0,(CONTADORES!U154-CONTADORES!U153)+(CONTADORES!AG154-CONTADORES!AG153))</f>
        <v>2.5</v>
      </c>
      <c r="AU154" s="1397">
        <f ca="1">IF(B154&gt;=$J$5,0,(CONTADORES!I154-CONTADORES!I153))</f>
        <v>0</v>
      </c>
      <c r="AV154" s="1397">
        <f ca="1">IF(B154&gt;=$J$5,0,(CONTADORES!AV154-CONTADORES!AV153))</f>
        <v>59</v>
      </c>
      <c r="AW154" s="1397">
        <f ca="1">IF(B154&gt;=$J$5,0,(CONTADORES!N154-CONTADORES!N153)+(CONTADORES!AN154-CONTADORES!AN153))</f>
        <v>2.0999999999985448</v>
      </c>
      <c r="AX154" s="1397">
        <f ca="1">IF(B154&gt;=$J$5,0,(CONTADORES!P154-CONTADORES!P153)+(CONTADORES!AL154-CONTADORES!AL153))</f>
        <v>29.80000000000291</v>
      </c>
      <c r="AY154" s="1397">
        <f ca="1">IF(B154&gt;=$J$5,0,(CONTADORES!AJ154-CONTADORES!AJ153))</f>
        <v>4</v>
      </c>
      <c r="AZ154" s="1397">
        <f ca="1">IF(B154&gt;=$J$5,0,(CONTADORES!R154-CONTADORES!R153))</f>
        <v>9</v>
      </c>
      <c r="BA154" s="1398">
        <f t="shared" ca="1" si="79"/>
        <v>6.9429999999979941</v>
      </c>
      <c r="BB154" s="1397">
        <f ca="1">IF(B154&gt;=$J$5,0,(((CONTADORES!G154-CONTADORES!G153)+(CONTADORES!AR154-CONTADORES!AR153)+AR154)-(AV154+BC154)))</f>
        <v>9.2999999999997272</v>
      </c>
      <c r="BC154" s="1397">
        <f ca="1">IF(B154&gt;=$J$5,0,(CONTADORES!AY154-CONTADORES!AY153)+(CONTADORES!BA154-CONTADORES!BA153)+(CONTADORES!BF154-CONTADORES!BF153))</f>
        <v>2.2000000000002728</v>
      </c>
      <c r="BD154" s="1397">
        <f t="shared" ca="1" si="80"/>
        <v>129</v>
      </c>
      <c r="BE154" s="1398">
        <f ca="1">IF($B154&gt;=$J$5,0,CONTADORES!$BG154)</f>
        <v>5710.47</v>
      </c>
      <c r="BF154" s="1397">
        <f ca="1">IF($B154&gt;=$J$5,0,CONTADORES!$BH154)</f>
        <v>26294.419298245601</v>
      </c>
      <c r="BG154" s="1397">
        <f ca="1">IF($B154&gt;=$J$5,0,CONTADORES!$BJ154)</f>
        <v>4110.7299999999996</v>
      </c>
      <c r="BH154" s="1397">
        <f ca="1">IF(B154&gt;=$J$5,0,((CONTADORES!BK154-CONTADORES!BK153)/1000))</f>
        <v>0.311</v>
      </c>
      <c r="BI154" s="1397">
        <f ca="1">IF(B154&gt;=$J$5,0,((CONTADORES!BL154-CONTADORES!BL153)/1000))</f>
        <v>0.20100000000000001</v>
      </c>
      <c r="BJ154" s="1397">
        <f ca="1">IF(B154&gt;=$J$5,0,((CONTADORES!BM154-CONTADORES!BM153)/1000))</f>
        <v>0</v>
      </c>
      <c r="BK154" s="1397">
        <f ca="1">IF(B154&gt;=$J$5,0,((CONTADORES!BN154-CONTADORES!BN153)/1000))</f>
        <v>0</v>
      </c>
      <c r="BL154" s="1399">
        <f t="shared" ca="1" si="81"/>
        <v>0.311</v>
      </c>
      <c r="BM154" s="1399">
        <f t="shared" ca="1" si="82"/>
        <v>0.20100000000000001</v>
      </c>
      <c r="BN154" s="1398">
        <f ca="1">IF(W154&gt;=$J$5,0,CONTADORES!$BO154)</f>
        <v>127</v>
      </c>
      <c r="BO154" s="1397">
        <f ca="1">IF(W154&gt;=$J$5,0,CONTADORES!$BP154)</f>
        <v>42.981000000000002</v>
      </c>
      <c r="BP154" s="1397">
        <f ca="1">IF(W154&gt;=$J$5,0,CONTADORES!$BQ154)</f>
        <v>646</v>
      </c>
      <c r="BQ154" s="1397">
        <f ca="1">IF(B154&gt;=$J$5,0,(CONTADORES!AS154-CONTADORES!AS153))</f>
        <v>5</v>
      </c>
      <c r="BR154" s="1397">
        <f ca="1">IF(B154&gt;=$J$5,0,(CONTADORES!AT154-CONTADORES!AT153))</f>
        <v>0</v>
      </c>
      <c r="BS154" s="1398">
        <f ca="1">IF(B154&gt;=$J$5,0,CONTADORES!BR154-CONTADORES!BR153)/1000</f>
        <v>2.1</v>
      </c>
      <c r="BT154" s="1398">
        <f ca="1">IF(B154&gt;=$J$5,0,CONTADORES!BS154-CONTADORES!BS153)</f>
        <v>1</v>
      </c>
      <c r="BU154" s="1398">
        <f ca="1">IF(B154&gt;=$J$5,0,CONTADORES!BT154-CONTADORES!BT153)</f>
        <v>24</v>
      </c>
      <c r="BV154" s="1398">
        <f ca="1">IF(B154&gt;=$J$5,0,CONTADORES!BU154-CONTADORES!BU153)/1000</f>
        <v>4.0170000000000003</v>
      </c>
      <c r="BW154" s="1398">
        <f ca="1">IF(B154&gt;=$J$5,0,CONTADORES!BV154-CONTADORES!BV153)/1000</f>
        <v>0.18</v>
      </c>
      <c r="BX154" s="1398">
        <f ca="1">IF(B154&gt;=$J$5,0,CONTADORES!BW154-CONTADORES!BW153)</f>
        <v>24</v>
      </c>
      <c r="BY154" s="1398">
        <f ca="1">IF(B154&gt;=$J$5,0,CONTADORES!BX154-CONTADORES!BX153)/1000</f>
        <v>0</v>
      </c>
      <c r="BZ154" s="1398">
        <f ca="1">IF(B154&gt;=$J$5,0,CONTADORES!BY154-CONTADORES!BY153)/1000</f>
        <v>0</v>
      </c>
      <c r="CA154" s="1398">
        <f ca="1">IF(B154&gt;=$J$5,0,CONTADORES!BZ154-CONTADORES!BZ153)</f>
        <v>0</v>
      </c>
      <c r="CB154" s="1398">
        <f ca="1">IF(B154&gt;=$J$5,0,(CONTADORES!CC154-CONTADORES!CC153)+(CONTADORES!CE154-CONTADORES!CE153))/1000</f>
        <v>1.944</v>
      </c>
      <c r="CC154" s="1398">
        <f ca="1">IF(B154&gt;=$J$5,0,(CONTADORES!CD154-CONTADORES!CD153)+(CONTADORES!CF154-CONTADORES!CF153))/1000</f>
        <v>1.077</v>
      </c>
      <c r="CD154" s="1398">
        <f ca="1">IF(B154&gt;=$J$5,0,CONTADORES!CA154-CONTADORES!CA153)</f>
        <v>6.3000000000010914</v>
      </c>
      <c r="CE154" s="1398">
        <f ca="1">IF(B154&gt;=$J$5,0,CONTADORES!CB154-CONTADORES!CB153)</f>
        <v>4.4000000000005457</v>
      </c>
      <c r="CF154" s="1398">
        <f t="shared" ca="1" si="83"/>
        <v>11.191499999999548</v>
      </c>
      <c r="CG154" s="1398">
        <f t="shared" ca="1" si="84"/>
        <v>9.0500000000004093</v>
      </c>
      <c r="CH154" s="1398">
        <f t="shared" ca="1" si="85"/>
        <v>4.891499999998457</v>
      </c>
      <c r="CI154" s="1398">
        <f t="shared" ca="1" si="86"/>
        <v>1.1824000000002184</v>
      </c>
      <c r="CJ154" s="1398">
        <f t="shared" ca="1" si="87"/>
        <v>4.891499999998457</v>
      </c>
      <c r="CK154" s="1398">
        <f t="shared" ca="1" si="88"/>
        <v>1.7736000000003274</v>
      </c>
      <c r="CL154" s="1398">
        <f t="shared" ca="1" si="89"/>
        <v>3.1264000000002183</v>
      </c>
      <c r="CM154" s="1398">
        <f t="shared" ca="1" si="90"/>
        <v>4.6499999999998636</v>
      </c>
      <c r="CN154" s="1398">
        <f ca="1">IF(B154&gt;=$J$5,0,CONTADORES!CB154-CONTADORES!CB153)</f>
        <v>4.4000000000005457</v>
      </c>
      <c r="CO154" s="1398">
        <f t="shared" ca="1" si="91"/>
        <v>4.6499999999998636</v>
      </c>
      <c r="CP154" s="1398">
        <f t="shared" ca="1" si="92"/>
        <v>1.1000000000001364</v>
      </c>
      <c r="CQ154" s="1398">
        <f t="shared" ca="1" si="93"/>
        <v>1.1000000000001364</v>
      </c>
      <c r="CR154" s="1398">
        <f t="shared" ca="1" si="94"/>
        <v>2.1770000000001364</v>
      </c>
      <c r="CS154" s="1448">
        <f ca="1">IF($B154&gt;=$J$5,0,CONTADORES!$BI154)</f>
        <v>13235.0252605852</v>
      </c>
      <c r="CT154" s="1369">
        <f>CONTADORES!E154</f>
        <v>0</v>
      </c>
      <c r="CU154" s="1369">
        <f>CONTADORES!CG154</f>
        <v>0</v>
      </c>
    </row>
    <row r="155" spans="2:99">
      <c r="B155" s="390">
        <v>45071</v>
      </c>
      <c r="C155" s="198">
        <f t="shared" ca="1" si="68"/>
        <v>188</v>
      </c>
      <c r="D155" s="196">
        <f ca="1">'CALCULO DE GAS'!D164</f>
        <v>4.2068211254757388</v>
      </c>
      <c r="E155" s="196">
        <f ca="1">IF(B155&gt;=$J$5,0,(CONTADORES!$AD155-CONTADORES!$AD154)-$H155)</f>
        <v>24</v>
      </c>
      <c r="F155" s="198">
        <f t="shared" ca="1" si="96"/>
        <v>0</v>
      </c>
      <c r="G155" s="196">
        <f ca="1">IF(B155&gt;=$J$5,0,CONTADORES!$AF155-CONTADORES!$AF154)</f>
        <v>0</v>
      </c>
      <c r="H155" s="196">
        <f ca="1">IF(G155&gt;0,CONTADORES!$AE155-CONTADORES!$AE154,0)</f>
        <v>0</v>
      </c>
      <c r="I155" s="199">
        <f ca="1">IF(B155&gt;=$J$5,0,CONTADORES!$AB155-CONTADORES!$AB154)</f>
        <v>188</v>
      </c>
      <c r="J155" s="198">
        <f t="shared" ca="1" si="69"/>
        <v>84</v>
      </c>
      <c r="K155" s="196">
        <f ca="1">'CALCULO DE GAS'!E164</f>
        <v>3.3169828761893441</v>
      </c>
      <c r="L155" s="1396">
        <f ca="1">IF(B155&gt;=$J$5,0,(CONTADORES!$Y155-CONTADORES!$Y154)-$O155)</f>
        <v>24</v>
      </c>
      <c r="M155" s="1396">
        <f t="shared" ca="1" si="95"/>
        <v>0</v>
      </c>
      <c r="N155" s="1396">
        <f ca="1">IF(B155&gt;=$J$5,0,CONTADORES!$AA155-CONTADORES!$AA154)</f>
        <v>0</v>
      </c>
      <c r="O155" s="1396">
        <f ca="1">IF(N155&gt;0,CONTADORES!$Z155-CONTADORES!$Z154,0)</f>
        <v>0</v>
      </c>
      <c r="P155" s="202">
        <f ca="1">IF(B155&gt;=$J$5,0,CONTADORES!$W155-CONTADORES!$W154)</f>
        <v>84</v>
      </c>
      <c r="Q155" s="202">
        <f ca="1">IF(B155&gt;=$J$5,0,CONTADORES!$B155-CONTADORES!$B154)</f>
        <v>0</v>
      </c>
      <c r="R155" s="196">
        <f t="shared" ca="1" si="70"/>
        <v>0</v>
      </c>
      <c r="S155" s="11">
        <f ca="1">IF(B155&gt;=$J$5,0,CONTADORES!$D155-CONTADORES!$D154)</f>
        <v>0</v>
      </c>
      <c r="T155" s="198">
        <f ca="1">IF(B155&gt;=$J$5,0,CONTADORES!$BB155-CONTADORES!$BB154)</f>
        <v>0</v>
      </c>
      <c r="U155" s="196">
        <f t="shared" ca="1" si="65"/>
        <v>0</v>
      </c>
      <c r="V155" s="199">
        <f ca="1">IF(B155&gt;=$J$5,0,CONTADORES!$BD155-CONTADORES!$BD154)</f>
        <v>0</v>
      </c>
      <c r="W155" s="1397">
        <f t="shared" ca="1" si="71"/>
        <v>272</v>
      </c>
      <c r="X155" s="1397">
        <f t="shared" ca="1" si="72"/>
        <v>0</v>
      </c>
      <c r="Y155" s="1398">
        <f t="shared" ca="1" si="73"/>
        <v>272</v>
      </c>
      <c r="Z155" s="1398">
        <f t="shared" ca="1" si="74"/>
        <v>7.5238040016650825</v>
      </c>
      <c r="AA155" s="1398">
        <f t="shared" ca="1" si="75"/>
        <v>0</v>
      </c>
      <c r="AB155" s="1398">
        <f t="shared" ca="1" si="76"/>
        <v>48</v>
      </c>
      <c r="AC155" s="1397">
        <f t="shared" ca="1" si="77"/>
        <v>0</v>
      </c>
      <c r="AD155" s="1397">
        <f ca="1">IF(B155&gt;=$J$5,0,CONTADORES!H155-CONTADORES!H154)</f>
        <v>0</v>
      </c>
      <c r="AE155" s="1398">
        <f ca="1">IF(B155&gt;=$J$5,0,CONTADORES!J155-CONTADORES!J154)</f>
        <v>0</v>
      </c>
      <c r="AF155" s="1397">
        <f ca="1">IF(B155&gt;=$J$5,0,CONTADORES!AU155-CONTADORES!AU154)</f>
        <v>147</v>
      </c>
      <c r="AG155" s="1398">
        <f ca="1">IF(B155&gt;=$J$5,0,CONTADORES!AW155-CONTADORES!AW154)</f>
        <v>24</v>
      </c>
      <c r="AH155" s="1398">
        <f ca="1">IF(B155&gt;=$J$5,0,(CONTADORES!AM155-CONTADORES!AM154)+(CONTADORES!M155-CONTADORES!M154))</f>
        <v>9.0999999999985448</v>
      </c>
      <c r="AI155" s="1397">
        <f ca="1">IF(B155&gt;=$J$5,0,(CONTADORES!AK155-CONTADORES!AK154)+(CONTADORES!O155-CONTADORES!O154))</f>
        <v>36.399999999994179</v>
      </c>
      <c r="AJ155" s="1397">
        <f ca="1">IF(B155&gt;=$J$5,0,(CONTADORES!AI155-CONTADORES!AI154))</f>
        <v>6.3000000000029104</v>
      </c>
      <c r="AK155" s="1397">
        <f ca="1">IF(B155&gt;=$J$5,0,(CONTADORES!Q155-CONTADORES!Q154))</f>
        <v>11</v>
      </c>
      <c r="AL155" s="1398">
        <f t="shared" ca="1" si="78"/>
        <v>33.600000000002183</v>
      </c>
      <c r="AM155" s="1397">
        <f ca="1">IF(B155&gt;=$J$5,0,(((CONTADORES!F155-CONTADORES!F154)+(CONTADORES!AQ155-CONTADORES!AQ154))))-BS155-AF155-AN155-BV155-BY155-CD155-CB155</f>
        <v>10.510000000003453</v>
      </c>
      <c r="AN155" s="1397">
        <f ca="1">IF(B155&gt;=$J$5,0,(CONTADORES!AX155-CONTADORES!AX154)+(CONTADORES!AZ155-CONTADORES!AZ154)+(CONTADORES!BE155-CONTADORES!BE154))-CB155</f>
        <v>4.1589999999994545</v>
      </c>
      <c r="AO155" s="1397">
        <f ca="1">IF(B155&gt;=$J$5,0,(CONTADORES!AC155-CONTADORES!AC154))</f>
        <v>97</v>
      </c>
      <c r="AP155" s="1397">
        <f ca="1">IF(B155&gt;=$J$5,0,(CONTADORES!X155-CONTADORES!X154))</f>
        <v>41</v>
      </c>
      <c r="AQ155" s="1397">
        <f ca="1">IF(B155&gt;=$J$5,0,(CONTADORES!C155-CONTADORES!C154))</f>
        <v>0</v>
      </c>
      <c r="AR155" s="1397">
        <f ca="1">IF(B155&gt;=$J$5,0,(CONTADORES!BC155-CONTADORES!BC154))</f>
        <v>0</v>
      </c>
      <c r="AS155" s="1397">
        <f ca="1">IF(B155&gt;=$J$5,0,CONTADORES!S155-CONTADORES!S154)</f>
        <v>15</v>
      </c>
      <c r="AT155" s="1397">
        <f ca="1">IF(B155&gt;=$J$5,0,(CONTADORES!U155-CONTADORES!U154)+(CONTADORES!AG155-CONTADORES!AG154))</f>
        <v>2.5</v>
      </c>
      <c r="AU155" s="1397">
        <f ca="1">IF(B155&gt;=$J$5,0,(CONTADORES!I155-CONTADORES!I154))</f>
        <v>0</v>
      </c>
      <c r="AV155" s="1397">
        <f ca="1">IF(B155&gt;=$J$5,0,(CONTADORES!AV155-CONTADORES!AV154))</f>
        <v>64</v>
      </c>
      <c r="AW155" s="1397">
        <f ca="1">IF(B155&gt;=$J$5,0,(CONTADORES!N155-CONTADORES!N154)+(CONTADORES!AN155-CONTADORES!AN154))</f>
        <v>3.6000000000021828</v>
      </c>
      <c r="AX155" s="1397">
        <f ca="1">IF(B155&gt;=$J$5,0,(CONTADORES!P155-CONTADORES!P154)+(CONTADORES!AL155-CONTADORES!AL154))</f>
        <v>31.299999999995634</v>
      </c>
      <c r="AY155" s="1397">
        <f ca="1">IF(B155&gt;=$J$5,0,(CONTADORES!AJ155-CONTADORES!AJ154))</f>
        <v>4.6999999999970896</v>
      </c>
      <c r="AZ155" s="1397">
        <f ca="1">IF(B155&gt;=$J$5,0,(CONTADORES!R155-CONTADORES!R154))</f>
        <v>9</v>
      </c>
      <c r="BA155" s="1398">
        <f t="shared" ca="1" si="79"/>
        <v>7.1740000000048951</v>
      </c>
      <c r="BB155" s="1397">
        <f ca="1">IF(B155&gt;=$J$5,0,(((CONTADORES!G155-CONTADORES!G154)+(CONTADORES!AR155-CONTADORES!AR154)+AR155)-(AV155+BC155)))</f>
        <v>9.6000000000003638</v>
      </c>
      <c r="BC155" s="1397">
        <f ca="1">IF(B155&gt;=$J$5,0,(CONTADORES!AY155-CONTADORES!AY154)+(CONTADORES!BA155-CONTADORES!BA154)+(CONTADORES!BF155-CONTADORES!BF154))</f>
        <v>2.3999999999996362</v>
      </c>
      <c r="BD155" s="1397">
        <f t="shared" ca="1" si="80"/>
        <v>138</v>
      </c>
      <c r="BE155" s="1398">
        <f ca="1">IF($B155&gt;=$J$5,0,CONTADORES!$BG155)</f>
        <v>5217.12</v>
      </c>
      <c r="BF155" s="1397">
        <f ca="1">IF($B155&gt;=$J$5,0,CONTADORES!$BH155)</f>
        <v>29149.498245613999</v>
      </c>
      <c r="BG155" s="1397">
        <f ca="1">IF($B155&gt;=$J$5,0,CONTADORES!$BJ155)</f>
        <v>4472.88</v>
      </c>
      <c r="BH155" s="1397">
        <f ca="1">IF(B155&gt;=$J$5,0,((CONTADORES!BK155-CONTADORES!BK154)/1000))</f>
        <v>0.34699999999999998</v>
      </c>
      <c r="BI155" s="1397">
        <f ca="1">IF(B155&gt;=$J$5,0,((CONTADORES!BL155-CONTADORES!BL154)/1000))</f>
        <v>0.27300000000000002</v>
      </c>
      <c r="BJ155" s="1397">
        <f ca="1">IF(B155&gt;=$J$5,0,((CONTADORES!BM155-CONTADORES!BM154)/1000))</f>
        <v>0</v>
      </c>
      <c r="BK155" s="1397">
        <f ca="1">IF(B155&gt;=$J$5,0,((CONTADORES!BN155-CONTADORES!BN154)/1000))</f>
        <v>0</v>
      </c>
      <c r="BL155" s="1399">
        <f t="shared" ca="1" si="81"/>
        <v>0.34699999999999998</v>
      </c>
      <c r="BM155" s="1399">
        <f t="shared" ca="1" si="82"/>
        <v>0.27300000000000002</v>
      </c>
      <c r="BN155" s="1398">
        <f ca="1">IF(W155&gt;=$J$5,0,CONTADORES!$BO155)</f>
        <v>104</v>
      </c>
      <c r="BO155" s="1397">
        <f ca="1">IF(W155&gt;=$J$5,0,CONTADORES!$BP155)</f>
        <v>37.265000000000001</v>
      </c>
      <c r="BP155" s="1397">
        <f ca="1">IF(W155&gt;=$J$5,0,CONTADORES!$BQ155)</f>
        <v>531</v>
      </c>
      <c r="BQ155" s="1397">
        <f ca="1">IF(B155&gt;=$J$5,0,(CONTADORES!AS155-CONTADORES!AS154))</f>
        <v>6</v>
      </c>
      <c r="BR155" s="1397">
        <f ca="1">IF(B155&gt;=$J$5,0,(CONTADORES!AT155-CONTADORES!AT154))</f>
        <v>0</v>
      </c>
      <c r="BS155" s="1398">
        <f ca="1">IF(B155&gt;=$J$5,0,CONTADORES!BR155-CONTADORES!BR154)/1000</f>
        <v>2</v>
      </c>
      <c r="BT155" s="1398">
        <f ca="1">IF(B155&gt;=$J$5,0,CONTADORES!BS155-CONTADORES!BS154)</f>
        <v>1</v>
      </c>
      <c r="BU155" s="1398">
        <f ca="1">IF(B155&gt;=$J$5,0,CONTADORES!BT155-CONTADORES!BT154)</f>
        <v>24</v>
      </c>
      <c r="BV155" s="1398">
        <f ca="1">IF(B155&gt;=$J$5,0,CONTADORES!BU155-CONTADORES!BU154)/1000</f>
        <v>4.1900000000000004</v>
      </c>
      <c r="BW155" s="1398">
        <f ca="1">IF(B155&gt;=$J$5,0,CONTADORES!BV155-CONTADORES!BV154)/1000</f>
        <v>0.11700000000000001</v>
      </c>
      <c r="BX155" s="1398">
        <f ca="1">IF(B155&gt;=$J$5,0,CONTADORES!BW155-CONTADORES!BW154)</f>
        <v>24</v>
      </c>
      <c r="BY155" s="1398">
        <f ca="1">IF(B155&gt;=$J$5,0,CONTADORES!BX155-CONTADORES!BX154)/1000</f>
        <v>0</v>
      </c>
      <c r="BZ155" s="1398">
        <f ca="1">IF(B155&gt;=$J$5,0,CONTADORES!BY155-CONTADORES!BY154)/1000</f>
        <v>0</v>
      </c>
      <c r="CA155" s="1398">
        <f ca="1">IF(B155&gt;=$J$5,0,CONTADORES!BZ155-CONTADORES!BZ154)</f>
        <v>0</v>
      </c>
      <c r="CB155" s="1398">
        <f ca="1">IF(B155&gt;=$J$5,0,(CONTADORES!CC155-CONTADORES!CC154)+(CONTADORES!CE155-CONTADORES!CE154))/1000</f>
        <v>1.4410000000000001</v>
      </c>
      <c r="CC155" s="1398">
        <f ca="1">IF(B155&gt;=$J$5,0,(CONTADORES!CD155-CONTADORES!CD154)+(CONTADORES!CF155-CONTADORES!CF154))/1000</f>
        <v>0.80900000000000005</v>
      </c>
      <c r="CD155" s="1398">
        <f ca="1">IF(B155&gt;=$J$5,0,CONTADORES!CA155-CONTADORES!CA154)</f>
        <v>6.2999999999992724</v>
      </c>
      <c r="CE155" s="1398">
        <f ca="1">IF(B155&gt;=$J$5,0,CONTADORES!CB155-CONTADORES!CB154)</f>
        <v>4.3000000000001819</v>
      </c>
      <c r="CF155" s="1398">
        <f t="shared" ca="1" si="83"/>
        <v>11.555000000000998</v>
      </c>
      <c r="CG155" s="1398">
        <f t="shared" ca="1" si="84"/>
        <v>9.1000000000003638</v>
      </c>
      <c r="CH155" s="1398">
        <f t="shared" ca="1" si="85"/>
        <v>5.2550000000017265</v>
      </c>
      <c r="CI155" s="1398">
        <f t="shared" ca="1" si="86"/>
        <v>1.6635999999997819</v>
      </c>
      <c r="CJ155" s="1398">
        <f t="shared" ca="1" si="87"/>
        <v>5.2550000000017265</v>
      </c>
      <c r="CK155" s="1398">
        <f t="shared" ca="1" si="88"/>
        <v>2.4953999999996723</v>
      </c>
      <c r="CL155" s="1398">
        <f t="shared" ca="1" si="89"/>
        <v>3.104599999999782</v>
      </c>
      <c r="CM155" s="1398">
        <f t="shared" ca="1" si="90"/>
        <v>4.8000000000001819</v>
      </c>
      <c r="CN155" s="1398">
        <f ca="1">IF(B155&gt;=$J$5,0,CONTADORES!CB155-CONTADORES!CB154)</f>
        <v>4.3000000000001819</v>
      </c>
      <c r="CO155" s="1398">
        <f t="shared" ca="1" si="91"/>
        <v>4.8000000000001819</v>
      </c>
      <c r="CP155" s="1398">
        <f t="shared" ca="1" si="92"/>
        <v>1.1999999999998181</v>
      </c>
      <c r="CQ155" s="1398">
        <f t="shared" ca="1" si="93"/>
        <v>1.1999999999998181</v>
      </c>
      <c r="CR155" s="1398">
        <f t="shared" ca="1" si="94"/>
        <v>2.0089999999998183</v>
      </c>
      <c r="CS155" s="1448">
        <f ca="1">IF($B155&gt;=$J$5,0,CONTADORES!$BI155)</f>
        <v>7335.02262296342</v>
      </c>
      <c r="CT155" s="1369">
        <f>CONTADORES!E155</f>
        <v>0</v>
      </c>
      <c r="CU155" s="1369">
        <f>CONTADORES!CG155</f>
        <v>0</v>
      </c>
    </row>
    <row r="156" spans="2:99">
      <c r="B156" s="390">
        <v>45072</v>
      </c>
      <c r="C156" s="198">
        <f t="shared" ca="1" si="68"/>
        <v>194</v>
      </c>
      <c r="D156" s="196">
        <f ca="1">'CALCULO DE GAS'!D165</f>
        <v>4.2581579475499538</v>
      </c>
      <c r="E156" s="196">
        <f ca="1">IF(B156&gt;=$J$5,0,(CONTADORES!$AD156-CONTADORES!$AD155)-$H156)</f>
        <v>24</v>
      </c>
      <c r="F156" s="198">
        <f t="shared" ca="1" si="96"/>
        <v>0</v>
      </c>
      <c r="G156" s="196">
        <f ca="1">IF(B156&gt;=$J$5,0,CONTADORES!$AF156-CONTADORES!$AF155)</f>
        <v>0</v>
      </c>
      <c r="H156" s="196">
        <f ca="1">IF(G156&gt;0,CONTADORES!$AE156-CONTADORES!$AE155,0)</f>
        <v>0</v>
      </c>
      <c r="I156" s="199">
        <f ca="1">IF(B156&gt;=$J$5,0,CONTADORES!$AB156-CONTADORES!$AB155)</f>
        <v>194</v>
      </c>
      <c r="J156" s="198">
        <f t="shared" ca="1" si="69"/>
        <v>84</v>
      </c>
      <c r="K156" s="196">
        <f ca="1">'CALCULO DE GAS'!E165</f>
        <v>3.3169828761893441</v>
      </c>
      <c r="L156" s="1396">
        <f ca="1">IF(B156&gt;=$J$5,0,(CONTADORES!$Y156-CONTADORES!$Y155)-$O156)</f>
        <v>24</v>
      </c>
      <c r="M156" s="1396">
        <f t="shared" ca="1" si="95"/>
        <v>0</v>
      </c>
      <c r="N156" s="1396">
        <f ca="1">IF(B156&gt;=$J$5,0,CONTADORES!$AA156-CONTADORES!$AA155)</f>
        <v>0</v>
      </c>
      <c r="O156" s="1396">
        <f ca="1">IF(N156&gt;0,CONTADORES!$Z156-CONTADORES!$Z155,0)</f>
        <v>0</v>
      </c>
      <c r="P156" s="202">
        <f ca="1">IF(B156&gt;=$J$5,0,CONTADORES!$W156-CONTADORES!$W155)</f>
        <v>84</v>
      </c>
      <c r="Q156" s="202">
        <f ca="1">IF(B156&gt;=$J$5,0,CONTADORES!$B156-CONTADORES!$B155)</f>
        <v>0</v>
      </c>
      <c r="R156" s="196">
        <f t="shared" ca="1" si="70"/>
        <v>0</v>
      </c>
      <c r="S156" s="11">
        <f ca="1">IF(B156&gt;=$J$5,0,CONTADORES!$D156-CONTADORES!$D155)</f>
        <v>0</v>
      </c>
      <c r="T156" s="198">
        <f ca="1">IF(B156&gt;=$J$5,0,CONTADORES!$BB156-CONTADORES!$BB155)</f>
        <v>0</v>
      </c>
      <c r="U156" s="196">
        <f t="shared" ca="1" si="65"/>
        <v>0</v>
      </c>
      <c r="V156" s="199">
        <f ca="1">IF(B156&gt;=$J$5,0,CONTADORES!$BD156-CONTADORES!$BD155)</f>
        <v>0</v>
      </c>
      <c r="W156" s="1397">
        <f t="shared" ca="1" si="71"/>
        <v>278</v>
      </c>
      <c r="X156" s="1397">
        <f t="shared" ca="1" si="72"/>
        <v>0</v>
      </c>
      <c r="Y156" s="1398">
        <f t="shared" ca="1" si="73"/>
        <v>278</v>
      </c>
      <c r="Z156" s="1398">
        <f t="shared" ca="1" si="74"/>
        <v>7.5751408237392983</v>
      </c>
      <c r="AA156" s="1398">
        <f t="shared" ca="1" si="75"/>
        <v>0</v>
      </c>
      <c r="AB156" s="1398">
        <f t="shared" ca="1" si="76"/>
        <v>48</v>
      </c>
      <c r="AC156" s="1397">
        <f t="shared" ca="1" si="77"/>
        <v>0</v>
      </c>
      <c r="AD156" s="1397">
        <f ca="1">IF(B156&gt;=$J$5,0,CONTADORES!H156-CONTADORES!H155)</f>
        <v>0</v>
      </c>
      <c r="AE156" s="1398">
        <f ca="1">IF(B156&gt;=$J$5,0,CONTADORES!J156-CONTADORES!J155)</f>
        <v>0</v>
      </c>
      <c r="AF156" s="1397">
        <f ca="1">IF(B156&gt;=$J$5,0,CONTADORES!AU156-CONTADORES!AU155)</f>
        <v>153</v>
      </c>
      <c r="AG156" s="1398">
        <f ca="1">IF(B156&gt;=$J$5,0,CONTADORES!AW156-CONTADORES!AW155)</f>
        <v>24</v>
      </c>
      <c r="AH156" s="1398">
        <f ca="1">IF(B156&gt;=$J$5,0,(CONTADORES!AM156-CONTADORES!AM155)+(CONTADORES!M156-CONTADORES!M155))</f>
        <v>16.299999999995634</v>
      </c>
      <c r="AI156" s="1397">
        <f ca="1">IF(B156&gt;=$J$5,0,(CONTADORES!AK156-CONTADORES!AK155)+(CONTADORES!O156-CONTADORES!O155))</f>
        <v>34</v>
      </c>
      <c r="AJ156" s="1397">
        <f ca="1">IF(B156&gt;=$J$5,0,(CONTADORES!AI156-CONTADORES!AI155))</f>
        <v>7.6999999999970896</v>
      </c>
      <c r="AK156" s="1397">
        <f ca="1">IF(B156&gt;=$J$5,0,(CONTADORES!Q156-CONTADORES!Q155))</f>
        <v>12</v>
      </c>
      <c r="AL156" s="1398">
        <f t="shared" ca="1" si="78"/>
        <v>27.500000000007276</v>
      </c>
      <c r="AM156" s="1397">
        <f ca="1">IF(B156&gt;=$J$5,0,(((CONTADORES!F156-CONTADORES!F155)+(CONTADORES!AQ156-CONTADORES!AQ155))))-BS156-AF156-AN156-BV156-BY156-CD156-CB156</f>
        <v>9.6729999999989094</v>
      </c>
      <c r="AN156" s="1397">
        <f ca="1">IF(B156&gt;=$J$5,0,(CONTADORES!AX156-CONTADORES!AX155)+(CONTADORES!AZ156-CONTADORES!AZ155)+(CONTADORES!BE156-CONTADORES!BE155))-CB156</f>
        <v>4.2280000000007281</v>
      </c>
      <c r="AO156" s="1397">
        <f ca="1">IF(B156&gt;=$J$5,0,(CONTADORES!AC156-CONTADORES!AC155))</f>
        <v>94</v>
      </c>
      <c r="AP156" s="1397">
        <f ca="1">IF(B156&gt;=$J$5,0,(CONTADORES!X156-CONTADORES!X155))</f>
        <v>44</v>
      </c>
      <c r="AQ156" s="1397">
        <f ca="1">IF(B156&gt;=$J$5,0,(CONTADORES!C156-CONTADORES!C155))</f>
        <v>0</v>
      </c>
      <c r="AR156" s="1397">
        <f ca="1">IF(B156&gt;=$J$5,0,(CONTADORES!BC156-CONTADORES!BC155))</f>
        <v>0</v>
      </c>
      <c r="AS156" s="1397">
        <f ca="1">IF(B156&gt;=$J$5,0,CONTADORES!S156-CONTADORES!S155)</f>
        <v>15</v>
      </c>
      <c r="AT156" s="1397">
        <f ca="1">IF(B156&gt;=$J$5,0,(CONTADORES!U156-CONTADORES!U155)+(CONTADORES!AG156-CONTADORES!AG155))</f>
        <v>2.4000000000014552</v>
      </c>
      <c r="AU156" s="1397">
        <f ca="1">IF(B156&gt;=$J$5,0,(CONTADORES!I156-CONTADORES!I155))</f>
        <v>0</v>
      </c>
      <c r="AV156" s="1397">
        <f ca="1">IF(B156&gt;=$J$5,0,(CONTADORES!AV156-CONTADORES!AV155))</f>
        <v>66</v>
      </c>
      <c r="AW156" s="1397">
        <f ca="1">IF(B156&gt;=$J$5,0,(CONTADORES!N156-CONTADORES!N155)+(CONTADORES!AN156-CONTADORES!AN155))</f>
        <v>5.1000000000003638</v>
      </c>
      <c r="AX156" s="1397">
        <f ca="1">IF(B156&gt;=$J$5,0,(CONTADORES!P156-CONTADORES!P155)+(CONTADORES!AL156-CONTADORES!AL155))</f>
        <v>28.80000000000291</v>
      </c>
      <c r="AY156" s="1397">
        <f ca="1">IF(B156&gt;=$J$5,0,(CONTADORES!AJ156-CONTADORES!AJ155))</f>
        <v>5.9000000000014552</v>
      </c>
      <c r="AZ156" s="1397">
        <f ca="1">IF(B156&gt;=$J$5,0,(CONTADORES!R156-CONTADORES!R155))</f>
        <v>8</v>
      </c>
      <c r="BA156" s="1398">
        <f t="shared" ca="1" si="79"/>
        <v>5.744999999995656</v>
      </c>
      <c r="BB156" s="1397">
        <f ca="1">IF(B156&gt;=$J$5,0,(((CONTADORES!G156-CONTADORES!G155)+(CONTADORES!AR156-CONTADORES!AR155)+AR156)-(AV156+BC156)))</f>
        <v>9.6000000000003638</v>
      </c>
      <c r="BC156" s="1397">
        <f ca="1">IF(B156&gt;=$J$5,0,(CONTADORES!AY156-CONTADORES!AY155)+(CONTADORES!BA156-CONTADORES!BA155)+(CONTADORES!BF156-CONTADORES!BF155))</f>
        <v>2.5</v>
      </c>
      <c r="BD156" s="1397">
        <f t="shared" ca="1" si="80"/>
        <v>138</v>
      </c>
      <c r="BE156" s="1398">
        <f ca="1">IF($B156&gt;=$J$5,0,CONTADORES!$BG156)</f>
        <v>5650.24</v>
      </c>
      <c r="BF156" s="1397">
        <f ca="1">IF($B156&gt;=$J$5,0,CONTADORES!$BH156)</f>
        <v>30304.161403508799</v>
      </c>
      <c r="BG156" s="1397">
        <f ca="1">IF($B156&gt;=$J$5,0,CONTADORES!$BJ156)</f>
        <v>6422.38</v>
      </c>
      <c r="BH156" s="1397">
        <f ca="1">IF(B156&gt;=$J$5,0,((CONTADORES!BK156-CONTADORES!BK155)/1000))</f>
        <v>0.28000000000000003</v>
      </c>
      <c r="BI156" s="1397">
        <f ca="1">IF(B156&gt;=$J$5,0,((CONTADORES!BL156-CONTADORES!BL155)/1000))</f>
        <v>0.21</v>
      </c>
      <c r="BJ156" s="1397">
        <f ca="1">IF(B156&gt;=$J$5,0,((CONTADORES!BM156-CONTADORES!BM155)/1000))</f>
        <v>0</v>
      </c>
      <c r="BK156" s="1397">
        <f ca="1">IF(B156&gt;=$J$5,0,((CONTADORES!BN156-CONTADORES!BN155)/1000))</f>
        <v>0</v>
      </c>
      <c r="BL156" s="1399">
        <f t="shared" ca="1" si="81"/>
        <v>0.28000000000000003</v>
      </c>
      <c r="BM156" s="1399">
        <f t="shared" ca="1" si="82"/>
        <v>0.21</v>
      </c>
      <c r="BN156" s="1398">
        <f ca="1">IF(W156&gt;=$J$5,0,CONTADORES!$BO156)</f>
        <v>125</v>
      </c>
      <c r="BO156" s="1397">
        <f ca="1">IF(W156&gt;=$J$5,0,CONTADORES!$BP156)</f>
        <v>42.914999999999999</v>
      </c>
      <c r="BP156" s="1397">
        <f ca="1">IF(W156&gt;=$J$5,0,CONTADORES!$BQ156)</f>
        <v>639</v>
      </c>
      <c r="BQ156" s="1397">
        <f ca="1">IF(B156&gt;=$J$5,0,(CONTADORES!AS156-CONTADORES!AS155))</f>
        <v>5</v>
      </c>
      <c r="BR156" s="1397">
        <f ca="1">IF(B156&gt;=$J$5,0,(CONTADORES!AT156-CONTADORES!AT155))</f>
        <v>0</v>
      </c>
      <c r="BS156" s="1398">
        <f ca="1">IF(B156&gt;=$J$5,0,CONTADORES!BR156-CONTADORES!BR155)/1000</f>
        <v>2</v>
      </c>
      <c r="BT156" s="1398">
        <f ca="1">IF(B156&gt;=$J$5,0,CONTADORES!BS156-CONTADORES!BS155)</f>
        <v>1</v>
      </c>
      <c r="BU156" s="1398">
        <f ca="1">IF(B156&gt;=$J$5,0,CONTADORES!BT156-CONTADORES!BT155)</f>
        <v>24</v>
      </c>
      <c r="BV156" s="1398">
        <f ca="1">IF(B156&gt;=$J$5,0,CONTADORES!BU156-CONTADORES!BU155)/1000</f>
        <v>4.0270000000000001</v>
      </c>
      <c r="BW156" s="1398">
        <f ca="1">IF(B156&gt;=$J$5,0,CONTADORES!BV156-CONTADORES!BV155)/1000</f>
        <v>0.23599999999999999</v>
      </c>
      <c r="BX156" s="1398">
        <f ca="1">IF(B156&gt;=$J$5,0,CONTADORES!BW156-CONTADORES!BW155)</f>
        <v>24</v>
      </c>
      <c r="BY156" s="1398">
        <f ca="1">IF(B156&gt;=$J$5,0,CONTADORES!BX156-CONTADORES!BX155)/1000</f>
        <v>0</v>
      </c>
      <c r="BZ156" s="1398">
        <f ca="1">IF(B156&gt;=$J$5,0,CONTADORES!BY156-CONTADORES!BY155)/1000</f>
        <v>0</v>
      </c>
      <c r="CA156" s="1398">
        <f ca="1">IF(B156&gt;=$J$5,0,CONTADORES!BZ156-CONTADORES!BZ155)</f>
        <v>0</v>
      </c>
      <c r="CB156" s="1398">
        <f ca="1">IF(B156&gt;=$J$5,0,(CONTADORES!CC156-CONTADORES!CC155)+(CONTADORES!CE156-CONTADORES!CE155))/1000</f>
        <v>1.472</v>
      </c>
      <c r="CC156" s="1398">
        <f ca="1">IF(B156&gt;=$J$5,0,(CONTADORES!CD156-CONTADORES!CD155)+(CONTADORES!CF156-CONTADORES!CF155))/1000</f>
        <v>0.81899999999999995</v>
      </c>
      <c r="CD156" s="1398">
        <f ca="1">IF(B156&gt;=$J$5,0,CONTADORES!CA156-CONTADORES!CA155)</f>
        <v>6.1000000000003638</v>
      </c>
      <c r="CE156" s="1398">
        <f ca="1">IF(B156&gt;=$J$5,0,CONTADORES!CB156-CONTADORES!CB155)</f>
        <v>4.2999999999992724</v>
      </c>
      <c r="CF156" s="1398">
        <f t="shared" ca="1" si="83"/>
        <v>10.936499999999818</v>
      </c>
      <c r="CG156" s="1398">
        <f t="shared" ca="1" si="84"/>
        <v>9.0999999999994543</v>
      </c>
      <c r="CH156" s="1398">
        <f t="shared" ca="1" si="85"/>
        <v>4.8364999999994547</v>
      </c>
      <c r="CI156" s="1398">
        <f t="shared" ca="1" si="86"/>
        <v>1.6912000000002914</v>
      </c>
      <c r="CJ156" s="1398">
        <f t="shared" ca="1" si="87"/>
        <v>4.8364999999994547</v>
      </c>
      <c r="CK156" s="1398">
        <f t="shared" ca="1" si="88"/>
        <v>2.5368000000004365</v>
      </c>
      <c r="CL156" s="1398">
        <f t="shared" ca="1" si="89"/>
        <v>3.1632000000002911</v>
      </c>
      <c r="CM156" s="1398">
        <f t="shared" ca="1" si="90"/>
        <v>4.8000000000001819</v>
      </c>
      <c r="CN156" s="1398">
        <f ca="1">IF(B156&gt;=$J$5,0,CONTADORES!CB156-CONTADORES!CB155)</f>
        <v>4.2999999999992724</v>
      </c>
      <c r="CO156" s="1398">
        <f t="shared" ca="1" si="91"/>
        <v>4.8000000000001819</v>
      </c>
      <c r="CP156" s="1398">
        <f t="shared" ca="1" si="92"/>
        <v>1.25</v>
      </c>
      <c r="CQ156" s="1398">
        <f t="shared" ca="1" si="93"/>
        <v>1.25</v>
      </c>
      <c r="CR156" s="1398">
        <f t="shared" ca="1" si="94"/>
        <v>2.069</v>
      </c>
      <c r="CS156" s="1448">
        <f ca="1">IF($B156&gt;=$J$5,0,CONTADORES!$BI156)</f>
        <v>7638.2416962937396</v>
      </c>
      <c r="CT156" s="1369">
        <f>CONTADORES!E156</f>
        <v>0</v>
      </c>
      <c r="CU156" s="1369">
        <f>CONTADORES!CG156</f>
        <v>0</v>
      </c>
    </row>
    <row r="157" spans="2:99">
      <c r="B157" s="390">
        <v>45073</v>
      </c>
      <c r="C157" s="198">
        <f t="shared" ca="1" si="68"/>
        <v>222</v>
      </c>
      <c r="D157" s="196">
        <f ca="1">'CALCULO DE GAS'!D166</f>
        <v>4.4977297838962915</v>
      </c>
      <c r="E157" s="196">
        <f ca="1">IF(B157&gt;=$J$5,0,(CONTADORES!$AD157-CONTADORES!$AD156)-$H157)</f>
        <v>24</v>
      </c>
      <c r="F157" s="198">
        <f t="shared" ca="1" si="96"/>
        <v>0</v>
      </c>
      <c r="G157" s="196">
        <f ca="1">IF(B157&gt;=$J$5,0,CONTADORES!$AF157-CONTADORES!$AF156)</f>
        <v>0</v>
      </c>
      <c r="H157" s="196">
        <f ca="1">IF(G157&gt;0,CONTADORES!$AE157-CONTADORES!$AE156,0)</f>
        <v>0</v>
      </c>
      <c r="I157" s="199">
        <f ca="1">IF(B157&gt;=$J$5,0,CONTADORES!$AB157-CONTADORES!$AB156)</f>
        <v>222</v>
      </c>
      <c r="J157" s="198">
        <f t="shared" ca="1" si="69"/>
        <v>101</v>
      </c>
      <c r="K157" s="196">
        <f ca="1">'CALCULO DE GAS'!E166</f>
        <v>3.46243720539962</v>
      </c>
      <c r="L157" s="1396">
        <f ca="1">IF(B157&gt;=$J$5,0,(CONTADORES!$Y157-CONTADORES!$Y156)-$O157)</f>
        <v>24</v>
      </c>
      <c r="M157" s="1396">
        <f t="shared" ca="1" si="95"/>
        <v>0</v>
      </c>
      <c r="N157" s="1396">
        <f ca="1">IF(B157&gt;=$J$5,0,CONTADORES!$AA157-CONTADORES!$AA156)</f>
        <v>0</v>
      </c>
      <c r="O157" s="1396">
        <f ca="1">IF(N157&gt;0,CONTADORES!$Z157-CONTADORES!$Z156,0)</f>
        <v>0</v>
      </c>
      <c r="P157" s="202">
        <f ca="1">IF(B157&gt;=$J$5,0,CONTADORES!$W157-CONTADORES!$W156)</f>
        <v>101</v>
      </c>
      <c r="Q157" s="202">
        <f ca="1">IF(B157&gt;=$J$5,0,CONTADORES!$B157-CONTADORES!$B156)</f>
        <v>0</v>
      </c>
      <c r="R157" s="196">
        <f t="shared" ca="1" si="70"/>
        <v>0</v>
      </c>
      <c r="S157" s="11">
        <f ca="1">IF(B157&gt;=$J$5,0,CONTADORES!$D157-CONTADORES!$D156)</f>
        <v>0</v>
      </c>
      <c r="T157" s="198">
        <f ca="1">IF(B157&gt;=$J$5,0,CONTADORES!$BB157-CONTADORES!$BB156)</f>
        <v>0</v>
      </c>
      <c r="U157" s="196">
        <f t="shared" ca="1" si="65"/>
        <v>0</v>
      </c>
      <c r="V157" s="199">
        <f ca="1">IF(B157&gt;=$J$5,0,CONTADORES!$BD157-CONTADORES!$BD156)</f>
        <v>0</v>
      </c>
      <c r="W157" s="1397">
        <f t="shared" ca="1" si="71"/>
        <v>323</v>
      </c>
      <c r="X157" s="1397">
        <f t="shared" ca="1" si="72"/>
        <v>0</v>
      </c>
      <c r="Y157" s="1398">
        <f t="shared" ca="1" si="73"/>
        <v>323</v>
      </c>
      <c r="Z157" s="1398">
        <f t="shared" ca="1" si="74"/>
        <v>7.9601669892959119</v>
      </c>
      <c r="AA157" s="1398">
        <f t="shared" ca="1" si="75"/>
        <v>0</v>
      </c>
      <c r="AB157" s="1398">
        <f t="shared" ca="1" si="76"/>
        <v>48</v>
      </c>
      <c r="AC157" s="1397">
        <f t="shared" ca="1" si="77"/>
        <v>0</v>
      </c>
      <c r="AD157" s="1397">
        <f ca="1">IF(B157&gt;=$J$5,0,CONTADORES!H157-CONTADORES!H156)</f>
        <v>43</v>
      </c>
      <c r="AE157" s="1398">
        <f ca="1">IF(B157&gt;=$J$5,0,CONTADORES!J157-CONTADORES!J156)</f>
        <v>6</v>
      </c>
      <c r="AF157" s="1397">
        <f ca="1">IF(B157&gt;=$J$5,0,CONTADORES!AU157-CONTADORES!AU156)</f>
        <v>158</v>
      </c>
      <c r="AG157" s="1398">
        <f ca="1">IF(B157&gt;=$J$5,0,CONTADORES!AW157-CONTADORES!AW156)</f>
        <v>24</v>
      </c>
      <c r="AH157" s="1398">
        <f ca="1">IF(B157&gt;=$J$5,0,(CONTADORES!AM157-CONTADORES!AM156)+(CONTADORES!M157-CONTADORES!M156))</f>
        <v>9.5</v>
      </c>
      <c r="AI157" s="1397">
        <f ca="1">IF(B157&gt;=$J$5,0,(CONTADORES!AK157-CONTADORES!AK156)+(CONTADORES!O157-CONTADORES!O156))</f>
        <v>34.19999999999709</v>
      </c>
      <c r="AJ157" s="1397">
        <f ca="1">IF(B157&gt;=$J$5,0,(CONTADORES!AI157-CONTADORES!AI156))</f>
        <v>8.3999999999941792</v>
      </c>
      <c r="AK157" s="1397">
        <f ca="1">IF(B157&gt;=$J$5,0,(CONTADORES!Q157-CONTADORES!Q156))</f>
        <v>9</v>
      </c>
      <c r="AL157" s="1398">
        <f t="shared" ca="1" si="78"/>
        <v>32.500000000010914</v>
      </c>
      <c r="AM157" s="1397">
        <f ca="1">IF(B157&gt;=$J$5,0,(((CONTADORES!F157-CONTADORES!F156)+(CONTADORES!AQ157-CONTADORES!AQ156))))-BS157-AF157-AN157-BV157-BY157-CD157-CB157</f>
        <v>8.2499999999991953</v>
      </c>
      <c r="AN157" s="1397">
        <f ca="1">IF(B157&gt;=$J$5,0,(CONTADORES!AX157-CONTADORES!AX156)+(CONTADORES!AZ157-CONTADORES!AZ156)+(CONTADORES!BE157-CONTADORES!BE156))-CB157</f>
        <v>4.8189999999993471</v>
      </c>
      <c r="AO157" s="1397">
        <f ca="1">IF(B157&gt;=$J$5,0,(CONTADORES!AC157-CONTADORES!AC156))</f>
        <v>106</v>
      </c>
      <c r="AP157" s="1397">
        <f ca="1">IF(B157&gt;=$J$5,0,(CONTADORES!X157-CONTADORES!X156))</f>
        <v>54</v>
      </c>
      <c r="AQ157" s="1397">
        <f ca="1">IF(B157&gt;=$J$5,0,(CONTADORES!C157-CONTADORES!C156))</f>
        <v>0</v>
      </c>
      <c r="AR157" s="1397">
        <f ca="1">IF(B157&gt;=$J$5,0,(CONTADORES!BC157-CONTADORES!BC156))</f>
        <v>0</v>
      </c>
      <c r="AS157" s="1397">
        <f ca="1">IF(B157&gt;=$J$5,0,CONTADORES!S157-CONTADORES!S156)</f>
        <v>14</v>
      </c>
      <c r="AT157" s="1397">
        <f ca="1">IF(B157&gt;=$J$5,0,(CONTADORES!U157-CONTADORES!U156)+(CONTADORES!AG157-CONTADORES!AG156))</f>
        <v>2.5</v>
      </c>
      <c r="AU157" s="1397">
        <f ca="1">IF(B157&gt;=$J$5,0,(CONTADORES!I157-CONTADORES!I156))</f>
        <v>21.400000000000091</v>
      </c>
      <c r="AV157" s="1397">
        <f ca="1">IF(B157&gt;=$J$5,0,(CONTADORES!AV157-CONTADORES!AV156))</f>
        <v>68</v>
      </c>
      <c r="AW157" s="1397">
        <f ca="1">IF(B157&gt;=$J$5,0,(CONTADORES!N157-CONTADORES!N156)+(CONTADORES!AN157-CONTADORES!AN156))</f>
        <v>3.0999999999985448</v>
      </c>
      <c r="AX157" s="1397">
        <f ca="1">IF(B157&gt;=$J$5,0,(CONTADORES!P157-CONTADORES!P156)+(CONTADORES!AL157-CONTADORES!AL156))</f>
        <v>28.900000000001455</v>
      </c>
      <c r="AY157" s="1397">
        <f ca="1">IF(B157&gt;=$J$5,0,(CONTADORES!AJ157-CONTADORES!AJ156))</f>
        <v>6.5</v>
      </c>
      <c r="AZ157" s="1397">
        <f ca="1">IF(B157&gt;=$J$5,0,(CONTADORES!R157-CONTADORES!R156))</f>
        <v>7</v>
      </c>
      <c r="BA157" s="1398">
        <f t="shared" ca="1" si="79"/>
        <v>7.2469999999995593</v>
      </c>
      <c r="BB157" s="1397">
        <f ca="1">IF(B157&gt;=$J$5,0,(((CONTADORES!G157-CONTADORES!G156)+(CONTADORES!AR157-CONTADORES!AR156)+AR157)-(AV157+BC157)))</f>
        <v>8.4300000000001774</v>
      </c>
      <c r="BC157" s="1397">
        <f ca="1">IF(B157&gt;=$J$5,0,(CONTADORES!AY157-CONTADORES!AY156)+(CONTADORES!BA157-CONTADORES!BA156)+(CONTADORES!BF157-CONTADORES!BF156))</f>
        <v>2.8700000000000045</v>
      </c>
      <c r="BD157" s="1397">
        <f t="shared" ca="1" si="80"/>
        <v>160</v>
      </c>
      <c r="BE157" s="1398">
        <f ca="1">IF($B157&gt;=$J$5,0,CONTADORES!$BG157)</f>
        <v>5505.11</v>
      </c>
      <c r="BF157" s="1397">
        <f ca="1">IF($B157&gt;=$J$5,0,CONTADORES!$BH157)</f>
        <v>31047.6754385965</v>
      </c>
      <c r="BG157" s="1397">
        <f ca="1">IF($B157&gt;=$J$5,0,CONTADORES!$BJ157)</f>
        <v>7784.51</v>
      </c>
      <c r="BH157" s="1397">
        <f ca="1">IF(B157&gt;=$J$5,0,((CONTADORES!BK157-CONTADORES!BK156)/1000))</f>
        <v>0.318</v>
      </c>
      <c r="BI157" s="1397">
        <f ca="1">IF(B157&gt;=$J$5,0,((CONTADORES!BL157-CONTADORES!BL156)/1000))</f>
        <v>0.223</v>
      </c>
      <c r="BJ157" s="1397">
        <f ca="1">IF(B157&gt;=$J$5,0,((CONTADORES!BM157-CONTADORES!BM156)/1000))</f>
        <v>0</v>
      </c>
      <c r="BK157" s="1397">
        <f ca="1">IF(B157&gt;=$J$5,0,((CONTADORES!BN157-CONTADORES!BN156)/1000))</f>
        <v>0</v>
      </c>
      <c r="BL157" s="1399">
        <f t="shared" ca="1" si="81"/>
        <v>0.318</v>
      </c>
      <c r="BM157" s="1399">
        <f t="shared" ca="1" si="82"/>
        <v>0.223</v>
      </c>
      <c r="BN157" s="1398">
        <f ca="1">IF(W157&gt;=$J$5,0,CONTADORES!$BO157)</f>
        <v>126</v>
      </c>
      <c r="BO157" s="1397">
        <f ca="1">IF(W157&gt;=$J$5,0,CONTADORES!$BP157)</f>
        <v>43.003999999999998</v>
      </c>
      <c r="BP157" s="1397">
        <f ca="1">IF(W157&gt;=$J$5,0,CONTADORES!$BQ157)</f>
        <v>640</v>
      </c>
      <c r="BQ157" s="1397">
        <f ca="1">IF(B157&gt;=$J$5,0,(CONTADORES!AS157-CONTADORES!AS156))</f>
        <v>5</v>
      </c>
      <c r="BR157" s="1397">
        <f ca="1">IF(B157&gt;=$J$5,0,(CONTADORES!AT157-CONTADORES!AT156))</f>
        <v>0</v>
      </c>
      <c r="BS157" s="1398">
        <f ca="1">IF(B157&gt;=$J$5,0,CONTADORES!BR157-CONTADORES!BR156)/1000</f>
        <v>3</v>
      </c>
      <c r="BT157" s="1398">
        <f ca="1">IF(B157&gt;=$J$5,0,CONTADORES!BS157-CONTADORES!BS156)</f>
        <v>1</v>
      </c>
      <c r="BU157" s="1398">
        <f ca="1">IF(B157&gt;=$J$5,0,CONTADORES!BT157-CONTADORES!BT156)</f>
        <v>24</v>
      </c>
      <c r="BV157" s="1398">
        <f ca="1">IF(B157&gt;=$J$5,0,CONTADORES!BU157-CONTADORES!BU156)/1000</f>
        <v>4.57</v>
      </c>
      <c r="BW157" s="1398">
        <f ca="1">IF(B157&gt;=$J$5,0,CONTADORES!BV157-CONTADORES!BV156)/1000</f>
        <v>0.44600000000000001</v>
      </c>
      <c r="BX157" s="1398">
        <f ca="1">IF(B157&gt;=$J$5,0,CONTADORES!BW157-CONTADORES!BW156)</f>
        <v>24</v>
      </c>
      <c r="BY157" s="1398">
        <f ca="1">IF(B157&gt;=$J$5,0,CONTADORES!BX157-CONTADORES!BX156)/1000</f>
        <v>0</v>
      </c>
      <c r="BZ157" s="1398">
        <f ca="1">IF(B157&gt;=$J$5,0,CONTADORES!BY157-CONTADORES!BY156)/1000</f>
        <v>0</v>
      </c>
      <c r="CA157" s="1398">
        <f ca="1">IF(B157&gt;=$J$5,0,CONTADORES!BZ157-CONTADORES!BZ156)</f>
        <v>0</v>
      </c>
      <c r="CB157" s="1398">
        <f ca="1">IF(B157&gt;=$J$5,0,(CONTADORES!CC157-CONTADORES!CC156)+(CONTADORES!CE157-CONTADORES!CE156))/1000</f>
        <v>1.4610000000000001</v>
      </c>
      <c r="CC157" s="1398">
        <f ca="1">IF(B157&gt;=$J$5,0,(CONTADORES!CD157-CONTADORES!CD156)+(CONTADORES!CF157-CONTADORES!CF156))/1000</f>
        <v>0.80700000000000005</v>
      </c>
      <c r="CD157" s="1398">
        <f ca="1">IF(B157&gt;=$J$5,0,CONTADORES!CA157-CONTADORES!CA156)</f>
        <v>6.2999999999992724</v>
      </c>
      <c r="CE157" s="1398">
        <f ca="1">IF(B157&gt;=$J$5,0,CONTADORES!CB157-CONTADORES!CB156)</f>
        <v>4.3000000000001819</v>
      </c>
      <c r="CF157" s="1398">
        <f t="shared" ca="1" si="83"/>
        <v>10.424999999998871</v>
      </c>
      <c r="CG157" s="1398">
        <f t="shared" ca="1" si="84"/>
        <v>8.5150000000002706</v>
      </c>
      <c r="CH157" s="1398">
        <f t="shared" ca="1" si="85"/>
        <v>4.1249999999995977</v>
      </c>
      <c r="CI157" s="1398">
        <f t="shared" ca="1" si="86"/>
        <v>1.9275999999997389</v>
      </c>
      <c r="CJ157" s="1398">
        <f t="shared" ca="1" si="87"/>
        <v>4.1249999999995977</v>
      </c>
      <c r="CK157" s="1398">
        <f t="shared" ca="1" si="88"/>
        <v>2.8913999999996083</v>
      </c>
      <c r="CL157" s="1398">
        <f t="shared" ca="1" si="89"/>
        <v>3.3885999999997392</v>
      </c>
      <c r="CM157" s="1398">
        <f t="shared" ca="1" si="90"/>
        <v>4.2150000000000887</v>
      </c>
      <c r="CN157" s="1398">
        <f ca="1">IF(B157&gt;=$J$5,0,CONTADORES!CB157-CONTADORES!CB156)</f>
        <v>4.3000000000001819</v>
      </c>
      <c r="CO157" s="1398">
        <f t="shared" ca="1" si="91"/>
        <v>4.2150000000000887</v>
      </c>
      <c r="CP157" s="1398">
        <f t="shared" ca="1" si="92"/>
        <v>1.4350000000000023</v>
      </c>
      <c r="CQ157" s="1398">
        <f t="shared" ca="1" si="93"/>
        <v>1.4350000000000023</v>
      </c>
      <c r="CR157" s="1398">
        <f t="shared" ca="1" si="94"/>
        <v>2.2420000000000022</v>
      </c>
      <c r="CS157" s="1448">
        <f ca="1">IF($B157&gt;=$J$5,0,CONTADORES!$BI157)</f>
        <v>7472.8917644138301</v>
      </c>
      <c r="CT157" s="1369">
        <f>CONTADORES!E157</f>
        <v>0</v>
      </c>
      <c r="CU157" s="1369">
        <f>CONTADORES!CG157</f>
        <v>0</v>
      </c>
    </row>
    <row r="158" spans="2:99">
      <c r="B158" s="390">
        <v>45074</v>
      </c>
      <c r="C158" s="198">
        <f t="shared" ca="1" si="68"/>
        <v>309</v>
      </c>
      <c r="D158" s="196">
        <f ca="1">'CALCULO DE GAS'!D167</f>
        <v>5.2421137039724091</v>
      </c>
      <c r="E158" s="196">
        <f ca="1">IF(B158&gt;=$J$5,0,(CONTADORES!$AD158-CONTADORES!$AD157)-$H158)</f>
        <v>24</v>
      </c>
      <c r="F158" s="198">
        <f t="shared" ca="1" si="96"/>
        <v>0</v>
      </c>
      <c r="G158" s="196">
        <f ca="1">IF(B158&gt;=$J$5,0,CONTADORES!$AF158-CONTADORES!$AF157)</f>
        <v>0</v>
      </c>
      <c r="H158" s="196">
        <f ca="1">IF(G158&gt;0,CONTADORES!$AE158-CONTADORES!$AE157,0)</f>
        <v>0</v>
      </c>
      <c r="I158" s="199">
        <f ca="1">IF(B158&gt;=$J$5,0,CONTADORES!$AB158-CONTADORES!$AB157)</f>
        <v>309</v>
      </c>
      <c r="J158" s="198">
        <f t="shared" ca="1" si="69"/>
        <v>144.59999999999854</v>
      </c>
      <c r="K158" s="196">
        <f ca="1">'CALCULO DE GAS'!E167</f>
        <v>3.8354847791389037</v>
      </c>
      <c r="L158" s="1396">
        <f ca="1">IF(B158&gt;=$J$5,0,(CONTADORES!$Y158-CONTADORES!$Y157)-$O158)</f>
        <v>24</v>
      </c>
      <c r="M158" s="1396">
        <f t="shared" ca="1" si="95"/>
        <v>0</v>
      </c>
      <c r="N158" s="1396">
        <f ca="1">IF(B158&gt;=$J$5,0,CONTADORES!$AA158-CONTADORES!$AA157)</f>
        <v>0</v>
      </c>
      <c r="O158" s="1396">
        <f ca="1">IF(N158&gt;0,CONTADORES!$Z158-CONTADORES!$Z157,0)</f>
        <v>0</v>
      </c>
      <c r="P158" s="202">
        <f ca="1">IF(B158&gt;=$J$5,0,CONTADORES!$W158-CONTADORES!$W157)</f>
        <v>144.59999999999854</v>
      </c>
      <c r="Q158" s="202">
        <f ca="1">IF(B158&gt;=$J$5,0,CONTADORES!$B158-CONTADORES!$B157)</f>
        <v>0</v>
      </c>
      <c r="R158" s="196">
        <f t="shared" ca="1" si="70"/>
        <v>0</v>
      </c>
      <c r="S158" s="11">
        <f ca="1">IF(B158&gt;=$J$5,0,CONTADORES!$D158-CONTADORES!$D157)</f>
        <v>0</v>
      </c>
      <c r="T158" s="198">
        <f ca="1">IF(B158&gt;=$J$5,0,CONTADORES!$BB158-CONTADORES!$BB157)</f>
        <v>0</v>
      </c>
      <c r="U158" s="196">
        <f t="shared" ca="1" si="65"/>
        <v>0</v>
      </c>
      <c r="V158" s="199">
        <f ca="1">IF(B158&gt;=$J$5,0,CONTADORES!$BD158-CONTADORES!$BD157)</f>
        <v>0</v>
      </c>
      <c r="W158" s="1397">
        <f t="shared" ca="1" si="71"/>
        <v>453.59999999999854</v>
      </c>
      <c r="X158" s="1397">
        <f t="shared" ca="1" si="72"/>
        <v>0</v>
      </c>
      <c r="Y158" s="1398">
        <f t="shared" ca="1" si="73"/>
        <v>453.59999999999854</v>
      </c>
      <c r="Z158" s="1398">
        <f t="shared" ca="1" si="74"/>
        <v>9.0775984831113128</v>
      </c>
      <c r="AA158" s="1398">
        <f t="shared" ca="1" si="75"/>
        <v>0</v>
      </c>
      <c r="AB158" s="1398">
        <f t="shared" ca="1" si="76"/>
        <v>48</v>
      </c>
      <c r="AC158" s="1397">
        <f t="shared" ca="1" si="77"/>
        <v>0</v>
      </c>
      <c r="AD158" s="1397">
        <f ca="1">IF(B158&gt;=$J$5,0,CONTADORES!H158-CONTADORES!H157)</f>
        <v>166.16499999999996</v>
      </c>
      <c r="AE158" s="1398">
        <f ca="1">IF(B158&gt;=$J$5,0,CONTADORES!J158-CONTADORES!J157)</f>
        <v>24</v>
      </c>
      <c r="AF158" s="1397">
        <f ca="1">IF(B158&gt;=$J$5,0,CONTADORES!AU158-CONTADORES!AU157)</f>
        <v>155</v>
      </c>
      <c r="AG158" s="1398">
        <f ca="1">IF(B158&gt;=$J$5,0,CONTADORES!AW158-CONTADORES!AW157)</f>
        <v>24</v>
      </c>
      <c r="AH158" s="1398">
        <f ca="1">IF(B158&gt;=$J$5,0,(CONTADORES!AM158-CONTADORES!AM157)+(CONTADORES!M158-CONTADORES!M157))</f>
        <v>11.799999999999272</v>
      </c>
      <c r="AI158" s="1397">
        <f ca="1">IF(B158&gt;=$J$5,0,(CONTADORES!AK158-CONTADORES!AK157)+(CONTADORES!O158-CONTADORES!O157))</f>
        <v>35.19999999999709</v>
      </c>
      <c r="AJ158" s="1397">
        <f ca="1">IF(B158&gt;=$J$5,0,(CONTADORES!AI158-CONTADORES!AI157))</f>
        <v>7.1000000000058208</v>
      </c>
      <c r="AK158" s="1397">
        <f ca="1">IF(B158&gt;=$J$5,0,(CONTADORES!Q158-CONTADORES!Q157))</f>
        <v>13</v>
      </c>
      <c r="AL158" s="1398">
        <f t="shared" ca="1" si="78"/>
        <v>34.834999999996398</v>
      </c>
      <c r="AM158" s="1397">
        <f ca="1">IF(B158&gt;=$J$5,0,(((CONTADORES!F158-CONTADORES!F157)+(CONTADORES!AQ158-CONTADORES!AQ157))))-BS158-AF158-AN158-BV158-BY158-CD158-CB158</f>
        <v>11.207999999998286</v>
      </c>
      <c r="AN158" s="1397">
        <f ca="1">IF(B158&gt;=$J$5,0,(CONTADORES!AX158-CONTADORES!AX157)+(CONTADORES!AZ158-CONTADORES!AZ157)+(CONTADORES!BE158-CONTADORES!BE157))-CB158</f>
        <v>4.4330000000002734</v>
      </c>
      <c r="AO158" s="1397">
        <f ca="1">IF(B158&gt;=$J$5,0,(CONTADORES!AC158-CONTADORES!AC157))</f>
        <v>145</v>
      </c>
      <c r="AP158" s="1397">
        <f ca="1">IF(B158&gt;=$J$5,0,(CONTADORES!X158-CONTADORES!X157))</f>
        <v>78.700000000000728</v>
      </c>
      <c r="AQ158" s="1397">
        <f ca="1">IF(B158&gt;=$J$5,0,(CONTADORES!C158-CONTADORES!C157))</f>
        <v>0</v>
      </c>
      <c r="AR158" s="1397">
        <f ca="1">IF(B158&gt;=$J$5,0,(CONTADORES!BC158-CONTADORES!BC157))</f>
        <v>0</v>
      </c>
      <c r="AS158" s="1397">
        <f ca="1">IF(B158&gt;=$J$5,0,CONTADORES!S158-CONTADORES!S157)</f>
        <v>15</v>
      </c>
      <c r="AT158" s="1397">
        <f ca="1">IF(B158&gt;=$J$5,0,(CONTADORES!U158-CONTADORES!U157)+(CONTADORES!AG158-CONTADORES!AG157))</f>
        <v>2.3999999999941792</v>
      </c>
      <c r="AU158" s="1397">
        <f ca="1">IF(B158&gt;=$J$5,0,(CONTADORES!I158-CONTADORES!I157))</f>
        <v>82.66399999999976</v>
      </c>
      <c r="AV158" s="1397">
        <f ca="1">IF(B158&gt;=$J$5,0,(CONTADORES!AV158-CONTADORES!AV157))</f>
        <v>67</v>
      </c>
      <c r="AW158" s="1397">
        <f ca="1">IF(B158&gt;=$J$5,0,(CONTADORES!N158-CONTADORES!N157)+(CONTADORES!AN158-CONTADORES!AN157))</f>
        <v>4.2999999999992724</v>
      </c>
      <c r="AX158" s="1397">
        <f ca="1">IF(B158&gt;=$J$5,0,(CONTADORES!P158-CONTADORES!P157)+(CONTADORES!AL158-CONTADORES!AL157))</f>
        <v>29.69999999999709</v>
      </c>
      <c r="AY158" s="1397">
        <f ca="1">IF(B158&gt;=$J$5,0,(CONTADORES!AJ158-CONTADORES!AJ157))</f>
        <v>5.3000000000029104</v>
      </c>
      <c r="AZ158" s="1397">
        <f ca="1">IF(B158&gt;=$J$5,0,(CONTADORES!R158-CONTADORES!R157))</f>
        <v>10</v>
      </c>
      <c r="BA158" s="1398">
        <f t="shared" ca="1" si="79"/>
        <v>4.4950000000024204</v>
      </c>
      <c r="BB158" s="1397">
        <f ca="1">IF(B158&gt;=$J$5,0,(((CONTADORES!G158-CONTADORES!G157)+(CONTADORES!AR158-CONTADORES!AR157)+AR158)-(AV158+BC158)))</f>
        <v>10.799999999999272</v>
      </c>
      <c r="BC158" s="1397">
        <f ca="1">IF(B158&gt;=$J$5,0,(CONTADORES!AY158-CONTADORES!AY157)+(CONTADORES!BA158-CONTADORES!BA157)+(CONTADORES!BF158-CONTADORES!BF157))</f>
        <v>2.5</v>
      </c>
      <c r="BD158" s="1397">
        <f t="shared" ca="1" si="80"/>
        <v>223.70000000000073</v>
      </c>
      <c r="BE158" s="1398">
        <f ca="1">IF($B158&gt;=$J$5,0,CONTADORES!$BG158)</f>
        <v>5952.86</v>
      </c>
      <c r="BF158" s="1397">
        <f ca="1">IF($B158&gt;=$J$5,0,CONTADORES!$BH158)</f>
        <v>30759.2929824561</v>
      </c>
      <c r="BG158" s="1397">
        <f ca="1">IF($B158&gt;=$J$5,0,CONTADORES!$BJ158)</f>
        <v>7299.22</v>
      </c>
      <c r="BH158" s="1397">
        <f ca="1">IF(B158&gt;=$J$5,0,((CONTADORES!BK158-CONTADORES!BK157)/1000))</f>
        <v>0.318</v>
      </c>
      <c r="BI158" s="1397">
        <f ca="1">IF(B158&gt;=$J$5,0,((CONTADORES!BL158-CONTADORES!BL157)/1000))</f>
        <v>0.219</v>
      </c>
      <c r="BJ158" s="1397">
        <f ca="1">IF(B158&gt;=$J$5,0,((CONTADORES!BM158-CONTADORES!BM157)/1000))</f>
        <v>0</v>
      </c>
      <c r="BK158" s="1397">
        <f ca="1">IF(B158&gt;=$J$5,0,((CONTADORES!BN158-CONTADORES!BN157)/1000))</f>
        <v>0</v>
      </c>
      <c r="BL158" s="1399">
        <f t="shared" ca="1" si="81"/>
        <v>0.318</v>
      </c>
      <c r="BM158" s="1399">
        <f t="shared" ca="1" si="82"/>
        <v>0.219</v>
      </c>
      <c r="BN158" s="1398">
        <f ca="1">IF(W158&gt;=$J$5,0,CONTADORES!$BO158)</f>
        <v>128</v>
      </c>
      <c r="BO158" s="1397">
        <f ca="1">IF(W158&gt;=$J$5,0,CONTADORES!$BP158)</f>
        <v>42.899000000000001</v>
      </c>
      <c r="BP158" s="1397">
        <f ca="1">IF(W158&gt;=$J$5,0,CONTADORES!$BQ158)</f>
        <v>649</v>
      </c>
      <c r="BQ158" s="1397">
        <f ca="1">IF(B158&gt;=$J$5,0,(CONTADORES!AS158-CONTADORES!AS157))</f>
        <v>4.8000000000029104</v>
      </c>
      <c r="BR158" s="1397">
        <f ca="1">IF(B158&gt;=$J$5,0,(CONTADORES!AT158-CONTADORES!AT157))</f>
        <v>0</v>
      </c>
      <c r="BS158" s="1398">
        <f ca="1">IF(B158&gt;=$J$5,0,CONTADORES!BR158-CONTADORES!BR157)/1000</f>
        <v>2.64</v>
      </c>
      <c r="BT158" s="1398">
        <f ca="1">IF(B158&gt;=$J$5,0,CONTADORES!BS158-CONTADORES!BS157)</f>
        <v>1</v>
      </c>
      <c r="BU158" s="1398">
        <f ca="1">IF(B158&gt;=$J$5,0,CONTADORES!BT158-CONTADORES!BT157)</f>
        <v>24</v>
      </c>
      <c r="BV158" s="1398">
        <f ca="1">IF(B158&gt;=$J$5,0,CONTADORES!BU158-CONTADORES!BU157)/1000</f>
        <v>4.5519999999999996</v>
      </c>
      <c r="BW158" s="1398">
        <f ca="1">IF(B158&gt;=$J$5,0,CONTADORES!BV158-CONTADORES!BV157)/1000</f>
        <v>0.73899999999999999</v>
      </c>
      <c r="BX158" s="1398">
        <f ca="1">IF(B158&gt;=$J$5,0,CONTADORES!BW158-CONTADORES!BW157)</f>
        <v>24</v>
      </c>
      <c r="BY158" s="1398">
        <f ca="1">IF(B158&gt;=$J$5,0,CONTADORES!BX158-CONTADORES!BX157)/1000</f>
        <v>0</v>
      </c>
      <c r="BZ158" s="1398">
        <f ca="1">IF(B158&gt;=$J$5,0,CONTADORES!BY158-CONTADORES!BY157)/1000</f>
        <v>0</v>
      </c>
      <c r="CA158" s="1398">
        <f ca="1">IF(B158&gt;=$J$5,0,CONTADORES!BZ158-CONTADORES!BZ157)</f>
        <v>0</v>
      </c>
      <c r="CB158" s="1398">
        <f ca="1">IF(B158&gt;=$J$5,0,(CONTADORES!CC158-CONTADORES!CC157)+(CONTADORES!CE158-CONTADORES!CE157))/1000</f>
        <v>1.2669999999999999</v>
      </c>
      <c r="CC158" s="1398">
        <f ca="1">IF(B158&gt;=$J$5,0,(CONTADORES!CD158-CONTADORES!CD157)+(CONTADORES!CF158-CONTADORES!CF157))/1000</f>
        <v>0.70199999999999996</v>
      </c>
      <c r="CD158" s="1398">
        <f ca="1">IF(B158&gt;=$J$5,0,CONTADORES!CA158-CONTADORES!CA157)</f>
        <v>6.4000000000014552</v>
      </c>
      <c r="CE158" s="1398">
        <f ca="1">IF(B158&gt;=$J$5,0,CONTADORES!CB158-CONTADORES!CB157)</f>
        <v>4.5</v>
      </c>
      <c r="CF158" s="1398">
        <f t="shared" ca="1" si="83"/>
        <v>12.004000000000598</v>
      </c>
      <c r="CG158" s="1398">
        <f t="shared" ca="1" si="84"/>
        <v>9.8999999999996362</v>
      </c>
      <c r="CH158" s="1398">
        <f t="shared" ca="1" si="85"/>
        <v>5.603999999999143</v>
      </c>
      <c r="CI158" s="1398">
        <f t="shared" ca="1" si="86"/>
        <v>1.7732000000001094</v>
      </c>
      <c r="CJ158" s="1398">
        <f t="shared" ca="1" si="87"/>
        <v>5.603999999999143</v>
      </c>
      <c r="CK158" s="1398">
        <f t="shared" ca="1" si="88"/>
        <v>2.659800000000164</v>
      </c>
      <c r="CL158" s="1398">
        <f t="shared" ca="1" si="89"/>
        <v>3.0402000000001093</v>
      </c>
      <c r="CM158" s="1398">
        <f t="shared" ca="1" si="90"/>
        <v>5.3999999999996362</v>
      </c>
      <c r="CN158" s="1398">
        <f ca="1">IF(B158&gt;=$J$5,0,CONTADORES!CB158-CONTADORES!CB157)</f>
        <v>4.5</v>
      </c>
      <c r="CO158" s="1398">
        <f t="shared" ca="1" si="91"/>
        <v>5.3999999999996362</v>
      </c>
      <c r="CP158" s="1398">
        <f t="shared" ca="1" si="92"/>
        <v>1.25</v>
      </c>
      <c r="CQ158" s="1398">
        <f t="shared" ca="1" si="93"/>
        <v>1.25</v>
      </c>
      <c r="CR158" s="1398">
        <f t="shared" ca="1" si="94"/>
        <v>1.952</v>
      </c>
      <c r="CS158" s="1448">
        <f ca="1">IF($B158&gt;=$J$5,0,CONTADORES!$BI158)</f>
        <v>8802.9058723656999</v>
      </c>
      <c r="CT158" s="1369">
        <f>CONTADORES!E158</f>
        <v>0</v>
      </c>
      <c r="CU158" s="1369">
        <f>CONTADORES!CG158</f>
        <v>0</v>
      </c>
    </row>
    <row r="159" spans="2:99">
      <c r="B159" s="390">
        <v>45075</v>
      </c>
      <c r="C159" s="198">
        <f t="shared" ca="1" si="68"/>
        <v>302</v>
      </c>
      <c r="D159" s="196">
        <f ca="1">'CALCULO DE GAS'!D168</f>
        <v>5.1822207448858251</v>
      </c>
      <c r="E159" s="196">
        <f ca="1">IF(B159&gt;=$J$5,0,(CONTADORES!$AD159-CONTADORES!$AD158)-$H159)</f>
        <v>24</v>
      </c>
      <c r="F159" s="198">
        <f t="shared" ca="1" si="96"/>
        <v>0</v>
      </c>
      <c r="G159" s="196">
        <f ca="1">IF(B159&gt;=$J$5,0,CONTADORES!$AF159-CONTADORES!$AF158)</f>
        <v>0</v>
      </c>
      <c r="H159" s="196">
        <f ca="1">IF(G159&gt;0,CONTADORES!$AE159-CONTADORES!$AE158,0)</f>
        <v>0</v>
      </c>
      <c r="I159" s="199">
        <f ca="1">IF(B159&gt;=$J$5,0,CONTADORES!$AB159-CONTADORES!$AB158)</f>
        <v>302</v>
      </c>
      <c r="J159" s="198">
        <f t="shared" ca="1" si="69"/>
        <v>148.30000000000291</v>
      </c>
      <c r="K159" s="196">
        <f ca="1">'CALCULO DE GAS'!E168</f>
        <v>3.867142486084707</v>
      </c>
      <c r="L159" s="1396">
        <f ca="1">IF(B159&gt;=$J$5,0,(CONTADORES!$Y159-CONTADORES!$Y158)-$O159)</f>
        <v>24</v>
      </c>
      <c r="M159" s="1396">
        <f t="shared" ca="1" si="95"/>
        <v>0</v>
      </c>
      <c r="N159" s="1396">
        <f ca="1">IF(B159&gt;=$J$5,0,CONTADORES!$AA159-CONTADORES!$AA158)</f>
        <v>0</v>
      </c>
      <c r="O159" s="1396">
        <f ca="1">IF(N159&gt;0,CONTADORES!$Z159-CONTADORES!$Z158,0)</f>
        <v>0</v>
      </c>
      <c r="P159" s="202">
        <f ca="1">IF(B159&gt;=$J$5,0,CONTADORES!$W159-CONTADORES!$W158)</f>
        <v>148.30000000000291</v>
      </c>
      <c r="Q159" s="202">
        <f ca="1">IF(B159&gt;=$J$5,0,CONTADORES!$B159-CONTADORES!$B158)</f>
        <v>0</v>
      </c>
      <c r="R159" s="196">
        <f t="shared" ca="1" si="70"/>
        <v>0</v>
      </c>
      <c r="S159" s="11">
        <f ca="1">IF(B159&gt;=$J$5,0,CONTADORES!$D159-CONTADORES!$D158)</f>
        <v>0</v>
      </c>
      <c r="T159" s="198">
        <f ca="1">IF(B159&gt;=$J$5,0,CONTADORES!$BB159-CONTADORES!$BB158)</f>
        <v>0</v>
      </c>
      <c r="U159" s="196">
        <f t="shared" ca="1" si="65"/>
        <v>0</v>
      </c>
      <c r="V159" s="199">
        <f ca="1">IF(B159&gt;=$J$5,0,CONTADORES!$BD159-CONTADORES!$BD158)</f>
        <v>0</v>
      </c>
      <c r="W159" s="1397">
        <f t="shared" ca="1" si="71"/>
        <v>450.30000000000291</v>
      </c>
      <c r="X159" s="1397">
        <f t="shared" ca="1" si="72"/>
        <v>0</v>
      </c>
      <c r="Y159" s="1398">
        <f t="shared" ca="1" si="73"/>
        <v>450.30000000000291</v>
      </c>
      <c r="Z159" s="1398">
        <f t="shared" ca="1" si="74"/>
        <v>9.0493632309705312</v>
      </c>
      <c r="AA159" s="1398">
        <f t="shared" ca="1" si="75"/>
        <v>0</v>
      </c>
      <c r="AB159" s="1398">
        <f t="shared" ca="1" si="76"/>
        <v>48</v>
      </c>
      <c r="AC159" s="1397">
        <f t="shared" ca="1" si="77"/>
        <v>0</v>
      </c>
      <c r="AD159" s="1397">
        <f ca="1">IF(B159&gt;=$J$5,0,CONTADORES!H159-CONTADORES!H158)</f>
        <v>164.55599999999959</v>
      </c>
      <c r="AE159" s="1398">
        <f ca="1">IF(B159&gt;=$J$5,0,CONTADORES!J159-CONTADORES!J158)</f>
        <v>24</v>
      </c>
      <c r="AF159" s="1397">
        <f ca="1">IF(B159&gt;=$J$5,0,CONTADORES!AU159-CONTADORES!AU158)</f>
        <v>154</v>
      </c>
      <c r="AG159" s="1398">
        <f ca="1">IF(B159&gt;=$J$5,0,CONTADORES!AW159-CONTADORES!AW158)</f>
        <v>24</v>
      </c>
      <c r="AH159" s="1398">
        <f ca="1">IF(B159&gt;=$J$5,0,(CONTADORES!AM159-CONTADORES!AM158)+(CONTADORES!M159-CONTADORES!M158))</f>
        <v>11</v>
      </c>
      <c r="AI159" s="1397">
        <f ca="1">IF(B159&gt;=$J$5,0,(CONTADORES!AK159-CONTADORES!AK158)+(CONTADORES!O159-CONTADORES!O158))</f>
        <v>35.400000000008731</v>
      </c>
      <c r="AJ159" s="1397">
        <f ca="1">IF(B159&gt;=$J$5,0,(CONTADORES!AI159-CONTADORES!AI158))</f>
        <v>6.5</v>
      </c>
      <c r="AK159" s="1397">
        <f ca="1">IF(B159&gt;=$J$5,0,(CONTADORES!Q159-CONTADORES!Q158))</f>
        <v>12</v>
      </c>
      <c r="AL159" s="1398">
        <f t="shared" ca="1" si="78"/>
        <v>35.343999999994651</v>
      </c>
      <c r="AM159" s="1397">
        <f ca="1">IF(B159&gt;=$J$5,0,(((CONTADORES!F159-CONTADORES!F158)+(CONTADORES!AQ159-CONTADORES!AQ158))))-BS159-AF159-AN159-BV159-BY159-CD159-CB159</f>
        <v>13.812000000001275</v>
      </c>
      <c r="AN159" s="1397">
        <f ca="1">IF(B159&gt;=$J$5,0,(CONTADORES!AX159-CONTADORES!AX158)+(CONTADORES!AZ159-CONTADORES!AZ158)+(CONTADORES!BE159-CONTADORES!BE158))-CB159</f>
        <v>4.2829999999998183</v>
      </c>
      <c r="AO159" s="1397">
        <f ca="1">IF(B159&gt;=$J$5,0,(CONTADORES!AC159-CONTADORES!AC158))</f>
        <v>147</v>
      </c>
      <c r="AP159" s="1397">
        <f ca="1">IF(B159&gt;=$J$5,0,(CONTADORES!X159-CONTADORES!X158))</f>
        <v>75</v>
      </c>
      <c r="AQ159" s="1397">
        <f ca="1">IF(B159&gt;=$J$5,0,(CONTADORES!C159-CONTADORES!C158))</f>
        <v>0</v>
      </c>
      <c r="AR159" s="1397">
        <f ca="1">IF(B159&gt;=$J$5,0,(CONTADORES!BC159-CONTADORES!BC158))</f>
        <v>0</v>
      </c>
      <c r="AS159" s="1397">
        <f ca="1">IF(B159&gt;=$J$5,0,CONTADORES!S159-CONTADORES!S158)</f>
        <v>15</v>
      </c>
      <c r="AT159" s="1397">
        <f ca="1">IF(B159&gt;=$J$5,0,(CONTADORES!U159-CONTADORES!U158)+(CONTADORES!AG159-CONTADORES!AG158))</f>
        <v>2.3700000000008004</v>
      </c>
      <c r="AU159" s="1397">
        <f ca="1">IF(B159&gt;=$J$5,0,(CONTADORES!I159-CONTADORES!I158))</f>
        <v>82.566000000000258</v>
      </c>
      <c r="AV159" s="1397">
        <f ca="1">IF(B159&gt;=$J$5,0,(CONTADORES!AV159-CONTADORES!AV158))</f>
        <v>66</v>
      </c>
      <c r="AW159" s="1397">
        <f ca="1">IF(B159&gt;=$J$5,0,(CONTADORES!N159-CONTADORES!N158)+(CONTADORES!AN159-CONTADORES!AN158))</f>
        <v>4.4000000000014552</v>
      </c>
      <c r="AX159" s="1397">
        <f ca="1">IF(B159&gt;=$J$5,0,(CONTADORES!P159-CONTADORES!P158)+(CONTADORES!AL159-CONTADORES!AL158))</f>
        <v>29.900000000001455</v>
      </c>
      <c r="AY159" s="1397">
        <f ca="1">IF(B159&gt;=$J$5,0,(CONTADORES!AJ159-CONTADORES!AJ158))</f>
        <v>4.6999999999970896</v>
      </c>
      <c r="AZ159" s="1397">
        <f ca="1">IF(B159&gt;=$J$5,0,(CONTADORES!R159-CONTADORES!R158))</f>
        <v>10</v>
      </c>
      <c r="BA159" s="1398">
        <f t="shared" ca="1" si="79"/>
        <v>5.9429999999993868</v>
      </c>
      <c r="BB159" s="1397">
        <f ca="1">IF(B159&gt;=$J$5,0,(((CONTADORES!G159-CONTADORES!G158)+(CONTADORES!AR159-CONTADORES!AR158)+AR159)-(AV159+BC159)))</f>
        <v>10.300000000000182</v>
      </c>
      <c r="BC159" s="1397">
        <f ca="1">IF(B159&gt;=$J$5,0,(CONTADORES!AY159-CONTADORES!AY158)+(CONTADORES!BA159-CONTADORES!BA158)+(CONTADORES!BF159-CONTADORES!BF158))</f>
        <v>2.5</v>
      </c>
      <c r="BD159" s="1397">
        <f t="shared" ca="1" si="80"/>
        <v>222</v>
      </c>
      <c r="BE159" s="1398">
        <f ca="1">IF($B159&gt;=$J$5,0,CONTADORES!$BG159)</f>
        <v>5698.03</v>
      </c>
      <c r="BF159" s="1397">
        <f ca="1">IF($B159&gt;=$J$5,0,CONTADORES!$BH159)</f>
        <v>31638.859649122805</v>
      </c>
      <c r="BG159" s="1397">
        <f ca="1">IF($B159&gt;=$J$5,0,CONTADORES!$BJ159)</f>
        <v>5524.079999999999</v>
      </c>
      <c r="BH159" s="1397">
        <f ca="1">IF(B159&gt;=$J$5,0,((CONTADORES!BK159-CONTADORES!BK158)/1000))</f>
        <v>0.28799999999999998</v>
      </c>
      <c r="BI159" s="1397">
        <f ca="1">IF(B159&gt;=$J$5,0,((CONTADORES!BL159-CONTADORES!BL158)/1000))</f>
        <v>0.215</v>
      </c>
      <c r="BJ159" s="1397">
        <f ca="1">IF(B159&gt;=$J$5,0,((CONTADORES!BM159-CONTADORES!BM158)/1000))</f>
        <v>0</v>
      </c>
      <c r="BK159" s="1397">
        <f ca="1">IF(B159&gt;=$J$5,0,((CONTADORES!BN159-CONTADORES!BN158)/1000))</f>
        <v>0</v>
      </c>
      <c r="BL159" s="1399">
        <f t="shared" ca="1" si="81"/>
        <v>0.28799999999999998</v>
      </c>
      <c r="BM159" s="1399">
        <f t="shared" ca="1" si="82"/>
        <v>0.215</v>
      </c>
      <c r="BN159" s="1398">
        <f ca="1">IF(W159&gt;=$J$5,0,CONTADORES!$BO159)</f>
        <v>128</v>
      </c>
      <c r="BO159" s="1397">
        <f ca="1">IF(W159&gt;=$J$5,0,CONTADORES!$BP159)</f>
        <v>43.365000000000002</v>
      </c>
      <c r="BP159" s="1397">
        <f ca="1">IF(W159&gt;=$J$5,0,CONTADORES!$BQ159)</f>
        <v>648</v>
      </c>
      <c r="BQ159" s="1397">
        <f ca="1">IF(B159&gt;=$J$5,0,(CONTADORES!AS159-CONTADORES!AS158))</f>
        <v>5.2999999999956344</v>
      </c>
      <c r="BR159" s="1397">
        <f ca="1">IF(B159&gt;=$J$5,0,(CONTADORES!AT159-CONTADORES!AT158))</f>
        <v>0</v>
      </c>
      <c r="BS159" s="1398">
        <f ca="1">IF(B159&gt;=$J$5,0,CONTADORES!BR159-CONTADORES!BR158)/1000</f>
        <v>0</v>
      </c>
      <c r="BT159" s="1398">
        <f ca="1">IF(B159&gt;=$J$5,0,CONTADORES!BS159-CONTADORES!BS158)</f>
        <v>0</v>
      </c>
      <c r="BU159" s="1398">
        <f ca="1">IF(B159&gt;=$J$5,0,CONTADORES!BT159-CONTADORES!BT158)</f>
        <v>13</v>
      </c>
      <c r="BV159" s="1398">
        <f ca="1">IF(B159&gt;=$J$5,0,CONTADORES!BU159-CONTADORES!BU158)/1000</f>
        <v>4.008</v>
      </c>
      <c r="BW159" s="1398">
        <f ca="1">IF(B159&gt;=$J$5,0,CONTADORES!BV159-CONTADORES!BV158)/1000</f>
        <v>0.46300000000000002</v>
      </c>
      <c r="BX159" s="1398">
        <f ca="1">IF(B159&gt;=$J$5,0,CONTADORES!BW159-CONTADORES!BW158)</f>
        <v>24</v>
      </c>
      <c r="BY159" s="1398">
        <f ca="1">IF(B159&gt;=$J$5,0,CONTADORES!BX159-CONTADORES!BX158)/1000</f>
        <v>1.78</v>
      </c>
      <c r="BZ159" s="1398">
        <f ca="1">IF(B159&gt;=$J$5,0,CONTADORES!BY159-CONTADORES!BY158)/1000</f>
        <v>0.152</v>
      </c>
      <c r="CA159" s="1398">
        <f ca="1">IF(B159&gt;=$J$5,0,CONTADORES!BZ159-CONTADORES!BZ158)</f>
        <v>7.6699999999982538</v>
      </c>
      <c r="CB159" s="1398">
        <f ca="1">IF(B159&gt;=$J$5,0,(CONTADORES!CC159-CONTADORES!CC158)+(CONTADORES!CE159-CONTADORES!CE158))/1000</f>
        <v>1.417</v>
      </c>
      <c r="CC159" s="1398">
        <f ca="1">IF(B159&gt;=$J$5,0,(CONTADORES!CD159-CONTADORES!CD158)+(CONTADORES!CF159-CONTADORES!CF158))/1000</f>
        <v>0.77600000000000002</v>
      </c>
      <c r="CD159" s="1398">
        <f ca="1">IF(B159&gt;=$J$5,0,CONTADORES!CA159-CONTADORES!CA158)</f>
        <v>6.1999999999989086</v>
      </c>
      <c r="CE159" s="1398">
        <f ca="1">IF(B159&gt;=$J$5,0,CONTADORES!CB159-CONTADORES!CB158)</f>
        <v>4.3000000000001819</v>
      </c>
      <c r="CF159" s="1398">
        <f t="shared" ca="1" si="83"/>
        <v>13.105999999999547</v>
      </c>
      <c r="CG159" s="1398">
        <f t="shared" ca="1" si="84"/>
        <v>9.4500000000002728</v>
      </c>
      <c r="CH159" s="1398">
        <f t="shared" ca="1" si="85"/>
        <v>6.9060000000006374</v>
      </c>
      <c r="CI159" s="1398">
        <f t="shared" ca="1" si="86"/>
        <v>1.7131999999999274</v>
      </c>
      <c r="CJ159" s="1398">
        <f t="shared" ca="1" si="87"/>
        <v>6.9060000000006374</v>
      </c>
      <c r="CK159" s="1398">
        <f t="shared" ca="1" si="88"/>
        <v>2.5697999999998906</v>
      </c>
      <c r="CL159" s="1398">
        <f t="shared" ca="1" si="89"/>
        <v>3.1301999999999275</v>
      </c>
      <c r="CM159" s="1398">
        <f t="shared" ca="1" si="90"/>
        <v>5.1500000000000909</v>
      </c>
      <c r="CN159" s="1398">
        <f ca="1">IF(B159&gt;=$J$5,0,CONTADORES!CB159-CONTADORES!CB158)</f>
        <v>4.3000000000001819</v>
      </c>
      <c r="CO159" s="1398">
        <f t="shared" ca="1" si="91"/>
        <v>5.1500000000000909</v>
      </c>
      <c r="CP159" s="1398">
        <f t="shared" ca="1" si="92"/>
        <v>1.25</v>
      </c>
      <c r="CQ159" s="1398">
        <f t="shared" ca="1" si="93"/>
        <v>1.25</v>
      </c>
      <c r="CR159" s="1398">
        <f t="shared" ca="1" si="94"/>
        <v>2.0259999999999998</v>
      </c>
      <c r="CS159" s="1448">
        <f ca="1">IF($B159&gt;=$J$5,0,CONTADORES!$BI159)</f>
        <v>8816.8883857459077</v>
      </c>
      <c r="CT159" s="1369">
        <f>CONTADORES!E159</f>
        <v>0</v>
      </c>
      <c r="CU159" s="1369">
        <f>CONTADORES!CG159</f>
        <v>0</v>
      </c>
    </row>
    <row r="160" spans="2:99">
      <c r="B160" s="390">
        <v>45076</v>
      </c>
      <c r="C160" s="198">
        <f t="shared" ca="1" si="68"/>
        <v>307.30000000004657</v>
      </c>
      <c r="D160" s="196">
        <f ca="1">'CALCULO DE GAS'!D169</f>
        <v>5.2275682710517799</v>
      </c>
      <c r="E160" s="196">
        <f ca="1">IF(B160&gt;=$J$5,0,(CONTADORES!$AD160-CONTADORES!$AD159)-$H160)</f>
        <v>24</v>
      </c>
      <c r="F160" s="198">
        <f t="shared" ca="1" si="96"/>
        <v>0</v>
      </c>
      <c r="G160" s="196">
        <f ca="1">IF(B160&gt;=$J$5,0,CONTADORES!$AF160-CONTADORES!$AF159)</f>
        <v>0</v>
      </c>
      <c r="H160" s="196">
        <f ca="1">IF(G160&gt;0,CONTADORES!$AE160-CONTADORES!$AE159,0)</f>
        <v>0</v>
      </c>
      <c r="I160" s="199">
        <f ca="1">IF(B160&gt;=$J$5,0,CONTADORES!$AB160-CONTADORES!$AB159)</f>
        <v>307.30000000004657</v>
      </c>
      <c r="J160" s="198">
        <f t="shared" ca="1" si="69"/>
        <v>151</v>
      </c>
      <c r="K160" s="196">
        <f ca="1">'CALCULO DE GAS'!E169</f>
        <v>3.8902440560180791</v>
      </c>
      <c r="L160" s="1396">
        <f ca="1">IF(B160&gt;=$J$5,0,(CONTADORES!$Y160-CONTADORES!$Y159)-$O160)</f>
        <v>24</v>
      </c>
      <c r="M160" s="1396">
        <f t="shared" ca="1" si="95"/>
        <v>0</v>
      </c>
      <c r="N160" s="1396">
        <f ca="1">IF(B160&gt;=$J$5,0,CONTADORES!$AA160-CONTADORES!$AA159)</f>
        <v>0</v>
      </c>
      <c r="O160" s="1396">
        <f ca="1">IF(N160&gt;0,CONTADORES!$Z160-CONTADORES!$Z159,0)</f>
        <v>0</v>
      </c>
      <c r="P160" s="202">
        <f ca="1">IF(B160&gt;=$J$5,0,CONTADORES!$W160-CONTADORES!$W159)</f>
        <v>151</v>
      </c>
      <c r="Q160" s="202">
        <f ca="1">IF(B160&gt;=$J$5,0,CONTADORES!$B160-CONTADORES!$B159)</f>
        <v>0</v>
      </c>
      <c r="R160" s="196">
        <f t="shared" ca="1" si="70"/>
        <v>0</v>
      </c>
      <c r="S160" s="11">
        <f ca="1">IF(B160&gt;=$J$5,0,CONTADORES!$D160-CONTADORES!$D159)</f>
        <v>0</v>
      </c>
      <c r="T160" s="198">
        <f ca="1">IF(B160&gt;=$J$5,0,CONTADORES!$BB160-CONTADORES!$BB159)</f>
        <v>0</v>
      </c>
      <c r="U160" s="196">
        <f t="shared" ca="1" si="65"/>
        <v>0</v>
      </c>
      <c r="V160" s="199">
        <f ca="1">IF(B160&gt;=$J$5,0,CONTADORES!$BD160-CONTADORES!$BD159)</f>
        <v>0</v>
      </c>
      <c r="W160" s="1397">
        <f t="shared" ca="1" si="71"/>
        <v>458.30000000004657</v>
      </c>
      <c r="X160" s="1397">
        <f t="shared" ca="1" si="72"/>
        <v>0</v>
      </c>
      <c r="Y160" s="1398">
        <f t="shared" ca="1" si="73"/>
        <v>458.30000000004657</v>
      </c>
      <c r="Z160" s="1398">
        <f t="shared" ca="1" si="74"/>
        <v>9.1178123270698599</v>
      </c>
      <c r="AA160" s="1398">
        <f t="shared" ca="1" si="75"/>
        <v>0</v>
      </c>
      <c r="AB160" s="1398">
        <f t="shared" ca="1" si="76"/>
        <v>48</v>
      </c>
      <c r="AC160" s="1397">
        <f t="shared" ca="1" si="77"/>
        <v>0</v>
      </c>
      <c r="AD160" s="1397">
        <f ca="1">IF(B160&gt;=$J$5,0,CONTADORES!H160-CONTADORES!H159)</f>
        <v>163.8690000000006</v>
      </c>
      <c r="AE160" s="1398">
        <f ca="1">IF(B160&gt;=$J$5,0,CONTADORES!J160-CONTADORES!J159)</f>
        <v>24</v>
      </c>
      <c r="AF160" s="1397">
        <f ca="1">IF(B160&gt;=$J$5,0,CONTADORES!AU160-CONTADORES!AU159)</f>
        <v>160</v>
      </c>
      <c r="AG160" s="1398">
        <f ca="1">IF(B160&gt;=$J$5,0,CONTADORES!AW160-CONTADORES!AW159)</f>
        <v>24</v>
      </c>
      <c r="AH160" s="1398">
        <f ca="1">IF(B160&gt;=$J$5,0,(CONTADORES!AM160-CONTADORES!AM159)+(CONTADORES!M160-CONTADORES!M159))</f>
        <v>11.5</v>
      </c>
      <c r="AI160" s="1397">
        <f ca="1">IF(B160&gt;=$J$5,0,(CONTADORES!AK160-CONTADORES!AK159)+(CONTADORES!O160-CONTADORES!O159))</f>
        <v>35.5</v>
      </c>
      <c r="AJ160" s="1397">
        <f ca="1">IF(B160&gt;=$J$5,0,(CONTADORES!AI160-CONTADORES!AI159))</f>
        <v>7.8000000000029104</v>
      </c>
      <c r="AK160" s="1397">
        <f ca="1">IF(B160&gt;=$J$5,0,(CONTADORES!Q160-CONTADORES!Q159))</f>
        <v>14.399999999994179</v>
      </c>
      <c r="AL160" s="1398">
        <f t="shared" ca="1" si="78"/>
        <v>35.431000000035056</v>
      </c>
      <c r="AM160" s="1397">
        <f ca="1">IF(B160&gt;=$J$5,0,(((CONTADORES!F160-CONTADORES!F159)+(CONTADORES!AQ160-CONTADORES!AQ159))))-BS160-AF160-AN160-BV160-BY160-CD160-CB160</f>
        <v>9.6518000000130932</v>
      </c>
      <c r="AN160" s="1397">
        <f ca="1">IF(B160&gt;=$J$5,0,(CONTADORES!AX160-CONTADORES!AX159)+(CONTADORES!AZ160-CONTADORES!AZ159)+(CONTADORES!BE160-CONTADORES!BE159))-CB160</f>
        <v>4.3470000000001816</v>
      </c>
      <c r="AO160" s="1397">
        <f ca="1">IF(B160&gt;=$J$5,0,(CONTADORES!AC160-CONTADORES!AC159))</f>
        <v>150.79999999998836</v>
      </c>
      <c r="AP160" s="1397">
        <f ca="1">IF(B160&gt;=$J$5,0,(CONTADORES!X160-CONTADORES!X159))</f>
        <v>77.700000000000728</v>
      </c>
      <c r="AQ160" s="1397">
        <f ca="1">IF(B160&gt;=$J$5,0,(CONTADORES!C160-CONTADORES!C159))</f>
        <v>0</v>
      </c>
      <c r="AR160" s="1397">
        <f ca="1">IF(B160&gt;=$J$5,0,(CONTADORES!BC160-CONTADORES!BC159))</f>
        <v>0</v>
      </c>
      <c r="AS160" s="1397">
        <f ca="1">IF(B160&gt;=$J$5,0,CONTADORES!S160-CONTADORES!S159)</f>
        <v>15.600000000005821</v>
      </c>
      <c r="AT160" s="1397">
        <f ca="1">IF(B160&gt;=$J$5,0,(CONTADORES!U160-CONTADORES!U159)+(CONTADORES!AG160-CONTADORES!AG159))</f>
        <v>4.1000000000003638</v>
      </c>
      <c r="AU160" s="1397">
        <f ca="1">IF(B160&gt;=$J$5,0,(CONTADORES!I160-CONTADORES!I159))</f>
        <v>82.869999999999891</v>
      </c>
      <c r="AV160" s="1397">
        <f ca="1">IF(B160&gt;=$J$5,0,(CONTADORES!AV160-CONTADORES!AV159))</f>
        <v>69</v>
      </c>
      <c r="AW160" s="1397">
        <f ca="1">IF(B160&gt;=$J$5,0,(CONTADORES!N160-CONTADORES!N159)+(CONTADORES!AN160-CONTADORES!AN159))</f>
        <v>4.5</v>
      </c>
      <c r="AX160" s="1397">
        <f ca="1">IF(B160&gt;=$J$5,0,(CONTADORES!P160-CONTADORES!P159)+(CONTADORES!AL160-CONTADORES!AL159))</f>
        <v>29.900000000001455</v>
      </c>
      <c r="AY160" s="1397">
        <f ca="1">IF(B160&gt;=$J$5,0,(CONTADORES!AJ160-CONTADORES!AJ159))</f>
        <v>6</v>
      </c>
      <c r="AZ160" s="1397">
        <f ca="1">IF(B160&gt;=$J$5,0,(CONTADORES!R160-CONTADORES!R159))</f>
        <v>11.100000000005821</v>
      </c>
      <c r="BA160" s="1398">
        <f t="shared" ca="1" si="79"/>
        <v>5.2659999999695231</v>
      </c>
      <c r="BB160" s="1397">
        <f ca="1">IF(B160&gt;=$J$5,0,(((CONTADORES!G160-CONTADORES!G159)+(CONTADORES!AR160-CONTADORES!AR159)+AR160)-(AV160+BC160)))</f>
        <v>10.400000000011914</v>
      </c>
      <c r="BC160" s="1397">
        <f ca="1">IF(B160&gt;=$J$5,0,(CONTADORES!AY160-CONTADORES!AY159)+(CONTADORES!BA160-CONTADORES!BA159)+(CONTADORES!BF160-CONTADORES!BF159))</f>
        <v>2.4000000000000909</v>
      </c>
      <c r="BD160" s="1397">
        <f t="shared" ca="1" si="80"/>
        <v>228.49999999998909</v>
      </c>
      <c r="BE160" s="1398">
        <f ca="1">IF($B160&gt;=$J$5,0,CONTADORES!$BG160)</f>
        <v>5968.94</v>
      </c>
      <c r="BF160" s="1397">
        <f ca="1">IF($B160&gt;=$J$5,0,CONTADORES!$BH160)</f>
        <v>30440.475438596499</v>
      </c>
      <c r="BG160" s="1397">
        <f ca="1">IF($B160&gt;=$J$5,0,CONTADORES!$BJ160)</f>
        <v>8331.84</v>
      </c>
      <c r="BH160" s="1397">
        <f ca="1">IF(B160&gt;=$J$5,0,((CONTADORES!BK160-CONTADORES!BK159)/1000))</f>
        <v>0.19500000000000001</v>
      </c>
      <c r="BI160" s="1397">
        <f ca="1">IF(B160&gt;=$J$5,0,((CONTADORES!BL160-CONTADORES!BL159)/1000))</f>
        <v>0.16300000000000001</v>
      </c>
      <c r="BJ160" s="1397">
        <f ca="1">IF(B160&gt;=$J$5,0,((CONTADORES!BM160-CONTADORES!BM159)/1000))</f>
        <v>2.1999999999999999E-2</v>
      </c>
      <c r="BK160" s="1397">
        <f ca="1">IF(B160&gt;=$J$5,0,((CONTADORES!BN160-CONTADORES!BN159)/1000))</f>
        <v>1.4999999999999999E-2</v>
      </c>
      <c r="BL160" s="1399">
        <f t="shared" ca="1" si="81"/>
        <v>0.217</v>
      </c>
      <c r="BM160" s="1399">
        <f t="shared" ca="1" si="82"/>
        <v>0.17799999999999999</v>
      </c>
      <c r="BN160" s="1398">
        <f ca="1">IF(W160&gt;=$J$5,0,CONTADORES!$BO160)</f>
        <v>63</v>
      </c>
      <c r="BO160" s="1397">
        <f ca="1">IF(W160&gt;=$J$5,0,CONTADORES!$BP160)</f>
        <v>21.643000000000001</v>
      </c>
      <c r="BP160" s="1397">
        <f ca="1">IF(W160&gt;=$J$5,0,CONTADORES!$BQ160)</f>
        <v>321</v>
      </c>
      <c r="BQ160" s="1397">
        <f ca="1">IF(B160&gt;=$J$5,0,(CONTADORES!AS160-CONTADORES!AS159))</f>
        <v>5.9000000000014552</v>
      </c>
      <c r="BR160" s="1397">
        <f ca="1">IF(B160&gt;=$J$5,0,(CONTADORES!AT160-CONTADORES!AT159))</f>
        <v>0</v>
      </c>
      <c r="BS160" s="1398">
        <f ca="1">IF(B160&gt;=$J$5,0,CONTADORES!BR160-CONTADORES!BR159)/1000</f>
        <v>0.83520000000018624</v>
      </c>
      <c r="BT160" s="1398">
        <f ca="1">IF(B160&gt;=$J$5,0,CONTADORES!BS160-CONTADORES!BS159)</f>
        <v>1</v>
      </c>
      <c r="BU160" s="1398">
        <f ca="1">IF(B160&gt;=$J$5,0,CONTADORES!BT160-CONTADORES!BT159)</f>
        <v>8.7999999999992724</v>
      </c>
      <c r="BV160" s="1398">
        <f ca="1">IF(B160&gt;=$J$5,0,CONTADORES!BU160-CONTADORES!BU159)/1000</f>
        <v>3.262</v>
      </c>
      <c r="BW160" s="1398">
        <f ca="1">IF(B160&gt;=$J$5,0,CONTADORES!BV160-CONTADORES!BV159)/1000</f>
        <v>0.35299999999999998</v>
      </c>
      <c r="BX160" s="1398">
        <f ca="1">IF(B160&gt;=$J$5,0,CONTADORES!BW160-CONTADORES!BW159)</f>
        <v>23.700000000000728</v>
      </c>
      <c r="BY160" s="1398">
        <f ca="1">IF(B160&gt;=$J$5,0,CONTADORES!BX160-CONTADORES!BX159)/1000</f>
        <v>3.6509999999999998</v>
      </c>
      <c r="BZ160" s="1398">
        <f ca="1">IF(B160&gt;=$J$5,0,CONTADORES!BY160-CONTADORES!BY159)/1000</f>
        <v>0.30599999999999999</v>
      </c>
      <c r="CA160" s="1398">
        <f ca="1">IF(B160&gt;=$J$5,0,CONTADORES!BZ160-CONTADORES!BZ159)</f>
        <v>15.80000000000291</v>
      </c>
      <c r="CB160" s="1398">
        <f ca="1">IF(B160&gt;=$J$5,0,(CONTADORES!CC160-CONTADORES!CC159)+(CONTADORES!CE160-CONTADORES!CE159))/1000</f>
        <v>1.4530000000000001</v>
      </c>
      <c r="CC160" s="1398">
        <f ca="1">IF(B160&gt;=$J$5,0,(CONTADORES!CD160-CONTADORES!CD159)+(CONTADORES!CF160-CONTADORES!CF159))/1000</f>
        <v>0.80500000000000005</v>
      </c>
      <c r="CD160" s="1398">
        <f ca="1">IF(B160&gt;=$J$5,0,CONTADORES!CA160-CONTADORES!CA159)</f>
        <v>6.6000000000003638</v>
      </c>
      <c r="CE160" s="1398">
        <f ca="1">IF(B160&gt;=$J$5,0,CONTADORES!CB160-CONTADORES!CB159)</f>
        <v>4.6000000000003638</v>
      </c>
      <c r="CF160" s="1398">
        <f t="shared" ca="1" si="83"/>
        <v>11.42590000000691</v>
      </c>
      <c r="CG160" s="1398">
        <f t="shared" ca="1" si="84"/>
        <v>9.800000000006321</v>
      </c>
      <c r="CH160" s="1398">
        <f t="shared" ca="1" si="85"/>
        <v>4.8259000000065466</v>
      </c>
      <c r="CI160" s="1398">
        <f t="shared" ca="1" si="86"/>
        <v>1.7388000000000727</v>
      </c>
      <c r="CJ160" s="1398">
        <f t="shared" ca="1" si="87"/>
        <v>4.8259000000065466</v>
      </c>
      <c r="CK160" s="1398">
        <f t="shared" ca="1" si="88"/>
        <v>2.6082000000001089</v>
      </c>
      <c r="CL160" s="1398">
        <f t="shared" ca="1" si="89"/>
        <v>3.1918000000000726</v>
      </c>
      <c r="CM160" s="1398">
        <f t="shared" ca="1" si="90"/>
        <v>5.2000000000059572</v>
      </c>
      <c r="CN160" s="1398">
        <f ca="1">IF(B160&gt;=$J$5,0,CONTADORES!CB160-CONTADORES!CB159)</f>
        <v>4.6000000000003638</v>
      </c>
      <c r="CO160" s="1398">
        <f t="shared" ca="1" si="91"/>
        <v>5.2000000000059572</v>
      </c>
      <c r="CP160" s="1398">
        <f t="shared" ca="1" si="92"/>
        <v>1.2000000000000455</v>
      </c>
      <c r="CQ160" s="1398">
        <f t="shared" ca="1" si="93"/>
        <v>1.2000000000000455</v>
      </c>
      <c r="CR160" s="1398">
        <f t="shared" ca="1" si="94"/>
        <v>2.0050000000000456</v>
      </c>
      <c r="CS160" s="1448">
        <f ca="1">IF($B160&gt;=$J$5,0,CONTADORES!$BI160)</f>
        <v>8767.6283199309692</v>
      </c>
      <c r="CT160" s="1369">
        <f>CONTADORES!E160</f>
        <v>0</v>
      </c>
      <c r="CU160" s="1369">
        <f>CONTADORES!CG160</f>
        <v>0</v>
      </c>
    </row>
    <row r="161" spans="2:99" ht="15" thickBot="1">
      <c r="B161" s="1043">
        <v>45077</v>
      </c>
      <c r="C161" s="203">
        <f t="shared" ca="1" si="68"/>
        <v>301.69999999995343</v>
      </c>
      <c r="D161" s="197">
        <f ca="1">'CALCULO DE GAS'!D170</f>
        <v>5.1796539037817162</v>
      </c>
      <c r="E161" s="197">
        <f ca="1">IF(B161&gt;=$J$5,0,(CONTADORES!$AD161-CONTADORES!$AD160)-$H161)</f>
        <v>24</v>
      </c>
      <c r="F161" s="200">
        <f t="shared" ca="1" si="96"/>
        <v>0</v>
      </c>
      <c r="G161" s="197">
        <f ca="1">IF(B161&gt;=$J$5,0,CONTADORES!$AF161-CONTADORES!$AF160)</f>
        <v>0</v>
      </c>
      <c r="H161" s="197">
        <f ca="1">IF(G161&gt;0,CONTADORES!$AE161-CONTADORES!$AE160,0)</f>
        <v>0</v>
      </c>
      <c r="I161" s="201">
        <f ca="1">IF(B161&gt;=$J$5,0,CONTADORES!$AB161-CONTADORES!$AB160)</f>
        <v>301.69999999995343</v>
      </c>
      <c r="J161" s="200">
        <f t="shared" ca="1" si="69"/>
        <v>149.09999999999854</v>
      </c>
      <c r="K161" s="197">
        <f ca="1">'CALCULO DE GAS'!E170</f>
        <v>3.8739873956945652</v>
      </c>
      <c r="L161" s="1424">
        <f ca="1">IF(B161&gt;=$J$5,0,(CONTADORES!$Y161-CONTADORES!$Y160)-$O161)</f>
        <v>24</v>
      </c>
      <c r="M161" s="1424">
        <f t="shared" ca="1" si="95"/>
        <v>0</v>
      </c>
      <c r="N161" s="1424">
        <f ca="1">IF(B161&gt;=$J$5,0,CONTADORES!$AA161-CONTADORES!$AA160)</f>
        <v>0</v>
      </c>
      <c r="O161" s="1424">
        <f ca="1">IF(N161&gt;0,CONTADORES!$Z161-CONTADORES!$Z160,0)</f>
        <v>0</v>
      </c>
      <c r="P161" s="203">
        <f ca="1">IF(B161&gt;=$J$5,0,CONTADORES!$W161-CONTADORES!$W160)</f>
        <v>149.09999999999854</v>
      </c>
      <c r="Q161" s="203">
        <f ca="1">IF(B161&gt;=$J$5,0,CONTADORES!$B161-CONTADORES!$B160)</f>
        <v>0</v>
      </c>
      <c r="R161" s="197">
        <f t="shared" ca="1" si="70"/>
        <v>0</v>
      </c>
      <c r="S161" s="64">
        <f ca="1">IF(B161&gt;=$J$5,0,CONTADORES!$D161-CONTADORES!$D160)</f>
        <v>0</v>
      </c>
      <c r="T161" s="200">
        <f ca="1">IF(B161&gt;=$J$5,0,CONTADORES!$BB161-CONTADORES!$BB160)</f>
        <v>0</v>
      </c>
      <c r="U161" s="197">
        <f t="shared" ca="1" si="65"/>
        <v>0</v>
      </c>
      <c r="V161" s="201">
        <f ca="1">IF(B161&gt;=$J$5,0,CONTADORES!$BD161-CONTADORES!$BD160)</f>
        <v>0</v>
      </c>
      <c r="W161" s="1425">
        <f t="shared" ca="1" si="71"/>
        <v>450.79999999995198</v>
      </c>
      <c r="X161" s="1425">
        <f t="shared" ca="1" si="72"/>
        <v>0</v>
      </c>
      <c r="Y161" s="1426">
        <f t="shared" ca="1" si="73"/>
        <v>450.79999999995198</v>
      </c>
      <c r="Z161" s="1426">
        <f t="shared" ca="1" si="74"/>
        <v>9.0536412994762809</v>
      </c>
      <c r="AA161" s="1426">
        <f t="shared" ca="1" si="75"/>
        <v>0</v>
      </c>
      <c r="AB161" s="1426">
        <f t="shared" ca="1" si="76"/>
        <v>48</v>
      </c>
      <c r="AC161" s="1425">
        <f t="shared" ca="1" si="77"/>
        <v>0</v>
      </c>
      <c r="AD161" s="1425">
        <f ca="1">IF(B161&gt;=$J$5,0,CONTADORES!H161-CONTADORES!H160)</f>
        <v>164.90999999999985</v>
      </c>
      <c r="AE161" s="1426">
        <f ca="1">IF(B161&gt;=$J$5,0,CONTADORES!J161-CONTADORES!J160)</f>
        <v>24</v>
      </c>
      <c r="AF161" s="1425">
        <f ca="1">IF(B161&gt;=$J$5,0,CONTADORES!AU161-CONTADORES!AU160)</f>
        <v>153</v>
      </c>
      <c r="AG161" s="1426">
        <f ca="1">IF(B161&gt;=$J$5,0,CONTADORES!AW161-CONTADORES!AW160)</f>
        <v>24</v>
      </c>
      <c r="AH161" s="1426">
        <f ca="1">IF(B161&gt;=$J$5,0,(CONTADORES!AM161-CONTADORES!AM160)+(CONTADORES!M161-CONTADORES!M160))</f>
        <v>11.100000000005821</v>
      </c>
      <c r="AI161" s="1425">
        <f ca="1">IF(B161&gt;=$J$5,0,(CONTADORES!AK161-CONTADORES!AK160)+(CONTADORES!O161-CONTADORES!O160))</f>
        <v>36.30000000000291</v>
      </c>
      <c r="AJ161" s="1425">
        <f ca="1">IF(B161&gt;=$J$5,0,(CONTADORES!AI161-CONTADORES!AI160))</f>
        <v>6.7999999999883585</v>
      </c>
      <c r="AK161" s="1425">
        <f ca="1">IF(B161&gt;=$J$5,0,(CONTADORES!Q161-CONTADORES!Q160))</f>
        <v>13.200000000011642</v>
      </c>
      <c r="AL161" s="1426">
        <f t="shared" ca="1" si="78"/>
        <v>35.389999999955762</v>
      </c>
      <c r="AM161" s="1425">
        <f ca="1">IF(B161&gt;=$J$5,0,(((CONTADORES!F161-CONTADORES!F160)+(CONTADORES!AQ161-CONTADORES!AQ160))))-BS161-AF161-AN161-BV161-BY161-CD161-CB161</f>
        <v>10.07019999998837</v>
      </c>
      <c r="AN161" s="1425">
        <f ca="1">IF(B161&gt;=$J$5,0,(CONTADORES!AX161-CONTADORES!AX160)+(CONTADORES!AZ161-CONTADORES!AZ160)+(CONTADORES!BE161-CONTADORES!BE160))-CB161</f>
        <v>4.8339999999998104</v>
      </c>
      <c r="AO161" s="1425">
        <f ca="1">IF(B161&gt;=$J$5,0,(CONTADORES!AC161-CONTADORES!AC160))</f>
        <v>148.20000000001164</v>
      </c>
      <c r="AP161" s="1425">
        <f ca="1">IF(B161&gt;=$J$5,0,(CONTADORES!X161-CONTADORES!X160))</f>
        <v>76.599999999998545</v>
      </c>
      <c r="AQ161" s="1425">
        <f ca="1">IF(B161&gt;=$J$5,0,(CONTADORES!C161-CONTADORES!C160))</f>
        <v>0</v>
      </c>
      <c r="AR161" s="1425">
        <f ca="1">IF(B161&gt;=$J$5,0,(CONTADORES!BC161-CONTADORES!BC160))</f>
        <v>0</v>
      </c>
      <c r="AS161" s="1425">
        <f ca="1">IF(B161&gt;=$J$5,0,CONTADORES!S161-CONTADORES!S160)</f>
        <v>14.899999999994179</v>
      </c>
      <c r="AT161" s="1425">
        <f ca="1">IF(B161&gt;=$J$5,0,(CONTADORES!U161-CONTADORES!U160)+(CONTADORES!AG161-CONTADORES!AG160))</f>
        <v>4.1000000000003638</v>
      </c>
      <c r="AU161" s="1425">
        <f ca="1">IF(B161&gt;=$J$5,0,(CONTADORES!I161-CONTADORES!I160))</f>
        <v>82.599999999999909</v>
      </c>
      <c r="AV161" s="1425">
        <f ca="1">IF(B161&gt;=$J$5,0,(CONTADORES!AV161-CONTADORES!AV160))</f>
        <v>66</v>
      </c>
      <c r="AW161" s="1425">
        <f ca="1">IF(B161&gt;=$J$5,0,(CONTADORES!N161-CONTADORES!N160)+(CONTADORES!AN161-CONTADORES!AN160))</f>
        <v>4</v>
      </c>
      <c r="AX161" s="1425">
        <f ca="1">IF(B161&gt;=$J$5,0,(CONTADORES!P161-CONTADORES!P160)+(CONTADORES!AL161-CONTADORES!AL160))</f>
        <v>30.69999999999709</v>
      </c>
      <c r="AY161" s="1425">
        <f ca="1">IF(B161&gt;=$J$5,0,(CONTADORES!AJ161-CONTADORES!AJ160))</f>
        <v>5.1999999999970896</v>
      </c>
      <c r="AZ161" s="1425">
        <f ca="1">IF(B161&gt;=$J$5,0,(CONTADORES!R161-CONTADORES!R160))</f>
        <v>10.299999999988358</v>
      </c>
      <c r="BA161" s="1426">
        <f t="shared" ca="1" si="79"/>
        <v>6.2960000000391858</v>
      </c>
      <c r="BB161" s="1444">
        <f ca="1">IF(B161&gt;=$J$5,0,(((CONTADORES!G161-CONTADORES!G160)+(CONTADORES!AR161-CONTADORES!AR160)+AR161)-(AV161+BC161)))</f>
        <v>9.9699999999886302</v>
      </c>
      <c r="BC161" s="1425">
        <f ca="1">IF(B161&gt;=$J$5,0,(CONTADORES!AY161-CONTADORES!AY160)+(CONTADORES!BA161-CONTADORES!BA160)+(CONTADORES!BF161-CONTADORES!BF160))</f>
        <v>2.6299999999999102</v>
      </c>
      <c r="BD161" s="1425">
        <f t="shared" ca="1" si="80"/>
        <v>224.80000000001019</v>
      </c>
      <c r="BE161" s="1426">
        <f ca="1">IF($B161&gt;=$J$5,0,CONTADORES!$BG161)</f>
        <v>5815.34</v>
      </c>
      <c r="BF161" s="1425">
        <f ca="1">IF($B161&gt;=$J$5,0,CONTADORES!$BH161)</f>
        <v>30099.5105263158</v>
      </c>
      <c r="BG161" s="1425">
        <f ca="1">IF($B161&gt;=$J$5,0,CONTADORES!$BJ161)</f>
        <v>7461.17</v>
      </c>
      <c r="BH161" s="1425">
        <f ca="1">IF(B161&gt;=$J$5,0,((CONTADORES!BK161-CONTADORES!BK160)/1000))</f>
        <v>0</v>
      </c>
      <c r="BI161" s="1425">
        <f ca="1">IF(B161&gt;=$J$5,0,((CONTADORES!BL161-CONTADORES!BL160)/1000))</f>
        <v>0</v>
      </c>
      <c r="BJ161" s="1425">
        <f ca="1">IF(B161&gt;=$J$5,0,((CONTADORES!BM161-CONTADORES!BM160)/1000))</f>
        <v>0</v>
      </c>
      <c r="BK161" s="1425">
        <f ca="1">IF(B161&gt;=$J$5,0,((CONTADORES!BN161-CONTADORES!BN160)/1000))</f>
        <v>0</v>
      </c>
      <c r="BL161" s="1427">
        <f t="shared" ca="1" si="81"/>
        <v>0</v>
      </c>
      <c r="BM161" s="1427">
        <f t="shared" ca="1" si="82"/>
        <v>0</v>
      </c>
      <c r="BN161" s="1426">
        <f ca="1">IF(W161&gt;=$J$5,0,CONTADORES!$BO161)</f>
        <v>0</v>
      </c>
      <c r="BO161" s="1425">
        <f ca="1">IF(W161&gt;=$J$5,0,CONTADORES!$BP161)</f>
        <v>0</v>
      </c>
      <c r="BP161" s="1425">
        <f ca="1">IF(W161&gt;=$J$5,0,CONTADORES!$BQ161)</f>
        <v>0</v>
      </c>
      <c r="BQ161" s="1425">
        <f ca="1">IF(B161&gt;=$J$5,0,(CONTADORES!AS161-CONTADORES!AS160))</f>
        <v>5</v>
      </c>
      <c r="BR161" s="1425">
        <f ca="1">IF(B161&gt;=$J$5,0,(CONTADORES!AT161-CONTADORES!AT160))</f>
        <v>0</v>
      </c>
      <c r="BS161" s="1426">
        <f ca="1">IF(B161&gt;=$J$5,0,CONTADORES!BR161-CONTADORES!BR160)/1000</f>
        <v>2.8247999999998137</v>
      </c>
      <c r="BT161" s="1426">
        <f ca="1">IF(B161&gt;=$J$5,0,CONTADORES!BS161-CONTADORES!BS160)</f>
        <v>1</v>
      </c>
      <c r="BU161" s="1426">
        <f ca="1">IF(B161&gt;=$J$5,0,CONTADORES!BT161-CONTADORES!BT160)</f>
        <v>24</v>
      </c>
      <c r="BV161" s="1426">
        <f ca="1">IF(B161&gt;=$J$5,0,CONTADORES!BU161-CONTADORES!BU160)/1000</f>
        <v>4.5650000000000004</v>
      </c>
      <c r="BW161" s="1426">
        <f ca="1">IF(B161&gt;=$J$5,0,CONTADORES!BV161-CONTADORES!BV160)/1000</f>
        <v>0.83399999999999996</v>
      </c>
      <c r="BX161" s="1426">
        <f ca="1">IF(B161&gt;=$J$5,0,CONTADORES!BW161-CONTADORES!BW160)</f>
        <v>24</v>
      </c>
      <c r="BY161" s="1426">
        <f ca="1">IF(B161&gt;=$J$5,0,CONTADORES!BX161-CONTADORES!BX160)/1000</f>
        <v>0</v>
      </c>
      <c r="BZ161" s="1426">
        <f ca="1">IF(B161&gt;=$J$5,0,CONTADORES!BY161-CONTADORES!BY160)/1000</f>
        <v>0</v>
      </c>
      <c r="CA161" s="1426">
        <f ca="1">IF(B161&gt;=$J$5,0,CONTADORES!BZ161-CONTADORES!BZ160)</f>
        <v>0</v>
      </c>
      <c r="CB161" s="1426">
        <f ca="1">IF(B161&gt;=$J$5,0,(CONTADORES!CC161-CONTADORES!CC160)+(CONTADORES!CE161-CONTADORES!CE160))/1000</f>
        <v>1.4059999999999999</v>
      </c>
      <c r="CC161" s="1426">
        <f ca="1">IF(B161&gt;=$J$5,0,(CONTADORES!CD161-CONTADORES!CD160)+(CONTADORES!CF161-CONTADORES!CF160))/1000</f>
        <v>0.77</v>
      </c>
      <c r="CD161" s="1426">
        <f ca="1">IF(B161&gt;=$J$5,0,CONTADORES!CA161-CONTADORES!CA160)</f>
        <v>6.3999999999996362</v>
      </c>
      <c r="CE161" s="1426">
        <f ca="1">IF(B161&gt;=$J$5,0,CONTADORES!CB161-CONTADORES!CB160)</f>
        <v>4.5</v>
      </c>
      <c r="CF161" s="1426">
        <f t="shared" ca="1" si="83"/>
        <v>11.43509999999382</v>
      </c>
      <c r="CG161" s="1426">
        <f t="shared" ca="1" si="84"/>
        <v>9.4849999999943151</v>
      </c>
      <c r="CH161" s="1426">
        <f t="shared" ca="1" si="85"/>
        <v>5.035099999994185</v>
      </c>
      <c r="CI161" s="1426">
        <f t="shared" ca="1" si="86"/>
        <v>1.9335999999999243</v>
      </c>
      <c r="CJ161" s="1426">
        <f t="shared" ca="1" si="87"/>
        <v>5.035099999994185</v>
      </c>
      <c r="CK161" s="1426">
        <f t="shared" ca="1" si="88"/>
        <v>2.9003999999998862</v>
      </c>
      <c r="CL161" s="1426">
        <f t="shared" ca="1" si="89"/>
        <v>3.3395999999999244</v>
      </c>
      <c r="CM161" s="1426">
        <f t="shared" ca="1" si="90"/>
        <v>4.9849999999943151</v>
      </c>
      <c r="CN161" s="1426">
        <f ca="1">IF(B161&gt;=$J$5,0,CONTADORES!CB161-CONTADORES!CB160)</f>
        <v>4.5</v>
      </c>
      <c r="CO161" s="1426">
        <f t="shared" ca="1" si="91"/>
        <v>4.9849999999943151</v>
      </c>
      <c r="CP161" s="1426">
        <f t="shared" ca="1" si="92"/>
        <v>1.3149999999999551</v>
      </c>
      <c r="CQ161" s="1426">
        <f t="shared" ca="1" si="93"/>
        <v>1.3149999999999551</v>
      </c>
      <c r="CR161" s="1426">
        <f t="shared" ca="1" si="94"/>
        <v>2.0849999999999551</v>
      </c>
      <c r="CS161" s="1449">
        <f ca="1">IF($B161&gt;=$J$5,0,CONTADORES!$BI161)</f>
        <v>8988.8021687605105</v>
      </c>
      <c r="CT161" s="1335">
        <f>CONTADORES!E161</f>
        <v>0</v>
      </c>
      <c r="CU161" s="1335">
        <f>CONTADORES!CG161</f>
        <v>0</v>
      </c>
    </row>
    <row r="162" spans="2:99">
      <c r="B162" s="390">
        <v>45078</v>
      </c>
      <c r="C162" s="198">
        <f t="shared" ca="1" si="68"/>
        <v>296</v>
      </c>
      <c r="D162" s="196">
        <f ca="1">'CALCULO DE GAS'!D174</f>
        <v>4.7912563330741911</v>
      </c>
      <c r="E162" s="196">
        <f ca="1">IF(B162&gt;=$J$5,0,(CONTADORES!$AD164-CONTADORES!$AD163)-$H162)</f>
        <v>24</v>
      </c>
      <c r="F162" s="198">
        <f t="shared" ca="1" si="96"/>
        <v>0</v>
      </c>
      <c r="G162" s="196">
        <f ca="1">IF(B162&gt;=$J$5,0,CONTADORES!$AF164-CONTADORES!$AF163)</f>
        <v>0</v>
      </c>
      <c r="H162" s="196">
        <f ca="1">IF(G162&gt;0,CONTADORES!$AE164-CONTADORES!$AE163,0)</f>
        <v>0</v>
      </c>
      <c r="I162" s="199">
        <f ca="1">IF(B162&gt;=$J$5,0,CONTADORES!$AB164-CONTADORES!$AB163)</f>
        <v>296</v>
      </c>
      <c r="J162" s="198">
        <f t="shared" ca="1" si="69"/>
        <v>148</v>
      </c>
      <c r="K162" s="196">
        <f ca="1">'CALCULO DE GAS'!E174</f>
        <v>3.6087685498667268</v>
      </c>
      <c r="L162" s="1396">
        <f ca="1">IF(B162&gt;=$J$5,0,(CONTADORES!$Y164-CONTADORES!$Y163)-$O162)</f>
        <v>24</v>
      </c>
      <c r="M162" s="1396">
        <f t="shared" ca="1" si="95"/>
        <v>0</v>
      </c>
      <c r="N162" s="1396">
        <f ca="1">IF(B162&gt;=$J$5,0,CONTADORES!$AA164-CONTADORES!$AA163)</f>
        <v>0</v>
      </c>
      <c r="O162" s="1396">
        <f ca="1">IF(N162&gt;0,CONTADORES!$Z164-CONTADORES!$Z163,0)</f>
        <v>0</v>
      </c>
      <c r="P162" s="202">
        <f ca="1">IF(B162&gt;=$J$5,0,CONTADORES!$W164-CONTADORES!$W163)</f>
        <v>148</v>
      </c>
      <c r="Q162" s="202">
        <f ca="1">IF(B162&gt;=$J$5,0,CONTADORES!$B164-CONTADORES!$B163)</f>
        <v>0</v>
      </c>
      <c r="R162" s="196">
        <f t="shared" ca="1" si="70"/>
        <v>0</v>
      </c>
      <c r="S162" s="11">
        <f ca="1">IF(B162&gt;=$J$5,0,CONTADORES!$D164-CONTADORES!$D163)</f>
        <v>0</v>
      </c>
      <c r="T162" s="198">
        <f ca="1">IF(B162&gt;=$J$5,0,CONTADORES!$BB164-CONTADORES!$BB163)</f>
        <v>0</v>
      </c>
      <c r="U162" s="196">
        <f t="shared" ca="1" si="65"/>
        <v>0</v>
      </c>
      <c r="V162" s="199">
        <f ca="1">IF(B162&gt;=$J$5,0,CONTADORES!$BD164-CONTADORES!$BD163)</f>
        <v>0</v>
      </c>
      <c r="W162" s="1397">
        <f t="shared" ca="1" si="71"/>
        <v>444</v>
      </c>
      <c r="X162" s="1397">
        <f t="shared" ca="1" si="72"/>
        <v>0</v>
      </c>
      <c r="Y162" s="1398">
        <f t="shared" ca="1" si="73"/>
        <v>444</v>
      </c>
      <c r="Z162" s="1398">
        <f t="shared" ca="1" si="74"/>
        <v>8.4000248829409188</v>
      </c>
      <c r="AA162" s="1398">
        <f t="shared" ca="1" si="75"/>
        <v>0</v>
      </c>
      <c r="AB162" s="1398">
        <f t="shared" ca="1" si="76"/>
        <v>48</v>
      </c>
      <c r="AC162" s="1397">
        <f t="shared" ca="1" si="77"/>
        <v>0</v>
      </c>
      <c r="AD162" s="1397">
        <f ca="1">IF(B162&gt;=$J$5,0,CONTADORES!H164-CONTADORES!H163)</f>
        <v>166</v>
      </c>
      <c r="AE162" s="1397">
        <f ca="1">IF(B162&gt;=$J$5,0,CONTADORES!J164-CONTADORES!J163)</f>
        <v>24</v>
      </c>
      <c r="AF162" s="1397">
        <f ca="1">IF(B162&gt;=$J$5,0,CONTADORES!AU164-CONTADORES!AU163)</f>
        <v>145</v>
      </c>
      <c r="AG162" s="1397">
        <f ca="1">IF(B162&gt;=$J$5,0,CONTADORES!AW164-CONTADORES!AW163)</f>
        <v>24</v>
      </c>
      <c r="AH162" s="1398">
        <f ca="1">IF(B162&gt;=$J$5,0,(CONTADORES!AM164-CONTADORES!AM163)+(CONTADORES!M164-CONTADORES!M163))</f>
        <v>12.599999999998545</v>
      </c>
      <c r="AI162" s="1397">
        <f ca="1">IF(B162&gt;=$J$5,0,(CONTADORES!AK164-CONTADORES!AK163)+(CONTADORES!O164-CONTADORES!O163))</f>
        <v>36.69999999999709</v>
      </c>
      <c r="AJ162" s="1397">
        <f ca="1">IF(B162&gt;=$J$5,0,(CONTADORES!AI164-CONTADORES!AI163))</f>
        <v>5.4000000000087311</v>
      </c>
      <c r="AK162" s="1397">
        <f ca="1">IF(B162&gt;=$J$5,0,(CONTADORES!Q164-CONTADORES!Q163))</f>
        <v>13</v>
      </c>
      <c r="AL162" s="1450">
        <f t="shared" ca="1" si="78"/>
        <v>34.999999999996362</v>
      </c>
      <c r="AM162" s="1397">
        <f ca="1">IF(B162&gt;=$J$5,0,(((CONTADORES!F164-CONTADORES!F163)+(CONTADORES!AQ164-CONTADORES!AQ163))))-BS162-AF162-AN162-BV162-BY162-CD162-CB162</f>
        <v>11.255999999998364</v>
      </c>
      <c r="AN162" s="1397">
        <f ca="1">IF(B162&gt;=$J$5,0,(CONTADORES!AX164-CONTADORES!AX163)+(CONTADORES!AZ164-CONTADORES!AZ163)+(CONTADORES!BE164-CONTADORES!BE163))-CB162</f>
        <v>4.3469999999998183</v>
      </c>
      <c r="AO162" s="1399">
        <f ca="1">IF(B161&gt;=$J$5,0,(CONTADORES!AC164-CONTADORES!AC163))</f>
        <v>147</v>
      </c>
      <c r="AP162" s="1434">
        <f ca="1">IF(B162&gt;=$J$5,0,(CONTADORES!X164-CONTADORES!X163))</f>
        <v>74</v>
      </c>
      <c r="AQ162" s="1434">
        <f ca="1">IF(B162&gt;=$J$5,0,(CONTADORES!C164-CONTADORES!C163))</f>
        <v>0</v>
      </c>
      <c r="AR162" s="1434">
        <f ca="1">IF(B162&gt;=$J$5,0,(CONTADORES!BC164-CONTADORES!BC163))</f>
        <v>0</v>
      </c>
      <c r="AS162" s="1434">
        <f ca="1">IF(B162&gt;=$J$5,0,CONTADORES!S164-CONTADORES!S163)</f>
        <v>14.899999999994179</v>
      </c>
      <c r="AT162" s="1434">
        <f ca="1">IF(B162&gt;=$J$5,0,(CONTADORES!U164-CONTADORES!U163)+(CONTADORES!AG164-CONTADORES!AG163))</f>
        <v>3.3299999999996359</v>
      </c>
      <c r="AU162" s="1434">
        <f ca="1">IF(B162&gt;=$J$5,0,(CONTADORES!I164-CONTADORES!I163))</f>
        <v>82</v>
      </c>
      <c r="AV162" s="1434">
        <f ca="1">IF(B162&gt;=$J$5,0,(CONTADORES!AV164-CONTADORES!AV163))</f>
        <v>64</v>
      </c>
      <c r="AW162" s="1434">
        <f ca="1">IF(B162&gt;=$J$5,0,(CONTADORES!N164-CONTADORES!N163)+(CONTADORES!AN164-CONTADORES!AN163))</f>
        <v>5</v>
      </c>
      <c r="AX162" s="1434">
        <f ca="1">IF(B162&gt;=$J$5,0,(CONTADORES!P164-CONTADORES!P163)+(CONTADORES!AL164-CONTADORES!AL163))</f>
        <v>31.200000000004366</v>
      </c>
      <c r="AY162" s="1434">
        <f ca="1">IF(B162&gt;=$J$5,0,(CONTADORES!AJ164-CONTADORES!AJ163))</f>
        <v>4.1000000000058208</v>
      </c>
      <c r="AZ162" s="1434">
        <f ca="1">IF(B162&gt;=$J$5,0,(CONTADORES!R164-CONTADORES!R163))</f>
        <v>10.100000000005821</v>
      </c>
      <c r="BA162" s="1398">
        <f t="shared" ca="1" si="79"/>
        <v>5.7559999999852494</v>
      </c>
      <c r="BB162" s="1409">
        <f ca="1">IF(B162&gt;=$J$5,0,(((CONTADORES!G164-CONTADORES!G163)+(CONTADORES!AR164-CONTADORES!AR163)+AR162)-(AV162+BC162)))</f>
        <v>9.0999999999994543</v>
      </c>
      <c r="BC162" s="1397">
        <f ca="1">IF(B162&gt;=$J$5,0,(CONTADORES!AY164-CONTADORES!AY163)+(CONTADORES!BA164-CONTADORES!BA163)+(CONTADORES!BF164-CONTADORES!BF163))</f>
        <v>3</v>
      </c>
      <c r="BD162" s="1397">
        <f t="shared" ca="1" si="80"/>
        <v>221</v>
      </c>
      <c r="BE162" s="1398">
        <f ca="1">IF($B162&gt;=$J$5,0,CONTADORES!$BG164)</f>
        <v>5641.34</v>
      </c>
      <c r="BF162" s="1397">
        <f ca="1">IF($B162&gt;=$J$5,0,CONTADORES!$BH164)</f>
        <v>30333.952631578901</v>
      </c>
      <c r="BG162" s="1397">
        <f ca="1">IF($B162&gt;=$J$5,0,CONTADORES!$BJ164)</f>
        <v>6702.79</v>
      </c>
      <c r="BH162" s="1397">
        <f ca="1">IF(B162&gt;=$J$5,0,((CONTADORES!BK164-CONTADORES!BK163)/1000))</f>
        <v>0</v>
      </c>
      <c r="BI162" s="1397">
        <f ca="1">IF(C162&gt;=$J$5,0,((CONTADORES!BL164-CONTADORES!BL163)/1000))</f>
        <v>0</v>
      </c>
      <c r="BJ162" s="1397">
        <f ca="1">IF(C162&gt;=$J$5,0,((CONTADORES!BM164-CONTADORES!BM163)/1000))</f>
        <v>0</v>
      </c>
      <c r="BK162" s="1397">
        <f ca="1">IF(B162&gt;=$J$5,0,((CONTADORES!BN164-CONTADORES!BN163)/1000))</f>
        <v>0</v>
      </c>
      <c r="BL162" s="1399">
        <f t="shared" ca="1" si="81"/>
        <v>0</v>
      </c>
      <c r="BM162" s="1399">
        <f t="shared" ca="1" si="82"/>
        <v>0</v>
      </c>
      <c r="BN162" s="1398">
        <f ca="1">IF(W162&gt;=$J$5,0,CONTADORES!$BO164)</f>
        <v>0</v>
      </c>
      <c r="BO162" s="1397">
        <f ca="1">IF(W162&gt;=$J$5,0,CONTADORES!$BP164)</f>
        <v>0</v>
      </c>
      <c r="BP162" s="1397">
        <f ca="1">IF(W162&gt;=$J$5,0,CONTADORES!$BQ164)</f>
        <v>0</v>
      </c>
      <c r="BQ162" s="1397">
        <f ca="1">IF(B162&gt;=$J$5,0,(CONTADORES!AS164-CONTADORES!AS163))</f>
        <v>6</v>
      </c>
      <c r="BR162" s="1397">
        <f ca="1">IF(C162&gt;=$J$5,0,(CONTADORES!AT164-CONTADORES!AT163))</f>
        <v>0</v>
      </c>
      <c r="BS162" s="1398">
        <f ca="1">IF(B162&gt;=$J$5,0,CONTADORES!BR164-CONTADORES!BR163)/1000</f>
        <v>2.5</v>
      </c>
      <c r="BT162" s="1398">
        <f ca="1">IF(B162&gt;=$J$5,0,CONTADORES!BS164-CONTADORES!BS163)</f>
        <v>1</v>
      </c>
      <c r="BU162" s="1398">
        <f ca="1">IF(B162&gt;=$J$5,0,CONTADORES!BT164-CONTADORES!BT163)</f>
        <v>24</v>
      </c>
      <c r="BV162" s="1398">
        <f ca="1">IF(B162&gt;=$J$5,0,CONTADORES!BU164-CONTADORES!BU163)/1000</f>
        <v>4.5439999999999996</v>
      </c>
      <c r="BW162" s="1398">
        <f ca="1">IF(B162&gt;=$J$5,0,CONTADORES!BV164-CONTADORES!BV163)/1000</f>
        <v>0.70399999999999996</v>
      </c>
      <c r="BX162" s="1398">
        <f ca="1">IF(B162&gt;=$J$5,0,CONTADORES!BW164-CONTADORES!BW163)</f>
        <v>24</v>
      </c>
      <c r="BY162" s="1398">
        <f ca="1">IF(B162&gt;=$J$5,0,CONTADORES!BX164-CONTADORES!BX163)/1000</f>
        <v>0</v>
      </c>
      <c r="BZ162" s="1398">
        <f ca="1">IF(B162&gt;=$J$5,0,CONTADORES!BY164-CONTADORES!BY163)/1000</f>
        <v>0</v>
      </c>
      <c r="CA162" s="1398">
        <f ca="1">IF(B162&gt;=$J$5,0,CONTADORES!BZ164-CONTADORES!BZ163)</f>
        <v>0</v>
      </c>
      <c r="CB162" s="1398">
        <f ca="1">IF(B162&gt;=$J$5,0,(CONTADORES!CC164-CONTADORES!CC163)+(CONTADORES!CE164-CONTADORES!CE163))/1000</f>
        <v>1.353</v>
      </c>
      <c r="CC162" s="1398">
        <f ca="1">IF(B162&gt;=$J$5,0,(CONTADORES!CD164-CONTADORES!CD163)+(CONTADORES!CF164-CONTADORES!CF163))/1000</f>
        <v>0.74</v>
      </c>
      <c r="CD162" s="1398">
        <f ca="1">IF(B162&gt;=$J$5,0,CONTADORES!CA164-CONTADORES!CA163)</f>
        <v>6.3000000000010914</v>
      </c>
      <c r="CE162" s="1398">
        <f ca="1">IF(B162&gt;=$J$5,0,CONTADORES!CB164-CONTADORES!CB163)</f>
        <v>4.2999999999992724</v>
      </c>
      <c r="CF162" s="1398">
        <f t="shared" ca="1" si="83"/>
        <v>11.928000000000274</v>
      </c>
      <c r="CG162" s="1398">
        <f t="shared" ca="1" si="84"/>
        <v>8.8499999999989996</v>
      </c>
      <c r="CH162" s="1398">
        <f t="shared" ca="1" si="85"/>
        <v>5.6279999999991821</v>
      </c>
      <c r="CI162" s="1398">
        <f t="shared" ca="1" si="86"/>
        <v>1.7387999999999275</v>
      </c>
      <c r="CJ162" s="1398">
        <f t="shared" ca="1" si="87"/>
        <v>5.6279999999991821</v>
      </c>
      <c r="CK162" s="1398">
        <f t="shared" ca="1" si="88"/>
        <v>2.6081999999998908</v>
      </c>
      <c r="CL162" s="1398">
        <f t="shared" ca="1" si="89"/>
        <v>3.0917999999999273</v>
      </c>
      <c r="CM162" s="1398">
        <f t="shared" ca="1" si="90"/>
        <v>4.5499999999997272</v>
      </c>
      <c r="CN162" s="1398">
        <f ca="1">IF(B162&gt;=$J$5,0,CONTADORES!CB164-CONTADORES!CB163)</f>
        <v>4.2999999999992724</v>
      </c>
      <c r="CO162" s="1398">
        <f t="shared" ca="1" si="91"/>
        <v>4.5499999999997272</v>
      </c>
      <c r="CP162" s="1398">
        <f t="shared" ca="1" si="92"/>
        <v>1.5</v>
      </c>
      <c r="CQ162" s="1398">
        <f t="shared" ca="1" si="93"/>
        <v>1.5</v>
      </c>
      <c r="CR162" s="1398">
        <f t="shared" ca="1" si="94"/>
        <v>2.2400000000000002</v>
      </c>
      <c r="CS162" s="1448">
        <f ca="1">IF($B162&gt;=$J$5,0,CONTADORES!$BI164)</f>
        <v>4292.71940284834</v>
      </c>
      <c r="CT162" s="1369">
        <f>CONTADORES!E164</f>
        <v>0</v>
      </c>
      <c r="CU162" s="1369">
        <f>CONTADORES!CG164</f>
        <v>0</v>
      </c>
    </row>
    <row r="163" spans="2:99">
      <c r="B163" s="390">
        <v>45079</v>
      </c>
      <c r="C163" s="198">
        <f t="shared" ca="1" si="68"/>
        <v>292</v>
      </c>
      <c r="D163" s="196">
        <f ca="1">'CALCULO DE GAS'!D175</f>
        <v>4.7592972037983134</v>
      </c>
      <c r="E163" s="196">
        <f ca="1">IF(B163&gt;=$J$5,0,(CONTADORES!$AD165-CONTADORES!$AD164)-$H163)</f>
        <v>24</v>
      </c>
      <c r="F163" s="198">
        <f t="shared" ca="1" si="96"/>
        <v>0</v>
      </c>
      <c r="G163" s="196">
        <f ca="1">IF(B163&gt;=$J$5,0,CONTADORES!$AF165-CONTADORES!$AF164)</f>
        <v>0</v>
      </c>
      <c r="H163" s="196">
        <f ca="1">IF(G163&gt;0,CONTADORES!$AE165-CONTADORES!$AE164,0)</f>
        <v>0</v>
      </c>
      <c r="I163" s="199">
        <f ca="1">IF(B163&gt;=$J$5,0,CONTADORES!$AB165-CONTADORES!$AB164)</f>
        <v>292</v>
      </c>
      <c r="J163" s="198">
        <f t="shared" ca="1" si="69"/>
        <v>150</v>
      </c>
      <c r="K163" s="196">
        <f ca="1">'CALCULO DE GAS'!E175</f>
        <v>3.6247481145046652</v>
      </c>
      <c r="L163" s="1396">
        <f ca="1">IF(B163&gt;=$J$5,0,(CONTADORES!$Y165-CONTADORES!$Y164)-$O163)</f>
        <v>24</v>
      </c>
      <c r="M163" s="1396">
        <f t="shared" ca="1" si="95"/>
        <v>0</v>
      </c>
      <c r="N163" s="1396">
        <f ca="1">IF(B163&gt;=$J$5,0,CONTADORES!$AA165-CONTADORES!$AA164)</f>
        <v>0</v>
      </c>
      <c r="O163" s="1396">
        <f ca="1">IF(N163&gt;0,CONTADORES!$Z165-CONTADORES!$Z164,0)</f>
        <v>0</v>
      </c>
      <c r="P163" s="202">
        <f ca="1">IF(B163&gt;=$J$5,0,CONTADORES!$W165-CONTADORES!$W164)</f>
        <v>150</v>
      </c>
      <c r="Q163" s="202">
        <f ca="1">IF(B163&gt;=$J$5,0,CONTADORES!$B165-CONTADORES!$B164)</f>
        <v>0</v>
      </c>
      <c r="R163" s="196">
        <f t="shared" ca="1" si="70"/>
        <v>0</v>
      </c>
      <c r="S163" s="11">
        <f ca="1">IF(B163&gt;=$J$5,0,CONTADORES!$D165-CONTADORES!$D164)</f>
        <v>0</v>
      </c>
      <c r="T163" s="198">
        <f ca="1">IF(B163&gt;=$J$5,0,CONTADORES!$BB165-CONTADORES!$BB164)</f>
        <v>0</v>
      </c>
      <c r="U163" s="196">
        <f t="shared" ca="1" si="65"/>
        <v>0</v>
      </c>
      <c r="V163" s="199">
        <f ca="1">IF(B163&gt;=$J$5,0,CONTADORES!$BD165-CONTADORES!$BD164)</f>
        <v>0</v>
      </c>
      <c r="W163" s="1397">
        <f t="shared" ca="1" si="71"/>
        <v>442</v>
      </c>
      <c r="X163" s="1397">
        <f t="shared" ca="1" si="72"/>
        <v>0</v>
      </c>
      <c r="Y163" s="1398">
        <f t="shared" ca="1" si="73"/>
        <v>442</v>
      </c>
      <c r="Z163" s="1398">
        <f t="shared" ca="1" si="74"/>
        <v>8.3840453183029791</v>
      </c>
      <c r="AA163" s="1398">
        <f t="shared" ca="1" si="75"/>
        <v>0</v>
      </c>
      <c r="AB163" s="1398">
        <f t="shared" ca="1" si="76"/>
        <v>48</v>
      </c>
      <c r="AC163" s="1397">
        <f t="shared" ca="1" si="77"/>
        <v>0</v>
      </c>
      <c r="AD163" s="1397">
        <f ca="1">IF(B163&gt;=$J$5,0,CONTADORES!H165-CONTADORES!H164)</f>
        <v>170</v>
      </c>
      <c r="AE163" s="1397">
        <f ca="1">IF(B163&gt;=$J$5,0,CONTADORES!J165-CONTADORES!J164)</f>
        <v>24</v>
      </c>
      <c r="AF163" s="1397">
        <f ca="1">IF(B163&gt;=$J$5,0,CONTADORES!AU165-CONTADORES!AU164)</f>
        <v>147</v>
      </c>
      <c r="AG163" s="1397">
        <f ca="1">IF(B163&gt;=$J$5,0,CONTADORES!AW165-CONTADORES!AW164)</f>
        <v>24</v>
      </c>
      <c r="AH163" s="1398">
        <f ca="1">IF(B163&gt;=$J$5,0,(CONTADORES!AM165-CONTADORES!AM164)+(CONTADORES!M165-CONTADORES!M164))</f>
        <v>9.6999999999970896</v>
      </c>
      <c r="AI163" s="1397">
        <f ca="1">IF(B163&gt;=$J$5,0,(CONTADORES!AK165-CONTADORES!AK164)+(CONTADORES!O165-CONTADORES!O164))</f>
        <v>35.599999999991269</v>
      </c>
      <c r="AJ163" s="1397">
        <f ca="1">IF(B163&gt;=$J$5,0,(CONTADORES!AI165-CONTADORES!AI164))</f>
        <v>5.5</v>
      </c>
      <c r="AK163" s="1397">
        <f ca="1">IF(B163&gt;=$J$5,0,(CONTADORES!Q165-CONTADORES!Q164))</f>
        <v>13</v>
      </c>
      <c r="AL163" s="1450">
        <f t="shared" ca="1" si="78"/>
        <v>32.700000000011698</v>
      </c>
      <c r="AM163" s="1397">
        <f ca="1">IF(B163&gt;=$J$5,0,(((CONTADORES!F165-CONTADORES!F164)+(CONTADORES!AQ165-CONTADORES!AQ164))))-BS163-AF163-AN163-BV163-BY163-CD163-CB163</f>
        <v>9.0070000000001045</v>
      </c>
      <c r="AN163" s="1397">
        <f ca="1">IF(B163&gt;=$J$5,0,(CONTADORES!AX165-CONTADORES!AX164)+(CONTADORES!AZ165-CONTADORES!AZ164)+(CONTADORES!BE165-CONTADORES!BE164))-CB163</f>
        <v>4.8100000000002732</v>
      </c>
      <c r="AO163" s="1399">
        <f ca="1">IF(B162&gt;=$J$5,0,(CONTADORES!AC165-CONTADORES!AC164))</f>
        <v>143</v>
      </c>
      <c r="AP163" s="1409">
        <f ca="1">IF(B163&gt;=$J$5,0,(CONTADORES!X165-CONTADORES!X164))</f>
        <v>76</v>
      </c>
      <c r="AQ163" s="1409">
        <f ca="1">IF(B163&gt;=$J$5,0,(CONTADORES!C165-CONTADORES!C164))</f>
        <v>0</v>
      </c>
      <c r="AR163" s="1409">
        <f ca="1">IF(B163&gt;=$J$5,0,(CONTADORES!BC165-CONTADORES!BC164))</f>
        <v>0</v>
      </c>
      <c r="AS163" s="1409">
        <f ca="1">IF(B163&gt;=$J$5,0,CONTADORES!S165-CONTADORES!S164)</f>
        <v>14.600000000005821</v>
      </c>
      <c r="AT163" s="1409">
        <f ca="1">IF(B163&gt;=$J$5,0,(CONTADORES!U165-CONTADORES!U164)+(CONTADORES!AG165-CONTADORES!AG164))</f>
        <v>3.2700000000000005</v>
      </c>
      <c r="AU163" s="1409">
        <f ca="1">IF(B163&gt;=$J$5,0,(CONTADORES!I165-CONTADORES!I164))</f>
        <v>84</v>
      </c>
      <c r="AV163" s="1409">
        <f ca="1">IF(B163&gt;=$J$5,0,(CONTADORES!AV165-CONTADORES!AV164))</f>
        <v>63</v>
      </c>
      <c r="AW163" s="1409">
        <f ca="1">IF(B163&gt;=$J$5,0,(CONTADORES!N165-CONTADORES!N164)+(CONTADORES!AN165-CONTADORES!AN164))</f>
        <v>3.7000000000007276</v>
      </c>
      <c r="AX163" s="1409">
        <f ca="1">IF(B163&gt;=$J$5,0,(CONTADORES!P165-CONTADORES!P164)+(CONTADORES!AL165-CONTADORES!AL164))</f>
        <v>30.19999999999709</v>
      </c>
      <c r="AY163" s="1409">
        <f ca="1">IF(B163&gt;=$J$5,0,(CONTADORES!AJ165-CONTADORES!AJ164))</f>
        <v>3.8999999999941792</v>
      </c>
      <c r="AZ163" s="1409">
        <f ca="1">IF(B163&gt;=$J$5,0,(CONTADORES!R165-CONTADORES!R164))</f>
        <v>10.30000000000291</v>
      </c>
      <c r="BA163" s="1398">
        <f t="shared" ca="1" si="79"/>
        <v>4.2790000000042028</v>
      </c>
      <c r="BB163" s="1409">
        <f ca="1">IF(B163&gt;=$J$5,0,(((CONTADORES!G165-CONTADORES!G164)+(CONTADORES!AR165-CONTADORES!AR164)+AR163)-(AV163+BC163)))</f>
        <v>9.5000000000004547</v>
      </c>
      <c r="BC163" s="1397">
        <f ca="1">IF(B163&gt;=$J$5,0,(CONTADORES!AY165-CONTADORES!AY164)+(CONTADORES!BA165-CONTADORES!BA164)+(CONTADORES!BF165-CONTADORES!BF164))</f>
        <v>2.9000000000000909</v>
      </c>
      <c r="BD163" s="1397">
        <f t="shared" ca="1" si="80"/>
        <v>219</v>
      </c>
      <c r="BE163" s="1398">
        <f ca="1">IF($B163&gt;=$J$5,0,CONTADORES!$BG165)</f>
        <v>5796.19</v>
      </c>
      <c r="BF163" s="1397">
        <f ca="1">IF($B163&gt;=$J$5,0,CONTADORES!$BH165)</f>
        <v>30951.3438596491</v>
      </c>
      <c r="BG163" s="1397">
        <f ca="1">IF($B163&gt;=$J$5,0,CONTADORES!$BJ165)</f>
        <v>6801.68</v>
      </c>
      <c r="BH163" s="1397">
        <f ca="1">IF(B163&gt;=$J$5,0,((CONTADORES!BK165-CONTADORES!BK164)/1000))</f>
        <v>0</v>
      </c>
      <c r="BI163" s="1397">
        <f ca="1">IF(C163&gt;=$J$5,0,((CONTADORES!BL165-CONTADORES!BL164)/1000))</f>
        <v>0</v>
      </c>
      <c r="BJ163" s="1397">
        <f ca="1">IF(C163&gt;=$J$5,0,((CONTADORES!BM165-CONTADORES!BM164)/1000))</f>
        <v>0</v>
      </c>
      <c r="BK163" s="1397">
        <f ca="1">IF(B163&gt;=$J$5,0,((CONTADORES!BN165-CONTADORES!BN164)/1000))</f>
        <v>0</v>
      </c>
      <c r="BL163" s="1399">
        <f t="shared" ca="1" si="81"/>
        <v>0</v>
      </c>
      <c r="BM163" s="1399">
        <f t="shared" ca="1" si="82"/>
        <v>0</v>
      </c>
      <c r="BN163" s="1398">
        <f ca="1">IF(W163&gt;=$J$5,0,CONTADORES!$BO165)</f>
        <v>0</v>
      </c>
      <c r="BO163" s="1397">
        <f ca="1">IF(W163&gt;=$J$5,0,CONTADORES!$BP165)</f>
        <v>0</v>
      </c>
      <c r="BP163" s="1397">
        <f ca="1">IF(W163&gt;=$J$5,0,CONTADORES!$BQ165)</f>
        <v>0</v>
      </c>
      <c r="BQ163" s="1397">
        <f ca="1">IF(B163&gt;=$J$5,0,(CONTADORES!AS165-CONTADORES!AS164))</f>
        <v>5</v>
      </c>
      <c r="BR163" s="1397">
        <f ca="1">IF(C163&gt;=$J$5,0,(CONTADORES!AT165-CONTADORES!AT164))</f>
        <v>0</v>
      </c>
      <c r="BS163" s="1398">
        <f ca="1">IF(B163&gt;=$J$5,0,CONTADORES!BR165-CONTADORES!BR164)/1000</f>
        <v>2.2000000000000002</v>
      </c>
      <c r="BT163" s="1398">
        <f ca="1">IF(B163&gt;=$J$5,0,CONTADORES!BS165-CONTADORES!BS164)</f>
        <v>1</v>
      </c>
      <c r="BU163" s="1398">
        <f ca="1">IF(B163&gt;=$J$5,0,CONTADORES!BT165-CONTADORES!BT164)</f>
        <v>24</v>
      </c>
      <c r="BV163" s="1398">
        <f ca="1">IF(B163&gt;=$J$5,0,CONTADORES!BU165-CONTADORES!BU164)/1000</f>
        <v>4.6929999999999996</v>
      </c>
      <c r="BW163" s="1398">
        <f ca="1">IF(B163&gt;=$J$5,0,CONTADORES!BV165-CONTADORES!BV164)/1000</f>
        <v>0.85599999999999998</v>
      </c>
      <c r="BX163" s="1398">
        <f ca="1">IF(B163&gt;=$J$5,0,CONTADORES!BW165-CONTADORES!BW164)</f>
        <v>24</v>
      </c>
      <c r="BY163" s="1398">
        <f ca="1">IF(B163&gt;=$J$5,0,CONTADORES!BX165-CONTADORES!BX164)/1000</f>
        <v>0</v>
      </c>
      <c r="BZ163" s="1398">
        <f ca="1">IF(B163&gt;=$J$5,0,CONTADORES!BY165-CONTADORES!BY164)/1000</f>
        <v>0</v>
      </c>
      <c r="CA163" s="1398">
        <f ca="1">IF(B163&gt;=$J$5,0,CONTADORES!BZ165-CONTADORES!BZ164)</f>
        <v>0</v>
      </c>
      <c r="CB163" s="1398">
        <f ca="1">IF(B163&gt;=$J$5,0,(CONTADORES!CC165-CONTADORES!CC164)+(CONTADORES!CE165-CONTADORES!CE164))/1000</f>
        <v>1.39</v>
      </c>
      <c r="CC163" s="1398">
        <f ca="1">IF(B163&gt;=$J$5,0,(CONTADORES!CD165-CONTADORES!CD164)+(CONTADORES!CF165-CONTADORES!CF164))/1000</f>
        <v>0.76500000000000001</v>
      </c>
      <c r="CD163" s="1398">
        <f ca="1">IF(B163&gt;=$J$5,0,CONTADORES!CA165-CONTADORES!CA164)</f>
        <v>6.3999999999996362</v>
      </c>
      <c r="CE163" s="1398">
        <f ca="1">IF(B163&gt;=$J$5,0,CONTADORES!CB165-CONTADORES!CB164)</f>
        <v>4.6000000000003638</v>
      </c>
      <c r="CF163" s="1398">
        <f t="shared" ca="1" si="83"/>
        <v>10.903499999999688</v>
      </c>
      <c r="CG163" s="1398">
        <f t="shared" ca="1" si="84"/>
        <v>9.3500000000005912</v>
      </c>
      <c r="CH163" s="1398">
        <f t="shared" ca="1" si="85"/>
        <v>4.5035000000000522</v>
      </c>
      <c r="CI163" s="1398">
        <f t="shared" ca="1" si="86"/>
        <v>1.9240000000001094</v>
      </c>
      <c r="CJ163" s="1398">
        <f t="shared" ca="1" si="87"/>
        <v>4.5035000000000522</v>
      </c>
      <c r="CK163" s="1398">
        <f t="shared" ca="1" si="88"/>
        <v>2.8860000000001635</v>
      </c>
      <c r="CL163" s="1398">
        <f t="shared" ca="1" si="89"/>
        <v>3.3140000000001093</v>
      </c>
      <c r="CM163" s="1398">
        <f t="shared" ca="1" si="90"/>
        <v>4.7500000000002274</v>
      </c>
      <c r="CN163" s="1398">
        <f ca="1">IF(B163&gt;=$J$5,0,CONTADORES!CB165-CONTADORES!CB164)</f>
        <v>4.6000000000003638</v>
      </c>
      <c r="CO163" s="1398">
        <f t="shared" ca="1" si="91"/>
        <v>4.7500000000002274</v>
      </c>
      <c r="CP163" s="1398">
        <f t="shared" ca="1" si="92"/>
        <v>1.4500000000000455</v>
      </c>
      <c r="CQ163" s="1398">
        <f t="shared" ca="1" si="93"/>
        <v>1.4500000000000455</v>
      </c>
      <c r="CR163" s="1398">
        <f t="shared" ca="1" si="94"/>
        <v>2.2150000000000456</v>
      </c>
      <c r="CS163" s="1448">
        <f ca="1">IF($B163&gt;=$J$5,0,CONTADORES!$BI165)</f>
        <v>8880.9331418286893</v>
      </c>
      <c r="CT163" s="1369">
        <f>CONTADORES!E165</f>
        <v>0</v>
      </c>
      <c r="CU163" s="1369">
        <f>CONTADORES!CG165</f>
        <v>0</v>
      </c>
    </row>
    <row r="164" spans="2:99">
      <c r="B164" s="390">
        <v>45080</v>
      </c>
      <c r="C164" s="198">
        <f t="shared" ca="1" si="68"/>
        <v>290</v>
      </c>
      <c r="D164" s="196">
        <f ca="1">'CALCULO DE GAS'!D176</f>
        <v>4.7433176391603737</v>
      </c>
      <c r="E164" s="196">
        <f ca="1">IF(B164&gt;=$J$5,0,(CONTADORES!$AD166-CONTADORES!$AD165)-$H164)</f>
        <v>24</v>
      </c>
      <c r="F164" s="198">
        <f t="shared" ca="1" si="96"/>
        <v>0</v>
      </c>
      <c r="G164" s="196">
        <f ca="1">IF(B164&gt;=$J$5,0,CONTADORES!$AF166-CONTADORES!$AF165)</f>
        <v>0</v>
      </c>
      <c r="H164" s="196">
        <f ca="1">IF(G164&gt;0,CONTADORES!$AE166-CONTADORES!$AE165,0)</f>
        <v>0</v>
      </c>
      <c r="I164" s="199">
        <f ca="1">IF(B164&gt;=$J$5,0,CONTADORES!$AB166-CONTADORES!$AB165)</f>
        <v>290</v>
      </c>
      <c r="J164" s="198">
        <f t="shared" ca="1" si="69"/>
        <v>148</v>
      </c>
      <c r="K164" s="196">
        <f ca="1">'CALCULO DE GAS'!E176</f>
        <v>3.6087685498667268</v>
      </c>
      <c r="L164" s="1396">
        <f ca="1">IF(B164&gt;=$J$5,0,(CONTADORES!$Y166-CONTADORES!$Y165)-$O164)</f>
        <v>24</v>
      </c>
      <c r="M164" s="1396">
        <f t="shared" ca="1" si="95"/>
        <v>0</v>
      </c>
      <c r="N164" s="1396">
        <f ca="1">IF(B164&gt;=$J$5,0,CONTADORES!$AA166-CONTADORES!$AA165)</f>
        <v>0</v>
      </c>
      <c r="O164" s="1396">
        <f ca="1">IF(N164&gt;0,CONTADORES!$Z166-CONTADORES!$Z165,0)</f>
        <v>0</v>
      </c>
      <c r="P164" s="202">
        <f ca="1">IF(B164&gt;=$J$5,0,CONTADORES!$W166-CONTADORES!$W165)</f>
        <v>148</v>
      </c>
      <c r="Q164" s="202">
        <f ca="1">IF(B164&gt;=$J$5,0,CONTADORES!$B166-CONTADORES!$B165)</f>
        <v>0</v>
      </c>
      <c r="R164" s="196">
        <f t="shared" ca="1" si="70"/>
        <v>0</v>
      </c>
      <c r="S164" s="11">
        <f ca="1">IF(B164&gt;=$J$5,0,CONTADORES!$D166-CONTADORES!$D165)</f>
        <v>0</v>
      </c>
      <c r="T164" s="198">
        <f ca="1">IF(B164&gt;=$J$5,0,CONTADORES!$BB166-CONTADORES!$BB165)</f>
        <v>0</v>
      </c>
      <c r="U164" s="196">
        <f t="shared" ca="1" si="65"/>
        <v>0</v>
      </c>
      <c r="V164" s="199">
        <f ca="1">IF(B164&gt;=$J$5,0,CONTADORES!$BD166-CONTADORES!$BD165)</f>
        <v>0</v>
      </c>
      <c r="W164" s="1397">
        <f t="shared" ca="1" si="71"/>
        <v>438</v>
      </c>
      <c r="X164" s="1397">
        <f t="shared" ca="1" si="72"/>
        <v>0</v>
      </c>
      <c r="Y164" s="1398">
        <f t="shared" ca="1" si="73"/>
        <v>438</v>
      </c>
      <c r="Z164" s="1398">
        <f t="shared" ca="1" si="74"/>
        <v>8.3520861890271014</v>
      </c>
      <c r="AA164" s="1398">
        <f t="shared" ca="1" si="75"/>
        <v>0</v>
      </c>
      <c r="AB164" s="1398">
        <f t="shared" ca="1" si="76"/>
        <v>48</v>
      </c>
      <c r="AC164" s="1397">
        <f t="shared" ca="1" si="77"/>
        <v>0</v>
      </c>
      <c r="AD164" s="1397">
        <f ca="1">IF(B164&gt;=$J$5,0,CONTADORES!H166-CONTADORES!H165)</f>
        <v>164</v>
      </c>
      <c r="AE164" s="1397">
        <f ca="1">IF(B164&gt;=$J$5,0,CONTADORES!J166-CONTADORES!J165)</f>
        <v>24</v>
      </c>
      <c r="AF164" s="1397">
        <f ca="1">IF(B164&gt;=$J$5,0,CONTADORES!AU166-CONTADORES!AU165)</f>
        <v>145</v>
      </c>
      <c r="AG164" s="1397">
        <f ca="1">IF(B164&gt;=$J$5,0,CONTADORES!AW166-CONTADORES!AW165)</f>
        <v>24</v>
      </c>
      <c r="AH164" s="1398">
        <f ca="1">IF(B164&gt;=$J$5,0,(CONTADORES!AM166-CONTADORES!AM165)+(CONTADORES!M166-CONTADORES!M165))</f>
        <v>9.8000000000047294</v>
      </c>
      <c r="AI164" s="1397">
        <f ca="1">IF(B164&gt;=$J$5,0,(CONTADORES!AK166-CONTADORES!AK165)+(CONTADORES!O166-CONTADORES!O165))</f>
        <v>35</v>
      </c>
      <c r="AJ164" s="1397">
        <f ca="1">IF(B164&gt;=$J$5,0,(CONTADORES!AI166-CONTADORES!AI165))</f>
        <v>5.6999999999970896</v>
      </c>
      <c r="AK164" s="1397">
        <f ca="1">IF(B164&gt;=$J$5,0,(CONTADORES!Q166-CONTADORES!Q165))</f>
        <v>13</v>
      </c>
      <c r="AL164" s="1450">
        <f t="shared" ca="1" si="78"/>
        <v>36.399999999999636</v>
      </c>
      <c r="AM164" s="1397">
        <f ca="1">IF(B164&gt;=$J$5,0,(((CONTADORES!F166-CONTADORES!F165)+(CONTADORES!AQ166-CONTADORES!AQ165))))-BS164-AF164-AN164-BV164-BY164-CD164-CB164</f>
        <v>10.273999999999633</v>
      </c>
      <c r="AN164" s="1397">
        <f ca="1">IF(B164&gt;=$J$5,0,(CONTADORES!AX166-CONTADORES!AX165)+(CONTADORES!AZ166-CONTADORES!AZ165)+(CONTADORES!BE166-CONTADORES!BE165))-CB164</f>
        <v>4.6340000000000128</v>
      </c>
      <c r="AO164" s="1399">
        <f ca="1">IF(B163&gt;=$J$5,0,(CONTADORES!AC166-CONTADORES!AC165))</f>
        <v>145</v>
      </c>
      <c r="AP164" s="1409">
        <f ca="1">IF(B164&gt;=$J$5,0,(CONTADORES!X166-CONTADORES!X165))</f>
        <v>75</v>
      </c>
      <c r="AQ164" s="1409">
        <f ca="1">IF(B164&gt;=$J$5,0,(CONTADORES!C166-CONTADORES!C165))</f>
        <v>0</v>
      </c>
      <c r="AR164" s="1409">
        <f ca="1">IF(B164&gt;=$J$5,0,(CONTADORES!BC166-CONTADORES!BC165))</f>
        <v>0</v>
      </c>
      <c r="AS164" s="1409">
        <f ca="1">IF(B164&gt;=$J$5,0,CONTADORES!S166-CONTADORES!S165)</f>
        <v>15.100000000005821</v>
      </c>
      <c r="AT164" s="1409">
        <f ca="1">IF(B164&gt;=$J$5,0,(CONTADORES!U166-CONTADORES!U165)+(CONTADORES!AG166-CONTADORES!AG165))</f>
        <v>2.9999999999999991</v>
      </c>
      <c r="AU164" s="1409">
        <f ca="1">IF(B164&gt;=$J$5,0,(CONTADORES!I166-CONTADORES!I165))</f>
        <v>82</v>
      </c>
      <c r="AV164" s="1409">
        <f ca="1">IF(B164&gt;=$J$5,0,(CONTADORES!AV166-CONTADORES!AV165))</f>
        <v>63</v>
      </c>
      <c r="AW164" s="1409">
        <f ca="1">IF(B164&gt;=$J$5,0,(CONTADORES!N166-CONTADORES!N165)+(CONTADORES!AN166-CONTADORES!AN165))</f>
        <v>3.5999999999985448</v>
      </c>
      <c r="AX164" s="1409">
        <f ca="1">IF(B164&gt;=$J$5,0,(CONTADORES!P166-CONTADORES!P165)+(CONTADORES!AL166-CONTADORES!AL165))</f>
        <v>29.69999999999709</v>
      </c>
      <c r="AY164" s="1409">
        <f ca="1">IF(B164&gt;=$J$5,0,(CONTADORES!AJ166-CONTADORES!AJ165))</f>
        <v>4.4000000000014552</v>
      </c>
      <c r="AZ164" s="1409">
        <f ca="1">IF(B164&gt;=$J$5,0,(CONTADORES!R166-CONTADORES!R165))</f>
        <v>10.19999999999709</v>
      </c>
      <c r="BA164" s="1398">
        <f t="shared" ca="1" si="79"/>
        <v>7.8790000000063571</v>
      </c>
      <c r="BB164" s="1409">
        <f ca="1">IF(B164&gt;=$J$5,0,(((CONTADORES!G166-CONTADORES!G165)+(CONTADORES!AR166-CONTADORES!AR165)+AR164)-(AV164+BC164)))</f>
        <v>9.3599999999991894</v>
      </c>
      <c r="BC164" s="1397">
        <f ca="1">IF(B164&gt;=$J$5,0,(CONTADORES!AY166-CONTADORES!AY165)+(CONTADORES!BA166-CONTADORES!BA165)+(CONTADORES!BF166-CONTADORES!BF165))</f>
        <v>2.940000000000083</v>
      </c>
      <c r="BD164" s="1397">
        <f t="shared" ca="1" si="80"/>
        <v>220</v>
      </c>
      <c r="BE164" s="1398">
        <f ca="1">IF($B164&gt;=$J$5,0,CONTADORES!$BG166)</f>
        <v>5260.75</v>
      </c>
      <c r="BF164" s="1397">
        <f ca="1">IF($B164&gt;=$J$5,0,CONTADORES!$BH166)</f>
        <v>29760.5438596491</v>
      </c>
      <c r="BG164" s="1397">
        <f ca="1">IF($B164&gt;=$J$5,0,CONTADORES!$BJ166)</f>
        <v>6875.34</v>
      </c>
      <c r="BH164" s="1397">
        <f ca="1">IF(B164&gt;=$J$5,0,((CONTADORES!BK166-CONTADORES!BK165)/1000))</f>
        <v>0</v>
      </c>
      <c r="BI164" s="1397">
        <f ca="1">IF(C164&gt;=$J$5,0,((CONTADORES!BL166-CONTADORES!BL165)/1000))</f>
        <v>0</v>
      </c>
      <c r="BJ164" s="1397">
        <f ca="1">IF(C164&gt;=$J$5,0,((CONTADORES!BM166-CONTADORES!BM165)/1000))</f>
        <v>0</v>
      </c>
      <c r="BK164" s="1397">
        <f ca="1">IF(B164&gt;=$J$5,0,((CONTADORES!BN166-CONTADORES!BN165)/1000))</f>
        <v>0</v>
      </c>
      <c r="BL164" s="1399">
        <f t="shared" ca="1" si="81"/>
        <v>0</v>
      </c>
      <c r="BM164" s="1399">
        <f t="shared" ca="1" si="82"/>
        <v>0</v>
      </c>
      <c r="BN164" s="1398">
        <f ca="1">IF(W164&gt;=$J$5,0,CONTADORES!$BO166)</f>
        <v>0</v>
      </c>
      <c r="BO164" s="1397">
        <f ca="1">IF(W164&gt;=$J$5,0,CONTADORES!$BP166)</f>
        <v>0</v>
      </c>
      <c r="BP164" s="1397">
        <f ca="1">IF(W164&gt;=$J$5,0,CONTADORES!$BQ166)</f>
        <v>0</v>
      </c>
      <c r="BQ164" s="1397">
        <f ca="1">IF(B164&gt;=$J$5,0,(CONTADORES!AS166-CONTADORES!AS165))</f>
        <v>5</v>
      </c>
      <c r="BR164" s="1397">
        <f ca="1">IF(C164&gt;=$J$5,0,(CONTADORES!AT166-CONTADORES!AT165))</f>
        <v>0</v>
      </c>
      <c r="BS164" s="1398">
        <f ca="1">IF(B164&gt;=$J$5,0,CONTADORES!BR166-CONTADORES!BR165)/1000</f>
        <v>2.2000000000000002</v>
      </c>
      <c r="BT164" s="1398">
        <f ca="1">IF(B164&gt;=$J$5,0,CONTADORES!BS166-CONTADORES!BS165)</f>
        <v>1</v>
      </c>
      <c r="BU164" s="1398">
        <f ca="1">IF(B164&gt;=$J$5,0,CONTADORES!BT166-CONTADORES!BT165)</f>
        <v>23.200000000000728</v>
      </c>
      <c r="BV164" s="1398">
        <f ca="1">IF(B164&gt;=$J$5,0,CONTADORES!BU166-CONTADORES!BU165)/1000</f>
        <v>4.3460000000000001</v>
      </c>
      <c r="BW164" s="1398">
        <f ca="1">IF(B164&gt;=$J$5,0,CONTADORES!BV166-CONTADORES!BV165)/1000</f>
        <v>0.81</v>
      </c>
      <c r="BX164" s="1398">
        <f ca="1">IF(B164&gt;=$J$5,0,CONTADORES!BW166-CONTADORES!BW165)</f>
        <v>24</v>
      </c>
      <c r="BY164" s="1398">
        <f ca="1">IF(B164&gt;=$J$5,0,CONTADORES!BX166-CONTADORES!BX165)/1000</f>
        <v>0</v>
      </c>
      <c r="BZ164" s="1398">
        <f ca="1">IF(B164&gt;=$J$5,0,CONTADORES!BY166-CONTADORES!BY165)/1000</f>
        <v>0</v>
      </c>
      <c r="CA164" s="1398">
        <f ca="1">IF(B164&gt;=$J$5,0,CONTADORES!BZ166-CONTADORES!BZ165)</f>
        <v>0</v>
      </c>
      <c r="CB164" s="1398">
        <f ca="1">IF(B164&gt;=$J$5,0,(CONTADORES!CC166-CONTADORES!CC165)+(CONTADORES!CE166-CONTADORES!CE165))/1000</f>
        <v>1.446</v>
      </c>
      <c r="CC164" s="1398">
        <f ca="1">IF(B164&gt;=$J$5,0,(CONTADORES!CD166-CONTADORES!CD165)+(CONTADORES!CF166-CONTADORES!CF165))/1000</f>
        <v>0.81100000000000005</v>
      </c>
      <c r="CD164" s="1398">
        <f ca="1">IF(B164&gt;=$J$5,0,CONTADORES!CA166-CONTADORES!CA165)</f>
        <v>6.1999999999989086</v>
      </c>
      <c r="CE164" s="1398">
        <f ca="1">IF(B164&gt;=$J$5,0,CONTADORES!CB166-CONTADORES!CB165)</f>
        <v>4.3000000000001819</v>
      </c>
      <c r="CF164" s="1398">
        <f t="shared" ca="1" si="83"/>
        <v>11.336999999998724</v>
      </c>
      <c r="CG164" s="1398">
        <f t="shared" ca="1" si="84"/>
        <v>8.9799999999997766</v>
      </c>
      <c r="CH164" s="1398">
        <f t="shared" ca="1" si="85"/>
        <v>5.1369999999998166</v>
      </c>
      <c r="CI164" s="1398">
        <f t="shared" ca="1" si="86"/>
        <v>1.8536000000000052</v>
      </c>
      <c r="CJ164" s="1398">
        <f t="shared" ca="1" si="87"/>
        <v>5.1369999999998166</v>
      </c>
      <c r="CK164" s="1398">
        <f t="shared" ca="1" si="88"/>
        <v>2.7804000000000073</v>
      </c>
      <c r="CL164" s="1398">
        <f t="shared" ca="1" si="89"/>
        <v>3.2996000000000052</v>
      </c>
      <c r="CM164" s="1398">
        <f t="shared" ca="1" si="90"/>
        <v>4.6799999999995947</v>
      </c>
      <c r="CN164" s="1398">
        <f ca="1">IF(B164&gt;=$J$5,0,CONTADORES!CB166-CONTADORES!CB165)</f>
        <v>4.3000000000001819</v>
      </c>
      <c r="CO164" s="1398">
        <f t="shared" ca="1" si="91"/>
        <v>4.6799999999995947</v>
      </c>
      <c r="CP164" s="1398">
        <f t="shared" ca="1" si="92"/>
        <v>1.4700000000000415</v>
      </c>
      <c r="CQ164" s="1398">
        <f t="shared" ca="1" si="93"/>
        <v>1.4700000000000415</v>
      </c>
      <c r="CR164" s="1398">
        <f t="shared" ca="1" si="94"/>
        <v>2.2810000000000414</v>
      </c>
      <c r="CS164" s="1448">
        <f ca="1">IF($B164&gt;=$J$5,0,CONTADORES!$BI166)</f>
        <v>9659.0103894223303</v>
      </c>
      <c r="CT164" s="1369">
        <f>CONTADORES!E166</f>
        <v>0</v>
      </c>
      <c r="CU164" s="1369">
        <f>CONTADORES!CG166</f>
        <v>0</v>
      </c>
    </row>
    <row r="165" spans="2:99">
      <c r="B165" s="390">
        <v>45081</v>
      </c>
      <c r="C165" s="198">
        <f t="shared" ca="1" si="68"/>
        <v>298</v>
      </c>
      <c r="D165" s="196">
        <f ca="1">'CALCULO DE GAS'!D177</f>
        <v>4.807235897712129</v>
      </c>
      <c r="E165" s="196">
        <f ca="1">IF(B165&gt;=$J$5,0,(CONTADORES!$AD167-CONTADORES!$AD166)-$H165)</f>
        <v>24</v>
      </c>
      <c r="F165" s="198">
        <f t="shared" ca="1" si="96"/>
        <v>0</v>
      </c>
      <c r="G165" s="196">
        <f ca="1">IF(B165&gt;=$J$5,0,CONTADORES!$AF167-CONTADORES!$AF166)</f>
        <v>0</v>
      </c>
      <c r="H165" s="196">
        <f ca="1">IF(G165&gt;0,CONTADORES!$AE167-CONTADORES!$AE166,0)</f>
        <v>0</v>
      </c>
      <c r="I165" s="199">
        <f ca="1">IF(B165&gt;=$J$5,0,CONTADORES!$AB167-CONTADORES!$AB166)</f>
        <v>298</v>
      </c>
      <c r="J165" s="198">
        <f t="shared" ca="1" si="69"/>
        <v>150</v>
      </c>
      <c r="K165" s="196">
        <f ca="1">'CALCULO DE GAS'!E177</f>
        <v>3.6247481145046652</v>
      </c>
      <c r="L165" s="1396">
        <f ca="1">IF(B165&gt;=$J$5,0,(CONTADORES!$Y167-CONTADORES!$Y166)-$O165)</f>
        <v>24</v>
      </c>
      <c r="M165" s="1396">
        <f t="shared" ca="1" si="95"/>
        <v>0</v>
      </c>
      <c r="N165" s="1396">
        <f ca="1">IF(B165&gt;=$J$5,0,CONTADORES!$AA167-CONTADORES!$AA166)</f>
        <v>0</v>
      </c>
      <c r="O165" s="1396">
        <f ca="1">IF(N165&gt;0,CONTADORES!$Z167-CONTADORES!$Z166,0)</f>
        <v>0</v>
      </c>
      <c r="P165" s="202">
        <f ca="1">IF(B165&gt;=$J$5,0,CONTADORES!$W167-CONTADORES!$W166)</f>
        <v>150</v>
      </c>
      <c r="Q165" s="202">
        <f ca="1">IF(B165&gt;=$J$5,0,CONTADORES!$B167-CONTADORES!$B166)</f>
        <v>0</v>
      </c>
      <c r="R165" s="196">
        <f t="shared" ca="1" si="70"/>
        <v>0</v>
      </c>
      <c r="S165" s="11">
        <f ca="1">IF(B165&gt;=$J$5,0,CONTADORES!$D167-CONTADORES!$D166)</f>
        <v>0</v>
      </c>
      <c r="T165" s="198">
        <f ca="1">IF(B165&gt;=$J$5,0,CONTADORES!$BB167-CONTADORES!$BB166)</f>
        <v>0</v>
      </c>
      <c r="U165" s="196">
        <f t="shared" ref="U165:U228" ca="1" si="97">$T165*120</f>
        <v>0</v>
      </c>
      <c r="V165" s="199">
        <f ca="1">IF(B165&gt;=$J$5,0,CONTADORES!$BD167-CONTADORES!$BD166)</f>
        <v>0</v>
      </c>
      <c r="W165" s="1397">
        <f t="shared" ca="1" si="71"/>
        <v>448</v>
      </c>
      <c r="X165" s="1397">
        <f t="shared" ca="1" si="72"/>
        <v>0</v>
      </c>
      <c r="Y165" s="1398">
        <f t="shared" ca="1" si="73"/>
        <v>448</v>
      </c>
      <c r="Z165" s="1398">
        <f t="shared" ca="1" si="74"/>
        <v>8.4319840122167946</v>
      </c>
      <c r="AA165" s="1398">
        <f t="shared" ca="1" si="75"/>
        <v>0</v>
      </c>
      <c r="AB165" s="1398">
        <f t="shared" ca="1" si="76"/>
        <v>48</v>
      </c>
      <c r="AC165" s="1397">
        <f t="shared" ca="1" si="77"/>
        <v>0</v>
      </c>
      <c r="AD165" s="1397">
        <f ca="1">IF(B165&gt;=$J$5,0,CONTADORES!H167-CONTADORES!H166)</f>
        <v>164</v>
      </c>
      <c r="AE165" s="1397">
        <f ca="1">IF(B165&gt;=$J$5,0,CONTADORES!J167-CONTADORES!J166)</f>
        <v>24</v>
      </c>
      <c r="AF165" s="1397">
        <f ca="1">IF(B165&gt;=$J$5,0,CONTADORES!AU167-CONTADORES!AU166)</f>
        <v>152</v>
      </c>
      <c r="AG165" s="1397">
        <f ca="1">IF(B165&gt;=$J$5,0,CONTADORES!AW167-CONTADORES!AW166)</f>
        <v>24</v>
      </c>
      <c r="AH165" s="1398">
        <f ca="1">IF(B165&gt;=$J$5,0,(CONTADORES!AM167-CONTADORES!AM166)+(CONTADORES!M167-CONTADORES!M166))</f>
        <v>10.69999999999709</v>
      </c>
      <c r="AI165" s="1397">
        <f ca="1">IF(B165&gt;=$J$5,0,(CONTADORES!AK167-CONTADORES!AK166)+(CONTADORES!O167-CONTADORES!O166))</f>
        <v>37.30000000000291</v>
      </c>
      <c r="AJ165" s="1397">
        <f ca="1">IF(B165&gt;=$J$5,0,(CONTADORES!AI167-CONTADORES!AI166))</f>
        <v>7.5</v>
      </c>
      <c r="AK165" s="1397">
        <f ca="1">IF(B165&gt;=$J$5,0,(CONTADORES!Q167-CONTADORES!Q166))</f>
        <v>12.899999999994179</v>
      </c>
      <c r="AL165" s="1450">
        <f t="shared" ca="1" si="78"/>
        <v>32.600000000005878</v>
      </c>
      <c r="AM165" s="1397">
        <f ca="1">IF(B165&gt;=$J$5,0,(((CONTADORES!F167-CONTADORES!F166)+(CONTADORES!AQ167-CONTADORES!AQ166))))-BS165-AF165-AN165-BV165-BY165-CD165-CB165</f>
        <v>11.238999999999727</v>
      </c>
      <c r="AN165" s="1397">
        <f ca="1">IF(B165&gt;=$J$5,0,(CONTADORES!AX167-CONTADORES!AX166)+(CONTADORES!AZ167-CONTADORES!AZ166)+(CONTADORES!BE167-CONTADORES!BE166))-CB165</f>
        <v>4.7370000000002728</v>
      </c>
      <c r="AO165" s="1399">
        <f ca="1">IF(B164&gt;=$J$5,0,(CONTADORES!AC167-CONTADORES!AC166))</f>
        <v>152</v>
      </c>
      <c r="AP165" s="1409">
        <f ca="1">IF(B165&gt;=$J$5,0,(CONTADORES!X167-CONTADORES!X166))</f>
        <v>74</v>
      </c>
      <c r="AQ165" s="1409">
        <f ca="1">IF(B165&gt;=$J$5,0,(CONTADORES!C167-CONTADORES!C166))</f>
        <v>0</v>
      </c>
      <c r="AR165" s="1409">
        <f ca="1">IF(B165&gt;=$J$5,0,(CONTADORES!BC167-CONTADORES!BC166))</f>
        <v>0</v>
      </c>
      <c r="AS165" s="1409">
        <f ca="1">IF(B165&gt;=$J$5,0,CONTADORES!S167-CONTADORES!S166)</f>
        <v>14.5</v>
      </c>
      <c r="AT165" s="1409">
        <f ca="1">IF(B165&gt;=$J$5,0,(CONTADORES!U167-CONTADORES!U166)+(CONTADORES!AG167-CONTADORES!AG166))</f>
        <v>3.3000000000000007</v>
      </c>
      <c r="AU165" s="1409">
        <f ca="1">IF(B165&gt;=$J$5,0,(CONTADORES!I167-CONTADORES!I166))</f>
        <v>82</v>
      </c>
      <c r="AV165" s="1409">
        <f ca="1">IF(B165&gt;=$J$5,0,(CONTADORES!AV167-CONTADORES!AV166))</f>
        <v>66</v>
      </c>
      <c r="AW165" s="1409">
        <f ca="1">IF(B165&gt;=$J$5,0,(CONTADORES!N167-CONTADORES!N166)+(CONTADORES!AN167-CONTADORES!AN166))</f>
        <v>4.2000000000007276</v>
      </c>
      <c r="AX165" s="1409">
        <f ca="1">IF(B165&gt;=$J$5,0,(CONTADORES!P167-CONTADORES!P166)+(CONTADORES!AL167-CONTADORES!AL166))</f>
        <v>31.700000000004366</v>
      </c>
      <c r="AY165" s="1409">
        <f ca="1">IF(B165&gt;=$J$5,0,(CONTADORES!AJ167-CONTADORES!AJ166))</f>
        <v>5.8000000000029104</v>
      </c>
      <c r="AZ165" s="1409">
        <f ca="1">IF(B165&gt;=$J$5,0,(CONTADORES!R167-CONTADORES!R166))</f>
        <v>10.399999999994179</v>
      </c>
      <c r="BA165" s="1398">
        <f t="shared" ca="1" si="79"/>
        <v>5.6819999999979984</v>
      </c>
      <c r="BB165" s="1409">
        <f ca="1">IF(B165&gt;=$J$5,0,(((CONTADORES!G167-CONTADORES!G166)+(CONTADORES!AR167-CONTADORES!AR166)+AR165)-(AV165+BC165)))</f>
        <v>10.100000000000364</v>
      </c>
      <c r="BC165" s="1397">
        <f ca="1">IF(B165&gt;=$J$5,0,(CONTADORES!AY167-CONTADORES!AY166)+(CONTADORES!BA167-CONTADORES!BA166)+(CONTADORES!BF167-CONTADORES!BF166))</f>
        <v>3</v>
      </c>
      <c r="BD165" s="1397">
        <f t="shared" ca="1" si="80"/>
        <v>226</v>
      </c>
      <c r="BE165" s="1398">
        <f ca="1">IF($B165&gt;=$J$5,0,CONTADORES!$BG167)</f>
        <v>0</v>
      </c>
      <c r="BF165" s="1397">
        <f ca="1">IF($B165&gt;=$J$5,0,CONTADORES!$BH167)</f>
        <v>0</v>
      </c>
      <c r="BG165" s="1397">
        <f ca="1">IF($B165&gt;=$J$5,0,CONTADORES!$BJ167)</f>
        <v>0</v>
      </c>
      <c r="BH165" s="1397">
        <f ca="1">IF(B165&gt;=$J$5,0,((CONTADORES!BK167-CONTADORES!BK166)/1000))</f>
        <v>0</v>
      </c>
      <c r="BI165" s="1397">
        <f ca="1">IF(C165&gt;=$J$5,0,((CONTADORES!BL167-CONTADORES!BL166)/1000))</f>
        <v>0</v>
      </c>
      <c r="BJ165" s="1397">
        <f ca="1">IF(C165&gt;=$J$5,0,((CONTADORES!BM167-CONTADORES!BM166)/1000))</f>
        <v>0</v>
      </c>
      <c r="BK165" s="1397">
        <f ca="1">IF(B165&gt;=$J$5,0,((CONTADORES!BN167-CONTADORES!BN166)/1000))</f>
        <v>0</v>
      </c>
      <c r="BL165" s="1399">
        <f t="shared" ca="1" si="81"/>
        <v>0</v>
      </c>
      <c r="BM165" s="1399">
        <f t="shared" ca="1" si="82"/>
        <v>0</v>
      </c>
      <c r="BN165" s="1398">
        <f ca="1">IF(W165&gt;=$J$5,0,CONTADORES!$BO167)</f>
        <v>0</v>
      </c>
      <c r="BO165" s="1397">
        <f ca="1">IF(W165&gt;=$J$5,0,CONTADORES!$BP167)</f>
        <v>0</v>
      </c>
      <c r="BP165" s="1397">
        <f ca="1">IF(W165&gt;=$J$5,0,CONTADORES!$BQ167)</f>
        <v>0</v>
      </c>
      <c r="BQ165" s="1397">
        <f ca="1">IF(B165&gt;=$J$5,0,(CONTADORES!AS167-CONTADORES!AS166))</f>
        <v>5</v>
      </c>
      <c r="BR165" s="1397">
        <f ca="1">IF(C165&gt;=$J$5,0,(CONTADORES!AT167-CONTADORES!AT166))</f>
        <v>0</v>
      </c>
      <c r="BS165" s="1398">
        <f ca="1">IF(B165&gt;=$J$5,0,CONTADORES!BR167-CONTADORES!BR166)/1000</f>
        <v>2</v>
      </c>
      <c r="BT165" s="1398">
        <f ca="1">IF(B165&gt;=$J$5,0,CONTADORES!BS167-CONTADORES!BS166)</f>
        <v>1</v>
      </c>
      <c r="BU165" s="1398">
        <f ca="1">IF(B165&gt;=$J$5,0,CONTADORES!BT167-CONTADORES!BT166)</f>
        <v>24</v>
      </c>
      <c r="BV165" s="1398">
        <f ca="1">IF(B165&gt;=$J$5,0,CONTADORES!BU167-CONTADORES!BU166)/1000</f>
        <v>5.0609999999999999</v>
      </c>
      <c r="BW165" s="1398">
        <f ca="1">IF(B165&gt;=$J$5,0,CONTADORES!BV167-CONTADORES!BV166)/1000</f>
        <v>0.70199999999999996</v>
      </c>
      <c r="BX165" s="1398">
        <f ca="1">IF(B165&gt;=$J$5,0,CONTADORES!BW167-CONTADORES!BW166)</f>
        <v>23.599999999998545</v>
      </c>
      <c r="BY165" s="1398">
        <f ca="1">IF(B165&gt;=$J$5,0,CONTADORES!BX167-CONTADORES!BX166)/1000</f>
        <v>0</v>
      </c>
      <c r="BZ165" s="1398">
        <f ca="1">IF(B165&gt;=$J$5,0,CONTADORES!BY167-CONTADORES!BY166)/1000</f>
        <v>0</v>
      </c>
      <c r="CA165" s="1398">
        <f ca="1">IF(B165&gt;=$J$5,0,CONTADORES!BZ167-CONTADORES!BZ166)</f>
        <v>0</v>
      </c>
      <c r="CB165" s="1398">
        <f ca="1">IF(B165&gt;=$J$5,0,(CONTADORES!CC167-CONTADORES!CC166)+(CONTADORES!CE167-CONTADORES!CE166))/1000</f>
        <v>1.4630000000000001</v>
      </c>
      <c r="CC165" s="1398">
        <f ca="1">IF(B165&gt;=$J$5,0,(CONTADORES!CD167-CONTADORES!CD166)+(CONTADORES!CF167-CONTADORES!CF166))/1000</f>
        <v>0.81599999999999995</v>
      </c>
      <c r="CD165" s="1398">
        <f ca="1">IF(B165&gt;=$J$5,0,CONTADORES!CA167-CONTADORES!CA166)</f>
        <v>6.5</v>
      </c>
      <c r="CE165" s="1398">
        <f ca="1">IF(B165&gt;=$J$5,0,CONTADORES!CB167-CONTADORES!CB166)</f>
        <v>4.5999999999994543</v>
      </c>
      <c r="CF165" s="1398">
        <f t="shared" ca="1" si="83"/>
        <v>12.119499999999864</v>
      </c>
      <c r="CG165" s="1398">
        <f t="shared" ca="1" si="84"/>
        <v>9.6499999999996362</v>
      </c>
      <c r="CH165" s="1398">
        <f t="shared" ca="1" si="85"/>
        <v>5.6194999999998636</v>
      </c>
      <c r="CI165" s="1398">
        <f t="shared" ca="1" si="86"/>
        <v>1.8948000000001093</v>
      </c>
      <c r="CJ165" s="1398">
        <f t="shared" ca="1" si="87"/>
        <v>5.6194999999998636</v>
      </c>
      <c r="CK165" s="1398">
        <f t="shared" ca="1" si="88"/>
        <v>2.8422000000001635</v>
      </c>
      <c r="CL165" s="1398">
        <f t="shared" ca="1" si="89"/>
        <v>3.3578000000001094</v>
      </c>
      <c r="CM165" s="1398">
        <f t="shared" ca="1" si="90"/>
        <v>5.0500000000001819</v>
      </c>
      <c r="CN165" s="1398">
        <f ca="1">IF(B165&gt;=$J$5,0,CONTADORES!CB167-CONTADORES!CB166)</f>
        <v>4.5999999999994543</v>
      </c>
      <c r="CO165" s="1398">
        <f t="shared" ca="1" si="91"/>
        <v>5.0500000000001819</v>
      </c>
      <c r="CP165" s="1398">
        <f t="shared" ca="1" si="92"/>
        <v>1.5</v>
      </c>
      <c r="CQ165" s="1398">
        <f t="shared" ca="1" si="93"/>
        <v>1.5</v>
      </c>
      <c r="CR165" s="1398">
        <f t="shared" ca="1" si="94"/>
        <v>2.3159999999999998</v>
      </c>
      <c r="CS165" s="1448">
        <f ca="1">IF($B165&gt;=$J$5,0,CONTADORES!$BI167)</f>
        <v>0</v>
      </c>
      <c r="CT165" s="1369">
        <f>CONTADORES!E167</f>
        <v>0</v>
      </c>
      <c r="CU165" s="1369">
        <f>CONTADORES!CG167</f>
        <v>0</v>
      </c>
    </row>
    <row r="166" spans="2:99">
      <c r="B166" s="390">
        <v>45082</v>
      </c>
      <c r="C166" s="198">
        <f t="shared" ca="1" si="68"/>
        <v>-593044</v>
      </c>
      <c r="D166" s="196">
        <f ca="1">'CALCULO DE GAS'!D178</f>
        <v>0</v>
      </c>
      <c r="E166" s="196">
        <f ca="1">IF(B166&gt;=$J$5,0,(CONTADORES!$AD168-CONTADORES!$AD167)-$H166)</f>
        <v>-212007.3</v>
      </c>
      <c r="F166" s="198">
        <f t="shared" ca="1" si="96"/>
        <v>0</v>
      </c>
      <c r="G166" s="196">
        <f ca="1">IF(B166&gt;=$J$5,0,CONTADORES!$AF168-CONTADORES!$AF167)</f>
        <v>0</v>
      </c>
      <c r="H166" s="196">
        <f ca="1">IF(G166&gt;0,CONTADORES!$AE168-CONTADORES!$AE167,0)</f>
        <v>0</v>
      </c>
      <c r="I166" s="199">
        <f ca="1">IF(B166&gt;=$J$5,0,CONTADORES!$AB168-CONTADORES!$AB167)</f>
        <v>-593044</v>
      </c>
      <c r="J166" s="198">
        <f t="shared" ca="1" si="69"/>
        <v>-41334</v>
      </c>
      <c r="K166" s="196">
        <f ca="1">'CALCULO DE GAS'!E178</f>
        <v>0</v>
      </c>
      <c r="L166" s="1396">
        <f ca="1">IF(B166&gt;=$J$5,0,(CONTADORES!$Y168-CONTADORES!$Y167)-$O166)</f>
        <v>-211987.4</v>
      </c>
      <c r="M166" s="1396">
        <f t="shared" ca="1" si="95"/>
        <v>0</v>
      </c>
      <c r="N166" s="1396">
        <f ca="1">IF(B166&gt;=$J$5,0,CONTADORES!$AA168-CONTADORES!$AA167)</f>
        <v>0</v>
      </c>
      <c r="O166" s="1396">
        <f ca="1">IF(N166&gt;0,CONTADORES!$Z168-CONTADORES!$Z167,0)</f>
        <v>0</v>
      </c>
      <c r="P166" s="202">
        <f ca="1">IF(B166&gt;=$J$5,0,CONTADORES!$W168-CONTADORES!$W167)</f>
        <v>-41334</v>
      </c>
      <c r="Q166" s="202">
        <f ca="1">IF(B166&gt;=$J$5,0,CONTADORES!$B168-CONTADORES!$B167)</f>
        <v>0</v>
      </c>
      <c r="R166" s="196">
        <f t="shared" ca="1" si="70"/>
        <v>0</v>
      </c>
      <c r="S166" s="11">
        <f ca="1">IF(B166&gt;=$J$5,0,CONTADORES!$D168-CONTADORES!$D167)</f>
        <v>0</v>
      </c>
      <c r="T166" s="198">
        <f ca="1">IF(B166&gt;=$J$5,0,CONTADORES!$BB168-CONTADORES!$BB167)</f>
        <v>0</v>
      </c>
      <c r="U166" s="196">
        <f t="shared" ca="1" si="97"/>
        <v>0</v>
      </c>
      <c r="V166" s="199">
        <f ca="1">IF(B166&gt;=$J$5,0,CONTADORES!$BD168-CONTADORES!$BD167)</f>
        <v>0</v>
      </c>
      <c r="W166" s="1397">
        <f t="shared" ca="1" si="71"/>
        <v>-634378</v>
      </c>
      <c r="X166" s="1397">
        <f t="shared" ca="1" si="72"/>
        <v>0</v>
      </c>
      <c r="Y166" s="1398">
        <f t="shared" ca="1" si="73"/>
        <v>-634378</v>
      </c>
      <c r="Z166" s="1398">
        <f t="shared" ca="1" si="74"/>
        <v>0</v>
      </c>
      <c r="AA166" s="1398">
        <f t="shared" ca="1" si="75"/>
        <v>0</v>
      </c>
      <c r="AB166" s="1398">
        <f t="shared" ca="1" si="76"/>
        <v>-423994.69999999995</v>
      </c>
      <c r="AC166" s="1397">
        <f t="shared" ca="1" si="77"/>
        <v>0</v>
      </c>
      <c r="AD166" s="1397">
        <f ca="1">IF(B166&gt;=$J$5,0,CONTADORES!H168-CONTADORES!H167)</f>
        <v>-7966</v>
      </c>
      <c r="AE166" s="1397">
        <f ca="1">IF(B166&gt;=$J$5,0,CONTADORES!J168-CONTADORES!J167)</f>
        <v>-206384</v>
      </c>
      <c r="AF166" s="1397">
        <f ca="1">IF(B166&gt;=$J$5,0,CONTADORES!AU168-CONTADORES!AU167)</f>
        <v>-464667</v>
      </c>
      <c r="AG166" s="1397">
        <f ca="1">IF(B166&gt;=$J$5,0,CONTADORES!AW168-CONTADORES!AW167)</f>
        <v>-80355.399999999994</v>
      </c>
      <c r="AH166" s="1398">
        <f ca="1">IF(B166&gt;=$J$5,0,(CONTADORES!AM168-CONTADORES!AM167)+(CONTADORES!M168-CONTADORES!M167))</f>
        <v>-59846.5</v>
      </c>
      <c r="AI166" s="1397">
        <f ca="1">IF(B166&gt;=$J$5,0,(CONTADORES!AK168-CONTADORES!AK167)+(CONTADORES!O168-CONTADORES!O167))</f>
        <v>-67065.7</v>
      </c>
      <c r="AJ166" s="1397">
        <f ca="1">IF(B166&gt;=$J$5,0,(CONTADORES!AI168-CONTADORES!AI167))</f>
        <v>-82690</v>
      </c>
      <c r="AK166" s="1397">
        <f ca="1">IF(B166&gt;=$J$5,0,(CONTADORES!Q168-CONTADORES!Q167))</f>
        <v>-138128.5</v>
      </c>
      <c r="AL166" s="1450">
        <f t="shared" ca="1" si="78"/>
        <v>237466.79999999993</v>
      </c>
      <c r="AM166" s="1397">
        <f ca="1">IF(B166&gt;=$J$5,0,(((CONTADORES!F168-CONTADORES!F167)+(CONTADORES!AQ168-CONTADORES!AQ167))))-BS166-AF166-AN166-BV166-BY166-CD166-CB166</f>
        <v>-28926.668999999962</v>
      </c>
      <c r="AN166" s="1397">
        <f ca="1">IF(B166&gt;=$J$5,0,(CONTADORES!AX168-CONTADORES!AX167)+(CONTADORES!AZ168-CONTADORES!AZ167)+(CONTADORES!BE168-CONTADORES!BE167))-CB166</f>
        <v>-5886.3280000000004</v>
      </c>
      <c r="AO166" s="1399">
        <f ca="1">IF(B165&gt;=$J$5,0,(CONTADORES!AC168-CONTADORES!AC167))</f>
        <v>-302126</v>
      </c>
      <c r="AP166" s="1409">
        <f ca="1">IF(B166&gt;=$J$5,0,(CONTADORES!X168-CONTADORES!X167))</f>
        <v>-21329</v>
      </c>
      <c r="AQ166" s="1409">
        <f ca="1">IF(B166&gt;=$J$5,0,(CONTADORES!C168-CONTADORES!C167))</f>
        <v>0</v>
      </c>
      <c r="AR166" s="1409">
        <f ca="1">IF(B166&gt;=$J$5,0,(CONTADORES!BC168-CONTADORES!BC167))</f>
        <v>0</v>
      </c>
      <c r="AS166" s="1409">
        <f ca="1">IF(B166&gt;=$J$5,0,CONTADORES!S168-CONTADORES!S167)</f>
        <v>-140457.60000000001</v>
      </c>
      <c r="AT166" s="1409">
        <f ca="1">IF(B166&gt;=$J$5,0,(CONTADORES!U168-CONTADORES!U167)+(CONTADORES!AG168-CONTADORES!AG167))</f>
        <v>-11.5</v>
      </c>
      <c r="AU166" s="1409">
        <f ca="1">IF(B166&gt;=$J$5,0,(CONTADORES!I168-CONTADORES!I167))</f>
        <v>-3986</v>
      </c>
      <c r="AV166" s="1409">
        <f ca="1">IF(B166&gt;=$J$5,0,(CONTADORES!AV168-CONTADORES!AV167))</f>
        <v>-204483</v>
      </c>
      <c r="AW166" s="1409">
        <f ca="1">IF(B166&gt;=$J$5,0,(CONTADORES!N168-CONTADORES!N167)+(CONTADORES!AN168-CONTADORES!AN167))</f>
        <v>-23529.7</v>
      </c>
      <c r="AX166" s="1409">
        <f ca="1">IF(B166&gt;=$J$5,0,(CONTADORES!P168-CONTADORES!P167)+(CONTADORES!AL168-CONTADORES!AL167))</f>
        <v>-54668.4</v>
      </c>
      <c r="AY166" s="1409">
        <f ca="1">IF(B166&gt;=$J$5,0,(CONTADORES!AJ168-CONTADORES!AJ167))</f>
        <v>-63924.4</v>
      </c>
      <c r="AZ166" s="1409">
        <f ca="1">IF(B166&gt;=$J$5,0,(CONTADORES!R168-CONTADORES!R167))</f>
        <v>-114561.4</v>
      </c>
      <c r="BA166" s="1398">
        <f t="shared" ca="1" si="79"/>
        <v>180403.76699999999</v>
      </c>
      <c r="BB166" s="1409">
        <f ca="1">IF(B166&gt;=$J$5,0,(((CONTADORES!G168-CONTADORES!G167)+(CONTADORES!AR168-CONTADORES!AR167)+AR166)-(AV166+BC166)))</f>
        <v>-27797.059999999998</v>
      </c>
      <c r="BC166" s="1397">
        <f ca="1">IF(B166&gt;=$J$5,0,(CONTADORES!AY168-CONTADORES!AY167)+(CONTADORES!BA168-CONTADORES!BA167)+(CONTADORES!BF168-CONTADORES!BF167))</f>
        <v>-3128.94</v>
      </c>
      <c r="BD166" s="1397">
        <f t="shared" ca="1" si="80"/>
        <v>-323455</v>
      </c>
      <c r="BE166" s="1398">
        <f ca="1">IF($B166&gt;=$J$5,0,CONTADORES!$BG168)</f>
        <v>0</v>
      </c>
      <c r="BF166" s="1397">
        <f ca="1">IF($B166&gt;=$J$5,0,CONTADORES!$BH168)</f>
        <v>0</v>
      </c>
      <c r="BG166" s="1397">
        <f ca="1">IF($B166&gt;=$J$5,0,CONTADORES!$BJ168)</f>
        <v>0</v>
      </c>
      <c r="BH166" s="1397">
        <f ca="1">IF(B166&gt;=$J$5,0,((CONTADORES!BK168-CONTADORES!BK167)/1000))</f>
        <v>0</v>
      </c>
      <c r="BI166" s="1397">
        <f ca="1">IF(C166&gt;=$J$5,0,((CONTADORES!BL168-CONTADORES!BL167)/1000))</f>
        <v>0</v>
      </c>
      <c r="BJ166" s="1397">
        <f ca="1">IF(C166&gt;=$J$5,0,((CONTADORES!BM168-CONTADORES!BM167)/1000))</f>
        <v>0</v>
      </c>
      <c r="BK166" s="1397">
        <f ca="1">IF(B166&gt;=$J$5,0,((CONTADORES!BN168-CONTADORES!BN167)/1000))</f>
        <v>0</v>
      </c>
      <c r="BL166" s="1399">
        <f t="shared" ca="1" si="81"/>
        <v>0</v>
      </c>
      <c r="BM166" s="1399">
        <f t="shared" ca="1" si="82"/>
        <v>0</v>
      </c>
      <c r="BN166" s="1398">
        <f ca="1">IF(W166&gt;=$J$5,0,CONTADORES!$BO168)</f>
        <v>0</v>
      </c>
      <c r="BO166" s="1397">
        <f ca="1">IF(W166&gt;=$J$5,0,CONTADORES!$BP168)</f>
        <v>0</v>
      </c>
      <c r="BP166" s="1397">
        <f ca="1">IF(W166&gt;=$J$5,0,CONTADORES!$BQ168)</f>
        <v>0</v>
      </c>
      <c r="BQ166" s="1397">
        <f ca="1">IF(B166&gt;=$J$5,0,(CONTADORES!AS168-CONTADORES!AS167))</f>
        <v>-65293</v>
      </c>
      <c r="BR166" s="1397">
        <f ca="1">IF(C166&gt;=$J$5,0,(CONTADORES!AT168-CONTADORES!AT167))</f>
        <v>0</v>
      </c>
      <c r="BS166" s="1398">
        <f ca="1">IF(B166&gt;=$J$5,0,CONTADORES!BR168-CONTADORES!BR167)/1000</f>
        <v>-2637.2</v>
      </c>
      <c r="BT166" s="1398">
        <f ca="1">IF(B166&gt;=$J$5,0,CONTADORES!BS168-CONTADORES!BS167)</f>
        <v>-558</v>
      </c>
      <c r="BU166" s="1398">
        <f ca="1">IF(B166&gt;=$J$5,0,CONTADORES!BT168-CONTADORES!BT167)</f>
        <v>-20694</v>
      </c>
      <c r="BV166" s="1398">
        <f ca="1">IF(B166&gt;=$J$5,0,CONTADORES!BU168-CONTADORES!BU167)/1000</f>
        <v>-3345.1309999999999</v>
      </c>
      <c r="BW166" s="1398">
        <f ca="1">IF(B166&gt;=$J$5,0,CONTADORES!BV168-CONTADORES!BV167)/1000</f>
        <v>-113.312</v>
      </c>
      <c r="BX166" s="1398">
        <f ca="1">IF(B166&gt;=$J$5,0,CONTADORES!BW168-CONTADORES!BW167)</f>
        <v>-20686.8</v>
      </c>
      <c r="BY166" s="1398">
        <f ca="1">IF(B166&gt;=$J$5,0,CONTADORES!BX168-CONTADORES!BX167)/1000</f>
        <v>0</v>
      </c>
      <c r="BZ166" s="1398">
        <f ca="1">IF(B166&gt;=$J$5,0,CONTADORES!BY168-CONTADORES!BY167)/1000</f>
        <v>0</v>
      </c>
      <c r="CA166" s="1398">
        <f ca="1">IF(B166&gt;=$J$5,0,CONTADORES!BZ168-CONTADORES!BZ167)</f>
        <v>0</v>
      </c>
      <c r="CB166" s="1398">
        <f ca="1">IF(B166&gt;=$J$5,0,(CONTADORES!CC168-CONTADORES!CC167)+(CONTADORES!CE168-CONTADORES!CE167))/1000</f>
        <v>-1868.472</v>
      </c>
      <c r="CC166" s="1398">
        <f ca="1">IF(B166&gt;=$J$5,0,(CONTADORES!CD168-CONTADORES!CD167)+(CONTADORES!CF168-CONTADORES!CF167))/1000</f>
        <v>-1108.155</v>
      </c>
      <c r="CD166" s="1398">
        <f ca="1">IF(B166&gt;=$J$5,0,CONTADORES!CA168-CONTADORES!CA167)</f>
        <v>-8817.2999999999993</v>
      </c>
      <c r="CE166" s="1398">
        <f ca="1">IF(B166&gt;=$J$5,0,CONTADORES!CB168-CONTADORES!CB167)</f>
        <v>-6000.4</v>
      </c>
      <c r="CF166" s="1398">
        <f t="shared" ca="1" si="83"/>
        <v>-23280.634499999978</v>
      </c>
      <c r="CG166" s="1398">
        <f t="shared" ca="1" si="84"/>
        <v>-19898.93</v>
      </c>
      <c r="CH166" s="1398">
        <f t="shared" ca="1" si="85"/>
        <v>-14463.334499999981</v>
      </c>
      <c r="CI166" s="1398">
        <f t="shared" ca="1" si="86"/>
        <v>-2354.5312000000004</v>
      </c>
      <c r="CJ166" s="1398">
        <f t="shared" ca="1" si="87"/>
        <v>-14463.334499999981</v>
      </c>
      <c r="CK166" s="1398">
        <f t="shared" ca="1" si="88"/>
        <v>-3531.7968000000001</v>
      </c>
      <c r="CL166" s="1398">
        <f t="shared" ca="1" si="89"/>
        <v>-4223.0032000000001</v>
      </c>
      <c r="CM166" s="1398">
        <f t="shared" ca="1" si="90"/>
        <v>-13898.529999999999</v>
      </c>
      <c r="CN166" s="1398">
        <f ca="1">IF(B166&gt;=$J$5,0,CONTADORES!CB168-CONTADORES!CB167)</f>
        <v>-6000.4</v>
      </c>
      <c r="CO166" s="1398">
        <f t="shared" ca="1" si="91"/>
        <v>-13898.529999999999</v>
      </c>
      <c r="CP166" s="1398">
        <f t="shared" ca="1" si="92"/>
        <v>-1564.47</v>
      </c>
      <c r="CQ166" s="1398">
        <f t="shared" ca="1" si="93"/>
        <v>-1564.47</v>
      </c>
      <c r="CR166" s="1398">
        <f t="shared" ca="1" si="94"/>
        <v>-2672.625</v>
      </c>
      <c r="CS166" s="1448">
        <f ca="1">IF($B166&gt;=$J$5,0,CONTADORES!$BI168)</f>
        <v>0</v>
      </c>
      <c r="CT166" s="1369">
        <f>CONTADORES!E168</f>
        <v>0</v>
      </c>
      <c r="CU166" s="1369">
        <f>CONTADORES!CG168</f>
        <v>0</v>
      </c>
    </row>
    <row r="167" spans="2:99">
      <c r="B167" s="390">
        <v>45083</v>
      </c>
      <c r="C167" s="198">
        <f t="shared" ca="1" si="68"/>
        <v>0</v>
      </c>
      <c r="D167" s="196">
        <f ca="1">'CALCULO DE GAS'!D179</f>
        <v>0</v>
      </c>
      <c r="E167" s="196">
        <f ca="1">IF(B167&gt;=$J$5,0,(CONTADORES!$AD169-CONTADORES!$AD168)-$H167)</f>
        <v>0</v>
      </c>
      <c r="F167" s="198">
        <f t="shared" ca="1" si="96"/>
        <v>0</v>
      </c>
      <c r="G167" s="196">
        <f ca="1">IF(B167&gt;=$J$5,0,CONTADORES!$AF169-CONTADORES!$AF168)</f>
        <v>0</v>
      </c>
      <c r="H167" s="196">
        <f ca="1">IF(G167&gt;0,CONTADORES!$AE169-CONTADORES!$AE168,0)</f>
        <v>0</v>
      </c>
      <c r="I167" s="199">
        <f ca="1">IF(B167&gt;=$J$5,0,CONTADORES!$AB169-CONTADORES!$AB168)</f>
        <v>0</v>
      </c>
      <c r="J167" s="198">
        <f t="shared" ca="1" si="69"/>
        <v>0</v>
      </c>
      <c r="K167" s="196">
        <f ca="1">'CALCULO DE GAS'!E179</f>
        <v>0</v>
      </c>
      <c r="L167" s="1396">
        <f ca="1">IF(B167&gt;=$J$5,0,(CONTADORES!$Y169-CONTADORES!$Y168)-$O167)</f>
        <v>0</v>
      </c>
      <c r="M167" s="1396">
        <f t="shared" ca="1" si="95"/>
        <v>0</v>
      </c>
      <c r="N167" s="1396">
        <f ca="1">IF(B167&gt;=$J$5,0,CONTADORES!$AA169-CONTADORES!$AA168)</f>
        <v>0</v>
      </c>
      <c r="O167" s="1396">
        <f ca="1">IF(N167&gt;0,CONTADORES!$Z169-CONTADORES!$Z168,0)</f>
        <v>0</v>
      </c>
      <c r="P167" s="202">
        <f ca="1">IF(B167&gt;=$J$5,0,CONTADORES!$W169-CONTADORES!$W168)</f>
        <v>0</v>
      </c>
      <c r="Q167" s="202">
        <f ca="1">IF(B167&gt;=$J$5,0,CONTADORES!$B169-CONTADORES!$B168)</f>
        <v>-1067.998</v>
      </c>
      <c r="R167" s="196">
        <f t="shared" ca="1" si="70"/>
        <v>-128159.76000000001</v>
      </c>
      <c r="S167" s="11">
        <f ca="1">IF(B167&gt;=$J$5,0,CONTADORES!$D169-CONTADORES!$D168)</f>
        <v>-6861.1</v>
      </c>
      <c r="T167" s="198">
        <f ca="1">IF(B167&gt;=$J$5,0,CONTADORES!$BB169-CONTADORES!$BB168)</f>
        <v>0</v>
      </c>
      <c r="U167" s="196">
        <f t="shared" ca="1" si="97"/>
        <v>0</v>
      </c>
      <c r="V167" s="199">
        <f ca="1">IF(B167&gt;=$J$5,0,CONTADORES!$BD169-CONTADORES!$BD168)</f>
        <v>0</v>
      </c>
      <c r="W167" s="1397">
        <f t="shared" ca="1" si="71"/>
        <v>0</v>
      </c>
      <c r="X167" s="1397">
        <f t="shared" ca="1" si="72"/>
        <v>-1067.998</v>
      </c>
      <c r="Y167" s="1398">
        <f t="shared" ca="1" si="73"/>
        <v>-1067.998</v>
      </c>
      <c r="Z167" s="1398">
        <f t="shared" ca="1" si="74"/>
        <v>0</v>
      </c>
      <c r="AA167" s="1398">
        <f t="shared" ca="1" si="75"/>
        <v>-128159.76000000001</v>
      </c>
      <c r="AB167" s="1398">
        <f t="shared" ca="1" si="76"/>
        <v>0</v>
      </c>
      <c r="AC167" s="1397">
        <f t="shared" ca="1" si="77"/>
        <v>-6861.1</v>
      </c>
      <c r="AD167" s="1397">
        <f ca="1">IF(B167&gt;=$J$5,0,CONTADORES!H169-CONTADORES!H168)</f>
        <v>0</v>
      </c>
      <c r="AE167" s="1397">
        <f ca="1">IF(B167&gt;=$J$5,0,CONTADORES!J169-CONTADORES!J168)</f>
        <v>0</v>
      </c>
      <c r="AF167" s="1397">
        <f ca="1">IF(B167&gt;=$J$5,0,CONTADORES!AU169-CONTADORES!AU168)</f>
        <v>0</v>
      </c>
      <c r="AG167" s="1397">
        <f ca="1">IF(B167&gt;=$J$5,0,CONTADORES!AW169-CONTADORES!AW168)</f>
        <v>0</v>
      </c>
      <c r="AH167" s="1398">
        <f ca="1">IF(B167&gt;=$J$5,0,(CONTADORES!AM169-CONTADORES!AM168)+(CONTADORES!M169-CONTADORES!M168))</f>
        <v>-14963.1</v>
      </c>
      <c r="AI167" s="1397">
        <f ca="1">IF(B167&gt;=$J$5,0,(CONTADORES!AK169-CONTADORES!AK168)+(CONTADORES!O169-CONTADORES!O168))</f>
        <v>-46196.1</v>
      </c>
      <c r="AJ167" s="1397">
        <f ca="1">IF(B167&gt;=$J$5,0,(CONTADORES!AI169-CONTADORES!AI168))</f>
        <v>0</v>
      </c>
      <c r="AK167" s="1397">
        <f ca="1">IF(B167&gt;=$J$5,0,(CONTADORES!Q169-CONTADORES!Q168))</f>
        <v>0</v>
      </c>
      <c r="AL167" s="1450">
        <f t="shared" ca="1" si="78"/>
        <v>60091.201999999997</v>
      </c>
      <c r="AM167" s="1397">
        <f ca="1">IF(B167&gt;=$J$5,0,(((CONTADORES!F169-CONTADORES!F168)+(CONTADORES!AQ169-CONTADORES!AQ168))))-BS167-AF167-AN167-BV167-BY167-CD167-CB167</f>
        <v>0</v>
      </c>
      <c r="AN167" s="1397">
        <f ca="1">IF(B167&gt;=$J$5,0,(CONTADORES!AX169-CONTADORES!AX168)+(CONTADORES!AZ169-CONTADORES!AZ168)+(CONTADORES!BE169-CONTADORES!BE168))-CB167</f>
        <v>0</v>
      </c>
      <c r="AO167" s="1399">
        <f ca="1">IF(B166&gt;=$J$5,0,(CONTADORES!AC169-CONTADORES!AC168))</f>
        <v>0</v>
      </c>
      <c r="AP167" s="1409">
        <f ca="1">IF(B167&gt;=$J$5,0,(CONTADORES!X169-CONTADORES!X168))</f>
        <v>0</v>
      </c>
      <c r="AQ167" s="1409">
        <f ca="1">IF(B167&gt;=$J$5,0,(CONTADORES!C169-CONTADORES!C168))</f>
        <v>-589.774</v>
      </c>
      <c r="AR167" s="1409">
        <f ca="1">IF(B167&gt;=$J$5,0,(CONTADORES!BC169-CONTADORES!BC168))</f>
        <v>0</v>
      </c>
      <c r="AS167" s="1409">
        <f ca="1">IF(B167&gt;=$J$5,0,CONTADORES!S169-CONTADORES!S168)</f>
        <v>0</v>
      </c>
      <c r="AT167" s="1409">
        <f ca="1">IF(B167&gt;=$J$5,0,(CONTADORES!U169-CONTADORES!U168)+(CONTADORES!AG169-CONTADORES!AG168))</f>
        <v>0</v>
      </c>
      <c r="AU167" s="1409">
        <f ca="1">IF(B167&gt;=$J$5,0,(CONTADORES!I169-CONTADORES!I168))</f>
        <v>0</v>
      </c>
      <c r="AV167" s="1409">
        <f ca="1">IF(B167&gt;=$J$5,0,(CONTADORES!AV169-CONTADORES!AV168))</f>
        <v>0</v>
      </c>
      <c r="AW167" s="1409">
        <f ca="1">IF(B167&gt;=$J$5,0,(CONTADORES!N169-CONTADORES!N168)+(CONTADORES!AN169-CONTADORES!AN168))</f>
        <v>-7011.1</v>
      </c>
      <c r="AX167" s="1409">
        <f ca="1">IF(B167&gt;=$J$5,0,(CONTADORES!P169-CONTADORES!P168)+(CONTADORES!AL169-CONTADORES!AL168))</f>
        <v>-36751.4</v>
      </c>
      <c r="AY167" s="1409">
        <f ca="1">IF(B167&gt;=$J$5,0,(CONTADORES!AJ169-CONTADORES!AJ168))</f>
        <v>0</v>
      </c>
      <c r="AZ167" s="1409">
        <f ca="1">IF(B167&gt;=$J$5,0,(CONTADORES!R169-CONTADORES!R168))</f>
        <v>0</v>
      </c>
      <c r="BA167" s="1398">
        <f t="shared" ca="1" si="79"/>
        <v>43172.726000000002</v>
      </c>
      <c r="BB167" s="1409">
        <f ca="1">IF(B167&gt;=$J$5,0,(((CONTADORES!G169-CONTADORES!G168)+(CONTADORES!AR169-CONTADORES!AR168)+AR167)-(AV167+BC167)))</f>
        <v>0</v>
      </c>
      <c r="BC167" s="1397">
        <f ca="1">IF(B167&gt;=$J$5,0,(CONTADORES!AY169-CONTADORES!AY168)+(CONTADORES!BA169-CONTADORES!BA168)+(CONTADORES!BF169-CONTADORES!BF168))</f>
        <v>0</v>
      </c>
      <c r="BD167" s="1397">
        <f t="shared" ca="1" si="80"/>
        <v>-589.774</v>
      </c>
      <c r="BE167" s="1398">
        <f ca="1">IF($B167&gt;=$J$5,0,CONTADORES!$BG169)</f>
        <v>0</v>
      </c>
      <c r="BF167" s="1397">
        <f ca="1">IF($B167&gt;=$J$5,0,CONTADORES!$BH169)</f>
        <v>0</v>
      </c>
      <c r="BG167" s="1397">
        <f ca="1">IF($B167&gt;=$J$5,0,CONTADORES!$BJ169)</f>
        <v>0</v>
      </c>
      <c r="BH167" s="1397">
        <f ca="1">IF(B167&gt;=$J$5,0,((CONTADORES!BK169-CONTADORES!BK168)/1000))</f>
        <v>0</v>
      </c>
      <c r="BI167" s="1397">
        <f ca="1">IF(C167&gt;=$J$5,0,((CONTADORES!BL169-CONTADORES!BL168)/1000))</f>
        <v>0</v>
      </c>
      <c r="BJ167" s="1397">
        <f ca="1">IF(C167&gt;=$J$5,0,((CONTADORES!BM169-CONTADORES!BM168)/1000))</f>
        <v>0</v>
      </c>
      <c r="BK167" s="1397">
        <f ca="1">IF(B167&gt;=$J$5,0,((CONTADORES!BN169-CONTADORES!BN168)/1000))</f>
        <v>0</v>
      </c>
      <c r="BL167" s="1399">
        <f t="shared" ca="1" si="81"/>
        <v>0</v>
      </c>
      <c r="BM167" s="1399">
        <f t="shared" ca="1" si="82"/>
        <v>0</v>
      </c>
      <c r="BN167" s="1398">
        <f ca="1">IF(W167&gt;=$J$5,0,CONTADORES!$BO169)</f>
        <v>0</v>
      </c>
      <c r="BO167" s="1397">
        <f ca="1">IF(W167&gt;=$J$5,0,CONTADORES!$BP169)</f>
        <v>0</v>
      </c>
      <c r="BP167" s="1397">
        <f ca="1">IF(W167&gt;=$J$5,0,CONTADORES!$BQ169)</f>
        <v>0</v>
      </c>
      <c r="BQ167" s="1397">
        <f ca="1">IF(B167&gt;=$J$5,0,(CONTADORES!AS169-CONTADORES!AS168))</f>
        <v>0</v>
      </c>
      <c r="BR167" s="1397">
        <f ca="1">IF(C167&gt;=$J$5,0,(CONTADORES!AT169-CONTADORES!AT168))</f>
        <v>0</v>
      </c>
      <c r="BS167" s="1398">
        <f ca="1">IF(B167&gt;=$J$5,0,CONTADORES!BR169-CONTADORES!BR168)/1000</f>
        <v>0</v>
      </c>
      <c r="BT167" s="1398">
        <f ca="1">IF(B167&gt;=$J$5,0,CONTADORES!BS169-CONTADORES!BS168)</f>
        <v>0</v>
      </c>
      <c r="BU167" s="1398">
        <f ca="1">IF(B167&gt;=$J$5,0,CONTADORES!BT169-CONTADORES!BT168)</f>
        <v>0</v>
      </c>
      <c r="BV167" s="1398">
        <f ca="1">IF(B167&gt;=$J$5,0,CONTADORES!BU169-CONTADORES!BU168)/1000</f>
        <v>0</v>
      </c>
      <c r="BW167" s="1398">
        <f ca="1">IF(B167&gt;=$J$5,0,CONTADORES!BV169-CONTADORES!BV168)/1000</f>
        <v>0</v>
      </c>
      <c r="BX167" s="1398">
        <f ca="1">IF(B167&gt;=$J$5,0,CONTADORES!BW169-CONTADORES!BW168)</f>
        <v>0</v>
      </c>
      <c r="BY167" s="1398">
        <f ca="1">IF(B167&gt;=$J$5,0,CONTADORES!BX169-CONTADORES!BX168)/1000</f>
        <v>0</v>
      </c>
      <c r="BZ167" s="1398">
        <f ca="1">IF(B167&gt;=$J$5,0,CONTADORES!BY169-CONTADORES!BY168)/1000</f>
        <v>0</v>
      </c>
      <c r="CA167" s="1398">
        <f ca="1">IF(B167&gt;=$J$5,0,CONTADORES!BZ169-CONTADORES!BZ168)</f>
        <v>0</v>
      </c>
      <c r="CB167" s="1398">
        <f ca="1">IF(B167&gt;=$J$5,0,(CONTADORES!CC169-CONTADORES!CC168)+(CONTADORES!CE169-CONTADORES!CE168))/1000</f>
        <v>0</v>
      </c>
      <c r="CC167" s="1398">
        <f ca="1">IF(B167&gt;=$J$5,0,(CONTADORES!CD169-CONTADORES!CD168)+(CONTADORES!CF169-CONTADORES!CF168))/1000</f>
        <v>0</v>
      </c>
      <c r="CD167" s="1398">
        <f ca="1">IF(B167&gt;=$J$5,0,CONTADORES!CA169-CONTADORES!CA168)</f>
        <v>0</v>
      </c>
      <c r="CE167" s="1398">
        <f ca="1">IF(B167&gt;=$J$5,0,CONTADORES!CB169-CONTADORES!CB168)</f>
        <v>0</v>
      </c>
      <c r="CF167" s="1398">
        <f t="shared" ca="1" si="83"/>
        <v>0</v>
      </c>
      <c r="CG167" s="1398">
        <f t="shared" ca="1" si="84"/>
        <v>0</v>
      </c>
      <c r="CH167" s="1398">
        <f t="shared" ca="1" si="85"/>
        <v>0</v>
      </c>
      <c r="CI167" s="1398">
        <f t="shared" ca="1" si="86"/>
        <v>0</v>
      </c>
      <c r="CJ167" s="1398">
        <f t="shared" ca="1" si="87"/>
        <v>0</v>
      </c>
      <c r="CK167" s="1398">
        <f t="shared" ca="1" si="88"/>
        <v>0</v>
      </c>
      <c r="CL167" s="1398">
        <f t="shared" ca="1" si="89"/>
        <v>0</v>
      </c>
      <c r="CM167" s="1398">
        <f t="shared" ca="1" si="90"/>
        <v>0</v>
      </c>
      <c r="CN167" s="1398">
        <f ca="1">IF(B167&gt;=$J$5,0,CONTADORES!CB169-CONTADORES!CB168)</f>
        <v>0</v>
      </c>
      <c r="CO167" s="1398">
        <f t="shared" ca="1" si="91"/>
        <v>0</v>
      </c>
      <c r="CP167" s="1398">
        <f t="shared" ca="1" si="92"/>
        <v>0</v>
      </c>
      <c r="CQ167" s="1398">
        <f t="shared" ca="1" si="93"/>
        <v>0</v>
      </c>
      <c r="CR167" s="1398">
        <f t="shared" ca="1" si="94"/>
        <v>0</v>
      </c>
      <c r="CS167" s="1448">
        <f ca="1">IF($B167&gt;=$J$5,0,CONTADORES!$BI169)</f>
        <v>0</v>
      </c>
      <c r="CT167" s="1369">
        <f>CONTADORES!E169</f>
        <v>0</v>
      </c>
      <c r="CU167" s="1369">
        <f>CONTADORES!CG169</f>
        <v>0</v>
      </c>
    </row>
    <row r="168" spans="2:99">
      <c r="B168" s="390">
        <v>45084</v>
      </c>
      <c r="C168" s="198">
        <f t="shared" ca="1" si="68"/>
        <v>0</v>
      </c>
      <c r="D168" s="196">
        <f ca="1">'CALCULO DE GAS'!D180</f>
        <v>0</v>
      </c>
      <c r="E168" s="196">
        <f ca="1">IF(B168&gt;=$J$5,0,(CONTADORES!$AD170-CONTADORES!$AD169)-$H168)</f>
        <v>0</v>
      </c>
      <c r="F168" s="198">
        <f t="shared" ca="1" si="96"/>
        <v>0</v>
      </c>
      <c r="G168" s="196">
        <f ca="1">IF(B168&gt;=$J$5,0,CONTADORES!$AF170-CONTADORES!$AF169)</f>
        <v>0</v>
      </c>
      <c r="H168" s="196">
        <f ca="1">IF(G168&gt;0,CONTADORES!$AE170-CONTADORES!$AE169,0)</f>
        <v>0</v>
      </c>
      <c r="I168" s="199">
        <f ca="1">IF(B168&gt;=$J$5,0,CONTADORES!$AB170-CONTADORES!$AB169)</f>
        <v>0</v>
      </c>
      <c r="J168" s="198">
        <f t="shared" ca="1" si="69"/>
        <v>0</v>
      </c>
      <c r="K168" s="196">
        <f ca="1">'CALCULO DE GAS'!E180</f>
        <v>0</v>
      </c>
      <c r="L168" s="1396">
        <f ca="1">IF(B168&gt;=$J$5,0,(CONTADORES!$Y170-CONTADORES!$Y169)-$O168)</f>
        <v>0</v>
      </c>
      <c r="M168" s="1396">
        <f t="shared" ca="1" si="95"/>
        <v>0</v>
      </c>
      <c r="N168" s="1396">
        <f ca="1">IF(B168&gt;=$J$5,0,CONTADORES!$AA170-CONTADORES!$AA169)</f>
        <v>0</v>
      </c>
      <c r="O168" s="1396">
        <f ca="1">IF(N168&gt;0,CONTADORES!$Z170-CONTADORES!$Z169,0)</f>
        <v>0</v>
      </c>
      <c r="P168" s="202">
        <f ca="1">IF(B168&gt;=$J$5,0,CONTADORES!$W170-CONTADORES!$W169)</f>
        <v>0</v>
      </c>
      <c r="Q168" s="202">
        <f ca="1">IF(B168&gt;=$J$5,0,CONTADORES!$B170-CONTADORES!$B169)</f>
        <v>0</v>
      </c>
      <c r="R168" s="196">
        <f t="shared" ca="1" si="70"/>
        <v>0</v>
      </c>
      <c r="S168" s="11">
        <f ca="1">IF(B168&gt;=$J$5,0,CONTADORES!$D170-CONTADORES!$D169)</f>
        <v>0</v>
      </c>
      <c r="T168" s="198">
        <f ca="1">IF(B168&gt;=$J$5,0,CONTADORES!$BB170-CONTADORES!$BB169)</f>
        <v>-822.90899999999999</v>
      </c>
      <c r="U168" s="196">
        <f t="shared" ca="1" si="97"/>
        <v>-98749.08</v>
      </c>
      <c r="V168" s="199">
        <f ca="1">IF(B168&gt;=$J$5,0,CONTADORES!$BD170-CONTADORES!$BD169)</f>
        <v>-1825.9</v>
      </c>
      <c r="W168" s="1397">
        <f t="shared" ca="1" si="71"/>
        <v>0</v>
      </c>
      <c r="X168" s="1397">
        <f t="shared" ca="1" si="72"/>
        <v>-822.90899999999999</v>
      </c>
      <c r="Y168" s="1398">
        <f t="shared" ca="1" si="73"/>
        <v>-822.90899999999999</v>
      </c>
      <c r="Z168" s="1398">
        <f t="shared" ca="1" si="74"/>
        <v>0</v>
      </c>
      <c r="AA168" s="1398">
        <f t="shared" ca="1" si="75"/>
        <v>-98749.08</v>
      </c>
      <c r="AB168" s="1398">
        <f t="shared" ca="1" si="76"/>
        <v>0</v>
      </c>
      <c r="AC168" s="1397">
        <f t="shared" ca="1" si="77"/>
        <v>-1825.9</v>
      </c>
      <c r="AD168" s="1397">
        <f ca="1">IF(B168&gt;=$J$5,0,CONTADORES!H170-CONTADORES!H169)</f>
        <v>0</v>
      </c>
      <c r="AE168" s="1397">
        <f ca="1">IF(B168&gt;=$J$5,0,CONTADORES!J170-CONTADORES!J169)</f>
        <v>0</v>
      </c>
      <c r="AF168" s="1397">
        <f ca="1">IF(B168&gt;=$J$5,0,CONTADORES!AU170-CONTADORES!AU169)</f>
        <v>0</v>
      </c>
      <c r="AG168" s="1397">
        <f ca="1">IF(B168&gt;=$J$5,0,CONTADORES!AW170-CONTADORES!AW169)</f>
        <v>0</v>
      </c>
      <c r="AH168" s="1398">
        <f ca="1">IF(B168&gt;=$J$5,0,(CONTADORES!AM170-CONTADORES!AM169)+(CONTADORES!M170-CONTADORES!M169))</f>
        <v>0</v>
      </c>
      <c r="AI168" s="1397">
        <f ca="1">IF(B168&gt;=$J$5,0,(CONTADORES!AK170-CONTADORES!AK169)+(CONTADORES!O170-CONTADORES!O169))</f>
        <v>0</v>
      </c>
      <c r="AJ168" s="1397">
        <f ca="1">IF(B168&gt;=$J$5,0,(CONTADORES!AI170-CONTADORES!AI169))</f>
        <v>0</v>
      </c>
      <c r="AK168" s="1397">
        <f ca="1">IF(B168&gt;=$J$5,0,(CONTADORES!Q170-CONTADORES!Q169))</f>
        <v>0</v>
      </c>
      <c r="AL168" s="1450">
        <f t="shared" ca="1" si="78"/>
        <v>-822.90899999999999</v>
      </c>
      <c r="AM168" s="1397">
        <f ca="1">IF(B168&gt;=$J$5,0,(((CONTADORES!F170-CONTADORES!F169)+(CONTADORES!AQ170-CONTADORES!AQ169))))-BS168-AF168-AN168-BV168-BY168-CD168-CB168</f>
        <v>3120.6680000000001</v>
      </c>
      <c r="AN168" s="1397">
        <f ca="1">IF(B168&gt;=$J$5,0,(CONTADORES!AX170-CONTADORES!AX169)+(CONTADORES!AZ170-CONTADORES!AZ169)+(CONTADORES!BE170-CONTADORES!BE169))-CB168</f>
        <v>0</v>
      </c>
      <c r="AO168" s="1399">
        <f ca="1">IF(B167&gt;=$J$5,0,(CONTADORES!AC170-CONTADORES!AC169))</f>
        <v>0</v>
      </c>
      <c r="AP168" s="1409">
        <f ca="1">IF(B168&gt;=$J$5,0,(CONTADORES!X170-CONTADORES!X169))</f>
        <v>0</v>
      </c>
      <c r="AQ168" s="1409">
        <f ca="1">IF(B168&gt;=$J$5,0,(CONTADORES!C170-CONTADORES!C169))</f>
        <v>0</v>
      </c>
      <c r="AR168" s="1409">
        <f ca="1">IF(B168&gt;=$J$5,0,(CONTADORES!BC170-CONTADORES!BC169))</f>
        <v>-349.35500000000002</v>
      </c>
      <c r="AS168" s="1409">
        <f ca="1">IF(B168&gt;=$J$5,0,CONTADORES!S170-CONTADORES!S169)</f>
        <v>0</v>
      </c>
      <c r="AT168" s="1409">
        <f ca="1">IF(B168&gt;=$J$5,0,(CONTADORES!U170-CONTADORES!U169)+(CONTADORES!AG170-CONTADORES!AG169))</f>
        <v>-14063.6</v>
      </c>
      <c r="AU168" s="1409">
        <f ca="1">IF(B168&gt;=$J$5,0,(CONTADORES!I170-CONTADORES!I169))</f>
        <v>0</v>
      </c>
      <c r="AV168" s="1409">
        <f ca="1">IF(B168&gt;=$J$5,0,(CONTADORES!AV170-CONTADORES!AV169))</f>
        <v>0</v>
      </c>
      <c r="AW168" s="1409">
        <f ca="1">IF(B168&gt;=$J$5,0,(CONTADORES!N170-CONTADORES!N169)+(CONTADORES!AN170-CONTADORES!AN169))</f>
        <v>0</v>
      </c>
      <c r="AX168" s="1409">
        <f ca="1">IF(B168&gt;=$J$5,0,(CONTADORES!P170-CONTADORES!P169)+(CONTADORES!AL170-CONTADORES!AL169))</f>
        <v>0</v>
      </c>
      <c r="AY168" s="1409">
        <f ca="1">IF(B168&gt;=$J$5,0,(CONTADORES!AJ170-CONTADORES!AJ169))</f>
        <v>0</v>
      </c>
      <c r="AZ168" s="1409">
        <f ca="1">IF(B168&gt;=$J$5,0,(CONTADORES!R170-CONTADORES!R169))</f>
        <v>0</v>
      </c>
      <c r="BA168" s="1398">
        <f t="shared" ca="1" si="79"/>
        <v>159.97500000000002</v>
      </c>
      <c r="BB168" s="1409">
        <f ca="1">IF(B168&gt;=$J$5,0,(((CONTADORES!G170-CONTADORES!G169)+(CONTADORES!AR170-CONTADORES!AR169)+AR168)-(AV168+BC168)))</f>
        <v>106.34499999999997</v>
      </c>
      <c r="BC168" s="1397">
        <f ca="1">IF(B168&gt;=$J$5,0,(CONTADORES!AY170-CONTADORES!AY169)+(CONTADORES!BA170-CONTADORES!BA169)+(CONTADORES!BF170-CONTADORES!BF169))</f>
        <v>-455.7</v>
      </c>
      <c r="BD168" s="1397">
        <f t="shared" ca="1" si="80"/>
        <v>-349.35500000000002</v>
      </c>
      <c r="BE168" s="1398">
        <f ca="1">IF($B168&gt;=$J$5,0,CONTADORES!$BG170)</f>
        <v>0</v>
      </c>
      <c r="BF168" s="1397">
        <f ca="1">IF($B168&gt;=$J$5,0,CONTADORES!$BH170)</f>
        <v>0</v>
      </c>
      <c r="BG168" s="1397">
        <f ca="1">IF($B168&gt;=$J$5,0,CONTADORES!$BJ170)</f>
        <v>0</v>
      </c>
      <c r="BH168" s="1397">
        <f ca="1">IF(B168&gt;=$J$5,0,((CONTADORES!BK170-CONTADORES!BK169)/1000))</f>
        <v>0</v>
      </c>
      <c r="BI168" s="1397">
        <f ca="1">IF(C168&gt;=$J$5,0,((CONTADORES!BL170-CONTADORES!BL169)/1000))</f>
        <v>0</v>
      </c>
      <c r="BJ168" s="1397">
        <f ca="1">IF(C168&gt;=$J$5,0,((CONTADORES!BM170-CONTADORES!BM169)/1000))</f>
        <v>0</v>
      </c>
      <c r="BK168" s="1397">
        <f ca="1">IF(B168&gt;=$J$5,0,((CONTADORES!BN170-CONTADORES!BN169)/1000))</f>
        <v>0</v>
      </c>
      <c r="BL168" s="1399">
        <f t="shared" ca="1" si="81"/>
        <v>0</v>
      </c>
      <c r="BM168" s="1399">
        <f t="shared" ca="1" si="82"/>
        <v>0</v>
      </c>
      <c r="BN168" s="1398">
        <f ca="1">IF(W168&gt;=$J$5,0,CONTADORES!$BO170)</f>
        <v>0</v>
      </c>
      <c r="BO168" s="1397">
        <f ca="1">IF(W168&gt;=$J$5,0,CONTADORES!$BP170)</f>
        <v>0</v>
      </c>
      <c r="BP168" s="1397">
        <f ca="1">IF(W168&gt;=$J$5,0,CONTADORES!$BQ170)</f>
        <v>0</v>
      </c>
      <c r="BQ168" s="1397">
        <f ca="1">IF(B168&gt;=$J$5,0,(CONTADORES!AS170-CONTADORES!AS169))</f>
        <v>0</v>
      </c>
      <c r="BR168" s="1397">
        <f ca="1">IF(C168&gt;=$J$5,0,(CONTADORES!AT170-CONTADORES!AT169))</f>
        <v>0</v>
      </c>
      <c r="BS168" s="1398">
        <f ca="1">IF(B168&gt;=$J$5,0,CONTADORES!BR170-CONTADORES!BR169)/1000</f>
        <v>0</v>
      </c>
      <c r="BT168" s="1398">
        <f ca="1">IF(B168&gt;=$J$5,0,CONTADORES!BS170-CONTADORES!BS169)</f>
        <v>0</v>
      </c>
      <c r="BU168" s="1398">
        <f ca="1">IF(B168&gt;=$J$5,0,CONTADORES!BT170-CONTADORES!BT169)</f>
        <v>0</v>
      </c>
      <c r="BV168" s="1398">
        <f ca="1">IF(B168&gt;=$J$5,0,CONTADORES!BU170-CONTADORES!BU169)/1000</f>
        <v>0</v>
      </c>
      <c r="BW168" s="1398">
        <f ca="1">IF(B168&gt;=$J$5,0,CONTADORES!BV170-CONTADORES!BV169)/1000</f>
        <v>0</v>
      </c>
      <c r="BX168" s="1398">
        <f ca="1">IF(B168&gt;=$J$5,0,CONTADORES!BW170-CONTADORES!BW169)</f>
        <v>0</v>
      </c>
      <c r="BY168" s="1398">
        <f ca="1">IF(B168&gt;=$J$5,0,CONTADORES!BX170-CONTADORES!BX169)/1000</f>
        <v>-3120.6680000000001</v>
      </c>
      <c r="BZ168" s="1398">
        <f ca="1">IF(B168&gt;=$J$5,0,CONTADORES!BY170-CONTADORES!BY169)/1000</f>
        <v>-159.97499999999999</v>
      </c>
      <c r="CA168" s="1398">
        <f ca="1">IF(B168&gt;=$J$5,0,CONTADORES!BZ170-CONTADORES!BZ169)</f>
        <v>-18238.900000000001</v>
      </c>
      <c r="CB168" s="1398">
        <f ca="1">IF(B168&gt;=$J$5,0,(CONTADORES!CC170-CONTADORES!CC169)+(CONTADORES!CE170-CONTADORES!CE169))/1000</f>
        <v>0</v>
      </c>
      <c r="CC168" s="1398">
        <f ca="1">IF(B168&gt;=$J$5,0,(CONTADORES!CD170-CONTADORES!CD169)+(CONTADORES!CF170-CONTADORES!CF169))/1000</f>
        <v>0</v>
      </c>
      <c r="CD168" s="1398">
        <f ca="1">IF(B168&gt;=$J$5,0,CONTADORES!CA170-CONTADORES!CA169)</f>
        <v>0</v>
      </c>
      <c r="CE168" s="1398">
        <f ca="1">IF(B168&gt;=$J$5,0,CONTADORES!CB170-CONTADORES!CB169)</f>
        <v>0</v>
      </c>
      <c r="CF168" s="1398">
        <f t="shared" ca="1" si="83"/>
        <v>1560.3340000000001</v>
      </c>
      <c r="CG168" s="1398">
        <f t="shared" ca="1" si="84"/>
        <v>53.172499999999985</v>
      </c>
      <c r="CH168" s="1398">
        <f t="shared" ca="1" si="85"/>
        <v>1560.3340000000001</v>
      </c>
      <c r="CI168" s="1398">
        <f t="shared" ca="1" si="86"/>
        <v>0</v>
      </c>
      <c r="CJ168" s="1398">
        <f t="shared" ca="1" si="87"/>
        <v>1560.3340000000001</v>
      </c>
      <c r="CK168" s="1398">
        <f t="shared" ca="1" si="88"/>
        <v>0</v>
      </c>
      <c r="CL168" s="1398">
        <f t="shared" ca="1" si="89"/>
        <v>0</v>
      </c>
      <c r="CM168" s="1398">
        <f t="shared" ca="1" si="90"/>
        <v>53.172499999999985</v>
      </c>
      <c r="CN168" s="1398">
        <f ca="1">IF(B168&gt;=$J$5,0,CONTADORES!CB170-CONTADORES!CB169)</f>
        <v>0</v>
      </c>
      <c r="CO168" s="1398">
        <f t="shared" ca="1" si="91"/>
        <v>53.172499999999985</v>
      </c>
      <c r="CP168" s="1398">
        <f t="shared" ca="1" si="92"/>
        <v>-227.85</v>
      </c>
      <c r="CQ168" s="1398">
        <f t="shared" ca="1" si="93"/>
        <v>-227.85</v>
      </c>
      <c r="CR168" s="1398">
        <f t="shared" ca="1" si="94"/>
        <v>-227.85</v>
      </c>
      <c r="CS168" s="1448">
        <f ca="1">IF($B168&gt;=$J$5,0,CONTADORES!$BI170)</f>
        <v>0</v>
      </c>
      <c r="CT168" s="1369">
        <f>CONTADORES!E170</f>
        <v>0</v>
      </c>
      <c r="CU168" s="1369">
        <f>CONTADORES!CG170</f>
        <v>0</v>
      </c>
    </row>
    <row r="169" spans="2:99">
      <c r="B169" s="390">
        <v>45085</v>
      </c>
      <c r="C169" s="198">
        <f t="shared" ca="1" si="68"/>
        <v>0</v>
      </c>
      <c r="D169" s="196">
        <f ca="1">'CALCULO DE GAS'!D181</f>
        <v>0</v>
      </c>
      <c r="E169" s="196">
        <f ca="1">IF(B169&gt;=$J$5,0,(CONTADORES!$AD171-CONTADORES!$AD170)-$H169)</f>
        <v>0</v>
      </c>
      <c r="F169" s="198">
        <f t="shared" ca="1" si="96"/>
        <v>0</v>
      </c>
      <c r="G169" s="196">
        <f ca="1">IF(B169&gt;=$J$5,0,CONTADORES!$AF171-CONTADORES!$AF170)</f>
        <v>0</v>
      </c>
      <c r="H169" s="196">
        <f ca="1">IF(G169&gt;0,CONTADORES!$AE171-CONTADORES!$AE170,0)</f>
        <v>0</v>
      </c>
      <c r="I169" s="199">
        <f ca="1">IF(B169&gt;=$J$5,0,CONTADORES!$AB171-CONTADORES!$AB170)</f>
        <v>0</v>
      </c>
      <c r="J169" s="198">
        <f t="shared" ca="1" si="69"/>
        <v>0</v>
      </c>
      <c r="K169" s="196">
        <f ca="1">'CALCULO DE GAS'!E181</f>
        <v>0</v>
      </c>
      <c r="L169" s="1396">
        <f ca="1">IF(B169&gt;=$J$5,0,(CONTADORES!$Y171-CONTADORES!$Y170)-$O169)</f>
        <v>0</v>
      </c>
      <c r="M169" s="1396">
        <f t="shared" ca="1" si="95"/>
        <v>0</v>
      </c>
      <c r="N169" s="1396">
        <f ca="1">IF(B169&gt;=$J$5,0,CONTADORES!$AA171-CONTADORES!$AA170)</f>
        <v>0</v>
      </c>
      <c r="O169" s="1396">
        <f ca="1">IF(N169&gt;0,CONTADORES!$Z171-CONTADORES!$Z170,0)</f>
        <v>0</v>
      </c>
      <c r="P169" s="202">
        <f ca="1">IF(B169&gt;=$J$5,0,CONTADORES!$W171-CONTADORES!$W170)</f>
        <v>0</v>
      </c>
      <c r="Q169" s="202">
        <f ca="1">IF(B169&gt;=$J$5,0,CONTADORES!$B171-CONTADORES!$B170)</f>
        <v>0</v>
      </c>
      <c r="R169" s="196">
        <f t="shared" ca="1" si="70"/>
        <v>0</v>
      </c>
      <c r="S169" s="11">
        <f ca="1">IF(B169&gt;=$J$5,0,CONTADORES!$D171-CONTADORES!$D170)</f>
        <v>0</v>
      </c>
      <c r="T169" s="198">
        <f ca="1">IF(B169&gt;=$J$5,0,CONTADORES!$BB171-CONTADORES!$BB170)</f>
        <v>0</v>
      </c>
      <c r="U169" s="196">
        <f t="shared" ca="1" si="97"/>
        <v>0</v>
      </c>
      <c r="V169" s="199">
        <f ca="1">IF(B169&gt;=$J$5,0,CONTADORES!$BD171-CONTADORES!$BD170)</f>
        <v>0</v>
      </c>
      <c r="W169" s="1397">
        <f t="shared" ca="1" si="71"/>
        <v>0</v>
      </c>
      <c r="X169" s="1397">
        <f t="shared" ca="1" si="72"/>
        <v>0</v>
      </c>
      <c r="Y169" s="1398">
        <f t="shared" ca="1" si="73"/>
        <v>0</v>
      </c>
      <c r="Z169" s="1398">
        <f t="shared" ca="1" si="74"/>
        <v>0</v>
      </c>
      <c r="AA169" s="1398">
        <f t="shared" ca="1" si="75"/>
        <v>0</v>
      </c>
      <c r="AB169" s="1398">
        <f t="shared" ca="1" si="76"/>
        <v>0</v>
      </c>
      <c r="AC169" s="1397">
        <f t="shared" ca="1" si="77"/>
        <v>0</v>
      </c>
      <c r="AD169" s="1397">
        <f ca="1">IF(B169&gt;=$J$5,0,CONTADORES!H171-CONTADORES!H170)</f>
        <v>0</v>
      </c>
      <c r="AE169" s="1397">
        <f ca="1">IF(B169&gt;=$J$5,0,CONTADORES!J171-CONTADORES!J170)</f>
        <v>0</v>
      </c>
      <c r="AF169" s="1397">
        <f ca="1">IF(B169&gt;=$J$5,0,CONTADORES!AU171-CONTADORES!AU170)</f>
        <v>0</v>
      </c>
      <c r="AG169" s="1397">
        <f ca="1">IF(B169&gt;=$J$5,0,CONTADORES!AW171-CONTADORES!AW170)</f>
        <v>0</v>
      </c>
      <c r="AH169" s="1398">
        <f ca="1">IF(B169&gt;=$J$5,0,(CONTADORES!AM171-CONTADORES!AM170)+(CONTADORES!M171-CONTADORES!M170))</f>
        <v>0</v>
      </c>
      <c r="AI169" s="1397">
        <f ca="1">IF(B169&gt;=$J$5,0,(CONTADORES!AK171-CONTADORES!AK170)+(CONTADORES!O171-CONTADORES!O170))</f>
        <v>0</v>
      </c>
      <c r="AJ169" s="1397">
        <f ca="1">IF(B169&gt;=$J$5,0,(CONTADORES!AI171-CONTADORES!AI170))</f>
        <v>0</v>
      </c>
      <c r="AK169" s="1397">
        <f ca="1">IF(B169&gt;=$J$5,0,(CONTADORES!Q171-CONTADORES!Q170))</f>
        <v>0</v>
      </c>
      <c r="AL169" s="1450">
        <f t="shared" ca="1" si="78"/>
        <v>0</v>
      </c>
      <c r="AM169" s="1397">
        <f ca="1">IF(B169&gt;=$J$5,0,(((CONTADORES!F171-CONTADORES!F170)+(CONTADORES!AQ171-CONTADORES!AQ170))))-BS169-AF169-AN169-BV169-BY169-CD169-CB169</f>
        <v>0</v>
      </c>
      <c r="AN169" s="1397">
        <f ca="1">IF(B169&gt;=$J$5,0,(CONTADORES!AX171-CONTADORES!AX170)+(CONTADORES!AZ171-CONTADORES!AZ170)+(CONTADORES!BE171-CONTADORES!BE170))-CB169</f>
        <v>0</v>
      </c>
      <c r="AO169" s="1399">
        <f ca="1">IF(B168&gt;=$J$5,0,(CONTADORES!AC171-CONTADORES!AC170))</f>
        <v>0</v>
      </c>
      <c r="AP169" s="1409">
        <f ca="1">IF(B169&gt;=$J$5,0,(CONTADORES!X171-CONTADORES!X170))</f>
        <v>0</v>
      </c>
      <c r="AQ169" s="1409">
        <f ca="1">IF(B169&gt;=$J$5,0,(CONTADORES!C171-CONTADORES!C170))</f>
        <v>0</v>
      </c>
      <c r="AR169" s="1409">
        <f ca="1">IF(B169&gt;=$J$5,0,(CONTADORES!BC171-CONTADORES!BC170))</f>
        <v>0</v>
      </c>
      <c r="AS169" s="1409">
        <f ca="1">IF(B169&gt;=$J$5,0,CONTADORES!S171-CONTADORES!S170)</f>
        <v>0</v>
      </c>
      <c r="AT169" s="1409">
        <f ca="1">IF(B169&gt;=$J$5,0,(CONTADORES!U171-CONTADORES!U170)+(CONTADORES!AG171-CONTADORES!AG170))</f>
        <v>0</v>
      </c>
      <c r="AU169" s="1409">
        <f ca="1">IF(B169&gt;=$J$5,0,(CONTADORES!I171-CONTADORES!I170))</f>
        <v>0</v>
      </c>
      <c r="AV169" s="1409">
        <f ca="1">IF(B169&gt;=$J$5,0,(CONTADORES!AV171-CONTADORES!AV170))</f>
        <v>0</v>
      </c>
      <c r="AW169" s="1409">
        <f ca="1">IF(B169&gt;=$J$5,0,(CONTADORES!N171-CONTADORES!N170)+(CONTADORES!AN171-CONTADORES!AN170))</f>
        <v>0</v>
      </c>
      <c r="AX169" s="1409">
        <f ca="1">IF(B169&gt;=$J$5,0,(CONTADORES!P171-CONTADORES!P170)+(CONTADORES!AL171-CONTADORES!AL170))</f>
        <v>0</v>
      </c>
      <c r="AY169" s="1409">
        <f ca="1">IF(B169&gt;=$J$5,0,(CONTADORES!AJ171-CONTADORES!AJ170))</f>
        <v>0</v>
      </c>
      <c r="AZ169" s="1409">
        <f ca="1">IF(B169&gt;=$J$5,0,(CONTADORES!R171-CONTADORES!R170))</f>
        <v>0</v>
      </c>
      <c r="BA169" s="1398">
        <f t="shared" ca="1" si="79"/>
        <v>0</v>
      </c>
      <c r="BB169" s="1409">
        <f ca="1">IF(B169&gt;=$J$5,0,(((CONTADORES!G171-CONTADORES!G170)+(CONTADORES!AR171-CONTADORES!AR170)+AR169)-(AV169+BC169)))</f>
        <v>0</v>
      </c>
      <c r="BC169" s="1397">
        <f ca="1">IF(B169&gt;=$J$5,0,(CONTADORES!AY171-CONTADORES!AY170)+(CONTADORES!BA171-CONTADORES!BA170)+(CONTADORES!BF171-CONTADORES!BF170))</f>
        <v>0</v>
      </c>
      <c r="BD169" s="1397">
        <f t="shared" ca="1" si="80"/>
        <v>0</v>
      </c>
      <c r="BE169" s="1398">
        <f ca="1">IF($B169&gt;=$J$5,0,CONTADORES!$BG171)</f>
        <v>0</v>
      </c>
      <c r="BF169" s="1397">
        <f ca="1">IF($B169&gt;=$J$5,0,CONTADORES!$BH171)</f>
        <v>0</v>
      </c>
      <c r="BG169" s="1397">
        <f ca="1">IF($B169&gt;=$J$5,0,CONTADORES!$BJ171)</f>
        <v>0</v>
      </c>
      <c r="BH169" s="1397">
        <f ca="1">IF(B169&gt;=$J$5,0,((CONTADORES!BK171-CONTADORES!BK170)/1000))</f>
        <v>0</v>
      </c>
      <c r="BI169" s="1397">
        <f ca="1">IF(C169&gt;=$J$5,0,((CONTADORES!BL171-CONTADORES!BL170)/1000))</f>
        <v>0</v>
      </c>
      <c r="BJ169" s="1397">
        <f ca="1">IF(C169&gt;=$J$5,0,((CONTADORES!BM171-CONTADORES!BM170)/1000))</f>
        <v>0</v>
      </c>
      <c r="BK169" s="1397">
        <f ca="1">IF(B169&gt;=$J$5,0,((CONTADORES!BN171-CONTADORES!BN170)/1000))</f>
        <v>0</v>
      </c>
      <c r="BL169" s="1399">
        <f t="shared" ca="1" si="81"/>
        <v>0</v>
      </c>
      <c r="BM169" s="1399">
        <f t="shared" ca="1" si="82"/>
        <v>0</v>
      </c>
      <c r="BN169" s="1398">
        <f ca="1">IF(W169&gt;=$J$5,0,CONTADORES!$BO171)</f>
        <v>0</v>
      </c>
      <c r="BO169" s="1397">
        <f ca="1">IF(W169&gt;=$J$5,0,CONTADORES!$BP171)</f>
        <v>0</v>
      </c>
      <c r="BP169" s="1397">
        <f ca="1">IF(W169&gt;=$J$5,0,CONTADORES!$BQ171)</f>
        <v>0</v>
      </c>
      <c r="BQ169" s="1397">
        <f ca="1">IF(B169&gt;=$J$5,0,(CONTADORES!AS171-CONTADORES!AS170))</f>
        <v>0</v>
      </c>
      <c r="BR169" s="1397">
        <f ca="1">IF(C169&gt;=$J$5,0,(CONTADORES!AT171-CONTADORES!AT170))</f>
        <v>0</v>
      </c>
      <c r="BS169" s="1398">
        <f ca="1">IF(B169&gt;=$J$5,0,CONTADORES!BR171-CONTADORES!BR170)/1000</f>
        <v>0</v>
      </c>
      <c r="BT169" s="1398">
        <f ca="1">IF(B169&gt;=$J$5,0,CONTADORES!BS171-CONTADORES!BS170)</f>
        <v>0</v>
      </c>
      <c r="BU169" s="1398">
        <f ca="1">IF(B169&gt;=$J$5,0,CONTADORES!BT171-CONTADORES!BT170)</f>
        <v>0</v>
      </c>
      <c r="BV169" s="1398">
        <f ca="1">IF(B169&gt;=$J$5,0,CONTADORES!BU171-CONTADORES!BU170)/1000</f>
        <v>0</v>
      </c>
      <c r="BW169" s="1398">
        <f ca="1">IF(B169&gt;=$J$5,0,CONTADORES!BV171-CONTADORES!BV170)/1000</f>
        <v>0</v>
      </c>
      <c r="BX169" s="1398">
        <f ca="1">IF(B169&gt;=$J$5,0,CONTADORES!BW171-CONTADORES!BW170)</f>
        <v>0</v>
      </c>
      <c r="BY169" s="1398">
        <f ca="1">IF(B169&gt;=$J$5,0,CONTADORES!BX171-CONTADORES!BX170)/1000</f>
        <v>0</v>
      </c>
      <c r="BZ169" s="1398">
        <f ca="1">IF(B169&gt;=$J$5,0,CONTADORES!BY171-CONTADORES!BY170)/1000</f>
        <v>0</v>
      </c>
      <c r="CA169" s="1398">
        <f ca="1">IF(B169&gt;=$J$5,0,CONTADORES!BZ171-CONTADORES!BZ170)</f>
        <v>0</v>
      </c>
      <c r="CB169" s="1398">
        <f ca="1">IF(B169&gt;=$J$5,0,(CONTADORES!CC171-CONTADORES!CC170)+(CONTADORES!CE171-CONTADORES!CE170))/1000</f>
        <v>0</v>
      </c>
      <c r="CC169" s="1398">
        <f ca="1">IF(B169&gt;=$J$5,0,(CONTADORES!CD171-CONTADORES!CD170)+(CONTADORES!CF171-CONTADORES!CF170))/1000</f>
        <v>0</v>
      </c>
      <c r="CD169" s="1398">
        <f ca="1">IF(B169&gt;=$J$5,0,CONTADORES!CA171-CONTADORES!CA170)</f>
        <v>0</v>
      </c>
      <c r="CE169" s="1398">
        <f ca="1">IF(B169&gt;=$J$5,0,CONTADORES!CB171-CONTADORES!CB170)</f>
        <v>0</v>
      </c>
      <c r="CF169" s="1398">
        <f t="shared" ca="1" si="83"/>
        <v>0</v>
      </c>
      <c r="CG169" s="1398">
        <f t="shared" ca="1" si="84"/>
        <v>0</v>
      </c>
      <c r="CH169" s="1398">
        <f t="shared" ca="1" si="85"/>
        <v>0</v>
      </c>
      <c r="CI169" s="1398">
        <f t="shared" ca="1" si="86"/>
        <v>0</v>
      </c>
      <c r="CJ169" s="1398">
        <f t="shared" ca="1" si="87"/>
        <v>0</v>
      </c>
      <c r="CK169" s="1398">
        <f t="shared" ca="1" si="88"/>
        <v>0</v>
      </c>
      <c r="CL169" s="1398">
        <f t="shared" ca="1" si="89"/>
        <v>0</v>
      </c>
      <c r="CM169" s="1398">
        <f t="shared" ca="1" si="90"/>
        <v>0</v>
      </c>
      <c r="CN169" s="1398">
        <f ca="1">IF(B169&gt;=$J$5,0,CONTADORES!CB171-CONTADORES!CB170)</f>
        <v>0</v>
      </c>
      <c r="CO169" s="1398">
        <f t="shared" ca="1" si="91"/>
        <v>0</v>
      </c>
      <c r="CP169" s="1398">
        <f t="shared" ca="1" si="92"/>
        <v>0</v>
      </c>
      <c r="CQ169" s="1398">
        <f t="shared" ca="1" si="93"/>
        <v>0</v>
      </c>
      <c r="CR169" s="1398">
        <f t="shared" ca="1" si="94"/>
        <v>0</v>
      </c>
      <c r="CS169" s="1448">
        <f ca="1">IF($B169&gt;=$J$5,0,CONTADORES!$BI171)</f>
        <v>0</v>
      </c>
      <c r="CT169" s="1369">
        <f>CONTADORES!E171</f>
        <v>0</v>
      </c>
      <c r="CU169" s="1369">
        <f>CONTADORES!CG171</f>
        <v>0</v>
      </c>
    </row>
    <row r="170" spans="2:99">
      <c r="B170" s="390">
        <v>45086</v>
      </c>
      <c r="C170" s="198">
        <f t="shared" ca="1" si="68"/>
        <v>0</v>
      </c>
      <c r="D170" s="196">
        <f ca="1">'CALCULO DE GAS'!D182</f>
        <v>0</v>
      </c>
      <c r="E170" s="196">
        <f ca="1">IF(B170&gt;=$J$5,0,(CONTADORES!$AD172-CONTADORES!$AD171)-$H170)</f>
        <v>0</v>
      </c>
      <c r="F170" s="198">
        <f t="shared" ca="1" si="96"/>
        <v>0</v>
      </c>
      <c r="G170" s="196">
        <f ca="1">IF(B170&gt;=$J$5,0,CONTADORES!$AF172-CONTADORES!$AF171)</f>
        <v>0</v>
      </c>
      <c r="H170" s="196">
        <f ca="1">IF(G170&gt;0,CONTADORES!$AE172-CONTADORES!$AE171,0)</f>
        <v>0</v>
      </c>
      <c r="I170" s="199">
        <f ca="1">IF(B170&gt;=$J$5,0,CONTADORES!$AB172-CONTADORES!$AB171)</f>
        <v>0</v>
      </c>
      <c r="J170" s="198">
        <f t="shared" ca="1" si="69"/>
        <v>0</v>
      </c>
      <c r="K170" s="196">
        <f ca="1">'CALCULO DE GAS'!E182</f>
        <v>0</v>
      </c>
      <c r="L170" s="1396">
        <f ca="1">IF(B170&gt;=$J$5,0,(CONTADORES!$Y172-CONTADORES!$Y171)-$O170)</f>
        <v>0</v>
      </c>
      <c r="M170" s="1396">
        <f t="shared" ca="1" si="95"/>
        <v>0</v>
      </c>
      <c r="N170" s="1396">
        <f ca="1">IF(B170&gt;=$J$5,0,CONTADORES!$AA172-CONTADORES!$AA171)</f>
        <v>0</v>
      </c>
      <c r="O170" s="1396">
        <f ca="1">IF(N170&gt;0,CONTADORES!$Z172-CONTADORES!$Z171,0)</f>
        <v>0</v>
      </c>
      <c r="P170" s="202">
        <f ca="1">IF(B170&gt;=$J$5,0,CONTADORES!$W172-CONTADORES!$W171)</f>
        <v>0</v>
      </c>
      <c r="Q170" s="202">
        <f ca="1">IF(B170&gt;=$J$5,0,CONTADORES!$B172-CONTADORES!$B171)</f>
        <v>0</v>
      </c>
      <c r="R170" s="196">
        <f t="shared" ca="1" si="70"/>
        <v>0</v>
      </c>
      <c r="S170" s="11">
        <f ca="1">IF(B170&gt;=$J$5,0,CONTADORES!$D172-CONTADORES!$D171)</f>
        <v>0</v>
      </c>
      <c r="T170" s="198">
        <f ca="1">IF(B170&gt;=$J$5,0,CONTADORES!$BB172-CONTADORES!$BB171)</f>
        <v>0</v>
      </c>
      <c r="U170" s="196">
        <f t="shared" ca="1" si="97"/>
        <v>0</v>
      </c>
      <c r="V170" s="199">
        <f ca="1">IF(B170&gt;=$J$5,0,CONTADORES!$BD172-CONTADORES!$BD171)</f>
        <v>0</v>
      </c>
      <c r="W170" s="1397">
        <f t="shared" ca="1" si="71"/>
        <v>0</v>
      </c>
      <c r="X170" s="1397">
        <f t="shared" ca="1" si="72"/>
        <v>0</v>
      </c>
      <c r="Y170" s="1398">
        <f t="shared" ca="1" si="73"/>
        <v>0</v>
      </c>
      <c r="Z170" s="1398">
        <f t="shared" ca="1" si="74"/>
        <v>0</v>
      </c>
      <c r="AA170" s="1398">
        <f t="shared" ca="1" si="75"/>
        <v>0</v>
      </c>
      <c r="AB170" s="1398">
        <f t="shared" ca="1" si="76"/>
        <v>0</v>
      </c>
      <c r="AC170" s="1397">
        <f t="shared" ca="1" si="77"/>
        <v>0</v>
      </c>
      <c r="AD170" s="1397">
        <f ca="1">IF(B170&gt;=$J$5,0,CONTADORES!H172-CONTADORES!H171)</f>
        <v>0</v>
      </c>
      <c r="AE170" s="1397">
        <f ca="1">IF(B170&gt;=$J$5,0,CONTADORES!J172-CONTADORES!J171)</f>
        <v>0</v>
      </c>
      <c r="AF170" s="1397">
        <f ca="1">IF(B170&gt;=$J$5,0,CONTADORES!AU172-CONTADORES!AU171)</f>
        <v>0</v>
      </c>
      <c r="AG170" s="1397">
        <f ca="1">IF(B170&gt;=$J$5,0,CONTADORES!AW172-CONTADORES!AW171)</f>
        <v>0</v>
      </c>
      <c r="AH170" s="1398">
        <f ca="1">IF(B170&gt;=$J$5,0,(CONTADORES!AM172-CONTADORES!AM171)+(CONTADORES!M172-CONTADORES!M171))</f>
        <v>0</v>
      </c>
      <c r="AI170" s="1397">
        <f ca="1">IF(B170&gt;=$J$5,0,(CONTADORES!AK172-CONTADORES!AK171)+(CONTADORES!O172-CONTADORES!O171))</f>
        <v>0</v>
      </c>
      <c r="AJ170" s="1397">
        <f ca="1">IF(B170&gt;=$J$5,0,(CONTADORES!AI172-CONTADORES!AI171))</f>
        <v>0</v>
      </c>
      <c r="AK170" s="1397">
        <f ca="1">IF(B170&gt;=$J$5,0,(CONTADORES!Q172-CONTADORES!Q171))</f>
        <v>0</v>
      </c>
      <c r="AL170" s="1450">
        <f t="shared" ca="1" si="78"/>
        <v>0</v>
      </c>
      <c r="AM170" s="1397">
        <f ca="1">IF(B170&gt;=$J$5,0,(((CONTADORES!F172-CONTADORES!F171)+(CONTADORES!AQ172-CONTADORES!AQ171))))-BS170-AF170-AN170-BV170-BY170-CD170-CB170</f>
        <v>0</v>
      </c>
      <c r="AN170" s="1397">
        <f ca="1">IF(B170&gt;=$J$5,0,(CONTADORES!AX172-CONTADORES!AX171)+(CONTADORES!AZ172-CONTADORES!AZ171)+(CONTADORES!BE172-CONTADORES!BE171))-CB170</f>
        <v>0</v>
      </c>
      <c r="AO170" s="1399">
        <f ca="1">IF(B169&gt;=$J$5,0,(CONTADORES!AC172-CONTADORES!AC171))</f>
        <v>0</v>
      </c>
      <c r="AP170" s="1409">
        <f ca="1">IF(B170&gt;=$J$5,0,(CONTADORES!X172-CONTADORES!X171))</f>
        <v>0</v>
      </c>
      <c r="AQ170" s="1409">
        <f ca="1">IF(B170&gt;=$J$5,0,(CONTADORES!C172-CONTADORES!C171))</f>
        <v>0</v>
      </c>
      <c r="AR170" s="1409">
        <f ca="1">IF(B170&gt;=$J$5,0,(CONTADORES!BC172-CONTADORES!BC171))</f>
        <v>0</v>
      </c>
      <c r="AS170" s="1409">
        <f ca="1">IF(B170&gt;=$J$5,0,CONTADORES!S172-CONTADORES!S171)</f>
        <v>0</v>
      </c>
      <c r="AT170" s="1409">
        <f ca="1">IF(B170&gt;=$J$5,0,(CONTADORES!U172-CONTADORES!U171)+(CONTADORES!AG172-CONTADORES!AG171))</f>
        <v>0</v>
      </c>
      <c r="AU170" s="1409">
        <f ca="1">IF(B170&gt;=$J$5,0,(CONTADORES!I172-CONTADORES!I171))</f>
        <v>0</v>
      </c>
      <c r="AV170" s="1409">
        <f ca="1">IF(B170&gt;=$J$5,0,(CONTADORES!AV172-CONTADORES!AV171))</f>
        <v>0</v>
      </c>
      <c r="AW170" s="1409">
        <f ca="1">IF(B170&gt;=$J$5,0,(CONTADORES!N172-CONTADORES!N171)+(CONTADORES!AN172-CONTADORES!AN171))</f>
        <v>0</v>
      </c>
      <c r="AX170" s="1409">
        <f ca="1">IF(B170&gt;=$J$5,0,(CONTADORES!P172-CONTADORES!P171)+(CONTADORES!AL172-CONTADORES!AL171))</f>
        <v>0</v>
      </c>
      <c r="AY170" s="1409">
        <f ca="1">IF(B170&gt;=$J$5,0,(CONTADORES!AJ172-CONTADORES!AJ171))</f>
        <v>0</v>
      </c>
      <c r="AZ170" s="1409">
        <f ca="1">IF(B170&gt;=$J$5,0,(CONTADORES!R172-CONTADORES!R171))</f>
        <v>0</v>
      </c>
      <c r="BA170" s="1398">
        <f t="shared" ca="1" si="79"/>
        <v>0</v>
      </c>
      <c r="BB170" s="1409">
        <f ca="1">IF(B170&gt;=$J$5,0,(((CONTADORES!G172-CONTADORES!G171)+(CONTADORES!AR172-CONTADORES!AR171)+AR170)-(AV170+BC170)))</f>
        <v>0</v>
      </c>
      <c r="BC170" s="1397">
        <f ca="1">IF(B170&gt;=$J$5,0,(CONTADORES!AY172-CONTADORES!AY171)+(CONTADORES!BA172-CONTADORES!BA171)+(CONTADORES!BF172-CONTADORES!BF171))</f>
        <v>0</v>
      </c>
      <c r="BD170" s="1397">
        <f t="shared" ca="1" si="80"/>
        <v>0</v>
      </c>
      <c r="BE170" s="1398">
        <f ca="1">IF($B170&gt;=$J$5,0,CONTADORES!$BG172)</f>
        <v>0</v>
      </c>
      <c r="BF170" s="1397">
        <f ca="1">IF($B170&gt;=$J$5,0,CONTADORES!$BH172)</f>
        <v>0</v>
      </c>
      <c r="BG170" s="1397">
        <f ca="1">IF($B170&gt;=$J$5,0,CONTADORES!$BJ172)</f>
        <v>0</v>
      </c>
      <c r="BH170" s="1397">
        <f ca="1">IF(B170&gt;=$J$5,0,((CONTADORES!BK172-CONTADORES!BK171)/1000))</f>
        <v>0</v>
      </c>
      <c r="BI170" s="1397">
        <f ca="1">IF(C170&gt;=$J$5,0,((CONTADORES!BL172-CONTADORES!BL171)/1000))</f>
        <v>0</v>
      </c>
      <c r="BJ170" s="1397">
        <f ca="1">IF(C170&gt;=$J$5,0,((CONTADORES!BM172-CONTADORES!BM171)/1000))</f>
        <v>0</v>
      </c>
      <c r="BK170" s="1397">
        <f ca="1">IF(B170&gt;=$J$5,0,((CONTADORES!BN172-CONTADORES!BN171)/1000))</f>
        <v>0</v>
      </c>
      <c r="BL170" s="1399">
        <f t="shared" ca="1" si="81"/>
        <v>0</v>
      </c>
      <c r="BM170" s="1399">
        <f t="shared" ca="1" si="82"/>
        <v>0</v>
      </c>
      <c r="BN170" s="1398">
        <f ca="1">IF(W170&gt;=$J$5,0,CONTADORES!$BO172)</f>
        <v>0</v>
      </c>
      <c r="BO170" s="1397">
        <f ca="1">IF(W170&gt;=$J$5,0,CONTADORES!$BP172)</f>
        <v>0</v>
      </c>
      <c r="BP170" s="1397">
        <f ca="1">IF(W170&gt;=$J$5,0,CONTADORES!$BQ172)</f>
        <v>0</v>
      </c>
      <c r="BQ170" s="1397">
        <f ca="1">IF(B170&gt;=$J$5,0,(CONTADORES!AS172-CONTADORES!AS171))</f>
        <v>0</v>
      </c>
      <c r="BR170" s="1397">
        <f ca="1">IF(C170&gt;=$J$5,0,(CONTADORES!AT172-CONTADORES!AT171))</f>
        <v>0</v>
      </c>
      <c r="BS170" s="1398">
        <f ca="1">IF(B170&gt;=$J$5,0,CONTADORES!BR172-CONTADORES!BR171)/1000</f>
        <v>0</v>
      </c>
      <c r="BT170" s="1398">
        <f ca="1">IF(B170&gt;=$J$5,0,CONTADORES!BS172-CONTADORES!BS171)</f>
        <v>0</v>
      </c>
      <c r="BU170" s="1398">
        <f ca="1">IF(B170&gt;=$J$5,0,CONTADORES!BT172-CONTADORES!BT171)</f>
        <v>0</v>
      </c>
      <c r="BV170" s="1398">
        <f ca="1">IF(B170&gt;=$J$5,0,CONTADORES!BU172-CONTADORES!BU171)/1000</f>
        <v>0</v>
      </c>
      <c r="BW170" s="1398">
        <f ca="1">IF(B170&gt;=$J$5,0,CONTADORES!BV172-CONTADORES!BV171)/1000</f>
        <v>0</v>
      </c>
      <c r="BX170" s="1398">
        <f ca="1">IF(B170&gt;=$J$5,0,CONTADORES!BW172-CONTADORES!BW171)</f>
        <v>0</v>
      </c>
      <c r="BY170" s="1398">
        <f ca="1">IF(B170&gt;=$J$5,0,CONTADORES!BX172-CONTADORES!BX171)/1000</f>
        <v>0</v>
      </c>
      <c r="BZ170" s="1398">
        <f ca="1">IF(B170&gt;=$J$5,0,CONTADORES!BY172-CONTADORES!BY171)/1000</f>
        <v>0</v>
      </c>
      <c r="CA170" s="1398">
        <f ca="1">IF(B170&gt;=$J$5,0,CONTADORES!BZ172-CONTADORES!BZ171)</f>
        <v>0</v>
      </c>
      <c r="CB170" s="1398">
        <f ca="1">IF(B170&gt;=$J$5,0,(CONTADORES!CC172-CONTADORES!CC171)+(CONTADORES!CE172-CONTADORES!CE171))/1000</f>
        <v>0</v>
      </c>
      <c r="CC170" s="1398">
        <f ca="1">IF(B170&gt;=$J$5,0,(CONTADORES!CD172-CONTADORES!CD171)+(CONTADORES!CF172-CONTADORES!CF171))/1000</f>
        <v>0</v>
      </c>
      <c r="CD170" s="1398">
        <f ca="1">IF(B170&gt;=$J$5,0,CONTADORES!CA172-CONTADORES!CA171)</f>
        <v>0</v>
      </c>
      <c r="CE170" s="1398">
        <f ca="1">IF(B170&gt;=$J$5,0,CONTADORES!CB172-CONTADORES!CB171)</f>
        <v>0</v>
      </c>
      <c r="CF170" s="1398">
        <f t="shared" ca="1" si="83"/>
        <v>0</v>
      </c>
      <c r="CG170" s="1398">
        <f t="shared" ca="1" si="84"/>
        <v>0</v>
      </c>
      <c r="CH170" s="1398">
        <f t="shared" ca="1" si="85"/>
        <v>0</v>
      </c>
      <c r="CI170" s="1398">
        <f t="shared" ca="1" si="86"/>
        <v>0</v>
      </c>
      <c r="CJ170" s="1398">
        <f t="shared" ca="1" si="87"/>
        <v>0</v>
      </c>
      <c r="CK170" s="1398">
        <f t="shared" ca="1" si="88"/>
        <v>0</v>
      </c>
      <c r="CL170" s="1398">
        <f t="shared" ca="1" si="89"/>
        <v>0</v>
      </c>
      <c r="CM170" s="1398">
        <f t="shared" ca="1" si="90"/>
        <v>0</v>
      </c>
      <c r="CN170" s="1398">
        <f ca="1">IF(B170&gt;=$J$5,0,CONTADORES!CB172-CONTADORES!CB171)</f>
        <v>0</v>
      </c>
      <c r="CO170" s="1398">
        <f t="shared" ca="1" si="91"/>
        <v>0</v>
      </c>
      <c r="CP170" s="1398">
        <f t="shared" ca="1" si="92"/>
        <v>0</v>
      </c>
      <c r="CQ170" s="1398">
        <f t="shared" ca="1" si="93"/>
        <v>0</v>
      </c>
      <c r="CR170" s="1398">
        <f t="shared" ca="1" si="94"/>
        <v>0</v>
      </c>
      <c r="CS170" s="1448">
        <f ca="1">IF($B170&gt;=$J$5,0,CONTADORES!$BI172)</f>
        <v>0</v>
      </c>
      <c r="CT170" s="1369">
        <f>CONTADORES!E172</f>
        <v>0</v>
      </c>
      <c r="CU170" s="1369">
        <f>CONTADORES!CG172</f>
        <v>0</v>
      </c>
    </row>
    <row r="171" spans="2:99">
      <c r="B171" s="390">
        <v>45087</v>
      </c>
      <c r="C171" s="198">
        <f t="shared" ca="1" si="68"/>
        <v>0</v>
      </c>
      <c r="D171" s="196">
        <f ca="1">'CALCULO DE GAS'!D183</f>
        <v>0</v>
      </c>
      <c r="E171" s="196">
        <f ca="1">IF(B171&gt;=$J$5,0,(CONTADORES!$AD173-CONTADORES!$AD172)-$H171)</f>
        <v>0</v>
      </c>
      <c r="F171" s="198">
        <f t="shared" ca="1" si="96"/>
        <v>0</v>
      </c>
      <c r="G171" s="196">
        <f ca="1">IF(B171&gt;=$J$5,0,CONTADORES!$AF173-CONTADORES!$AF172)</f>
        <v>0</v>
      </c>
      <c r="H171" s="196">
        <f ca="1">IF(G171&gt;0,CONTADORES!$AE173-CONTADORES!$AE172,0)</f>
        <v>0</v>
      </c>
      <c r="I171" s="199">
        <f ca="1">IF(B171&gt;=$J$5,0,CONTADORES!$AB173-CONTADORES!$AB172)</f>
        <v>0</v>
      </c>
      <c r="J171" s="198">
        <f t="shared" ca="1" si="69"/>
        <v>0</v>
      </c>
      <c r="K171" s="196">
        <f ca="1">'CALCULO DE GAS'!E183</f>
        <v>0</v>
      </c>
      <c r="L171" s="1396">
        <f ca="1">IF(B171&gt;=$J$5,0,(CONTADORES!$Y173-CONTADORES!$Y172)-$O171)</f>
        <v>0</v>
      </c>
      <c r="M171" s="1396">
        <f t="shared" ca="1" si="95"/>
        <v>0</v>
      </c>
      <c r="N171" s="1396">
        <f ca="1">IF(B171&gt;=$J$5,0,CONTADORES!$AA173-CONTADORES!$AA172)</f>
        <v>0</v>
      </c>
      <c r="O171" s="1396">
        <f ca="1">IF(N171&gt;0,CONTADORES!$Z173-CONTADORES!$Z172,0)</f>
        <v>0</v>
      </c>
      <c r="P171" s="202">
        <f ca="1">IF(B171&gt;=$J$5,0,CONTADORES!$W173-CONTADORES!$W172)</f>
        <v>0</v>
      </c>
      <c r="Q171" s="202">
        <f ca="1">IF(B171&gt;=$J$5,0,CONTADORES!$B173-CONTADORES!$B172)</f>
        <v>0</v>
      </c>
      <c r="R171" s="196">
        <f t="shared" ca="1" si="70"/>
        <v>0</v>
      </c>
      <c r="S171" s="11">
        <f ca="1">IF(B171&gt;=$J$5,0,CONTADORES!$D173-CONTADORES!$D172)</f>
        <v>0</v>
      </c>
      <c r="T171" s="198">
        <f ca="1">IF(B171&gt;=$J$5,0,CONTADORES!$BB173-CONTADORES!$BB172)</f>
        <v>0</v>
      </c>
      <c r="U171" s="196">
        <f t="shared" ca="1" si="97"/>
        <v>0</v>
      </c>
      <c r="V171" s="199">
        <f ca="1">IF(B171&gt;=$J$5,0,CONTADORES!$BD173-CONTADORES!$BD172)</f>
        <v>0</v>
      </c>
      <c r="W171" s="1397">
        <f t="shared" ca="1" si="71"/>
        <v>0</v>
      </c>
      <c r="X171" s="1397">
        <f t="shared" ca="1" si="72"/>
        <v>0</v>
      </c>
      <c r="Y171" s="1398">
        <f t="shared" ca="1" si="73"/>
        <v>0</v>
      </c>
      <c r="Z171" s="1398">
        <f t="shared" ca="1" si="74"/>
        <v>0</v>
      </c>
      <c r="AA171" s="1398">
        <f t="shared" ca="1" si="75"/>
        <v>0</v>
      </c>
      <c r="AB171" s="1398">
        <f t="shared" ca="1" si="76"/>
        <v>0</v>
      </c>
      <c r="AC171" s="1397">
        <f t="shared" ca="1" si="77"/>
        <v>0</v>
      </c>
      <c r="AD171" s="1397">
        <f ca="1">IF(B171&gt;=$J$5,0,CONTADORES!H173-CONTADORES!H172)</f>
        <v>0</v>
      </c>
      <c r="AE171" s="1397">
        <f ca="1">IF(B171&gt;=$J$5,0,CONTADORES!J173-CONTADORES!J172)</f>
        <v>0</v>
      </c>
      <c r="AF171" s="1397">
        <f ca="1">IF(B171&gt;=$J$5,0,CONTADORES!AU173-CONTADORES!AU172)</f>
        <v>0</v>
      </c>
      <c r="AG171" s="1397">
        <f ca="1">IF(B171&gt;=$J$5,0,CONTADORES!AW173-CONTADORES!AW172)</f>
        <v>0</v>
      </c>
      <c r="AH171" s="1398">
        <f ca="1">IF(B171&gt;=$J$5,0,(CONTADORES!AM173-CONTADORES!AM172)+(CONTADORES!M173-CONTADORES!M172))</f>
        <v>0</v>
      </c>
      <c r="AI171" s="1397">
        <f ca="1">IF(B171&gt;=$J$5,0,(CONTADORES!AK173-CONTADORES!AK172)+(CONTADORES!O173-CONTADORES!O172))</f>
        <v>0</v>
      </c>
      <c r="AJ171" s="1397">
        <f ca="1">IF(B171&gt;=$J$5,0,(CONTADORES!AI173-CONTADORES!AI172))</f>
        <v>0</v>
      </c>
      <c r="AK171" s="1397">
        <f ca="1">IF(B171&gt;=$J$5,0,(CONTADORES!Q173-CONTADORES!Q172))</f>
        <v>0</v>
      </c>
      <c r="AL171" s="1450">
        <f t="shared" ca="1" si="78"/>
        <v>0</v>
      </c>
      <c r="AM171" s="1397">
        <f ca="1">IF(B171&gt;=$J$5,0,(((CONTADORES!F173-CONTADORES!F172)+(CONTADORES!AQ173-CONTADORES!AQ172))))-BS171-AF171-AN171-BV171-BY171-CD171-CB171</f>
        <v>0</v>
      </c>
      <c r="AN171" s="1397">
        <f ca="1">IF(B171&gt;=$J$5,0,(CONTADORES!AX173-CONTADORES!AX172)+(CONTADORES!AZ173-CONTADORES!AZ172)+(CONTADORES!BE173-CONTADORES!BE172))-CB171</f>
        <v>0</v>
      </c>
      <c r="AO171" s="1399">
        <f ca="1">IF(B170&gt;=$J$5,0,(CONTADORES!AC173-CONTADORES!AC172))</f>
        <v>0</v>
      </c>
      <c r="AP171" s="1409">
        <f ca="1">IF(B171&gt;=$J$5,0,(CONTADORES!X173-CONTADORES!X172))</f>
        <v>0</v>
      </c>
      <c r="AQ171" s="1409">
        <f ca="1">IF(B171&gt;=$J$5,0,(CONTADORES!C173-CONTADORES!C172))</f>
        <v>0</v>
      </c>
      <c r="AR171" s="1409">
        <f ca="1">IF(B171&gt;=$J$5,0,(CONTADORES!BC173-CONTADORES!BC172))</f>
        <v>0</v>
      </c>
      <c r="AS171" s="1409">
        <f ca="1">IF(B171&gt;=$J$5,0,CONTADORES!S173-CONTADORES!S172)</f>
        <v>0</v>
      </c>
      <c r="AT171" s="1409">
        <f ca="1">IF(B171&gt;=$J$5,0,(CONTADORES!U173-CONTADORES!U172)+(CONTADORES!AG173-CONTADORES!AG172))</f>
        <v>0</v>
      </c>
      <c r="AU171" s="1409">
        <f ca="1">IF(B171&gt;=$J$5,0,(CONTADORES!I173-CONTADORES!I172))</f>
        <v>0</v>
      </c>
      <c r="AV171" s="1409">
        <f ca="1">IF(B171&gt;=$J$5,0,(CONTADORES!AV173-CONTADORES!AV172))</f>
        <v>0</v>
      </c>
      <c r="AW171" s="1409">
        <f ca="1">IF(B171&gt;=$J$5,0,(CONTADORES!N173-CONTADORES!N172)+(CONTADORES!AN173-CONTADORES!AN172))</f>
        <v>0</v>
      </c>
      <c r="AX171" s="1409">
        <f ca="1">IF(B171&gt;=$J$5,0,(CONTADORES!P173-CONTADORES!P172)+(CONTADORES!AL173-CONTADORES!AL172))</f>
        <v>0</v>
      </c>
      <c r="AY171" s="1409">
        <f ca="1">IF(B171&gt;=$J$5,0,(CONTADORES!AJ173-CONTADORES!AJ172))</f>
        <v>0</v>
      </c>
      <c r="AZ171" s="1409">
        <f ca="1">IF(B171&gt;=$J$5,0,(CONTADORES!R173-CONTADORES!R172))</f>
        <v>0</v>
      </c>
      <c r="BA171" s="1398">
        <f t="shared" ca="1" si="79"/>
        <v>0</v>
      </c>
      <c r="BB171" s="1409">
        <f ca="1">IF(B171&gt;=$J$5,0,(((CONTADORES!G173-CONTADORES!G172)+(CONTADORES!AR173-CONTADORES!AR172)+AR171)-(AV171+BC171)))</f>
        <v>0</v>
      </c>
      <c r="BC171" s="1397">
        <f ca="1">IF(B171&gt;=$J$5,0,(CONTADORES!AY173-CONTADORES!AY172)+(CONTADORES!BA173-CONTADORES!BA172)+(CONTADORES!BF173-CONTADORES!BF172))</f>
        <v>0</v>
      </c>
      <c r="BD171" s="1397">
        <f t="shared" ca="1" si="80"/>
        <v>0</v>
      </c>
      <c r="BE171" s="1398">
        <f ca="1">IF($B171&gt;=$J$5,0,CONTADORES!$BG173)</f>
        <v>0</v>
      </c>
      <c r="BF171" s="1397">
        <f ca="1">IF($B171&gt;=$J$5,0,CONTADORES!$BH173)</f>
        <v>0</v>
      </c>
      <c r="BG171" s="1397">
        <f ca="1">IF($B171&gt;=$J$5,0,CONTADORES!$BJ173)</f>
        <v>0</v>
      </c>
      <c r="BH171" s="1397">
        <f ca="1">IF(B171&gt;=$J$5,0,((CONTADORES!BK173-CONTADORES!BK172)/1000))</f>
        <v>0</v>
      </c>
      <c r="BI171" s="1397">
        <f ca="1">IF(C171&gt;=$J$5,0,((CONTADORES!BL173-CONTADORES!BL172)/1000))</f>
        <v>0</v>
      </c>
      <c r="BJ171" s="1397">
        <f ca="1">IF(C171&gt;=$J$5,0,((CONTADORES!BM173-CONTADORES!BM172)/1000))</f>
        <v>0</v>
      </c>
      <c r="BK171" s="1397">
        <f ca="1">IF(B171&gt;=$J$5,0,((CONTADORES!BN173-CONTADORES!BN172)/1000))</f>
        <v>0</v>
      </c>
      <c r="BL171" s="1399">
        <f t="shared" ca="1" si="81"/>
        <v>0</v>
      </c>
      <c r="BM171" s="1399">
        <f t="shared" ca="1" si="82"/>
        <v>0</v>
      </c>
      <c r="BN171" s="1398">
        <f ca="1">IF(W171&gt;=$J$5,0,CONTADORES!$BO173)</f>
        <v>0</v>
      </c>
      <c r="BO171" s="1397">
        <f ca="1">IF(W171&gt;=$J$5,0,CONTADORES!$BP173)</f>
        <v>0</v>
      </c>
      <c r="BP171" s="1397">
        <f ca="1">IF(W171&gt;=$J$5,0,CONTADORES!$BQ173)</f>
        <v>0</v>
      </c>
      <c r="BQ171" s="1397">
        <f ca="1">IF(B171&gt;=$J$5,0,(CONTADORES!AS173-CONTADORES!AS172))</f>
        <v>0</v>
      </c>
      <c r="BR171" s="1397">
        <f ca="1">IF(C171&gt;=$J$5,0,(CONTADORES!AT173-CONTADORES!AT172))</f>
        <v>0</v>
      </c>
      <c r="BS171" s="1398">
        <f ca="1">IF(B171&gt;=$J$5,0,CONTADORES!BR173-CONTADORES!BR172)/1000</f>
        <v>0</v>
      </c>
      <c r="BT171" s="1398">
        <f ca="1">IF(B171&gt;=$J$5,0,CONTADORES!BS173-CONTADORES!BS172)</f>
        <v>0</v>
      </c>
      <c r="BU171" s="1398">
        <f ca="1">IF(B171&gt;=$J$5,0,CONTADORES!BT173-CONTADORES!BT172)</f>
        <v>0</v>
      </c>
      <c r="BV171" s="1398">
        <f ca="1">IF(B171&gt;=$J$5,0,CONTADORES!BU173-CONTADORES!BU172)/1000</f>
        <v>0</v>
      </c>
      <c r="BW171" s="1398">
        <f ca="1">IF(B171&gt;=$J$5,0,CONTADORES!BV173-CONTADORES!BV172)/1000</f>
        <v>0</v>
      </c>
      <c r="BX171" s="1398">
        <f ca="1">IF(B171&gt;=$J$5,0,CONTADORES!BW173-CONTADORES!BW172)</f>
        <v>0</v>
      </c>
      <c r="BY171" s="1398">
        <f ca="1">IF(B171&gt;=$J$5,0,CONTADORES!BX173-CONTADORES!BX172)/1000</f>
        <v>0</v>
      </c>
      <c r="BZ171" s="1398">
        <f ca="1">IF(B171&gt;=$J$5,0,CONTADORES!BY173-CONTADORES!BY172)/1000</f>
        <v>0</v>
      </c>
      <c r="CA171" s="1398">
        <f ca="1">IF(B171&gt;=$J$5,0,CONTADORES!BZ173-CONTADORES!BZ172)</f>
        <v>0</v>
      </c>
      <c r="CB171" s="1398">
        <f ca="1">IF(B171&gt;=$J$5,0,(CONTADORES!CC173-CONTADORES!CC172)+(CONTADORES!CE173-CONTADORES!CE172))/1000</f>
        <v>0</v>
      </c>
      <c r="CC171" s="1398">
        <f ca="1">IF(B171&gt;=$J$5,0,(CONTADORES!CD173-CONTADORES!CD172)+(CONTADORES!CF173-CONTADORES!CF172))/1000</f>
        <v>0</v>
      </c>
      <c r="CD171" s="1398">
        <f ca="1">IF(B171&gt;=$J$5,0,CONTADORES!CA173-CONTADORES!CA172)</f>
        <v>0</v>
      </c>
      <c r="CE171" s="1398">
        <f ca="1">IF(B171&gt;=$J$5,0,CONTADORES!CB173-CONTADORES!CB172)</f>
        <v>0</v>
      </c>
      <c r="CF171" s="1398">
        <f t="shared" ca="1" si="83"/>
        <v>0</v>
      </c>
      <c r="CG171" s="1398">
        <f t="shared" ca="1" si="84"/>
        <v>0</v>
      </c>
      <c r="CH171" s="1398">
        <f t="shared" ca="1" si="85"/>
        <v>0</v>
      </c>
      <c r="CI171" s="1398">
        <f t="shared" ca="1" si="86"/>
        <v>0</v>
      </c>
      <c r="CJ171" s="1398">
        <f t="shared" ca="1" si="87"/>
        <v>0</v>
      </c>
      <c r="CK171" s="1398">
        <f t="shared" ca="1" si="88"/>
        <v>0</v>
      </c>
      <c r="CL171" s="1398">
        <f t="shared" ca="1" si="89"/>
        <v>0</v>
      </c>
      <c r="CM171" s="1398">
        <f t="shared" ca="1" si="90"/>
        <v>0</v>
      </c>
      <c r="CN171" s="1398">
        <f ca="1">IF(B171&gt;=$J$5,0,CONTADORES!CB173-CONTADORES!CB172)</f>
        <v>0</v>
      </c>
      <c r="CO171" s="1398">
        <f t="shared" ca="1" si="91"/>
        <v>0</v>
      </c>
      <c r="CP171" s="1398">
        <f t="shared" ca="1" si="92"/>
        <v>0</v>
      </c>
      <c r="CQ171" s="1398">
        <f t="shared" ca="1" si="93"/>
        <v>0</v>
      </c>
      <c r="CR171" s="1398">
        <f t="shared" ca="1" si="94"/>
        <v>0</v>
      </c>
      <c r="CS171" s="1448">
        <f ca="1">IF($B171&gt;=$J$5,0,CONTADORES!$BI173)</f>
        <v>0</v>
      </c>
      <c r="CT171" s="1369">
        <f>CONTADORES!E173</f>
        <v>0</v>
      </c>
      <c r="CU171" s="1369">
        <f>CONTADORES!CG173</f>
        <v>0</v>
      </c>
    </row>
    <row r="172" spans="2:99">
      <c r="B172" s="390">
        <v>45088</v>
      </c>
      <c r="C172" s="198">
        <f t="shared" ca="1" si="68"/>
        <v>0</v>
      </c>
      <c r="D172" s="196">
        <f ca="1">'CALCULO DE GAS'!D184</f>
        <v>0</v>
      </c>
      <c r="E172" s="196">
        <f ca="1">IF(B172&gt;=$J$5,0,(CONTADORES!$AD174-CONTADORES!$AD173)-$H172)</f>
        <v>0</v>
      </c>
      <c r="F172" s="198">
        <f t="shared" ca="1" si="96"/>
        <v>0</v>
      </c>
      <c r="G172" s="196">
        <f ca="1">IF(B172&gt;=$J$5,0,CONTADORES!$AF174-CONTADORES!$AF173)</f>
        <v>0</v>
      </c>
      <c r="H172" s="196">
        <f ca="1">IF(G172&gt;0,CONTADORES!$AE174-CONTADORES!$AE173,0)</f>
        <v>0</v>
      </c>
      <c r="I172" s="199">
        <f ca="1">IF(B172&gt;=$J$5,0,CONTADORES!$AB174-CONTADORES!$AB173)</f>
        <v>0</v>
      </c>
      <c r="J172" s="198">
        <f t="shared" ca="1" si="69"/>
        <v>0</v>
      </c>
      <c r="K172" s="196">
        <f ca="1">'CALCULO DE GAS'!E184</f>
        <v>0</v>
      </c>
      <c r="L172" s="1396">
        <f ca="1">IF(B172&gt;=$J$5,0,(CONTADORES!$Y174-CONTADORES!$Y173)-$O172)</f>
        <v>0</v>
      </c>
      <c r="M172" s="1396">
        <f t="shared" ca="1" si="95"/>
        <v>0</v>
      </c>
      <c r="N172" s="1396">
        <f ca="1">IF(B172&gt;=$J$5,0,CONTADORES!$AA174-CONTADORES!$AA173)</f>
        <v>0</v>
      </c>
      <c r="O172" s="1396">
        <f ca="1">IF(N172&gt;0,CONTADORES!$Z174-CONTADORES!$Z173,0)</f>
        <v>0</v>
      </c>
      <c r="P172" s="202">
        <f ca="1">IF(B172&gt;=$J$5,0,CONTADORES!$W174-CONTADORES!$W173)</f>
        <v>0</v>
      </c>
      <c r="Q172" s="202">
        <f ca="1">IF(B172&gt;=$J$5,0,CONTADORES!$B174-CONTADORES!$B173)</f>
        <v>0</v>
      </c>
      <c r="R172" s="196">
        <f t="shared" ca="1" si="70"/>
        <v>0</v>
      </c>
      <c r="S172" s="11">
        <f ca="1">IF(B172&gt;=$J$5,0,CONTADORES!$D174-CONTADORES!$D173)</f>
        <v>0</v>
      </c>
      <c r="T172" s="198">
        <f ca="1">IF(B172&gt;=$J$5,0,CONTADORES!$BB174-CONTADORES!$BB173)</f>
        <v>0</v>
      </c>
      <c r="U172" s="196">
        <f t="shared" ca="1" si="97"/>
        <v>0</v>
      </c>
      <c r="V172" s="199">
        <f ca="1">IF(B172&gt;=$J$5,0,CONTADORES!$BD174-CONTADORES!$BD173)</f>
        <v>0</v>
      </c>
      <c r="W172" s="1397">
        <f t="shared" ca="1" si="71"/>
        <v>0</v>
      </c>
      <c r="X172" s="1397">
        <f t="shared" ca="1" si="72"/>
        <v>0</v>
      </c>
      <c r="Y172" s="1398">
        <f t="shared" ca="1" si="73"/>
        <v>0</v>
      </c>
      <c r="Z172" s="1398">
        <f t="shared" ca="1" si="74"/>
        <v>0</v>
      </c>
      <c r="AA172" s="1398">
        <f t="shared" ca="1" si="75"/>
        <v>0</v>
      </c>
      <c r="AB172" s="1398">
        <f t="shared" ca="1" si="76"/>
        <v>0</v>
      </c>
      <c r="AC172" s="1397">
        <f t="shared" ca="1" si="77"/>
        <v>0</v>
      </c>
      <c r="AD172" s="1397">
        <f ca="1">IF(B172&gt;=$J$5,0,CONTADORES!H174-CONTADORES!H173)</f>
        <v>0</v>
      </c>
      <c r="AE172" s="1397">
        <f ca="1">IF(B172&gt;=$J$5,0,CONTADORES!J174-CONTADORES!J173)</f>
        <v>0</v>
      </c>
      <c r="AF172" s="1397">
        <f ca="1">IF(B172&gt;=$J$5,0,CONTADORES!AU174-CONTADORES!AU173)</f>
        <v>0</v>
      </c>
      <c r="AG172" s="1397">
        <f ca="1">IF(B172&gt;=$J$5,0,CONTADORES!AW174-CONTADORES!AW173)</f>
        <v>0</v>
      </c>
      <c r="AH172" s="1398">
        <f ca="1">IF(B172&gt;=$J$5,0,(CONTADORES!AM174-CONTADORES!AM173)+(CONTADORES!M174-CONTADORES!M173))</f>
        <v>0</v>
      </c>
      <c r="AI172" s="1397">
        <f ca="1">IF(B172&gt;=$J$5,0,(CONTADORES!AK174-CONTADORES!AK173)+(CONTADORES!O174-CONTADORES!O173))</f>
        <v>0</v>
      </c>
      <c r="AJ172" s="1397">
        <f ca="1">IF(B172&gt;=$J$5,0,(CONTADORES!AI174-CONTADORES!AI173))</f>
        <v>0</v>
      </c>
      <c r="AK172" s="1397">
        <f ca="1">IF(B172&gt;=$J$5,0,(CONTADORES!Q174-CONTADORES!Q173))</f>
        <v>0</v>
      </c>
      <c r="AL172" s="1450">
        <f t="shared" ca="1" si="78"/>
        <v>0</v>
      </c>
      <c r="AM172" s="1397">
        <f ca="1">IF(B172&gt;=$J$5,0,(((CONTADORES!F174-CONTADORES!F173)+(CONTADORES!AQ174-CONTADORES!AQ173))))-BS172-AF172-AN172-BV172-BY172-CD172-CB172</f>
        <v>0</v>
      </c>
      <c r="AN172" s="1397">
        <f ca="1">IF(B172&gt;=$J$5,0,(CONTADORES!AX174-CONTADORES!AX173)+(CONTADORES!AZ174-CONTADORES!AZ173)+(CONTADORES!BE174-CONTADORES!BE173))-CB172</f>
        <v>0</v>
      </c>
      <c r="AO172" s="1399">
        <f ca="1">IF(B171&gt;=$J$5,0,(CONTADORES!AC174-CONTADORES!AC173))</f>
        <v>0</v>
      </c>
      <c r="AP172" s="1409">
        <f ca="1">IF(B172&gt;=$J$5,0,(CONTADORES!X174-CONTADORES!X173))</f>
        <v>0</v>
      </c>
      <c r="AQ172" s="1409">
        <f ca="1">IF(B172&gt;=$J$5,0,(CONTADORES!C174-CONTADORES!C173))</f>
        <v>0</v>
      </c>
      <c r="AR172" s="1409">
        <f ca="1">IF(B172&gt;=$J$5,0,(CONTADORES!BC174-CONTADORES!BC173))</f>
        <v>0</v>
      </c>
      <c r="AS172" s="1409">
        <f ca="1">IF(B172&gt;=$J$5,0,CONTADORES!S174-CONTADORES!S173)</f>
        <v>0</v>
      </c>
      <c r="AT172" s="1409">
        <f ca="1">IF(B172&gt;=$J$5,0,(CONTADORES!U174-CONTADORES!U173)+(CONTADORES!AG174-CONTADORES!AG173))</f>
        <v>0</v>
      </c>
      <c r="AU172" s="1409">
        <f ca="1">IF(B172&gt;=$J$5,0,(CONTADORES!I174-CONTADORES!I173))</f>
        <v>0</v>
      </c>
      <c r="AV172" s="1409">
        <f ca="1">IF(B172&gt;=$J$5,0,(CONTADORES!AV174-CONTADORES!AV173))</f>
        <v>0</v>
      </c>
      <c r="AW172" s="1409">
        <f ca="1">IF(B172&gt;=$J$5,0,(CONTADORES!N174-CONTADORES!N173)+(CONTADORES!AN174-CONTADORES!AN173))</f>
        <v>0</v>
      </c>
      <c r="AX172" s="1409">
        <f ca="1">IF(B172&gt;=$J$5,0,(CONTADORES!P174-CONTADORES!P173)+(CONTADORES!AL174-CONTADORES!AL173))</f>
        <v>0</v>
      </c>
      <c r="AY172" s="1409">
        <f ca="1">IF(B172&gt;=$J$5,0,(CONTADORES!AJ174-CONTADORES!AJ173))</f>
        <v>0</v>
      </c>
      <c r="AZ172" s="1409">
        <f ca="1">IF(B172&gt;=$J$5,0,(CONTADORES!R174-CONTADORES!R173))</f>
        <v>0</v>
      </c>
      <c r="BA172" s="1398">
        <f t="shared" ca="1" si="79"/>
        <v>0</v>
      </c>
      <c r="BB172" s="1409">
        <f ca="1">IF(B172&gt;=$J$5,0,(((CONTADORES!G174-CONTADORES!G173)+(CONTADORES!AR174-CONTADORES!AR173)+AR172)-(AV172+BC172)))</f>
        <v>0</v>
      </c>
      <c r="BC172" s="1397">
        <f ca="1">IF(B172&gt;=$J$5,0,(CONTADORES!AY174-CONTADORES!AY173)+(CONTADORES!BA174-CONTADORES!BA173)+(CONTADORES!BF174-CONTADORES!BF173))</f>
        <v>0</v>
      </c>
      <c r="BD172" s="1397">
        <f t="shared" ca="1" si="80"/>
        <v>0</v>
      </c>
      <c r="BE172" s="1398">
        <f ca="1">IF($B172&gt;=$J$5,0,CONTADORES!$BG174)</f>
        <v>0</v>
      </c>
      <c r="BF172" s="1397">
        <f ca="1">IF($B172&gt;=$J$5,0,CONTADORES!$BH174)</f>
        <v>0</v>
      </c>
      <c r="BG172" s="1397">
        <f ca="1">IF($B172&gt;=$J$5,0,CONTADORES!$BJ174)</f>
        <v>0</v>
      </c>
      <c r="BH172" s="1397">
        <f ca="1">IF(B172&gt;=$J$5,0,((CONTADORES!BK174-CONTADORES!BK173)/1000))</f>
        <v>0</v>
      </c>
      <c r="BI172" s="1397">
        <f ca="1">IF(C172&gt;=$J$5,0,((CONTADORES!BL174-CONTADORES!BL173)/1000))</f>
        <v>0</v>
      </c>
      <c r="BJ172" s="1397">
        <f ca="1">IF(C172&gt;=$J$5,0,((CONTADORES!BM174-CONTADORES!BM173)/1000))</f>
        <v>0</v>
      </c>
      <c r="BK172" s="1397">
        <f ca="1">IF(B172&gt;=$J$5,0,((CONTADORES!BN174-CONTADORES!BN173)/1000))</f>
        <v>0</v>
      </c>
      <c r="BL172" s="1399">
        <f t="shared" ca="1" si="81"/>
        <v>0</v>
      </c>
      <c r="BM172" s="1399">
        <f t="shared" ca="1" si="82"/>
        <v>0</v>
      </c>
      <c r="BN172" s="1398">
        <f ca="1">IF(W172&gt;=$J$5,0,CONTADORES!$BO174)</f>
        <v>0</v>
      </c>
      <c r="BO172" s="1397">
        <f ca="1">IF(W172&gt;=$J$5,0,CONTADORES!$BP174)</f>
        <v>0</v>
      </c>
      <c r="BP172" s="1397">
        <f ca="1">IF(W172&gt;=$J$5,0,CONTADORES!$BQ174)</f>
        <v>0</v>
      </c>
      <c r="BQ172" s="1397">
        <f ca="1">IF(B172&gt;=$J$5,0,(CONTADORES!AS174-CONTADORES!AS173))</f>
        <v>0</v>
      </c>
      <c r="BR172" s="1397">
        <f ca="1">IF(C172&gt;=$J$5,0,(CONTADORES!AT174-CONTADORES!AT173))</f>
        <v>0</v>
      </c>
      <c r="BS172" s="1398">
        <f ca="1">IF(B172&gt;=$J$5,0,CONTADORES!BR174-CONTADORES!BR173)/1000</f>
        <v>0</v>
      </c>
      <c r="BT172" s="1398">
        <f ca="1">IF(B172&gt;=$J$5,0,CONTADORES!BS174-CONTADORES!BS173)</f>
        <v>0</v>
      </c>
      <c r="BU172" s="1398">
        <f ca="1">IF(B172&gt;=$J$5,0,CONTADORES!BT174-CONTADORES!BT173)</f>
        <v>0</v>
      </c>
      <c r="BV172" s="1398">
        <f ca="1">IF(B172&gt;=$J$5,0,CONTADORES!BU174-CONTADORES!BU173)/1000</f>
        <v>0</v>
      </c>
      <c r="BW172" s="1398">
        <f ca="1">IF(B172&gt;=$J$5,0,CONTADORES!BV174-CONTADORES!BV173)/1000</f>
        <v>0</v>
      </c>
      <c r="BX172" s="1398">
        <f ca="1">IF(B172&gt;=$J$5,0,CONTADORES!BW174-CONTADORES!BW173)</f>
        <v>0</v>
      </c>
      <c r="BY172" s="1398">
        <f ca="1">IF(B172&gt;=$J$5,0,CONTADORES!BX174-CONTADORES!BX173)/1000</f>
        <v>0</v>
      </c>
      <c r="BZ172" s="1398">
        <f ca="1">IF(B172&gt;=$J$5,0,CONTADORES!BY174-CONTADORES!BY173)/1000</f>
        <v>0</v>
      </c>
      <c r="CA172" s="1398">
        <f ca="1">IF(B172&gt;=$J$5,0,CONTADORES!BZ174-CONTADORES!BZ173)</f>
        <v>0</v>
      </c>
      <c r="CB172" s="1398">
        <f ca="1">IF(B172&gt;=$J$5,0,(CONTADORES!CC174-CONTADORES!CC173)+(CONTADORES!CE174-CONTADORES!CE173))/1000</f>
        <v>0</v>
      </c>
      <c r="CC172" s="1398">
        <f ca="1">IF(B172&gt;=$J$5,0,(CONTADORES!CD174-CONTADORES!CD173)+(CONTADORES!CF174-CONTADORES!CF173))/1000</f>
        <v>0</v>
      </c>
      <c r="CD172" s="1398">
        <f ca="1">IF(B172&gt;=$J$5,0,CONTADORES!CA174-CONTADORES!CA173)</f>
        <v>0</v>
      </c>
      <c r="CE172" s="1398">
        <f ca="1">IF(B172&gt;=$J$5,0,CONTADORES!CB174-CONTADORES!CB173)</f>
        <v>0</v>
      </c>
      <c r="CF172" s="1398">
        <f t="shared" ca="1" si="83"/>
        <v>0</v>
      </c>
      <c r="CG172" s="1398">
        <f t="shared" ca="1" si="84"/>
        <v>0</v>
      </c>
      <c r="CH172" s="1398">
        <f t="shared" ca="1" si="85"/>
        <v>0</v>
      </c>
      <c r="CI172" s="1398">
        <f t="shared" ca="1" si="86"/>
        <v>0</v>
      </c>
      <c r="CJ172" s="1398">
        <f t="shared" ca="1" si="87"/>
        <v>0</v>
      </c>
      <c r="CK172" s="1398">
        <f t="shared" ca="1" si="88"/>
        <v>0</v>
      </c>
      <c r="CL172" s="1398">
        <f t="shared" ca="1" si="89"/>
        <v>0</v>
      </c>
      <c r="CM172" s="1398">
        <f t="shared" ca="1" si="90"/>
        <v>0</v>
      </c>
      <c r="CN172" s="1398">
        <f ca="1">IF(B172&gt;=$J$5,0,CONTADORES!CB174-CONTADORES!CB173)</f>
        <v>0</v>
      </c>
      <c r="CO172" s="1398">
        <f t="shared" ca="1" si="91"/>
        <v>0</v>
      </c>
      <c r="CP172" s="1398">
        <f t="shared" ca="1" si="92"/>
        <v>0</v>
      </c>
      <c r="CQ172" s="1398">
        <f t="shared" ca="1" si="93"/>
        <v>0</v>
      </c>
      <c r="CR172" s="1398">
        <f t="shared" ca="1" si="94"/>
        <v>0</v>
      </c>
      <c r="CS172" s="1448">
        <f ca="1">IF($B172&gt;=$J$5,0,CONTADORES!$BI174)</f>
        <v>0</v>
      </c>
      <c r="CT172" s="1369">
        <f>CONTADORES!E174</f>
        <v>0</v>
      </c>
      <c r="CU172" s="1369">
        <f>CONTADORES!CG174</f>
        <v>0</v>
      </c>
    </row>
    <row r="173" spans="2:99">
      <c r="B173" s="390">
        <v>45089</v>
      </c>
      <c r="C173" s="198">
        <f t="shared" ca="1" si="68"/>
        <v>0</v>
      </c>
      <c r="D173" s="196">
        <f ca="1">'CALCULO DE GAS'!D185</f>
        <v>0</v>
      </c>
      <c r="E173" s="196">
        <f ca="1">IF(B173&gt;=$J$5,0,(CONTADORES!$AD175-CONTADORES!$AD174)-$H173)</f>
        <v>0</v>
      </c>
      <c r="F173" s="198">
        <f t="shared" ca="1" si="96"/>
        <v>0</v>
      </c>
      <c r="G173" s="196">
        <f ca="1">IF(B173&gt;=$J$5,0,CONTADORES!$AF175-CONTADORES!$AF174)</f>
        <v>0</v>
      </c>
      <c r="H173" s="196">
        <f ca="1">IF(G173&gt;0,CONTADORES!$AE175-CONTADORES!$AE174,0)</f>
        <v>0</v>
      </c>
      <c r="I173" s="199">
        <f ca="1">IF(B173&gt;=$J$5,0,CONTADORES!$AB175-CONTADORES!$AB174)</f>
        <v>0</v>
      </c>
      <c r="J173" s="198">
        <f t="shared" ca="1" si="69"/>
        <v>0</v>
      </c>
      <c r="K173" s="196">
        <f ca="1">'CALCULO DE GAS'!E185</f>
        <v>0</v>
      </c>
      <c r="L173" s="1396">
        <f ca="1">IF(B173&gt;=$J$5,0,(CONTADORES!$Y175-CONTADORES!$Y174)-$O173)</f>
        <v>0</v>
      </c>
      <c r="M173" s="1396">
        <f t="shared" ref="M173:M204" ca="1" si="98">IF(O173=0,0,"ERROR")</f>
        <v>0</v>
      </c>
      <c r="N173" s="1396">
        <f ca="1">IF(B173&gt;=$J$5,0,CONTADORES!$AA175-CONTADORES!$AA174)</f>
        <v>0</v>
      </c>
      <c r="O173" s="1396">
        <f ca="1">IF(N173&gt;0,CONTADORES!$Z175-CONTADORES!$Z174,0)</f>
        <v>0</v>
      </c>
      <c r="P173" s="202">
        <f ca="1">IF(B173&gt;=$J$5,0,CONTADORES!$W175-CONTADORES!$W174)</f>
        <v>0</v>
      </c>
      <c r="Q173" s="202">
        <f ca="1">IF(B173&gt;=$J$5,0,CONTADORES!$B175-CONTADORES!$B174)</f>
        <v>0</v>
      </c>
      <c r="R173" s="196">
        <f t="shared" ca="1" si="70"/>
        <v>0</v>
      </c>
      <c r="S173" s="11">
        <f ca="1">IF(B173&gt;=$J$5,0,CONTADORES!$D175-CONTADORES!$D174)</f>
        <v>0</v>
      </c>
      <c r="T173" s="198">
        <f ca="1">IF(B173&gt;=$J$5,0,CONTADORES!$BB175-CONTADORES!$BB174)</f>
        <v>0</v>
      </c>
      <c r="U173" s="196">
        <f t="shared" ca="1" si="97"/>
        <v>0</v>
      </c>
      <c r="V173" s="199">
        <f ca="1">IF(B173&gt;=$J$5,0,CONTADORES!$BD175-CONTADORES!$BD174)</f>
        <v>0</v>
      </c>
      <c r="W173" s="1397">
        <f t="shared" ca="1" si="71"/>
        <v>0</v>
      </c>
      <c r="X173" s="1397">
        <f t="shared" ca="1" si="72"/>
        <v>0</v>
      </c>
      <c r="Y173" s="1398">
        <f t="shared" ca="1" si="73"/>
        <v>0</v>
      </c>
      <c r="Z173" s="1398">
        <f t="shared" ca="1" si="74"/>
        <v>0</v>
      </c>
      <c r="AA173" s="1398">
        <f t="shared" ca="1" si="75"/>
        <v>0</v>
      </c>
      <c r="AB173" s="1398">
        <f t="shared" ca="1" si="76"/>
        <v>0</v>
      </c>
      <c r="AC173" s="1397">
        <f t="shared" ca="1" si="77"/>
        <v>0</v>
      </c>
      <c r="AD173" s="1397">
        <f ca="1">IF(B173&gt;=$J$5,0,CONTADORES!H175-CONTADORES!H174)</f>
        <v>0</v>
      </c>
      <c r="AE173" s="1397">
        <f ca="1">IF(B173&gt;=$J$5,0,CONTADORES!J175-CONTADORES!J174)</f>
        <v>0</v>
      </c>
      <c r="AF173" s="1397">
        <f ca="1">IF(B173&gt;=$J$5,0,CONTADORES!AU175-CONTADORES!AU174)</f>
        <v>0</v>
      </c>
      <c r="AG173" s="1397">
        <f ca="1">IF(B173&gt;=$J$5,0,CONTADORES!AW175-CONTADORES!AW174)</f>
        <v>0</v>
      </c>
      <c r="AH173" s="1398">
        <f ca="1">IF(B173&gt;=$J$5,0,(CONTADORES!AM175-CONTADORES!AM174)+(CONTADORES!M175-CONTADORES!M174))</f>
        <v>0</v>
      </c>
      <c r="AI173" s="1397">
        <f ca="1">IF(B173&gt;=$J$5,0,(CONTADORES!AK175-CONTADORES!AK174)+(CONTADORES!O175-CONTADORES!O174))</f>
        <v>0</v>
      </c>
      <c r="AJ173" s="1397">
        <f ca="1">IF(B173&gt;=$J$5,0,(CONTADORES!AI175-CONTADORES!AI174))</f>
        <v>0</v>
      </c>
      <c r="AK173" s="1397">
        <f ca="1">IF(B173&gt;=$J$5,0,(CONTADORES!Q175-CONTADORES!Q174))</f>
        <v>0</v>
      </c>
      <c r="AL173" s="1450">
        <f t="shared" ca="1" si="78"/>
        <v>0</v>
      </c>
      <c r="AM173" s="1397">
        <f ca="1">IF(B173&gt;=$J$5,0,(((CONTADORES!F175-CONTADORES!F174)+(CONTADORES!AQ175-CONTADORES!AQ174))))-BS173-AF173-AN173-BV173-BY173-CD173-CB173</f>
        <v>0</v>
      </c>
      <c r="AN173" s="1397">
        <f ca="1">IF(B173&gt;=$J$5,0,(CONTADORES!AX175-CONTADORES!AX174)+(CONTADORES!AZ175-CONTADORES!AZ174)+(CONTADORES!BE175-CONTADORES!BE174))-CB173</f>
        <v>0</v>
      </c>
      <c r="AO173" s="1399">
        <f ca="1">IF(B172&gt;=$J$5,0,(CONTADORES!AC175-CONTADORES!AC174))</f>
        <v>0</v>
      </c>
      <c r="AP173" s="1409">
        <f ca="1">IF(B173&gt;=$J$5,0,(CONTADORES!X175-CONTADORES!X174))</f>
        <v>0</v>
      </c>
      <c r="AQ173" s="1409">
        <f ca="1">IF(B173&gt;=$J$5,0,(CONTADORES!C175-CONTADORES!C174))</f>
        <v>0</v>
      </c>
      <c r="AR173" s="1409">
        <f ca="1">IF(B173&gt;=$J$5,0,(CONTADORES!BC175-CONTADORES!BC174))</f>
        <v>0</v>
      </c>
      <c r="AS173" s="1409">
        <f ca="1">IF(B173&gt;=$J$5,0,CONTADORES!S175-CONTADORES!S174)</f>
        <v>0</v>
      </c>
      <c r="AT173" s="1409">
        <f ca="1">IF(B173&gt;=$J$5,0,(CONTADORES!U175-CONTADORES!U174)+(CONTADORES!AG175-CONTADORES!AG174))</f>
        <v>0</v>
      </c>
      <c r="AU173" s="1409">
        <f ca="1">IF(B173&gt;=$J$5,0,(CONTADORES!I175-CONTADORES!I174))</f>
        <v>0</v>
      </c>
      <c r="AV173" s="1409">
        <f ca="1">IF(B173&gt;=$J$5,0,(CONTADORES!AV175-CONTADORES!AV174))</f>
        <v>0</v>
      </c>
      <c r="AW173" s="1409">
        <f ca="1">IF(B173&gt;=$J$5,0,(CONTADORES!N175-CONTADORES!N174)+(CONTADORES!AN175-CONTADORES!AN174))</f>
        <v>0</v>
      </c>
      <c r="AX173" s="1409">
        <f ca="1">IF(B173&gt;=$J$5,0,(CONTADORES!P175-CONTADORES!P174)+(CONTADORES!AL175-CONTADORES!AL174))</f>
        <v>0</v>
      </c>
      <c r="AY173" s="1409">
        <f ca="1">IF(B173&gt;=$J$5,0,(CONTADORES!AJ175-CONTADORES!AJ174))</f>
        <v>0</v>
      </c>
      <c r="AZ173" s="1409">
        <f ca="1">IF(B173&gt;=$J$5,0,(CONTADORES!R175-CONTADORES!R174))</f>
        <v>0</v>
      </c>
      <c r="BA173" s="1398">
        <f t="shared" ca="1" si="79"/>
        <v>0</v>
      </c>
      <c r="BB173" s="1409">
        <f ca="1">IF(B173&gt;=$J$5,0,(((CONTADORES!G175-CONTADORES!G174)+(CONTADORES!AR175-CONTADORES!AR174)+AR173)-(AV173+BC173)))</f>
        <v>0</v>
      </c>
      <c r="BC173" s="1397">
        <f ca="1">IF(B173&gt;=$J$5,0,(CONTADORES!AY175-CONTADORES!AY174)+(CONTADORES!BA175-CONTADORES!BA174)+(CONTADORES!BF175-CONTADORES!BF174))</f>
        <v>0</v>
      </c>
      <c r="BD173" s="1397">
        <f t="shared" ca="1" si="80"/>
        <v>0</v>
      </c>
      <c r="BE173" s="1398">
        <f ca="1">IF($B173&gt;=$J$5,0,CONTADORES!$BG175)</f>
        <v>0</v>
      </c>
      <c r="BF173" s="1397">
        <f ca="1">IF($B173&gt;=$J$5,0,CONTADORES!$BH175)</f>
        <v>0</v>
      </c>
      <c r="BG173" s="1397">
        <f ca="1">IF($B173&gt;=$J$5,0,CONTADORES!$BJ175)</f>
        <v>0</v>
      </c>
      <c r="BH173" s="1397">
        <f ca="1">IF(B173&gt;=$J$5,0,((CONTADORES!BK175-CONTADORES!BK174)/1000))</f>
        <v>0</v>
      </c>
      <c r="BI173" s="1397">
        <f ca="1">IF(C173&gt;=$J$5,0,((CONTADORES!BL175-CONTADORES!BL174)/1000))</f>
        <v>0</v>
      </c>
      <c r="BJ173" s="1397">
        <f ca="1">IF(C173&gt;=$J$5,0,((CONTADORES!BM175-CONTADORES!BM174)/1000))</f>
        <v>0</v>
      </c>
      <c r="BK173" s="1397">
        <f ca="1">IF(B173&gt;=$J$5,0,((CONTADORES!BN175-CONTADORES!BN174)/1000))</f>
        <v>0</v>
      </c>
      <c r="BL173" s="1399">
        <f t="shared" ca="1" si="81"/>
        <v>0</v>
      </c>
      <c r="BM173" s="1399">
        <f t="shared" ca="1" si="82"/>
        <v>0</v>
      </c>
      <c r="BN173" s="1398">
        <f ca="1">IF(W173&gt;=$J$5,0,CONTADORES!$BO175)</f>
        <v>0</v>
      </c>
      <c r="BO173" s="1397">
        <f ca="1">IF(W173&gt;=$J$5,0,CONTADORES!$BP175)</f>
        <v>0</v>
      </c>
      <c r="BP173" s="1397">
        <f ca="1">IF(W173&gt;=$J$5,0,CONTADORES!$BQ175)</f>
        <v>0</v>
      </c>
      <c r="BQ173" s="1397">
        <f ca="1">IF(B173&gt;=$J$5,0,(CONTADORES!AS175-CONTADORES!AS174))</f>
        <v>0</v>
      </c>
      <c r="BR173" s="1397">
        <f ca="1">IF(C173&gt;=$J$5,0,(CONTADORES!AT175-CONTADORES!AT174))</f>
        <v>0</v>
      </c>
      <c r="BS173" s="1398">
        <f ca="1">IF(B173&gt;=$J$5,0,CONTADORES!BR175-CONTADORES!BR174)/1000</f>
        <v>0</v>
      </c>
      <c r="BT173" s="1398">
        <f ca="1">IF(B173&gt;=$J$5,0,CONTADORES!BS175-CONTADORES!BS174)</f>
        <v>0</v>
      </c>
      <c r="BU173" s="1398">
        <f ca="1">IF(B173&gt;=$J$5,0,CONTADORES!BT175-CONTADORES!BT174)</f>
        <v>0</v>
      </c>
      <c r="BV173" s="1398">
        <f ca="1">IF(B173&gt;=$J$5,0,CONTADORES!BU175-CONTADORES!BU174)/1000</f>
        <v>0</v>
      </c>
      <c r="BW173" s="1398">
        <f ca="1">IF(B173&gt;=$J$5,0,CONTADORES!BV175-CONTADORES!BV174)/1000</f>
        <v>0</v>
      </c>
      <c r="BX173" s="1398">
        <f ca="1">IF(B173&gt;=$J$5,0,CONTADORES!BW175-CONTADORES!BW174)</f>
        <v>0</v>
      </c>
      <c r="BY173" s="1398">
        <f ca="1">IF(B173&gt;=$J$5,0,CONTADORES!BX175-CONTADORES!BX174)/1000</f>
        <v>0</v>
      </c>
      <c r="BZ173" s="1398">
        <f ca="1">IF(B173&gt;=$J$5,0,CONTADORES!BY175-CONTADORES!BY174)/1000</f>
        <v>0</v>
      </c>
      <c r="CA173" s="1398">
        <f ca="1">IF(B173&gt;=$J$5,0,CONTADORES!BZ175-CONTADORES!BZ174)</f>
        <v>0</v>
      </c>
      <c r="CB173" s="1398">
        <f ca="1">IF(B173&gt;=$J$5,0,(CONTADORES!CC175-CONTADORES!CC174)+(CONTADORES!CE175-CONTADORES!CE174))/1000</f>
        <v>0</v>
      </c>
      <c r="CC173" s="1398">
        <f ca="1">IF(B173&gt;=$J$5,0,(CONTADORES!CD175-CONTADORES!CD174)+(CONTADORES!CF175-CONTADORES!CF174))/1000</f>
        <v>0</v>
      </c>
      <c r="CD173" s="1398">
        <f ca="1">IF(B173&gt;=$J$5,0,CONTADORES!CA175-CONTADORES!CA174)</f>
        <v>0</v>
      </c>
      <c r="CE173" s="1398">
        <f ca="1">IF(B173&gt;=$J$5,0,CONTADORES!CB175-CONTADORES!CB174)</f>
        <v>0</v>
      </c>
      <c r="CF173" s="1398">
        <f t="shared" ca="1" si="83"/>
        <v>0</v>
      </c>
      <c r="CG173" s="1398">
        <f t="shared" ca="1" si="84"/>
        <v>0</v>
      </c>
      <c r="CH173" s="1398">
        <f t="shared" ca="1" si="85"/>
        <v>0</v>
      </c>
      <c r="CI173" s="1398">
        <f t="shared" ca="1" si="86"/>
        <v>0</v>
      </c>
      <c r="CJ173" s="1398">
        <f t="shared" ca="1" si="87"/>
        <v>0</v>
      </c>
      <c r="CK173" s="1398">
        <f t="shared" ca="1" si="88"/>
        <v>0</v>
      </c>
      <c r="CL173" s="1398">
        <f t="shared" ca="1" si="89"/>
        <v>0</v>
      </c>
      <c r="CM173" s="1398">
        <f t="shared" ca="1" si="90"/>
        <v>0</v>
      </c>
      <c r="CN173" s="1398">
        <f ca="1">IF(B173&gt;=$J$5,0,CONTADORES!CB175-CONTADORES!CB174)</f>
        <v>0</v>
      </c>
      <c r="CO173" s="1398">
        <f t="shared" ca="1" si="91"/>
        <v>0</v>
      </c>
      <c r="CP173" s="1398">
        <f t="shared" ca="1" si="92"/>
        <v>0</v>
      </c>
      <c r="CQ173" s="1398">
        <f t="shared" ca="1" si="93"/>
        <v>0</v>
      </c>
      <c r="CR173" s="1398">
        <f t="shared" ca="1" si="94"/>
        <v>0</v>
      </c>
      <c r="CS173" s="1448">
        <f ca="1">IF($B173&gt;=$J$5,0,CONTADORES!$BI175)</f>
        <v>0</v>
      </c>
      <c r="CT173" s="1369">
        <f>CONTADORES!E175</f>
        <v>0</v>
      </c>
      <c r="CU173" s="1369">
        <f>CONTADORES!CG175</f>
        <v>0</v>
      </c>
    </row>
    <row r="174" spans="2:99">
      <c r="B174" s="390">
        <v>45090</v>
      </c>
      <c r="C174" s="198">
        <f t="shared" ca="1" si="68"/>
        <v>0</v>
      </c>
      <c r="D174" s="196">
        <f ca="1">'CALCULO DE GAS'!D186</f>
        <v>0</v>
      </c>
      <c r="E174" s="196">
        <f ca="1">IF(B174&gt;=$J$5,0,(CONTADORES!$AD176-CONTADORES!$AD175)-$H174)</f>
        <v>0</v>
      </c>
      <c r="F174" s="198">
        <f t="shared" ca="1" si="96"/>
        <v>0</v>
      </c>
      <c r="G174" s="196">
        <f ca="1">IF(B174&gt;=$J$5,0,CONTADORES!$AF176-CONTADORES!$AF175)</f>
        <v>0</v>
      </c>
      <c r="H174" s="196">
        <f ca="1">IF(G174&gt;0,CONTADORES!$AE176-CONTADORES!$AE175,0)</f>
        <v>0</v>
      </c>
      <c r="I174" s="199">
        <f ca="1">IF(B174&gt;=$J$5,0,CONTADORES!$AB176-CONTADORES!$AB175)</f>
        <v>0</v>
      </c>
      <c r="J174" s="198">
        <f t="shared" ca="1" si="69"/>
        <v>0</v>
      </c>
      <c r="K174" s="196">
        <f ca="1">'CALCULO DE GAS'!E186</f>
        <v>0</v>
      </c>
      <c r="L174" s="1396">
        <f ca="1">IF(B174&gt;=$J$5,0,(CONTADORES!$Y176-CONTADORES!$Y175)-$O174)</f>
        <v>0</v>
      </c>
      <c r="M174" s="1396">
        <f t="shared" ca="1" si="98"/>
        <v>0</v>
      </c>
      <c r="N174" s="1396">
        <f ca="1">IF(B174&gt;=$J$5,0,CONTADORES!$AA176-CONTADORES!$AA175)</f>
        <v>0</v>
      </c>
      <c r="O174" s="1396">
        <f ca="1">IF(N174&gt;0,CONTADORES!$Z176-CONTADORES!$Z175,0)</f>
        <v>0</v>
      </c>
      <c r="P174" s="202">
        <f ca="1">IF(B174&gt;=$J$5,0,CONTADORES!$W176-CONTADORES!$W175)</f>
        <v>0</v>
      </c>
      <c r="Q174" s="202">
        <f ca="1">IF(B174&gt;=$J$5,0,CONTADORES!$B176-CONTADORES!$B175)</f>
        <v>0</v>
      </c>
      <c r="R174" s="196">
        <f t="shared" ca="1" si="70"/>
        <v>0</v>
      </c>
      <c r="S174" s="11">
        <f ca="1">IF(B174&gt;=$J$5,0,CONTADORES!$D176-CONTADORES!$D175)</f>
        <v>0</v>
      </c>
      <c r="T174" s="198">
        <f ca="1">IF(B174&gt;=$J$5,0,CONTADORES!$BB176-CONTADORES!$BB175)</f>
        <v>0</v>
      </c>
      <c r="U174" s="196">
        <f t="shared" ca="1" si="97"/>
        <v>0</v>
      </c>
      <c r="V174" s="199">
        <f ca="1">IF(B174&gt;=$J$5,0,CONTADORES!$BD176-CONTADORES!$BD175)</f>
        <v>0</v>
      </c>
      <c r="W174" s="1397">
        <f t="shared" ca="1" si="71"/>
        <v>0</v>
      </c>
      <c r="X174" s="1397">
        <f t="shared" ca="1" si="72"/>
        <v>0</v>
      </c>
      <c r="Y174" s="1398">
        <f t="shared" ca="1" si="73"/>
        <v>0</v>
      </c>
      <c r="Z174" s="1398">
        <f t="shared" ca="1" si="74"/>
        <v>0</v>
      </c>
      <c r="AA174" s="1398">
        <f t="shared" ca="1" si="75"/>
        <v>0</v>
      </c>
      <c r="AB174" s="1398">
        <f t="shared" ca="1" si="76"/>
        <v>0</v>
      </c>
      <c r="AC174" s="1397">
        <f t="shared" ca="1" si="77"/>
        <v>0</v>
      </c>
      <c r="AD174" s="1397">
        <f ca="1">IF(B174&gt;=$J$5,0,CONTADORES!H176-CONTADORES!H175)</f>
        <v>0</v>
      </c>
      <c r="AE174" s="1397">
        <f ca="1">IF(B174&gt;=$J$5,0,CONTADORES!J176-CONTADORES!J175)</f>
        <v>0</v>
      </c>
      <c r="AF174" s="1397">
        <f ca="1">IF(B174&gt;=$J$5,0,CONTADORES!AU176-CONTADORES!AU175)</f>
        <v>0</v>
      </c>
      <c r="AG174" s="1397">
        <f ca="1">IF(B174&gt;=$J$5,0,CONTADORES!AW176-CONTADORES!AW175)</f>
        <v>0</v>
      </c>
      <c r="AH174" s="1398">
        <f ca="1">IF(B174&gt;=$J$5,0,(CONTADORES!AM176-CONTADORES!AM175)+(CONTADORES!M176-CONTADORES!M175))</f>
        <v>0</v>
      </c>
      <c r="AI174" s="1397">
        <f ca="1">IF(B174&gt;=$J$5,0,(CONTADORES!AK176-CONTADORES!AK175)+(CONTADORES!O176-CONTADORES!O175))</f>
        <v>0</v>
      </c>
      <c r="AJ174" s="1397">
        <f ca="1">IF(B174&gt;=$J$5,0,(CONTADORES!AI176-CONTADORES!AI175))</f>
        <v>0</v>
      </c>
      <c r="AK174" s="1397">
        <f ca="1">IF(B174&gt;=$J$5,0,(CONTADORES!Q176-CONTADORES!Q175))</f>
        <v>0</v>
      </c>
      <c r="AL174" s="1450">
        <f t="shared" ca="1" si="78"/>
        <v>0</v>
      </c>
      <c r="AM174" s="1397">
        <f ca="1">IF(B174&gt;=$J$5,0,(((CONTADORES!F176-CONTADORES!F175)+(CONTADORES!AQ176-CONTADORES!AQ175))))-BS174-AF174-AN174-BV174-BY174-CD174-CB174</f>
        <v>0</v>
      </c>
      <c r="AN174" s="1397">
        <f ca="1">IF(B174&gt;=$J$5,0,(CONTADORES!AX176-CONTADORES!AX175)+(CONTADORES!AZ176-CONTADORES!AZ175)+(CONTADORES!BE176-CONTADORES!BE175))-CB174</f>
        <v>0</v>
      </c>
      <c r="AO174" s="1399">
        <f ca="1">IF(B173&gt;=$J$5,0,(CONTADORES!AC176-CONTADORES!AC175))</f>
        <v>0</v>
      </c>
      <c r="AP174" s="1409">
        <f ca="1">IF(B174&gt;=$J$5,0,(CONTADORES!X176-CONTADORES!X175))</f>
        <v>0</v>
      </c>
      <c r="AQ174" s="1409">
        <f ca="1">IF(B174&gt;=$J$5,0,(CONTADORES!C176-CONTADORES!C175))</f>
        <v>0</v>
      </c>
      <c r="AR174" s="1409">
        <f ca="1">IF(B174&gt;=$J$5,0,(CONTADORES!BC176-CONTADORES!BC175))</f>
        <v>0</v>
      </c>
      <c r="AS174" s="1409">
        <f ca="1">IF(B174&gt;=$J$5,0,CONTADORES!S176-CONTADORES!S175)</f>
        <v>0</v>
      </c>
      <c r="AT174" s="1409">
        <f ca="1">IF(B174&gt;=$J$5,0,(CONTADORES!U176-CONTADORES!U175)+(CONTADORES!AG176-CONTADORES!AG175))</f>
        <v>0</v>
      </c>
      <c r="AU174" s="1409">
        <f ca="1">IF(B174&gt;=$J$5,0,(CONTADORES!I176-CONTADORES!I175))</f>
        <v>0</v>
      </c>
      <c r="AV174" s="1409">
        <f ca="1">IF(B174&gt;=$J$5,0,(CONTADORES!AV176-CONTADORES!AV175))</f>
        <v>0</v>
      </c>
      <c r="AW174" s="1409">
        <f ca="1">IF(B174&gt;=$J$5,0,(CONTADORES!N176-CONTADORES!N175)+(CONTADORES!AN176-CONTADORES!AN175))</f>
        <v>0</v>
      </c>
      <c r="AX174" s="1409">
        <f ca="1">IF(B174&gt;=$J$5,0,(CONTADORES!P176-CONTADORES!P175)+(CONTADORES!AL176-CONTADORES!AL175))</f>
        <v>0</v>
      </c>
      <c r="AY174" s="1409">
        <f ca="1">IF(B174&gt;=$J$5,0,(CONTADORES!AJ176-CONTADORES!AJ175))</f>
        <v>0</v>
      </c>
      <c r="AZ174" s="1409">
        <f ca="1">IF(B174&gt;=$J$5,0,(CONTADORES!R176-CONTADORES!R175))</f>
        <v>0</v>
      </c>
      <c r="BA174" s="1398">
        <f t="shared" ca="1" si="79"/>
        <v>0</v>
      </c>
      <c r="BB174" s="1409">
        <f ca="1">IF(B174&gt;=$J$5,0,(((CONTADORES!G176-CONTADORES!G175)+(CONTADORES!AR176-CONTADORES!AR175)+AR174)-(AV174+BC174)))</f>
        <v>0</v>
      </c>
      <c r="BC174" s="1397">
        <f ca="1">IF(B174&gt;=$J$5,0,(CONTADORES!AY176-CONTADORES!AY175)+(CONTADORES!BA176-CONTADORES!BA175)+(CONTADORES!BF176-CONTADORES!BF175))</f>
        <v>0</v>
      </c>
      <c r="BD174" s="1397">
        <f t="shared" ca="1" si="80"/>
        <v>0</v>
      </c>
      <c r="BE174" s="1398">
        <f ca="1">IF($B174&gt;=$J$5,0,CONTADORES!$BG176)</f>
        <v>0</v>
      </c>
      <c r="BF174" s="1397">
        <f ca="1">IF($B174&gt;=$J$5,0,CONTADORES!$BH176)</f>
        <v>0</v>
      </c>
      <c r="BG174" s="1397">
        <f ca="1">IF($B174&gt;=$J$5,0,CONTADORES!$BJ176)</f>
        <v>0</v>
      </c>
      <c r="BH174" s="1397">
        <f ca="1">IF(B174&gt;=$J$5,0,((CONTADORES!BK176-CONTADORES!BK175)/1000))</f>
        <v>0</v>
      </c>
      <c r="BI174" s="1397">
        <f ca="1">IF(C174&gt;=$J$5,0,((CONTADORES!BL176-CONTADORES!BL175)/1000))</f>
        <v>0</v>
      </c>
      <c r="BJ174" s="1397">
        <f ca="1">IF(C174&gt;=$J$5,0,((CONTADORES!BM176-CONTADORES!BM175)/1000))</f>
        <v>0</v>
      </c>
      <c r="BK174" s="1397">
        <f ca="1">IF(B174&gt;=$J$5,0,((CONTADORES!BN176-CONTADORES!BN175)/1000))</f>
        <v>0</v>
      </c>
      <c r="BL174" s="1399">
        <f t="shared" ca="1" si="81"/>
        <v>0</v>
      </c>
      <c r="BM174" s="1399">
        <f t="shared" ca="1" si="82"/>
        <v>0</v>
      </c>
      <c r="BN174" s="1398">
        <f ca="1">IF(W174&gt;=$J$5,0,CONTADORES!$BO176)</f>
        <v>0</v>
      </c>
      <c r="BO174" s="1397">
        <f ca="1">IF(W174&gt;=$J$5,0,CONTADORES!$BP176)</f>
        <v>0</v>
      </c>
      <c r="BP174" s="1397">
        <f ca="1">IF(W174&gt;=$J$5,0,CONTADORES!$BQ176)</f>
        <v>0</v>
      </c>
      <c r="BQ174" s="1397">
        <f ca="1">IF(B174&gt;=$J$5,0,(CONTADORES!AS176-CONTADORES!AS175))</f>
        <v>0</v>
      </c>
      <c r="BR174" s="1397">
        <f ca="1">IF(C174&gt;=$J$5,0,(CONTADORES!AT176-CONTADORES!AT175))</f>
        <v>0</v>
      </c>
      <c r="BS174" s="1398">
        <f ca="1">IF(B174&gt;=$J$5,0,CONTADORES!BR176-CONTADORES!BR175)/1000</f>
        <v>0</v>
      </c>
      <c r="BT174" s="1398">
        <f ca="1">IF(B174&gt;=$J$5,0,CONTADORES!BS176-CONTADORES!BS175)</f>
        <v>0</v>
      </c>
      <c r="BU174" s="1398">
        <f ca="1">IF(B174&gt;=$J$5,0,CONTADORES!BT176-CONTADORES!BT175)</f>
        <v>0</v>
      </c>
      <c r="BV174" s="1398">
        <f ca="1">IF(B174&gt;=$J$5,0,CONTADORES!BU176-CONTADORES!BU175)/1000</f>
        <v>0</v>
      </c>
      <c r="BW174" s="1398">
        <f ca="1">IF(B174&gt;=$J$5,0,CONTADORES!BV176-CONTADORES!BV175)/1000</f>
        <v>0</v>
      </c>
      <c r="BX174" s="1398">
        <f ca="1">IF(B174&gt;=$J$5,0,CONTADORES!BW176-CONTADORES!BW175)</f>
        <v>0</v>
      </c>
      <c r="BY174" s="1398">
        <f ca="1">IF(B174&gt;=$J$5,0,CONTADORES!BX176-CONTADORES!BX175)/1000</f>
        <v>0</v>
      </c>
      <c r="BZ174" s="1398">
        <f ca="1">IF(B174&gt;=$J$5,0,CONTADORES!BY176-CONTADORES!BY175)/1000</f>
        <v>0</v>
      </c>
      <c r="CA174" s="1398">
        <f ca="1">IF(B174&gt;=$J$5,0,CONTADORES!BZ176-CONTADORES!BZ175)</f>
        <v>0</v>
      </c>
      <c r="CB174" s="1398">
        <f ca="1">IF(B174&gt;=$J$5,0,(CONTADORES!CC176-CONTADORES!CC175)+(CONTADORES!CE176-CONTADORES!CE175))/1000</f>
        <v>0</v>
      </c>
      <c r="CC174" s="1398">
        <f ca="1">IF(B174&gt;=$J$5,0,(CONTADORES!CD176-CONTADORES!CD175)+(CONTADORES!CF176-CONTADORES!CF175))/1000</f>
        <v>0</v>
      </c>
      <c r="CD174" s="1398">
        <f ca="1">IF(B174&gt;=$J$5,0,CONTADORES!CA176-CONTADORES!CA175)</f>
        <v>0</v>
      </c>
      <c r="CE174" s="1398">
        <f ca="1">IF(B174&gt;=$J$5,0,CONTADORES!CB176-CONTADORES!CB175)</f>
        <v>0</v>
      </c>
      <c r="CF174" s="1398">
        <f t="shared" ca="1" si="83"/>
        <v>0</v>
      </c>
      <c r="CG174" s="1398">
        <f t="shared" ca="1" si="84"/>
        <v>0</v>
      </c>
      <c r="CH174" s="1398">
        <f t="shared" ca="1" si="85"/>
        <v>0</v>
      </c>
      <c r="CI174" s="1398">
        <f t="shared" ca="1" si="86"/>
        <v>0</v>
      </c>
      <c r="CJ174" s="1398">
        <f t="shared" ca="1" si="87"/>
        <v>0</v>
      </c>
      <c r="CK174" s="1398">
        <f t="shared" ca="1" si="88"/>
        <v>0</v>
      </c>
      <c r="CL174" s="1398">
        <f t="shared" ca="1" si="89"/>
        <v>0</v>
      </c>
      <c r="CM174" s="1398">
        <f t="shared" ca="1" si="90"/>
        <v>0</v>
      </c>
      <c r="CN174" s="1398">
        <f ca="1">IF(B174&gt;=$J$5,0,CONTADORES!CB176-CONTADORES!CB175)</f>
        <v>0</v>
      </c>
      <c r="CO174" s="1398">
        <f t="shared" ca="1" si="91"/>
        <v>0</v>
      </c>
      <c r="CP174" s="1398">
        <f t="shared" ca="1" si="92"/>
        <v>0</v>
      </c>
      <c r="CQ174" s="1398">
        <f t="shared" ca="1" si="93"/>
        <v>0</v>
      </c>
      <c r="CR174" s="1398">
        <f t="shared" ca="1" si="94"/>
        <v>0</v>
      </c>
      <c r="CS174" s="1448">
        <f ca="1">IF($B174&gt;=$J$5,0,CONTADORES!$BI176)</f>
        <v>0</v>
      </c>
      <c r="CT174" s="1369">
        <f>CONTADORES!E176</f>
        <v>0</v>
      </c>
      <c r="CU174" s="1369">
        <f>CONTADORES!CG176</f>
        <v>0</v>
      </c>
    </row>
    <row r="175" spans="2:99">
      <c r="B175" s="390">
        <v>45091</v>
      </c>
      <c r="C175" s="198">
        <f t="shared" ca="1" si="68"/>
        <v>0</v>
      </c>
      <c r="D175" s="196">
        <f ca="1">'CALCULO DE GAS'!D187</f>
        <v>0</v>
      </c>
      <c r="E175" s="196">
        <f ca="1">IF(B175&gt;=$J$5,0,(CONTADORES!$AD177-CONTADORES!$AD176)-$H175)</f>
        <v>0</v>
      </c>
      <c r="F175" s="198">
        <f t="shared" ca="1" si="96"/>
        <v>0</v>
      </c>
      <c r="G175" s="196">
        <f ca="1">IF(B175&gt;=$J$5,0,CONTADORES!$AF177-CONTADORES!$AF176)</f>
        <v>0</v>
      </c>
      <c r="H175" s="196">
        <f ca="1">IF(G175&gt;0,CONTADORES!$AE177-CONTADORES!$AE176,0)</f>
        <v>0</v>
      </c>
      <c r="I175" s="199">
        <f ca="1">IF(B175&gt;=$J$5,0,CONTADORES!$AB177-CONTADORES!$AB176)</f>
        <v>0</v>
      </c>
      <c r="J175" s="198">
        <f t="shared" ca="1" si="69"/>
        <v>0</v>
      </c>
      <c r="K175" s="196">
        <f ca="1">'CALCULO DE GAS'!E187</f>
        <v>0</v>
      </c>
      <c r="L175" s="1396">
        <f ca="1">IF(B175&gt;=$J$5,0,(CONTADORES!$Y177-CONTADORES!$Y176)-$O175)</f>
        <v>0</v>
      </c>
      <c r="M175" s="1396">
        <f t="shared" ca="1" si="98"/>
        <v>0</v>
      </c>
      <c r="N175" s="1396">
        <f ca="1">IF(B175&gt;=$J$5,0,CONTADORES!$AA177-CONTADORES!$AA176)</f>
        <v>0</v>
      </c>
      <c r="O175" s="1396">
        <f ca="1">IF(N175&gt;0,CONTADORES!$Z177-CONTADORES!$Z176,0)</f>
        <v>0</v>
      </c>
      <c r="P175" s="202">
        <f ca="1">IF(B175&gt;=$J$5,0,CONTADORES!$W177-CONTADORES!$W176)</f>
        <v>0</v>
      </c>
      <c r="Q175" s="202">
        <f ca="1">IF(B175&gt;=$J$5,0,CONTADORES!$B177-CONTADORES!$B176)</f>
        <v>0</v>
      </c>
      <c r="R175" s="196">
        <f t="shared" ca="1" si="70"/>
        <v>0</v>
      </c>
      <c r="S175" s="11">
        <f ca="1">IF(B175&gt;=$J$5,0,CONTADORES!$D177-CONTADORES!$D176)</f>
        <v>0</v>
      </c>
      <c r="T175" s="198">
        <f ca="1">IF(B175&gt;=$J$5,0,CONTADORES!$BB177-CONTADORES!$BB176)</f>
        <v>0</v>
      </c>
      <c r="U175" s="196">
        <f t="shared" ca="1" si="97"/>
        <v>0</v>
      </c>
      <c r="V175" s="199">
        <f ca="1">IF(B175&gt;=$J$5,0,CONTADORES!$BD177-CONTADORES!$BD176)</f>
        <v>0</v>
      </c>
      <c r="W175" s="1397">
        <f t="shared" ca="1" si="71"/>
        <v>0</v>
      </c>
      <c r="X175" s="1397">
        <f t="shared" ca="1" si="72"/>
        <v>0</v>
      </c>
      <c r="Y175" s="1398">
        <f t="shared" ca="1" si="73"/>
        <v>0</v>
      </c>
      <c r="Z175" s="1398">
        <f t="shared" ca="1" si="74"/>
        <v>0</v>
      </c>
      <c r="AA175" s="1398">
        <f t="shared" ca="1" si="75"/>
        <v>0</v>
      </c>
      <c r="AB175" s="1398">
        <f t="shared" ca="1" si="76"/>
        <v>0</v>
      </c>
      <c r="AC175" s="1397">
        <f t="shared" ca="1" si="77"/>
        <v>0</v>
      </c>
      <c r="AD175" s="1397">
        <f ca="1">IF(B175&gt;=$J$5,0,CONTADORES!H177-CONTADORES!H176)</f>
        <v>0</v>
      </c>
      <c r="AE175" s="1397">
        <f ca="1">IF(B175&gt;=$J$5,0,CONTADORES!J177-CONTADORES!J176)</f>
        <v>0</v>
      </c>
      <c r="AF175" s="1397">
        <f ca="1">IF(B175&gt;=$J$5,0,CONTADORES!AU177-CONTADORES!AU176)</f>
        <v>0</v>
      </c>
      <c r="AG175" s="1397">
        <f ca="1">IF(B175&gt;=$J$5,0,CONTADORES!AW177-CONTADORES!AW176)</f>
        <v>0</v>
      </c>
      <c r="AH175" s="1398">
        <f ca="1">IF(B175&gt;=$J$5,0,(CONTADORES!AM177-CONTADORES!AM176)+(CONTADORES!M177-CONTADORES!M176))</f>
        <v>0</v>
      </c>
      <c r="AI175" s="1397">
        <f ca="1">IF(B175&gt;=$J$5,0,(CONTADORES!AK177-CONTADORES!AK176)+(CONTADORES!O177-CONTADORES!O176))</f>
        <v>0</v>
      </c>
      <c r="AJ175" s="1397">
        <f ca="1">IF(B175&gt;=$J$5,0,(CONTADORES!AI177-CONTADORES!AI176))</f>
        <v>0</v>
      </c>
      <c r="AK175" s="1397">
        <f ca="1">IF(B175&gt;=$J$5,0,(CONTADORES!Q177-CONTADORES!Q176))</f>
        <v>0</v>
      </c>
      <c r="AL175" s="1450">
        <f t="shared" ca="1" si="78"/>
        <v>0</v>
      </c>
      <c r="AM175" s="1397">
        <f ca="1">IF(B175&gt;=$J$5,0,(((CONTADORES!F177-CONTADORES!F176)+(CONTADORES!AQ177-CONTADORES!AQ176))))-BS175-AF175-AN175-BV175-BY175-CD175-CB175</f>
        <v>0</v>
      </c>
      <c r="AN175" s="1397">
        <f ca="1">IF(B175&gt;=$J$5,0,(CONTADORES!AX177-CONTADORES!AX176)+(CONTADORES!AZ177-CONTADORES!AZ176)+(CONTADORES!BE177-CONTADORES!BE176))-CB175</f>
        <v>0</v>
      </c>
      <c r="AO175" s="1399">
        <f ca="1">IF(B174&gt;=$J$5,0,(CONTADORES!AC177-CONTADORES!AC176))</f>
        <v>0</v>
      </c>
      <c r="AP175" s="1409">
        <f ca="1">IF(B175&gt;=$J$5,0,(CONTADORES!X177-CONTADORES!X176))</f>
        <v>0</v>
      </c>
      <c r="AQ175" s="1409">
        <f ca="1">IF(B175&gt;=$J$5,0,(CONTADORES!C177-CONTADORES!C176))</f>
        <v>0</v>
      </c>
      <c r="AR175" s="1409">
        <f ca="1">IF(B175&gt;=$J$5,0,(CONTADORES!BC177-CONTADORES!BC176))</f>
        <v>0</v>
      </c>
      <c r="AS175" s="1409">
        <f ca="1">IF(B175&gt;=$J$5,0,CONTADORES!S177-CONTADORES!S176)</f>
        <v>0</v>
      </c>
      <c r="AT175" s="1409">
        <f ca="1">IF(B175&gt;=$J$5,0,(CONTADORES!U177-CONTADORES!U176)+(CONTADORES!AG177-CONTADORES!AG176))</f>
        <v>0</v>
      </c>
      <c r="AU175" s="1409">
        <f ca="1">IF(B175&gt;=$J$5,0,(CONTADORES!I177-CONTADORES!I176))</f>
        <v>0</v>
      </c>
      <c r="AV175" s="1409">
        <f ca="1">IF(B175&gt;=$J$5,0,(CONTADORES!AV177-CONTADORES!AV176))</f>
        <v>0</v>
      </c>
      <c r="AW175" s="1409">
        <f ca="1">IF(B175&gt;=$J$5,0,(CONTADORES!N177-CONTADORES!N176)+(CONTADORES!AN177-CONTADORES!AN176))</f>
        <v>0</v>
      </c>
      <c r="AX175" s="1409">
        <f ca="1">IF(B175&gt;=$J$5,0,(CONTADORES!P177-CONTADORES!P176)+(CONTADORES!AL177-CONTADORES!AL176))</f>
        <v>0</v>
      </c>
      <c r="AY175" s="1409">
        <f ca="1">IF(B175&gt;=$J$5,0,(CONTADORES!AJ177-CONTADORES!AJ176))</f>
        <v>0</v>
      </c>
      <c r="AZ175" s="1409">
        <f ca="1">IF(B175&gt;=$J$5,0,(CONTADORES!R177-CONTADORES!R176))</f>
        <v>0</v>
      </c>
      <c r="BA175" s="1398">
        <f t="shared" ca="1" si="79"/>
        <v>0</v>
      </c>
      <c r="BB175" s="1409">
        <f ca="1">IF(B175&gt;=$J$5,0,(((CONTADORES!G177-CONTADORES!G176)+(CONTADORES!AR177-CONTADORES!AR176)+AR175)-(AV175+BC175)))</f>
        <v>0</v>
      </c>
      <c r="BC175" s="1397">
        <f ca="1">IF(B175&gt;=$J$5,0,(CONTADORES!AY177-CONTADORES!AY176)+(CONTADORES!BA177-CONTADORES!BA176)+(CONTADORES!BF177-CONTADORES!BF176))</f>
        <v>0</v>
      </c>
      <c r="BD175" s="1397">
        <f t="shared" ca="1" si="80"/>
        <v>0</v>
      </c>
      <c r="BE175" s="1398">
        <f ca="1">IF($B175&gt;=$J$5,0,CONTADORES!$BG177)</f>
        <v>0</v>
      </c>
      <c r="BF175" s="1397">
        <f ca="1">IF($B175&gt;=$J$5,0,CONTADORES!$BH177)</f>
        <v>0</v>
      </c>
      <c r="BG175" s="1397">
        <f ca="1">IF($B175&gt;=$J$5,0,CONTADORES!$BJ177)</f>
        <v>0</v>
      </c>
      <c r="BH175" s="1397">
        <f ca="1">IF(B175&gt;=$J$5,0,((CONTADORES!BK177-CONTADORES!BK176)/1000))</f>
        <v>0</v>
      </c>
      <c r="BI175" s="1397">
        <f ca="1">IF(C175&gt;=$J$5,0,((CONTADORES!BL177-CONTADORES!BL176)/1000))</f>
        <v>0</v>
      </c>
      <c r="BJ175" s="1397">
        <f ca="1">IF(C175&gt;=$J$5,0,((CONTADORES!BM177-CONTADORES!BM176)/1000))</f>
        <v>0</v>
      </c>
      <c r="BK175" s="1397">
        <f ca="1">IF(B175&gt;=$J$5,0,((CONTADORES!BN177-CONTADORES!BN176)/1000))</f>
        <v>0</v>
      </c>
      <c r="BL175" s="1399">
        <f t="shared" ca="1" si="81"/>
        <v>0</v>
      </c>
      <c r="BM175" s="1399">
        <f t="shared" ca="1" si="82"/>
        <v>0</v>
      </c>
      <c r="BN175" s="1398">
        <f ca="1">IF(W175&gt;=$J$5,0,CONTADORES!$BO177)</f>
        <v>0</v>
      </c>
      <c r="BO175" s="1397">
        <f ca="1">IF(W175&gt;=$J$5,0,CONTADORES!$BP177)</f>
        <v>0</v>
      </c>
      <c r="BP175" s="1397">
        <f ca="1">IF(W175&gt;=$J$5,0,CONTADORES!$BQ177)</f>
        <v>0</v>
      </c>
      <c r="BQ175" s="1397">
        <f ca="1">IF(B175&gt;=$J$5,0,(CONTADORES!AS177-CONTADORES!AS176))</f>
        <v>0</v>
      </c>
      <c r="BR175" s="1397">
        <f ca="1">IF(C175&gt;=$J$5,0,(CONTADORES!AT177-CONTADORES!AT176))</f>
        <v>0</v>
      </c>
      <c r="BS175" s="1398">
        <f ca="1">IF(B175&gt;=$J$5,0,CONTADORES!BR177-CONTADORES!BR176)/1000</f>
        <v>0</v>
      </c>
      <c r="BT175" s="1398">
        <f ca="1">IF(B175&gt;=$J$5,0,CONTADORES!BS177-CONTADORES!BS176)</f>
        <v>0</v>
      </c>
      <c r="BU175" s="1398">
        <f ca="1">IF(B175&gt;=$J$5,0,CONTADORES!BT177-CONTADORES!BT176)</f>
        <v>0</v>
      </c>
      <c r="BV175" s="1398">
        <f ca="1">IF(B175&gt;=$J$5,0,CONTADORES!BU177-CONTADORES!BU176)/1000</f>
        <v>0</v>
      </c>
      <c r="BW175" s="1398">
        <f ca="1">IF(B175&gt;=$J$5,0,CONTADORES!BV177-CONTADORES!BV176)/1000</f>
        <v>0</v>
      </c>
      <c r="BX175" s="1398">
        <f ca="1">IF(B175&gt;=$J$5,0,CONTADORES!BW177-CONTADORES!BW176)</f>
        <v>0</v>
      </c>
      <c r="BY175" s="1398">
        <f ca="1">IF(B175&gt;=$J$5,0,CONTADORES!BX177-CONTADORES!BX176)/1000</f>
        <v>0</v>
      </c>
      <c r="BZ175" s="1398">
        <f ca="1">IF(B175&gt;=$J$5,0,CONTADORES!BY177-CONTADORES!BY176)/1000</f>
        <v>0</v>
      </c>
      <c r="CA175" s="1398">
        <f ca="1">IF(B175&gt;=$J$5,0,CONTADORES!BZ177-CONTADORES!BZ176)</f>
        <v>0</v>
      </c>
      <c r="CB175" s="1398">
        <f ca="1">IF(B175&gt;=$J$5,0,(CONTADORES!CC177-CONTADORES!CC176)+(CONTADORES!CE177-CONTADORES!CE176))/1000</f>
        <v>0</v>
      </c>
      <c r="CC175" s="1398">
        <f ca="1">IF(B175&gt;=$J$5,0,(CONTADORES!CD177-CONTADORES!CD176)+(CONTADORES!CF177-CONTADORES!CF176))/1000</f>
        <v>0</v>
      </c>
      <c r="CD175" s="1398">
        <f ca="1">IF(B175&gt;=$J$5,0,CONTADORES!CA177-CONTADORES!CA176)</f>
        <v>0</v>
      </c>
      <c r="CE175" s="1398">
        <f ca="1">IF(B175&gt;=$J$5,0,CONTADORES!CB177-CONTADORES!CB176)</f>
        <v>0</v>
      </c>
      <c r="CF175" s="1398">
        <f t="shared" ca="1" si="83"/>
        <v>0</v>
      </c>
      <c r="CG175" s="1398">
        <f t="shared" ca="1" si="84"/>
        <v>0</v>
      </c>
      <c r="CH175" s="1398">
        <f t="shared" ca="1" si="85"/>
        <v>0</v>
      </c>
      <c r="CI175" s="1398">
        <f t="shared" ca="1" si="86"/>
        <v>0</v>
      </c>
      <c r="CJ175" s="1398">
        <f t="shared" ca="1" si="87"/>
        <v>0</v>
      </c>
      <c r="CK175" s="1398">
        <f t="shared" ca="1" si="88"/>
        <v>0</v>
      </c>
      <c r="CL175" s="1398">
        <f t="shared" ca="1" si="89"/>
        <v>0</v>
      </c>
      <c r="CM175" s="1398">
        <f t="shared" ca="1" si="90"/>
        <v>0</v>
      </c>
      <c r="CN175" s="1398">
        <f ca="1">IF(B175&gt;=$J$5,0,CONTADORES!CB177-CONTADORES!CB176)</f>
        <v>0</v>
      </c>
      <c r="CO175" s="1398">
        <f t="shared" ca="1" si="91"/>
        <v>0</v>
      </c>
      <c r="CP175" s="1398">
        <f t="shared" ca="1" si="92"/>
        <v>0</v>
      </c>
      <c r="CQ175" s="1398">
        <f t="shared" ca="1" si="93"/>
        <v>0</v>
      </c>
      <c r="CR175" s="1398">
        <f t="shared" ca="1" si="94"/>
        <v>0</v>
      </c>
      <c r="CS175" s="1448">
        <f ca="1">IF($B175&gt;=$J$5,0,CONTADORES!$BI177)</f>
        <v>0</v>
      </c>
      <c r="CT175" s="1369">
        <f>CONTADORES!E177</f>
        <v>0</v>
      </c>
      <c r="CU175" s="1369">
        <f>CONTADORES!CG177</f>
        <v>0</v>
      </c>
    </row>
    <row r="176" spans="2:99">
      <c r="B176" s="390">
        <v>45092</v>
      </c>
      <c r="C176" s="198">
        <f t="shared" ca="1" si="68"/>
        <v>0</v>
      </c>
      <c r="D176" s="196">
        <f ca="1">'CALCULO DE GAS'!D188</f>
        <v>0</v>
      </c>
      <c r="E176" s="196">
        <f ca="1">IF(B176&gt;=$J$5,0,(CONTADORES!$AD178-CONTADORES!$AD177)-$H176)</f>
        <v>0</v>
      </c>
      <c r="F176" s="198">
        <f t="shared" ca="1" si="96"/>
        <v>0</v>
      </c>
      <c r="G176" s="196">
        <f ca="1">IF(B176&gt;=$J$5,0,CONTADORES!$AF178-CONTADORES!$AF177)</f>
        <v>0</v>
      </c>
      <c r="H176" s="196">
        <f ca="1">IF(G176&gt;0,CONTADORES!$AE178-CONTADORES!$AE177,0)</f>
        <v>0</v>
      </c>
      <c r="I176" s="199">
        <f ca="1">IF(B176&gt;=$J$5,0,CONTADORES!$AB178-CONTADORES!$AB177)</f>
        <v>0</v>
      </c>
      <c r="J176" s="198">
        <f t="shared" ca="1" si="69"/>
        <v>0</v>
      </c>
      <c r="K176" s="196">
        <f ca="1">'CALCULO DE GAS'!E188</f>
        <v>0</v>
      </c>
      <c r="L176" s="1396">
        <f ca="1">IF(B176&gt;=$J$5,0,(CONTADORES!$Y178-CONTADORES!$Y177)-$O176)</f>
        <v>0</v>
      </c>
      <c r="M176" s="1396">
        <f t="shared" ca="1" si="98"/>
        <v>0</v>
      </c>
      <c r="N176" s="1396">
        <f ca="1">IF(B176&gt;=$J$5,0,CONTADORES!$AA178-CONTADORES!$AA177)</f>
        <v>0</v>
      </c>
      <c r="O176" s="1396">
        <f ca="1">IF(N176&gt;0,CONTADORES!$Z178-CONTADORES!$Z177,0)</f>
        <v>0</v>
      </c>
      <c r="P176" s="202">
        <f ca="1">IF(B176&gt;=$J$5,0,CONTADORES!$W178-CONTADORES!$W177)</f>
        <v>0</v>
      </c>
      <c r="Q176" s="202">
        <f ca="1">IF(B176&gt;=$J$5,0,CONTADORES!$B178-CONTADORES!$B177)</f>
        <v>0</v>
      </c>
      <c r="R176" s="196">
        <f t="shared" ca="1" si="70"/>
        <v>0</v>
      </c>
      <c r="S176" s="11">
        <f ca="1">IF(B176&gt;=$J$5,0,CONTADORES!$D178-CONTADORES!$D177)</f>
        <v>0</v>
      </c>
      <c r="T176" s="198">
        <f ca="1">IF(B176&gt;=$J$5,0,CONTADORES!$BB178-CONTADORES!$BB177)</f>
        <v>0</v>
      </c>
      <c r="U176" s="196">
        <f t="shared" ca="1" si="97"/>
        <v>0</v>
      </c>
      <c r="V176" s="199">
        <f ca="1">IF(B176&gt;=$J$5,0,CONTADORES!$BD178-CONTADORES!$BD177)</f>
        <v>0</v>
      </c>
      <c r="W176" s="1397">
        <f t="shared" ca="1" si="71"/>
        <v>0</v>
      </c>
      <c r="X176" s="1397">
        <f t="shared" ca="1" si="72"/>
        <v>0</v>
      </c>
      <c r="Y176" s="1398">
        <f t="shared" ca="1" si="73"/>
        <v>0</v>
      </c>
      <c r="Z176" s="1398">
        <f t="shared" ca="1" si="74"/>
        <v>0</v>
      </c>
      <c r="AA176" s="1398">
        <f t="shared" ca="1" si="75"/>
        <v>0</v>
      </c>
      <c r="AB176" s="1398">
        <f t="shared" ca="1" si="76"/>
        <v>0</v>
      </c>
      <c r="AC176" s="1397">
        <f t="shared" ca="1" si="77"/>
        <v>0</v>
      </c>
      <c r="AD176" s="1397">
        <f ca="1">IF(B176&gt;=$J$5,0,CONTADORES!H178-CONTADORES!H177)</f>
        <v>0</v>
      </c>
      <c r="AE176" s="1397">
        <f ca="1">IF(B176&gt;=$J$5,0,CONTADORES!J178-CONTADORES!J177)</f>
        <v>0</v>
      </c>
      <c r="AF176" s="1397">
        <f ca="1">IF(B176&gt;=$J$5,0,CONTADORES!AU178-CONTADORES!AU177)</f>
        <v>0</v>
      </c>
      <c r="AG176" s="1397">
        <f ca="1">IF(B176&gt;=$J$5,0,CONTADORES!AW178-CONTADORES!AW177)</f>
        <v>0</v>
      </c>
      <c r="AH176" s="1398">
        <f ca="1">IF(B176&gt;=$J$5,0,(CONTADORES!AM178-CONTADORES!AM177)+(CONTADORES!M178-CONTADORES!M177))</f>
        <v>0</v>
      </c>
      <c r="AI176" s="1397">
        <f ca="1">IF(B176&gt;=$J$5,0,(CONTADORES!AK178-CONTADORES!AK177)+(CONTADORES!O178-CONTADORES!O177))</f>
        <v>0</v>
      </c>
      <c r="AJ176" s="1397">
        <f ca="1">IF(B176&gt;=$J$5,0,(CONTADORES!AI178-CONTADORES!AI177))</f>
        <v>0</v>
      </c>
      <c r="AK176" s="1397">
        <f ca="1">IF(B176&gt;=$J$5,0,(CONTADORES!Q178-CONTADORES!Q177))</f>
        <v>0</v>
      </c>
      <c r="AL176" s="1450">
        <f t="shared" ca="1" si="78"/>
        <v>0</v>
      </c>
      <c r="AM176" s="1397">
        <f ca="1">IF(B176&gt;=$J$5,0,(((CONTADORES!F178-CONTADORES!F177)+(CONTADORES!AQ178-CONTADORES!AQ177))))-BS176-AF176-AN176-BV176-BY176-CD176-CB176</f>
        <v>0</v>
      </c>
      <c r="AN176" s="1397">
        <f ca="1">IF(B176&gt;=$J$5,0,(CONTADORES!AX178-CONTADORES!AX177)+(CONTADORES!AZ178-CONTADORES!AZ177)+(CONTADORES!BE178-CONTADORES!BE177))-CB176</f>
        <v>0</v>
      </c>
      <c r="AO176" s="1399">
        <f ca="1">IF(B175&gt;=$J$5,0,(CONTADORES!AC178-CONTADORES!AC177))</f>
        <v>0</v>
      </c>
      <c r="AP176" s="1409">
        <f ca="1">IF(B176&gt;=$J$5,0,(CONTADORES!X178-CONTADORES!X177))</f>
        <v>0</v>
      </c>
      <c r="AQ176" s="1409">
        <f ca="1">IF(B176&gt;=$J$5,0,(CONTADORES!C178-CONTADORES!C177))</f>
        <v>0</v>
      </c>
      <c r="AR176" s="1409">
        <f ca="1">IF(B176&gt;=$J$5,0,(CONTADORES!BC178-CONTADORES!BC177))</f>
        <v>0</v>
      </c>
      <c r="AS176" s="1409">
        <f ca="1">IF(B176&gt;=$J$5,0,CONTADORES!S178-CONTADORES!S177)</f>
        <v>0</v>
      </c>
      <c r="AT176" s="1409">
        <f ca="1">IF(B176&gt;=$J$5,0,(CONTADORES!U178-CONTADORES!U177)+(CONTADORES!AG178-CONTADORES!AG177))</f>
        <v>0</v>
      </c>
      <c r="AU176" s="1409">
        <f ca="1">IF(B176&gt;=$J$5,0,(CONTADORES!I178-CONTADORES!I177))</f>
        <v>0</v>
      </c>
      <c r="AV176" s="1409">
        <f ca="1">IF(B176&gt;=$J$5,0,(CONTADORES!AV178-CONTADORES!AV177))</f>
        <v>0</v>
      </c>
      <c r="AW176" s="1409">
        <f ca="1">IF(B176&gt;=$J$5,0,(CONTADORES!N178-CONTADORES!N177)+(CONTADORES!AN178-CONTADORES!AN177))</f>
        <v>0</v>
      </c>
      <c r="AX176" s="1409">
        <f ca="1">IF(B176&gt;=$J$5,0,(CONTADORES!P178-CONTADORES!P177)+(CONTADORES!AL178-CONTADORES!AL177))</f>
        <v>0</v>
      </c>
      <c r="AY176" s="1409">
        <f ca="1">IF(B176&gt;=$J$5,0,(CONTADORES!AJ178-CONTADORES!AJ177))</f>
        <v>0</v>
      </c>
      <c r="AZ176" s="1409">
        <f ca="1">IF(B176&gt;=$J$5,0,(CONTADORES!R178-CONTADORES!R177))</f>
        <v>0</v>
      </c>
      <c r="BA176" s="1398">
        <f t="shared" ca="1" si="79"/>
        <v>0</v>
      </c>
      <c r="BB176" s="1409">
        <f ca="1">IF(B176&gt;=$J$5,0,(((CONTADORES!G178-CONTADORES!G177)+(CONTADORES!AR178-CONTADORES!AR177)+AR176)-(AV176+BC176)))</f>
        <v>0</v>
      </c>
      <c r="BC176" s="1397">
        <f ca="1">IF(B176&gt;=$J$5,0,(CONTADORES!AY178-CONTADORES!AY177)+(CONTADORES!BA178-CONTADORES!BA177)+(CONTADORES!BF178-CONTADORES!BF177))</f>
        <v>0</v>
      </c>
      <c r="BD176" s="1397">
        <f t="shared" ca="1" si="80"/>
        <v>0</v>
      </c>
      <c r="BE176" s="1398">
        <f ca="1">IF($B176&gt;=$J$5,0,CONTADORES!$BG178)</f>
        <v>0</v>
      </c>
      <c r="BF176" s="1397">
        <f ca="1">IF($B176&gt;=$J$5,0,CONTADORES!$BH178)</f>
        <v>0</v>
      </c>
      <c r="BG176" s="1397">
        <f ca="1">IF($B176&gt;=$J$5,0,CONTADORES!$BJ178)</f>
        <v>0</v>
      </c>
      <c r="BH176" s="1397">
        <f ca="1">IF(B176&gt;=$J$5,0,((CONTADORES!BK178-CONTADORES!BK177)/1000))</f>
        <v>0</v>
      </c>
      <c r="BI176" s="1397">
        <f ca="1">IF(C176&gt;=$J$5,0,((CONTADORES!BL178-CONTADORES!BL177)/1000))</f>
        <v>0</v>
      </c>
      <c r="BJ176" s="1397">
        <f ca="1">IF(C176&gt;=$J$5,0,((CONTADORES!BM178-CONTADORES!BM177)/1000))</f>
        <v>0</v>
      </c>
      <c r="BK176" s="1397">
        <f ca="1">IF(B176&gt;=$J$5,0,((CONTADORES!BN178-CONTADORES!BN177)/1000))</f>
        <v>0</v>
      </c>
      <c r="BL176" s="1399">
        <f t="shared" ca="1" si="81"/>
        <v>0</v>
      </c>
      <c r="BM176" s="1399">
        <f t="shared" ca="1" si="82"/>
        <v>0</v>
      </c>
      <c r="BN176" s="1398">
        <f ca="1">IF(W176&gt;=$J$5,0,CONTADORES!$BO178)</f>
        <v>0</v>
      </c>
      <c r="BO176" s="1397">
        <f ca="1">IF(W176&gt;=$J$5,0,CONTADORES!$BP178)</f>
        <v>0</v>
      </c>
      <c r="BP176" s="1397">
        <f ca="1">IF(W176&gt;=$J$5,0,CONTADORES!$BQ178)</f>
        <v>0</v>
      </c>
      <c r="BQ176" s="1397">
        <f ca="1">IF(B176&gt;=$J$5,0,(CONTADORES!AS178-CONTADORES!AS177))</f>
        <v>0</v>
      </c>
      <c r="BR176" s="1397">
        <f ca="1">IF(C176&gt;=$J$5,0,(CONTADORES!AT178-CONTADORES!AT177))</f>
        <v>0</v>
      </c>
      <c r="BS176" s="1398">
        <f ca="1">IF(B176&gt;=$J$5,0,CONTADORES!BR178-CONTADORES!BR177)/1000</f>
        <v>0</v>
      </c>
      <c r="BT176" s="1398">
        <f ca="1">IF(B176&gt;=$J$5,0,CONTADORES!BS178-CONTADORES!BS177)</f>
        <v>0</v>
      </c>
      <c r="BU176" s="1398">
        <f ca="1">IF(B176&gt;=$J$5,0,CONTADORES!BT178-CONTADORES!BT177)</f>
        <v>0</v>
      </c>
      <c r="BV176" s="1398">
        <f ca="1">IF(B176&gt;=$J$5,0,CONTADORES!BU178-CONTADORES!BU177)/1000</f>
        <v>0</v>
      </c>
      <c r="BW176" s="1398">
        <f ca="1">IF(B176&gt;=$J$5,0,CONTADORES!BV178-CONTADORES!BV177)/1000</f>
        <v>0</v>
      </c>
      <c r="BX176" s="1398">
        <f ca="1">IF(B176&gt;=$J$5,0,CONTADORES!BW178-CONTADORES!BW177)</f>
        <v>0</v>
      </c>
      <c r="BY176" s="1398">
        <f ca="1">IF(B176&gt;=$J$5,0,CONTADORES!BX178-CONTADORES!BX177)/1000</f>
        <v>0</v>
      </c>
      <c r="BZ176" s="1398">
        <f ca="1">IF(B176&gt;=$J$5,0,CONTADORES!BY178-CONTADORES!BY177)/1000</f>
        <v>0</v>
      </c>
      <c r="CA176" s="1398">
        <f ca="1">IF(B176&gt;=$J$5,0,CONTADORES!BZ178-CONTADORES!BZ177)</f>
        <v>0</v>
      </c>
      <c r="CB176" s="1398">
        <f ca="1">IF(B176&gt;=$J$5,0,(CONTADORES!CC178-CONTADORES!CC177)+(CONTADORES!CE178-CONTADORES!CE177))/1000</f>
        <v>0</v>
      </c>
      <c r="CC176" s="1398">
        <f ca="1">IF(B176&gt;=$J$5,0,(CONTADORES!CD178-CONTADORES!CD177)+(CONTADORES!CF178-CONTADORES!CF177))/1000</f>
        <v>0</v>
      </c>
      <c r="CD176" s="1398">
        <f ca="1">IF(B176&gt;=$J$5,0,CONTADORES!CA178-CONTADORES!CA177)</f>
        <v>0</v>
      </c>
      <c r="CE176" s="1398">
        <f ca="1">IF(B176&gt;=$J$5,0,CONTADORES!CB178-CONTADORES!CB177)</f>
        <v>0</v>
      </c>
      <c r="CF176" s="1398">
        <f t="shared" ca="1" si="83"/>
        <v>0</v>
      </c>
      <c r="CG176" s="1398">
        <f t="shared" ca="1" si="84"/>
        <v>0</v>
      </c>
      <c r="CH176" s="1398">
        <f t="shared" ca="1" si="85"/>
        <v>0</v>
      </c>
      <c r="CI176" s="1398">
        <f t="shared" ca="1" si="86"/>
        <v>0</v>
      </c>
      <c r="CJ176" s="1398">
        <f t="shared" ca="1" si="87"/>
        <v>0</v>
      </c>
      <c r="CK176" s="1398">
        <f t="shared" ca="1" si="88"/>
        <v>0</v>
      </c>
      <c r="CL176" s="1398">
        <f t="shared" ca="1" si="89"/>
        <v>0</v>
      </c>
      <c r="CM176" s="1398">
        <f t="shared" ca="1" si="90"/>
        <v>0</v>
      </c>
      <c r="CN176" s="1398">
        <f ca="1">IF(B176&gt;=$J$5,0,CONTADORES!CB178-CONTADORES!CB177)</f>
        <v>0</v>
      </c>
      <c r="CO176" s="1398">
        <f t="shared" ca="1" si="91"/>
        <v>0</v>
      </c>
      <c r="CP176" s="1398">
        <f t="shared" ca="1" si="92"/>
        <v>0</v>
      </c>
      <c r="CQ176" s="1398">
        <f t="shared" ca="1" si="93"/>
        <v>0</v>
      </c>
      <c r="CR176" s="1398">
        <f t="shared" ca="1" si="94"/>
        <v>0</v>
      </c>
      <c r="CS176" s="1448">
        <f ca="1">IF($B176&gt;=$J$5,0,CONTADORES!$BI178)</f>
        <v>0</v>
      </c>
      <c r="CT176" s="1369">
        <f>CONTADORES!E178</f>
        <v>0</v>
      </c>
      <c r="CU176" s="1369">
        <f>CONTADORES!CG178</f>
        <v>0</v>
      </c>
    </row>
    <row r="177" spans="2:99">
      <c r="B177" s="390">
        <v>45093</v>
      </c>
      <c r="C177" s="198">
        <f t="shared" ca="1" si="68"/>
        <v>0</v>
      </c>
      <c r="D177" s="196">
        <f ca="1">'CALCULO DE GAS'!D189</f>
        <v>0</v>
      </c>
      <c r="E177" s="196">
        <f ca="1">IF(B177&gt;=$J$5,0,(CONTADORES!$AD179-CONTADORES!$AD178)-$H177)</f>
        <v>0</v>
      </c>
      <c r="F177" s="198">
        <f t="shared" ca="1" si="96"/>
        <v>0</v>
      </c>
      <c r="G177" s="196">
        <f ca="1">IF(B177&gt;=$J$5,0,CONTADORES!$AF179-CONTADORES!$AF178)</f>
        <v>0</v>
      </c>
      <c r="H177" s="196">
        <f ca="1">IF(G177&gt;0,CONTADORES!$AE179-CONTADORES!$AE178,0)</f>
        <v>0</v>
      </c>
      <c r="I177" s="199">
        <f ca="1">IF(B177&gt;=$J$5,0,CONTADORES!$AB179-CONTADORES!$AB178)</f>
        <v>0</v>
      </c>
      <c r="J177" s="198">
        <f t="shared" ca="1" si="69"/>
        <v>0</v>
      </c>
      <c r="K177" s="196">
        <f ca="1">'CALCULO DE GAS'!E189</f>
        <v>0</v>
      </c>
      <c r="L177" s="1396">
        <f ca="1">IF(B177&gt;=$J$5,0,(CONTADORES!$Y179-CONTADORES!$Y178)-$O177)</f>
        <v>0</v>
      </c>
      <c r="M177" s="1396">
        <f t="shared" ca="1" si="98"/>
        <v>0</v>
      </c>
      <c r="N177" s="1396">
        <f ca="1">IF(B177&gt;=$J$5,0,CONTADORES!$AA179-CONTADORES!$AA178)</f>
        <v>0</v>
      </c>
      <c r="O177" s="1396">
        <f ca="1">IF(N177&gt;0,CONTADORES!$Z179-CONTADORES!$Z178,0)</f>
        <v>0</v>
      </c>
      <c r="P177" s="202">
        <f ca="1">IF(B177&gt;=$J$5,0,CONTADORES!$W179-CONTADORES!$W178)</f>
        <v>0</v>
      </c>
      <c r="Q177" s="202">
        <f ca="1">IF(B177&gt;=$J$5,0,CONTADORES!$B179-CONTADORES!$B178)</f>
        <v>0</v>
      </c>
      <c r="R177" s="196">
        <f t="shared" ca="1" si="70"/>
        <v>0</v>
      </c>
      <c r="S177" s="11">
        <f ca="1">IF(B177&gt;=$J$5,0,CONTADORES!$D179-CONTADORES!$D178)</f>
        <v>0</v>
      </c>
      <c r="T177" s="198">
        <f ca="1">IF(B177&gt;=$J$5,0,CONTADORES!$BB179-CONTADORES!$BB178)</f>
        <v>0</v>
      </c>
      <c r="U177" s="196">
        <f t="shared" ca="1" si="97"/>
        <v>0</v>
      </c>
      <c r="V177" s="199">
        <f ca="1">IF(B177&gt;=$J$5,0,CONTADORES!$BD179-CONTADORES!$BD178)</f>
        <v>0</v>
      </c>
      <c r="W177" s="1397">
        <f t="shared" ca="1" si="71"/>
        <v>0</v>
      </c>
      <c r="X177" s="1397">
        <f t="shared" ca="1" si="72"/>
        <v>0</v>
      </c>
      <c r="Y177" s="1398">
        <f t="shared" ca="1" si="73"/>
        <v>0</v>
      </c>
      <c r="Z177" s="1398">
        <f t="shared" ca="1" si="74"/>
        <v>0</v>
      </c>
      <c r="AA177" s="1398">
        <f t="shared" ca="1" si="75"/>
        <v>0</v>
      </c>
      <c r="AB177" s="1398">
        <f t="shared" ca="1" si="76"/>
        <v>0</v>
      </c>
      <c r="AC177" s="1397">
        <f t="shared" ca="1" si="77"/>
        <v>0</v>
      </c>
      <c r="AD177" s="1397">
        <f ca="1">IF(B177&gt;=$J$5,0,CONTADORES!H179-CONTADORES!H178)</f>
        <v>0</v>
      </c>
      <c r="AE177" s="1397">
        <f ca="1">IF(B177&gt;=$J$5,0,CONTADORES!J179-CONTADORES!J178)</f>
        <v>0</v>
      </c>
      <c r="AF177" s="1397">
        <f ca="1">IF(B177&gt;=$J$5,0,CONTADORES!AU179-CONTADORES!AU178)</f>
        <v>0</v>
      </c>
      <c r="AG177" s="1397">
        <f ca="1">IF(B177&gt;=$J$5,0,CONTADORES!AW179-CONTADORES!AW178)</f>
        <v>0</v>
      </c>
      <c r="AH177" s="1398">
        <f ca="1">IF(B177&gt;=$J$5,0,(CONTADORES!AM179-CONTADORES!AM178)+(CONTADORES!M179-CONTADORES!M178))</f>
        <v>0</v>
      </c>
      <c r="AI177" s="1397">
        <f ca="1">IF(B177&gt;=$J$5,0,(CONTADORES!AK179-CONTADORES!AK178)+(CONTADORES!O179-CONTADORES!O178))</f>
        <v>0</v>
      </c>
      <c r="AJ177" s="1397">
        <f ca="1">IF(B177&gt;=$J$5,0,(CONTADORES!AI179-CONTADORES!AI178))</f>
        <v>0</v>
      </c>
      <c r="AK177" s="1397">
        <f ca="1">IF(B177&gt;=$J$5,0,(CONTADORES!Q179-CONTADORES!Q178))</f>
        <v>0</v>
      </c>
      <c r="AL177" s="1450">
        <f t="shared" ca="1" si="78"/>
        <v>0</v>
      </c>
      <c r="AM177" s="1397">
        <f ca="1">IF(B177&gt;=$J$5,0,(((CONTADORES!F179-CONTADORES!F178)+(CONTADORES!AQ179-CONTADORES!AQ178))))-BS177-AF177-AN177-BV177-BY177-CD177-CB177</f>
        <v>0</v>
      </c>
      <c r="AN177" s="1397">
        <f ca="1">IF(B177&gt;=$J$5,0,(CONTADORES!AX179-CONTADORES!AX178)+(CONTADORES!AZ179-CONTADORES!AZ178)+(CONTADORES!BE179-CONTADORES!BE178))-CB177</f>
        <v>0</v>
      </c>
      <c r="AO177" s="1399">
        <f ca="1">IF(B176&gt;=$J$5,0,(CONTADORES!AC179-CONTADORES!AC178))</f>
        <v>0</v>
      </c>
      <c r="AP177" s="1409">
        <f ca="1">IF(B177&gt;=$J$5,0,(CONTADORES!X179-CONTADORES!X178))</f>
        <v>0</v>
      </c>
      <c r="AQ177" s="1409">
        <f ca="1">IF(B177&gt;=$J$5,0,(CONTADORES!C179-CONTADORES!C178))</f>
        <v>0</v>
      </c>
      <c r="AR177" s="1409">
        <f ca="1">IF(B177&gt;=$J$5,0,(CONTADORES!BC179-CONTADORES!BC178))</f>
        <v>0</v>
      </c>
      <c r="AS177" s="1409">
        <f ca="1">IF(B177&gt;=$J$5,0,CONTADORES!S179-CONTADORES!S178)</f>
        <v>0</v>
      </c>
      <c r="AT177" s="1409">
        <f ca="1">IF(B177&gt;=$J$5,0,(CONTADORES!U179-CONTADORES!U178)+(CONTADORES!AG179-CONTADORES!AG178))</f>
        <v>0</v>
      </c>
      <c r="AU177" s="1409">
        <f ca="1">IF(B177&gt;=$J$5,0,(CONTADORES!I179-CONTADORES!I178))</f>
        <v>0</v>
      </c>
      <c r="AV177" s="1409">
        <f ca="1">IF(B177&gt;=$J$5,0,(CONTADORES!AV179-CONTADORES!AV178))</f>
        <v>0</v>
      </c>
      <c r="AW177" s="1409">
        <f ca="1">IF(B177&gt;=$J$5,0,(CONTADORES!N179-CONTADORES!N178)+(CONTADORES!AN179-CONTADORES!AN178))</f>
        <v>0</v>
      </c>
      <c r="AX177" s="1409">
        <f ca="1">IF(B177&gt;=$J$5,0,(CONTADORES!P179-CONTADORES!P178)+(CONTADORES!AL179-CONTADORES!AL178))</f>
        <v>0</v>
      </c>
      <c r="AY177" s="1409">
        <f ca="1">IF(B177&gt;=$J$5,0,(CONTADORES!AJ179-CONTADORES!AJ178))</f>
        <v>0</v>
      </c>
      <c r="AZ177" s="1409">
        <f ca="1">IF(B177&gt;=$J$5,0,(CONTADORES!R179-CONTADORES!R178))</f>
        <v>0</v>
      </c>
      <c r="BA177" s="1398">
        <f t="shared" ca="1" si="79"/>
        <v>0</v>
      </c>
      <c r="BB177" s="1409">
        <f ca="1">IF(B177&gt;=$J$5,0,(((CONTADORES!G179-CONTADORES!G178)+(CONTADORES!AR179-CONTADORES!AR178)+AR177)-(AV177+BC177)))</f>
        <v>0</v>
      </c>
      <c r="BC177" s="1397">
        <f ca="1">IF(B177&gt;=$J$5,0,(CONTADORES!AY179-CONTADORES!AY178)+(CONTADORES!BA179-CONTADORES!BA178)+(CONTADORES!BF179-CONTADORES!BF178))</f>
        <v>0</v>
      </c>
      <c r="BD177" s="1397">
        <f t="shared" ca="1" si="80"/>
        <v>0</v>
      </c>
      <c r="BE177" s="1398">
        <f ca="1">IF($B177&gt;=$J$5,0,CONTADORES!$BG179)</f>
        <v>0</v>
      </c>
      <c r="BF177" s="1397">
        <f ca="1">IF($B177&gt;=$J$5,0,CONTADORES!$BH179)</f>
        <v>0</v>
      </c>
      <c r="BG177" s="1397">
        <f ca="1">IF($B177&gt;=$J$5,0,CONTADORES!$BJ179)</f>
        <v>0</v>
      </c>
      <c r="BH177" s="1397">
        <f ca="1">IF(B177&gt;=$J$5,0,((CONTADORES!BK179-CONTADORES!BK178)/1000))</f>
        <v>0</v>
      </c>
      <c r="BI177" s="1397">
        <f ca="1">IF(C177&gt;=$J$5,0,((CONTADORES!BL179-CONTADORES!BL178)/1000))</f>
        <v>0</v>
      </c>
      <c r="BJ177" s="1397">
        <f ca="1">IF(C177&gt;=$J$5,0,((CONTADORES!BM179-CONTADORES!BM178)/1000))</f>
        <v>0</v>
      </c>
      <c r="BK177" s="1397">
        <f ca="1">IF(B177&gt;=$J$5,0,((CONTADORES!BN179-CONTADORES!BN178)/1000))</f>
        <v>0</v>
      </c>
      <c r="BL177" s="1399">
        <f t="shared" ca="1" si="81"/>
        <v>0</v>
      </c>
      <c r="BM177" s="1399">
        <f t="shared" ca="1" si="82"/>
        <v>0</v>
      </c>
      <c r="BN177" s="1398">
        <f ca="1">IF(W177&gt;=$J$5,0,CONTADORES!$BO179)</f>
        <v>0</v>
      </c>
      <c r="BO177" s="1397">
        <f ca="1">IF(W177&gt;=$J$5,0,CONTADORES!$BP179)</f>
        <v>0</v>
      </c>
      <c r="BP177" s="1397">
        <f ca="1">IF(W177&gt;=$J$5,0,CONTADORES!$BQ179)</f>
        <v>0</v>
      </c>
      <c r="BQ177" s="1397">
        <f ca="1">IF(B177&gt;=$J$5,0,(CONTADORES!AS179-CONTADORES!AS178))</f>
        <v>0</v>
      </c>
      <c r="BR177" s="1397">
        <f ca="1">IF(C177&gt;=$J$5,0,(CONTADORES!AT179-CONTADORES!AT178))</f>
        <v>0</v>
      </c>
      <c r="BS177" s="1398">
        <f ca="1">IF(B177&gt;=$J$5,0,CONTADORES!BR179-CONTADORES!BR178)/1000</f>
        <v>0</v>
      </c>
      <c r="BT177" s="1398">
        <f ca="1">IF(B177&gt;=$J$5,0,CONTADORES!BS179-CONTADORES!BS178)</f>
        <v>0</v>
      </c>
      <c r="BU177" s="1398">
        <f ca="1">IF(B177&gt;=$J$5,0,CONTADORES!BT179-CONTADORES!BT178)</f>
        <v>0</v>
      </c>
      <c r="BV177" s="1398">
        <f ca="1">IF(B177&gt;=$J$5,0,CONTADORES!BU179-CONTADORES!BU178)/1000</f>
        <v>0</v>
      </c>
      <c r="BW177" s="1398">
        <f ca="1">IF(B177&gt;=$J$5,0,CONTADORES!BV179-CONTADORES!BV178)/1000</f>
        <v>0</v>
      </c>
      <c r="BX177" s="1398">
        <f ca="1">IF(B177&gt;=$J$5,0,CONTADORES!BW179-CONTADORES!BW178)</f>
        <v>0</v>
      </c>
      <c r="BY177" s="1398">
        <f ca="1">IF(B177&gt;=$J$5,0,CONTADORES!BX179-CONTADORES!BX178)/1000</f>
        <v>0</v>
      </c>
      <c r="BZ177" s="1398">
        <f ca="1">IF(B177&gt;=$J$5,0,CONTADORES!BY179-CONTADORES!BY178)/1000</f>
        <v>0</v>
      </c>
      <c r="CA177" s="1398">
        <f ca="1">IF(B177&gt;=$J$5,0,CONTADORES!BZ179-CONTADORES!BZ178)</f>
        <v>0</v>
      </c>
      <c r="CB177" s="1398">
        <f ca="1">IF(B177&gt;=$J$5,0,(CONTADORES!CC179-CONTADORES!CC178)+(CONTADORES!CE179-CONTADORES!CE178))/1000</f>
        <v>0</v>
      </c>
      <c r="CC177" s="1398">
        <f ca="1">IF(B177&gt;=$J$5,0,(CONTADORES!CD179-CONTADORES!CD178)+(CONTADORES!CF179-CONTADORES!CF178))/1000</f>
        <v>0</v>
      </c>
      <c r="CD177" s="1398">
        <f ca="1">IF(B177&gt;=$J$5,0,CONTADORES!CA179-CONTADORES!CA178)</f>
        <v>0</v>
      </c>
      <c r="CE177" s="1398">
        <f ca="1">IF(B177&gt;=$J$5,0,CONTADORES!CB179-CONTADORES!CB178)</f>
        <v>0</v>
      </c>
      <c r="CF177" s="1398">
        <f t="shared" ca="1" si="83"/>
        <v>0</v>
      </c>
      <c r="CG177" s="1398">
        <f t="shared" ca="1" si="84"/>
        <v>0</v>
      </c>
      <c r="CH177" s="1398">
        <f t="shared" ca="1" si="85"/>
        <v>0</v>
      </c>
      <c r="CI177" s="1398">
        <f t="shared" ca="1" si="86"/>
        <v>0</v>
      </c>
      <c r="CJ177" s="1398">
        <f t="shared" ca="1" si="87"/>
        <v>0</v>
      </c>
      <c r="CK177" s="1398">
        <f t="shared" ca="1" si="88"/>
        <v>0</v>
      </c>
      <c r="CL177" s="1398">
        <f t="shared" ca="1" si="89"/>
        <v>0</v>
      </c>
      <c r="CM177" s="1398">
        <f t="shared" ca="1" si="90"/>
        <v>0</v>
      </c>
      <c r="CN177" s="1398">
        <f ca="1">IF(B177&gt;=$J$5,0,CONTADORES!CB179-CONTADORES!CB178)</f>
        <v>0</v>
      </c>
      <c r="CO177" s="1398">
        <f t="shared" ca="1" si="91"/>
        <v>0</v>
      </c>
      <c r="CP177" s="1398">
        <f t="shared" ca="1" si="92"/>
        <v>0</v>
      </c>
      <c r="CQ177" s="1398">
        <f t="shared" ca="1" si="93"/>
        <v>0</v>
      </c>
      <c r="CR177" s="1398">
        <f t="shared" ca="1" si="94"/>
        <v>0</v>
      </c>
      <c r="CS177" s="1448">
        <f ca="1">IF($B177&gt;=$J$5,0,CONTADORES!$BI179)</f>
        <v>0</v>
      </c>
      <c r="CT177" s="1369">
        <f>CONTADORES!E179</f>
        <v>0</v>
      </c>
      <c r="CU177" s="1369">
        <f>CONTADORES!CG179</f>
        <v>0</v>
      </c>
    </row>
    <row r="178" spans="2:99">
      <c r="B178" s="390">
        <v>45094</v>
      </c>
      <c r="C178" s="198">
        <f t="shared" ca="1" si="68"/>
        <v>0</v>
      </c>
      <c r="D178" s="196">
        <f ca="1">'CALCULO DE GAS'!D190</f>
        <v>0</v>
      </c>
      <c r="E178" s="196">
        <f ca="1">IF(B178&gt;=$J$5,0,(CONTADORES!$AD180-CONTADORES!$AD179)-$H178)</f>
        <v>0</v>
      </c>
      <c r="F178" s="198">
        <f t="shared" ca="1" si="96"/>
        <v>0</v>
      </c>
      <c r="G178" s="196">
        <f ca="1">IF(B178&gt;=$J$5,0,CONTADORES!$AF180-CONTADORES!$AF179)</f>
        <v>0</v>
      </c>
      <c r="H178" s="196">
        <f ca="1">IF(G178&gt;0,CONTADORES!$AE180-CONTADORES!$AE179,0)</f>
        <v>0</v>
      </c>
      <c r="I178" s="199">
        <f ca="1">IF(B178&gt;=$J$5,0,CONTADORES!$AB180-CONTADORES!$AB179)</f>
        <v>0</v>
      </c>
      <c r="J178" s="198">
        <f t="shared" ca="1" si="69"/>
        <v>0</v>
      </c>
      <c r="K178" s="196">
        <f ca="1">'CALCULO DE GAS'!E190</f>
        <v>0</v>
      </c>
      <c r="L178" s="1396">
        <f ca="1">IF(B178&gt;=$J$5,0,(CONTADORES!$Y180-CONTADORES!$Y179)-$O178)</f>
        <v>0</v>
      </c>
      <c r="M178" s="1396">
        <f t="shared" ca="1" si="98"/>
        <v>0</v>
      </c>
      <c r="N178" s="1396">
        <f ca="1">IF(B178&gt;=$J$5,0,CONTADORES!$AA180-CONTADORES!$AA179)</f>
        <v>0</v>
      </c>
      <c r="O178" s="1396">
        <f ca="1">IF(N178&gt;0,CONTADORES!$Z180-CONTADORES!$Z179,0)</f>
        <v>0</v>
      </c>
      <c r="P178" s="202">
        <f ca="1">IF(B178&gt;=$J$5,0,CONTADORES!$W180-CONTADORES!$W179)</f>
        <v>0</v>
      </c>
      <c r="Q178" s="202">
        <f ca="1">IF(B178&gt;=$J$5,0,CONTADORES!$B180-CONTADORES!$B179)</f>
        <v>0</v>
      </c>
      <c r="R178" s="196">
        <f t="shared" ca="1" si="70"/>
        <v>0</v>
      </c>
      <c r="S178" s="11">
        <f ca="1">IF(B178&gt;=$J$5,0,CONTADORES!$D180-CONTADORES!$D179)</f>
        <v>0</v>
      </c>
      <c r="T178" s="198">
        <f ca="1">IF(B178&gt;=$J$5,0,CONTADORES!$BB180-CONTADORES!$BB179)</f>
        <v>0</v>
      </c>
      <c r="U178" s="196">
        <f t="shared" ca="1" si="97"/>
        <v>0</v>
      </c>
      <c r="V178" s="199">
        <f ca="1">IF(B178&gt;=$J$5,0,CONTADORES!$BD180-CONTADORES!$BD179)</f>
        <v>0</v>
      </c>
      <c r="W178" s="1397">
        <f t="shared" ca="1" si="71"/>
        <v>0</v>
      </c>
      <c r="X178" s="1397">
        <f t="shared" ca="1" si="72"/>
        <v>0</v>
      </c>
      <c r="Y178" s="1398">
        <f t="shared" ca="1" si="73"/>
        <v>0</v>
      </c>
      <c r="Z178" s="1398">
        <f t="shared" ca="1" si="74"/>
        <v>0</v>
      </c>
      <c r="AA178" s="1398">
        <f t="shared" ca="1" si="75"/>
        <v>0</v>
      </c>
      <c r="AB178" s="1398">
        <f t="shared" ca="1" si="76"/>
        <v>0</v>
      </c>
      <c r="AC178" s="1397">
        <f t="shared" ca="1" si="77"/>
        <v>0</v>
      </c>
      <c r="AD178" s="1397">
        <f ca="1">IF(B178&gt;=$J$5,0,CONTADORES!H180-CONTADORES!H179)</f>
        <v>0</v>
      </c>
      <c r="AE178" s="1397">
        <f ca="1">IF(B178&gt;=$J$5,0,CONTADORES!J180-CONTADORES!J179)</f>
        <v>0</v>
      </c>
      <c r="AF178" s="1397">
        <f ca="1">IF(B178&gt;=$J$5,0,CONTADORES!AU180-CONTADORES!AU179)</f>
        <v>0</v>
      </c>
      <c r="AG178" s="1397">
        <f ca="1">IF(B178&gt;=$J$5,0,CONTADORES!AW180-CONTADORES!AW179)</f>
        <v>0</v>
      </c>
      <c r="AH178" s="1398">
        <f ca="1">IF(B178&gt;=$J$5,0,(CONTADORES!AM180-CONTADORES!AM179)+(CONTADORES!M180-CONTADORES!M179))</f>
        <v>0</v>
      </c>
      <c r="AI178" s="1397">
        <f ca="1">IF(B178&gt;=$J$5,0,(CONTADORES!AK180-CONTADORES!AK179)+(CONTADORES!O180-CONTADORES!O179))</f>
        <v>0</v>
      </c>
      <c r="AJ178" s="1397">
        <f ca="1">IF(B178&gt;=$J$5,0,(CONTADORES!AI180-CONTADORES!AI179))</f>
        <v>0</v>
      </c>
      <c r="AK178" s="1397">
        <f ca="1">IF(B178&gt;=$J$5,0,(CONTADORES!Q180-CONTADORES!Q179))</f>
        <v>0</v>
      </c>
      <c r="AL178" s="1450">
        <f t="shared" ca="1" si="78"/>
        <v>0</v>
      </c>
      <c r="AM178" s="1397">
        <f ca="1">IF(B178&gt;=$J$5,0,(((CONTADORES!F180-CONTADORES!F179)+(CONTADORES!AQ180-CONTADORES!AQ179))))-BS178-AF178-AN178-BV178-BY178-CD178-CB178</f>
        <v>0</v>
      </c>
      <c r="AN178" s="1397">
        <f ca="1">IF(B178&gt;=$J$5,0,(CONTADORES!AX180-CONTADORES!AX179)+(CONTADORES!AZ180-CONTADORES!AZ179)+(CONTADORES!BE180-CONTADORES!BE179))-CB178</f>
        <v>0</v>
      </c>
      <c r="AO178" s="1399">
        <f ca="1">IF(B177&gt;=$J$5,0,(CONTADORES!AC180-CONTADORES!AC179))</f>
        <v>0</v>
      </c>
      <c r="AP178" s="1409">
        <f ca="1">IF(B178&gt;=$J$5,0,(CONTADORES!X180-CONTADORES!X179))</f>
        <v>0</v>
      </c>
      <c r="AQ178" s="1409">
        <f ca="1">IF(B178&gt;=$J$5,0,(CONTADORES!C180-CONTADORES!C179))</f>
        <v>0</v>
      </c>
      <c r="AR178" s="1409">
        <f ca="1">IF(B178&gt;=$J$5,0,(CONTADORES!BC180-CONTADORES!BC179))</f>
        <v>0</v>
      </c>
      <c r="AS178" s="1409">
        <f ca="1">IF(B178&gt;=$J$5,0,CONTADORES!S180-CONTADORES!S179)</f>
        <v>0</v>
      </c>
      <c r="AT178" s="1409">
        <f ca="1">IF(B178&gt;=$J$5,0,(CONTADORES!U180-CONTADORES!U179)+(CONTADORES!AG180-CONTADORES!AG179))</f>
        <v>0</v>
      </c>
      <c r="AU178" s="1409">
        <f ca="1">IF(B178&gt;=$J$5,0,(CONTADORES!I180-CONTADORES!I179))</f>
        <v>0</v>
      </c>
      <c r="AV178" s="1409">
        <f ca="1">IF(B178&gt;=$J$5,0,(CONTADORES!AV180-CONTADORES!AV179))</f>
        <v>0</v>
      </c>
      <c r="AW178" s="1409">
        <f ca="1">IF(B178&gt;=$J$5,0,(CONTADORES!N180-CONTADORES!N179)+(CONTADORES!AN180-CONTADORES!AN179))</f>
        <v>0</v>
      </c>
      <c r="AX178" s="1409">
        <f ca="1">IF(B178&gt;=$J$5,0,(CONTADORES!P180-CONTADORES!P179)+(CONTADORES!AL180-CONTADORES!AL179))</f>
        <v>0</v>
      </c>
      <c r="AY178" s="1409">
        <f ca="1">IF(B178&gt;=$J$5,0,(CONTADORES!AJ180-CONTADORES!AJ179))</f>
        <v>0</v>
      </c>
      <c r="AZ178" s="1409">
        <f ca="1">IF(B178&gt;=$J$5,0,(CONTADORES!R180-CONTADORES!R179))</f>
        <v>0</v>
      </c>
      <c r="BA178" s="1398">
        <f t="shared" ca="1" si="79"/>
        <v>0</v>
      </c>
      <c r="BB178" s="1409">
        <f ca="1">IF(B178&gt;=$J$5,0,(((CONTADORES!G180-CONTADORES!G179)+(CONTADORES!AR180-CONTADORES!AR179)+AR178)-(AV178+BC178)))</f>
        <v>0</v>
      </c>
      <c r="BC178" s="1397">
        <f ca="1">IF(B178&gt;=$J$5,0,(CONTADORES!AY180-CONTADORES!AY179)+(CONTADORES!BA180-CONTADORES!BA179)+(CONTADORES!BF180-CONTADORES!BF179))</f>
        <v>0</v>
      </c>
      <c r="BD178" s="1397">
        <f t="shared" ca="1" si="80"/>
        <v>0</v>
      </c>
      <c r="BE178" s="1398">
        <f ca="1">IF($B178&gt;=$J$5,0,CONTADORES!$BG180)</f>
        <v>0</v>
      </c>
      <c r="BF178" s="1397">
        <f ca="1">IF($B178&gt;=$J$5,0,CONTADORES!$BH180)</f>
        <v>0</v>
      </c>
      <c r="BG178" s="1397">
        <f ca="1">IF($B178&gt;=$J$5,0,CONTADORES!$BJ180)</f>
        <v>0</v>
      </c>
      <c r="BH178" s="1397">
        <f ca="1">IF(B178&gt;=$J$5,0,((CONTADORES!BK180-CONTADORES!BK179)/1000))</f>
        <v>0</v>
      </c>
      <c r="BI178" s="1397">
        <f ca="1">IF(C178&gt;=$J$5,0,((CONTADORES!BL180-CONTADORES!BL179)/1000))</f>
        <v>0</v>
      </c>
      <c r="BJ178" s="1397">
        <f ca="1">IF(C178&gt;=$J$5,0,((CONTADORES!BM180-CONTADORES!BM179)/1000))</f>
        <v>0</v>
      </c>
      <c r="BK178" s="1397">
        <f ca="1">IF(B178&gt;=$J$5,0,((CONTADORES!BN180-CONTADORES!BN179)/1000))</f>
        <v>0</v>
      </c>
      <c r="BL178" s="1399">
        <f t="shared" ca="1" si="81"/>
        <v>0</v>
      </c>
      <c r="BM178" s="1399">
        <f t="shared" ca="1" si="82"/>
        <v>0</v>
      </c>
      <c r="BN178" s="1398">
        <f ca="1">IF(W178&gt;=$J$5,0,CONTADORES!$BO180)</f>
        <v>0</v>
      </c>
      <c r="BO178" s="1397">
        <f ca="1">IF(W178&gt;=$J$5,0,CONTADORES!$BP180)</f>
        <v>0</v>
      </c>
      <c r="BP178" s="1397">
        <f ca="1">IF(W178&gt;=$J$5,0,CONTADORES!$BQ180)</f>
        <v>0</v>
      </c>
      <c r="BQ178" s="1397">
        <f ca="1">IF(B178&gt;=$J$5,0,(CONTADORES!AS180-CONTADORES!AS179))</f>
        <v>0</v>
      </c>
      <c r="BR178" s="1397">
        <f ca="1">IF(C178&gt;=$J$5,0,(CONTADORES!AT180-CONTADORES!AT179))</f>
        <v>0</v>
      </c>
      <c r="BS178" s="1398">
        <f ca="1">IF(B178&gt;=$J$5,0,CONTADORES!BR180-CONTADORES!BR179)/1000</f>
        <v>0</v>
      </c>
      <c r="BT178" s="1398">
        <f ca="1">IF(B178&gt;=$J$5,0,CONTADORES!BS180-CONTADORES!BS179)</f>
        <v>0</v>
      </c>
      <c r="BU178" s="1398">
        <f ca="1">IF(B178&gt;=$J$5,0,CONTADORES!BT180-CONTADORES!BT179)</f>
        <v>0</v>
      </c>
      <c r="BV178" s="1398">
        <f ca="1">IF(B178&gt;=$J$5,0,CONTADORES!BU180-CONTADORES!BU179)/1000</f>
        <v>0</v>
      </c>
      <c r="BW178" s="1398">
        <f ca="1">IF(B178&gt;=$J$5,0,CONTADORES!BV180-CONTADORES!BV179)/1000</f>
        <v>0</v>
      </c>
      <c r="BX178" s="1398">
        <f ca="1">IF(B178&gt;=$J$5,0,CONTADORES!BW180-CONTADORES!BW179)</f>
        <v>0</v>
      </c>
      <c r="BY178" s="1398">
        <f ca="1">IF(B178&gt;=$J$5,0,CONTADORES!BX180-CONTADORES!BX179)/1000</f>
        <v>0</v>
      </c>
      <c r="BZ178" s="1398">
        <f ca="1">IF(B178&gt;=$J$5,0,CONTADORES!BY180-CONTADORES!BY179)/1000</f>
        <v>0</v>
      </c>
      <c r="CA178" s="1398">
        <f ca="1">IF(B178&gt;=$J$5,0,CONTADORES!BZ180-CONTADORES!BZ179)</f>
        <v>0</v>
      </c>
      <c r="CB178" s="1398">
        <f ca="1">IF(B178&gt;=$J$5,0,(CONTADORES!CC180-CONTADORES!CC179)+(CONTADORES!CE180-CONTADORES!CE179))/1000</f>
        <v>0</v>
      </c>
      <c r="CC178" s="1398">
        <f ca="1">IF(B178&gt;=$J$5,0,(CONTADORES!CD180-CONTADORES!CD179)+(CONTADORES!CF180-CONTADORES!CF179))/1000</f>
        <v>0</v>
      </c>
      <c r="CD178" s="1398">
        <f ca="1">IF(B178&gt;=$J$5,0,CONTADORES!CA180-CONTADORES!CA179)</f>
        <v>0</v>
      </c>
      <c r="CE178" s="1398">
        <f ca="1">IF(B178&gt;=$J$5,0,CONTADORES!CB180-CONTADORES!CB179)</f>
        <v>0</v>
      </c>
      <c r="CF178" s="1398">
        <f t="shared" ca="1" si="83"/>
        <v>0</v>
      </c>
      <c r="CG178" s="1398">
        <f t="shared" ca="1" si="84"/>
        <v>0</v>
      </c>
      <c r="CH178" s="1398">
        <f t="shared" ca="1" si="85"/>
        <v>0</v>
      </c>
      <c r="CI178" s="1398">
        <f t="shared" ca="1" si="86"/>
        <v>0</v>
      </c>
      <c r="CJ178" s="1398">
        <f t="shared" ca="1" si="87"/>
        <v>0</v>
      </c>
      <c r="CK178" s="1398">
        <f t="shared" ca="1" si="88"/>
        <v>0</v>
      </c>
      <c r="CL178" s="1398">
        <f t="shared" ca="1" si="89"/>
        <v>0</v>
      </c>
      <c r="CM178" s="1398">
        <f t="shared" ca="1" si="90"/>
        <v>0</v>
      </c>
      <c r="CN178" s="1398">
        <f ca="1">IF(B178&gt;=$J$5,0,CONTADORES!CB180-CONTADORES!CB179)</f>
        <v>0</v>
      </c>
      <c r="CO178" s="1398">
        <f t="shared" ca="1" si="91"/>
        <v>0</v>
      </c>
      <c r="CP178" s="1398">
        <f t="shared" ca="1" si="92"/>
        <v>0</v>
      </c>
      <c r="CQ178" s="1398">
        <f t="shared" ca="1" si="93"/>
        <v>0</v>
      </c>
      <c r="CR178" s="1398">
        <f t="shared" ca="1" si="94"/>
        <v>0</v>
      </c>
      <c r="CS178" s="1448">
        <f ca="1">IF($B178&gt;=$J$5,0,CONTADORES!$BI180)</f>
        <v>0</v>
      </c>
      <c r="CT178" s="1369">
        <f>CONTADORES!E180</f>
        <v>0</v>
      </c>
      <c r="CU178" s="1369">
        <f>CONTADORES!CG180</f>
        <v>0</v>
      </c>
    </row>
    <row r="179" spans="2:99">
      <c r="B179" s="390">
        <v>45095</v>
      </c>
      <c r="C179" s="198">
        <f t="shared" ca="1" si="68"/>
        <v>0</v>
      </c>
      <c r="D179" s="196">
        <f ca="1">'CALCULO DE GAS'!D191</f>
        <v>0</v>
      </c>
      <c r="E179" s="196">
        <f ca="1">IF(B179&gt;=$J$5,0,(CONTADORES!$AD181-CONTADORES!$AD180)-$H179)</f>
        <v>0</v>
      </c>
      <c r="F179" s="198">
        <f t="shared" ca="1" si="96"/>
        <v>0</v>
      </c>
      <c r="G179" s="196">
        <f ca="1">IF(B179&gt;=$J$5,0,CONTADORES!$AF181-CONTADORES!$AF180)</f>
        <v>0</v>
      </c>
      <c r="H179" s="196">
        <f ca="1">IF(G179&gt;0,CONTADORES!$AE181-CONTADORES!$AE180,0)</f>
        <v>0</v>
      </c>
      <c r="I179" s="199">
        <f ca="1">IF(B179&gt;=$J$5,0,CONTADORES!$AB181-CONTADORES!$AB180)</f>
        <v>0</v>
      </c>
      <c r="J179" s="198">
        <f t="shared" ca="1" si="69"/>
        <v>0</v>
      </c>
      <c r="K179" s="196">
        <f ca="1">'CALCULO DE GAS'!E191</f>
        <v>0</v>
      </c>
      <c r="L179" s="1396">
        <f ca="1">IF(B179&gt;=$J$5,0,(CONTADORES!$Y181-CONTADORES!$Y180)-$O179)</f>
        <v>0</v>
      </c>
      <c r="M179" s="1396">
        <f t="shared" ca="1" si="98"/>
        <v>0</v>
      </c>
      <c r="N179" s="1396">
        <f ca="1">IF(B179&gt;=$J$5,0,CONTADORES!$AA181-CONTADORES!$AA180)</f>
        <v>0</v>
      </c>
      <c r="O179" s="1396">
        <f ca="1">IF(N179&gt;0,CONTADORES!$Z181-CONTADORES!$Z180,0)</f>
        <v>0</v>
      </c>
      <c r="P179" s="202">
        <f ca="1">IF(B179&gt;=$J$5,0,CONTADORES!$W181-CONTADORES!$W180)</f>
        <v>0</v>
      </c>
      <c r="Q179" s="202">
        <f ca="1">IF(B179&gt;=$J$5,0,CONTADORES!$B181-CONTADORES!$B180)</f>
        <v>0</v>
      </c>
      <c r="R179" s="196">
        <f t="shared" ca="1" si="70"/>
        <v>0</v>
      </c>
      <c r="S179" s="11">
        <f ca="1">IF(B179&gt;=$J$5,0,CONTADORES!$D181-CONTADORES!$D180)</f>
        <v>0</v>
      </c>
      <c r="T179" s="198">
        <f ca="1">IF(B179&gt;=$J$5,0,CONTADORES!$BB181-CONTADORES!$BB180)</f>
        <v>0</v>
      </c>
      <c r="U179" s="196">
        <f t="shared" ca="1" si="97"/>
        <v>0</v>
      </c>
      <c r="V179" s="199">
        <f ca="1">IF(B179&gt;=$J$5,0,CONTADORES!$BD181-CONTADORES!$BD180)</f>
        <v>0</v>
      </c>
      <c r="W179" s="1397">
        <f t="shared" ca="1" si="71"/>
        <v>0</v>
      </c>
      <c r="X179" s="1397">
        <f t="shared" ca="1" si="72"/>
        <v>0</v>
      </c>
      <c r="Y179" s="1398">
        <f t="shared" ca="1" si="73"/>
        <v>0</v>
      </c>
      <c r="Z179" s="1398">
        <f t="shared" ca="1" si="74"/>
        <v>0</v>
      </c>
      <c r="AA179" s="1398">
        <f t="shared" ca="1" si="75"/>
        <v>0</v>
      </c>
      <c r="AB179" s="1398">
        <f t="shared" ca="1" si="76"/>
        <v>0</v>
      </c>
      <c r="AC179" s="1397">
        <f t="shared" ca="1" si="77"/>
        <v>0</v>
      </c>
      <c r="AD179" s="1397">
        <f ca="1">IF(B179&gt;=$J$5,0,CONTADORES!H181-CONTADORES!H180)</f>
        <v>0</v>
      </c>
      <c r="AE179" s="1397">
        <f ca="1">IF(B179&gt;=$J$5,0,CONTADORES!J181-CONTADORES!J180)</f>
        <v>0</v>
      </c>
      <c r="AF179" s="1397">
        <f ca="1">IF(B179&gt;=$J$5,0,CONTADORES!AU181-CONTADORES!AU180)</f>
        <v>0</v>
      </c>
      <c r="AG179" s="1397">
        <f ca="1">IF(B179&gt;=$J$5,0,CONTADORES!AW181-CONTADORES!AW180)</f>
        <v>0</v>
      </c>
      <c r="AH179" s="1398">
        <f ca="1">IF(B179&gt;=$J$5,0,(CONTADORES!AM181-CONTADORES!AM180)+(CONTADORES!M181-CONTADORES!M180))</f>
        <v>0</v>
      </c>
      <c r="AI179" s="1397">
        <f ca="1">IF(B179&gt;=$J$5,0,(CONTADORES!AK181-CONTADORES!AK180)+(CONTADORES!O181-CONTADORES!O180))</f>
        <v>0</v>
      </c>
      <c r="AJ179" s="1397">
        <f ca="1">IF(B179&gt;=$J$5,0,(CONTADORES!AI181-CONTADORES!AI180))</f>
        <v>0</v>
      </c>
      <c r="AK179" s="1397">
        <f ca="1">IF(B179&gt;=$J$5,0,(CONTADORES!Q181-CONTADORES!Q180))</f>
        <v>0</v>
      </c>
      <c r="AL179" s="1450">
        <f t="shared" ca="1" si="78"/>
        <v>0</v>
      </c>
      <c r="AM179" s="1397">
        <f ca="1">IF(B179&gt;=$J$5,0,(((CONTADORES!F181-CONTADORES!F180)+(CONTADORES!AQ181-CONTADORES!AQ180))))-BS179-AF179-AN179-BV179-BY179-CD179-CB179</f>
        <v>0</v>
      </c>
      <c r="AN179" s="1397">
        <f ca="1">IF(B179&gt;=$J$5,0,(CONTADORES!AX181-CONTADORES!AX180)+(CONTADORES!AZ181-CONTADORES!AZ180)+(CONTADORES!BE181-CONTADORES!BE180))-CB179</f>
        <v>0</v>
      </c>
      <c r="AO179" s="1399">
        <f ca="1">IF(B178&gt;=$J$5,0,(CONTADORES!AC181-CONTADORES!AC180))</f>
        <v>0</v>
      </c>
      <c r="AP179" s="1409">
        <f ca="1">IF(B179&gt;=$J$5,0,(CONTADORES!X181-CONTADORES!X180))</f>
        <v>0</v>
      </c>
      <c r="AQ179" s="1409">
        <f ca="1">IF(B179&gt;=$J$5,0,(CONTADORES!C181-CONTADORES!C180))</f>
        <v>0</v>
      </c>
      <c r="AR179" s="1409">
        <f ca="1">IF(B179&gt;=$J$5,0,(CONTADORES!BC181-CONTADORES!BC180))</f>
        <v>0</v>
      </c>
      <c r="AS179" s="1409">
        <f ca="1">IF(B179&gt;=$J$5,0,CONTADORES!S181-CONTADORES!S180)</f>
        <v>0</v>
      </c>
      <c r="AT179" s="1409">
        <f ca="1">IF(B179&gt;=$J$5,0,(CONTADORES!U181-CONTADORES!U180)+(CONTADORES!AG181-CONTADORES!AG180))</f>
        <v>0</v>
      </c>
      <c r="AU179" s="1409">
        <f ca="1">IF(B179&gt;=$J$5,0,(CONTADORES!I181-CONTADORES!I180))</f>
        <v>0</v>
      </c>
      <c r="AV179" s="1409">
        <f ca="1">IF(B179&gt;=$J$5,0,(CONTADORES!AV181-CONTADORES!AV180))</f>
        <v>0</v>
      </c>
      <c r="AW179" s="1409">
        <f ca="1">IF(B179&gt;=$J$5,0,(CONTADORES!N181-CONTADORES!N180)+(CONTADORES!AN181-CONTADORES!AN180))</f>
        <v>0</v>
      </c>
      <c r="AX179" s="1409">
        <f ca="1">IF(B179&gt;=$J$5,0,(CONTADORES!P181-CONTADORES!P180)+(CONTADORES!AL181-CONTADORES!AL180))</f>
        <v>0</v>
      </c>
      <c r="AY179" s="1409">
        <f ca="1">IF(B179&gt;=$J$5,0,(CONTADORES!AJ181-CONTADORES!AJ180))</f>
        <v>0</v>
      </c>
      <c r="AZ179" s="1409">
        <f ca="1">IF(B179&gt;=$J$5,0,(CONTADORES!R181-CONTADORES!R180))</f>
        <v>0</v>
      </c>
      <c r="BA179" s="1398">
        <f t="shared" ca="1" si="79"/>
        <v>0</v>
      </c>
      <c r="BB179" s="1409">
        <f ca="1">IF(B179&gt;=$J$5,0,(((CONTADORES!G181-CONTADORES!G180)+(CONTADORES!AR181-CONTADORES!AR180)+AR179)-(AV179+BC179)))</f>
        <v>0</v>
      </c>
      <c r="BC179" s="1397">
        <f ca="1">IF(B179&gt;=$J$5,0,(CONTADORES!AY181-CONTADORES!AY180)+(CONTADORES!BA181-CONTADORES!BA180)+(CONTADORES!BF181-CONTADORES!BF180))</f>
        <v>0</v>
      </c>
      <c r="BD179" s="1397">
        <f t="shared" ca="1" si="80"/>
        <v>0</v>
      </c>
      <c r="BE179" s="1398">
        <f ca="1">IF($B179&gt;=$J$5,0,CONTADORES!$BG181)</f>
        <v>0</v>
      </c>
      <c r="BF179" s="1397">
        <f ca="1">IF($B179&gt;=$J$5,0,CONTADORES!$BH181)</f>
        <v>0</v>
      </c>
      <c r="BG179" s="1397">
        <f ca="1">IF($B179&gt;=$J$5,0,CONTADORES!$BJ181)</f>
        <v>0</v>
      </c>
      <c r="BH179" s="1397">
        <f ca="1">IF(B179&gt;=$J$5,0,((CONTADORES!BK181-CONTADORES!BK180)/1000))</f>
        <v>0</v>
      </c>
      <c r="BI179" s="1397">
        <f ca="1">IF(C179&gt;=$J$5,0,((CONTADORES!BL181-CONTADORES!BL180)/1000))</f>
        <v>0</v>
      </c>
      <c r="BJ179" s="1397">
        <f ca="1">IF(C179&gt;=$J$5,0,((CONTADORES!BM181-CONTADORES!BM180)/1000))</f>
        <v>0</v>
      </c>
      <c r="BK179" s="1397">
        <f ca="1">IF(B179&gt;=$J$5,0,((CONTADORES!BN181-CONTADORES!BN180)/1000))</f>
        <v>0</v>
      </c>
      <c r="BL179" s="1399">
        <f t="shared" ca="1" si="81"/>
        <v>0</v>
      </c>
      <c r="BM179" s="1399">
        <f t="shared" ca="1" si="82"/>
        <v>0</v>
      </c>
      <c r="BN179" s="1398">
        <f ca="1">IF(W179&gt;=$J$5,0,CONTADORES!$BO181)</f>
        <v>0</v>
      </c>
      <c r="BO179" s="1397">
        <f ca="1">IF(W179&gt;=$J$5,0,CONTADORES!$BP181)</f>
        <v>0</v>
      </c>
      <c r="BP179" s="1397">
        <f ca="1">IF(W179&gt;=$J$5,0,CONTADORES!$BQ181)</f>
        <v>0</v>
      </c>
      <c r="BQ179" s="1397">
        <f ca="1">IF(B179&gt;=$J$5,0,(CONTADORES!AS181-CONTADORES!AS180))</f>
        <v>0</v>
      </c>
      <c r="BR179" s="1397">
        <f ca="1">IF(C179&gt;=$J$5,0,(CONTADORES!AT181-CONTADORES!AT180))</f>
        <v>0</v>
      </c>
      <c r="BS179" s="1398">
        <f ca="1">IF(B179&gt;=$J$5,0,CONTADORES!BR181-CONTADORES!BR180)/1000</f>
        <v>0</v>
      </c>
      <c r="BT179" s="1398">
        <f ca="1">IF(B179&gt;=$J$5,0,CONTADORES!BS181-CONTADORES!BS180)</f>
        <v>0</v>
      </c>
      <c r="BU179" s="1398">
        <f ca="1">IF(B179&gt;=$J$5,0,CONTADORES!BT181-CONTADORES!BT180)</f>
        <v>0</v>
      </c>
      <c r="BV179" s="1398">
        <f ca="1">IF(B179&gt;=$J$5,0,CONTADORES!BU181-CONTADORES!BU180)/1000</f>
        <v>0</v>
      </c>
      <c r="BW179" s="1398">
        <f ca="1">IF(B179&gt;=$J$5,0,CONTADORES!BV181-CONTADORES!BV180)/1000</f>
        <v>0</v>
      </c>
      <c r="BX179" s="1398">
        <f ca="1">IF(B179&gt;=$J$5,0,CONTADORES!BW181-CONTADORES!BW180)</f>
        <v>0</v>
      </c>
      <c r="BY179" s="1398">
        <f ca="1">IF(B179&gt;=$J$5,0,CONTADORES!BX181-CONTADORES!BX180)/1000</f>
        <v>0</v>
      </c>
      <c r="BZ179" s="1398">
        <f ca="1">IF(B179&gt;=$J$5,0,CONTADORES!BY181-CONTADORES!BY180)/1000</f>
        <v>0</v>
      </c>
      <c r="CA179" s="1398">
        <f ca="1">IF(B179&gt;=$J$5,0,CONTADORES!BZ181-CONTADORES!BZ180)</f>
        <v>0</v>
      </c>
      <c r="CB179" s="1398">
        <f ca="1">IF(B179&gt;=$J$5,0,(CONTADORES!CC181-CONTADORES!CC180)+(CONTADORES!CE181-CONTADORES!CE180))/1000</f>
        <v>0</v>
      </c>
      <c r="CC179" s="1398">
        <f ca="1">IF(B179&gt;=$J$5,0,(CONTADORES!CD181-CONTADORES!CD180)+(CONTADORES!CF181-CONTADORES!CF180))/1000</f>
        <v>0</v>
      </c>
      <c r="CD179" s="1398">
        <f ca="1">IF(B179&gt;=$J$5,0,CONTADORES!CA181-CONTADORES!CA180)</f>
        <v>0</v>
      </c>
      <c r="CE179" s="1398">
        <f ca="1">IF(B179&gt;=$J$5,0,CONTADORES!CB181-CONTADORES!CB180)</f>
        <v>0</v>
      </c>
      <c r="CF179" s="1398">
        <f t="shared" ca="1" si="83"/>
        <v>0</v>
      </c>
      <c r="CG179" s="1398">
        <f t="shared" ca="1" si="84"/>
        <v>0</v>
      </c>
      <c r="CH179" s="1398">
        <f t="shared" ca="1" si="85"/>
        <v>0</v>
      </c>
      <c r="CI179" s="1398">
        <f t="shared" ca="1" si="86"/>
        <v>0</v>
      </c>
      <c r="CJ179" s="1398">
        <f t="shared" ca="1" si="87"/>
        <v>0</v>
      </c>
      <c r="CK179" s="1398">
        <f t="shared" ca="1" si="88"/>
        <v>0</v>
      </c>
      <c r="CL179" s="1398">
        <f t="shared" ca="1" si="89"/>
        <v>0</v>
      </c>
      <c r="CM179" s="1398">
        <f t="shared" ca="1" si="90"/>
        <v>0</v>
      </c>
      <c r="CN179" s="1398">
        <f ca="1">IF(B179&gt;=$J$5,0,CONTADORES!CB181-CONTADORES!CB180)</f>
        <v>0</v>
      </c>
      <c r="CO179" s="1398">
        <f t="shared" ca="1" si="91"/>
        <v>0</v>
      </c>
      <c r="CP179" s="1398">
        <f t="shared" ca="1" si="92"/>
        <v>0</v>
      </c>
      <c r="CQ179" s="1398">
        <f t="shared" ca="1" si="93"/>
        <v>0</v>
      </c>
      <c r="CR179" s="1398">
        <f t="shared" ca="1" si="94"/>
        <v>0</v>
      </c>
      <c r="CS179" s="1448">
        <f ca="1">IF($B179&gt;=$J$5,0,CONTADORES!$BI181)</f>
        <v>0</v>
      </c>
      <c r="CT179" s="1369">
        <f>CONTADORES!E181</f>
        <v>0</v>
      </c>
      <c r="CU179" s="1369">
        <f>CONTADORES!CG181</f>
        <v>0</v>
      </c>
    </row>
    <row r="180" spans="2:99">
      <c r="B180" s="390">
        <v>45096</v>
      </c>
      <c r="C180" s="198">
        <f t="shared" ca="1" si="68"/>
        <v>0</v>
      </c>
      <c r="D180" s="196">
        <f ca="1">'CALCULO DE GAS'!D192</f>
        <v>0</v>
      </c>
      <c r="E180" s="196">
        <f ca="1">IF(B180&gt;=$J$5,0,(CONTADORES!$AD182-CONTADORES!$AD181)-$H180)</f>
        <v>0</v>
      </c>
      <c r="F180" s="198">
        <f t="shared" ca="1" si="96"/>
        <v>0</v>
      </c>
      <c r="G180" s="196">
        <f ca="1">IF(B180&gt;=$J$5,0,CONTADORES!$AF182-CONTADORES!$AF181)</f>
        <v>0</v>
      </c>
      <c r="H180" s="196">
        <f ca="1">IF(G180&gt;0,CONTADORES!$AE182-CONTADORES!$AE181,0)</f>
        <v>0</v>
      </c>
      <c r="I180" s="199">
        <f ca="1">IF(B180&gt;=$J$5,0,CONTADORES!$AB182-CONTADORES!$AB181)</f>
        <v>0</v>
      </c>
      <c r="J180" s="198">
        <f t="shared" ca="1" si="69"/>
        <v>0</v>
      </c>
      <c r="K180" s="196">
        <f ca="1">'CALCULO DE GAS'!E192</f>
        <v>0</v>
      </c>
      <c r="L180" s="1396">
        <f ca="1">IF(B180&gt;=$J$5,0,(CONTADORES!$Y182-CONTADORES!$Y181)-$O180)</f>
        <v>0</v>
      </c>
      <c r="M180" s="1396">
        <f t="shared" ca="1" si="98"/>
        <v>0</v>
      </c>
      <c r="N180" s="1396">
        <f ca="1">IF(B180&gt;=$J$5,0,CONTADORES!$AA182-CONTADORES!$AA181)</f>
        <v>0</v>
      </c>
      <c r="O180" s="1396">
        <f ca="1">IF(N180&gt;0,CONTADORES!$Z182-CONTADORES!$Z181,0)</f>
        <v>0</v>
      </c>
      <c r="P180" s="202">
        <f ca="1">IF(B180&gt;=$J$5,0,CONTADORES!$W182-CONTADORES!$W181)</f>
        <v>0</v>
      </c>
      <c r="Q180" s="202">
        <f ca="1">IF(B180&gt;=$J$5,0,CONTADORES!$B182-CONTADORES!$B181)</f>
        <v>0</v>
      </c>
      <c r="R180" s="196">
        <f t="shared" ca="1" si="70"/>
        <v>0</v>
      </c>
      <c r="S180" s="11">
        <f ca="1">IF(B180&gt;=$J$5,0,CONTADORES!$D182-CONTADORES!$D181)</f>
        <v>0</v>
      </c>
      <c r="T180" s="198">
        <f ca="1">IF(B180&gt;=$J$5,0,CONTADORES!$BB182-CONTADORES!$BB181)</f>
        <v>0</v>
      </c>
      <c r="U180" s="196">
        <f t="shared" ca="1" si="97"/>
        <v>0</v>
      </c>
      <c r="V180" s="199">
        <f ca="1">IF(B180&gt;=$J$5,0,CONTADORES!$BD182-CONTADORES!$BD181)</f>
        <v>0</v>
      </c>
      <c r="W180" s="1397">
        <f t="shared" ca="1" si="71"/>
        <v>0</v>
      </c>
      <c r="X180" s="1397">
        <f t="shared" ca="1" si="72"/>
        <v>0</v>
      </c>
      <c r="Y180" s="1398">
        <f t="shared" ca="1" si="73"/>
        <v>0</v>
      </c>
      <c r="Z180" s="1398">
        <f t="shared" ca="1" si="74"/>
        <v>0</v>
      </c>
      <c r="AA180" s="1398">
        <f t="shared" ca="1" si="75"/>
        <v>0</v>
      </c>
      <c r="AB180" s="1398">
        <f t="shared" ca="1" si="76"/>
        <v>0</v>
      </c>
      <c r="AC180" s="1397">
        <f t="shared" ca="1" si="77"/>
        <v>0</v>
      </c>
      <c r="AD180" s="1397">
        <f ca="1">IF(B180&gt;=$J$5,0,CONTADORES!H182-CONTADORES!H181)</f>
        <v>0</v>
      </c>
      <c r="AE180" s="1397">
        <f ca="1">IF(B180&gt;=$J$5,0,CONTADORES!J182-CONTADORES!J181)</f>
        <v>0</v>
      </c>
      <c r="AF180" s="1397">
        <f ca="1">IF(B180&gt;=$J$5,0,CONTADORES!AU182-CONTADORES!AU181)</f>
        <v>0</v>
      </c>
      <c r="AG180" s="1397">
        <f ca="1">IF(B180&gt;=$J$5,0,CONTADORES!AW182-CONTADORES!AW181)</f>
        <v>0</v>
      </c>
      <c r="AH180" s="1398">
        <f ca="1">IF(B180&gt;=$J$5,0,(CONTADORES!AM182-CONTADORES!AM181)+(CONTADORES!M182-CONTADORES!M181))</f>
        <v>0</v>
      </c>
      <c r="AI180" s="1397">
        <f ca="1">IF(B180&gt;=$J$5,0,(CONTADORES!AK182-CONTADORES!AK181)+(CONTADORES!O182-CONTADORES!O181))</f>
        <v>0</v>
      </c>
      <c r="AJ180" s="1397">
        <f ca="1">IF(B180&gt;=$J$5,0,(CONTADORES!AI182-CONTADORES!AI181))</f>
        <v>0</v>
      </c>
      <c r="AK180" s="1397">
        <f ca="1">IF(B180&gt;=$J$5,0,(CONTADORES!Q182-CONTADORES!Q181))</f>
        <v>0</v>
      </c>
      <c r="AL180" s="1450">
        <f t="shared" ca="1" si="78"/>
        <v>0</v>
      </c>
      <c r="AM180" s="1397">
        <f ca="1">IF(B180&gt;=$J$5,0,(((CONTADORES!F182-CONTADORES!F181)+(CONTADORES!AQ182-CONTADORES!AQ181))))-BS180-AF180-AN180-BV180-BY180-CD180-CB180</f>
        <v>0</v>
      </c>
      <c r="AN180" s="1397">
        <f ca="1">IF(B180&gt;=$J$5,0,(CONTADORES!AX182-CONTADORES!AX181)+(CONTADORES!AZ182-CONTADORES!AZ181)+(CONTADORES!BE182-CONTADORES!BE181))-CB180</f>
        <v>0</v>
      </c>
      <c r="AO180" s="1399">
        <f ca="1">IF(B179&gt;=$J$5,0,(CONTADORES!AC182-CONTADORES!AC181))</f>
        <v>0</v>
      </c>
      <c r="AP180" s="1409">
        <f ca="1">IF(B180&gt;=$J$5,0,(CONTADORES!X182-CONTADORES!X181))</f>
        <v>0</v>
      </c>
      <c r="AQ180" s="1409">
        <f ca="1">IF(B180&gt;=$J$5,0,(CONTADORES!C182-CONTADORES!C181))</f>
        <v>0</v>
      </c>
      <c r="AR180" s="1409">
        <f ca="1">IF(B180&gt;=$J$5,0,(CONTADORES!BC182-CONTADORES!BC181))</f>
        <v>0</v>
      </c>
      <c r="AS180" s="1409">
        <f ca="1">IF(B180&gt;=$J$5,0,CONTADORES!S182-CONTADORES!S181)</f>
        <v>0</v>
      </c>
      <c r="AT180" s="1409">
        <f ca="1">IF(B180&gt;=$J$5,0,(CONTADORES!U182-CONTADORES!U181)+(CONTADORES!AG182-CONTADORES!AG181))</f>
        <v>0</v>
      </c>
      <c r="AU180" s="1409">
        <f ca="1">IF(B180&gt;=$J$5,0,(CONTADORES!I182-CONTADORES!I181))</f>
        <v>0</v>
      </c>
      <c r="AV180" s="1409">
        <f ca="1">IF(B180&gt;=$J$5,0,(CONTADORES!AV182-CONTADORES!AV181))</f>
        <v>0</v>
      </c>
      <c r="AW180" s="1409">
        <f ca="1">IF(B180&gt;=$J$5,0,(CONTADORES!N182-CONTADORES!N181)+(CONTADORES!AN182-CONTADORES!AN181))</f>
        <v>0</v>
      </c>
      <c r="AX180" s="1409">
        <f ca="1">IF(B180&gt;=$J$5,0,(CONTADORES!P182-CONTADORES!P181)+(CONTADORES!AL182-CONTADORES!AL181))</f>
        <v>0</v>
      </c>
      <c r="AY180" s="1409">
        <f ca="1">IF(B180&gt;=$J$5,0,(CONTADORES!AJ182-CONTADORES!AJ181))</f>
        <v>0</v>
      </c>
      <c r="AZ180" s="1409">
        <f ca="1">IF(B180&gt;=$J$5,0,(CONTADORES!R182-CONTADORES!R181))</f>
        <v>0</v>
      </c>
      <c r="BA180" s="1398">
        <f t="shared" ca="1" si="79"/>
        <v>0</v>
      </c>
      <c r="BB180" s="1409">
        <f ca="1">IF(B180&gt;=$J$5,0,(((CONTADORES!G182-CONTADORES!G181)+(CONTADORES!AR182-CONTADORES!AR181)+AR180)-(AV180+BC180)))</f>
        <v>0</v>
      </c>
      <c r="BC180" s="1397">
        <f ca="1">IF(B180&gt;=$J$5,0,(CONTADORES!AY182-CONTADORES!AY181)+(CONTADORES!BA182-CONTADORES!BA181)+(CONTADORES!BF182-CONTADORES!BF181))</f>
        <v>0</v>
      </c>
      <c r="BD180" s="1397">
        <f t="shared" ca="1" si="80"/>
        <v>0</v>
      </c>
      <c r="BE180" s="1398">
        <f ca="1">IF($B180&gt;=$J$5,0,CONTADORES!$BG182)</f>
        <v>0</v>
      </c>
      <c r="BF180" s="1397">
        <f ca="1">IF($B180&gt;=$J$5,0,CONTADORES!$BH182)</f>
        <v>0</v>
      </c>
      <c r="BG180" s="1397">
        <f ca="1">IF($B180&gt;=$J$5,0,CONTADORES!$BJ182)</f>
        <v>0</v>
      </c>
      <c r="BH180" s="1397">
        <f ca="1">IF(B180&gt;=$J$5,0,((CONTADORES!BK182-CONTADORES!BK181)/1000))</f>
        <v>0</v>
      </c>
      <c r="BI180" s="1397">
        <f ca="1">IF(C180&gt;=$J$5,0,((CONTADORES!BL182-CONTADORES!BL181)/1000))</f>
        <v>0</v>
      </c>
      <c r="BJ180" s="1397">
        <f ca="1">IF(C180&gt;=$J$5,0,((CONTADORES!BM182-CONTADORES!BM181)/1000))</f>
        <v>0</v>
      </c>
      <c r="BK180" s="1397">
        <f ca="1">IF(B180&gt;=$J$5,0,((CONTADORES!BN182-CONTADORES!BN181)/1000))</f>
        <v>0</v>
      </c>
      <c r="BL180" s="1399">
        <f t="shared" ca="1" si="81"/>
        <v>0</v>
      </c>
      <c r="BM180" s="1399">
        <f t="shared" ca="1" si="82"/>
        <v>0</v>
      </c>
      <c r="BN180" s="1398">
        <f ca="1">IF(W180&gt;=$J$5,0,CONTADORES!$BO182)</f>
        <v>0</v>
      </c>
      <c r="BO180" s="1397">
        <f ca="1">IF(W180&gt;=$J$5,0,CONTADORES!$BP182)</f>
        <v>0</v>
      </c>
      <c r="BP180" s="1397">
        <f ca="1">IF(W180&gt;=$J$5,0,CONTADORES!$BQ182)</f>
        <v>0</v>
      </c>
      <c r="BQ180" s="1397">
        <f ca="1">IF(B180&gt;=$J$5,0,(CONTADORES!AS182-CONTADORES!AS181))</f>
        <v>0</v>
      </c>
      <c r="BR180" s="1397">
        <f ca="1">IF(C180&gt;=$J$5,0,(CONTADORES!AT182-CONTADORES!AT181))</f>
        <v>0</v>
      </c>
      <c r="BS180" s="1398">
        <f ca="1">IF(B180&gt;=$J$5,0,CONTADORES!BR182-CONTADORES!BR181)/1000</f>
        <v>0</v>
      </c>
      <c r="BT180" s="1398">
        <f ca="1">IF(B180&gt;=$J$5,0,CONTADORES!BS182-CONTADORES!BS181)</f>
        <v>0</v>
      </c>
      <c r="BU180" s="1398">
        <f ca="1">IF(B180&gt;=$J$5,0,CONTADORES!BT182-CONTADORES!BT181)</f>
        <v>0</v>
      </c>
      <c r="BV180" s="1398">
        <f ca="1">IF(B180&gt;=$J$5,0,CONTADORES!BU182-CONTADORES!BU181)/1000</f>
        <v>0</v>
      </c>
      <c r="BW180" s="1398">
        <f ca="1">IF(B180&gt;=$J$5,0,CONTADORES!BV182-CONTADORES!BV181)/1000</f>
        <v>0</v>
      </c>
      <c r="BX180" s="1398">
        <f ca="1">IF(B180&gt;=$J$5,0,CONTADORES!BW182-CONTADORES!BW181)</f>
        <v>0</v>
      </c>
      <c r="BY180" s="1398">
        <f ca="1">IF(B180&gt;=$J$5,0,CONTADORES!BX182-CONTADORES!BX181)/1000</f>
        <v>0</v>
      </c>
      <c r="BZ180" s="1398">
        <f ca="1">IF(B180&gt;=$J$5,0,CONTADORES!BY182-CONTADORES!BY181)/1000</f>
        <v>0</v>
      </c>
      <c r="CA180" s="1398">
        <f ca="1">IF(B180&gt;=$J$5,0,CONTADORES!BZ182-CONTADORES!BZ181)</f>
        <v>0</v>
      </c>
      <c r="CB180" s="1398">
        <f ca="1">IF(B180&gt;=$J$5,0,(CONTADORES!CC182-CONTADORES!CC181)+(CONTADORES!CE182-CONTADORES!CE181))/1000</f>
        <v>0</v>
      </c>
      <c r="CC180" s="1398">
        <f ca="1">IF(B180&gt;=$J$5,0,(CONTADORES!CD182-CONTADORES!CD181)+(CONTADORES!CF182-CONTADORES!CF181))/1000</f>
        <v>0</v>
      </c>
      <c r="CD180" s="1398">
        <f ca="1">IF(B180&gt;=$J$5,0,CONTADORES!CA182-CONTADORES!CA181)</f>
        <v>0</v>
      </c>
      <c r="CE180" s="1398">
        <f ca="1">IF(B180&gt;=$J$5,0,CONTADORES!CB182-CONTADORES!CB181)</f>
        <v>0</v>
      </c>
      <c r="CF180" s="1398">
        <f t="shared" ca="1" si="83"/>
        <v>0</v>
      </c>
      <c r="CG180" s="1398">
        <f t="shared" ca="1" si="84"/>
        <v>0</v>
      </c>
      <c r="CH180" s="1398">
        <f t="shared" ca="1" si="85"/>
        <v>0</v>
      </c>
      <c r="CI180" s="1398">
        <f t="shared" ca="1" si="86"/>
        <v>0</v>
      </c>
      <c r="CJ180" s="1398">
        <f t="shared" ca="1" si="87"/>
        <v>0</v>
      </c>
      <c r="CK180" s="1398">
        <f t="shared" ca="1" si="88"/>
        <v>0</v>
      </c>
      <c r="CL180" s="1398">
        <f t="shared" ca="1" si="89"/>
        <v>0</v>
      </c>
      <c r="CM180" s="1398">
        <f t="shared" ca="1" si="90"/>
        <v>0</v>
      </c>
      <c r="CN180" s="1398">
        <f ca="1">IF(B180&gt;=$J$5,0,CONTADORES!CB182-CONTADORES!CB181)</f>
        <v>0</v>
      </c>
      <c r="CO180" s="1398">
        <f t="shared" ca="1" si="91"/>
        <v>0</v>
      </c>
      <c r="CP180" s="1398">
        <f t="shared" ca="1" si="92"/>
        <v>0</v>
      </c>
      <c r="CQ180" s="1398">
        <f t="shared" ca="1" si="93"/>
        <v>0</v>
      </c>
      <c r="CR180" s="1398">
        <f t="shared" ca="1" si="94"/>
        <v>0</v>
      </c>
      <c r="CS180" s="1448">
        <f ca="1">IF($B180&gt;=$J$5,0,CONTADORES!$BI182)</f>
        <v>0</v>
      </c>
      <c r="CT180" s="1369">
        <f>CONTADORES!E182</f>
        <v>0</v>
      </c>
      <c r="CU180" s="1369">
        <f>CONTADORES!CG182</f>
        <v>0</v>
      </c>
    </row>
    <row r="181" spans="2:99">
      <c r="B181" s="390">
        <v>45097</v>
      </c>
      <c r="C181" s="198">
        <f t="shared" ca="1" si="68"/>
        <v>0</v>
      </c>
      <c r="D181" s="196">
        <f ca="1">'CALCULO DE GAS'!D193</f>
        <v>0</v>
      </c>
      <c r="E181" s="196">
        <f ca="1">IF(B181&gt;=$J$5,0,(CONTADORES!$AD183-CONTADORES!$AD182)-$H181)</f>
        <v>0</v>
      </c>
      <c r="F181" s="198">
        <f t="shared" ca="1" si="96"/>
        <v>0</v>
      </c>
      <c r="G181" s="196">
        <f ca="1">IF(B181&gt;=$J$5,0,CONTADORES!$AF183-CONTADORES!$AF182)</f>
        <v>0</v>
      </c>
      <c r="H181" s="196">
        <f ca="1">IF(G181&gt;0,CONTADORES!$AE183-CONTADORES!$AE182,0)</f>
        <v>0</v>
      </c>
      <c r="I181" s="199">
        <f ca="1">IF(B181&gt;=$J$5,0,CONTADORES!$AB183-CONTADORES!$AB182)</f>
        <v>0</v>
      </c>
      <c r="J181" s="198">
        <f t="shared" ca="1" si="69"/>
        <v>0</v>
      </c>
      <c r="K181" s="196">
        <f ca="1">'CALCULO DE GAS'!E193</f>
        <v>0</v>
      </c>
      <c r="L181" s="1396">
        <f ca="1">IF(B181&gt;=$J$5,0,(CONTADORES!$Y183-CONTADORES!$Y182)-$O181)</f>
        <v>0</v>
      </c>
      <c r="M181" s="1396">
        <f t="shared" ca="1" si="98"/>
        <v>0</v>
      </c>
      <c r="N181" s="1396">
        <f ca="1">IF(B181&gt;=$J$5,0,CONTADORES!$AA183-CONTADORES!$AA182)</f>
        <v>0</v>
      </c>
      <c r="O181" s="1396">
        <f ca="1">IF(N181&gt;0,CONTADORES!$Z183-CONTADORES!$Z182,0)</f>
        <v>0</v>
      </c>
      <c r="P181" s="202">
        <f ca="1">IF(B181&gt;=$J$5,0,CONTADORES!$W183-CONTADORES!$W182)</f>
        <v>0</v>
      </c>
      <c r="Q181" s="202">
        <f ca="1">IF(B181&gt;=$J$5,0,CONTADORES!$B183-CONTADORES!$B182)</f>
        <v>0</v>
      </c>
      <c r="R181" s="196">
        <f t="shared" ca="1" si="70"/>
        <v>0</v>
      </c>
      <c r="S181" s="11">
        <f ca="1">IF(B181&gt;=$J$5,0,CONTADORES!$D183-CONTADORES!$D182)</f>
        <v>0</v>
      </c>
      <c r="T181" s="198">
        <f ca="1">IF(B181&gt;=$J$5,0,CONTADORES!$BB183-CONTADORES!$BB182)</f>
        <v>0</v>
      </c>
      <c r="U181" s="196">
        <f t="shared" ca="1" si="97"/>
        <v>0</v>
      </c>
      <c r="V181" s="199">
        <f ca="1">IF(B181&gt;=$J$5,0,CONTADORES!$BD183-CONTADORES!$BD182)</f>
        <v>0</v>
      </c>
      <c r="W181" s="1397">
        <f t="shared" ca="1" si="71"/>
        <v>0</v>
      </c>
      <c r="X181" s="1397">
        <f t="shared" ca="1" si="72"/>
        <v>0</v>
      </c>
      <c r="Y181" s="1398">
        <f t="shared" ca="1" si="73"/>
        <v>0</v>
      </c>
      <c r="Z181" s="1398">
        <f t="shared" ca="1" si="74"/>
        <v>0</v>
      </c>
      <c r="AA181" s="1398">
        <f t="shared" ca="1" si="75"/>
        <v>0</v>
      </c>
      <c r="AB181" s="1398">
        <f t="shared" ca="1" si="76"/>
        <v>0</v>
      </c>
      <c r="AC181" s="1397">
        <f t="shared" ca="1" si="77"/>
        <v>0</v>
      </c>
      <c r="AD181" s="1397">
        <f ca="1">IF(B181&gt;=$J$5,0,CONTADORES!H183-CONTADORES!H182)</f>
        <v>0</v>
      </c>
      <c r="AE181" s="1397">
        <f ca="1">IF(B181&gt;=$J$5,0,CONTADORES!J183-CONTADORES!J182)</f>
        <v>0</v>
      </c>
      <c r="AF181" s="1397">
        <f ca="1">IF(B181&gt;=$J$5,0,CONTADORES!AU183-CONTADORES!AU182)</f>
        <v>0</v>
      </c>
      <c r="AG181" s="1397">
        <f ca="1">IF(B181&gt;=$J$5,0,CONTADORES!AW183-CONTADORES!AW182)</f>
        <v>0</v>
      </c>
      <c r="AH181" s="1398">
        <f ca="1">IF(B181&gt;=$J$5,0,(CONTADORES!AM183-CONTADORES!AM182)+(CONTADORES!M183-CONTADORES!M182))</f>
        <v>0</v>
      </c>
      <c r="AI181" s="1397">
        <f ca="1">IF(B181&gt;=$J$5,0,(CONTADORES!AK183-CONTADORES!AK182)+(CONTADORES!O183-CONTADORES!O182))</f>
        <v>0</v>
      </c>
      <c r="AJ181" s="1397">
        <f ca="1">IF(B181&gt;=$J$5,0,(CONTADORES!AI183-CONTADORES!AI182))</f>
        <v>0</v>
      </c>
      <c r="AK181" s="1397">
        <f ca="1">IF(B181&gt;=$J$5,0,(CONTADORES!Q183-CONTADORES!Q182))</f>
        <v>0</v>
      </c>
      <c r="AL181" s="1450">
        <f t="shared" ca="1" si="78"/>
        <v>0</v>
      </c>
      <c r="AM181" s="1397">
        <f ca="1">IF(B181&gt;=$J$5,0,(((CONTADORES!F183-CONTADORES!F182)+(CONTADORES!AQ183-CONTADORES!AQ182))))-BS181-AF181-AN181-BV181-BY181-CD181-CB181</f>
        <v>0</v>
      </c>
      <c r="AN181" s="1397">
        <f ca="1">IF(B181&gt;=$J$5,0,(CONTADORES!AX183-CONTADORES!AX182)+(CONTADORES!AZ183-CONTADORES!AZ182)+(CONTADORES!BE183-CONTADORES!BE182))-CB181</f>
        <v>0</v>
      </c>
      <c r="AO181" s="1399">
        <f ca="1">IF(B180&gt;=$J$5,0,(CONTADORES!AC183-CONTADORES!AC182))</f>
        <v>0</v>
      </c>
      <c r="AP181" s="1409">
        <f ca="1">IF(B181&gt;=$J$5,0,(CONTADORES!X183-CONTADORES!X182))</f>
        <v>0</v>
      </c>
      <c r="AQ181" s="1409">
        <f ca="1">IF(B181&gt;=$J$5,0,(CONTADORES!C183-CONTADORES!C182))</f>
        <v>0</v>
      </c>
      <c r="AR181" s="1409">
        <f ca="1">IF(B181&gt;=$J$5,0,(CONTADORES!BC183-CONTADORES!BC182))</f>
        <v>0</v>
      </c>
      <c r="AS181" s="1409">
        <f ca="1">IF(B181&gt;=$J$5,0,CONTADORES!S183-CONTADORES!S182)</f>
        <v>0</v>
      </c>
      <c r="AT181" s="1409">
        <f ca="1">IF(B181&gt;=$J$5,0,(CONTADORES!U183-CONTADORES!U182)+(CONTADORES!AG183-CONTADORES!AG182))</f>
        <v>0</v>
      </c>
      <c r="AU181" s="1409">
        <f ca="1">IF(B181&gt;=$J$5,0,(CONTADORES!I183-CONTADORES!I182))</f>
        <v>0</v>
      </c>
      <c r="AV181" s="1409">
        <f ca="1">IF(B181&gt;=$J$5,0,(CONTADORES!AV183-CONTADORES!AV182))</f>
        <v>0</v>
      </c>
      <c r="AW181" s="1409">
        <f ca="1">IF(B181&gt;=$J$5,0,(CONTADORES!N183-CONTADORES!N182)+(CONTADORES!AN183-CONTADORES!AN182))</f>
        <v>0</v>
      </c>
      <c r="AX181" s="1409">
        <f ca="1">IF(B181&gt;=$J$5,0,(CONTADORES!P183-CONTADORES!P182)+(CONTADORES!AL183-CONTADORES!AL182))</f>
        <v>0</v>
      </c>
      <c r="AY181" s="1409">
        <f ca="1">IF(B181&gt;=$J$5,0,(CONTADORES!AJ183-CONTADORES!AJ182))</f>
        <v>0</v>
      </c>
      <c r="AZ181" s="1409">
        <f ca="1">IF(B181&gt;=$J$5,0,(CONTADORES!R183-CONTADORES!R182))</f>
        <v>0</v>
      </c>
      <c r="BA181" s="1398">
        <f t="shared" ca="1" si="79"/>
        <v>0</v>
      </c>
      <c r="BB181" s="1409">
        <f ca="1">IF(B181&gt;=$J$5,0,(((CONTADORES!G183-CONTADORES!G182)+(CONTADORES!AR183-CONTADORES!AR182)+AR181)-(AV181+BC181)))</f>
        <v>0</v>
      </c>
      <c r="BC181" s="1397">
        <f ca="1">IF(B181&gt;=$J$5,0,(CONTADORES!AY183-CONTADORES!AY182)+(CONTADORES!BA183-CONTADORES!BA182)+(CONTADORES!BF183-CONTADORES!BF182))</f>
        <v>0</v>
      </c>
      <c r="BD181" s="1397">
        <f t="shared" ca="1" si="80"/>
        <v>0</v>
      </c>
      <c r="BE181" s="1398">
        <f ca="1">IF($B181&gt;=$J$5,0,CONTADORES!$BG183)</f>
        <v>0</v>
      </c>
      <c r="BF181" s="1397">
        <f ca="1">IF($B181&gt;=$J$5,0,CONTADORES!$BH183)</f>
        <v>0</v>
      </c>
      <c r="BG181" s="1397">
        <f ca="1">IF($B181&gt;=$J$5,0,CONTADORES!$BJ183)</f>
        <v>0</v>
      </c>
      <c r="BH181" s="1397">
        <f ca="1">IF(B181&gt;=$J$5,0,((CONTADORES!BK183-CONTADORES!BK182)/1000))</f>
        <v>0</v>
      </c>
      <c r="BI181" s="1397">
        <f ca="1">IF(C181&gt;=$J$5,0,((CONTADORES!BL183-CONTADORES!BL182)/1000))</f>
        <v>0</v>
      </c>
      <c r="BJ181" s="1397">
        <f ca="1">IF(C181&gt;=$J$5,0,((CONTADORES!BM183-CONTADORES!BM182)/1000))</f>
        <v>0</v>
      </c>
      <c r="BK181" s="1397">
        <f ca="1">IF(B181&gt;=$J$5,0,((CONTADORES!BN183-CONTADORES!BN182)/1000))</f>
        <v>0</v>
      </c>
      <c r="BL181" s="1399">
        <f t="shared" ca="1" si="81"/>
        <v>0</v>
      </c>
      <c r="BM181" s="1399">
        <f t="shared" ca="1" si="82"/>
        <v>0</v>
      </c>
      <c r="BN181" s="1398">
        <f ca="1">IF(W181&gt;=$J$5,0,CONTADORES!$BO183)</f>
        <v>0</v>
      </c>
      <c r="BO181" s="1397">
        <f ca="1">IF(W181&gt;=$J$5,0,CONTADORES!$BP183)</f>
        <v>0</v>
      </c>
      <c r="BP181" s="1397">
        <f ca="1">IF(W181&gt;=$J$5,0,CONTADORES!$BQ183)</f>
        <v>0</v>
      </c>
      <c r="BQ181" s="1397">
        <f ca="1">IF(B181&gt;=$J$5,0,(CONTADORES!AS183-CONTADORES!AS182))</f>
        <v>0</v>
      </c>
      <c r="BR181" s="1397">
        <f ca="1">IF(C181&gt;=$J$5,0,(CONTADORES!AT183-CONTADORES!AT182))</f>
        <v>0</v>
      </c>
      <c r="BS181" s="1398">
        <f ca="1">IF(B181&gt;=$J$5,0,CONTADORES!BR183-CONTADORES!BR182)/1000</f>
        <v>0</v>
      </c>
      <c r="BT181" s="1398">
        <f ca="1">IF(B181&gt;=$J$5,0,CONTADORES!BS183-CONTADORES!BS182)</f>
        <v>0</v>
      </c>
      <c r="BU181" s="1398">
        <f ca="1">IF(B181&gt;=$J$5,0,CONTADORES!BT183-CONTADORES!BT182)</f>
        <v>0</v>
      </c>
      <c r="BV181" s="1398">
        <f ca="1">IF(B181&gt;=$J$5,0,CONTADORES!BU183-CONTADORES!BU182)/1000</f>
        <v>0</v>
      </c>
      <c r="BW181" s="1398">
        <f ca="1">IF(B181&gt;=$J$5,0,CONTADORES!BV183-CONTADORES!BV182)/1000</f>
        <v>0</v>
      </c>
      <c r="BX181" s="1398">
        <f ca="1">IF(B181&gt;=$J$5,0,CONTADORES!BW183-CONTADORES!BW182)</f>
        <v>0</v>
      </c>
      <c r="BY181" s="1398">
        <f ca="1">IF(B181&gt;=$J$5,0,CONTADORES!BX183-CONTADORES!BX182)/1000</f>
        <v>0</v>
      </c>
      <c r="BZ181" s="1398">
        <f ca="1">IF(B181&gt;=$J$5,0,CONTADORES!BY183-CONTADORES!BY182)/1000</f>
        <v>0</v>
      </c>
      <c r="CA181" s="1398">
        <f ca="1">IF(B181&gt;=$J$5,0,CONTADORES!BZ183-CONTADORES!BZ182)</f>
        <v>0</v>
      </c>
      <c r="CB181" s="1398">
        <f ca="1">IF(B181&gt;=$J$5,0,(CONTADORES!CC183-CONTADORES!CC182)+(CONTADORES!CE183-CONTADORES!CE182))/1000</f>
        <v>0</v>
      </c>
      <c r="CC181" s="1398">
        <f ca="1">IF(B181&gt;=$J$5,0,(CONTADORES!CD183-CONTADORES!CD182)+(CONTADORES!CF183-CONTADORES!CF182))/1000</f>
        <v>0</v>
      </c>
      <c r="CD181" s="1398">
        <f ca="1">IF(B181&gt;=$J$5,0,CONTADORES!CA183-CONTADORES!CA182)</f>
        <v>0</v>
      </c>
      <c r="CE181" s="1398">
        <f ca="1">IF(B181&gt;=$J$5,0,CONTADORES!CB183-CONTADORES!CB182)</f>
        <v>0</v>
      </c>
      <c r="CF181" s="1398">
        <f t="shared" ca="1" si="83"/>
        <v>0</v>
      </c>
      <c r="CG181" s="1398">
        <f t="shared" ca="1" si="84"/>
        <v>0</v>
      </c>
      <c r="CH181" s="1398">
        <f t="shared" ca="1" si="85"/>
        <v>0</v>
      </c>
      <c r="CI181" s="1398">
        <f t="shared" ca="1" si="86"/>
        <v>0</v>
      </c>
      <c r="CJ181" s="1398">
        <f t="shared" ca="1" si="87"/>
        <v>0</v>
      </c>
      <c r="CK181" s="1398">
        <f t="shared" ca="1" si="88"/>
        <v>0</v>
      </c>
      <c r="CL181" s="1398">
        <f t="shared" ca="1" si="89"/>
        <v>0</v>
      </c>
      <c r="CM181" s="1398">
        <f t="shared" ca="1" si="90"/>
        <v>0</v>
      </c>
      <c r="CN181" s="1398">
        <f ca="1">IF(B181&gt;=$J$5,0,CONTADORES!CB183-CONTADORES!CB182)</f>
        <v>0</v>
      </c>
      <c r="CO181" s="1398">
        <f t="shared" ca="1" si="91"/>
        <v>0</v>
      </c>
      <c r="CP181" s="1398">
        <f t="shared" ca="1" si="92"/>
        <v>0</v>
      </c>
      <c r="CQ181" s="1398">
        <f t="shared" ca="1" si="93"/>
        <v>0</v>
      </c>
      <c r="CR181" s="1398">
        <f t="shared" ca="1" si="94"/>
        <v>0</v>
      </c>
      <c r="CS181" s="1448">
        <f ca="1">IF($B181&gt;=$J$5,0,CONTADORES!$BI183)</f>
        <v>0</v>
      </c>
      <c r="CT181" s="1369">
        <f>CONTADORES!E183</f>
        <v>0</v>
      </c>
      <c r="CU181" s="1369">
        <f>CONTADORES!CG183</f>
        <v>0</v>
      </c>
    </row>
    <row r="182" spans="2:99">
      <c r="B182" s="390">
        <v>45098</v>
      </c>
      <c r="C182" s="198">
        <f t="shared" ca="1" si="68"/>
        <v>0</v>
      </c>
      <c r="D182" s="196">
        <f ca="1">'CALCULO DE GAS'!D194</f>
        <v>0</v>
      </c>
      <c r="E182" s="196">
        <f ca="1">IF(B182&gt;=$J$5,0,(CONTADORES!$AD184-CONTADORES!$AD183)-$H182)</f>
        <v>0</v>
      </c>
      <c r="F182" s="198">
        <f t="shared" ca="1" si="96"/>
        <v>0</v>
      </c>
      <c r="G182" s="196">
        <f ca="1">IF(B182&gt;=$J$5,0,CONTADORES!$AF184-CONTADORES!$AF183)</f>
        <v>0</v>
      </c>
      <c r="H182" s="196">
        <f ca="1">IF(G182&gt;0,CONTADORES!$AE184-CONTADORES!$AE183,0)</f>
        <v>0</v>
      </c>
      <c r="I182" s="199">
        <f ca="1">IF(B182&gt;=$J$5,0,CONTADORES!$AB184-CONTADORES!$AB183)</f>
        <v>0</v>
      </c>
      <c r="J182" s="198">
        <f t="shared" ca="1" si="69"/>
        <v>0</v>
      </c>
      <c r="K182" s="196">
        <f ca="1">'CALCULO DE GAS'!E194</f>
        <v>0</v>
      </c>
      <c r="L182" s="1396">
        <f ca="1">IF(B182&gt;=$J$5,0,(CONTADORES!$Y184-CONTADORES!$Y183)-$O182)</f>
        <v>0</v>
      </c>
      <c r="M182" s="1396">
        <f t="shared" ca="1" si="98"/>
        <v>0</v>
      </c>
      <c r="N182" s="1396">
        <f ca="1">IF(B182&gt;=$J$5,0,CONTADORES!$AA184-CONTADORES!$AA183)</f>
        <v>0</v>
      </c>
      <c r="O182" s="1396">
        <f ca="1">IF(N182&gt;0,CONTADORES!$Z184-CONTADORES!$Z183,0)</f>
        <v>0</v>
      </c>
      <c r="P182" s="202">
        <f ca="1">IF(B182&gt;=$J$5,0,CONTADORES!$W184-CONTADORES!$W183)</f>
        <v>0</v>
      </c>
      <c r="Q182" s="202">
        <f ca="1">IF(B182&gt;=$J$5,0,CONTADORES!$B184-CONTADORES!$B183)</f>
        <v>0</v>
      </c>
      <c r="R182" s="196">
        <f t="shared" ca="1" si="70"/>
        <v>0</v>
      </c>
      <c r="S182" s="11">
        <f ca="1">IF(B182&gt;=$J$5,0,CONTADORES!$D184-CONTADORES!$D183)</f>
        <v>0</v>
      </c>
      <c r="T182" s="198">
        <f ca="1">IF(B182&gt;=$J$5,0,CONTADORES!$BB184-CONTADORES!$BB183)</f>
        <v>0</v>
      </c>
      <c r="U182" s="196">
        <f t="shared" ca="1" si="97"/>
        <v>0</v>
      </c>
      <c r="V182" s="199">
        <f ca="1">IF(B182&gt;=$J$5,0,CONTADORES!$BD184-CONTADORES!$BD183)</f>
        <v>0</v>
      </c>
      <c r="W182" s="1397">
        <f t="shared" ca="1" si="71"/>
        <v>0</v>
      </c>
      <c r="X182" s="1397">
        <f t="shared" ca="1" si="72"/>
        <v>0</v>
      </c>
      <c r="Y182" s="1398">
        <f t="shared" ca="1" si="73"/>
        <v>0</v>
      </c>
      <c r="Z182" s="1398">
        <f t="shared" ca="1" si="74"/>
        <v>0</v>
      </c>
      <c r="AA182" s="1398">
        <f t="shared" ca="1" si="75"/>
        <v>0</v>
      </c>
      <c r="AB182" s="1398">
        <f t="shared" ca="1" si="76"/>
        <v>0</v>
      </c>
      <c r="AC182" s="1397">
        <f t="shared" ca="1" si="77"/>
        <v>0</v>
      </c>
      <c r="AD182" s="1397">
        <f ca="1">IF(B182&gt;=$J$5,0,CONTADORES!H184-CONTADORES!H183)</f>
        <v>0</v>
      </c>
      <c r="AE182" s="1397">
        <f ca="1">IF(B182&gt;=$J$5,0,CONTADORES!J184-CONTADORES!J183)</f>
        <v>0</v>
      </c>
      <c r="AF182" s="1397">
        <f ca="1">IF(B182&gt;=$J$5,0,CONTADORES!AU184-CONTADORES!AU183)</f>
        <v>0</v>
      </c>
      <c r="AG182" s="1397">
        <f ca="1">IF(B182&gt;=$J$5,0,CONTADORES!AW184-CONTADORES!AW183)</f>
        <v>0</v>
      </c>
      <c r="AH182" s="1398">
        <f ca="1">IF(B182&gt;=$J$5,0,(CONTADORES!AM184-CONTADORES!AM183)+(CONTADORES!M184-CONTADORES!M183))</f>
        <v>0</v>
      </c>
      <c r="AI182" s="1397">
        <f ca="1">IF(B182&gt;=$J$5,0,(CONTADORES!AK184-CONTADORES!AK183)+(CONTADORES!O184-CONTADORES!O183))</f>
        <v>0</v>
      </c>
      <c r="AJ182" s="1397">
        <f ca="1">IF(B182&gt;=$J$5,0,(CONTADORES!AI184-CONTADORES!AI183))</f>
        <v>0</v>
      </c>
      <c r="AK182" s="1397">
        <f ca="1">IF(B182&gt;=$J$5,0,(CONTADORES!Q184-CONTADORES!Q183))</f>
        <v>0</v>
      </c>
      <c r="AL182" s="1450">
        <f t="shared" ca="1" si="78"/>
        <v>0</v>
      </c>
      <c r="AM182" s="1397">
        <f ca="1">IF(B182&gt;=$J$5,0,(((CONTADORES!F184-CONTADORES!F183)+(CONTADORES!AQ184-CONTADORES!AQ183))))-BS182-AF182-AN182-BV182-BY182-CD182-CB182</f>
        <v>0</v>
      </c>
      <c r="AN182" s="1397">
        <f ca="1">IF(B182&gt;=$J$5,0,(CONTADORES!AX184-CONTADORES!AX183)+(CONTADORES!AZ184-CONTADORES!AZ183)+(CONTADORES!BE184-CONTADORES!BE183))-CB182</f>
        <v>0</v>
      </c>
      <c r="AO182" s="1399">
        <f ca="1">IF(B181&gt;=$J$5,0,(CONTADORES!AC184-CONTADORES!AC183))</f>
        <v>0</v>
      </c>
      <c r="AP182" s="1409">
        <f ca="1">IF(B182&gt;=$J$5,0,(CONTADORES!X184-CONTADORES!X183))</f>
        <v>0</v>
      </c>
      <c r="AQ182" s="1409">
        <f ca="1">IF(B182&gt;=$J$5,0,(CONTADORES!C184-CONTADORES!C183))</f>
        <v>0</v>
      </c>
      <c r="AR182" s="1409">
        <f ca="1">IF(B182&gt;=$J$5,0,(CONTADORES!BC184-CONTADORES!BC183))</f>
        <v>0</v>
      </c>
      <c r="AS182" s="1409">
        <f ca="1">IF(B182&gt;=$J$5,0,CONTADORES!S184-CONTADORES!S183)</f>
        <v>0</v>
      </c>
      <c r="AT182" s="1409">
        <f ca="1">IF(B182&gt;=$J$5,0,(CONTADORES!U184-CONTADORES!U183)+(CONTADORES!AG184-CONTADORES!AG183))</f>
        <v>0</v>
      </c>
      <c r="AU182" s="1409">
        <f ca="1">IF(B182&gt;=$J$5,0,(CONTADORES!I184-CONTADORES!I183))</f>
        <v>0</v>
      </c>
      <c r="AV182" s="1409">
        <f ca="1">IF(B182&gt;=$J$5,0,(CONTADORES!AV184-CONTADORES!AV183))</f>
        <v>0</v>
      </c>
      <c r="AW182" s="1409">
        <f ca="1">IF(B182&gt;=$J$5,0,(CONTADORES!N184-CONTADORES!N183)+(CONTADORES!AN184-CONTADORES!AN183))</f>
        <v>0</v>
      </c>
      <c r="AX182" s="1409">
        <f ca="1">IF(B182&gt;=$J$5,0,(CONTADORES!P184-CONTADORES!P183)+(CONTADORES!AL184-CONTADORES!AL183))</f>
        <v>0</v>
      </c>
      <c r="AY182" s="1409">
        <f ca="1">IF(B182&gt;=$J$5,0,(CONTADORES!AJ184-CONTADORES!AJ183))</f>
        <v>0</v>
      </c>
      <c r="AZ182" s="1409">
        <f ca="1">IF(B182&gt;=$J$5,0,(CONTADORES!R184-CONTADORES!R183))</f>
        <v>0</v>
      </c>
      <c r="BA182" s="1398">
        <f t="shared" ca="1" si="79"/>
        <v>0</v>
      </c>
      <c r="BB182" s="1409">
        <f ca="1">IF(B182&gt;=$J$5,0,(((CONTADORES!G184-CONTADORES!G183)+(CONTADORES!AR184-CONTADORES!AR183)+AR182)-(AV182+BC182)))</f>
        <v>0</v>
      </c>
      <c r="BC182" s="1397">
        <f ca="1">IF(B182&gt;=$J$5,0,(CONTADORES!AY184-CONTADORES!AY183)+(CONTADORES!BA184-CONTADORES!BA183)+(CONTADORES!BF184-CONTADORES!BF183))</f>
        <v>0</v>
      </c>
      <c r="BD182" s="1397">
        <f t="shared" ca="1" si="80"/>
        <v>0</v>
      </c>
      <c r="BE182" s="1398">
        <f ca="1">IF($B182&gt;=$J$5,0,CONTADORES!$BG184)</f>
        <v>0</v>
      </c>
      <c r="BF182" s="1397">
        <f ca="1">IF($B182&gt;=$J$5,0,CONTADORES!$BH184)</f>
        <v>0</v>
      </c>
      <c r="BG182" s="1397">
        <f ca="1">IF($B182&gt;=$J$5,0,CONTADORES!$BJ184)</f>
        <v>0</v>
      </c>
      <c r="BH182" s="1397">
        <f ca="1">IF(B182&gt;=$J$5,0,((CONTADORES!BK184-CONTADORES!BK183)/1000))</f>
        <v>0</v>
      </c>
      <c r="BI182" s="1397">
        <f ca="1">IF(C182&gt;=$J$5,0,((CONTADORES!BL184-CONTADORES!BL183)/1000))</f>
        <v>0</v>
      </c>
      <c r="BJ182" s="1397">
        <f ca="1">IF(C182&gt;=$J$5,0,((CONTADORES!BM184-CONTADORES!BM183)/1000))</f>
        <v>0</v>
      </c>
      <c r="BK182" s="1397">
        <f ca="1">IF(B182&gt;=$J$5,0,((CONTADORES!BN184-CONTADORES!BN183)/1000))</f>
        <v>0</v>
      </c>
      <c r="BL182" s="1399">
        <f t="shared" ca="1" si="81"/>
        <v>0</v>
      </c>
      <c r="BM182" s="1399">
        <f t="shared" ca="1" si="82"/>
        <v>0</v>
      </c>
      <c r="BN182" s="1398">
        <f ca="1">IF(W182&gt;=$J$5,0,CONTADORES!$BO184)</f>
        <v>0</v>
      </c>
      <c r="BO182" s="1397">
        <f ca="1">IF(W182&gt;=$J$5,0,CONTADORES!$BP184)</f>
        <v>0</v>
      </c>
      <c r="BP182" s="1397">
        <f ca="1">IF(W182&gt;=$J$5,0,CONTADORES!$BQ184)</f>
        <v>0</v>
      </c>
      <c r="BQ182" s="1397">
        <f ca="1">IF(B182&gt;=$J$5,0,(CONTADORES!AS184-CONTADORES!AS183))</f>
        <v>0</v>
      </c>
      <c r="BR182" s="1397">
        <f ca="1">IF(C182&gt;=$J$5,0,(CONTADORES!AT184-CONTADORES!AT183))</f>
        <v>0</v>
      </c>
      <c r="BS182" s="1398">
        <f ca="1">IF(B182&gt;=$J$5,0,CONTADORES!BR184-CONTADORES!BR183)/1000</f>
        <v>0</v>
      </c>
      <c r="BT182" s="1398">
        <f ca="1">IF(B182&gt;=$J$5,0,CONTADORES!BS184-CONTADORES!BS183)</f>
        <v>0</v>
      </c>
      <c r="BU182" s="1398">
        <f ca="1">IF(B182&gt;=$J$5,0,CONTADORES!BT184-CONTADORES!BT183)</f>
        <v>0</v>
      </c>
      <c r="BV182" s="1398">
        <f ca="1">IF(B182&gt;=$J$5,0,CONTADORES!BU184-CONTADORES!BU183)/1000</f>
        <v>0</v>
      </c>
      <c r="BW182" s="1398">
        <f ca="1">IF(B182&gt;=$J$5,0,CONTADORES!BV184-CONTADORES!BV183)/1000</f>
        <v>0</v>
      </c>
      <c r="BX182" s="1398">
        <f ca="1">IF(B182&gt;=$J$5,0,CONTADORES!BW184-CONTADORES!BW183)</f>
        <v>0</v>
      </c>
      <c r="BY182" s="1398">
        <f ca="1">IF(B182&gt;=$J$5,0,CONTADORES!BX184-CONTADORES!BX183)/1000</f>
        <v>0</v>
      </c>
      <c r="BZ182" s="1398">
        <f ca="1">IF(B182&gt;=$J$5,0,CONTADORES!BY184-CONTADORES!BY183)/1000</f>
        <v>0</v>
      </c>
      <c r="CA182" s="1398">
        <f ca="1">IF(B182&gt;=$J$5,0,CONTADORES!BZ184-CONTADORES!BZ183)</f>
        <v>0</v>
      </c>
      <c r="CB182" s="1398">
        <f ca="1">IF(B182&gt;=$J$5,0,(CONTADORES!CC184-CONTADORES!CC183)+(CONTADORES!CE184-CONTADORES!CE183))/1000</f>
        <v>0</v>
      </c>
      <c r="CC182" s="1398">
        <f ca="1">IF(B182&gt;=$J$5,0,(CONTADORES!CD184-CONTADORES!CD183)+(CONTADORES!CF184-CONTADORES!CF183))/1000</f>
        <v>0</v>
      </c>
      <c r="CD182" s="1398">
        <f ca="1">IF(B182&gt;=$J$5,0,CONTADORES!CA184-CONTADORES!CA183)</f>
        <v>0</v>
      </c>
      <c r="CE182" s="1398">
        <f ca="1">IF(B182&gt;=$J$5,0,CONTADORES!CB184-CONTADORES!CB183)</f>
        <v>0</v>
      </c>
      <c r="CF182" s="1398">
        <f t="shared" ca="1" si="83"/>
        <v>0</v>
      </c>
      <c r="CG182" s="1398">
        <f t="shared" ca="1" si="84"/>
        <v>0</v>
      </c>
      <c r="CH182" s="1398">
        <f t="shared" ca="1" si="85"/>
        <v>0</v>
      </c>
      <c r="CI182" s="1398">
        <f t="shared" ca="1" si="86"/>
        <v>0</v>
      </c>
      <c r="CJ182" s="1398">
        <f t="shared" ca="1" si="87"/>
        <v>0</v>
      </c>
      <c r="CK182" s="1398">
        <f t="shared" ca="1" si="88"/>
        <v>0</v>
      </c>
      <c r="CL182" s="1398">
        <f t="shared" ca="1" si="89"/>
        <v>0</v>
      </c>
      <c r="CM182" s="1398">
        <f t="shared" ca="1" si="90"/>
        <v>0</v>
      </c>
      <c r="CN182" s="1398">
        <f ca="1">IF(B182&gt;=$J$5,0,CONTADORES!CB184-CONTADORES!CB183)</f>
        <v>0</v>
      </c>
      <c r="CO182" s="1398">
        <f t="shared" ca="1" si="91"/>
        <v>0</v>
      </c>
      <c r="CP182" s="1398">
        <f t="shared" ca="1" si="92"/>
        <v>0</v>
      </c>
      <c r="CQ182" s="1398">
        <f t="shared" ca="1" si="93"/>
        <v>0</v>
      </c>
      <c r="CR182" s="1398">
        <f t="shared" ca="1" si="94"/>
        <v>0</v>
      </c>
      <c r="CS182" s="1448">
        <f ca="1">IF($B182&gt;=$J$5,0,CONTADORES!$BI184)</f>
        <v>0</v>
      </c>
      <c r="CT182" s="1369">
        <f>CONTADORES!E184</f>
        <v>0</v>
      </c>
      <c r="CU182" s="1369">
        <f>CONTADORES!CG184</f>
        <v>0</v>
      </c>
    </row>
    <row r="183" spans="2:99">
      <c r="B183" s="390">
        <v>45099</v>
      </c>
      <c r="C183" s="198">
        <f t="shared" ca="1" si="68"/>
        <v>0</v>
      </c>
      <c r="D183" s="196">
        <f ca="1">'CALCULO DE GAS'!D195</f>
        <v>0</v>
      </c>
      <c r="E183" s="196">
        <f ca="1">IF(B183&gt;=$J$5,0,(CONTADORES!$AD185-CONTADORES!$AD184)-$H183)</f>
        <v>0</v>
      </c>
      <c r="F183" s="198">
        <f t="shared" ref="F183:F196" ca="1" si="99">IF(H183=0,0,"ERROR")</f>
        <v>0</v>
      </c>
      <c r="G183" s="196">
        <f ca="1">IF(B183&gt;=$J$5,0,CONTADORES!$AF185-CONTADORES!$AF184)</f>
        <v>0</v>
      </c>
      <c r="H183" s="196">
        <f ca="1">IF(G183&gt;0,CONTADORES!$AE185-CONTADORES!$AE184,0)</f>
        <v>0</v>
      </c>
      <c r="I183" s="199">
        <f ca="1">IF(B183&gt;=$J$5,0,CONTADORES!$AB185-CONTADORES!$AB184)</f>
        <v>0</v>
      </c>
      <c r="J183" s="198">
        <f t="shared" ca="1" si="69"/>
        <v>0</v>
      </c>
      <c r="K183" s="196">
        <f ca="1">'CALCULO DE GAS'!E195</f>
        <v>0</v>
      </c>
      <c r="L183" s="1396">
        <f ca="1">IF(B183&gt;=$J$5,0,(CONTADORES!$Y185-CONTADORES!$Y184)-$O183)</f>
        <v>0</v>
      </c>
      <c r="M183" s="1396">
        <f t="shared" ca="1" si="98"/>
        <v>0</v>
      </c>
      <c r="N183" s="1396">
        <f ca="1">IF(B183&gt;=$J$5,0,CONTADORES!$AA185-CONTADORES!$AA184)</f>
        <v>0</v>
      </c>
      <c r="O183" s="1396">
        <f ca="1">IF(N183&gt;0,CONTADORES!$Z185-CONTADORES!$Z184,0)</f>
        <v>0</v>
      </c>
      <c r="P183" s="202">
        <f ca="1">IF(B183&gt;=$J$5,0,CONTADORES!$W185-CONTADORES!$W184)</f>
        <v>0</v>
      </c>
      <c r="Q183" s="202">
        <f ca="1">IF(B183&gt;=$J$5,0,CONTADORES!$B185-CONTADORES!$B184)</f>
        <v>0</v>
      </c>
      <c r="R183" s="196">
        <f t="shared" ca="1" si="70"/>
        <v>0</v>
      </c>
      <c r="S183" s="11">
        <f ca="1">IF(B183&gt;=$J$5,0,CONTADORES!$D185-CONTADORES!$D184)</f>
        <v>0</v>
      </c>
      <c r="T183" s="198">
        <f ca="1">IF(B183&gt;=$J$5,0,CONTADORES!$BB185-CONTADORES!$BB184)</f>
        <v>0</v>
      </c>
      <c r="U183" s="196">
        <f t="shared" ca="1" si="97"/>
        <v>0</v>
      </c>
      <c r="V183" s="199">
        <f ca="1">IF(B183&gt;=$J$5,0,CONTADORES!$BD185-CONTADORES!$BD184)</f>
        <v>0</v>
      </c>
      <c r="W183" s="1397">
        <f t="shared" ca="1" si="71"/>
        <v>0</v>
      </c>
      <c r="X183" s="1397">
        <f t="shared" ca="1" si="72"/>
        <v>0</v>
      </c>
      <c r="Y183" s="1398">
        <f t="shared" ca="1" si="73"/>
        <v>0</v>
      </c>
      <c r="Z183" s="1398">
        <f t="shared" ca="1" si="74"/>
        <v>0</v>
      </c>
      <c r="AA183" s="1398">
        <f t="shared" ca="1" si="75"/>
        <v>0</v>
      </c>
      <c r="AB183" s="1398">
        <f t="shared" ca="1" si="76"/>
        <v>0</v>
      </c>
      <c r="AC183" s="1397">
        <f t="shared" ca="1" si="77"/>
        <v>0</v>
      </c>
      <c r="AD183" s="1397">
        <f ca="1">IF(B183&gt;=$J$5,0,CONTADORES!H185-CONTADORES!H184)</f>
        <v>0</v>
      </c>
      <c r="AE183" s="1397">
        <f ca="1">IF(B183&gt;=$J$5,0,CONTADORES!J185-CONTADORES!J184)</f>
        <v>0</v>
      </c>
      <c r="AF183" s="1397">
        <f ca="1">IF(B183&gt;=$J$5,0,CONTADORES!AU185-CONTADORES!AU184)</f>
        <v>0</v>
      </c>
      <c r="AG183" s="1397">
        <f ca="1">IF(B183&gt;=$J$5,0,CONTADORES!AW185-CONTADORES!AW184)</f>
        <v>0</v>
      </c>
      <c r="AH183" s="1398">
        <f ca="1">IF(B183&gt;=$J$5,0,(CONTADORES!AM185-CONTADORES!AM184)+(CONTADORES!M185-CONTADORES!M184))</f>
        <v>0</v>
      </c>
      <c r="AI183" s="1397">
        <f ca="1">IF(B183&gt;=$J$5,0,(CONTADORES!AK185-CONTADORES!AK184)+(CONTADORES!O185-CONTADORES!O184))</f>
        <v>0</v>
      </c>
      <c r="AJ183" s="1397">
        <f ca="1">IF(B183&gt;=$J$5,0,(CONTADORES!AI185-CONTADORES!AI184))</f>
        <v>0</v>
      </c>
      <c r="AK183" s="1397">
        <f ca="1">IF(B183&gt;=$J$5,0,(CONTADORES!Q185-CONTADORES!Q184))</f>
        <v>0</v>
      </c>
      <c r="AL183" s="1450">
        <f t="shared" ca="1" si="78"/>
        <v>0</v>
      </c>
      <c r="AM183" s="1397">
        <f ca="1">IF(B183&gt;=$J$5,0,(((CONTADORES!F185-CONTADORES!F184)+(CONTADORES!AQ185-CONTADORES!AQ184))))-BS183-AF183-AN183-BV183-BY183-CD183-CB183</f>
        <v>0</v>
      </c>
      <c r="AN183" s="1397">
        <f ca="1">IF(B183&gt;=$J$5,0,(CONTADORES!AX185-CONTADORES!AX184)+(CONTADORES!AZ185-CONTADORES!AZ184)+(CONTADORES!BE185-CONTADORES!BE184))-CB183</f>
        <v>0</v>
      </c>
      <c r="AO183" s="1399">
        <f ca="1">IF(B182&gt;=$J$5,0,(CONTADORES!AC185-CONTADORES!AC184))</f>
        <v>0</v>
      </c>
      <c r="AP183" s="1409">
        <f ca="1">IF(B183&gt;=$J$5,0,(CONTADORES!X185-CONTADORES!X184))</f>
        <v>0</v>
      </c>
      <c r="AQ183" s="1409">
        <f ca="1">IF(B183&gt;=$J$5,0,(CONTADORES!C185-CONTADORES!C184))</f>
        <v>0</v>
      </c>
      <c r="AR183" s="1409">
        <f ca="1">IF(B183&gt;=$J$5,0,(CONTADORES!BC185-CONTADORES!BC184))</f>
        <v>0</v>
      </c>
      <c r="AS183" s="1409">
        <f ca="1">IF(B183&gt;=$J$5,0,CONTADORES!S185-CONTADORES!S184)</f>
        <v>0</v>
      </c>
      <c r="AT183" s="1409">
        <f ca="1">IF(B183&gt;=$J$5,0,(CONTADORES!U185-CONTADORES!U184)+(CONTADORES!AG185-CONTADORES!AG184))</f>
        <v>0</v>
      </c>
      <c r="AU183" s="1409">
        <f ca="1">IF(B183&gt;=$J$5,0,(CONTADORES!I185-CONTADORES!I184))</f>
        <v>0</v>
      </c>
      <c r="AV183" s="1409">
        <f ca="1">IF(B183&gt;=$J$5,0,(CONTADORES!AV185-CONTADORES!AV184))</f>
        <v>0</v>
      </c>
      <c r="AW183" s="1409">
        <f ca="1">IF(B183&gt;=$J$5,0,(CONTADORES!N185-CONTADORES!N184)+(CONTADORES!AN185-CONTADORES!AN184))</f>
        <v>0</v>
      </c>
      <c r="AX183" s="1409">
        <f ca="1">IF(B183&gt;=$J$5,0,(CONTADORES!P185-CONTADORES!P184)+(CONTADORES!AL185-CONTADORES!AL184))</f>
        <v>0</v>
      </c>
      <c r="AY183" s="1409">
        <f ca="1">IF(B183&gt;=$J$5,0,(CONTADORES!AJ185-CONTADORES!AJ184))</f>
        <v>0</v>
      </c>
      <c r="AZ183" s="1409">
        <f ca="1">IF(B183&gt;=$J$5,0,(CONTADORES!R185-CONTADORES!R184))</f>
        <v>0</v>
      </c>
      <c r="BA183" s="1398">
        <f t="shared" ca="1" si="79"/>
        <v>0</v>
      </c>
      <c r="BB183" s="1409">
        <f ca="1">IF(B183&gt;=$J$5,0,(((CONTADORES!G185-CONTADORES!G184)+(CONTADORES!AR185-CONTADORES!AR184)+AR183)-(AV183+BC183)))</f>
        <v>0</v>
      </c>
      <c r="BC183" s="1397">
        <f ca="1">IF(B183&gt;=$J$5,0,(CONTADORES!AY185-CONTADORES!AY184)+(CONTADORES!BA185-CONTADORES!BA184)+(CONTADORES!BF185-CONTADORES!BF184))</f>
        <v>0</v>
      </c>
      <c r="BD183" s="1397">
        <f t="shared" ca="1" si="80"/>
        <v>0</v>
      </c>
      <c r="BE183" s="1398">
        <f ca="1">IF($B183&gt;=$J$5,0,CONTADORES!$BG185)</f>
        <v>0</v>
      </c>
      <c r="BF183" s="1397">
        <f ca="1">IF($B183&gt;=$J$5,0,CONTADORES!$BH185)</f>
        <v>0</v>
      </c>
      <c r="BG183" s="1397">
        <f ca="1">IF($B183&gt;=$J$5,0,CONTADORES!$BJ185)</f>
        <v>0</v>
      </c>
      <c r="BH183" s="1397">
        <f ca="1">IF(B183&gt;=$J$5,0,((CONTADORES!BK185-CONTADORES!BK184)/1000))</f>
        <v>0</v>
      </c>
      <c r="BI183" s="1397">
        <f ca="1">IF(C183&gt;=$J$5,0,((CONTADORES!BL185-CONTADORES!BL184)/1000))</f>
        <v>0</v>
      </c>
      <c r="BJ183" s="1397">
        <f ca="1">IF(C183&gt;=$J$5,0,((CONTADORES!BM185-CONTADORES!BM184)/1000))</f>
        <v>0</v>
      </c>
      <c r="BK183" s="1397">
        <f ca="1">IF(B183&gt;=$J$5,0,((CONTADORES!BN185-CONTADORES!BN184)/1000))</f>
        <v>0</v>
      </c>
      <c r="BL183" s="1399">
        <f t="shared" ca="1" si="81"/>
        <v>0</v>
      </c>
      <c r="BM183" s="1399">
        <f t="shared" ca="1" si="82"/>
        <v>0</v>
      </c>
      <c r="BN183" s="1398">
        <f ca="1">IF(W183&gt;=$J$5,0,CONTADORES!$BO185)</f>
        <v>0</v>
      </c>
      <c r="BO183" s="1397">
        <f ca="1">IF(W183&gt;=$J$5,0,CONTADORES!$BP185)</f>
        <v>0</v>
      </c>
      <c r="BP183" s="1397">
        <f ca="1">IF(W183&gt;=$J$5,0,CONTADORES!$BQ185)</f>
        <v>0</v>
      </c>
      <c r="BQ183" s="1397">
        <f ca="1">IF(B183&gt;=$J$5,0,(CONTADORES!AS185-CONTADORES!AS184))</f>
        <v>0</v>
      </c>
      <c r="BR183" s="1397">
        <f ca="1">IF(C183&gt;=$J$5,0,(CONTADORES!AT185-CONTADORES!AT184))</f>
        <v>0</v>
      </c>
      <c r="BS183" s="1398">
        <f ca="1">IF(B183&gt;=$J$5,0,CONTADORES!BR185-CONTADORES!BR184)/1000</f>
        <v>0</v>
      </c>
      <c r="BT183" s="1398">
        <f ca="1">IF(B183&gt;=$J$5,0,CONTADORES!BS185-CONTADORES!BS184)</f>
        <v>0</v>
      </c>
      <c r="BU183" s="1398">
        <f ca="1">IF(B183&gt;=$J$5,0,CONTADORES!BT185-CONTADORES!BT184)</f>
        <v>0</v>
      </c>
      <c r="BV183" s="1398">
        <f ca="1">IF(B183&gt;=$J$5,0,CONTADORES!BU185-CONTADORES!BU184)/1000</f>
        <v>0</v>
      </c>
      <c r="BW183" s="1398">
        <f ca="1">IF(B183&gt;=$J$5,0,CONTADORES!BV185-CONTADORES!BV184)/1000</f>
        <v>0</v>
      </c>
      <c r="BX183" s="1398">
        <f ca="1">IF(B183&gt;=$J$5,0,CONTADORES!BW185-CONTADORES!BW184)</f>
        <v>0</v>
      </c>
      <c r="BY183" s="1398">
        <f ca="1">IF(B183&gt;=$J$5,0,CONTADORES!BX185-CONTADORES!BX184)/1000</f>
        <v>0</v>
      </c>
      <c r="BZ183" s="1398">
        <f ca="1">IF(B183&gt;=$J$5,0,CONTADORES!BY185-CONTADORES!BY184)/1000</f>
        <v>0</v>
      </c>
      <c r="CA183" s="1398">
        <f ca="1">IF(B183&gt;=$J$5,0,CONTADORES!BZ185-CONTADORES!BZ184)</f>
        <v>0</v>
      </c>
      <c r="CB183" s="1398">
        <f ca="1">IF(B183&gt;=$J$5,0,(CONTADORES!CC185-CONTADORES!CC184)+(CONTADORES!CE185-CONTADORES!CE184))/1000</f>
        <v>0</v>
      </c>
      <c r="CC183" s="1398">
        <f ca="1">IF(B183&gt;=$J$5,0,(CONTADORES!CD185-CONTADORES!CD184)+(CONTADORES!CF185-CONTADORES!CF184))/1000</f>
        <v>0</v>
      </c>
      <c r="CD183" s="1398">
        <f ca="1">IF(B183&gt;=$J$5,0,CONTADORES!CA185-CONTADORES!CA184)</f>
        <v>0</v>
      </c>
      <c r="CE183" s="1398">
        <f ca="1">IF(B183&gt;=$J$5,0,CONTADORES!CB185-CONTADORES!CB184)</f>
        <v>0</v>
      </c>
      <c r="CF183" s="1398">
        <f t="shared" ca="1" si="83"/>
        <v>0</v>
      </c>
      <c r="CG183" s="1398">
        <f t="shared" ca="1" si="84"/>
        <v>0</v>
      </c>
      <c r="CH183" s="1398">
        <f t="shared" ca="1" si="85"/>
        <v>0</v>
      </c>
      <c r="CI183" s="1398">
        <f t="shared" ca="1" si="86"/>
        <v>0</v>
      </c>
      <c r="CJ183" s="1398">
        <f t="shared" ca="1" si="87"/>
        <v>0</v>
      </c>
      <c r="CK183" s="1398">
        <f t="shared" ca="1" si="88"/>
        <v>0</v>
      </c>
      <c r="CL183" s="1398">
        <f t="shared" ca="1" si="89"/>
        <v>0</v>
      </c>
      <c r="CM183" s="1398">
        <f t="shared" ca="1" si="90"/>
        <v>0</v>
      </c>
      <c r="CN183" s="1398">
        <f ca="1">IF(B183&gt;=$J$5,0,CONTADORES!CB185-CONTADORES!CB184)</f>
        <v>0</v>
      </c>
      <c r="CO183" s="1398">
        <f t="shared" ca="1" si="91"/>
        <v>0</v>
      </c>
      <c r="CP183" s="1398">
        <f t="shared" ca="1" si="92"/>
        <v>0</v>
      </c>
      <c r="CQ183" s="1398">
        <f t="shared" ca="1" si="93"/>
        <v>0</v>
      </c>
      <c r="CR183" s="1398">
        <f t="shared" ca="1" si="94"/>
        <v>0</v>
      </c>
      <c r="CS183" s="1448">
        <f ca="1">IF($B183&gt;=$J$5,0,CONTADORES!$BI185)</f>
        <v>0</v>
      </c>
      <c r="CT183" s="1369">
        <f>CONTADORES!E185</f>
        <v>0</v>
      </c>
      <c r="CU183" s="1369">
        <f>CONTADORES!CG185</f>
        <v>0</v>
      </c>
    </row>
    <row r="184" spans="2:99">
      <c r="B184" s="390">
        <v>45100</v>
      </c>
      <c r="C184" s="198">
        <f t="shared" ca="1" si="68"/>
        <v>0</v>
      </c>
      <c r="D184" s="196">
        <f ca="1">'CALCULO DE GAS'!D196</f>
        <v>0</v>
      </c>
      <c r="E184" s="196">
        <f ca="1">IF(B184&gt;=$J$5,0,(CONTADORES!$AD186-CONTADORES!$AD185)-$H184)</f>
        <v>0</v>
      </c>
      <c r="F184" s="198">
        <f t="shared" ca="1" si="99"/>
        <v>0</v>
      </c>
      <c r="G184" s="196">
        <f ca="1">IF(B184&gt;=$J$5,0,CONTADORES!$AF186-CONTADORES!$AF185)</f>
        <v>0</v>
      </c>
      <c r="H184" s="196">
        <f ca="1">IF(G184&gt;0,CONTADORES!$AE186-CONTADORES!$AE185,0)</f>
        <v>0</v>
      </c>
      <c r="I184" s="199">
        <f ca="1">IF(B184&gt;=$J$5,0,CONTADORES!$AB186-CONTADORES!$AB185)</f>
        <v>0</v>
      </c>
      <c r="J184" s="198">
        <f t="shared" ca="1" si="69"/>
        <v>0</v>
      </c>
      <c r="K184" s="196">
        <f ca="1">'CALCULO DE GAS'!E196</f>
        <v>0</v>
      </c>
      <c r="L184" s="1396">
        <f ca="1">IF(B184&gt;=$J$5,0,(CONTADORES!$Y186-CONTADORES!$Y185)-$O184)</f>
        <v>0</v>
      </c>
      <c r="M184" s="1396">
        <f t="shared" ca="1" si="98"/>
        <v>0</v>
      </c>
      <c r="N184" s="1396">
        <f ca="1">IF(B184&gt;=$J$5,0,CONTADORES!$AA186-CONTADORES!$AA185)</f>
        <v>0</v>
      </c>
      <c r="O184" s="1396">
        <f ca="1">IF(N184&gt;0,CONTADORES!$Z186-CONTADORES!$Z185,0)</f>
        <v>0</v>
      </c>
      <c r="P184" s="202">
        <f ca="1">IF(B184&gt;=$J$5,0,CONTADORES!$W186-CONTADORES!$W185)</f>
        <v>0</v>
      </c>
      <c r="Q184" s="202">
        <f ca="1">IF(B184&gt;=$J$5,0,CONTADORES!$B186-CONTADORES!$B185)</f>
        <v>0</v>
      </c>
      <c r="R184" s="196">
        <f t="shared" ca="1" si="70"/>
        <v>0</v>
      </c>
      <c r="S184" s="11">
        <f ca="1">IF(B184&gt;=$J$5,0,CONTADORES!$D186-CONTADORES!$D185)</f>
        <v>0</v>
      </c>
      <c r="T184" s="198">
        <f ca="1">IF(B184&gt;=$J$5,0,CONTADORES!$BB186-CONTADORES!$BB185)</f>
        <v>0</v>
      </c>
      <c r="U184" s="196">
        <f t="shared" ca="1" si="97"/>
        <v>0</v>
      </c>
      <c r="V184" s="199">
        <f ca="1">IF(B184&gt;=$J$5,0,CONTADORES!$BD186-CONTADORES!$BD185)</f>
        <v>0</v>
      </c>
      <c r="W184" s="1397">
        <f t="shared" ca="1" si="71"/>
        <v>0</v>
      </c>
      <c r="X184" s="1397">
        <f t="shared" ca="1" si="72"/>
        <v>0</v>
      </c>
      <c r="Y184" s="1398">
        <f t="shared" ca="1" si="73"/>
        <v>0</v>
      </c>
      <c r="Z184" s="1398">
        <f t="shared" ca="1" si="74"/>
        <v>0</v>
      </c>
      <c r="AA184" s="1398">
        <f t="shared" ca="1" si="75"/>
        <v>0</v>
      </c>
      <c r="AB184" s="1398">
        <f t="shared" ca="1" si="76"/>
        <v>0</v>
      </c>
      <c r="AC184" s="1397">
        <f t="shared" ca="1" si="77"/>
        <v>0</v>
      </c>
      <c r="AD184" s="1397">
        <f ca="1">IF(B184&gt;=$J$5,0,CONTADORES!H186-CONTADORES!H185)</f>
        <v>0</v>
      </c>
      <c r="AE184" s="1397">
        <f ca="1">IF(B184&gt;=$J$5,0,CONTADORES!J186-CONTADORES!J185)</f>
        <v>0</v>
      </c>
      <c r="AF184" s="1397">
        <f ca="1">IF(B184&gt;=$J$5,0,CONTADORES!AU186-CONTADORES!AU185)</f>
        <v>0</v>
      </c>
      <c r="AG184" s="1397">
        <f ca="1">IF(B184&gt;=$J$5,0,CONTADORES!AW186-CONTADORES!AW185)</f>
        <v>0</v>
      </c>
      <c r="AH184" s="1398">
        <f ca="1">IF(B184&gt;=$J$5,0,(CONTADORES!AM186-CONTADORES!AM185)+(CONTADORES!M186-CONTADORES!M185))</f>
        <v>0</v>
      </c>
      <c r="AI184" s="1397">
        <f ca="1">IF(B184&gt;=$J$5,0,(CONTADORES!AK186-CONTADORES!AK185)+(CONTADORES!O186-CONTADORES!O185))</f>
        <v>0</v>
      </c>
      <c r="AJ184" s="1397">
        <f ca="1">IF(B184&gt;=$J$5,0,(CONTADORES!AI186-CONTADORES!AI185))</f>
        <v>0</v>
      </c>
      <c r="AK184" s="1397">
        <f ca="1">IF(B184&gt;=$J$5,0,(CONTADORES!Q186-CONTADORES!Q185))</f>
        <v>0</v>
      </c>
      <c r="AL184" s="1450">
        <f t="shared" ca="1" si="78"/>
        <v>0</v>
      </c>
      <c r="AM184" s="1397">
        <f ca="1">IF(B184&gt;=$J$5,0,(((CONTADORES!F186-CONTADORES!F185)+(CONTADORES!AQ186-CONTADORES!AQ185))))-BS184-AF184-AN184-BV184-BY184-CD184-CB184</f>
        <v>0</v>
      </c>
      <c r="AN184" s="1397">
        <f ca="1">IF(B184&gt;=$J$5,0,(CONTADORES!AX186-CONTADORES!AX185)+(CONTADORES!AZ186-CONTADORES!AZ185)+(CONTADORES!BE186-CONTADORES!BE185))-CB184</f>
        <v>0</v>
      </c>
      <c r="AO184" s="1399">
        <f ca="1">IF(B183&gt;=$J$5,0,(CONTADORES!AC186-CONTADORES!AC185))</f>
        <v>0</v>
      </c>
      <c r="AP184" s="1409">
        <f ca="1">IF(B184&gt;=$J$5,0,(CONTADORES!X186-CONTADORES!X185))</f>
        <v>0</v>
      </c>
      <c r="AQ184" s="1409">
        <f ca="1">IF(B184&gt;=$J$5,0,(CONTADORES!C186-CONTADORES!C185))</f>
        <v>0</v>
      </c>
      <c r="AR184" s="1409">
        <f ca="1">IF(B184&gt;=$J$5,0,(CONTADORES!BC186-CONTADORES!BC185))</f>
        <v>0</v>
      </c>
      <c r="AS184" s="1409">
        <f ca="1">IF(B184&gt;=$J$5,0,CONTADORES!S186-CONTADORES!S185)</f>
        <v>0</v>
      </c>
      <c r="AT184" s="1409">
        <f ca="1">IF(B184&gt;=$J$5,0,(CONTADORES!U186-CONTADORES!U185)+(CONTADORES!AG186-CONTADORES!AG185))</f>
        <v>0</v>
      </c>
      <c r="AU184" s="1409">
        <f ca="1">IF(B184&gt;=$J$5,0,(CONTADORES!I186-CONTADORES!I185))</f>
        <v>0</v>
      </c>
      <c r="AV184" s="1409">
        <f ca="1">IF(B184&gt;=$J$5,0,(CONTADORES!AV186-CONTADORES!AV185))</f>
        <v>0</v>
      </c>
      <c r="AW184" s="1409">
        <f ca="1">IF(B184&gt;=$J$5,0,(CONTADORES!N186-CONTADORES!N185)+(CONTADORES!AN186-CONTADORES!AN185))</f>
        <v>0</v>
      </c>
      <c r="AX184" s="1409">
        <f ca="1">IF(B184&gt;=$J$5,0,(CONTADORES!P186-CONTADORES!P185)+(CONTADORES!AL186-CONTADORES!AL185))</f>
        <v>0</v>
      </c>
      <c r="AY184" s="1409">
        <f ca="1">IF(B184&gt;=$J$5,0,(CONTADORES!AJ186-CONTADORES!AJ185))</f>
        <v>0</v>
      </c>
      <c r="AZ184" s="1409">
        <f ca="1">IF(B184&gt;=$J$5,0,(CONTADORES!R186-CONTADORES!R185))</f>
        <v>0</v>
      </c>
      <c r="BA184" s="1398">
        <f t="shared" ca="1" si="79"/>
        <v>0</v>
      </c>
      <c r="BB184" s="1409">
        <f ca="1">IF(B184&gt;=$J$5,0,(((CONTADORES!G186-CONTADORES!G185)+(CONTADORES!AR186-CONTADORES!AR185)+AR184)-(AV184+BC184)))</f>
        <v>0</v>
      </c>
      <c r="BC184" s="1397">
        <f ca="1">IF(B184&gt;=$J$5,0,(CONTADORES!AY186-CONTADORES!AY185)+(CONTADORES!BA186-CONTADORES!BA185)+(CONTADORES!BF186-CONTADORES!BF185))</f>
        <v>0</v>
      </c>
      <c r="BD184" s="1397">
        <f t="shared" ca="1" si="80"/>
        <v>0</v>
      </c>
      <c r="BE184" s="1398">
        <f ca="1">IF($B184&gt;=$J$5,0,CONTADORES!$BG186)</f>
        <v>0</v>
      </c>
      <c r="BF184" s="1397">
        <f ca="1">IF($B184&gt;=$J$5,0,CONTADORES!$BH186)</f>
        <v>0</v>
      </c>
      <c r="BG184" s="1397">
        <f ca="1">IF($B184&gt;=$J$5,0,CONTADORES!$BJ186)</f>
        <v>0</v>
      </c>
      <c r="BH184" s="1397">
        <f ca="1">IF(B184&gt;=$J$5,0,((CONTADORES!BK186-CONTADORES!BK185)/1000))</f>
        <v>0</v>
      </c>
      <c r="BI184" s="1397">
        <f ca="1">IF(C184&gt;=$J$5,0,((CONTADORES!BL186-CONTADORES!BL185)/1000))</f>
        <v>0</v>
      </c>
      <c r="BJ184" s="1397">
        <f ca="1">IF(C184&gt;=$J$5,0,((CONTADORES!BM186-CONTADORES!BM185)/1000))</f>
        <v>0</v>
      </c>
      <c r="BK184" s="1397">
        <f ca="1">IF(B184&gt;=$J$5,0,((CONTADORES!BN186-CONTADORES!BN185)/1000))</f>
        <v>0</v>
      </c>
      <c r="BL184" s="1399">
        <f t="shared" ca="1" si="81"/>
        <v>0</v>
      </c>
      <c r="BM184" s="1399">
        <f t="shared" ca="1" si="82"/>
        <v>0</v>
      </c>
      <c r="BN184" s="1398">
        <f ca="1">IF(W184&gt;=$J$5,0,CONTADORES!$BO186)</f>
        <v>0</v>
      </c>
      <c r="BO184" s="1397">
        <f ca="1">IF(W184&gt;=$J$5,0,CONTADORES!$BP186)</f>
        <v>0</v>
      </c>
      <c r="BP184" s="1397">
        <f ca="1">IF(W184&gt;=$J$5,0,CONTADORES!$BQ186)</f>
        <v>0</v>
      </c>
      <c r="BQ184" s="1397">
        <f ca="1">IF(B184&gt;=$J$5,0,(CONTADORES!AS186-CONTADORES!AS185))</f>
        <v>0</v>
      </c>
      <c r="BR184" s="1397">
        <f ca="1">IF(C184&gt;=$J$5,0,(CONTADORES!AT186-CONTADORES!AT185))</f>
        <v>0</v>
      </c>
      <c r="BS184" s="1398">
        <f ca="1">IF(B184&gt;=$J$5,0,CONTADORES!BR186-CONTADORES!BR185)/1000</f>
        <v>0</v>
      </c>
      <c r="BT184" s="1398">
        <f ca="1">IF(B184&gt;=$J$5,0,CONTADORES!BS186-CONTADORES!BS185)</f>
        <v>0</v>
      </c>
      <c r="BU184" s="1398">
        <f ca="1">IF(B184&gt;=$J$5,0,CONTADORES!BT186-CONTADORES!BT185)</f>
        <v>0</v>
      </c>
      <c r="BV184" s="1398">
        <f ca="1">IF(B184&gt;=$J$5,0,CONTADORES!BU186-CONTADORES!BU185)/1000</f>
        <v>0</v>
      </c>
      <c r="BW184" s="1398">
        <f ca="1">IF(B184&gt;=$J$5,0,CONTADORES!BV186-CONTADORES!BV185)/1000</f>
        <v>0</v>
      </c>
      <c r="BX184" s="1398">
        <f ca="1">IF(B184&gt;=$J$5,0,CONTADORES!BW186-CONTADORES!BW185)</f>
        <v>0</v>
      </c>
      <c r="BY184" s="1398">
        <f ca="1">IF(B184&gt;=$J$5,0,CONTADORES!BX186-CONTADORES!BX185)/1000</f>
        <v>0</v>
      </c>
      <c r="BZ184" s="1398">
        <f ca="1">IF(B184&gt;=$J$5,0,CONTADORES!BY186-CONTADORES!BY185)/1000</f>
        <v>0</v>
      </c>
      <c r="CA184" s="1398">
        <f ca="1">IF(B184&gt;=$J$5,0,CONTADORES!BZ186-CONTADORES!BZ185)</f>
        <v>0</v>
      </c>
      <c r="CB184" s="1398">
        <f ca="1">IF(B184&gt;=$J$5,0,(CONTADORES!CC186-CONTADORES!CC185)+(CONTADORES!CE186-CONTADORES!CE185))/1000</f>
        <v>0</v>
      </c>
      <c r="CC184" s="1398">
        <f ca="1">IF(B184&gt;=$J$5,0,(CONTADORES!CD186-CONTADORES!CD185)+(CONTADORES!CF186-CONTADORES!CF185))/1000</f>
        <v>0</v>
      </c>
      <c r="CD184" s="1398">
        <f ca="1">IF(B184&gt;=$J$5,0,CONTADORES!CA186-CONTADORES!CA185)</f>
        <v>0</v>
      </c>
      <c r="CE184" s="1398">
        <f ca="1">IF(B184&gt;=$J$5,0,CONTADORES!CB186-CONTADORES!CB185)</f>
        <v>0</v>
      </c>
      <c r="CF184" s="1398">
        <f t="shared" ca="1" si="83"/>
        <v>0</v>
      </c>
      <c r="CG184" s="1398">
        <f t="shared" ca="1" si="84"/>
        <v>0</v>
      </c>
      <c r="CH184" s="1398">
        <f t="shared" ca="1" si="85"/>
        <v>0</v>
      </c>
      <c r="CI184" s="1398">
        <f t="shared" ca="1" si="86"/>
        <v>0</v>
      </c>
      <c r="CJ184" s="1398">
        <f t="shared" ca="1" si="87"/>
        <v>0</v>
      </c>
      <c r="CK184" s="1398">
        <f t="shared" ca="1" si="88"/>
        <v>0</v>
      </c>
      <c r="CL184" s="1398">
        <f t="shared" ca="1" si="89"/>
        <v>0</v>
      </c>
      <c r="CM184" s="1398">
        <f t="shared" ca="1" si="90"/>
        <v>0</v>
      </c>
      <c r="CN184" s="1398">
        <f ca="1">IF(B184&gt;=$J$5,0,CONTADORES!CB186-CONTADORES!CB185)</f>
        <v>0</v>
      </c>
      <c r="CO184" s="1398">
        <f t="shared" ca="1" si="91"/>
        <v>0</v>
      </c>
      <c r="CP184" s="1398">
        <f t="shared" ca="1" si="92"/>
        <v>0</v>
      </c>
      <c r="CQ184" s="1398">
        <f t="shared" ca="1" si="93"/>
        <v>0</v>
      </c>
      <c r="CR184" s="1398">
        <f t="shared" ca="1" si="94"/>
        <v>0</v>
      </c>
      <c r="CS184" s="1448">
        <f ca="1">IF($B184&gt;=$J$5,0,CONTADORES!$BI186)</f>
        <v>0</v>
      </c>
      <c r="CT184" s="1369">
        <f>CONTADORES!E186</f>
        <v>0</v>
      </c>
      <c r="CU184" s="1369">
        <f>CONTADORES!CG186</f>
        <v>0</v>
      </c>
    </row>
    <row r="185" spans="2:99">
      <c r="B185" s="390">
        <v>45101</v>
      </c>
      <c r="C185" s="198">
        <f t="shared" ca="1" si="68"/>
        <v>0</v>
      </c>
      <c r="D185" s="196">
        <f ca="1">'CALCULO DE GAS'!D197</f>
        <v>0</v>
      </c>
      <c r="E185" s="196">
        <f ca="1">IF(B185&gt;=$J$5,0,(CONTADORES!$AD187-CONTADORES!$AD186)-$H185)</f>
        <v>0</v>
      </c>
      <c r="F185" s="198">
        <f t="shared" ca="1" si="99"/>
        <v>0</v>
      </c>
      <c r="G185" s="196">
        <f ca="1">IF(B185&gt;=$J$5,0,CONTADORES!$AF187-CONTADORES!$AF186)</f>
        <v>0</v>
      </c>
      <c r="H185" s="196">
        <f ca="1">IF(G185&gt;0,CONTADORES!$AE187-CONTADORES!$AE186,0)</f>
        <v>0</v>
      </c>
      <c r="I185" s="199">
        <f ca="1">IF(B185&gt;=$J$5,0,CONTADORES!$AB187-CONTADORES!$AB186)</f>
        <v>0</v>
      </c>
      <c r="J185" s="198">
        <f t="shared" ca="1" si="69"/>
        <v>0</v>
      </c>
      <c r="K185" s="196">
        <f ca="1">'CALCULO DE GAS'!E197</f>
        <v>0</v>
      </c>
      <c r="L185" s="1396">
        <f ca="1">IF(B185&gt;=$J$5,0,(CONTADORES!$Y187-CONTADORES!$Y186)-$O185)</f>
        <v>0</v>
      </c>
      <c r="M185" s="1396">
        <f t="shared" ca="1" si="98"/>
        <v>0</v>
      </c>
      <c r="N185" s="1396">
        <f ca="1">IF(B185&gt;=$J$5,0,CONTADORES!$AA187-CONTADORES!$AA186)</f>
        <v>0</v>
      </c>
      <c r="O185" s="1396">
        <f ca="1">IF(N185&gt;0,CONTADORES!$Z187-CONTADORES!$Z186,0)</f>
        <v>0</v>
      </c>
      <c r="P185" s="202">
        <f ca="1">IF(B185&gt;=$J$5,0,CONTADORES!$W187-CONTADORES!$W186)</f>
        <v>0</v>
      </c>
      <c r="Q185" s="202">
        <f ca="1">IF(B185&gt;=$J$5,0,CONTADORES!$B187-CONTADORES!$B186)</f>
        <v>0</v>
      </c>
      <c r="R185" s="196">
        <f t="shared" ca="1" si="70"/>
        <v>0</v>
      </c>
      <c r="S185" s="11">
        <f ca="1">IF(B185&gt;=$J$5,0,CONTADORES!$D187-CONTADORES!$D186)</f>
        <v>0</v>
      </c>
      <c r="T185" s="198">
        <f ca="1">IF(B185&gt;=$J$5,0,CONTADORES!$BB187-CONTADORES!$BB186)</f>
        <v>0</v>
      </c>
      <c r="U185" s="196">
        <f t="shared" ca="1" si="97"/>
        <v>0</v>
      </c>
      <c r="V185" s="199">
        <f ca="1">IF(B185&gt;=$J$5,0,CONTADORES!$BD187-CONTADORES!$BD186)</f>
        <v>0</v>
      </c>
      <c r="W185" s="1397">
        <f t="shared" ca="1" si="71"/>
        <v>0</v>
      </c>
      <c r="X185" s="1397">
        <f t="shared" ca="1" si="72"/>
        <v>0</v>
      </c>
      <c r="Y185" s="1398">
        <f t="shared" ca="1" si="73"/>
        <v>0</v>
      </c>
      <c r="Z185" s="1398">
        <f t="shared" ca="1" si="74"/>
        <v>0</v>
      </c>
      <c r="AA185" s="1398">
        <f t="shared" ca="1" si="75"/>
        <v>0</v>
      </c>
      <c r="AB185" s="1398">
        <f t="shared" ca="1" si="76"/>
        <v>0</v>
      </c>
      <c r="AC185" s="1397">
        <f t="shared" ca="1" si="77"/>
        <v>0</v>
      </c>
      <c r="AD185" s="1397">
        <f ca="1">IF(B185&gt;=$J$5,0,CONTADORES!H187-CONTADORES!H186)</f>
        <v>0</v>
      </c>
      <c r="AE185" s="1397">
        <f ca="1">IF(B185&gt;=$J$5,0,CONTADORES!J187-CONTADORES!J186)</f>
        <v>0</v>
      </c>
      <c r="AF185" s="1397">
        <f ca="1">IF(B185&gt;=$J$5,0,CONTADORES!AU187-CONTADORES!AU186)</f>
        <v>0</v>
      </c>
      <c r="AG185" s="1397">
        <f ca="1">IF(B185&gt;=$J$5,0,CONTADORES!AW187-CONTADORES!AW186)</f>
        <v>0</v>
      </c>
      <c r="AH185" s="1398">
        <f ca="1">IF(B185&gt;=$J$5,0,(CONTADORES!AM187-CONTADORES!AM186)+(CONTADORES!M187-CONTADORES!M186))</f>
        <v>0</v>
      </c>
      <c r="AI185" s="1397">
        <f ca="1">IF(B185&gt;=$J$5,0,(CONTADORES!AK187-CONTADORES!AK186)+(CONTADORES!O187-CONTADORES!O186))</f>
        <v>0</v>
      </c>
      <c r="AJ185" s="1397">
        <f ca="1">IF(B185&gt;=$J$5,0,(CONTADORES!AI187-CONTADORES!AI186))</f>
        <v>0</v>
      </c>
      <c r="AK185" s="1397">
        <f ca="1">IF(B185&gt;=$J$5,0,(CONTADORES!Q187-CONTADORES!Q186))</f>
        <v>0</v>
      </c>
      <c r="AL185" s="1450">
        <f t="shared" ca="1" si="78"/>
        <v>0</v>
      </c>
      <c r="AM185" s="1397">
        <f ca="1">IF(B185&gt;=$J$5,0,(((CONTADORES!F187-CONTADORES!F186)+(CONTADORES!AQ187-CONTADORES!AQ186))))-BS185-AF185-AN185-BV185-BY185-CD185-CB185</f>
        <v>0</v>
      </c>
      <c r="AN185" s="1397">
        <f ca="1">IF(B185&gt;=$J$5,0,(CONTADORES!AX187-CONTADORES!AX186)+(CONTADORES!AZ187-CONTADORES!AZ186)+(CONTADORES!BE187-CONTADORES!BE186))-CB185</f>
        <v>0</v>
      </c>
      <c r="AO185" s="1399">
        <f ca="1">IF(B184&gt;=$J$5,0,(CONTADORES!AC187-CONTADORES!AC186))</f>
        <v>0</v>
      </c>
      <c r="AP185" s="1409">
        <f ca="1">IF(B185&gt;=$J$5,0,(CONTADORES!X187-CONTADORES!X186))</f>
        <v>0</v>
      </c>
      <c r="AQ185" s="1409">
        <f ca="1">IF(B185&gt;=$J$5,0,(CONTADORES!C187-CONTADORES!C186))</f>
        <v>0</v>
      </c>
      <c r="AR185" s="1409">
        <f ca="1">IF(B185&gt;=$J$5,0,(CONTADORES!BC187-CONTADORES!BC186))</f>
        <v>0</v>
      </c>
      <c r="AS185" s="1409">
        <f ca="1">IF(B185&gt;=$J$5,0,CONTADORES!S187-CONTADORES!S186)</f>
        <v>0</v>
      </c>
      <c r="AT185" s="1409">
        <f ca="1">IF(B185&gt;=$J$5,0,(CONTADORES!U187-CONTADORES!U186)+(CONTADORES!AG187-CONTADORES!AG186))</f>
        <v>0</v>
      </c>
      <c r="AU185" s="1409">
        <f ca="1">IF(B185&gt;=$J$5,0,(CONTADORES!I187-CONTADORES!I186))</f>
        <v>0</v>
      </c>
      <c r="AV185" s="1409">
        <f ca="1">IF(B185&gt;=$J$5,0,(CONTADORES!AV187-CONTADORES!AV186))</f>
        <v>0</v>
      </c>
      <c r="AW185" s="1409">
        <f ca="1">IF(B185&gt;=$J$5,0,(CONTADORES!N187-CONTADORES!N186)+(CONTADORES!AN187-CONTADORES!AN186))</f>
        <v>0</v>
      </c>
      <c r="AX185" s="1409">
        <f ca="1">IF(B185&gt;=$J$5,0,(CONTADORES!P187-CONTADORES!P186)+(CONTADORES!AL187-CONTADORES!AL186))</f>
        <v>0</v>
      </c>
      <c r="AY185" s="1409">
        <f ca="1">IF(B185&gt;=$J$5,0,(CONTADORES!AJ187-CONTADORES!AJ186))</f>
        <v>0</v>
      </c>
      <c r="AZ185" s="1409">
        <f ca="1">IF(B185&gt;=$J$5,0,(CONTADORES!R187-CONTADORES!R186))</f>
        <v>0</v>
      </c>
      <c r="BA185" s="1398">
        <f t="shared" ca="1" si="79"/>
        <v>0</v>
      </c>
      <c r="BB185" s="1409">
        <f ca="1">IF(B185&gt;=$J$5,0,(((CONTADORES!G187-CONTADORES!G186)+(CONTADORES!AR187-CONTADORES!AR186)+AR185)-(AV185+BC185)))</f>
        <v>0</v>
      </c>
      <c r="BC185" s="1397">
        <f ca="1">IF(B185&gt;=$J$5,0,(CONTADORES!AY187-CONTADORES!AY186)+(CONTADORES!BA187-CONTADORES!BA186)+(CONTADORES!BF187-CONTADORES!BF186))</f>
        <v>0</v>
      </c>
      <c r="BD185" s="1397">
        <f t="shared" ca="1" si="80"/>
        <v>0</v>
      </c>
      <c r="BE185" s="1398">
        <f ca="1">IF($B185&gt;=$J$5,0,CONTADORES!$BG187)</f>
        <v>0</v>
      </c>
      <c r="BF185" s="1397">
        <f ca="1">IF($B185&gt;=$J$5,0,CONTADORES!$BH187)</f>
        <v>0</v>
      </c>
      <c r="BG185" s="1397">
        <f ca="1">IF($B185&gt;=$J$5,0,CONTADORES!$BJ187)</f>
        <v>0</v>
      </c>
      <c r="BH185" s="1397">
        <f ca="1">IF(B185&gt;=$J$5,0,((CONTADORES!BK187-CONTADORES!BK186)/1000))</f>
        <v>0</v>
      </c>
      <c r="BI185" s="1397">
        <f ca="1">IF(C185&gt;=$J$5,0,((CONTADORES!BL187-CONTADORES!BL186)/1000))</f>
        <v>0</v>
      </c>
      <c r="BJ185" s="1397">
        <f ca="1">IF(C185&gt;=$J$5,0,((CONTADORES!BM187-CONTADORES!BM186)/1000))</f>
        <v>0</v>
      </c>
      <c r="BK185" s="1397">
        <f ca="1">IF(B185&gt;=$J$5,0,((CONTADORES!BN187-CONTADORES!BN186)/1000))</f>
        <v>0</v>
      </c>
      <c r="BL185" s="1399">
        <f t="shared" ca="1" si="81"/>
        <v>0</v>
      </c>
      <c r="BM185" s="1399">
        <f t="shared" ca="1" si="82"/>
        <v>0</v>
      </c>
      <c r="BN185" s="1398">
        <f ca="1">IF(W185&gt;=$J$5,0,CONTADORES!$BO187)</f>
        <v>0</v>
      </c>
      <c r="BO185" s="1397">
        <f ca="1">IF(W185&gt;=$J$5,0,CONTADORES!$BP187)</f>
        <v>0</v>
      </c>
      <c r="BP185" s="1397">
        <f ca="1">IF(W185&gt;=$J$5,0,CONTADORES!$BQ187)</f>
        <v>0</v>
      </c>
      <c r="BQ185" s="1397">
        <f ca="1">IF(B185&gt;=$J$5,0,(CONTADORES!AS187-CONTADORES!AS186))</f>
        <v>0</v>
      </c>
      <c r="BR185" s="1397">
        <f ca="1">IF(C185&gt;=$J$5,0,(CONTADORES!AT187-CONTADORES!AT186))</f>
        <v>0</v>
      </c>
      <c r="BS185" s="1398">
        <f ca="1">IF(B185&gt;=$J$5,0,CONTADORES!BR187-CONTADORES!BR186)/1000</f>
        <v>0</v>
      </c>
      <c r="BT185" s="1398">
        <f ca="1">IF(B185&gt;=$J$5,0,CONTADORES!BS187-CONTADORES!BS186)</f>
        <v>0</v>
      </c>
      <c r="BU185" s="1398">
        <f ca="1">IF(B185&gt;=$J$5,0,CONTADORES!BT187-CONTADORES!BT186)</f>
        <v>0</v>
      </c>
      <c r="BV185" s="1398">
        <f ca="1">IF(B185&gt;=$J$5,0,CONTADORES!BU187-CONTADORES!BU186)/1000</f>
        <v>0</v>
      </c>
      <c r="BW185" s="1398">
        <f ca="1">IF(B185&gt;=$J$5,0,CONTADORES!BV187-CONTADORES!BV186)/1000</f>
        <v>0</v>
      </c>
      <c r="BX185" s="1398">
        <f ca="1">IF(B185&gt;=$J$5,0,CONTADORES!BW187-CONTADORES!BW186)</f>
        <v>0</v>
      </c>
      <c r="BY185" s="1398">
        <f ca="1">IF(B185&gt;=$J$5,0,CONTADORES!BX187-CONTADORES!BX186)/1000</f>
        <v>0</v>
      </c>
      <c r="BZ185" s="1398">
        <f ca="1">IF(B185&gt;=$J$5,0,CONTADORES!BY187-CONTADORES!BY186)/1000</f>
        <v>0</v>
      </c>
      <c r="CA185" s="1398">
        <f ca="1">IF(B185&gt;=$J$5,0,CONTADORES!BZ187-CONTADORES!BZ186)</f>
        <v>0</v>
      </c>
      <c r="CB185" s="1398">
        <f ca="1">IF(B185&gt;=$J$5,0,(CONTADORES!CC187-CONTADORES!CC186)+(CONTADORES!CE187-CONTADORES!CE186))/1000</f>
        <v>0</v>
      </c>
      <c r="CC185" s="1398">
        <f ca="1">IF(B185&gt;=$J$5,0,(CONTADORES!CD187-CONTADORES!CD186)+(CONTADORES!CF187-CONTADORES!CF186))/1000</f>
        <v>0</v>
      </c>
      <c r="CD185" s="1398">
        <f ca="1">IF(B185&gt;=$J$5,0,CONTADORES!CA187-CONTADORES!CA186)</f>
        <v>0</v>
      </c>
      <c r="CE185" s="1398">
        <f ca="1">IF(B185&gt;=$J$5,0,CONTADORES!CB187-CONTADORES!CB186)</f>
        <v>0</v>
      </c>
      <c r="CF185" s="1398">
        <f t="shared" ca="1" si="83"/>
        <v>0</v>
      </c>
      <c r="CG185" s="1398">
        <f t="shared" ca="1" si="84"/>
        <v>0</v>
      </c>
      <c r="CH185" s="1398">
        <f t="shared" ca="1" si="85"/>
        <v>0</v>
      </c>
      <c r="CI185" s="1398">
        <f t="shared" ca="1" si="86"/>
        <v>0</v>
      </c>
      <c r="CJ185" s="1398">
        <f t="shared" ca="1" si="87"/>
        <v>0</v>
      </c>
      <c r="CK185" s="1398">
        <f t="shared" ca="1" si="88"/>
        <v>0</v>
      </c>
      <c r="CL185" s="1398">
        <f t="shared" ca="1" si="89"/>
        <v>0</v>
      </c>
      <c r="CM185" s="1398">
        <f t="shared" ca="1" si="90"/>
        <v>0</v>
      </c>
      <c r="CN185" s="1398">
        <f ca="1">IF(B185&gt;=$J$5,0,CONTADORES!CB187-CONTADORES!CB186)</f>
        <v>0</v>
      </c>
      <c r="CO185" s="1398">
        <f t="shared" ca="1" si="91"/>
        <v>0</v>
      </c>
      <c r="CP185" s="1398">
        <f t="shared" ca="1" si="92"/>
        <v>0</v>
      </c>
      <c r="CQ185" s="1398">
        <f t="shared" ca="1" si="93"/>
        <v>0</v>
      </c>
      <c r="CR185" s="1398">
        <f t="shared" ca="1" si="94"/>
        <v>0</v>
      </c>
      <c r="CS185" s="1448">
        <f ca="1">IF($B185&gt;=$J$5,0,CONTADORES!$BI187)</f>
        <v>0</v>
      </c>
      <c r="CT185" s="1369">
        <f>CONTADORES!E187</f>
        <v>0</v>
      </c>
      <c r="CU185" s="1369">
        <f>CONTADORES!CG187</f>
        <v>0</v>
      </c>
    </row>
    <row r="186" spans="2:99">
      <c r="B186" s="390">
        <v>45102</v>
      </c>
      <c r="C186" s="198">
        <f t="shared" ca="1" si="68"/>
        <v>0</v>
      </c>
      <c r="D186" s="196">
        <f ca="1">'CALCULO DE GAS'!D198</f>
        <v>0</v>
      </c>
      <c r="E186" s="196">
        <f ca="1">IF(B186&gt;=$J$5,0,(CONTADORES!$AD188-CONTADORES!$AD187)-$H186)</f>
        <v>0</v>
      </c>
      <c r="F186" s="198">
        <f t="shared" ca="1" si="99"/>
        <v>0</v>
      </c>
      <c r="G186" s="196">
        <f ca="1">IF(B186&gt;=$J$5,0,CONTADORES!$AF188-CONTADORES!$AF187)</f>
        <v>0</v>
      </c>
      <c r="H186" s="196">
        <f ca="1">IF(G186&gt;0,CONTADORES!$AE188-CONTADORES!$AE187,0)</f>
        <v>0</v>
      </c>
      <c r="I186" s="199">
        <f ca="1">IF(B186&gt;=$J$5,0,CONTADORES!$AB188-CONTADORES!$AB187)</f>
        <v>0</v>
      </c>
      <c r="J186" s="198">
        <f t="shared" ca="1" si="69"/>
        <v>0</v>
      </c>
      <c r="K186" s="196">
        <f ca="1">'CALCULO DE GAS'!E198</f>
        <v>0</v>
      </c>
      <c r="L186" s="1396">
        <f ca="1">IF(B186&gt;=$J$5,0,(CONTADORES!$Y188-CONTADORES!$Y187)-$O186)</f>
        <v>0</v>
      </c>
      <c r="M186" s="1396">
        <f t="shared" ca="1" si="98"/>
        <v>0</v>
      </c>
      <c r="N186" s="1396">
        <f ca="1">IF(B186&gt;=$J$5,0,CONTADORES!$AA188-CONTADORES!$AA187)</f>
        <v>0</v>
      </c>
      <c r="O186" s="1396">
        <f ca="1">IF(N186&gt;0,CONTADORES!$Z188-CONTADORES!$Z187,0)</f>
        <v>0</v>
      </c>
      <c r="P186" s="202">
        <f ca="1">IF(B186&gt;=$J$5,0,CONTADORES!$W188-CONTADORES!$W187)</f>
        <v>0</v>
      </c>
      <c r="Q186" s="202">
        <f ca="1">IF(B186&gt;=$J$5,0,CONTADORES!$B188-CONTADORES!$B187)</f>
        <v>0</v>
      </c>
      <c r="R186" s="196">
        <f t="shared" ca="1" si="70"/>
        <v>0</v>
      </c>
      <c r="S186" s="11">
        <f ca="1">IF(B186&gt;=$J$5,0,CONTADORES!$D188-CONTADORES!$D187)</f>
        <v>0</v>
      </c>
      <c r="T186" s="198">
        <f ca="1">IF(B186&gt;=$J$5,0,CONTADORES!$BB188-CONTADORES!$BB187)</f>
        <v>0</v>
      </c>
      <c r="U186" s="196">
        <f t="shared" ca="1" si="97"/>
        <v>0</v>
      </c>
      <c r="V186" s="199">
        <f ca="1">IF(B186&gt;=$J$5,0,CONTADORES!$BD188-CONTADORES!$BD187)</f>
        <v>0</v>
      </c>
      <c r="W186" s="1397">
        <f t="shared" ca="1" si="71"/>
        <v>0</v>
      </c>
      <c r="X186" s="1397">
        <f t="shared" ca="1" si="72"/>
        <v>0</v>
      </c>
      <c r="Y186" s="1398">
        <f t="shared" ca="1" si="73"/>
        <v>0</v>
      </c>
      <c r="Z186" s="1398">
        <f t="shared" ca="1" si="74"/>
        <v>0</v>
      </c>
      <c r="AA186" s="1398">
        <f t="shared" ca="1" si="75"/>
        <v>0</v>
      </c>
      <c r="AB186" s="1398">
        <f t="shared" ca="1" si="76"/>
        <v>0</v>
      </c>
      <c r="AC186" s="1397">
        <f t="shared" ca="1" si="77"/>
        <v>0</v>
      </c>
      <c r="AD186" s="1397">
        <f ca="1">IF(B186&gt;=$J$5,0,CONTADORES!H188-CONTADORES!H187)</f>
        <v>0</v>
      </c>
      <c r="AE186" s="1397">
        <f ca="1">IF(B186&gt;=$J$5,0,CONTADORES!J188-CONTADORES!J187)</f>
        <v>0</v>
      </c>
      <c r="AF186" s="1397">
        <f ca="1">IF(B186&gt;=$J$5,0,CONTADORES!AU188-CONTADORES!AU187)</f>
        <v>0</v>
      </c>
      <c r="AG186" s="1397">
        <f ca="1">IF(B186&gt;=$J$5,0,CONTADORES!AW188-CONTADORES!AW187)</f>
        <v>0</v>
      </c>
      <c r="AH186" s="1398">
        <f ca="1">IF(B186&gt;=$J$5,0,(CONTADORES!AM188-CONTADORES!AM187)+(CONTADORES!M188-CONTADORES!M187))</f>
        <v>0</v>
      </c>
      <c r="AI186" s="1397">
        <f ca="1">IF(B186&gt;=$J$5,0,(CONTADORES!AK188-CONTADORES!AK187)+(CONTADORES!O188-CONTADORES!O187))</f>
        <v>0</v>
      </c>
      <c r="AJ186" s="1397">
        <f ca="1">IF(B186&gt;=$J$5,0,(CONTADORES!AI188-CONTADORES!AI187))</f>
        <v>0</v>
      </c>
      <c r="AK186" s="1397">
        <f ca="1">IF(B186&gt;=$J$5,0,(CONTADORES!Q188-CONTADORES!Q187))</f>
        <v>0</v>
      </c>
      <c r="AL186" s="1450">
        <f t="shared" ca="1" si="78"/>
        <v>0</v>
      </c>
      <c r="AM186" s="1397">
        <f ca="1">IF(B186&gt;=$J$5,0,(((CONTADORES!F188-CONTADORES!F187)+(CONTADORES!AQ188-CONTADORES!AQ187))))-BS186-AF186-AN186-BV186-BY186-CD186-CB186</f>
        <v>0</v>
      </c>
      <c r="AN186" s="1397">
        <f ca="1">IF(B186&gt;=$J$5,0,(CONTADORES!AX188-CONTADORES!AX187)+(CONTADORES!AZ188-CONTADORES!AZ187)+(CONTADORES!BE188-CONTADORES!BE187))-CB186</f>
        <v>0</v>
      </c>
      <c r="AO186" s="1399">
        <f ca="1">IF(B185&gt;=$J$5,0,(CONTADORES!AC188-CONTADORES!AC187))</f>
        <v>0</v>
      </c>
      <c r="AP186" s="1409">
        <f ca="1">IF(B186&gt;=$J$5,0,(CONTADORES!X188-CONTADORES!X187))</f>
        <v>0</v>
      </c>
      <c r="AQ186" s="1409">
        <f ca="1">IF(B186&gt;=$J$5,0,(CONTADORES!C188-CONTADORES!C187))</f>
        <v>0</v>
      </c>
      <c r="AR186" s="1409">
        <f ca="1">IF(B186&gt;=$J$5,0,(CONTADORES!BC188-CONTADORES!BC187))</f>
        <v>0</v>
      </c>
      <c r="AS186" s="1409">
        <f ca="1">IF(B186&gt;=$J$5,0,CONTADORES!S188-CONTADORES!S187)</f>
        <v>0</v>
      </c>
      <c r="AT186" s="1409">
        <f ca="1">IF(B186&gt;=$J$5,0,(CONTADORES!U188-CONTADORES!U187)+(CONTADORES!AG188-CONTADORES!AG187))</f>
        <v>0</v>
      </c>
      <c r="AU186" s="1409">
        <f ca="1">IF(B186&gt;=$J$5,0,(CONTADORES!I188-CONTADORES!I187))</f>
        <v>0</v>
      </c>
      <c r="AV186" s="1409">
        <f ca="1">IF(B186&gt;=$J$5,0,(CONTADORES!AV188-CONTADORES!AV187))</f>
        <v>0</v>
      </c>
      <c r="AW186" s="1409">
        <f ca="1">IF(B186&gt;=$J$5,0,(CONTADORES!N188-CONTADORES!N187)+(CONTADORES!AN188-CONTADORES!AN187))</f>
        <v>0</v>
      </c>
      <c r="AX186" s="1409">
        <f ca="1">IF(B186&gt;=$J$5,0,(CONTADORES!P188-CONTADORES!P187)+(CONTADORES!AL188-CONTADORES!AL187))</f>
        <v>0</v>
      </c>
      <c r="AY186" s="1409">
        <f ca="1">IF(B186&gt;=$J$5,0,(CONTADORES!AJ188-CONTADORES!AJ187))</f>
        <v>0</v>
      </c>
      <c r="AZ186" s="1409">
        <f ca="1">IF(B186&gt;=$J$5,0,(CONTADORES!R188-CONTADORES!R187))</f>
        <v>0</v>
      </c>
      <c r="BA186" s="1398">
        <f t="shared" ca="1" si="79"/>
        <v>0</v>
      </c>
      <c r="BB186" s="1409">
        <f ca="1">IF(B186&gt;=$J$5,0,(((CONTADORES!G188-CONTADORES!G187)+(CONTADORES!AR188-CONTADORES!AR187)+AR186)-(AV186+BC186)))</f>
        <v>0</v>
      </c>
      <c r="BC186" s="1397">
        <f ca="1">IF(B186&gt;=$J$5,0,(CONTADORES!AY188-CONTADORES!AY187)+(CONTADORES!BA188-CONTADORES!BA187)+(CONTADORES!BF188-CONTADORES!BF187))</f>
        <v>0</v>
      </c>
      <c r="BD186" s="1397">
        <f t="shared" ca="1" si="80"/>
        <v>0</v>
      </c>
      <c r="BE186" s="1398">
        <f ca="1">IF($B186&gt;=$J$5,0,CONTADORES!$BG188)</f>
        <v>0</v>
      </c>
      <c r="BF186" s="1397">
        <f ca="1">IF($B186&gt;=$J$5,0,CONTADORES!$BH188)</f>
        <v>0</v>
      </c>
      <c r="BG186" s="1397">
        <f ca="1">IF($B186&gt;=$J$5,0,CONTADORES!$BJ188)</f>
        <v>0</v>
      </c>
      <c r="BH186" s="1397">
        <f ca="1">IF(B186&gt;=$J$5,0,((CONTADORES!BK188-CONTADORES!BK187)/1000))</f>
        <v>0</v>
      </c>
      <c r="BI186" s="1397">
        <f ca="1">IF(C186&gt;=$J$5,0,((CONTADORES!BL188-CONTADORES!BL187)/1000))</f>
        <v>0</v>
      </c>
      <c r="BJ186" s="1397">
        <f ca="1">IF(C186&gt;=$J$5,0,((CONTADORES!BM188-CONTADORES!BM187)/1000))</f>
        <v>0</v>
      </c>
      <c r="BK186" s="1397">
        <f ca="1">IF(B186&gt;=$J$5,0,((CONTADORES!BN188-CONTADORES!BN187)/1000))</f>
        <v>0</v>
      </c>
      <c r="BL186" s="1399">
        <f t="shared" ca="1" si="81"/>
        <v>0</v>
      </c>
      <c r="BM186" s="1399">
        <f t="shared" ca="1" si="82"/>
        <v>0</v>
      </c>
      <c r="BN186" s="1398">
        <f ca="1">IF(W186&gt;=$J$5,0,CONTADORES!$BO188)</f>
        <v>0</v>
      </c>
      <c r="BO186" s="1397">
        <f ca="1">IF(W186&gt;=$J$5,0,CONTADORES!$BP188)</f>
        <v>0</v>
      </c>
      <c r="BP186" s="1397">
        <f ca="1">IF(W186&gt;=$J$5,0,CONTADORES!$BQ188)</f>
        <v>0</v>
      </c>
      <c r="BQ186" s="1397">
        <f ca="1">IF(B186&gt;=$J$5,0,(CONTADORES!AS188-CONTADORES!AS187))</f>
        <v>0</v>
      </c>
      <c r="BR186" s="1397">
        <f ca="1">IF(C186&gt;=$J$5,0,(CONTADORES!AT188-CONTADORES!AT187))</f>
        <v>0</v>
      </c>
      <c r="BS186" s="1398">
        <f ca="1">IF(B186&gt;=$J$5,0,CONTADORES!BR188-CONTADORES!BR187)/1000</f>
        <v>0</v>
      </c>
      <c r="BT186" s="1398">
        <f ca="1">IF(B186&gt;=$J$5,0,CONTADORES!BS188-CONTADORES!BS187)</f>
        <v>0</v>
      </c>
      <c r="BU186" s="1398">
        <f ca="1">IF(B186&gt;=$J$5,0,CONTADORES!BT188-CONTADORES!BT187)</f>
        <v>0</v>
      </c>
      <c r="BV186" s="1398">
        <f ca="1">IF(B186&gt;=$J$5,0,CONTADORES!BU188-CONTADORES!BU187)/1000</f>
        <v>0</v>
      </c>
      <c r="BW186" s="1398">
        <f ca="1">IF(B186&gt;=$J$5,0,CONTADORES!BV188-CONTADORES!BV187)/1000</f>
        <v>0</v>
      </c>
      <c r="BX186" s="1398">
        <f ca="1">IF(B186&gt;=$J$5,0,CONTADORES!BW188-CONTADORES!BW187)</f>
        <v>0</v>
      </c>
      <c r="BY186" s="1398">
        <f ca="1">IF(B186&gt;=$J$5,0,CONTADORES!BX188-CONTADORES!BX187)/1000</f>
        <v>0</v>
      </c>
      <c r="BZ186" s="1398">
        <f ca="1">IF(B186&gt;=$J$5,0,CONTADORES!BY188-CONTADORES!BY187)/1000</f>
        <v>0</v>
      </c>
      <c r="CA186" s="1398">
        <f ca="1">IF(B186&gt;=$J$5,0,CONTADORES!BZ188-CONTADORES!BZ187)</f>
        <v>0</v>
      </c>
      <c r="CB186" s="1398">
        <f ca="1">IF(B186&gt;=$J$5,0,(CONTADORES!CC188-CONTADORES!CC187)+(CONTADORES!CE188-CONTADORES!CE187))/1000</f>
        <v>0</v>
      </c>
      <c r="CC186" s="1398">
        <f ca="1">IF(B186&gt;=$J$5,0,(CONTADORES!CD188-CONTADORES!CD187)+(CONTADORES!CF188-CONTADORES!CF187))/1000</f>
        <v>0</v>
      </c>
      <c r="CD186" s="1398">
        <f ca="1">IF(B186&gt;=$J$5,0,CONTADORES!CA188-CONTADORES!CA187)</f>
        <v>0</v>
      </c>
      <c r="CE186" s="1398">
        <f ca="1">IF(B186&gt;=$J$5,0,CONTADORES!CB188-CONTADORES!CB187)</f>
        <v>0</v>
      </c>
      <c r="CF186" s="1398">
        <f t="shared" ca="1" si="83"/>
        <v>0</v>
      </c>
      <c r="CG186" s="1398">
        <f t="shared" ca="1" si="84"/>
        <v>0</v>
      </c>
      <c r="CH186" s="1398">
        <f t="shared" ca="1" si="85"/>
        <v>0</v>
      </c>
      <c r="CI186" s="1398">
        <f t="shared" ca="1" si="86"/>
        <v>0</v>
      </c>
      <c r="CJ186" s="1398">
        <f t="shared" ca="1" si="87"/>
        <v>0</v>
      </c>
      <c r="CK186" s="1398">
        <f t="shared" ca="1" si="88"/>
        <v>0</v>
      </c>
      <c r="CL186" s="1398">
        <f t="shared" ca="1" si="89"/>
        <v>0</v>
      </c>
      <c r="CM186" s="1398">
        <f t="shared" ca="1" si="90"/>
        <v>0</v>
      </c>
      <c r="CN186" s="1398">
        <f ca="1">IF(B186&gt;=$J$5,0,CONTADORES!CB188-CONTADORES!CB187)</f>
        <v>0</v>
      </c>
      <c r="CO186" s="1398">
        <f t="shared" ca="1" si="91"/>
        <v>0</v>
      </c>
      <c r="CP186" s="1398">
        <f t="shared" ca="1" si="92"/>
        <v>0</v>
      </c>
      <c r="CQ186" s="1398">
        <f t="shared" ca="1" si="93"/>
        <v>0</v>
      </c>
      <c r="CR186" s="1398">
        <f t="shared" ca="1" si="94"/>
        <v>0</v>
      </c>
      <c r="CS186" s="1448">
        <f ca="1">IF($B186&gt;=$J$5,0,CONTADORES!$BI188)</f>
        <v>0</v>
      </c>
      <c r="CT186" s="1369">
        <f>CONTADORES!E188</f>
        <v>0</v>
      </c>
      <c r="CU186" s="1369">
        <f>CONTADORES!CG188</f>
        <v>0</v>
      </c>
    </row>
    <row r="187" spans="2:99">
      <c r="B187" s="390">
        <v>45103</v>
      </c>
      <c r="C187" s="198">
        <f t="shared" ca="1" si="68"/>
        <v>0</v>
      </c>
      <c r="D187" s="196">
        <f ca="1">'CALCULO DE GAS'!D199</f>
        <v>0</v>
      </c>
      <c r="E187" s="196">
        <f ca="1">IF(B187&gt;=$J$5,0,(CONTADORES!$AD189-CONTADORES!$AD188)-$H187)</f>
        <v>0</v>
      </c>
      <c r="F187" s="198">
        <f t="shared" ca="1" si="99"/>
        <v>0</v>
      </c>
      <c r="G187" s="196">
        <f ca="1">IF(B187&gt;=$J$5,0,CONTADORES!$AF189-CONTADORES!$AF188)</f>
        <v>0</v>
      </c>
      <c r="H187" s="196">
        <f ca="1">IF(G187&gt;0,CONTADORES!$AE189-CONTADORES!$AE188,0)</f>
        <v>0</v>
      </c>
      <c r="I187" s="199">
        <f ca="1">IF(B187&gt;=$J$5,0,CONTADORES!$AB189-CONTADORES!$AB188)</f>
        <v>0</v>
      </c>
      <c r="J187" s="198">
        <f t="shared" ca="1" si="69"/>
        <v>0</v>
      </c>
      <c r="K187" s="196">
        <f ca="1">'CALCULO DE GAS'!E199</f>
        <v>0</v>
      </c>
      <c r="L187" s="1396">
        <f ca="1">IF(B187&gt;=$J$5,0,(CONTADORES!$Y189-CONTADORES!$Y188)-$O187)</f>
        <v>0</v>
      </c>
      <c r="M187" s="1396">
        <f t="shared" ca="1" si="98"/>
        <v>0</v>
      </c>
      <c r="N187" s="1396">
        <f ca="1">IF(B187&gt;=$J$5,0,CONTADORES!$AA189-CONTADORES!$AA188)</f>
        <v>0</v>
      </c>
      <c r="O187" s="1396">
        <f ca="1">IF(N187&gt;0,CONTADORES!$Z189-CONTADORES!$Z188,0)</f>
        <v>0</v>
      </c>
      <c r="P187" s="202">
        <f ca="1">IF(B187&gt;=$J$5,0,CONTADORES!$W189-CONTADORES!$W188)</f>
        <v>0</v>
      </c>
      <c r="Q187" s="202">
        <f ca="1">IF(B187&gt;=$J$5,0,CONTADORES!$B189-CONTADORES!$B188)</f>
        <v>0</v>
      </c>
      <c r="R187" s="196">
        <f t="shared" ca="1" si="70"/>
        <v>0</v>
      </c>
      <c r="S187" s="11">
        <f ca="1">IF(B187&gt;=$J$5,0,CONTADORES!$D189-CONTADORES!$D188)</f>
        <v>0</v>
      </c>
      <c r="T187" s="198">
        <f ca="1">IF(B187&gt;=$J$5,0,CONTADORES!$BB189-CONTADORES!$BB188)</f>
        <v>0</v>
      </c>
      <c r="U187" s="196">
        <f t="shared" ca="1" si="97"/>
        <v>0</v>
      </c>
      <c r="V187" s="199">
        <f ca="1">IF(B187&gt;=$J$5,0,CONTADORES!$BD189-CONTADORES!$BD188)</f>
        <v>0</v>
      </c>
      <c r="W187" s="1397">
        <f t="shared" ca="1" si="71"/>
        <v>0</v>
      </c>
      <c r="X187" s="1397">
        <f t="shared" ca="1" si="72"/>
        <v>0</v>
      </c>
      <c r="Y187" s="1398">
        <f t="shared" ca="1" si="73"/>
        <v>0</v>
      </c>
      <c r="Z187" s="1398">
        <f t="shared" ca="1" si="74"/>
        <v>0</v>
      </c>
      <c r="AA187" s="1398">
        <f t="shared" ca="1" si="75"/>
        <v>0</v>
      </c>
      <c r="AB187" s="1398">
        <f t="shared" ca="1" si="76"/>
        <v>0</v>
      </c>
      <c r="AC187" s="1397">
        <f t="shared" ca="1" si="77"/>
        <v>0</v>
      </c>
      <c r="AD187" s="1397">
        <f ca="1">IF(B187&gt;=$J$5,0,CONTADORES!H189-CONTADORES!H188)</f>
        <v>0</v>
      </c>
      <c r="AE187" s="1397">
        <f ca="1">IF(B187&gt;=$J$5,0,CONTADORES!J189-CONTADORES!J188)</f>
        <v>0</v>
      </c>
      <c r="AF187" s="1397">
        <f ca="1">IF(B187&gt;=$J$5,0,CONTADORES!AU189-CONTADORES!AU188)</f>
        <v>0</v>
      </c>
      <c r="AG187" s="1397">
        <f ca="1">IF(B187&gt;=$J$5,0,CONTADORES!AW189-CONTADORES!AW188)</f>
        <v>0</v>
      </c>
      <c r="AH187" s="1398">
        <f ca="1">IF(B187&gt;=$J$5,0,(CONTADORES!AM189-CONTADORES!AM188)+(CONTADORES!M189-CONTADORES!M188))</f>
        <v>0</v>
      </c>
      <c r="AI187" s="1397">
        <f ca="1">IF(B187&gt;=$J$5,0,(CONTADORES!AK189-CONTADORES!AK188)+(CONTADORES!O189-CONTADORES!O188))</f>
        <v>0</v>
      </c>
      <c r="AJ187" s="1397">
        <f ca="1">IF(B187&gt;=$J$5,0,(CONTADORES!AI189-CONTADORES!AI188))</f>
        <v>0</v>
      </c>
      <c r="AK187" s="1397">
        <f ca="1">IF(B187&gt;=$J$5,0,(CONTADORES!Q189-CONTADORES!Q188))</f>
        <v>0</v>
      </c>
      <c r="AL187" s="1450">
        <f t="shared" ca="1" si="78"/>
        <v>0</v>
      </c>
      <c r="AM187" s="1397">
        <f ca="1">IF(B187&gt;=$J$5,0,(((CONTADORES!F189-CONTADORES!F188)+(CONTADORES!AQ189-CONTADORES!AQ188))))-BS187-AF187-AN187-BV187-BY187-CD187-CB187</f>
        <v>0</v>
      </c>
      <c r="AN187" s="1397">
        <f ca="1">IF(B187&gt;=$J$5,0,(CONTADORES!AX189-CONTADORES!AX188)+(CONTADORES!AZ189-CONTADORES!AZ188)+(CONTADORES!BE189-CONTADORES!BE188))-CB187</f>
        <v>0</v>
      </c>
      <c r="AO187" s="1399">
        <f ca="1">IF(B186&gt;=$J$5,0,(CONTADORES!AC189-CONTADORES!AC188))</f>
        <v>0</v>
      </c>
      <c r="AP187" s="1409">
        <f ca="1">IF(B187&gt;=$J$5,0,(CONTADORES!X189-CONTADORES!X188))</f>
        <v>0</v>
      </c>
      <c r="AQ187" s="1409">
        <f ca="1">IF(B187&gt;=$J$5,0,(CONTADORES!C189-CONTADORES!C188))</f>
        <v>0</v>
      </c>
      <c r="AR187" s="1409">
        <f ca="1">IF(B187&gt;=$J$5,0,(CONTADORES!BC189-CONTADORES!BC188))</f>
        <v>0</v>
      </c>
      <c r="AS187" s="1409">
        <f ca="1">IF(B187&gt;=$J$5,0,CONTADORES!S189-CONTADORES!S188)</f>
        <v>0</v>
      </c>
      <c r="AT187" s="1409">
        <f ca="1">IF(B187&gt;=$J$5,0,(CONTADORES!U189-CONTADORES!U188)+(CONTADORES!AG189-CONTADORES!AG188))</f>
        <v>0</v>
      </c>
      <c r="AU187" s="1409">
        <f ca="1">IF(B187&gt;=$J$5,0,(CONTADORES!I189-CONTADORES!I188))</f>
        <v>0</v>
      </c>
      <c r="AV187" s="1409">
        <f ca="1">IF(B187&gt;=$J$5,0,(CONTADORES!AV189-CONTADORES!AV188))</f>
        <v>0</v>
      </c>
      <c r="AW187" s="1409">
        <f ca="1">IF(B187&gt;=$J$5,0,(CONTADORES!N189-CONTADORES!N188)+(CONTADORES!AN189-CONTADORES!AN188))</f>
        <v>0</v>
      </c>
      <c r="AX187" s="1409">
        <f ca="1">IF(B187&gt;=$J$5,0,(CONTADORES!P189-CONTADORES!P188)+(CONTADORES!AL189-CONTADORES!AL188))</f>
        <v>0</v>
      </c>
      <c r="AY187" s="1409">
        <f ca="1">IF(B187&gt;=$J$5,0,(CONTADORES!AJ189-CONTADORES!AJ188))</f>
        <v>0</v>
      </c>
      <c r="AZ187" s="1409">
        <f ca="1">IF(B187&gt;=$J$5,0,(CONTADORES!R189-CONTADORES!R188))</f>
        <v>0</v>
      </c>
      <c r="BA187" s="1398">
        <f t="shared" ca="1" si="79"/>
        <v>0</v>
      </c>
      <c r="BB187" s="1409">
        <f ca="1">IF(B187&gt;=$J$5,0,(((CONTADORES!G189-CONTADORES!G188)+(CONTADORES!AR189-CONTADORES!AR188)+AR187)-(AV187+BC187)))</f>
        <v>0</v>
      </c>
      <c r="BC187" s="1397">
        <f ca="1">IF(B187&gt;=$J$5,0,(CONTADORES!AY189-CONTADORES!AY188)+(CONTADORES!BA189-CONTADORES!BA188)+(CONTADORES!BF189-CONTADORES!BF188))</f>
        <v>0</v>
      </c>
      <c r="BD187" s="1397">
        <f t="shared" ca="1" si="80"/>
        <v>0</v>
      </c>
      <c r="BE187" s="1398">
        <f ca="1">IF($B187&gt;=$J$5,0,CONTADORES!$BG189)</f>
        <v>0</v>
      </c>
      <c r="BF187" s="1397">
        <f ca="1">IF($B187&gt;=$J$5,0,CONTADORES!$BH189)</f>
        <v>0</v>
      </c>
      <c r="BG187" s="1397">
        <f ca="1">IF($B187&gt;=$J$5,0,CONTADORES!$BJ189)</f>
        <v>0</v>
      </c>
      <c r="BH187" s="1397">
        <f ca="1">IF(B187&gt;=$J$5,0,((CONTADORES!BK189-CONTADORES!BK188)/1000))</f>
        <v>0</v>
      </c>
      <c r="BI187" s="1397">
        <f ca="1">IF(C187&gt;=$J$5,0,((CONTADORES!BL189-CONTADORES!BL188)/1000))</f>
        <v>0</v>
      </c>
      <c r="BJ187" s="1397">
        <f ca="1">IF(C187&gt;=$J$5,0,((CONTADORES!BM189-CONTADORES!BM188)/1000))</f>
        <v>0</v>
      </c>
      <c r="BK187" s="1397">
        <f ca="1">IF(B187&gt;=$J$5,0,((CONTADORES!BN189-CONTADORES!BN188)/1000))</f>
        <v>0</v>
      </c>
      <c r="BL187" s="1399">
        <f t="shared" ca="1" si="81"/>
        <v>0</v>
      </c>
      <c r="BM187" s="1399">
        <f t="shared" ca="1" si="82"/>
        <v>0</v>
      </c>
      <c r="BN187" s="1398">
        <f ca="1">IF(W187&gt;=$J$5,0,CONTADORES!$BO189)</f>
        <v>0</v>
      </c>
      <c r="BO187" s="1397">
        <f ca="1">IF(W187&gt;=$J$5,0,CONTADORES!$BP189)</f>
        <v>0</v>
      </c>
      <c r="BP187" s="1397">
        <f ca="1">IF(W187&gt;=$J$5,0,CONTADORES!$BQ189)</f>
        <v>0</v>
      </c>
      <c r="BQ187" s="1397">
        <f ca="1">IF(B187&gt;=$J$5,0,(CONTADORES!AS189-CONTADORES!AS188))</f>
        <v>0</v>
      </c>
      <c r="BR187" s="1397">
        <f ca="1">IF(C187&gt;=$J$5,0,(CONTADORES!AT189-CONTADORES!AT188))</f>
        <v>0</v>
      </c>
      <c r="BS187" s="1398">
        <f ca="1">IF(B187&gt;=$J$5,0,CONTADORES!BR189-CONTADORES!BR188)/1000</f>
        <v>0</v>
      </c>
      <c r="BT187" s="1398">
        <f ca="1">IF(B187&gt;=$J$5,0,CONTADORES!BS189-CONTADORES!BS188)</f>
        <v>0</v>
      </c>
      <c r="BU187" s="1398">
        <f ca="1">IF(B187&gt;=$J$5,0,CONTADORES!BT189-CONTADORES!BT188)</f>
        <v>0</v>
      </c>
      <c r="BV187" s="1398">
        <f ca="1">IF(B187&gt;=$J$5,0,CONTADORES!BU189-CONTADORES!BU188)/1000</f>
        <v>0</v>
      </c>
      <c r="BW187" s="1398">
        <f ca="1">IF(B187&gt;=$J$5,0,CONTADORES!BV189-CONTADORES!BV188)/1000</f>
        <v>0</v>
      </c>
      <c r="BX187" s="1398">
        <f ca="1">IF(B187&gt;=$J$5,0,CONTADORES!BW189-CONTADORES!BW188)</f>
        <v>0</v>
      </c>
      <c r="BY187" s="1398">
        <f ca="1">IF(B187&gt;=$J$5,0,CONTADORES!BX189-CONTADORES!BX188)/1000</f>
        <v>0</v>
      </c>
      <c r="BZ187" s="1398">
        <f ca="1">IF(B187&gt;=$J$5,0,CONTADORES!BY189-CONTADORES!BY188)/1000</f>
        <v>0</v>
      </c>
      <c r="CA187" s="1398">
        <f ca="1">IF(B187&gt;=$J$5,0,CONTADORES!BZ189-CONTADORES!BZ188)</f>
        <v>0</v>
      </c>
      <c r="CB187" s="1398">
        <f ca="1">IF(B187&gt;=$J$5,0,(CONTADORES!CC189-CONTADORES!CC188)+(CONTADORES!CE189-CONTADORES!CE188))/1000</f>
        <v>0</v>
      </c>
      <c r="CC187" s="1398">
        <f ca="1">IF(B187&gt;=$J$5,0,(CONTADORES!CD189-CONTADORES!CD188)+(CONTADORES!CF189-CONTADORES!CF188))/1000</f>
        <v>0</v>
      </c>
      <c r="CD187" s="1398">
        <f ca="1">IF(B187&gt;=$J$5,0,CONTADORES!CA189-CONTADORES!CA188)</f>
        <v>0</v>
      </c>
      <c r="CE187" s="1398">
        <f ca="1">IF(B187&gt;=$J$5,0,CONTADORES!CB189-CONTADORES!CB188)</f>
        <v>0</v>
      </c>
      <c r="CF187" s="1398">
        <f t="shared" ca="1" si="83"/>
        <v>0</v>
      </c>
      <c r="CG187" s="1398">
        <f t="shared" ca="1" si="84"/>
        <v>0</v>
      </c>
      <c r="CH187" s="1398">
        <f t="shared" ca="1" si="85"/>
        <v>0</v>
      </c>
      <c r="CI187" s="1398">
        <f t="shared" ca="1" si="86"/>
        <v>0</v>
      </c>
      <c r="CJ187" s="1398">
        <f t="shared" ca="1" si="87"/>
        <v>0</v>
      </c>
      <c r="CK187" s="1398">
        <f t="shared" ca="1" si="88"/>
        <v>0</v>
      </c>
      <c r="CL187" s="1398">
        <f t="shared" ca="1" si="89"/>
        <v>0</v>
      </c>
      <c r="CM187" s="1398">
        <f t="shared" ca="1" si="90"/>
        <v>0</v>
      </c>
      <c r="CN187" s="1398">
        <f ca="1">IF(B187&gt;=$J$5,0,CONTADORES!CB189-CONTADORES!CB188)</f>
        <v>0</v>
      </c>
      <c r="CO187" s="1398">
        <f t="shared" ca="1" si="91"/>
        <v>0</v>
      </c>
      <c r="CP187" s="1398">
        <f t="shared" ca="1" si="92"/>
        <v>0</v>
      </c>
      <c r="CQ187" s="1398">
        <f t="shared" ca="1" si="93"/>
        <v>0</v>
      </c>
      <c r="CR187" s="1398">
        <f t="shared" ca="1" si="94"/>
        <v>0</v>
      </c>
      <c r="CS187" s="1448">
        <f ca="1">IF($B187&gt;=$J$5,0,CONTADORES!$BI189)</f>
        <v>0</v>
      </c>
      <c r="CT187" s="1369">
        <f>CONTADORES!E189</f>
        <v>0</v>
      </c>
      <c r="CU187" s="1369">
        <f>CONTADORES!CG189</f>
        <v>0</v>
      </c>
    </row>
    <row r="188" spans="2:99">
      <c r="B188" s="390">
        <v>45104</v>
      </c>
      <c r="C188" s="198">
        <f t="shared" ca="1" si="68"/>
        <v>0</v>
      </c>
      <c r="D188" s="196">
        <f ca="1">'CALCULO DE GAS'!D200</f>
        <v>0</v>
      </c>
      <c r="E188" s="196">
        <f ca="1">IF(B188&gt;=$J$5,0,(CONTADORES!$AD190-CONTADORES!$AD189)-$H188)</f>
        <v>0</v>
      </c>
      <c r="F188" s="198">
        <f t="shared" ca="1" si="99"/>
        <v>0</v>
      </c>
      <c r="G188" s="196">
        <f ca="1">IF(B188&gt;=$J$5,0,CONTADORES!$AF190-CONTADORES!$AF189)</f>
        <v>0</v>
      </c>
      <c r="H188" s="196">
        <f ca="1">IF(G188&gt;0,CONTADORES!$AE190-CONTADORES!$AE189,0)</f>
        <v>0</v>
      </c>
      <c r="I188" s="199">
        <f ca="1">IF(B188&gt;=$J$5,0,CONTADORES!$AB190-CONTADORES!$AB189)</f>
        <v>0</v>
      </c>
      <c r="J188" s="198">
        <f t="shared" ca="1" si="69"/>
        <v>0</v>
      </c>
      <c r="K188" s="196">
        <f ca="1">'CALCULO DE GAS'!E200</f>
        <v>0</v>
      </c>
      <c r="L188" s="1396">
        <f ca="1">IF(B188&gt;=$J$5,0,(CONTADORES!$Y190-CONTADORES!$Y189)-$O188)</f>
        <v>0</v>
      </c>
      <c r="M188" s="1396">
        <f t="shared" ca="1" si="98"/>
        <v>0</v>
      </c>
      <c r="N188" s="1396">
        <f ca="1">IF(B188&gt;=$J$5,0,CONTADORES!$AA190-CONTADORES!$AA189)</f>
        <v>0</v>
      </c>
      <c r="O188" s="1396">
        <f ca="1">IF(N188&gt;0,CONTADORES!$Z190-CONTADORES!$Z189,0)</f>
        <v>0</v>
      </c>
      <c r="P188" s="202">
        <f ca="1">IF(B188&gt;=$J$5,0,CONTADORES!$W190-CONTADORES!$W189)</f>
        <v>0</v>
      </c>
      <c r="Q188" s="202">
        <f ca="1">IF(B188&gt;=$J$5,0,CONTADORES!$B190-CONTADORES!$B189)</f>
        <v>0</v>
      </c>
      <c r="R188" s="196">
        <f t="shared" ca="1" si="70"/>
        <v>0</v>
      </c>
      <c r="S188" s="11">
        <f ca="1">IF(B188&gt;=$J$5,0,CONTADORES!$D190-CONTADORES!$D189)</f>
        <v>0</v>
      </c>
      <c r="T188" s="198">
        <f ca="1">IF(B188&gt;=$J$5,0,CONTADORES!$BB190-CONTADORES!$BB189)</f>
        <v>0</v>
      </c>
      <c r="U188" s="196">
        <f t="shared" ca="1" si="97"/>
        <v>0</v>
      </c>
      <c r="V188" s="199">
        <f ca="1">IF(B188&gt;=$J$5,0,CONTADORES!$BD190-CONTADORES!$BD189)</f>
        <v>0</v>
      </c>
      <c r="W188" s="1397">
        <f t="shared" ca="1" si="71"/>
        <v>0</v>
      </c>
      <c r="X188" s="1397">
        <f t="shared" ca="1" si="72"/>
        <v>0</v>
      </c>
      <c r="Y188" s="1398">
        <f t="shared" ca="1" si="73"/>
        <v>0</v>
      </c>
      <c r="Z188" s="1398">
        <f t="shared" ca="1" si="74"/>
        <v>0</v>
      </c>
      <c r="AA188" s="1398">
        <f t="shared" ca="1" si="75"/>
        <v>0</v>
      </c>
      <c r="AB188" s="1398">
        <f t="shared" ca="1" si="76"/>
        <v>0</v>
      </c>
      <c r="AC188" s="1397">
        <f t="shared" ca="1" si="77"/>
        <v>0</v>
      </c>
      <c r="AD188" s="1397">
        <f ca="1">IF(B188&gt;=$J$5,0,CONTADORES!H190-CONTADORES!H189)</f>
        <v>0</v>
      </c>
      <c r="AE188" s="1397">
        <f ca="1">IF(B188&gt;=$J$5,0,CONTADORES!J190-CONTADORES!J189)</f>
        <v>0</v>
      </c>
      <c r="AF188" s="1397">
        <f ca="1">IF(B188&gt;=$J$5,0,CONTADORES!AU190-CONTADORES!AU189)</f>
        <v>0</v>
      </c>
      <c r="AG188" s="1397">
        <f ca="1">IF(B188&gt;=$J$5,0,CONTADORES!AW190-CONTADORES!AW189)</f>
        <v>0</v>
      </c>
      <c r="AH188" s="1398">
        <f ca="1">IF(B188&gt;=$J$5,0,(CONTADORES!AM190-CONTADORES!AM189)+(CONTADORES!M190-CONTADORES!M189))</f>
        <v>0</v>
      </c>
      <c r="AI188" s="1397">
        <f ca="1">IF(B188&gt;=$J$5,0,(CONTADORES!AK190-CONTADORES!AK189)+(CONTADORES!O190-CONTADORES!O189))</f>
        <v>0</v>
      </c>
      <c r="AJ188" s="1397">
        <f ca="1">IF(B188&gt;=$J$5,0,(CONTADORES!AI190-CONTADORES!AI189))</f>
        <v>0</v>
      </c>
      <c r="AK188" s="1397">
        <f ca="1">IF(B188&gt;=$J$5,0,(CONTADORES!Q190-CONTADORES!Q189))</f>
        <v>0</v>
      </c>
      <c r="AL188" s="1450">
        <f t="shared" ca="1" si="78"/>
        <v>0</v>
      </c>
      <c r="AM188" s="1397">
        <f ca="1">IF(B188&gt;=$J$5,0,(((CONTADORES!F190-CONTADORES!F189)+(CONTADORES!AQ190-CONTADORES!AQ189))))-BS188-AF188-AN188-BV188-BY188-CD188-CB188</f>
        <v>0</v>
      </c>
      <c r="AN188" s="1397">
        <f ca="1">IF(B188&gt;=$J$5,0,(CONTADORES!AX190-CONTADORES!AX189)+(CONTADORES!AZ190-CONTADORES!AZ189)+(CONTADORES!BE190-CONTADORES!BE189))-CB188</f>
        <v>0</v>
      </c>
      <c r="AO188" s="1399">
        <f ca="1">IF(B187&gt;=$J$5,0,(CONTADORES!AC190-CONTADORES!AC189))</f>
        <v>0</v>
      </c>
      <c r="AP188" s="1409">
        <f ca="1">IF(B188&gt;=$J$5,0,(CONTADORES!X190-CONTADORES!X189))</f>
        <v>0</v>
      </c>
      <c r="AQ188" s="1409">
        <f ca="1">IF(B188&gt;=$J$5,0,(CONTADORES!C190-CONTADORES!C189))</f>
        <v>0</v>
      </c>
      <c r="AR188" s="1409">
        <f ca="1">IF(B188&gt;=$J$5,0,(CONTADORES!BC190-CONTADORES!BC189))</f>
        <v>0</v>
      </c>
      <c r="AS188" s="1409">
        <f ca="1">IF(B188&gt;=$J$5,0,CONTADORES!S190-CONTADORES!S189)</f>
        <v>0</v>
      </c>
      <c r="AT188" s="1409">
        <f ca="1">IF(B188&gt;=$J$5,0,(CONTADORES!U190-CONTADORES!U189)+(CONTADORES!AG190-CONTADORES!AG189))</f>
        <v>0</v>
      </c>
      <c r="AU188" s="1409">
        <f ca="1">IF(B188&gt;=$J$5,0,(CONTADORES!I190-CONTADORES!I189))</f>
        <v>0</v>
      </c>
      <c r="AV188" s="1409">
        <f ca="1">IF(B188&gt;=$J$5,0,(CONTADORES!AV190-CONTADORES!AV189))</f>
        <v>0</v>
      </c>
      <c r="AW188" s="1409">
        <f ca="1">IF(B188&gt;=$J$5,0,(CONTADORES!N190-CONTADORES!N189)+(CONTADORES!AN190-CONTADORES!AN189))</f>
        <v>0</v>
      </c>
      <c r="AX188" s="1409">
        <f ca="1">IF(B188&gt;=$J$5,0,(CONTADORES!P190-CONTADORES!P189)+(CONTADORES!AL190-CONTADORES!AL189))</f>
        <v>0</v>
      </c>
      <c r="AY188" s="1409">
        <f ca="1">IF(B188&gt;=$J$5,0,(CONTADORES!AJ190-CONTADORES!AJ189))</f>
        <v>0</v>
      </c>
      <c r="AZ188" s="1409">
        <f ca="1">IF(B188&gt;=$J$5,0,(CONTADORES!R190-CONTADORES!R189))</f>
        <v>0</v>
      </c>
      <c r="BA188" s="1398">
        <f t="shared" ca="1" si="79"/>
        <v>0</v>
      </c>
      <c r="BB188" s="1409">
        <f ca="1">IF(B188&gt;=$J$5,0,(((CONTADORES!G190-CONTADORES!G189)+(CONTADORES!AR190-CONTADORES!AR189)+AR188)-(AV188+BC188)))</f>
        <v>0</v>
      </c>
      <c r="BC188" s="1397">
        <f ca="1">IF(B188&gt;=$J$5,0,(CONTADORES!AY190-CONTADORES!AY189)+(CONTADORES!BA190-CONTADORES!BA189)+(CONTADORES!BF190-CONTADORES!BF189))</f>
        <v>0</v>
      </c>
      <c r="BD188" s="1397">
        <f t="shared" ca="1" si="80"/>
        <v>0</v>
      </c>
      <c r="BE188" s="1398">
        <f ca="1">IF($B188&gt;=$J$5,0,CONTADORES!$BG190)</f>
        <v>0</v>
      </c>
      <c r="BF188" s="1397">
        <f ca="1">IF($B188&gt;=$J$5,0,CONTADORES!$BH190)</f>
        <v>0</v>
      </c>
      <c r="BG188" s="1397">
        <f ca="1">IF($B188&gt;=$J$5,0,CONTADORES!$BJ190)</f>
        <v>0</v>
      </c>
      <c r="BH188" s="1397">
        <f ca="1">IF(B188&gt;=$J$5,0,((CONTADORES!BK190-CONTADORES!BK189)/1000))</f>
        <v>0</v>
      </c>
      <c r="BI188" s="1397">
        <f ca="1">IF(C188&gt;=$J$5,0,((CONTADORES!BL190-CONTADORES!BL189)/1000))</f>
        <v>0</v>
      </c>
      <c r="BJ188" s="1397">
        <f ca="1">IF(C188&gt;=$J$5,0,((CONTADORES!BM190-CONTADORES!BM189)/1000))</f>
        <v>0</v>
      </c>
      <c r="BK188" s="1397">
        <f ca="1">IF(B188&gt;=$J$5,0,((CONTADORES!BN190-CONTADORES!BN189)/1000))</f>
        <v>0</v>
      </c>
      <c r="BL188" s="1399">
        <f t="shared" ca="1" si="81"/>
        <v>0</v>
      </c>
      <c r="BM188" s="1399">
        <f t="shared" ca="1" si="82"/>
        <v>0</v>
      </c>
      <c r="BN188" s="1398">
        <f ca="1">IF(W188&gt;=$J$5,0,CONTADORES!$BO190)</f>
        <v>0</v>
      </c>
      <c r="BO188" s="1397">
        <f ca="1">IF(W188&gt;=$J$5,0,CONTADORES!$BP190)</f>
        <v>0</v>
      </c>
      <c r="BP188" s="1397">
        <f ca="1">IF(W188&gt;=$J$5,0,CONTADORES!$BQ190)</f>
        <v>0</v>
      </c>
      <c r="BQ188" s="1397">
        <f ca="1">IF(B188&gt;=$J$5,0,(CONTADORES!AS190-CONTADORES!AS189))</f>
        <v>0</v>
      </c>
      <c r="BR188" s="1397">
        <f ca="1">IF(C188&gt;=$J$5,0,(CONTADORES!AT190-CONTADORES!AT189))</f>
        <v>0</v>
      </c>
      <c r="BS188" s="1398">
        <f ca="1">IF(B188&gt;=$J$5,0,CONTADORES!BR190-CONTADORES!BR189)/1000</f>
        <v>0</v>
      </c>
      <c r="BT188" s="1398">
        <f ca="1">IF(B188&gt;=$J$5,0,CONTADORES!BS190-CONTADORES!BS189)</f>
        <v>0</v>
      </c>
      <c r="BU188" s="1398">
        <f ca="1">IF(B188&gt;=$J$5,0,CONTADORES!BT190-CONTADORES!BT189)</f>
        <v>0</v>
      </c>
      <c r="BV188" s="1398">
        <f ca="1">IF(B188&gt;=$J$5,0,CONTADORES!BU190-CONTADORES!BU189)/1000</f>
        <v>0</v>
      </c>
      <c r="BW188" s="1398">
        <f ca="1">IF(B188&gt;=$J$5,0,CONTADORES!BV190-CONTADORES!BV189)/1000</f>
        <v>0</v>
      </c>
      <c r="BX188" s="1398">
        <f ca="1">IF(B188&gt;=$J$5,0,CONTADORES!BW190-CONTADORES!BW189)</f>
        <v>0</v>
      </c>
      <c r="BY188" s="1398">
        <f ca="1">IF(B188&gt;=$J$5,0,CONTADORES!BX190-CONTADORES!BX189)/1000</f>
        <v>0</v>
      </c>
      <c r="BZ188" s="1398">
        <f ca="1">IF(B188&gt;=$J$5,0,CONTADORES!BY190-CONTADORES!BY189)/1000</f>
        <v>0</v>
      </c>
      <c r="CA188" s="1398">
        <f ca="1">IF(B188&gt;=$J$5,0,CONTADORES!BZ190-CONTADORES!BZ189)</f>
        <v>0</v>
      </c>
      <c r="CB188" s="1398">
        <f ca="1">IF(B188&gt;=$J$5,0,(CONTADORES!CC190-CONTADORES!CC189)+(CONTADORES!CE190-CONTADORES!CE189))/1000</f>
        <v>0</v>
      </c>
      <c r="CC188" s="1398">
        <f ca="1">IF(B188&gt;=$J$5,0,(CONTADORES!CD190-CONTADORES!CD189)+(CONTADORES!CF190-CONTADORES!CF189))/1000</f>
        <v>0</v>
      </c>
      <c r="CD188" s="1398">
        <f ca="1">IF(B188&gt;=$J$5,0,CONTADORES!CA190-CONTADORES!CA189)</f>
        <v>0</v>
      </c>
      <c r="CE188" s="1398">
        <f ca="1">IF(B188&gt;=$J$5,0,CONTADORES!CB190-CONTADORES!CB189)</f>
        <v>0</v>
      </c>
      <c r="CF188" s="1398">
        <f t="shared" ca="1" si="83"/>
        <v>0</v>
      </c>
      <c r="CG188" s="1398">
        <f t="shared" ca="1" si="84"/>
        <v>0</v>
      </c>
      <c r="CH188" s="1398">
        <f t="shared" ca="1" si="85"/>
        <v>0</v>
      </c>
      <c r="CI188" s="1398">
        <f t="shared" ca="1" si="86"/>
        <v>0</v>
      </c>
      <c r="CJ188" s="1398">
        <f t="shared" ca="1" si="87"/>
        <v>0</v>
      </c>
      <c r="CK188" s="1398">
        <f t="shared" ca="1" si="88"/>
        <v>0</v>
      </c>
      <c r="CL188" s="1398">
        <f t="shared" ca="1" si="89"/>
        <v>0</v>
      </c>
      <c r="CM188" s="1398">
        <f t="shared" ca="1" si="90"/>
        <v>0</v>
      </c>
      <c r="CN188" s="1398">
        <f ca="1">IF(B188&gt;=$J$5,0,CONTADORES!CB190-CONTADORES!CB189)</f>
        <v>0</v>
      </c>
      <c r="CO188" s="1398">
        <f t="shared" ca="1" si="91"/>
        <v>0</v>
      </c>
      <c r="CP188" s="1398">
        <f t="shared" ca="1" si="92"/>
        <v>0</v>
      </c>
      <c r="CQ188" s="1398">
        <f t="shared" ca="1" si="93"/>
        <v>0</v>
      </c>
      <c r="CR188" s="1398">
        <f t="shared" ca="1" si="94"/>
        <v>0</v>
      </c>
      <c r="CS188" s="1448">
        <f ca="1">IF($B188&gt;=$J$5,0,CONTADORES!$BI190)</f>
        <v>0</v>
      </c>
      <c r="CT188" s="1369">
        <f>CONTADORES!E190</f>
        <v>0</v>
      </c>
      <c r="CU188" s="1369">
        <f>CONTADORES!CG190</f>
        <v>0</v>
      </c>
    </row>
    <row r="189" spans="2:99">
      <c r="B189" s="390">
        <v>45105</v>
      </c>
      <c r="C189" s="198">
        <f t="shared" ca="1" si="68"/>
        <v>0</v>
      </c>
      <c r="D189" s="196">
        <f ca="1">'CALCULO DE GAS'!D201</f>
        <v>0</v>
      </c>
      <c r="E189" s="196">
        <f ca="1">IF(B189&gt;=$J$5,0,(CONTADORES!$AD191-CONTADORES!$AD190)-$H189)</f>
        <v>0</v>
      </c>
      <c r="F189" s="198">
        <f t="shared" ca="1" si="99"/>
        <v>0</v>
      </c>
      <c r="G189" s="196">
        <f ca="1">IF(B189&gt;=$J$5,0,CONTADORES!$AF191-CONTADORES!$AF190)</f>
        <v>0</v>
      </c>
      <c r="H189" s="196">
        <f ca="1">IF(G189&gt;0,CONTADORES!$AE191-CONTADORES!$AE190,0)</f>
        <v>0</v>
      </c>
      <c r="I189" s="199">
        <f ca="1">IF(B189&gt;=$J$5,0,CONTADORES!$AB191-CONTADORES!$AB190)</f>
        <v>0</v>
      </c>
      <c r="J189" s="198">
        <f t="shared" ca="1" si="69"/>
        <v>0</v>
      </c>
      <c r="K189" s="196">
        <f ca="1">'CALCULO DE GAS'!E201</f>
        <v>0</v>
      </c>
      <c r="L189" s="1396">
        <f ca="1">IF(B189&gt;=$J$5,0,(CONTADORES!$Y191-CONTADORES!$Y190)-$O189)</f>
        <v>0</v>
      </c>
      <c r="M189" s="1396">
        <f t="shared" ca="1" si="98"/>
        <v>0</v>
      </c>
      <c r="N189" s="1396">
        <f ca="1">IF(B189&gt;=$J$5,0,CONTADORES!$AA191-CONTADORES!$AA190)</f>
        <v>0</v>
      </c>
      <c r="O189" s="1396">
        <f ca="1">IF(N189&gt;0,CONTADORES!$Z191-CONTADORES!$Z190,0)</f>
        <v>0</v>
      </c>
      <c r="P189" s="202">
        <f ca="1">IF(B189&gt;=$J$5,0,CONTADORES!$W191-CONTADORES!$W190)</f>
        <v>0</v>
      </c>
      <c r="Q189" s="202">
        <f ca="1">IF(B189&gt;=$J$5,0,CONTADORES!$B191-CONTADORES!$B190)</f>
        <v>0</v>
      </c>
      <c r="R189" s="196">
        <f t="shared" ca="1" si="70"/>
        <v>0</v>
      </c>
      <c r="S189" s="11">
        <f ca="1">IF(B189&gt;=$J$5,0,CONTADORES!$D191-CONTADORES!$D190)</f>
        <v>0</v>
      </c>
      <c r="T189" s="198">
        <f ca="1">IF(B189&gt;=$J$5,0,CONTADORES!$BB191-CONTADORES!$BB190)</f>
        <v>0</v>
      </c>
      <c r="U189" s="196">
        <f t="shared" ca="1" si="97"/>
        <v>0</v>
      </c>
      <c r="V189" s="199">
        <f ca="1">IF(B189&gt;=$J$5,0,CONTADORES!$BD191-CONTADORES!$BD190)</f>
        <v>0</v>
      </c>
      <c r="W189" s="1397">
        <f t="shared" ca="1" si="71"/>
        <v>0</v>
      </c>
      <c r="X189" s="1397">
        <f t="shared" ca="1" si="72"/>
        <v>0</v>
      </c>
      <c r="Y189" s="1398">
        <f t="shared" ca="1" si="73"/>
        <v>0</v>
      </c>
      <c r="Z189" s="1398">
        <f t="shared" ca="1" si="74"/>
        <v>0</v>
      </c>
      <c r="AA189" s="1398">
        <f t="shared" ca="1" si="75"/>
        <v>0</v>
      </c>
      <c r="AB189" s="1398">
        <f t="shared" ca="1" si="76"/>
        <v>0</v>
      </c>
      <c r="AC189" s="1397">
        <f t="shared" ca="1" si="77"/>
        <v>0</v>
      </c>
      <c r="AD189" s="1397">
        <f ca="1">IF(B189&gt;=$J$5,0,CONTADORES!H191-CONTADORES!H190)</f>
        <v>0</v>
      </c>
      <c r="AE189" s="1397">
        <f ca="1">IF(B189&gt;=$J$5,0,CONTADORES!J191-CONTADORES!J190)</f>
        <v>0</v>
      </c>
      <c r="AF189" s="1397">
        <f ca="1">IF(B189&gt;=$J$5,0,CONTADORES!AU191-CONTADORES!AU190)</f>
        <v>0</v>
      </c>
      <c r="AG189" s="1397">
        <f ca="1">IF(B189&gt;=$J$5,0,CONTADORES!AW191-CONTADORES!AW190)</f>
        <v>0</v>
      </c>
      <c r="AH189" s="1398">
        <f ca="1">IF(B189&gt;=$J$5,0,(CONTADORES!AM191-CONTADORES!AM190)+(CONTADORES!M191-CONTADORES!M190))</f>
        <v>0</v>
      </c>
      <c r="AI189" s="1397">
        <f ca="1">IF(B189&gt;=$J$5,0,(CONTADORES!AK191-CONTADORES!AK190)+(CONTADORES!O191-CONTADORES!O190))</f>
        <v>0</v>
      </c>
      <c r="AJ189" s="1397">
        <f ca="1">IF(B189&gt;=$J$5,0,(CONTADORES!AI191-CONTADORES!AI190))</f>
        <v>0</v>
      </c>
      <c r="AK189" s="1397">
        <f ca="1">IF(B189&gt;=$J$5,0,(CONTADORES!Q191-CONTADORES!Q190))</f>
        <v>0</v>
      </c>
      <c r="AL189" s="1450">
        <f t="shared" ca="1" si="78"/>
        <v>0</v>
      </c>
      <c r="AM189" s="1397">
        <f ca="1">IF(B189&gt;=$J$5,0,(((CONTADORES!F191-CONTADORES!F190)+(CONTADORES!AQ191-CONTADORES!AQ190))))-BS189-AF189-AN189-BV189-BY189-CD189-CB189</f>
        <v>0</v>
      </c>
      <c r="AN189" s="1397">
        <f ca="1">IF(B189&gt;=$J$5,0,(CONTADORES!AX191-CONTADORES!AX190)+(CONTADORES!AZ191-CONTADORES!AZ190)+(CONTADORES!BE191-CONTADORES!BE190))-CB189</f>
        <v>0</v>
      </c>
      <c r="AO189" s="1399">
        <f ca="1">IF(B188&gt;=$J$5,0,(CONTADORES!AC191-CONTADORES!AC190))</f>
        <v>0</v>
      </c>
      <c r="AP189" s="1409">
        <f ca="1">IF(B189&gt;=$J$5,0,(CONTADORES!X191-CONTADORES!X190))</f>
        <v>0</v>
      </c>
      <c r="AQ189" s="1409">
        <f ca="1">IF(B189&gt;=$J$5,0,(CONTADORES!C191-CONTADORES!C190))</f>
        <v>0</v>
      </c>
      <c r="AR189" s="1409">
        <f ca="1">IF(B189&gt;=$J$5,0,(CONTADORES!BC191-CONTADORES!BC190))</f>
        <v>0</v>
      </c>
      <c r="AS189" s="1409">
        <f ca="1">IF(B189&gt;=$J$5,0,CONTADORES!S191-CONTADORES!S190)</f>
        <v>0</v>
      </c>
      <c r="AT189" s="1409">
        <f ca="1">IF(B189&gt;=$J$5,0,(CONTADORES!U191-CONTADORES!U190)+(CONTADORES!AG191-CONTADORES!AG190))</f>
        <v>0</v>
      </c>
      <c r="AU189" s="1409">
        <f ca="1">IF(B189&gt;=$J$5,0,(CONTADORES!I191-CONTADORES!I190))</f>
        <v>0</v>
      </c>
      <c r="AV189" s="1409">
        <f ca="1">IF(B189&gt;=$J$5,0,(CONTADORES!AV191-CONTADORES!AV190))</f>
        <v>0</v>
      </c>
      <c r="AW189" s="1409">
        <f ca="1">IF(B189&gt;=$J$5,0,(CONTADORES!N191-CONTADORES!N190)+(CONTADORES!AN191-CONTADORES!AN190))</f>
        <v>0</v>
      </c>
      <c r="AX189" s="1409">
        <f ca="1">IF(B189&gt;=$J$5,0,(CONTADORES!P191-CONTADORES!P190)+(CONTADORES!AL191-CONTADORES!AL190))</f>
        <v>0</v>
      </c>
      <c r="AY189" s="1409">
        <f ca="1">IF(B189&gt;=$J$5,0,(CONTADORES!AJ191-CONTADORES!AJ190))</f>
        <v>0</v>
      </c>
      <c r="AZ189" s="1409">
        <f ca="1">IF(B189&gt;=$J$5,0,(CONTADORES!R191-CONTADORES!R190))</f>
        <v>0</v>
      </c>
      <c r="BA189" s="1398">
        <f t="shared" ca="1" si="79"/>
        <v>0</v>
      </c>
      <c r="BB189" s="1409">
        <f ca="1">IF(B189&gt;=$J$5,0,(((CONTADORES!G191-CONTADORES!G190)+(CONTADORES!AR191-CONTADORES!AR190)+AR189)-(AV189+BC189)))</f>
        <v>0</v>
      </c>
      <c r="BC189" s="1397">
        <f ca="1">IF(B189&gt;=$J$5,0,(CONTADORES!AY191-CONTADORES!AY190)+(CONTADORES!BA191-CONTADORES!BA190)+(CONTADORES!BF191-CONTADORES!BF190))</f>
        <v>0</v>
      </c>
      <c r="BD189" s="1397">
        <f t="shared" ca="1" si="80"/>
        <v>0</v>
      </c>
      <c r="BE189" s="1398">
        <f ca="1">IF($B189&gt;=$J$5,0,CONTADORES!$BG191)</f>
        <v>0</v>
      </c>
      <c r="BF189" s="1397">
        <f ca="1">IF($B189&gt;=$J$5,0,CONTADORES!$BH191)</f>
        <v>0</v>
      </c>
      <c r="BG189" s="1397">
        <f ca="1">IF($B189&gt;=$J$5,0,CONTADORES!$BJ191)</f>
        <v>0</v>
      </c>
      <c r="BH189" s="1397">
        <f ca="1">IF(B189&gt;=$J$5,0,((CONTADORES!BK191-CONTADORES!BK190)/1000))</f>
        <v>0</v>
      </c>
      <c r="BI189" s="1397">
        <f ca="1">IF(C189&gt;=$J$5,0,((CONTADORES!BL191-CONTADORES!BL190)/1000))</f>
        <v>0</v>
      </c>
      <c r="BJ189" s="1397">
        <f ca="1">IF(C189&gt;=$J$5,0,((CONTADORES!BM191-CONTADORES!BM190)/1000))</f>
        <v>0</v>
      </c>
      <c r="BK189" s="1397">
        <f ca="1">IF(B189&gt;=$J$5,0,((CONTADORES!BN191-CONTADORES!BN190)/1000))</f>
        <v>0</v>
      </c>
      <c r="BL189" s="1399">
        <f t="shared" ca="1" si="81"/>
        <v>0</v>
      </c>
      <c r="BM189" s="1399">
        <f t="shared" ca="1" si="82"/>
        <v>0</v>
      </c>
      <c r="BN189" s="1398">
        <f ca="1">IF(W189&gt;=$J$5,0,CONTADORES!$BO191)</f>
        <v>0</v>
      </c>
      <c r="BO189" s="1397">
        <f ca="1">IF(W189&gt;=$J$5,0,CONTADORES!$BP191)</f>
        <v>0</v>
      </c>
      <c r="BP189" s="1397">
        <f ca="1">IF(W189&gt;=$J$5,0,CONTADORES!$BQ191)</f>
        <v>0</v>
      </c>
      <c r="BQ189" s="1397">
        <f ca="1">IF(B189&gt;=$J$5,0,(CONTADORES!AS191-CONTADORES!AS190))</f>
        <v>0</v>
      </c>
      <c r="BR189" s="1397">
        <f ca="1">IF(C189&gt;=$J$5,0,(CONTADORES!AT191-CONTADORES!AT190))</f>
        <v>0</v>
      </c>
      <c r="BS189" s="1398">
        <f ca="1">IF(B189&gt;=$J$5,0,CONTADORES!BR191-CONTADORES!BR190)/1000</f>
        <v>0</v>
      </c>
      <c r="BT189" s="1398">
        <f ca="1">IF(B189&gt;=$J$5,0,CONTADORES!BS191-CONTADORES!BS190)</f>
        <v>0</v>
      </c>
      <c r="BU189" s="1398">
        <f ca="1">IF(B189&gt;=$J$5,0,CONTADORES!BT191-CONTADORES!BT190)</f>
        <v>0</v>
      </c>
      <c r="BV189" s="1398">
        <f ca="1">IF(B189&gt;=$J$5,0,CONTADORES!BU191-CONTADORES!BU190)/1000</f>
        <v>0</v>
      </c>
      <c r="BW189" s="1398">
        <f ca="1">IF(B189&gt;=$J$5,0,CONTADORES!BV191-CONTADORES!BV190)/1000</f>
        <v>0</v>
      </c>
      <c r="BX189" s="1398">
        <f ca="1">IF(B189&gt;=$J$5,0,CONTADORES!BW191-CONTADORES!BW190)</f>
        <v>0</v>
      </c>
      <c r="BY189" s="1398">
        <f ca="1">IF(B189&gt;=$J$5,0,CONTADORES!BX191-CONTADORES!BX190)/1000</f>
        <v>0</v>
      </c>
      <c r="BZ189" s="1398">
        <f ca="1">IF(B189&gt;=$J$5,0,CONTADORES!BY191-CONTADORES!BY190)/1000</f>
        <v>0</v>
      </c>
      <c r="CA189" s="1398">
        <f ca="1">IF(B189&gt;=$J$5,0,CONTADORES!BZ191-CONTADORES!BZ190)</f>
        <v>0</v>
      </c>
      <c r="CB189" s="1398">
        <f ca="1">IF(B189&gt;=$J$5,0,(CONTADORES!CC191-CONTADORES!CC190)+(CONTADORES!CE191-CONTADORES!CE190))/1000</f>
        <v>0</v>
      </c>
      <c r="CC189" s="1398">
        <f ca="1">IF(B189&gt;=$J$5,0,(CONTADORES!CD191-CONTADORES!CD190)+(CONTADORES!CF191-CONTADORES!CF190))/1000</f>
        <v>0</v>
      </c>
      <c r="CD189" s="1398">
        <f ca="1">IF(B189&gt;=$J$5,0,CONTADORES!CA191-CONTADORES!CA190)</f>
        <v>0</v>
      </c>
      <c r="CE189" s="1398">
        <f ca="1">IF(B189&gt;=$J$5,0,CONTADORES!CB191-CONTADORES!CB190)</f>
        <v>0</v>
      </c>
      <c r="CF189" s="1398">
        <f t="shared" ca="1" si="83"/>
        <v>0</v>
      </c>
      <c r="CG189" s="1398">
        <f t="shared" ca="1" si="84"/>
        <v>0</v>
      </c>
      <c r="CH189" s="1398">
        <f t="shared" ca="1" si="85"/>
        <v>0</v>
      </c>
      <c r="CI189" s="1398">
        <f t="shared" ca="1" si="86"/>
        <v>0</v>
      </c>
      <c r="CJ189" s="1398">
        <f t="shared" ca="1" si="87"/>
        <v>0</v>
      </c>
      <c r="CK189" s="1398">
        <f t="shared" ca="1" si="88"/>
        <v>0</v>
      </c>
      <c r="CL189" s="1398">
        <f t="shared" ca="1" si="89"/>
        <v>0</v>
      </c>
      <c r="CM189" s="1398">
        <f t="shared" ca="1" si="90"/>
        <v>0</v>
      </c>
      <c r="CN189" s="1398">
        <f ca="1">IF(B189&gt;=$J$5,0,CONTADORES!CB191-CONTADORES!CB190)</f>
        <v>0</v>
      </c>
      <c r="CO189" s="1398">
        <f t="shared" ca="1" si="91"/>
        <v>0</v>
      </c>
      <c r="CP189" s="1398">
        <f t="shared" ca="1" si="92"/>
        <v>0</v>
      </c>
      <c r="CQ189" s="1398">
        <f t="shared" ca="1" si="93"/>
        <v>0</v>
      </c>
      <c r="CR189" s="1398">
        <f t="shared" ca="1" si="94"/>
        <v>0</v>
      </c>
      <c r="CS189" s="1448">
        <f ca="1">IF($B189&gt;=$J$5,0,CONTADORES!$BI191)</f>
        <v>0</v>
      </c>
      <c r="CT189" s="1369">
        <f>CONTADORES!E191</f>
        <v>0</v>
      </c>
      <c r="CU189" s="1369">
        <f>CONTADORES!CG191</f>
        <v>0</v>
      </c>
    </row>
    <row r="190" spans="2:99">
      <c r="B190" s="390">
        <v>45106</v>
      </c>
      <c r="C190" s="198">
        <f t="shared" ca="1" si="68"/>
        <v>0</v>
      </c>
      <c r="D190" s="196">
        <f ca="1">'CALCULO DE GAS'!D202</f>
        <v>0</v>
      </c>
      <c r="E190" s="196">
        <f ca="1">IF(B190&gt;=$J$5,0,(CONTADORES!$AD192-CONTADORES!$AD191)-$H190)</f>
        <v>0</v>
      </c>
      <c r="F190" s="198">
        <f t="shared" ca="1" si="99"/>
        <v>0</v>
      </c>
      <c r="G190" s="196">
        <f ca="1">IF(B190&gt;=$J$5,0,CONTADORES!$AF192-CONTADORES!$AF191)</f>
        <v>0</v>
      </c>
      <c r="H190" s="196">
        <f ca="1">IF(G190&gt;0,CONTADORES!$AE192-CONTADORES!$AE191,0)</f>
        <v>0</v>
      </c>
      <c r="I190" s="199">
        <f ca="1">IF(B190&gt;=$J$5,0,CONTADORES!$AB192-CONTADORES!$AB191)</f>
        <v>0</v>
      </c>
      <c r="J190" s="198">
        <f t="shared" ca="1" si="69"/>
        <v>0</v>
      </c>
      <c r="K190" s="196">
        <f ca="1">'CALCULO DE GAS'!E202</f>
        <v>0</v>
      </c>
      <c r="L190" s="1396">
        <f ca="1">IF(B190&gt;=$J$5,0,(CONTADORES!$Y192-CONTADORES!$Y191)-$O190)</f>
        <v>0</v>
      </c>
      <c r="M190" s="1396">
        <f t="shared" ca="1" si="98"/>
        <v>0</v>
      </c>
      <c r="N190" s="1396">
        <f ca="1">IF(B190&gt;=$J$5,0,CONTADORES!$AA192-CONTADORES!$AA191)</f>
        <v>0</v>
      </c>
      <c r="O190" s="1396">
        <f ca="1">IF(N190&gt;0,CONTADORES!$Z192-CONTADORES!$Z191,0)</f>
        <v>0</v>
      </c>
      <c r="P190" s="202">
        <f ca="1">IF(B190&gt;=$J$5,0,CONTADORES!$W192-CONTADORES!$W191)</f>
        <v>0</v>
      </c>
      <c r="Q190" s="202">
        <f ca="1">IF(B190&gt;=$J$5,0,CONTADORES!$B192-CONTADORES!$B191)</f>
        <v>0</v>
      </c>
      <c r="R190" s="196">
        <f t="shared" ca="1" si="70"/>
        <v>0</v>
      </c>
      <c r="S190" s="11">
        <f ca="1">IF(B190&gt;=$J$5,0,CONTADORES!$D192-CONTADORES!$D191)</f>
        <v>0</v>
      </c>
      <c r="T190" s="198">
        <f ca="1">IF(B190&gt;=$J$5,0,CONTADORES!$BB192-CONTADORES!$BB191)</f>
        <v>0</v>
      </c>
      <c r="U190" s="196">
        <f t="shared" ca="1" si="97"/>
        <v>0</v>
      </c>
      <c r="V190" s="199">
        <f ca="1">IF(B190&gt;=$J$5,0,CONTADORES!$BD192-CONTADORES!$BD191)</f>
        <v>0</v>
      </c>
      <c r="W190" s="1397">
        <f t="shared" ca="1" si="71"/>
        <v>0</v>
      </c>
      <c r="X190" s="1397">
        <f t="shared" ca="1" si="72"/>
        <v>0</v>
      </c>
      <c r="Y190" s="1398">
        <f t="shared" ca="1" si="73"/>
        <v>0</v>
      </c>
      <c r="Z190" s="1398">
        <f t="shared" ca="1" si="74"/>
        <v>0</v>
      </c>
      <c r="AA190" s="1398">
        <f t="shared" ca="1" si="75"/>
        <v>0</v>
      </c>
      <c r="AB190" s="1398">
        <f t="shared" ca="1" si="76"/>
        <v>0</v>
      </c>
      <c r="AC190" s="1397">
        <f t="shared" ca="1" si="77"/>
        <v>0</v>
      </c>
      <c r="AD190" s="1397">
        <f ca="1">IF(B190&gt;=$J$5,0,CONTADORES!H192-CONTADORES!H191)</f>
        <v>0</v>
      </c>
      <c r="AE190" s="1397">
        <f ca="1">IF(B190&gt;=$J$5,0,CONTADORES!J192-CONTADORES!J191)</f>
        <v>0</v>
      </c>
      <c r="AF190" s="1397">
        <f ca="1">IF(B190&gt;=$J$5,0,CONTADORES!AU192-CONTADORES!AU191)</f>
        <v>0</v>
      </c>
      <c r="AG190" s="1397">
        <f ca="1">IF(B190&gt;=$J$5,0,CONTADORES!AW192-CONTADORES!AW191)</f>
        <v>0</v>
      </c>
      <c r="AH190" s="1398">
        <f ca="1">IF(B190&gt;=$J$5,0,(CONTADORES!AM192-CONTADORES!AM191)+(CONTADORES!M192-CONTADORES!M191))</f>
        <v>0</v>
      </c>
      <c r="AI190" s="1397">
        <f ca="1">IF(B190&gt;=$J$5,0,(CONTADORES!AK192-CONTADORES!AK191)+(CONTADORES!O192-CONTADORES!O191))</f>
        <v>0</v>
      </c>
      <c r="AJ190" s="1397">
        <f ca="1">IF(B190&gt;=$J$5,0,(CONTADORES!AI192-CONTADORES!AI191))</f>
        <v>0</v>
      </c>
      <c r="AK190" s="1397">
        <f ca="1">IF(B190&gt;=$J$5,0,(CONTADORES!Q192-CONTADORES!Q191))</f>
        <v>0</v>
      </c>
      <c r="AL190" s="1450">
        <f t="shared" ca="1" si="78"/>
        <v>0</v>
      </c>
      <c r="AM190" s="1397">
        <f ca="1">IF(B190&gt;=$J$5,0,(((CONTADORES!F192-CONTADORES!F191)+(CONTADORES!AQ192-CONTADORES!AQ191))))-BS190-AF190-AN190-BV190-BY190-CD190-CB190</f>
        <v>0</v>
      </c>
      <c r="AN190" s="1397">
        <f ca="1">IF(B190&gt;=$J$5,0,(CONTADORES!AX192-CONTADORES!AX191)+(CONTADORES!AZ192-CONTADORES!AZ191)+(CONTADORES!BE192-CONTADORES!BE191))-CB190</f>
        <v>0</v>
      </c>
      <c r="AO190" s="1399">
        <f ca="1">IF(B189&gt;=$J$5,0,(CONTADORES!AC192-CONTADORES!AC191))</f>
        <v>0</v>
      </c>
      <c r="AP190" s="1409">
        <f ca="1">IF(B190&gt;=$J$5,0,(CONTADORES!X192-CONTADORES!X191))</f>
        <v>0</v>
      </c>
      <c r="AQ190" s="1409">
        <f ca="1">IF(B190&gt;=$J$5,0,(CONTADORES!C192-CONTADORES!C191))</f>
        <v>0</v>
      </c>
      <c r="AR190" s="1409">
        <f ca="1">IF(B190&gt;=$J$5,0,(CONTADORES!BC192-CONTADORES!BC191))</f>
        <v>0</v>
      </c>
      <c r="AS190" s="1409">
        <f ca="1">IF(B190&gt;=$J$5,0,CONTADORES!S192-CONTADORES!S191)</f>
        <v>0</v>
      </c>
      <c r="AT190" s="1409">
        <f ca="1">IF(B190&gt;=$J$5,0,(CONTADORES!U192-CONTADORES!U191)+(CONTADORES!AG192-CONTADORES!AG191))</f>
        <v>0</v>
      </c>
      <c r="AU190" s="1409">
        <f ca="1">IF(B190&gt;=$J$5,0,(CONTADORES!I192-CONTADORES!I191))</f>
        <v>0</v>
      </c>
      <c r="AV190" s="1409">
        <f ca="1">IF(B190&gt;=$J$5,0,(CONTADORES!AV192-CONTADORES!AV191))</f>
        <v>0</v>
      </c>
      <c r="AW190" s="1409">
        <f ca="1">IF(B190&gt;=$J$5,0,(CONTADORES!N192-CONTADORES!N191)+(CONTADORES!AN192-CONTADORES!AN191))</f>
        <v>0</v>
      </c>
      <c r="AX190" s="1409">
        <f ca="1">IF(B190&gt;=$J$5,0,(CONTADORES!P192-CONTADORES!P191)+(CONTADORES!AL192-CONTADORES!AL191))</f>
        <v>0</v>
      </c>
      <c r="AY190" s="1409">
        <f ca="1">IF(B190&gt;=$J$5,0,(CONTADORES!AJ192-CONTADORES!AJ191))</f>
        <v>0</v>
      </c>
      <c r="AZ190" s="1409">
        <f ca="1">IF(B190&gt;=$J$5,0,(CONTADORES!R192-CONTADORES!R191))</f>
        <v>0</v>
      </c>
      <c r="BA190" s="1398">
        <f t="shared" ca="1" si="79"/>
        <v>0</v>
      </c>
      <c r="BB190" s="1409">
        <f ca="1">IF(B190&gt;=$J$5,0,(((CONTADORES!G192-CONTADORES!G191)+(CONTADORES!AR192-CONTADORES!AR191)+AR190)-(AV190+BC190)))</f>
        <v>0</v>
      </c>
      <c r="BC190" s="1397">
        <f ca="1">IF(B190&gt;=$J$5,0,(CONTADORES!AY192-CONTADORES!AY191)+(CONTADORES!BA192-CONTADORES!BA191)+(CONTADORES!BF192-CONTADORES!BF191))</f>
        <v>0</v>
      </c>
      <c r="BD190" s="1397">
        <f t="shared" ca="1" si="80"/>
        <v>0</v>
      </c>
      <c r="BE190" s="1398">
        <f ca="1">IF($B190&gt;=$J$5,0,CONTADORES!$BG192)</f>
        <v>0</v>
      </c>
      <c r="BF190" s="1397">
        <f ca="1">IF($B190&gt;=$J$5,0,CONTADORES!$BH192)</f>
        <v>0</v>
      </c>
      <c r="BG190" s="1397">
        <f ca="1">IF($B190&gt;=$J$5,0,CONTADORES!$BJ192)</f>
        <v>0</v>
      </c>
      <c r="BH190" s="1397">
        <f ca="1">IF(B190&gt;=$J$5,0,((CONTADORES!BK192-CONTADORES!BK191)/1000))</f>
        <v>0</v>
      </c>
      <c r="BI190" s="1397">
        <f ca="1">IF(C190&gt;=$J$5,0,((CONTADORES!BL192-CONTADORES!BL191)/1000))</f>
        <v>0</v>
      </c>
      <c r="BJ190" s="1397">
        <f ca="1">IF(C190&gt;=$J$5,0,((CONTADORES!BM192-CONTADORES!BM191)/1000))</f>
        <v>0</v>
      </c>
      <c r="BK190" s="1397">
        <f ca="1">IF(B190&gt;=$J$5,0,((CONTADORES!BN192-CONTADORES!BN191)/1000))</f>
        <v>0</v>
      </c>
      <c r="BL190" s="1399">
        <f t="shared" ca="1" si="81"/>
        <v>0</v>
      </c>
      <c r="BM190" s="1399">
        <f t="shared" ca="1" si="82"/>
        <v>0</v>
      </c>
      <c r="BN190" s="1398">
        <f ca="1">IF(W190&gt;=$J$5,0,CONTADORES!$BO192)</f>
        <v>0</v>
      </c>
      <c r="BO190" s="1397">
        <f ca="1">IF(W190&gt;=$J$5,0,CONTADORES!$BP192)</f>
        <v>0</v>
      </c>
      <c r="BP190" s="1397">
        <f ca="1">IF(W190&gt;=$J$5,0,CONTADORES!$BQ192)</f>
        <v>0</v>
      </c>
      <c r="BQ190" s="1397">
        <f ca="1">IF(B190&gt;=$J$5,0,(CONTADORES!AS192-CONTADORES!AS191))</f>
        <v>0</v>
      </c>
      <c r="BR190" s="1397">
        <f ca="1">IF(C190&gt;=$J$5,0,(CONTADORES!AT192-CONTADORES!AT191))</f>
        <v>0</v>
      </c>
      <c r="BS190" s="1398">
        <f ca="1">IF(B190&gt;=$J$5,0,CONTADORES!BR192-CONTADORES!BR191)/1000</f>
        <v>0</v>
      </c>
      <c r="BT190" s="1398">
        <f ca="1">IF(B190&gt;=$J$5,0,CONTADORES!BS192-CONTADORES!BS191)</f>
        <v>0</v>
      </c>
      <c r="BU190" s="1398">
        <f ca="1">IF(B190&gt;=$J$5,0,CONTADORES!BT192-CONTADORES!BT191)</f>
        <v>0</v>
      </c>
      <c r="BV190" s="1398">
        <f ca="1">IF(B190&gt;=$J$5,0,CONTADORES!BU192-CONTADORES!BU191)/1000</f>
        <v>0</v>
      </c>
      <c r="BW190" s="1398">
        <f ca="1">IF(B190&gt;=$J$5,0,CONTADORES!BV192-CONTADORES!BV191)/1000</f>
        <v>0</v>
      </c>
      <c r="BX190" s="1398">
        <f ca="1">IF(B190&gt;=$J$5,0,CONTADORES!BW192-CONTADORES!BW191)</f>
        <v>0</v>
      </c>
      <c r="BY190" s="1398">
        <f ca="1">IF(B190&gt;=$J$5,0,CONTADORES!BX192-CONTADORES!BX191)/1000</f>
        <v>0</v>
      </c>
      <c r="BZ190" s="1398">
        <f ca="1">IF(B190&gt;=$J$5,0,CONTADORES!BY192-CONTADORES!BY191)/1000</f>
        <v>0</v>
      </c>
      <c r="CA190" s="1398">
        <f ca="1">IF(B190&gt;=$J$5,0,CONTADORES!BZ192-CONTADORES!BZ191)</f>
        <v>0</v>
      </c>
      <c r="CB190" s="1398">
        <f ca="1">IF(B190&gt;=$J$5,0,(CONTADORES!CC192-CONTADORES!CC191)+(CONTADORES!CE192-CONTADORES!CE191))/1000</f>
        <v>0</v>
      </c>
      <c r="CC190" s="1398">
        <f ca="1">IF(B190&gt;=$J$5,0,(CONTADORES!CD192-CONTADORES!CD191)+(CONTADORES!CF192-CONTADORES!CF191))/1000</f>
        <v>0</v>
      </c>
      <c r="CD190" s="1398">
        <f ca="1">IF(B190&gt;=$J$5,0,CONTADORES!CA192-CONTADORES!CA191)</f>
        <v>0</v>
      </c>
      <c r="CE190" s="1398">
        <f ca="1">IF(B190&gt;=$J$5,0,CONTADORES!CB192-CONTADORES!CB191)</f>
        <v>0</v>
      </c>
      <c r="CF190" s="1398">
        <f t="shared" ca="1" si="83"/>
        <v>0</v>
      </c>
      <c r="CG190" s="1398">
        <f t="shared" ca="1" si="84"/>
        <v>0</v>
      </c>
      <c r="CH190" s="1398">
        <f t="shared" ca="1" si="85"/>
        <v>0</v>
      </c>
      <c r="CI190" s="1398">
        <f t="shared" ca="1" si="86"/>
        <v>0</v>
      </c>
      <c r="CJ190" s="1398">
        <f t="shared" ca="1" si="87"/>
        <v>0</v>
      </c>
      <c r="CK190" s="1398">
        <f t="shared" ca="1" si="88"/>
        <v>0</v>
      </c>
      <c r="CL190" s="1398">
        <f t="shared" ca="1" si="89"/>
        <v>0</v>
      </c>
      <c r="CM190" s="1398">
        <f t="shared" ca="1" si="90"/>
        <v>0</v>
      </c>
      <c r="CN190" s="1398">
        <f ca="1">IF(B190&gt;=$J$5,0,CONTADORES!CB192-CONTADORES!CB191)</f>
        <v>0</v>
      </c>
      <c r="CO190" s="1398">
        <f t="shared" ca="1" si="91"/>
        <v>0</v>
      </c>
      <c r="CP190" s="1398">
        <f t="shared" ca="1" si="92"/>
        <v>0</v>
      </c>
      <c r="CQ190" s="1398">
        <f t="shared" ca="1" si="93"/>
        <v>0</v>
      </c>
      <c r="CR190" s="1398">
        <f t="shared" ca="1" si="94"/>
        <v>0</v>
      </c>
      <c r="CS190" s="1448">
        <f ca="1">IF($B190&gt;=$J$5,0,CONTADORES!$BI192)</f>
        <v>0</v>
      </c>
      <c r="CT190" s="1369">
        <f>CONTADORES!E192</f>
        <v>0</v>
      </c>
      <c r="CU190" s="1369">
        <f>CONTADORES!CG192</f>
        <v>0</v>
      </c>
    </row>
    <row r="191" spans="2:99" ht="15" thickBot="1">
      <c r="B191" s="1043">
        <v>45107</v>
      </c>
      <c r="C191" s="1451">
        <f t="shared" ca="1" si="68"/>
        <v>0</v>
      </c>
      <c r="D191" s="1452">
        <f ca="1">'CALCULO DE GAS'!D203</f>
        <v>0</v>
      </c>
      <c r="E191" s="1452">
        <f ca="1">IF(B191&gt;=$J$5,0,(CONTADORES!$AD193-CONTADORES!$AD192)-$H191)</f>
        <v>0</v>
      </c>
      <c r="F191" s="1453">
        <f t="shared" ca="1" si="99"/>
        <v>0</v>
      </c>
      <c r="G191" s="1452">
        <f ca="1">IF(B191&gt;=$J$5,0,CONTADORES!$AF193-CONTADORES!$AF192)</f>
        <v>0</v>
      </c>
      <c r="H191" s="1452">
        <f ca="1">IF(G191&gt;0,CONTADORES!$AE193-CONTADORES!$AE192,0)</f>
        <v>0</v>
      </c>
      <c r="I191" s="1454">
        <f ca="1">IF(B191&gt;=$J$5,0,CONTADORES!$AB193-CONTADORES!$AB192)</f>
        <v>0</v>
      </c>
      <c r="J191" s="1453">
        <f t="shared" ca="1" si="69"/>
        <v>0</v>
      </c>
      <c r="K191" s="1452">
        <f ca="1">'CALCULO DE GAS'!E203</f>
        <v>0</v>
      </c>
      <c r="L191" s="1455">
        <f ca="1">IF(B191&gt;=$J$5,0,(CONTADORES!$Y193-CONTADORES!$Y192)-$O191)</f>
        <v>0</v>
      </c>
      <c r="M191" s="1455">
        <f t="shared" ca="1" si="98"/>
        <v>0</v>
      </c>
      <c r="N191" s="1455">
        <f ca="1">IF(B191&gt;=$J$5,0,CONTADORES!$AA193-CONTADORES!$AA192)</f>
        <v>0</v>
      </c>
      <c r="O191" s="1455">
        <f ca="1">IF(N191&gt;0,CONTADORES!$Z193-CONTADORES!$Z192,0)</f>
        <v>0</v>
      </c>
      <c r="P191" s="1451">
        <f ca="1">IF(B191&gt;=$J$5,0,CONTADORES!$W193-CONTADORES!$W192)</f>
        <v>0</v>
      </c>
      <c r="Q191" s="1451">
        <f ca="1">IF(B191&gt;=$J$5,0,CONTADORES!$B193-CONTADORES!$B192)</f>
        <v>0</v>
      </c>
      <c r="R191" s="1452">
        <f t="shared" ca="1" si="70"/>
        <v>0</v>
      </c>
      <c r="S191" s="1328">
        <f ca="1">IF(B191&gt;=$J$5,0,CONTADORES!$D193-CONTADORES!$D192)</f>
        <v>0</v>
      </c>
      <c r="T191" s="1453">
        <f ca="1">IF(B191&gt;=$J$5,0,CONTADORES!$BB193-CONTADORES!$BB192)</f>
        <v>0</v>
      </c>
      <c r="U191" s="1452">
        <f t="shared" ca="1" si="97"/>
        <v>0</v>
      </c>
      <c r="V191" s="1454">
        <f ca="1">IF(B191&gt;=$J$5,0,CONTADORES!$BD193-CONTADORES!$BD192)</f>
        <v>0</v>
      </c>
      <c r="W191" s="1425">
        <f t="shared" ca="1" si="71"/>
        <v>0</v>
      </c>
      <c r="X191" s="1425">
        <f t="shared" ca="1" si="72"/>
        <v>0</v>
      </c>
      <c r="Y191" s="1426">
        <f t="shared" ca="1" si="73"/>
        <v>0</v>
      </c>
      <c r="Z191" s="1426">
        <f t="shared" ca="1" si="74"/>
        <v>0</v>
      </c>
      <c r="AA191" s="1426">
        <f t="shared" ca="1" si="75"/>
        <v>0</v>
      </c>
      <c r="AB191" s="1426">
        <f t="shared" ca="1" si="76"/>
        <v>0</v>
      </c>
      <c r="AC191" s="1426">
        <f t="shared" ca="1" si="77"/>
        <v>0</v>
      </c>
      <c r="AD191" s="1456">
        <f ca="1">IF(B191&gt;=$J$5,0,CONTADORES!H193-CONTADORES!H192)</f>
        <v>0</v>
      </c>
      <c r="AE191" s="1456">
        <f ca="1">IF(B191&gt;=$J$5,0,CONTADORES!J193-CONTADORES!J192)</f>
        <v>0</v>
      </c>
      <c r="AF191" s="1456">
        <f ca="1">IF(B191&gt;=$J$5,0,CONTADORES!AU193-CONTADORES!AU192)</f>
        <v>0</v>
      </c>
      <c r="AG191" s="1456">
        <f ca="1">IF(B191&gt;=$J$5,0,CONTADORES!AW193-CONTADORES!AW192)</f>
        <v>0</v>
      </c>
      <c r="AH191" s="1457">
        <f ca="1">IF(B191&gt;=$J$5,0,(CONTADORES!AM193-CONTADORES!AM192)+(CONTADORES!M193-CONTADORES!M192))</f>
        <v>0</v>
      </c>
      <c r="AI191" s="1456">
        <f ca="1">IF(B191&gt;=$J$5,0,(CONTADORES!AK193-CONTADORES!AK192)+(CONTADORES!O193-CONTADORES!O192))</f>
        <v>0</v>
      </c>
      <c r="AJ191" s="1456">
        <f ca="1">IF(B191&gt;=$J$5,0,(CONTADORES!AI193-CONTADORES!AI192))</f>
        <v>0</v>
      </c>
      <c r="AK191" s="1456">
        <f ca="1">IF(B191&gt;=$J$5,0,(CONTADORES!Q193-CONTADORES!Q192))</f>
        <v>0</v>
      </c>
      <c r="AL191" s="1457">
        <f t="shared" ca="1" si="78"/>
        <v>0</v>
      </c>
      <c r="AM191" s="1456">
        <f ca="1">IF(B191&gt;=$J$5,0,(((CONTADORES!F193-CONTADORES!F192)+(CONTADORES!AQ193-CONTADORES!AQ192))))-BS191-AF191-AN191-BV191-BY191-CD191-CB191</f>
        <v>0</v>
      </c>
      <c r="AN191" s="1456">
        <f ca="1">IF(B191&gt;=$J$5,0,(CONTADORES!AX193-CONTADORES!AX192)+(CONTADORES!AZ193-CONTADORES!AZ192)+(CONTADORES!BE193-CONTADORES!BE192))-CB191</f>
        <v>0</v>
      </c>
      <c r="AO191" s="1458">
        <f ca="1">IF(B190&gt;=$J$5,0,(CONTADORES!AC193-CONTADORES!AC192))</f>
        <v>0</v>
      </c>
      <c r="AP191" s="1426">
        <f ca="1">IF(B191&gt;=$J$5,0,(CONTADORES!X193-CONTADORES!X192))</f>
        <v>0</v>
      </c>
      <c r="AQ191" s="1426">
        <f ca="1">IF(B191&gt;=$J$5,0,(CONTADORES!C193-CONTADORES!C192))</f>
        <v>0</v>
      </c>
      <c r="AR191" s="1426">
        <f ca="1">IF(B191&gt;=$J$5,0,(CONTADORES!BC193-CONTADORES!BC192))</f>
        <v>0</v>
      </c>
      <c r="AS191" s="1426">
        <f ca="1">IF(B191&gt;=$J$5,0,CONTADORES!S193-CONTADORES!S192)</f>
        <v>0</v>
      </c>
      <c r="AT191" s="1426">
        <f ca="1">IF(B191&gt;=$J$5,0,(CONTADORES!U193-CONTADORES!U192)+(CONTADORES!AG193-CONTADORES!AG192))</f>
        <v>0</v>
      </c>
      <c r="AU191" s="1426">
        <f ca="1">IF(B191&gt;=$J$5,0,(CONTADORES!I193-CONTADORES!I192))</f>
        <v>0</v>
      </c>
      <c r="AV191" s="1426">
        <f ca="1">IF(B191&gt;=$J$5,0,(CONTADORES!AV193-CONTADORES!AV192))</f>
        <v>0</v>
      </c>
      <c r="AW191" s="1426">
        <f ca="1">IF(B191&gt;=$J$5,0,(CONTADORES!N193-CONTADORES!N192)+(CONTADORES!AN193-CONTADORES!AN192))</f>
        <v>0</v>
      </c>
      <c r="AX191" s="1426">
        <f ca="1">IF(B191&gt;=$J$5,0,(CONTADORES!P193-CONTADORES!P192)+(CONTADORES!AL193-CONTADORES!AL192))</f>
        <v>0</v>
      </c>
      <c r="AY191" s="1426">
        <f ca="1">IF(B191&gt;=$J$5,0,(CONTADORES!AJ193-CONTADORES!AJ192))</f>
        <v>0</v>
      </c>
      <c r="AZ191" s="1426">
        <f ca="1">IF(B191&gt;=$J$5,0,(CONTADORES!R193-CONTADORES!R192))</f>
        <v>0</v>
      </c>
      <c r="BA191" s="1457">
        <f t="shared" ca="1" si="79"/>
        <v>0</v>
      </c>
      <c r="BB191" s="1426">
        <f ca="1">IF(B191&gt;=$J$5,0,(((CONTADORES!G193-CONTADORES!G192)+(CONTADORES!AR193-CONTADORES!AR192)+AR191)-(AV191+BC191)))</f>
        <v>0</v>
      </c>
      <c r="BC191" s="1456">
        <f ca="1">IF(B191&gt;=$J$5,0,(CONTADORES!AY193-CONTADORES!AY192)+(CONTADORES!BA193-CONTADORES!BA192)+(CONTADORES!BF193-CONTADORES!BF192))</f>
        <v>0</v>
      </c>
      <c r="BD191" s="1425">
        <f t="shared" ca="1" si="80"/>
        <v>0</v>
      </c>
      <c r="BE191" s="1457">
        <f ca="1">IF($B191&gt;=$J$5,0,CONTADORES!$BG193)</f>
        <v>0</v>
      </c>
      <c r="BF191" s="1456">
        <f ca="1">IF($B191&gt;=$J$5,0,CONTADORES!$BH193)</f>
        <v>0</v>
      </c>
      <c r="BG191" s="1456">
        <f ca="1">IF($B191&gt;=$J$5,0,CONTADORES!$BJ193)</f>
        <v>0</v>
      </c>
      <c r="BH191" s="1456">
        <f ca="1">IF(B191&gt;=$J$5,0,((CONTADORES!BK193-CONTADORES!BK192)/1000))</f>
        <v>0</v>
      </c>
      <c r="BI191" s="1456">
        <f ca="1">IF(C191&gt;=$J$5,0,((CONTADORES!BL193-CONTADORES!BL192)/1000))</f>
        <v>0</v>
      </c>
      <c r="BJ191" s="1456">
        <f ca="1">IF(C191&gt;=$J$5,0,((CONTADORES!BM193-CONTADORES!BM192)/1000))</f>
        <v>0</v>
      </c>
      <c r="BK191" s="1456">
        <f ca="1">IF(B191&gt;=$J$5,0,((CONTADORES!BN193-CONTADORES!BN192)/1000))</f>
        <v>0</v>
      </c>
      <c r="BL191" s="61">
        <f t="shared" ca="1" si="81"/>
        <v>0</v>
      </c>
      <c r="BM191" s="61">
        <f t="shared" ca="1" si="82"/>
        <v>0</v>
      </c>
      <c r="BN191" s="1426">
        <f ca="1">IF(W191&gt;=$J$5,0,CONTADORES!$BO193)</f>
        <v>0</v>
      </c>
      <c r="BO191" s="1456">
        <f ca="1">IF(W191&gt;=$J$5,0,CONTADORES!$BP193)</f>
        <v>0</v>
      </c>
      <c r="BP191" s="1456">
        <f ca="1">IF(W191&gt;=$J$5,0,CONTADORES!$BQ193)</f>
        <v>0</v>
      </c>
      <c r="BQ191" s="1456">
        <f ca="1">IF(B191&gt;=$J$5,0,(CONTADORES!AS193-CONTADORES!AS192))</f>
        <v>0</v>
      </c>
      <c r="BR191" s="1456">
        <f ca="1">IF(C191&gt;=$J$5,0,(CONTADORES!AT193-CONTADORES!AT192))</f>
        <v>0</v>
      </c>
      <c r="BS191" s="1457">
        <f ca="1">IF(B191&gt;=$J$5,0,CONTADORES!BR193-CONTADORES!BR192)/1000</f>
        <v>0</v>
      </c>
      <c r="BT191" s="1457">
        <f ca="1">IF(B191&gt;=$J$5,0,CONTADORES!BS193-CONTADORES!BS192)</f>
        <v>0</v>
      </c>
      <c r="BU191" s="1457">
        <f ca="1">IF(B191&gt;=$J$5,0,CONTADORES!BT193-CONTADORES!BT192)</f>
        <v>0</v>
      </c>
      <c r="BV191" s="1457">
        <f ca="1">IF(B191&gt;=$J$5,0,CONTADORES!BU193-CONTADORES!BU192)/1000</f>
        <v>0</v>
      </c>
      <c r="BW191" s="1457">
        <f ca="1">IF(B191&gt;=$J$5,0,CONTADORES!BV193-CONTADORES!BV192)/1000</f>
        <v>0</v>
      </c>
      <c r="BX191" s="1457">
        <f ca="1">IF(B191&gt;=$J$5,0,CONTADORES!BW193-CONTADORES!BW192)</f>
        <v>0</v>
      </c>
      <c r="BY191" s="1457">
        <f ca="1">IF(B191&gt;=$J$5,0,CONTADORES!BX193-CONTADORES!BX192)/1000</f>
        <v>0</v>
      </c>
      <c r="BZ191" s="1457">
        <f ca="1">IF(B191&gt;=$J$5,0,CONTADORES!BY193-CONTADORES!BY192)/1000</f>
        <v>0</v>
      </c>
      <c r="CA191" s="1457">
        <f ca="1">IF(B191&gt;=$J$5,0,CONTADORES!BZ193-CONTADORES!BZ192)</f>
        <v>0</v>
      </c>
      <c r="CB191" s="1457">
        <f ca="1">IF(B191&gt;=$J$5,0,(CONTADORES!CC193-CONTADORES!CC192)+(CONTADORES!CE193-CONTADORES!CE192))/1000</f>
        <v>0</v>
      </c>
      <c r="CC191" s="1457">
        <f ca="1">IF(B191&gt;=$J$5,0,(CONTADORES!CD193-CONTADORES!CD192)+(CONTADORES!CF193-CONTADORES!CF192))/1000</f>
        <v>0</v>
      </c>
      <c r="CD191" s="1457">
        <f ca="1">IF(B191&gt;=$J$5,0,CONTADORES!CA193-CONTADORES!CA192)</f>
        <v>0</v>
      </c>
      <c r="CE191" s="1457">
        <f ca="1">IF(B191&gt;=$J$5,0,CONTADORES!CB193-CONTADORES!CB192)</f>
        <v>0</v>
      </c>
      <c r="CF191" s="1426">
        <f t="shared" ca="1" si="83"/>
        <v>0</v>
      </c>
      <c r="CG191" s="1426">
        <f t="shared" ca="1" si="84"/>
        <v>0</v>
      </c>
      <c r="CH191" s="1426">
        <f t="shared" ca="1" si="85"/>
        <v>0</v>
      </c>
      <c r="CI191" s="1426">
        <f t="shared" ca="1" si="86"/>
        <v>0</v>
      </c>
      <c r="CJ191" s="1426">
        <f t="shared" ca="1" si="87"/>
        <v>0</v>
      </c>
      <c r="CK191" s="1426">
        <f t="shared" ca="1" si="88"/>
        <v>0</v>
      </c>
      <c r="CL191" s="1426">
        <f t="shared" ca="1" si="89"/>
        <v>0</v>
      </c>
      <c r="CM191" s="1426">
        <f t="shared" ca="1" si="90"/>
        <v>0</v>
      </c>
      <c r="CN191" s="1457">
        <f ca="1">IF(B191&gt;=$J$5,0,CONTADORES!CB193-CONTADORES!CB192)</f>
        <v>0</v>
      </c>
      <c r="CO191" s="1426">
        <f t="shared" ca="1" si="91"/>
        <v>0</v>
      </c>
      <c r="CP191" s="1426">
        <f t="shared" ca="1" si="92"/>
        <v>0</v>
      </c>
      <c r="CQ191" s="1426">
        <f t="shared" ca="1" si="93"/>
        <v>0</v>
      </c>
      <c r="CR191" s="1426">
        <f t="shared" ca="1" si="94"/>
        <v>0</v>
      </c>
      <c r="CS191" s="1460">
        <f ca="1">IF($B191&gt;=$J$5,0,CONTADORES!$BI193)</f>
        <v>0</v>
      </c>
      <c r="CT191" s="1431">
        <f>CONTADORES!E193</f>
        <v>0</v>
      </c>
      <c r="CU191" s="1431">
        <f>CONTADORES!CG193</f>
        <v>0</v>
      </c>
    </row>
    <row r="192" spans="2:99" ht="15" thickBot="1">
      <c r="B192" s="390">
        <v>45108</v>
      </c>
      <c r="C192" s="198">
        <f t="shared" ca="1" si="68"/>
        <v>0</v>
      </c>
      <c r="D192" s="196">
        <f ca="1">'CALCULO DE GAS'!P4</f>
        <v>0</v>
      </c>
      <c r="E192" s="196">
        <f ca="1">IF(B192&gt;=$J$5,0,(CONTADORES!$AD196-CONTADORES!$AD195)-$H192)</f>
        <v>0</v>
      </c>
      <c r="F192" s="198">
        <f t="shared" ca="1" si="99"/>
        <v>0</v>
      </c>
      <c r="G192" s="196">
        <f ca="1">IF(B192&gt;=$J$5,0,CONTADORES!$AF196-CONTADORES!$AF195)</f>
        <v>0</v>
      </c>
      <c r="H192" s="196">
        <f ca="1">IF(G192&gt;0,CONTADORES!$AE196-CONTADORES!$AE195,0)</f>
        <v>0</v>
      </c>
      <c r="I192" s="199">
        <f ca="1">IF(B192&gt;=$J$5,0,CONTADORES!$AB196-CONTADORES!$AB195)</f>
        <v>0</v>
      </c>
      <c r="J192" s="198">
        <f t="shared" ca="1" si="69"/>
        <v>0</v>
      </c>
      <c r="K192" s="196">
        <f ca="1">'CALCULO DE GAS'!Q4</f>
        <v>0</v>
      </c>
      <c r="L192" s="1396">
        <f ca="1">IF(B192&gt;=$J$5,0,(CONTADORES!$Y196-CONTADORES!$Y195)-$O192)</f>
        <v>0</v>
      </c>
      <c r="M192" s="1396">
        <f t="shared" ca="1" si="98"/>
        <v>0</v>
      </c>
      <c r="N192" s="1396">
        <f ca="1">IF(B192&gt;=$J$5,0,CONTADORES!$AA196-CONTADORES!$AA195)</f>
        <v>0</v>
      </c>
      <c r="O192" s="1396">
        <f ca="1">IF(N192&gt;0,CONTADORES!$Z196-CONTADORES!$Z195,0)</f>
        <v>0</v>
      </c>
      <c r="P192" s="202">
        <f ca="1">IF(B192&gt;=$J$5,0,CONTADORES!$W196-CONTADORES!$W195)</f>
        <v>0</v>
      </c>
      <c r="Q192" s="202">
        <f ca="1">IF(B192&gt;=$J$5,0,CONTADORES!$B196-CONTADORES!$B195)</f>
        <v>0</v>
      </c>
      <c r="R192" s="196">
        <f t="shared" ca="1" si="70"/>
        <v>0</v>
      </c>
      <c r="S192" s="11">
        <f ca="1">IF(B192&gt;=$J$5,0,CONTADORES!$D196-CONTADORES!$D195)</f>
        <v>0</v>
      </c>
      <c r="T192" s="198">
        <f ca="1">IF(B192&gt;=$J$5,0,CONTADORES!$BB196-CONTADORES!$BB195)</f>
        <v>0</v>
      </c>
      <c r="U192" s="196">
        <f t="shared" ca="1" si="97"/>
        <v>0</v>
      </c>
      <c r="V192" s="199">
        <f ca="1">IF(B192&gt;=$J$5,0,CONTADORES!$BD196-CONTADORES!$BD195)</f>
        <v>0</v>
      </c>
      <c r="W192" s="1397">
        <f t="shared" ca="1" si="71"/>
        <v>0</v>
      </c>
      <c r="X192" s="1397">
        <f t="shared" ca="1" si="72"/>
        <v>0</v>
      </c>
      <c r="Y192" s="1398">
        <f t="shared" ca="1" si="73"/>
        <v>0</v>
      </c>
      <c r="Z192" s="1398">
        <f t="shared" ca="1" si="74"/>
        <v>0</v>
      </c>
      <c r="AA192" s="1398">
        <f t="shared" ca="1" si="75"/>
        <v>0</v>
      </c>
      <c r="AB192" s="1398">
        <f t="shared" ca="1" si="76"/>
        <v>0</v>
      </c>
      <c r="AC192" s="1397">
        <f t="shared" ca="1" si="77"/>
        <v>0</v>
      </c>
      <c r="AD192" s="1397">
        <f ca="1">IF(B192&gt;=$J$5,0,CONTADORES!H196-CONTADORES!H195)</f>
        <v>0</v>
      </c>
      <c r="AE192" s="1397">
        <f ca="1">IF(B192&gt;=$J$5,0,CONTADORES!J196-CONTADORES!J195)</f>
        <v>0</v>
      </c>
      <c r="AF192" s="1397">
        <f ca="1">IF(B192&gt;=$J$5,0,CONTADORES!AU196-CONTADORES!AU195)</f>
        <v>0</v>
      </c>
      <c r="AG192" s="1397">
        <f ca="1">IF(B192&gt;=$J$5,0,CONTADORES!AW196-CONTADORES!AW195)</f>
        <v>0</v>
      </c>
      <c r="AH192" s="1398">
        <f ca="1">IF(B192&gt;=$J$5,0,(CONTADORES!AM196-CONTADORES!AM195)+(CONTADORES!M196-CONTADORES!M195))</f>
        <v>0</v>
      </c>
      <c r="AI192" s="1397">
        <f ca="1">IF(B192&gt;=$J$5,0,(CONTADORES!AK196-CONTADORES!AK195)+(CONTADORES!O196-CONTADORES!O195))</f>
        <v>0</v>
      </c>
      <c r="AJ192" s="1397">
        <f ca="1">IF(B192&gt;=$J$5,0,(CONTADORES!AI196-CONTADORES!AI195))</f>
        <v>0</v>
      </c>
      <c r="AK192" s="1397">
        <f ca="1">IF(B192&gt;=$J$5,0,(CONTADORES!Q196-CONTADORES!Q195))</f>
        <v>0</v>
      </c>
      <c r="AL192" s="1450">
        <f t="shared" ca="1" si="78"/>
        <v>0</v>
      </c>
      <c r="AM192" s="1397">
        <f ca="1">IF(B192&gt;=$J$5,0,(((CONTADORES!F196-CONTADORES!F195)+(CONTADORES!AQ196-CONTADORES!AQ195))))-BS192-AF192-AN192-BV192-BY192-CD192-CB192</f>
        <v>0</v>
      </c>
      <c r="AN192" s="1397">
        <f ca="1">IF(B192&gt;=$J$5,0,(CONTADORES!AX196-CONTADORES!AX195)+(CONTADORES!AZ196-CONTADORES!AZ195)+(CONTADORES!BE196-CONTADORES!BE195))-CB192</f>
        <v>0</v>
      </c>
      <c r="AO192" s="1399">
        <f>(CONTADORES!AC196-CONTADORES!AC195)</f>
        <v>0</v>
      </c>
      <c r="AP192" s="1399">
        <f>(CONTADORES!X196-CONTADORES!X195)</f>
        <v>0</v>
      </c>
      <c r="AQ192" s="1433">
        <f ca="1">AQ191+(CONTADORES!C196-CONTADORES!C195)</f>
        <v>0</v>
      </c>
      <c r="AR192" s="1399">
        <f ca="1">AR191+(CONTADORES!BC196-CONTADORES!BC195)</f>
        <v>0</v>
      </c>
      <c r="AS192" s="1397">
        <f ca="1">IF(B192&gt;=$J$5,0,CONTADORES!S196-CONTADORES!S195)</f>
        <v>0</v>
      </c>
      <c r="AT192" s="1397">
        <f ca="1">IF(B192&gt;=$J$5,0,(CONTADORES!U196-CONTADORES!U195)+(CONTADORES!AG196-CONTADORES!AG195))</f>
        <v>0</v>
      </c>
      <c r="AU192" s="1433">
        <f>CONTADORES!I196-CONTADORES!I195</f>
        <v>0</v>
      </c>
      <c r="AV192" s="1399">
        <f>CONTADORES!AV196-CONTADORES!AV195</f>
        <v>0</v>
      </c>
      <c r="AW192" s="1399">
        <f ca="1">IF(B192&gt;=$J$5,0,(CONTADORES!N196-CONTADORES!N195)+(CONTADORES!AN196-CONTADORES!AN195))</f>
        <v>0</v>
      </c>
      <c r="AX192" s="1399">
        <f ca="1">IF(B192&gt;=$J$5,0,(CONTADORES!P196-CONTADORES!P195)+(CONTADORES!AL196-CONTADORES!AL195))</f>
        <v>0</v>
      </c>
      <c r="AY192" s="1399">
        <f ca="1">IF(B192&gt;=$J$5,0,(CONTADORES!AJ196-CONTADORES!AJ195))</f>
        <v>0</v>
      </c>
      <c r="AZ192" s="1399">
        <f ca="1">IF(B192&gt;=$J$5,0,(CONTADORES!R196-CONTADORES!R195))</f>
        <v>0</v>
      </c>
      <c r="BA192" s="1398">
        <f t="shared" ca="1" si="79"/>
        <v>0</v>
      </c>
      <c r="BB192" s="1433">
        <f ca="1">IF(B192&gt;=$J$5,0,(((CONTADORES!G196-CONTADORES!G195)+(CONTADORES!AR196-CONTADORES!AR195)+AR192)-(AV192+BC192)))</f>
        <v>0</v>
      </c>
      <c r="BC192" s="1397">
        <f ca="1">IF(B192&gt;=$J$5,0,(CONTADORES!AY196-CONTADORES!AY195)+(CONTADORES!BA196-CONTADORES!BA195)+(CONTADORES!BF196-CONTADORES!BF195))</f>
        <v>0</v>
      </c>
      <c r="BD192" s="1397">
        <f t="shared" ca="1" si="80"/>
        <v>0</v>
      </c>
      <c r="BE192" s="1398">
        <f ca="1">IF($B192&gt;=$J$5,0,CONTADORES!$BG196)</f>
        <v>0</v>
      </c>
      <c r="BF192" s="1397">
        <f ca="1">IF($B192&gt;=$J$5,0,CONTADORES!$BH196)</f>
        <v>0</v>
      </c>
      <c r="BG192" s="1397">
        <f ca="1">IF($B192&gt;=$J$5,0,CONTADORES!$BJ196)</f>
        <v>0</v>
      </c>
      <c r="BH192" s="1397">
        <f ca="1">IF(B192&gt;=$J$5,0,((CONTADORES!BK196-CONTADORES!BK195)/1000))</f>
        <v>0</v>
      </c>
      <c r="BI192" s="1397">
        <f ca="1">IF(C192&gt;=$J$5,0,((CONTADORES!BL196-CONTADORES!BL195)/1000))</f>
        <v>0</v>
      </c>
      <c r="BJ192" s="1397">
        <f ca="1">IF(C192&gt;=$J$5,0,((CONTADORES!BM196-CONTADORES!BM195)/1000))</f>
        <v>0</v>
      </c>
      <c r="BK192" s="1397">
        <f ca="1">IF(D192&gt;=$J$5,0,((CONTADORES!BN196-CONTADORES!BN195)/1000))</f>
        <v>0</v>
      </c>
      <c r="BL192" s="1399">
        <f t="shared" ca="1" si="81"/>
        <v>0</v>
      </c>
      <c r="BM192" s="1399">
        <f t="shared" ca="1" si="82"/>
        <v>0</v>
      </c>
      <c r="BN192" s="1398">
        <f ca="1">IF(W192&gt;=$J$5,0,CONTADORES!$BO196)</f>
        <v>0</v>
      </c>
      <c r="BO192" s="1397">
        <f ca="1">IF(W192&gt;=$J$5,0,CONTADORES!$BP196)</f>
        <v>0</v>
      </c>
      <c r="BP192" s="1397">
        <f ca="1">IF(W192&gt;=$J$5,0,CONTADORES!$BQ196)</f>
        <v>0</v>
      </c>
      <c r="BQ192" s="1397">
        <f ca="1">IF(B192&gt;=$J$5,0,(CONTADORES!AS196-CONTADORES!AS195))</f>
        <v>0</v>
      </c>
      <c r="BR192" s="1397">
        <f ca="1">IF(C192&gt;=$J$5,0,(CONTADORES!AT196-CONTADORES!AT195))</f>
        <v>0</v>
      </c>
      <c r="BS192" s="1434">
        <f ca="1">IF(B192&gt;=$J$5,0,CONTADORES!BR196-CONTADORES!BR195)/1000</f>
        <v>0</v>
      </c>
      <c r="BT192" s="1434">
        <f ca="1">IF(B192&gt;=$J$5,0,CONTADORES!BS196-CONTADORES!BS195)</f>
        <v>0</v>
      </c>
      <c r="BU192" s="1434">
        <f ca="1">IF(B192&gt;=$J$5,0,CONTADORES!BT196-CONTADORES!BT195)</f>
        <v>0</v>
      </c>
      <c r="BV192" s="1434">
        <f ca="1">IF(B192&gt;=$J$5,0,CONTADORES!BU196-CONTADORES!BU195)/1000</f>
        <v>0</v>
      </c>
      <c r="BW192" s="1434">
        <f ca="1">IF(B192&gt;=$J$5,0,CONTADORES!BV196-CONTADORES!BV195)/1000</f>
        <v>0</v>
      </c>
      <c r="BX192" s="1434">
        <f ca="1">IF(B192&gt;=$J$5,0,CONTADORES!BW196-CONTADORES!BW195)</f>
        <v>0</v>
      </c>
      <c r="BY192" s="1434">
        <f ca="1">IF(B192&gt;=$J$5,0,CONTADORES!BX196-CONTADORES!BX195)/1000</f>
        <v>0</v>
      </c>
      <c r="BZ192" s="1434">
        <f ca="1">IF(B192&gt;=$J$5,0,CONTADORES!BY196-CONTADORES!BY195)/1000</f>
        <v>0</v>
      </c>
      <c r="CA192" s="1434">
        <f ca="1">IF(B192&gt;=$J$5,0,CONTADORES!BZ196-CONTADORES!BZ195)</f>
        <v>0</v>
      </c>
      <c r="CB192" s="1434">
        <f ca="1">IF(B192&gt;=$J$5,0,(CONTADORES!CC196-CONTADORES!CC195)+(CONTADORES!CE196-CONTADORES!CE195))/1000</f>
        <v>0</v>
      </c>
      <c r="CC192" s="1434">
        <f ca="1">IF(B192&gt;=$J$5,0,(CONTADORES!CD196-CONTADORES!CD195)+(CONTADORES!CF196-CONTADORES!CF195))/1000</f>
        <v>0</v>
      </c>
      <c r="CD192" s="1434">
        <f ca="1">IF(B192&gt;=$J$5,0,CONTADORES!CA196-CONTADORES!CA195)</f>
        <v>0</v>
      </c>
      <c r="CE192" s="1434">
        <f ca="1">IF(B192&gt;=$J$5,0,CONTADORES!CB196-CONTADORES!CB195)</f>
        <v>0</v>
      </c>
      <c r="CF192" s="1450">
        <f t="shared" ca="1" si="83"/>
        <v>0</v>
      </c>
      <c r="CG192" s="1450">
        <f t="shared" ca="1" si="84"/>
        <v>0</v>
      </c>
      <c r="CH192" s="1450">
        <f t="shared" ca="1" si="85"/>
        <v>0</v>
      </c>
      <c r="CI192" s="1450">
        <f t="shared" ca="1" si="86"/>
        <v>0</v>
      </c>
      <c r="CJ192" s="1450">
        <f t="shared" ca="1" si="87"/>
        <v>0</v>
      </c>
      <c r="CK192" s="1450">
        <f t="shared" ca="1" si="88"/>
        <v>0</v>
      </c>
      <c r="CL192" s="1450">
        <f t="shared" ca="1" si="89"/>
        <v>0</v>
      </c>
      <c r="CM192" s="1450">
        <f t="shared" ca="1" si="90"/>
        <v>0</v>
      </c>
      <c r="CN192" s="1434">
        <f ca="1">IF(B192&gt;=$J$5,0,CONTADORES!CB196-CONTADORES!CB195)</f>
        <v>0</v>
      </c>
      <c r="CO192" s="1450">
        <f t="shared" ca="1" si="91"/>
        <v>0</v>
      </c>
      <c r="CP192" s="1450">
        <f t="shared" ca="1" si="92"/>
        <v>0</v>
      </c>
      <c r="CQ192" s="1450">
        <f t="shared" ca="1" si="93"/>
        <v>0</v>
      </c>
      <c r="CR192" s="1450">
        <f t="shared" ca="1" si="94"/>
        <v>0</v>
      </c>
      <c r="CS192" s="1434">
        <f ca="1">IF($B192&gt;=$J$5,0,CONTADORES!$BI196)</f>
        <v>0</v>
      </c>
      <c r="CT192" s="1369">
        <f>CONTADORES!E196</f>
        <v>0</v>
      </c>
      <c r="CU192" s="1369">
        <f>CONTADORES!CG196</f>
        <v>0</v>
      </c>
    </row>
    <row r="193" spans="2:99" ht="15" thickBot="1">
      <c r="B193" s="390">
        <v>45109</v>
      </c>
      <c r="C193" s="198">
        <f t="shared" ca="1" si="68"/>
        <v>0</v>
      </c>
      <c r="D193" s="196">
        <f ca="1">'CALCULO DE GAS'!P5</f>
        <v>0</v>
      </c>
      <c r="E193" s="196">
        <f ca="1">IF(B193&gt;=$J$5,0,(CONTADORES!$AD197-CONTADORES!$AD196)-$H193)</f>
        <v>0</v>
      </c>
      <c r="F193" s="198">
        <f t="shared" ca="1" si="99"/>
        <v>0</v>
      </c>
      <c r="G193" s="196">
        <f ca="1">IF(B193&gt;=$J$5,0,CONTADORES!$AF197-CONTADORES!$AF196)</f>
        <v>0</v>
      </c>
      <c r="H193" s="196">
        <f ca="1">IF(G193&gt;0,CONTADORES!$AE197-CONTADORES!$AE196,0)</f>
        <v>0</v>
      </c>
      <c r="I193" s="199">
        <f ca="1">IF(B193&gt;=$J$5,0,CONTADORES!$AB197-CONTADORES!$AB196)</f>
        <v>0</v>
      </c>
      <c r="J193" s="198">
        <f t="shared" ca="1" si="69"/>
        <v>0</v>
      </c>
      <c r="K193" s="196">
        <f ca="1">'CALCULO DE GAS'!Q5</f>
        <v>0</v>
      </c>
      <c r="L193" s="1396">
        <f ca="1">IF(B193&gt;=$J$5,0,(CONTADORES!$Y197-CONTADORES!$Y196)-$O193)</f>
        <v>0</v>
      </c>
      <c r="M193" s="1396">
        <f t="shared" ca="1" si="98"/>
        <v>0</v>
      </c>
      <c r="N193" s="1396">
        <f ca="1">IF(B193&gt;=$J$5,0,CONTADORES!$AA197-CONTADORES!$AA196)</f>
        <v>0</v>
      </c>
      <c r="O193" s="1396">
        <f ca="1">IF(N193&gt;0,CONTADORES!$Z197-CONTADORES!$Z196,0)</f>
        <v>0</v>
      </c>
      <c r="P193" s="202">
        <f ca="1">IF(B193&gt;=$J$5,0,CONTADORES!$W197-CONTADORES!$W196)</f>
        <v>0</v>
      </c>
      <c r="Q193" s="202">
        <f ca="1">IF(B193&gt;=$J$5,0,CONTADORES!$B197-CONTADORES!$B196)</f>
        <v>0</v>
      </c>
      <c r="R193" s="196">
        <f t="shared" ca="1" si="70"/>
        <v>0</v>
      </c>
      <c r="S193" s="11">
        <f ca="1">IF(B193&gt;=$J$5,0,CONTADORES!$D197-CONTADORES!$D196)</f>
        <v>0</v>
      </c>
      <c r="T193" s="198">
        <f ca="1">IF(B193&gt;=$J$5,0,CONTADORES!$BB197-CONTADORES!$BB196)</f>
        <v>0</v>
      </c>
      <c r="U193" s="196">
        <f t="shared" ca="1" si="97"/>
        <v>0</v>
      </c>
      <c r="V193" s="199">
        <f ca="1">IF(B193&gt;=$J$5,0,CONTADORES!$BD197-CONTADORES!$BD196)</f>
        <v>0</v>
      </c>
      <c r="W193" s="1397">
        <f t="shared" ca="1" si="71"/>
        <v>0</v>
      </c>
      <c r="X193" s="1397">
        <f t="shared" ca="1" si="72"/>
        <v>0</v>
      </c>
      <c r="Y193" s="1398">
        <f t="shared" ca="1" si="73"/>
        <v>0</v>
      </c>
      <c r="Z193" s="1398">
        <f t="shared" ca="1" si="74"/>
        <v>0</v>
      </c>
      <c r="AA193" s="1398">
        <f t="shared" ca="1" si="75"/>
        <v>0</v>
      </c>
      <c r="AB193" s="1398">
        <f t="shared" ca="1" si="76"/>
        <v>0</v>
      </c>
      <c r="AC193" s="1397">
        <f t="shared" ca="1" si="77"/>
        <v>0</v>
      </c>
      <c r="AD193" s="1397">
        <f ca="1">IF(B193&gt;=$J$5,0,CONTADORES!H197-CONTADORES!H196)</f>
        <v>0</v>
      </c>
      <c r="AE193" s="1397">
        <f ca="1">IF(B193&gt;=$J$5,0,CONTADORES!J197-CONTADORES!J196)</f>
        <v>0</v>
      </c>
      <c r="AF193" s="1397">
        <f ca="1">IF(B193&gt;=$J$5,0,CONTADORES!AU197-CONTADORES!AU196)</f>
        <v>0</v>
      </c>
      <c r="AG193" s="1397">
        <f ca="1">IF(B193&gt;=$J$5,0,CONTADORES!AW197-CONTADORES!AW196)</f>
        <v>0</v>
      </c>
      <c r="AH193" s="1398">
        <f ca="1">IF(B193&gt;=$J$5,0,(CONTADORES!AM197-CONTADORES!AM196)+(CONTADORES!M197-CONTADORES!M196))</f>
        <v>0</v>
      </c>
      <c r="AI193" s="1397">
        <f ca="1">IF(B193&gt;=$J$5,0,(CONTADORES!AK197-CONTADORES!AK196)+(CONTADORES!O197-CONTADORES!O196))</f>
        <v>0</v>
      </c>
      <c r="AJ193" s="1397">
        <f ca="1">IF(B193&gt;=$J$5,0,(CONTADORES!AI197-CONTADORES!AI196))</f>
        <v>0</v>
      </c>
      <c r="AK193" s="1397">
        <f ca="1">IF(B193&gt;=$J$5,0,(CONTADORES!Q197-CONTADORES!Q196))</f>
        <v>0</v>
      </c>
      <c r="AL193" s="1461">
        <f t="shared" ca="1" si="78"/>
        <v>0</v>
      </c>
      <c r="AM193" s="1397">
        <f ca="1">IF(B193&gt;=$J$5,0,(((CONTADORES!F197-CONTADORES!F196)+(CONTADORES!AQ197-CONTADORES!AQ196))))-BS193-AF193-AN193-BV193-BY193-CD193-CB193</f>
        <v>0</v>
      </c>
      <c r="AN193" s="1397">
        <f ca="1">IF(B193&gt;=$J$5,0,(CONTADORES!AX197-CONTADORES!AX196)+(CONTADORES!AZ197-CONTADORES!AZ196)+(CONTADORES!BE197-CONTADORES!BE196))-CB193</f>
        <v>0</v>
      </c>
      <c r="AO193" s="1399">
        <f>(CONTADORES!AC197-CONTADORES!AC196)</f>
        <v>0</v>
      </c>
      <c r="AP193" s="1399">
        <f>(CONTADORES!X197-CONTADORES!X196)</f>
        <v>0</v>
      </c>
      <c r="AQ193" s="1404">
        <f ca="1">IF(B193&gt;=$J$5,0,(CONTADORES!C197-CONTADORES!C196))</f>
        <v>0</v>
      </c>
      <c r="AR193" s="1399">
        <f ca="1">AR192+(CONTADORES!BC197-CONTADORES!BC196)</f>
        <v>0</v>
      </c>
      <c r="AS193" s="1397">
        <f ca="1">IF(B193&gt;=$J$5,0,CONTADORES!S197-CONTADORES!S196)</f>
        <v>0</v>
      </c>
      <c r="AT193" s="1397">
        <f ca="1">IF(B193&gt;=$J$5,0,(CONTADORES!U197-CONTADORES!U196)+(CONTADORES!AG197-CONTADORES!AG196))</f>
        <v>0</v>
      </c>
      <c r="AU193" s="1433">
        <f>CONTADORES!I197-CONTADORES!I196</f>
        <v>0</v>
      </c>
      <c r="AV193" s="1399">
        <f>CONTADORES!AV197-CONTADORES!AV196</f>
        <v>0</v>
      </c>
      <c r="AW193" s="1399">
        <f ca="1">IF(B193&gt;=$J$5,0,(CONTADORES!N197-CONTADORES!N196)+(CONTADORES!AN197-CONTADORES!AN196))</f>
        <v>0</v>
      </c>
      <c r="AX193" s="1399">
        <f ca="1">IF(B193&gt;=$J$5,0,(CONTADORES!P197-CONTADORES!P196)+(CONTADORES!AL197-CONTADORES!AL196))</f>
        <v>0</v>
      </c>
      <c r="AY193" s="1399">
        <f ca="1">IF(B193&gt;=$J$5,0,(CONTADORES!AJ197-CONTADORES!AJ196))</f>
        <v>0</v>
      </c>
      <c r="AZ193" s="1399">
        <f ca="1">IF(B193&gt;=$J$5,0,(CONTADORES!R197-CONTADORES!R196))</f>
        <v>0</v>
      </c>
      <c r="BA193" s="1409">
        <f t="shared" ca="1" si="79"/>
        <v>0</v>
      </c>
      <c r="BB193" s="1433">
        <f ca="1">IF(B193&gt;=$J$5,0,(((CONTADORES!G197-CONTADORES!G196)+(CONTADORES!AR197-CONTADORES!AR196)+AR193)-(AV193+BC193)))</f>
        <v>0</v>
      </c>
      <c r="BC193" s="1397">
        <f ca="1">IF(B193&gt;=$J$5,0,(CONTADORES!AY197-CONTADORES!AY196)+(CONTADORES!BA197-CONTADORES!BA196)+(CONTADORES!BF197-CONTADORES!BF196))</f>
        <v>0</v>
      </c>
      <c r="BD193" s="1397">
        <f t="shared" ca="1" si="80"/>
        <v>0</v>
      </c>
      <c r="BE193" s="1398">
        <f ca="1">IF($B193&gt;=$J$5,0,CONTADORES!$BG197)</f>
        <v>0</v>
      </c>
      <c r="BF193" s="1397">
        <f ca="1">IF($B193&gt;=$J$5,0,CONTADORES!$BH197)</f>
        <v>0</v>
      </c>
      <c r="BG193" s="1397">
        <f ca="1">IF($B193&gt;=$J$5,0,CONTADORES!$BJ197)</f>
        <v>0</v>
      </c>
      <c r="BH193" s="1397">
        <f ca="1">IF(B193&gt;=$J$5,0,((CONTADORES!BK197-CONTADORES!BK196)/1000))</f>
        <v>0</v>
      </c>
      <c r="BI193" s="1397">
        <f ca="1">IF(C193&gt;=$J$5,0,((CONTADORES!BL197-CONTADORES!BL196)/1000))</f>
        <v>0</v>
      </c>
      <c r="BJ193" s="1397">
        <f ca="1">IF(C193&gt;=$J$5,0,((CONTADORES!BM197-CONTADORES!BM196)/1000))</f>
        <v>0</v>
      </c>
      <c r="BK193" s="1397">
        <f ca="1">IF(D193&gt;=$J$5,0,((CONTADORES!BN197-CONTADORES!BN196)/1000))</f>
        <v>0</v>
      </c>
      <c r="BL193" s="1399">
        <f t="shared" ca="1" si="81"/>
        <v>0</v>
      </c>
      <c r="BM193" s="1399">
        <f t="shared" ca="1" si="82"/>
        <v>0</v>
      </c>
      <c r="BN193" s="1398">
        <f ca="1">IF(W193&gt;=$J$5,0,CONTADORES!$BO197)</f>
        <v>0</v>
      </c>
      <c r="BO193" s="1397">
        <f ca="1">IF(W193&gt;=$J$5,0,CONTADORES!$BP197)</f>
        <v>0</v>
      </c>
      <c r="BP193" s="1397">
        <f ca="1">IF(W193&gt;=$J$5,0,CONTADORES!$BQ197)</f>
        <v>0</v>
      </c>
      <c r="BQ193" s="1397">
        <f ca="1">IF(B193&gt;=$J$5,0,(CONTADORES!AS197-CONTADORES!AS196))</f>
        <v>0</v>
      </c>
      <c r="BR193" s="1397">
        <f ca="1">IF(C193&gt;=$J$5,0,(CONTADORES!AT197-CONTADORES!AT196))</f>
        <v>0</v>
      </c>
      <c r="BS193" s="1409">
        <f ca="1">IF(B193&gt;=$J$5,0,CONTADORES!BR197-CONTADORES!BR196)/1000</f>
        <v>0</v>
      </c>
      <c r="BT193" s="1409">
        <f ca="1">IF(B193&gt;=$J$5,0,CONTADORES!BS197-CONTADORES!BS196)</f>
        <v>0</v>
      </c>
      <c r="BU193" s="1409">
        <f ca="1">IF(B193&gt;=$J$5,0,CONTADORES!BT197-CONTADORES!BT196)</f>
        <v>0</v>
      </c>
      <c r="BV193" s="1409">
        <f ca="1">IF(B193&gt;=$J$5,0,CONTADORES!BU197-CONTADORES!BU196)/1000</f>
        <v>0</v>
      </c>
      <c r="BW193" s="1409">
        <f ca="1">IF(B193&gt;=$J$5,0,CONTADORES!BV197-CONTADORES!BV196)/1000</f>
        <v>0</v>
      </c>
      <c r="BX193" s="1409">
        <f ca="1">IF(B193&gt;=$J$5,0,CONTADORES!BW197-CONTADORES!BW196)</f>
        <v>0</v>
      </c>
      <c r="BY193" s="1409">
        <f ca="1">IF(B193&gt;=$J$5,0,CONTADORES!BX197-CONTADORES!BX196)/1000</f>
        <v>0</v>
      </c>
      <c r="BZ193" s="1409">
        <f ca="1">IF(B193&gt;=$J$5,0,CONTADORES!BY197-CONTADORES!BY196)/1000</f>
        <v>0</v>
      </c>
      <c r="CA193" s="1409">
        <f ca="1">IF(B193&gt;=$J$5,0,CONTADORES!BZ197-CONTADORES!BZ196)</f>
        <v>0</v>
      </c>
      <c r="CB193" s="1434">
        <f ca="1">IF(B193&gt;=$J$5,0,(CONTADORES!CC197-CONTADORES!CC196)+(CONTADORES!CE197-CONTADORES!CE196))/1000</f>
        <v>0</v>
      </c>
      <c r="CC193" s="1409">
        <f ca="1">IF(B193&gt;=$J$5,0,(CONTADORES!CD197-CONTADORES!CD196)+(CONTADORES!CF197-CONTADORES!CF196))/1000</f>
        <v>0</v>
      </c>
      <c r="CD193" s="1409">
        <f ca="1">IF(B193&gt;=$J$5,0,CONTADORES!CA197-CONTADORES!CA196)</f>
        <v>0</v>
      </c>
      <c r="CE193" s="1409">
        <f ca="1">IF(B193&gt;=$J$5,0,CONTADORES!CB197-CONTADORES!CB196)</f>
        <v>0</v>
      </c>
      <c r="CF193" s="1409">
        <f t="shared" ca="1" si="83"/>
        <v>0</v>
      </c>
      <c r="CG193" s="1409">
        <f t="shared" ca="1" si="84"/>
        <v>0</v>
      </c>
      <c r="CH193" s="1409">
        <f t="shared" ca="1" si="85"/>
        <v>0</v>
      </c>
      <c r="CI193" s="1409">
        <f t="shared" ca="1" si="86"/>
        <v>0</v>
      </c>
      <c r="CJ193" s="1409">
        <f t="shared" ca="1" si="87"/>
        <v>0</v>
      </c>
      <c r="CK193" s="1409">
        <f t="shared" ca="1" si="88"/>
        <v>0</v>
      </c>
      <c r="CL193" s="1409">
        <f t="shared" ca="1" si="89"/>
        <v>0</v>
      </c>
      <c r="CM193" s="1409">
        <f t="shared" ca="1" si="90"/>
        <v>0</v>
      </c>
      <c r="CN193" s="1409">
        <f ca="1">IF(B193&gt;=$J$5,0,CONTADORES!CB197-CONTADORES!CB196)</f>
        <v>0</v>
      </c>
      <c r="CO193" s="1409">
        <f t="shared" ca="1" si="91"/>
        <v>0</v>
      </c>
      <c r="CP193" s="1409">
        <f t="shared" ca="1" si="92"/>
        <v>0</v>
      </c>
      <c r="CQ193" s="1409">
        <f t="shared" ca="1" si="93"/>
        <v>0</v>
      </c>
      <c r="CR193" s="1409">
        <f t="shared" ca="1" si="94"/>
        <v>0</v>
      </c>
      <c r="CS193" s="1409">
        <f ca="1">IF($B193&gt;=$J$5,0,CONTADORES!$BI197)</f>
        <v>0</v>
      </c>
      <c r="CT193" s="1369">
        <f>CONTADORES!E197</f>
        <v>0</v>
      </c>
      <c r="CU193" s="1369">
        <f>CONTADORES!CG197</f>
        <v>0</v>
      </c>
    </row>
    <row r="194" spans="2:99">
      <c r="B194" s="390">
        <v>45110</v>
      </c>
      <c r="C194" s="198">
        <f t="shared" ca="1" si="68"/>
        <v>0</v>
      </c>
      <c r="D194" s="196">
        <f ca="1">'CALCULO DE GAS'!P6</f>
        <v>0</v>
      </c>
      <c r="E194" s="196">
        <f ca="1">IF(B194&gt;=$J$5,0,(CONTADORES!$AD198-CONTADORES!$AD197)-$H194)</f>
        <v>0</v>
      </c>
      <c r="F194" s="198">
        <f t="shared" ca="1" si="99"/>
        <v>0</v>
      </c>
      <c r="G194" s="196">
        <f ca="1">IF(B194&gt;=$J$5,0,CONTADORES!$AF198-CONTADORES!$AF197)</f>
        <v>0</v>
      </c>
      <c r="H194" s="196">
        <f ca="1">IF(G194&gt;0,CONTADORES!$AE198-CONTADORES!$AE197,0)</f>
        <v>0</v>
      </c>
      <c r="I194" s="199">
        <f ca="1">IF(B194&gt;=$J$5,0,CONTADORES!$AB198-CONTADORES!$AB197)</f>
        <v>0</v>
      </c>
      <c r="J194" s="198">
        <f t="shared" ca="1" si="69"/>
        <v>0</v>
      </c>
      <c r="K194" s="196">
        <f ca="1">'CALCULO DE GAS'!Q6</f>
        <v>0</v>
      </c>
      <c r="L194" s="1396">
        <f ca="1">IF(B194&gt;=$J$5,0,(CONTADORES!$Y198-CONTADORES!$Y197)-$O194)</f>
        <v>0</v>
      </c>
      <c r="M194" s="1396">
        <f t="shared" ca="1" si="98"/>
        <v>0</v>
      </c>
      <c r="N194" s="1396">
        <f ca="1">IF(B194&gt;=$J$5,0,CONTADORES!$AA198-CONTADORES!$AA197)</f>
        <v>0</v>
      </c>
      <c r="O194" s="1396">
        <f ca="1">IF(N194&gt;0,CONTADORES!$Z198-CONTADORES!$Z197,0)</f>
        <v>0</v>
      </c>
      <c r="P194" s="202">
        <f ca="1">IF(B194&gt;=$J$5,0,CONTADORES!$W198-CONTADORES!$W197)</f>
        <v>0</v>
      </c>
      <c r="Q194" s="202">
        <f ca="1">IF(B194&gt;=$J$5,0,CONTADORES!$B198-CONTADORES!$B197)</f>
        <v>0</v>
      </c>
      <c r="R194" s="196">
        <f t="shared" ca="1" si="70"/>
        <v>0</v>
      </c>
      <c r="S194" s="11">
        <f ca="1">IF(B194&gt;=$J$5,0,CONTADORES!$D198-CONTADORES!$D197)</f>
        <v>0</v>
      </c>
      <c r="T194" s="198">
        <f ca="1">IF(B194&gt;=$J$5,0,CONTADORES!$BB198-CONTADORES!$BB197)</f>
        <v>0</v>
      </c>
      <c r="U194" s="196">
        <f t="shared" ca="1" si="97"/>
        <v>0</v>
      </c>
      <c r="V194" s="199">
        <f ca="1">IF(B194&gt;=$J$5,0,CONTADORES!$BD198-CONTADORES!$BD197)</f>
        <v>0</v>
      </c>
      <c r="W194" s="1397">
        <f t="shared" ca="1" si="71"/>
        <v>0</v>
      </c>
      <c r="X194" s="1397">
        <f t="shared" ca="1" si="72"/>
        <v>0</v>
      </c>
      <c r="Y194" s="1398">
        <f t="shared" ca="1" si="73"/>
        <v>0</v>
      </c>
      <c r="Z194" s="1398">
        <f t="shared" ca="1" si="74"/>
        <v>0</v>
      </c>
      <c r="AA194" s="1398">
        <f t="shared" ca="1" si="75"/>
        <v>0</v>
      </c>
      <c r="AB194" s="1398">
        <f t="shared" ca="1" si="76"/>
        <v>0</v>
      </c>
      <c r="AC194" s="1397">
        <f t="shared" ca="1" si="77"/>
        <v>0</v>
      </c>
      <c r="AD194" s="1397">
        <f ca="1">IF(B194&gt;=$J$5,0,CONTADORES!H198-CONTADORES!H197)</f>
        <v>0</v>
      </c>
      <c r="AE194" s="1397">
        <f ca="1">IF(B194&gt;=$J$5,0,CONTADORES!J198-CONTADORES!J197)</f>
        <v>0</v>
      </c>
      <c r="AF194" s="1397">
        <f ca="1">IF(B194&gt;=$J$5,0,CONTADORES!AU198-CONTADORES!AU197)</f>
        <v>0</v>
      </c>
      <c r="AG194" s="1397">
        <f ca="1">IF(B194&gt;=$J$5,0,CONTADORES!AW198-CONTADORES!AW197)</f>
        <v>0</v>
      </c>
      <c r="AH194" s="1398">
        <f ca="1">IF(B194&gt;=$J$5,0,(CONTADORES!AM198-CONTADORES!AM197)+(CONTADORES!M198-CONTADORES!M197))</f>
        <v>0</v>
      </c>
      <c r="AI194" s="1397">
        <f ca="1">IF(B194&gt;=$J$5,0,(CONTADORES!AK198-CONTADORES!AK197)+(CONTADORES!O198-CONTADORES!O197))</f>
        <v>0</v>
      </c>
      <c r="AJ194" s="1397">
        <f ca="1">IF(B194&gt;=$J$5,0,(CONTADORES!AI198-CONTADORES!AI197))</f>
        <v>0</v>
      </c>
      <c r="AK194" s="1397">
        <f ca="1">IF(B194&gt;=$J$5,0,(CONTADORES!Q198-CONTADORES!Q197))</f>
        <v>0</v>
      </c>
      <c r="AL194" s="1461">
        <f t="shared" ca="1" si="78"/>
        <v>0</v>
      </c>
      <c r="AM194" s="1397">
        <f ca="1">IF(B194&gt;=$J$5,0,(((CONTADORES!F198-CONTADORES!F197)+(CONTADORES!AQ198-CONTADORES!AQ197))))-BS194-AF194-AN194-BV194-BY194-CD194-CB194</f>
        <v>0</v>
      </c>
      <c r="AN194" s="1397">
        <f ca="1">IF(B194&gt;=$J$5,0,(CONTADORES!AX198-CONTADORES!AX197)+(CONTADORES!AZ198-CONTADORES!AZ197)+(CONTADORES!BE198-CONTADORES!BE197))-CB194</f>
        <v>0</v>
      </c>
      <c r="AO194" s="1399">
        <f>(CONTADORES!AC198-CONTADORES!AC197)</f>
        <v>0</v>
      </c>
      <c r="AP194" s="1399">
        <f>(CONTADORES!X198-CONTADORES!X197)</f>
        <v>0</v>
      </c>
      <c r="AQ194" s="1404">
        <f ca="1">IF(B194&gt;=$J$5,0,(CONTADORES!C198-CONTADORES!C197))</f>
        <v>0</v>
      </c>
      <c r="AR194" s="1399">
        <f ca="1">AR193+(CONTADORES!BC198-CONTADORES!BC197)</f>
        <v>0</v>
      </c>
      <c r="AS194" s="1397">
        <f ca="1">IF(B194&gt;=$J$5,0,CONTADORES!S198-CONTADORES!S197)</f>
        <v>0</v>
      </c>
      <c r="AT194" s="1397">
        <f ca="1">IF(B194&gt;=$J$5,0,(CONTADORES!U198-CONTADORES!U197)+(CONTADORES!AG198-CONTADORES!AG197))</f>
        <v>0</v>
      </c>
      <c r="AU194" s="1433">
        <f>CONTADORES!I198-CONTADORES!I197</f>
        <v>0</v>
      </c>
      <c r="AV194" s="1399">
        <f>CONTADORES!AV198-CONTADORES!AV197</f>
        <v>0</v>
      </c>
      <c r="AW194" s="1399">
        <f ca="1">IF(B194&gt;=$J$5,0,(CONTADORES!N198-CONTADORES!N197)+(CONTADORES!AN198-CONTADORES!AN197))</f>
        <v>0</v>
      </c>
      <c r="AX194" s="1399">
        <f ca="1">IF(B194&gt;=$J$5,0,(CONTADORES!P198-CONTADORES!P197)+(CONTADORES!AL198-CONTADORES!AL197))</f>
        <v>0</v>
      </c>
      <c r="AY194" s="1399">
        <f ca="1">IF(B194&gt;=$J$5,0,(CONTADORES!AJ198-CONTADORES!AJ197))</f>
        <v>0</v>
      </c>
      <c r="AZ194" s="1399">
        <f ca="1">IF(B194&gt;=$J$5,0,(CONTADORES!R198-CONTADORES!R197))</f>
        <v>0</v>
      </c>
      <c r="BA194" s="1409">
        <f t="shared" ca="1" si="79"/>
        <v>0</v>
      </c>
      <c r="BB194" s="1433">
        <f ca="1">IF(B194&gt;=$J$5,0,(((CONTADORES!G198-CONTADORES!G197)+(CONTADORES!AR198-CONTADORES!AR197)+AR194)-(AV194+BC194)))</f>
        <v>0</v>
      </c>
      <c r="BC194" s="1397">
        <f ca="1">IF(B194&gt;=$J$5,0,(CONTADORES!AY198-CONTADORES!AY197)+(CONTADORES!BA198-CONTADORES!BA197)+(CONTADORES!BF198-CONTADORES!BF197))</f>
        <v>0</v>
      </c>
      <c r="BD194" s="1397">
        <f t="shared" ca="1" si="80"/>
        <v>0</v>
      </c>
      <c r="BE194" s="1398">
        <f ca="1">IF($B194&gt;=$J$5,0,CONTADORES!$BG198)</f>
        <v>0</v>
      </c>
      <c r="BF194" s="1397">
        <f ca="1">IF($B194&gt;=$J$5,0,CONTADORES!$BH198)</f>
        <v>0</v>
      </c>
      <c r="BG194" s="1397">
        <f ca="1">IF($B194&gt;=$J$5,0,CONTADORES!$BJ198)</f>
        <v>0</v>
      </c>
      <c r="BH194" s="1397">
        <f ca="1">IF(B194&gt;=$J$5,0,((CONTADORES!BK198-CONTADORES!BK197)/1000))</f>
        <v>0</v>
      </c>
      <c r="BI194" s="1397">
        <f ca="1">IF(C194&gt;=$J$5,0,((CONTADORES!BL198-CONTADORES!BL197)/1000))</f>
        <v>0</v>
      </c>
      <c r="BJ194" s="1397">
        <f ca="1">IF(C194&gt;=$J$5,0,((CONTADORES!BM198-CONTADORES!BM197)/1000))</f>
        <v>0</v>
      </c>
      <c r="BK194" s="1397">
        <f ca="1">IF(D194&gt;=$J$5,0,((CONTADORES!BN198-CONTADORES!BN197)/1000))</f>
        <v>0</v>
      </c>
      <c r="BL194" s="1399">
        <f t="shared" ca="1" si="81"/>
        <v>0</v>
      </c>
      <c r="BM194" s="1399">
        <f t="shared" ca="1" si="82"/>
        <v>0</v>
      </c>
      <c r="BN194" s="1398">
        <f ca="1">IF(W194&gt;=$J$5,0,CONTADORES!$BO198)</f>
        <v>0</v>
      </c>
      <c r="BO194" s="1397">
        <f ca="1">IF(W194&gt;=$J$5,0,CONTADORES!$BP198)</f>
        <v>0</v>
      </c>
      <c r="BP194" s="1397">
        <f ca="1">IF(W194&gt;=$J$5,0,CONTADORES!$BQ198)</f>
        <v>0</v>
      </c>
      <c r="BQ194" s="1397">
        <f ca="1">IF(B194&gt;=$J$5,0,(CONTADORES!AS198-CONTADORES!AS197))</f>
        <v>0</v>
      </c>
      <c r="BR194" s="1397">
        <f ca="1">IF(C194&gt;=$J$5,0,(CONTADORES!AT198-CONTADORES!AT197))</f>
        <v>0</v>
      </c>
      <c r="BS194" s="1409">
        <f ca="1">IF(B194&gt;=$J$5,0,CONTADORES!BR198-CONTADORES!BR197)/1000</f>
        <v>0</v>
      </c>
      <c r="BT194" s="1409">
        <f ca="1">IF(B194&gt;=$J$5,0,CONTADORES!BS198-CONTADORES!BS197)</f>
        <v>0</v>
      </c>
      <c r="BU194" s="1409">
        <f ca="1">IF(B194&gt;=$J$5,0,CONTADORES!BT198-CONTADORES!BT197)</f>
        <v>0</v>
      </c>
      <c r="BV194" s="1409">
        <f ca="1">IF(B194&gt;=$J$5,0,CONTADORES!BU198-CONTADORES!BU197)/1000</f>
        <v>0</v>
      </c>
      <c r="BW194" s="1409">
        <f ca="1">IF(B194&gt;=$J$5,0,CONTADORES!BV198-CONTADORES!BV197)/1000</f>
        <v>0</v>
      </c>
      <c r="BX194" s="1409">
        <f ca="1">IF(B194&gt;=$J$5,0,CONTADORES!BW198-CONTADORES!BW197)</f>
        <v>0</v>
      </c>
      <c r="BY194" s="1409">
        <f ca="1">IF(B194&gt;=$J$5,0,CONTADORES!BX198-CONTADORES!BX197)/1000</f>
        <v>0</v>
      </c>
      <c r="BZ194" s="1409">
        <f ca="1">IF(B194&gt;=$J$5,0,CONTADORES!BY198-CONTADORES!BY197)/1000</f>
        <v>0</v>
      </c>
      <c r="CA194" s="1409">
        <f ca="1">IF(B194&gt;=$J$5,0,CONTADORES!BZ198-CONTADORES!BZ197)</f>
        <v>0</v>
      </c>
      <c r="CB194" s="1434">
        <f ca="1">IF(B194&gt;=$J$5,0,(CONTADORES!CC198-CONTADORES!CC197)+(CONTADORES!CE198-CONTADORES!CE197))/1000</f>
        <v>0</v>
      </c>
      <c r="CC194" s="1409">
        <f ca="1">IF(B194&gt;=$J$5,0,(CONTADORES!CD198-CONTADORES!CD197)+(CONTADORES!CF198-CONTADORES!CF197))/1000</f>
        <v>0</v>
      </c>
      <c r="CD194" s="1409">
        <f ca="1">IF(B194&gt;=$J$5,0,CONTADORES!CA198-CONTADORES!CA197)</f>
        <v>0</v>
      </c>
      <c r="CE194" s="1409">
        <f ca="1">IF(B194&gt;=$J$5,0,CONTADORES!CB198-CONTADORES!CB197)</f>
        <v>0</v>
      </c>
      <c r="CF194" s="1409">
        <f t="shared" ca="1" si="83"/>
        <v>0</v>
      </c>
      <c r="CG194" s="1409">
        <f t="shared" ca="1" si="84"/>
        <v>0</v>
      </c>
      <c r="CH194" s="1409">
        <f t="shared" ca="1" si="85"/>
        <v>0</v>
      </c>
      <c r="CI194" s="1409">
        <f t="shared" ca="1" si="86"/>
        <v>0</v>
      </c>
      <c r="CJ194" s="1409">
        <f t="shared" ca="1" si="87"/>
        <v>0</v>
      </c>
      <c r="CK194" s="1409">
        <f t="shared" ca="1" si="88"/>
        <v>0</v>
      </c>
      <c r="CL194" s="1409">
        <f t="shared" ca="1" si="89"/>
        <v>0</v>
      </c>
      <c r="CM194" s="1409">
        <f t="shared" ca="1" si="90"/>
        <v>0</v>
      </c>
      <c r="CN194" s="1409">
        <f ca="1">IF(B194&gt;=$J$5,0,CONTADORES!CB198-CONTADORES!CB197)</f>
        <v>0</v>
      </c>
      <c r="CO194" s="1409">
        <f t="shared" ca="1" si="91"/>
        <v>0</v>
      </c>
      <c r="CP194" s="1409">
        <f t="shared" ca="1" si="92"/>
        <v>0</v>
      </c>
      <c r="CQ194" s="1409">
        <f t="shared" ca="1" si="93"/>
        <v>0</v>
      </c>
      <c r="CR194" s="1409">
        <f t="shared" ca="1" si="94"/>
        <v>0</v>
      </c>
      <c r="CS194" s="1409">
        <f ca="1">IF($B194&gt;=$J$5,0,CONTADORES!$BI198)</f>
        <v>0</v>
      </c>
      <c r="CT194" s="1369">
        <f>CONTADORES!E198</f>
        <v>0</v>
      </c>
      <c r="CU194" s="1369">
        <f>CONTADORES!CG198</f>
        <v>0</v>
      </c>
    </row>
    <row r="195" spans="2:99">
      <c r="B195" s="390">
        <v>45111</v>
      </c>
      <c r="C195" s="198">
        <f t="shared" ca="1" si="68"/>
        <v>0</v>
      </c>
      <c r="D195" s="196">
        <f ca="1">'CALCULO DE GAS'!P7</f>
        <v>0</v>
      </c>
      <c r="E195" s="196">
        <f ca="1">IF(B195&gt;=$J$5,0,(CONTADORES!$AD199-CONTADORES!$AD198)-$H195)</f>
        <v>0</v>
      </c>
      <c r="F195" s="198">
        <f t="shared" ca="1" si="99"/>
        <v>0</v>
      </c>
      <c r="G195" s="196">
        <f ca="1">IF(B195&gt;=$J$5,0,CONTADORES!$AF199-CONTADORES!$AF198)</f>
        <v>0</v>
      </c>
      <c r="H195" s="196">
        <f ca="1">IF(G195&gt;0,CONTADORES!$AE199-CONTADORES!$AE198,0)</f>
        <v>0</v>
      </c>
      <c r="I195" s="199">
        <f ca="1">IF(B195&gt;=$J$5,0,CONTADORES!$AB199-CONTADORES!$AB198)</f>
        <v>0</v>
      </c>
      <c r="J195" s="198">
        <f t="shared" ca="1" si="69"/>
        <v>0</v>
      </c>
      <c r="K195" s="196">
        <f ca="1">'CALCULO DE GAS'!Q7</f>
        <v>0</v>
      </c>
      <c r="L195" s="1396">
        <f ca="1">IF(B195&gt;=$J$5,0,(CONTADORES!$Y199-CONTADORES!$Y198)-$O195)</f>
        <v>0</v>
      </c>
      <c r="M195" s="1396">
        <f t="shared" ca="1" si="98"/>
        <v>0</v>
      </c>
      <c r="N195" s="1396">
        <f ca="1">IF(B195&gt;=$J$5,0,CONTADORES!$AA199-CONTADORES!$AA198)</f>
        <v>0</v>
      </c>
      <c r="O195" s="1396">
        <f ca="1">IF(N195&gt;0,CONTADORES!$Z199-CONTADORES!$Z198,0)</f>
        <v>0</v>
      </c>
      <c r="P195" s="202">
        <f ca="1">IF(B195&gt;=$J$5,0,CONTADORES!$W199-CONTADORES!$W198)</f>
        <v>0</v>
      </c>
      <c r="Q195" s="202">
        <f ca="1">IF(B195&gt;=$J$5,0,CONTADORES!$B199-CONTADORES!$B198)</f>
        <v>0</v>
      </c>
      <c r="R195" s="196">
        <f t="shared" ca="1" si="70"/>
        <v>0</v>
      </c>
      <c r="S195" s="11">
        <f ca="1">IF(B195&gt;=$J$5,0,CONTADORES!$D199-CONTADORES!$D198)</f>
        <v>0</v>
      </c>
      <c r="T195" s="198">
        <f ca="1">IF(B195&gt;=$J$5,0,CONTADORES!$BB199-CONTADORES!$BB198)</f>
        <v>0</v>
      </c>
      <c r="U195" s="196">
        <f t="shared" ca="1" si="97"/>
        <v>0</v>
      </c>
      <c r="V195" s="199">
        <f ca="1">IF(B195&gt;=$J$5,0,CONTADORES!$BD199-CONTADORES!$BD198)</f>
        <v>0</v>
      </c>
      <c r="W195" s="1397">
        <f t="shared" ca="1" si="71"/>
        <v>0</v>
      </c>
      <c r="X195" s="1397">
        <f t="shared" ca="1" si="72"/>
        <v>0</v>
      </c>
      <c r="Y195" s="1398">
        <f t="shared" ca="1" si="73"/>
        <v>0</v>
      </c>
      <c r="Z195" s="1398">
        <f t="shared" ca="1" si="74"/>
        <v>0</v>
      </c>
      <c r="AA195" s="1398">
        <f t="shared" ca="1" si="75"/>
        <v>0</v>
      </c>
      <c r="AB195" s="1398">
        <f t="shared" ca="1" si="76"/>
        <v>0</v>
      </c>
      <c r="AC195" s="1397">
        <f t="shared" ca="1" si="77"/>
        <v>0</v>
      </c>
      <c r="AD195" s="1397">
        <f ca="1">IF(B195&gt;=$J$5,0,CONTADORES!H199-CONTADORES!H198)</f>
        <v>0</v>
      </c>
      <c r="AE195" s="1397">
        <f ca="1">IF(B195&gt;=$J$5,0,CONTADORES!J199-CONTADORES!J198)</f>
        <v>0</v>
      </c>
      <c r="AF195" s="1397">
        <f ca="1">IF(B195&gt;=$J$5,0,CONTADORES!AU199-CONTADORES!AU198)</f>
        <v>0</v>
      </c>
      <c r="AG195" s="1397">
        <f ca="1">IF(B195&gt;=$J$5,0,CONTADORES!AW199-CONTADORES!AW198)</f>
        <v>0</v>
      </c>
      <c r="AH195" s="1398">
        <f ca="1">IF(B195&gt;=$J$5,0,(CONTADORES!AM199-CONTADORES!AM198)+(CONTADORES!M199-CONTADORES!M198))</f>
        <v>0</v>
      </c>
      <c r="AI195" s="1397">
        <f ca="1">IF(B195&gt;=$J$5,0,(CONTADORES!AK199-CONTADORES!AK198)+(CONTADORES!O199-CONTADORES!O198))</f>
        <v>0</v>
      </c>
      <c r="AJ195" s="1397">
        <f ca="1">IF(B195&gt;=$J$5,0,(CONTADORES!AI199-CONTADORES!AI198))</f>
        <v>0</v>
      </c>
      <c r="AK195" s="1397">
        <f ca="1">IF(B195&gt;=$J$5,0,(CONTADORES!Q199-CONTADORES!Q198))</f>
        <v>0</v>
      </c>
      <c r="AL195" s="1461">
        <f t="shared" ca="1" si="78"/>
        <v>0</v>
      </c>
      <c r="AM195" s="1397">
        <f ca="1">IF(B195&gt;=$J$5,0,(((CONTADORES!F199-CONTADORES!F198)+(CONTADORES!AQ199-CONTADORES!AQ198))))-BS195-AF195-AN195-BV195-BY195-CD195-CB195</f>
        <v>0</v>
      </c>
      <c r="AN195" s="1397">
        <f ca="1">IF(B195&gt;=$J$5,0,(CONTADORES!AX199-CONTADORES!AX198)+(CONTADORES!AZ199-CONTADORES!AZ198)+(CONTADORES!BE199-CONTADORES!BE198))-CB195</f>
        <v>0</v>
      </c>
      <c r="AO195" s="1399">
        <f>(CONTADORES!AC199-CONTADORES!AC198)</f>
        <v>0</v>
      </c>
      <c r="AP195" s="1399">
        <f>(CONTADORES!X199-CONTADORES!X198)</f>
        <v>0</v>
      </c>
      <c r="AQ195" s="1404">
        <f ca="1">IF(B195&gt;=$J$5,0,(CONTADORES!C199-CONTADORES!C198))</f>
        <v>0</v>
      </c>
      <c r="AR195" s="1399">
        <f ca="1">AR194+(CONTADORES!BC199-CONTADORES!BC198)</f>
        <v>0</v>
      </c>
      <c r="AS195" s="1397">
        <f ca="1">IF(B195&gt;=$J$5,0,CONTADORES!S199-CONTADORES!S198)</f>
        <v>0</v>
      </c>
      <c r="AT195" s="1397">
        <f ca="1">IF(B195&gt;=$J$5,0,(CONTADORES!U199-CONTADORES!U198)+(CONTADORES!AG199-CONTADORES!AG198))</f>
        <v>0</v>
      </c>
      <c r="AU195" s="1433">
        <f>CONTADORES!I199-CONTADORES!I198</f>
        <v>0</v>
      </c>
      <c r="AV195" s="1399">
        <f>CONTADORES!AV199-CONTADORES!AV198</f>
        <v>0</v>
      </c>
      <c r="AW195" s="1399">
        <f ca="1">IF(B195&gt;=$J$5,0,(CONTADORES!N199-CONTADORES!N198)+(CONTADORES!AN199-CONTADORES!AN198))</f>
        <v>0</v>
      </c>
      <c r="AX195" s="1399">
        <f ca="1">IF(B195&gt;=$J$5,0,(CONTADORES!P199-CONTADORES!P198)+(CONTADORES!AL199-CONTADORES!AL198))</f>
        <v>0</v>
      </c>
      <c r="AY195" s="1399">
        <f ca="1">IF(B195&gt;=$J$5,0,(CONTADORES!AJ199-CONTADORES!AJ198))</f>
        <v>0</v>
      </c>
      <c r="AZ195" s="1399">
        <f ca="1">IF(B195&gt;=$J$5,0,(CONTADORES!R199-CONTADORES!R198))</f>
        <v>0</v>
      </c>
      <c r="BA195" s="1409">
        <f t="shared" ca="1" si="79"/>
        <v>0</v>
      </c>
      <c r="BB195" s="1433">
        <f ca="1">IF(B195&gt;=$J$5,0,(((CONTADORES!G199-CONTADORES!G198)+(CONTADORES!AR199-CONTADORES!AR198)+AR195)-(AV195+BC195)))</f>
        <v>0</v>
      </c>
      <c r="BC195" s="1397">
        <f ca="1">IF(B195&gt;=$J$5,0,(CONTADORES!AY199-CONTADORES!AY198)+(CONTADORES!BA199-CONTADORES!BA198)+(CONTADORES!BF199-CONTADORES!BF198))</f>
        <v>0</v>
      </c>
      <c r="BD195" s="1397">
        <f t="shared" ca="1" si="80"/>
        <v>0</v>
      </c>
      <c r="BE195" s="1398">
        <f ca="1">IF($B195&gt;=$J$5,0,CONTADORES!$BG199)</f>
        <v>0</v>
      </c>
      <c r="BF195" s="1397">
        <f ca="1">IF($B195&gt;=$J$5,0,CONTADORES!$BH199)</f>
        <v>0</v>
      </c>
      <c r="BG195" s="1397">
        <f ca="1">IF($B195&gt;=$J$5,0,CONTADORES!$BJ199)</f>
        <v>0</v>
      </c>
      <c r="BH195" s="1397">
        <f ca="1">IF(B195&gt;=$J$5,0,((CONTADORES!BK199-CONTADORES!BK198)/1000))</f>
        <v>0</v>
      </c>
      <c r="BI195" s="1397">
        <f ca="1">IF(C195&gt;=$J$5,0,((CONTADORES!BL199-CONTADORES!BL198)/1000))</f>
        <v>0</v>
      </c>
      <c r="BJ195" s="1397">
        <f ca="1">IF(C195&gt;=$J$5,0,((CONTADORES!BM199-CONTADORES!BM198)/1000))</f>
        <v>0</v>
      </c>
      <c r="BK195" s="1397">
        <f ca="1">IF(D195&gt;=$J$5,0,((CONTADORES!BN199-CONTADORES!BN198)/1000))</f>
        <v>0</v>
      </c>
      <c r="BL195" s="1399">
        <f t="shared" ca="1" si="81"/>
        <v>0</v>
      </c>
      <c r="BM195" s="1399">
        <f t="shared" ca="1" si="82"/>
        <v>0</v>
      </c>
      <c r="BN195" s="1398">
        <f ca="1">IF(W195&gt;=$J$5,0,CONTADORES!$BO199)</f>
        <v>0</v>
      </c>
      <c r="BO195" s="1397">
        <f ca="1">IF(W195&gt;=$J$5,0,CONTADORES!$BP199)</f>
        <v>0</v>
      </c>
      <c r="BP195" s="1397">
        <f ca="1">IF(W195&gt;=$J$5,0,CONTADORES!$BQ199)</f>
        <v>0</v>
      </c>
      <c r="BQ195" s="1397">
        <f ca="1">IF(B195&gt;=$J$5,0,(CONTADORES!AS199-CONTADORES!AS198))</f>
        <v>0</v>
      </c>
      <c r="BR195" s="1397">
        <f ca="1">IF(C195&gt;=$J$5,0,(CONTADORES!AT199-CONTADORES!AT198))</f>
        <v>0</v>
      </c>
      <c r="BS195" s="1409">
        <f ca="1">IF(B195&gt;=$J$5,0,CONTADORES!BR199-CONTADORES!BR198)/1000</f>
        <v>0</v>
      </c>
      <c r="BT195" s="1409">
        <f ca="1">IF(B195&gt;=$J$5,0,CONTADORES!BS199-CONTADORES!BS198)</f>
        <v>0</v>
      </c>
      <c r="BU195" s="1409">
        <f ca="1">IF(B195&gt;=$J$5,0,CONTADORES!BT199-CONTADORES!BT198)</f>
        <v>0</v>
      </c>
      <c r="BV195" s="1409">
        <f ca="1">IF(B195&gt;=$J$5,0,CONTADORES!BU199-CONTADORES!BU198)/1000</f>
        <v>0</v>
      </c>
      <c r="BW195" s="1409">
        <f ca="1">IF(B195&gt;=$J$5,0,CONTADORES!BV199-CONTADORES!BV198)/1000</f>
        <v>0</v>
      </c>
      <c r="BX195" s="1409">
        <f ca="1">IF(B195&gt;=$J$5,0,CONTADORES!BW199-CONTADORES!BW198)</f>
        <v>0</v>
      </c>
      <c r="BY195" s="1409">
        <f ca="1">IF(B195&gt;=$J$5,0,CONTADORES!BX199-CONTADORES!BX198)/1000</f>
        <v>0</v>
      </c>
      <c r="BZ195" s="1409">
        <f ca="1">IF(B195&gt;=$J$5,0,CONTADORES!BY199-CONTADORES!BY198)/1000</f>
        <v>0</v>
      </c>
      <c r="CA195" s="1409">
        <f ca="1">IF(B195&gt;=$J$5,0,CONTADORES!BZ199-CONTADORES!BZ198)</f>
        <v>0</v>
      </c>
      <c r="CB195" s="1409">
        <f ca="1">IF(B195&gt;=$J$5,0,(CONTADORES!CC199-CONTADORES!CC198)+(CONTADORES!CE199-CONTADORES!CE198))/1000</f>
        <v>0</v>
      </c>
      <c r="CC195" s="1409">
        <f ca="1">IF(B195&gt;=$J$5,0,(CONTADORES!CD199-CONTADORES!CD198)+(CONTADORES!CF199-CONTADORES!CF198))/1000</f>
        <v>0</v>
      </c>
      <c r="CD195" s="1409">
        <f ca="1">IF(B195&gt;=$J$5,0,CONTADORES!CA199-CONTADORES!CA198)</f>
        <v>0</v>
      </c>
      <c r="CE195" s="1409">
        <f ca="1">IF(B195&gt;=$J$5,0,CONTADORES!CB199-CONTADORES!CB198)</f>
        <v>0</v>
      </c>
      <c r="CF195" s="1409">
        <f t="shared" ca="1" si="83"/>
        <v>0</v>
      </c>
      <c r="CG195" s="1409">
        <f t="shared" ca="1" si="84"/>
        <v>0</v>
      </c>
      <c r="CH195" s="1409">
        <f t="shared" ca="1" si="85"/>
        <v>0</v>
      </c>
      <c r="CI195" s="1409">
        <f t="shared" ca="1" si="86"/>
        <v>0</v>
      </c>
      <c r="CJ195" s="1409">
        <f t="shared" ca="1" si="87"/>
        <v>0</v>
      </c>
      <c r="CK195" s="1409">
        <f t="shared" ca="1" si="88"/>
        <v>0</v>
      </c>
      <c r="CL195" s="1409">
        <f t="shared" ca="1" si="89"/>
        <v>0</v>
      </c>
      <c r="CM195" s="1409">
        <f t="shared" ca="1" si="90"/>
        <v>0</v>
      </c>
      <c r="CN195" s="1409">
        <f ca="1">IF(B195&gt;=$J$5,0,CONTADORES!CB199-CONTADORES!CB198)</f>
        <v>0</v>
      </c>
      <c r="CO195" s="1409">
        <f t="shared" ca="1" si="91"/>
        <v>0</v>
      </c>
      <c r="CP195" s="1409">
        <f t="shared" ca="1" si="92"/>
        <v>0</v>
      </c>
      <c r="CQ195" s="1409">
        <f t="shared" ca="1" si="93"/>
        <v>0</v>
      </c>
      <c r="CR195" s="1409">
        <f t="shared" ca="1" si="94"/>
        <v>0</v>
      </c>
      <c r="CS195" s="1409">
        <f ca="1">IF($B195&gt;=$J$5,0,CONTADORES!$BI199)</f>
        <v>0</v>
      </c>
      <c r="CT195" s="1369">
        <f>CONTADORES!E199</f>
        <v>0</v>
      </c>
      <c r="CU195" s="1369">
        <f>CONTADORES!CG199</f>
        <v>0</v>
      </c>
    </row>
    <row r="196" spans="2:99">
      <c r="B196" s="390">
        <v>45112</v>
      </c>
      <c r="C196" s="198">
        <f t="shared" ca="1" si="68"/>
        <v>0</v>
      </c>
      <c r="D196" s="196">
        <f ca="1">'CALCULO DE GAS'!P8</f>
        <v>0</v>
      </c>
      <c r="E196" s="196">
        <f ca="1">IF(B196&gt;=$J$5,0,(CONTADORES!$AD200-CONTADORES!$AD199)-$H196)</f>
        <v>0</v>
      </c>
      <c r="F196" s="198">
        <f t="shared" ca="1" si="99"/>
        <v>0</v>
      </c>
      <c r="G196" s="196">
        <f ca="1">IF(B196&gt;=$J$5,0,CONTADORES!$AF200-CONTADORES!$AF199)</f>
        <v>0</v>
      </c>
      <c r="H196" s="196">
        <f ca="1">IF(G196&gt;0,CONTADORES!$AE200-CONTADORES!$AE199,0)</f>
        <v>0</v>
      </c>
      <c r="I196" s="199">
        <f ca="1">IF(B196&gt;=$J$5,0,CONTADORES!$AB200-CONTADORES!$AB199)</f>
        <v>0</v>
      </c>
      <c r="J196" s="198">
        <f t="shared" ca="1" si="69"/>
        <v>0</v>
      </c>
      <c r="K196" s="196">
        <f ca="1">'CALCULO DE GAS'!Q8</f>
        <v>0</v>
      </c>
      <c r="L196" s="1396">
        <f ca="1">IF(B196&gt;=$J$5,0,(CONTADORES!$Y200-CONTADORES!$Y199)-$O196)</f>
        <v>0</v>
      </c>
      <c r="M196" s="1396">
        <f t="shared" ca="1" si="98"/>
        <v>0</v>
      </c>
      <c r="N196" s="1396">
        <f ca="1">IF(B196&gt;=$J$5,0,CONTADORES!$AA200-CONTADORES!$AA199)</f>
        <v>0</v>
      </c>
      <c r="O196" s="1396">
        <f ca="1">IF(N196&gt;0,CONTADORES!$Z200-CONTADORES!$Z199,0)</f>
        <v>0</v>
      </c>
      <c r="P196" s="202">
        <f ca="1">IF(B196&gt;=$J$5,0,CONTADORES!$W200-CONTADORES!$W199)</f>
        <v>0</v>
      </c>
      <c r="Q196" s="202">
        <f ca="1">IF(B196&gt;=$J$5,0,CONTADORES!$B200-CONTADORES!$B199)</f>
        <v>0</v>
      </c>
      <c r="R196" s="196">
        <f t="shared" ca="1" si="70"/>
        <v>0</v>
      </c>
      <c r="S196" s="11">
        <f ca="1">IF(B196&gt;=$J$5,0,CONTADORES!$D200-CONTADORES!$D199)</f>
        <v>0</v>
      </c>
      <c r="T196" s="198">
        <f ca="1">IF(B196&gt;=$J$5,0,CONTADORES!$BB200-CONTADORES!$BB199)</f>
        <v>0</v>
      </c>
      <c r="U196" s="196">
        <f t="shared" ca="1" si="97"/>
        <v>0</v>
      </c>
      <c r="V196" s="199">
        <f ca="1">IF(B196&gt;=$J$5,0,CONTADORES!$BD200-CONTADORES!$BD199)</f>
        <v>0</v>
      </c>
      <c r="W196" s="1397">
        <f t="shared" ca="1" si="71"/>
        <v>0</v>
      </c>
      <c r="X196" s="1397">
        <f t="shared" ca="1" si="72"/>
        <v>0</v>
      </c>
      <c r="Y196" s="1398">
        <f t="shared" ca="1" si="73"/>
        <v>0</v>
      </c>
      <c r="Z196" s="1398">
        <f t="shared" ca="1" si="74"/>
        <v>0</v>
      </c>
      <c r="AA196" s="1398">
        <f t="shared" ca="1" si="75"/>
        <v>0</v>
      </c>
      <c r="AB196" s="1398">
        <f t="shared" ca="1" si="76"/>
        <v>0</v>
      </c>
      <c r="AC196" s="1397">
        <f t="shared" ca="1" si="77"/>
        <v>0</v>
      </c>
      <c r="AD196" s="1397">
        <f ca="1">IF(B196&gt;=$J$5,0,CONTADORES!H200-CONTADORES!H199)</f>
        <v>0</v>
      </c>
      <c r="AE196" s="1397">
        <f ca="1">IF(B196&gt;=$J$5,0,CONTADORES!J200-CONTADORES!J199)</f>
        <v>0</v>
      </c>
      <c r="AF196" s="1397">
        <f ca="1">IF(B196&gt;=$J$5,0,CONTADORES!AU200-CONTADORES!AU199)</f>
        <v>0</v>
      </c>
      <c r="AG196" s="1397">
        <f ca="1">IF(B196&gt;=$J$5,0,CONTADORES!AW200-CONTADORES!AW199)</f>
        <v>0</v>
      </c>
      <c r="AH196" s="1398">
        <f ca="1">IF(B196&gt;=$J$5,0,(CONTADORES!AM200-CONTADORES!AM199)+(CONTADORES!M200-CONTADORES!M199))</f>
        <v>0</v>
      </c>
      <c r="AI196" s="1397">
        <f ca="1">IF(B196&gt;=$J$5,0,(CONTADORES!AK200-CONTADORES!AK199)+(CONTADORES!O200-CONTADORES!O199))</f>
        <v>0</v>
      </c>
      <c r="AJ196" s="1397">
        <f ca="1">IF(B196&gt;=$J$5,0,(CONTADORES!AI200-CONTADORES!AI199))</f>
        <v>0</v>
      </c>
      <c r="AK196" s="1397">
        <f ca="1">IF(B196&gt;=$J$5,0,(CONTADORES!Q200-CONTADORES!Q199))</f>
        <v>0</v>
      </c>
      <c r="AL196" s="1461">
        <f t="shared" ca="1" si="78"/>
        <v>0</v>
      </c>
      <c r="AM196" s="1397">
        <f ca="1">IF(B196&gt;=$J$5,0,(((CONTADORES!F200-CONTADORES!F199)+(CONTADORES!AQ200-CONTADORES!AQ199))))-BS196-AF196-AN196-BV196-BY196-CD196-CB196</f>
        <v>0</v>
      </c>
      <c r="AN196" s="1397">
        <f ca="1">IF(B196&gt;=$J$5,0,(CONTADORES!AX200-CONTADORES!AX199)+(CONTADORES!AZ200-CONTADORES!AZ199)+(CONTADORES!BE200-CONTADORES!BE199))-CB196</f>
        <v>0</v>
      </c>
      <c r="AO196" s="1399">
        <f>(CONTADORES!AC200-CONTADORES!AC199)</f>
        <v>0</v>
      </c>
      <c r="AP196" s="1399">
        <f>(CONTADORES!X200-CONTADORES!X199)</f>
        <v>0</v>
      </c>
      <c r="AQ196" s="1404">
        <f ca="1">IF(B196&gt;=$J$5,0,(CONTADORES!C200-CONTADORES!C199))</f>
        <v>0</v>
      </c>
      <c r="AR196" s="1399">
        <f ca="1">AR195+(CONTADORES!BC200-CONTADORES!BC199)</f>
        <v>0</v>
      </c>
      <c r="AS196" s="1397">
        <f ca="1">IF(B196&gt;=$J$5,0,CONTADORES!S200-CONTADORES!S199)</f>
        <v>0</v>
      </c>
      <c r="AT196" s="1397">
        <f ca="1">IF(B196&gt;=$J$5,0,(CONTADORES!U200-CONTADORES!U199)+(CONTADORES!AG200-CONTADORES!AG199))</f>
        <v>0</v>
      </c>
      <c r="AU196" s="1433">
        <f>CONTADORES!I200-CONTADORES!I199</f>
        <v>0</v>
      </c>
      <c r="AV196" s="1399">
        <f>CONTADORES!AV200-CONTADORES!AV199</f>
        <v>0</v>
      </c>
      <c r="AW196" s="1399">
        <f ca="1">IF(B196&gt;=$J$5,0,(CONTADORES!N200-CONTADORES!N199)+(CONTADORES!AN200-CONTADORES!AN199))</f>
        <v>0</v>
      </c>
      <c r="AX196" s="1399">
        <f ca="1">IF(B196&gt;=$J$5,0,(CONTADORES!P200-CONTADORES!P199)+(CONTADORES!AL200-CONTADORES!AL199))</f>
        <v>0</v>
      </c>
      <c r="AY196" s="1399">
        <f ca="1">IF(B196&gt;=$J$5,0,(CONTADORES!AJ200-CONTADORES!AJ199))</f>
        <v>0</v>
      </c>
      <c r="AZ196" s="1399">
        <f ca="1">IF(B196&gt;=$J$5,0,(CONTADORES!R200-CONTADORES!R199))</f>
        <v>0</v>
      </c>
      <c r="BA196" s="1409">
        <f t="shared" ca="1" si="79"/>
        <v>0</v>
      </c>
      <c r="BB196" s="1433">
        <f ca="1">IF(B196&gt;=$J$5,0,(((CONTADORES!G200-CONTADORES!G199)+(CONTADORES!AR200-CONTADORES!AR199)+AR196)-(AV196+BC196)))</f>
        <v>0</v>
      </c>
      <c r="BC196" s="1397">
        <f ca="1">IF(B196&gt;=$J$5,0,(CONTADORES!AY200-CONTADORES!AY199)+(CONTADORES!BA200-CONTADORES!BA199)+(CONTADORES!BF200-CONTADORES!BF199))</f>
        <v>0</v>
      </c>
      <c r="BD196" s="1397">
        <f t="shared" ca="1" si="80"/>
        <v>0</v>
      </c>
      <c r="BE196" s="1398">
        <f ca="1">IF($B196&gt;=$J$5,0,CONTADORES!$BG200)</f>
        <v>0</v>
      </c>
      <c r="BF196" s="1397">
        <f ca="1">IF($B196&gt;=$J$5,0,CONTADORES!$BH200)</f>
        <v>0</v>
      </c>
      <c r="BG196" s="1397">
        <f ca="1">IF($B196&gt;=$J$5,0,CONTADORES!$BJ200)</f>
        <v>0</v>
      </c>
      <c r="BH196" s="1397">
        <f ca="1">IF(B196&gt;=$J$5,0,((CONTADORES!BK200-CONTADORES!BK199)/1000))</f>
        <v>0</v>
      </c>
      <c r="BI196" s="1397">
        <f ca="1">IF(C196&gt;=$J$5,0,((CONTADORES!BL200-CONTADORES!BL199)/1000))</f>
        <v>0</v>
      </c>
      <c r="BJ196" s="1397">
        <f ca="1">IF(C196&gt;=$J$5,0,((CONTADORES!BM200-CONTADORES!BM199)/1000))</f>
        <v>0</v>
      </c>
      <c r="BK196" s="1397">
        <f ca="1">IF(D196&gt;=$J$5,0,((CONTADORES!BN200-CONTADORES!BN199)/1000))</f>
        <v>0</v>
      </c>
      <c r="BL196" s="1399">
        <f t="shared" ca="1" si="81"/>
        <v>0</v>
      </c>
      <c r="BM196" s="1399">
        <f t="shared" ca="1" si="82"/>
        <v>0</v>
      </c>
      <c r="BN196" s="1398">
        <f ca="1">IF(W196&gt;=$J$5,0,CONTADORES!$BO200)</f>
        <v>0</v>
      </c>
      <c r="BO196" s="1397">
        <f ca="1">IF(W196&gt;=$J$5,0,CONTADORES!$BP200)</f>
        <v>0</v>
      </c>
      <c r="BP196" s="1397">
        <f ca="1">IF(W196&gt;=$J$5,0,CONTADORES!$BQ200)</f>
        <v>0</v>
      </c>
      <c r="BQ196" s="1397">
        <f ca="1">IF(B196&gt;=$J$5,0,(CONTADORES!AS200-CONTADORES!AS199))</f>
        <v>0</v>
      </c>
      <c r="BR196" s="1397">
        <f ca="1">IF(C196&gt;=$J$5,0,(CONTADORES!AT200-CONTADORES!AT199))</f>
        <v>0</v>
      </c>
      <c r="BS196" s="1409">
        <f ca="1">IF(B196&gt;=$J$5,0,CONTADORES!BR200-CONTADORES!BR199)/1000</f>
        <v>0</v>
      </c>
      <c r="BT196" s="1409">
        <f ca="1">IF(B196&gt;=$J$5,0,CONTADORES!BS200-CONTADORES!BS199)</f>
        <v>0</v>
      </c>
      <c r="BU196" s="1409">
        <f ca="1">IF(B196&gt;=$J$5,0,CONTADORES!BT200-CONTADORES!BT199)</f>
        <v>0</v>
      </c>
      <c r="BV196" s="1409">
        <f ca="1">IF(B196&gt;=$J$5,0,CONTADORES!BU200-CONTADORES!BU199)/1000</f>
        <v>0</v>
      </c>
      <c r="BW196" s="1409">
        <f ca="1">IF(B196&gt;=$J$5,0,CONTADORES!BV200-CONTADORES!BV199)/1000</f>
        <v>0</v>
      </c>
      <c r="BX196" s="1409">
        <f ca="1">IF(B196&gt;=$J$5,0,CONTADORES!BW200-CONTADORES!BW199)</f>
        <v>0</v>
      </c>
      <c r="BY196" s="1409">
        <f ca="1">IF(B196&gt;=$J$5,0,CONTADORES!BX200-CONTADORES!BX199)/1000</f>
        <v>0</v>
      </c>
      <c r="BZ196" s="1409">
        <f ca="1">IF(B196&gt;=$J$5,0,CONTADORES!BY200-CONTADORES!BY199)/1000</f>
        <v>0</v>
      </c>
      <c r="CA196" s="1409">
        <f ca="1">IF(B196&gt;=$J$5,0,CONTADORES!BZ200-CONTADORES!BZ199)</f>
        <v>0</v>
      </c>
      <c r="CB196" s="1409">
        <f ca="1">IF(B196&gt;=$J$5,0,(CONTADORES!CC200-CONTADORES!CC199)+(CONTADORES!CE200-CONTADORES!CE199))/1000</f>
        <v>0</v>
      </c>
      <c r="CC196" s="1409">
        <f ca="1">IF(B196&gt;=$J$5,0,(CONTADORES!CD200-CONTADORES!CD199)+(CONTADORES!CF200-CONTADORES!CF199))/1000</f>
        <v>0</v>
      </c>
      <c r="CD196" s="1409">
        <f ca="1">IF(B196&gt;=$J$5,0,CONTADORES!CA200-CONTADORES!CA199)</f>
        <v>0</v>
      </c>
      <c r="CE196" s="1409">
        <f ca="1">IF(B196&gt;=$J$5,0,CONTADORES!CB200-CONTADORES!CB199)</f>
        <v>0</v>
      </c>
      <c r="CF196" s="1409">
        <f t="shared" ca="1" si="83"/>
        <v>0</v>
      </c>
      <c r="CG196" s="1409">
        <f t="shared" ca="1" si="84"/>
        <v>0</v>
      </c>
      <c r="CH196" s="1409">
        <f t="shared" ca="1" si="85"/>
        <v>0</v>
      </c>
      <c r="CI196" s="1409">
        <f t="shared" ca="1" si="86"/>
        <v>0</v>
      </c>
      <c r="CJ196" s="1409">
        <f t="shared" ca="1" si="87"/>
        <v>0</v>
      </c>
      <c r="CK196" s="1409">
        <f t="shared" ca="1" si="88"/>
        <v>0</v>
      </c>
      <c r="CL196" s="1409">
        <f t="shared" ca="1" si="89"/>
        <v>0</v>
      </c>
      <c r="CM196" s="1409">
        <f t="shared" ca="1" si="90"/>
        <v>0</v>
      </c>
      <c r="CN196" s="1409">
        <f ca="1">IF(B196&gt;=$J$5,0,CONTADORES!CB200-CONTADORES!CB199)</f>
        <v>0</v>
      </c>
      <c r="CO196" s="1409">
        <f t="shared" ca="1" si="91"/>
        <v>0</v>
      </c>
      <c r="CP196" s="1409">
        <f t="shared" ca="1" si="92"/>
        <v>0</v>
      </c>
      <c r="CQ196" s="1409">
        <f t="shared" ca="1" si="93"/>
        <v>0</v>
      </c>
      <c r="CR196" s="1409">
        <f t="shared" ca="1" si="94"/>
        <v>0</v>
      </c>
      <c r="CS196" s="1409">
        <f ca="1">IF($B196&gt;=$J$5,0,CONTADORES!$BI200)</f>
        <v>0</v>
      </c>
      <c r="CT196" s="1369">
        <f>CONTADORES!E200</f>
        <v>0</v>
      </c>
      <c r="CU196" s="1369">
        <f>CONTADORES!CG200</f>
        <v>0</v>
      </c>
    </row>
    <row r="197" spans="2:99">
      <c r="B197" s="390">
        <v>45113</v>
      </c>
      <c r="C197" s="198">
        <f t="shared" ca="1" si="68"/>
        <v>0</v>
      </c>
      <c r="D197" s="196">
        <f ca="1">'CALCULO DE GAS'!P9</f>
        <v>0</v>
      </c>
      <c r="E197" s="196">
        <f ca="1">IF(B197&gt;=$J$5,0,(CONTADORES!$AD201-CONTADORES!$AD200)-$H197)</f>
        <v>0</v>
      </c>
      <c r="F197" s="198">
        <v>0</v>
      </c>
      <c r="G197" s="196">
        <f ca="1">IF(B197&gt;=$J$5,0,CONTADORES!$AF201-CONTADORES!$AF200)</f>
        <v>0</v>
      </c>
      <c r="H197" s="196">
        <f ca="1">IF(G197&gt;0,CONTADORES!$AE201-CONTADORES!$AE200,0)</f>
        <v>0</v>
      </c>
      <c r="I197" s="199">
        <f ca="1">IF(B197&gt;=$J$5,0,CONTADORES!$AB201-CONTADORES!$AB200)</f>
        <v>0</v>
      </c>
      <c r="J197" s="198">
        <f t="shared" ca="1" si="69"/>
        <v>0</v>
      </c>
      <c r="K197" s="196">
        <f ca="1">'CALCULO DE GAS'!Q9</f>
        <v>0</v>
      </c>
      <c r="L197" s="1396">
        <f ca="1">IF(B197&gt;=$J$5,0,(CONTADORES!$Y201-CONTADORES!$Y200)-$O197)</f>
        <v>0</v>
      </c>
      <c r="M197" s="1396">
        <f t="shared" ca="1" si="98"/>
        <v>0</v>
      </c>
      <c r="N197" s="1396">
        <f ca="1">IF(B197&gt;=$J$5,0,CONTADORES!$AA201-CONTADORES!$AA200)</f>
        <v>0</v>
      </c>
      <c r="O197" s="1396">
        <f ca="1">IF(N197&gt;0,CONTADORES!$Z201-CONTADORES!$Z200,0)</f>
        <v>0</v>
      </c>
      <c r="P197" s="202">
        <f ca="1">IF(B197&gt;=$J$5,0,CONTADORES!$W201-CONTADORES!$W200)</f>
        <v>0</v>
      </c>
      <c r="Q197" s="202">
        <f ca="1">IF(B197&gt;=$J$5,0,CONTADORES!$B201-CONTADORES!$B200)</f>
        <v>0</v>
      </c>
      <c r="R197" s="196">
        <f t="shared" ca="1" si="70"/>
        <v>0</v>
      </c>
      <c r="S197" s="11">
        <f ca="1">IF(B197&gt;=$J$5,0,CONTADORES!$D201-CONTADORES!$D200)</f>
        <v>0</v>
      </c>
      <c r="T197" s="198">
        <f ca="1">IF(B197&gt;=$J$5,0,CONTADORES!$BB201-CONTADORES!$BB200)</f>
        <v>0</v>
      </c>
      <c r="U197" s="196">
        <f t="shared" ca="1" si="97"/>
        <v>0</v>
      </c>
      <c r="V197" s="199">
        <f ca="1">IF(B197&gt;=$J$5,0,CONTADORES!$BD201-CONTADORES!$BD200)</f>
        <v>0</v>
      </c>
      <c r="W197" s="1397">
        <f t="shared" ca="1" si="71"/>
        <v>0</v>
      </c>
      <c r="X197" s="1397">
        <f t="shared" ca="1" si="72"/>
        <v>0</v>
      </c>
      <c r="Y197" s="1398">
        <f t="shared" ca="1" si="73"/>
        <v>0</v>
      </c>
      <c r="Z197" s="1398">
        <f t="shared" ca="1" si="74"/>
        <v>0</v>
      </c>
      <c r="AA197" s="1398">
        <f t="shared" ca="1" si="75"/>
        <v>0</v>
      </c>
      <c r="AB197" s="1398">
        <f t="shared" ca="1" si="76"/>
        <v>0</v>
      </c>
      <c r="AC197" s="1397">
        <f t="shared" ca="1" si="77"/>
        <v>0</v>
      </c>
      <c r="AD197" s="1397">
        <f ca="1">IF(B197&gt;=$J$5,0,CONTADORES!H201-CONTADORES!H200)</f>
        <v>0</v>
      </c>
      <c r="AE197" s="1397">
        <f ca="1">IF(B197&gt;=$J$5,0,CONTADORES!J201-CONTADORES!J200)</f>
        <v>0</v>
      </c>
      <c r="AF197" s="1397">
        <f ca="1">IF(B197&gt;=$J$5,0,CONTADORES!AU201-CONTADORES!AU200)</f>
        <v>0</v>
      </c>
      <c r="AG197" s="1397">
        <f ca="1">IF(B197&gt;=$J$5,0,CONTADORES!AW201-CONTADORES!AW200)</f>
        <v>0</v>
      </c>
      <c r="AH197" s="1398">
        <f ca="1">IF(B197&gt;=$J$5,0,(CONTADORES!AM201-CONTADORES!AM200)+(CONTADORES!M201-CONTADORES!M200))</f>
        <v>0</v>
      </c>
      <c r="AI197" s="1397">
        <f ca="1">IF(B197&gt;=$J$5,0,(CONTADORES!AK201-CONTADORES!AK200)+(CONTADORES!O201-CONTADORES!O200))</f>
        <v>0</v>
      </c>
      <c r="AJ197" s="1397">
        <f ca="1">IF(B197&gt;=$J$5,0,(CONTADORES!AI201-CONTADORES!AI200))</f>
        <v>0</v>
      </c>
      <c r="AK197" s="1397">
        <f ca="1">IF(B197&gt;=$J$5,0,(CONTADORES!Q201-CONTADORES!Q200))</f>
        <v>0</v>
      </c>
      <c r="AL197" s="1461">
        <f t="shared" ca="1" si="78"/>
        <v>0</v>
      </c>
      <c r="AM197" s="1397">
        <f ca="1">IF(B197&gt;=$J$5,0,(((CONTADORES!F201-CONTADORES!F200)+(CONTADORES!AQ201-CONTADORES!AQ200))))-BS197-AF197-AN197-BV197-BY197-CD197-CB197</f>
        <v>0</v>
      </c>
      <c r="AN197" s="1397">
        <f ca="1">IF(B197&gt;=$J$5,0,(CONTADORES!AX201-CONTADORES!AX200)+(CONTADORES!AZ201-CONTADORES!AZ200)+(CONTADORES!BE201-CONTADORES!BE200))-CB197</f>
        <v>0</v>
      </c>
      <c r="AO197" s="1399">
        <f>(CONTADORES!AC201-CONTADORES!AC200)</f>
        <v>0</v>
      </c>
      <c r="AP197" s="1399">
        <f>(CONTADORES!X201-CONTADORES!X200)</f>
        <v>0</v>
      </c>
      <c r="AQ197" s="1404">
        <f ca="1">IF(B197&gt;=$J$5,0,(CONTADORES!C201-CONTADORES!C200))</f>
        <v>0</v>
      </c>
      <c r="AR197" s="1399">
        <f ca="1">AR196+(CONTADORES!BC201-CONTADORES!BC200)</f>
        <v>0</v>
      </c>
      <c r="AS197" s="1397">
        <f ca="1">IF(B197&gt;=$J$5,0,CONTADORES!S201-CONTADORES!S200)</f>
        <v>0</v>
      </c>
      <c r="AT197" s="1397">
        <f ca="1">IF(B197&gt;=$J$5,0,(CONTADORES!U201-CONTADORES!U200)+(CONTADORES!AG201-CONTADORES!AG200))</f>
        <v>0</v>
      </c>
      <c r="AU197" s="1433">
        <f>CONTADORES!I201-CONTADORES!I200</f>
        <v>0</v>
      </c>
      <c r="AV197" s="1399">
        <f>CONTADORES!AV201-CONTADORES!AV200</f>
        <v>0</v>
      </c>
      <c r="AW197" s="1399">
        <f ca="1">IF(B197&gt;=$J$5,0,(CONTADORES!N201-CONTADORES!N200)+(CONTADORES!AN201-CONTADORES!AN200))</f>
        <v>0</v>
      </c>
      <c r="AX197" s="1399">
        <f ca="1">IF(B197&gt;=$J$5,0,(CONTADORES!P201-CONTADORES!P200)+(CONTADORES!AL201-CONTADORES!AL200))</f>
        <v>0</v>
      </c>
      <c r="AY197" s="1399">
        <f ca="1">IF(B197&gt;=$J$5,0,(CONTADORES!AJ201-CONTADORES!AJ200))</f>
        <v>0</v>
      </c>
      <c r="AZ197" s="1399">
        <f ca="1">IF(B197&gt;=$J$5,0,(CONTADORES!R201-CONTADORES!R200))</f>
        <v>0</v>
      </c>
      <c r="BA197" s="1409">
        <f t="shared" ca="1" si="79"/>
        <v>0</v>
      </c>
      <c r="BB197" s="1433">
        <f ca="1">IF(B197&gt;=$J$5,0,(((CONTADORES!G201-CONTADORES!G200)+(CONTADORES!AR201-CONTADORES!AR200)+AR197)-(AV197+BC197)))</f>
        <v>0</v>
      </c>
      <c r="BC197" s="1397">
        <f ca="1">IF(B197&gt;=$J$5,0,(CONTADORES!AY201-CONTADORES!AY200)+(CONTADORES!BA201-CONTADORES!BA200)+(CONTADORES!BF201-CONTADORES!BF200))</f>
        <v>0</v>
      </c>
      <c r="BD197" s="1397">
        <f t="shared" ca="1" si="80"/>
        <v>0</v>
      </c>
      <c r="BE197" s="1398">
        <f ca="1">IF($B197&gt;=$J$5,0,CONTADORES!$BG201)</f>
        <v>0</v>
      </c>
      <c r="BF197" s="1397">
        <f ca="1">IF($B197&gt;=$J$5,0,CONTADORES!$BH201)</f>
        <v>0</v>
      </c>
      <c r="BG197" s="1397">
        <f ca="1">IF($B197&gt;=$J$5,0,CONTADORES!$BJ201)</f>
        <v>0</v>
      </c>
      <c r="BH197" s="1397">
        <f ca="1">IF(B197&gt;=$J$5,0,((CONTADORES!BK201-CONTADORES!BK200)/1000))</f>
        <v>0</v>
      </c>
      <c r="BI197" s="1397">
        <f ca="1">IF(C197&gt;=$J$5,0,((CONTADORES!BL201-CONTADORES!BL200)/1000))</f>
        <v>0</v>
      </c>
      <c r="BJ197" s="1397">
        <f ca="1">IF(C197&gt;=$J$5,0,((CONTADORES!BM201-CONTADORES!BM200)/1000))</f>
        <v>0</v>
      </c>
      <c r="BK197" s="1397">
        <f ca="1">IF(D197&gt;=$J$5,0,((CONTADORES!BN201-CONTADORES!BN200)/1000))</f>
        <v>0</v>
      </c>
      <c r="BL197" s="1399">
        <f t="shared" ca="1" si="81"/>
        <v>0</v>
      </c>
      <c r="BM197" s="1399">
        <f t="shared" ca="1" si="82"/>
        <v>0</v>
      </c>
      <c r="BN197" s="1398">
        <f ca="1">IF(W197&gt;=$J$5,0,CONTADORES!$BO201)</f>
        <v>0</v>
      </c>
      <c r="BO197" s="1397">
        <f ca="1">IF(W197&gt;=$J$5,0,CONTADORES!$BP201)</f>
        <v>0</v>
      </c>
      <c r="BP197" s="1397">
        <f ca="1">IF(W197&gt;=$J$5,0,CONTADORES!$BQ201)</f>
        <v>0</v>
      </c>
      <c r="BQ197" s="1397">
        <f ca="1">IF(B197&gt;=$J$5,0,(CONTADORES!AS201-CONTADORES!AS200))</f>
        <v>0</v>
      </c>
      <c r="BR197" s="1397">
        <f ca="1">IF(C197&gt;=$J$5,0,(CONTADORES!AT201-CONTADORES!AT200))</f>
        <v>0</v>
      </c>
      <c r="BS197" s="1409">
        <f ca="1">IF(B197&gt;=$J$5,0,CONTADORES!BR201-CONTADORES!BR200)/1000</f>
        <v>0</v>
      </c>
      <c r="BT197" s="1409">
        <f ca="1">IF(B197&gt;=$J$5,0,CONTADORES!BS201-CONTADORES!BS200)</f>
        <v>0</v>
      </c>
      <c r="BU197" s="1409">
        <f ca="1">IF(B197&gt;=$J$5,0,CONTADORES!BT201-CONTADORES!BT200)</f>
        <v>0</v>
      </c>
      <c r="BV197" s="1409">
        <f ca="1">IF(B197&gt;=$J$5,0,CONTADORES!BU201-CONTADORES!BU200)/1000</f>
        <v>0</v>
      </c>
      <c r="BW197" s="1409">
        <f ca="1">IF(B197&gt;=$J$5,0,CONTADORES!BV201-CONTADORES!BV200)/1000</f>
        <v>0</v>
      </c>
      <c r="BX197" s="1409">
        <f ca="1">IF(B197&gt;=$J$5,0,CONTADORES!BW201-CONTADORES!BW200)</f>
        <v>0</v>
      </c>
      <c r="BY197" s="1409">
        <f ca="1">IF(B197&gt;=$J$5,0,CONTADORES!BX201-CONTADORES!BX200)/1000</f>
        <v>0</v>
      </c>
      <c r="BZ197" s="1409">
        <f ca="1">IF(B197&gt;=$J$5,0,CONTADORES!BY201-CONTADORES!BY200)/1000</f>
        <v>0</v>
      </c>
      <c r="CA197" s="1409">
        <f ca="1">IF(B197&gt;=$J$5,0,CONTADORES!BZ201-CONTADORES!BZ200)</f>
        <v>0</v>
      </c>
      <c r="CB197" s="1409">
        <f ca="1">IF(B197&gt;=$J$5,0,(CONTADORES!CC201-CONTADORES!CC200)+(CONTADORES!CE201-CONTADORES!CE200))/1000</f>
        <v>0</v>
      </c>
      <c r="CC197" s="1409">
        <f ca="1">IF(B197&gt;=$J$5,0,(CONTADORES!CD201-CONTADORES!CD200)+(CONTADORES!CF201-CONTADORES!CF200))/1000</f>
        <v>0</v>
      </c>
      <c r="CD197" s="1409">
        <f ca="1">IF(B197&gt;=$J$5,0,CONTADORES!CA201-CONTADORES!CA200)</f>
        <v>0</v>
      </c>
      <c r="CE197" s="1409">
        <f ca="1">IF(B197&gt;=$J$5,0,CONTADORES!CB201-CONTADORES!CB200)</f>
        <v>0</v>
      </c>
      <c r="CF197" s="1409">
        <f t="shared" ca="1" si="83"/>
        <v>0</v>
      </c>
      <c r="CG197" s="1409">
        <f t="shared" ca="1" si="84"/>
        <v>0</v>
      </c>
      <c r="CH197" s="1409">
        <f t="shared" ca="1" si="85"/>
        <v>0</v>
      </c>
      <c r="CI197" s="1409">
        <f t="shared" ca="1" si="86"/>
        <v>0</v>
      </c>
      <c r="CJ197" s="1409">
        <f t="shared" ca="1" si="87"/>
        <v>0</v>
      </c>
      <c r="CK197" s="1409">
        <f t="shared" ca="1" si="88"/>
        <v>0</v>
      </c>
      <c r="CL197" s="1409">
        <f t="shared" ca="1" si="89"/>
        <v>0</v>
      </c>
      <c r="CM197" s="1409">
        <f t="shared" ca="1" si="90"/>
        <v>0</v>
      </c>
      <c r="CN197" s="1409">
        <f ca="1">IF(B197&gt;=$J$5,0,CONTADORES!CB201-CONTADORES!CB200)</f>
        <v>0</v>
      </c>
      <c r="CO197" s="1409">
        <f t="shared" ca="1" si="91"/>
        <v>0</v>
      </c>
      <c r="CP197" s="1409">
        <f t="shared" ca="1" si="92"/>
        <v>0</v>
      </c>
      <c r="CQ197" s="1409">
        <f t="shared" ca="1" si="93"/>
        <v>0</v>
      </c>
      <c r="CR197" s="1409">
        <f t="shared" ca="1" si="94"/>
        <v>0</v>
      </c>
      <c r="CS197" s="1409">
        <f ca="1">IF($B197&gt;=$J$5,0,CONTADORES!$BI201)</f>
        <v>0</v>
      </c>
      <c r="CT197" s="1369">
        <f>CONTADORES!E201</f>
        <v>0</v>
      </c>
      <c r="CU197" s="1369">
        <f>CONTADORES!CG201</f>
        <v>0</v>
      </c>
    </row>
    <row r="198" spans="2:99">
      <c r="B198" s="390">
        <v>45114</v>
      </c>
      <c r="C198" s="198">
        <f t="shared" ca="1" si="68"/>
        <v>0</v>
      </c>
      <c r="D198" s="196">
        <f ca="1">'CALCULO DE GAS'!P10</f>
        <v>0</v>
      </c>
      <c r="E198" s="196">
        <f ca="1">IF(B198&gt;=$J$5,0,(CONTADORES!$AD202-CONTADORES!$AD201)-$H198)</f>
        <v>0</v>
      </c>
      <c r="F198" s="198">
        <f t="shared" ref="F198:F225" ca="1" si="100">IF(H198=0,0,"ERROR")</f>
        <v>0</v>
      </c>
      <c r="G198" s="196">
        <f ca="1">IF(B198&gt;=$J$5,0,CONTADORES!$AF202-CONTADORES!$AF201)</f>
        <v>0</v>
      </c>
      <c r="H198" s="196">
        <f ca="1">IF(G198&gt;0,CONTADORES!$AE202-CONTADORES!$AE201,0)</f>
        <v>0</v>
      </c>
      <c r="I198" s="199">
        <f ca="1">IF(B198&gt;=$J$5,0,CONTADORES!$AB202-CONTADORES!$AB201)</f>
        <v>0</v>
      </c>
      <c r="J198" s="198">
        <f t="shared" ca="1" si="69"/>
        <v>0</v>
      </c>
      <c r="K198" s="196">
        <f ca="1">'CALCULO DE GAS'!Q10</f>
        <v>0</v>
      </c>
      <c r="L198" s="1396">
        <f ca="1">IF(B198&gt;=$J$5,0,(CONTADORES!$Y202-CONTADORES!$Y201)-$O198)</f>
        <v>0</v>
      </c>
      <c r="M198" s="1396">
        <f t="shared" ca="1" si="98"/>
        <v>0</v>
      </c>
      <c r="N198" s="1396">
        <f ca="1">IF(B198&gt;=$J$5,0,CONTADORES!$AA202-CONTADORES!$AA201)</f>
        <v>0</v>
      </c>
      <c r="O198" s="1396">
        <f ca="1">IF(N198&gt;0,CONTADORES!$Z202-CONTADORES!$Z201,0)</f>
        <v>0</v>
      </c>
      <c r="P198" s="202">
        <f ca="1">IF(B198&gt;=$J$5,0,CONTADORES!$W202-CONTADORES!$W201)</f>
        <v>0</v>
      </c>
      <c r="Q198" s="202">
        <f ca="1">IF(B198&gt;=$J$5,0,CONTADORES!$B202-CONTADORES!$B201)</f>
        <v>0</v>
      </c>
      <c r="R198" s="196">
        <f t="shared" ca="1" si="70"/>
        <v>0</v>
      </c>
      <c r="S198" s="11">
        <f ca="1">IF(B198&gt;=$J$5,0,CONTADORES!$D202-CONTADORES!$D201)</f>
        <v>0</v>
      </c>
      <c r="T198" s="198">
        <f ca="1">IF(B198&gt;=$J$5,0,CONTADORES!$BB202-CONTADORES!$BB201)</f>
        <v>0</v>
      </c>
      <c r="U198" s="196">
        <f t="shared" ca="1" si="97"/>
        <v>0</v>
      </c>
      <c r="V198" s="199">
        <f ca="1">IF(B198&gt;=$J$5,0,CONTADORES!$BD202-CONTADORES!$BD201)</f>
        <v>0</v>
      </c>
      <c r="W198" s="1397">
        <f t="shared" ca="1" si="71"/>
        <v>0</v>
      </c>
      <c r="X198" s="1397">
        <f t="shared" ca="1" si="72"/>
        <v>0</v>
      </c>
      <c r="Y198" s="1398">
        <f t="shared" ca="1" si="73"/>
        <v>0</v>
      </c>
      <c r="Z198" s="1398">
        <f t="shared" ca="1" si="74"/>
        <v>0</v>
      </c>
      <c r="AA198" s="1398">
        <f t="shared" ca="1" si="75"/>
        <v>0</v>
      </c>
      <c r="AB198" s="1398">
        <f t="shared" ca="1" si="76"/>
        <v>0</v>
      </c>
      <c r="AC198" s="1397">
        <f t="shared" ca="1" si="77"/>
        <v>0</v>
      </c>
      <c r="AD198" s="1397">
        <f ca="1">IF(B198&gt;=$J$5,0,CONTADORES!H202-CONTADORES!H201)</f>
        <v>0</v>
      </c>
      <c r="AE198" s="1397">
        <f ca="1">IF(B198&gt;=$J$5,0,CONTADORES!J202-CONTADORES!J201)</f>
        <v>0</v>
      </c>
      <c r="AF198" s="1397">
        <f ca="1">IF(B198&gt;=$J$5,0,CONTADORES!AU202-CONTADORES!AU201)</f>
        <v>0</v>
      </c>
      <c r="AG198" s="1397">
        <f ca="1">IF(B198&gt;=$J$5,0,CONTADORES!AW202-CONTADORES!AW201)</f>
        <v>0</v>
      </c>
      <c r="AH198" s="1398">
        <f ca="1">IF(B198&gt;=$J$5,0,(CONTADORES!AM202-CONTADORES!AM201)+(CONTADORES!M202-CONTADORES!M201))</f>
        <v>0</v>
      </c>
      <c r="AI198" s="1397">
        <f ca="1">IF(B198&gt;=$J$5,0,(CONTADORES!AK202-CONTADORES!AK201)+(CONTADORES!O202-CONTADORES!O201))</f>
        <v>0</v>
      </c>
      <c r="AJ198" s="1397">
        <f ca="1">IF(B198&gt;=$J$5,0,(CONTADORES!AI202-CONTADORES!AI201))</f>
        <v>0</v>
      </c>
      <c r="AK198" s="1397">
        <f ca="1">IF(B198&gt;=$J$5,0,(CONTADORES!Q202-CONTADORES!Q201))</f>
        <v>0</v>
      </c>
      <c r="AL198" s="1461">
        <f t="shared" ca="1" si="78"/>
        <v>0</v>
      </c>
      <c r="AM198" s="1397">
        <f ca="1">IF(B198&gt;=$J$5,0,(((CONTADORES!F202-CONTADORES!F201)+(CONTADORES!AQ202-CONTADORES!AQ201))))-BS198-AF198-AN198-BV198-BY198-CD198-CB198</f>
        <v>0</v>
      </c>
      <c r="AN198" s="1397">
        <f ca="1">IF(B198&gt;=$J$5,0,(CONTADORES!AX202-CONTADORES!AX201)+(CONTADORES!AZ202-CONTADORES!AZ201)+(CONTADORES!BE202-CONTADORES!BE201))-CB198</f>
        <v>0</v>
      </c>
      <c r="AO198" s="1399">
        <f>(CONTADORES!AC202-CONTADORES!AC201)</f>
        <v>0</v>
      </c>
      <c r="AP198" s="1399">
        <f>(CONTADORES!X202-CONTADORES!X201)</f>
        <v>0</v>
      </c>
      <c r="AQ198" s="1404">
        <f ca="1">IF(B198&gt;=$J$5,0,(CONTADORES!C202-CONTADORES!C201))</f>
        <v>0</v>
      </c>
      <c r="AR198" s="1399">
        <f ca="1">AR197+(CONTADORES!BC202-CONTADORES!BC201)</f>
        <v>0</v>
      </c>
      <c r="AS198" s="1397">
        <f ca="1">IF(B198&gt;=$J$5,0,CONTADORES!S202-CONTADORES!S201)</f>
        <v>0</v>
      </c>
      <c r="AT198" s="1397">
        <f ca="1">IF(B198&gt;=$J$5,0,(CONTADORES!U202-CONTADORES!U201)+(CONTADORES!AG202-CONTADORES!AG201))</f>
        <v>0</v>
      </c>
      <c r="AU198" s="1433">
        <f>CONTADORES!I202-CONTADORES!I201</f>
        <v>0</v>
      </c>
      <c r="AV198" s="1399">
        <f>CONTADORES!AV202-CONTADORES!AV201</f>
        <v>0</v>
      </c>
      <c r="AW198" s="1399">
        <f ca="1">IF(B198&gt;=$J$5,0,(CONTADORES!N202-CONTADORES!N201)+(CONTADORES!AN202-CONTADORES!AN201))</f>
        <v>0</v>
      </c>
      <c r="AX198" s="1399">
        <f ca="1">IF(B198&gt;=$J$5,0,(CONTADORES!P202-CONTADORES!P201)+(CONTADORES!AL202-CONTADORES!AL201))</f>
        <v>0</v>
      </c>
      <c r="AY198" s="1399">
        <f ca="1">IF(B198&gt;=$J$5,0,(CONTADORES!AJ202-CONTADORES!AJ201))</f>
        <v>0</v>
      </c>
      <c r="AZ198" s="1399">
        <f ca="1">IF(B198&gt;=$J$5,0,(CONTADORES!R202-CONTADORES!R201))</f>
        <v>0</v>
      </c>
      <c r="BA198" s="1409">
        <f t="shared" ca="1" si="79"/>
        <v>0</v>
      </c>
      <c r="BB198" s="1433">
        <f ca="1">IF(B198&gt;=$J$5,0,(((CONTADORES!G202-CONTADORES!G201)+(CONTADORES!AR202-CONTADORES!AR201)+AR198)-(AV198+BC198)))</f>
        <v>0</v>
      </c>
      <c r="BC198" s="1397">
        <f ca="1">IF(B198&gt;=$J$5,0,(CONTADORES!AY202-CONTADORES!AY201)+(CONTADORES!BA202-CONTADORES!BA201)+(CONTADORES!BF202-CONTADORES!BF201))</f>
        <v>0</v>
      </c>
      <c r="BD198" s="1397">
        <f t="shared" ca="1" si="80"/>
        <v>0</v>
      </c>
      <c r="BE198" s="1398">
        <f ca="1">IF($B198&gt;=$J$5,0,CONTADORES!$BG202)</f>
        <v>0</v>
      </c>
      <c r="BF198" s="1397">
        <f ca="1">IF($B198&gt;=$J$5,0,CONTADORES!$BH202)</f>
        <v>0</v>
      </c>
      <c r="BG198" s="1397">
        <f ca="1">IF($B198&gt;=$J$5,0,CONTADORES!$BJ202)</f>
        <v>0</v>
      </c>
      <c r="BH198" s="1397">
        <f ca="1">IF(B198&gt;=$J$5,0,((CONTADORES!BK202-CONTADORES!BK201)/1000))</f>
        <v>0</v>
      </c>
      <c r="BI198" s="1397">
        <f ca="1">IF(C198&gt;=$J$5,0,((CONTADORES!BL202-CONTADORES!BL201)/1000))</f>
        <v>0</v>
      </c>
      <c r="BJ198" s="1397">
        <f ca="1">IF(C198&gt;=$J$5,0,((CONTADORES!BM202-CONTADORES!BM201)/1000))</f>
        <v>0</v>
      </c>
      <c r="BK198" s="1397">
        <f ca="1">IF(D198&gt;=$J$5,0,((CONTADORES!BN202-CONTADORES!BN201)/1000))</f>
        <v>0</v>
      </c>
      <c r="BL198" s="1399">
        <f t="shared" ca="1" si="81"/>
        <v>0</v>
      </c>
      <c r="BM198" s="1399">
        <f t="shared" ca="1" si="82"/>
        <v>0</v>
      </c>
      <c r="BN198" s="1398">
        <f ca="1">IF(W198&gt;=$J$5,0,CONTADORES!$BO202)</f>
        <v>0</v>
      </c>
      <c r="BO198" s="1397">
        <f ca="1">IF(W198&gt;=$J$5,0,CONTADORES!$BP202)</f>
        <v>0</v>
      </c>
      <c r="BP198" s="1397">
        <f ca="1">IF(W198&gt;=$J$5,0,CONTADORES!$BQ202)</f>
        <v>0</v>
      </c>
      <c r="BQ198" s="1397">
        <f ca="1">IF(B198&gt;=$J$5,0,(CONTADORES!AS202-CONTADORES!AS201))</f>
        <v>0</v>
      </c>
      <c r="BR198" s="1397">
        <f ca="1">IF(C198&gt;=$J$5,0,(CONTADORES!AT202-CONTADORES!AT201))</f>
        <v>0</v>
      </c>
      <c r="BS198" s="1409">
        <f ca="1">IF(B198&gt;=$J$5,0,CONTADORES!BR202-CONTADORES!BR201)/1000</f>
        <v>0</v>
      </c>
      <c r="BT198" s="1409">
        <f ca="1">IF(B198&gt;=$J$5,0,CONTADORES!BS202-CONTADORES!BS201)</f>
        <v>0</v>
      </c>
      <c r="BU198" s="1409">
        <f ca="1">IF(B198&gt;=$J$5,0,CONTADORES!BT202-CONTADORES!BT201)</f>
        <v>0</v>
      </c>
      <c r="BV198" s="1409">
        <f ca="1">IF(B198&gt;=$J$5,0,CONTADORES!BU202-CONTADORES!BU201)/1000</f>
        <v>0</v>
      </c>
      <c r="BW198" s="1409">
        <f ca="1">IF(B198&gt;=$J$5,0,CONTADORES!BV202-CONTADORES!BV201)/1000</f>
        <v>0</v>
      </c>
      <c r="BX198" s="1409">
        <f ca="1">IF(B198&gt;=$J$5,0,CONTADORES!BW202-CONTADORES!BW201)</f>
        <v>0</v>
      </c>
      <c r="BY198" s="1409">
        <f ca="1">IF(B198&gt;=$J$5,0,CONTADORES!BX202-CONTADORES!BX201)/1000</f>
        <v>0</v>
      </c>
      <c r="BZ198" s="1409">
        <f ca="1">IF(B198&gt;=$J$5,0,CONTADORES!BY202-CONTADORES!BY201)/1000</f>
        <v>0</v>
      </c>
      <c r="CA198" s="1409">
        <f ca="1">IF(B198&gt;=$J$5,0,CONTADORES!BZ202-CONTADORES!BZ201)</f>
        <v>0</v>
      </c>
      <c r="CB198" s="1409">
        <f ca="1">IF(B198&gt;=$J$5,0,(CONTADORES!CC202-CONTADORES!CC201)+(CONTADORES!CE202-CONTADORES!CE201))/1000</f>
        <v>0</v>
      </c>
      <c r="CC198" s="1409">
        <f ca="1">IF(B198&gt;=$J$5,0,(CONTADORES!CD202-CONTADORES!CD201)+(CONTADORES!CF202-CONTADORES!CF201))/1000</f>
        <v>0</v>
      </c>
      <c r="CD198" s="1409">
        <f ca="1">IF(B198&gt;=$J$5,0,CONTADORES!CA202-CONTADORES!CA201)</f>
        <v>0</v>
      </c>
      <c r="CE198" s="1409">
        <f ca="1">IF(B198&gt;=$J$5,0,CONTADORES!CB202-CONTADORES!CB201)</f>
        <v>0</v>
      </c>
      <c r="CF198" s="1409">
        <f t="shared" ca="1" si="83"/>
        <v>0</v>
      </c>
      <c r="CG198" s="1409">
        <f t="shared" ca="1" si="84"/>
        <v>0</v>
      </c>
      <c r="CH198" s="1409">
        <f t="shared" ca="1" si="85"/>
        <v>0</v>
      </c>
      <c r="CI198" s="1409">
        <f t="shared" ca="1" si="86"/>
        <v>0</v>
      </c>
      <c r="CJ198" s="1409">
        <f t="shared" ca="1" si="87"/>
        <v>0</v>
      </c>
      <c r="CK198" s="1409">
        <f t="shared" ca="1" si="88"/>
        <v>0</v>
      </c>
      <c r="CL198" s="1409">
        <f t="shared" ca="1" si="89"/>
        <v>0</v>
      </c>
      <c r="CM198" s="1409">
        <f t="shared" ca="1" si="90"/>
        <v>0</v>
      </c>
      <c r="CN198" s="1409">
        <f ca="1">IF(B198&gt;=$J$5,0,CONTADORES!CB202-CONTADORES!CB201)</f>
        <v>0</v>
      </c>
      <c r="CO198" s="1409">
        <f t="shared" ca="1" si="91"/>
        <v>0</v>
      </c>
      <c r="CP198" s="1409">
        <f t="shared" ca="1" si="92"/>
        <v>0</v>
      </c>
      <c r="CQ198" s="1409">
        <f t="shared" ca="1" si="93"/>
        <v>0</v>
      </c>
      <c r="CR198" s="1409">
        <f t="shared" ca="1" si="94"/>
        <v>0</v>
      </c>
      <c r="CS198" s="1409">
        <f ca="1">IF($B198&gt;=$J$5,0,CONTADORES!$BI202)</f>
        <v>0</v>
      </c>
      <c r="CT198" s="1369">
        <f>CONTADORES!E202</f>
        <v>0</v>
      </c>
      <c r="CU198" s="1369">
        <f>CONTADORES!CG202</f>
        <v>0</v>
      </c>
    </row>
    <row r="199" spans="2:99">
      <c r="B199" s="390">
        <v>45115</v>
      </c>
      <c r="C199" s="198">
        <f t="shared" ca="1" si="68"/>
        <v>0</v>
      </c>
      <c r="D199" s="196">
        <f ca="1">'CALCULO DE GAS'!P11</f>
        <v>0</v>
      </c>
      <c r="E199" s="196">
        <f ca="1">IF(B199&gt;=$J$5,0,(CONTADORES!$AD203-CONTADORES!$AD202)-$H199)</f>
        <v>0</v>
      </c>
      <c r="F199" s="198">
        <f t="shared" ca="1" si="100"/>
        <v>0</v>
      </c>
      <c r="G199" s="196">
        <f ca="1">IF(B199&gt;=$J$5,0,CONTADORES!$AF203-CONTADORES!$AF202)</f>
        <v>0</v>
      </c>
      <c r="H199" s="196">
        <f ca="1">IF(G199&gt;0,CONTADORES!$AE203-CONTADORES!$AE202,0)</f>
        <v>0</v>
      </c>
      <c r="I199" s="199">
        <f ca="1">IF(B199&gt;=$J$5,0,CONTADORES!$AB203-CONTADORES!$AB202)</f>
        <v>0</v>
      </c>
      <c r="J199" s="198">
        <f t="shared" ca="1" si="69"/>
        <v>0</v>
      </c>
      <c r="K199" s="196">
        <f ca="1">'CALCULO DE GAS'!Q11</f>
        <v>0</v>
      </c>
      <c r="L199" s="1396">
        <f ca="1">IF(B199&gt;=$J$5,0,(CONTADORES!$Y203-CONTADORES!$Y202)-$O199)</f>
        <v>0</v>
      </c>
      <c r="M199" s="1396">
        <f t="shared" ca="1" si="98"/>
        <v>0</v>
      </c>
      <c r="N199" s="1396">
        <f ca="1">IF(B199&gt;=$J$5,0,CONTADORES!$AA203-CONTADORES!$AA202)</f>
        <v>0</v>
      </c>
      <c r="O199" s="1396">
        <f ca="1">IF(N199&gt;0,CONTADORES!$Z203-CONTADORES!$Z202,0)</f>
        <v>0</v>
      </c>
      <c r="P199" s="202">
        <f ca="1">IF(B199&gt;=$J$5,0,CONTADORES!$W203-CONTADORES!$W202)</f>
        <v>0</v>
      </c>
      <c r="Q199" s="202">
        <f ca="1">IF(B199&gt;=$J$5,0,CONTADORES!$B203-CONTADORES!$B202)</f>
        <v>0</v>
      </c>
      <c r="R199" s="196">
        <f t="shared" ca="1" si="70"/>
        <v>0</v>
      </c>
      <c r="S199" s="11">
        <f ca="1">IF(B199&gt;=$J$5,0,CONTADORES!$D203-CONTADORES!$D202)</f>
        <v>0</v>
      </c>
      <c r="T199" s="198">
        <f ca="1">IF(B199&gt;=$J$5,0,CONTADORES!$BB203-CONTADORES!$BB202)</f>
        <v>0</v>
      </c>
      <c r="U199" s="196">
        <f t="shared" ca="1" si="97"/>
        <v>0</v>
      </c>
      <c r="V199" s="199">
        <f ca="1">IF(B199&gt;=$J$5,0,CONTADORES!$BD203-CONTADORES!$BD202)</f>
        <v>0</v>
      </c>
      <c r="W199" s="1397">
        <f t="shared" ca="1" si="71"/>
        <v>0</v>
      </c>
      <c r="X199" s="1397">
        <f t="shared" ca="1" si="72"/>
        <v>0</v>
      </c>
      <c r="Y199" s="1398">
        <f t="shared" ca="1" si="73"/>
        <v>0</v>
      </c>
      <c r="Z199" s="1398">
        <f t="shared" ca="1" si="74"/>
        <v>0</v>
      </c>
      <c r="AA199" s="1398">
        <f t="shared" ca="1" si="75"/>
        <v>0</v>
      </c>
      <c r="AB199" s="1398">
        <f t="shared" ca="1" si="76"/>
        <v>0</v>
      </c>
      <c r="AC199" s="1397">
        <f t="shared" ca="1" si="77"/>
        <v>0</v>
      </c>
      <c r="AD199" s="1397">
        <f ca="1">IF(B199&gt;=$J$5,0,CONTADORES!H203-CONTADORES!H202)</f>
        <v>0</v>
      </c>
      <c r="AE199" s="1397">
        <f ca="1">IF(B199&gt;=$J$5,0,CONTADORES!J203-CONTADORES!J202)</f>
        <v>0</v>
      </c>
      <c r="AF199" s="1397">
        <f ca="1">IF(B199&gt;=$J$5,0,CONTADORES!AU203-CONTADORES!AU202)</f>
        <v>0</v>
      </c>
      <c r="AG199" s="1397">
        <f ca="1">IF(B199&gt;=$J$5,0,CONTADORES!AW203-CONTADORES!AW202)</f>
        <v>0</v>
      </c>
      <c r="AH199" s="1398">
        <f ca="1">IF(B199&gt;=$J$5,0,(CONTADORES!AM203-CONTADORES!AM202)+(CONTADORES!M203-CONTADORES!M202))</f>
        <v>0</v>
      </c>
      <c r="AI199" s="1397">
        <f ca="1">IF(B199&gt;=$J$5,0,(CONTADORES!AK203-CONTADORES!AK202)+(CONTADORES!O203-CONTADORES!O202))</f>
        <v>0</v>
      </c>
      <c r="AJ199" s="1397">
        <f ca="1">IF(B199&gt;=$J$5,0,(CONTADORES!AI203-CONTADORES!AI202))</f>
        <v>0</v>
      </c>
      <c r="AK199" s="1397">
        <f ca="1">IF(B199&gt;=$J$5,0,(CONTADORES!Q203-CONTADORES!Q202))</f>
        <v>0</v>
      </c>
      <c r="AL199" s="1461">
        <f t="shared" ca="1" si="78"/>
        <v>0</v>
      </c>
      <c r="AM199" s="1397">
        <f ca="1">IF(B199&gt;=$J$5,0,(((CONTADORES!F203-CONTADORES!F202)+(CONTADORES!AQ203-CONTADORES!AQ202))))-BS199-AF199-AN199-BV199-BY199-CD199-CB199</f>
        <v>0</v>
      </c>
      <c r="AN199" s="1397">
        <f ca="1">IF(B199&gt;=$J$5,0,(CONTADORES!AX203-CONTADORES!AX202)+(CONTADORES!AZ203-CONTADORES!AZ202)+(CONTADORES!BE203-CONTADORES!BE202))-CB199</f>
        <v>0</v>
      </c>
      <c r="AO199" s="1399">
        <f>(CONTADORES!AC203-CONTADORES!AC202)</f>
        <v>0</v>
      </c>
      <c r="AP199" s="1399">
        <f>(CONTADORES!X203-CONTADORES!X202)</f>
        <v>0</v>
      </c>
      <c r="AQ199" s="1404">
        <f ca="1">IF(B199&gt;=$J$5,0,(CONTADORES!C203-CONTADORES!C202))</f>
        <v>0</v>
      </c>
      <c r="AR199" s="1399">
        <f ca="1">AR198+(CONTADORES!BC203-CONTADORES!BC202)</f>
        <v>0</v>
      </c>
      <c r="AS199" s="1397">
        <f ca="1">IF(B199&gt;=$J$5,0,CONTADORES!S203-CONTADORES!S202)</f>
        <v>0</v>
      </c>
      <c r="AT199" s="1397">
        <f ca="1">IF(B199&gt;=$J$5,0,(CONTADORES!U203-CONTADORES!U202)+(CONTADORES!AG203-CONTADORES!AG202))</f>
        <v>0</v>
      </c>
      <c r="AU199" s="1433">
        <f>CONTADORES!I203-CONTADORES!I202</f>
        <v>0</v>
      </c>
      <c r="AV199" s="1399">
        <f>CONTADORES!AV203-CONTADORES!AV202</f>
        <v>0</v>
      </c>
      <c r="AW199" s="1399">
        <f ca="1">IF(B199&gt;=$J$5,0,(CONTADORES!N203-CONTADORES!N202)+(CONTADORES!AN203-CONTADORES!AN202))</f>
        <v>0</v>
      </c>
      <c r="AX199" s="1399">
        <f ca="1">IF(B199&gt;=$J$5,0,(CONTADORES!P203-CONTADORES!P202)+(CONTADORES!AL203-CONTADORES!AL202))</f>
        <v>0</v>
      </c>
      <c r="AY199" s="1399">
        <f ca="1">IF(B199&gt;=$J$5,0,(CONTADORES!AJ203-CONTADORES!AJ202))</f>
        <v>0</v>
      </c>
      <c r="AZ199" s="1399">
        <f ca="1">IF(B199&gt;=$J$5,0,(CONTADORES!R203-CONTADORES!R202))</f>
        <v>0</v>
      </c>
      <c r="BA199" s="1409">
        <f t="shared" ca="1" si="79"/>
        <v>0</v>
      </c>
      <c r="BB199" s="1433">
        <f ca="1">IF(B199&gt;=$J$5,0,(((CONTADORES!G203-CONTADORES!G202)+(CONTADORES!AR203-CONTADORES!AR202)+AR199)-(AV199+BC199)))</f>
        <v>0</v>
      </c>
      <c r="BC199" s="1397">
        <f ca="1">IF(B199&gt;=$J$5,0,(CONTADORES!AY203-CONTADORES!AY202)+(CONTADORES!BA203-CONTADORES!BA202)+(CONTADORES!BF203-CONTADORES!BF202))</f>
        <v>0</v>
      </c>
      <c r="BD199" s="1397">
        <f t="shared" ca="1" si="80"/>
        <v>0</v>
      </c>
      <c r="BE199" s="1398">
        <f ca="1">IF($B199&gt;=$J$5,0,CONTADORES!$BG203)</f>
        <v>0</v>
      </c>
      <c r="BF199" s="1397">
        <f ca="1">IF($B199&gt;=$J$5,0,CONTADORES!$BH203)</f>
        <v>0</v>
      </c>
      <c r="BG199" s="1397">
        <f ca="1">IF($B199&gt;=$J$5,0,CONTADORES!$BJ203)</f>
        <v>0</v>
      </c>
      <c r="BH199" s="1397">
        <f ca="1">IF(B199&gt;=$J$5,0,((CONTADORES!BK203-CONTADORES!BK202)/1000))</f>
        <v>0</v>
      </c>
      <c r="BI199" s="1397">
        <f ca="1">IF(C199&gt;=$J$5,0,((CONTADORES!BL203-CONTADORES!BL202)/1000))</f>
        <v>0</v>
      </c>
      <c r="BJ199" s="1397">
        <f ca="1">IF(C199&gt;=$J$5,0,((CONTADORES!BM203-CONTADORES!BM202)/1000))</f>
        <v>0</v>
      </c>
      <c r="BK199" s="1397">
        <f ca="1">IF(D199&gt;=$J$5,0,((CONTADORES!BN203-CONTADORES!BN202)/1000))</f>
        <v>0</v>
      </c>
      <c r="BL199" s="1399">
        <f t="shared" ca="1" si="81"/>
        <v>0</v>
      </c>
      <c r="BM199" s="1399">
        <f t="shared" ca="1" si="82"/>
        <v>0</v>
      </c>
      <c r="BN199" s="1398">
        <f ca="1">IF(W199&gt;=$J$5,0,CONTADORES!$BO203)</f>
        <v>0</v>
      </c>
      <c r="BO199" s="1397">
        <f ca="1">IF(W199&gt;=$J$5,0,CONTADORES!$BP203)</f>
        <v>0</v>
      </c>
      <c r="BP199" s="1397">
        <f ca="1">IF(W199&gt;=$J$5,0,CONTADORES!$BQ203)</f>
        <v>0</v>
      </c>
      <c r="BQ199" s="1397">
        <f ca="1">IF(B199&gt;=$J$5,0,(CONTADORES!AS203-CONTADORES!AS202))</f>
        <v>0</v>
      </c>
      <c r="BR199" s="1397">
        <f ca="1">IF(C199&gt;=$J$5,0,(CONTADORES!AT203-CONTADORES!AT202))</f>
        <v>0</v>
      </c>
      <c r="BS199" s="1409">
        <f ca="1">IF(B199&gt;=$J$5,0,CONTADORES!BR203-CONTADORES!BR202)/1000</f>
        <v>0</v>
      </c>
      <c r="BT199" s="1409">
        <f ca="1">IF(B199&gt;=$J$5,0,CONTADORES!BS203-CONTADORES!BS202)</f>
        <v>0</v>
      </c>
      <c r="BU199" s="1409">
        <f ca="1">IF(B199&gt;=$J$5,0,CONTADORES!BT203-CONTADORES!BT202)</f>
        <v>0</v>
      </c>
      <c r="BV199" s="1409">
        <f ca="1">IF(B199&gt;=$J$5,0,CONTADORES!BU203-CONTADORES!BU202)/1000</f>
        <v>0</v>
      </c>
      <c r="BW199" s="1409">
        <f ca="1">IF(B199&gt;=$J$5,0,CONTADORES!BV203-CONTADORES!BV202)/1000</f>
        <v>0</v>
      </c>
      <c r="BX199" s="1409">
        <f ca="1">IF(B199&gt;=$J$5,0,CONTADORES!BW203-CONTADORES!BW202)</f>
        <v>0</v>
      </c>
      <c r="BY199" s="1409">
        <f ca="1">IF(B199&gt;=$J$5,0,CONTADORES!BX203-CONTADORES!BX202)/1000</f>
        <v>0</v>
      </c>
      <c r="BZ199" s="1409">
        <f ca="1">IF(B199&gt;=$J$5,0,CONTADORES!BY203-CONTADORES!BY202)/1000</f>
        <v>0</v>
      </c>
      <c r="CA199" s="1409">
        <f ca="1">IF(B199&gt;=$J$5,0,CONTADORES!BZ203-CONTADORES!BZ202)</f>
        <v>0</v>
      </c>
      <c r="CB199" s="1409">
        <f ca="1">IF(B199&gt;=$J$5,0,(CONTADORES!CC203-CONTADORES!CC202)+(CONTADORES!CE203-CONTADORES!CE202))/1000</f>
        <v>0</v>
      </c>
      <c r="CC199" s="1409">
        <f ca="1">IF(B199&gt;=$J$5,0,(CONTADORES!CD203-CONTADORES!CD202)+(CONTADORES!CF203-CONTADORES!CF202))/1000</f>
        <v>0</v>
      </c>
      <c r="CD199" s="1409">
        <f ca="1">IF(B199&gt;=$J$5,0,CONTADORES!CA203-CONTADORES!CA202)</f>
        <v>0</v>
      </c>
      <c r="CE199" s="1409">
        <f ca="1">IF(B199&gt;=$J$5,0,CONTADORES!CB203-CONTADORES!CB202)</f>
        <v>0</v>
      </c>
      <c r="CF199" s="1409">
        <f t="shared" ca="1" si="83"/>
        <v>0</v>
      </c>
      <c r="CG199" s="1409">
        <f t="shared" ca="1" si="84"/>
        <v>0</v>
      </c>
      <c r="CH199" s="1409">
        <f t="shared" ca="1" si="85"/>
        <v>0</v>
      </c>
      <c r="CI199" s="1409">
        <f t="shared" ca="1" si="86"/>
        <v>0</v>
      </c>
      <c r="CJ199" s="1409">
        <f t="shared" ca="1" si="87"/>
        <v>0</v>
      </c>
      <c r="CK199" s="1409">
        <f t="shared" ca="1" si="88"/>
        <v>0</v>
      </c>
      <c r="CL199" s="1409">
        <f t="shared" ca="1" si="89"/>
        <v>0</v>
      </c>
      <c r="CM199" s="1409">
        <f t="shared" ca="1" si="90"/>
        <v>0</v>
      </c>
      <c r="CN199" s="1409">
        <f ca="1">IF(B199&gt;=$J$5,0,CONTADORES!CB203-CONTADORES!CB202)</f>
        <v>0</v>
      </c>
      <c r="CO199" s="1409">
        <f t="shared" ca="1" si="91"/>
        <v>0</v>
      </c>
      <c r="CP199" s="1409">
        <f t="shared" ca="1" si="92"/>
        <v>0</v>
      </c>
      <c r="CQ199" s="1409">
        <f t="shared" ca="1" si="93"/>
        <v>0</v>
      </c>
      <c r="CR199" s="1409">
        <f t="shared" ca="1" si="94"/>
        <v>0</v>
      </c>
      <c r="CS199" s="1409">
        <f ca="1">IF($B199&gt;=$J$5,0,CONTADORES!$BI203)</f>
        <v>0</v>
      </c>
      <c r="CT199" s="1369">
        <f>CONTADORES!E203</f>
        <v>0</v>
      </c>
      <c r="CU199" s="1369">
        <f>CONTADORES!CG203</f>
        <v>0</v>
      </c>
    </row>
    <row r="200" spans="2:99">
      <c r="B200" s="390">
        <v>45116</v>
      </c>
      <c r="C200" s="198">
        <f t="shared" ca="1" si="68"/>
        <v>0</v>
      </c>
      <c r="D200" s="196">
        <f ca="1">'CALCULO DE GAS'!P12</f>
        <v>0</v>
      </c>
      <c r="E200" s="196">
        <f ca="1">IF(B200&gt;=$J$5,0,(CONTADORES!$AD204-CONTADORES!$AD203)-$H200)</f>
        <v>0</v>
      </c>
      <c r="F200" s="198">
        <f t="shared" ca="1" si="100"/>
        <v>0</v>
      </c>
      <c r="G200" s="196">
        <f ca="1">IF(B200&gt;=$J$5,0,CONTADORES!$AF204-CONTADORES!$AF203)</f>
        <v>0</v>
      </c>
      <c r="H200" s="196">
        <f ca="1">IF(G200&gt;0,CONTADORES!$AE204-CONTADORES!$AE203,0)</f>
        <v>0</v>
      </c>
      <c r="I200" s="199">
        <f ca="1">IF(B200&gt;=$J$5,0,CONTADORES!$AB204-CONTADORES!$AB203)</f>
        <v>0</v>
      </c>
      <c r="J200" s="198">
        <f t="shared" ca="1" si="69"/>
        <v>0</v>
      </c>
      <c r="K200" s="196">
        <f ca="1">'CALCULO DE GAS'!Q12</f>
        <v>0</v>
      </c>
      <c r="L200" s="1396">
        <f ca="1">IF(B200&gt;=$J$5,0,(CONTADORES!$Y204-CONTADORES!$Y203)-$O200)</f>
        <v>0</v>
      </c>
      <c r="M200" s="1396">
        <f t="shared" ca="1" si="98"/>
        <v>0</v>
      </c>
      <c r="N200" s="1396">
        <f ca="1">IF(B200&gt;=$J$5,0,CONTADORES!$AA204-CONTADORES!$AA203)</f>
        <v>0</v>
      </c>
      <c r="O200" s="1396">
        <f ca="1">IF(N200&gt;0,CONTADORES!$Z204-CONTADORES!$Z203,0)</f>
        <v>0</v>
      </c>
      <c r="P200" s="202">
        <f ca="1">IF(B200&gt;=$J$5,0,CONTADORES!$W204-CONTADORES!$W203)</f>
        <v>0</v>
      </c>
      <c r="Q200" s="202">
        <f ca="1">IF(B200&gt;=$J$5,0,CONTADORES!$B204-CONTADORES!$B203)</f>
        <v>0</v>
      </c>
      <c r="R200" s="196">
        <f t="shared" ca="1" si="70"/>
        <v>0</v>
      </c>
      <c r="S200" s="11">
        <f ca="1">IF(B200&gt;=$J$5,0,CONTADORES!$D204-CONTADORES!$D203)</f>
        <v>0</v>
      </c>
      <c r="T200" s="198">
        <f ca="1">IF(B200&gt;=$J$5,0,CONTADORES!$BB204-CONTADORES!$BB203)</f>
        <v>0</v>
      </c>
      <c r="U200" s="196">
        <f t="shared" ca="1" si="97"/>
        <v>0</v>
      </c>
      <c r="V200" s="199">
        <f ca="1">IF(B200&gt;=$J$5,0,CONTADORES!$BD204-CONTADORES!$BD203)</f>
        <v>0</v>
      </c>
      <c r="W200" s="1397">
        <f t="shared" ca="1" si="71"/>
        <v>0</v>
      </c>
      <c r="X200" s="1397">
        <f t="shared" ca="1" si="72"/>
        <v>0</v>
      </c>
      <c r="Y200" s="1398">
        <f t="shared" ca="1" si="73"/>
        <v>0</v>
      </c>
      <c r="Z200" s="1398">
        <f t="shared" ca="1" si="74"/>
        <v>0</v>
      </c>
      <c r="AA200" s="1398">
        <f t="shared" ca="1" si="75"/>
        <v>0</v>
      </c>
      <c r="AB200" s="1398">
        <f t="shared" ca="1" si="76"/>
        <v>0</v>
      </c>
      <c r="AC200" s="1397">
        <f t="shared" ca="1" si="77"/>
        <v>0</v>
      </c>
      <c r="AD200" s="1397">
        <f ca="1">IF(B200&gt;=$J$5,0,CONTADORES!H204-CONTADORES!H203)</f>
        <v>0</v>
      </c>
      <c r="AE200" s="1397">
        <f ca="1">IF(B200&gt;=$J$5,0,CONTADORES!J204-CONTADORES!J203)</f>
        <v>0</v>
      </c>
      <c r="AF200" s="1397">
        <f ca="1">IF(B200&gt;=$J$5,0,CONTADORES!AU204-CONTADORES!AU203)</f>
        <v>0</v>
      </c>
      <c r="AG200" s="1397">
        <f ca="1">IF(B200&gt;=$J$5,0,CONTADORES!AW204-CONTADORES!AW203)</f>
        <v>0</v>
      </c>
      <c r="AH200" s="1398">
        <f ca="1">IF(B200&gt;=$J$5,0,(CONTADORES!AM204-CONTADORES!AM203)+(CONTADORES!M204-CONTADORES!M203))</f>
        <v>0</v>
      </c>
      <c r="AI200" s="1397">
        <f ca="1">IF(B200&gt;=$J$5,0,(CONTADORES!AK204-CONTADORES!AK203)+(CONTADORES!O204-CONTADORES!O203))</f>
        <v>0</v>
      </c>
      <c r="AJ200" s="1397">
        <f ca="1">IF(B200&gt;=$J$5,0,(CONTADORES!AI204-CONTADORES!AI203))</f>
        <v>0</v>
      </c>
      <c r="AK200" s="1397">
        <f ca="1">IF(B200&gt;=$J$5,0,(CONTADORES!Q204-CONTADORES!Q203))</f>
        <v>0</v>
      </c>
      <c r="AL200" s="1461">
        <f t="shared" ca="1" si="78"/>
        <v>0</v>
      </c>
      <c r="AM200" s="1397">
        <f ca="1">IF(B200&gt;=$J$5,0,(((CONTADORES!F204-CONTADORES!F203)+(CONTADORES!AQ204-CONTADORES!AQ203))))-BS200-AF200-AN200-BV200-BY200-CD200-CB200</f>
        <v>0</v>
      </c>
      <c r="AN200" s="1397">
        <f ca="1">IF(B200&gt;=$J$5,0,(CONTADORES!AX204-CONTADORES!AX203)+(CONTADORES!AZ204-CONTADORES!AZ203)+(CONTADORES!BE204-CONTADORES!BE203))-CB200</f>
        <v>0</v>
      </c>
      <c r="AO200" s="1399">
        <f>(CONTADORES!AC204-CONTADORES!AC203)</f>
        <v>0</v>
      </c>
      <c r="AP200" s="1399">
        <f>(CONTADORES!X204-CONTADORES!X203)</f>
        <v>0</v>
      </c>
      <c r="AQ200" s="1404">
        <f ca="1">IF(B200&gt;=$J$5,0,(CONTADORES!C204-CONTADORES!C203))</f>
        <v>0</v>
      </c>
      <c r="AR200" s="1399">
        <f ca="1">AR199+(CONTADORES!BC204-CONTADORES!BC203)</f>
        <v>0</v>
      </c>
      <c r="AS200" s="1397">
        <f ca="1">IF(B200&gt;=$J$5,0,CONTADORES!S204-CONTADORES!S203)</f>
        <v>0</v>
      </c>
      <c r="AT200" s="1397">
        <f ca="1">IF(B200&gt;=$J$5,0,(CONTADORES!U204-CONTADORES!U203)+(CONTADORES!AG204-CONTADORES!AG203))</f>
        <v>0</v>
      </c>
      <c r="AU200" s="1433">
        <f>CONTADORES!I204-CONTADORES!I203</f>
        <v>0</v>
      </c>
      <c r="AV200" s="1399">
        <f>CONTADORES!AV204-CONTADORES!AV203</f>
        <v>0</v>
      </c>
      <c r="AW200" s="1399">
        <f ca="1">IF(B200&gt;=$J$5,0,(CONTADORES!N204-CONTADORES!N203)+(CONTADORES!AN204-CONTADORES!AN203))</f>
        <v>0</v>
      </c>
      <c r="AX200" s="1399">
        <f ca="1">IF(B200&gt;=$J$5,0,(CONTADORES!P204-CONTADORES!P203)+(CONTADORES!AL204-CONTADORES!AL203))</f>
        <v>0</v>
      </c>
      <c r="AY200" s="1399">
        <f ca="1">IF(B200&gt;=$J$5,0,(CONTADORES!AJ204-CONTADORES!AJ203))</f>
        <v>0</v>
      </c>
      <c r="AZ200" s="1399">
        <f ca="1">IF(B200&gt;=$J$5,0,(CONTADORES!R204-CONTADORES!R203))</f>
        <v>0</v>
      </c>
      <c r="BA200" s="1409">
        <f t="shared" ca="1" si="79"/>
        <v>0</v>
      </c>
      <c r="BB200" s="1433">
        <f ca="1">IF(B200&gt;=$J$5,0,(((CONTADORES!G204-CONTADORES!G203)+(CONTADORES!AR204-CONTADORES!AR203)+AR200)-(AV200+BC200)))</f>
        <v>0</v>
      </c>
      <c r="BC200" s="1397">
        <f ca="1">IF(B200&gt;=$J$5,0,(CONTADORES!AY204-CONTADORES!AY203)+(CONTADORES!BA204-CONTADORES!BA203)+(CONTADORES!BF204-CONTADORES!BF203))</f>
        <v>0</v>
      </c>
      <c r="BD200" s="1397">
        <f t="shared" ca="1" si="80"/>
        <v>0</v>
      </c>
      <c r="BE200" s="1398">
        <f ca="1">IF($B200&gt;=$J$5,0,CONTADORES!$BG204)</f>
        <v>0</v>
      </c>
      <c r="BF200" s="1397">
        <f ca="1">IF($B200&gt;=$J$5,0,CONTADORES!$BH204)</f>
        <v>0</v>
      </c>
      <c r="BG200" s="1397">
        <f ca="1">IF($B200&gt;=$J$5,0,CONTADORES!$BJ204)</f>
        <v>0</v>
      </c>
      <c r="BH200" s="1397">
        <f ca="1">IF(B200&gt;=$J$5,0,((CONTADORES!BK204-CONTADORES!BK203)/1000))</f>
        <v>0</v>
      </c>
      <c r="BI200" s="1397">
        <f ca="1">IF(C200&gt;=$J$5,0,((CONTADORES!BL204-CONTADORES!BL203)/1000))</f>
        <v>0</v>
      </c>
      <c r="BJ200" s="1397">
        <f ca="1">IF(C200&gt;=$J$5,0,((CONTADORES!BM204-CONTADORES!BM203)/1000))</f>
        <v>0</v>
      </c>
      <c r="BK200" s="1397">
        <f ca="1">IF(D200&gt;=$J$5,0,((CONTADORES!BN204-CONTADORES!BN203)/1000))</f>
        <v>0</v>
      </c>
      <c r="BL200" s="1399">
        <f t="shared" ca="1" si="81"/>
        <v>0</v>
      </c>
      <c r="BM200" s="1399">
        <f t="shared" ca="1" si="82"/>
        <v>0</v>
      </c>
      <c r="BN200" s="1398">
        <f ca="1">IF(W200&gt;=$J$5,0,CONTADORES!$BO204)</f>
        <v>0</v>
      </c>
      <c r="BO200" s="1397">
        <f ca="1">IF(W200&gt;=$J$5,0,CONTADORES!$BP204)</f>
        <v>0</v>
      </c>
      <c r="BP200" s="1397">
        <f ca="1">IF(W200&gt;=$J$5,0,CONTADORES!$BQ204)</f>
        <v>0</v>
      </c>
      <c r="BQ200" s="1397">
        <f ca="1">IF(B200&gt;=$J$5,0,(CONTADORES!AS204-CONTADORES!AS203))</f>
        <v>0</v>
      </c>
      <c r="BR200" s="1397">
        <f ca="1">IF(C200&gt;=$J$5,0,(CONTADORES!AT204-CONTADORES!AT203))</f>
        <v>0</v>
      </c>
      <c r="BS200" s="1409">
        <f ca="1">IF(B200&gt;=$J$5,0,CONTADORES!BR204-CONTADORES!BR203)/1000</f>
        <v>0</v>
      </c>
      <c r="BT200" s="1409">
        <f ca="1">IF(B200&gt;=$J$5,0,CONTADORES!BS204-CONTADORES!BS203)</f>
        <v>0</v>
      </c>
      <c r="BU200" s="1409">
        <f ca="1">IF(B200&gt;=$J$5,0,CONTADORES!BT204-CONTADORES!BT203)</f>
        <v>0</v>
      </c>
      <c r="BV200" s="1409">
        <f ca="1">IF(B200&gt;=$J$5,0,CONTADORES!BU204-CONTADORES!BU203)/1000</f>
        <v>0</v>
      </c>
      <c r="BW200" s="1409">
        <f ca="1">IF(B200&gt;=$J$5,0,CONTADORES!BV204-CONTADORES!BV203)/1000</f>
        <v>0</v>
      </c>
      <c r="BX200" s="1409">
        <f ca="1">IF(B200&gt;=$J$5,0,CONTADORES!BW204-CONTADORES!BW203)</f>
        <v>0</v>
      </c>
      <c r="BY200" s="1409">
        <f ca="1">IF(B200&gt;=$J$5,0,CONTADORES!BX204-CONTADORES!BX203)/1000</f>
        <v>0</v>
      </c>
      <c r="BZ200" s="1409">
        <f ca="1">IF(B200&gt;=$J$5,0,CONTADORES!BY204-CONTADORES!BY203)/1000</f>
        <v>0</v>
      </c>
      <c r="CA200" s="1409">
        <f ca="1">IF(B200&gt;=$J$5,0,CONTADORES!BZ204-CONTADORES!BZ203)</f>
        <v>0</v>
      </c>
      <c r="CB200" s="1409">
        <f ca="1">IF(B200&gt;=$J$5,0,(CONTADORES!CC204-CONTADORES!CC203)+(CONTADORES!CE204-CONTADORES!CE203))/1000</f>
        <v>0</v>
      </c>
      <c r="CC200" s="1409">
        <f ca="1">IF(B200&gt;=$J$5,0,(CONTADORES!CD204-CONTADORES!CD203)+(CONTADORES!CF204-CONTADORES!CF203))/1000</f>
        <v>0</v>
      </c>
      <c r="CD200" s="1409">
        <f ca="1">IF(B200&gt;=$J$5,0,CONTADORES!CA204-CONTADORES!CA203)</f>
        <v>0</v>
      </c>
      <c r="CE200" s="1409">
        <f ca="1">IF(B200&gt;=$J$5,0,CONTADORES!CB204-CONTADORES!CB203)</f>
        <v>0</v>
      </c>
      <c r="CF200" s="1409">
        <f t="shared" ca="1" si="83"/>
        <v>0</v>
      </c>
      <c r="CG200" s="1409">
        <f t="shared" ca="1" si="84"/>
        <v>0</v>
      </c>
      <c r="CH200" s="1409">
        <f t="shared" ca="1" si="85"/>
        <v>0</v>
      </c>
      <c r="CI200" s="1409">
        <f t="shared" ca="1" si="86"/>
        <v>0</v>
      </c>
      <c r="CJ200" s="1409">
        <f t="shared" ca="1" si="87"/>
        <v>0</v>
      </c>
      <c r="CK200" s="1409">
        <f t="shared" ca="1" si="88"/>
        <v>0</v>
      </c>
      <c r="CL200" s="1409">
        <f t="shared" ca="1" si="89"/>
        <v>0</v>
      </c>
      <c r="CM200" s="1409">
        <f t="shared" ca="1" si="90"/>
        <v>0</v>
      </c>
      <c r="CN200" s="1409">
        <f ca="1">IF(B200&gt;=$J$5,0,CONTADORES!CB204-CONTADORES!CB203)</f>
        <v>0</v>
      </c>
      <c r="CO200" s="1409">
        <f t="shared" ca="1" si="91"/>
        <v>0</v>
      </c>
      <c r="CP200" s="1409">
        <f t="shared" ca="1" si="92"/>
        <v>0</v>
      </c>
      <c r="CQ200" s="1409">
        <f t="shared" ca="1" si="93"/>
        <v>0</v>
      </c>
      <c r="CR200" s="1409">
        <f t="shared" ca="1" si="94"/>
        <v>0</v>
      </c>
      <c r="CS200" s="1409">
        <f ca="1">IF($B200&gt;=$J$5,0,CONTADORES!$BI204)</f>
        <v>0</v>
      </c>
      <c r="CT200" s="1369">
        <f>CONTADORES!E204</f>
        <v>0</v>
      </c>
      <c r="CU200" s="1369">
        <f>CONTADORES!CG204</f>
        <v>0</v>
      </c>
    </row>
    <row r="201" spans="2:99">
      <c r="B201" s="390">
        <v>45117</v>
      </c>
      <c r="C201" s="198">
        <f t="shared" ca="1" si="68"/>
        <v>0</v>
      </c>
      <c r="D201" s="196">
        <f ca="1">'CALCULO DE GAS'!P13</f>
        <v>0</v>
      </c>
      <c r="E201" s="196">
        <f ca="1">IF(B201&gt;=$J$5,0,(CONTADORES!$AD205-CONTADORES!$AD204)-$H201)</f>
        <v>0</v>
      </c>
      <c r="F201" s="198">
        <f t="shared" ca="1" si="100"/>
        <v>0</v>
      </c>
      <c r="G201" s="196">
        <f ca="1">IF(B201&gt;=$J$5,0,CONTADORES!$AF205-CONTADORES!$AF204)</f>
        <v>0</v>
      </c>
      <c r="H201" s="196">
        <f ca="1">IF(G201&gt;0,CONTADORES!$AE205-CONTADORES!$AE204,0)</f>
        <v>0</v>
      </c>
      <c r="I201" s="199">
        <f ca="1">IF(B201&gt;=$J$5,0,CONTADORES!$AB205-CONTADORES!$AB204)</f>
        <v>0</v>
      </c>
      <c r="J201" s="198">
        <f t="shared" ca="1" si="69"/>
        <v>0</v>
      </c>
      <c r="K201" s="196">
        <f ca="1">'CALCULO DE GAS'!Q13</f>
        <v>0</v>
      </c>
      <c r="L201" s="1396">
        <f ca="1">IF(B201&gt;=$J$5,0,(CONTADORES!$Y205-CONTADORES!$Y204)-$O201)</f>
        <v>0</v>
      </c>
      <c r="M201" s="1396">
        <f t="shared" ca="1" si="98"/>
        <v>0</v>
      </c>
      <c r="N201" s="1396">
        <f ca="1">IF(B201&gt;=$J$5,0,CONTADORES!$AA205-CONTADORES!$AA204)</f>
        <v>0</v>
      </c>
      <c r="O201" s="1396">
        <f ca="1">IF(N201&gt;0,CONTADORES!$Z205-CONTADORES!$Z204,0)</f>
        <v>0</v>
      </c>
      <c r="P201" s="202">
        <f ca="1">IF(B201&gt;=$J$5,0,CONTADORES!$W205-CONTADORES!$W204)</f>
        <v>0</v>
      </c>
      <c r="Q201" s="202">
        <f ca="1">IF(B201&gt;=$J$5,0,CONTADORES!$B205-CONTADORES!$B204)</f>
        <v>0</v>
      </c>
      <c r="R201" s="196">
        <f t="shared" ca="1" si="70"/>
        <v>0</v>
      </c>
      <c r="S201" s="11">
        <f ca="1">IF(B201&gt;=$J$5,0,CONTADORES!$D205-CONTADORES!$D204)</f>
        <v>0</v>
      </c>
      <c r="T201" s="198">
        <f ca="1">IF(B201&gt;=$J$5,0,CONTADORES!$BB205-CONTADORES!$BB204)</f>
        <v>0</v>
      </c>
      <c r="U201" s="196">
        <f t="shared" ca="1" si="97"/>
        <v>0</v>
      </c>
      <c r="V201" s="199">
        <f ca="1">IF(B201&gt;=$J$5,0,CONTADORES!$BD205-CONTADORES!$BD204)</f>
        <v>0</v>
      </c>
      <c r="W201" s="1397">
        <f t="shared" ca="1" si="71"/>
        <v>0</v>
      </c>
      <c r="X201" s="1397">
        <f t="shared" ca="1" si="72"/>
        <v>0</v>
      </c>
      <c r="Y201" s="1398">
        <f t="shared" ca="1" si="73"/>
        <v>0</v>
      </c>
      <c r="Z201" s="1398">
        <f t="shared" ca="1" si="74"/>
        <v>0</v>
      </c>
      <c r="AA201" s="1398">
        <f t="shared" ca="1" si="75"/>
        <v>0</v>
      </c>
      <c r="AB201" s="1398">
        <f t="shared" ca="1" si="76"/>
        <v>0</v>
      </c>
      <c r="AC201" s="1397">
        <f t="shared" ca="1" si="77"/>
        <v>0</v>
      </c>
      <c r="AD201" s="1397">
        <f ca="1">IF(B201&gt;=$J$5,0,CONTADORES!H205-CONTADORES!H204)</f>
        <v>0</v>
      </c>
      <c r="AE201" s="1397">
        <f ca="1">IF(B201&gt;=$J$5,0,CONTADORES!J205-CONTADORES!J204)</f>
        <v>0</v>
      </c>
      <c r="AF201" s="1397">
        <f ca="1">IF(B201&gt;=$J$5,0,CONTADORES!AU205-CONTADORES!AU204)</f>
        <v>0</v>
      </c>
      <c r="AG201" s="1397">
        <f ca="1">IF(B201&gt;=$J$5,0,CONTADORES!AW205-CONTADORES!AW204)</f>
        <v>0</v>
      </c>
      <c r="AH201" s="1398">
        <f ca="1">IF(B201&gt;=$J$5,0,(CONTADORES!AM205-CONTADORES!AM204)+(CONTADORES!M205-CONTADORES!M204))</f>
        <v>0</v>
      </c>
      <c r="AI201" s="1397">
        <f ca="1">IF(B201&gt;=$J$5,0,(CONTADORES!AK205-CONTADORES!AK204)+(CONTADORES!O205-CONTADORES!O204))</f>
        <v>0</v>
      </c>
      <c r="AJ201" s="1397">
        <f ca="1">IF(B201&gt;=$J$5,0,(CONTADORES!AI205-CONTADORES!AI204))</f>
        <v>0</v>
      </c>
      <c r="AK201" s="1397">
        <f ca="1">IF(B201&gt;=$J$5,0,(CONTADORES!Q205-CONTADORES!Q204))</f>
        <v>0</v>
      </c>
      <c r="AL201" s="1461">
        <f t="shared" ca="1" si="78"/>
        <v>0</v>
      </c>
      <c r="AM201" s="1397">
        <f ca="1">IF(B201&gt;=$J$5,0,(((CONTADORES!F205-CONTADORES!F204)+(CONTADORES!AQ205-CONTADORES!AQ204))))-BS201-AF201-AN201-BV201-BY201-CD201-CB201</f>
        <v>0</v>
      </c>
      <c r="AN201" s="1397">
        <f ca="1">IF(B201&gt;=$J$5,0,(CONTADORES!AX205-CONTADORES!AX204)+(CONTADORES!AZ205-CONTADORES!AZ204)+(CONTADORES!BE205-CONTADORES!BE204))-CB201</f>
        <v>0</v>
      </c>
      <c r="AO201" s="1399">
        <f>(CONTADORES!AC205-CONTADORES!AC204)</f>
        <v>0</v>
      </c>
      <c r="AP201" s="1399">
        <f>(CONTADORES!X205-CONTADORES!X204)</f>
        <v>0</v>
      </c>
      <c r="AQ201" s="1404">
        <f ca="1">IF(B201&gt;=$J$5,0,(CONTADORES!C205-CONTADORES!C204))</f>
        <v>0</v>
      </c>
      <c r="AR201" s="1399">
        <f ca="1">AR200+(CONTADORES!BC205-CONTADORES!BC204)</f>
        <v>0</v>
      </c>
      <c r="AS201" s="1397">
        <f ca="1">IF(B201&gt;=$J$5,0,CONTADORES!S205-CONTADORES!S204)</f>
        <v>0</v>
      </c>
      <c r="AT201" s="1397">
        <f ca="1">IF(B201&gt;=$J$5,0,(CONTADORES!U205-CONTADORES!U204)+(CONTADORES!AG205-CONTADORES!AG204))</f>
        <v>0</v>
      </c>
      <c r="AU201" s="1433">
        <f>CONTADORES!I205-CONTADORES!I204</f>
        <v>0</v>
      </c>
      <c r="AV201" s="1399">
        <f>CONTADORES!AV205-CONTADORES!AV204</f>
        <v>0</v>
      </c>
      <c r="AW201" s="1399">
        <f ca="1">IF(B201&gt;=$J$5,0,(CONTADORES!N205-CONTADORES!N204)+(CONTADORES!AN205-CONTADORES!AN204))</f>
        <v>0</v>
      </c>
      <c r="AX201" s="1399">
        <f ca="1">IF(B201&gt;=$J$5,0,(CONTADORES!P205-CONTADORES!P204)+(CONTADORES!AL205-CONTADORES!AL204))</f>
        <v>0</v>
      </c>
      <c r="AY201" s="1399">
        <f ca="1">IF(B201&gt;=$J$5,0,(CONTADORES!AJ205-CONTADORES!AJ204))</f>
        <v>0</v>
      </c>
      <c r="AZ201" s="1399">
        <f ca="1">IF(B201&gt;=$J$5,0,(CONTADORES!R205-CONTADORES!R204))</f>
        <v>0</v>
      </c>
      <c r="BA201" s="1409">
        <f t="shared" ca="1" si="79"/>
        <v>0</v>
      </c>
      <c r="BB201" s="1433">
        <f ca="1">IF(B201&gt;=$J$5,0,(((CONTADORES!G205-CONTADORES!G204)+(CONTADORES!AR205-CONTADORES!AR204)+AR201)-(AV201+BC201)))</f>
        <v>0</v>
      </c>
      <c r="BC201" s="1397">
        <f ca="1">IF(B201&gt;=$J$5,0,(CONTADORES!AY205-CONTADORES!AY204)+(CONTADORES!BA205-CONTADORES!BA204)+(CONTADORES!BF205-CONTADORES!BF204))</f>
        <v>0</v>
      </c>
      <c r="BD201" s="1397">
        <f t="shared" ca="1" si="80"/>
        <v>0</v>
      </c>
      <c r="BE201" s="1398">
        <f ca="1">IF($B201&gt;=$J$5,0,CONTADORES!$BG205)</f>
        <v>0</v>
      </c>
      <c r="BF201" s="1397">
        <f ca="1">IF($B201&gt;=$J$5,0,CONTADORES!$BH205)</f>
        <v>0</v>
      </c>
      <c r="BG201" s="1397">
        <f ca="1">IF($B201&gt;=$J$5,0,CONTADORES!$BJ205)</f>
        <v>0</v>
      </c>
      <c r="BH201" s="1397">
        <f ca="1">IF(B201&gt;=$J$5,0,((CONTADORES!BK205-CONTADORES!BK204)/1000))</f>
        <v>0</v>
      </c>
      <c r="BI201" s="1397">
        <f ca="1">IF(C201&gt;=$J$5,0,((CONTADORES!BL205-CONTADORES!BL204)/1000))</f>
        <v>0</v>
      </c>
      <c r="BJ201" s="1397">
        <f ca="1">IF(C201&gt;=$J$5,0,((CONTADORES!BM205-CONTADORES!BM204)/1000))</f>
        <v>0</v>
      </c>
      <c r="BK201" s="1397">
        <f ca="1">IF(D201&gt;=$J$5,0,((CONTADORES!BN205-CONTADORES!BN204)/1000))</f>
        <v>0</v>
      </c>
      <c r="BL201" s="1399">
        <f t="shared" ca="1" si="81"/>
        <v>0</v>
      </c>
      <c r="BM201" s="1399">
        <f t="shared" ca="1" si="82"/>
        <v>0</v>
      </c>
      <c r="BN201" s="1398">
        <f ca="1">IF(W201&gt;=$J$5,0,CONTADORES!$BO205)</f>
        <v>0</v>
      </c>
      <c r="BO201" s="1397">
        <f ca="1">IF(W201&gt;=$J$5,0,CONTADORES!$BP205)</f>
        <v>0</v>
      </c>
      <c r="BP201" s="1397">
        <f ca="1">IF(W201&gt;=$J$5,0,CONTADORES!$BQ205)</f>
        <v>0</v>
      </c>
      <c r="BQ201" s="1397">
        <f ca="1">IF(B201&gt;=$J$5,0,(CONTADORES!AS205-CONTADORES!AS204))</f>
        <v>0</v>
      </c>
      <c r="BR201" s="1397">
        <f ca="1">IF(C201&gt;=$J$5,0,(CONTADORES!AT205-CONTADORES!AT204))</f>
        <v>0</v>
      </c>
      <c r="BS201" s="1409">
        <f ca="1">IF(B201&gt;=$J$5,0,CONTADORES!BR205-CONTADORES!BR204)/1000</f>
        <v>0</v>
      </c>
      <c r="BT201" s="1409">
        <f ca="1">IF(B201&gt;=$J$5,0,CONTADORES!BS205-CONTADORES!BS204)</f>
        <v>0</v>
      </c>
      <c r="BU201" s="1409">
        <f ca="1">IF(B201&gt;=$J$5,0,CONTADORES!BT205-CONTADORES!BT204)</f>
        <v>0</v>
      </c>
      <c r="BV201" s="1409">
        <f ca="1">IF(B201&gt;=$J$5,0,CONTADORES!BU205-CONTADORES!BU204)/1000</f>
        <v>0</v>
      </c>
      <c r="BW201" s="1409">
        <f ca="1">IF(B201&gt;=$J$5,0,CONTADORES!BV205-CONTADORES!BV204)/1000</f>
        <v>0</v>
      </c>
      <c r="BX201" s="1409">
        <f ca="1">IF(B201&gt;=$J$5,0,CONTADORES!BW205-CONTADORES!BW204)</f>
        <v>0</v>
      </c>
      <c r="BY201" s="1409">
        <f ca="1">IF(B201&gt;=$J$5,0,CONTADORES!BX205-CONTADORES!BX204)/1000</f>
        <v>0</v>
      </c>
      <c r="BZ201" s="1409">
        <f ca="1">IF(B201&gt;=$J$5,0,CONTADORES!BY205-CONTADORES!BY204)/1000</f>
        <v>0</v>
      </c>
      <c r="CA201" s="1409">
        <f ca="1">IF(B201&gt;=$J$5,0,CONTADORES!BZ205-CONTADORES!BZ204)</f>
        <v>0</v>
      </c>
      <c r="CB201" s="1409">
        <f ca="1">IF(B201&gt;=$J$5,0,(CONTADORES!CC205-CONTADORES!CC204)+(CONTADORES!CE205-CONTADORES!CE204))/1000</f>
        <v>0</v>
      </c>
      <c r="CC201" s="1409">
        <f ca="1">IF(B201&gt;=$J$5,0,(CONTADORES!CD205-CONTADORES!CD204)+(CONTADORES!CF205-CONTADORES!CF204))/1000</f>
        <v>0</v>
      </c>
      <c r="CD201" s="1409">
        <f ca="1">IF(B201&gt;=$J$5,0,CONTADORES!CA205-CONTADORES!CA204)</f>
        <v>0</v>
      </c>
      <c r="CE201" s="1409">
        <f ca="1">IF(B201&gt;=$J$5,0,CONTADORES!CB205-CONTADORES!CB204)</f>
        <v>0</v>
      </c>
      <c r="CF201" s="1409">
        <f t="shared" ca="1" si="83"/>
        <v>0</v>
      </c>
      <c r="CG201" s="1409">
        <f t="shared" ca="1" si="84"/>
        <v>0</v>
      </c>
      <c r="CH201" s="1409">
        <f t="shared" ca="1" si="85"/>
        <v>0</v>
      </c>
      <c r="CI201" s="1409">
        <f t="shared" ca="1" si="86"/>
        <v>0</v>
      </c>
      <c r="CJ201" s="1409">
        <f t="shared" ca="1" si="87"/>
        <v>0</v>
      </c>
      <c r="CK201" s="1409">
        <f t="shared" ca="1" si="88"/>
        <v>0</v>
      </c>
      <c r="CL201" s="1409">
        <f t="shared" ca="1" si="89"/>
        <v>0</v>
      </c>
      <c r="CM201" s="1409">
        <f t="shared" ca="1" si="90"/>
        <v>0</v>
      </c>
      <c r="CN201" s="1409">
        <f ca="1">IF(B201&gt;=$J$5,0,CONTADORES!CB205-CONTADORES!CB204)</f>
        <v>0</v>
      </c>
      <c r="CO201" s="1409">
        <f t="shared" ca="1" si="91"/>
        <v>0</v>
      </c>
      <c r="CP201" s="1409">
        <f t="shared" ca="1" si="92"/>
        <v>0</v>
      </c>
      <c r="CQ201" s="1409">
        <f t="shared" ca="1" si="93"/>
        <v>0</v>
      </c>
      <c r="CR201" s="1409">
        <f t="shared" ca="1" si="94"/>
        <v>0</v>
      </c>
      <c r="CS201" s="1409">
        <f ca="1">IF($B201&gt;=$J$5,0,CONTADORES!$BI205)</f>
        <v>0</v>
      </c>
      <c r="CT201" s="1369">
        <f>CONTADORES!E205</f>
        <v>0</v>
      </c>
      <c r="CU201" s="1369">
        <f>CONTADORES!CG205</f>
        <v>0</v>
      </c>
    </row>
    <row r="202" spans="2:99">
      <c r="B202" s="390">
        <v>45118</v>
      </c>
      <c r="C202" s="198">
        <f t="shared" ca="1" si="68"/>
        <v>0</v>
      </c>
      <c r="D202" s="196">
        <f ca="1">'CALCULO DE GAS'!P14</f>
        <v>0</v>
      </c>
      <c r="E202" s="196">
        <f ca="1">IF(B202&gt;=$J$5,0,(CONTADORES!$AD206-CONTADORES!$AD205)-$H202)</f>
        <v>0</v>
      </c>
      <c r="F202" s="198">
        <f t="shared" ca="1" si="100"/>
        <v>0</v>
      </c>
      <c r="G202" s="196">
        <f ca="1">IF(B202&gt;=$J$5,0,CONTADORES!$AF206-CONTADORES!$AF205)</f>
        <v>0</v>
      </c>
      <c r="H202" s="196">
        <f ca="1">IF(G202&gt;0,CONTADORES!$AE206-CONTADORES!$AE205,0)</f>
        <v>0</v>
      </c>
      <c r="I202" s="199">
        <f ca="1">IF(B202&gt;=$J$5,0,CONTADORES!$AB206-CONTADORES!$AB205)</f>
        <v>0</v>
      </c>
      <c r="J202" s="198">
        <f t="shared" ca="1" si="69"/>
        <v>0</v>
      </c>
      <c r="K202" s="196">
        <f ca="1">'CALCULO DE GAS'!Q14</f>
        <v>0</v>
      </c>
      <c r="L202" s="1396">
        <f ca="1">IF(B202&gt;=$J$5,0,(CONTADORES!$Y206-CONTADORES!$Y205)-$O202)</f>
        <v>0</v>
      </c>
      <c r="M202" s="1396">
        <f t="shared" ca="1" si="98"/>
        <v>0</v>
      </c>
      <c r="N202" s="1396">
        <f ca="1">IF(B202&gt;=$J$5,0,CONTADORES!$AA206-CONTADORES!$AA205)</f>
        <v>0</v>
      </c>
      <c r="O202" s="1396">
        <f ca="1">IF(N202&gt;0,CONTADORES!$Z206-CONTADORES!$Z205,0)</f>
        <v>0</v>
      </c>
      <c r="P202" s="202">
        <f ca="1">IF(B202&gt;=$J$5,0,CONTADORES!$W206-CONTADORES!$W205)</f>
        <v>0</v>
      </c>
      <c r="Q202" s="202">
        <f ca="1">IF(B202&gt;=$J$5,0,CONTADORES!$B206-CONTADORES!$B205)</f>
        <v>0</v>
      </c>
      <c r="R202" s="196">
        <f t="shared" ca="1" si="70"/>
        <v>0</v>
      </c>
      <c r="S202" s="11">
        <f ca="1">IF(B202&gt;=$J$5,0,CONTADORES!$D206-CONTADORES!$D205)</f>
        <v>0</v>
      </c>
      <c r="T202" s="198">
        <f ca="1">IF(B202&gt;=$J$5,0,CONTADORES!$BB206-CONTADORES!$BB205)</f>
        <v>0</v>
      </c>
      <c r="U202" s="196">
        <f t="shared" ca="1" si="97"/>
        <v>0</v>
      </c>
      <c r="V202" s="199">
        <f ca="1">IF(B202&gt;=$J$5,0,CONTADORES!$BD206-CONTADORES!$BD205)</f>
        <v>0</v>
      </c>
      <c r="W202" s="1397">
        <f t="shared" ca="1" si="71"/>
        <v>0</v>
      </c>
      <c r="X202" s="1397">
        <f t="shared" ca="1" si="72"/>
        <v>0</v>
      </c>
      <c r="Y202" s="1398">
        <f t="shared" ca="1" si="73"/>
        <v>0</v>
      </c>
      <c r="Z202" s="1398">
        <f t="shared" ca="1" si="74"/>
        <v>0</v>
      </c>
      <c r="AA202" s="1398">
        <f t="shared" ca="1" si="75"/>
        <v>0</v>
      </c>
      <c r="AB202" s="1398">
        <f t="shared" ca="1" si="76"/>
        <v>0</v>
      </c>
      <c r="AC202" s="1397">
        <f t="shared" ca="1" si="77"/>
        <v>0</v>
      </c>
      <c r="AD202" s="1397">
        <f ca="1">IF(B202&gt;=$J$5,0,CONTADORES!H206-CONTADORES!H205)</f>
        <v>0</v>
      </c>
      <c r="AE202" s="1397">
        <f ca="1">IF(B202&gt;=$J$5,0,CONTADORES!J206-CONTADORES!J205)</f>
        <v>0</v>
      </c>
      <c r="AF202" s="1397">
        <f ca="1">IF(B202&gt;=$J$5,0,CONTADORES!AU206-CONTADORES!AU205)</f>
        <v>0</v>
      </c>
      <c r="AG202" s="1397">
        <f ca="1">IF(B202&gt;=$J$5,0,CONTADORES!AW206-CONTADORES!AW205)</f>
        <v>0</v>
      </c>
      <c r="AH202" s="1398">
        <f ca="1">IF(B202&gt;=$J$5,0,(CONTADORES!AM206-CONTADORES!AM205)+(CONTADORES!M206-CONTADORES!M205))</f>
        <v>0</v>
      </c>
      <c r="AI202" s="1397">
        <f ca="1">IF(B202&gt;=$J$5,0,(CONTADORES!AK206-CONTADORES!AK205)+(CONTADORES!O206-CONTADORES!O205))</f>
        <v>0</v>
      </c>
      <c r="AJ202" s="1397">
        <f ca="1">IF(B202&gt;=$J$5,0,(CONTADORES!AI206-CONTADORES!AI205))</f>
        <v>0</v>
      </c>
      <c r="AK202" s="1397">
        <f ca="1">IF(B202&gt;=$J$5,0,(CONTADORES!Q206-CONTADORES!Q205))</f>
        <v>0</v>
      </c>
      <c r="AL202" s="1461">
        <f t="shared" ca="1" si="78"/>
        <v>0</v>
      </c>
      <c r="AM202" s="1397">
        <f ca="1">IF(B202&gt;=$J$5,0,(((CONTADORES!F206-CONTADORES!F205)+(CONTADORES!AQ206-CONTADORES!AQ205))))-BS202-AF202-AN202-BV202-BY202-CD202-CB202</f>
        <v>0</v>
      </c>
      <c r="AN202" s="1397">
        <f ca="1">IF(B202&gt;=$J$5,0,(CONTADORES!AX206-CONTADORES!AX205)+(CONTADORES!AZ206-CONTADORES!AZ205)+(CONTADORES!BE206-CONTADORES!BE205))-CB202</f>
        <v>0</v>
      </c>
      <c r="AO202" s="1399">
        <f>(CONTADORES!AC206-CONTADORES!AC205)</f>
        <v>0</v>
      </c>
      <c r="AP202" s="1399">
        <f>(CONTADORES!X206-CONTADORES!X205)</f>
        <v>0</v>
      </c>
      <c r="AQ202" s="1404">
        <f ca="1">IF(B202&gt;=$J$5,0,(CONTADORES!C206-CONTADORES!C205))</f>
        <v>0</v>
      </c>
      <c r="AR202" s="1399">
        <f ca="1">AR201+(CONTADORES!BC206-CONTADORES!BC205)</f>
        <v>0</v>
      </c>
      <c r="AS202" s="1397">
        <f ca="1">IF(B202&gt;=$J$5,0,CONTADORES!S206-CONTADORES!S205)</f>
        <v>0</v>
      </c>
      <c r="AT202" s="1397">
        <f ca="1">IF(B202&gt;=$J$5,0,(CONTADORES!U206-CONTADORES!U205)+(CONTADORES!AG206-CONTADORES!AG205))</f>
        <v>0</v>
      </c>
      <c r="AU202" s="1433">
        <f>CONTADORES!I206-CONTADORES!I205</f>
        <v>0</v>
      </c>
      <c r="AV202" s="1399">
        <f>CONTADORES!AV206-CONTADORES!AV205</f>
        <v>0</v>
      </c>
      <c r="AW202" s="1399">
        <f ca="1">IF(B202&gt;=$J$5,0,(CONTADORES!N206-CONTADORES!N205)+(CONTADORES!AN206-CONTADORES!AN205))</f>
        <v>0</v>
      </c>
      <c r="AX202" s="1399">
        <f ca="1">IF(B202&gt;=$J$5,0,(CONTADORES!P206-CONTADORES!P205)+(CONTADORES!AL206-CONTADORES!AL205))</f>
        <v>0</v>
      </c>
      <c r="AY202" s="1399">
        <f ca="1">IF(B202&gt;=$J$5,0,(CONTADORES!AJ206-CONTADORES!AJ205))</f>
        <v>0</v>
      </c>
      <c r="AZ202" s="1399">
        <f ca="1">IF(B202&gt;=$J$5,0,(CONTADORES!R206-CONTADORES!R205))</f>
        <v>0</v>
      </c>
      <c r="BA202" s="1409">
        <f t="shared" ca="1" si="79"/>
        <v>0</v>
      </c>
      <c r="BB202" s="1433">
        <f ca="1">IF(B202&gt;=$J$5,0,(((CONTADORES!G206-CONTADORES!G205)+(CONTADORES!AR206-CONTADORES!AR205)+AR202)-(AV202+BC202)))</f>
        <v>0</v>
      </c>
      <c r="BC202" s="1397">
        <f ca="1">IF(B202&gt;=$J$5,0,(CONTADORES!AY206-CONTADORES!AY205)+(CONTADORES!BA206-CONTADORES!BA205)+(CONTADORES!BF206-CONTADORES!BF205))</f>
        <v>0</v>
      </c>
      <c r="BD202" s="1397">
        <f t="shared" ca="1" si="80"/>
        <v>0</v>
      </c>
      <c r="BE202" s="1398">
        <f ca="1">IF($B202&gt;=$J$5,0,CONTADORES!$BG206)</f>
        <v>0</v>
      </c>
      <c r="BF202" s="1397">
        <f ca="1">IF($B202&gt;=$J$5,0,CONTADORES!$BH206)</f>
        <v>0</v>
      </c>
      <c r="BG202" s="1397">
        <f ca="1">IF($B202&gt;=$J$5,0,CONTADORES!$BJ206)</f>
        <v>0</v>
      </c>
      <c r="BH202" s="1397">
        <f ca="1">IF(B202&gt;=$J$5,0,((CONTADORES!BK206-CONTADORES!BK205)/1000))</f>
        <v>0</v>
      </c>
      <c r="BI202" s="1397">
        <f ca="1">IF(C202&gt;=$J$5,0,((CONTADORES!BL206-CONTADORES!BL205)/1000))</f>
        <v>0</v>
      </c>
      <c r="BJ202" s="1397">
        <f ca="1">IF(C202&gt;=$J$5,0,((CONTADORES!BM206-CONTADORES!BM205)/1000))</f>
        <v>0</v>
      </c>
      <c r="BK202" s="1397">
        <f ca="1">IF(D202&gt;=$J$5,0,((CONTADORES!BN206-CONTADORES!BN205)/1000))</f>
        <v>0</v>
      </c>
      <c r="BL202" s="1399">
        <f t="shared" ca="1" si="81"/>
        <v>0</v>
      </c>
      <c r="BM202" s="1399">
        <f t="shared" ca="1" si="82"/>
        <v>0</v>
      </c>
      <c r="BN202" s="1398">
        <f ca="1">IF(W202&gt;=$J$5,0,CONTADORES!$BO206)</f>
        <v>0</v>
      </c>
      <c r="BO202" s="1397">
        <f ca="1">IF(W202&gt;=$J$5,0,CONTADORES!$BP206)</f>
        <v>0</v>
      </c>
      <c r="BP202" s="1397">
        <f ca="1">IF(W202&gt;=$J$5,0,CONTADORES!$BQ206)</f>
        <v>0</v>
      </c>
      <c r="BQ202" s="1397">
        <f ca="1">IF(B202&gt;=$J$5,0,(CONTADORES!AS206-CONTADORES!AS205))</f>
        <v>0</v>
      </c>
      <c r="BR202" s="1397">
        <f ca="1">IF(C202&gt;=$J$5,0,(CONTADORES!AT206-CONTADORES!AT205))</f>
        <v>0</v>
      </c>
      <c r="BS202" s="1409">
        <f ca="1">IF(B202&gt;=$J$5,0,CONTADORES!BR206-CONTADORES!BR205)/1000</f>
        <v>0</v>
      </c>
      <c r="BT202" s="1409">
        <f ca="1">IF(B202&gt;=$J$5,0,CONTADORES!BS206-CONTADORES!BS205)</f>
        <v>0</v>
      </c>
      <c r="BU202" s="1409">
        <f ca="1">IF(B202&gt;=$J$5,0,CONTADORES!BT206-CONTADORES!BT205)</f>
        <v>0</v>
      </c>
      <c r="BV202" s="1409">
        <f ca="1">IF(B202&gt;=$J$5,0,CONTADORES!BU206-CONTADORES!BU205)/1000</f>
        <v>0</v>
      </c>
      <c r="BW202" s="1409">
        <f ca="1">IF(B202&gt;=$J$5,0,CONTADORES!BV206-CONTADORES!BV205)/1000</f>
        <v>0</v>
      </c>
      <c r="BX202" s="1409">
        <f ca="1">IF(B202&gt;=$J$5,0,CONTADORES!BW206-CONTADORES!BW205)</f>
        <v>0</v>
      </c>
      <c r="BY202" s="1409">
        <f ca="1">IF(B202&gt;=$J$5,0,CONTADORES!BX206-CONTADORES!BX205)/1000</f>
        <v>0</v>
      </c>
      <c r="BZ202" s="1409">
        <f ca="1">IF(B202&gt;=$J$5,0,CONTADORES!BY206-CONTADORES!BY205)/1000</f>
        <v>0</v>
      </c>
      <c r="CA202" s="1409">
        <f ca="1">IF(B202&gt;=$J$5,0,CONTADORES!BZ206-CONTADORES!BZ205)</f>
        <v>0</v>
      </c>
      <c r="CB202" s="1409">
        <f ca="1">IF(B202&gt;=$J$5,0,(CONTADORES!CC206-CONTADORES!CC205)+(CONTADORES!CE206-CONTADORES!CE205))/1000</f>
        <v>0</v>
      </c>
      <c r="CC202" s="1409">
        <f ca="1">IF(B202&gt;=$J$5,0,(CONTADORES!CD206-CONTADORES!CD205)+(CONTADORES!CF206-CONTADORES!CF205))/1000</f>
        <v>0</v>
      </c>
      <c r="CD202" s="1409">
        <f ca="1">IF(B202&gt;=$J$5,0,CONTADORES!CA206-CONTADORES!CA205)</f>
        <v>0</v>
      </c>
      <c r="CE202" s="1409">
        <f ca="1">IF(B202&gt;=$J$5,0,CONTADORES!CB206-CONTADORES!CB205)</f>
        <v>0</v>
      </c>
      <c r="CF202" s="1409">
        <f t="shared" ca="1" si="83"/>
        <v>0</v>
      </c>
      <c r="CG202" s="1409">
        <f t="shared" ca="1" si="84"/>
        <v>0</v>
      </c>
      <c r="CH202" s="1409">
        <f t="shared" ca="1" si="85"/>
        <v>0</v>
      </c>
      <c r="CI202" s="1409">
        <f t="shared" ca="1" si="86"/>
        <v>0</v>
      </c>
      <c r="CJ202" s="1409">
        <f t="shared" ca="1" si="87"/>
        <v>0</v>
      </c>
      <c r="CK202" s="1409">
        <f t="shared" ca="1" si="88"/>
        <v>0</v>
      </c>
      <c r="CL202" s="1409">
        <f t="shared" ca="1" si="89"/>
        <v>0</v>
      </c>
      <c r="CM202" s="1409">
        <f t="shared" ca="1" si="90"/>
        <v>0</v>
      </c>
      <c r="CN202" s="1409">
        <f ca="1">IF(B202&gt;=$J$5,0,CONTADORES!CB206-CONTADORES!CB205)</f>
        <v>0</v>
      </c>
      <c r="CO202" s="1409">
        <f t="shared" ca="1" si="91"/>
        <v>0</v>
      </c>
      <c r="CP202" s="1409">
        <f t="shared" ca="1" si="92"/>
        <v>0</v>
      </c>
      <c r="CQ202" s="1409">
        <f t="shared" ca="1" si="93"/>
        <v>0</v>
      </c>
      <c r="CR202" s="1409">
        <f t="shared" ca="1" si="94"/>
        <v>0</v>
      </c>
      <c r="CS202" s="1409">
        <f ca="1">IF($B202&gt;=$J$5,0,CONTADORES!$BI206)</f>
        <v>0</v>
      </c>
      <c r="CT202" s="1369">
        <f>CONTADORES!E206</f>
        <v>0</v>
      </c>
      <c r="CU202" s="1369">
        <f>CONTADORES!CG206</f>
        <v>0</v>
      </c>
    </row>
    <row r="203" spans="2:99">
      <c r="B203" s="390">
        <v>45119</v>
      </c>
      <c r="C203" s="198">
        <f t="shared" ref="C203:C266" ca="1" si="101">I203-F203</f>
        <v>0</v>
      </c>
      <c r="D203" s="196">
        <f ca="1">'CALCULO DE GAS'!P15</f>
        <v>0</v>
      </c>
      <c r="E203" s="196">
        <f ca="1">IF(B203&gt;=$J$5,0,(CONTADORES!$AD207-CONTADORES!$AD206)-$H203)</f>
        <v>0</v>
      </c>
      <c r="F203" s="198">
        <f t="shared" ca="1" si="100"/>
        <v>0</v>
      </c>
      <c r="G203" s="196">
        <f ca="1">IF(B203&gt;=$J$5,0,CONTADORES!$AF207-CONTADORES!$AF206)</f>
        <v>0</v>
      </c>
      <c r="H203" s="196">
        <f ca="1">IF(G203&gt;0,CONTADORES!$AE207-CONTADORES!$AE206,0)</f>
        <v>0</v>
      </c>
      <c r="I203" s="199">
        <f ca="1">IF(B203&gt;=$J$5,0,CONTADORES!$AB207-CONTADORES!$AB206)</f>
        <v>0</v>
      </c>
      <c r="J203" s="198">
        <f t="shared" ref="J203:J266" ca="1" si="102">P203-M203</f>
        <v>0</v>
      </c>
      <c r="K203" s="196">
        <f ca="1">'CALCULO DE GAS'!Q15</f>
        <v>0</v>
      </c>
      <c r="L203" s="1396">
        <f ca="1">IF(B203&gt;=$J$5,0,(CONTADORES!$Y207-CONTADORES!$Y206)-$O203)</f>
        <v>0</v>
      </c>
      <c r="M203" s="1396">
        <f t="shared" ca="1" si="98"/>
        <v>0</v>
      </c>
      <c r="N203" s="1396">
        <f ca="1">IF(B203&gt;=$J$5,0,CONTADORES!$AA207-CONTADORES!$AA206)</f>
        <v>0</v>
      </c>
      <c r="O203" s="1396">
        <f ca="1">IF(N203&gt;0,CONTADORES!$Z207-CONTADORES!$Z206,0)</f>
        <v>0</v>
      </c>
      <c r="P203" s="202">
        <f ca="1">IF(B203&gt;=$J$5,0,CONTADORES!$W207-CONTADORES!$W206)</f>
        <v>0</v>
      </c>
      <c r="Q203" s="202">
        <f ca="1">IF(B203&gt;=$J$5,0,CONTADORES!$B207-CONTADORES!$B206)</f>
        <v>0</v>
      </c>
      <c r="R203" s="196">
        <f t="shared" ref="R203:R266" ca="1" si="103">$Q203*120</f>
        <v>0</v>
      </c>
      <c r="S203" s="11">
        <f ca="1">IF(B203&gt;=$J$5,0,CONTADORES!$D207-CONTADORES!$D206)</f>
        <v>0</v>
      </c>
      <c r="T203" s="198">
        <f ca="1">IF(B203&gt;=$J$5,0,CONTADORES!$BB207-CONTADORES!$BB206)</f>
        <v>0</v>
      </c>
      <c r="U203" s="196">
        <f t="shared" ca="1" si="97"/>
        <v>0</v>
      </c>
      <c r="V203" s="199">
        <f ca="1">IF(B203&gt;=$J$5,0,CONTADORES!$BD207-CONTADORES!$BD206)</f>
        <v>0</v>
      </c>
      <c r="W203" s="1397">
        <f t="shared" ref="W203:W266" ca="1" si="104">C203+J203</f>
        <v>0</v>
      </c>
      <c r="X203" s="1397">
        <f t="shared" ref="X203:X266" ca="1" si="105">F203+M203+Q203+T203</f>
        <v>0</v>
      </c>
      <c r="Y203" s="1398">
        <f t="shared" ref="Y203:Y266" ca="1" si="106">W203+X203</f>
        <v>0</v>
      </c>
      <c r="Z203" s="1398">
        <f t="shared" ref="Z203:Z266" ca="1" si="107">D203+K203</f>
        <v>0</v>
      </c>
      <c r="AA203" s="1398">
        <f t="shared" ref="AA203:AA266" ca="1" si="108">G203+N203+R203+U203</f>
        <v>0</v>
      </c>
      <c r="AB203" s="1398">
        <f t="shared" ref="AB203:AB266" ca="1" si="109">E203+L203</f>
        <v>0</v>
      </c>
      <c r="AC203" s="1397">
        <f t="shared" ref="AC203:AC266" ca="1" si="110">H203+O203+S203+V203</f>
        <v>0</v>
      </c>
      <c r="AD203" s="1397">
        <f ca="1">IF(B203&gt;=$J$5,0,CONTADORES!H207-CONTADORES!H206)</f>
        <v>0</v>
      </c>
      <c r="AE203" s="1397">
        <f ca="1">IF(B203&gt;=$J$5,0,CONTADORES!J207-CONTADORES!J206)</f>
        <v>0</v>
      </c>
      <c r="AF203" s="1397">
        <f ca="1">IF(B203&gt;=$J$5,0,CONTADORES!AU207-CONTADORES!AU206)</f>
        <v>0</v>
      </c>
      <c r="AG203" s="1397">
        <f ca="1">IF(B203&gt;=$J$5,0,CONTADORES!AW207-CONTADORES!AW206)</f>
        <v>0</v>
      </c>
      <c r="AH203" s="1398">
        <f ca="1">IF(B203&gt;=$J$5,0,(CONTADORES!AM207-CONTADORES!AM206)+(CONTADORES!M207-CONTADORES!M206))</f>
        <v>0</v>
      </c>
      <c r="AI203" s="1397">
        <f ca="1">IF(B203&gt;=$J$5,0,(CONTADORES!AK207-CONTADORES!AK206)+(CONTADORES!O207-CONTADORES!O206))</f>
        <v>0</v>
      </c>
      <c r="AJ203" s="1397">
        <f ca="1">IF(B203&gt;=$J$5,0,(CONTADORES!AI207-CONTADORES!AI206))</f>
        <v>0</v>
      </c>
      <c r="AK203" s="1397">
        <f ca="1">IF(B203&gt;=$J$5,0,(CONTADORES!Q207-CONTADORES!Q206))</f>
        <v>0</v>
      </c>
      <c r="AL203" s="1461">
        <f t="shared" ref="AL203:AL266" ca="1" si="111">Y203-(AD203+AF203+AH203+AI203+AJ203+AK203+CJ203+CK203+BS203+BV203+BY203+CF203+CL203)</f>
        <v>0</v>
      </c>
      <c r="AM203" s="1397">
        <f ca="1">IF(B203&gt;=$J$5,0,(((CONTADORES!F207-CONTADORES!F206)+(CONTADORES!AQ207-CONTADORES!AQ206))))-BS203-AF203-AN203-BV203-BY203-CD203-CB203</f>
        <v>0</v>
      </c>
      <c r="AN203" s="1397">
        <f ca="1">IF(B203&gt;=$J$5,0,(CONTADORES!AX207-CONTADORES!AX206)+(CONTADORES!AZ207-CONTADORES!AZ206)+(CONTADORES!BE207-CONTADORES!BE206))-CB203</f>
        <v>0</v>
      </c>
      <c r="AO203" s="1399">
        <f>(CONTADORES!AC207-CONTADORES!AC206)</f>
        <v>0</v>
      </c>
      <c r="AP203" s="1399">
        <f>(CONTADORES!X207-CONTADORES!X206)</f>
        <v>0</v>
      </c>
      <c r="AQ203" s="1404">
        <f ca="1">IF(B203&gt;=$J$5,0,(CONTADORES!C207-CONTADORES!C206))</f>
        <v>0</v>
      </c>
      <c r="AR203" s="1399">
        <f ca="1">AR202+(CONTADORES!BC207-CONTADORES!BC206)</f>
        <v>0</v>
      </c>
      <c r="AS203" s="1397">
        <f ca="1">IF(B203&gt;=$J$5,0,CONTADORES!S207-CONTADORES!S206)</f>
        <v>0</v>
      </c>
      <c r="AT203" s="1397">
        <f ca="1">IF(B203&gt;=$J$5,0,(CONTADORES!U207-CONTADORES!U206)+(CONTADORES!AG207-CONTADORES!AG206))</f>
        <v>0</v>
      </c>
      <c r="AU203" s="1433">
        <f>CONTADORES!I207-CONTADORES!I206</f>
        <v>0</v>
      </c>
      <c r="AV203" s="1399">
        <f>CONTADORES!AV207-CONTADORES!AV206</f>
        <v>0</v>
      </c>
      <c r="AW203" s="1399">
        <f ca="1">IF(B203&gt;=$J$5,0,(CONTADORES!N207-CONTADORES!N206)+(CONTADORES!AN207-CONTADORES!AN206))</f>
        <v>0</v>
      </c>
      <c r="AX203" s="1399">
        <f ca="1">IF(B203&gt;=$J$5,0,(CONTADORES!P207-CONTADORES!P206)+(CONTADORES!AL207-CONTADORES!AL206))</f>
        <v>0</v>
      </c>
      <c r="AY203" s="1399">
        <f ca="1">IF(B203&gt;=$J$5,0,(CONTADORES!AJ207-CONTADORES!AJ206))</f>
        <v>0</v>
      </c>
      <c r="AZ203" s="1399">
        <f ca="1">IF(B203&gt;=$J$5,0,(CONTADORES!R207-CONTADORES!R206))</f>
        <v>0</v>
      </c>
      <c r="BA203" s="1409">
        <f t="shared" ref="BA203:BA266" ca="1" si="112">BD203-(AU203+AV203+AW203+AX203+AY203+AZ203+BT203+BW203+BZ203+CG203+CO203+CQ203+CR203)</f>
        <v>0</v>
      </c>
      <c r="BB203" s="1433">
        <f ca="1">IF(B203&gt;=$J$5,0,(((CONTADORES!G207-CONTADORES!G206)+(CONTADORES!AR207-CONTADORES!AR206)+AR203)-(AV203+BC203)))</f>
        <v>0</v>
      </c>
      <c r="BC203" s="1397">
        <f ca="1">IF(B203&gt;=$J$5,0,(CONTADORES!AY207-CONTADORES!AY206)+(CONTADORES!BA207-CONTADORES!BA206)+(CONTADORES!BF207-CONTADORES!BF206))</f>
        <v>0</v>
      </c>
      <c r="BD203" s="1397">
        <f t="shared" ref="BD203:BD266" ca="1" si="113">SUM(AO203:AR203)</f>
        <v>0</v>
      </c>
      <c r="BE203" s="1398">
        <f ca="1">IF($B203&gt;=$J$5,0,CONTADORES!$BG207)</f>
        <v>0</v>
      </c>
      <c r="BF203" s="1397">
        <f ca="1">IF($B203&gt;=$J$5,0,CONTADORES!$BH207)</f>
        <v>0</v>
      </c>
      <c r="BG203" s="1397">
        <f ca="1">IF($B203&gt;=$J$5,0,CONTADORES!$BJ207)</f>
        <v>0</v>
      </c>
      <c r="BH203" s="1397">
        <f ca="1">IF(B203&gt;=$J$5,0,((CONTADORES!BK207-CONTADORES!BK206)/1000))</f>
        <v>0</v>
      </c>
      <c r="BI203" s="1397">
        <f ca="1">IF(C203&gt;=$J$5,0,((CONTADORES!BL207-CONTADORES!BL206)/1000))</f>
        <v>0</v>
      </c>
      <c r="BJ203" s="1397">
        <f ca="1">IF(C203&gt;=$J$5,0,((CONTADORES!BM207-CONTADORES!BM206)/1000))</f>
        <v>0</v>
      </c>
      <c r="BK203" s="1397">
        <f ca="1">IF(D203&gt;=$J$5,0,((CONTADORES!BN207-CONTADORES!BN206)/1000))</f>
        <v>0</v>
      </c>
      <c r="BL203" s="1399">
        <f t="shared" ref="BL203:BL266" ca="1" si="114">BH203+BJ203</f>
        <v>0</v>
      </c>
      <c r="BM203" s="1399">
        <f t="shared" ref="BM203:BM266" ca="1" si="115">BI203+BK203</f>
        <v>0</v>
      </c>
      <c r="BN203" s="1398">
        <f ca="1">IF(W203&gt;=$J$5,0,CONTADORES!$BO207)</f>
        <v>0</v>
      </c>
      <c r="BO203" s="1397">
        <f ca="1">IF(W203&gt;=$J$5,0,CONTADORES!$BP207)</f>
        <v>0</v>
      </c>
      <c r="BP203" s="1397">
        <f ca="1">IF(W203&gt;=$J$5,0,CONTADORES!$BQ207)</f>
        <v>0</v>
      </c>
      <c r="BQ203" s="1397">
        <f ca="1">IF(B203&gt;=$J$5,0,(CONTADORES!AS207-CONTADORES!AS206))</f>
        <v>0</v>
      </c>
      <c r="BR203" s="1397">
        <f ca="1">IF(C203&gt;=$J$5,0,(CONTADORES!AT207-CONTADORES!AT206))</f>
        <v>0</v>
      </c>
      <c r="BS203" s="1409">
        <f ca="1">IF(B203&gt;=$J$5,0,CONTADORES!BR207-CONTADORES!BR206)/1000</f>
        <v>0</v>
      </c>
      <c r="BT203" s="1409">
        <f ca="1">IF(B203&gt;=$J$5,0,CONTADORES!BS207-CONTADORES!BS206)</f>
        <v>0</v>
      </c>
      <c r="BU203" s="1409">
        <f ca="1">IF(B203&gt;=$J$5,0,CONTADORES!BT207-CONTADORES!BT206)</f>
        <v>0</v>
      </c>
      <c r="BV203" s="1409">
        <f ca="1">IF(B203&gt;=$J$5,0,CONTADORES!BU207-CONTADORES!BU206)/1000</f>
        <v>0</v>
      </c>
      <c r="BW203" s="1409">
        <f ca="1">IF(B203&gt;=$J$5,0,CONTADORES!BV207-CONTADORES!BV206)/1000</f>
        <v>0</v>
      </c>
      <c r="BX203" s="1409">
        <f ca="1">IF(B203&gt;=$J$5,0,CONTADORES!BW207-CONTADORES!BW206)</f>
        <v>0</v>
      </c>
      <c r="BY203" s="1409">
        <f ca="1">IF(B203&gt;=$J$5,0,CONTADORES!BX207-CONTADORES!BX206)/1000</f>
        <v>0</v>
      </c>
      <c r="BZ203" s="1409">
        <f ca="1">IF(B203&gt;=$J$5,0,CONTADORES!BY207-CONTADORES!BY206)/1000</f>
        <v>0</v>
      </c>
      <c r="CA203" s="1409">
        <f ca="1">IF(B203&gt;=$J$5,0,CONTADORES!BZ207-CONTADORES!BZ206)</f>
        <v>0</v>
      </c>
      <c r="CB203" s="1409">
        <f ca="1">IF(B203&gt;=$J$5,0,(CONTADORES!CC207-CONTADORES!CC206)+(CONTADORES!CE207-CONTADORES!CE206))/1000</f>
        <v>0</v>
      </c>
      <c r="CC203" s="1409">
        <f ca="1">IF(B203&gt;=$J$5,0,(CONTADORES!CD207-CONTADORES!CD206)+(CONTADORES!CF207-CONTADORES!CF206))/1000</f>
        <v>0</v>
      </c>
      <c r="CD203" s="1409">
        <f ca="1">IF(B203&gt;=$J$5,0,CONTADORES!CA207-CONTADORES!CA206)</f>
        <v>0</v>
      </c>
      <c r="CE203" s="1409">
        <f ca="1">IF(B203&gt;=$J$5,0,CONTADORES!CB207-CONTADORES!CB206)</f>
        <v>0</v>
      </c>
      <c r="CF203" s="1409">
        <f t="shared" ref="CF203:CF266" ca="1" si="116">CD203+CH203</f>
        <v>0</v>
      </c>
      <c r="CG203" s="1409">
        <f t="shared" ref="CG203:CG266" ca="1" si="117">CN203+CM203</f>
        <v>0</v>
      </c>
      <c r="CH203" s="1409">
        <f t="shared" ref="CH203:CH266" ca="1" si="118">(AM203*0.5)</f>
        <v>0</v>
      </c>
      <c r="CI203" s="1409">
        <f t="shared" ref="CI203:CI266" ca="1" si="119">(AN203*0.4)</f>
        <v>0</v>
      </c>
      <c r="CJ203" s="1409">
        <f t="shared" ref="CJ203:CJ266" ca="1" si="120">AM203-CH203</f>
        <v>0</v>
      </c>
      <c r="CK203" s="1409">
        <f t="shared" ref="CK203:CK266" ca="1" si="121">AN203-CI203</f>
        <v>0</v>
      </c>
      <c r="CL203" s="1409">
        <f t="shared" ref="CL203:CL266" ca="1" si="122">CB203+CI203</f>
        <v>0</v>
      </c>
      <c r="CM203" s="1409">
        <f t="shared" ref="CM203:CM266" ca="1" si="123">(BB203*0.5)</f>
        <v>0</v>
      </c>
      <c r="CN203" s="1409">
        <f ca="1">IF(B203&gt;=$J$5,0,CONTADORES!CB207-CONTADORES!CB206)</f>
        <v>0</v>
      </c>
      <c r="CO203" s="1409">
        <f t="shared" ref="CO203:CO266" ca="1" si="124">BB203-CM203</f>
        <v>0</v>
      </c>
      <c r="CP203" s="1409">
        <f t="shared" ref="CP203:CP266" ca="1" si="125">BC203*0.5</f>
        <v>0</v>
      </c>
      <c r="CQ203" s="1409">
        <f t="shared" ref="CQ203:CQ266" ca="1" si="126">BC203-CP203</f>
        <v>0</v>
      </c>
      <c r="CR203" s="1409">
        <f t="shared" ref="CR203:CR266" ca="1" si="127">CC203+CP203</f>
        <v>0</v>
      </c>
      <c r="CS203" s="1409">
        <f ca="1">IF($B203&gt;=$J$5,0,CONTADORES!$BI207)</f>
        <v>0</v>
      </c>
      <c r="CT203" s="1369">
        <f>CONTADORES!E207</f>
        <v>0</v>
      </c>
      <c r="CU203" s="1369">
        <f>CONTADORES!CG207</f>
        <v>0</v>
      </c>
    </row>
    <row r="204" spans="2:99">
      <c r="B204" s="390">
        <v>45120</v>
      </c>
      <c r="C204" s="198">
        <f t="shared" ca="1" si="101"/>
        <v>0</v>
      </c>
      <c r="D204" s="196">
        <f ca="1">'CALCULO DE GAS'!P16</f>
        <v>0</v>
      </c>
      <c r="E204" s="196">
        <f ca="1">IF(B204&gt;=$J$5,0,(CONTADORES!$AD208-CONTADORES!$AD207)-$H204)</f>
        <v>0</v>
      </c>
      <c r="F204" s="198">
        <f t="shared" ca="1" si="100"/>
        <v>0</v>
      </c>
      <c r="G204" s="196">
        <f ca="1">IF(B204&gt;=$J$5,0,CONTADORES!$AF208-CONTADORES!$AF207)</f>
        <v>0</v>
      </c>
      <c r="H204" s="196">
        <f ca="1">IF(G204&gt;0,CONTADORES!$AE208-CONTADORES!$AE207,0)</f>
        <v>0</v>
      </c>
      <c r="I204" s="199">
        <f ca="1">IF(B204&gt;=$J$5,0,CONTADORES!$AB208-CONTADORES!$AB207)</f>
        <v>0</v>
      </c>
      <c r="J204" s="198">
        <f t="shared" ca="1" si="102"/>
        <v>0</v>
      </c>
      <c r="K204" s="196">
        <f ca="1">'CALCULO DE GAS'!Q16</f>
        <v>0</v>
      </c>
      <c r="L204" s="1396">
        <f ca="1">IF(B204&gt;=$J$5,0,(CONTADORES!$Y208-CONTADORES!$Y207)-$O204)</f>
        <v>0</v>
      </c>
      <c r="M204" s="1396">
        <f t="shared" ca="1" si="98"/>
        <v>0</v>
      </c>
      <c r="N204" s="1396">
        <f ca="1">IF(B204&gt;=$J$5,0,CONTADORES!$AA208-CONTADORES!$AA207)</f>
        <v>0</v>
      </c>
      <c r="O204" s="1396">
        <f ca="1">IF(N204&gt;0,CONTADORES!$Z208-CONTADORES!$Z207,0)</f>
        <v>0</v>
      </c>
      <c r="P204" s="202">
        <f ca="1">IF(B204&gt;=$J$5,0,CONTADORES!$W208-CONTADORES!$W207)</f>
        <v>0</v>
      </c>
      <c r="Q204" s="202">
        <f ca="1">IF(B204&gt;=$J$5,0,CONTADORES!$B208-CONTADORES!$B207)</f>
        <v>0</v>
      </c>
      <c r="R204" s="196">
        <f t="shared" ca="1" si="103"/>
        <v>0</v>
      </c>
      <c r="S204" s="11">
        <f ca="1">IF(B204&gt;=$J$5,0,CONTADORES!$D208-CONTADORES!$D207)</f>
        <v>0</v>
      </c>
      <c r="T204" s="198">
        <f ca="1">IF(B204&gt;=$J$5,0,CONTADORES!$BB208-CONTADORES!$BB207)</f>
        <v>0</v>
      </c>
      <c r="U204" s="196">
        <f t="shared" ca="1" si="97"/>
        <v>0</v>
      </c>
      <c r="V204" s="199">
        <f ca="1">IF(B204&gt;=$J$5,0,CONTADORES!$BD208-CONTADORES!$BD207)</f>
        <v>0</v>
      </c>
      <c r="W204" s="1397">
        <f t="shared" ca="1" si="104"/>
        <v>0</v>
      </c>
      <c r="X204" s="1397">
        <f t="shared" ca="1" si="105"/>
        <v>0</v>
      </c>
      <c r="Y204" s="1398">
        <f t="shared" ca="1" si="106"/>
        <v>0</v>
      </c>
      <c r="Z204" s="1398">
        <f t="shared" ca="1" si="107"/>
        <v>0</v>
      </c>
      <c r="AA204" s="1398">
        <f t="shared" ca="1" si="108"/>
        <v>0</v>
      </c>
      <c r="AB204" s="1398">
        <f t="shared" ca="1" si="109"/>
        <v>0</v>
      </c>
      <c r="AC204" s="1397">
        <f t="shared" ca="1" si="110"/>
        <v>0</v>
      </c>
      <c r="AD204" s="1397">
        <f ca="1">IF(B204&gt;=$J$5,0,CONTADORES!H208-CONTADORES!H207)</f>
        <v>0</v>
      </c>
      <c r="AE204" s="1397">
        <f ca="1">IF(B204&gt;=$J$5,0,CONTADORES!J208-CONTADORES!J207)</f>
        <v>0</v>
      </c>
      <c r="AF204" s="1397">
        <f ca="1">IF(B204&gt;=$J$5,0,CONTADORES!AU208-CONTADORES!AU207)</f>
        <v>0</v>
      </c>
      <c r="AG204" s="1397">
        <f ca="1">IF(B204&gt;=$J$5,0,CONTADORES!AW208-CONTADORES!AW207)</f>
        <v>0</v>
      </c>
      <c r="AH204" s="1398">
        <f ca="1">IF(B204&gt;=$J$5,0,(CONTADORES!AM208-CONTADORES!AM207)+(CONTADORES!M208-CONTADORES!M207))</f>
        <v>0</v>
      </c>
      <c r="AI204" s="1397">
        <f ca="1">IF(B204&gt;=$J$5,0,(CONTADORES!AK208-CONTADORES!AK207)+(CONTADORES!O208-CONTADORES!O207))</f>
        <v>0</v>
      </c>
      <c r="AJ204" s="1397">
        <f ca="1">IF(B204&gt;=$J$5,0,(CONTADORES!AI208-CONTADORES!AI207))</f>
        <v>0</v>
      </c>
      <c r="AK204" s="1397">
        <f ca="1">IF(B204&gt;=$J$5,0,(CONTADORES!Q208-CONTADORES!Q207))</f>
        <v>0</v>
      </c>
      <c r="AL204" s="1461">
        <f t="shared" ca="1" si="111"/>
        <v>0</v>
      </c>
      <c r="AM204" s="1397">
        <f ca="1">IF(B204&gt;=$J$5,0,(((CONTADORES!F208-CONTADORES!F207)+(CONTADORES!AQ208-CONTADORES!AQ207))))-BS204-AF204-AN204-BV204-BY204-CD204-CB204</f>
        <v>0</v>
      </c>
      <c r="AN204" s="1397">
        <f ca="1">IF(B204&gt;=$J$5,0,(CONTADORES!AX208-CONTADORES!AX207)+(CONTADORES!AZ208-CONTADORES!AZ207)+(CONTADORES!BE208-CONTADORES!BE207))-CB204</f>
        <v>0</v>
      </c>
      <c r="AO204" s="1399">
        <f>(CONTADORES!AC208-CONTADORES!AC207)</f>
        <v>0</v>
      </c>
      <c r="AP204" s="1399">
        <f>(CONTADORES!X208-CONTADORES!X207)</f>
        <v>0</v>
      </c>
      <c r="AQ204" s="1404">
        <f ca="1">IF(B204&gt;=$J$5,0,(CONTADORES!C208-CONTADORES!C207))</f>
        <v>0</v>
      </c>
      <c r="AR204" s="1399">
        <f ca="1">AR203+(CONTADORES!BC208-CONTADORES!BC207)</f>
        <v>0</v>
      </c>
      <c r="AS204" s="1397">
        <f ca="1">IF(B204&gt;=$J$5,0,CONTADORES!S208-CONTADORES!S207)</f>
        <v>0</v>
      </c>
      <c r="AT204" s="1397">
        <f ca="1">IF(B204&gt;=$J$5,0,(CONTADORES!U208-CONTADORES!U207)+(CONTADORES!AG208-CONTADORES!AG207))</f>
        <v>0</v>
      </c>
      <c r="AU204" s="1433">
        <f>CONTADORES!I208-CONTADORES!I207</f>
        <v>0</v>
      </c>
      <c r="AV204" s="1399">
        <f>CONTADORES!AV208-CONTADORES!AV207</f>
        <v>0</v>
      </c>
      <c r="AW204" s="1399">
        <f ca="1">IF(B204&gt;=$J$5,0,(CONTADORES!N208-CONTADORES!N207)+(CONTADORES!AN208-CONTADORES!AN207))</f>
        <v>0</v>
      </c>
      <c r="AX204" s="1399">
        <f ca="1">IF(B204&gt;=$J$5,0,(CONTADORES!P208-CONTADORES!P207)+(CONTADORES!AL208-CONTADORES!AL207))</f>
        <v>0</v>
      </c>
      <c r="AY204" s="1399">
        <f ca="1">IF(B204&gt;=$J$5,0,(CONTADORES!AJ208-CONTADORES!AJ207))</f>
        <v>0</v>
      </c>
      <c r="AZ204" s="1399">
        <f ca="1">IF(B204&gt;=$J$5,0,(CONTADORES!R208-CONTADORES!R207))</f>
        <v>0</v>
      </c>
      <c r="BA204" s="1409">
        <f t="shared" ca="1" si="112"/>
        <v>0</v>
      </c>
      <c r="BB204" s="1433">
        <f ca="1">IF(B204&gt;=$J$5,0,(((CONTADORES!G208-CONTADORES!G207)+(CONTADORES!AR208-CONTADORES!AR207)+AR204)-(AV204+BC204)))</f>
        <v>0</v>
      </c>
      <c r="BC204" s="1397">
        <f ca="1">IF(B204&gt;=$J$5,0,(CONTADORES!AY208-CONTADORES!AY207)+(CONTADORES!BA208-CONTADORES!BA207)+(CONTADORES!BF208-CONTADORES!BF207))</f>
        <v>0</v>
      </c>
      <c r="BD204" s="1397">
        <f t="shared" ca="1" si="113"/>
        <v>0</v>
      </c>
      <c r="BE204" s="1398">
        <f ca="1">IF($B204&gt;=$J$5,0,CONTADORES!$BG208)</f>
        <v>0</v>
      </c>
      <c r="BF204" s="1397">
        <f ca="1">IF($B204&gt;=$J$5,0,CONTADORES!$BH208)</f>
        <v>0</v>
      </c>
      <c r="BG204" s="1397">
        <f ca="1">IF($B204&gt;=$J$5,0,CONTADORES!$BJ208)</f>
        <v>0</v>
      </c>
      <c r="BH204" s="1397">
        <f ca="1">IF(B204&gt;=$J$5,0,((CONTADORES!BK208-CONTADORES!BK207)/1000))</f>
        <v>0</v>
      </c>
      <c r="BI204" s="1397">
        <f ca="1">IF(C204&gt;=$J$5,0,((CONTADORES!BL208-CONTADORES!BL207)/1000))</f>
        <v>0</v>
      </c>
      <c r="BJ204" s="1397">
        <f ca="1">IF(C204&gt;=$J$5,0,((CONTADORES!BM208-CONTADORES!BM207)/1000))</f>
        <v>0</v>
      </c>
      <c r="BK204" s="1397">
        <f ca="1">IF(D204&gt;=$J$5,0,((CONTADORES!BN208-CONTADORES!BN207)/1000))</f>
        <v>0</v>
      </c>
      <c r="BL204" s="1399">
        <f t="shared" ca="1" si="114"/>
        <v>0</v>
      </c>
      <c r="BM204" s="1399">
        <f t="shared" ca="1" si="115"/>
        <v>0</v>
      </c>
      <c r="BN204" s="1398">
        <f ca="1">IF(W204&gt;=$J$5,0,CONTADORES!$BO208)</f>
        <v>0</v>
      </c>
      <c r="BO204" s="1397">
        <f ca="1">IF(W204&gt;=$J$5,0,CONTADORES!$BP208)</f>
        <v>0</v>
      </c>
      <c r="BP204" s="1397">
        <f ca="1">IF(W204&gt;=$J$5,0,CONTADORES!$BQ208)</f>
        <v>0</v>
      </c>
      <c r="BQ204" s="1397">
        <f ca="1">IF(B204&gt;=$J$5,0,(CONTADORES!AS208-CONTADORES!AS207))</f>
        <v>0</v>
      </c>
      <c r="BR204" s="1397">
        <f ca="1">IF(C204&gt;=$J$5,0,(CONTADORES!AT208-CONTADORES!AT207))</f>
        <v>0</v>
      </c>
      <c r="BS204" s="1409">
        <f ca="1">IF(B204&gt;=$J$5,0,CONTADORES!BR208-CONTADORES!BR207)/1000</f>
        <v>0</v>
      </c>
      <c r="BT204" s="1409">
        <f ca="1">IF(B204&gt;=$J$5,0,CONTADORES!BS208-CONTADORES!BS207)</f>
        <v>0</v>
      </c>
      <c r="BU204" s="1409">
        <f ca="1">IF(B204&gt;=$J$5,0,CONTADORES!BT208-CONTADORES!BT207)</f>
        <v>0</v>
      </c>
      <c r="BV204" s="1409">
        <f ca="1">IF(B204&gt;=$J$5,0,CONTADORES!BU208-CONTADORES!BU207)/1000</f>
        <v>0</v>
      </c>
      <c r="BW204" s="1409">
        <f ca="1">IF(B204&gt;=$J$5,0,CONTADORES!BV208-CONTADORES!BV207)/1000</f>
        <v>0</v>
      </c>
      <c r="BX204" s="1409">
        <f ca="1">IF(B204&gt;=$J$5,0,CONTADORES!BW208-CONTADORES!BW207)</f>
        <v>0</v>
      </c>
      <c r="BY204" s="1409">
        <f ca="1">IF(B204&gt;=$J$5,0,CONTADORES!BX208-CONTADORES!BX207)/1000</f>
        <v>0</v>
      </c>
      <c r="BZ204" s="1409">
        <f ca="1">IF(B204&gt;=$J$5,0,CONTADORES!BY208-CONTADORES!BY207)/1000</f>
        <v>0</v>
      </c>
      <c r="CA204" s="1409">
        <f ca="1">IF(B204&gt;=$J$5,0,CONTADORES!BZ208-CONTADORES!BZ207)</f>
        <v>0</v>
      </c>
      <c r="CB204" s="1409">
        <f ca="1">IF(B204&gt;=$J$5,0,(CONTADORES!CC208-CONTADORES!CC207)+(CONTADORES!CE208-CONTADORES!CE207))/1000</f>
        <v>0</v>
      </c>
      <c r="CC204" s="1409">
        <f ca="1">IF(B204&gt;=$J$5,0,(CONTADORES!CD208-CONTADORES!CD207)+(CONTADORES!CF208-CONTADORES!CF207))/1000</f>
        <v>0</v>
      </c>
      <c r="CD204" s="1409">
        <f ca="1">IF(B204&gt;=$J$5,0,CONTADORES!CA208-CONTADORES!CA207)</f>
        <v>0</v>
      </c>
      <c r="CE204" s="1409">
        <f ca="1">IF(B204&gt;=$J$5,0,CONTADORES!CB208-CONTADORES!CB207)</f>
        <v>0</v>
      </c>
      <c r="CF204" s="1409">
        <f t="shared" ca="1" si="116"/>
        <v>0</v>
      </c>
      <c r="CG204" s="1409">
        <f t="shared" ca="1" si="117"/>
        <v>0</v>
      </c>
      <c r="CH204" s="1409">
        <f t="shared" ca="1" si="118"/>
        <v>0</v>
      </c>
      <c r="CI204" s="1409">
        <f t="shared" ca="1" si="119"/>
        <v>0</v>
      </c>
      <c r="CJ204" s="1409">
        <f t="shared" ca="1" si="120"/>
        <v>0</v>
      </c>
      <c r="CK204" s="1409">
        <f t="shared" ca="1" si="121"/>
        <v>0</v>
      </c>
      <c r="CL204" s="1409">
        <f t="shared" ca="1" si="122"/>
        <v>0</v>
      </c>
      <c r="CM204" s="1409">
        <f t="shared" ca="1" si="123"/>
        <v>0</v>
      </c>
      <c r="CN204" s="1409">
        <f ca="1">IF(B204&gt;=$J$5,0,CONTADORES!CB208-CONTADORES!CB207)</f>
        <v>0</v>
      </c>
      <c r="CO204" s="1409">
        <f t="shared" ca="1" si="124"/>
        <v>0</v>
      </c>
      <c r="CP204" s="1409">
        <f t="shared" ca="1" si="125"/>
        <v>0</v>
      </c>
      <c r="CQ204" s="1409">
        <f t="shared" ca="1" si="126"/>
        <v>0</v>
      </c>
      <c r="CR204" s="1409">
        <f t="shared" ca="1" si="127"/>
        <v>0</v>
      </c>
      <c r="CS204" s="1409">
        <f ca="1">IF($B204&gt;=$J$5,0,CONTADORES!$BI208)</f>
        <v>0</v>
      </c>
      <c r="CT204" s="1369">
        <f>CONTADORES!E208</f>
        <v>0</v>
      </c>
      <c r="CU204" s="1369">
        <f>CONTADORES!CG208</f>
        <v>0</v>
      </c>
    </row>
    <row r="205" spans="2:99">
      <c r="B205" s="390">
        <v>45121</v>
      </c>
      <c r="C205" s="198">
        <f t="shared" ca="1" si="101"/>
        <v>0</v>
      </c>
      <c r="D205" s="196">
        <f ca="1">'CALCULO DE GAS'!P17</f>
        <v>0</v>
      </c>
      <c r="E205" s="196">
        <f ca="1">IF(B205&gt;=$J$5,0,(CONTADORES!$AD209-CONTADORES!$AD208)-$H205)</f>
        <v>0</v>
      </c>
      <c r="F205" s="198">
        <f t="shared" ca="1" si="100"/>
        <v>0</v>
      </c>
      <c r="G205" s="196">
        <f ca="1">IF(B205&gt;=$J$5,0,CONTADORES!$AF209-CONTADORES!$AF208)</f>
        <v>0</v>
      </c>
      <c r="H205" s="196">
        <f ca="1">IF(G205&gt;0,CONTADORES!$AE209-CONTADORES!$AE208,0)</f>
        <v>0</v>
      </c>
      <c r="I205" s="199">
        <f ca="1">IF(B205&gt;=$J$5,0,CONTADORES!$AB209-CONTADORES!$AB208)</f>
        <v>0</v>
      </c>
      <c r="J205" s="198">
        <f t="shared" ca="1" si="102"/>
        <v>0</v>
      </c>
      <c r="K205" s="196">
        <f ca="1">'CALCULO DE GAS'!Q17</f>
        <v>0</v>
      </c>
      <c r="L205" s="1396">
        <f ca="1">IF(B205&gt;=$J$5,0,(CONTADORES!$Y209-CONTADORES!$Y208)-$O205)</f>
        <v>0</v>
      </c>
      <c r="M205" s="1396">
        <f t="shared" ref="M205:M225" ca="1" si="128">IF(O205=0,0,"ERROR")</f>
        <v>0</v>
      </c>
      <c r="N205" s="1396">
        <f ca="1">IF(B205&gt;=$J$5,0,CONTADORES!$AA209-CONTADORES!$AA208)</f>
        <v>0</v>
      </c>
      <c r="O205" s="1396">
        <f ca="1">IF(N205&gt;0,CONTADORES!$Z209-CONTADORES!$Z208,0)</f>
        <v>0</v>
      </c>
      <c r="P205" s="202">
        <f ca="1">IF(B205&gt;=$J$5,0,CONTADORES!$W209-CONTADORES!$W208)</f>
        <v>0</v>
      </c>
      <c r="Q205" s="202">
        <f ca="1">IF(B205&gt;=$J$5,0,CONTADORES!$B209-CONTADORES!$B208)</f>
        <v>0</v>
      </c>
      <c r="R205" s="196">
        <f t="shared" ca="1" si="103"/>
        <v>0</v>
      </c>
      <c r="S205" s="11">
        <f ca="1">IF(B205&gt;=$J$5,0,CONTADORES!$D209-CONTADORES!$D208)</f>
        <v>0</v>
      </c>
      <c r="T205" s="198">
        <f ca="1">IF(B205&gt;=$J$5,0,CONTADORES!$BB209-CONTADORES!$BB208)</f>
        <v>0</v>
      </c>
      <c r="U205" s="196">
        <f t="shared" ca="1" si="97"/>
        <v>0</v>
      </c>
      <c r="V205" s="199">
        <f ca="1">IF(B205&gt;=$J$5,0,CONTADORES!$BD209-CONTADORES!$BD208)</f>
        <v>0</v>
      </c>
      <c r="W205" s="1397">
        <f t="shared" ca="1" si="104"/>
        <v>0</v>
      </c>
      <c r="X205" s="1397">
        <f t="shared" ca="1" si="105"/>
        <v>0</v>
      </c>
      <c r="Y205" s="1398">
        <f t="shared" ca="1" si="106"/>
        <v>0</v>
      </c>
      <c r="Z205" s="1398">
        <f t="shared" ca="1" si="107"/>
        <v>0</v>
      </c>
      <c r="AA205" s="1398">
        <f t="shared" ca="1" si="108"/>
        <v>0</v>
      </c>
      <c r="AB205" s="1398">
        <f t="shared" ca="1" si="109"/>
        <v>0</v>
      </c>
      <c r="AC205" s="1397">
        <f t="shared" ca="1" si="110"/>
        <v>0</v>
      </c>
      <c r="AD205" s="1397">
        <f ca="1">IF(B205&gt;=$J$5,0,CONTADORES!H209-CONTADORES!H208)</f>
        <v>0</v>
      </c>
      <c r="AE205" s="1397">
        <f ca="1">IF(B205&gt;=$J$5,0,CONTADORES!J209-CONTADORES!J208)</f>
        <v>0</v>
      </c>
      <c r="AF205" s="1397">
        <f ca="1">IF(B205&gt;=$J$5,0,CONTADORES!AU209-CONTADORES!AU208)</f>
        <v>0</v>
      </c>
      <c r="AG205" s="1397">
        <f ca="1">IF(B205&gt;=$J$5,0,CONTADORES!AW209-CONTADORES!AW208)</f>
        <v>0</v>
      </c>
      <c r="AH205" s="1398">
        <f ca="1">IF(B205&gt;=$J$5,0,(CONTADORES!AM209-CONTADORES!AM208)+(CONTADORES!M209-CONTADORES!M208))</f>
        <v>0</v>
      </c>
      <c r="AI205" s="1397">
        <f ca="1">IF(B205&gt;=$J$5,0,(CONTADORES!AK209-CONTADORES!AK208)+(CONTADORES!O209-CONTADORES!O208))</f>
        <v>0</v>
      </c>
      <c r="AJ205" s="1397">
        <f ca="1">IF(B205&gt;=$J$5,0,(CONTADORES!AI209-CONTADORES!AI208))</f>
        <v>0</v>
      </c>
      <c r="AK205" s="1397">
        <f ca="1">IF(B205&gt;=$J$5,0,(CONTADORES!Q209-CONTADORES!Q208))</f>
        <v>0</v>
      </c>
      <c r="AL205" s="1461">
        <f t="shared" ca="1" si="111"/>
        <v>0</v>
      </c>
      <c r="AM205" s="1397">
        <f ca="1">IF(B205&gt;=$J$5,0,(((CONTADORES!F209-CONTADORES!F208)+(CONTADORES!AQ209-CONTADORES!AQ208))))-BS205-AF205-AN205-BV205-BY205-CD205-CB205</f>
        <v>0</v>
      </c>
      <c r="AN205" s="1397">
        <f ca="1">IF(B205&gt;=$J$5,0,(CONTADORES!AX209-CONTADORES!AX208)+(CONTADORES!AZ209-CONTADORES!AZ208)+(CONTADORES!BE209-CONTADORES!BE208))-CB205</f>
        <v>0</v>
      </c>
      <c r="AO205" s="1399">
        <f>(CONTADORES!AC209-CONTADORES!AC208)</f>
        <v>0</v>
      </c>
      <c r="AP205" s="1399">
        <f>(CONTADORES!X209-CONTADORES!X208)</f>
        <v>0</v>
      </c>
      <c r="AQ205" s="1404">
        <f ca="1">IF(B205&gt;=$J$5,0,(CONTADORES!C209-CONTADORES!C208))</f>
        <v>0</v>
      </c>
      <c r="AR205" s="1399">
        <f ca="1">AR204+(CONTADORES!BC209-CONTADORES!BC208)</f>
        <v>0</v>
      </c>
      <c r="AS205" s="1397">
        <f ca="1">IF(B205&gt;=$J$5,0,CONTADORES!S209-CONTADORES!S208)</f>
        <v>0</v>
      </c>
      <c r="AT205" s="1397">
        <f ca="1">IF(B205&gt;=$J$5,0,(CONTADORES!U209-CONTADORES!U208)+(CONTADORES!AG209-CONTADORES!AG208))</f>
        <v>0</v>
      </c>
      <c r="AU205" s="1433">
        <f>CONTADORES!I209-CONTADORES!I208</f>
        <v>0</v>
      </c>
      <c r="AV205" s="1399">
        <f>CONTADORES!AV209-CONTADORES!AV208</f>
        <v>0</v>
      </c>
      <c r="AW205" s="1399">
        <f ca="1">IF(B205&gt;=$J$5,0,(CONTADORES!N209-CONTADORES!N208)+(CONTADORES!AN209-CONTADORES!AN208))</f>
        <v>0</v>
      </c>
      <c r="AX205" s="1399">
        <f ca="1">IF(B205&gt;=$J$5,0,(CONTADORES!P209-CONTADORES!P208)+(CONTADORES!AL209-CONTADORES!AL208))</f>
        <v>0</v>
      </c>
      <c r="AY205" s="1399">
        <f ca="1">IF(B205&gt;=$J$5,0,(CONTADORES!AJ209-CONTADORES!AJ208))</f>
        <v>0</v>
      </c>
      <c r="AZ205" s="1399">
        <f ca="1">IF(B205&gt;=$J$5,0,(CONTADORES!R209-CONTADORES!R208))</f>
        <v>0</v>
      </c>
      <c r="BA205" s="1409">
        <f t="shared" ca="1" si="112"/>
        <v>0</v>
      </c>
      <c r="BB205" s="1433">
        <f ca="1">IF(B205&gt;=$J$5,0,(((CONTADORES!G209-CONTADORES!G208)+(CONTADORES!AR209-CONTADORES!AR208)+AR205)-(AV205+BC205)))</f>
        <v>0</v>
      </c>
      <c r="BC205" s="1397">
        <f ca="1">IF(B205&gt;=$J$5,0,(CONTADORES!AY209-CONTADORES!AY208)+(CONTADORES!BA209-CONTADORES!BA208)+(CONTADORES!BF209-CONTADORES!BF208))</f>
        <v>0</v>
      </c>
      <c r="BD205" s="1397">
        <f t="shared" ca="1" si="113"/>
        <v>0</v>
      </c>
      <c r="BE205" s="1398">
        <f ca="1">IF($B205&gt;=$J$5,0,CONTADORES!$BG209)</f>
        <v>0</v>
      </c>
      <c r="BF205" s="1397">
        <f ca="1">IF($B205&gt;=$J$5,0,CONTADORES!$BH209)</f>
        <v>0</v>
      </c>
      <c r="BG205" s="1397">
        <f ca="1">IF($B205&gt;=$J$5,0,CONTADORES!$BJ209)</f>
        <v>0</v>
      </c>
      <c r="BH205" s="1397">
        <f ca="1">IF(B205&gt;=$J$5,0,((CONTADORES!BK209-CONTADORES!BK208)/1000))</f>
        <v>0</v>
      </c>
      <c r="BI205" s="1397">
        <f ca="1">IF(C205&gt;=$J$5,0,((CONTADORES!BL209-CONTADORES!BL208)/1000))</f>
        <v>0</v>
      </c>
      <c r="BJ205" s="1397">
        <f ca="1">IF(C205&gt;=$J$5,0,((CONTADORES!BM209-CONTADORES!BM208)/1000))</f>
        <v>0</v>
      </c>
      <c r="BK205" s="1397">
        <f ca="1">IF(D205&gt;=$J$5,0,((CONTADORES!BN209-CONTADORES!BN208)/1000))</f>
        <v>0</v>
      </c>
      <c r="BL205" s="1399">
        <f t="shared" ca="1" si="114"/>
        <v>0</v>
      </c>
      <c r="BM205" s="1399">
        <f t="shared" ca="1" si="115"/>
        <v>0</v>
      </c>
      <c r="BN205" s="1398">
        <f ca="1">IF(W205&gt;=$J$5,0,CONTADORES!$BO209)</f>
        <v>0</v>
      </c>
      <c r="BO205" s="1397">
        <f ca="1">IF(W205&gt;=$J$5,0,CONTADORES!$BP209)</f>
        <v>0</v>
      </c>
      <c r="BP205" s="1397">
        <f ca="1">IF(W205&gt;=$J$5,0,CONTADORES!$BQ209)</f>
        <v>0</v>
      </c>
      <c r="BQ205" s="1397">
        <f ca="1">IF(B205&gt;=$J$5,0,(CONTADORES!AS209-CONTADORES!AS208))</f>
        <v>0</v>
      </c>
      <c r="BR205" s="1397">
        <f ca="1">IF(C205&gt;=$J$5,0,(CONTADORES!AT209-CONTADORES!AT208))</f>
        <v>0</v>
      </c>
      <c r="BS205" s="1409">
        <f ca="1">IF(B205&gt;=$J$5,0,CONTADORES!BR209-CONTADORES!BR208)/1000</f>
        <v>0</v>
      </c>
      <c r="BT205" s="1409">
        <f ca="1">IF(B205&gt;=$J$5,0,CONTADORES!BS209-CONTADORES!BS208)</f>
        <v>0</v>
      </c>
      <c r="BU205" s="1409">
        <f ca="1">IF(B205&gt;=$J$5,0,CONTADORES!BT209-CONTADORES!BT208)</f>
        <v>0</v>
      </c>
      <c r="BV205" s="1409">
        <f ca="1">IF(B205&gt;=$J$5,0,CONTADORES!BU209-CONTADORES!BU208)/1000</f>
        <v>0</v>
      </c>
      <c r="BW205" s="1409">
        <f ca="1">IF(B205&gt;=$J$5,0,CONTADORES!BV209-CONTADORES!BV208)/1000</f>
        <v>0</v>
      </c>
      <c r="BX205" s="1409">
        <f ca="1">IF(B205&gt;=$J$5,0,CONTADORES!BW209-CONTADORES!BW208)</f>
        <v>0</v>
      </c>
      <c r="BY205" s="1409">
        <f ca="1">IF(B205&gt;=$J$5,0,CONTADORES!BX209-CONTADORES!BX208)/1000</f>
        <v>0</v>
      </c>
      <c r="BZ205" s="1409">
        <f ca="1">IF(B205&gt;=$J$5,0,CONTADORES!BY209-CONTADORES!BY208)/1000</f>
        <v>0</v>
      </c>
      <c r="CA205" s="1409">
        <f ca="1">IF(B205&gt;=$J$5,0,CONTADORES!BZ209-CONTADORES!BZ208)</f>
        <v>0</v>
      </c>
      <c r="CB205" s="1409">
        <f ca="1">IF(B205&gt;=$J$5,0,(CONTADORES!CC209-CONTADORES!CC208)+(CONTADORES!CE209-CONTADORES!CE208))/1000</f>
        <v>0</v>
      </c>
      <c r="CC205" s="1409">
        <f ca="1">IF(B205&gt;=$J$5,0,(CONTADORES!CD209-CONTADORES!CD208)+(CONTADORES!CF209-CONTADORES!CF208))/1000</f>
        <v>0</v>
      </c>
      <c r="CD205" s="1409">
        <f ca="1">IF(B205&gt;=$J$5,0,CONTADORES!CA209-CONTADORES!CA208)</f>
        <v>0</v>
      </c>
      <c r="CE205" s="1409">
        <f ca="1">IF(B205&gt;=$J$5,0,CONTADORES!CB209-CONTADORES!CB208)</f>
        <v>0</v>
      </c>
      <c r="CF205" s="1409">
        <f t="shared" ca="1" si="116"/>
        <v>0</v>
      </c>
      <c r="CG205" s="1409">
        <f t="shared" ca="1" si="117"/>
        <v>0</v>
      </c>
      <c r="CH205" s="1409">
        <f t="shared" ca="1" si="118"/>
        <v>0</v>
      </c>
      <c r="CI205" s="1409">
        <f t="shared" ca="1" si="119"/>
        <v>0</v>
      </c>
      <c r="CJ205" s="1409">
        <f t="shared" ca="1" si="120"/>
        <v>0</v>
      </c>
      <c r="CK205" s="1409">
        <f t="shared" ca="1" si="121"/>
        <v>0</v>
      </c>
      <c r="CL205" s="1409">
        <f t="shared" ca="1" si="122"/>
        <v>0</v>
      </c>
      <c r="CM205" s="1409">
        <f t="shared" ca="1" si="123"/>
        <v>0</v>
      </c>
      <c r="CN205" s="1409">
        <f ca="1">IF(B205&gt;=$J$5,0,CONTADORES!CB209-CONTADORES!CB208)</f>
        <v>0</v>
      </c>
      <c r="CO205" s="1409">
        <f t="shared" ca="1" si="124"/>
        <v>0</v>
      </c>
      <c r="CP205" s="1409">
        <f t="shared" ca="1" si="125"/>
        <v>0</v>
      </c>
      <c r="CQ205" s="1409">
        <f t="shared" ca="1" si="126"/>
        <v>0</v>
      </c>
      <c r="CR205" s="1409">
        <f t="shared" ca="1" si="127"/>
        <v>0</v>
      </c>
      <c r="CS205" s="1409">
        <f ca="1">IF($B205&gt;=$J$5,0,CONTADORES!$BI209)</f>
        <v>0</v>
      </c>
      <c r="CT205" s="1369">
        <f>CONTADORES!E209</f>
        <v>0</v>
      </c>
      <c r="CU205" s="1369">
        <f>CONTADORES!CG209</f>
        <v>0</v>
      </c>
    </row>
    <row r="206" spans="2:99">
      <c r="B206" s="390">
        <v>45122</v>
      </c>
      <c r="C206" s="198">
        <f t="shared" ca="1" si="101"/>
        <v>0</v>
      </c>
      <c r="D206" s="196">
        <f ca="1">'CALCULO DE GAS'!P18</f>
        <v>0</v>
      </c>
      <c r="E206" s="196">
        <f ca="1">IF(B206&gt;=$J$5,0,(CONTADORES!$AD210-CONTADORES!$AD209)-$H206)</f>
        <v>0</v>
      </c>
      <c r="F206" s="198">
        <f t="shared" ca="1" si="100"/>
        <v>0</v>
      </c>
      <c r="G206" s="196">
        <f ca="1">IF(B206&gt;=$J$5,0,CONTADORES!$AF210-CONTADORES!$AF209)</f>
        <v>0</v>
      </c>
      <c r="H206" s="196">
        <f ca="1">IF(G206&gt;0,CONTADORES!$AE210-CONTADORES!$AE209,0)</f>
        <v>0</v>
      </c>
      <c r="I206" s="199">
        <f ca="1">IF(B206&gt;=$J$5,0,CONTADORES!$AB210-CONTADORES!$AB209)</f>
        <v>0</v>
      </c>
      <c r="J206" s="198">
        <f t="shared" ca="1" si="102"/>
        <v>0</v>
      </c>
      <c r="K206" s="196">
        <f ca="1">'CALCULO DE GAS'!Q18</f>
        <v>0</v>
      </c>
      <c r="L206" s="1396">
        <f ca="1">IF(B206&gt;=$J$5,0,(CONTADORES!$Y210-CONTADORES!$Y209)-$O206)</f>
        <v>0</v>
      </c>
      <c r="M206" s="1396">
        <f t="shared" ca="1" si="128"/>
        <v>0</v>
      </c>
      <c r="N206" s="1396">
        <f ca="1">IF(B206&gt;=$J$5,0,CONTADORES!$AA210-CONTADORES!$AA209)</f>
        <v>0</v>
      </c>
      <c r="O206" s="1396">
        <f ca="1">IF(N206&gt;0,CONTADORES!$Z210-CONTADORES!$Z209,0)</f>
        <v>0</v>
      </c>
      <c r="P206" s="202">
        <f ca="1">IF(B206&gt;=$J$5,0,CONTADORES!$W210-CONTADORES!$W209)</f>
        <v>0</v>
      </c>
      <c r="Q206" s="202">
        <f ca="1">IF(B206&gt;=$J$5,0,CONTADORES!$B210-CONTADORES!$B209)</f>
        <v>0</v>
      </c>
      <c r="R206" s="196">
        <f t="shared" ca="1" si="103"/>
        <v>0</v>
      </c>
      <c r="S206" s="11">
        <f ca="1">IF(B206&gt;=$J$5,0,CONTADORES!$D210-CONTADORES!$D209)</f>
        <v>0</v>
      </c>
      <c r="T206" s="198">
        <f ca="1">IF(B206&gt;=$J$5,0,CONTADORES!$BB210-CONTADORES!$BB209)</f>
        <v>0</v>
      </c>
      <c r="U206" s="196">
        <f t="shared" ca="1" si="97"/>
        <v>0</v>
      </c>
      <c r="V206" s="199">
        <f ca="1">IF(B206&gt;=$J$5,0,CONTADORES!$BD210-CONTADORES!$BD209)</f>
        <v>0</v>
      </c>
      <c r="W206" s="1397">
        <f t="shared" ca="1" si="104"/>
        <v>0</v>
      </c>
      <c r="X206" s="1397">
        <f t="shared" ca="1" si="105"/>
        <v>0</v>
      </c>
      <c r="Y206" s="1398">
        <f t="shared" ca="1" si="106"/>
        <v>0</v>
      </c>
      <c r="Z206" s="1398">
        <f t="shared" ca="1" si="107"/>
        <v>0</v>
      </c>
      <c r="AA206" s="1398">
        <f t="shared" ca="1" si="108"/>
        <v>0</v>
      </c>
      <c r="AB206" s="1398">
        <f t="shared" ca="1" si="109"/>
        <v>0</v>
      </c>
      <c r="AC206" s="1397">
        <f t="shared" ca="1" si="110"/>
        <v>0</v>
      </c>
      <c r="AD206" s="1397">
        <f ca="1">IF(B206&gt;=$J$5,0,CONTADORES!H210-CONTADORES!H209)</f>
        <v>0</v>
      </c>
      <c r="AE206" s="1397">
        <f ca="1">IF(B206&gt;=$J$5,0,CONTADORES!J210-CONTADORES!J209)</f>
        <v>0</v>
      </c>
      <c r="AF206" s="1397">
        <f ca="1">IF(B206&gt;=$J$5,0,CONTADORES!AU210-CONTADORES!AU209)</f>
        <v>0</v>
      </c>
      <c r="AG206" s="1397">
        <f ca="1">IF(B206&gt;=$J$5,0,CONTADORES!AW210-CONTADORES!AW209)</f>
        <v>0</v>
      </c>
      <c r="AH206" s="1398">
        <f ca="1">IF(B206&gt;=$J$5,0,(CONTADORES!AM210-CONTADORES!AM209)+(CONTADORES!M210-CONTADORES!M209))</f>
        <v>0</v>
      </c>
      <c r="AI206" s="1397">
        <f ca="1">IF(B206&gt;=$J$5,0,(CONTADORES!AK210-CONTADORES!AK209)+(CONTADORES!O210-CONTADORES!O209))</f>
        <v>0</v>
      </c>
      <c r="AJ206" s="1397">
        <f ca="1">IF(B206&gt;=$J$5,0,(CONTADORES!AI210-CONTADORES!AI209))</f>
        <v>0</v>
      </c>
      <c r="AK206" s="1397">
        <f ca="1">IF(B206&gt;=$J$5,0,(CONTADORES!Q210-CONTADORES!Q209))</f>
        <v>0</v>
      </c>
      <c r="AL206" s="1461">
        <f t="shared" ca="1" si="111"/>
        <v>0</v>
      </c>
      <c r="AM206" s="1397">
        <f ca="1">IF(B206&gt;=$J$5,0,(((CONTADORES!F210-CONTADORES!F209)+(CONTADORES!AQ210-CONTADORES!AQ209))))-BS206-AF206-AN206-BV206-BY206-CD206-CB206</f>
        <v>0</v>
      </c>
      <c r="AN206" s="1397">
        <f ca="1">IF(B206&gt;=$J$5,0,(CONTADORES!AX210-CONTADORES!AX209)+(CONTADORES!AZ210-CONTADORES!AZ209)+(CONTADORES!BE210-CONTADORES!BE209))-CB206</f>
        <v>0</v>
      </c>
      <c r="AO206" s="1399">
        <f>(CONTADORES!AC210-CONTADORES!AC209)</f>
        <v>0</v>
      </c>
      <c r="AP206" s="1399">
        <f>(CONTADORES!X210-CONTADORES!X209)</f>
        <v>0</v>
      </c>
      <c r="AQ206" s="1404">
        <f ca="1">IF(B206&gt;=$J$5,0,(CONTADORES!C210-CONTADORES!C209))</f>
        <v>0</v>
      </c>
      <c r="AR206" s="1399">
        <f ca="1">AR205+(CONTADORES!BC210-CONTADORES!BC209)</f>
        <v>0</v>
      </c>
      <c r="AS206" s="1397">
        <f ca="1">IF(B206&gt;=$J$5,0,CONTADORES!S210-CONTADORES!S209)</f>
        <v>0</v>
      </c>
      <c r="AT206" s="1397">
        <f ca="1">IF(B206&gt;=$J$5,0,(CONTADORES!U210-CONTADORES!U209)+(CONTADORES!AG210-CONTADORES!AG209))</f>
        <v>0</v>
      </c>
      <c r="AU206" s="1433">
        <f>CONTADORES!I210-CONTADORES!I209</f>
        <v>0</v>
      </c>
      <c r="AV206" s="1399">
        <f>CONTADORES!AV210-CONTADORES!AV209</f>
        <v>0</v>
      </c>
      <c r="AW206" s="1399">
        <f ca="1">IF(B206&gt;=$J$5,0,(CONTADORES!N210-CONTADORES!N209)+(CONTADORES!AN210-CONTADORES!AN209))</f>
        <v>0</v>
      </c>
      <c r="AX206" s="1399">
        <f ca="1">IF(B206&gt;=$J$5,0,(CONTADORES!P210-CONTADORES!P209)+(CONTADORES!AL210-CONTADORES!AL209))</f>
        <v>0</v>
      </c>
      <c r="AY206" s="1399">
        <f ca="1">IF(B206&gt;=$J$5,0,(CONTADORES!AJ210-CONTADORES!AJ209))</f>
        <v>0</v>
      </c>
      <c r="AZ206" s="1399">
        <f ca="1">IF(B206&gt;=$J$5,0,(CONTADORES!R210-CONTADORES!R209))</f>
        <v>0</v>
      </c>
      <c r="BA206" s="1409">
        <f t="shared" ca="1" si="112"/>
        <v>0</v>
      </c>
      <c r="BB206" s="1433">
        <f ca="1">IF(B206&gt;=$J$5,0,(((CONTADORES!G210-CONTADORES!G209)+(CONTADORES!AR210-CONTADORES!AR209)+AR206)-(AV206+BC206)))</f>
        <v>0</v>
      </c>
      <c r="BC206" s="1397">
        <f ca="1">IF(B206&gt;=$J$5,0,(CONTADORES!AY210-CONTADORES!AY209)+(CONTADORES!BA210-CONTADORES!BA209)+(CONTADORES!BF210-CONTADORES!BF209))</f>
        <v>0</v>
      </c>
      <c r="BD206" s="1397">
        <f t="shared" ca="1" si="113"/>
        <v>0</v>
      </c>
      <c r="BE206" s="1398">
        <f ca="1">IF($B206&gt;=$J$5,0,CONTADORES!$BG210)</f>
        <v>0</v>
      </c>
      <c r="BF206" s="1397">
        <f ca="1">IF($B206&gt;=$J$5,0,CONTADORES!$BH210)</f>
        <v>0</v>
      </c>
      <c r="BG206" s="1397">
        <f ca="1">IF($B206&gt;=$J$5,0,CONTADORES!$BJ210)</f>
        <v>0</v>
      </c>
      <c r="BH206" s="1397">
        <f ca="1">IF(B206&gt;=$J$5,0,((CONTADORES!BK210-CONTADORES!BK209)/1000))</f>
        <v>0</v>
      </c>
      <c r="BI206" s="1397">
        <f ca="1">IF(C206&gt;=$J$5,0,((CONTADORES!BL210-CONTADORES!BL209)/1000))</f>
        <v>0</v>
      </c>
      <c r="BJ206" s="1397">
        <f ca="1">IF(C206&gt;=$J$5,0,((CONTADORES!BM210-CONTADORES!BM209)/1000))</f>
        <v>0</v>
      </c>
      <c r="BK206" s="1397">
        <f ca="1">IF(D206&gt;=$J$5,0,((CONTADORES!BN210-CONTADORES!BN209)/1000))</f>
        <v>0</v>
      </c>
      <c r="BL206" s="1399">
        <f t="shared" ca="1" si="114"/>
        <v>0</v>
      </c>
      <c r="BM206" s="1399">
        <f t="shared" ca="1" si="115"/>
        <v>0</v>
      </c>
      <c r="BN206" s="1398">
        <f ca="1">IF(W206&gt;=$J$5,0,CONTADORES!$BO210)</f>
        <v>0</v>
      </c>
      <c r="BO206" s="1397">
        <f ca="1">IF(W206&gt;=$J$5,0,CONTADORES!$BP210)</f>
        <v>0</v>
      </c>
      <c r="BP206" s="1397">
        <f ca="1">IF(W206&gt;=$J$5,0,CONTADORES!$BQ210)</f>
        <v>0</v>
      </c>
      <c r="BQ206" s="1397">
        <f ca="1">IF(B206&gt;=$J$5,0,(CONTADORES!AS210-CONTADORES!AS209))</f>
        <v>0</v>
      </c>
      <c r="BR206" s="1397">
        <f ca="1">IF(C206&gt;=$J$5,0,(CONTADORES!AT210-CONTADORES!AT209))</f>
        <v>0</v>
      </c>
      <c r="BS206" s="1409">
        <f ca="1">IF(B206&gt;=$J$5,0,CONTADORES!BR210-CONTADORES!BR209)/1000</f>
        <v>0</v>
      </c>
      <c r="BT206" s="1409">
        <f ca="1">IF(B206&gt;=$J$5,0,CONTADORES!BS210-CONTADORES!BS209)</f>
        <v>0</v>
      </c>
      <c r="BU206" s="1409">
        <f ca="1">IF(B206&gt;=$J$5,0,CONTADORES!BT210-CONTADORES!BT209)</f>
        <v>0</v>
      </c>
      <c r="BV206" s="1409">
        <f ca="1">IF(B206&gt;=$J$5,0,CONTADORES!BU210-CONTADORES!BU209)/1000</f>
        <v>0</v>
      </c>
      <c r="BW206" s="1409">
        <f ca="1">IF(B206&gt;=$J$5,0,CONTADORES!BV210-CONTADORES!BV209)/1000</f>
        <v>0</v>
      </c>
      <c r="BX206" s="1409">
        <f ca="1">IF(B206&gt;=$J$5,0,CONTADORES!BW210-CONTADORES!BW209)</f>
        <v>0</v>
      </c>
      <c r="BY206" s="1409">
        <f ca="1">IF(B206&gt;=$J$5,0,CONTADORES!BX210-CONTADORES!BX209)/1000</f>
        <v>0</v>
      </c>
      <c r="BZ206" s="1409">
        <f ca="1">IF(B206&gt;=$J$5,0,CONTADORES!BY210-CONTADORES!BY209)/1000</f>
        <v>0</v>
      </c>
      <c r="CA206" s="1409">
        <f ca="1">IF(B206&gt;=$J$5,0,CONTADORES!BZ210-CONTADORES!BZ209)</f>
        <v>0</v>
      </c>
      <c r="CB206" s="1409">
        <f ca="1">IF(B206&gt;=$J$5,0,(CONTADORES!CC210-CONTADORES!CC209)+(CONTADORES!CE210-CONTADORES!CE209))/1000</f>
        <v>0</v>
      </c>
      <c r="CC206" s="1409">
        <f ca="1">IF(B206&gt;=$J$5,0,(CONTADORES!CD210-CONTADORES!CD209)+(CONTADORES!CF210-CONTADORES!CF209))/1000</f>
        <v>0</v>
      </c>
      <c r="CD206" s="1409">
        <f ca="1">IF(B206&gt;=$J$5,0,CONTADORES!CA210-CONTADORES!CA209)</f>
        <v>0</v>
      </c>
      <c r="CE206" s="1409">
        <f ca="1">IF(B206&gt;=$J$5,0,CONTADORES!CB210-CONTADORES!CB209)</f>
        <v>0</v>
      </c>
      <c r="CF206" s="1409">
        <f t="shared" ca="1" si="116"/>
        <v>0</v>
      </c>
      <c r="CG206" s="1409">
        <f t="shared" ca="1" si="117"/>
        <v>0</v>
      </c>
      <c r="CH206" s="1409">
        <f t="shared" ca="1" si="118"/>
        <v>0</v>
      </c>
      <c r="CI206" s="1409">
        <f t="shared" ca="1" si="119"/>
        <v>0</v>
      </c>
      <c r="CJ206" s="1409">
        <f t="shared" ca="1" si="120"/>
        <v>0</v>
      </c>
      <c r="CK206" s="1409">
        <f t="shared" ca="1" si="121"/>
        <v>0</v>
      </c>
      <c r="CL206" s="1409">
        <f t="shared" ca="1" si="122"/>
        <v>0</v>
      </c>
      <c r="CM206" s="1409">
        <f t="shared" ca="1" si="123"/>
        <v>0</v>
      </c>
      <c r="CN206" s="1409">
        <f ca="1">IF(B206&gt;=$J$5,0,CONTADORES!CB210-CONTADORES!CB209)</f>
        <v>0</v>
      </c>
      <c r="CO206" s="1409">
        <f t="shared" ca="1" si="124"/>
        <v>0</v>
      </c>
      <c r="CP206" s="1409">
        <f t="shared" ca="1" si="125"/>
        <v>0</v>
      </c>
      <c r="CQ206" s="1409">
        <f t="shared" ca="1" si="126"/>
        <v>0</v>
      </c>
      <c r="CR206" s="1409">
        <f t="shared" ca="1" si="127"/>
        <v>0</v>
      </c>
      <c r="CS206" s="1409">
        <f ca="1">IF($B206&gt;=$J$5,0,CONTADORES!$BI210)</f>
        <v>0</v>
      </c>
      <c r="CT206" s="1369">
        <f>CONTADORES!E210</f>
        <v>0</v>
      </c>
      <c r="CU206" s="1369">
        <f>CONTADORES!CG210</f>
        <v>0</v>
      </c>
    </row>
    <row r="207" spans="2:99">
      <c r="B207" s="390">
        <v>45123</v>
      </c>
      <c r="C207" s="198">
        <f t="shared" ca="1" si="101"/>
        <v>0</v>
      </c>
      <c r="D207" s="196">
        <f ca="1">'CALCULO DE GAS'!P19</f>
        <v>0</v>
      </c>
      <c r="E207" s="196">
        <f ca="1">IF(B207&gt;=$J$5,0,(CONTADORES!$AD211-CONTADORES!$AD210)-$H207)</f>
        <v>0</v>
      </c>
      <c r="F207" s="198">
        <f t="shared" ca="1" si="100"/>
        <v>0</v>
      </c>
      <c r="G207" s="196">
        <f ca="1">IF(B207&gt;=$J$5,0,CONTADORES!$AF211-CONTADORES!$AF210)</f>
        <v>0</v>
      </c>
      <c r="H207" s="196">
        <f ca="1">IF(G207&gt;0,CONTADORES!$AE211-CONTADORES!$AE210,0)</f>
        <v>0</v>
      </c>
      <c r="I207" s="199">
        <f ca="1">IF(B207&gt;=$J$5,0,CONTADORES!$AB211-CONTADORES!$AB210)</f>
        <v>0</v>
      </c>
      <c r="J207" s="198">
        <f t="shared" ca="1" si="102"/>
        <v>0</v>
      </c>
      <c r="K207" s="196">
        <f ca="1">'CALCULO DE GAS'!Q19</f>
        <v>0</v>
      </c>
      <c r="L207" s="1396">
        <f ca="1">IF(B207&gt;=$J$5,0,(CONTADORES!$Y211-CONTADORES!$Y210)-$O207)</f>
        <v>0</v>
      </c>
      <c r="M207" s="1396">
        <f t="shared" ca="1" si="128"/>
        <v>0</v>
      </c>
      <c r="N207" s="1396">
        <f ca="1">IF(B207&gt;=$J$5,0,CONTADORES!$AA211-CONTADORES!$AA210)</f>
        <v>0</v>
      </c>
      <c r="O207" s="1396">
        <f ca="1">IF(N207&gt;0,CONTADORES!$Z211-CONTADORES!$Z210,0)</f>
        <v>0</v>
      </c>
      <c r="P207" s="202">
        <f ca="1">IF(B207&gt;=$J$5,0,CONTADORES!$W211-CONTADORES!$W210)</f>
        <v>0</v>
      </c>
      <c r="Q207" s="202">
        <f ca="1">IF(B207&gt;=$J$5,0,CONTADORES!$B211-CONTADORES!$B210)</f>
        <v>0</v>
      </c>
      <c r="R207" s="196">
        <f t="shared" ca="1" si="103"/>
        <v>0</v>
      </c>
      <c r="S207" s="11">
        <f ca="1">IF(B207&gt;=$J$5,0,CONTADORES!$D211-CONTADORES!$D210)</f>
        <v>0</v>
      </c>
      <c r="T207" s="198">
        <f ca="1">IF(B207&gt;=$J$5,0,CONTADORES!$BB211-CONTADORES!$BB210)</f>
        <v>0</v>
      </c>
      <c r="U207" s="196">
        <f t="shared" ca="1" si="97"/>
        <v>0</v>
      </c>
      <c r="V207" s="199">
        <f ca="1">IF(B207&gt;=$J$5,0,CONTADORES!$BD211-CONTADORES!$BD210)</f>
        <v>0</v>
      </c>
      <c r="W207" s="1397">
        <f t="shared" ca="1" si="104"/>
        <v>0</v>
      </c>
      <c r="X207" s="1397">
        <f t="shared" ca="1" si="105"/>
        <v>0</v>
      </c>
      <c r="Y207" s="1398">
        <f t="shared" ca="1" si="106"/>
        <v>0</v>
      </c>
      <c r="Z207" s="1398">
        <f t="shared" ca="1" si="107"/>
        <v>0</v>
      </c>
      <c r="AA207" s="1398">
        <f t="shared" ca="1" si="108"/>
        <v>0</v>
      </c>
      <c r="AB207" s="1398">
        <f t="shared" ca="1" si="109"/>
        <v>0</v>
      </c>
      <c r="AC207" s="1397">
        <f t="shared" ca="1" si="110"/>
        <v>0</v>
      </c>
      <c r="AD207" s="1397">
        <f ca="1">IF(B207&gt;=$J$5,0,CONTADORES!H211-CONTADORES!H210)</f>
        <v>0</v>
      </c>
      <c r="AE207" s="1397">
        <f ca="1">IF(B207&gt;=$J$5,0,CONTADORES!J211-CONTADORES!J210)</f>
        <v>0</v>
      </c>
      <c r="AF207" s="1397">
        <f ca="1">IF(B207&gt;=$J$5,0,CONTADORES!AU211-CONTADORES!AU210)</f>
        <v>0</v>
      </c>
      <c r="AG207" s="1397">
        <f ca="1">IF(B207&gt;=$J$5,0,CONTADORES!AW211-CONTADORES!AW210)</f>
        <v>0</v>
      </c>
      <c r="AH207" s="1398">
        <f ca="1">IF(B207&gt;=$J$5,0,(CONTADORES!AM211-CONTADORES!AM210)+(CONTADORES!M211-CONTADORES!M210))</f>
        <v>0</v>
      </c>
      <c r="AI207" s="1397">
        <f ca="1">IF(B207&gt;=$J$5,0,(CONTADORES!AK211-CONTADORES!AK210)+(CONTADORES!O211-CONTADORES!O210))</f>
        <v>0</v>
      </c>
      <c r="AJ207" s="1397">
        <f ca="1">IF(B207&gt;=$J$5,0,(CONTADORES!AI211-CONTADORES!AI210))</f>
        <v>0</v>
      </c>
      <c r="AK207" s="1397">
        <f ca="1">IF(B207&gt;=$J$5,0,(CONTADORES!Q211-CONTADORES!Q210))</f>
        <v>0</v>
      </c>
      <c r="AL207" s="1461">
        <f t="shared" ca="1" si="111"/>
        <v>0</v>
      </c>
      <c r="AM207" s="1397">
        <f ca="1">IF(B207&gt;=$J$5,0,(((CONTADORES!F211-CONTADORES!F210)+(CONTADORES!AQ211-CONTADORES!AQ210))))-BS207-AF207-AN207-BV207-BY207-CD207-CB207</f>
        <v>0</v>
      </c>
      <c r="AN207" s="1397">
        <f ca="1">IF(B207&gt;=$J$5,0,(CONTADORES!AX211-CONTADORES!AX210)+(CONTADORES!AZ211-CONTADORES!AZ210)+(CONTADORES!BE211-CONTADORES!BE210))-CB207</f>
        <v>0</v>
      </c>
      <c r="AO207" s="1399">
        <f>(CONTADORES!AC211-CONTADORES!AC210)</f>
        <v>0</v>
      </c>
      <c r="AP207" s="1399">
        <f>(CONTADORES!X211-CONTADORES!X210)</f>
        <v>0</v>
      </c>
      <c r="AQ207" s="1404">
        <f ca="1">IF(B207&gt;=$J$5,0,(CONTADORES!C211-CONTADORES!C210))</f>
        <v>0</v>
      </c>
      <c r="AR207" s="1399">
        <f ca="1">AR206+(CONTADORES!BC211-CONTADORES!BC210)</f>
        <v>0</v>
      </c>
      <c r="AS207" s="1397">
        <f ca="1">IF(B207&gt;=$J$5,0,CONTADORES!S211-CONTADORES!S210)</f>
        <v>0</v>
      </c>
      <c r="AT207" s="1397">
        <f ca="1">IF(B207&gt;=$J$5,0,(CONTADORES!U211-CONTADORES!U210)+(CONTADORES!AG211-CONTADORES!AG210))</f>
        <v>0</v>
      </c>
      <c r="AU207" s="1433">
        <f>CONTADORES!I211-CONTADORES!I210</f>
        <v>0</v>
      </c>
      <c r="AV207" s="1399">
        <f>CONTADORES!AV211-CONTADORES!AV210</f>
        <v>0</v>
      </c>
      <c r="AW207" s="1399">
        <f ca="1">IF(B207&gt;=$J$5,0,(CONTADORES!N211-CONTADORES!N210)+(CONTADORES!AN211-CONTADORES!AN210))</f>
        <v>0</v>
      </c>
      <c r="AX207" s="1399">
        <f ca="1">IF(B207&gt;=$J$5,0,(CONTADORES!P211-CONTADORES!P210)+(CONTADORES!AL211-CONTADORES!AL210))</f>
        <v>0</v>
      </c>
      <c r="AY207" s="1399">
        <f ca="1">IF(B207&gt;=$J$5,0,(CONTADORES!AJ211-CONTADORES!AJ210))</f>
        <v>0</v>
      </c>
      <c r="AZ207" s="1399">
        <f ca="1">IF(B207&gt;=$J$5,0,(CONTADORES!R211-CONTADORES!R210))</f>
        <v>0</v>
      </c>
      <c r="BA207" s="1409">
        <f t="shared" ca="1" si="112"/>
        <v>0</v>
      </c>
      <c r="BB207" s="1433">
        <f ca="1">IF(B207&gt;=$J$5,0,(((CONTADORES!G211-CONTADORES!G210)+(CONTADORES!AR211-CONTADORES!AR210)+AR207)-(AV207+BC207)))</f>
        <v>0</v>
      </c>
      <c r="BC207" s="1397">
        <f ca="1">IF(B207&gt;=$J$5,0,(CONTADORES!AY211-CONTADORES!AY210)+(CONTADORES!BA211-CONTADORES!BA210)+(CONTADORES!BF211-CONTADORES!BF210))</f>
        <v>0</v>
      </c>
      <c r="BD207" s="1397">
        <f t="shared" ca="1" si="113"/>
        <v>0</v>
      </c>
      <c r="BE207" s="1398">
        <f ca="1">IF($B207&gt;=$J$5,0,CONTADORES!$BG211)</f>
        <v>0</v>
      </c>
      <c r="BF207" s="1397">
        <f ca="1">IF($B207&gt;=$J$5,0,CONTADORES!$BH211)</f>
        <v>0</v>
      </c>
      <c r="BG207" s="1397">
        <f ca="1">IF($B207&gt;=$J$5,0,CONTADORES!$BJ211)</f>
        <v>0</v>
      </c>
      <c r="BH207" s="1397">
        <f ca="1">IF(B207&gt;=$J$5,0,((CONTADORES!BK211-CONTADORES!BK210)/1000))</f>
        <v>0</v>
      </c>
      <c r="BI207" s="1397">
        <f ca="1">IF(C207&gt;=$J$5,0,((CONTADORES!BL211-CONTADORES!BL210)/1000))</f>
        <v>0</v>
      </c>
      <c r="BJ207" s="1397">
        <f ca="1">IF(C207&gt;=$J$5,0,((CONTADORES!BM211-CONTADORES!BM210)/1000))</f>
        <v>0</v>
      </c>
      <c r="BK207" s="1397">
        <f ca="1">IF(D207&gt;=$J$5,0,((CONTADORES!BN211-CONTADORES!BN210)/1000))</f>
        <v>0</v>
      </c>
      <c r="BL207" s="1399">
        <f t="shared" ca="1" si="114"/>
        <v>0</v>
      </c>
      <c r="BM207" s="1399">
        <f t="shared" ca="1" si="115"/>
        <v>0</v>
      </c>
      <c r="BN207" s="1398">
        <f ca="1">IF(W207&gt;=$J$5,0,CONTADORES!$BO211)</f>
        <v>0</v>
      </c>
      <c r="BO207" s="1397">
        <f ca="1">IF(W207&gt;=$J$5,0,CONTADORES!$BP211)</f>
        <v>0</v>
      </c>
      <c r="BP207" s="1397">
        <f ca="1">IF(W207&gt;=$J$5,0,CONTADORES!$BQ211)</f>
        <v>0</v>
      </c>
      <c r="BQ207" s="1397">
        <f ca="1">IF(B207&gt;=$J$5,0,(CONTADORES!AS211-CONTADORES!AS210))</f>
        <v>0</v>
      </c>
      <c r="BR207" s="1397">
        <f ca="1">IF(C207&gt;=$J$5,0,(CONTADORES!AT211-CONTADORES!AT210))</f>
        <v>0</v>
      </c>
      <c r="BS207" s="1409">
        <f ca="1">IF(B207&gt;=$J$5,0,CONTADORES!BR211-CONTADORES!BR210)/1000</f>
        <v>0</v>
      </c>
      <c r="BT207" s="1409">
        <f ca="1">IF(B207&gt;=$J$5,0,CONTADORES!BS211-CONTADORES!BS210)</f>
        <v>0</v>
      </c>
      <c r="BU207" s="1409">
        <f ca="1">IF(B207&gt;=$J$5,0,CONTADORES!BT211-CONTADORES!BT210)</f>
        <v>0</v>
      </c>
      <c r="BV207" s="1409">
        <f ca="1">IF(B207&gt;=$J$5,0,CONTADORES!BU211-CONTADORES!BU210)/1000</f>
        <v>0</v>
      </c>
      <c r="BW207" s="1409">
        <f ca="1">IF(B207&gt;=$J$5,0,CONTADORES!BV211-CONTADORES!BV210)/1000</f>
        <v>0</v>
      </c>
      <c r="BX207" s="1409">
        <f ca="1">IF(B207&gt;=$J$5,0,CONTADORES!BW211-CONTADORES!BW210)</f>
        <v>0</v>
      </c>
      <c r="BY207" s="1409">
        <f ca="1">IF(B207&gt;=$J$5,0,CONTADORES!BX211-CONTADORES!BX210)/1000</f>
        <v>0</v>
      </c>
      <c r="BZ207" s="1409">
        <f ca="1">IF(B207&gt;=$J$5,0,CONTADORES!BY211-CONTADORES!BY210)/1000</f>
        <v>0</v>
      </c>
      <c r="CA207" s="1409">
        <f ca="1">IF(B207&gt;=$J$5,0,CONTADORES!BZ211-CONTADORES!BZ210)</f>
        <v>0</v>
      </c>
      <c r="CB207" s="1409">
        <f ca="1">IF(B207&gt;=$J$5,0,(CONTADORES!CC211-CONTADORES!CC210)+(CONTADORES!CE211-CONTADORES!CE210))/1000</f>
        <v>0</v>
      </c>
      <c r="CC207" s="1409">
        <f ca="1">IF(B207&gt;=$J$5,0,(CONTADORES!CD211-CONTADORES!CD210)+(CONTADORES!CF211-CONTADORES!CF210))/1000</f>
        <v>0</v>
      </c>
      <c r="CD207" s="1409">
        <f ca="1">IF(B207&gt;=$J$5,0,CONTADORES!CA211-CONTADORES!CA210)</f>
        <v>0</v>
      </c>
      <c r="CE207" s="1409">
        <f ca="1">IF(B207&gt;=$J$5,0,CONTADORES!CB211-CONTADORES!CB210)</f>
        <v>0</v>
      </c>
      <c r="CF207" s="1409">
        <f t="shared" ca="1" si="116"/>
        <v>0</v>
      </c>
      <c r="CG207" s="1409">
        <f t="shared" ca="1" si="117"/>
        <v>0</v>
      </c>
      <c r="CH207" s="1409">
        <f t="shared" ca="1" si="118"/>
        <v>0</v>
      </c>
      <c r="CI207" s="1409">
        <f t="shared" ca="1" si="119"/>
        <v>0</v>
      </c>
      <c r="CJ207" s="1409">
        <f t="shared" ca="1" si="120"/>
        <v>0</v>
      </c>
      <c r="CK207" s="1409">
        <f t="shared" ca="1" si="121"/>
        <v>0</v>
      </c>
      <c r="CL207" s="1409">
        <f t="shared" ca="1" si="122"/>
        <v>0</v>
      </c>
      <c r="CM207" s="1409">
        <f t="shared" ca="1" si="123"/>
        <v>0</v>
      </c>
      <c r="CN207" s="1409">
        <f ca="1">IF(B207&gt;=$J$5,0,CONTADORES!CB211-CONTADORES!CB210)</f>
        <v>0</v>
      </c>
      <c r="CO207" s="1409">
        <f t="shared" ca="1" si="124"/>
        <v>0</v>
      </c>
      <c r="CP207" s="1409">
        <f t="shared" ca="1" si="125"/>
        <v>0</v>
      </c>
      <c r="CQ207" s="1409">
        <f t="shared" ca="1" si="126"/>
        <v>0</v>
      </c>
      <c r="CR207" s="1409">
        <f t="shared" ca="1" si="127"/>
        <v>0</v>
      </c>
      <c r="CS207" s="1409">
        <f ca="1">IF($B207&gt;=$J$5,0,CONTADORES!$BI211)</f>
        <v>0</v>
      </c>
      <c r="CT207" s="1369">
        <f>CONTADORES!E211</f>
        <v>0</v>
      </c>
      <c r="CU207" s="1369">
        <f>CONTADORES!CG211</f>
        <v>0</v>
      </c>
    </row>
    <row r="208" spans="2:99">
      <c r="B208" s="390">
        <v>45124</v>
      </c>
      <c r="C208" s="198">
        <f t="shared" ca="1" si="101"/>
        <v>0</v>
      </c>
      <c r="D208" s="196">
        <f ca="1">'CALCULO DE GAS'!P20</f>
        <v>0</v>
      </c>
      <c r="E208" s="196">
        <f ca="1">IF(B208&gt;=$J$5,0,(CONTADORES!$AD212-CONTADORES!$AD211)-$H208)</f>
        <v>0</v>
      </c>
      <c r="F208" s="198">
        <f t="shared" ca="1" si="100"/>
        <v>0</v>
      </c>
      <c r="G208" s="196">
        <f ca="1">IF(B208&gt;=$J$5,0,CONTADORES!$AF212-CONTADORES!$AF211)</f>
        <v>0</v>
      </c>
      <c r="H208" s="196">
        <f ca="1">IF(G208&gt;0,CONTADORES!$AE212-CONTADORES!$AE211,0)</f>
        <v>0</v>
      </c>
      <c r="I208" s="199">
        <f ca="1">IF(B208&gt;=$J$5,0,CONTADORES!$AB212-CONTADORES!$AB211)</f>
        <v>0</v>
      </c>
      <c r="J208" s="198">
        <f t="shared" ca="1" si="102"/>
        <v>0</v>
      </c>
      <c r="K208" s="196">
        <f ca="1">'CALCULO DE GAS'!Q20</f>
        <v>0</v>
      </c>
      <c r="L208" s="1396">
        <f ca="1">IF(B208&gt;=$J$5,0,(CONTADORES!$Y212-CONTADORES!$Y211)-$O208)</f>
        <v>0</v>
      </c>
      <c r="M208" s="1396">
        <f t="shared" ca="1" si="128"/>
        <v>0</v>
      </c>
      <c r="N208" s="1396">
        <f ca="1">IF(B208&gt;=$J$5,0,CONTADORES!$AA212-CONTADORES!$AA211)</f>
        <v>0</v>
      </c>
      <c r="O208" s="1396">
        <f ca="1">IF(N208&gt;0,CONTADORES!$Z212-CONTADORES!$Z211,0)</f>
        <v>0</v>
      </c>
      <c r="P208" s="202">
        <f ca="1">IF(B208&gt;=$J$5,0,CONTADORES!$W212-CONTADORES!$W211)</f>
        <v>0</v>
      </c>
      <c r="Q208" s="202">
        <f ca="1">IF(B208&gt;=$J$5,0,CONTADORES!$B212-CONTADORES!$B211)</f>
        <v>0</v>
      </c>
      <c r="R208" s="196">
        <f t="shared" ca="1" si="103"/>
        <v>0</v>
      </c>
      <c r="S208" s="11">
        <f ca="1">IF(B208&gt;=$J$5,0,CONTADORES!$D212-CONTADORES!$D211)</f>
        <v>0</v>
      </c>
      <c r="T208" s="198">
        <f ca="1">IF(B208&gt;=$J$5,0,CONTADORES!$BB212-CONTADORES!$BB211)</f>
        <v>0</v>
      </c>
      <c r="U208" s="196">
        <f t="shared" ca="1" si="97"/>
        <v>0</v>
      </c>
      <c r="V208" s="199">
        <f ca="1">IF(B208&gt;=$J$5,0,CONTADORES!$BD212-CONTADORES!$BD211)</f>
        <v>0</v>
      </c>
      <c r="W208" s="1397">
        <f t="shared" ca="1" si="104"/>
        <v>0</v>
      </c>
      <c r="X208" s="1397">
        <f t="shared" ca="1" si="105"/>
        <v>0</v>
      </c>
      <c r="Y208" s="1398">
        <f t="shared" ca="1" si="106"/>
        <v>0</v>
      </c>
      <c r="Z208" s="1398">
        <f t="shared" ca="1" si="107"/>
        <v>0</v>
      </c>
      <c r="AA208" s="1398">
        <f t="shared" ca="1" si="108"/>
        <v>0</v>
      </c>
      <c r="AB208" s="1398">
        <f t="shared" ca="1" si="109"/>
        <v>0</v>
      </c>
      <c r="AC208" s="1397">
        <f t="shared" ca="1" si="110"/>
        <v>0</v>
      </c>
      <c r="AD208" s="1397">
        <f ca="1">IF(B208&gt;=$J$5,0,CONTADORES!H212-CONTADORES!H211)</f>
        <v>0</v>
      </c>
      <c r="AE208" s="1397">
        <f ca="1">IF(B208&gt;=$J$5,0,CONTADORES!J212-CONTADORES!J211)</f>
        <v>0</v>
      </c>
      <c r="AF208" s="1397">
        <f ca="1">IF(B208&gt;=$J$5,0,CONTADORES!AU212-CONTADORES!AU211)</f>
        <v>0</v>
      </c>
      <c r="AG208" s="1397">
        <f ca="1">IF(B208&gt;=$J$5,0,CONTADORES!AW212-CONTADORES!AW211)</f>
        <v>0</v>
      </c>
      <c r="AH208" s="1398">
        <f ca="1">IF(B208&gt;=$J$5,0,(CONTADORES!AM212-CONTADORES!AM211)+(CONTADORES!M212-CONTADORES!M211))</f>
        <v>0</v>
      </c>
      <c r="AI208" s="1397">
        <f ca="1">IF(B208&gt;=$J$5,0,(CONTADORES!AK212-CONTADORES!AK211)+(CONTADORES!O212-CONTADORES!O211))</f>
        <v>0</v>
      </c>
      <c r="AJ208" s="1397">
        <f ca="1">IF(B208&gt;=$J$5,0,(CONTADORES!AI212-CONTADORES!AI211))</f>
        <v>0</v>
      </c>
      <c r="AK208" s="1397">
        <f ca="1">IF(B208&gt;=$J$5,0,(CONTADORES!Q212-CONTADORES!Q211))</f>
        <v>0</v>
      </c>
      <c r="AL208" s="1461">
        <f t="shared" ca="1" si="111"/>
        <v>0</v>
      </c>
      <c r="AM208" s="1397">
        <f ca="1">IF(B208&gt;=$J$5,0,(((CONTADORES!F212-CONTADORES!F211)+(CONTADORES!AQ212-CONTADORES!AQ211))))-BS208-AF208-AN208-BV208-BY208-CD208-CB208</f>
        <v>0</v>
      </c>
      <c r="AN208" s="1397">
        <f ca="1">IF(B208&gt;=$J$5,0,(CONTADORES!AX212-CONTADORES!AX211)+(CONTADORES!AZ212-CONTADORES!AZ211)+(CONTADORES!BE212-CONTADORES!BE211))-CB208</f>
        <v>0</v>
      </c>
      <c r="AO208" s="1399">
        <f>(CONTADORES!AC212-CONTADORES!AC211)</f>
        <v>0</v>
      </c>
      <c r="AP208" s="1399">
        <f>(CONTADORES!X212-CONTADORES!X211)</f>
        <v>0</v>
      </c>
      <c r="AQ208" s="1404">
        <f ca="1">IF(B208&gt;=$J$5,0,(CONTADORES!C212-CONTADORES!C211))</f>
        <v>0</v>
      </c>
      <c r="AR208" s="1399">
        <f ca="1">AR207+(CONTADORES!BC212-CONTADORES!BC211)</f>
        <v>0</v>
      </c>
      <c r="AS208" s="1397">
        <f ca="1">IF(B208&gt;=$J$5,0,CONTADORES!S212-CONTADORES!S211)</f>
        <v>0</v>
      </c>
      <c r="AT208" s="1397">
        <f ca="1">IF(B208&gt;=$J$5,0,(CONTADORES!U212-CONTADORES!U211)+(CONTADORES!AG212-CONTADORES!AG211))</f>
        <v>0</v>
      </c>
      <c r="AU208" s="1433">
        <f>CONTADORES!I212-CONTADORES!I211</f>
        <v>0</v>
      </c>
      <c r="AV208" s="1399">
        <f>CONTADORES!AV212-CONTADORES!AV211</f>
        <v>0</v>
      </c>
      <c r="AW208" s="1399">
        <f ca="1">IF(B208&gt;=$J$5,0,(CONTADORES!N212-CONTADORES!N211)+(CONTADORES!AN212-CONTADORES!AN211))</f>
        <v>0</v>
      </c>
      <c r="AX208" s="1399">
        <f ca="1">IF(B208&gt;=$J$5,0,(CONTADORES!P212-CONTADORES!P211)+(CONTADORES!AL212-CONTADORES!AL211))</f>
        <v>0</v>
      </c>
      <c r="AY208" s="1399">
        <f ca="1">IF(B208&gt;=$J$5,0,(CONTADORES!AJ212-CONTADORES!AJ211))</f>
        <v>0</v>
      </c>
      <c r="AZ208" s="1399">
        <f ca="1">IF(B208&gt;=$J$5,0,(CONTADORES!R212-CONTADORES!R211))</f>
        <v>0</v>
      </c>
      <c r="BA208" s="1409">
        <f t="shared" ca="1" si="112"/>
        <v>0</v>
      </c>
      <c r="BB208" s="1433">
        <f ca="1">IF(B208&gt;=$J$5,0,(((CONTADORES!G212-CONTADORES!G211)+(CONTADORES!AR212-CONTADORES!AR211)+AR208)-(AV208+BC208)))</f>
        <v>0</v>
      </c>
      <c r="BC208" s="1397">
        <f ca="1">IF(B208&gt;=$J$5,0,(CONTADORES!AY212-CONTADORES!AY211)+(CONTADORES!BA212-CONTADORES!BA211)+(CONTADORES!BF212-CONTADORES!BF211))</f>
        <v>0</v>
      </c>
      <c r="BD208" s="1397">
        <f t="shared" ca="1" si="113"/>
        <v>0</v>
      </c>
      <c r="BE208" s="1398">
        <f ca="1">IF($B208&gt;=$J$5,0,CONTADORES!$BG212)</f>
        <v>0</v>
      </c>
      <c r="BF208" s="1397">
        <f ca="1">IF($B208&gt;=$J$5,0,CONTADORES!$BH212)</f>
        <v>0</v>
      </c>
      <c r="BG208" s="1397">
        <f ca="1">IF($B208&gt;=$J$5,0,CONTADORES!$BJ212)</f>
        <v>0</v>
      </c>
      <c r="BH208" s="1397">
        <f ca="1">IF(B208&gt;=$J$5,0,((CONTADORES!BK212-CONTADORES!BK211)/1000))</f>
        <v>0</v>
      </c>
      <c r="BI208" s="1397">
        <f ca="1">IF(C208&gt;=$J$5,0,((CONTADORES!BL212-CONTADORES!BL211)/1000))</f>
        <v>0</v>
      </c>
      <c r="BJ208" s="1397">
        <f ca="1">IF(C208&gt;=$J$5,0,((CONTADORES!BM212-CONTADORES!BM211)/1000))</f>
        <v>0</v>
      </c>
      <c r="BK208" s="1397">
        <f ca="1">IF(D208&gt;=$J$5,0,((CONTADORES!BN212-CONTADORES!BN211)/1000))</f>
        <v>0</v>
      </c>
      <c r="BL208" s="1399">
        <f t="shared" ca="1" si="114"/>
        <v>0</v>
      </c>
      <c r="BM208" s="1399">
        <f t="shared" ca="1" si="115"/>
        <v>0</v>
      </c>
      <c r="BN208" s="1398">
        <f ca="1">IF(W208&gt;=$J$5,0,CONTADORES!$BO212)</f>
        <v>0</v>
      </c>
      <c r="BO208" s="1397">
        <f ca="1">IF(W208&gt;=$J$5,0,CONTADORES!$BP212)</f>
        <v>0</v>
      </c>
      <c r="BP208" s="1397">
        <f ca="1">IF(W208&gt;=$J$5,0,CONTADORES!$BQ212)</f>
        <v>0</v>
      </c>
      <c r="BQ208" s="1397">
        <f ca="1">IF(B208&gt;=$J$5,0,(CONTADORES!AS212-CONTADORES!AS211))</f>
        <v>0</v>
      </c>
      <c r="BR208" s="1397">
        <f ca="1">IF(C208&gt;=$J$5,0,(CONTADORES!AT212-CONTADORES!AT211))</f>
        <v>0</v>
      </c>
      <c r="BS208" s="1409">
        <f ca="1">IF(B208&gt;=$J$5,0,CONTADORES!BR212-CONTADORES!BR211)/1000</f>
        <v>0</v>
      </c>
      <c r="BT208" s="1409">
        <f ca="1">IF(B208&gt;=$J$5,0,CONTADORES!BS212-CONTADORES!BS211)</f>
        <v>0</v>
      </c>
      <c r="BU208" s="1409">
        <f ca="1">IF(B208&gt;=$J$5,0,CONTADORES!BT212-CONTADORES!BT211)</f>
        <v>0</v>
      </c>
      <c r="BV208" s="1409">
        <f ca="1">IF(B208&gt;=$J$5,0,CONTADORES!BU212-CONTADORES!BU211)/1000</f>
        <v>0</v>
      </c>
      <c r="BW208" s="1409">
        <f ca="1">IF(B208&gt;=$J$5,0,CONTADORES!BV212-CONTADORES!BV211)/1000</f>
        <v>0</v>
      </c>
      <c r="BX208" s="1409">
        <f ca="1">IF(B208&gt;=$J$5,0,CONTADORES!BW212-CONTADORES!BW211)</f>
        <v>0</v>
      </c>
      <c r="BY208" s="1409">
        <f ca="1">IF(B208&gt;=$J$5,0,CONTADORES!BX212-CONTADORES!BX211)/1000</f>
        <v>0</v>
      </c>
      <c r="BZ208" s="1409">
        <f ca="1">IF(B208&gt;=$J$5,0,CONTADORES!BY212-CONTADORES!BY211)/1000</f>
        <v>0</v>
      </c>
      <c r="CA208" s="1409">
        <f ca="1">IF(B208&gt;=$J$5,0,CONTADORES!BZ212-CONTADORES!BZ211)</f>
        <v>0</v>
      </c>
      <c r="CB208" s="1409">
        <f ca="1">IF(B208&gt;=$J$5,0,(CONTADORES!CC212-CONTADORES!CC211)+(CONTADORES!CE212-CONTADORES!CE211))/1000</f>
        <v>0</v>
      </c>
      <c r="CC208" s="1409">
        <f ca="1">IF(B208&gt;=$J$5,0,(CONTADORES!CD212-CONTADORES!CD211)+(CONTADORES!CF212-CONTADORES!CF211))/1000</f>
        <v>0</v>
      </c>
      <c r="CD208" s="1409">
        <f ca="1">IF(B208&gt;=$J$5,0,CONTADORES!CA212-CONTADORES!CA211)</f>
        <v>0</v>
      </c>
      <c r="CE208" s="1409">
        <f ca="1">IF(B208&gt;=$J$5,0,CONTADORES!CB212-CONTADORES!CB211)</f>
        <v>0</v>
      </c>
      <c r="CF208" s="1409">
        <f t="shared" ca="1" si="116"/>
        <v>0</v>
      </c>
      <c r="CG208" s="1409">
        <f t="shared" ca="1" si="117"/>
        <v>0</v>
      </c>
      <c r="CH208" s="1409">
        <f t="shared" ca="1" si="118"/>
        <v>0</v>
      </c>
      <c r="CI208" s="1409">
        <f t="shared" ca="1" si="119"/>
        <v>0</v>
      </c>
      <c r="CJ208" s="1409">
        <f t="shared" ca="1" si="120"/>
        <v>0</v>
      </c>
      <c r="CK208" s="1409">
        <f t="shared" ca="1" si="121"/>
        <v>0</v>
      </c>
      <c r="CL208" s="1409">
        <f t="shared" ca="1" si="122"/>
        <v>0</v>
      </c>
      <c r="CM208" s="1409">
        <f t="shared" ca="1" si="123"/>
        <v>0</v>
      </c>
      <c r="CN208" s="1409">
        <f ca="1">IF(B208&gt;=$J$5,0,CONTADORES!CB212-CONTADORES!CB211)</f>
        <v>0</v>
      </c>
      <c r="CO208" s="1409">
        <f t="shared" ca="1" si="124"/>
        <v>0</v>
      </c>
      <c r="CP208" s="1409">
        <f t="shared" ca="1" si="125"/>
        <v>0</v>
      </c>
      <c r="CQ208" s="1409">
        <f t="shared" ca="1" si="126"/>
        <v>0</v>
      </c>
      <c r="CR208" s="1409">
        <f t="shared" ca="1" si="127"/>
        <v>0</v>
      </c>
      <c r="CS208" s="1409">
        <f ca="1">IF($B208&gt;=$J$5,0,CONTADORES!$BI212)</f>
        <v>0</v>
      </c>
      <c r="CT208" s="1369">
        <f>CONTADORES!E212</f>
        <v>0</v>
      </c>
      <c r="CU208" s="1369">
        <f>CONTADORES!CG212</f>
        <v>0</v>
      </c>
    </row>
    <row r="209" spans="2:99" s="1410" customFormat="1">
      <c r="B209" s="390">
        <v>45125</v>
      </c>
      <c r="C209" s="1411">
        <f t="shared" ca="1" si="101"/>
        <v>0</v>
      </c>
      <c r="D209" s="1412">
        <f ca="1">'CALCULO DE GAS'!P21</f>
        <v>0</v>
      </c>
      <c r="E209" s="196">
        <f ca="1">IF(B209&gt;=$J$5,0,(CONTADORES!$AD213-CONTADORES!$AD212)-$H209)</f>
        <v>0</v>
      </c>
      <c r="F209" s="1411">
        <f t="shared" ca="1" si="100"/>
        <v>0</v>
      </c>
      <c r="G209" s="196">
        <f ca="1">IF(B209&gt;=$J$5,0,CONTADORES!$AF213-CONTADORES!$AF212)</f>
        <v>0</v>
      </c>
      <c r="H209" s="196">
        <f ca="1">IF(G209&gt;0,CONTADORES!$AE213-CONTADORES!$AE212,0)</f>
        <v>0</v>
      </c>
      <c r="I209" s="199">
        <f ca="1">IF(B209&gt;=$J$5,0,CONTADORES!$AB213-CONTADORES!$AB212)</f>
        <v>0</v>
      </c>
      <c r="J209" s="1411">
        <f t="shared" ca="1" si="102"/>
        <v>0</v>
      </c>
      <c r="K209" s="1412">
        <f ca="1">'CALCULO DE GAS'!Q21</f>
        <v>0</v>
      </c>
      <c r="L209" s="1396">
        <f ca="1">IF(B209&gt;=$J$5,0,(CONTADORES!$Y213-CONTADORES!$Y212)-$O209)</f>
        <v>0</v>
      </c>
      <c r="M209" s="1413">
        <f t="shared" ca="1" si="128"/>
        <v>0</v>
      </c>
      <c r="N209" s="1396">
        <f ca="1">IF(B209&gt;=$J$5,0,CONTADORES!$AA213-CONTADORES!$AA212)</f>
        <v>0</v>
      </c>
      <c r="O209" s="1396">
        <f ca="1">IF(N209&gt;0,CONTADORES!$Z213-CONTADORES!$Z212,0)</f>
        <v>0</v>
      </c>
      <c r="P209" s="202">
        <f ca="1">IF(B209&gt;=$J$5,0,CONTADORES!$W213-CONTADORES!$W212)</f>
        <v>0</v>
      </c>
      <c r="Q209" s="1415">
        <f ca="1">IF(B209&gt;=$J$5,0,CONTADORES!$B213-CONTADORES!$B212)</f>
        <v>0</v>
      </c>
      <c r="R209" s="1412">
        <f t="shared" ca="1" si="103"/>
        <v>0</v>
      </c>
      <c r="S209" s="11">
        <f ca="1">IF(B209&gt;=$J$5,0,CONTADORES!$D213-CONTADORES!$D212)</f>
        <v>0</v>
      </c>
      <c r="T209" s="198">
        <f ca="1">IF(B209&gt;=$J$5,0,CONTADORES!$BB213-CONTADORES!$BB212)</f>
        <v>0</v>
      </c>
      <c r="U209" s="1412">
        <f t="shared" ca="1" si="97"/>
        <v>0</v>
      </c>
      <c r="V209" s="199">
        <f ca="1">IF(B209&gt;=$J$5,0,CONTADORES!$BD213-CONTADORES!$BD212)</f>
        <v>0</v>
      </c>
      <c r="W209" s="1402">
        <f t="shared" ca="1" si="104"/>
        <v>0</v>
      </c>
      <c r="X209" s="1402">
        <f t="shared" ca="1" si="105"/>
        <v>0</v>
      </c>
      <c r="Y209" s="1407">
        <f t="shared" ca="1" si="106"/>
        <v>0</v>
      </c>
      <c r="Z209" s="1407">
        <f t="shared" ca="1" si="107"/>
        <v>0</v>
      </c>
      <c r="AA209" s="1407">
        <f t="shared" ca="1" si="108"/>
        <v>0</v>
      </c>
      <c r="AB209" s="1407">
        <f t="shared" ca="1" si="109"/>
        <v>0</v>
      </c>
      <c r="AC209" s="1402">
        <f t="shared" ca="1" si="110"/>
        <v>0</v>
      </c>
      <c r="AD209" s="1397">
        <f ca="1">IF(B209&gt;=$J$5,0,CONTADORES!H213-CONTADORES!H212)</f>
        <v>0</v>
      </c>
      <c r="AE209" s="1397">
        <f ca="1">IF(B209&gt;=$J$5,0,CONTADORES!J213-CONTADORES!J212)</f>
        <v>0</v>
      </c>
      <c r="AF209" s="1397">
        <f ca="1">IF(B209&gt;=$J$5,0,CONTADORES!AU213-CONTADORES!AU212)</f>
        <v>0</v>
      </c>
      <c r="AG209" s="1397">
        <f ca="1">IF(B209&gt;=$J$5,0,CONTADORES!AW213-CONTADORES!AW212)</f>
        <v>0</v>
      </c>
      <c r="AH209" s="1398">
        <f ca="1">IF(B209&gt;=$J$5,0,(CONTADORES!AM213-CONTADORES!AM212)+(CONTADORES!M213-CONTADORES!M212))</f>
        <v>0</v>
      </c>
      <c r="AI209" s="1397">
        <f ca="1">IF(B209&gt;=$J$5,0,(CONTADORES!AK213-CONTADORES!AK212)+(CONTADORES!O213-CONTADORES!O212))</f>
        <v>0</v>
      </c>
      <c r="AJ209" s="1397">
        <f ca="1">IF(B209&gt;=$J$5,0,(CONTADORES!AI213-CONTADORES!AI212))</f>
        <v>0</v>
      </c>
      <c r="AK209" s="1397">
        <f ca="1">IF(B209&gt;=$J$5,0,(CONTADORES!Q213-CONTADORES!Q212))</f>
        <v>0</v>
      </c>
      <c r="AL209" s="1462">
        <f t="shared" ca="1" si="111"/>
        <v>0</v>
      </c>
      <c r="AM209" s="1397">
        <f ca="1">IF(B209&gt;=$J$5,0,(((CONTADORES!F213-CONTADORES!F212)+(CONTADORES!AQ213-CONTADORES!AQ212))))-BS209-AF209-AN209-BV209-BY209-CD209-CB209</f>
        <v>0</v>
      </c>
      <c r="AN209" s="1397">
        <f ca="1">IF(B209&gt;=$J$5,0,(CONTADORES!AX213-CONTADORES!AX212)+(CONTADORES!AZ213-CONTADORES!AZ212)+(CONTADORES!BE213-CONTADORES!BE212))-CB209</f>
        <v>0</v>
      </c>
      <c r="AO209" s="1399">
        <f>(CONTADORES!AC213-CONTADORES!AC212)</f>
        <v>0</v>
      </c>
      <c r="AP209" s="1399">
        <f>(CONTADORES!X213-CONTADORES!X212)</f>
        <v>0</v>
      </c>
      <c r="AQ209" s="1418">
        <f ca="1">IF(B209&gt;=$J$5,0,(CONTADORES!C213-CONTADORES!C212))</f>
        <v>0</v>
      </c>
      <c r="AR209" s="1399">
        <f ca="1">AR208+(CONTADORES!BC213-CONTADORES!BC212)</f>
        <v>0</v>
      </c>
      <c r="AS209" s="1397">
        <f ca="1">IF(B209&gt;=$J$5,0,CONTADORES!S213-CONTADORES!S212)</f>
        <v>0</v>
      </c>
      <c r="AT209" s="1397">
        <f ca="1">IF(B209&gt;=$J$5,0,(CONTADORES!U213-CONTADORES!U212)+(CONTADORES!AG213-CONTADORES!AG212))</f>
        <v>0</v>
      </c>
      <c r="AU209" s="1433">
        <f>CONTADORES!I213-CONTADORES!I212</f>
        <v>0</v>
      </c>
      <c r="AV209" s="1399">
        <f>CONTADORES!AV213-CONTADORES!AV212</f>
        <v>0</v>
      </c>
      <c r="AW209" s="1399">
        <f ca="1">IF(B209&gt;=$J$5,0,(CONTADORES!N213-CONTADORES!N212)+(CONTADORES!AN213-CONTADORES!AN212))</f>
        <v>0</v>
      </c>
      <c r="AX209" s="1399">
        <f ca="1">IF(B209&gt;=$J$5,0,(CONTADORES!P213-CONTADORES!P212)+(CONTADORES!AL213-CONTADORES!AL212))</f>
        <v>0</v>
      </c>
      <c r="AY209" s="1399">
        <f ca="1">IF(B209&gt;=$J$5,0,(CONTADORES!AJ213-CONTADORES!AJ212))</f>
        <v>0</v>
      </c>
      <c r="AZ209" s="1399">
        <f ca="1">IF(B209&gt;=$J$5,0,(CONTADORES!R213-CONTADORES!R212))</f>
        <v>0</v>
      </c>
      <c r="BA209" s="1441">
        <f t="shared" ca="1" si="112"/>
        <v>0</v>
      </c>
      <c r="BB209" s="1433">
        <f ca="1">IF(B209&gt;=$J$5,0,(((CONTADORES!G213-CONTADORES!G212)+(CONTADORES!AR213-CONTADORES!AR212)+AR209)-(AV209+BC209)))</f>
        <v>0</v>
      </c>
      <c r="BC209" s="1397">
        <f ca="1">IF(B209&gt;=$J$5,0,(CONTADORES!AY213-CONTADORES!AY212)+(CONTADORES!BA213-CONTADORES!BA212)+(CONTADORES!BF213-CONTADORES!BF212))</f>
        <v>0</v>
      </c>
      <c r="BD209" s="1402">
        <f t="shared" ca="1" si="113"/>
        <v>0</v>
      </c>
      <c r="BE209" s="1398">
        <f ca="1">IF($B209&gt;=$J$5,0,CONTADORES!$BG213)</f>
        <v>0</v>
      </c>
      <c r="BF209" s="1397">
        <f ca="1">IF($B209&gt;=$J$5,0,CONTADORES!$BH213)</f>
        <v>0</v>
      </c>
      <c r="BG209" s="1397">
        <f ca="1">IF($B209&gt;=$J$5,0,CONTADORES!$BJ213)</f>
        <v>0</v>
      </c>
      <c r="BH209" s="1397">
        <f ca="1">IF(B209&gt;=$J$5,0,((CONTADORES!BK213-CONTADORES!BK212)/1000))</f>
        <v>0</v>
      </c>
      <c r="BI209" s="1397">
        <f ca="1">IF(C209&gt;=$J$5,0,((CONTADORES!BL213-CONTADORES!BL212)/1000))</f>
        <v>0</v>
      </c>
      <c r="BJ209" s="1397">
        <f ca="1">IF(C209&gt;=$J$5,0,((CONTADORES!BM213-CONTADORES!BM212)/1000))</f>
        <v>0</v>
      </c>
      <c r="BK209" s="1397">
        <f ca="1">IF(D209&gt;=$J$5,0,((CONTADORES!BN213-CONTADORES!BN212)/1000))</f>
        <v>0</v>
      </c>
      <c r="BL209" s="1417">
        <f t="shared" ca="1" si="114"/>
        <v>0</v>
      </c>
      <c r="BM209" s="1417">
        <f t="shared" ca="1" si="115"/>
        <v>0</v>
      </c>
      <c r="BN209" s="1398">
        <f ca="1">IF(W209&gt;=$J$5,0,CONTADORES!$BO213)</f>
        <v>0</v>
      </c>
      <c r="BO209" s="1397">
        <f ca="1">IF(W209&gt;=$J$5,0,CONTADORES!$BP213)</f>
        <v>0</v>
      </c>
      <c r="BP209" s="1397">
        <f ca="1">IF(W209&gt;=$J$5,0,CONTADORES!$BQ213)</f>
        <v>0</v>
      </c>
      <c r="BQ209" s="1397">
        <f ca="1">IF(B209&gt;=$J$5,0,(CONTADORES!AS213-CONTADORES!AS212))</f>
        <v>0</v>
      </c>
      <c r="BR209" s="1397">
        <f ca="1">IF(C209&gt;=$J$5,0,(CONTADORES!AT213-CONTADORES!AT212))</f>
        <v>0</v>
      </c>
      <c r="BS209" s="1409">
        <f ca="1">IF(B209&gt;=$J$5,0,CONTADORES!BR213-CONTADORES!BR212)/1000</f>
        <v>0</v>
      </c>
      <c r="BT209" s="1409">
        <f ca="1">IF(B209&gt;=$J$5,0,CONTADORES!BS213-CONTADORES!BS212)</f>
        <v>0</v>
      </c>
      <c r="BU209" s="1409">
        <f ca="1">IF(B209&gt;=$J$5,0,CONTADORES!BT213-CONTADORES!BT212)</f>
        <v>0</v>
      </c>
      <c r="BV209" s="1409">
        <f ca="1">IF(B209&gt;=$J$5,0,CONTADORES!BU213-CONTADORES!BU212)/1000</f>
        <v>0</v>
      </c>
      <c r="BW209" s="1409">
        <f ca="1">IF(B209&gt;=$J$5,0,CONTADORES!BV213-CONTADORES!BV212)/1000</f>
        <v>0</v>
      </c>
      <c r="BX209" s="1409">
        <f ca="1">IF(B209&gt;=$J$5,0,CONTADORES!BW213-CONTADORES!BW212)</f>
        <v>0</v>
      </c>
      <c r="BY209" s="1409">
        <f ca="1">IF(B209&gt;=$J$5,0,CONTADORES!BX213-CONTADORES!BX212)/1000</f>
        <v>0</v>
      </c>
      <c r="BZ209" s="1409">
        <f ca="1">IF(B209&gt;=$J$5,0,CONTADORES!BY213-CONTADORES!BY212)/1000</f>
        <v>0</v>
      </c>
      <c r="CA209" s="1409">
        <f ca="1">IF(B209&gt;=$J$5,0,CONTADORES!BZ213-CONTADORES!BZ212)</f>
        <v>0</v>
      </c>
      <c r="CB209" s="1409">
        <f ca="1">IF(B209&gt;=$J$5,0,(CONTADORES!CC213-CONTADORES!CC212)+(CONTADORES!CE213-CONTADORES!CE212))/1000</f>
        <v>0</v>
      </c>
      <c r="CC209" s="1409">
        <f ca="1">IF(B209&gt;=$J$5,0,(CONTADORES!CD213-CONTADORES!CD212)+(CONTADORES!CF213-CONTADORES!CF212))/1000</f>
        <v>0</v>
      </c>
      <c r="CD209" s="1409">
        <f ca="1">IF(B209&gt;=$J$5,0,CONTADORES!CA213-CONTADORES!CA212)</f>
        <v>0</v>
      </c>
      <c r="CE209" s="1409">
        <f ca="1">IF(B209&gt;=$J$5,0,CONTADORES!CB213-CONTADORES!CB212)</f>
        <v>0</v>
      </c>
      <c r="CF209" s="1441">
        <f t="shared" ca="1" si="116"/>
        <v>0</v>
      </c>
      <c r="CG209" s="1441">
        <f t="shared" ca="1" si="117"/>
        <v>0</v>
      </c>
      <c r="CH209" s="1441">
        <f t="shared" ca="1" si="118"/>
        <v>0</v>
      </c>
      <c r="CI209" s="1441">
        <f t="shared" ca="1" si="119"/>
        <v>0</v>
      </c>
      <c r="CJ209" s="1441">
        <f t="shared" ca="1" si="120"/>
        <v>0</v>
      </c>
      <c r="CK209" s="1441">
        <f t="shared" ca="1" si="121"/>
        <v>0</v>
      </c>
      <c r="CL209" s="1441">
        <f t="shared" ca="1" si="122"/>
        <v>0</v>
      </c>
      <c r="CM209" s="1441">
        <f t="shared" ca="1" si="123"/>
        <v>0</v>
      </c>
      <c r="CN209" s="1409">
        <f ca="1">IF(B209&gt;=$J$5,0,CONTADORES!CB213-CONTADORES!CB212)</f>
        <v>0</v>
      </c>
      <c r="CO209" s="1441">
        <f t="shared" ca="1" si="124"/>
        <v>0</v>
      </c>
      <c r="CP209" s="1441">
        <f t="shared" ca="1" si="125"/>
        <v>0</v>
      </c>
      <c r="CQ209" s="1441">
        <f t="shared" ca="1" si="126"/>
        <v>0</v>
      </c>
      <c r="CR209" s="1441">
        <f t="shared" ca="1" si="127"/>
        <v>0</v>
      </c>
      <c r="CS209" s="1409">
        <f ca="1">IF($B209&gt;=$J$5,0,CONTADORES!$BI213)</f>
        <v>0</v>
      </c>
      <c r="CT209" s="1369">
        <f>CONTADORES!E213</f>
        <v>0</v>
      </c>
      <c r="CU209" s="1369">
        <f>CONTADORES!CG213</f>
        <v>0</v>
      </c>
    </row>
    <row r="210" spans="2:99">
      <c r="B210" s="390">
        <v>45126</v>
      </c>
      <c r="C210" s="198">
        <f t="shared" ca="1" si="101"/>
        <v>0</v>
      </c>
      <c r="D210" s="196">
        <f ca="1">'CALCULO DE GAS'!P22</f>
        <v>0</v>
      </c>
      <c r="E210" s="196">
        <f ca="1">IF(B210&gt;=$J$5,0,(CONTADORES!$AD214-CONTADORES!$AD213)-$H210)</f>
        <v>0</v>
      </c>
      <c r="F210" s="198">
        <f t="shared" ca="1" si="100"/>
        <v>0</v>
      </c>
      <c r="G210" s="196">
        <f ca="1">IF(B210&gt;=$J$5,0,CONTADORES!$AF214-CONTADORES!$AF213)</f>
        <v>0</v>
      </c>
      <c r="H210" s="196">
        <f ca="1">IF(G210&gt;0,CONTADORES!$AE214-CONTADORES!$AE213,0)</f>
        <v>0</v>
      </c>
      <c r="I210" s="199">
        <f ca="1">IF(B210&gt;=$J$5,0,CONTADORES!$AB214-CONTADORES!$AB213)</f>
        <v>0</v>
      </c>
      <c r="J210" s="198">
        <f t="shared" ca="1" si="102"/>
        <v>0</v>
      </c>
      <c r="K210" s="196">
        <f ca="1">'CALCULO DE GAS'!Q22</f>
        <v>0</v>
      </c>
      <c r="L210" s="1396">
        <f ca="1">IF(B210&gt;=$J$5,0,(CONTADORES!$Y214-CONTADORES!$Y213)-$O210)</f>
        <v>0</v>
      </c>
      <c r="M210" s="1396">
        <f t="shared" ca="1" si="128"/>
        <v>0</v>
      </c>
      <c r="N210" s="1396">
        <f ca="1">IF(B210&gt;=$J$5,0,CONTADORES!$AA214-CONTADORES!$AA213)</f>
        <v>0</v>
      </c>
      <c r="O210" s="1396">
        <f ca="1">IF(N210&gt;0,CONTADORES!$Z214-CONTADORES!$Z213,0)</f>
        <v>0</v>
      </c>
      <c r="P210" s="202">
        <f ca="1">IF(B210&gt;=$J$5,0,CONTADORES!$W214-CONTADORES!$W213)</f>
        <v>0</v>
      </c>
      <c r="Q210" s="202">
        <f ca="1">IF(B210&gt;=$J$5,0,CONTADORES!$B214-CONTADORES!$B213)</f>
        <v>0</v>
      </c>
      <c r="R210" s="196">
        <f t="shared" ca="1" si="103"/>
        <v>0</v>
      </c>
      <c r="S210" s="11">
        <f ca="1">IF(B210&gt;=$J$5,0,CONTADORES!$D214-CONTADORES!$D213)</f>
        <v>0</v>
      </c>
      <c r="T210" s="198">
        <f ca="1">IF(B210&gt;=$J$5,0,CONTADORES!$BB214-CONTADORES!$BB213)</f>
        <v>0</v>
      </c>
      <c r="U210" s="196">
        <f t="shared" ca="1" si="97"/>
        <v>0</v>
      </c>
      <c r="V210" s="199">
        <f ca="1">IF(B210&gt;=$J$5,0,CONTADORES!$BD214-CONTADORES!$BD213)</f>
        <v>0</v>
      </c>
      <c r="W210" s="1397">
        <f t="shared" ca="1" si="104"/>
        <v>0</v>
      </c>
      <c r="X210" s="1397">
        <f t="shared" ca="1" si="105"/>
        <v>0</v>
      </c>
      <c r="Y210" s="1398">
        <f t="shared" ca="1" si="106"/>
        <v>0</v>
      </c>
      <c r="Z210" s="1398">
        <f t="shared" ca="1" si="107"/>
        <v>0</v>
      </c>
      <c r="AA210" s="1398">
        <f t="shared" ca="1" si="108"/>
        <v>0</v>
      </c>
      <c r="AB210" s="1398">
        <f t="shared" ca="1" si="109"/>
        <v>0</v>
      </c>
      <c r="AC210" s="1397">
        <f t="shared" ca="1" si="110"/>
        <v>0</v>
      </c>
      <c r="AD210" s="1397">
        <f ca="1">IF(B210&gt;=$J$5,0,CONTADORES!H214-CONTADORES!H213)</f>
        <v>0</v>
      </c>
      <c r="AE210" s="1397">
        <f ca="1">IF(B210&gt;=$J$5,0,CONTADORES!J214-CONTADORES!J213)</f>
        <v>0</v>
      </c>
      <c r="AF210" s="1397">
        <f ca="1">IF(B210&gt;=$J$5,0,CONTADORES!AU214-CONTADORES!AU213)</f>
        <v>0</v>
      </c>
      <c r="AG210" s="1397">
        <f ca="1">IF(B210&gt;=$J$5,0,CONTADORES!AW214-CONTADORES!AW213)</f>
        <v>0</v>
      </c>
      <c r="AH210" s="1398">
        <f ca="1">IF(B210&gt;=$J$5,0,(CONTADORES!AM214-CONTADORES!AM213)+(CONTADORES!M214-CONTADORES!M213))</f>
        <v>0</v>
      </c>
      <c r="AI210" s="1397">
        <f ca="1">IF(B210&gt;=$J$5,0,(CONTADORES!AK214-CONTADORES!AK213)+(CONTADORES!O214-CONTADORES!O213))</f>
        <v>0</v>
      </c>
      <c r="AJ210" s="1397">
        <f ca="1">IF(B210&gt;=$J$5,0,(CONTADORES!AI214-CONTADORES!AI213))</f>
        <v>0</v>
      </c>
      <c r="AK210" s="1397">
        <f ca="1">IF(B210&gt;=$J$5,0,(CONTADORES!Q214-CONTADORES!Q213))</f>
        <v>0</v>
      </c>
      <c r="AL210" s="1461">
        <f t="shared" ca="1" si="111"/>
        <v>0</v>
      </c>
      <c r="AM210" s="1397">
        <f ca="1">IF(B210&gt;=$J$5,0,(((CONTADORES!F214-CONTADORES!F213)+(CONTADORES!AQ214-CONTADORES!AQ213))))-BS210-AF210-AN210-BV210-BY210-CD210-CB210</f>
        <v>0</v>
      </c>
      <c r="AN210" s="1397">
        <f ca="1">IF(B210&gt;=$J$5,0,(CONTADORES!AX214-CONTADORES!AX213)+(CONTADORES!AZ214-CONTADORES!AZ213)+(CONTADORES!BE214-CONTADORES!BE213))-CB210</f>
        <v>0</v>
      </c>
      <c r="AO210" s="1399">
        <f>(CONTADORES!AC214-CONTADORES!AC213)</f>
        <v>0</v>
      </c>
      <c r="AP210" s="1399">
        <f>(CONTADORES!X214-CONTADORES!X213)</f>
        <v>0</v>
      </c>
      <c r="AQ210" s="1404">
        <f ca="1">IF(B210&gt;=$J$5,0,(CONTADORES!C214-CONTADORES!C213))</f>
        <v>0</v>
      </c>
      <c r="AR210" s="1399">
        <f ca="1">AR209+(CONTADORES!BC214-CONTADORES!BC213)</f>
        <v>0</v>
      </c>
      <c r="AS210" s="1397">
        <f ca="1">IF(B210&gt;=$J$5,0,CONTADORES!S214-CONTADORES!S213)</f>
        <v>0</v>
      </c>
      <c r="AT210" s="1397">
        <f ca="1">IF(B210&gt;=$J$5,0,(CONTADORES!U214-CONTADORES!U213)+(CONTADORES!AG214-CONTADORES!AG213))</f>
        <v>0</v>
      </c>
      <c r="AU210" s="1433">
        <f>CONTADORES!I214-CONTADORES!I213</f>
        <v>0</v>
      </c>
      <c r="AV210" s="1399">
        <f>CONTADORES!AV214-CONTADORES!AV213</f>
        <v>0</v>
      </c>
      <c r="AW210" s="1399">
        <f ca="1">IF(B210&gt;=$J$5,0,(CONTADORES!N214-CONTADORES!N213)+(CONTADORES!AN214-CONTADORES!AN213))</f>
        <v>0</v>
      </c>
      <c r="AX210" s="1399">
        <f ca="1">IF(B210&gt;=$J$5,0,(CONTADORES!P214-CONTADORES!P213)+(CONTADORES!AL214-CONTADORES!AL213))</f>
        <v>0</v>
      </c>
      <c r="AY210" s="1399">
        <f ca="1">IF(B210&gt;=$J$5,0,(CONTADORES!AJ214-CONTADORES!AJ213))</f>
        <v>0</v>
      </c>
      <c r="AZ210" s="1399">
        <f ca="1">IF(B210&gt;=$J$5,0,(CONTADORES!R214-CONTADORES!R213))</f>
        <v>0</v>
      </c>
      <c r="BA210" s="1409">
        <f t="shared" ca="1" si="112"/>
        <v>0</v>
      </c>
      <c r="BB210" s="1433">
        <f ca="1">IF(B210&gt;=$J$5,0,(((CONTADORES!G214-CONTADORES!G213)+(CONTADORES!AR214-CONTADORES!AR213)+AR210)-(AV210+BC210)))</f>
        <v>0</v>
      </c>
      <c r="BC210" s="1397">
        <f ca="1">IF(B210&gt;=$J$5,0,(CONTADORES!AY214-CONTADORES!AY213)+(CONTADORES!BA214-CONTADORES!BA213)+(CONTADORES!BF214-CONTADORES!BF213))</f>
        <v>0</v>
      </c>
      <c r="BD210" s="1397">
        <f t="shared" ca="1" si="113"/>
        <v>0</v>
      </c>
      <c r="BE210" s="1398">
        <f ca="1">IF($B210&gt;=$J$5,0,CONTADORES!$BG214)</f>
        <v>0</v>
      </c>
      <c r="BF210" s="1397">
        <f ca="1">IF($B210&gt;=$J$5,0,CONTADORES!$BH214)</f>
        <v>0</v>
      </c>
      <c r="BG210" s="1397">
        <f ca="1">IF($B210&gt;=$J$5,0,CONTADORES!$BJ214)</f>
        <v>0</v>
      </c>
      <c r="BH210" s="1397">
        <f ca="1">IF(B210&gt;=$J$5,0,((CONTADORES!BK214-CONTADORES!BK213)/1000))</f>
        <v>0</v>
      </c>
      <c r="BI210" s="1397">
        <f ca="1">IF(C210&gt;=$J$5,0,((CONTADORES!BL214-CONTADORES!BL213)/1000))</f>
        <v>0</v>
      </c>
      <c r="BJ210" s="1397">
        <f ca="1">IF(C210&gt;=$J$5,0,((CONTADORES!BM214-CONTADORES!BM213)/1000))</f>
        <v>0</v>
      </c>
      <c r="BK210" s="1397">
        <f ca="1">IF(D210&gt;=$J$5,0,((CONTADORES!BN214-CONTADORES!BN213)/1000))</f>
        <v>0</v>
      </c>
      <c r="BL210" s="1399">
        <f t="shared" ca="1" si="114"/>
        <v>0</v>
      </c>
      <c r="BM210" s="1399">
        <f t="shared" ca="1" si="115"/>
        <v>0</v>
      </c>
      <c r="BN210" s="1398">
        <f ca="1">IF(W210&gt;=$J$5,0,CONTADORES!$BO214)</f>
        <v>0</v>
      </c>
      <c r="BO210" s="1397">
        <f ca="1">IF(W210&gt;=$J$5,0,CONTADORES!$BP214)</f>
        <v>0</v>
      </c>
      <c r="BP210" s="1397">
        <f ca="1">IF(W210&gt;=$J$5,0,CONTADORES!$BQ214)</f>
        <v>0</v>
      </c>
      <c r="BQ210" s="1397">
        <f ca="1">IF(B210&gt;=$J$5,0,(CONTADORES!AS214-CONTADORES!AS213))</f>
        <v>0</v>
      </c>
      <c r="BR210" s="1397">
        <f ca="1">IF(C210&gt;=$J$5,0,(CONTADORES!AT214-CONTADORES!AT213))</f>
        <v>0</v>
      </c>
      <c r="BS210" s="1409">
        <f ca="1">IF(B210&gt;=$J$5,0,CONTADORES!BR214-CONTADORES!BR213)/1000</f>
        <v>0</v>
      </c>
      <c r="BT210" s="1409">
        <f ca="1">IF(B210&gt;=$J$5,0,CONTADORES!BS214-CONTADORES!BS213)</f>
        <v>0</v>
      </c>
      <c r="BU210" s="1409">
        <f ca="1">IF(B210&gt;=$J$5,0,CONTADORES!BT214-CONTADORES!BT213)</f>
        <v>0</v>
      </c>
      <c r="BV210" s="1409">
        <f ca="1">IF(B210&gt;=$J$5,0,CONTADORES!BU214-CONTADORES!BU213)/1000</f>
        <v>0</v>
      </c>
      <c r="BW210" s="1409">
        <f ca="1">IF(B210&gt;=$J$5,0,CONTADORES!BV214-CONTADORES!BV213)/1000</f>
        <v>0</v>
      </c>
      <c r="BX210" s="1409">
        <f ca="1">IF(B210&gt;=$J$5,0,CONTADORES!BW214-CONTADORES!BW213)</f>
        <v>0</v>
      </c>
      <c r="BY210" s="1409">
        <f ca="1">IF(B210&gt;=$J$5,0,CONTADORES!BX214-CONTADORES!BX213)/1000</f>
        <v>0</v>
      </c>
      <c r="BZ210" s="1409">
        <f ca="1">IF(B210&gt;=$J$5,0,CONTADORES!BY214-CONTADORES!BY213)/1000</f>
        <v>0</v>
      </c>
      <c r="CA210" s="1409">
        <f ca="1">IF(B210&gt;=$J$5,0,CONTADORES!BZ214-CONTADORES!BZ213)</f>
        <v>0</v>
      </c>
      <c r="CB210" s="1409">
        <f ca="1">IF(B210&gt;=$J$5,0,(CONTADORES!CC214-CONTADORES!CC213)+(CONTADORES!CE214-CONTADORES!CE213))/1000</f>
        <v>0</v>
      </c>
      <c r="CC210" s="1409">
        <f ca="1">IF(B210&gt;=$J$5,0,(CONTADORES!CD214-CONTADORES!CD213)+(CONTADORES!CF214-CONTADORES!CF213))/1000</f>
        <v>0</v>
      </c>
      <c r="CD210" s="1409">
        <f ca="1">IF(B210&gt;=$J$5,0,CONTADORES!CA214-CONTADORES!CA213)</f>
        <v>0</v>
      </c>
      <c r="CE210" s="1409">
        <f ca="1">IF(B210&gt;=$J$5,0,CONTADORES!CB214-CONTADORES!CB213)</f>
        <v>0</v>
      </c>
      <c r="CF210" s="1409">
        <f t="shared" ca="1" si="116"/>
        <v>0</v>
      </c>
      <c r="CG210" s="1409">
        <f t="shared" ca="1" si="117"/>
        <v>0</v>
      </c>
      <c r="CH210" s="1409">
        <f t="shared" ca="1" si="118"/>
        <v>0</v>
      </c>
      <c r="CI210" s="1409">
        <f t="shared" ca="1" si="119"/>
        <v>0</v>
      </c>
      <c r="CJ210" s="1409">
        <f t="shared" ca="1" si="120"/>
        <v>0</v>
      </c>
      <c r="CK210" s="1409">
        <f t="shared" ca="1" si="121"/>
        <v>0</v>
      </c>
      <c r="CL210" s="1409">
        <f t="shared" ca="1" si="122"/>
        <v>0</v>
      </c>
      <c r="CM210" s="1409">
        <f t="shared" ca="1" si="123"/>
        <v>0</v>
      </c>
      <c r="CN210" s="1409">
        <f ca="1">IF(B210&gt;=$J$5,0,CONTADORES!CB214-CONTADORES!CB213)</f>
        <v>0</v>
      </c>
      <c r="CO210" s="1409">
        <f t="shared" ca="1" si="124"/>
        <v>0</v>
      </c>
      <c r="CP210" s="1409">
        <f t="shared" ca="1" si="125"/>
        <v>0</v>
      </c>
      <c r="CQ210" s="1409">
        <f t="shared" ca="1" si="126"/>
        <v>0</v>
      </c>
      <c r="CR210" s="1409">
        <f t="shared" ca="1" si="127"/>
        <v>0</v>
      </c>
      <c r="CS210" s="1409">
        <f ca="1">IF($B210&gt;=$J$5,0,CONTADORES!$BI214)</f>
        <v>0</v>
      </c>
      <c r="CT210" s="1369">
        <f>CONTADORES!E214</f>
        <v>0</v>
      </c>
      <c r="CU210" s="1369">
        <f>CONTADORES!CG214</f>
        <v>0</v>
      </c>
    </row>
    <row r="211" spans="2:99">
      <c r="B211" s="390">
        <v>45127</v>
      </c>
      <c r="C211" s="198">
        <f t="shared" ca="1" si="101"/>
        <v>0</v>
      </c>
      <c r="D211" s="196">
        <f ca="1">'CALCULO DE GAS'!P23</f>
        <v>0</v>
      </c>
      <c r="E211" s="196">
        <f ca="1">IF(B211&gt;=$J$5,0,(CONTADORES!$AD215-CONTADORES!$AD214)-$H211)</f>
        <v>0</v>
      </c>
      <c r="F211" s="198">
        <f t="shared" ca="1" si="100"/>
        <v>0</v>
      </c>
      <c r="G211" s="196">
        <f ca="1">IF(B211&gt;=$J$5,0,CONTADORES!$AF215-CONTADORES!$AF214)</f>
        <v>0</v>
      </c>
      <c r="H211" s="196">
        <f ca="1">IF(G211&gt;0,CONTADORES!$AE215-CONTADORES!$AE214,0)</f>
        <v>0</v>
      </c>
      <c r="I211" s="199">
        <f ca="1">IF(B211&gt;=$J$5,0,CONTADORES!$AB215-CONTADORES!$AB214)</f>
        <v>0</v>
      </c>
      <c r="J211" s="198">
        <f t="shared" ca="1" si="102"/>
        <v>0</v>
      </c>
      <c r="K211" s="196">
        <f ca="1">'CALCULO DE GAS'!Q23</f>
        <v>0</v>
      </c>
      <c r="L211" s="1396">
        <f ca="1">IF(B211&gt;=$J$5,0,(CONTADORES!$Y215-CONTADORES!$Y214)-$O211)</f>
        <v>0</v>
      </c>
      <c r="M211" s="1396">
        <f t="shared" ca="1" si="128"/>
        <v>0</v>
      </c>
      <c r="N211" s="1396">
        <f ca="1">IF(B211&gt;=$J$5,0,CONTADORES!$AA215-CONTADORES!$AA214)</f>
        <v>0</v>
      </c>
      <c r="O211" s="1396">
        <f ca="1">IF(N211&gt;0,CONTADORES!$Z215-CONTADORES!$Z214,0)</f>
        <v>0</v>
      </c>
      <c r="P211" s="202">
        <f ca="1">IF(B211&gt;=$J$5,0,CONTADORES!$W215-CONTADORES!$W214)</f>
        <v>0</v>
      </c>
      <c r="Q211" s="202">
        <f ca="1">IF(B211&gt;=$J$5,0,CONTADORES!$B215-CONTADORES!$B214)</f>
        <v>0</v>
      </c>
      <c r="R211" s="196">
        <f t="shared" ca="1" si="103"/>
        <v>0</v>
      </c>
      <c r="S211" s="11">
        <f ca="1">IF(B211&gt;=$J$5,0,CONTADORES!$D215-CONTADORES!$D214)</f>
        <v>0</v>
      </c>
      <c r="T211" s="198">
        <f ca="1">IF(B211&gt;=$J$5,0,CONTADORES!$BB215-CONTADORES!$BB214)</f>
        <v>0</v>
      </c>
      <c r="U211" s="196">
        <f t="shared" ca="1" si="97"/>
        <v>0</v>
      </c>
      <c r="V211" s="199">
        <f ca="1">IF(B211&gt;=$J$5,0,CONTADORES!$BD215-CONTADORES!$BD214)</f>
        <v>0</v>
      </c>
      <c r="W211" s="1397">
        <f t="shared" ca="1" si="104"/>
        <v>0</v>
      </c>
      <c r="X211" s="1397">
        <f t="shared" ca="1" si="105"/>
        <v>0</v>
      </c>
      <c r="Y211" s="1398">
        <f t="shared" ca="1" si="106"/>
        <v>0</v>
      </c>
      <c r="Z211" s="1398">
        <f t="shared" ca="1" si="107"/>
        <v>0</v>
      </c>
      <c r="AA211" s="1398">
        <f t="shared" ca="1" si="108"/>
        <v>0</v>
      </c>
      <c r="AB211" s="1398">
        <f t="shared" ca="1" si="109"/>
        <v>0</v>
      </c>
      <c r="AC211" s="1397">
        <f t="shared" ca="1" si="110"/>
        <v>0</v>
      </c>
      <c r="AD211" s="1397">
        <f ca="1">IF(B211&gt;=$J$5,0,CONTADORES!H215-CONTADORES!H214)</f>
        <v>0</v>
      </c>
      <c r="AE211" s="1397">
        <f ca="1">IF(B211&gt;=$J$5,0,CONTADORES!J215-CONTADORES!J214)</f>
        <v>0</v>
      </c>
      <c r="AF211" s="1397">
        <f ca="1">IF(B211&gt;=$J$5,0,CONTADORES!AU215-CONTADORES!AU214)</f>
        <v>0</v>
      </c>
      <c r="AG211" s="1397">
        <f ca="1">IF(B211&gt;=$J$5,0,CONTADORES!AW215-CONTADORES!AW214)</f>
        <v>0</v>
      </c>
      <c r="AH211" s="1398">
        <f ca="1">IF(B211&gt;=$J$5,0,(CONTADORES!AM215-CONTADORES!AM214)+(CONTADORES!M215-CONTADORES!M214))</f>
        <v>0</v>
      </c>
      <c r="AI211" s="1397">
        <f ca="1">IF(B211&gt;=$J$5,0,(CONTADORES!AK215-CONTADORES!AK214)+(CONTADORES!O215-CONTADORES!O214))</f>
        <v>0</v>
      </c>
      <c r="AJ211" s="1397">
        <f ca="1">IF(B211&gt;=$J$5,0,(CONTADORES!AI215-CONTADORES!AI214))</f>
        <v>0</v>
      </c>
      <c r="AK211" s="1397">
        <f ca="1">IF(B211&gt;=$J$5,0,(CONTADORES!Q215-CONTADORES!Q214))</f>
        <v>0</v>
      </c>
      <c r="AL211" s="1461">
        <f t="shared" ca="1" si="111"/>
        <v>0</v>
      </c>
      <c r="AM211" s="1397">
        <f ca="1">IF(B211&gt;=$J$5,0,(((CONTADORES!F215-CONTADORES!F214)+(CONTADORES!AQ215-CONTADORES!AQ214))))-BS211-AF211-AN211-BV211-BY211-CD211-CB211</f>
        <v>0</v>
      </c>
      <c r="AN211" s="1397">
        <f ca="1">IF(B211&gt;=$J$5,0,(CONTADORES!AX215-CONTADORES!AX214)+(CONTADORES!AZ215-CONTADORES!AZ214)+(CONTADORES!BE215-CONTADORES!BE214))-CB211</f>
        <v>0</v>
      </c>
      <c r="AO211" s="1399">
        <f>(CONTADORES!AC215-CONTADORES!AC214)</f>
        <v>0</v>
      </c>
      <c r="AP211" s="1399">
        <f>(CONTADORES!X215-CONTADORES!X214)</f>
        <v>0</v>
      </c>
      <c r="AQ211" s="1404">
        <f ca="1">IF(B211&gt;=$J$5,0,(CONTADORES!C215-CONTADORES!C214))</f>
        <v>0</v>
      </c>
      <c r="AR211" s="1399">
        <f ca="1">AR210+(CONTADORES!BC215-CONTADORES!BC214)</f>
        <v>0</v>
      </c>
      <c r="AS211" s="1397">
        <f ca="1">IF(B211&gt;=$J$5,0,CONTADORES!S215-CONTADORES!S214)</f>
        <v>0</v>
      </c>
      <c r="AT211" s="1397">
        <f ca="1">IF(B211&gt;=$J$5,0,(CONTADORES!U215-CONTADORES!U214)+(CONTADORES!AG215-CONTADORES!AG214))</f>
        <v>0</v>
      </c>
      <c r="AU211" s="1433">
        <f>CONTADORES!I215-CONTADORES!I214</f>
        <v>0</v>
      </c>
      <c r="AV211" s="1399">
        <f>CONTADORES!AV215-CONTADORES!AV214</f>
        <v>0</v>
      </c>
      <c r="AW211" s="1399">
        <f ca="1">IF(B211&gt;=$J$5,0,(CONTADORES!N215-CONTADORES!N214)+(CONTADORES!AN215-CONTADORES!AN214))</f>
        <v>0</v>
      </c>
      <c r="AX211" s="1399">
        <f ca="1">IF(B211&gt;=$J$5,0,(CONTADORES!P215-CONTADORES!P214)+(CONTADORES!AL215-CONTADORES!AL214))</f>
        <v>0</v>
      </c>
      <c r="AY211" s="1399">
        <f ca="1">IF(B211&gt;=$J$5,0,(CONTADORES!AJ215-CONTADORES!AJ214))</f>
        <v>0</v>
      </c>
      <c r="AZ211" s="1399">
        <f ca="1">IF(B211&gt;=$J$5,0,(CONTADORES!R215-CONTADORES!R214))</f>
        <v>0</v>
      </c>
      <c r="BA211" s="1409">
        <f t="shared" ca="1" si="112"/>
        <v>0</v>
      </c>
      <c r="BB211" s="1433">
        <f ca="1">IF(B211&gt;=$J$5,0,(((CONTADORES!G215-CONTADORES!G214)+(CONTADORES!AR215-CONTADORES!AR214)+AR211)-(AV211+BC211)))</f>
        <v>0</v>
      </c>
      <c r="BC211" s="1397">
        <f ca="1">IF(B211&gt;=$J$5,0,(CONTADORES!AY215-CONTADORES!AY214)+(CONTADORES!BA215-CONTADORES!BA214)+(CONTADORES!BF215-CONTADORES!BF214))</f>
        <v>0</v>
      </c>
      <c r="BD211" s="1397">
        <f t="shared" ca="1" si="113"/>
        <v>0</v>
      </c>
      <c r="BE211" s="1398">
        <f ca="1">IF($B211&gt;=$J$5,0,CONTADORES!$BG215)</f>
        <v>0</v>
      </c>
      <c r="BF211" s="1397">
        <f ca="1">IF($B211&gt;=$J$5,0,CONTADORES!$BH215)</f>
        <v>0</v>
      </c>
      <c r="BG211" s="1397">
        <f ca="1">IF($B211&gt;=$J$5,0,CONTADORES!$BJ215)</f>
        <v>0</v>
      </c>
      <c r="BH211" s="1397">
        <f ca="1">IF(B211&gt;=$J$5,0,((CONTADORES!BK215-CONTADORES!BK214)/1000))</f>
        <v>0</v>
      </c>
      <c r="BI211" s="1397">
        <f ca="1">IF(C211&gt;=$J$5,0,((CONTADORES!BL215-CONTADORES!BL214)/1000))</f>
        <v>0</v>
      </c>
      <c r="BJ211" s="1397">
        <f ca="1">IF(C211&gt;=$J$5,0,((CONTADORES!BM215-CONTADORES!BM214)/1000))</f>
        <v>0</v>
      </c>
      <c r="BK211" s="1397">
        <f ca="1">IF(D211&gt;=$J$5,0,((CONTADORES!BN215-CONTADORES!BN214)/1000))</f>
        <v>0</v>
      </c>
      <c r="BL211" s="1399">
        <f t="shared" ca="1" si="114"/>
        <v>0</v>
      </c>
      <c r="BM211" s="1399">
        <f t="shared" ca="1" si="115"/>
        <v>0</v>
      </c>
      <c r="BN211" s="1398">
        <f ca="1">IF(W211&gt;=$J$5,0,CONTADORES!$BO215)</f>
        <v>0</v>
      </c>
      <c r="BO211" s="1397">
        <f ca="1">IF(W211&gt;=$J$5,0,CONTADORES!$BP215)</f>
        <v>0</v>
      </c>
      <c r="BP211" s="1397">
        <f ca="1">IF(W211&gt;=$J$5,0,CONTADORES!$BQ215)</f>
        <v>0</v>
      </c>
      <c r="BQ211" s="1397">
        <f ca="1">IF(B211&gt;=$J$5,0,(CONTADORES!AS215-CONTADORES!AS214))</f>
        <v>0</v>
      </c>
      <c r="BR211" s="1397">
        <f ca="1">IF(C211&gt;=$J$5,0,(CONTADORES!AT215-CONTADORES!AT214))</f>
        <v>0</v>
      </c>
      <c r="BS211" s="1409">
        <f ca="1">IF(B211&gt;=$J$5,0,CONTADORES!BR215-CONTADORES!BR214)/1000</f>
        <v>0</v>
      </c>
      <c r="BT211" s="1409">
        <f ca="1">IF(B211&gt;=$J$5,0,CONTADORES!BS215-CONTADORES!BS214)</f>
        <v>0</v>
      </c>
      <c r="BU211" s="1409">
        <f ca="1">IF(B211&gt;=$J$5,0,CONTADORES!BT215-CONTADORES!BT214)</f>
        <v>0</v>
      </c>
      <c r="BV211" s="1409">
        <f ca="1">IF(B211&gt;=$J$5,0,CONTADORES!BU215-CONTADORES!BU214)/1000</f>
        <v>0</v>
      </c>
      <c r="BW211" s="1409">
        <f ca="1">IF(B211&gt;=$J$5,0,CONTADORES!BV215-CONTADORES!BV214)/1000</f>
        <v>0</v>
      </c>
      <c r="BX211" s="1409">
        <f ca="1">IF(B211&gt;=$J$5,0,CONTADORES!BW215-CONTADORES!BW214)</f>
        <v>0</v>
      </c>
      <c r="BY211" s="1409">
        <f ca="1">IF(B211&gt;=$J$5,0,CONTADORES!BX215-CONTADORES!BX214)/1000</f>
        <v>0</v>
      </c>
      <c r="BZ211" s="1409">
        <f ca="1">IF(B211&gt;=$J$5,0,CONTADORES!BY215-CONTADORES!BY214)/1000</f>
        <v>0</v>
      </c>
      <c r="CA211" s="1409">
        <f ca="1">IF(B211&gt;=$J$5,0,CONTADORES!BZ215-CONTADORES!BZ214)</f>
        <v>0</v>
      </c>
      <c r="CB211" s="1409">
        <f ca="1">IF(B211&gt;=$J$5,0,(CONTADORES!CC215-CONTADORES!CC214)+(CONTADORES!CE215-CONTADORES!CE214))/1000</f>
        <v>0</v>
      </c>
      <c r="CC211" s="1409">
        <f ca="1">IF(B211&gt;=$J$5,0,(CONTADORES!CD215-CONTADORES!CD214)+(CONTADORES!CF215-CONTADORES!CF214))/1000</f>
        <v>0</v>
      </c>
      <c r="CD211" s="1409">
        <f ca="1">IF(B211&gt;=$J$5,0,CONTADORES!CA215-CONTADORES!CA214)</f>
        <v>0</v>
      </c>
      <c r="CE211" s="1409">
        <f ca="1">IF(B211&gt;=$J$5,0,CONTADORES!CB215-CONTADORES!CB214)</f>
        <v>0</v>
      </c>
      <c r="CF211" s="1409">
        <f t="shared" ca="1" si="116"/>
        <v>0</v>
      </c>
      <c r="CG211" s="1409">
        <f t="shared" ca="1" si="117"/>
        <v>0</v>
      </c>
      <c r="CH211" s="1409">
        <f t="shared" ca="1" si="118"/>
        <v>0</v>
      </c>
      <c r="CI211" s="1409">
        <f t="shared" ca="1" si="119"/>
        <v>0</v>
      </c>
      <c r="CJ211" s="1409">
        <f t="shared" ca="1" si="120"/>
        <v>0</v>
      </c>
      <c r="CK211" s="1409">
        <f t="shared" ca="1" si="121"/>
        <v>0</v>
      </c>
      <c r="CL211" s="1409">
        <f t="shared" ca="1" si="122"/>
        <v>0</v>
      </c>
      <c r="CM211" s="1409">
        <f t="shared" ca="1" si="123"/>
        <v>0</v>
      </c>
      <c r="CN211" s="1409">
        <f ca="1">IF(B211&gt;=$J$5,0,CONTADORES!CB215-CONTADORES!CB214)</f>
        <v>0</v>
      </c>
      <c r="CO211" s="1409">
        <f t="shared" ca="1" si="124"/>
        <v>0</v>
      </c>
      <c r="CP211" s="1409">
        <f t="shared" ca="1" si="125"/>
        <v>0</v>
      </c>
      <c r="CQ211" s="1409">
        <f t="shared" ca="1" si="126"/>
        <v>0</v>
      </c>
      <c r="CR211" s="1409">
        <f t="shared" ca="1" si="127"/>
        <v>0</v>
      </c>
      <c r="CS211" s="1409">
        <f ca="1">IF($B211&gt;=$J$5,0,CONTADORES!$BI215)</f>
        <v>0</v>
      </c>
      <c r="CT211" s="1369">
        <f>CONTADORES!E215</f>
        <v>0</v>
      </c>
      <c r="CU211" s="1369">
        <f>CONTADORES!CG215</f>
        <v>0</v>
      </c>
    </row>
    <row r="212" spans="2:99">
      <c r="B212" s="390">
        <v>45128</v>
      </c>
      <c r="C212" s="198">
        <f t="shared" ca="1" si="101"/>
        <v>0</v>
      </c>
      <c r="D212" s="196">
        <f ca="1">'CALCULO DE GAS'!P24</f>
        <v>0</v>
      </c>
      <c r="E212" s="196">
        <f ca="1">IF(B212&gt;=$J$5,0,(CONTADORES!$AD216-CONTADORES!$AD215)-$H212)</f>
        <v>0</v>
      </c>
      <c r="F212" s="198">
        <f t="shared" ca="1" si="100"/>
        <v>0</v>
      </c>
      <c r="G212" s="196">
        <f ca="1">IF(B212&gt;=$J$5,0,CONTADORES!$AF216-CONTADORES!$AF215)</f>
        <v>0</v>
      </c>
      <c r="H212" s="196">
        <f ca="1">IF(G212&gt;0,CONTADORES!$AE216-CONTADORES!$AE215,0)</f>
        <v>0</v>
      </c>
      <c r="I212" s="199">
        <f ca="1">IF(B212&gt;=$J$5,0,CONTADORES!$AB216-CONTADORES!$AB215)</f>
        <v>0</v>
      </c>
      <c r="J212" s="198">
        <f t="shared" ca="1" si="102"/>
        <v>0</v>
      </c>
      <c r="K212" s="196">
        <f ca="1">'CALCULO DE GAS'!Q24</f>
        <v>0</v>
      </c>
      <c r="L212" s="1396">
        <f ca="1">IF(B212&gt;=$J$5,0,(CONTADORES!$Y216-CONTADORES!$Y215)-$O212)</f>
        <v>0</v>
      </c>
      <c r="M212" s="1396">
        <f t="shared" ca="1" si="128"/>
        <v>0</v>
      </c>
      <c r="N212" s="1396">
        <f ca="1">IF(B212&gt;=$J$5,0,CONTADORES!$AA216-CONTADORES!$AA215)</f>
        <v>0</v>
      </c>
      <c r="O212" s="1396">
        <f ca="1">IF(N212&gt;0,CONTADORES!$Z216-CONTADORES!$Z215,0)</f>
        <v>0</v>
      </c>
      <c r="P212" s="202">
        <f ca="1">IF(B212&gt;=$J$5,0,CONTADORES!$W216-CONTADORES!$W215)</f>
        <v>0</v>
      </c>
      <c r="Q212" s="202">
        <f ca="1">IF(B212&gt;=$J$5,0,CONTADORES!$B216-CONTADORES!$B215)</f>
        <v>0</v>
      </c>
      <c r="R212" s="196">
        <f t="shared" ca="1" si="103"/>
        <v>0</v>
      </c>
      <c r="S212" s="11">
        <f ca="1">IF(B212&gt;=$J$5,0,CONTADORES!$D216-CONTADORES!$D215)</f>
        <v>0</v>
      </c>
      <c r="T212" s="198">
        <f ca="1">IF(B212&gt;=$J$5,0,CONTADORES!$BB216-CONTADORES!$BB215)</f>
        <v>0</v>
      </c>
      <c r="U212" s="196">
        <f t="shared" ca="1" si="97"/>
        <v>0</v>
      </c>
      <c r="V212" s="199">
        <f ca="1">IF(B212&gt;=$J$5,0,CONTADORES!$BD216-CONTADORES!$BD215)</f>
        <v>0</v>
      </c>
      <c r="W212" s="1397">
        <f t="shared" ca="1" si="104"/>
        <v>0</v>
      </c>
      <c r="X212" s="1397">
        <f t="shared" ca="1" si="105"/>
        <v>0</v>
      </c>
      <c r="Y212" s="1398">
        <f t="shared" ca="1" si="106"/>
        <v>0</v>
      </c>
      <c r="Z212" s="1398">
        <f t="shared" ca="1" si="107"/>
        <v>0</v>
      </c>
      <c r="AA212" s="1398">
        <f t="shared" ca="1" si="108"/>
        <v>0</v>
      </c>
      <c r="AB212" s="1398">
        <f t="shared" ca="1" si="109"/>
        <v>0</v>
      </c>
      <c r="AC212" s="1397">
        <f t="shared" ca="1" si="110"/>
        <v>0</v>
      </c>
      <c r="AD212" s="1397">
        <f ca="1">IF(B212&gt;=$J$5,0,CONTADORES!H216-CONTADORES!H215)</f>
        <v>0</v>
      </c>
      <c r="AE212" s="1397">
        <f ca="1">IF(B212&gt;=$J$5,0,CONTADORES!J216-CONTADORES!J215)</f>
        <v>0</v>
      </c>
      <c r="AF212" s="1397">
        <f ca="1">IF(B212&gt;=$J$5,0,CONTADORES!AU216-CONTADORES!AU215)</f>
        <v>0</v>
      </c>
      <c r="AG212" s="1397">
        <f ca="1">IF(B212&gt;=$J$5,0,CONTADORES!AW216-CONTADORES!AW215)</f>
        <v>0</v>
      </c>
      <c r="AH212" s="1398">
        <f ca="1">IF(B212&gt;=$J$5,0,(CONTADORES!AM216-CONTADORES!AM215)+(CONTADORES!M216-CONTADORES!M215))</f>
        <v>0</v>
      </c>
      <c r="AI212" s="1397">
        <f ca="1">IF(B212&gt;=$J$5,0,(CONTADORES!AK216-CONTADORES!AK215)+(CONTADORES!O216-CONTADORES!O215))</f>
        <v>0</v>
      </c>
      <c r="AJ212" s="1397">
        <f ca="1">IF(B212&gt;=$J$5,0,(CONTADORES!AI216-CONTADORES!AI215))</f>
        <v>0</v>
      </c>
      <c r="AK212" s="1397">
        <f ca="1">IF(B212&gt;=$J$5,0,(CONTADORES!Q216-CONTADORES!Q215))</f>
        <v>0</v>
      </c>
      <c r="AL212" s="1461">
        <f t="shared" ca="1" si="111"/>
        <v>0</v>
      </c>
      <c r="AM212" s="1397">
        <f ca="1">IF(B212&gt;=$J$5,0,(((CONTADORES!F216-CONTADORES!F215)+(CONTADORES!AQ216-CONTADORES!AQ215))))-BS212-AF212-AN212-BV212-BY212-CD212-CB212</f>
        <v>0</v>
      </c>
      <c r="AN212" s="1397">
        <f ca="1">IF(B212&gt;=$J$5,0,(CONTADORES!AX216-CONTADORES!AX215)+(CONTADORES!AZ216-CONTADORES!AZ215)+(CONTADORES!BE216-CONTADORES!BE215))-CB212</f>
        <v>0</v>
      </c>
      <c r="AO212" s="1399">
        <f>(CONTADORES!AC216-CONTADORES!AC215)</f>
        <v>0</v>
      </c>
      <c r="AP212" s="1399">
        <f>(CONTADORES!X216-CONTADORES!X215)</f>
        <v>0</v>
      </c>
      <c r="AQ212" s="1404">
        <f ca="1">IF(B212&gt;=$J$5,0,(CONTADORES!C216-CONTADORES!C215))</f>
        <v>0</v>
      </c>
      <c r="AR212" s="1399">
        <f ca="1">AR211+(CONTADORES!BC216-CONTADORES!BC215)</f>
        <v>0</v>
      </c>
      <c r="AS212" s="1397">
        <f ca="1">IF(B212&gt;=$J$5,0,CONTADORES!S216-CONTADORES!S215)</f>
        <v>0</v>
      </c>
      <c r="AT212" s="1397">
        <f ca="1">IF(B212&gt;=$J$5,0,(CONTADORES!U216-CONTADORES!U215)+(CONTADORES!AG216-CONTADORES!AG215))</f>
        <v>0</v>
      </c>
      <c r="AU212" s="1433">
        <f>CONTADORES!I216-CONTADORES!I215</f>
        <v>0</v>
      </c>
      <c r="AV212" s="1399">
        <f>CONTADORES!AV216-CONTADORES!AV215</f>
        <v>0</v>
      </c>
      <c r="AW212" s="1399">
        <f ca="1">IF(B212&gt;=$J$5,0,(CONTADORES!N216-CONTADORES!N215)+(CONTADORES!AN216-CONTADORES!AN215))</f>
        <v>0</v>
      </c>
      <c r="AX212" s="1399">
        <f ca="1">IF(B212&gt;=$J$5,0,(CONTADORES!P216-CONTADORES!P215)+(CONTADORES!AL216-CONTADORES!AL215))</f>
        <v>0</v>
      </c>
      <c r="AY212" s="1399">
        <f ca="1">IF(B212&gt;=$J$5,0,(CONTADORES!AJ216-CONTADORES!AJ215))</f>
        <v>0</v>
      </c>
      <c r="AZ212" s="1399">
        <f ca="1">IF(B212&gt;=$J$5,0,(CONTADORES!R216-CONTADORES!R215))</f>
        <v>0</v>
      </c>
      <c r="BA212" s="1409">
        <f t="shared" ca="1" si="112"/>
        <v>0</v>
      </c>
      <c r="BB212" s="1433">
        <f ca="1">IF(B212&gt;=$J$5,0,(((CONTADORES!G216-CONTADORES!G215)+(CONTADORES!AR216-CONTADORES!AR215)+AR212)-(AV212+BC212)))</f>
        <v>0</v>
      </c>
      <c r="BC212" s="1397">
        <f ca="1">IF(B212&gt;=$J$5,0,(CONTADORES!AY216-CONTADORES!AY215)+(CONTADORES!BA216-CONTADORES!BA215)+(CONTADORES!BF216-CONTADORES!BF215))</f>
        <v>0</v>
      </c>
      <c r="BD212" s="1397">
        <f t="shared" ca="1" si="113"/>
        <v>0</v>
      </c>
      <c r="BE212" s="1398">
        <f ca="1">IF($B212&gt;=$J$5,0,CONTADORES!$BG216)</f>
        <v>0</v>
      </c>
      <c r="BF212" s="1397">
        <f ca="1">IF($B212&gt;=$J$5,0,CONTADORES!$BH216)</f>
        <v>0</v>
      </c>
      <c r="BG212" s="1397">
        <f ca="1">IF($B212&gt;=$J$5,0,CONTADORES!$BJ216)</f>
        <v>0</v>
      </c>
      <c r="BH212" s="1397">
        <f ca="1">IF(B212&gt;=$J$5,0,((CONTADORES!BK216-CONTADORES!BK215)/1000))</f>
        <v>0</v>
      </c>
      <c r="BI212" s="1397">
        <f ca="1">IF(C212&gt;=$J$5,0,((CONTADORES!BL216-CONTADORES!BL215)/1000))</f>
        <v>0</v>
      </c>
      <c r="BJ212" s="1397">
        <f ca="1">IF(C212&gt;=$J$5,0,((CONTADORES!BM216-CONTADORES!BM215)/1000))</f>
        <v>0</v>
      </c>
      <c r="BK212" s="1397">
        <f ca="1">IF(D212&gt;=$J$5,0,((CONTADORES!BN216-CONTADORES!BN215)/1000))</f>
        <v>0</v>
      </c>
      <c r="BL212" s="1399">
        <f t="shared" ca="1" si="114"/>
        <v>0</v>
      </c>
      <c r="BM212" s="1399">
        <f t="shared" ca="1" si="115"/>
        <v>0</v>
      </c>
      <c r="BN212" s="1398">
        <f ca="1">IF(W212&gt;=$J$5,0,CONTADORES!$BO216)</f>
        <v>0</v>
      </c>
      <c r="BO212" s="1397">
        <f ca="1">IF(W212&gt;=$J$5,0,CONTADORES!$BP216)</f>
        <v>0</v>
      </c>
      <c r="BP212" s="1397">
        <f ca="1">IF(W212&gt;=$J$5,0,CONTADORES!$BQ216)</f>
        <v>0</v>
      </c>
      <c r="BQ212" s="1397">
        <f ca="1">IF(B212&gt;=$J$5,0,(CONTADORES!AS216-CONTADORES!AS215))</f>
        <v>0</v>
      </c>
      <c r="BR212" s="1397">
        <f ca="1">IF(C212&gt;=$J$5,0,(CONTADORES!AT216-CONTADORES!AT215))</f>
        <v>0</v>
      </c>
      <c r="BS212" s="1409">
        <f ca="1">IF(B212&gt;=$J$5,0,CONTADORES!BR216-CONTADORES!BR215)/1000</f>
        <v>0</v>
      </c>
      <c r="BT212" s="1409">
        <f ca="1">IF(B212&gt;=$J$5,0,CONTADORES!BS216-CONTADORES!BS215)</f>
        <v>0</v>
      </c>
      <c r="BU212" s="1409">
        <f ca="1">IF(B212&gt;=$J$5,0,CONTADORES!BT216-CONTADORES!BT215)</f>
        <v>0</v>
      </c>
      <c r="BV212" s="1409">
        <f ca="1">IF(B212&gt;=$J$5,0,CONTADORES!BU216-CONTADORES!BU215)/1000</f>
        <v>0</v>
      </c>
      <c r="BW212" s="1409">
        <f ca="1">IF(B212&gt;=$J$5,0,CONTADORES!BV216-CONTADORES!BV215)/1000</f>
        <v>0</v>
      </c>
      <c r="BX212" s="1409">
        <f ca="1">IF(B212&gt;=$J$5,0,CONTADORES!BW216-CONTADORES!BW215)</f>
        <v>0</v>
      </c>
      <c r="BY212" s="1409">
        <f ca="1">IF(B212&gt;=$J$5,0,CONTADORES!BX216-CONTADORES!BX215)/1000</f>
        <v>0</v>
      </c>
      <c r="BZ212" s="1409">
        <f ca="1">IF(B212&gt;=$J$5,0,CONTADORES!BY216-CONTADORES!BY215)/1000</f>
        <v>0</v>
      </c>
      <c r="CA212" s="1409">
        <f ca="1">IF(B212&gt;=$J$5,0,CONTADORES!BZ216-CONTADORES!BZ215)</f>
        <v>0</v>
      </c>
      <c r="CB212" s="1409">
        <f ca="1">IF(B212&gt;=$J$5,0,(CONTADORES!CC216-CONTADORES!CC215)+(CONTADORES!CE216-CONTADORES!CE215))/1000</f>
        <v>0</v>
      </c>
      <c r="CC212" s="1409">
        <f ca="1">IF(B212&gt;=$J$5,0,(CONTADORES!CD216-CONTADORES!CD215)+(CONTADORES!CF216-CONTADORES!CF215))/1000</f>
        <v>0</v>
      </c>
      <c r="CD212" s="1409">
        <f ca="1">IF(B212&gt;=$J$5,0,CONTADORES!CA216-CONTADORES!CA215)</f>
        <v>0</v>
      </c>
      <c r="CE212" s="1409">
        <f ca="1">IF(B212&gt;=$J$5,0,CONTADORES!CB216-CONTADORES!CB215)</f>
        <v>0</v>
      </c>
      <c r="CF212" s="1409">
        <f t="shared" ca="1" si="116"/>
        <v>0</v>
      </c>
      <c r="CG212" s="1409">
        <f t="shared" ca="1" si="117"/>
        <v>0</v>
      </c>
      <c r="CH212" s="1409">
        <f t="shared" ca="1" si="118"/>
        <v>0</v>
      </c>
      <c r="CI212" s="1409">
        <f t="shared" ca="1" si="119"/>
        <v>0</v>
      </c>
      <c r="CJ212" s="1409">
        <f t="shared" ca="1" si="120"/>
        <v>0</v>
      </c>
      <c r="CK212" s="1409">
        <f t="shared" ca="1" si="121"/>
        <v>0</v>
      </c>
      <c r="CL212" s="1409">
        <f t="shared" ca="1" si="122"/>
        <v>0</v>
      </c>
      <c r="CM212" s="1409">
        <f t="shared" ca="1" si="123"/>
        <v>0</v>
      </c>
      <c r="CN212" s="1409">
        <f ca="1">IF(B212&gt;=$J$5,0,CONTADORES!CB216-CONTADORES!CB215)</f>
        <v>0</v>
      </c>
      <c r="CO212" s="1409">
        <f t="shared" ca="1" si="124"/>
        <v>0</v>
      </c>
      <c r="CP212" s="1409">
        <f t="shared" ca="1" si="125"/>
        <v>0</v>
      </c>
      <c r="CQ212" s="1409">
        <f t="shared" ca="1" si="126"/>
        <v>0</v>
      </c>
      <c r="CR212" s="1409">
        <f t="shared" ca="1" si="127"/>
        <v>0</v>
      </c>
      <c r="CS212" s="1409">
        <f ca="1">IF($B212&gt;=$J$5,0,CONTADORES!$BI216)</f>
        <v>0</v>
      </c>
      <c r="CT212" s="1369">
        <f>CONTADORES!E216</f>
        <v>0</v>
      </c>
      <c r="CU212" s="1369">
        <f>CONTADORES!CG216</f>
        <v>0</v>
      </c>
    </row>
    <row r="213" spans="2:99">
      <c r="B213" s="390">
        <v>45129</v>
      </c>
      <c r="C213" s="198">
        <f t="shared" ca="1" si="101"/>
        <v>0</v>
      </c>
      <c r="D213" s="196">
        <f ca="1">'CALCULO DE GAS'!P25</f>
        <v>0</v>
      </c>
      <c r="E213" s="196">
        <f ca="1">IF(B213&gt;=$J$5,0,(CONTADORES!$AD217-CONTADORES!$AD216)-$H213)</f>
        <v>0</v>
      </c>
      <c r="F213" s="198">
        <f t="shared" ca="1" si="100"/>
        <v>0</v>
      </c>
      <c r="G213" s="196">
        <f ca="1">IF(B213&gt;=$J$5,0,CONTADORES!$AF217-CONTADORES!$AF216)</f>
        <v>0</v>
      </c>
      <c r="H213" s="196">
        <f ca="1">IF(G213&gt;0,CONTADORES!$AE217-CONTADORES!$AE216,0)</f>
        <v>0</v>
      </c>
      <c r="I213" s="199">
        <f ca="1">IF(B213&gt;=$J$5,0,CONTADORES!$AB217-CONTADORES!$AB216)</f>
        <v>0</v>
      </c>
      <c r="J213" s="198">
        <f t="shared" ca="1" si="102"/>
        <v>0</v>
      </c>
      <c r="K213" s="196">
        <f ca="1">'CALCULO DE GAS'!Q25</f>
        <v>0</v>
      </c>
      <c r="L213" s="1396">
        <f ca="1">IF(B213&gt;=$J$5,0,(CONTADORES!$Y217-CONTADORES!$Y216)-$O213)</f>
        <v>0</v>
      </c>
      <c r="M213" s="1396">
        <f t="shared" ca="1" si="128"/>
        <v>0</v>
      </c>
      <c r="N213" s="1396">
        <f ca="1">IF(B213&gt;=$J$5,0,CONTADORES!$AA217-CONTADORES!$AA216)</f>
        <v>0</v>
      </c>
      <c r="O213" s="1396">
        <f ca="1">IF(N213&gt;0,CONTADORES!$Z217-CONTADORES!$Z216,0)</f>
        <v>0</v>
      </c>
      <c r="P213" s="202">
        <f ca="1">IF(B213&gt;=$J$5,0,CONTADORES!$W217-CONTADORES!$W216)</f>
        <v>0</v>
      </c>
      <c r="Q213" s="202">
        <f ca="1">IF(B213&gt;=$J$5,0,CONTADORES!$B217-CONTADORES!$B216)</f>
        <v>0</v>
      </c>
      <c r="R213" s="196">
        <f t="shared" ca="1" si="103"/>
        <v>0</v>
      </c>
      <c r="S213" s="11">
        <f ca="1">IF(B213&gt;=$J$5,0,CONTADORES!$D217-CONTADORES!$D216)</f>
        <v>0</v>
      </c>
      <c r="T213" s="198">
        <f ca="1">IF(B213&gt;=$J$5,0,CONTADORES!$BB217-CONTADORES!$BB216)</f>
        <v>0</v>
      </c>
      <c r="U213" s="196">
        <f t="shared" ca="1" si="97"/>
        <v>0</v>
      </c>
      <c r="V213" s="199">
        <f ca="1">IF(B213&gt;=$J$5,0,CONTADORES!$BD217-CONTADORES!$BD216)</f>
        <v>0</v>
      </c>
      <c r="W213" s="1397">
        <f t="shared" ca="1" si="104"/>
        <v>0</v>
      </c>
      <c r="X213" s="1397">
        <f t="shared" ca="1" si="105"/>
        <v>0</v>
      </c>
      <c r="Y213" s="1398">
        <f t="shared" ca="1" si="106"/>
        <v>0</v>
      </c>
      <c r="Z213" s="1398">
        <f t="shared" ca="1" si="107"/>
        <v>0</v>
      </c>
      <c r="AA213" s="1398">
        <f t="shared" ca="1" si="108"/>
        <v>0</v>
      </c>
      <c r="AB213" s="1398">
        <f t="shared" ca="1" si="109"/>
        <v>0</v>
      </c>
      <c r="AC213" s="1397">
        <f t="shared" ca="1" si="110"/>
        <v>0</v>
      </c>
      <c r="AD213" s="1397">
        <f ca="1">IF(B213&gt;=$J$5,0,CONTADORES!H217-CONTADORES!H216)</f>
        <v>0</v>
      </c>
      <c r="AE213" s="1397">
        <f ca="1">IF(B213&gt;=$J$5,0,CONTADORES!J217-CONTADORES!J216)</f>
        <v>0</v>
      </c>
      <c r="AF213" s="1397">
        <f ca="1">IF(B213&gt;=$J$5,0,CONTADORES!AU217-CONTADORES!AU216)</f>
        <v>0</v>
      </c>
      <c r="AG213" s="1397">
        <f ca="1">IF(B213&gt;=$J$5,0,CONTADORES!AW217-CONTADORES!AW216)</f>
        <v>0</v>
      </c>
      <c r="AH213" s="1398">
        <f ca="1">IF(B213&gt;=$J$5,0,(CONTADORES!AM217-CONTADORES!AM216)+(CONTADORES!M217-CONTADORES!M216))</f>
        <v>0</v>
      </c>
      <c r="AI213" s="1397">
        <f ca="1">IF(B213&gt;=$J$5,0,(CONTADORES!AK217-CONTADORES!AK216)+(CONTADORES!O217-CONTADORES!O216))</f>
        <v>0</v>
      </c>
      <c r="AJ213" s="1397">
        <f ca="1">IF(B213&gt;=$J$5,0,(CONTADORES!AI217-CONTADORES!AI216))</f>
        <v>0</v>
      </c>
      <c r="AK213" s="1397">
        <f ca="1">IF(B213&gt;=$J$5,0,(CONTADORES!Q217-CONTADORES!Q216))</f>
        <v>0</v>
      </c>
      <c r="AL213" s="1461">
        <f t="shared" ca="1" si="111"/>
        <v>0</v>
      </c>
      <c r="AM213" s="1397">
        <f ca="1">IF(B213&gt;=$J$5,0,(((CONTADORES!F217-CONTADORES!F216)+(CONTADORES!AQ217-CONTADORES!AQ216))))-BS213-AF213-AN213-BV213-BY213-CD213-CB213</f>
        <v>0</v>
      </c>
      <c r="AN213" s="1397">
        <f ca="1">IF(B213&gt;=$J$5,0,(CONTADORES!AX217-CONTADORES!AX216)+(CONTADORES!AZ217-CONTADORES!AZ216)+(CONTADORES!BE217-CONTADORES!BE216))-CB213</f>
        <v>0</v>
      </c>
      <c r="AO213" s="1399">
        <f>(CONTADORES!AC217-CONTADORES!AC216)</f>
        <v>0</v>
      </c>
      <c r="AP213" s="1399">
        <f>(CONTADORES!X217-CONTADORES!X216)</f>
        <v>0</v>
      </c>
      <c r="AQ213" s="1404">
        <f ca="1">IF(B213&gt;=$J$5,0,(CONTADORES!C217-CONTADORES!C216))</f>
        <v>0</v>
      </c>
      <c r="AR213" s="1399">
        <f ca="1">AR212+(CONTADORES!BC217-CONTADORES!BC216)</f>
        <v>0</v>
      </c>
      <c r="AS213" s="1397">
        <f ca="1">IF(B213&gt;=$J$5,0,CONTADORES!S217-CONTADORES!S216)</f>
        <v>0</v>
      </c>
      <c r="AT213" s="1397">
        <f ca="1">IF(B213&gt;=$J$5,0,(CONTADORES!U217-CONTADORES!U216)+(CONTADORES!AG217-CONTADORES!AG216))</f>
        <v>0</v>
      </c>
      <c r="AU213" s="1433">
        <f>CONTADORES!I217-CONTADORES!I216</f>
        <v>0</v>
      </c>
      <c r="AV213" s="1399">
        <f>CONTADORES!AV217-CONTADORES!AV216</f>
        <v>0</v>
      </c>
      <c r="AW213" s="1399">
        <f ca="1">IF(B213&gt;=$J$5,0,(CONTADORES!N217-CONTADORES!N216)+(CONTADORES!AN217-CONTADORES!AN216))</f>
        <v>0</v>
      </c>
      <c r="AX213" s="1399">
        <f ca="1">IF(B213&gt;=$J$5,0,(CONTADORES!P217-CONTADORES!P216)+(CONTADORES!AL217-CONTADORES!AL216))</f>
        <v>0</v>
      </c>
      <c r="AY213" s="1399">
        <f ca="1">IF(B213&gt;=$J$5,0,(CONTADORES!AJ217-CONTADORES!AJ216))</f>
        <v>0</v>
      </c>
      <c r="AZ213" s="1399">
        <f ca="1">IF(B213&gt;=$J$5,0,(CONTADORES!R217-CONTADORES!R216))</f>
        <v>0</v>
      </c>
      <c r="BA213" s="1409">
        <f t="shared" ca="1" si="112"/>
        <v>0</v>
      </c>
      <c r="BB213" s="1433">
        <f ca="1">IF(B213&gt;=$J$5,0,(((CONTADORES!G217-CONTADORES!G216)+(CONTADORES!AR217-CONTADORES!AR216)+AR213)-(AV213+BC213)))</f>
        <v>0</v>
      </c>
      <c r="BC213" s="1397">
        <f ca="1">IF(B213&gt;=$J$5,0,(CONTADORES!AY217-CONTADORES!AY216)+(CONTADORES!BA217-CONTADORES!BA216)+(CONTADORES!BF217-CONTADORES!BF216))</f>
        <v>0</v>
      </c>
      <c r="BD213" s="1397">
        <f t="shared" ca="1" si="113"/>
        <v>0</v>
      </c>
      <c r="BE213" s="1398">
        <f ca="1">IF($B213&gt;=$J$5,0,CONTADORES!$BG217)</f>
        <v>0</v>
      </c>
      <c r="BF213" s="1397">
        <f ca="1">IF($B213&gt;=$J$5,0,CONTADORES!$BH217)</f>
        <v>0</v>
      </c>
      <c r="BG213" s="1397">
        <f ca="1">IF($B213&gt;=$J$5,0,CONTADORES!$BJ217)</f>
        <v>0</v>
      </c>
      <c r="BH213" s="1397">
        <f ca="1">IF(B213&gt;=$J$5,0,((CONTADORES!BK217-CONTADORES!BK216)/1000))</f>
        <v>0</v>
      </c>
      <c r="BI213" s="1397">
        <f ca="1">IF(C213&gt;=$J$5,0,((CONTADORES!BL217-CONTADORES!BL216)/1000))</f>
        <v>0</v>
      </c>
      <c r="BJ213" s="1397">
        <f ca="1">IF(C213&gt;=$J$5,0,((CONTADORES!BM217-CONTADORES!BM216)/1000))</f>
        <v>0</v>
      </c>
      <c r="BK213" s="1397">
        <f ca="1">IF(D213&gt;=$J$5,0,((CONTADORES!BN217-CONTADORES!BN216)/1000))</f>
        <v>0</v>
      </c>
      <c r="BL213" s="1399">
        <f t="shared" ca="1" si="114"/>
        <v>0</v>
      </c>
      <c r="BM213" s="1399">
        <f t="shared" ca="1" si="115"/>
        <v>0</v>
      </c>
      <c r="BN213" s="1398">
        <f ca="1">IF(W213&gt;=$J$5,0,CONTADORES!$BO217)</f>
        <v>0</v>
      </c>
      <c r="BO213" s="1397">
        <f ca="1">IF(W213&gt;=$J$5,0,CONTADORES!$BP217)</f>
        <v>0</v>
      </c>
      <c r="BP213" s="1397">
        <f ca="1">IF(W213&gt;=$J$5,0,CONTADORES!$BQ217)</f>
        <v>0</v>
      </c>
      <c r="BQ213" s="1397">
        <f ca="1">IF(B213&gt;=$J$5,0,(CONTADORES!AS217-CONTADORES!AS216))</f>
        <v>0</v>
      </c>
      <c r="BR213" s="1397">
        <f ca="1">IF(C213&gt;=$J$5,0,(CONTADORES!AT217-CONTADORES!AT216))</f>
        <v>0</v>
      </c>
      <c r="BS213" s="1409">
        <f ca="1">IF(B213&gt;=$J$5,0,CONTADORES!BR217-CONTADORES!BR216)/1000</f>
        <v>0</v>
      </c>
      <c r="BT213" s="1409">
        <f ca="1">IF(B213&gt;=$J$5,0,CONTADORES!BS217-CONTADORES!BS216)</f>
        <v>0</v>
      </c>
      <c r="BU213" s="1409">
        <f ca="1">IF(B213&gt;=$J$5,0,CONTADORES!BT217-CONTADORES!BT216)</f>
        <v>0</v>
      </c>
      <c r="BV213" s="1409">
        <f ca="1">IF(B213&gt;=$J$5,0,CONTADORES!BU217-CONTADORES!BU216)/1000</f>
        <v>0</v>
      </c>
      <c r="BW213" s="1409">
        <f ca="1">IF(B213&gt;=$J$5,0,CONTADORES!BV217-CONTADORES!BV216)/1000</f>
        <v>0</v>
      </c>
      <c r="BX213" s="1409">
        <f ca="1">IF(B213&gt;=$J$5,0,CONTADORES!BW217-CONTADORES!BW216)</f>
        <v>0</v>
      </c>
      <c r="BY213" s="1409">
        <f ca="1">IF(B213&gt;=$J$5,0,CONTADORES!BX217-CONTADORES!BX216)/1000</f>
        <v>0</v>
      </c>
      <c r="BZ213" s="1409">
        <f ca="1">IF(B213&gt;=$J$5,0,CONTADORES!BY217-CONTADORES!BY216)/1000</f>
        <v>0</v>
      </c>
      <c r="CA213" s="1409">
        <f ca="1">IF(B213&gt;=$J$5,0,CONTADORES!BZ217-CONTADORES!BZ216)</f>
        <v>0</v>
      </c>
      <c r="CB213" s="1409">
        <f ca="1">IF(B213&gt;=$J$5,0,(CONTADORES!CC217-CONTADORES!CC216)+(CONTADORES!CE217-CONTADORES!CE216))/1000</f>
        <v>0</v>
      </c>
      <c r="CC213" s="1409">
        <f ca="1">IF(B213&gt;=$J$5,0,(CONTADORES!CD217-CONTADORES!CD216)+(CONTADORES!CF217-CONTADORES!CF216))/1000</f>
        <v>0</v>
      </c>
      <c r="CD213" s="1409">
        <f ca="1">IF(B213&gt;=$J$5,0,CONTADORES!CA217-CONTADORES!CA216)</f>
        <v>0</v>
      </c>
      <c r="CE213" s="1409">
        <f ca="1">IF(B213&gt;=$J$5,0,CONTADORES!CB217-CONTADORES!CB216)</f>
        <v>0</v>
      </c>
      <c r="CF213" s="1409">
        <f t="shared" ca="1" si="116"/>
        <v>0</v>
      </c>
      <c r="CG213" s="1409">
        <f t="shared" ca="1" si="117"/>
        <v>0</v>
      </c>
      <c r="CH213" s="1409">
        <f t="shared" ca="1" si="118"/>
        <v>0</v>
      </c>
      <c r="CI213" s="1409">
        <f t="shared" ca="1" si="119"/>
        <v>0</v>
      </c>
      <c r="CJ213" s="1409">
        <f t="shared" ca="1" si="120"/>
        <v>0</v>
      </c>
      <c r="CK213" s="1409">
        <f t="shared" ca="1" si="121"/>
        <v>0</v>
      </c>
      <c r="CL213" s="1409">
        <f t="shared" ca="1" si="122"/>
        <v>0</v>
      </c>
      <c r="CM213" s="1409">
        <f t="shared" ca="1" si="123"/>
        <v>0</v>
      </c>
      <c r="CN213" s="1409">
        <f ca="1">IF(B213&gt;=$J$5,0,CONTADORES!CB217-CONTADORES!CB216)</f>
        <v>0</v>
      </c>
      <c r="CO213" s="1409">
        <f t="shared" ca="1" si="124"/>
        <v>0</v>
      </c>
      <c r="CP213" s="1409">
        <f t="shared" ca="1" si="125"/>
        <v>0</v>
      </c>
      <c r="CQ213" s="1409">
        <f t="shared" ca="1" si="126"/>
        <v>0</v>
      </c>
      <c r="CR213" s="1409">
        <f t="shared" ca="1" si="127"/>
        <v>0</v>
      </c>
      <c r="CS213" s="1409">
        <f ca="1">IF($B213&gt;=$J$5,0,CONTADORES!$BI217)</f>
        <v>0</v>
      </c>
      <c r="CT213" s="1369">
        <f>CONTADORES!E217</f>
        <v>0</v>
      </c>
      <c r="CU213" s="1369">
        <f>CONTADORES!CG217</f>
        <v>0</v>
      </c>
    </row>
    <row r="214" spans="2:99">
      <c r="B214" s="390">
        <v>45130</v>
      </c>
      <c r="C214" s="198">
        <f t="shared" ca="1" si="101"/>
        <v>0</v>
      </c>
      <c r="D214" s="196">
        <f ca="1">'CALCULO DE GAS'!P26</f>
        <v>0</v>
      </c>
      <c r="E214" s="196">
        <f ca="1">IF(B214&gt;=$J$5,0,(CONTADORES!$AD218-CONTADORES!$AD217)-$H214)</f>
        <v>0</v>
      </c>
      <c r="F214" s="198">
        <f t="shared" ca="1" si="100"/>
        <v>0</v>
      </c>
      <c r="G214" s="196">
        <f ca="1">IF(B214&gt;=$J$5,0,CONTADORES!$AF218-CONTADORES!$AF217)</f>
        <v>0</v>
      </c>
      <c r="H214" s="196">
        <f ca="1">IF(G214&gt;0,CONTADORES!$AE218-CONTADORES!$AE217,0)</f>
        <v>0</v>
      </c>
      <c r="I214" s="199">
        <f ca="1">IF(B214&gt;=$J$5,0,CONTADORES!$AB218-CONTADORES!$AB217)</f>
        <v>0</v>
      </c>
      <c r="J214" s="198">
        <f t="shared" ca="1" si="102"/>
        <v>0</v>
      </c>
      <c r="K214" s="196">
        <f ca="1">'CALCULO DE GAS'!Q26</f>
        <v>0</v>
      </c>
      <c r="L214" s="1396">
        <f ca="1">IF(B214&gt;=$J$5,0,(CONTADORES!$Y218-CONTADORES!$Y217)-$O214)</f>
        <v>0</v>
      </c>
      <c r="M214" s="1396">
        <f t="shared" ca="1" si="128"/>
        <v>0</v>
      </c>
      <c r="N214" s="1396">
        <f ca="1">IF(B214&gt;=$J$5,0,CONTADORES!$AA218-CONTADORES!$AA217)</f>
        <v>0</v>
      </c>
      <c r="O214" s="1396">
        <f ca="1">IF(N214&gt;0,CONTADORES!$Z218-CONTADORES!$Z217,0)</f>
        <v>0</v>
      </c>
      <c r="P214" s="202">
        <f ca="1">IF(B214&gt;=$J$5,0,CONTADORES!$W218-CONTADORES!$W217)</f>
        <v>0</v>
      </c>
      <c r="Q214" s="202">
        <f ca="1">IF(B214&gt;=$J$5,0,CONTADORES!$B218-CONTADORES!$B217)</f>
        <v>0</v>
      </c>
      <c r="R214" s="196">
        <f t="shared" ca="1" si="103"/>
        <v>0</v>
      </c>
      <c r="S214" s="11">
        <f ca="1">IF(B214&gt;=$J$5,0,CONTADORES!$D218-CONTADORES!$D217)</f>
        <v>0</v>
      </c>
      <c r="T214" s="198">
        <f ca="1">IF(B214&gt;=$J$5,0,CONTADORES!$BB218-CONTADORES!$BB217)</f>
        <v>0</v>
      </c>
      <c r="U214" s="196">
        <f t="shared" ca="1" si="97"/>
        <v>0</v>
      </c>
      <c r="V214" s="199">
        <f ca="1">IF(B214&gt;=$J$5,0,CONTADORES!$BD218-CONTADORES!$BD217)</f>
        <v>0</v>
      </c>
      <c r="W214" s="1397">
        <f t="shared" ca="1" si="104"/>
        <v>0</v>
      </c>
      <c r="X214" s="1397">
        <f t="shared" ca="1" si="105"/>
        <v>0</v>
      </c>
      <c r="Y214" s="1398">
        <f t="shared" ca="1" si="106"/>
        <v>0</v>
      </c>
      <c r="Z214" s="1398">
        <f t="shared" ca="1" si="107"/>
        <v>0</v>
      </c>
      <c r="AA214" s="1398">
        <f t="shared" ca="1" si="108"/>
        <v>0</v>
      </c>
      <c r="AB214" s="1398">
        <f t="shared" ca="1" si="109"/>
        <v>0</v>
      </c>
      <c r="AC214" s="1397">
        <f t="shared" ca="1" si="110"/>
        <v>0</v>
      </c>
      <c r="AD214" s="1397">
        <f ca="1">IF(B214&gt;=$J$5,0,CONTADORES!H218-CONTADORES!H217)</f>
        <v>0</v>
      </c>
      <c r="AE214" s="1397">
        <f ca="1">IF(B214&gt;=$J$5,0,CONTADORES!J218-CONTADORES!J217)</f>
        <v>0</v>
      </c>
      <c r="AF214" s="1397">
        <f ca="1">IF(B214&gt;=$J$5,0,CONTADORES!AU218-CONTADORES!AU217)</f>
        <v>0</v>
      </c>
      <c r="AG214" s="1397">
        <f ca="1">IF(B214&gt;=$J$5,0,CONTADORES!AW218-CONTADORES!AW217)</f>
        <v>0</v>
      </c>
      <c r="AH214" s="1398">
        <f ca="1">IF(B214&gt;=$J$5,0,(CONTADORES!AM218-CONTADORES!AM217)+(CONTADORES!M218-CONTADORES!M217))</f>
        <v>0</v>
      </c>
      <c r="AI214" s="1397">
        <f ca="1">IF(B214&gt;=$J$5,0,(CONTADORES!AK218-CONTADORES!AK217)+(CONTADORES!O218-CONTADORES!O217))</f>
        <v>0</v>
      </c>
      <c r="AJ214" s="1397">
        <f ca="1">IF(B214&gt;=$J$5,0,(CONTADORES!AI218-CONTADORES!AI217))</f>
        <v>0</v>
      </c>
      <c r="AK214" s="1397">
        <f ca="1">IF(B214&gt;=$J$5,0,(CONTADORES!Q218-CONTADORES!Q217))</f>
        <v>0</v>
      </c>
      <c r="AL214" s="1461">
        <f t="shared" ca="1" si="111"/>
        <v>0</v>
      </c>
      <c r="AM214" s="1397">
        <f ca="1">IF(B214&gt;=$J$5,0,(((CONTADORES!F218-CONTADORES!F217)+(CONTADORES!AQ218-CONTADORES!AQ217))))-BS214-AF214-AN214-BV214-BY214-CD214-CB214</f>
        <v>0</v>
      </c>
      <c r="AN214" s="1397">
        <f ca="1">IF(B214&gt;=$J$5,0,(CONTADORES!AX218-CONTADORES!AX217)+(CONTADORES!AZ218-CONTADORES!AZ217)+(CONTADORES!BE218-CONTADORES!BE217))-CB214</f>
        <v>0</v>
      </c>
      <c r="AO214" s="1399">
        <f>(CONTADORES!AC218-CONTADORES!AC217)</f>
        <v>0</v>
      </c>
      <c r="AP214" s="1399">
        <f>(CONTADORES!X218-CONTADORES!X217)</f>
        <v>0</v>
      </c>
      <c r="AQ214" s="1404">
        <f ca="1">IF(B214&gt;=$J$5,0,(CONTADORES!C218-CONTADORES!C217))</f>
        <v>0</v>
      </c>
      <c r="AR214" s="1399">
        <f ca="1">AR213+(CONTADORES!BC218-CONTADORES!BC217)</f>
        <v>0</v>
      </c>
      <c r="AS214" s="1397">
        <f ca="1">IF(B214&gt;=$J$5,0,CONTADORES!S218-CONTADORES!S217)</f>
        <v>0</v>
      </c>
      <c r="AT214" s="1397">
        <f ca="1">IF(B214&gt;=$J$5,0,(CONTADORES!U218-CONTADORES!U217)+(CONTADORES!AG218-CONTADORES!AG217))</f>
        <v>0</v>
      </c>
      <c r="AU214" s="1433">
        <f>CONTADORES!I218-CONTADORES!I217</f>
        <v>0</v>
      </c>
      <c r="AV214" s="1399">
        <f>CONTADORES!AV218-CONTADORES!AV217</f>
        <v>0</v>
      </c>
      <c r="AW214" s="1399">
        <f ca="1">IF(B214&gt;=$J$5,0,(CONTADORES!N218-CONTADORES!N217)+(CONTADORES!AN218-CONTADORES!AN217))</f>
        <v>0</v>
      </c>
      <c r="AX214" s="1399">
        <f ca="1">IF(B214&gt;=$J$5,0,(CONTADORES!P218-CONTADORES!P217)+(CONTADORES!AL218-CONTADORES!AL217))</f>
        <v>0</v>
      </c>
      <c r="AY214" s="1399">
        <f ca="1">IF(B214&gt;=$J$5,0,(CONTADORES!AJ218-CONTADORES!AJ217))</f>
        <v>0</v>
      </c>
      <c r="AZ214" s="1399">
        <f ca="1">IF(B214&gt;=$J$5,0,(CONTADORES!R218-CONTADORES!R217))</f>
        <v>0</v>
      </c>
      <c r="BA214" s="1409">
        <f t="shared" ca="1" si="112"/>
        <v>0</v>
      </c>
      <c r="BB214" s="1433">
        <f ca="1">IF(B214&gt;=$J$5,0,(((CONTADORES!G218-CONTADORES!G217)+(CONTADORES!AR218-CONTADORES!AR217)+AR214)-(AV214+BC214)))</f>
        <v>0</v>
      </c>
      <c r="BC214" s="1397">
        <f ca="1">IF(B214&gt;=$J$5,0,(CONTADORES!AY218-CONTADORES!AY217)+(CONTADORES!BA218-CONTADORES!BA217)+(CONTADORES!BF218-CONTADORES!BF217))</f>
        <v>0</v>
      </c>
      <c r="BD214" s="1397">
        <f t="shared" ca="1" si="113"/>
        <v>0</v>
      </c>
      <c r="BE214" s="1398">
        <f ca="1">IF($B214&gt;=$J$5,0,CONTADORES!$BG218)</f>
        <v>0</v>
      </c>
      <c r="BF214" s="1397">
        <f ca="1">IF($B214&gt;=$J$5,0,CONTADORES!$BH218)</f>
        <v>0</v>
      </c>
      <c r="BG214" s="1397">
        <f ca="1">IF($B214&gt;=$J$5,0,CONTADORES!$BJ218)</f>
        <v>0</v>
      </c>
      <c r="BH214" s="1397">
        <f ca="1">IF(B214&gt;=$J$5,0,((CONTADORES!BK218-CONTADORES!BK217)/1000))</f>
        <v>0</v>
      </c>
      <c r="BI214" s="1397">
        <f ca="1">IF(C214&gt;=$J$5,0,((CONTADORES!BL218-CONTADORES!BL217)/1000))</f>
        <v>0</v>
      </c>
      <c r="BJ214" s="1397">
        <f ca="1">IF(C214&gt;=$J$5,0,((CONTADORES!BM218-CONTADORES!BM217)/1000))</f>
        <v>0</v>
      </c>
      <c r="BK214" s="1397">
        <f ca="1">IF(D214&gt;=$J$5,0,((CONTADORES!BN218-CONTADORES!BN217)/1000))</f>
        <v>0</v>
      </c>
      <c r="BL214" s="1399">
        <f t="shared" ca="1" si="114"/>
        <v>0</v>
      </c>
      <c r="BM214" s="1399">
        <f t="shared" ca="1" si="115"/>
        <v>0</v>
      </c>
      <c r="BN214" s="1398">
        <f ca="1">IF(W214&gt;=$J$5,0,CONTADORES!$BO218)</f>
        <v>0</v>
      </c>
      <c r="BO214" s="1397">
        <f ca="1">IF(W214&gt;=$J$5,0,CONTADORES!$BP218)</f>
        <v>0</v>
      </c>
      <c r="BP214" s="1397">
        <f ca="1">IF(W214&gt;=$J$5,0,CONTADORES!$BQ218)</f>
        <v>0</v>
      </c>
      <c r="BQ214" s="1397">
        <f ca="1">IF(B214&gt;=$J$5,0,(CONTADORES!AS218-CONTADORES!AS217))</f>
        <v>0</v>
      </c>
      <c r="BR214" s="1397">
        <f ca="1">IF(C214&gt;=$J$5,0,(CONTADORES!AT218-CONTADORES!AT217))</f>
        <v>0</v>
      </c>
      <c r="BS214" s="1409">
        <f ca="1">IF(B214&gt;=$J$5,0,CONTADORES!BR218-CONTADORES!BR217)/1000</f>
        <v>0</v>
      </c>
      <c r="BT214" s="1409">
        <f ca="1">IF(B214&gt;=$J$5,0,CONTADORES!BS218-CONTADORES!BS217)</f>
        <v>0</v>
      </c>
      <c r="BU214" s="1409">
        <f ca="1">IF(B214&gt;=$J$5,0,CONTADORES!BT218-CONTADORES!BT217)</f>
        <v>0</v>
      </c>
      <c r="BV214" s="1409">
        <f ca="1">IF(B214&gt;=$J$5,0,CONTADORES!BU218-CONTADORES!BU217)/1000</f>
        <v>0</v>
      </c>
      <c r="BW214" s="1409">
        <f ca="1">IF(B214&gt;=$J$5,0,CONTADORES!BV218-CONTADORES!BV217)/1000</f>
        <v>0</v>
      </c>
      <c r="BX214" s="1409">
        <f ca="1">IF(B214&gt;=$J$5,0,CONTADORES!BW218-CONTADORES!BW217)</f>
        <v>0</v>
      </c>
      <c r="BY214" s="1409">
        <f ca="1">IF(B214&gt;=$J$5,0,CONTADORES!BX218-CONTADORES!BX217)/1000</f>
        <v>0</v>
      </c>
      <c r="BZ214" s="1409">
        <f ca="1">IF(B214&gt;=$J$5,0,CONTADORES!BY218-CONTADORES!BY217)/1000</f>
        <v>0</v>
      </c>
      <c r="CA214" s="1409">
        <f ca="1">IF(B214&gt;=$J$5,0,CONTADORES!BZ218-CONTADORES!BZ217)</f>
        <v>0</v>
      </c>
      <c r="CB214" s="1409">
        <f ca="1">IF(B214&gt;=$J$5,0,(CONTADORES!CC218-CONTADORES!CC217)+(CONTADORES!CE218-CONTADORES!CE217))/1000</f>
        <v>0</v>
      </c>
      <c r="CC214" s="1409">
        <f ca="1">IF(B214&gt;=$J$5,0,(CONTADORES!CD218-CONTADORES!CD217)+(CONTADORES!CF218-CONTADORES!CF217))/1000</f>
        <v>0</v>
      </c>
      <c r="CD214" s="1409">
        <f ca="1">IF(B214&gt;=$J$5,0,CONTADORES!CA218-CONTADORES!CA217)</f>
        <v>0</v>
      </c>
      <c r="CE214" s="1409">
        <f ca="1">IF(B214&gt;=$J$5,0,CONTADORES!CB218-CONTADORES!CB217)</f>
        <v>0</v>
      </c>
      <c r="CF214" s="1409">
        <f t="shared" ca="1" si="116"/>
        <v>0</v>
      </c>
      <c r="CG214" s="1409">
        <f t="shared" ca="1" si="117"/>
        <v>0</v>
      </c>
      <c r="CH214" s="1409">
        <f t="shared" ca="1" si="118"/>
        <v>0</v>
      </c>
      <c r="CI214" s="1409">
        <f t="shared" ca="1" si="119"/>
        <v>0</v>
      </c>
      <c r="CJ214" s="1409">
        <f t="shared" ca="1" si="120"/>
        <v>0</v>
      </c>
      <c r="CK214" s="1409">
        <f t="shared" ca="1" si="121"/>
        <v>0</v>
      </c>
      <c r="CL214" s="1409">
        <f t="shared" ca="1" si="122"/>
        <v>0</v>
      </c>
      <c r="CM214" s="1409">
        <f t="shared" ca="1" si="123"/>
        <v>0</v>
      </c>
      <c r="CN214" s="1409">
        <f ca="1">IF(B214&gt;=$J$5,0,CONTADORES!CB218-CONTADORES!CB217)</f>
        <v>0</v>
      </c>
      <c r="CO214" s="1409">
        <f t="shared" ca="1" si="124"/>
        <v>0</v>
      </c>
      <c r="CP214" s="1409">
        <f t="shared" ca="1" si="125"/>
        <v>0</v>
      </c>
      <c r="CQ214" s="1409">
        <f t="shared" ca="1" si="126"/>
        <v>0</v>
      </c>
      <c r="CR214" s="1409">
        <f t="shared" ca="1" si="127"/>
        <v>0</v>
      </c>
      <c r="CS214" s="1409">
        <f ca="1">IF($B214&gt;=$J$5,0,CONTADORES!$BI218)</f>
        <v>0</v>
      </c>
      <c r="CT214" s="1369">
        <f>CONTADORES!E218</f>
        <v>0</v>
      </c>
      <c r="CU214" s="1369">
        <f>CONTADORES!CG218</f>
        <v>0</v>
      </c>
    </row>
    <row r="215" spans="2:99">
      <c r="B215" s="390">
        <v>45131</v>
      </c>
      <c r="C215" s="198">
        <f t="shared" ca="1" si="101"/>
        <v>0</v>
      </c>
      <c r="D215" s="196">
        <f ca="1">'CALCULO DE GAS'!P27</f>
        <v>0</v>
      </c>
      <c r="E215" s="196">
        <f ca="1">IF(B215&gt;=$J$5,0,(CONTADORES!$AD219-CONTADORES!$AD218)-$H215)</f>
        <v>0</v>
      </c>
      <c r="F215" s="198">
        <f t="shared" ca="1" si="100"/>
        <v>0</v>
      </c>
      <c r="G215" s="196">
        <f ca="1">IF(B215&gt;=$J$5,0,CONTADORES!$AF219-CONTADORES!$AF218)</f>
        <v>0</v>
      </c>
      <c r="H215" s="196">
        <f ca="1">IF(G215&gt;0,CONTADORES!$AE219-CONTADORES!$AE218,0)</f>
        <v>0</v>
      </c>
      <c r="I215" s="199">
        <f ca="1">IF(B215&gt;=$J$5,0,CONTADORES!$AB219-CONTADORES!$AB218)</f>
        <v>0</v>
      </c>
      <c r="J215" s="198">
        <f t="shared" ca="1" si="102"/>
        <v>0</v>
      </c>
      <c r="K215" s="196">
        <f ca="1">'CALCULO DE GAS'!Q27</f>
        <v>0</v>
      </c>
      <c r="L215" s="1396">
        <f ca="1">IF(B215&gt;=$J$5,0,(CONTADORES!$Y219-CONTADORES!$Y218)-$O215)</f>
        <v>0</v>
      </c>
      <c r="M215" s="1396">
        <f t="shared" ca="1" si="128"/>
        <v>0</v>
      </c>
      <c r="N215" s="1396">
        <f ca="1">IF(B215&gt;=$J$5,0,CONTADORES!$AA219-CONTADORES!$AA218)</f>
        <v>0</v>
      </c>
      <c r="O215" s="1396">
        <f ca="1">IF(N215&gt;0,CONTADORES!$Z219-CONTADORES!$Z218,0)</f>
        <v>0</v>
      </c>
      <c r="P215" s="202">
        <f ca="1">IF(B215&gt;=$J$5,0,CONTADORES!$W219-CONTADORES!$W218)</f>
        <v>0</v>
      </c>
      <c r="Q215" s="202">
        <f ca="1">IF(B215&gt;=$J$5,0,CONTADORES!$B219-CONTADORES!$B218)</f>
        <v>0</v>
      </c>
      <c r="R215" s="196">
        <f t="shared" ca="1" si="103"/>
        <v>0</v>
      </c>
      <c r="S215" s="11">
        <f ca="1">IF(B215&gt;=$J$5,0,CONTADORES!$D219-CONTADORES!$D218)</f>
        <v>0</v>
      </c>
      <c r="T215" s="198">
        <f ca="1">IF(B215&gt;=$J$5,0,CONTADORES!$BB219-CONTADORES!$BB218)</f>
        <v>0</v>
      </c>
      <c r="U215" s="196">
        <f t="shared" ca="1" si="97"/>
        <v>0</v>
      </c>
      <c r="V215" s="199">
        <f ca="1">IF(B215&gt;=$J$5,0,CONTADORES!$BD219-CONTADORES!$BD218)</f>
        <v>0</v>
      </c>
      <c r="W215" s="1397">
        <f t="shared" ca="1" si="104"/>
        <v>0</v>
      </c>
      <c r="X215" s="1397">
        <f t="shared" ca="1" si="105"/>
        <v>0</v>
      </c>
      <c r="Y215" s="1398">
        <f t="shared" ca="1" si="106"/>
        <v>0</v>
      </c>
      <c r="Z215" s="1398">
        <f t="shared" ca="1" si="107"/>
        <v>0</v>
      </c>
      <c r="AA215" s="1398">
        <f t="shared" ca="1" si="108"/>
        <v>0</v>
      </c>
      <c r="AB215" s="1398">
        <f t="shared" ca="1" si="109"/>
        <v>0</v>
      </c>
      <c r="AC215" s="1397">
        <f t="shared" ca="1" si="110"/>
        <v>0</v>
      </c>
      <c r="AD215" s="1397">
        <f ca="1">IF(B215&gt;=$J$5,0,CONTADORES!H219-CONTADORES!H218)</f>
        <v>0</v>
      </c>
      <c r="AE215" s="1397">
        <f ca="1">IF(B215&gt;=$J$5,0,CONTADORES!J219-CONTADORES!J218)</f>
        <v>0</v>
      </c>
      <c r="AF215" s="1397">
        <f ca="1">IF(B215&gt;=$J$5,0,CONTADORES!AU219-CONTADORES!AU218)</f>
        <v>0</v>
      </c>
      <c r="AG215" s="1397">
        <f ca="1">IF(B215&gt;=$J$5,0,CONTADORES!AW219-CONTADORES!AW218)</f>
        <v>0</v>
      </c>
      <c r="AH215" s="1398">
        <f ca="1">IF(B215&gt;=$J$5,0,(CONTADORES!AM219-CONTADORES!AM218)+(CONTADORES!M219-CONTADORES!M218))</f>
        <v>0</v>
      </c>
      <c r="AI215" s="1397">
        <f ca="1">IF(B215&gt;=$J$5,0,(CONTADORES!AK219-CONTADORES!AK218)+(CONTADORES!O219-CONTADORES!O218))</f>
        <v>0</v>
      </c>
      <c r="AJ215" s="1397">
        <f ca="1">IF(B215&gt;=$J$5,0,(CONTADORES!AI219-CONTADORES!AI218))</f>
        <v>0</v>
      </c>
      <c r="AK215" s="1397">
        <f ca="1">IF(B215&gt;=$J$5,0,(CONTADORES!Q219-CONTADORES!Q218))</f>
        <v>0</v>
      </c>
      <c r="AL215" s="1461">
        <f t="shared" ca="1" si="111"/>
        <v>0</v>
      </c>
      <c r="AM215" s="1397">
        <f ca="1">IF(B215&gt;=$J$5,0,(((CONTADORES!F219-CONTADORES!F218)+(CONTADORES!AQ219-CONTADORES!AQ218))))-BS215-AF215-AN215-BV215-BY215-CD215-CB215</f>
        <v>0</v>
      </c>
      <c r="AN215" s="1397">
        <f ca="1">IF(B215&gt;=$J$5,0,(CONTADORES!AX219-CONTADORES!AX218)+(CONTADORES!AZ219-CONTADORES!AZ218)+(CONTADORES!BE219-CONTADORES!BE218))-CB215</f>
        <v>0</v>
      </c>
      <c r="AO215" s="1399">
        <f>(CONTADORES!AC219-CONTADORES!AC218)</f>
        <v>0</v>
      </c>
      <c r="AP215" s="1399">
        <f>(CONTADORES!X219-CONTADORES!X218)</f>
        <v>0</v>
      </c>
      <c r="AQ215" s="1404">
        <f ca="1">IF(B215&gt;=$J$5,0,(CONTADORES!C219-CONTADORES!C218))</f>
        <v>0</v>
      </c>
      <c r="AR215" s="1399">
        <f ca="1">AR214+(CONTADORES!BC219-CONTADORES!BC218)</f>
        <v>0</v>
      </c>
      <c r="AS215" s="1397">
        <f ca="1">IF(B215&gt;=$J$5,0,CONTADORES!S219-CONTADORES!S218)</f>
        <v>0</v>
      </c>
      <c r="AT215" s="1397">
        <f ca="1">IF(B215&gt;=$J$5,0,(CONTADORES!U219-CONTADORES!U218)+(CONTADORES!AG219-CONTADORES!AG218))</f>
        <v>0</v>
      </c>
      <c r="AU215" s="1433">
        <f>CONTADORES!I219-CONTADORES!I218</f>
        <v>0</v>
      </c>
      <c r="AV215" s="1399">
        <f>CONTADORES!AV219-CONTADORES!AV218</f>
        <v>0</v>
      </c>
      <c r="AW215" s="1399">
        <f ca="1">IF(B215&gt;=$J$5,0,(CONTADORES!N219-CONTADORES!N218)+(CONTADORES!AN219-CONTADORES!AN218))</f>
        <v>0</v>
      </c>
      <c r="AX215" s="1399">
        <f ca="1">IF(B215&gt;=$J$5,0,(CONTADORES!P219-CONTADORES!P218)+(CONTADORES!AL219-CONTADORES!AL218))</f>
        <v>0</v>
      </c>
      <c r="AY215" s="1399">
        <f ca="1">IF(B215&gt;=$J$5,0,(CONTADORES!AJ219-CONTADORES!AJ218))</f>
        <v>0</v>
      </c>
      <c r="AZ215" s="1399">
        <f ca="1">IF(B215&gt;=$J$5,0,(CONTADORES!R219-CONTADORES!R218))</f>
        <v>0</v>
      </c>
      <c r="BA215" s="1409">
        <f t="shared" ca="1" si="112"/>
        <v>0</v>
      </c>
      <c r="BB215" s="1433">
        <f ca="1">IF(B215&gt;=$J$5,0,(((CONTADORES!G219-CONTADORES!G218)+(CONTADORES!AR219-CONTADORES!AR218)+AR215)-(AV215+BC215)))</f>
        <v>0</v>
      </c>
      <c r="BC215" s="1397">
        <f ca="1">IF(B215&gt;=$J$5,0,(CONTADORES!AY219-CONTADORES!AY218)+(CONTADORES!BA219-CONTADORES!BA218)+(CONTADORES!BF219-CONTADORES!BF218))</f>
        <v>0</v>
      </c>
      <c r="BD215" s="1397">
        <f t="shared" ca="1" si="113"/>
        <v>0</v>
      </c>
      <c r="BE215" s="1398">
        <f ca="1">IF($B215&gt;=$J$5,0,CONTADORES!$BG219)</f>
        <v>0</v>
      </c>
      <c r="BF215" s="1397">
        <f ca="1">IF($B215&gt;=$J$5,0,CONTADORES!$BH219)</f>
        <v>0</v>
      </c>
      <c r="BG215" s="1397">
        <f ca="1">IF($B215&gt;=$J$5,0,CONTADORES!$BJ219)</f>
        <v>0</v>
      </c>
      <c r="BH215" s="1397">
        <f ca="1">IF(B215&gt;=$J$5,0,((CONTADORES!BK219-CONTADORES!BK218)/1000))</f>
        <v>0</v>
      </c>
      <c r="BI215" s="1397">
        <f ca="1">IF(C215&gt;=$J$5,0,((CONTADORES!BL219-CONTADORES!BL218)/1000))</f>
        <v>0</v>
      </c>
      <c r="BJ215" s="1397">
        <f ca="1">IF(C215&gt;=$J$5,0,((CONTADORES!BM219-CONTADORES!BM218)/1000))</f>
        <v>0</v>
      </c>
      <c r="BK215" s="1397">
        <f ca="1">IF(D215&gt;=$J$5,0,((CONTADORES!BN219-CONTADORES!BN218)/1000))</f>
        <v>0</v>
      </c>
      <c r="BL215" s="1399">
        <f t="shared" ca="1" si="114"/>
        <v>0</v>
      </c>
      <c r="BM215" s="1399">
        <f t="shared" ca="1" si="115"/>
        <v>0</v>
      </c>
      <c r="BN215" s="1398">
        <f ca="1">IF(W215&gt;=$J$5,0,CONTADORES!$BO219)</f>
        <v>0</v>
      </c>
      <c r="BO215" s="1397">
        <f ca="1">IF(W215&gt;=$J$5,0,CONTADORES!$BP219)</f>
        <v>0</v>
      </c>
      <c r="BP215" s="1397">
        <f ca="1">IF(W215&gt;=$J$5,0,CONTADORES!$BQ219)</f>
        <v>0</v>
      </c>
      <c r="BQ215" s="1397">
        <f ca="1">IF(B215&gt;=$J$5,0,(CONTADORES!AS219-CONTADORES!AS218))</f>
        <v>0</v>
      </c>
      <c r="BR215" s="1397">
        <f ca="1">IF(C215&gt;=$J$5,0,(CONTADORES!AT219-CONTADORES!AT218))</f>
        <v>0</v>
      </c>
      <c r="BS215" s="1409">
        <f ca="1">IF(B215&gt;=$J$5,0,CONTADORES!BR219-CONTADORES!BR218)/1000</f>
        <v>0</v>
      </c>
      <c r="BT215" s="1409">
        <f ca="1">IF(B215&gt;=$J$5,0,CONTADORES!BS219-CONTADORES!BS218)</f>
        <v>0</v>
      </c>
      <c r="BU215" s="1409">
        <f ca="1">IF(B215&gt;=$J$5,0,CONTADORES!BT219-CONTADORES!BT218)</f>
        <v>0</v>
      </c>
      <c r="BV215" s="1409">
        <f ca="1">IF(B215&gt;=$J$5,0,CONTADORES!BU219-CONTADORES!BU218)/1000</f>
        <v>0</v>
      </c>
      <c r="BW215" s="1409">
        <f ca="1">IF(B215&gt;=$J$5,0,CONTADORES!BV219-CONTADORES!BV218)/1000</f>
        <v>0</v>
      </c>
      <c r="BX215" s="1409">
        <f ca="1">IF(B215&gt;=$J$5,0,CONTADORES!BW219-CONTADORES!BW218)</f>
        <v>0</v>
      </c>
      <c r="BY215" s="1409">
        <f ca="1">IF(B215&gt;=$J$5,0,CONTADORES!BX219-CONTADORES!BX218)/1000</f>
        <v>0</v>
      </c>
      <c r="BZ215" s="1409">
        <f ca="1">IF(B215&gt;=$J$5,0,CONTADORES!BY219-CONTADORES!BY218)/1000</f>
        <v>0</v>
      </c>
      <c r="CA215" s="1409">
        <f ca="1">IF(B215&gt;=$J$5,0,CONTADORES!BZ219-CONTADORES!BZ218)</f>
        <v>0</v>
      </c>
      <c r="CB215" s="1409">
        <f ca="1">IF(B215&gt;=$J$5,0,(CONTADORES!CC219-CONTADORES!CC218)+(CONTADORES!CE219-CONTADORES!CE218))/1000</f>
        <v>0</v>
      </c>
      <c r="CC215" s="1409">
        <f ca="1">IF(B215&gt;=$J$5,0,(CONTADORES!CD219-CONTADORES!CD218)+(CONTADORES!CF219-CONTADORES!CF218))/1000</f>
        <v>0</v>
      </c>
      <c r="CD215" s="1409">
        <f ca="1">IF(B215&gt;=$J$5,0,CONTADORES!CA219-CONTADORES!CA218)</f>
        <v>0</v>
      </c>
      <c r="CE215" s="1409">
        <f ca="1">IF(B215&gt;=$J$5,0,CONTADORES!CB219-CONTADORES!CB218)</f>
        <v>0</v>
      </c>
      <c r="CF215" s="1409">
        <f t="shared" ca="1" si="116"/>
        <v>0</v>
      </c>
      <c r="CG215" s="1409">
        <f t="shared" ca="1" si="117"/>
        <v>0</v>
      </c>
      <c r="CH215" s="1409">
        <f t="shared" ca="1" si="118"/>
        <v>0</v>
      </c>
      <c r="CI215" s="1409">
        <f t="shared" ca="1" si="119"/>
        <v>0</v>
      </c>
      <c r="CJ215" s="1409">
        <f t="shared" ca="1" si="120"/>
        <v>0</v>
      </c>
      <c r="CK215" s="1409">
        <f t="shared" ca="1" si="121"/>
        <v>0</v>
      </c>
      <c r="CL215" s="1409">
        <f t="shared" ca="1" si="122"/>
        <v>0</v>
      </c>
      <c r="CM215" s="1409">
        <f t="shared" ca="1" si="123"/>
        <v>0</v>
      </c>
      <c r="CN215" s="1409">
        <f ca="1">IF(B215&gt;=$J$5,0,CONTADORES!CB219-CONTADORES!CB218)</f>
        <v>0</v>
      </c>
      <c r="CO215" s="1409">
        <f t="shared" ca="1" si="124"/>
        <v>0</v>
      </c>
      <c r="CP215" s="1409">
        <f t="shared" ca="1" si="125"/>
        <v>0</v>
      </c>
      <c r="CQ215" s="1409">
        <f t="shared" ca="1" si="126"/>
        <v>0</v>
      </c>
      <c r="CR215" s="1409">
        <f t="shared" ca="1" si="127"/>
        <v>0</v>
      </c>
      <c r="CS215" s="1409">
        <f ca="1">IF($B215&gt;=$J$5,0,CONTADORES!$BI219)</f>
        <v>0</v>
      </c>
      <c r="CT215" s="1369">
        <f>CONTADORES!E219</f>
        <v>0</v>
      </c>
      <c r="CU215" s="1369">
        <f>CONTADORES!CG219</f>
        <v>0</v>
      </c>
    </row>
    <row r="216" spans="2:99">
      <c r="B216" s="390">
        <v>45132</v>
      </c>
      <c r="C216" s="198">
        <f t="shared" ca="1" si="101"/>
        <v>0</v>
      </c>
      <c r="D216" s="196">
        <f ca="1">'CALCULO DE GAS'!P28</f>
        <v>0</v>
      </c>
      <c r="E216" s="196">
        <f ca="1">IF(B216&gt;=$J$5,0,(CONTADORES!$AD220-CONTADORES!$AD219)-$H216)</f>
        <v>0</v>
      </c>
      <c r="F216" s="198">
        <f t="shared" ca="1" si="100"/>
        <v>0</v>
      </c>
      <c r="G216" s="196">
        <f ca="1">IF(B216&gt;=$J$5,0,CONTADORES!$AF220-CONTADORES!$AF219)</f>
        <v>0</v>
      </c>
      <c r="H216" s="196">
        <f ca="1">IF(G216&gt;0,CONTADORES!$AE220-CONTADORES!$AE219,0)</f>
        <v>0</v>
      </c>
      <c r="I216" s="199">
        <f ca="1">IF(B216&gt;=$J$5,0,CONTADORES!$AB220-CONTADORES!$AB219)</f>
        <v>0</v>
      </c>
      <c r="J216" s="198">
        <f t="shared" ca="1" si="102"/>
        <v>0</v>
      </c>
      <c r="K216" s="196">
        <f ca="1">'CALCULO DE GAS'!Q28</f>
        <v>0</v>
      </c>
      <c r="L216" s="1396">
        <f ca="1">IF(B216&gt;=$J$5,0,(CONTADORES!$Y220-CONTADORES!$Y219)-$O216)</f>
        <v>0</v>
      </c>
      <c r="M216" s="1396">
        <f t="shared" ca="1" si="128"/>
        <v>0</v>
      </c>
      <c r="N216" s="1396">
        <f ca="1">IF(B216&gt;=$J$5,0,CONTADORES!$AA220-CONTADORES!$AA219)</f>
        <v>0</v>
      </c>
      <c r="O216" s="1396">
        <f ca="1">IF(N216&gt;0,CONTADORES!$Z220-CONTADORES!$Z219,0)</f>
        <v>0</v>
      </c>
      <c r="P216" s="202">
        <f ca="1">IF(B216&gt;=$J$5,0,CONTADORES!$W220-CONTADORES!$W219)</f>
        <v>0</v>
      </c>
      <c r="Q216" s="202">
        <f ca="1">IF(B216&gt;=$J$5,0,CONTADORES!$B220-CONTADORES!$B219)</f>
        <v>0</v>
      </c>
      <c r="R216" s="196">
        <f t="shared" ca="1" si="103"/>
        <v>0</v>
      </c>
      <c r="S216" s="11">
        <f ca="1">IF(B216&gt;=$J$5,0,CONTADORES!$D220-CONTADORES!$D219)</f>
        <v>0</v>
      </c>
      <c r="T216" s="198">
        <f ca="1">IF(B216&gt;=$J$5,0,CONTADORES!$BB220-CONTADORES!$BB219)</f>
        <v>0</v>
      </c>
      <c r="U216" s="196">
        <f t="shared" ca="1" si="97"/>
        <v>0</v>
      </c>
      <c r="V216" s="199">
        <f ca="1">IF(B216&gt;=$J$5,0,CONTADORES!$BD220-CONTADORES!$BD219)</f>
        <v>0</v>
      </c>
      <c r="W216" s="1397">
        <f t="shared" ca="1" si="104"/>
        <v>0</v>
      </c>
      <c r="X216" s="1397">
        <f t="shared" ca="1" si="105"/>
        <v>0</v>
      </c>
      <c r="Y216" s="1398">
        <f t="shared" ca="1" si="106"/>
        <v>0</v>
      </c>
      <c r="Z216" s="1398">
        <f t="shared" ca="1" si="107"/>
        <v>0</v>
      </c>
      <c r="AA216" s="1398">
        <f t="shared" ca="1" si="108"/>
        <v>0</v>
      </c>
      <c r="AB216" s="1398">
        <f t="shared" ca="1" si="109"/>
        <v>0</v>
      </c>
      <c r="AC216" s="1397">
        <f t="shared" ca="1" si="110"/>
        <v>0</v>
      </c>
      <c r="AD216" s="1397">
        <f ca="1">IF(B216&gt;=$J$5,0,CONTADORES!H220-CONTADORES!H219)</f>
        <v>0</v>
      </c>
      <c r="AE216" s="1397">
        <f ca="1">IF(B216&gt;=$J$5,0,CONTADORES!J220-CONTADORES!J219)</f>
        <v>0</v>
      </c>
      <c r="AF216" s="1397">
        <f ca="1">IF(B216&gt;=$J$5,0,CONTADORES!AU220-CONTADORES!AU219)</f>
        <v>0</v>
      </c>
      <c r="AG216" s="1397">
        <f ca="1">IF(B216&gt;=$J$5,0,CONTADORES!AW220-CONTADORES!AW219)</f>
        <v>0</v>
      </c>
      <c r="AH216" s="1398">
        <f ca="1">IF(B216&gt;=$J$5,0,(CONTADORES!AM220-CONTADORES!AM219)+(CONTADORES!M220-CONTADORES!M219))</f>
        <v>0</v>
      </c>
      <c r="AI216" s="1397">
        <f ca="1">IF(B216&gt;=$J$5,0,(CONTADORES!AK220-CONTADORES!AK219)+(CONTADORES!O220-CONTADORES!O219))</f>
        <v>0</v>
      </c>
      <c r="AJ216" s="1397">
        <f ca="1">IF(B216&gt;=$J$5,0,(CONTADORES!AI220-CONTADORES!AI219))</f>
        <v>0</v>
      </c>
      <c r="AK216" s="1397">
        <f ca="1">IF(B216&gt;=$J$5,0,(CONTADORES!Q220-CONTADORES!Q219))</f>
        <v>0</v>
      </c>
      <c r="AL216" s="1461">
        <f t="shared" ca="1" si="111"/>
        <v>0</v>
      </c>
      <c r="AM216" s="1397">
        <f ca="1">IF(B216&gt;=$J$5,0,(((CONTADORES!F220-CONTADORES!F219)+(CONTADORES!AQ220-CONTADORES!AQ219))))-BS216-AF216-AN216-BV216-BY216-CD216-CB216</f>
        <v>0</v>
      </c>
      <c r="AN216" s="1397">
        <f ca="1">IF(B216&gt;=$J$5,0,(CONTADORES!AX220-CONTADORES!AX219)+(CONTADORES!AZ220-CONTADORES!AZ219)+(CONTADORES!BE220-CONTADORES!BE219))-CB216</f>
        <v>0</v>
      </c>
      <c r="AO216" s="1399">
        <f>(CONTADORES!AC220-CONTADORES!AC219)</f>
        <v>0</v>
      </c>
      <c r="AP216" s="1399">
        <f>(CONTADORES!X220-CONTADORES!X219)</f>
        <v>0</v>
      </c>
      <c r="AQ216" s="1404">
        <f ca="1">IF(B216&gt;=$J$5,0,(CONTADORES!C220-CONTADORES!C219))</f>
        <v>0</v>
      </c>
      <c r="AR216" s="1399">
        <f ca="1">AR215+(CONTADORES!BC220-CONTADORES!BC219)</f>
        <v>0</v>
      </c>
      <c r="AS216" s="1397">
        <f ca="1">IF(B216&gt;=$J$5,0,CONTADORES!S220-CONTADORES!S219)</f>
        <v>0</v>
      </c>
      <c r="AT216" s="1397">
        <f ca="1">IF(B216&gt;=$J$5,0,(CONTADORES!U220-CONTADORES!U219)+(CONTADORES!AG220-CONTADORES!AG219))</f>
        <v>0</v>
      </c>
      <c r="AU216" s="1433">
        <f>CONTADORES!I220-CONTADORES!I219</f>
        <v>0</v>
      </c>
      <c r="AV216" s="1399">
        <f>CONTADORES!AV220-CONTADORES!AV219</f>
        <v>0</v>
      </c>
      <c r="AW216" s="1399">
        <f ca="1">IF(B216&gt;=$J$5,0,(CONTADORES!N220-CONTADORES!N219)+(CONTADORES!AN220-CONTADORES!AN219))</f>
        <v>0</v>
      </c>
      <c r="AX216" s="1399">
        <f ca="1">IF(B216&gt;=$J$5,0,(CONTADORES!P220-CONTADORES!P219)+(CONTADORES!AL220-CONTADORES!AL219))</f>
        <v>0</v>
      </c>
      <c r="AY216" s="1399">
        <f ca="1">IF(B216&gt;=$J$5,0,(CONTADORES!AJ220-CONTADORES!AJ219))</f>
        <v>0</v>
      </c>
      <c r="AZ216" s="1399">
        <f ca="1">IF(B216&gt;=$J$5,0,(CONTADORES!R220-CONTADORES!R219))</f>
        <v>0</v>
      </c>
      <c r="BA216" s="1409">
        <f t="shared" ca="1" si="112"/>
        <v>0</v>
      </c>
      <c r="BB216" s="1433">
        <f ca="1">IF(B216&gt;=$J$5,0,(((CONTADORES!G220-CONTADORES!G219)+(CONTADORES!AR220-CONTADORES!AR219)+AR216)-(AV216+BC216)))</f>
        <v>0</v>
      </c>
      <c r="BC216" s="1397">
        <f ca="1">IF(B216&gt;=$J$5,0,(CONTADORES!AY220-CONTADORES!AY219)+(CONTADORES!BA220-CONTADORES!BA219)+(CONTADORES!BF220-CONTADORES!BF219))</f>
        <v>0</v>
      </c>
      <c r="BD216" s="1397">
        <f t="shared" ca="1" si="113"/>
        <v>0</v>
      </c>
      <c r="BE216" s="1398">
        <f ca="1">IF($B216&gt;=$J$5,0,CONTADORES!$BG220)</f>
        <v>0</v>
      </c>
      <c r="BF216" s="1397">
        <f ca="1">IF($B216&gt;=$J$5,0,CONTADORES!$BH220)</f>
        <v>0</v>
      </c>
      <c r="BG216" s="1397">
        <f ca="1">IF($B216&gt;=$J$5,0,CONTADORES!$BJ220)</f>
        <v>0</v>
      </c>
      <c r="BH216" s="1397">
        <f ca="1">IF(B216&gt;=$J$5,0,((CONTADORES!BK220-CONTADORES!BK219)/1000))</f>
        <v>0</v>
      </c>
      <c r="BI216" s="1397">
        <f ca="1">IF(C216&gt;=$J$5,0,((CONTADORES!BL220-CONTADORES!BL219)/1000))</f>
        <v>0</v>
      </c>
      <c r="BJ216" s="1397">
        <f ca="1">IF(C216&gt;=$J$5,0,((CONTADORES!BM220-CONTADORES!BM219)/1000))</f>
        <v>0</v>
      </c>
      <c r="BK216" s="1397">
        <f ca="1">IF(D216&gt;=$J$5,0,((CONTADORES!BN220-CONTADORES!BN219)/1000))</f>
        <v>0</v>
      </c>
      <c r="BL216" s="1399">
        <f t="shared" ca="1" si="114"/>
        <v>0</v>
      </c>
      <c r="BM216" s="1399">
        <f t="shared" ca="1" si="115"/>
        <v>0</v>
      </c>
      <c r="BN216" s="1398">
        <f ca="1">IF(W216&gt;=$J$5,0,CONTADORES!$BO220)</f>
        <v>0</v>
      </c>
      <c r="BO216" s="1397">
        <f ca="1">IF(W216&gt;=$J$5,0,CONTADORES!$BP220)</f>
        <v>0</v>
      </c>
      <c r="BP216" s="1397">
        <f ca="1">IF(W216&gt;=$J$5,0,CONTADORES!$BQ220)</f>
        <v>0</v>
      </c>
      <c r="BQ216" s="1397">
        <f ca="1">IF(B216&gt;=$J$5,0,(CONTADORES!AS220-CONTADORES!AS219))</f>
        <v>0</v>
      </c>
      <c r="BR216" s="1397">
        <f ca="1">IF(C216&gt;=$J$5,0,(CONTADORES!AT220-CONTADORES!AT219))</f>
        <v>0</v>
      </c>
      <c r="BS216" s="1409">
        <f ca="1">IF(B216&gt;=$J$5,0,CONTADORES!BR220-CONTADORES!BR219)/1000</f>
        <v>0</v>
      </c>
      <c r="BT216" s="1409">
        <f ca="1">IF(B216&gt;=$J$5,0,CONTADORES!BS220-CONTADORES!BS219)</f>
        <v>0</v>
      </c>
      <c r="BU216" s="1409">
        <f ca="1">IF(B216&gt;=$J$5,0,CONTADORES!BT220-CONTADORES!BT219)</f>
        <v>0</v>
      </c>
      <c r="BV216" s="1409">
        <f ca="1">IF(B216&gt;=$J$5,0,CONTADORES!BU220-CONTADORES!BU219)/1000</f>
        <v>0</v>
      </c>
      <c r="BW216" s="1409">
        <f ca="1">IF(B216&gt;=$J$5,0,CONTADORES!BV220-CONTADORES!BV219)/1000</f>
        <v>0</v>
      </c>
      <c r="BX216" s="1409">
        <f ca="1">IF(B216&gt;=$J$5,0,CONTADORES!BW220-CONTADORES!BW219)</f>
        <v>0</v>
      </c>
      <c r="BY216" s="1409">
        <f ca="1">IF(B216&gt;=$J$5,0,CONTADORES!BX220-CONTADORES!BX219)/1000</f>
        <v>0</v>
      </c>
      <c r="BZ216" s="1409">
        <f ca="1">IF(B216&gt;=$J$5,0,CONTADORES!BY220-CONTADORES!BY219)/1000</f>
        <v>0</v>
      </c>
      <c r="CA216" s="1409">
        <f ca="1">IF(B216&gt;=$J$5,0,CONTADORES!BZ220-CONTADORES!BZ219)</f>
        <v>0</v>
      </c>
      <c r="CB216" s="1409">
        <f ca="1">IF(B216&gt;=$J$5,0,(CONTADORES!CC220-CONTADORES!CC219)+(CONTADORES!CE220-CONTADORES!CE219))/1000</f>
        <v>0</v>
      </c>
      <c r="CC216" s="1409">
        <f ca="1">IF(B216&gt;=$J$5,0,(CONTADORES!CD220-CONTADORES!CD219)+(CONTADORES!CF220-CONTADORES!CF219))/1000</f>
        <v>0</v>
      </c>
      <c r="CD216" s="1409">
        <f ca="1">IF(B216&gt;=$J$5,0,CONTADORES!CA220-CONTADORES!CA219)</f>
        <v>0</v>
      </c>
      <c r="CE216" s="1409">
        <f ca="1">IF(B216&gt;=$J$5,0,CONTADORES!CB220-CONTADORES!CB219)</f>
        <v>0</v>
      </c>
      <c r="CF216" s="1409">
        <f t="shared" ca="1" si="116"/>
        <v>0</v>
      </c>
      <c r="CG216" s="1409">
        <f t="shared" ca="1" si="117"/>
        <v>0</v>
      </c>
      <c r="CH216" s="1409">
        <f t="shared" ca="1" si="118"/>
        <v>0</v>
      </c>
      <c r="CI216" s="1409">
        <f t="shared" ca="1" si="119"/>
        <v>0</v>
      </c>
      <c r="CJ216" s="1409">
        <f t="shared" ca="1" si="120"/>
        <v>0</v>
      </c>
      <c r="CK216" s="1409">
        <f t="shared" ca="1" si="121"/>
        <v>0</v>
      </c>
      <c r="CL216" s="1409">
        <f t="shared" ca="1" si="122"/>
        <v>0</v>
      </c>
      <c r="CM216" s="1409">
        <f t="shared" ca="1" si="123"/>
        <v>0</v>
      </c>
      <c r="CN216" s="1409">
        <f ca="1">IF(B216&gt;=$J$5,0,CONTADORES!CB220-CONTADORES!CB219)</f>
        <v>0</v>
      </c>
      <c r="CO216" s="1409">
        <f t="shared" ca="1" si="124"/>
        <v>0</v>
      </c>
      <c r="CP216" s="1409">
        <f t="shared" ca="1" si="125"/>
        <v>0</v>
      </c>
      <c r="CQ216" s="1409">
        <f t="shared" ca="1" si="126"/>
        <v>0</v>
      </c>
      <c r="CR216" s="1409">
        <f t="shared" ca="1" si="127"/>
        <v>0</v>
      </c>
      <c r="CS216" s="1409">
        <f ca="1">IF($B216&gt;=$J$5,0,CONTADORES!$BI220)</f>
        <v>0</v>
      </c>
      <c r="CT216" s="1369">
        <f>CONTADORES!E220</f>
        <v>0</v>
      </c>
      <c r="CU216" s="1369">
        <f>CONTADORES!CG220</f>
        <v>0</v>
      </c>
    </row>
    <row r="217" spans="2:99">
      <c r="B217" s="390">
        <v>45133</v>
      </c>
      <c r="C217" s="198">
        <f t="shared" ca="1" si="101"/>
        <v>0</v>
      </c>
      <c r="D217" s="196">
        <f ca="1">'CALCULO DE GAS'!P29</f>
        <v>0</v>
      </c>
      <c r="E217" s="196">
        <f ca="1">IF(B217&gt;=$J$5,0,(CONTADORES!$AD221-CONTADORES!$AD220)-$H217)</f>
        <v>0</v>
      </c>
      <c r="F217" s="198">
        <f t="shared" ca="1" si="100"/>
        <v>0</v>
      </c>
      <c r="G217" s="196">
        <f ca="1">IF(B217&gt;=$J$5,0,CONTADORES!$AF221-CONTADORES!$AF220)</f>
        <v>0</v>
      </c>
      <c r="H217" s="196">
        <f ca="1">IF(G217&gt;0,CONTADORES!$AE221-CONTADORES!$AE220,0)</f>
        <v>0</v>
      </c>
      <c r="I217" s="199">
        <f ca="1">IF(B217&gt;=$J$5,0,CONTADORES!$AB221-CONTADORES!$AB220)</f>
        <v>0</v>
      </c>
      <c r="J217" s="198">
        <f t="shared" ca="1" si="102"/>
        <v>0</v>
      </c>
      <c r="K217" s="196">
        <f ca="1">'CALCULO DE GAS'!Q29</f>
        <v>0</v>
      </c>
      <c r="L217" s="1396">
        <f ca="1">IF(B217&gt;=$J$5,0,(CONTADORES!$Y221-CONTADORES!$Y220)-$O217)</f>
        <v>0</v>
      </c>
      <c r="M217" s="1396">
        <f t="shared" ca="1" si="128"/>
        <v>0</v>
      </c>
      <c r="N217" s="1396">
        <f ca="1">IF(B217&gt;=$J$5,0,CONTADORES!$AA221-CONTADORES!$AA220)</f>
        <v>0</v>
      </c>
      <c r="O217" s="1396">
        <f ca="1">IF(N217&gt;0,CONTADORES!$Z221-CONTADORES!$Z220,0)</f>
        <v>0</v>
      </c>
      <c r="P217" s="202">
        <f ca="1">IF(B217&gt;=$J$5,0,CONTADORES!$W221-CONTADORES!$W220)</f>
        <v>0</v>
      </c>
      <c r="Q217" s="202">
        <f ca="1">IF(B217&gt;=$J$5,0,CONTADORES!$B221-CONTADORES!$B220)</f>
        <v>0</v>
      </c>
      <c r="R217" s="196">
        <f t="shared" ca="1" si="103"/>
        <v>0</v>
      </c>
      <c r="S217" s="11">
        <f ca="1">IF(B217&gt;=$J$5,0,CONTADORES!$D221-CONTADORES!$D220)</f>
        <v>0</v>
      </c>
      <c r="T217" s="198">
        <f ca="1">IF(B217&gt;=$J$5,0,CONTADORES!$BB221-CONTADORES!$BB220)</f>
        <v>0</v>
      </c>
      <c r="U217" s="196">
        <f t="shared" ca="1" si="97"/>
        <v>0</v>
      </c>
      <c r="V217" s="199">
        <f ca="1">IF(B217&gt;=$J$5,0,CONTADORES!$BD221-CONTADORES!$BD220)</f>
        <v>0</v>
      </c>
      <c r="W217" s="1397">
        <f t="shared" ca="1" si="104"/>
        <v>0</v>
      </c>
      <c r="X217" s="1397">
        <f t="shared" ca="1" si="105"/>
        <v>0</v>
      </c>
      <c r="Y217" s="1398">
        <f t="shared" ca="1" si="106"/>
        <v>0</v>
      </c>
      <c r="Z217" s="1398">
        <f t="shared" ca="1" si="107"/>
        <v>0</v>
      </c>
      <c r="AA217" s="1398">
        <f t="shared" ca="1" si="108"/>
        <v>0</v>
      </c>
      <c r="AB217" s="1398">
        <f t="shared" ca="1" si="109"/>
        <v>0</v>
      </c>
      <c r="AC217" s="1397">
        <f t="shared" ca="1" si="110"/>
        <v>0</v>
      </c>
      <c r="AD217" s="1397">
        <f ca="1">IF(B217&gt;=$J$5,0,CONTADORES!H221-CONTADORES!H220)</f>
        <v>0</v>
      </c>
      <c r="AE217" s="1397">
        <f ca="1">IF(B217&gt;=$J$5,0,CONTADORES!J221-CONTADORES!J220)</f>
        <v>0</v>
      </c>
      <c r="AF217" s="1397">
        <f ca="1">IF(B217&gt;=$J$5,0,CONTADORES!AU221-CONTADORES!AU220)</f>
        <v>0</v>
      </c>
      <c r="AG217" s="1397">
        <f ca="1">IF(B217&gt;=$J$5,0,CONTADORES!AW221-CONTADORES!AW220)</f>
        <v>0</v>
      </c>
      <c r="AH217" s="1398">
        <f ca="1">IF(B217&gt;=$J$5,0,(CONTADORES!AM221-CONTADORES!AM220)+(CONTADORES!M221-CONTADORES!M220))</f>
        <v>0</v>
      </c>
      <c r="AI217" s="1397">
        <f ca="1">IF(B217&gt;=$J$5,0,(CONTADORES!AK221-CONTADORES!AK220)+(CONTADORES!O221-CONTADORES!O220))</f>
        <v>0</v>
      </c>
      <c r="AJ217" s="1397">
        <f ca="1">IF(B217&gt;=$J$5,0,(CONTADORES!AI221-CONTADORES!AI220))</f>
        <v>0</v>
      </c>
      <c r="AK217" s="1397">
        <f ca="1">IF(B217&gt;=$J$5,0,(CONTADORES!Q221-CONTADORES!Q220))</f>
        <v>0</v>
      </c>
      <c r="AL217" s="1461">
        <f t="shared" ca="1" si="111"/>
        <v>0</v>
      </c>
      <c r="AM217" s="1397">
        <f ca="1">IF(B217&gt;=$J$5,0,(((CONTADORES!F221-CONTADORES!F220)+(CONTADORES!AQ221-CONTADORES!AQ220))))-BS217-AF217-AN217-BV217-BY217-CD217-CB217</f>
        <v>0</v>
      </c>
      <c r="AN217" s="1397">
        <f ca="1">IF(B217&gt;=$J$5,0,(CONTADORES!AX221-CONTADORES!AX220)+(CONTADORES!AZ221-CONTADORES!AZ220)+(CONTADORES!BE221-CONTADORES!BE220))-CB217</f>
        <v>0</v>
      </c>
      <c r="AO217" s="1399">
        <f>(CONTADORES!AC221-CONTADORES!AC220)</f>
        <v>0</v>
      </c>
      <c r="AP217" s="1399">
        <f>(CONTADORES!X221-CONTADORES!X220)</f>
        <v>0</v>
      </c>
      <c r="AQ217" s="1404">
        <f ca="1">IF(B217&gt;=$J$5,0,(CONTADORES!C221-CONTADORES!C220))</f>
        <v>0</v>
      </c>
      <c r="AR217" s="1399">
        <f ca="1">AR216+(CONTADORES!BC221-CONTADORES!BC220)</f>
        <v>0</v>
      </c>
      <c r="AS217" s="1397">
        <f ca="1">IF(B217&gt;=$J$5,0,CONTADORES!S221-CONTADORES!S220)</f>
        <v>0</v>
      </c>
      <c r="AT217" s="1397">
        <f ca="1">IF(B217&gt;=$J$5,0,(CONTADORES!U221-CONTADORES!U220)+(CONTADORES!AG221-CONTADORES!AG220))</f>
        <v>0</v>
      </c>
      <c r="AU217" s="1433">
        <f>CONTADORES!I221-CONTADORES!I220</f>
        <v>0</v>
      </c>
      <c r="AV217" s="1399">
        <f>CONTADORES!AV221-CONTADORES!AV220</f>
        <v>0</v>
      </c>
      <c r="AW217" s="1399">
        <f ca="1">IF(B217&gt;=$J$5,0,(CONTADORES!N221-CONTADORES!N220)+(CONTADORES!AN221-CONTADORES!AN220))</f>
        <v>0</v>
      </c>
      <c r="AX217" s="1399">
        <f ca="1">IF(B217&gt;=$J$5,0,(CONTADORES!P221-CONTADORES!P220)+(CONTADORES!AL221-CONTADORES!AL220))</f>
        <v>0</v>
      </c>
      <c r="AY217" s="1399">
        <f ca="1">IF(B217&gt;=$J$5,0,(CONTADORES!AJ221-CONTADORES!AJ220))</f>
        <v>0</v>
      </c>
      <c r="AZ217" s="1399">
        <f ca="1">IF(B217&gt;=$J$5,0,(CONTADORES!R221-CONTADORES!R220))</f>
        <v>0</v>
      </c>
      <c r="BA217" s="1409">
        <f t="shared" ca="1" si="112"/>
        <v>0</v>
      </c>
      <c r="BB217" s="1433">
        <f ca="1">IF(B217&gt;=$J$5,0,(((CONTADORES!G221-CONTADORES!G220)+(CONTADORES!AR221-CONTADORES!AR220)+AR217)-(AV217+BC217)))</f>
        <v>0</v>
      </c>
      <c r="BC217" s="1397">
        <f ca="1">IF(B217&gt;=$J$5,0,(CONTADORES!AY221-CONTADORES!AY220)+(CONTADORES!BA221-CONTADORES!BA220)+(CONTADORES!BF221-CONTADORES!BF220))</f>
        <v>0</v>
      </c>
      <c r="BD217" s="1397">
        <f t="shared" ca="1" si="113"/>
        <v>0</v>
      </c>
      <c r="BE217" s="1398">
        <f ca="1">IF($B217&gt;=$J$5,0,CONTADORES!$BG221)</f>
        <v>0</v>
      </c>
      <c r="BF217" s="1397">
        <f ca="1">IF($B217&gt;=$J$5,0,CONTADORES!$BH221)</f>
        <v>0</v>
      </c>
      <c r="BG217" s="1397">
        <f ca="1">IF($B217&gt;=$J$5,0,CONTADORES!$BJ221)</f>
        <v>0</v>
      </c>
      <c r="BH217" s="1397">
        <f ca="1">IF(B217&gt;=$J$5,0,((CONTADORES!BK221-CONTADORES!BK220)/1000))</f>
        <v>0</v>
      </c>
      <c r="BI217" s="1397">
        <f ca="1">IF(C217&gt;=$J$5,0,((CONTADORES!BL221-CONTADORES!BL220)/1000))</f>
        <v>0</v>
      </c>
      <c r="BJ217" s="1397">
        <f ca="1">IF(C217&gt;=$J$5,0,((CONTADORES!BM221-CONTADORES!BM220)/1000))</f>
        <v>0</v>
      </c>
      <c r="BK217" s="1397">
        <f ca="1">IF(D217&gt;=$J$5,0,((CONTADORES!BN221-CONTADORES!BN220)/1000))</f>
        <v>0</v>
      </c>
      <c r="BL217" s="1399">
        <f t="shared" ca="1" si="114"/>
        <v>0</v>
      </c>
      <c r="BM217" s="1399">
        <f t="shared" ca="1" si="115"/>
        <v>0</v>
      </c>
      <c r="BN217" s="1398">
        <f ca="1">IF(W217&gt;=$J$5,0,CONTADORES!$BO221)</f>
        <v>0</v>
      </c>
      <c r="BO217" s="1397">
        <f ca="1">IF(W217&gt;=$J$5,0,CONTADORES!$BP221)</f>
        <v>0</v>
      </c>
      <c r="BP217" s="1397">
        <f ca="1">IF(W217&gt;=$J$5,0,CONTADORES!$BQ221)</f>
        <v>0</v>
      </c>
      <c r="BQ217" s="1397">
        <f ca="1">IF(B217&gt;=$J$5,0,(CONTADORES!AS221-CONTADORES!AS220))</f>
        <v>0</v>
      </c>
      <c r="BR217" s="1397">
        <f ca="1">IF(C217&gt;=$J$5,0,(CONTADORES!AT221-CONTADORES!AT220))</f>
        <v>0</v>
      </c>
      <c r="BS217" s="1409">
        <f ca="1">IF(B217&gt;=$J$5,0,CONTADORES!BR221-CONTADORES!BR220)/1000</f>
        <v>0</v>
      </c>
      <c r="BT217" s="1409">
        <f ca="1">IF(B217&gt;=$J$5,0,CONTADORES!BS221-CONTADORES!BS220)</f>
        <v>0</v>
      </c>
      <c r="BU217" s="1409">
        <f ca="1">IF(B217&gt;=$J$5,0,CONTADORES!BT221-CONTADORES!BT220)</f>
        <v>0</v>
      </c>
      <c r="BV217" s="1409">
        <f ca="1">IF(B217&gt;=$J$5,0,CONTADORES!BU221-CONTADORES!BU220)/1000</f>
        <v>0</v>
      </c>
      <c r="BW217" s="1409">
        <f ca="1">IF(B217&gt;=$J$5,0,CONTADORES!BV221-CONTADORES!BV220)/1000</f>
        <v>0</v>
      </c>
      <c r="BX217" s="1409">
        <f ca="1">IF(B217&gt;=$J$5,0,CONTADORES!BW221-CONTADORES!BW220)</f>
        <v>0</v>
      </c>
      <c r="BY217" s="1409">
        <f ca="1">IF(B217&gt;=$J$5,0,CONTADORES!BX221-CONTADORES!BX220)/1000</f>
        <v>0</v>
      </c>
      <c r="BZ217" s="1409">
        <f ca="1">IF(B217&gt;=$J$5,0,CONTADORES!BY221-CONTADORES!BY220)/1000</f>
        <v>0</v>
      </c>
      <c r="CA217" s="1409">
        <f ca="1">IF(B217&gt;=$J$5,0,CONTADORES!BZ221-CONTADORES!BZ220)</f>
        <v>0</v>
      </c>
      <c r="CB217" s="1409">
        <f ca="1">IF(B217&gt;=$J$5,0,(CONTADORES!CC221-CONTADORES!CC220)+(CONTADORES!CE221-CONTADORES!CE220))/1000</f>
        <v>0</v>
      </c>
      <c r="CC217" s="1409">
        <f ca="1">IF(B217&gt;=$J$5,0,(CONTADORES!CD221-CONTADORES!CD220)+(CONTADORES!CF221-CONTADORES!CF220))/1000</f>
        <v>0</v>
      </c>
      <c r="CD217" s="1409">
        <f ca="1">IF(B217&gt;=$J$5,0,CONTADORES!CA221-CONTADORES!CA220)</f>
        <v>0</v>
      </c>
      <c r="CE217" s="1409">
        <f ca="1">IF(B217&gt;=$J$5,0,CONTADORES!CB221-CONTADORES!CB220)</f>
        <v>0</v>
      </c>
      <c r="CF217" s="1409">
        <f t="shared" ca="1" si="116"/>
        <v>0</v>
      </c>
      <c r="CG217" s="1409">
        <f t="shared" ca="1" si="117"/>
        <v>0</v>
      </c>
      <c r="CH217" s="1409">
        <f t="shared" ca="1" si="118"/>
        <v>0</v>
      </c>
      <c r="CI217" s="1409">
        <f t="shared" ca="1" si="119"/>
        <v>0</v>
      </c>
      <c r="CJ217" s="1409">
        <f t="shared" ca="1" si="120"/>
        <v>0</v>
      </c>
      <c r="CK217" s="1409">
        <f t="shared" ca="1" si="121"/>
        <v>0</v>
      </c>
      <c r="CL217" s="1409">
        <f t="shared" ca="1" si="122"/>
        <v>0</v>
      </c>
      <c r="CM217" s="1409">
        <f t="shared" ca="1" si="123"/>
        <v>0</v>
      </c>
      <c r="CN217" s="1409">
        <f ca="1">IF(B217&gt;=$J$5,0,CONTADORES!CB221-CONTADORES!CB220)</f>
        <v>0</v>
      </c>
      <c r="CO217" s="1409">
        <f t="shared" ca="1" si="124"/>
        <v>0</v>
      </c>
      <c r="CP217" s="1409">
        <f t="shared" ca="1" si="125"/>
        <v>0</v>
      </c>
      <c r="CQ217" s="1409">
        <f t="shared" ca="1" si="126"/>
        <v>0</v>
      </c>
      <c r="CR217" s="1409">
        <f t="shared" ca="1" si="127"/>
        <v>0</v>
      </c>
      <c r="CS217" s="1409">
        <f ca="1">IF($B217&gt;=$J$5,0,CONTADORES!$BI221)</f>
        <v>0</v>
      </c>
      <c r="CT217" s="1369">
        <f>CONTADORES!E221</f>
        <v>0</v>
      </c>
      <c r="CU217" s="1369">
        <f>CONTADORES!CG221</f>
        <v>0</v>
      </c>
    </row>
    <row r="218" spans="2:99">
      <c r="B218" s="390">
        <v>45134</v>
      </c>
      <c r="C218" s="198">
        <f t="shared" ca="1" si="101"/>
        <v>0</v>
      </c>
      <c r="D218" s="196">
        <f ca="1">'CALCULO DE GAS'!P30</f>
        <v>0</v>
      </c>
      <c r="E218" s="196">
        <f ca="1">IF(B218&gt;=$J$5,0,(CONTADORES!$AD222-CONTADORES!$AD221)-$H218)</f>
        <v>0</v>
      </c>
      <c r="F218" s="198">
        <f t="shared" ca="1" si="100"/>
        <v>0</v>
      </c>
      <c r="G218" s="196">
        <f ca="1">IF(B218&gt;=$J$5,0,CONTADORES!$AF222-CONTADORES!$AF221)</f>
        <v>0</v>
      </c>
      <c r="H218" s="196">
        <f ca="1">IF(G218&gt;0,CONTADORES!$AE222-CONTADORES!$AE221,0)</f>
        <v>0</v>
      </c>
      <c r="I218" s="199">
        <f ca="1">IF(B218&gt;=$J$5,0,CONTADORES!$AB222-CONTADORES!$AB221)</f>
        <v>0</v>
      </c>
      <c r="J218" s="198">
        <f t="shared" ca="1" si="102"/>
        <v>0</v>
      </c>
      <c r="K218" s="196">
        <f ca="1">'CALCULO DE GAS'!Q30</f>
        <v>0</v>
      </c>
      <c r="L218" s="1396">
        <f ca="1">IF(B218&gt;=$J$5,0,(CONTADORES!$Y222-CONTADORES!$Y221)-$O218)</f>
        <v>0</v>
      </c>
      <c r="M218" s="1396">
        <f t="shared" ca="1" si="128"/>
        <v>0</v>
      </c>
      <c r="N218" s="1396">
        <f ca="1">IF(B218&gt;=$J$5,0,CONTADORES!$AA222-CONTADORES!$AA221)</f>
        <v>0</v>
      </c>
      <c r="O218" s="1396">
        <f ca="1">IF(N218&gt;0,CONTADORES!$Z222-CONTADORES!$Z221,0)</f>
        <v>0</v>
      </c>
      <c r="P218" s="202">
        <f ca="1">IF(B218&gt;=$J$5,0,CONTADORES!$W222-CONTADORES!$W221)</f>
        <v>0</v>
      </c>
      <c r="Q218" s="202">
        <f ca="1">IF(B218&gt;=$J$5,0,CONTADORES!$B222-CONTADORES!$B221)</f>
        <v>0</v>
      </c>
      <c r="R218" s="196">
        <f t="shared" ca="1" si="103"/>
        <v>0</v>
      </c>
      <c r="S218" s="11">
        <f ca="1">IF(B218&gt;=$J$5,0,CONTADORES!$D222-CONTADORES!$D221)</f>
        <v>0</v>
      </c>
      <c r="T218" s="198">
        <f ca="1">IF(B218&gt;=$J$5,0,CONTADORES!$BB222-CONTADORES!$BB221)</f>
        <v>0</v>
      </c>
      <c r="U218" s="196">
        <f t="shared" ca="1" si="97"/>
        <v>0</v>
      </c>
      <c r="V218" s="199">
        <f ca="1">IF(B218&gt;=$J$5,0,CONTADORES!$BD222-CONTADORES!$BD221)</f>
        <v>0</v>
      </c>
      <c r="W218" s="1397">
        <f t="shared" ca="1" si="104"/>
        <v>0</v>
      </c>
      <c r="X218" s="1397">
        <f t="shared" ca="1" si="105"/>
        <v>0</v>
      </c>
      <c r="Y218" s="1398">
        <f t="shared" ca="1" si="106"/>
        <v>0</v>
      </c>
      <c r="Z218" s="1398">
        <f t="shared" ca="1" si="107"/>
        <v>0</v>
      </c>
      <c r="AA218" s="1398">
        <f t="shared" ca="1" si="108"/>
        <v>0</v>
      </c>
      <c r="AB218" s="1398">
        <f t="shared" ca="1" si="109"/>
        <v>0</v>
      </c>
      <c r="AC218" s="1397">
        <f t="shared" ca="1" si="110"/>
        <v>0</v>
      </c>
      <c r="AD218" s="1397">
        <f ca="1">IF(B218&gt;=$J$5,0,CONTADORES!H222-CONTADORES!H221)</f>
        <v>0</v>
      </c>
      <c r="AE218" s="1397">
        <f ca="1">IF(B218&gt;=$J$5,0,CONTADORES!J222-CONTADORES!J221)</f>
        <v>0</v>
      </c>
      <c r="AF218" s="1397">
        <f ca="1">IF(B218&gt;=$J$5,0,CONTADORES!AU222-CONTADORES!AU221)</f>
        <v>0</v>
      </c>
      <c r="AG218" s="1397">
        <f ca="1">IF(B218&gt;=$J$5,0,CONTADORES!AW222-CONTADORES!AW221)</f>
        <v>0</v>
      </c>
      <c r="AH218" s="1398">
        <f ca="1">IF(B218&gt;=$J$5,0,(CONTADORES!AM222-CONTADORES!AM221)+(CONTADORES!M222-CONTADORES!M221))</f>
        <v>0</v>
      </c>
      <c r="AI218" s="1397">
        <f ca="1">IF(B218&gt;=$J$5,0,(CONTADORES!AK222-CONTADORES!AK221)+(CONTADORES!O222-CONTADORES!O221))</f>
        <v>0</v>
      </c>
      <c r="AJ218" s="1397">
        <f ca="1">IF(B218&gt;=$J$5,0,(CONTADORES!AI222-CONTADORES!AI221))</f>
        <v>0</v>
      </c>
      <c r="AK218" s="1397">
        <f ca="1">IF(B218&gt;=$J$5,0,(CONTADORES!Q222-CONTADORES!Q221))</f>
        <v>0</v>
      </c>
      <c r="AL218" s="1461">
        <f t="shared" ca="1" si="111"/>
        <v>0</v>
      </c>
      <c r="AM218" s="1397">
        <f ca="1">IF(B218&gt;=$J$5,0,(((CONTADORES!F222-CONTADORES!F221)+(CONTADORES!AQ222-CONTADORES!AQ221))))-BS218-AF218-AN218-BV218-BY218-CD218-CB218</f>
        <v>0</v>
      </c>
      <c r="AN218" s="1397">
        <f ca="1">IF(B218&gt;=$J$5,0,(CONTADORES!AX222-CONTADORES!AX221)+(CONTADORES!AZ222-CONTADORES!AZ221)+(CONTADORES!BE222-CONTADORES!BE221))-CB218</f>
        <v>0</v>
      </c>
      <c r="AO218" s="1399">
        <f>(CONTADORES!AC222-CONTADORES!AC221)</f>
        <v>0</v>
      </c>
      <c r="AP218" s="1399">
        <f>(CONTADORES!X222-CONTADORES!X221)</f>
        <v>0</v>
      </c>
      <c r="AQ218" s="1404">
        <f ca="1">IF(B218&gt;=$J$5,0,(CONTADORES!C222-CONTADORES!C221))</f>
        <v>0</v>
      </c>
      <c r="AR218" s="1399">
        <f ca="1">AR217+(CONTADORES!BC222-CONTADORES!BC221)</f>
        <v>0</v>
      </c>
      <c r="AS218" s="1397">
        <f ca="1">IF(B218&gt;=$J$5,0,CONTADORES!S222-CONTADORES!S221)</f>
        <v>0</v>
      </c>
      <c r="AT218" s="1397">
        <f ca="1">IF(B218&gt;=$J$5,0,(CONTADORES!U222-CONTADORES!U221)+(CONTADORES!AG222-CONTADORES!AG221))</f>
        <v>0</v>
      </c>
      <c r="AU218" s="1433">
        <f>CONTADORES!I222-CONTADORES!I221</f>
        <v>0</v>
      </c>
      <c r="AV218" s="1399">
        <f>CONTADORES!AV222-CONTADORES!AV221</f>
        <v>0</v>
      </c>
      <c r="AW218" s="1399">
        <f ca="1">IF(B218&gt;=$J$5,0,(CONTADORES!N222-CONTADORES!N221)+(CONTADORES!AN222-CONTADORES!AN221))</f>
        <v>0</v>
      </c>
      <c r="AX218" s="1399">
        <f ca="1">IF(B218&gt;=$J$5,0,(CONTADORES!P222-CONTADORES!P221)+(CONTADORES!AL222-CONTADORES!AL221))</f>
        <v>0</v>
      </c>
      <c r="AY218" s="1399">
        <f ca="1">IF(B218&gt;=$J$5,0,(CONTADORES!AJ222-CONTADORES!AJ221))</f>
        <v>0</v>
      </c>
      <c r="AZ218" s="1399">
        <f ca="1">IF(B218&gt;=$J$5,0,(CONTADORES!R222-CONTADORES!R221))</f>
        <v>0</v>
      </c>
      <c r="BA218" s="1409">
        <f t="shared" ca="1" si="112"/>
        <v>0</v>
      </c>
      <c r="BB218" s="1433">
        <f ca="1">IF(B218&gt;=$J$5,0,(((CONTADORES!G222-CONTADORES!G221)+(CONTADORES!AR222-CONTADORES!AR221)+AR218)-(AV218+BC218)))</f>
        <v>0</v>
      </c>
      <c r="BC218" s="1397">
        <f ca="1">IF(B218&gt;=$J$5,0,(CONTADORES!AY222-CONTADORES!AY221)+(CONTADORES!BA222-CONTADORES!BA221)+(CONTADORES!BF222-CONTADORES!BF221))</f>
        <v>0</v>
      </c>
      <c r="BD218" s="1397">
        <f t="shared" ca="1" si="113"/>
        <v>0</v>
      </c>
      <c r="BE218" s="1398">
        <f ca="1">IF($B218&gt;=$J$5,0,CONTADORES!$BG222)</f>
        <v>0</v>
      </c>
      <c r="BF218" s="1397">
        <f ca="1">IF($B218&gt;=$J$5,0,CONTADORES!$BH222)</f>
        <v>0</v>
      </c>
      <c r="BG218" s="1397">
        <f ca="1">IF($B218&gt;=$J$5,0,CONTADORES!$BJ222)</f>
        <v>0</v>
      </c>
      <c r="BH218" s="1397">
        <f ca="1">IF(B218&gt;=$J$5,0,((CONTADORES!BK222-CONTADORES!BK221)/1000))</f>
        <v>0</v>
      </c>
      <c r="BI218" s="1397">
        <f ca="1">IF(C218&gt;=$J$5,0,((CONTADORES!BL222-CONTADORES!BL221)/1000))</f>
        <v>0</v>
      </c>
      <c r="BJ218" s="1397">
        <f ca="1">IF(C218&gt;=$J$5,0,((CONTADORES!BM222-CONTADORES!BM221)/1000))</f>
        <v>0</v>
      </c>
      <c r="BK218" s="1397">
        <f ca="1">IF(D218&gt;=$J$5,0,((CONTADORES!BN222-CONTADORES!BN221)/1000))</f>
        <v>0</v>
      </c>
      <c r="BL218" s="1399">
        <f t="shared" ca="1" si="114"/>
        <v>0</v>
      </c>
      <c r="BM218" s="1399">
        <f t="shared" ca="1" si="115"/>
        <v>0</v>
      </c>
      <c r="BN218" s="1398">
        <f ca="1">IF(W218&gt;=$J$5,0,CONTADORES!$BO222)</f>
        <v>0</v>
      </c>
      <c r="BO218" s="1397">
        <f ca="1">IF(W218&gt;=$J$5,0,CONTADORES!$BP222)</f>
        <v>0</v>
      </c>
      <c r="BP218" s="1397">
        <f ca="1">IF(W218&gt;=$J$5,0,CONTADORES!$BQ222)</f>
        <v>0</v>
      </c>
      <c r="BQ218" s="1397">
        <f ca="1">IF(B218&gt;=$J$5,0,(CONTADORES!AS222-CONTADORES!AS221))</f>
        <v>0</v>
      </c>
      <c r="BR218" s="1397">
        <f ca="1">IF(C218&gt;=$J$5,0,(CONTADORES!AT222-CONTADORES!AT221))</f>
        <v>0</v>
      </c>
      <c r="BS218" s="1409">
        <f ca="1">IF(B218&gt;=$J$5,0,CONTADORES!BR222-CONTADORES!BR221)/1000</f>
        <v>0</v>
      </c>
      <c r="BT218" s="1409">
        <f ca="1">IF(B218&gt;=$J$5,0,CONTADORES!BS222-CONTADORES!BS221)</f>
        <v>0</v>
      </c>
      <c r="BU218" s="1409">
        <f ca="1">IF(B218&gt;=$J$5,0,CONTADORES!BT222-CONTADORES!BT221)</f>
        <v>0</v>
      </c>
      <c r="BV218" s="1409">
        <f ca="1">IF(B218&gt;=$J$5,0,CONTADORES!BU222-CONTADORES!BU221)/1000</f>
        <v>0</v>
      </c>
      <c r="BW218" s="1409">
        <f ca="1">IF(B218&gt;=$J$5,0,CONTADORES!BV222-CONTADORES!BV221)/1000</f>
        <v>0</v>
      </c>
      <c r="BX218" s="1409">
        <f ca="1">IF(B218&gt;=$J$5,0,CONTADORES!BW222-CONTADORES!BW221)</f>
        <v>0</v>
      </c>
      <c r="BY218" s="1409">
        <f ca="1">IF(B218&gt;=$J$5,0,CONTADORES!BX222-CONTADORES!BX221)/1000</f>
        <v>0</v>
      </c>
      <c r="BZ218" s="1409">
        <f ca="1">IF(B218&gt;=$J$5,0,CONTADORES!BY222-CONTADORES!BY221)/1000</f>
        <v>0</v>
      </c>
      <c r="CA218" s="1409">
        <f ca="1">IF(B218&gt;=$J$5,0,CONTADORES!BZ222-CONTADORES!BZ221)</f>
        <v>0</v>
      </c>
      <c r="CB218" s="1409">
        <f ca="1">IF(B218&gt;=$J$5,0,(CONTADORES!CC222-CONTADORES!CC221)+(CONTADORES!CE222-CONTADORES!CE221))/1000</f>
        <v>0</v>
      </c>
      <c r="CC218" s="1409">
        <f ca="1">IF(B218&gt;=$J$5,0,(CONTADORES!CD222-CONTADORES!CD221)+(CONTADORES!CF222-CONTADORES!CF221))/1000</f>
        <v>0</v>
      </c>
      <c r="CD218" s="1409">
        <f ca="1">IF(B218&gt;=$J$5,0,CONTADORES!CA222-CONTADORES!CA221)</f>
        <v>0</v>
      </c>
      <c r="CE218" s="1409">
        <f ca="1">IF(B218&gt;=$J$5,0,CONTADORES!CB222-CONTADORES!CB221)</f>
        <v>0</v>
      </c>
      <c r="CF218" s="1409">
        <f t="shared" ca="1" si="116"/>
        <v>0</v>
      </c>
      <c r="CG218" s="1409">
        <f t="shared" ca="1" si="117"/>
        <v>0</v>
      </c>
      <c r="CH218" s="1409">
        <f t="shared" ca="1" si="118"/>
        <v>0</v>
      </c>
      <c r="CI218" s="1409">
        <f t="shared" ca="1" si="119"/>
        <v>0</v>
      </c>
      <c r="CJ218" s="1409">
        <f t="shared" ca="1" si="120"/>
        <v>0</v>
      </c>
      <c r="CK218" s="1409">
        <f t="shared" ca="1" si="121"/>
        <v>0</v>
      </c>
      <c r="CL218" s="1409">
        <f t="shared" ca="1" si="122"/>
        <v>0</v>
      </c>
      <c r="CM218" s="1409">
        <f t="shared" ca="1" si="123"/>
        <v>0</v>
      </c>
      <c r="CN218" s="1409">
        <f ca="1">IF(B218&gt;=$J$5,0,CONTADORES!CB222-CONTADORES!CB221)</f>
        <v>0</v>
      </c>
      <c r="CO218" s="1409">
        <f t="shared" ca="1" si="124"/>
        <v>0</v>
      </c>
      <c r="CP218" s="1409">
        <f t="shared" ca="1" si="125"/>
        <v>0</v>
      </c>
      <c r="CQ218" s="1409">
        <f t="shared" ca="1" si="126"/>
        <v>0</v>
      </c>
      <c r="CR218" s="1409">
        <f t="shared" ca="1" si="127"/>
        <v>0</v>
      </c>
      <c r="CS218" s="1409">
        <f ca="1">IF($B218&gt;=$J$5,0,CONTADORES!$BI222)</f>
        <v>0</v>
      </c>
      <c r="CT218" s="1369">
        <f>CONTADORES!E222</f>
        <v>0</v>
      </c>
      <c r="CU218" s="1369">
        <f>CONTADORES!CG222</f>
        <v>0</v>
      </c>
    </row>
    <row r="219" spans="2:99">
      <c r="B219" s="390">
        <v>45135</v>
      </c>
      <c r="C219" s="198">
        <f t="shared" ca="1" si="101"/>
        <v>0</v>
      </c>
      <c r="D219" s="196">
        <f ca="1">'CALCULO DE GAS'!P31</f>
        <v>0</v>
      </c>
      <c r="E219" s="196">
        <f ca="1">IF(B219&gt;=$J$5,0,(CONTADORES!$AD223-CONTADORES!$AD222)-$H219)</f>
        <v>0</v>
      </c>
      <c r="F219" s="198">
        <f t="shared" ca="1" si="100"/>
        <v>0</v>
      </c>
      <c r="G219" s="196">
        <f ca="1">IF(B219&gt;=$J$5,0,CONTADORES!$AF223-CONTADORES!$AF222)</f>
        <v>0</v>
      </c>
      <c r="H219" s="196">
        <f ca="1">IF(G219&gt;0,CONTADORES!$AE223-CONTADORES!$AE222,0)</f>
        <v>0</v>
      </c>
      <c r="I219" s="199">
        <f ca="1">IF(B219&gt;=$J$5,0,CONTADORES!$AB223-CONTADORES!$AB222)</f>
        <v>0</v>
      </c>
      <c r="J219" s="198">
        <f t="shared" ca="1" si="102"/>
        <v>0</v>
      </c>
      <c r="K219" s="196">
        <f ca="1">'CALCULO DE GAS'!Q31</f>
        <v>0</v>
      </c>
      <c r="L219" s="1396">
        <f ca="1">IF(B219&gt;=$J$5,0,(CONTADORES!$Y223-CONTADORES!$Y222)-$O219)</f>
        <v>0</v>
      </c>
      <c r="M219" s="1396">
        <f t="shared" ca="1" si="128"/>
        <v>0</v>
      </c>
      <c r="N219" s="1396">
        <f ca="1">IF(B219&gt;=$J$5,0,CONTADORES!$AA223-CONTADORES!$AA222)</f>
        <v>0</v>
      </c>
      <c r="O219" s="1396">
        <f ca="1">IF(N219&gt;0,CONTADORES!$Z223-CONTADORES!$Z222,0)</f>
        <v>0</v>
      </c>
      <c r="P219" s="202">
        <f ca="1">IF(B219&gt;=$J$5,0,CONTADORES!$W223-CONTADORES!$W222)</f>
        <v>0</v>
      </c>
      <c r="Q219" s="202">
        <f ca="1">IF(B219&gt;=$J$5,0,CONTADORES!$B223-CONTADORES!$B222)</f>
        <v>0</v>
      </c>
      <c r="R219" s="196">
        <f t="shared" ca="1" si="103"/>
        <v>0</v>
      </c>
      <c r="S219" s="11">
        <f ca="1">IF(B219&gt;=$J$5,0,CONTADORES!$D223-CONTADORES!$D222)</f>
        <v>0</v>
      </c>
      <c r="T219" s="198">
        <f ca="1">IF(B219&gt;=$J$5,0,CONTADORES!$BB223-CONTADORES!$BB222)</f>
        <v>0</v>
      </c>
      <c r="U219" s="196">
        <f t="shared" ca="1" si="97"/>
        <v>0</v>
      </c>
      <c r="V219" s="199">
        <f ca="1">IF(B219&gt;=$J$5,0,CONTADORES!$BD223-CONTADORES!$BD222)</f>
        <v>0</v>
      </c>
      <c r="W219" s="1397">
        <f t="shared" ca="1" si="104"/>
        <v>0</v>
      </c>
      <c r="X219" s="1397">
        <f t="shared" ca="1" si="105"/>
        <v>0</v>
      </c>
      <c r="Y219" s="1398">
        <f t="shared" ca="1" si="106"/>
        <v>0</v>
      </c>
      <c r="Z219" s="1398">
        <f t="shared" ca="1" si="107"/>
        <v>0</v>
      </c>
      <c r="AA219" s="1398">
        <f t="shared" ca="1" si="108"/>
        <v>0</v>
      </c>
      <c r="AB219" s="1398">
        <f t="shared" ca="1" si="109"/>
        <v>0</v>
      </c>
      <c r="AC219" s="1397">
        <f t="shared" ca="1" si="110"/>
        <v>0</v>
      </c>
      <c r="AD219" s="1397">
        <f ca="1">IF(B219&gt;=$J$5,0,CONTADORES!H223-CONTADORES!H222)</f>
        <v>0</v>
      </c>
      <c r="AE219" s="1397">
        <f ca="1">IF(B219&gt;=$J$5,0,CONTADORES!J223-CONTADORES!J222)</f>
        <v>0</v>
      </c>
      <c r="AF219" s="1397">
        <f ca="1">IF(B219&gt;=$J$5,0,CONTADORES!AU223-CONTADORES!AU222)</f>
        <v>0</v>
      </c>
      <c r="AG219" s="1397">
        <f ca="1">IF(B219&gt;=$J$5,0,CONTADORES!AW223-CONTADORES!AW222)</f>
        <v>0</v>
      </c>
      <c r="AH219" s="1398">
        <f ca="1">IF(B219&gt;=$J$5,0,(CONTADORES!AM223-CONTADORES!AM222)+(CONTADORES!M223-CONTADORES!M222))</f>
        <v>0</v>
      </c>
      <c r="AI219" s="1397">
        <f ca="1">IF(B219&gt;=$J$5,0,(CONTADORES!AK223-CONTADORES!AK222)+(CONTADORES!O223-CONTADORES!O222))</f>
        <v>0</v>
      </c>
      <c r="AJ219" s="1397">
        <f ca="1">IF(B219&gt;=$J$5,0,(CONTADORES!AI223-CONTADORES!AI222))</f>
        <v>0</v>
      </c>
      <c r="AK219" s="1397">
        <f ca="1">IF(B219&gt;=$J$5,0,(CONTADORES!Q223-CONTADORES!Q222))</f>
        <v>0</v>
      </c>
      <c r="AL219" s="1461">
        <f t="shared" ca="1" si="111"/>
        <v>0</v>
      </c>
      <c r="AM219" s="1397">
        <f ca="1">IF(B219&gt;=$J$5,0,(((CONTADORES!F223-CONTADORES!F222)+(CONTADORES!AQ223-CONTADORES!AQ222))))-BS219-AF219-AN219-BV219-BY219-CD219-CB219</f>
        <v>0</v>
      </c>
      <c r="AN219" s="1397">
        <f ca="1">IF(B219&gt;=$J$5,0,(CONTADORES!AX223-CONTADORES!AX222)+(CONTADORES!AZ223-CONTADORES!AZ222)+(CONTADORES!BE223-CONTADORES!BE222))-CB219</f>
        <v>0</v>
      </c>
      <c r="AO219" s="1399">
        <f>(CONTADORES!AC223-CONTADORES!AC222)</f>
        <v>0</v>
      </c>
      <c r="AP219" s="1399">
        <f>(CONTADORES!X223-CONTADORES!X222)</f>
        <v>0</v>
      </c>
      <c r="AQ219" s="1404">
        <f ca="1">IF(B219&gt;=$J$5,0,(CONTADORES!C223-CONTADORES!C222))</f>
        <v>0</v>
      </c>
      <c r="AR219" s="1399">
        <f ca="1">AR218+(CONTADORES!BC223-CONTADORES!BC222)</f>
        <v>0</v>
      </c>
      <c r="AS219" s="1397">
        <f ca="1">IF(B219&gt;=$J$5,0,CONTADORES!S223-CONTADORES!S222)</f>
        <v>0</v>
      </c>
      <c r="AT219" s="1397">
        <f ca="1">IF(B219&gt;=$J$5,0,(CONTADORES!U223-CONTADORES!U222)+(CONTADORES!AG223-CONTADORES!AG222))</f>
        <v>0</v>
      </c>
      <c r="AU219" s="1433">
        <f>CONTADORES!I223-CONTADORES!I222</f>
        <v>0</v>
      </c>
      <c r="AV219" s="1399">
        <f>CONTADORES!AV223-CONTADORES!AV222</f>
        <v>0</v>
      </c>
      <c r="AW219" s="1399">
        <f ca="1">IF(B219&gt;=$J$5,0,(CONTADORES!N223-CONTADORES!N222)+(CONTADORES!AN223-CONTADORES!AN222))</f>
        <v>0</v>
      </c>
      <c r="AX219" s="1399">
        <f ca="1">IF(B219&gt;=$J$5,0,(CONTADORES!P223-CONTADORES!P222)+(CONTADORES!AL223-CONTADORES!AL222))</f>
        <v>0</v>
      </c>
      <c r="AY219" s="1399">
        <f ca="1">IF(B219&gt;=$J$5,0,(CONTADORES!AJ223-CONTADORES!AJ222))</f>
        <v>0</v>
      </c>
      <c r="AZ219" s="1399">
        <f ca="1">IF(B219&gt;=$J$5,0,(CONTADORES!R223-CONTADORES!R222))</f>
        <v>0</v>
      </c>
      <c r="BA219" s="1409">
        <f t="shared" ca="1" si="112"/>
        <v>0</v>
      </c>
      <c r="BB219" s="1433">
        <f ca="1">IF(B219&gt;=$J$5,0,(((CONTADORES!G223-CONTADORES!G222)+(CONTADORES!AR223-CONTADORES!AR222)+AR219)-(AV219+BC219)))</f>
        <v>0</v>
      </c>
      <c r="BC219" s="1397">
        <f ca="1">IF(B219&gt;=$J$5,0,(CONTADORES!AY223-CONTADORES!AY222)+(CONTADORES!BA223-CONTADORES!BA222)+(CONTADORES!BF223-CONTADORES!BF222))</f>
        <v>0</v>
      </c>
      <c r="BD219" s="1397">
        <f t="shared" ca="1" si="113"/>
        <v>0</v>
      </c>
      <c r="BE219" s="1398">
        <f ca="1">IF($B219&gt;=$J$5,0,CONTADORES!$BG223)</f>
        <v>0</v>
      </c>
      <c r="BF219" s="1397">
        <f ca="1">IF($B219&gt;=$J$5,0,CONTADORES!$BH223)</f>
        <v>0</v>
      </c>
      <c r="BG219" s="1397">
        <f ca="1">IF($B219&gt;=$J$5,0,CONTADORES!$BJ223)</f>
        <v>0</v>
      </c>
      <c r="BH219" s="1397">
        <f ca="1">IF(B219&gt;=$J$5,0,((CONTADORES!BK223-CONTADORES!BK222)/1000))</f>
        <v>0</v>
      </c>
      <c r="BI219" s="1397">
        <f ca="1">IF(C219&gt;=$J$5,0,((CONTADORES!BL223-CONTADORES!BL222)/1000))</f>
        <v>0</v>
      </c>
      <c r="BJ219" s="1397">
        <f ca="1">IF(C219&gt;=$J$5,0,((CONTADORES!BM223-CONTADORES!BM222)/1000))</f>
        <v>0</v>
      </c>
      <c r="BK219" s="1397">
        <f ca="1">IF(D219&gt;=$J$5,0,((CONTADORES!BN223-CONTADORES!BN222)/1000))</f>
        <v>0</v>
      </c>
      <c r="BL219" s="1399">
        <f t="shared" ca="1" si="114"/>
        <v>0</v>
      </c>
      <c r="BM219" s="1399">
        <f t="shared" ca="1" si="115"/>
        <v>0</v>
      </c>
      <c r="BN219" s="1398">
        <f ca="1">IF(W219&gt;=$J$5,0,CONTADORES!$BO223)</f>
        <v>0</v>
      </c>
      <c r="BO219" s="1397">
        <f ca="1">IF(W219&gt;=$J$5,0,CONTADORES!$BP223)</f>
        <v>0</v>
      </c>
      <c r="BP219" s="1397">
        <f ca="1">IF(W219&gt;=$J$5,0,CONTADORES!$BQ223)</f>
        <v>0</v>
      </c>
      <c r="BQ219" s="1397">
        <f ca="1">IF(B219&gt;=$J$5,0,(CONTADORES!AS223-CONTADORES!AS222))</f>
        <v>0</v>
      </c>
      <c r="BR219" s="1397">
        <f ca="1">IF(C219&gt;=$J$5,0,(CONTADORES!AT223-CONTADORES!AT222))</f>
        <v>0</v>
      </c>
      <c r="BS219" s="1409">
        <f ca="1">IF(B219&gt;=$J$5,0,CONTADORES!BR223-CONTADORES!BR222)/1000</f>
        <v>0</v>
      </c>
      <c r="BT219" s="1409">
        <f ca="1">IF(B219&gt;=$J$5,0,CONTADORES!BS223-CONTADORES!BS222)</f>
        <v>0</v>
      </c>
      <c r="BU219" s="1409">
        <f ca="1">IF(B219&gt;=$J$5,0,CONTADORES!BT223-CONTADORES!BT222)</f>
        <v>0</v>
      </c>
      <c r="BV219" s="1409">
        <f ca="1">IF(B219&gt;=$J$5,0,CONTADORES!BU223-CONTADORES!BU222)/1000</f>
        <v>0</v>
      </c>
      <c r="BW219" s="1409">
        <f ca="1">IF(B219&gt;=$J$5,0,CONTADORES!BV223-CONTADORES!BV222)/1000</f>
        <v>0</v>
      </c>
      <c r="BX219" s="1409">
        <f ca="1">IF(B219&gt;=$J$5,0,CONTADORES!BW223-CONTADORES!BW222)</f>
        <v>0</v>
      </c>
      <c r="BY219" s="1409">
        <f ca="1">IF(B219&gt;=$J$5,0,CONTADORES!BX223-CONTADORES!BX222)/1000</f>
        <v>0</v>
      </c>
      <c r="BZ219" s="1409">
        <f ca="1">IF(B219&gt;=$J$5,0,CONTADORES!BY223-CONTADORES!BY222)/1000</f>
        <v>0</v>
      </c>
      <c r="CA219" s="1409">
        <f ca="1">IF(B219&gt;=$J$5,0,CONTADORES!BZ223-CONTADORES!BZ222)</f>
        <v>0</v>
      </c>
      <c r="CB219" s="1409">
        <f ca="1">IF(B219&gt;=$J$5,0,(CONTADORES!CC223-CONTADORES!CC222)+(CONTADORES!CE223-CONTADORES!CE222))/1000</f>
        <v>0</v>
      </c>
      <c r="CC219" s="1409">
        <f ca="1">IF(B219&gt;=$J$5,0,(CONTADORES!CD223-CONTADORES!CD222)+(CONTADORES!CF223-CONTADORES!CF222))/1000</f>
        <v>0</v>
      </c>
      <c r="CD219" s="1409">
        <f ca="1">IF(B219&gt;=$J$5,0,CONTADORES!CA223-CONTADORES!CA222)</f>
        <v>0</v>
      </c>
      <c r="CE219" s="1409">
        <f ca="1">IF(B219&gt;=$J$5,0,CONTADORES!CB223-CONTADORES!CB222)</f>
        <v>0</v>
      </c>
      <c r="CF219" s="1409">
        <f t="shared" ca="1" si="116"/>
        <v>0</v>
      </c>
      <c r="CG219" s="1409">
        <f t="shared" ca="1" si="117"/>
        <v>0</v>
      </c>
      <c r="CH219" s="1409">
        <f t="shared" ca="1" si="118"/>
        <v>0</v>
      </c>
      <c r="CI219" s="1409">
        <f t="shared" ca="1" si="119"/>
        <v>0</v>
      </c>
      <c r="CJ219" s="1409">
        <f t="shared" ca="1" si="120"/>
        <v>0</v>
      </c>
      <c r="CK219" s="1409">
        <f t="shared" ca="1" si="121"/>
        <v>0</v>
      </c>
      <c r="CL219" s="1409">
        <f t="shared" ca="1" si="122"/>
        <v>0</v>
      </c>
      <c r="CM219" s="1409">
        <f t="shared" ca="1" si="123"/>
        <v>0</v>
      </c>
      <c r="CN219" s="1409">
        <f ca="1">IF(B219&gt;=$J$5,0,CONTADORES!CB223-CONTADORES!CB222)</f>
        <v>0</v>
      </c>
      <c r="CO219" s="1409">
        <f t="shared" ca="1" si="124"/>
        <v>0</v>
      </c>
      <c r="CP219" s="1409">
        <f t="shared" ca="1" si="125"/>
        <v>0</v>
      </c>
      <c r="CQ219" s="1409">
        <f t="shared" ca="1" si="126"/>
        <v>0</v>
      </c>
      <c r="CR219" s="1409">
        <f t="shared" ca="1" si="127"/>
        <v>0</v>
      </c>
      <c r="CS219" s="1409">
        <f ca="1">IF($B219&gt;=$J$5,0,CONTADORES!$BI223)</f>
        <v>0</v>
      </c>
      <c r="CT219" s="1369">
        <f>CONTADORES!E223</f>
        <v>0</v>
      </c>
      <c r="CU219" s="1369">
        <f>CONTADORES!CG223</f>
        <v>0</v>
      </c>
    </row>
    <row r="220" spans="2:99">
      <c r="B220" s="390">
        <v>45136</v>
      </c>
      <c r="C220" s="198">
        <f t="shared" ca="1" si="101"/>
        <v>0</v>
      </c>
      <c r="D220" s="196">
        <f ca="1">'CALCULO DE GAS'!P32</f>
        <v>0</v>
      </c>
      <c r="E220" s="196">
        <f ca="1">IF(B220&gt;=$J$5,0,(CONTADORES!$AD224-CONTADORES!$AD223)-$H220)</f>
        <v>0</v>
      </c>
      <c r="F220" s="198">
        <f t="shared" ca="1" si="100"/>
        <v>0</v>
      </c>
      <c r="G220" s="196">
        <f ca="1">IF(B220&gt;=$J$5,0,CONTADORES!$AF224-CONTADORES!$AF223)</f>
        <v>0</v>
      </c>
      <c r="H220" s="196">
        <f ca="1">IF(G220&gt;0,CONTADORES!$AE224-CONTADORES!$AE223,0)</f>
        <v>0</v>
      </c>
      <c r="I220" s="199">
        <f ca="1">IF(B220&gt;=$J$5,0,CONTADORES!$AB224-CONTADORES!$AB223)</f>
        <v>0</v>
      </c>
      <c r="J220" s="198">
        <f t="shared" ca="1" si="102"/>
        <v>0</v>
      </c>
      <c r="K220" s="196">
        <f ca="1">'CALCULO DE GAS'!Q32</f>
        <v>0</v>
      </c>
      <c r="L220" s="1396">
        <f ca="1">IF(B220&gt;=$J$5,0,(CONTADORES!$Y224-CONTADORES!$Y223)-$O220)</f>
        <v>0</v>
      </c>
      <c r="M220" s="1396">
        <f t="shared" ca="1" si="128"/>
        <v>0</v>
      </c>
      <c r="N220" s="1396">
        <f ca="1">IF(B220&gt;=$J$5,0,CONTADORES!$AA224-CONTADORES!$AA223)</f>
        <v>0</v>
      </c>
      <c r="O220" s="1396">
        <f ca="1">IF(N220&gt;0,CONTADORES!$Z224-CONTADORES!$Z223,0)</f>
        <v>0</v>
      </c>
      <c r="P220" s="202">
        <f ca="1">IF(B220&gt;=$J$5,0,CONTADORES!$W224-CONTADORES!$W223)</f>
        <v>0</v>
      </c>
      <c r="Q220" s="202">
        <f ca="1">IF(B220&gt;=$J$5,0,CONTADORES!$B224-CONTADORES!$B223)</f>
        <v>0</v>
      </c>
      <c r="R220" s="196">
        <f t="shared" ca="1" si="103"/>
        <v>0</v>
      </c>
      <c r="S220" s="11">
        <f ca="1">IF(B220&gt;=$J$5,0,CONTADORES!$D224-CONTADORES!$D223)</f>
        <v>0</v>
      </c>
      <c r="T220" s="198">
        <f ca="1">IF(B220&gt;=$J$5,0,CONTADORES!$BB224-CONTADORES!$BB223)</f>
        <v>0</v>
      </c>
      <c r="U220" s="196">
        <f t="shared" ca="1" si="97"/>
        <v>0</v>
      </c>
      <c r="V220" s="199">
        <f ca="1">IF(B220&gt;=$J$5,0,CONTADORES!$BD224-CONTADORES!$BD223)</f>
        <v>0</v>
      </c>
      <c r="W220" s="1397">
        <f t="shared" ca="1" si="104"/>
        <v>0</v>
      </c>
      <c r="X220" s="1397">
        <f t="shared" ca="1" si="105"/>
        <v>0</v>
      </c>
      <c r="Y220" s="1398">
        <f t="shared" ca="1" si="106"/>
        <v>0</v>
      </c>
      <c r="Z220" s="1398">
        <f t="shared" ca="1" si="107"/>
        <v>0</v>
      </c>
      <c r="AA220" s="1398">
        <f t="shared" ca="1" si="108"/>
        <v>0</v>
      </c>
      <c r="AB220" s="1398">
        <f t="shared" ca="1" si="109"/>
        <v>0</v>
      </c>
      <c r="AC220" s="1397">
        <f t="shared" ca="1" si="110"/>
        <v>0</v>
      </c>
      <c r="AD220" s="1397">
        <f ca="1">IF(B220&gt;=$J$5,0,CONTADORES!H224-CONTADORES!H223)</f>
        <v>0</v>
      </c>
      <c r="AE220" s="1397">
        <f ca="1">IF(B220&gt;=$J$5,0,CONTADORES!J224-CONTADORES!J223)</f>
        <v>0</v>
      </c>
      <c r="AF220" s="1397">
        <f ca="1">IF(B220&gt;=$J$5,0,CONTADORES!AU224-CONTADORES!AU223)</f>
        <v>0</v>
      </c>
      <c r="AG220" s="1397">
        <f ca="1">IF(B220&gt;=$J$5,0,CONTADORES!AW224-CONTADORES!AW223)</f>
        <v>0</v>
      </c>
      <c r="AH220" s="1398">
        <f ca="1">IF(B220&gt;=$J$5,0,(CONTADORES!AM224-CONTADORES!AM223)+(CONTADORES!M224-CONTADORES!M223))</f>
        <v>0</v>
      </c>
      <c r="AI220" s="1397">
        <f ca="1">IF(B220&gt;=$J$5,0,(CONTADORES!AK224-CONTADORES!AK223)+(CONTADORES!O224-CONTADORES!O223))</f>
        <v>0</v>
      </c>
      <c r="AJ220" s="1397">
        <f ca="1">IF(B220&gt;=$J$5,0,(CONTADORES!AI224-CONTADORES!AI223))</f>
        <v>0</v>
      </c>
      <c r="AK220" s="1397">
        <f ca="1">IF(B220&gt;=$J$5,0,(CONTADORES!Q224-CONTADORES!Q223))</f>
        <v>0</v>
      </c>
      <c r="AL220" s="1461">
        <f t="shared" ca="1" si="111"/>
        <v>0</v>
      </c>
      <c r="AM220" s="1397">
        <f ca="1">IF(B220&gt;=$J$5,0,(((CONTADORES!F224-CONTADORES!F223)+(CONTADORES!AQ224-CONTADORES!AQ223))))-BS220-AF220-AN220-BV220-BY220-CD220-CB220</f>
        <v>0</v>
      </c>
      <c r="AN220" s="1397">
        <f ca="1">IF(B220&gt;=$J$5,0,(CONTADORES!AX224-CONTADORES!AX223)+(CONTADORES!AZ224-CONTADORES!AZ223)+(CONTADORES!BE224-CONTADORES!BE223))-CB220</f>
        <v>0</v>
      </c>
      <c r="AO220" s="1399">
        <f>(CONTADORES!AC224-CONTADORES!AC223)</f>
        <v>0</v>
      </c>
      <c r="AP220" s="1399">
        <f>(CONTADORES!X224-CONTADORES!X223)</f>
        <v>0</v>
      </c>
      <c r="AQ220" s="1404">
        <f ca="1">IF(B220&gt;=$J$5,0,(CONTADORES!C224-CONTADORES!C223))</f>
        <v>0</v>
      </c>
      <c r="AR220" s="1399">
        <f ca="1">AR219+(CONTADORES!BC224-CONTADORES!BC223)</f>
        <v>0</v>
      </c>
      <c r="AS220" s="1397">
        <f ca="1">IF(B220&gt;=$J$5,0,CONTADORES!S224-CONTADORES!S223)</f>
        <v>0</v>
      </c>
      <c r="AT220" s="1397">
        <f ca="1">IF(B220&gt;=$J$5,0,(CONTADORES!U224-CONTADORES!U223)+(CONTADORES!AG224-CONTADORES!AG223))</f>
        <v>0</v>
      </c>
      <c r="AU220" s="1433">
        <f>CONTADORES!I224-CONTADORES!I223</f>
        <v>0</v>
      </c>
      <c r="AV220" s="1399">
        <f>CONTADORES!AV224-CONTADORES!AV223</f>
        <v>0</v>
      </c>
      <c r="AW220" s="1399">
        <f ca="1">IF(B220&gt;=$J$5,0,(CONTADORES!N224-CONTADORES!N223)+(CONTADORES!AN224-CONTADORES!AN223))</f>
        <v>0</v>
      </c>
      <c r="AX220" s="1399">
        <f ca="1">IF(B220&gt;=$J$5,0,(CONTADORES!P224-CONTADORES!P223)+(CONTADORES!AL224-CONTADORES!AL223))</f>
        <v>0</v>
      </c>
      <c r="AY220" s="1399">
        <f ca="1">IF(B220&gt;=$J$5,0,(CONTADORES!AJ224-CONTADORES!AJ223))</f>
        <v>0</v>
      </c>
      <c r="AZ220" s="1399">
        <f ca="1">IF(B220&gt;=$J$5,0,(CONTADORES!R224-CONTADORES!R223))</f>
        <v>0</v>
      </c>
      <c r="BA220" s="1409">
        <f t="shared" ca="1" si="112"/>
        <v>0</v>
      </c>
      <c r="BB220" s="1433">
        <f ca="1">IF(B220&gt;=$J$5,0,(((CONTADORES!G224-CONTADORES!G223)+(CONTADORES!AR224-CONTADORES!AR223)+AR220)-(AV220+BC220)))</f>
        <v>0</v>
      </c>
      <c r="BC220" s="1397">
        <f ca="1">IF(B220&gt;=$J$5,0,(CONTADORES!AY224-CONTADORES!AY223)+(CONTADORES!BA224-CONTADORES!BA223)+(CONTADORES!BF224-CONTADORES!BF223))</f>
        <v>0</v>
      </c>
      <c r="BD220" s="1397">
        <f t="shared" ca="1" si="113"/>
        <v>0</v>
      </c>
      <c r="BE220" s="1398">
        <f ca="1">IF($B220&gt;=$J$5,0,CONTADORES!$BG224)</f>
        <v>0</v>
      </c>
      <c r="BF220" s="1397">
        <f ca="1">IF($B220&gt;=$J$5,0,CONTADORES!$BH224)</f>
        <v>0</v>
      </c>
      <c r="BG220" s="1397">
        <f ca="1">IF($B220&gt;=$J$5,0,CONTADORES!$BJ224)</f>
        <v>0</v>
      </c>
      <c r="BH220" s="1397">
        <f ca="1">IF(B220&gt;=$J$5,0,((CONTADORES!BK224-CONTADORES!BK223)/1000))</f>
        <v>0</v>
      </c>
      <c r="BI220" s="1397">
        <f ca="1">IF(C220&gt;=$J$5,0,((CONTADORES!BL224-CONTADORES!BL223)/1000))</f>
        <v>0</v>
      </c>
      <c r="BJ220" s="1397">
        <f ca="1">IF(C220&gt;=$J$5,0,((CONTADORES!BM224-CONTADORES!BM223)/1000))</f>
        <v>0</v>
      </c>
      <c r="BK220" s="1397">
        <f ca="1">IF(D220&gt;=$J$5,0,((CONTADORES!BN224-CONTADORES!BN223)/1000))</f>
        <v>0</v>
      </c>
      <c r="BL220" s="1399">
        <f t="shared" ca="1" si="114"/>
        <v>0</v>
      </c>
      <c r="BM220" s="1399">
        <f t="shared" ca="1" si="115"/>
        <v>0</v>
      </c>
      <c r="BN220" s="1398">
        <f ca="1">IF(W220&gt;=$J$5,0,CONTADORES!$BO224)</f>
        <v>0</v>
      </c>
      <c r="BO220" s="1397">
        <f ca="1">IF(W220&gt;=$J$5,0,CONTADORES!$BP224)</f>
        <v>0</v>
      </c>
      <c r="BP220" s="1397">
        <f ca="1">IF(W220&gt;=$J$5,0,CONTADORES!$BQ224)</f>
        <v>0</v>
      </c>
      <c r="BQ220" s="1397">
        <f ca="1">IF(B220&gt;=$J$5,0,(CONTADORES!AS224-CONTADORES!AS223))</f>
        <v>0</v>
      </c>
      <c r="BR220" s="1397">
        <f ca="1">IF(C220&gt;=$J$5,0,(CONTADORES!AT224-CONTADORES!AT223))</f>
        <v>0</v>
      </c>
      <c r="BS220" s="1409">
        <f ca="1">IF(B220&gt;=$J$5,0,CONTADORES!BR224-CONTADORES!BR223)/1000</f>
        <v>0</v>
      </c>
      <c r="BT220" s="1409">
        <f ca="1">IF(B220&gt;=$J$5,0,CONTADORES!BS224-CONTADORES!BS223)</f>
        <v>0</v>
      </c>
      <c r="BU220" s="1409">
        <f ca="1">IF(B220&gt;=$J$5,0,CONTADORES!BT224-CONTADORES!BT223)</f>
        <v>0</v>
      </c>
      <c r="BV220" s="1409">
        <f ca="1">IF(B220&gt;=$J$5,0,CONTADORES!BU224-CONTADORES!BU223)/1000</f>
        <v>0</v>
      </c>
      <c r="BW220" s="1409">
        <f ca="1">IF(B220&gt;=$J$5,0,CONTADORES!BV224-CONTADORES!BV223)/1000</f>
        <v>0</v>
      </c>
      <c r="BX220" s="1409">
        <f ca="1">IF(B220&gt;=$J$5,0,CONTADORES!BW224-CONTADORES!BW223)</f>
        <v>0</v>
      </c>
      <c r="BY220" s="1409">
        <f ca="1">IF(B220&gt;=$J$5,0,CONTADORES!BX224-CONTADORES!BX223)/1000</f>
        <v>0</v>
      </c>
      <c r="BZ220" s="1409">
        <f ca="1">IF(B220&gt;=$J$5,0,CONTADORES!BY224-CONTADORES!BY223)/1000</f>
        <v>0</v>
      </c>
      <c r="CA220" s="1409">
        <f ca="1">IF(B220&gt;=$J$5,0,CONTADORES!BZ224-CONTADORES!BZ223)</f>
        <v>0</v>
      </c>
      <c r="CB220" s="1409">
        <f ca="1">IF(B220&gt;=$J$5,0,(CONTADORES!CC224-CONTADORES!CC223)+(CONTADORES!CE224-CONTADORES!CE223))/1000</f>
        <v>0</v>
      </c>
      <c r="CC220" s="1409">
        <f ca="1">IF(B220&gt;=$J$5,0,(CONTADORES!CD224-CONTADORES!CD223)+(CONTADORES!CF224-CONTADORES!CF223))/1000</f>
        <v>0</v>
      </c>
      <c r="CD220" s="1409">
        <f ca="1">IF(B220&gt;=$J$5,0,CONTADORES!CA224-CONTADORES!CA223)</f>
        <v>0</v>
      </c>
      <c r="CE220" s="1409">
        <f ca="1">IF(B220&gt;=$J$5,0,CONTADORES!CB224-CONTADORES!CB223)</f>
        <v>0</v>
      </c>
      <c r="CF220" s="1409">
        <f t="shared" ca="1" si="116"/>
        <v>0</v>
      </c>
      <c r="CG220" s="1409">
        <f t="shared" ca="1" si="117"/>
        <v>0</v>
      </c>
      <c r="CH220" s="1409">
        <f t="shared" ca="1" si="118"/>
        <v>0</v>
      </c>
      <c r="CI220" s="1409">
        <f t="shared" ca="1" si="119"/>
        <v>0</v>
      </c>
      <c r="CJ220" s="1409">
        <f t="shared" ca="1" si="120"/>
        <v>0</v>
      </c>
      <c r="CK220" s="1409">
        <f t="shared" ca="1" si="121"/>
        <v>0</v>
      </c>
      <c r="CL220" s="1409">
        <f t="shared" ca="1" si="122"/>
        <v>0</v>
      </c>
      <c r="CM220" s="1409">
        <f t="shared" ca="1" si="123"/>
        <v>0</v>
      </c>
      <c r="CN220" s="1409">
        <f ca="1">IF(B220&gt;=$J$5,0,CONTADORES!CB224-CONTADORES!CB223)</f>
        <v>0</v>
      </c>
      <c r="CO220" s="1409">
        <f t="shared" ca="1" si="124"/>
        <v>0</v>
      </c>
      <c r="CP220" s="1409">
        <f t="shared" ca="1" si="125"/>
        <v>0</v>
      </c>
      <c r="CQ220" s="1409">
        <f t="shared" ca="1" si="126"/>
        <v>0</v>
      </c>
      <c r="CR220" s="1409">
        <f t="shared" ca="1" si="127"/>
        <v>0</v>
      </c>
      <c r="CS220" s="1409">
        <f ca="1">IF($B220&gt;=$J$5,0,CONTADORES!$BI224)</f>
        <v>0</v>
      </c>
      <c r="CT220" s="1369">
        <f>CONTADORES!E224</f>
        <v>0</v>
      </c>
      <c r="CU220" s="1369">
        <f>CONTADORES!CG224</f>
        <v>0</v>
      </c>
    </row>
    <row r="221" spans="2:99">
      <c r="B221" s="390">
        <v>45137</v>
      </c>
      <c r="C221" s="198">
        <f t="shared" ca="1" si="101"/>
        <v>0</v>
      </c>
      <c r="D221" s="196">
        <f ca="1">'CALCULO DE GAS'!P33</f>
        <v>0</v>
      </c>
      <c r="E221" s="196">
        <f ca="1">IF(B221&gt;=$J$5,0,(CONTADORES!$AD225-CONTADORES!$AD224)-$H221)</f>
        <v>0</v>
      </c>
      <c r="F221" s="198">
        <f t="shared" ca="1" si="100"/>
        <v>0</v>
      </c>
      <c r="G221" s="196">
        <f ca="1">IF(B221&gt;=$J$5,0,CONTADORES!$AF225-CONTADORES!$AF224)</f>
        <v>0</v>
      </c>
      <c r="H221" s="196">
        <f ca="1">IF(G221&gt;0,CONTADORES!$AE225-CONTADORES!$AE224,0)</f>
        <v>0</v>
      </c>
      <c r="I221" s="199">
        <f ca="1">IF(B221&gt;=$J$5,0,CONTADORES!$AB225-CONTADORES!$AB224)</f>
        <v>0</v>
      </c>
      <c r="J221" s="198">
        <f t="shared" ca="1" si="102"/>
        <v>0</v>
      </c>
      <c r="K221" s="196">
        <f ca="1">'CALCULO DE GAS'!Q33</f>
        <v>0</v>
      </c>
      <c r="L221" s="1396">
        <f ca="1">IF(B221&gt;=$J$5,0,(CONTADORES!$Y225-CONTADORES!$Y224)-$O221)</f>
        <v>0</v>
      </c>
      <c r="M221" s="1396">
        <f t="shared" ca="1" si="128"/>
        <v>0</v>
      </c>
      <c r="N221" s="1396">
        <f ca="1">IF(B221&gt;=$J$5,0,CONTADORES!$AA225-CONTADORES!$AA224)</f>
        <v>0</v>
      </c>
      <c r="O221" s="1396">
        <f ca="1">IF(N221&gt;0,CONTADORES!$Z225-CONTADORES!$Z224,0)</f>
        <v>0</v>
      </c>
      <c r="P221" s="202">
        <f ca="1">IF(B221&gt;=$J$5,0,CONTADORES!$W225-CONTADORES!$W224)</f>
        <v>0</v>
      </c>
      <c r="Q221" s="202">
        <f ca="1">IF(B221&gt;=$J$5,0,CONTADORES!$B225-CONTADORES!$B224)</f>
        <v>0</v>
      </c>
      <c r="R221" s="196">
        <f t="shared" ca="1" si="103"/>
        <v>0</v>
      </c>
      <c r="S221" s="11">
        <f ca="1">IF(B221&gt;=$J$5,0,CONTADORES!$D225-CONTADORES!$D224)</f>
        <v>0</v>
      </c>
      <c r="T221" s="198">
        <f ca="1">IF(B221&gt;=$J$5,0,CONTADORES!$BB225-CONTADORES!$BB224)</f>
        <v>0</v>
      </c>
      <c r="U221" s="196">
        <f t="shared" ca="1" si="97"/>
        <v>0</v>
      </c>
      <c r="V221" s="199">
        <f ca="1">IF(B221&gt;=$J$5,0,CONTADORES!$BD225-CONTADORES!$BD224)</f>
        <v>0</v>
      </c>
      <c r="W221" s="1397">
        <f t="shared" ca="1" si="104"/>
        <v>0</v>
      </c>
      <c r="X221" s="1397">
        <f t="shared" ca="1" si="105"/>
        <v>0</v>
      </c>
      <c r="Y221" s="1398">
        <f t="shared" ca="1" si="106"/>
        <v>0</v>
      </c>
      <c r="Z221" s="1398">
        <f t="shared" ca="1" si="107"/>
        <v>0</v>
      </c>
      <c r="AA221" s="1398">
        <f t="shared" ca="1" si="108"/>
        <v>0</v>
      </c>
      <c r="AB221" s="1398">
        <f t="shared" ca="1" si="109"/>
        <v>0</v>
      </c>
      <c r="AC221" s="1397">
        <f t="shared" ca="1" si="110"/>
        <v>0</v>
      </c>
      <c r="AD221" s="1397">
        <f ca="1">IF(B221&gt;=$J$5,0,CONTADORES!H225-CONTADORES!H224)</f>
        <v>0</v>
      </c>
      <c r="AE221" s="1397">
        <f ca="1">IF(B221&gt;=$J$5,0,CONTADORES!J225-CONTADORES!J224)</f>
        <v>0</v>
      </c>
      <c r="AF221" s="1397">
        <f ca="1">IF(B221&gt;=$J$5,0,CONTADORES!AU225-CONTADORES!AU224)</f>
        <v>0</v>
      </c>
      <c r="AG221" s="1397">
        <f ca="1">IF(B221&gt;=$J$5,0,CONTADORES!AW225-CONTADORES!AW224)</f>
        <v>0</v>
      </c>
      <c r="AH221" s="1398">
        <f ca="1">IF(B221&gt;=$J$5,0,(CONTADORES!AM225-CONTADORES!AM224)+(CONTADORES!M225-CONTADORES!M224))</f>
        <v>0</v>
      </c>
      <c r="AI221" s="1397">
        <f ca="1">IF(B221&gt;=$J$5,0,(CONTADORES!AK225-CONTADORES!AK224)+(CONTADORES!O225-CONTADORES!O224))</f>
        <v>0</v>
      </c>
      <c r="AJ221" s="1397">
        <f ca="1">IF(B221&gt;=$J$5,0,(CONTADORES!AI225-CONTADORES!AI224))</f>
        <v>0</v>
      </c>
      <c r="AK221" s="1397">
        <f ca="1">IF(B221&gt;=$J$5,0,(CONTADORES!Q225-CONTADORES!Q224))</f>
        <v>0</v>
      </c>
      <c r="AL221" s="1461">
        <f t="shared" ca="1" si="111"/>
        <v>0</v>
      </c>
      <c r="AM221" s="1397">
        <f ca="1">IF(B221&gt;=$J$5,0,(((CONTADORES!F225-CONTADORES!F224)+(CONTADORES!AQ225-CONTADORES!AQ224))))-BS221-AF221-AN221-BV221-BY221-CD221-CB221</f>
        <v>0</v>
      </c>
      <c r="AN221" s="1397">
        <f ca="1">IF(B221&gt;=$J$5,0,(CONTADORES!AX225-CONTADORES!AX224)+(CONTADORES!AZ225-CONTADORES!AZ224)+(CONTADORES!BE225-CONTADORES!BE224))-CB221</f>
        <v>0</v>
      </c>
      <c r="AO221" s="1399">
        <f>(CONTADORES!AC225-CONTADORES!AC224)</f>
        <v>0</v>
      </c>
      <c r="AP221" s="1399">
        <f>(CONTADORES!X225-CONTADORES!X224)</f>
        <v>0</v>
      </c>
      <c r="AQ221" s="1404">
        <f ca="1">IF(B221&gt;=$J$5,0,(CONTADORES!C225-CONTADORES!C224))</f>
        <v>0</v>
      </c>
      <c r="AR221" s="1399">
        <f ca="1">AR220+(CONTADORES!BC225-CONTADORES!BC224)</f>
        <v>0</v>
      </c>
      <c r="AS221" s="1397">
        <f ca="1">IF(B221&gt;=$J$5,0,CONTADORES!S225-CONTADORES!S224)</f>
        <v>0</v>
      </c>
      <c r="AT221" s="1397">
        <f ca="1">IF(B221&gt;=$J$5,0,(CONTADORES!U225-CONTADORES!U224)+(CONTADORES!AG225-CONTADORES!AG224))</f>
        <v>0</v>
      </c>
      <c r="AU221" s="1433">
        <f>CONTADORES!I225-CONTADORES!I224</f>
        <v>0</v>
      </c>
      <c r="AV221" s="1399">
        <f>CONTADORES!AV225-CONTADORES!AV224</f>
        <v>0</v>
      </c>
      <c r="AW221" s="1399">
        <f ca="1">IF(B221&gt;=$J$5,0,(CONTADORES!N225-CONTADORES!N224)+(CONTADORES!AN225-CONTADORES!AN224))</f>
        <v>0</v>
      </c>
      <c r="AX221" s="1399">
        <f ca="1">IF(B221&gt;=$J$5,0,(CONTADORES!P225-CONTADORES!P224)+(CONTADORES!AL225-CONTADORES!AL224))</f>
        <v>0</v>
      </c>
      <c r="AY221" s="1399">
        <f ca="1">IF(B221&gt;=$J$5,0,(CONTADORES!AJ225-CONTADORES!AJ224))</f>
        <v>0</v>
      </c>
      <c r="AZ221" s="1399">
        <f ca="1">IF(B221&gt;=$J$5,0,(CONTADORES!R225-CONTADORES!R224))</f>
        <v>0</v>
      </c>
      <c r="BA221" s="1409">
        <f t="shared" ca="1" si="112"/>
        <v>0</v>
      </c>
      <c r="BB221" s="1433">
        <f ca="1">IF(B221&gt;=$J$5,0,(((CONTADORES!G225-CONTADORES!G224)+(CONTADORES!AR225-CONTADORES!AR224)+AR221)-(AV221+BC221)))</f>
        <v>0</v>
      </c>
      <c r="BC221" s="1397">
        <f ca="1">IF(B221&gt;=$J$5,0,(CONTADORES!AY225-CONTADORES!AY224)+(CONTADORES!BA225-CONTADORES!BA224)+(CONTADORES!BF225-CONTADORES!BF224))</f>
        <v>0</v>
      </c>
      <c r="BD221" s="1397">
        <f t="shared" ca="1" si="113"/>
        <v>0</v>
      </c>
      <c r="BE221" s="1398">
        <f ca="1">IF($B221&gt;=$J$5,0,CONTADORES!$BG225)</f>
        <v>0</v>
      </c>
      <c r="BF221" s="1397">
        <f ca="1">IF($B221&gt;=$J$5,0,CONTADORES!$BH225)</f>
        <v>0</v>
      </c>
      <c r="BG221" s="1397">
        <f ca="1">IF($B221&gt;=$J$5,0,CONTADORES!$BJ225)</f>
        <v>0</v>
      </c>
      <c r="BH221" s="1397">
        <f ca="1">IF(B221&gt;=$J$5,0,((CONTADORES!BK225-CONTADORES!BK224)/1000))</f>
        <v>0</v>
      </c>
      <c r="BI221" s="1397">
        <f ca="1">IF(C221&gt;=$J$5,0,((CONTADORES!BL225-CONTADORES!BL224)/1000))</f>
        <v>0</v>
      </c>
      <c r="BJ221" s="1397">
        <f ca="1">IF(C221&gt;=$J$5,0,((CONTADORES!BM225-CONTADORES!BM224)/1000))</f>
        <v>0</v>
      </c>
      <c r="BK221" s="1397">
        <f ca="1">IF(D221&gt;=$J$5,0,((CONTADORES!BN225-CONTADORES!BN224)/1000))</f>
        <v>0</v>
      </c>
      <c r="BL221" s="1399">
        <f t="shared" ca="1" si="114"/>
        <v>0</v>
      </c>
      <c r="BM221" s="1399">
        <f t="shared" ca="1" si="115"/>
        <v>0</v>
      </c>
      <c r="BN221" s="1398">
        <f ca="1">IF(W221&gt;=$J$5,0,CONTADORES!$BO225)</f>
        <v>0</v>
      </c>
      <c r="BO221" s="1397">
        <f ca="1">IF(W221&gt;=$J$5,0,CONTADORES!$BP225)</f>
        <v>0</v>
      </c>
      <c r="BP221" s="1397">
        <f ca="1">IF(W221&gt;=$J$5,0,CONTADORES!$BQ225)</f>
        <v>0</v>
      </c>
      <c r="BQ221" s="1397">
        <f ca="1">IF(B221&gt;=$J$5,0,(CONTADORES!AS225-CONTADORES!AS224))</f>
        <v>0</v>
      </c>
      <c r="BR221" s="1397">
        <f ca="1">IF(C221&gt;=$J$5,0,(CONTADORES!AT225-CONTADORES!AT224))</f>
        <v>0</v>
      </c>
      <c r="BS221" s="1409">
        <f ca="1">IF(B221&gt;=$J$5,0,CONTADORES!BR225-CONTADORES!BR224)/1000</f>
        <v>0</v>
      </c>
      <c r="BT221" s="1409">
        <f ca="1">IF(B221&gt;=$J$5,0,CONTADORES!BS225-CONTADORES!BS224)</f>
        <v>0</v>
      </c>
      <c r="BU221" s="1409">
        <f ca="1">IF(B221&gt;=$J$5,0,CONTADORES!BT225-CONTADORES!BT224)</f>
        <v>0</v>
      </c>
      <c r="BV221" s="1409">
        <f ca="1">IF(B221&gt;=$J$5,0,CONTADORES!BU225-CONTADORES!BU224)/1000</f>
        <v>0</v>
      </c>
      <c r="BW221" s="1409">
        <f ca="1">IF(B221&gt;=$J$5,0,CONTADORES!BV225-CONTADORES!BV224)/1000</f>
        <v>0</v>
      </c>
      <c r="BX221" s="1409">
        <f ca="1">IF(B221&gt;=$J$5,0,CONTADORES!BW225-CONTADORES!BW224)</f>
        <v>0</v>
      </c>
      <c r="BY221" s="1409">
        <f ca="1">IF(B221&gt;=$J$5,0,CONTADORES!BX225-CONTADORES!BX224)/1000</f>
        <v>0</v>
      </c>
      <c r="BZ221" s="1409">
        <f ca="1">IF(B221&gt;=$J$5,0,CONTADORES!BY225-CONTADORES!BY224)/1000</f>
        <v>0</v>
      </c>
      <c r="CA221" s="1409">
        <f ca="1">IF(B221&gt;=$J$5,0,CONTADORES!BZ225-CONTADORES!BZ224)</f>
        <v>0</v>
      </c>
      <c r="CB221" s="1409">
        <f ca="1">IF(B221&gt;=$J$5,0,(CONTADORES!CC225-CONTADORES!CC224)+(CONTADORES!CE225-CONTADORES!CE224))/1000</f>
        <v>0</v>
      </c>
      <c r="CC221" s="1409">
        <f ca="1">IF(B221&gt;=$J$5,0,(CONTADORES!CD225-CONTADORES!CD224)+(CONTADORES!CF225-CONTADORES!CF224))/1000</f>
        <v>0</v>
      </c>
      <c r="CD221" s="1409">
        <f ca="1">IF(B221&gt;=$J$5,0,CONTADORES!CA225-CONTADORES!CA224)</f>
        <v>0</v>
      </c>
      <c r="CE221" s="1409">
        <f ca="1">IF(B221&gt;=$J$5,0,CONTADORES!CB225-CONTADORES!CB224)</f>
        <v>0</v>
      </c>
      <c r="CF221" s="1409">
        <f t="shared" ca="1" si="116"/>
        <v>0</v>
      </c>
      <c r="CG221" s="1409">
        <f t="shared" ca="1" si="117"/>
        <v>0</v>
      </c>
      <c r="CH221" s="1409">
        <f t="shared" ca="1" si="118"/>
        <v>0</v>
      </c>
      <c r="CI221" s="1409">
        <f t="shared" ca="1" si="119"/>
        <v>0</v>
      </c>
      <c r="CJ221" s="1409">
        <f t="shared" ca="1" si="120"/>
        <v>0</v>
      </c>
      <c r="CK221" s="1409">
        <f t="shared" ca="1" si="121"/>
        <v>0</v>
      </c>
      <c r="CL221" s="1409">
        <f t="shared" ca="1" si="122"/>
        <v>0</v>
      </c>
      <c r="CM221" s="1409">
        <f t="shared" ca="1" si="123"/>
        <v>0</v>
      </c>
      <c r="CN221" s="1409">
        <f ca="1">IF(B221&gt;=$J$5,0,CONTADORES!CB225-CONTADORES!CB224)</f>
        <v>0</v>
      </c>
      <c r="CO221" s="1409">
        <f t="shared" ca="1" si="124"/>
        <v>0</v>
      </c>
      <c r="CP221" s="1409">
        <f t="shared" ca="1" si="125"/>
        <v>0</v>
      </c>
      <c r="CQ221" s="1409">
        <f t="shared" ca="1" si="126"/>
        <v>0</v>
      </c>
      <c r="CR221" s="1409">
        <f t="shared" ca="1" si="127"/>
        <v>0</v>
      </c>
      <c r="CS221" s="1409">
        <f ca="1">IF($B221&gt;=$J$5,0,CONTADORES!$BI225)</f>
        <v>0</v>
      </c>
      <c r="CT221" s="1369">
        <f>CONTADORES!E225</f>
        <v>0</v>
      </c>
      <c r="CU221" s="1369">
        <f>CONTADORES!CG225</f>
        <v>0</v>
      </c>
    </row>
    <row r="222" spans="2:99" ht="15" thickBot="1">
      <c r="B222" s="1043">
        <v>45138</v>
      </c>
      <c r="C222" s="200">
        <f t="shared" ca="1" si="101"/>
        <v>0</v>
      </c>
      <c r="D222" s="197">
        <f ca="1">'CALCULO DE GAS'!P34</f>
        <v>0</v>
      </c>
      <c r="E222" s="197">
        <f ca="1">IF(B222&gt;=$J$5,0,(CONTADORES!$AD226-CONTADORES!$AD225)-$H222)</f>
        <v>0</v>
      </c>
      <c r="F222" s="200">
        <f t="shared" ca="1" si="100"/>
        <v>0</v>
      </c>
      <c r="G222" s="197">
        <f ca="1">IF(B222&gt;=$J$5,0,CONTADORES!$AF226-CONTADORES!$AF225)</f>
        <v>0</v>
      </c>
      <c r="H222" s="196">
        <f ca="1">IF(G222&gt;0,CONTADORES!$AE226-CONTADORES!$AE225,0)</f>
        <v>0</v>
      </c>
      <c r="I222" s="201">
        <f ca="1">IF(B222&gt;=$J$5,0,CONTADORES!$AB226-CONTADORES!$AB225)</f>
        <v>0</v>
      </c>
      <c r="J222" s="200">
        <f t="shared" ca="1" si="102"/>
        <v>0</v>
      </c>
      <c r="K222" s="197">
        <f ca="1">'CALCULO DE GAS'!Q34</f>
        <v>0</v>
      </c>
      <c r="L222" s="1424">
        <f ca="1">IF(B222&gt;=$J$5,0,(CONTADORES!$Y226-CONTADORES!$Y225)-$O222)</f>
        <v>0</v>
      </c>
      <c r="M222" s="1424">
        <f t="shared" ca="1" si="128"/>
        <v>0</v>
      </c>
      <c r="N222" s="1424">
        <f ca="1">IF(B222&gt;=$J$5,0,CONTADORES!$AA226-CONTADORES!$AA225)</f>
        <v>0</v>
      </c>
      <c r="O222" s="201">
        <f ca="1">IF(N222&gt;0,CONTADORES!$Z226-CONTADORES!$Z225,0)</f>
        <v>0</v>
      </c>
      <c r="P222" s="203">
        <f ca="1">IF(B222&gt;=$J$5,0,CONTADORES!$W226-CONTADORES!$W225)</f>
        <v>0</v>
      </c>
      <c r="Q222" s="203">
        <f ca="1">IF(B222&gt;=$J$5,0,CONTADORES!$B226-CONTADORES!$B225)</f>
        <v>0</v>
      </c>
      <c r="R222" s="197">
        <f t="shared" ca="1" si="103"/>
        <v>0</v>
      </c>
      <c r="S222" s="64">
        <f ca="1">IF(B222&gt;=$J$5,0,CONTADORES!$D226-CONTADORES!$D225)</f>
        <v>0</v>
      </c>
      <c r="T222" s="200">
        <f ca="1">IF(B222&gt;=$J$5,0,CONTADORES!$BB226-CONTADORES!$BB225)</f>
        <v>0</v>
      </c>
      <c r="U222" s="197">
        <f t="shared" ca="1" si="97"/>
        <v>0</v>
      </c>
      <c r="V222" s="201">
        <f ca="1">IF(B222&gt;=$J$5,0,CONTADORES!$BD226-CONTADORES!$BD225)</f>
        <v>0</v>
      </c>
      <c r="W222" s="1425">
        <f t="shared" ca="1" si="104"/>
        <v>0</v>
      </c>
      <c r="X222" s="1425">
        <f t="shared" ca="1" si="105"/>
        <v>0</v>
      </c>
      <c r="Y222" s="1426">
        <f t="shared" ca="1" si="106"/>
        <v>0</v>
      </c>
      <c r="Z222" s="1426">
        <f t="shared" ca="1" si="107"/>
        <v>0</v>
      </c>
      <c r="AA222" s="1426">
        <f t="shared" ca="1" si="108"/>
        <v>0</v>
      </c>
      <c r="AB222" s="1426">
        <f t="shared" ca="1" si="109"/>
        <v>0</v>
      </c>
      <c r="AC222" s="1426">
        <f t="shared" ca="1" si="110"/>
        <v>0</v>
      </c>
      <c r="AD222" s="1397">
        <f ca="1">IF(B222&gt;=$J$5,0,CONTADORES!H226-CONTADORES!H225)</f>
        <v>0</v>
      </c>
      <c r="AE222" s="1397">
        <f ca="1">IF(B222&gt;=$J$5,0,CONTADORES!J226-CONTADORES!J225)</f>
        <v>0</v>
      </c>
      <c r="AF222" s="1425">
        <f ca="1">IF(B222&gt;=$J$5,0,CONTADORES!AU226-CONTADORES!AU225)</f>
        <v>0</v>
      </c>
      <c r="AG222" s="1425">
        <f ca="1">IF(B222&gt;=$J$5,0,CONTADORES!AW226-CONTADORES!AW225)</f>
        <v>0</v>
      </c>
      <c r="AH222" s="1398">
        <f ca="1">IF(B222&gt;=$J$5,0,(CONTADORES!AM226-CONTADORES!AM225)+(CONTADORES!M226-CONTADORES!M225))</f>
        <v>0</v>
      </c>
      <c r="AI222" s="1397">
        <f ca="1">IF(B222&gt;=$J$5,0,(CONTADORES!AK226-CONTADORES!AK225)+(CONTADORES!O226-CONTADORES!O225))</f>
        <v>0</v>
      </c>
      <c r="AJ222" s="1397">
        <f ca="1">IF(B222&gt;=$J$5,0,(CONTADORES!AI226-CONTADORES!AI225))</f>
        <v>0</v>
      </c>
      <c r="AK222" s="1397">
        <f ca="1">IF(B222&gt;=$J$5,0,(CONTADORES!Q226-CONTADORES!Q225))</f>
        <v>0</v>
      </c>
      <c r="AL222" s="1426">
        <f t="shared" ca="1" si="111"/>
        <v>0</v>
      </c>
      <c r="AM222" s="1426">
        <f ca="1">IF(B222&gt;=$J$5,0,(((CONTADORES!F226-CONTADORES!F225)+(CONTADORES!AQ226-CONTADORES!AQ225))))-BS222-AF222-AN222-BV222-BY222-CD222-CB222</f>
        <v>0</v>
      </c>
      <c r="AN222" s="1397">
        <f ca="1">IF(B222&gt;=$J$5,0,(CONTADORES!AX226-CONTADORES!AX225)+(CONTADORES!AZ226-CONTADORES!AZ225)+(CONTADORES!BE226-CONTADORES!BE225))-CB222</f>
        <v>0</v>
      </c>
      <c r="AO222" s="1399">
        <f>(CONTADORES!AC226-CONTADORES!AC225)</f>
        <v>0</v>
      </c>
      <c r="AP222" s="1399">
        <f>(CONTADORES!X226-CONTADORES!X225)</f>
        <v>0</v>
      </c>
      <c r="AQ222" s="1428">
        <f ca="1">IF(B222&gt;=$J$5,0,(CONTADORES!C226-CONTADORES!C225))</f>
        <v>0</v>
      </c>
      <c r="AR222" s="1399">
        <f ca="1">AR221+(CONTADORES!BC226-CONTADORES!BC225)</f>
        <v>0</v>
      </c>
      <c r="AS222" s="1426">
        <f ca="1">IF(B222&gt;=$J$5,0,CONTADORES!S226-CONTADORES!S225)</f>
        <v>0</v>
      </c>
      <c r="AT222" s="1426">
        <f ca="1">IF(B222&gt;=$J$5,0,(CONTADORES!U226-CONTADORES!U225)+(CONTADORES!AG226-CONTADORES!AG225))</f>
        <v>0</v>
      </c>
      <c r="AU222" s="1433">
        <f>CONTADORES!I226-CONTADORES!I225</f>
        <v>0</v>
      </c>
      <c r="AV222" s="1399">
        <f>CONTADORES!AV226-CONTADORES!AV225</f>
        <v>0</v>
      </c>
      <c r="AW222" s="1399">
        <f ca="1">IF(B222&gt;=$J$5,0,(CONTADORES!N226-CONTADORES!N225)+(CONTADORES!AN226-CONTADORES!AN225))</f>
        <v>0</v>
      </c>
      <c r="AX222" s="1399">
        <f ca="1">IF(B222&gt;=$J$5,0,(CONTADORES!P226-CONTADORES!P225)+(CONTADORES!AL226-CONTADORES!AL225))</f>
        <v>0</v>
      </c>
      <c r="AY222" s="1399">
        <f ca="1">IF(B222&gt;=$J$5,0,(CONTADORES!AJ226-CONTADORES!AJ225))</f>
        <v>0</v>
      </c>
      <c r="AZ222" s="1399">
        <f ca="1">IF(B222&gt;=$J$5,0,(CONTADORES!R226-CONTADORES!R225))</f>
        <v>0</v>
      </c>
      <c r="BA222" s="1426">
        <f t="shared" ca="1" si="112"/>
        <v>0</v>
      </c>
      <c r="BB222" s="1433">
        <f ca="1">IF(B222&gt;=$J$5,0,(((CONTADORES!G226-CONTADORES!G225)+(CONTADORES!AR226-CONTADORES!AR225)+AR222)-(AV222+BC222)))</f>
        <v>0</v>
      </c>
      <c r="BC222" s="1426">
        <f ca="1">IF(B222&gt;=$J$5,0,(CONTADORES!AY226-CONTADORES!AY225)+(CONTADORES!BA226-CONTADORES!BA225)+(CONTADORES!BF226-CONTADORES!BF225))</f>
        <v>0</v>
      </c>
      <c r="BD222" s="1425">
        <f t="shared" ca="1" si="113"/>
        <v>0</v>
      </c>
      <c r="BE222" s="1426">
        <f ca="1">IF($B222&gt;=$J$5,0,CONTADORES!$BG226)</f>
        <v>0</v>
      </c>
      <c r="BF222" s="1425">
        <f ca="1">IF($B222&gt;=$J$5,0,CONTADORES!$BH226)</f>
        <v>0</v>
      </c>
      <c r="BG222" s="1426">
        <f ca="1">IF($B222&gt;=$J$5,0,CONTADORES!$BJ226)</f>
        <v>0</v>
      </c>
      <c r="BH222" s="1425">
        <f ca="1">IF(B222&gt;=$J$5,0,((CONTADORES!BK226-CONTADORES!BK225)/1000))</f>
        <v>0</v>
      </c>
      <c r="BI222" s="1426">
        <f ca="1">IF(C222&gt;=$J$5,0,((CONTADORES!BL226-CONTADORES!BL225)/1000))</f>
        <v>0</v>
      </c>
      <c r="BJ222" s="1426">
        <f ca="1">IF(C222&gt;=$J$5,0,((CONTADORES!BM226-CONTADORES!BM225)/1000))</f>
        <v>0</v>
      </c>
      <c r="BK222" s="1397">
        <f ca="1">IF(D222&gt;=$J$5,0,((CONTADORES!BN226-CONTADORES!BN225)/1000))</f>
        <v>0</v>
      </c>
      <c r="BL222" s="61">
        <f t="shared" ca="1" si="114"/>
        <v>0</v>
      </c>
      <c r="BM222" s="1427">
        <f t="shared" ca="1" si="115"/>
        <v>0</v>
      </c>
      <c r="BN222" s="1426">
        <f ca="1">IF(W222&gt;=$J$5,0,CONTADORES!$BO226)</f>
        <v>0</v>
      </c>
      <c r="BO222" s="1425">
        <f ca="1">IF(W222&gt;=$J$5,0,CONTADORES!$BP226)</f>
        <v>0</v>
      </c>
      <c r="BP222" s="1425">
        <f ca="1">IF(W222&gt;=$J$5,0,CONTADORES!$BQ226)</f>
        <v>0</v>
      </c>
      <c r="BQ222" s="1426">
        <f ca="1">IF(B222&gt;=$J$5,0,(CONTADORES!AS226-CONTADORES!AS225))</f>
        <v>0</v>
      </c>
      <c r="BR222" s="1425">
        <f ca="1">IF(C222&gt;=$J$5,0,(CONTADORES!AT226-CONTADORES!AT225))</f>
        <v>0</v>
      </c>
      <c r="BS222" s="1426">
        <f ca="1">IF(B222&gt;=$J$5,0,CONTADORES!BR226-CONTADORES!BR225)/1000</f>
        <v>0</v>
      </c>
      <c r="BT222" s="1426">
        <f ca="1">IF(B222&gt;=$J$5,0,CONTADORES!BS226-CONTADORES!BS225)</f>
        <v>0</v>
      </c>
      <c r="BU222" s="1426">
        <f ca="1">IF(B222&gt;=$J$5,0,CONTADORES!BT226-CONTADORES!BT225)</f>
        <v>0</v>
      </c>
      <c r="BV222" s="1426">
        <f ca="1">IF(B222&gt;=$J$5,0,CONTADORES!BU226-CONTADORES!BU225)/1000</f>
        <v>0</v>
      </c>
      <c r="BW222" s="1426">
        <f ca="1">IF(B222&gt;=$J$5,0,CONTADORES!BV226-CONTADORES!BV225)/1000</f>
        <v>0</v>
      </c>
      <c r="BX222" s="1426">
        <f ca="1">IF(B222&gt;=$J$5,0,CONTADORES!BW226-CONTADORES!BW225)</f>
        <v>0</v>
      </c>
      <c r="BY222" s="1426">
        <f ca="1">IF(B222&gt;=$J$5,0,CONTADORES!BX226-CONTADORES!BX225)/1000</f>
        <v>0</v>
      </c>
      <c r="BZ222" s="1426">
        <f ca="1">IF(B222&gt;=$J$5,0,CONTADORES!BY226-CONTADORES!BY225)/1000</f>
        <v>0</v>
      </c>
      <c r="CA222" s="1426">
        <f ca="1">IF(B222&gt;=$J$5,0,CONTADORES!BZ226-CONTADORES!BZ225)</f>
        <v>0</v>
      </c>
      <c r="CB222" s="1426">
        <f ca="1">IF(B222&gt;=$J$5,0,(CONTADORES!CC226-CONTADORES!CC225)+(CONTADORES!CE226-CONTADORES!CE225))/1000</f>
        <v>0</v>
      </c>
      <c r="CC222" s="1426">
        <f ca="1">IF(B222&gt;=$J$5,0,(CONTADORES!CD226-CONTADORES!CD225)+(CONTADORES!CF226-CONTADORES!CF225))/1000</f>
        <v>0</v>
      </c>
      <c r="CD222" s="1426">
        <f ca="1">IF(B222&gt;=$J$5,0,CONTADORES!CA226-CONTADORES!CA225)</f>
        <v>0</v>
      </c>
      <c r="CE222" s="1426">
        <f ca="1">IF(B222&gt;=$J$5,0,CONTADORES!CB226-CONTADORES!CB225)</f>
        <v>0</v>
      </c>
      <c r="CF222" s="1457">
        <f t="shared" ca="1" si="116"/>
        <v>0</v>
      </c>
      <c r="CG222" s="1457">
        <f t="shared" ca="1" si="117"/>
        <v>0</v>
      </c>
      <c r="CH222" s="1457">
        <f t="shared" ca="1" si="118"/>
        <v>0</v>
      </c>
      <c r="CI222" s="1457">
        <f t="shared" ca="1" si="119"/>
        <v>0</v>
      </c>
      <c r="CJ222" s="1457">
        <f t="shared" ca="1" si="120"/>
        <v>0</v>
      </c>
      <c r="CK222" s="1457">
        <f t="shared" ca="1" si="121"/>
        <v>0</v>
      </c>
      <c r="CL222" s="1457">
        <f t="shared" ca="1" si="122"/>
        <v>0</v>
      </c>
      <c r="CM222" s="1457">
        <f t="shared" ca="1" si="123"/>
        <v>0</v>
      </c>
      <c r="CN222" s="1426">
        <f ca="1">IF(B222&gt;=$J$5,0,CONTADORES!CB226-CONTADORES!CB225)</f>
        <v>0</v>
      </c>
      <c r="CO222" s="1457">
        <f t="shared" ca="1" si="124"/>
        <v>0</v>
      </c>
      <c r="CP222" s="1457">
        <f t="shared" ca="1" si="125"/>
        <v>0</v>
      </c>
      <c r="CQ222" s="1457">
        <f t="shared" ca="1" si="126"/>
        <v>0</v>
      </c>
      <c r="CR222" s="1457">
        <f t="shared" ca="1" si="127"/>
        <v>0</v>
      </c>
      <c r="CS222" s="1426">
        <f ca="1">IF($B222&gt;=$J$5,0,CONTADORES!$BI226)</f>
        <v>0</v>
      </c>
      <c r="CT222" s="1369">
        <f>CONTADORES!E226</f>
        <v>0</v>
      </c>
      <c r="CU222" s="1369">
        <f>CONTADORES!CG226</f>
        <v>0</v>
      </c>
    </row>
    <row r="223" spans="2:99">
      <c r="B223" s="390">
        <v>45139</v>
      </c>
      <c r="C223" s="198">
        <f t="shared" ca="1" si="101"/>
        <v>0</v>
      </c>
      <c r="D223" s="196">
        <f ca="1">'CALCULO DE GAS'!P38</f>
        <v>0</v>
      </c>
      <c r="E223" s="196">
        <f ca="1">IF(B223&gt;=$J$5,0,(CONTADORES!$AD229-CONTADORES!$AD228)-$H223)</f>
        <v>0</v>
      </c>
      <c r="F223" s="198">
        <f t="shared" ca="1" si="100"/>
        <v>0</v>
      </c>
      <c r="G223" s="204">
        <f ca="1">IF(B223&gt;=$J$5,0,CONTADORES!$AF229-CONTADORES!$AF228)</f>
        <v>0</v>
      </c>
      <c r="H223" s="204">
        <f ca="1">IF(G223&gt;0,CONTADORES!$AE229-CONTADORES!$AE228,0)</f>
        <v>0</v>
      </c>
      <c r="I223" s="212">
        <f ca="1">IF(B223&gt;=$J$5,0,CONTADORES!$AB229-CONTADORES!$AB228)</f>
        <v>0</v>
      </c>
      <c r="J223" s="198">
        <f t="shared" ca="1" si="102"/>
        <v>0</v>
      </c>
      <c r="K223" s="196">
        <f ca="1">'CALCULO DE GAS'!Q38</f>
        <v>0</v>
      </c>
      <c r="L223" s="1396">
        <f ca="1">IF(B223&gt;=$J$5,0,(CONTADORES!$Y229-CONTADORES!$Y228)-$O223)</f>
        <v>0</v>
      </c>
      <c r="M223" s="1396">
        <f t="shared" ca="1" si="128"/>
        <v>0</v>
      </c>
      <c r="N223" s="1396">
        <f ca="1">IF(B223&gt;=$J$5,0,CONTADORES!$AA229-CONTADORES!$AA228)</f>
        <v>0</v>
      </c>
      <c r="O223" s="1396">
        <f ca="1">IF(N223&gt;0,CONTADORES!$Z229-CONTADORES!$Z228,0)</f>
        <v>0</v>
      </c>
      <c r="P223" s="202">
        <f ca="1">IF(B223&gt;=$J$5,0,CONTADORES!$W229-CONTADORES!$W228)</f>
        <v>0</v>
      </c>
      <c r="Q223" s="202">
        <f ca="1">IF(B223&gt;=$J$5,0,CONTADORES!$B229-CONTADORES!$B228)</f>
        <v>0</v>
      </c>
      <c r="R223" s="196">
        <f t="shared" ca="1" si="103"/>
        <v>0</v>
      </c>
      <c r="S223" s="11">
        <f ca="1">IF(B223&gt;=$J$5,0,CONTADORES!$D229-CONTADORES!$D228)</f>
        <v>0</v>
      </c>
      <c r="T223" s="198">
        <f ca="1">IF(B223&gt;=$J$5,0,CONTADORES!$BB229-CONTADORES!$BB228)</f>
        <v>0</v>
      </c>
      <c r="U223" s="196">
        <f t="shared" ca="1" si="97"/>
        <v>0</v>
      </c>
      <c r="V223" s="199">
        <f ca="1">IF(B223&gt;=$J$5,0,CONTADORES!$BD229-CONTADORES!$BD228)</f>
        <v>0</v>
      </c>
      <c r="W223" s="1397">
        <f t="shared" ca="1" si="104"/>
        <v>0</v>
      </c>
      <c r="X223" s="1397">
        <f t="shared" ca="1" si="105"/>
        <v>0</v>
      </c>
      <c r="Y223" s="1398">
        <f t="shared" ca="1" si="106"/>
        <v>0</v>
      </c>
      <c r="Z223" s="1398">
        <f t="shared" ca="1" si="107"/>
        <v>0</v>
      </c>
      <c r="AA223" s="1398">
        <f t="shared" ca="1" si="108"/>
        <v>0</v>
      </c>
      <c r="AB223" s="1398">
        <f t="shared" ca="1" si="109"/>
        <v>0</v>
      </c>
      <c r="AC223" s="1397">
        <f t="shared" ca="1" si="110"/>
        <v>0</v>
      </c>
      <c r="AD223" s="1434">
        <f ca="1">IF(B223&gt;=$J$5,0,CONTADORES!H229-CONTADORES!H228)</f>
        <v>0</v>
      </c>
      <c r="AE223" s="1435">
        <f ca="1">IF(B223&gt;=$J$5,0,CONTADORES!J229-CONTADORES!J228)</f>
        <v>0</v>
      </c>
      <c r="AF223" s="1435">
        <f ca="1">IF(B223&gt;=$J$5,0,CONTADORES!AU229-CONTADORES!AU228)</f>
        <v>0</v>
      </c>
      <c r="AG223" s="1435">
        <f ca="1">IF(B223&gt;=$J$5,0,CONTADORES!AW229-CONTADORES!AW228)</f>
        <v>0</v>
      </c>
      <c r="AH223" s="1434">
        <f ca="1">IF(B223&gt;=$J$5,0,(CONTADORES!AM229-CONTADORES!AM228)+(CONTADORES!M229-CONTADORES!M228))</f>
        <v>0</v>
      </c>
      <c r="AI223" s="1435">
        <f ca="1">IF(B223&gt;=$J$5,0,(CONTADORES!AK229-CONTADORES!AK228)+(CONTADORES!O229-CONTADORES!O228))</f>
        <v>0</v>
      </c>
      <c r="AJ223" s="1435">
        <f ca="1">IF(B223&gt;=$J$5,0,(CONTADORES!AI229-CONTADORES!AI228))</f>
        <v>0</v>
      </c>
      <c r="AK223" s="1435">
        <f ca="1">IF(B223&gt;=$J$5,0,(CONTADORES!Q229-CONTADORES!Q228))</f>
        <v>0</v>
      </c>
      <c r="AL223" s="1450">
        <f t="shared" ca="1" si="111"/>
        <v>0</v>
      </c>
      <c r="AM223" s="1434">
        <f ca="1">IF(B223&gt;=$J$5,0,(((CONTADORES!F229-CONTADORES!F228)+(CONTADORES!AQ229-CONTADORES!AQ228))))-BS223-AF223-AN223-BV223-BY223-CD223-CB223</f>
        <v>0</v>
      </c>
      <c r="AN223" s="1435">
        <f ca="1">IF(B223&gt;=$J$5,0,(CONTADORES!AX229-CONTADORES!AX228)+(CONTADORES!AZ229-CONTADORES!AZ228)+(CONTADORES!BE229-CONTADORES!BE228))-CB223</f>
        <v>0</v>
      </c>
      <c r="AO223" s="1446">
        <f>(CONTADORES!AC229-CONTADORES!AC228)</f>
        <v>0</v>
      </c>
      <c r="AP223" s="1446">
        <f>(CONTADORES!X229-CONTADORES!X228)</f>
        <v>0</v>
      </c>
      <c r="AQ223" s="1463">
        <f>(CONTADORES!C229-CONTADORES!C228)</f>
        <v>0</v>
      </c>
      <c r="AR223" s="1446">
        <f ca="1">AR222+(CONTADORES!BC229-CONTADORES!BC228)</f>
        <v>0</v>
      </c>
      <c r="AS223" s="1435">
        <f ca="1">IF(B223&gt;=$J$5,0,CONTADORES!S229-CONTADORES!S228)</f>
        <v>0</v>
      </c>
      <c r="AT223" s="1435">
        <f ca="1">IF(B223&gt;=$J$5,0,(CONTADORES!U229-CONTADORES!U228)+(CONTADORES!AG229-CONTADORES!AG228))</f>
        <v>0</v>
      </c>
      <c r="AU223" s="1464">
        <f>CONTADORES!I229-CONTADORES!I228</f>
        <v>0</v>
      </c>
      <c r="AV223" s="1446">
        <f>CONTADORES!AV229-CONTADORES!AV228</f>
        <v>0</v>
      </c>
      <c r="AW223" s="1446">
        <f ca="1">IF(B223&gt;=$J$5,0,(CONTADORES!N229-CONTADORES!N228)+(CONTADORES!AN229-CONTADORES!AN228))</f>
        <v>0</v>
      </c>
      <c r="AX223" s="1446">
        <f ca="1">IF(B223&gt;=$J$5,0,(CONTADORES!P229-CONTADORES!P228)+(CONTADORES!AL229-CONTADORES!AL228))</f>
        <v>0</v>
      </c>
      <c r="AY223" s="1446">
        <f ca="1">IF(B223&gt;=$J$5,0,(CONTADORES!AJ229-CONTADORES!AJ228))</f>
        <v>0</v>
      </c>
      <c r="AZ223" s="1446">
        <f ca="1">IF(B223&gt;=$J$5,0,(CONTADORES!R229-CONTADORES!R228))</f>
        <v>0</v>
      </c>
      <c r="BA223" s="1398">
        <f t="shared" ca="1" si="112"/>
        <v>0</v>
      </c>
      <c r="BB223" s="1464">
        <f ca="1">IF(B223&gt;=$J$5,0,(((CONTADORES!G229-CONTADORES!G228)+(CONTADORES!AR229-CONTADORES!AR228)+AR223)-(AV223+BC223)))</f>
        <v>0</v>
      </c>
      <c r="BC223" s="1435">
        <f ca="1">IF(B223&gt;=$J$5,0,(CONTADORES!AY229-CONTADORES!AY228)+(CONTADORES!BA229-CONTADORES!BA228)+(CONTADORES!BF229-CONTADORES!BF228))</f>
        <v>0</v>
      </c>
      <c r="BD223" s="1397">
        <f t="shared" ca="1" si="113"/>
        <v>0</v>
      </c>
      <c r="BE223" s="1434">
        <f ca="1">IF($B223&gt;=$J$5,0,CONTADORES!$BG229)</f>
        <v>0</v>
      </c>
      <c r="BF223" s="1435">
        <f ca="1">IF($B223&gt;=$J$5,0,CONTADORES!$BH229)</f>
        <v>0</v>
      </c>
      <c r="BG223" s="1435">
        <f ca="1">IF($B223&gt;=$J$5,0,CONTADORES!$BJ229)</f>
        <v>0</v>
      </c>
      <c r="BH223" s="1435">
        <f ca="1">IF(B223&gt;=$J$5,0,((CONTADORES!BK229-CONTADORES!BK228)/1000))</f>
        <v>0</v>
      </c>
      <c r="BI223" s="1435">
        <f ca="1">IF(C223&gt;=$J$5,0,((CONTADORES!BL229-CONTADORES!BL228)/1000))</f>
        <v>0</v>
      </c>
      <c r="BJ223" s="1435">
        <f ca="1">IF(C223&gt;=$J$5,0,((CONTADORES!BM229-CONTADORES!BM228)/1000))</f>
        <v>0</v>
      </c>
      <c r="BK223" s="1435">
        <f ca="1">IF(D223&gt;=$J$5,0,((CONTADORES!BN229-CONTADORES!BN228)/1000))</f>
        <v>0</v>
      </c>
      <c r="BL223" s="1399">
        <f t="shared" ca="1" si="114"/>
        <v>0</v>
      </c>
      <c r="BM223" s="1399">
        <f t="shared" ca="1" si="115"/>
        <v>0</v>
      </c>
      <c r="BN223" s="1398">
        <f ca="1">IF(W223&gt;=$J$5,0,CONTADORES!$BO229)</f>
        <v>0</v>
      </c>
      <c r="BO223" s="1434">
        <f ca="1">IF(W223&gt;=$J$5,0,CONTADORES!$BP229)</f>
        <v>0</v>
      </c>
      <c r="BP223" s="1435">
        <f ca="1">IF(W223&gt;=$J$5,0,CONTADORES!$BQ229)</f>
        <v>0</v>
      </c>
      <c r="BQ223" s="1435">
        <f ca="1">IF(B223&gt;=$J$5,0,(CONTADORES!AS229-CONTADORES!AS228))</f>
        <v>0</v>
      </c>
      <c r="BR223" s="1435">
        <f ca="1">IF(C223&gt;=$J$5,0,(CONTADORES!AT229-CONTADORES!AT228))</f>
        <v>0</v>
      </c>
      <c r="BS223" s="1434">
        <f ca="1">IF(B223&gt;=$J$5,0,CONTADORES!BR229-CONTADORES!BR228)/1000</f>
        <v>0</v>
      </c>
      <c r="BT223" s="1434">
        <f ca="1">IF(B223&gt;=$J$5,0,CONTADORES!BS229-CONTADORES!BS228)</f>
        <v>0</v>
      </c>
      <c r="BU223" s="1434">
        <f ca="1">IF(B223&gt;=$J$5,0,CONTADORES!BT229-CONTADORES!BT228)</f>
        <v>0</v>
      </c>
      <c r="BV223" s="1434">
        <f ca="1">IF(B223&gt;=$J$5,0,CONTADORES!BU229-CONTADORES!BU228)/1000</f>
        <v>0</v>
      </c>
      <c r="BW223" s="1434">
        <f ca="1">IF(B223&gt;=$J$5,0,CONTADORES!BV229-CONTADORES!BV228)/1000</f>
        <v>0</v>
      </c>
      <c r="BX223" s="1434">
        <f ca="1">IF(B223&gt;=$J$5,0,CONTADORES!BW229-CONTADORES!BW228)</f>
        <v>0</v>
      </c>
      <c r="BY223" s="1434">
        <f ca="1">IF(B223&gt;=$J$5,0,CONTADORES!BX229-CONTADORES!BX228)/1000</f>
        <v>0</v>
      </c>
      <c r="BZ223" s="1434">
        <f ca="1">IF(B223&gt;=$J$5,0,CONTADORES!BY229-CONTADORES!BY228)/1000</f>
        <v>0</v>
      </c>
      <c r="CA223" s="1434">
        <f ca="1">IF(B223&gt;=$J$5,0,CONTADORES!BZ229-CONTADORES!BZ228)</f>
        <v>0</v>
      </c>
      <c r="CB223" s="1434">
        <f ca="1">IF(B223&gt;=$J$5,0,(CONTADORES!CC229-CONTADORES!CC228)+(CONTADORES!CE229-CONTADORES!CE228))/1000</f>
        <v>0</v>
      </c>
      <c r="CC223" s="1434">
        <f ca="1">IF(B223&gt;=$J$5,0,(CONTADORES!CD229-CONTADORES!CD228)+(CONTADORES!CF229-CONTADORES!CF228))/1000</f>
        <v>0</v>
      </c>
      <c r="CD223" s="1434">
        <f ca="1">IF(B223&gt;=$J$5,0,CONTADORES!CA229-CONTADORES!CA228)</f>
        <v>0</v>
      </c>
      <c r="CE223" s="1434">
        <f ca="1">IF(B223&gt;=$J$5,0,CONTADORES!CB229-CONTADORES!CB228)</f>
        <v>0</v>
      </c>
      <c r="CF223" s="1434">
        <f t="shared" ca="1" si="116"/>
        <v>0</v>
      </c>
      <c r="CG223" s="1434">
        <f t="shared" ca="1" si="117"/>
        <v>0</v>
      </c>
      <c r="CH223" s="1434">
        <f t="shared" ca="1" si="118"/>
        <v>0</v>
      </c>
      <c r="CI223" s="1434">
        <f t="shared" ca="1" si="119"/>
        <v>0</v>
      </c>
      <c r="CJ223" s="1434">
        <f t="shared" ca="1" si="120"/>
        <v>0</v>
      </c>
      <c r="CK223" s="1434">
        <f t="shared" ca="1" si="121"/>
        <v>0</v>
      </c>
      <c r="CL223" s="1434">
        <f t="shared" ca="1" si="122"/>
        <v>0</v>
      </c>
      <c r="CM223" s="1434">
        <f t="shared" ca="1" si="123"/>
        <v>0</v>
      </c>
      <c r="CN223" s="1434">
        <f ca="1">IF(B223&gt;=$J$5,0,CONTADORES!CB229-CONTADORES!CB228)</f>
        <v>0</v>
      </c>
      <c r="CO223" s="1434">
        <f t="shared" ca="1" si="124"/>
        <v>0</v>
      </c>
      <c r="CP223" s="1434">
        <f t="shared" ca="1" si="125"/>
        <v>0</v>
      </c>
      <c r="CQ223" s="1434">
        <f t="shared" ca="1" si="126"/>
        <v>0</v>
      </c>
      <c r="CR223" s="1434">
        <f t="shared" ca="1" si="127"/>
        <v>0</v>
      </c>
      <c r="CS223" s="1465">
        <f ca="1">IF($B223&gt;=$J$5,0,CONTADORES!$BI229)</f>
        <v>0</v>
      </c>
      <c r="CT223" s="1333">
        <f>CONTADORES!E229</f>
        <v>0</v>
      </c>
      <c r="CU223" s="1333">
        <f>CONTADORES!CG229</f>
        <v>0</v>
      </c>
    </row>
    <row r="224" spans="2:99">
      <c r="B224" s="390">
        <v>45140</v>
      </c>
      <c r="C224" s="198">
        <f t="shared" ca="1" si="101"/>
        <v>0</v>
      </c>
      <c r="D224" s="196">
        <f ca="1">'CALCULO DE GAS'!P39</f>
        <v>0</v>
      </c>
      <c r="E224" s="196">
        <f ca="1">IF(B224&gt;=$J$5,0,(CONTADORES!$AD230-CONTADORES!$AD229)-$H224)</f>
        <v>0</v>
      </c>
      <c r="F224" s="198">
        <f t="shared" ca="1" si="100"/>
        <v>0</v>
      </c>
      <c r="G224" s="206">
        <f ca="1">IF(B224&gt;=$J$5,0,CONTADORES!$AF230-CONTADORES!$AF229)</f>
        <v>0</v>
      </c>
      <c r="H224" s="206">
        <f ca="1">IF(G224&gt;0,CONTADORES!$AE230-CONTADORES!$AE229,0)</f>
        <v>0</v>
      </c>
      <c r="I224" s="208">
        <f ca="1">IF(B224&gt;=$J$5,0,CONTADORES!$AB230-CONTADORES!$AB229)</f>
        <v>0</v>
      </c>
      <c r="J224" s="198">
        <f t="shared" ca="1" si="102"/>
        <v>0</v>
      </c>
      <c r="K224" s="196">
        <f ca="1">'CALCULO DE GAS'!Q39</f>
        <v>0</v>
      </c>
      <c r="L224" s="1396">
        <f ca="1">IF(B224&gt;=$J$5,0,(CONTADORES!$Y230-CONTADORES!$Y229)-$O224)</f>
        <v>0</v>
      </c>
      <c r="M224" s="1396">
        <f t="shared" ca="1" si="128"/>
        <v>0</v>
      </c>
      <c r="N224" s="1396">
        <f ca="1">IF(B224&gt;=$J$5,0,CONTADORES!$AA230-CONTADORES!$AA229)</f>
        <v>0</v>
      </c>
      <c r="O224" s="1396">
        <f ca="1">IF(N224&gt;0,CONTADORES!$Z230-CONTADORES!$Z229,0)</f>
        <v>0</v>
      </c>
      <c r="P224" s="202">
        <f ca="1">IF(B224&gt;=$J$5,0,CONTADORES!$W230-CONTADORES!$W229)</f>
        <v>0</v>
      </c>
      <c r="Q224" s="202">
        <f ca="1">IF(B224&gt;=$J$5,0,CONTADORES!$B230-CONTADORES!$B229)</f>
        <v>0</v>
      </c>
      <c r="R224" s="196">
        <f t="shared" ca="1" si="103"/>
        <v>0</v>
      </c>
      <c r="S224" s="11">
        <f ca="1">IF(B224&gt;=$J$5,0,CONTADORES!$D230-CONTADORES!$D229)</f>
        <v>0</v>
      </c>
      <c r="T224" s="198">
        <f ca="1">IF(B224&gt;=$J$5,0,CONTADORES!$BB230-CONTADORES!$BB229)</f>
        <v>0</v>
      </c>
      <c r="U224" s="196">
        <f t="shared" ca="1" si="97"/>
        <v>0</v>
      </c>
      <c r="V224" s="199">
        <f ca="1">IF(B224&gt;=$J$5,0,CONTADORES!$BD230-CONTADORES!$BD229)</f>
        <v>0</v>
      </c>
      <c r="W224" s="1397">
        <f t="shared" ca="1" si="104"/>
        <v>0</v>
      </c>
      <c r="X224" s="1397">
        <f t="shared" ca="1" si="105"/>
        <v>0</v>
      </c>
      <c r="Y224" s="1398">
        <f t="shared" ca="1" si="106"/>
        <v>0</v>
      </c>
      <c r="Z224" s="1398">
        <f t="shared" ca="1" si="107"/>
        <v>0</v>
      </c>
      <c r="AA224" s="1398">
        <f t="shared" ca="1" si="108"/>
        <v>0</v>
      </c>
      <c r="AB224" s="1398">
        <f t="shared" ca="1" si="109"/>
        <v>0</v>
      </c>
      <c r="AC224" s="1397">
        <f t="shared" ca="1" si="110"/>
        <v>0</v>
      </c>
      <c r="AD224" s="1409">
        <f ca="1">IF(B224&gt;=$J$5,0,CONTADORES!H230-CONTADORES!H229)</f>
        <v>0</v>
      </c>
      <c r="AE224" s="1438">
        <f ca="1">IF(B224&gt;=$J$5,0,CONTADORES!J230-CONTADORES!J229)</f>
        <v>0</v>
      </c>
      <c r="AF224" s="1438">
        <f ca="1">IF(B224&gt;=$J$5,0,CONTADORES!AU230-CONTADORES!AU229)</f>
        <v>0</v>
      </c>
      <c r="AG224" s="1438">
        <f ca="1">IF(B224&gt;=$J$5,0,CONTADORES!AW230-CONTADORES!AW229)</f>
        <v>0</v>
      </c>
      <c r="AH224" s="1409">
        <f ca="1">IF(B224&gt;=$J$5,0,(CONTADORES!AM230-CONTADORES!AM229)+(CONTADORES!M230-CONTADORES!M229))</f>
        <v>0</v>
      </c>
      <c r="AI224" s="1438">
        <f ca="1">IF(B224&gt;=$J$5,0,(CONTADORES!AK230-CONTADORES!AK229)+(CONTADORES!O230-CONTADORES!O229))</f>
        <v>0</v>
      </c>
      <c r="AJ224" s="1438">
        <f ca="1">IF(B224&gt;=$J$5,0,(CONTADORES!AI230-CONTADORES!AI229))</f>
        <v>0</v>
      </c>
      <c r="AK224" s="1438">
        <f ca="1">IF(B224&gt;=$J$5,0,(CONTADORES!Q230-CONTADORES!Q229))</f>
        <v>0</v>
      </c>
      <c r="AL224" s="1461">
        <f t="shared" ca="1" si="111"/>
        <v>0</v>
      </c>
      <c r="AM224" s="1409">
        <f ca="1">IF(B224&gt;=$J$5,0,(((CONTADORES!F230-CONTADORES!F229)+(CONTADORES!AQ230-CONTADORES!AQ229))))-BS224-AF224-AN224-BV224-BY224-CD224-CB224</f>
        <v>0</v>
      </c>
      <c r="AN224" s="1438">
        <f ca="1">IF(B224&gt;=$J$5,0,(CONTADORES!AX230-CONTADORES!AX229)+(CONTADORES!AZ230-CONTADORES!AZ229)+(CONTADORES!BE230-CONTADORES!BE229))-CB224</f>
        <v>0</v>
      </c>
      <c r="AO224" s="1466">
        <f>(CONTADORES!AC230-CONTADORES!AC229)</f>
        <v>0</v>
      </c>
      <c r="AP224" s="1466">
        <f>(CONTADORES!X230-CONTADORES!X229)</f>
        <v>0</v>
      </c>
      <c r="AQ224" s="1467">
        <f>(CONTADORES!C230-CONTADORES!C229)</f>
        <v>0</v>
      </c>
      <c r="AR224" s="1466">
        <f ca="1">AR223+(CONTADORES!BC230-CONTADORES!BC229)</f>
        <v>0</v>
      </c>
      <c r="AS224" s="1438">
        <f ca="1">IF(B224&gt;=$J$5,0,CONTADORES!S230-CONTADORES!S229)</f>
        <v>0</v>
      </c>
      <c r="AT224" s="1438">
        <f ca="1">IF(B224&gt;=$J$5,0,(CONTADORES!U230-CONTADORES!U229)+(CONTADORES!AG230-CONTADORES!AG229))</f>
        <v>0</v>
      </c>
      <c r="AU224" s="1437">
        <f>CONTADORES!I230-CONTADORES!I229</f>
        <v>0</v>
      </c>
      <c r="AV224" s="1466">
        <f>CONTADORES!AV230-CONTADORES!AV229</f>
        <v>0</v>
      </c>
      <c r="AW224" s="1466">
        <f ca="1">IF(B224&gt;=$J$5,0,(CONTADORES!N230-CONTADORES!N229)+(CONTADORES!AN230-CONTADORES!AN229))</f>
        <v>0</v>
      </c>
      <c r="AX224" s="1466">
        <f ca="1">IF(B224&gt;=$J$5,0,(CONTADORES!P230-CONTADORES!P229)+(CONTADORES!AL230-CONTADORES!AL229))</f>
        <v>0</v>
      </c>
      <c r="AY224" s="1466">
        <f ca="1">IF(B224&gt;=$J$5,0,(CONTADORES!AJ230-CONTADORES!AJ229))</f>
        <v>0</v>
      </c>
      <c r="AZ224" s="1466">
        <f ca="1">IF(B224&gt;=$J$5,0,(CONTADORES!R230-CONTADORES!R229))</f>
        <v>0</v>
      </c>
      <c r="BA224" s="1409">
        <f t="shared" ca="1" si="112"/>
        <v>0</v>
      </c>
      <c r="BB224" s="1437">
        <f ca="1">IF(B224&gt;=$J$5,0,(((CONTADORES!G230-CONTADORES!G229)+(CONTADORES!AR230-CONTADORES!AR229)+AR224)-(AV224+BC224)))</f>
        <v>0</v>
      </c>
      <c r="BC224" s="1438">
        <f ca="1">IF(B224&gt;=$J$5,0,(CONTADORES!AY230-CONTADORES!AY229)+(CONTADORES!BA230-CONTADORES!BA229)+(CONTADORES!BF230-CONTADORES!BF229))</f>
        <v>0</v>
      </c>
      <c r="BD224" s="1397">
        <f t="shared" ca="1" si="113"/>
        <v>0</v>
      </c>
      <c r="BE224" s="1398">
        <f ca="1">IF($B224&gt;=$J$5,0,CONTADORES!$BG230)</f>
        <v>0</v>
      </c>
      <c r="BF224" s="1397">
        <f ca="1">IF($B224&gt;=$J$5,0,CONTADORES!$BH230)</f>
        <v>0</v>
      </c>
      <c r="BG224" s="1397">
        <f ca="1">IF($B224&gt;=$J$5,0,CONTADORES!$BJ230)</f>
        <v>0</v>
      </c>
      <c r="BH224" s="1397">
        <f ca="1">IF(B224&gt;=$J$5,0,((CONTADORES!BK230-CONTADORES!BK229)/1000))</f>
        <v>0</v>
      </c>
      <c r="BI224" s="1397">
        <f ca="1">IF(C224&gt;=$J$5,0,((CONTADORES!BL230-CONTADORES!BL229)/1000))</f>
        <v>0</v>
      </c>
      <c r="BJ224" s="1397">
        <f ca="1">IF(C224&gt;=$J$5,0,((CONTADORES!BM230-CONTADORES!BM229)/1000))</f>
        <v>0</v>
      </c>
      <c r="BK224" s="1397">
        <f ca="1">IF(D224&gt;=$J$5,0,((CONTADORES!BN230-CONTADORES!BN229)/1000))</f>
        <v>0</v>
      </c>
      <c r="BL224" s="1399">
        <f t="shared" ca="1" si="114"/>
        <v>0</v>
      </c>
      <c r="BM224" s="1399">
        <f t="shared" ca="1" si="115"/>
        <v>0</v>
      </c>
      <c r="BN224" s="1398">
        <f ca="1">IF(W224&gt;=$J$5,0,CONTADORES!$BO230)</f>
        <v>0</v>
      </c>
      <c r="BO224" s="1409">
        <f ca="1">IF(W224&gt;=$J$5,0,CONTADORES!$BP230)</f>
        <v>0</v>
      </c>
      <c r="BP224" s="1438">
        <f ca="1">IF(W224&gt;=$J$5,0,CONTADORES!$BQ230)</f>
        <v>0</v>
      </c>
      <c r="BQ224" s="1438">
        <f ca="1">IF(B224&gt;=$J$5,0,(CONTADORES!AS230-CONTADORES!AS229))</f>
        <v>0</v>
      </c>
      <c r="BR224" s="1438">
        <f ca="1">IF(C224&gt;=$J$5,0,(CONTADORES!AT230-CONTADORES!AT229))</f>
        <v>0</v>
      </c>
      <c r="BS224" s="1409">
        <f ca="1">IF(B224&gt;=$J$5,0,CONTADORES!BR230-CONTADORES!BR229)/1000</f>
        <v>0</v>
      </c>
      <c r="BT224" s="1409">
        <f ca="1">IF(B224&gt;=$J$5,0,CONTADORES!BS230-CONTADORES!BS229)</f>
        <v>0</v>
      </c>
      <c r="BU224" s="1409">
        <f ca="1">IF(B224&gt;=$J$5,0,CONTADORES!BT230-CONTADORES!BT229)</f>
        <v>0</v>
      </c>
      <c r="BV224" s="1409">
        <f ca="1">IF(B224&gt;=$J$5,0,CONTADORES!BU230-CONTADORES!BU229)/1000</f>
        <v>0</v>
      </c>
      <c r="BW224" s="1409">
        <f ca="1">IF(B224&gt;=$J$5,0,CONTADORES!BV230-CONTADORES!BV229)/1000</f>
        <v>0</v>
      </c>
      <c r="BX224" s="1409">
        <f ca="1">IF(B224&gt;=$J$5,0,CONTADORES!BW230-CONTADORES!BW229)</f>
        <v>0</v>
      </c>
      <c r="BY224" s="1409">
        <f ca="1">IF(B224&gt;=$J$5,0,CONTADORES!BX230-CONTADORES!BX229)/1000</f>
        <v>0</v>
      </c>
      <c r="BZ224" s="1409">
        <f ca="1">IF(B224&gt;=$J$5,0,CONTADORES!BY230-CONTADORES!BY229)/1000</f>
        <v>0</v>
      </c>
      <c r="CA224" s="1409">
        <f ca="1">IF(B224&gt;=$J$5,0,CONTADORES!BZ230-CONTADORES!BZ229)</f>
        <v>0</v>
      </c>
      <c r="CB224" s="1409">
        <f ca="1">IF(B224&gt;=$J$5,0,(CONTADORES!CC230-CONTADORES!CC229)+(CONTADORES!CE230-CONTADORES!CE229))/1000</f>
        <v>0</v>
      </c>
      <c r="CC224" s="1409">
        <f ca="1">IF(B224&gt;=$J$5,0,(CONTADORES!CD230-CONTADORES!CD229)+(CONTADORES!CF230-CONTADORES!CF229))/1000</f>
        <v>0</v>
      </c>
      <c r="CD224" s="1409">
        <f ca="1">IF(B224&gt;=$J$5,0,CONTADORES!CA230-CONTADORES!CA229)</f>
        <v>0</v>
      </c>
      <c r="CE224" s="1409">
        <f ca="1">IF(B224&gt;=$J$5,0,CONTADORES!CB230-CONTADORES!CB229)</f>
        <v>0</v>
      </c>
      <c r="CF224" s="1409">
        <f t="shared" ca="1" si="116"/>
        <v>0</v>
      </c>
      <c r="CG224" s="1409">
        <f t="shared" ca="1" si="117"/>
        <v>0</v>
      </c>
      <c r="CH224" s="1409">
        <f t="shared" ca="1" si="118"/>
        <v>0</v>
      </c>
      <c r="CI224" s="1409">
        <f t="shared" ca="1" si="119"/>
        <v>0</v>
      </c>
      <c r="CJ224" s="1409">
        <f t="shared" ca="1" si="120"/>
        <v>0</v>
      </c>
      <c r="CK224" s="1409">
        <f t="shared" ca="1" si="121"/>
        <v>0</v>
      </c>
      <c r="CL224" s="1409">
        <f t="shared" ca="1" si="122"/>
        <v>0</v>
      </c>
      <c r="CM224" s="1409">
        <f t="shared" ca="1" si="123"/>
        <v>0</v>
      </c>
      <c r="CN224" s="1409">
        <f ca="1">IF(B224&gt;=$J$5,0,CONTADORES!CB230-CONTADORES!CB229)</f>
        <v>0</v>
      </c>
      <c r="CO224" s="1409">
        <f t="shared" ca="1" si="124"/>
        <v>0</v>
      </c>
      <c r="CP224" s="1409">
        <f t="shared" ca="1" si="125"/>
        <v>0</v>
      </c>
      <c r="CQ224" s="1409">
        <f t="shared" ca="1" si="126"/>
        <v>0</v>
      </c>
      <c r="CR224" s="1409">
        <f t="shared" ca="1" si="127"/>
        <v>0</v>
      </c>
      <c r="CS224" s="1468">
        <f ca="1">IF($B224&gt;=$J$5,0,CONTADORES!$BI230)</f>
        <v>0</v>
      </c>
      <c r="CT224" s="1334">
        <f>CONTADORES!E230</f>
        <v>0</v>
      </c>
      <c r="CU224" s="1334">
        <f>CONTADORES!CG230</f>
        <v>0</v>
      </c>
    </row>
    <row r="225" spans="2:99">
      <c r="B225" s="390">
        <v>45141</v>
      </c>
      <c r="C225" s="198">
        <f t="shared" ca="1" si="101"/>
        <v>0</v>
      </c>
      <c r="D225" s="196">
        <f ca="1">'CALCULO DE GAS'!P40</f>
        <v>0</v>
      </c>
      <c r="E225" s="196">
        <f ca="1">IF(B225&gt;=$J$5,0,(CONTADORES!$AD231-CONTADORES!$AD230)-$H225)</f>
        <v>0</v>
      </c>
      <c r="F225" s="198">
        <f t="shared" ca="1" si="100"/>
        <v>0</v>
      </c>
      <c r="G225" s="206">
        <f ca="1">IF(B225&gt;=$J$5,0,CONTADORES!$AF231-CONTADORES!$AF230)</f>
        <v>0</v>
      </c>
      <c r="H225" s="206">
        <f ca="1">IF(G225&gt;0,CONTADORES!$AE231-CONTADORES!$AE230,0)</f>
        <v>0</v>
      </c>
      <c r="I225" s="208">
        <f ca="1">IF(B225&gt;=$J$5,0,CONTADORES!$AB231-CONTADORES!$AB230)</f>
        <v>0</v>
      </c>
      <c r="J225" s="198">
        <f t="shared" ca="1" si="102"/>
        <v>0</v>
      </c>
      <c r="K225" s="196">
        <f ca="1">'CALCULO DE GAS'!Q40</f>
        <v>0</v>
      </c>
      <c r="L225" s="1396">
        <f ca="1">IF(B225&gt;=$J$5,0,(CONTADORES!$Y231-CONTADORES!$Y230)-$O225)</f>
        <v>0</v>
      </c>
      <c r="M225" s="1396">
        <f t="shared" ca="1" si="128"/>
        <v>0</v>
      </c>
      <c r="N225" s="1396">
        <f ca="1">IF(B225&gt;=$J$5,0,CONTADORES!$AA231-CONTADORES!$AA230)</f>
        <v>0</v>
      </c>
      <c r="O225" s="1396">
        <f ca="1">IF(N225&gt;0,CONTADORES!$Z231-CONTADORES!$Z230,0)</f>
        <v>0</v>
      </c>
      <c r="P225" s="202">
        <f ca="1">IF(B225&gt;=$J$5,0,CONTADORES!$W231-CONTADORES!$W230)</f>
        <v>0</v>
      </c>
      <c r="Q225" s="202">
        <f ca="1">IF(B225&gt;=$J$5,0,CONTADORES!$B231-CONTADORES!$B230)</f>
        <v>0</v>
      </c>
      <c r="R225" s="196">
        <f t="shared" ca="1" si="103"/>
        <v>0</v>
      </c>
      <c r="S225" s="11">
        <f ca="1">IF(B225&gt;=$J$5,0,CONTADORES!$D231-CONTADORES!$D230)</f>
        <v>0</v>
      </c>
      <c r="T225" s="198">
        <f ca="1">IF(B225&gt;=$J$5,0,CONTADORES!$BB231-CONTADORES!$BB230)</f>
        <v>0</v>
      </c>
      <c r="U225" s="196">
        <f t="shared" ca="1" si="97"/>
        <v>0</v>
      </c>
      <c r="V225" s="199">
        <f ca="1">IF(B225&gt;=$J$5,0,CONTADORES!$BD231-CONTADORES!$BD230)</f>
        <v>0</v>
      </c>
      <c r="W225" s="1397">
        <f t="shared" ca="1" si="104"/>
        <v>0</v>
      </c>
      <c r="X225" s="1397">
        <f t="shared" ca="1" si="105"/>
        <v>0</v>
      </c>
      <c r="Y225" s="1398">
        <f t="shared" ca="1" si="106"/>
        <v>0</v>
      </c>
      <c r="Z225" s="1398">
        <f t="shared" ca="1" si="107"/>
        <v>0</v>
      </c>
      <c r="AA225" s="1398">
        <f t="shared" ca="1" si="108"/>
        <v>0</v>
      </c>
      <c r="AB225" s="1398">
        <f t="shared" ca="1" si="109"/>
        <v>0</v>
      </c>
      <c r="AC225" s="1397">
        <f t="shared" ca="1" si="110"/>
        <v>0</v>
      </c>
      <c r="AD225" s="1409">
        <f ca="1">IF(B225&gt;=$J$5,0,CONTADORES!H231-CONTADORES!H230)</f>
        <v>0</v>
      </c>
      <c r="AE225" s="1438">
        <f ca="1">IF(B225&gt;=$J$5,0,CONTADORES!J231-CONTADORES!J230)</f>
        <v>0</v>
      </c>
      <c r="AF225" s="1438">
        <f ca="1">IF(B225&gt;=$J$5,0,CONTADORES!AU231-CONTADORES!AU230)</f>
        <v>0</v>
      </c>
      <c r="AG225" s="1438">
        <f ca="1">IF(B225&gt;=$J$5,0,CONTADORES!AW231-CONTADORES!AW230)</f>
        <v>0</v>
      </c>
      <c r="AH225" s="1409">
        <f ca="1">IF(B225&gt;=$J$5,0,(CONTADORES!AM231-CONTADORES!AM230)+(CONTADORES!M231-CONTADORES!M230))</f>
        <v>0</v>
      </c>
      <c r="AI225" s="1438">
        <f ca="1">IF(B225&gt;=$J$5,0,(CONTADORES!AK231-CONTADORES!AK230)+(CONTADORES!O231-CONTADORES!O230))</f>
        <v>0</v>
      </c>
      <c r="AJ225" s="1438">
        <f ca="1">IF(B225&gt;=$J$5,0,(CONTADORES!AI231-CONTADORES!AI230))</f>
        <v>0</v>
      </c>
      <c r="AK225" s="1438">
        <f ca="1">IF(B225&gt;=$J$5,0,(CONTADORES!Q231-CONTADORES!Q230))</f>
        <v>0</v>
      </c>
      <c r="AL225" s="1461">
        <f t="shared" ca="1" si="111"/>
        <v>0</v>
      </c>
      <c r="AM225" s="1409">
        <f ca="1">IF(B225&gt;=$J$5,0,(((CONTADORES!F231-CONTADORES!F230)+(CONTADORES!AQ231-CONTADORES!AQ230))))-BS225-AF225-AN225-BV225-BY225-CD225-CB225</f>
        <v>0</v>
      </c>
      <c r="AN225" s="1438">
        <f ca="1">IF(B225&gt;=$J$5,0,(CONTADORES!AX231-CONTADORES!AX230)+(CONTADORES!AZ231-CONTADORES!AZ230)+(CONTADORES!BE231-CONTADORES!BE230))-CB225</f>
        <v>0</v>
      </c>
      <c r="AO225" s="1466">
        <f>(CONTADORES!AC231-CONTADORES!AC230)</f>
        <v>0</v>
      </c>
      <c r="AP225" s="1466">
        <f>(CONTADORES!X231-CONTADORES!X230)</f>
        <v>0</v>
      </c>
      <c r="AQ225" s="1467">
        <f>(CONTADORES!C231-CONTADORES!C230)</f>
        <v>0</v>
      </c>
      <c r="AR225" s="1466">
        <f ca="1">AR224+(CONTADORES!BC231-CONTADORES!BC230)</f>
        <v>0</v>
      </c>
      <c r="AS225" s="1438">
        <f ca="1">IF(B225&gt;=$J$5,0,CONTADORES!S231-CONTADORES!S230)</f>
        <v>0</v>
      </c>
      <c r="AT225" s="1438">
        <f ca="1">IF(B225&gt;=$J$5,0,(CONTADORES!U231-CONTADORES!U230)+(CONTADORES!AG231-CONTADORES!AG230))</f>
        <v>0</v>
      </c>
      <c r="AU225" s="1437">
        <f>CONTADORES!I231-CONTADORES!I230</f>
        <v>0</v>
      </c>
      <c r="AV225" s="1466">
        <f>CONTADORES!AV231-CONTADORES!AV230</f>
        <v>0</v>
      </c>
      <c r="AW225" s="1466">
        <f ca="1">IF(B225&gt;=$J$5,0,(CONTADORES!N231-CONTADORES!N230)+(CONTADORES!AN231-CONTADORES!AN230))</f>
        <v>0</v>
      </c>
      <c r="AX225" s="1466">
        <f ca="1">IF(B225&gt;=$J$5,0,(CONTADORES!P231-CONTADORES!P230)+(CONTADORES!AL231-CONTADORES!AL230))</f>
        <v>0</v>
      </c>
      <c r="AY225" s="1466">
        <f ca="1">IF(B225&gt;=$J$5,0,(CONTADORES!AJ231-CONTADORES!AJ230))</f>
        <v>0</v>
      </c>
      <c r="AZ225" s="1466">
        <f ca="1">IF(B225&gt;=$J$5,0,(CONTADORES!R231-CONTADORES!R230))</f>
        <v>0</v>
      </c>
      <c r="BA225" s="1409">
        <f t="shared" ca="1" si="112"/>
        <v>0</v>
      </c>
      <c r="BB225" s="1437">
        <f ca="1">IF(B225&gt;=$J$5,0,(((CONTADORES!G231-CONTADORES!G230)+(CONTADORES!AR231-CONTADORES!AR230)+AR225)-(AV225+BC225)))</f>
        <v>0</v>
      </c>
      <c r="BC225" s="1438">
        <f ca="1">IF(B225&gt;=$J$5,0,(CONTADORES!AY231-CONTADORES!AY230)+(CONTADORES!BA231-CONTADORES!BA230)+(CONTADORES!BF231-CONTADORES!BF230))</f>
        <v>0</v>
      </c>
      <c r="BD225" s="1397">
        <f t="shared" ca="1" si="113"/>
        <v>0</v>
      </c>
      <c r="BE225" s="1398">
        <f ca="1">IF($B225&gt;=$J$5,0,CONTADORES!$BG231)</f>
        <v>0</v>
      </c>
      <c r="BF225" s="1397">
        <f ca="1">IF($B225&gt;=$J$5,0,CONTADORES!$BH231)</f>
        <v>0</v>
      </c>
      <c r="BG225" s="1397">
        <f ca="1">IF($B225&gt;=$J$5,0,CONTADORES!$BJ231)</f>
        <v>0</v>
      </c>
      <c r="BH225" s="1397">
        <f ca="1">IF(B225&gt;=$J$5,0,((CONTADORES!BK231-CONTADORES!BK230)/1000))</f>
        <v>0</v>
      </c>
      <c r="BI225" s="1397">
        <f ca="1">IF(C225&gt;=$J$5,0,((CONTADORES!BL231-CONTADORES!BL230)/1000))</f>
        <v>0</v>
      </c>
      <c r="BJ225" s="1397">
        <f ca="1">IF(C225&gt;=$J$5,0,((CONTADORES!BM231-CONTADORES!BM230)/1000))</f>
        <v>0</v>
      </c>
      <c r="BK225" s="1397">
        <f ca="1">IF(D225&gt;=$J$5,0,((CONTADORES!BN231-CONTADORES!BN230)/1000))</f>
        <v>0</v>
      </c>
      <c r="BL225" s="1399">
        <f t="shared" ca="1" si="114"/>
        <v>0</v>
      </c>
      <c r="BM225" s="1399">
        <f t="shared" ca="1" si="115"/>
        <v>0</v>
      </c>
      <c r="BN225" s="1398">
        <f ca="1">IF(W225&gt;=$J$5,0,CONTADORES!$BO231)</f>
        <v>0</v>
      </c>
      <c r="BO225" s="1409">
        <f ca="1">IF(W225&gt;=$J$5,0,CONTADORES!$BP231)</f>
        <v>0</v>
      </c>
      <c r="BP225" s="1438">
        <f ca="1">IF(W225&gt;=$J$5,0,CONTADORES!$BQ231)</f>
        <v>0</v>
      </c>
      <c r="BQ225" s="1438">
        <f ca="1">IF(B225&gt;=$J$5,0,(CONTADORES!AS231-CONTADORES!AS230))</f>
        <v>0</v>
      </c>
      <c r="BR225" s="1438">
        <f ca="1">IF(C225&gt;=$J$5,0,(CONTADORES!AT231-CONTADORES!AT230))</f>
        <v>0</v>
      </c>
      <c r="BS225" s="1409">
        <f ca="1">IF(B225&gt;=$J$5,0,CONTADORES!BR231-CONTADORES!BR230)/1000</f>
        <v>0</v>
      </c>
      <c r="BT225" s="1409">
        <f ca="1">IF(B225&gt;=$J$5,0,CONTADORES!BS231-CONTADORES!BS230)</f>
        <v>0</v>
      </c>
      <c r="BU225" s="1409">
        <f ca="1">IF(B225&gt;=$J$5,0,CONTADORES!BT231-CONTADORES!BT230)</f>
        <v>0</v>
      </c>
      <c r="BV225" s="1409">
        <f ca="1">IF(B225&gt;=$J$5,0,CONTADORES!BU231-CONTADORES!BU230)/1000</f>
        <v>0</v>
      </c>
      <c r="BW225" s="1409">
        <f ca="1">IF(B225&gt;=$J$5,0,CONTADORES!BV231-CONTADORES!BV230)/1000</f>
        <v>0</v>
      </c>
      <c r="BX225" s="1409">
        <f ca="1">IF(B225&gt;=$J$5,0,CONTADORES!BW231-CONTADORES!BW230)</f>
        <v>0</v>
      </c>
      <c r="BY225" s="1409">
        <f ca="1">IF(B225&gt;=$J$5,0,CONTADORES!BX231-CONTADORES!BX230)/1000</f>
        <v>0</v>
      </c>
      <c r="BZ225" s="1409">
        <f ca="1">IF(B225&gt;=$J$5,0,CONTADORES!BY231-CONTADORES!BY230)/1000</f>
        <v>0</v>
      </c>
      <c r="CA225" s="1409">
        <f ca="1">IF(B225&gt;=$J$5,0,CONTADORES!BZ231-CONTADORES!BZ230)</f>
        <v>0</v>
      </c>
      <c r="CB225" s="1409">
        <f ca="1">IF(B225&gt;=$J$5,0,(CONTADORES!CC231-CONTADORES!CC230)+(CONTADORES!CE231-CONTADORES!CE230))/1000</f>
        <v>0</v>
      </c>
      <c r="CC225" s="1409">
        <f ca="1">IF(B225&gt;=$J$5,0,(CONTADORES!CD231-CONTADORES!CD230)+(CONTADORES!CF231-CONTADORES!CF230))/1000</f>
        <v>0</v>
      </c>
      <c r="CD225" s="1409">
        <f ca="1">IF(B225&gt;=$J$5,0,CONTADORES!CA231-CONTADORES!CA230)</f>
        <v>0</v>
      </c>
      <c r="CE225" s="1409">
        <f ca="1">IF(B225&gt;=$J$5,0,CONTADORES!CB231-CONTADORES!CB230)</f>
        <v>0</v>
      </c>
      <c r="CF225" s="1409">
        <f t="shared" ca="1" si="116"/>
        <v>0</v>
      </c>
      <c r="CG225" s="1409">
        <f t="shared" ca="1" si="117"/>
        <v>0</v>
      </c>
      <c r="CH225" s="1409">
        <f t="shared" ca="1" si="118"/>
        <v>0</v>
      </c>
      <c r="CI225" s="1409">
        <f t="shared" ca="1" si="119"/>
        <v>0</v>
      </c>
      <c r="CJ225" s="1409">
        <f t="shared" ca="1" si="120"/>
        <v>0</v>
      </c>
      <c r="CK225" s="1409">
        <f t="shared" ca="1" si="121"/>
        <v>0</v>
      </c>
      <c r="CL225" s="1409">
        <f t="shared" ca="1" si="122"/>
        <v>0</v>
      </c>
      <c r="CM225" s="1409">
        <f t="shared" ca="1" si="123"/>
        <v>0</v>
      </c>
      <c r="CN225" s="1409">
        <f ca="1">IF(B225&gt;=$J$5,0,CONTADORES!CB231-CONTADORES!CB230)</f>
        <v>0</v>
      </c>
      <c r="CO225" s="1409">
        <f t="shared" ca="1" si="124"/>
        <v>0</v>
      </c>
      <c r="CP225" s="1409">
        <f t="shared" ca="1" si="125"/>
        <v>0</v>
      </c>
      <c r="CQ225" s="1409">
        <f t="shared" ca="1" si="126"/>
        <v>0</v>
      </c>
      <c r="CR225" s="1409">
        <f t="shared" ca="1" si="127"/>
        <v>0</v>
      </c>
      <c r="CS225" s="1468">
        <f ca="1">IF($B225&gt;=$J$5,0,CONTADORES!$BI231)</f>
        <v>0</v>
      </c>
      <c r="CT225" s="1334">
        <f>CONTADORES!E231</f>
        <v>0</v>
      </c>
      <c r="CU225" s="1334">
        <f>CONTADORES!CG231</f>
        <v>0</v>
      </c>
    </row>
    <row r="226" spans="2:99">
      <c r="B226" s="390">
        <v>45142</v>
      </c>
      <c r="C226" s="198">
        <f t="shared" ca="1" si="101"/>
        <v>0</v>
      </c>
      <c r="D226" s="196">
        <f ca="1">'CALCULO DE GAS'!P41</f>
        <v>0</v>
      </c>
      <c r="E226" s="196">
        <f ca="1">IF(B226&gt;=$J$5,0,(CONTADORES!$AD232-CONTADORES!$AD231)-$H226)</f>
        <v>0</v>
      </c>
      <c r="F226" s="198">
        <v>0</v>
      </c>
      <c r="G226" s="206">
        <f ca="1">IF(B226&gt;=$J$5,0,CONTADORES!$AF232-CONTADORES!$AF231)</f>
        <v>0</v>
      </c>
      <c r="H226" s="206">
        <f ca="1">IF(G226&gt;0,CONTADORES!$AE232-CONTADORES!$AE231,0)</f>
        <v>0</v>
      </c>
      <c r="I226" s="208">
        <f ca="1">IF(B226&gt;=$J$5,0,CONTADORES!$AB232-CONTADORES!$AB231)</f>
        <v>0</v>
      </c>
      <c r="J226" s="198">
        <f t="shared" ca="1" si="102"/>
        <v>0</v>
      </c>
      <c r="K226" s="196">
        <f ca="1">'CALCULO DE GAS'!Q41</f>
        <v>0</v>
      </c>
      <c r="L226" s="1396">
        <f ca="1">IF(B226&gt;=$J$5,0,(CONTADORES!$Y232-CONTADORES!$Y231)-$O226)</f>
        <v>0</v>
      </c>
      <c r="M226" s="1396">
        <v>0</v>
      </c>
      <c r="N226" s="1396">
        <f ca="1">IF(B226&gt;=$J$5,0,CONTADORES!$AA232-CONTADORES!$AA231)</f>
        <v>0</v>
      </c>
      <c r="O226" s="1396">
        <f ca="1">IF(N226&gt;0,CONTADORES!$Z232-CONTADORES!$Z231,0)</f>
        <v>0</v>
      </c>
      <c r="P226" s="202">
        <f ca="1">IF(B226&gt;=$J$5,0,CONTADORES!$W232-CONTADORES!$W231)</f>
        <v>0</v>
      </c>
      <c r="Q226" s="202">
        <f ca="1">IF(B226&gt;=$J$5,0,CONTADORES!$B232-CONTADORES!$B231)</f>
        <v>0</v>
      </c>
      <c r="R226" s="196">
        <f t="shared" ca="1" si="103"/>
        <v>0</v>
      </c>
      <c r="S226" s="11">
        <f ca="1">IF(B226&gt;=$J$5,0,CONTADORES!$D232-CONTADORES!$D231)</f>
        <v>0</v>
      </c>
      <c r="T226" s="198">
        <f ca="1">IF(B226&gt;=$J$5,0,CONTADORES!$BB232-CONTADORES!$BB231)</f>
        <v>0</v>
      </c>
      <c r="U226" s="196">
        <f t="shared" ca="1" si="97"/>
        <v>0</v>
      </c>
      <c r="V226" s="199">
        <f ca="1">IF(B226&gt;=$J$5,0,CONTADORES!$BD232-CONTADORES!$BD231)</f>
        <v>0</v>
      </c>
      <c r="W226" s="1397">
        <f t="shared" ca="1" si="104"/>
        <v>0</v>
      </c>
      <c r="X226" s="1397">
        <f t="shared" ca="1" si="105"/>
        <v>0</v>
      </c>
      <c r="Y226" s="1398">
        <f t="shared" ca="1" si="106"/>
        <v>0</v>
      </c>
      <c r="Z226" s="1398">
        <f t="shared" ca="1" si="107"/>
        <v>0</v>
      </c>
      <c r="AA226" s="1398">
        <f t="shared" ca="1" si="108"/>
        <v>0</v>
      </c>
      <c r="AB226" s="1398">
        <f t="shared" ca="1" si="109"/>
        <v>0</v>
      </c>
      <c r="AC226" s="1397">
        <f t="shared" ca="1" si="110"/>
        <v>0</v>
      </c>
      <c r="AD226" s="1409">
        <f ca="1">IF(B226&gt;=$J$5,0,CONTADORES!H232-CONTADORES!H231)</f>
        <v>0</v>
      </c>
      <c r="AE226" s="1438">
        <f ca="1">IF(B226&gt;=$J$5,0,CONTADORES!J232-CONTADORES!J231)</f>
        <v>0</v>
      </c>
      <c r="AF226" s="1438">
        <f ca="1">IF(B226&gt;=$J$5,0,CONTADORES!AU232-CONTADORES!AU231)</f>
        <v>0</v>
      </c>
      <c r="AG226" s="1438">
        <f ca="1">IF(B226&gt;=$J$5,0,CONTADORES!AW232-CONTADORES!AW231)</f>
        <v>0</v>
      </c>
      <c r="AH226" s="1409">
        <f ca="1">IF(B226&gt;=$J$5,0,(CONTADORES!AM232-CONTADORES!AM231)+(CONTADORES!M232-CONTADORES!M231))</f>
        <v>0</v>
      </c>
      <c r="AI226" s="1438">
        <f ca="1">IF(B226&gt;=$J$5,0,(CONTADORES!AK232-CONTADORES!AK231)+(CONTADORES!O232-CONTADORES!O231))</f>
        <v>0</v>
      </c>
      <c r="AJ226" s="1438">
        <f ca="1">IF(B226&gt;=$J$5,0,(CONTADORES!AI232-CONTADORES!AI231))</f>
        <v>0</v>
      </c>
      <c r="AK226" s="1438">
        <f ca="1">IF(B226&gt;=$J$5,0,(CONTADORES!Q232-CONTADORES!Q231))</f>
        <v>0</v>
      </c>
      <c r="AL226" s="1461">
        <f t="shared" ca="1" si="111"/>
        <v>0</v>
      </c>
      <c r="AM226" s="1409">
        <f ca="1">IF(B226&gt;=$J$5,0,(((CONTADORES!F232-CONTADORES!F231)+(CONTADORES!AQ232-CONTADORES!AQ231))))-BS226-AF226-AN226-BV226-BY226-CD226-CB226</f>
        <v>0</v>
      </c>
      <c r="AN226" s="1438">
        <f ca="1">IF(B226&gt;=$J$5,0,(CONTADORES!AX232-CONTADORES!AX231)+(CONTADORES!AZ232-CONTADORES!AZ231)+(CONTADORES!BE232-CONTADORES!BE231))-CB226</f>
        <v>0</v>
      </c>
      <c r="AO226" s="1466">
        <f>(CONTADORES!AC232-CONTADORES!AC231)</f>
        <v>0</v>
      </c>
      <c r="AP226" s="1466">
        <f>(CONTADORES!X232-CONTADORES!X231)</f>
        <v>0</v>
      </c>
      <c r="AQ226" s="1467">
        <f>(CONTADORES!C232-CONTADORES!C231)</f>
        <v>0</v>
      </c>
      <c r="AR226" s="1466">
        <f ca="1">AR225+(CONTADORES!BC232-CONTADORES!BC231)</f>
        <v>0</v>
      </c>
      <c r="AS226" s="1438">
        <f ca="1">IF(B226&gt;=$J$5,0,CONTADORES!S232-CONTADORES!S231)</f>
        <v>0</v>
      </c>
      <c r="AT226" s="1438">
        <f ca="1">IF(B226&gt;=$J$5,0,(CONTADORES!U232-CONTADORES!U231)+(CONTADORES!AG232-CONTADORES!AG231))</f>
        <v>0</v>
      </c>
      <c r="AU226" s="1437">
        <f>CONTADORES!I232-CONTADORES!I231</f>
        <v>0</v>
      </c>
      <c r="AV226" s="1466">
        <f>CONTADORES!AV232-CONTADORES!AV231</f>
        <v>0</v>
      </c>
      <c r="AW226" s="1466">
        <f ca="1">IF(B226&gt;=$J$5,0,(CONTADORES!N232-CONTADORES!N231)+(CONTADORES!AN232-CONTADORES!AN231))</f>
        <v>0</v>
      </c>
      <c r="AX226" s="1466">
        <f ca="1">IF(B226&gt;=$J$5,0,(CONTADORES!P232-CONTADORES!P231)+(CONTADORES!AL232-CONTADORES!AL231))</f>
        <v>0</v>
      </c>
      <c r="AY226" s="1466">
        <f ca="1">IF(B226&gt;=$J$5,0,(CONTADORES!AJ232-CONTADORES!AJ231))</f>
        <v>0</v>
      </c>
      <c r="AZ226" s="1466">
        <f ca="1">IF(B226&gt;=$J$5,0,(CONTADORES!R232-CONTADORES!R231))</f>
        <v>0</v>
      </c>
      <c r="BA226" s="1409">
        <f t="shared" ca="1" si="112"/>
        <v>0</v>
      </c>
      <c r="BB226" s="1437">
        <f ca="1">IF(B226&gt;=$J$5,0,(((CONTADORES!G232-CONTADORES!G231)+(CONTADORES!AR232-CONTADORES!AR231)+AR226)-(AV226+BC226)))</f>
        <v>0</v>
      </c>
      <c r="BC226" s="1438">
        <f ca="1">IF(B226&gt;=$J$5,0,(CONTADORES!AY232-CONTADORES!AY231)+(CONTADORES!BA232-CONTADORES!BA231)+(CONTADORES!BF232-CONTADORES!BF231))</f>
        <v>0</v>
      </c>
      <c r="BD226" s="1397">
        <f t="shared" ca="1" si="113"/>
        <v>0</v>
      </c>
      <c r="BE226" s="1398">
        <f ca="1">IF($B226&gt;=$J$5,0,CONTADORES!$BG232)</f>
        <v>0</v>
      </c>
      <c r="BF226" s="1397">
        <f ca="1">IF($B226&gt;=$J$5,0,CONTADORES!$BH232)</f>
        <v>0</v>
      </c>
      <c r="BG226" s="1397">
        <f ca="1">IF($B226&gt;=$J$5,0,CONTADORES!$BJ232)</f>
        <v>0</v>
      </c>
      <c r="BH226" s="1397">
        <f ca="1">IF(B226&gt;=$J$5,0,((CONTADORES!BK232-CONTADORES!BK231)/1000))</f>
        <v>0</v>
      </c>
      <c r="BI226" s="1397">
        <f ca="1">IF(C226&gt;=$J$5,0,((CONTADORES!BL232-CONTADORES!BL231)/1000))</f>
        <v>0</v>
      </c>
      <c r="BJ226" s="1397">
        <f ca="1">IF(C226&gt;=$J$5,0,((CONTADORES!BM232-CONTADORES!BM231)/1000))</f>
        <v>0</v>
      </c>
      <c r="BK226" s="1397">
        <f ca="1">IF(D226&gt;=$J$5,0,((CONTADORES!BN232-CONTADORES!BN231)/1000))</f>
        <v>0</v>
      </c>
      <c r="BL226" s="1399">
        <f t="shared" ca="1" si="114"/>
        <v>0</v>
      </c>
      <c r="BM226" s="1399">
        <f t="shared" ca="1" si="115"/>
        <v>0</v>
      </c>
      <c r="BN226" s="1398">
        <f ca="1">IF(W226&gt;=$J$5,0,CONTADORES!$BO232)</f>
        <v>0</v>
      </c>
      <c r="BO226" s="1409">
        <f ca="1">IF(W226&gt;=$J$5,0,CONTADORES!$BP232)</f>
        <v>0</v>
      </c>
      <c r="BP226" s="1438">
        <f ca="1">IF(W226&gt;=$J$5,0,CONTADORES!$BQ232)</f>
        <v>0</v>
      </c>
      <c r="BQ226" s="1438">
        <f ca="1">IF(B226&gt;=$J$5,0,(CONTADORES!AS232-CONTADORES!AS231))</f>
        <v>0</v>
      </c>
      <c r="BR226" s="1438">
        <f ca="1">IF(C226&gt;=$J$5,0,(CONTADORES!AT232-CONTADORES!AT231))</f>
        <v>0</v>
      </c>
      <c r="BS226" s="1409">
        <f ca="1">IF(B226&gt;=$J$5,0,CONTADORES!BR232-CONTADORES!BR231)/1000</f>
        <v>0</v>
      </c>
      <c r="BT226" s="1409">
        <f ca="1">IF(B226&gt;=$J$5,0,CONTADORES!BS232-CONTADORES!BS231)</f>
        <v>0</v>
      </c>
      <c r="BU226" s="1409">
        <f ca="1">IF(B226&gt;=$J$5,0,CONTADORES!BT232-CONTADORES!BT231)</f>
        <v>0</v>
      </c>
      <c r="BV226" s="1409">
        <f ca="1">IF(B226&gt;=$J$5,0,CONTADORES!BU232-CONTADORES!BU231)/1000</f>
        <v>0</v>
      </c>
      <c r="BW226" s="1409">
        <f ca="1">IF(B226&gt;=$J$5,0,CONTADORES!BV232-CONTADORES!BV231)/1000</f>
        <v>0</v>
      </c>
      <c r="BX226" s="1409">
        <f ca="1">IF(B226&gt;=$J$5,0,CONTADORES!BW232-CONTADORES!BW231)</f>
        <v>0</v>
      </c>
      <c r="BY226" s="1409">
        <f ca="1">IF(B226&gt;=$J$5,0,CONTADORES!BX232-CONTADORES!BX231)/1000</f>
        <v>0</v>
      </c>
      <c r="BZ226" s="1409">
        <f ca="1">IF(B226&gt;=$J$5,0,CONTADORES!BY232-CONTADORES!BY231)/1000</f>
        <v>0</v>
      </c>
      <c r="CA226" s="1409">
        <f ca="1">IF(B226&gt;=$J$5,0,CONTADORES!BZ232-CONTADORES!BZ231)</f>
        <v>0</v>
      </c>
      <c r="CB226" s="1409">
        <f ca="1">IF(B226&gt;=$J$5,0,(CONTADORES!CC232-CONTADORES!CC231)+(CONTADORES!CE232-CONTADORES!CE231))/1000</f>
        <v>0</v>
      </c>
      <c r="CC226" s="1409">
        <f ca="1">IF(B226&gt;=$J$5,0,(CONTADORES!CD232-CONTADORES!CD231)+(CONTADORES!CF232-CONTADORES!CF231))/1000</f>
        <v>0</v>
      </c>
      <c r="CD226" s="1409">
        <f ca="1">IF(B226&gt;=$J$5,0,CONTADORES!CA232-CONTADORES!CA231)</f>
        <v>0</v>
      </c>
      <c r="CE226" s="1409">
        <f ca="1">IF(B226&gt;=$J$5,0,CONTADORES!CB232-CONTADORES!CB231)</f>
        <v>0</v>
      </c>
      <c r="CF226" s="1409">
        <f t="shared" ca="1" si="116"/>
        <v>0</v>
      </c>
      <c r="CG226" s="1409">
        <f t="shared" ca="1" si="117"/>
        <v>0</v>
      </c>
      <c r="CH226" s="1409">
        <f t="shared" ca="1" si="118"/>
        <v>0</v>
      </c>
      <c r="CI226" s="1409">
        <f t="shared" ca="1" si="119"/>
        <v>0</v>
      </c>
      <c r="CJ226" s="1409">
        <f t="shared" ca="1" si="120"/>
        <v>0</v>
      </c>
      <c r="CK226" s="1409">
        <f t="shared" ca="1" si="121"/>
        <v>0</v>
      </c>
      <c r="CL226" s="1409">
        <f t="shared" ca="1" si="122"/>
        <v>0</v>
      </c>
      <c r="CM226" s="1409">
        <f t="shared" ca="1" si="123"/>
        <v>0</v>
      </c>
      <c r="CN226" s="1409">
        <f ca="1">IF(B226&gt;=$J$5,0,CONTADORES!CB232-CONTADORES!CB231)</f>
        <v>0</v>
      </c>
      <c r="CO226" s="1409">
        <f t="shared" ca="1" si="124"/>
        <v>0</v>
      </c>
      <c r="CP226" s="1409">
        <f t="shared" ca="1" si="125"/>
        <v>0</v>
      </c>
      <c r="CQ226" s="1409">
        <f t="shared" ca="1" si="126"/>
        <v>0</v>
      </c>
      <c r="CR226" s="1409">
        <f t="shared" ca="1" si="127"/>
        <v>0</v>
      </c>
      <c r="CS226" s="1468">
        <f ca="1">IF($B226&gt;=$J$5,0,CONTADORES!$BI232)</f>
        <v>0</v>
      </c>
      <c r="CT226" s="1334">
        <f>CONTADORES!E232</f>
        <v>0</v>
      </c>
      <c r="CU226" s="1334">
        <f>CONTADORES!CG232</f>
        <v>0</v>
      </c>
    </row>
    <row r="227" spans="2:99">
      <c r="B227" s="390">
        <v>45143</v>
      </c>
      <c r="C227" s="198">
        <f t="shared" ca="1" si="101"/>
        <v>0</v>
      </c>
      <c r="D227" s="196">
        <f ca="1">'CALCULO DE GAS'!P42</f>
        <v>0</v>
      </c>
      <c r="E227" s="196">
        <f ca="1">IF(B227&gt;=$J$5,0,(CONTADORES!$AD233-CONTADORES!$AD232)-$H227)</f>
        <v>0</v>
      </c>
      <c r="F227" s="198">
        <f t="shared" ref="F227:F260" ca="1" si="129">IF(H227=0,0,"ERROR")</f>
        <v>0</v>
      </c>
      <c r="G227" s="206">
        <f ca="1">IF(B227&gt;=$J$5,0,CONTADORES!$AF233-CONTADORES!$AF232)</f>
        <v>0</v>
      </c>
      <c r="H227" s="206">
        <f ca="1">IF(G227&gt;0,CONTADORES!$AE233-CONTADORES!$AE232,0)</f>
        <v>0</v>
      </c>
      <c r="I227" s="208">
        <f ca="1">IF(B227&gt;=$J$5,0,CONTADORES!$AB233-CONTADORES!$AB232)</f>
        <v>0</v>
      </c>
      <c r="J227" s="198">
        <f t="shared" ca="1" si="102"/>
        <v>0</v>
      </c>
      <c r="K227" s="1412">
        <f ca="1">'CALCULO DE GAS'!Q42</f>
        <v>0</v>
      </c>
      <c r="L227" s="1396">
        <f ca="1">IF(B227&gt;=$J$5,0,(CONTADORES!$Y233-CONTADORES!$Y232)-$O227)</f>
        <v>0</v>
      </c>
      <c r="M227" s="1396">
        <f t="shared" ref="M227:M256" ca="1" si="130">IF(O227=0,0,"ERROR")</f>
        <v>0</v>
      </c>
      <c r="N227" s="1396">
        <f ca="1">IF(B227&gt;=$J$5,0,CONTADORES!$AA233-CONTADORES!$AA232)</f>
        <v>0</v>
      </c>
      <c r="O227" s="1396">
        <f ca="1">IF(N227&gt;0,CONTADORES!$Z233-CONTADORES!$Z232,0)</f>
        <v>0</v>
      </c>
      <c r="P227" s="202">
        <f ca="1">IF(B227&gt;=$J$5,0,CONTADORES!$W233-CONTADORES!$W232)</f>
        <v>0</v>
      </c>
      <c r="Q227" s="202">
        <f ca="1">IF(B227&gt;=$J$5,0,CONTADORES!$B233-CONTADORES!$B232)</f>
        <v>0</v>
      </c>
      <c r="R227" s="196">
        <f t="shared" ca="1" si="103"/>
        <v>0</v>
      </c>
      <c r="S227" s="11">
        <f ca="1">IF(B227&gt;=$J$5,0,CONTADORES!$D233-CONTADORES!$D232)</f>
        <v>0</v>
      </c>
      <c r="T227" s="198">
        <f ca="1">IF(B227&gt;=$J$5,0,CONTADORES!$BB233-CONTADORES!$BB232)</f>
        <v>0</v>
      </c>
      <c r="U227" s="196">
        <f t="shared" ca="1" si="97"/>
        <v>0</v>
      </c>
      <c r="V227" s="199">
        <f ca="1">IF(B227&gt;=$J$5,0,CONTADORES!$BD233-CONTADORES!$BD232)</f>
        <v>0</v>
      </c>
      <c r="W227" s="1397">
        <f t="shared" ca="1" si="104"/>
        <v>0</v>
      </c>
      <c r="X227" s="1397">
        <f t="shared" ca="1" si="105"/>
        <v>0</v>
      </c>
      <c r="Y227" s="1398">
        <f t="shared" ca="1" si="106"/>
        <v>0</v>
      </c>
      <c r="Z227" s="1398">
        <f t="shared" ca="1" si="107"/>
        <v>0</v>
      </c>
      <c r="AA227" s="1398">
        <f t="shared" ca="1" si="108"/>
        <v>0</v>
      </c>
      <c r="AB227" s="1398">
        <f t="shared" ca="1" si="109"/>
        <v>0</v>
      </c>
      <c r="AC227" s="1397">
        <f t="shared" ca="1" si="110"/>
        <v>0</v>
      </c>
      <c r="AD227" s="1409">
        <f ca="1">IF(B227&gt;=$J$5,0,CONTADORES!H233-CONTADORES!H232)</f>
        <v>0</v>
      </c>
      <c r="AE227" s="1438">
        <f ca="1">IF(B227&gt;=$J$5,0,CONTADORES!J233-CONTADORES!J232)</f>
        <v>0</v>
      </c>
      <c r="AF227" s="1438">
        <f ca="1">IF(B227&gt;=$J$5,0,CONTADORES!AU233-CONTADORES!AU232)</f>
        <v>0</v>
      </c>
      <c r="AG227" s="1438">
        <f ca="1">IF(B227&gt;=$J$5,0,CONTADORES!AW233-CONTADORES!AW232)</f>
        <v>0</v>
      </c>
      <c r="AH227" s="1409">
        <f ca="1">IF(B227&gt;=$J$5,0,(CONTADORES!AM233-CONTADORES!AM232)+(CONTADORES!M233-CONTADORES!M232))</f>
        <v>0</v>
      </c>
      <c r="AI227" s="1438">
        <f ca="1">IF(B227&gt;=$J$5,0,(CONTADORES!AK233-CONTADORES!AK232)+(CONTADORES!O233-CONTADORES!O232))</f>
        <v>0</v>
      </c>
      <c r="AJ227" s="1438">
        <f ca="1">IF(B227&gt;=$J$5,0,(CONTADORES!AI233-CONTADORES!AI232))</f>
        <v>0</v>
      </c>
      <c r="AK227" s="1438">
        <f ca="1">IF(B227&gt;=$J$5,0,(CONTADORES!Q233-CONTADORES!Q232))</f>
        <v>0</v>
      </c>
      <c r="AL227" s="1461">
        <f t="shared" ca="1" si="111"/>
        <v>0</v>
      </c>
      <c r="AM227" s="1409">
        <f ca="1">IF(B227&gt;=$J$5,0,(((CONTADORES!F233-CONTADORES!F232)+(CONTADORES!AQ233-CONTADORES!AQ232))))-BS227-AF227-AN227-BV227-BY227-CD227-CB227</f>
        <v>0</v>
      </c>
      <c r="AN227" s="1438">
        <f ca="1">IF(B227&gt;=$J$5,0,(CONTADORES!AX233-CONTADORES!AX232)+(CONTADORES!AZ233-CONTADORES!AZ232)+(CONTADORES!BE233-CONTADORES!BE232))-CB227</f>
        <v>0</v>
      </c>
      <c r="AO227" s="1466">
        <f>(CONTADORES!AC233-CONTADORES!AC232)</f>
        <v>0</v>
      </c>
      <c r="AP227" s="1466">
        <f>(CONTADORES!X233-CONTADORES!X232)</f>
        <v>0</v>
      </c>
      <c r="AQ227" s="1467">
        <f>(CONTADORES!C233-CONTADORES!C232)</f>
        <v>0</v>
      </c>
      <c r="AR227" s="1466">
        <f ca="1">AR226+(CONTADORES!BC233-CONTADORES!BC232)</f>
        <v>0</v>
      </c>
      <c r="AS227" s="1438">
        <f ca="1">IF(B227&gt;=$J$5,0,CONTADORES!S233-CONTADORES!S232)</f>
        <v>0</v>
      </c>
      <c r="AT227" s="1438">
        <f ca="1">IF(B227&gt;=$J$5,0,(CONTADORES!U233-CONTADORES!U232)+(CONTADORES!AG233-CONTADORES!AG232))</f>
        <v>0</v>
      </c>
      <c r="AU227" s="1437">
        <f>CONTADORES!I233-CONTADORES!I232</f>
        <v>0</v>
      </c>
      <c r="AV227" s="1466">
        <f>CONTADORES!AV233-CONTADORES!AV232</f>
        <v>0</v>
      </c>
      <c r="AW227" s="1466">
        <f ca="1">IF(B227&gt;=$J$5,0,(CONTADORES!N233-CONTADORES!N232)+(CONTADORES!AN233-CONTADORES!AN232))</f>
        <v>0</v>
      </c>
      <c r="AX227" s="1466">
        <f ca="1">IF(B227&gt;=$J$5,0,(CONTADORES!P233-CONTADORES!P232)+(CONTADORES!AL233-CONTADORES!AL232))</f>
        <v>0</v>
      </c>
      <c r="AY227" s="1466">
        <f ca="1">IF(B227&gt;=$J$5,0,(CONTADORES!AJ233-CONTADORES!AJ232))</f>
        <v>0</v>
      </c>
      <c r="AZ227" s="1466">
        <f ca="1">IF(B227&gt;=$J$5,0,(CONTADORES!R233-CONTADORES!R232))</f>
        <v>0</v>
      </c>
      <c r="BA227" s="1409">
        <f t="shared" ca="1" si="112"/>
        <v>0</v>
      </c>
      <c r="BB227" s="1437">
        <f ca="1">IF(B227&gt;=$J$5,0,(((CONTADORES!G233-CONTADORES!G232)+(CONTADORES!AR233-CONTADORES!AR232)+AR227)-(AV227+BC227)))</f>
        <v>0</v>
      </c>
      <c r="BC227" s="1438">
        <f ca="1">IF(B227&gt;=$J$5,0,(CONTADORES!AY233-CONTADORES!AY232)+(CONTADORES!BA233-CONTADORES!BA232)+(CONTADORES!BF233-CONTADORES!BF232))</f>
        <v>0</v>
      </c>
      <c r="BD227" s="1397">
        <f t="shared" ca="1" si="113"/>
        <v>0</v>
      </c>
      <c r="BE227" s="1398">
        <f ca="1">IF($B227&gt;=$J$5,0,CONTADORES!$BG233)</f>
        <v>0</v>
      </c>
      <c r="BF227" s="1397">
        <f ca="1">IF($B227&gt;=$J$5,0,CONTADORES!$BH233)</f>
        <v>0</v>
      </c>
      <c r="BG227" s="1397">
        <f ca="1">IF($B227&gt;=$J$5,0,CONTADORES!$BJ233)</f>
        <v>0</v>
      </c>
      <c r="BH227" s="1397">
        <f ca="1">IF(B227&gt;=$J$5,0,((CONTADORES!BK233-CONTADORES!BK232)/1000))</f>
        <v>0</v>
      </c>
      <c r="BI227" s="1397">
        <f ca="1">IF(C227&gt;=$J$5,0,((CONTADORES!BL233-CONTADORES!BL232)/1000))</f>
        <v>0</v>
      </c>
      <c r="BJ227" s="1397">
        <f ca="1">IF(C227&gt;=$J$5,0,((CONTADORES!BM233-CONTADORES!BM232)/1000))</f>
        <v>0</v>
      </c>
      <c r="BK227" s="1397">
        <f ca="1">IF(D227&gt;=$J$5,0,((CONTADORES!BN233-CONTADORES!BN232)/1000))</f>
        <v>0</v>
      </c>
      <c r="BL227" s="1399">
        <f t="shared" ca="1" si="114"/>
        <v>0</v>
      </c>
      <c r="BM227" s="1399">
        <f t="shared" ca="1" si="115"/>
        <v>0</v>
      </c>
      <c r="BN227" s="1398">
        <f ca="1">IF(W227&gt;=$J$5,0,CONTADORES!$BO233)</f>
        <v>0</v>
      </c>
      <c r="BO227" s="1409">
        <f ca="1">IF(W227&gt;=$J$5,0,CONTADORES!$BP233)</f>
        <v>0</v>
      </c>
      <c r="BP227" s="1438">
        <f ca="1">IF(W227&gt;=$J$5,0,CONTADORES!$BQ233)</f>
        <v>0</v>
      </c>
      <c r="BQ227" s="1438">
        <f ca="1">IF(B227&gt;=$J$5,0,(CONTADORES!AS233-CONTADORES!AS232))</f>
        <v>0</v>
      </c>
      <c r="BR227" s="1438">
        <f ca="1">IF(C227&gt;=$J$5,0,(CONTADORES!AT233-CONTADORES!AT232))</f>
        <v>0</v>
      </c>
      <c r="BS227" s="1409">
        <f ca="1">IF(B227&gt;=$J$5,0,CONTADORES!BR233-CONTADORES!BR232)/1000</f>
        <v>0</v>
      </c>
      <c r="BT227" s="1409">
        <f ca="1">IF(B227&gt;=$J$5,0,CONTADORES!BS233-CONTADORES!BS232)</f>
        <v>0</v>
      </c>
      <c r="BU227" s="1409">
        <f ca="1">IF(B227&gt;=$J$5,0,CONTADORES!BT233-CONTADORES!BT232)</f>
        <v>0</v>
      </c>
      <c r="BV227" s="1409">
        <f ca="1">IF(B227&gt;=$J$5,0,CONTADORES!BU233-CONTADORES!BU232)/1000</f>
        <v>0</v>
      </c>
      <c r="BW227" s="1409">
        <f ca="1">IF(B227&gt;=$J$5,0,CONTADORES!BV233-CONTADORES!BV232)/1000</f>
        <v>0</v>
      </c>
      <c r="BX227" s="1409">
        <f ca="1">IF(B227&gt;=$J$5,0,CONTADORES!BW233-CONTADORES!BW232)</f>
        <v>0</v>
      </c>
      <c r="BY227" s="1409">
        <f ca="1">IF(B227&gt;=$J$5,0,CONTADORES!BX233-CONTADORES!BX232)/1000</f>
        <v>0</v>
      </c>
      <c r="BZ227" s="1409">
        <f ca="1">IF(B227&gt;=$J$5,0,CONTADORES!BY233-CONTADORES!BY232)/1000</f>
        <v>0</v>
      </c>
      <c r="CA227" s="1409">
        <f ca="1">IF(B227&gt;=$J$5,0,CONTADORES!BZ233-CONTADORES!BZ232)</f>
        <v>0</v>
      </c>
      <c r="CB227" s="1409">
        <f ca="1">IF(B227&gt;=$J$5,0,(CONTADORES!CC233-CONTADORES!CC232)+(CONTADORES!CE233-CONTADORES!CE232))/1000</f>
        <v>0</v>
      </c>
      <c r="CC227" s="1409">
        <f ca="1">IF(B227&gt;=$J$5,0,(CONTADORES!CD233-CONTADORES!CD232)+(CONTADORES!CF233-CONTADORES!CF232))/1000</f>
        <v>0</v>
      </c>
      <c r="CD227" s="1409">
        <f ca="1">IF(B227&gt;=$J$5,0,CONTADORES!CA233-CONTADORES!CA232)</f>
        <v>0</v>
      </c>
      <c r="CE227" s="1409">
        <f ca="1">IF(B227&gt;=$J$5,0,CONTADORES!CB233-CONTADORES!CB232)</f>
        <v>0</v>
      </c>
      <c r="CF227" s="1409">
        <f t="shared" ca="1" si="116"/>
        <v>0</v>
      </c>
      <c r="CG227" s="1409">
        <f t="shared" ca="1" si="117"/>
        <v>0</v>
      </c>
      <c r="CH227" s="1409">
        <f t="shared" ca="1" si="118"/>
        <v>0</v>
      </c>
      <c r="CI227" s="1409">
        <f t="shared" ca="1" si="119"/>
        <v>0</v>
      </c>
      <c r="CJ227" s="1409">
        <f t="shared" ca="1" si="120"/>
        <v>0</v>
      </c>
      <c r="CK227" s="1409">
        <f t="shared" ca="1" si="121"/>
        <v>0</v>
      </c>
      <c r="CL227" s="1409">
        <f t="shared" ca="1" si="122"/>
        <v>0</v>
      </c>
      <c r="CM227" s="1409">
        <f t="shared" ca="1" si="123"/>
        <v>0</v>
      </c>
      <c r="CN227" s="1409">
        <f ca="1">IF(B227&gt;=$J$5,0,CONTADORES!CB233-CONTADORES!CB232)</f>
        <v>0</v>
      </c>
      <c r="CO227" s="1409">
        <f t="shared" ca="1" si="124"/>
        <v>0</v>
      </c>
      <c r="CP227" s="1409">
        <f t="shared" ca="1" si="125"/>
        <v>0</v>
      </c>
      <c r="CQ227" s="1409">
        <f t="shared" ca="1" si="126"/>
        <v>0</v>
      </c>
      <c r="CR227" s="1409">
        <f t="shared" ca="1" si="127"/>
        <v>0</v>
      </c>
      <c r="CS227" s="1468">
        <f ca="1">IF($B227&gt;=$J$5,0,CONTADORES!$BI233)</f>
        <v>0</v>
      </c>
      <c r="CT227" s="1334">
        <f>CONTADORES!E233</f>
        <v>0</v>
      </c>
      <c r="CU227" s="1334">
        <f>CONTADORES!CG233</f>
        <v>0</v>
      </c>
    </row>
    <row r="228" spans="2:99">
      <c r="B228" s="390">
        <v>45144</v>
      </c>
      <c r="C228" s="198">
        <f t="shared" ca="1" si="101"/>
        <v>0</v>
      </c>
      <c r="D228" s="196">
        <f ca="1">'CALCULO DE GAS'!P43</f>
        <v>0</v>
      </c>
      <c r="E228" s="196">
        <f ca="1">IF(B228&gt;=$J$5,0,(CONTADORES!$AD234-CONTADORES!$AD233)-$H228)</f>
        <v>0</v>
      </c>
      <c r="F228" s="198">
        <f t="shared" ca="1" si="129"/>
        <v>0</v>
      </c>
      <c r="G228" s="206">
        <f ca="1">IF(B228&gt;=$J$5,0,CONTADORES!$AF234-CONTADORES!$AF233)</f>
        <v>0</v>
      </c>
      <c r="H228" s="206">
        <f ca="1">IF(G228&gt;0,CONTADORES!$AE234-CONTADORES!$AE233,0)</f>
        <v>0</v>
      </c>
      <c r="I228" s="208">
        <f ca="1">IF(B228&gt;=$J$5,0,CONTADORES!$AB234-CONTADORES!$AB233)</f>
        <v>0</v>
      </c>
      <c r="J228" s="198">
        <f t="shared" ca="1" si="102"/>
        <v>0</v>
      </c>
      <c r="K228" s="1412">
        <f ca="1">'CALCULO DE GAS'!Q43</f>
        <v>0</v>
      </c>
      <c r="L228" s="1396">
        <f ca="1">IF(B228&gt;=$J$5,0,(CONTADORES!$Y234-CONTADORES!$Y233)-$O228)</f>
        <v>0</v>
      </c>
      <c r="M228" s="1396">
        <f t="shared" ca="1" si="130"/>
        <v>0</v>
      </c>
      <c r="N228" s="1396">
        <f ca="1">IF(B228&gt;=$J$5,0,CONTADORES!$AA234-CONTADORES!$AA233)</f>
        <v>0</v>
      </c>
      <c r="O228" s="1396">
        <f ca="1">IF(N228&gt;0,CONTADORES!$Z234-CONTADORES!$Z233,0)</f>
        <v>0</v>
      </c>
      <c r="P228" s="202">
        <f ca="1">IF(B228&gt;=$J$5,0,CONTADORES!$W234-CONTADORES!$W233)</f>
        <v>0</v>
      </c>
      <c r="Q228" s="202">
        <f ca="1">IF(B228&gt;=$J$5,0,CONTADORES!$B234-CONTADORES!$B233)</f>
        <v>0</v>
      </c>
      <c r="R228" s="196">
        <f t="shared" ca="1" si="103"/>
        <v>0</v>
      </c>
      <c r="S228" s="11">
        <f ca="1">IF(B228&gt;=$J$5,0,CONTADORES!$D234-CONTADORES!$D233)</f>
        <v>0</v>
      </c>
      <c r="T228" s="198">
        <f ca="1">IF(B228&gt;=$J$5,0,CONTADORES!$BB234-CONTADORES!$BB233)</f>
        <v>0</v>
      </c>
      <c r="U228" s="196">
        <f t="shared" ca="1" si="97"/>
        <v>0</v>
      </c>
      <c r="V228" s="199">
        <f ca="1">IF(B228&gt;=$J$5,0,CONTADORES!$BD234-CONTADORES!$BD233)</f>
        <v>0</v>
      </c>
      <c r="W228" s="1397">
        <f t="shared" ca="1" si="104"/>
        <v>0</v>
      </c>
      <c r="X228" s="1397">
        <f t="shared" ca="1" si="105"/>
        <v>0</v>
      </c>
      <c r="Y228" s="1398">
        <f t="shared" ca="1" si="106"/>
        <v>0</v>
      </c>
      <c r="Z228" s="1398">
        <f t="shared" ca="1" si="107"/>
        <v>0</v>
      </c>
      <c r="AA228" s="1398">
        <f t="shared" ca="1" si="108"/>
        <v>0</v>
      </c>
      <c r="AB228" s="1398">
        <f t="shared" ca="1" si="109"/>
        <v>0</v>
      </c>
      <c r="AC228" s="1397">
        <f t="shared" ca="1" si="110"/>
        <v>0</v>
      </c>
      <c r="AD228" s="1409">
        <f ca="1">IF(B228&gt;=$J$5,0,CONTADORES!H234-CONTADORES!H233)</f>
        <v>0</v>
      </c>
      <c r="AE228" s="1438">
        <f ca="1">IF(B228&gt;=$J$5,0,CONTADORES!J234-CONTADORES!J233)</f>
        <v>0</v>
      </c>
      <c r="AF228" s="1438">
        <f ca="1">IF(B228&gt;=$J$5,0,CONTADORES!AU234-CONTADORES!AU233)</f>
        <v>0</v>
      </c>
      <c r="AG228" s="1438">
        <f ca="1">IF(B228&gt;=$J$5,0,CONTADORES!AW234-CONTADORES!AW233)</f>
        <v>0</v>
      </c>
      <c r="AH228" s="1409">
        <f ca="1">IF(B228&gt;=$J$5,0,(CONTADORES!AM234-CONTADORES!AM233)+(CONTADORES!M234-CONTADORES!M233))</f>
        <v>0</v>
      </c>
      <c r="AI228" s="1438">
        <f ca="1">IF(B228&gt;=$J$5,0,(CONTADORES!AK234-CONTADORES!AK233)+(CONTADORES!O234-CONTADORES!O233))</f>
        <v>0</v>
      </c>
      <c r="AJ228" s="1438">
        <f ca="1">IF(B228&gt;=$J$5,0,(CONTADORES!AI234-CONTADORES!AI233))</f>
        <v>0</v>
      </c>
      <c r="AK228" s="1438">
        <f ca="1">IF(B228&gt;=$J$5,0,(CONTADORES!Q234-CONTADORES!Q233))</f>
        <v>0</v>
      </c>
      <c r="AL228" s="1461">
        <f t="shared" ca="1" si="111"/>
        <v>0</v>
      </c>
      <c r="AM228" s="1409">
        <f ca="1">IF(B228&gt;=$J$5,0,(((CONTADORES!F234-CONTADORES!F233)+(CONTADORES!AQ234-CONTADORES!AQ233))))-BS228-AF228-AN228-BV228-BY228-CD228-CB228</f>
        <v>0</v>
      </c>
      <c r="AN228" s="1438">
        <f ca="1">IF(B228&gt;=$J$5,0,(CONTADORES!AX234-CONTADORES!AX233)+(CONTADORES!AZ234-CONTADORES!AZ233)+(CONTADORES!BE234-CONTADORES!BE233))-CB228</f>
        <v>0</v>
      </c>
      <c r="AO228" s="1466">
        <f>(CONTADORES!AC234-CONTADORES!AC233)</f>
        <v>0</v>
      </c>
      <c r="AP228" s="1466">
        <f>(CONTADORES!X234-CONTADORES!X233)</f>
        <v>0</v>
      </c>
      <c r="AQ228" s="1467">
        <f>(CONTADORES!C234-CONTADORES!C233)</f>
        <v>0</v>
      </c>
      <c r="AR228" s="1466">
        <f ca="1">AR227+(CONTADORES!BC234-CONTADORES!BC233)</f>
        <v>0</v>
      </c>
      <c r="AS228" s="1438">
        <f ca="1">IF(B228&gt;=$J$5,0,CONTADORES!S234-CONTADORES!S233)</f>
        <v>0</v>
      </c>
      <c r="AT228" s="1438">
        <f ca="1">IF(B228&gt;=$J$5,0,(CONTADORES!U234-CONTADORES!U233)+(CONTADORES!AG234-CONTADORES!AG233))</f>
        <v>0</v>
      </c>
      <c r="AU228" s="1437">
        <f>CONTADORES!I234-CONTADORES!I233</f>
        <v>0</v>
      </c>
      <c r="AV228" s="1466">
        <f>CONTADORES!AV234-CONTADORES!AV233</f>
        <v>0</v>
      </c>
      <c r="AW228" s="1466">
        <f ca="1">IF(B228&gt;=$J$5,0,(CONTADORES!N234-CONTADORES!N233)+(CONTADORES!AN234-CONTADORES!AN233))</f>
        <v>0</v>
      </c>
      <c r="AX228" s="1466">
        <f ca="1">IF(B228&gt;=$J$5,0,(CONTADORES!P234-CONTADORES!P233)+(CONTADORES!AL234-CONTADORES!AL233))</f>
        <v>0</v>
      </c>
      <c r="AY228" s="1466">
        <f ca="1">IF(B228&gt;=$J$5,0,(CONTADORES!AJ234-CONTADORES!AJ233))</f>
        <v>0</v>
      </c>
      <c r="AZ228" s="1466">
        <f ca="1">IF(B228&gt;=$J$5,0,(CONTADORES!R234-CONTADORES!R233))</f>
        <v>0</v>
      </c>
      <c r="BA228" s="1409">
        <f t="shared" ca="1" si="112"/>
        <v>0</v>
      </c>
      <c r="BB228" s="1437">
        <f ca="1">IF(B228&gt;=$J$5,0,(((CONTADORES!G234-CONTADORES!G233)+(CONTADORES!AR234-CONTADORES!AR233)+AR228)-(AV228+BC228)))</f>
        <v>0</v>
      </c>
      <c r="BC228" s="1438">
        <f ca="1">IF(B228&gt;=$J$5,0,(CONTADORES!AY234-CONTADORES!AY233)+(CONTADORES!BA234-CONTADORES!BA233)+(CONTADORES!BF234-CONTADORES!BF233))</f>
        <v>0</v>
      </c>
      <c r="BD228" s="1397">
        <f t="shared" ca="1" si="113"/>
        <v>0</v>
      </c>
      <c r="BE228" s="1398">
        <f ca="1">IF($B228&gt;=$J$5,0,CONTADORES!$BG234)</f>
        <v>0</v>
      </c>
      <c r="BF228" s="1397">
        <f ca="1">IF($B228&gt;=$J$5,0,CONTADORES!$BH234)</f>
        <v>0</v>
      </c>
      <c r="BG228" s="1397">
        <f ca="1">IF($B228&gt;=$J$5,0,CONTADORES!$BJ234)</f>
        <v>0</v>
      </c>
      <c r="BH228" s="1397">
        <f ca="1">IF(B228&gt;=$J$5,0,((CONTADORES!BK234-CONTADORES!BK233)/1000))</f>
        <v>0</v>
      </c>
      <c r="BI228" s="1397">
        <f ca="1">IF(C228&gt;=$J$5,0,((CONTADORES!BL234-CONTADORES!BL233)/1000))</f>
        <v>0</v>
      </c>
      <c r="BJ228" s="1397">
        <f ca="1">IF(C228&gt;=$J$5,0,((CONTADORES!BM234-CONTADORES!BM233)/1000))</f>
        <v>0</v>
      </c>
      <c r="BK228" s="1397">
        <f ca="1">IF(D228&gt;=$J$5,0,((CONTADORES!BN234-CONTADORES!BN233)/1000))</f>
        <v>0</v>
      </c>
      <c r="BL228" s="1399">
        <f t="shared" ca="1" si="114"/>
        <v>0</v>
      </c>
      <c r="BM228" s="1399">
        <f t="shared" ca="1" si="115"/>
        <v>0</v>
      </c>
      <c r="BN228" s="1398">
        <f ca="1">IF(W228&gt;=$J$5,0,CONTADORES!$BO234)</f>
        <v>0</v>
      </c>
      <c r="BO228" s="1409">
        <f ca="1">IF(W228&gt;=$J$5,0,CONTADORES!$BP234)</f>
        <v>0</v>
      </c>
      <c r="BP228" s="1438">
        <f ca="1">IF(W228&gt;=$J$5,0,CONTADORES!$BQ234)</f>
        <v>0</v>
      </c>
      <c r="BQ228" s="1438">
        <f ca="1">IF(B228&gt;=$J$5,0,(CONTADORES!AS234-CONTADORES!AS233))</f>
        <v>0</v>
      </c>
      <c r="BR228" s="1438">
        <f ca="1">IF(C228&gt;=$J$5,0,(CONTADORES!AT234-CONTADORES!AT233))</f>
        <v>0</v>
      </c>
      <c r="BS228" s="1409">
        <f ca="1">IF(B228&gt;=$J$5,0,CONTADORES!BR234-CONTADORES!BR233)/1000</f>
        <v>0</v>
      </c>
      <c r="BT228" s="1409">
        <f ca="1">IF(B228&gt;=$J$5,0,CONTADORES!BS234-CONTADORES!BS233)</f>
        <v>0</v>
      </c>
      <c r="BU228" s="1409">
        <f ca="1">IF(B228&gt;=$J$5,0,CONTADORES!BT234-CONTADORES!BT233)</f>
        <v>0</v>
      </c>
      <c r="BV228" s="1409">
        <f ca="1">IF(B228&gt;=$J$5,0,CONTADORES!BU234-CONTADORES!BU233)/1000</f>
        <v>0</v>
      </c>
      <c r="BW228" s="1409">
        <f ca="1">IF(B228&gt;=$J$5,0,CONTADORES!BV234-CONTADORES!BV233)/1000</f>
        <v>0</v>
      </c>
      <c r="BX228" s="1409">
        <f ca="1">IF(B228&gt;=$J$5,0,CONTADORES!BW234-CONTADORES!BW233)</f>
        <v>0</v>
      </c>
      <c r="BY228" s="1409">
        <f ca="1">IF(B228&gt;=$J$5,0,CONTADORES!BX234-CONTADORES!BX233)/1000</f>
        <v>0</v>
      </c>
      <c r="BZ228" s="1409">
        <f ca="1">IF(B228&gt;=$J$5,0,CONTADORES!BY234-CONTADORES!BY233)/1000</f>
        <v>0</v>
      </c>
      <c r="CA228" s="1409">
        <f ca="1">IF(B228&gt;=$J$5,0,CONTADORES!BZ234-CONTADORES!BZ233)</f>
        <v>0</v>
      </c>
      <c r="CB228" s="1409">
        <f ca="1">IF(B228&gt;=$J$5,0,(CONTADORES!CC234-CONTADORES!CC233)+(CONTADORES!CE234-CONTADORES!CE233))/1000</f>
        <v>0</v>
      </c>
      <c r="CC228" s="1409">
        <f ca="1">IF(B228&gt;=$J$5,0,(CONTADORES!CD234-CONTADORES!CD233)+(CONTADORES!CF234-CONTADORES!CF233))/1000</f>
        <v>0</v>
      </c>
      <c r="CD228" s="1409">
        <f ca="1">IF(B228&gt;=$J$5,0,CONTADORES!CA234-CONTADORES!CA233)</f>
        <v>0</v>
      </c>
      <c r="CE228" s="1409">
        <f ca="1">IF(B228&gt;=$J$5,0,CONTADORES!CB234-CONTADORES!CB233)</f>
        <v>0</v>
      </c>
      <c r="CF228" s="1409">
        <f t="shared" ca="1" si="116"/>
        <v>0</v>
      </c>
      <c r="CG228" s="1409">
        <f t="shared" ca="1" si="117"/>
        <v>0</v>
      </c>
      <c r="CH228" s="1409">
        <f t="shared" ca="1" si="118"/>
        <v>0</v>
      </c>
      <c r="CI228" s="1409">
        <f t="shared" ca="1" si="119"/>
        <v>0</v>
      </c>
      <c r="CJ228" s="1409">
        <f t="shared" ca="1" si="120"/>
        <v>0</v>
      </c>
      <c r="CK228" s="1409">
        <f t="shared" ca="1" si="121"/>
        <v>0</v>
      </c>
      <c r="CL228" s="1409">
        <f t="shared" ca="1" si="122"/>
        <v>0</v>
      </c>
      <c r="CM228" s="1409">
        <f t="shared" ca="1" si="123"/>
        <v>0</v>
      </c>
      <c r="CN228" s="1409">
        <f ca="1">IF(B228&gt;=$J$5,0,CONTADORES!CB234-CONTADORES!CB233)</f>
        <v>0</v>
      </c>
      <c r="CO228" s="1409">
        <f t="shared" ca="1" si="124"/>
        <v>0</v>
      </c>
      <c r="CP228" s="1409">
        <f t="shared" ca="1" si="125"/>
        <v>0</v>
      </c>
      <c r="CQ228" s="1409">
        <f t="shared" ca="1" si="126"/>
        <v>0</v>
      </c>
      <c r="CR228" s="1409">
        <f t="shared" ca="1" si="127"/>
        <v>0</v>
      </c>
      <c r="CS228" s="1468">
        <f ca="1">IF($B228&gt;=$J$5,0,CONTADORES!$BI234)</f>
        <v>0</v>
      </c>
      <c r="CT228" s="1334">
        <f>CONTADORES!E234</f>
        <v>0</v>
      </c>
      <c r="CU228" s="1334">
        <f>CONTADORES!CG234</f>
        <v>0</v>
      </c>
    </row>
    <row r="229" spans="2:99">
      <c r="B229" s="390">
        <v>45145</v>
      </c>
      <c r="C229" s="198">
        <f t="shared" ca="1" si="101"/>
        <v>0</v>
      </c>
      <c r="D229" s="196">
        <f ca="1">'CALCULO DE GAS'!P44</f>
        <v>0</v>
      </c>
      <c r="E229" s="196">
        <f ca="1">IF(B229&gt;=$J$5,0,(CONTADORES!$AD235-CONTADORES!$AD234)-$H229)</f>
        <v>0</v>
      </c>
      <c r="F229" s="198">
        <f t="shared" ca="1" si="129"/>
        <v>0</v>
      </c>
      <c r="G229" s="206">
        <f ca="1">IF(B229&gt;=$J$5,0,CONTADORES!$AF235-CONTADORES!$AF234)</f>
        <v>0</v>
      </c>
      <c r="H229" s="206">
        <f ca="1">IF(G229&gt;0,CONTADORES!$AE235-CONTADORES!$AE234,0)</f>
        <v>0</v>
      </c>
      <c r="I229" s="208">
        <f ca="1">IF(B229&gt;=$J$5,0,CONTADORES!$AB235-CONTADORES!$AB234)</f>
        <v>0</v>
      </c>
      <c r="J229" s="198">
        <f t="shared" ca="1" si="102"/>
        <v>0</v>
      </c>
      <c r="K229" s="1412">
        <f ca="1">'CALCULO DE GAS'!Q44</f>
        <v>0</v>
      </c>
      <c r="L229" s="1396">
        <f ca="1">IF(B229&gt;=$J$5,0,(CONTADORES!$Y235-CONTADORES!$Y234)-$O229)</f>
        <v>0</v>
      </c>
      <c r="M229" s="1396">
        <f t="shared" ca="1" si="130"/>
        <v>0</v>
      </c>
      <c r="N229" s="1396">
        <f ca="1">IF(B229&gt;=$J$5,0,CONTADORES!$AA235-CONTADORES!$AA234)</f>
        <v>0</v>
      </c>
      <c r="O229" s="1396">
        <f ca="1">IF(N229&gt;0,CONTADORES!$Z235-CONTADORES!$Z234,0)</f>
        <v>0</v>
      </c>
      <c r="P229" s="202">
        <f ca="1">IF(B229&gt;=$J$5,0,CONTADORES!$W235-CONTADORES!$W234)</f>
        <v>0</v>
      </c>
      <c r="Q229" s="202">
        <f ca="1">IF(B229&gt;=$J$5,0,CONTADORES!$B235-CONTADORES!$B234)</f>
        <v>0</v>
      </c>
      <c r="R229" s="196">
        <f t="shared" ca="1" si="103"/>
        <v>0</v>
      </c>
      <c r="S229" s="11">
        <f ca="1">IF(B229&gt;=$J$5,0,CONTADORES!$D235-CONTADORES!$D234)</f>
        <v>0</v>
      </c>
      <c r="T229" s="198">
        <f ca="1">IF(B229&gt;=$J$5,0,CONTADORES!$BB235-CONTADORES!$BB234)</f>
        <v>0</v>
      </c>
      <c r="U229" s="196">
        <f t="shared" ref="U229:U292" ca="1" si="131">$T229*120</f>
        <v>0</v>
      </c>
      <c r="V229" s="199">
        <f ca="1">IF(B229&gt;=$J$5,0,CONTADORES!$BD235-CONTADORES!$BD234)</f>
        <v>0</v>
      </c>
      <c r="W229" s="1397">
        <f t="shared" ca="1" si="104"/>
        <v>0</v>
      </c>
      <c r="X229" s="1397">
        <f t="shared" ca="1" si="105"/>
        <v>0</v>
      </c>
      <c r="Y229" s="1398">
        <f t="shared" ca="1" si="106"/>
        <v>0</v>
      </c>
      <c r="Z229" s="1398">
        <f t="shared" ca="1" si="107"/>
        <v>0</v>
      </c>
      <c r="AA229" s="1398">
        <f t="shared" ca="1" si="108"/>
        <v>0</v>
      </c>
      <c r="AB229" s="1398">
        <f t="shared" ca="1" si="109"/>
        <v>0</v>
      </c>
      <c r="AC229" s="1397">
        <f t="shared" ca="1" si="110"/>
        <v>0</v>
      </c>
      <c r="AD229" s="1409">
        <f ca="1">IF(B229&gt;=$J$5,0,CONTADORES!H235-CONTADORES!H234)</f>
        <v>0</v>
      </c>
      <c r="AE229" s="1438">
        <f ca="1">IF(B229&gt;=$J$5,0,CONTADORES!J235-CONTADORES!J234)</f>
        <v>0</v>
      </c>
      <c r="AF229" s="1438">
        <f ca="1">IF(B229&gt;=$J$5,0,CONTADORES!AU235-CONTADORES!AU234)</f>
        <v>0</v>
      </c>
      <c r="AG229" s="1438">
        <f ca="1">IF(B229&gt;=$J$5,0,CONTADORES!AW235-CONTADORES!AW234)</f>
        <v>0</v>
      </c>
      <c r="AH229" s="1409">
        <f ca="1">IF(B229&gt;=$J$5,0,(CONTADORES!AM235-CONTADORES!AM234)+(CONTADORES!M235-CONTADORES!M234))</f>
        <v>0</v>
      </c>
      <c r="AI229" s="1438">
        <f ca="1">IF(B229&gt;=$J$5,0,(CONTADORES!AK235-CONTADORES!AK234)+(CONTADORES!O235-CONTADORES!O234))</f>
        <v>0</v>
      </c>
      <c r="AJ229" s="1438">
        <f ca="1">IF(B229&gt;=$J$5,0,(CONTADORES!AI235-CONTADORES!AI234))</f>
        <v>0</v>
      </c>
      <c r="AK229" s="1438">
        <f ca="1">IF(B229&gt;=$J$5,0,(CONTADORES!Q235-CONTADORES!Q234))</f>
        <v>0</v>
      </c>
      <c r="AL229" s="1461">
        <f t="shared" ca="1" si="111"/>
        <v>0</v>
      </c>
      <c r="AM229" s="1409">
        <f ca="1">IF(B229&gt;=$J$5,0,(((CONTADORES!F235-CONTADORES!F234)+(CONTADORES!AQ235-CONTADORES!AQ234))))-BS229-AF229-AN229-BV229-BY229-CD229-CB229</f>
        <v>0</v>
      </c>
      <c r="AN229" s="1438">
        <f ca="1">IF(B229&gt;=$J$5,0,(CONTADORES!AX235-CONTADORES!AX234)+(CONTADORES!AZ235-CONTADORES!AZ234)+(CONTADORES!BE235-CONTADORES!BE234))-CB229</f>
        <v>0</v>
      </c>
      <c r="AO229" s="1466">
        <f>(CONTADORES!AC235-CONTADORES!AC234)</f>
        <v>0</v>
      </c>
      <c r="AP229" s="1466">
        <f>(CONTADORES!X235-CONTADORES!X234)</f>
        <v>0</v>
      </c>
      <c r="AQ229" s="1467">
        <f>(CONTADORES!C235-CONTADORES!C234)</f>
        <v>0</v>
      </c>
      <c r="AR229" s="1466">
        <f ca="1">AR228+(CONTADORES!BC235-CONTADORES!BC234)</f>
        <v>0</v>
      </c>
      <c r="AS229" s="1438">
        <f ca="1">IF(B229&gt;=$J$5,0,CONTADORES!S235-CONTADORES!S234)</f>
        <v>0</v>
      </c>
      <c r="AT229" s="1438">
        <f ca="1">IF(B229&gt;=$J$5,0,(CONTADORES!U235-CONTADORES!U234)+(CONTADORES!AG235-CONTADORES!AG234))</f>
        <v>0</v>
      </c>
      <c r="AU229" s="1437">
        <f>CONTADORES!I235-CONTADORES!I234</f>
        <v>0</v>
      </c>
      <c r="AV229" s="1466">
        <f>CONTADORES!AV235-CONTADORES!AV234</f>
        <v>0</v>
      </c>
      <c r="AW229" s="1466">
        <f ca="1">IF(B229&gt;=$J$5,0,(CONTADORES!N235-CONTADORES!N234)+(CONTADORES!AN235-CONTADORES!AN234))</f>
        <v>0</v>
      </c>
      <c r="AX229" s="1466">
        <f ca="1">IF(B229&gt;=$J$5,0,(CONTADORES!P235-CONTADORES!P234)+(CONTADORES!AL235-CONTADORES!AL234))</f>
        <v>0</v>
      </c>
      <c r="AY229" s="1466">
        <f ca="1">IF(B229&gt;=$J$5,0,(CONTADORES!AJ235-CONTADORES!AJ234))</f>
        <v>0</v>
      </c>
      <c r="AZ229" s="1466">
        <f ca="1">IF(B229&gt;=$J$5,0,(CONTADORES!R235-CONTADORES!R234))</f>
        <v>0</v>
      </c>
      <c r="BA229" s="1409">
        <f t="shared" ca="1" si="112"/>
        <v>0</v>
      </c>
      <c r="BB229" s="1437">
        <f ca="1">IF(B229&gt;=$J$5,0,(((CONTADORES!G235-CONTADORES!G234)+(CONTADORES!AR235-CONTADORES!AR234)+AR229)-(AV229+BC229)))</f>
        <v>0</v>
      </c>
      <c r="BC229" s="1438">
        <f ca="1">IF(B229&gt;=$J$5,0,(CONTADORES!AY235-CONTADORES!AY234)+(CONTADORES!BA235-CONTADORES!BA234)+(CONTADORES!BF235-CONTADORES!BF234))</f>
        <v>0</v>
      </c>
      <c r="BD229" s="1397">
        <f t="shared" ca="1" si="113"/>
        <v>0</v>
      </c>
      <c r="BE229" s="1398">
        <f ca="1">IF($B229&gt;=$J$5,0,CONTADORES!$BG235)</f>
        <v>0</v>
      </c>
      <c r="BF229" s="1397">
        <f ca="1">IF($B229&gt;=$J$5,0,CONTADORES!$BH235)</f>
        <v>0</v>
      </c>
      <c r="BG229" s="1397">
        <f ca="1">IF($B229&gt;=$J$5,0,CONTADORES!$BJ235)</f>
        <v>0</v>
      </c>
      <c r="BH229" s="1397">
        <f ca="1">IF(B229&gt;=$J$5,0,((CONTADORES!BK235-CONTADORES!BK234)/1000))</f>
        <v>0</v>
      </c>
      <c r="BI229" s="1397">
        <f ca="1">IF(C229&gt;=$J$5,0,((CONTADORES!BL235-CONTADORES!BL234)/1000))</f>
        <v>0</v>
      </c>
      <c r="BJ229" s="1397">
        <f ca="1">IF(C229&gt;=$J$5,0,((CONTADORES!BM235-CONTADORES!BM234)/1000))</f>
        <v>0</v>
      </c>
      <c r="BK229" s="1397">
        <f ca="1">IF(D229&gt;=$J$5,0,((CONTADORES!BN235-CONTADORES!BN234)/1000))</f>
        <v>0</v>
      </c>
      <c r="BL229" s="1399">
        <f t="shared" ca="1" si="114"/>
        <v>0</v>
      </c>
      <c r="BM229" s="1399">
        <f t="shared" ca="1" si="115"/>
        <v>0</v>
      </c>
      <c r="BN229" s="1398">
        <f ca="1">IF(W229&gt;=$J$5,0,CONTADORES!$BO235)</f>
        <v>0</v>
      </c>
      <c r="BO229" s="1409">
        <f ca="1">IF(W229&gt;=$J$5,0,CONTADORES!$BP235)</f>
        <v>0</v>
      </c>
      <c r="BP229" s="1438">
        <f ca="1">IF(W229&gt;=$J$5,0,CONTADORES!$BQ235)</f>
        <v>0</v>
      </c>
      <c r="BQ229" s="1438">
        <f ca="1">IF(B229&gt;=$J$5,0,(CONTADORES!AS235-CONTADORES!AS234))</f>
        <v>0</v>
      </c>
      <c r="BR229" s="1438">
        <f ca="1">IF(C229&gt;=$J$5,0,(CONTADORES!AT235-CONTADORES!AT234))</f>
        <v>0</v>
      </c>
      <c r="BS229" s="1409">
        <f ca="1">IF(B229&gt;=$J$5,0,CONTADORES!BR235-CONTADORES!BR234)/1000</f>
        <v>0</v>
      </c>
      <c r="BT229" s="1409">
        <f ca="1">IF(B229&gt;=$J$5,0,CONTADORES!BS235-CONTADORES!BS234)</f>
        <v>0</v>
      </c>
      <c r="BU229" s="1409">
        <f ca="1">IF(B229&gt;=$J$5,0,CONTADORES!BT235-CONTADORES!BT234)</f>
        <v>0</v>
      </c>
      <c r="BV229" s="1409">
        <f ca="1">IF(B229&gt;=$J$5,0,CONTADORES!BU235-CONTADORES!BU234)/1000</f>
        <v>0</v>
      </c>
      <c r="BW229" s="1409">
        <f ca="1">IF(B229&gt;=$J$5,0,CONTADORES!BV235-CONTADORES!BV234)/1000</f>
        <v>0</v>
      </c>
      <c r="BX229" s="1409">
        <f ca="1">IF(B229&gt;=$J$5,0,CONTADORES!BW235-CONTADORES!BW234)</f>
        <v>0</v>
      </c>
      <c r="BY229" s="1409">
        <f ca="1">IF(B229&gt;=$J$5,0,CONTADORES!BX235-CONTADORES!BX234)/1000</f>
        <v>0</v>
      </c>
      <c r="BZ229" s="1409">
        <f ca="1">IF(B229&gt;=$J$5,0,CONTADORES!BY235-CONTADORES!BY234)/1000</f>
        <v>0</v>
      </c>
      <c r="CA229" s="1409">
        <f ca="1">IF(B229&gt;=$J$5,0,CONTADORES!BZ235-CONTADORES!BZ234)</f>
        <v>0</v>
      </c>
      <c r="CB229" s="1409">
        <f ca="1">IF(B229&gt;=$J$5,0,(CONTADORES!CC235-CONTADORES!CC234)+(CONTADORES!CE235-CONTADORES!CE234))/1000</f>
        <v>0</v>
      </c>
      <c r="CC229" s="1409">
        <f ca="1">IF(B229&gt;=$J$5,0,(CONTADORES!CD235-CONTADORES!CD234)+(CONTADORES!CF235-CONTADORES!CF234))/1000</f>
        <v>0</v>
      </c>
      <c r="CD229" s="1409">
        <f ca="1">IF(B229&gt;=$J$5,0,CONTADORES!CA235-CONTADORES!CA234)</f>
        <v>0</v>
      </c>
      <c r="CE229" s="1409">
        <f ca="1">IF(B229&gt;=$J$5,0,CONTADORES!CB235-CONTADORES!CB234)</f>
        <v>0</v>
      </c>
      <c r="CF229" s="1409">
        <f t="shared" ca="1" si="116"/>
        <v>0</v>
      </c>
      <c r="CG229" s="1409">
        <f t="shared" ca="1" si="117"/>
        <v>0</v>
      </c>
      <c r="CH229" s="1409">
        <f t="shared" ca="1" si="118"/>
        <v>0</v>
      </c>
      <c r="CI229" s="1409">
        <f t="shared" ca="1" si="119"/>
        <v>0</v>
      </c>
      <c r="CJ229" s="1409">
        <f t="shared" ca="1" si="120"/>
        <v>0</v>
      </c>
      <c r="CK229" s="1409">
        <f t="shared" ca="1" si="121"/>
        <v>0</v>
      </c>
      <c r="CL229" s="1409">
        <f t="shared" ca="1" si="122"/>
        <v>0</v>
      </c>
      <c r="CM229" s="1409">
        <f t="shared" ca="1" si="123"/>
        <v>0</v>
      </c>
      <c r="CN229" s="1409">
        <f ca="1">IF(B229&gt;=$J$5,0,CONTADORES!CB235-CONTADORES!CB234)</f>
        <v>0</v>
      </c>
      <c r="CO229" s="1409">
        <f t="shared" ca="1" si="124"/>
        <v>0</v>
      </c>
      <c r="CP229" s="1409">
        <f t="shared" ca="1" si="125"/>
        <v>0</v>
      </c>
      <c r="CQ229" s="1409">
        <f t="shared" ca="1" si="126"/>
        <v>0</v>
      </c>
      <c r="CR229" s="1409">
        <f t="shared" ca="1" si="127"/>
        <v>0</v>
      </c>
      <c r="CS229" s="1468">
        <f ca="1">IF($B229&gt;=$J$5,0,CONTADORES!$BI235)</f>
        <v>0</v>
      </c>
      <c r="CT229" s="1334">
        <f>CONTADORES!E235</f>
        <v>0</v>
      </c>
      <c r="CU229" s="1334">
        <f>CONTADORES!CG235</f>
        <v>0</v>
      </c>
    </row>
    <row r="230" spans="2:99">
      <c r="B230" s="390">
        <v>45146</v>
      </c>
      <c r="C230" s="198">
        <f t="shared" ca="1" si="101"/>
        <v>0</v>
      </c>
      <c r="D230" s="196">
        <f ca="1">'CALCULO DE GAS'!P45</f>
        <v>0</v>
      </c>
      <c r="E230" s="196">
        <f ca="1">IF(B230&gt;=$J$5,0,(CONTADORES!$AD236-CONTADORES!$AD235)-$H230)</f>
        <v>0</v>
      </c>
      <c r="F230" s="198">
        <f t="shared" ca="1" si="129"/>
        <v>0</v>
      </c>
      <c r="G230" s="206">
        <f ca="1">IF(B230&gt;=$J$5,0,CONTADORES!$AF236-CONTADORES!$AF235)</f>
        <v>0</v>
      </c>
      <c r="H230" s="206">
        <f ca="1">IF(G230&gt;0,CONTADORES!$AE236-CONTADORES!$AE235,0)</f>
        <v>0</v>
      </c>
      <c r="I230" s="208">
        <f ca="1">IF(B230&gt;=$J$5,0,CONTADORES!$AB236-CONTADORES!$AB235)</f>
        <v>0</v>
      </c>
      <c r="J230" s="198">
        <f t="shared" ca="1" si="102"/>
        <v>0</v>
      </c>
      <c r="K230" s="1412">
        <f ca="1">'CALCULO DE GAS'!Q45</f>
        <v>0</v>
      </c>
      <c r="L230" s="1396">
        <f ca="1">IF(B230&gt;=$J$5,0,(CONTADORES!$Y236-CONTADORES!$Y235)-$O230)</f>
        <v>0</v>
      </c>
      <c r="M230" s="1396">
        <f t="shared" ca="1" si="130"/>
        <v>0</v>
      </c>
      <c r="N230" s="1396">
        <f ca="1">IF(B230&gt;=$J$5,0,CONTADORES!$AA236-CONTADORES!$AA235)</f>
        <v>0</v>
      </c>
      <c r="O230" s="1396">
        <f ca="1">IF(N230&gt;0,CONTADORES!$Z236-CONTADORES!$Z235,0)</f>
        <v>0</v>
      </c>
      <c r="P230" s="202">
        <f ca="1">IF(B230&gt;=$J$5,0,CONTADORES!$W236-CONTADORES!$W235)</f>
        <v>0</v>
      </c>
      <c r="Q230" s="202">
        <f ca="1">IF(B230&gt;=$J$5,0,CONTADORES!$B236-CONTADORES!$B235)</f>
        <v>0</v>
      </c>
      <c r="R230" s="196">
        <f t="shared" ca="1" si="103"/>
        <v>0</v>
      </c>
      <c r="S230" s="11">
        <f ca="1">IF(B230&gt;=$J$5,0,CONTADORES!$D236-CONTADORES!$D235)</f>
        <v>0</v>
      </c>
      <c r="T230" s="198">
        <f ca="1">IF(B230&gt;=$J$5,0,CONTADORES!$BB236-CONTADORES!$BB235)</f>
        <v>0</v>
      </c>
      <c r="U230" s="196">
        <f t="shared" ca="1" si="131"/>
        <v>0</v>
      </c>
      <c r="V230" s="199">
        <f ca="1">IF(B230&gt;=$J$5,0,CONTADORES!$BD236-CONTADORES!$BD235)</f>
        <v>0</v>
      </c>
      <c r="W230" s="1397">
        <f t="shared" ca="1" si="104"/>
        <v>0</v>
      </c>
      <c r="X230" s="1397">
        <f t="shared" ca="1" si="105"/>
        <v>0</v>
      </c>
      <c r="Y230" s="1398">
        <f t="shared" ca="1" si="106"/>
        <v>0</v>
      </c>
      <c r="Z230" s="1398">
        <f t="shared" ca="1" si="107"/>
        <v>0</v>
      </c>
      <c r="AA230" s="1398">
        <f t="shared" ca="1" si="108"/>
        <v>0</v>
      </c>
      <c r="AB230" s="1398">
        <f t="shared" ca="1" si="109"/>
        <v>0</v>
      </c>
      <c r="AC230" s="1397">
        <f t="shared" ca="1" si="110"/>
        <v>0</v>
      </c>
      <c r="AD230" s="1409">
        <f ca="1">IF(B230&gt;=$J$5,0,CONTADORES!H236-CONTADORES!H235)</f>
        <v>0</v>
      </c>
      <c r="AE230" s="1438">
        <f ca="1">IF(B230&gt;=$J$5,0,CONTADORES!J236-CONTADORES!J235)</f>
        <v>0</v>
      </c>
      <c r="AF230" s="1438">
        <f ca="1">IF(B230&gt;=$J$5,0,CONTADORES!AU236-CONTADORES!AU235)</f>
        <v>0</v>
      </c>
      <c r="AG230" s="1438">
        <f ca="1">IF(B230&gt;=$J$5,0,CONTADORES!AW236-CONTADORES!AW235)</f>
        <v>0</v>
      </c>
      <c r="AH230" s="1409">
        <f ca="1">IF(B230&gt;=$J$5,0,(CONTADORES!AM236-CONTADORES!AM235)+(CONTADORES!M236-CONTADORES!M235))</f>
        <v>0</v>
      </c>
      <c r="AI230" s="1438">
        <f ca="1">IF(B230&gt;=$J$5,0,(CONTADORES!AK236-CONTADORES!AK235)+(CONTADORES!O236-CONTADORES!O235))</f>
        <v>0</v>
      </c>
      <c r="AJ230" s="1438">
        <f ca="1">IF(B230&gt;=$J$5,0,(CONTADORES!AI236-CONTADORES!AI235))</f>
        <v>0</v>
      </c>
      <c r="AK230" s="1438">
        <f ca="1">IF(B230&gt;=$J$5,0,(CONTADORES!Q236-CONTADORES!Q235))</f>
        <v>0</v>
      </c>
      <c r="AL230" s="1461">
        <f t="shared" ca="1" si="111"/>
        <v>0</v>
      </c>
      <c r="AM230" s="1409">
        <f ca="1">IF(B230&gt;=$J$5,0,(((CONTADORES!F236-CONTADORES!F235)+(CONTADORES!AQ236-CONTADORES!AQ235))))-BS230-AF230-AN230-BV230-BY230-CD230-CB230</f>
        <v>0</v>
      </c>
      <c r="AN230" s="1438">
        <f ca="1">IF(B230&gt;=$J$5,0,(CONTADORES!AX236-CONTADORES!AX235)+(CONTADORES!AZ236-CONTADORES!AZ235)+(CONTADORES!BE236-CONTADORES!BE235))-CB230</f>
        <v>0</v>
      </c>
      <c r="AO230" s="1466">
        <f>(CONTADORES!AC236-CONTADORES!AC235)</f>
        <v>0</v>
      </c>
      <c r="AP230" s="1466">
        <f>(CONTADORES!X236-CONTADORES!X235)</f>
        <v>0</v>
      </c>
      <c r="AQ230" s="1467">
        <f>(CONTADORES!C236-CONTADORES!C235)</f>
        <v>0</v>
      </c>
      <c r="AR230" s="1466">
        <f ca="1">AR229+(CONTADORES!BC236-CONTADORES!BC235)</f>
        <v>0</v>
      </c>
      <c r="AS230" s="1438">
        <f ca="1">IF(B230&gt;=$J$5,0,CONTADORES!S236-CONTADORES!S235)</f>
        <v>0</v>
      </c>
      <c r="AT230" s="1438">
        <f ca="1">IF(B230&gt;=$J$5,0,(CONTADORES!U236-CONTADORES!U235)+(CONTADORES!AG236-CONTADORES!AG235))</f>
        <v>0</v>
      </c>
      <c r="AU230" s="1437">
        <f>CONTADORES!I236-CONTADORES!I235</f>
        <v>0</v>
      </c>
      <c r="AV230" s="1466">
        <f>CONTADORES!AV236-CONTADORES!AV235</f>
        <v>0</v>
      </c>
      <c r="AW230" s="1466">
        <f ca="1">IF(B230&gt;=$J$5,0,(CONTADORES!N236-CONTADORES!N235)+(CONTADORES!AN236-CONTADORES!AN235))</f>
        <v>0</v>
      </c>
      <c r="AX230" s="1466">
        <f ca="1">IF(B230&gt;=$J$5,0,(CONTADORES!P236-CONTADORES!P235)+(CONTADORES!AL236-CONTADORES!AL235))</f>
        <v>0</v>
      </c>
      <c r="AY230" s="1466">
        <f ca="1">IF(B230&gt;=$J$5,0,(CONTADORES!AJ236-CONTADORES!AJ235))</f>
        <v>0</v>
      </c>
      <c r="AZ230" s="1466">
        <f ca="1">IF(B230&gt;=$J$5,0,(CONTADORES!R236-CONTADORES!R235))</f>
        <v>0</v>
      </c>
      <c r="BA230" s="1409">
        <f t="shared" ca="1" si="112"/>
        <v>0</v>
      </c>
      <c r="BB230" s="1437">
        <f ca="1">IF(B230&gt;=$J$5,0,(((CONTADORES!G236-CONTADORES!G235)+(CONTADORES!AR236-CONTADORES!AR235)+AR230)-(AV230+BC230)))</f>
        <v>0</v>
      </c>
      <c r="BC230" s="1438">
        <f ca="1">IF(B230&gt;=$J$5,0,(CONTADORES!AY236-CONTADORES!AY235)+(CONTADORES!BA236-CONTADORES!BA235)+(CONTADORES!BF236-CONTADORES!BF235))</f>
        <v>0</v>
      </c>
      <c r="BD230" s="1397">
        <f t="shared" ca="1" si="113"/>
        <v>0</v>
      </c>
      <c r="BE230" s="1398">
        <f ca="1">IF($B230&gt;=$J$5,0,CONTADORES!$BG236)</f>
        <v>0</v>
      </c>
      <c r="BF230" s="1397">
        <f ca="1">IF($B230&gt;=$J$5,0,CONTADORES!$BH236)</f>
        <v>0</v>
      </c>
      <c r="BG230" s="1397">
        <f ca="1">IF($B230&gt;=$J$5,0,CONTADORES!$BJ236)</f>
        <v>0</v>
      </c>
      <c r="BH230" s="1397">
        <f ca="1">IF(B230&gt;=$J$5,0,((CONTADORES!BK236-CONTADORES!BK235)/1000))</f>
        <v>0</v>
      </c>
      <c r="BI230" s="1397">
        <f ca="1">IF(C230&gt;=$J$5,0,((CONTADORES!BL236-CONTADORES!BL235)/1000))</f>
        <v>0</v>
      </c>
      <c r="BJ230" s="1397">
        <f ca="1">IF(C230&gt;=$J$5,0,((CONTADORES!BM236-CONTADORES!BM235)/1000))</f>
        <v>0</v>
      </c>
      <c r="BK230" s="1397">
        <f ca="1">IF(D230&gt;=$J$5,0,((CONTADORES!BN236-CONTADORES!BN235)/1000))</f>
        <v>0</v>
      </c>
      <c r="BL230" s="1399">
        <f t="shared" ca="1" si="114"/>
        <v>0</v>
      </c>
      <c r="BM230" s="1399">
        <f t="shared" ca="1" si="115"/>
        <v>0</v>
      </c>
      <c r="BN230" s="1398">
        <f ca="1">IF(W230&gt;=$J$5,0,CONTADORES!$BO236)</f>
        <v>0</v>
      </c>
      <c r="BO230" s="1409">
        <f ca="1">IF(W230&gt;=$J$5,0,CONTADORES!$BP236)</f>
        <v>0</v>
      </c>
      <c r="BP230" s="1438">
        <f ca="1">IF(W230&gt;=$J$5,0,CONTADORES!$BQ236)</f>
        <v>0</v>
      </c>
      <c r="BQ230" s="1438">
        <f ca="1">IF(B230&gt;=$J$5,0,(CONTADORES!AS236-CONTADORES!AS235))</f>
        <v>0</v>
      </c>
      <c r="BR230" s="1438">
        <f ca="1">IF(C230&gt;=$J$5,0,(CONTADORES!AT236-CONTADORES!AT235))</f>
        <v>0</v>
      </c>
      <c r="BS230" s="1409">
        <f ca="1">IF(B230&gt;=$J$5,0,CONTADORES!BR236-CONTADORES!BR235)/1000</f>
        <v>0</v>
      </c>
      <c r="BT230" s="1409">
        <f ca="1">IF(B230&gt;=$J$5,0,CONTADORES!BS236-CONTADORES!BS235)</f>
        <v>0</v>
      </c>
      <c r="BU230" s="1409">
        <f ca="1">IF(B230&gt;=$J$5,0,CONTADORES!BT236-CONTADORES!BT235)</f>
        <v>0</v>
      </c>
      <c r="BV230" s="1409">
        <f ca="1">IF(B230&gt;=$J$5,0,CONTADORES!BU236-CONTADORES!BU235)/1000</f>
        <v>0</v>
      </c>
      <c r="BW230" s="1409">
        <f ca="1">IF(B230&gt;=$J$5,0,CONTADORES!BV236-CONTADORES!BV235)/1000</f>
        <v>0</v>
      </c>
      <c r="BX230" s="1409">
        <f ca="1">IF(B230&gt;=$J$5,0,CONTADORES!BW236-CONTADORES!BW235)</f>
        <v>0</v>
      </c>
      <c r="BY230" s="1409">
        <f ca="1">IF(B230&gt;=$J$5,0,CONTADORES!BX236-CONTADORES!BX235)/1000</f>
        <v>0</v>
      </c>
      <c r="BZ230" s="1409">
        <f ca="1">IF(B230&gt;=$J$5,0,CONTADORES!BY236-CONTADORES!BY235)/1000</f>
        <v>0</v>
      </c>
      <c r="CA230" s="1409">
        <f ca="1">IF(B230&gt;=$J$5,0,CONTADORES!BZ236-CONTADORES!BZ235)</f>
        <v>0</v>
      </c>
      <c r="CB230" s="1409">
        <f ca="1">IF(B230&gt;=$J$5,0,(CONTADORES!CC236-CONTADORES!CC235)+(CONTADORES!CE236-CONTADORES!CE235))/1000</f>
        <v>0</v>
      </c>
      <c r="CC230" s="1409">
        <f ca="1">IF(B230&gt;=$J$5,0,(CONTADORES!CD236-CONTADORES!CD235)+(CONTADORES!CF236-CONTADORES!CF235))/1000</f>
        <v>0</v>
      </c>
      <c r="CD230" s="1409">
        <f ca="1">IF(B230&gt;=$J$5,0,CONTADORES!CA236-CONTADORES!CA235)</f>
        <v>0</v>
      </c>
      <c r="CE230" s="1409">
        <f ca="1">IF(B230&gt;=$J$5,0,CONTADORES!CB236-CONTADORES!CB235)</f>
        <v>0</v>
      </c>
      <c r="CF230" s="1409">
        <f t="shared" ca="1" si="116"/>
        <v>0</v>
      </c>
      <c r="CG230" s="1409">
        <f t="shared" ca="1" si="117"/>
        <v>0</v>
      </c>
      <c r="CH230" s="1409">
        <f t="shared" ca="1" si="118"/>
        <v>0</v>
      </c>
      <c r="CI230" s="1409">
        <f t="shared" ca="1" si="119"/>
        <v>0</v>
      </c>
      <c r="CJ230" s="1409">
        <f t="shared" ca="1" si="120"/>
        <v>0</v>
      </c>
      <c r="CK230" s="1409">
        <f t="shared" ca="1" si="121"/>
        <v>0</v>
      </c>
      <c r="CL230" s="1409">
        <f t="shared" ca="1" si="122"/>
        <v>0</v>
      </c>
      <c r="CM230" s="1409">
        <f t="shared" ca="1" si="123"/>
        <v>0</v>
      </c>
      <c r="CN230" s="1409">
        <f ca="1">IF(B230&gt;=$J$5,0,CONTADORES!CB236-CONTADORES!CB235)</f>
        <v>0</v>
      </c>
      <c r="CO230" s="1409">
        <f t="shared" ca="1" si="124"/>
        <v>0</v>
      </c>
      <c r="CP230" s="1409">
        <f t="shared" ca="1" si="125"/>
        <v>0</v>
      </c>
      <c r="CQ230" s="1409">
        <f t="shared" ca="1" si="126"/>
        <v>0</v>
      </c>
      <c r="CR230" s="1409">
        <f t="shared" ca="1" si="127"/>
        <v>0</v>
      </c>
      <c r="CS230" s="1468">
        <f ca="1">IF($B230&gt;=$J$5,0,CONTADORES!$BI236)</f>
        <v>0</v>
      </c>
      <c r="CT230" s="1334">
        <f>CONTADORES!E236</f>
        <v>0</v>
      </c>
      <c r="CU230" s="1334">
        <f>CONTADORES!CG236</f>
        <v>0</v>
      </c>
    </row>
    <row r="231" spans="2:99">
      <c r="B231" s="390">
        <v>45147</v>
      </c>
      <c r="C231" s="198">
        <f t="shared" ca="1" si="101"/>
        <v>0</v>
      </c>
      <c r="D231" s="196">
        <f ca="1">'CALCULO DE GAS'!P46</f>
        <v>0</v>
      </c>
      <c r="E231" s="196">
        <f ca="1">IF(B231&gt;=$J$5,0,(CONTADORES!$AD237-CONTADORES!$AD236)-$H231)</f>
        <v>0</v>
      </c>
      <c r="F231" s="198">
        <f t="shared" ca="1" si="129"/>
        <v>0</v>
      </c>
      <c r="G231" s="206">
        <f ca="1">IF(B231&gt;=$J$5,0,CONTADORES!$AF237-CONTADORES!$AF236)</f>
        <v>0</v>
      </c>
      <c r="H231" s="206">
        <f ca="1">IF(G231&gt;0,CONTADORES!$AE237-CONTADORES!$AE236,0)</f>
        <v>0</v>
      </c>
      <c r="I231" s="208">
        <f ca="1">IF(B231&gt;=$J$5,0,CONTADORES!$AB237-CONTADORES!$AB236)</f>
        <v>0</v>
      </c>
      <c r="J231" s="198">
        <f t="shared" ca="1" si="102"/>
        <v>0</v>
      </c>
      <c r="K231" s="1412">
        <f ca="1">'CALCULO DE GAS'!Q46</f>
        <v>0</v>
      </c>
      <c r="L231" s="1396">
        <f ca="1">IF(B231&gt;=$J$5,0,(CONTADORES!$Y237-CONTADORES!$Y236)-$O231)</f>
        <v>0</v>
      </c>
      <c r="M231" s="1396">
        <f t="shared" ca="1" si="130"/>
        <v>0</v>
      </c>
      <c r="N231" s="1396">
        <f ca="1">IF(B231&gt;=$J$5,0,CONTADORES!$AA237-CONTADORES!$AA236)</f>
        <v>0</v>
      </c>
      <c r="O231" s="1396">
        <f ca="1">IF(N231&gt;0,CONTADORES!$Z237-CONTADORES!$Z236,0)</f>
        <v>0</v>
      </c>
      <c r="P231" s="202">
        <f ca="1">IF(B231&gt;=$J$5,0,CONTADORES!$W237-CONTADORES!$W236)</f>
        <v>0</v>
      </c>
      <c r="Q231" s="202">
        <f ca="1">IF(B231&gt;=$J$5,0,CONTADORES!$B237-CONTADORES!$B236)</f>
        <v>0</v>
      </c>
      <c r="R231" s="196">
        <f t="shared" ca="1" si="103"/>
        <v>0</v>
      </c>
      <c r="S231" s="11">
        <f ca="1">IF(B231&gt;=$J$5,0,CONTADORES!$D237-CONTADORES!$D236)</f>
        <v>0</v>
      </c>
      <c r="T231" s="198">
        <f ca="1">IF(B231&gt;=$J$5,0,CONTADORES!$BB237-CONTADORES!$BB236)</f>
        <v>0</v>
      </c>
      <c r="U231" s="196">
        <f t="shared" ca="1" si="131"/>
        <v>0</v>
      </c>
      <c r="V231" s="199">
        <f ca="1">IF(B231&gt;=$J$5,0,CONTADORES!$BD237-CONTADORES!$BD236)</f>
        <v>0</v>
      </c>
      <c r="W231" s="1397">
        <f t="shared" ca="1" si="104"/>
        <v>0</v>
      </c>
      <c r="X231" s="1397">
        <f t="shared" ca="1" si="105"/>
        <v>0</v>
      </c>
      <c r="Y231" s="1398">
        <f t="shared" ca="1" si="106"/>
        <v>0</v>
      </c>
      <c r="Z231" s="1398">
        <f t="shared" ca="1" si="107"/>
        <v>0</v>
      </c>
      <c r="AA231" s="1398">
        <f t="shared" ca="1" si="108"/>
        <v>0</v>
      </c>
      <c r="AB231" s="1398">
        <f t="shared" ca="1" si="109"/>
        <v>0</v>
      </c>
      <c r="AC231" s="1397">
        <f t="shared" ca="1" si="110"/>
        <v>0</v>
      </c>
      <c r="AD231" s="1409">
        <f ca="1">IF(B231&gt;=$J$5,0,CONTADORES!H237-CONTADORES!H236)</f>
        <v>0</v>
      </c>
      <c r="AE231" s="1438">
        <f ca="1">IF(B231&gt;=$J$5,0,CONTADORES!J237-CONTADORES!J236)</f>
        <v>0</v>
      </c>
      <c r="AF231" s="1438">
        <f ca="1">IF(B231&gt;=$J$5,0,CONTADORES!AU237-CONTADORES!AU236)</f>
        <v>0</v>
      </c>
      <c r="AG231" s="1438">
        <f ca="1">IF(B231&gt;=$J$5,0,CONTADORES!AW237-CONTADORES!AW236)</f>
        <v>0</v>
      </c>
      <c r="AH231" s="1409">
        <f ca="1">IF(B231&gt;=$J$5,0,(CONTADORES!AM237-CONTADORES!AM236)+(CONTADORES!M237-CONTADORES!M236))</f>
        <v>0</v>
      </c>
      <c r="AI231" s="1438">
        <f ca="1">IF(B231&gt;=$J$5,0,(CONTADORES!AK237-CONTADORES!AK236)+(CONTADORES!O237-CONTADORES!O236))</f>
        <v>0</v>
      </c>
      <c r="AJ231" s="1438">
        <f ca="1">IF(B231&gt;=$J$5,0,(CONTADORES!AI237-CONTADORES!AI236))</f>
        <v>0</v>
      </c>
      <c r="AK231" s="1438">
        <f ca="1">IF(B231&gt;=$J$5,0,(CONTADORES!Q237-CONTADORES!Q236))</f>
        <v>0</v>
      </c>
      <c r="AL231" s="1461">
        <f t="shared" ca="1" si="111"/>
        <v>0</v>
      </c>
      <c r="AM231" s="1409">
        <f ca="1">IF(B231&gt;=$J$5,0,(((CONTADORES!F237-CONTADORES!F236)+(CONTADORES!AQ237-CONTADORES!AQ236))))-BS231-AF231-AN231-BV231-BY231-CD231-CB231</f>
        <v>0</v>
      </c>
      <c r="AN231" s="1438">
        <f ca="1">IF(B231&gt;=$J$5,0,(CONTADORES!AX237-CONTADORES!AX236)+(CONTADORES!AZ237-CONTADORES!AZ236)+(CONTADORES!BE237-CONTADORES!BE236))-CB231</f>
        <v>0</v>
      </c>
      <c r="AO231" s="1466">
        <f>(CONTADORES!AC237-CONTADORES!AC236)</f>
        <v>0</v>
      </c>
      <c r="AP231" s="1466">
        <f>(CONTADORES!X237-CONTADORES!X236)</f>
        <v>0</v>
      </c>
      <c r="AQ231" s="1467">
        <f>(CONTADORES!C237-CONTADORES!C236)</f>
        <v>0</v>
      </c>
      <c r="AR231" s="1466">
        <f ca="1">AR230+(CONTADORES!BC237-CONTADORES!BC236)</f>
        <v>0</v>
      </c>
      <c r="AS231" s="1438">
        <f ca="1">IF(B231&gt;=$J$5,0,CONTADORES!S237-CONTADORES!S236)</f>
        <v>0</v>
      </c>
      <c r="AT231" s="1438">
        <f ca="1">IF(B231&gt;=$J$5,0,(CONTADORES!U237-CONTADORES!U236)+(CONTADORES!AG237-CONTADORES!AG236))</f>
        <v>0</v>
      </c>
      <c r="AU231" s="1437">
        <f>CONTADORES!I237-CONTADORES!I236</f>
        <v>0</v>
      </c>
      <c r="AV231" s="1466">
        <f>CONTADORES!AV237-CONTADORES!AV236</f>
        <v>0</v>
      </c>
      <c r="AW231" s="1466">
        <f ca="1">IF(B231&gt;=$J$5,0,(CONTADORES!N237-CONTADORES!N236)+(CONTADORES!AN237-CONTADORES!AN236))</f>
        <v>0</v>
      </c>
      <c r="AX231" s="1466">
        <f ca="1">IF(B231&gt;=$J$5,0,(CONTADORES!P237-CONTADORES!P236)+(CONTADORES!AL237-CONTADORES!AL236))</f>
        <v>0</v>
      </c>
      <c r="AY231" s="1466">
        <f ca="1">IF(B231&gt;=$J$5,0,(CONTADORES!AJ237-CONTADORES!AJ236))</f>
        <v>0</v>
      </c>
      <c r="AZ231" s="1466">
        <f ca="1">IF(B231&gt;=$J$5,0,(CONTADORES!R237-CONTADORES!R236))</f>
        <v>0</v>
      </c>
      <c r="BA231" s="1409">
        <f t="shared" ca="1" si="112"/>
        <v>0</v>
      </c>
      <c r="BB231" s="1437">
        <f ca="1">IF(B231&gt;=$J$5,0,(((CONTADORES!G237-CONTADORES!G236)+(CONTADORES!AR237-CONTADORES!AR236)+AR231)-(AV231+BC231)))</f>
        <v>0</v>
      </c>
      <c r="BC231" s="1438">
        <f ca="1">IF(B231&gt;=$J$5,0,(CONTADORES!AY237-CONTADORES!AY236)+(CONTADORES!BA237-CONTADORES!BA236)+(CONTADORES!BF237-CONTADORES!BF236))</f>
        <v>0</v>
      </c>
      <c r="BD231" s="1397">
        <f t="shared" ca="1" si="113"/>
        <v>0</v>
      </c>
      <c r="BE231" s="1398">
        <f ca="1">IF($B231&gt;=$J$5,0,CONTADORES!$BG237)</f>
        <v>0</v>
      </c>
      <c r="BF231" s="1397">
        <f ca="1">IF($B231&gt;=$J$5,0,CONTADORES!$BH237)</f>
        <v>0</v>
      </c>
      <c r="BG231" s="1397">
        <f ca="1">IF($B231&gt;=$J$5,0,CONTADORES!$BJ237)</f>
        <v>0</v>
      </c>
      <c r="BH231" s="1397">
        <f ca="1">IF(B231&gt;=$J$5,0,((CONTADORES!BK237-CONTADORES!BK236)/1000))</f>
        <v>0</v>
      </c>
      <c r="BI231" s="1397">
        <f ca="1">IF(C231&gt;=$J$5,0,((CONTADORES!BL237-CONTADORES!BL236)/1000))</f>
        <v>0</v>
      </c>
      <c r="BJ231" s="1397">
        <f ca="1">IF(C231&gt;=$J$5,0,((CONTADORES!BM237-CONTADORES!BM236)/1000))</f>
        <v>0</v>
      </c>
      <c r="BK231" s="1397">
        <f ca="1">IF(D231&gt;=$J$5,0,((CONTADORES!BN237-CONTADORES!BN236)/1000))</f>
        <v>0</v>
      </c>
      <c r="BL231" s="1399">
        <f t="shared" ca="1" si="114"/>
        <v>0</v>
      </c>
      <c r="BM231" s="1399">
        <f t="shared" ca="1" si="115"/>
        <v>0</v>
      </c>
      <c r="BN231" s="1398">
        <f ca="1">IF(W231&gt;=$J$5,0,CONTADORES!$BO237)</f>
        <v>0</v>
      </c>
      <c r="BO231" s="1409">
        <f ca="1">IF(W231&gt;=$J$5,0,CONTADORES!$BP237)</f>
        <v>0</v>
      </c>
      <c r="BP231" s="1438">
        <f ca="1">IF(W231&gt;=$J$5,0,CONTADORES!$BQ237)</f>
        <v>0</v>
      </c>
      <c r="BQ231" s="1438">
        <f ca="1">IF(B231&gt;=$J$5,0,(CONTADORES!AS237-CONTADORES!AS236))</f>
        <v>0</v>
      </c>
      <c r="BR231" s="1438">
        <f ca="1">IF(C231&gt;=$J$5,0,(CONTADORES!AT237-CONTADORES!AT236))</f>
        <v>0</v>
      </c>
      <c r="BS231" s="1409">
        <f ca="1">IF(B231&gt;=$J$5,0,CONTADORES!BR237-CONTADORES!BR236)/1000</f>
        <v>0</v>
      </c>
      <c r="BT231" s="1409">
        <f ca="1">IF(B231&gt;=$J$5,0,CONTADORES!BS237-CONTADORES!BS236)</f>
        <v>0</v>
      </c>
      <c r="BU231" s="1409">
        <f ca="1">IF(B231&gt;=$J$5,0,CONTADORES!BT237-CONTADORES!BT236)</f>
        <v>0</v>
      </c>
      <c r="BV231" s="1409">
        <f ca="1">IF(B231&gt;=$J$5,0,CONTADORES!BU237-CONTADORES!BU236)/1000</f>
        <v>0</v>
      </c>
      <c r="BW231" s="1409">
        <f ca="1">IF(B231&gt;=$J$5,0,CONTADORES!BV237-CONTADORES!BV236)/1000</f>
        <v>0</v>
      </c>
      <c r="BX231" s="1409">
        <f ca="1">IF(B231&gt;=$J$5,0,CONTADORES!BW237-CONTADORES!BW236)</f>
        <v>0</v>
      </c>
      <c r="BY231" s="1409">
        <f ca="1">IF(B231&gt;=$J$5,0,CONTADORES!BX237-CONTADORES!BX236)/1000</f>
        <v>0</v>
      </c>
      <c r="BZ231" s="1409">
        <f ca="1">IF(B231&gt;=$J$5,0,CONTADORES!BY237-CONTADORES!BY236)/1000</f>
        <v>0</v>
      </c>
      <c r="CA231" s="1409">
        <f ca="1">IF(B231&gt;=$J$5,0,CONTADORES!BZ237-CONTADORES!BZ236)</f>
        <v>0</v>
      </c>
      <c r="CB231" s="1409">
        <f ca="1">IF(B231&gt;=$J$5,0,(CONTADORES!CC237-CONTADORES!CC236)+(CONTADORES!CE237-CONTADORES!CE236))/1000</f>
        <v>0</v>
      </c>
      <c r="CC231" s="1409">
        <f ca="1">IF(B231&gt;=$J$5,0,(CONTADORES!CD237-CONTADORES!CD236)+(CONTADORES!CF237-CONTADORES!CF236))/1000</f>
        <v>0</v>
      </c>
      <c r="CD231" s="1409">
        <f ca="1">IF(B231&gt;=$J$5,0,CONTADORES!CA237-CONTADORES!CA236)</f>
        <v>0</v>
      </c>
      <c r="CE231" s="1409">
        <f ca="1">IF(B231&gt;=$J$5,0,CONTADORES!CB237-CONTADORES!CB236)</f>
        <v>0</v>
      </c>
      <c r="CF231" s="1409">
        <f t="shared" ca="1" si="116"/>
        <v>0</v>
      </c>
      <c r="CG231" s="1409">
        <f t="shared" ca="1" si="117"/>
        <v>0</v>
      </c>
      <c r="CH231" s="1409">
        <f t="shared" ca="1" si="118"/>
        <v>0</v>
      </c>
      <c r="CI231" s="1409">
        <f t="shared" ca="1" si="119"/>
        <v>0</v>
      </c>
      <c r="CJ231" s="1409">
        <f t="shared" ca="1" si="120"/>
        <v>0</v>
      </c>
      <c r="CK231" s="1409">
        <f t="shared" ca="1" si="121"/>
        <v>0</v>
      </c>
      <c r="CL231" s="1409">
        <f t="shared" ca="1" si="122"/>
        <v>0</v>
      </c>
      <c r="CM231" s="1409">
        <f t="shared" ca="1" si="123"/>
        <v>0</v>
      </c>
      <c r="CN231" s="1409">
        <f ca="1">IF(B231&gt;=$J$5,0,CONTADORES!CB237-CONTADORES!CB236)</f>
        <v>0</v>
      </c>
      <c r="CO231" s="1409">
        <f t="shared" ca="1" si="124"/>
        <v>0</v>
      </c>
      <c r="CP231" s="1409">
        <f t="shared" ca="1" si="125"/>
        <v>0</v>
      </c>
      <c r="CQ231" s="1409">
        <f t="shared" ca="1" si="126"/>
        <v>0</v>
      </c>
      <c r="CR231" s="1409">
        <f t="shared" ca="1" si="127"/>
        <v>0</v>
      </c>
      <c r="CS231" s="1468">
        <f ca="1">IF($B231&gt;=$J$5,0,CONTADORES!$BI237)</f>
        <v>0</v>
      </c>
      <c r="CT231" s="1334">
        <f>CONTADORES!E237</f>
        <v>0</v>
      </c>
      <c r="CU231" s="1334">
        <f>CONTADORES!CG237</f>
        <v>0</v>
      </c>
    </row>
    <row r="232" spans="2:99">
      <c r="B232" s="390">
        <v>45148</v>
      </c>
      <c r="C232" s="198">
        <f t="shared" ca="1" si="101"/>
        <v>0</v>
      </c>
      <c r="D232" s="196">
        <f ca="1">'CALCULO DE GAS'!P47</f>
        <v>0</v>
      </c>
      <c r="E232" s="196">
        <f ca="1">IF(B232&gt;=$J$5,0,(CONTADORES!$AD238-CONTADORES!$AD237)-$H232)</f>
        <v>0</v>
      </c>
      <c r="F232" s="198">
        <f t="shared" ca="1" si="129"/>
        <v>0</v>
      </c>
      <c r="G232" s="206">
        <f ca="1">IF(B232&gt;=$J$5,0,CONTADORES!$AF238-CONTADORES!$AF237)</f>
        <v>0</v>
      </c>
      <c r="H232" s="206">
        <f ca="1">IF(G232&gt;0,CONTADORES!$AE238-CONTADORES!$AE237,0)</f>
        <v>0</v>
      </c>
      <c r="I232" s="208">
        <f ca="1">IF(B232&gt;=$J$5,0,CONTADORES!$AB238-CONTADORES!$AB237)</f>
        <v>0</v>
      </c>
      <c r="J232" s="198">
        <f t="shared" ca="1" si="102"/>
        <v>0</v>
      </c>
      <c r="K232" s="1412">
        <f ca="1">'CALCULO DE GAS'!Q47</f>
        <v>0</v>
      </c>
      <c r="L232" s="1396">
        <f ca="1">IF(B232&gt;=$J$5,0,(CONTADORES!$Y238-CONTADORES!$Y237)-$O232)</f>
        <v>0</v>
      </c>
      <c r="M232" s="1396">
        <f t="shared" ca="1" si="130"/>
        <v>0</v>
      </c>
      <c r="N232" s="1396">
        <f ca="1">IF(B232&gt;=$J$5,0,CONTADORES!$AA238-CONTADORES!$AA237)</f>
        <v>0</v>
      </c>
      <c r="O232" s="1396">
        <f ca="1">IF(N232&gt;0,CONTADORES!$Z238-CONTADORES!$Z237,0)</f>
        <v>0</v>
      </c>
      <c r="P232" s="202">
        <f ca="1">IF(B232&gt;=$J$5,0,CONTADORES!$W238-CONTADORES!$W237)</f>
        <v>0</v>
      </c>
      <c r="Q232" s="202">
        <f ca="1">IF(B232&gt;=$J$5,0,CONTADORES!$B238-CONTADORES!$B237)</f>
        <v>0</v>
      </c>
      <c r="R232" s="196">
        <f t="shared" ca="1" si="103"/>
        <v>0</v>
      </c>
      <c r="S232" s="11">
        <f ca="1">IF(B232&gt;=$J$5,0,CONTADORES!$D238-CONTADORES!$D237)</f>
        <v>0</v>
      </c>
      <c r="T232" s="198">
        <f ca="1">IF(B232&gt;=$J$5,0,CONTADORES!$BB238-CONTADORES!$BB237)</f>
        <v>0</v>
      </c>
      <c r="U232" s="196">
        <f t="shared" ca="1" si="131"/>
        <v>0</v>
      </c>
      <c r="V232" s="199">
        <f ca="1">IF(B232&gt;=$J$5,0,CONTADORES!$BD238-CONTADORES!$BD237)</f>
        <v>0</v>
      </c>
      <c r="W232" s="1397">
        <f t="shared" ca="1" si="104"/>
        <v>0</v>
      </c>
      <c r="X232" s="1397">
        <f t="shared" ca="1" si="105"/>
        <v>0</v>
      </c>
      <c r="Y232" s="1398">
        <f t="shared" ca="1" si="106"/>
        <v>0</v>
      </c>
      <c r="Z232" s="1398">
        <f t="shared" ca="1" si="107"/>
        <v>0</v>
      </c>
      <c r="AA232" s="1398">
        <f t="shared" ca="1" si="108"/>
        <v>0</v>
      </c>
      <c r="AB232" s="1398">
        <f t="shared" ca="1" si="109"/>
        <v>0</v>
      </c>
      <c r="AC232" s="1397">
        <f t="shared" ca="1" si="110"/>
        <v>0</v>
      </c>
      <c r="AD232" s="1409">
        <f ca="1">IF(B232&gt;=$J$5,0,CONTADORES!H238-CONTADORES!H237)</f>
        <v>0</v>
      </c>
      <c r="AE232" s="1438">
        <f ca="1">IF(B232&gt;=$J$5,0,CONTADORES!J238-CONTADORES!J237)</f>
        <v>0</v>
      </c>
      <c r="AF232" s="1438">
        <f ca="1">IF(B232&gt;=$J$5,0,CONTADORES!AU238-CONTADORES!AU237)</f>
        <v>0</v>
      </c>
      <c r="AG232" s="1438">
        <f ca="1">IF(B232&gt;=$J$5,0,CONTADORES!AW238-CONTADORES!AW237)</f>
        <v>0</v>
      </c>
      <c r="AH232" s="1409">
        <f ca="1">IF(B232&gt;=$J$5,0,(CONTADORES!AM238-CONTADORES!AM237)+(CONTADORES!M238-CONTADORES!M237))</f>
        <v>0</v>
      </c>
      <c r="AI232" s="1438">
        <f ca="1">IF(B232&gt;=$J$5,0,(CONTADORES!AK238-CONTADORES!AK237)+(CONTADORES!O238-CONTADORES!O237))</f>
        <v>0</v>
      </c>
      <c r="AJ232" s="1438">
        <f ca="1">IF(B232&gt;=$J$5,0,(CONTADORES!AI238-CONTADORES!AI237))</f>
        <v>0</v>
      </c>
      <c r="AK232" s="1438">
        <f ca="1">IF(B232&gt;=$J$5,0,(CONTADORES!Q238-CONTADORES!Q237))</f>
        <v>0</v>
      </c>
      <c r="AL232" s="1461">
        <f t="shared" ca="1" si="111"/>
        <v>0</v>
      </c>
      <c r="AM232" s="1409">
        <f ca="1">IF(B232&gt;=$J$5,0,(((CONTADORES!F238-CONTADORES!F237)+(CONTADORES!AQ238-CONTADORES!AQ237))))-BS232-AF232-AN232-BV232-BY232-CD232-CB232</f>
        <v>0</v>
      </c>
      <c r="AN232" s="1438">
        <f ca="1">IF(B232&gt;=$J$5,0,(CONTADORES!AX238-CONTADORES!AX237)+(CONTADORES!AZ238-CONTADORES!AZ237)+(CONTADORES!BE238-CONTADORES!BE237))-CB232</f>
        <v>0</v>
      </c>
      <c r="AO232" s="1466">
        <f>(CONTADORES!AC238-CONTADORES!AC237)</f>
        <v>0</v>
      </c>
      <c r="AP232" s="1466">
        <f>(CONTADORES!X238-CONTADORES!X237)</f>
        <v>0</v>
      </c>
      <c r="AQ232" s="1467">
        <f>(CONTADORES!C238-CONTADORES!C237)</f>
        <v>0</v>
      </c>
      <c r="AR232" s="1466">
        <f ca="1">AR231+(CONTADORES!BC238-CONTADORES!BC237)</f>
        <v>0</v>
      </c>
      <c r="AS232" s="1438">
        <f ca="1">IF(B232&gt;=$J$5,0,CONTADORES!S238-CONTADORES!S237)</f>
        <v>0</v>
      </c>
      <c r="AT232" s="1438">
        <f ca="1">IF(B232&gt;=$J$5,0,(CONTADORES!U238-CONTADORES!U237)+(CONTADORES!AG238-CONTADORES!AG237))</f>
        <v>0</v>
      </c>
      <c r="AU232" s="1437">
        <f>CONTADORES!I238-CONTADORES!I237</f>
        <v>0</v>
      </c>
      <c r="AV232" s="1466">
        <f>CONTADORES!AV238-CONTADORES!AV237</f>
        <v>0</v>
      </c>
      <c r="AW232" s="1466">
        <f ca="1">IF(B232&gt;=$J$5,0,(CONTADORES!N238-CONTADORES!N237)+(CONTADORES!AN238-CONTADORES!AN237))</f>
        <v>0</v>
      </c>
      <c r="AX232" s="1466">
        <f ca="1">IF(B232&gt;=$J$5,0,(CONTADORES!P238-CONTADORES!P237)+(CONTADORES!AL238-CONTADORES!AL237))</f>
        <v>0</v>
      </c>
      <c r="AY232" s="1466">
        <f ca="1">IF(B232&gt;=$J$5,0,(CONTADORES!AJ238-CONTADORES!AJ237))</f>
        <v>0</v>
      </c>
      <c r="AZ232" s="1466">
        <f ca="1">IF(B232&gt;=$J$5,0,(CONTADORES!R238-CONTADORES!R237))</f>
        <v>0</v>
      </c>
      <c r="BA232" s="1409">
        <f t="shared" ca="1" si="112"/>
        <v>0</v>
      </c>
      <c r="BB232" s="1437">
        <f ca="1">IF(B232&gt;=$J$5,0,(((CONTADORES!G238-CONTADORES!G237)+(CONTADORES!AR238-CONTADORES!AR237)+AR232)-(AV232+BC232)))</f>
        <v>0</v>
      </c>
      <c r="BC232" s="1438">
        <f ca="1">IF(B232&gt;=$J$5,0,(CONTADORES!AY238-CONTADORES!AY237)+(CONTADORES!BA238-CONTADORES!BA237)+(CONTADORES!BF238-CONTADORES!BF237))</f>
        <v>0</v>
      </c>
      <c r="BD232" s="1397">
        <f t="shared" ca="1" si="113"/>
        <v>0</v>
      </c>
      <c r="BE232" s="1398">
        <f ca="1">IF($B232&gt;=$J$5,0,CONTADORES!$BG238)</f>
        <v>0</v>
      </c>
      <c r="BF232" s="1397">
        <f ca="1">IF($B232&gt;=$J$5,0,CONTADORES!$BH238)</f>
        <v>0</v>
      </c>
      <c r="BG232" s="1397">
        <f ca="1">IF($B232&gt;=$J$5,0,CONTADORES!$BJ238)</f>
        <v>0</v>
      </c>
      <c r="BH232" s="1397">
        <f ca="1">IF(B232&gt;=$J$5,0,((CONTADORES!BK238-CONTADORES!BK237)/1000))</f>
        <v>0</v>
      </c>
      <c r="BI232" s="1397">
        <f ca="1">IF(C232&gt;=$J$5,0,((CONTADORES!BL238-CONTADORES!BL237)/1000))</f>
        <v>0</v>
      </c>
      <c r="BJ232" s="1397">
        <f ca="1">IF(C232&gt;=$J$5,0,((CONTADORES!BM238-CONTADORES!BM237)/1000))</f>
        <v>0</v>
      </c>
      <c r="BK232" s="1397">
        <f ca="1">IF(D232&gt;=$J$5,0,((CONTADORES!BN238-CONTADORES!BN237)/1000))</f>
        <v>0</v>
      </c>
      <c r="BL232" s="1399">
        <f t="shared" ca="1" si="114"/>
        <v>0</v>
      </c>
      <c r="BM232" s="1399">
        <f t="shared" ca="1" si="115"/>
        <v>0</v>
      </c>
      <c r="BN232" s="1398">
        <f ca="1">IF(W232&gt;=$J$5,0,CONTADORES!$BO238)</f>
        <v>0</v>
      </c>
      <c r="BO232" s="1409">
        <f ca="1">IF(W232&gt;=$J$5,0,CONTADORES!$BP238)</f>
        <v>0</v>
      </c>
      <c r="BP232" s="1438">
        <f ca="1">IF(W232&gt;=$J$5,0,CONTADORES!$BQ238)</f>
        <v>0</v>
      </c>
      <c r="BQ232" s="1438">
        <f ca="1">IF(B232&gt;=$J$5,0,(CONTADORES!AS238-CONTADORES!AS237))</f>
        <v>0</v>
      </c>
      <c r="BR232" s="1438">
        <f ca="1">IF(C232&gt;=$J$5,0,(CONTADORES!AT238-CONTADORES!AT237))</f>
        <v>0</v>
      </c>
      <c r="BS232" s="1409">
        <f ca="1">IF(B232&gt;=$J$5,0,CONTADORES!BR238-CONTADORES!BR237)/1000</f>
        <v>0</v>
      </c>
      <c r="BT232" s="1409">
        <f ca="1">IF(B232&gt;=$J$5,0,CONTADORES!BS238-CONTADORES!BS237)</f>
        <v>0</v>
      </c>
      <c r="BU232" s="1409">
        <f ca="1">IF(B232&gt;=$J$5,0,CONTADORES!BT238-CONTADORES!BT237)</f>
        <v>0</v>
      </c>
      <c r="BV232" s="1409">
        <f ca="1">IF(B232&gt;=$J$5,0,CONTADORES!BU238-CONTADORES!BU237)/1000</f>
        <v>0</v>
      </c>
      <c r="BW232" s="1409">
        <f ca="1">IF(B232&gt;=$J$5,0,CONTADORES!BV238-CONTADORES!BV237)/1000</f>
        <v>0</v>
      </c>
      <c r="BX232" s="1409">
        <f ca="1">IF(B232&gt;=$J$5,0,CONTADORES!BW238-CONTADORES!BW237)</f>
        <v>0</v>
      </c>
      <c r="BY232" s="1409">
        <f ca="1">IF(B232&gt;=$J$5,0,CONTADORES!BX238-CONTADORES!BX237)/1000</f>
        <v>0</v>
      </c>
      <c r="BZ232" s="1409">
        <f ca="1">IF(B232&gt;=$J$5,0,CONTADORES!BY238-CONTADORES!BY237)/1000</f>
        <v>0</v>
      </c>
      <c r="CA232" s="1409">
        <f ca="1">IF(B232&gt;=$J$5,0,CONTADORES!BZ238-CONTADORES!BZ237)</f>
        <v>0</v>
      </c>
      <c r="CB232" s="1409">
        <f ca="1">IF(B232&gt;=$J$5,0,(CONTADORES!CC238-CONTADORES!CC237)+(CONTADORES!CE238-CONTADORES!CE237))/1000</f>
        <v>0</v>
      </c>
      <c r="CC232" s="1409">
        <f ca="1">IF(B232&gt;=$J$5,0,(CONTADORES!CD238-CONTADORES!CD237)+(CONTADORES!CF238-CONTADORES!CF237))/1000</f>
        <v>0</v>
      </c>
      <c r="CD232" s="1409">
        <f ca="1">IF(B232&gt;=$J$5,0,CONTADORES!CA238-CONTADORES!CA237)</f>
        <v>0</v>
      </c>
      <c r="CE232" s="1409">
        <f ca="1">IF(B232&gt;=$J$5,0,CONTADORES!CB238-CONTADORES!CB237)</f>
        <v>0</v>
      </c>
      <c r="CF232" s="1409">
        <f t="shared" ca="1" si="116"/>
        <v>0</v>
      </c>
      <c r="CG232" s="1409">
        <f t="shared" ca="1" si="117"/>
        <v>0</v>
      </c>
      <c r="CH232" s="1409">
        <f t="shared" ca="1" si="118"/>
        <v>0</v>
      </c>
      <c r="CI232" s="1409">
        <f t="shared" ca="1" si="119"/>
        <v>0</v>
      </c>
      <c r="CJ232" s="1409">
        <f t="shared" ca="1" si="120"/>
        <v>0</v>
      </c>
      <c r="CK232" s="1409">
        <f t="shared" ca="1" si="121"/>
        <v>0</v>
      </c>
      <c r="CL232" s="1409">
        <f t="shared" ca="1" si="122"/>
        <v>0</v>
      </c>
      <c r="CM232" s="1409">
        <f t="shared" ca="1" si="123"/>
        <v>0</v>
      </c>
      <c r="CN232" s="1409">
        <f ca="1">IF(B232&gt;=$J$5,0,CONTADORES!CB238-CONTADORES!CB237)</f>
        <v>0</v>
      </c>
      <c r="CO232" s="1409">
        <f t="shared" ca="1" si="124"/>
        <v>0</v>
      </c>
      <c r="CP232" s="1409">
        <f t="shared" ca="1" si="125"/>
        <v>0</v>
      </c>
      <c r="CQ232" s="1409">
        <f t="shared" ca="1" si="126"/>
        <v>0</v>
      </c>
      <c r="CR232" s="1409">
        <f t="shared" ca="1" si="127"/>
        <v>0</v>
      </c>
      <c r="CS232" s="1468">
        <f ca="1">IF($B232&gt;=$J$5,0,CONTADORES!$BI238)</f>
        <v>0</v>
      </c>
      <c r="CT232" s="1334">
        <f>CONTADORES!E238</f>
        <v>0</v>
      </c>
      <c r="CU232" s="1334">
        <f>CONTADORES!CG238</f>
        <v>0</v>
      </c>
    </row>
    <row r="233" spans="2:99">
      <c r="B233" s="390">
        <v>45149</v>
      </c>
      <c r="C233" s="198">
        <f t="shared" ca="1" si="101"/>
        <v>0</v>
      </c>
      <c r="D233" s="196">
        <f ca="1">'CALCULO DE GAS'!P48</f>
        <v>0</v>
      </c>
      <c r="E233" s="196">
        <f ca="1">IF(B233&gt;=$J$5,0,(CONTADORES!$AD239-CONTADORES!$AD238)-$H233)</f>
        <v>0</v>
      </c>
      <c r="F233" s="198">
        <f t="shared" ca="1" si="129"/>
        <v>0</v>
      </c>
      <c r="G233" s="206">
        <f ca="1">IF(B233&gt;=$J$5,0,CONTADORES!$AF239-CONTADORES!$AF238)</f>
        <v>0</v>
      </c>
      <c r="H233" s="206">
        <f ca="1">IF(G233&gt;0,CONTADORES!$AE239-CONTADORES!$AE238,0)</f>
        <v>0</v>
      </c>
      <c r="I233" s="208">
        <f ca="1">IF(B233&gt;=$J$5,0,CONTADORES!$AB239-CONTADORES!$AB238)</f>
        <v>0</v>
      </c>
      <c r="J233" s="198">
        <f t="shared" ca="1" si="102"/>
        <v>0</v>
      </c>
      <c r="K233" s="196">
        <f ca="1">'CALCULO DE GAS'!Q48</f>
        <v>0</v>
      </c>
      <c r="L233" s="1396">
        <f ca="1">IF(B233&gt;=$J$5,0,(CONTADORES!$Y239-CONTADORES!$Y238)-$O233)</f>
        <v>0</v>
      </c>
      <c r="M233" s="1396">
        <f t="shared" ca="1" si="130"/>
        <v>0</v>
      </c>
      <c r="N233" s="1396">
        <f ca="1">IF(B233&gt;=$J$5,0,CONTADORES!$AA239-CONTADORES!$AA238)</f>
        <v>0</v>
      </c>
      <c r="O233" s="1396">
        <f ca="1">IF(N233&gt;0,CONTADORES!$Z239-CONTADORES!$Z238,0)</f>
        <v>0</v>
      </c>
      <c r="P233" s="202">
        <f ca="1">IF(B233&gt;=$J$5,0,CONTADORES!$W239-CONTADORES!$W238)</f>
        <v>0</v>
      </c>
      <c r="Q233" s="202">
        <f ca="1">IF(B233&gt;=$J$5,0,CONTADORES!$B239-CONTADORES!$B238)</f>
        <v>0</v>
      </c>
      <c r="R233" s="196">
        <f t="shared" ca="1" si="103"/>
        <v>0</v>
      </c>
      <c r="S233" s="11">
        <f ca="1">IF(B233&gt;=$J$5,0,CONTADORES!$D239-CONTADORES!$D238)</f>
        <v>0</v>
      </c>
      <c r="T233" s="198">
        <f ca="1">IF(B233&gt;=$J$5,0,CONTADORES!$BB239-CONTADORES!$BB238)</f>
        <v>0</v>
      </c>
      <c r="U233" s="196">
        <f t="shared" ca="1" si="131"/>
        <v>0</v>
      </c>
      <c r="V233" s="199">
        <f ca="1">IF(B233&gt;=$J$5,0,CONTADORES!$BD239-CONTADORES!$BD238)</f>
        <v>0</v>
      </c>
      <c r="W233" s="1397">
        <f t="shared" ca="1" si="104"/>
        <v>0</v>
      </c>
      <c r="X233" s="1397">
        <f t="shared" ca="1" si="105"/>
        <v>0</v>
      </c>
      <c r="Y233" s="1398">
        <f t="shared" ca="1" si="106"/>
        <v>0</v>
      </c>
      <c r="Z233" s="1398">
        <f t="shared" ca="1" si="107"/>
        <v>0</v>
      </c>
      <c r="AA233" s="1398">
        <f t="shared" ca="1" si="108"/>
        <v>0</v>
      </c>
      <c r="AB233" s="1398">
        <f t="shared" ca="1" si="109"/>
        <v>0</v>
      </c>
      <c r="AC233" s="1397">
        <f t="shared" ca="1" si="110"/>
        <v>0</v>
      </c>
      <c r="AD233" s="1409">
        <f ca="1">IF(B233&gt;=$J$5,0,CONTADORES!H239-CONTADORES!H238)</f>
        <v>0</v>
      </c>
      <c r="AE233" s="1438">
        <f ca="1">IF(B233&gt;=$J$5,0,CONTADORES!J239-CONTADORES!J238)</f>
        <v>0</v>
      </c>
      <c r="AF233" s="1438">
        <f ca="1">IF(B233&gt;=$J$5,0,CONTADORES!AU239-CONTADORES!AU238)</f>
        <v>0</v>
      </c>
      <c r="AG233" s="1438">
        <f ca="1">IF(B233&gt;=$J$5,0,CONTADORES!AW239-CONTADORES!AW238)</f>
        <v>0</v>
      </c>
      <c r="AH233" s="1409">
        <f ca="1">IF(B233&gt;=$J$5,0,(CONTADORES!AM239-CONTADORES!AM238)+(CONTADORES!M239-CONTADORES!M238))</f>
        <v>0</v>
      </c>
      <c r="AI233" s="1438">
        <f ca="1">IF(B233&gt;=$J$5,0,(CONTADORES!AK239-CONTADORES!AK238)+(CONTADORES!O239-CONTADORES!O238))</f>
        <v>0</v>
      </c>
      <c r="AJ233" s="1438">
        <f ca="1">IF(B233&gt;=$J$5,0,(CONTADORES!AI239-CONTADORES!AI238))</f>
        <v>0</v>
      </c>
      <c r="AK233" s="1438">
        <f ca="1">IF(B233&gt;=$J$5,0,(CONTADORES!Q239-CONTADORES!Q238))</f>
        <v>0</v>
      </c>
      <c r="AL233" s="1461">
        <f t="shared" ca="1" si="111"/>
        <v>0</v>
      </c>
      <c r="AM233" s="1409">
        <f ca="1">IF(B233&gt;=$J$5,0,(((CONTADORES!F239-CONTADORES!F238)+(CONTADORES!AQ239-CONTADORES!AQ238))))-BS233-AF233-AN233-BV233-BY233-CD233-CB233</f>
        <v>0</v>
      </c>
      <c r="AN233" s="1438">
        <f ca="1">IF(B233&gt;=$J$5,0,(CONTADORES!AX239-CONTADORES!AX238)+(CONTADORES!AZ239-CONTADORES!AZ238)+(CONTADORES!BE239-CONTADORES!BE238))-CB233</f>
        <v>0</v>
      </c>
      <c r="AO233" s="1466">
        <f>(CONTADORES!AC239-CONTADORES!AC238)</f>
        <v>0</v>
      </c>
      <c r="AP233" s="1466">
        <f>(CONTADORES!X239-CONTADORES!X238)</f>
        <v>0</v>
      </c>
      <c r="AQ233" s="1467">
        <f>(CONTADORES!C239-CONTADORES!C238)</f>
        <v>0</v>
      </c>
      <c r="AR233" s="1466">
        <f ca="1">AR232+(CONTADORES!BC239-CONTADORES!BC238)</f>
        <v>0</v>
      </c>
      <c r="AS233" s="1438">
        <f ca="1">IF(B233&gt;=$J$5,0,CONTADORES!S239-CONTADORES!S238)</f>
        <v>0</v>
      </c>
      <c r="AT233" s="1438">
        <f ca="1">IF(B233&gt;=$J$5,0,(CONTADORES!U239-CONTADORES!U238)+(CONTADORES!AG239-CONTADORES!AG238))</f>
        <v>0</v>
      </c>
      <c r="AU233" s="1437">
        <f>CONTADORES!I239-CONTADORES!I238</f>
        <v>0</v>
      </c>
      <c r="AV233" s="1466">
        <f>CONTADORES!AV239-CONTADORES!AV238</f>
        <v>0</v>
      </c>
      <c r="AW233" s="1466">
        <f ca="1">IF(B233&gt;=$J$5,0,(CONTADORES!N239-CONTADORES!N238)+(CONTADORES!AN239-CONTADORES!AN238))</f>
        <v>0</v>
      </c>
      <c r="AX233" s="1466">
        <f ca="1">IF(B233&gt;=$J$5,0,(CONTADORES!P239-CONTADORES!P238)+(CONTADORES!AL239-CONTADORES!AL238))</f>
        <v>0</v>
      </c>
      <c r="AY233" s="1466">
        <f ca="1">IF(B233&gt;=$J$5,0,(CONTADORES!AJ239-CONTADORES!AJ238))</f>
        <v>0</v>
      </c>
      <c r="AZ233" s="1466">
        <f ca="1">IF(B233&gt;=$J$5,0,(CONTADORES!R239-CONTADORES!R238))</f>
        <v>0</v>
      </c>
      <c r="BA233" s="1409">
        <f t="shared" ca="1" si="112"/>
        <v>0</v>
      </c>
      <c r="BB233" s="1437">
        <f ca="1">IF(B233&gt;=$J$5,0,(((CONTADORES!G239-CONTADORES!G238)+(CONTADORES!AR239-CONTADORES!AR238)+AR233)-(AV233+BC233)))</f>
        <v>0</v>
      </c>
      <c r="BC233" s="1438">
        <f ca="1">IF(B233&gt;=$J$5,0,(CONTADORES!AY239-CONTADORES!AY238)+(CONTADORES!BA239-CONTADORES!BA238)+(CONTADORES!BF239-CONTADORES!BF238))</f>
        <v>0</v>
      </c>
      <c r="BD233" s="1397">
        <f t="shared" ca="1" si="113"/>
        <v>0</v>
      </c>
      <c r="BE233" s="1398">
        <f ca="1">IF($B233&gt;=$J$5,0,CONTADORES!$BG239)</f>
        <v>0</v>
      </c>
      <c r="BF233" s="1397">
        <f ca="1">IF($B233&gt;=$J$5,0,CONTADORES!$BH239)</f>
        <v>0</v>
      </c>
      <c r="BG233" s="1397">
        <f ca="1">IF($B233&gt;=$J$5,0,CONTADORES!$BJ239)</f>
        <v>0</v>
      </c>
      <c r="BH233" s="1397">
        <f ca="1">IF(B233&gt;=$J$5,0,((CONTADORES!BK239-CONTADORES!BK238)/1000))</f>
        <v>0</v>
      </c>
      <c r="BI233" s="1397">
        <f ca="1">IF(C233&gt;=$J$5,0,((CONTADORES!BL239-CONTADORES!BL238)/1000))</f>
        <v>0</v>
      </c>
      <c r="BJ233" s="1397">
        <f ca="1">IF(C233&gt;=$J$5,0,((CONTADORES!BM239-CONTADORES!BM238)/1000))</f>
        <v>0</v>
      </c>
      <c r="BK233" s="1397">
        <f ca="1">IF(D233&gt;=$J$5,0,((CONTADORES!BN239-CONTADORES!BN238)/1000))</f>
        <v>0</v>
      </c>
      <c r="BL233" s="1399">
        <f t="shared" ca="1" si="114"/>
        <v>0</v>
      </c>
      <c r="BM233" s="1399">
        <f t="shared" ca="1" si="115"/>
        <v>0</v>
      </c>
      <c r="BN233" s="1398">
        <f ca="1">IF(W233&gt;=$J$5,0,CONTADORES!$BO239)</f>
        <v>0</v>
      </c>
      <c r="BO233" s="1409">
        <f ca="1">IF(W233&gt;=$J$5,0,CONTADORES!$BP239)</f>
        <v>0</v>
      </c>
      <c r="BP233" s="1438">
        <f ca="1">IF(W233&gt;=$J$5,0,CONTADORES!$BQ239)</f>
        <v>0</v>
      </c>
      <c r="BQ233" s="1438">
        <f ca="1">IF(B233&gt;=$J$5,0,(CONTADORES!AS239-CONTADORES!AS238))</f>
        <v>0</v>
      </c>
      <c r="BR233" s="1438">
        <f ca="1">IF(C233&gt;=$J$5,0,(CONTADORES!AT239-CONTADORES!AT238))</f>
        <v>0</v>
      </c>
      <c r="BS233" s="1409">
        <f ca="1">IF(B233&gt;=$J$5,0,CONTADORES!BR239-CONTADORES!BR238)/1000</f>
        <v>0</v>
      </c>
      <c r="BT233" s="1409">
        <f ca="1">IF(B233&gt;=$J$5,0,CONTADORES!BS239-CONTADORES!BS238)</f>
        <v>0</v>
      </c>
      <c r="BU233" s="1409">
        <f ca="1">IF(B233&gt;=$J$5,0,CONTADORES!BT239-CONTADORES!BT238)</f>
        <v>0</v>
      </c>
      <c r="BV233" s="1409">
        <f ca="1">IF(B233&gt;=$J$5,0,CONTADORES!BU239-CONTADORES!BU238)/1000</f>
        <v>0</v>
      </c>
      <c r="BW233" s="1409">
        <f ca="1">IF(B233&gt;=$J$5,0,CONTADORES!BV239-CONTADORES!BV238)/1000</f>
        <v>0</v>
      </c>
      <c r="BX233" s="1409">
        <f ca="1">IF(B233&gt;=$J$5,0,CONTADORES!BW239-CONTADORES!BW238)</f>
        <v>0</v>
      </c>
      <c r="BY233" s="1409">
        <f ca="1">IF(B233&gt;=$J$5,0,CONTADORES!BX239-CONTADORES!BX238)/1000</f>
        <v>0</v>
      </c>
      <c r="BZ233" s="1409">
        <f ca="1">IF(B233&gt;=$J$5,0,CONTADORES!BY239-CONTADORES!BY238)/1000</f>
        <v>0</v>
      </c>
      <c r="CA233" s="1409">
        <f ca="1">IF(B233&gt;=$J$5,0,CONTADORES!BZ239-CONTADORES!BZ238)</f>
        <v>0</v>
      </c>
      <c r="CB233" s="1409">
        <f ca="1">IF(B233&gt;=$J$5,0,(CONTADORES!CC239-CONTADORES!CC238)+(CONTADORES!CE239-CONTADORES!CE238))/1000</f>
        <v>0</v>
      </c>
      <c r="CC233" s="1409">
        <f ca="1">IF(B233&gt;=$J$5,0,(CONTADORES!CD239-CONTADORES!CD238)+(CONTADORES!CF239-CONTADORES!CF238))/1000</f>
        <v>0</v>
      </c>
      <c r="CD233" s="1409">
        <f ca="1">IF(B233&gt;=$J$5,0,CONTADORES!CA239-CONTADORES!CA238)</f>
        <v>0</v>
      </c>
      <c r="CE233" s="1409">
        <f ca="1">IF(B233&gt;=$J$5,0,CONTADORES!CB239-CONTADORES!CB238)</f>
        <v>0</v>
      </c>
      <c r="CF233" s="1409">
        <f t="shared" ca="1" si="116"/>
        <v>0</v>
      </c>
      <c r="CG233" s="1409">
        <f t="shared" ca="1" si="117"/>
        <v>0</v>
      </c>
      <c r="CH233" s="1409">
        <f t="shared" ca="1" si="118"/>
        <v>0</v>
      </c>
      <c r="CI233" s="1409">
        <f t="shared" ca="1" si="119"/>
        <v>0</v>
      </c>
      <c r="CJ233" s="1409">
        <f t="shared" ca="1" si="120"/>
        <v>0</v>
      </c>
      <c r="CK233" s="1409">
        <f t="shared" ca="1" si="121"/>
        <v>0</v>
      </c>
      <c r="CL233" s="1409">
        <f t="shared" ca="1" si="122"/>
        <v>0</v>
      </c>
      <c r="CM233" s="1409">
        <f t="shared" ca="1" si="123"/>
        <v>0</v>
      </c>
      <c r="CN233" s="1409">
        <f ca="1">IF(B233&gt;=$J$5,0,CONTADORES!CB239-CONTADORES!CB238)</f>
        <v>0</v>
      </c>
      <c r="CO233" s="1409">
        <f t="shared" ca="1" si="124"/>
        <v>0</v>
      </c>
      <c r="CP233" s="1409">
        <f t="shared" ca="1" si="125"/>
        <v>0</v>
      </c>
      <c r="CQ233" s="1409">
        <f t="shared" ca="1" si="126"/>
        <v>0</v>
      </c>
      <c r="CR233" s="1409">
        <f t="shared" ca="1" si="127"/>
        <v>0</v>
      </c>
      <c r="CS233" s="1468">
        <f ca="1">IF($B233&gt;=$J$5,0,CONTADORES!$BI239)</f>
        <v>0</v>
      </c>
      <c r="CT233" s="1334">
        <f>CONTADORES!E239</f>
        <v>0</v>
      </c>
      <c r="CU233" s="1334">
        <f>CONTADORES!CG239</f>
        <v>0</v>
      </c>
    </row>
    <row r="234" spans="2:99">
      <c r="B234" s="390">
        <v>45150</v>
      </c>
      <c r="C234" s="198">
        <f t="shared" ca="1" si="101"/>
        <v>0</v>
      </c>
      <c r="D234" s="196">
        <f ca="1">'CALCULO DE GAS'!P49</f>
        <v>0</v>
      </c>
      <c r="E234" s="196">
        <f ca="1">IF(B234&gt;=$J$5,0,(CONTADORES!$AD240-CONTADORES!$AD239)-$H234)</f>
        <v>0</v>
      </c>
      <c r="F234" s="198">
        <f t="shared" ca="1" si="129"/>
        <v>0</v>
      </c>
      <c r="G234" s="206">
        <f ca="1">IF(B234&gt;=$J$5,0,CONTADORES!$AF240-CONTADORES!$AF239)</f>
        <v>0</v>
      </c>
      <c r="H234" s="206">
        <f ca="1">IF(G234&gt;0,CONTADORES!$AE240-CONTADORES!$AE239,0)</f>
        <v>0</v>
      </c>
      <c r="I234" s="208">
        <f ca="1">IF(B234&gt;=$J$5,0,CONTADORES!$AB240-CONTADORES!$AB239)</f>
        <v>0</v>
      </c>
      <c r="J234" s="198">
        <f t="shared" ca="1" si="102"/>
        <v>0</v>
      </c>
      <c r="K234" s="196">
        <f ca="1">'CALCULO DE GAS'!Q49</f>
        <v>0</v>
      </c>
      <c r="L234" s="1396">
        <f ca="1">IF(B234&gt;=$J$5,0,(CONTADORES!$Y240-CONTADORES!$Y239)-$O234)</f>
        <v>0</v>
      </c>
      <c r="M234" s="1396">
        <f t="shared" ca="1" si="130"/>
        <v>0</v>
      </c>
      <c r="N234" s="1396">
        <f ca="1">IF(B234&gt;=$J$5,0,CONTADORES!$AA240-CONTADORES!$AA239)</f>
        <v>0</v>
      </c>
      <c r="O234" s="1396">
        <f ca="1">IF(N234&gt;0,CONTADORES!$Z240-CONTADORES!$Z239,0)</f>
        <v>0</v>
      </c>
      <c r="P234" s="202">
        <f ca="1">IF(B234&gt;=$J$5,0,CONTADORES!$W240-CONTADORES!$W239)</f>
        <v>0</v>
      </c>
      <c r="Q234" s="202">
        <f ca="1">IF(B234&gt;=$J$5,0,CONTADORES!$B240-CONTADORES!$B239)</f>
        <v>0</v>
      </c>
      <c r="R234" s="196">
        <f t="shared" ca="1" si="103"/>
        <v>0</v>
      </c>
      <c r="S234" s="11">
        <f ca="1">IF(B234&gt;=$J$5,0,CONTADORES!$D240-CONTADORES!$D239)</f>
        <v>0</v>
      </c>
      <c r="T234" s="198">
        <f ca="1">IF(B234&gt;=$J$5,0,CONTADORES!$BB240-CONTADORES!$BB239)</f>
        <v>0</v>
      </c>
      <c r="U234" s="196">
        <f t="shared" ca="1" si="131"/>
        <v>0</v>
      </c>
      <c r="V234" s="199">
        <f ca="1">IF(B234&gt;=$J$5,0,CONTADORES!$BD240-CONTADORES!$BD239)</f>
        <v>0</v>
      </c>
      <c r="W234" s="1397">
        <f t="shared" ca="1" si="104"/>
        <v>0</v>
      </c>
      <c r="X234" s="1397">
        <f t="shared" ca="1" si="105"/>
        <v>0</v>
      </c>
      <c r="Y234" s="1398">
        <f t="shared" ca="1" si="106"/>
        <v>0</v>
      </c>
      <c r="Z234" s="1398">
        <f t="shared" ca="1" si="107"/>
        <v>0</v>
      </c>
      <c r="AA234" s="1398">
        <f t="shared" ca="1" si="108"/>
        <v>0</v>
      </c>
      <c r="AB234" s="1398">
        <f t="shared" ca="1" si="109"/>
        <v>0</v>
      </c>
      <c r="AC234" s="1397">
        <f t="shared" ca="1" si="110"/>
        <v>0</v>
      </c>
      <c r="AD234" s="1409">
        <f ca="1">IF(B234&gt;=$J$5,0,CONTADORES!H240-CONTADORES!H239)</f>
        <v>0</v>
      </c>
      <c r="AE234" s="1438">
        <f ca="1">IF(B234&gt;=$J$5,0,CONTADORES!J240-CONTADORES!J239)</f>
        <v>0</v>
      </c>
      <c r="AF234" s="1438">
        <f ca="1">IF(B234&gt;=$J$5,0,CONTADORES!AU240-CONTADORES!AU239)</f>
        <v>0</v>
      </c>
      <c r="AG234" s="1438">
        <f ca="1">IF(B234&gt;=$J$5,0,CONTADORES!AW240-CONTADORES!AW239)</f>
        <v>0</v>
      </c>
      <c r="AH234" s="1409">
        <f ca="1">IF(B234&gt;=$J$5,0,(CONTADORES!AM240-CONTADORES!AM239)+(CONTADORES!M240-CONTADORES!M239))</f>
        <v>0</v>
      </c>
      <c r="AI234" s="1438">
        <f ca="1">IF(B234&gt;=$J$5,0,(CONTADORES!AK240-CONTADORES!AK239)+(CONTADORES!O240-CONTADORES!O239))</f>
        <v>0</v>
      </c>
      <c r="AJ234" s="1438">
        <f ca="1">IF(B234&gt;=$J$5,0,(CONTADORES!AI240-CONTADORES!AI239))</f>
        <v>0</v>
      </c>
      <c r="AK234" s="1438">
        <f ca="1">IF(B234&gt;=$J$5,0,(CONTADORES!Q240-CONTADORES!Q239))</f>
        <v>0</v>
      </c>
      <c r="AL234" s="1461">
        <f t="shared" ca="1" si="111"/>
        <v>0</v>
      </c>
      <c r="AM234" s="1409">
        <f ca="1">IF(B234&gt;=$J$5,0,(((CONTADORES!F240-CONTADORES!F239)+(CONTADORES!AQ240-CONTADORES!AQ239))))-BS234-AF234-AN234-BV234-BY234-CD234-CB234</f>
        <v>0</v>
      </c>
      <c r="AN234" s="1438">
        <f ca="1">IF(B234&gt;=$J$5,0,(CONTADORES!AX240-CONTADORES!AX239)+(CONTADORES!AZ240-CONTADORES!AZ239)+(CONTADORES!BE240-CONTADORES!BE239))-CB234</f>
        <v>0</v>
      </c>
      <c r="AO234" s="1466">
        <f>(CONTADORES!AC240-CONTADORES!AC239)</f>
        <v>0</v>
      </c>
      <c r="AP234" s="1466">
        <f>(CONTADORES!X240-CONTADORES!X239)</f>
        <v>0</v>
      </c>
      <c r="AQ234" s="1467">
        <f>(CONTADORES!C240-CONTADORES!C239)</f>
        <v>0</v>
      </c>
      <c r="AR234" s="1466">
        <f ca="1">AR233+(CONTADORES!BC240-CONTADORES!BC239)</f>
        <v>0</v>
      </c>
      <c r="AS234" s="1438">
        <f ca="1">IF(B234&gt;=$J$5,0,CONTADORES!S240-CONTADORES!S239)</f>
        <v>0</v>
      </c>
      <c r="AT234" s="1438">
        <f ca="1">IF(B234&gt;=$J$5,0,(CONTADORES!U240-CONTADORES!U239)+(CONTADORES!AG240-CONTADORES!AG239))</f>
        <v>0</v>
      </c>
      <c r="AU234" s="1437">
        <f>CONTADORES!I240-CONTADORES!I239</f>
        <v>0</v>
      </c>
      <c r="AV234" s="1466">
        <f>CONTADORES!AV240-CONTADORES!AV239</f>
        <v>0</v>
      </c>
      <c r="AW234" s="1466">
        <f ca="1">IF(B234&gt;=$J$5,0,(CONTADORES!N240-CONTADORES!N239)+(CONTADORES!AN240-CONTADORES!AN239))</f>
        <v>0</v>
      </c>
      <c r="AX234" s="1466">
        <f ca="1">IF(B234&gt;=$J$5,0,(CONTADORES!P240-CONTADORES!P239)+(CONTADORES!AL240-CONTADORES!AL239))</f>
        <v>0</v>
      </c>
      <c r="AY234" s="1466">
        <f ca="1">IF(B234&gt;=$J$5,0,(CONTADORES!AJ240-CONTADORES!AJ239))</f>
        <v>0</v>
      </c>
      <c r="AZ234" s="1466">
        <f ca="1">IF(B234&gt;=$J$5,0,(CONTADORES!R240-CONTADORES!R239))</f>
        <v>0</v>
      </c>
      <c r="BA234" s="1409">
        <f t="shared" ca="1" si="112"/>
        <v>0</v>
      </c>
      <c r="BB234" s="1437">
        <f ca="1">IF(B234&gt;=$J$5,0,(((CONTADORES!G240-CONTADORES!G239)+(CONTADORES!AR240-CONTADORES!AR239)+AR234)-(AV234+BC234)))</f>
        <v>0</v>
      </c>
      <c r="BC234" s="1438">
        <f ca="1">IF(B234&gt;=$J$5,0,(CONTADORES!AY240-CONTADORES!AY239)+(CONTADORES!BA240-CONTADORES!BA239)+(CONTADORES!BF240-CONTADORES!BF239))</f>
        <v>0</v>
      </c>
      <c r="BD234" s="1397">
        <f t="shared" ca="1" si="113"/>
        <v>0</v>
      </c>
      <c r="BE234" s="1398">
        <f ca="1">IF($B234&gt;=$J$5,0,CONTADORES!$BG240)</f>
        <v>0</v>
      </c>
      <c r="BF234" s="1397">
        <f ca="1">IF($B234&gt;=$J$5,0,CONTADORES!$BH240)</f>
        <v>0</v>
      </c>
      <c r="BG234" s="1397">
        <f ca="1">IF($B234&gt;=$J$5,0,CONTADORES!$BJ240)</f>
        <v>0</v>
      </c>
      <c r="BH234" s="1397">
        <f ca="1">IF(B234&gt;=$J$5,0,((CONTADORES!BK240-CONTADORES!BK239)/1000))</f>
        <v>0</v>
      </c>
      <c r="BI234" s="1397">
        <f ca="1">IF(C234&gt;=$J$5,0,((CONTADORES!BL240-CONTADORES!BL239)/1000))</f>
        <v>0</v>
      </c>
      <c r="BJ234" s="1397">
        <f ca="1">IF(C234&gt;=$J$5,0,((CONTADORES!BM240-CONTADORES!BM239)/1000))</f>
        <v>0</v>
      </c>
      <c r="BK234" s="1397">
        <f ca="1">IF(D234&gt;=$J$5,0,((CONTADORES!BN240-CONTADORES!BN239)/1000))</f>
        <v>0</v>
      </c>
      <c r="BL234" s="1399">
        <f t="shared" ca="1" si="114"/>
        <v>0</v>
      </c>
      <c r="BM234" s="1399">
        <f t="shared" ca="1" si="115"/>
        <v>0</v>
      </c>
      <c r="BN234" s="1398">
        <f ca="1">IF(W234&gt;=$J$5,0,CONTADORES!$BO240)</f>
        <v>0</v>
      </c>
      <c r="BO234" s="1409">
        <f ca="1">IF(W234&gt;=$J$5,0,CONTADORES!$BP240)</f>
        <v>0</v>
      </c>
      <c r="BP234" s="1438">
        <f ca="1">IF(W234&gt;=$J$5,0,CONTADORES!$BQ240)</f>
        <v>0</v>
      </c>
      <c r="BQ234" s="1438">
        <f ca="1">IF(B234&gt;=$J$5,0,(CONTADORES!AS240-CONTADORES!AS239))</f>
        <v>0</v>
      </c>
      <c r="BR234" s="1438">
        <f ca="1">IF(C234&gt;=$J$5,0,(CONTADORES!AT240-CONTADORES!AT239))</f>
        <v>0</v>
      </c>
      <c r="BS234" s="1409">
        <f ca="1">IF(B234&gt;=$J$5,0,CONTADORES!BR240-CONTADORES!BR239)/1000</f>
        <v>0</v>
      </c>
      <c r="BT234" s="1409">
        <f ca="1">IF(B234&gt;=$J$5,0,CONTADORES!BS240-CONTADORES!BS239)</f>
        <v>0</v>
      </c>
      <c r="BU234" s="1409">
        <f ca="1">IF(B234&gt;=$J$5,0,CONTADORES!BT240-CONTADORES!BT239)</f>
        <v>0</v>
      </c>
      <c r="BV234" s="1409">
        <f ca="1">IF(B234&gt;=$J$5,0,CONTADORES!BU240-CONTADORES!BU239)/1000</f>
        <v>0</v>
      </c>
      <c r="BW234" s="1409">
        <f ca="1">IF(B234&gt;=$J$5,0,CONTADORES!BV240-CONTADORES!BV239)/1000</f>
        <v>0</v>
      </c>
      <c r="BX234" s="1409">
        <f ca="1">IF(B234&gt;=$J$5,0,CONTADORES!BW240-CONTADORES!BW239)</f>
        <v>0</v>
      </c>
      <c r="BY234" s="1409">
        <f ca="1">IF(B234&gt;=$J$5,0,CONTADORES!BX240-CONTADORES!BX239)/1000</f>
        <v>0</v>
      </c>
      <c r="BZ234" s="1409">
        <f ca="1">IF(B234&gt;=$J$5,0,CONTADORES!BY240-CONTADORES!BY239)/1000</f>
        <v>0</v>
      </c>
      <c r="CA234" s="1409">
        <f ca="1">IF(B234&gt;=$J$5,0,CONTADORES!BZ240-CONTADORES!BZ239)</f>
        <v>0</v>
      </c>
      <c r="CB234" s="1409">
        <f ca="1">IF(B234&gt;=$J$5,0,(CONTADORES!CC240-CONTADORES!CC239)+(CONTADORES!CE240-CONTADORES!CE239))/1000</f>
        <v>0</v>
      </c>
      <c r="CC234" s="1409">
        <f ca="1">IF(B234&gt;=$J$5,0,(CONTADORES!CD240-CONTADORES!CD239)+(CONTADORES!CF240-CONTADORES!CF239))/1000</f>
        <v>0</v>
      </c>
      <c r="CD234" s="1409">
        <f ca="1">IF(B234&gt;=$J$5,0,CONTADORES!CA240-CONTADORES!CA239)</f>
        <v>0</v>
      </c>
      <c r="CE234" s="1409">
        <f ca="1">IF(B234&gt;=$J$5,0,CONTADORES!CB240-CONTADORES!CB239)</f>
        <v>0</v>
      </c>
      <c r="CF234" s="1409">
        <f t="shared" ca="1" si="116"/>
        <v>0</v>
      </c>
      <c r="CG234" s="1409">
        <f t="shared" ca="1" si="117"/>
        <v>0</v>
      </c>
      <c r="CH234" s="1409">
        <f t="shared" ca="1" si="118"/>
        <v>0</v>
      </c>
      <c r="CI234" s="1409">
        <f t="shared" ca="1" si="119"/>
        <v>0</v>
      </c>
      <c r="CJ234" s="1409">
        <f t="shared" ca="1" si="120"/>
        <v>0</v>
      </c>
      <c r="CK234" s="1409">
        <f t="shared" ca="1" si="121"/>
        <v>0</v>
      </c>
      <c r="CL234" s="1409">
        <f t="shared" ca="1" si="122"/>
        <v>0</v>
      </c>
      <c r="CM234" s="1409">
        <f t="shared" ca="1" si="123"/>
        <v>0</v>
      </c>
      <c r="CN234" s="1409">
        <f ca="1">IF(B234&gt;=$J$5,0,CONTADORES!CB240-CONTADORES!CB239)</f>
        <v>0</v>
      </c>
      <c r="CO234" s="1409">
        <f t="shared" ca="1" si="124"/>
        <v>0</v>
      </c>
      <c r="CP234" s="1409">
        <f t="shared" ca="1" si="125"/>
        <v>0</v>
      </c>
      <c r="CQ234" s="1409">
        <f t="shared" ca="1" si="126"/>
        <v>0</v>
      </c>
      <c r="CR234" s="1409">
        <f t="shared" ca="1" si="127"/>
        <v>0</v>
      </c>
      <c r="CS234" s="1468">
        <f ca="1">IF($B234&gt;=$J$5,0,CONTADORES!$BI240)</f>
        <v>0</v>
      </c>
      <c r="CT234" s="1334">
        <f>CONTADORES!E240</f>
        <v>0</v>
      </c>
      <c r="CU234" s="1334">
        <f>CONTADORES!CG240</f>
        <v>0</v>
      </c>
    </row>
    <row r="235" spans="2:99">
      <c r="B235" s="390">
        <v>45151</v>
      </c>
      <c r="C235" s="198">
        <f t="shared" ca="1" si="101"/>
        <v>0</v>
      </c>
      <c r="D235" s="196">
        <f ca="1">'CALCULO DE GAS'!P50</f>
        <v>0</v>
      </c>
      <c r="E235" s="196">
        <f ca="1">IF(B235&gt;=$J$5,0,(CONTADORES!$AD241-CONTADORES!$AD240)-$H235)</f>
        <v>0</v>
      </c>
      <c r="F235" s="198">
        <f t="shared" ca="1" si="129"/>
        <v>0</v>
      </c>
      <c r="G235" s="206">
        <f ca="1">IF(B235&gt;=$J$5,0,CONTADORES!$AF241-CONTADORES!$AF240)</f>
        <v>0</v>
      </c>
      <c r="H235" s="206">
        <f ca="1">IF(G235&gt;0,CONTADORES!$AE241-CONTADORES!$AE240,0)</f>
        <v>0</v>
      </c>
      <c r="I235" s="208">
        <f ca="1">IF(B235&gt;=$J$5,0,CONTADORES!$AB241-CONTADORES!$AB240)</f>
        <v>0</v>
      </c>
      <c r="J235" s="198">
        <f t="shared" ca="1" si="102"/>
        <v>0</v>
      </c>
      <c r="K235" s="196">
        <f ca="1">'CALCULO DE GAS'!Q50</f>
        <v>0</v>
      </c>
      <c r="L235" s="1396">
        <f ca="1">IF(B235&gt;=$J$5,0,(CONTADORES!$Y241-CONTADORES!$Y240)-$O235)</f>
        <v>0</v>
      </c>
      <c r="M235" s="1396">
        <f t="shared" ca="1" si="130"/>
        <v>0</v>
      </c>
      <c r="N235" s="1396">
        <f ca="1">IF(B235&gt;=$J$5,0,CONTADORES!$AA241-CONTADORES!$AA240)</f>
        <v>0</v>
      </c>
      <c r="O235" s="1396">
        <f ca="1">IF(N235&gt;0,CONTADORES!$Z241-CONTADORES!$Z240,0)</f>
        <v>0</v>
      </c>
      <c r="P235" s="202">
        <f ca="1">IF(B235&gt;=$J$5,0,CONTADORES!$W241-CONTADORES!$W240)</f>
        <v>0</v>
      </c>
      <c r="Q235" s="202">
        <f ca="1">IF(B235&gt;=$J$5,0,CONTADORES!$B241-CONTADORES!$B240)</f>
        <v>0</v>
      </c>
      <c r="R235" s="196">
        <f t="shared" ca="1" si="103"/>
        <v>0</v>
      </c>
      <c r="S235" s="11">
        <f ca="1">IF(B235&gt;=$J$5,0,CONTADORES!$D241-CONTADORES!$D240)</f>
        <v>0</v>
      </c>
      <c r="T235" s="198">
        <f ca="1">IF(B235&gt;=$J$5,0,CONTADORES!$BB241-CONTADORES!$BB240)</f>
        <v>0</v>
      </c>
      <c r="U235" s="196">
        <f t="shared" ca="1" si="131"/>
        <v>0</v>
      </c>
      <c r="V235" s="199">
        <f ca="1">IF(B235&gt;=$J$5,0,CONTADORES!$BD241-CONTADORES!$BD240)</f>
        <v>0</v>
      </c>
      <c r="W235" s="1397">
        <f t="shared" ca="1" si="104"/>
        <v>0</v>
      </c>
      <c r="X235" s="1397">
        <f t="shared" ca="1" si="105"/>
        <v>0</v>
      </c>
      <c r="Y235" s="1398">
        <f t="shared" ca="1" si="106"/>
        <v>0</v>
      </c>
      <c r="Z235" s="1398">
        <f t="shared" ca="1" si="107"/>
        <v>0</v>
      </c>
      <c r="AA235" s="1398">
        <f t="shared" ca="1" si="108"/>
        <v>0</v>
      </c>
      <c r="AB235" s="1398">
        <f t="shared" ca="1" si="109"/>
        <v>0</v>
      </c>
      <c r="AC235" s="1397">
        <f t="shared" ca="1" si="110"/>
        <v>0</v>
      </c>
      <c r="AD235" s="1409">
        <f ca="1">IF(B235&gt;=$J$5,0,CONTADORES!H241-CONTADORES!H240)</f>
        <v>0</v>
      </c>
      <c r="AE235" s="1438">
        <f ca="1">IF(B235&gt;=$J$5,0,CONTADORES!J241-CONTADORES!J240)</f>
        <v>0</v>
      </c>
      <c r="AF235" s="1438">
        <f ca="1">IF(B235&gt;=$J$5,0,CONTADORES!AU241-CONTADORES!AU240)</f>
        <v>0</v>
      </c>
      <c r="AG235" s="1438">
        <f ca="1">IF(B235&gt;=$J$5,0,CONTADORES!AW241-CONTADORES!AW240)</f>
        <v>0</v>
      </c>
      <c r="AH235" s="1409">
        <f ca="1">IF(B235&gt;=$J$5,0,(CONTADORES!AM241-CONTADORES!AM240)+(CONTADORES!M241-CONTADORES!M240))</f>
        <v>0</v>
      </c>
      <c r="AI235" s="1438">
        <f ca="1">IF(B235&gt;=$J$5,0,(CONTADORES!AK241-CONTADORES!AK240)+(CONTADORES!O241-CONTADORES!O240))</f>
        <v>0</v>
      </c>
      <c r="AJ235" s="1438">
        <f ca="1">IF(B235&gt;=$J$5,0,(CONTADORES!AI241-CONTADORES!AI240))</f>
        <v>0</v>
      </c>
      <c r="AK235" s="1438">
        <f ca="1">IF(B235&gt;=$J$5,0,(CONTADORES!Q241-CONTADORES!Q240))</f>
        <v>0</v>
      </c>
      <c r="AL235" s="1461">
        <f t="shared" ca="1" si="111"/>
        <v>0</v>
      </c>
      <c r="AM235" s="1409">
        <f ca="1">IF(B235&gt;=$J$5,0,(((CONTADORES!F241-CONTADORES!F240)+(CONTADORES!AQ241-CONTADORES!AQ240))))-BS235-AF235-AN235-BV235-BY235-CD235-CB235</f>
        <v>0</v>
      </c>
      <c r="AN235" s="1438">
        <f ca="1">IF(B235&gt;=$J$5,0,(CONTADORES!AX241-CONTADORES!AX240)+(CONTADORES!AZ241-CONTADORES!AZ240)+(CONTADORES!BE241-CONTADORES!BE240))-CB235</f>
        <v>0</v>
      </c>
      <c r="AO235" s="1466">
        <f>(CONTADORES!AC241-CONTADORES!AC240)</f>
        <v>0</v>
      </c>
      <c r="AP235" s="1466">
        <f>(CONTADORES!X241-CONTADORES!X240)</f>
        <v>0</v>
      </c>
      <c r="AQ235" s="1467">
        <f>(CONTADORES!C241-CONTADORES!C240)</f>
        <v>0</v>
      </c>
      <c r="AR235" s="1466">
        <f ca="1">AR234+(CONTADORES!BC241-CONTADORES!BC240)</f>
        <v>0</v>
      </c>
      <c r="AS235" s="1438">
        <f ca="1">IF(B235&gt;=$J$5,0,CONTADORES!S241-CONTADORES!S240)</f>
        <v>0</v>
      </c>
      <c r="AT235" s="1438">
        <f ca="1">IF(B235&gt;=$J$5,0,(CONTADORES!U241-CONTADORES!U240)+(CONTADORES!AG241-CONTADORES!AG240))</f>
        <v>0</v>
      </c>
      <c r="AU235" s="1437">
        <f>CONTADORES!I241-CONTADORES!I240</f>
        <v>0</v>
      </c>
      <c r="AV235" s="1466">
        <f>CONTADORES!AV241-CONTADORES!AV240</f>
        <v>0</v>
      </c>
      <c r="AW235" s="1466">
        <f ca="1">IF(B235&gt;=$J$5,0,(CONTADORES!N241-CONTADORES!N240)+(CONTADORES!AN241-CONTADORES!AN240))</f>
        <v>0</v>
      </c>
      <c r="AX235" s="1466">
        <f ca="1">IF(B235&gt;=$J$5,0,(CONTADORES!P241-CONTADORES!P240)+(CONTADORES!AL241-CONTADORES!AL240))</f>
        <v>0</v>
      </c>
      <c r="AY235" s="1466">
        <f ca="1">IF(B235&gt;=$J$5,0,(CONTADORES!AJ241-CONTADORES!AJ240))</f>
        <v>0</v>
      </c>
      <c r="AZ235" s="1466">
        <f ca="1">IF(B235&gt;=$J$5,0,(CONTADORES!R241-CONTADORES!R240))</f>
        <v>0</v>
      </c>
      <c r="BA235" s="1409">
        <f t="shared" ca="1" si="112"/>
        <v>0</v>
      </c>
      <c r="BB235" s="1437">
        <f ca="1">IF(B235&gt;=$J$5,0,(((CONTADORES!G241-CONTADORES!G240)+(CONTADORES!AR241-CONTADORES!AR240)+AR235)-(AV235+BC235)))</f>
        <v>0</v>
      </c>
      <c r="BC235" s="1438">
        <f ca="1">IF(B235&gt;=$J$5,0,(CONTADORES!AY241-CONTADORES!AY240)+(CONTADORES!BA241-CONTADORES!BA240)+(CONTADORES!BF241-CONTADORES!BF240))</f>
        <v>0</v>
      </c>
      <c r="BD235" s="1397">
        <f t="shared" ca="1" si="113"/>
        <v>0</v>
      </c>
      <c r="BE235" s="1398">
        <f ca="1">IF($B235&gt;=$J$5,0,CONTADORES!$BG241)</f>
        <v>0</v>
      </c>
      <c r="BF235" s="1397">
        <f ca="1">IF($B235&gt;=$J$5,0,CONTADORES!$BH241)</f>
        <v>0</v>
      </c>
      <c r="BG235" s="1397">
        <f ca="1">IF($B235&gt;=$J$5,0,CONTADORES!$BJ241)</f>
        <v>0</v>
      </c>
      <c r="BH235" s="1397">
        <f ca="1">IF(B235&gt;=$J$5,0,((CONTADORES!BK241-CONTADORES!BK240)/1000))</f>
        <v>0</v>
      </c>
      <c r="BI235" s="1397">
        <f ca="1">IF(C235&gt;=$J$5,0,((CONTADORES!BL241-CONTADORES!BL240)/1000))</f>
        <v>0</v>
      </c>
      <c r="BJ235" s="1397">
        <f ca="1">IF(C235&gt;=$J$5,0,((CONTADORES!BM241-CONTADORES!BM240)/1000))</f>
        <v>0</v>
      </c>
      <c r="BK235" s="1397">
        <f ca="1">IF(D235&gt;=$J$5,0,((CONTADORES!BN241-CONTADORES!BN240)/1000))</f>
        <v>0</v>
      </c>
      <c r="BL235" s="1399">
        <f t="shared" ca="1" si="114"/>
        <v>0</v>
      </c>
      <c r="BM235" s="1399">
        <f t="shared" ca="1" si="115"/>
        <v>0</v>
      </c>
      <c r="BN235" s="1398">
        <f ca="1">IF(W235&gt;=$J$5,0,CONTADORES!$BO241)</f>
        <v>0</v>
      </c>
      <c r="BO235" s="1409">
        <f ca="1">IF(W235&gt;=$J$5,0,CONTADORES!$BP241)</f>
        <v>0</v>
      </c>
      <c r="BP235" s="1438">
        <f ca="1">IF(W235&gt;=$J$5,0,CONTADORES!$BQ241)</f>
        <v>0</v>
      </c>
      <c r="BQ235" s="1438">
        <f ca="1">IF(B235&gt;=$J$5,0,(CONTADORES!AS241-CONTADORES!AS240))</f>
        <v>0</v>
      </c>
      <c r="BR235" s="1438">
        <f ca="1">IF(C235&gt;=$J$5,0,(CONTADORES!AT241-CONTADORES!AT240))</f>
        <v>0</v>
      </c>
      <c r="BS235" s="1409">
        <f ca="1">IF(B235&gt;=$J$5,0,CONTADORES!BR241-CONTADORES!BR240)/1000</f>
        <v>0</v>
      </c>
      <c r="BT235" s="1409">
        <f ca="1">IF(B235&gt;=$J$5,0,CONTADORES!BS241-CONTADORES!BS240)</f>
        <v>0</v>
      </c>
      <c r="BU235" s="1409">
        <f ca="1">IF(B235&gt;=$J$5,0,CONTADORES!BT241-CONTADORES!BT240)</f>
        <v>0</v>
      </c>
      <c r="BV235" s="1409">
        <f ca="1">IF(B235&gt;=$J$5,0,CONTADORES!BU241-CONTADORES!BU240)/1000</f>
        <v>0</v>
      </c>
      <c r="BW235" s="1409">
        <f ca="1">IF(B235&gt;=$J$5,0,CONTADORES!BV241-CONTADORES!BV240)/1000</f>
        <v>0</v>
      </c>
      <c r="BX235" s="1409">
        <f ca="1">IF(B235&gt;=$J$5,0,CONTADORES!BW241-CONTADORES!BW240)</f>
        <v>0</v>
      </c>
      <c r="BY235" s="1409">
        <f ca="1">IF(B235&gt;=$J$5,0,CONTADORES!BX241-CONTADORES!BX240)/1000</f>
        <v>0</v>
      </c>
      <c r="BZ235" s="1409">
        <f ca="1">IF(B235&gt;=$J$5,0,CONTADORES!BY241-CONTADORES!BY240)/1000</f>
        <v>0</v>
      </c>
      <c r="CA235" s="1409">
        <f ca="1">IF(B235&gt;=$J$5,0,CONTADORES!BZ241-CONTADORES!BZ240)</f>
        <v>0</v>
      </c>
      <c r="CB235" s="1409">
        <f ca="1">IF(B235&gt;=$J$5,0,(CONTADORES!CC241-CONTADORES!CC240)+(CONTADORES!CE241-CONTADORES!CE240))/1000</f>
        <v>0</v>
      </c>
      <c r="CC235" s="1409">
        <f ca="1">IF(B235&gt;=$J$5,0,(CONTADORES!CD241-CONTADORES!CD240)+(CONTADORES!CF241-CONTADORES!CF240))/1000</f>
        <v>0</v>
      </c>
      <c r="CD235" s="1409">
        <f ca="1">IF(B235&gt;=$J$5,0,CONTADORES!CA241-CONTADORES!CA240)</f>
        <v>0</v>
      </c>
      <c r="CE235" s="1409">
        <f ca="1">IF(B235&gt;=$J$5,0,CONTADORES!CB241-CONTADORES!CB240)</f>
        <v>0</v>
      </c>
      <c r="CF235" s="1409">
        <f t="shared" ca="1" si="116"/>
        <v>0</v>
      </c>
      <c r="CG235" s="1409">
        <f t="shared" ca="1" si="117"/>
        <v>0</v>
      </c>
      <c r="CH235" s="1409">
        <f t="shared" ca="1" si="118"/>
        <v>0</v>
      </c>
      <c r="CI235" s="1409">
        <f t="shared" ca="1" si="119"/>
        <v>0</v>
      </c>
      <c r="CJ235" s="1409">
        <f t="shared" ca="1" si="120"/>
        <v>0</v>
      </c>
      <c r="CK235" s="1409">
        <f t="shared" ca="1" si="121"/>
        <v>0</v>
      </c>
      <c r="CL235" s="1409">
        <f t="shared" ca="1" si="122"/>
        <v>0</v>
      </c>
      <c r="CM235" s="1409">
        <f t="shared" ca="1" si="123"/>
        <v>0</v>
      </c>
      <c r="CN235" s="1409">
        <f ca="1">IF(B235&gt;=$J$5,0,CONTADORES!CB241-CONTADORES!CB240)</f>
        <v>0</v>
      </c>
      <c r="CO235" s="1409">
        <f t="shared" ca="1" si="124"/>
        <v>0</v>
      </c>
      <c r="CP235" s="1409">
        <f t="shared" ca="1" si="125"/>
        <v>0</v>
      </c>
      <c r="CQ235" s="1409">
        <f t="shared" ca="1" si="126"/>
        <v>0</v>
      </c>
      <c r="CR235" s="1409">
        <f t="shared" ca="1" si="127"/>
        <v>0</v>
      </c>
      <c r="CS235" s="1468">
        <f ca="1">IF($B235&gt;=$J$5,0,CONTADORES!$BI241)</f>
        <v>0</v>
      </c>
      <c r="CT235" s="1334">
        <f>CONTADORES!E241</f>
        <v>0</v>
      </c>
      <c r="CU235" s="1334">
        <f>CONTADORES!CG241</f>
        <v>0</v>
      </c>
    </row>
    <row r="236" spans="2:99">
      <c r="B236" s="390">
        <v>45152</v>
      </c>
      <c r="C236" s="198">
        <f t="shared" ca="1" si="101"/>
        <v>0</v>
      </c>
      <c r="D236" s="196">
        <f ca="1">'CALCULO DE GAS'!P51</f>
        <v>0</v>
      </c>
      <c r="E236" s="196">
        <f ca="1">IF(B236&gt;=$J$5,0,(CONTADORES!$AD242-CONTADORES!$AD241)-$H236)</f>
        <v>0</v>
      </c>
      <c r="F236" s="198">
        <f t="shared" ca="1" si="129"/>
        <v>0</v>
      </c>
      <c r="G236" s="206">
        <f ca="1">IF(B236&gt;=$J$5,0,CONTADORES!$AF242-CONTADORES!$AF241)</f>
        <v>0</v>
      </c>
      <c r="H236" s="206">
        <f ca="1">IF(G236&gt;0,CONTADORES!$AE242-CONTADORES!$AE241,0)</f>
        <v>0</v>
      </c>
      <c r="I236" s="208">
        <f ca="1">IF(B236&gt;=$J$5,0,CONTADORES!$AB242-CONTADORES!$AB241)</f>
        <v>0</v>
      </c>
      <c r="J236" s="198">
        <f t="shared" ca="1" si="102"/>
        <v>0</v>
      </c>
      <c r="K236" s="196">
        <f ca="1">'CALCULO DE GAS'!Q51</f>
        <v>0</v>
      </c>
      <c r="L236" s="1396">
        <f ca="1">IF(B236&gt;=$J$5,0,(CONTADORES!$Y242-CONTADORES!$Y241)-$O236)</f>
        <v>0</v>
      </c>
      <c r="M236" s="1396">
        <f t="shared" ca="1" si="130"/>
        <v>0</v>
      </c>
      <c r="N236" s="1396">
        <f ca="1">IF(B236&gt;=$J$5,0,CONTADORES!$AA242-CONTADORES!$AA241)</f>
        <v>0</v>
      </c>
      <c r="O236" s="1396">
        <f ca="1">IF(N236&gt;0,CONTADORES!$Z242-CONTADORES!$Z241,0)</f>
        <v>0</v>
      </c>
      <c r="P236" s="202">
        <f ca="1">IF(B236&gt;=$J$5,0,CONTADORES!$W242-CONTADORES!$W241)</f>
        <v>0</v>
      </c>
      <c r="Q236" s="202">
        <f ca="1">IF(B236&gt;=$J$5,0,CONTADORES!$B242-CONTADORES!$B241)</f>
        <v>0</v>
      </c>
      <c r="R236" s="196">
        <f t="shared" ca="1" si="103"/>
        <v>0</v>
      </c>
      <c r="S236" s="11">
        <f ca="1">IF(B236&gt;=$J$5,0,CONTADORES!$D242-CONTADORES!$D241)</f>
        <v>0</v>
      </c>
      <c r="T236" s="198">
        <f ca="1">IF(B236&gt;=$J$5,0,CONTADORES!$BB242-CONTADORES!$BB241)</f>
        <v>0</v>
      </c>
      <c r="U236" s="196">
        <f t="shared" ca="1" si="131"/>
        <v>0</v>
      </c>
      <c r="V236" s="199">
        <f ca="1">IF(B236&gt;=$J$5,0,CONTADORES!$BD242-CONTADORES!$BD241)</f>
        <v>0</v>
      </c>
      <c r="W236" s="1397">
        <f t="shared" ca="1" si="104"/>
        <v>0</v>
      </c>
      <c r="X236" s="1397">
        <f t="shared" ca="1" si="105"/>
        <v>0</v>
      </c>
      <c r="Y236" s="1398">
        <f t="shared" ca="1" si="106"/>
        <v>0</v>
      </c>
      <c r="Z236" s="1398">
        <f t="shared" ca="1" si="107"/>
        <v>0</v>
      </c>
      <c r="AA236" s="1398">
        <f t="shared" ca="1" si="108"/>
        <v>0</v>
      </c>
      <c r="AB236" s="1398">
        <f t="shared" ca="1" si="109"/>
        <v>0</v>
      </c>
      <c r="AC236" s="1397">
        <f t="shared" ca="1" si="110"/>
        <v>0</v>
      </c>
      <c r="AD236" s="1409">
        <f ca="1">IF(B236&gt;=$J$5,0,CONTADORES!H242-CONTADORES!H241)</f>
        <v>0</v>
      </c>
      <c r="AE236" s="1438">
        <f ca="1">IF(B236&gt;=$J$5,0,CONTADORES!J242-CONTADORES!J241)</f>
        <v>0</v>
      </c>
      <c r="AF236" s="1438">
        <f ca="1">IF(B236&gt;=$J$5,0,CONTADORES!AU242-CONTADORES!AU241)</f>
        <v>0</v>
      </c>
      <c r="AG236" s="1438">
        <f ca="1">IF(B236&gt;=$J$5,0,CONTADORES!AW242-CONTADORES!AW241)</f>
        <v>0</v>
      </c>
      <c r="AH236" s="1409">
        <f ca="1">IF(B236&gt;=$J$5,0,(CONTADORES!AM242-CONTADORES!AM241)+(CONTADORES!M242-CONTADORES!M241))</f>
        <v>0</v>
      </c>
      <c r="AI236" s="1438">
        <f ca="1">IF(B236&gt;=$J$5,0,(CONTADORES!AK242-CONTADORES!AK241)+(CONTADORES!O242-CONTADORES!O241))</f>
        <v>0</v>
      </c>
      <c r="AJ236" s="1438">
        <f ca="1">IF(B236&gt;=$J$5,0,(CONTADORES!AI242-CONTADORES!AI241))</f>
        <v>0</v>
      </c>
      <c r="AK236" s="1438">
        <f ca="1">IF(B236&gt;=$J$5,0,(CONTADORES!Q242-CONTADORES!Q241))</f>
        <v>0</v>
      </c>
      <c r="AL236" s="1461">
        <f t="shared" ca="1" si="111"/>
        <v>0</v>
      </c>
      <c r="AM236" s="1409">
        <f ca="1">IF(B236&gt;=$J$5,0,(((CONTADORES!F242-CONTADORES!F241)+(CONTADORES!AQ242-CONTADORES!AQ241))))-BS236-AF236-AN236-BV236-BY236-CD236-CB236</f>
        <v>0</v>
      </c>
      <c r="AN236" s="1438">
        <f ca="1">IF(B236&gt;=$J$5,0,(CONTADORES!AX242-CONTADORES!AX241)+(CONTADORES!AZ242-CONTADORES!AZ241)+(CONTADORES!BE242-CONTADORES!BE241))-CB236</f>
        <v>0</v>
      </c>
      <c r="AO236" s="1466">
        <f>(CONTADORES!AC242-CONTADORES!AC241)</f>
        <v>0</v>
      </c>
      <c r="AP236" s="1466">
        <f>(CONTADORES!X242-CONTADORES!X241)</f>
        <v>0</v>
      </c>
      <c r="AQ236" s="1467">
        <f>(CONTADORES!C242-CONTADORES!C241)</f>
        <v>0</v>
      </c>
      <c r="AR236" s="1466">
        <f ca="1">AR235+(CONTADORES!BC242-CONTADORES!BC241)</f>
        <v>0</v>
      </c>
      <c r="AS236" s="1438">
        <f ca="1">IF(B236&gt;=$J$5,0,CONTADORES!S242-CONTADORES!S241)</f>
        <v>0</v>
      </c>
      <c r="AT236" s="1438">
        <f ca="1">IF(B236&gt;=$J$5,0,(CONTADORES!U242-CONTADORES!U241)+(CONTADORES!AG242-CONTADORES!AG241))</f>
        <v>0</v>
      </c>
      <c r="AU236" s="1437">
        <f>CONTADORES!I242-CONTADORES!I241</f>
        <v>0</v>
      </c>
      <c r="AV236" s="1466">
        <f>CONTADORES!AV242-CONTADORES!AV241</f>
        <v>0</v>
      </c>
      <c r="AW236" s="1466">
        <f ca="1">IF(B236&gt;=$J$5,0,(CONTADORES!N242-CONTADORES!N241)+(CONTADORES!AN242-CONTADORES!AN241))</f>
        <v>0</v>
      </c>
      <c r="AX236" s="1466">
        <f ca="1">IF(B236&gt;=$J$5,0,(CONTADORES!P242-CONTADORES!P241)+(CONTADORES!AL242-CONTADORES!AL241))</f>
        <v>0</v>
      </c>
      <c r="AY236" s="1466">
        <f ca="1">IF(B236&gt;=$J$5,0,(CONTADORES!AJ242-CONTADORES!AJ241))</f>
        <v>0</v>
      </c>
      <c r="AZ236" s="1466">
        <f ca="1">IF(B236&gt;=$J$5,0,(CONTADORES!R242-CONTADORES!R241))</f>
        <v>0</v>
      </c>
      <c r="BA236" s="1409">
        <f t="shared" ca="1" si="112"/>
        <v>0</v>
      </c>
      <c r="BB236" s="1437">
        <f ca="1">IF(B236&gt;=$J$5,0,(((CONTADORES!G242-CONTADORES!G241)+(CONTADORES!AR242-CONTADORES!AR241)+AR236)-(AV236+BC236)))</f>
        <v>0</v>
      </c>
      <c r="BC236" s="1438">
        <f ca="1">IF(B236&gt;=$J$5,0,(CONTADORES!AY242-CONTADORES!AY241)+(CONTADORES!BA242-CONTADORES!BA241)+(CONTADORES!BF242-CONTADORES!BF241))</f>
        <v>0</v>
      </c>
      <c r="BD236" s="1397">
        <f t="shared" ca="1" si="113"/>
        <v>0</v>
      </c>
      <c r="BE236" s="1398">
        <f ca="1">IF($B236&gt;=$J$5,0,CONTADORES!$BG242)</f>
        <v>0</v>
      </c>
      <c r="BF236" s="1397">
        <f ca="1">IF($B236&gt;=$J$5,0,CONTADORES!$BH242)</f>
        <v>0</v>
      </c>
      <c r="BG236" s="1397">
        <f ca="1">IF($B236&gt;=$J$5,0,CONTADORES!$BJ242)</f>
        <v>0</v>
      </c>
      <c r="BH236" s="1397">
        <f ca="1">IF(B236&gt;=$J$5,0,((CONTADORES!BK242-CONTADORES!BK241)/1000))</f>
        <v>0</v>
      </c>
      <c r="BI236" s="1397">
        <f ca="1">IF(C236&gt;=$J$5,0,((CONTADORES!BL242-CONTADORES!BL241)/1000))</f>
        <v>0</v>
      </c>
      <c r="BJ236" s="1397">
        <f ca="1">IF(C236&gt;=$J$5,0,((CONTADORES!BM242-CONTADORES!BM241)/1000))</f>
        <v>0</v>
      </c>
      <c r="BK236" s="1397">
        <f ca="1">IF(D236&gt;=$J$5,0,((CONTADORES!BN242-CONTADORES!BN241)/1000))</f>
        <v>0</v>
      </c>
      <c r="BL236" s="1399">
        <f t="shared" ca="1" si="114"/>
        <v>0</v>
      </c>
      <c r="BM236" s="1399">
        <f t="shared" ca="1" si="115"/>
        <v>0</v>
      </c>
      <c r="BN236" s="1398">
        <f ca="1">IF(W236&gt;=$J$5,0,CONTADORES!$BO242)</f>
        <v>0</v>
      </c>
      <c r="BO236" s="1409">
        <f ca="1">IF(W236&gt;=$J$5,0,CONTADORES!$BP242)</f>
        <v>0</v>
      </c>
      <c r="BP236" s="1438">
        <f ca="1">IF(W236&gt;=$J$5,0,CONTADORES!$BQ242)</f>
        <v>0</v>
      </c>
      <c r="BQ236" s="1438">
        <f ca="1">IF(B236&gt;=$J$5,0,(CONTADORES!AS242-CONTADORES!AS241))</f>
        <v>0</v>
      </c>
      <c r="BR236" s="1438">
        <f ca="1">IF(C236&gt;=$J$5,0,(CONTADORES!AT242-CONTADORES!AT241))</f>
        <v>0</v>
      </c>
      <c r="BS236" s="1409">
        <f ca="1">IF(B236&gt;=$J$5,0,CONTADORES!BR242-CONTADORES!BR241)/1000</f>
        <v>0</v>
      </c>
      <c r="BT236" s="1409">
        <f ca="1">IF(B236&gt;=$J$5,0,CONTADORES!BS242-CONTADORES!BS241)</f>
        <v>0</v>
      </c>
      <c r="BU236" s="1409">
        <f ca="1">IF(B236&gt;=$J$5,0,CONTADORES!BT242-CONTADORES!BT241)</f>
        <v>0</v>
      </c>
      <c r="BV236" s="1409">
        <f ca="1">IF(B236&gt;=$J$5,0,CONTADORES!BU242-CONTADORES!BU241)/1000</f>
        <v>0</v>
      </c>
      <c r="BW236" s="1409">
        <f ca="1">IF(B236&gt;=$J$5,0,CONTADORES!BV242-CONTADORES!BV241)/1000</f>
        <v>0</v>
      </c>
      <c r="BX236" s="1409">
        <f ca="1">IF(B236&gt;=$J$5,0,CONTADORES!BW242-CONTADORES!BW241)</f>
        <v>0</v>
      </c>
      <c r="BY236" s="1409">
        <f ca="1">IF(B236&gt;=$J$5,0,CONTADORES!BX242-CONTADORES!BX241)/1000</f>
        <v>0</v>
      </c>
      <c r="BZ236" s="1409">
        <f ca="1">IF(B236&gt;=$J$5,0,CONTADORES!BY242-CONTADORES!BY241)/1000</f>
        <v>0</v>
      </c>
      <c r="CA236" s="1409">
        <f ca="1">IF(B236&gt;=$J$5,0,CONTADORES!BZ242-CONTADORES!BZ241)</f>
        <v>0</v>
      </c>
      <c r="CB236" s="1409">
        <f ca="1">IF(B236&gt;=$J$5,0,(CONTADORES!CC242-CONTADORES!CC241)+(CONTADORES!CE242-CONTADORES!CE241))/1000</f>
        <v>0</v>
      </c>
      <c r="CC236" s="1409">
        <f ca="1">IF(B236&gt;=$J$5,0,(CONTADORES!CD242-CONTADORES!CD241)+(CONTADORES!CF242-CONTADORES!CF241))/1000</f>
        <v>0</v>
      </c>
      <c r="CD236" s="1409">
        <f ca="1">IF(B236&gt;=$J$5,0,CONTADORES!CA242-CONTADORES!CA241)</f>
        <v>0</v>
      </c>
      <c r="CE236" s="1409">
        <f ca="1">IF(B236&gt;=$J$5,0,CONTADORES!CB242-CONTADORES!CB241)</f>
        <v>0</v>
      </c>
      <c r="CF236" s="1409">
        <f t="shared" ca="1" si="116"/>
        <v>0</v>
      </c>
      <c r="CG236" s="1409">
        <f t="shared" ca="1" si="117"/>
        <v>0</v>
      </c>
      <c r="CH236" s="1409">
        <f t="shared" ca="1" si="118"/>
        <v>0</v>
      </c>
      <c r="CI236" s="1409">
        <f t="shared" ca="1" si="119"/>
        <v>0</v>
      </c>
      <c r="CJ236" s="1409">
        <f t="shared" ca="1" si="120"/>
        <v>0</v>
      </c>
      <c r="CK236" s="1409">
        <f t="shared" ca="1" si="121"/>
        <v>0</v>
      </c>
      <c r="CL236" s="1409">
        <f t="shared" ca="1" si="122"/>
        <v>0</v>
      </c>
      <c r="CM236" s="1409">
        <f t="shared" ca="1" si="123"/>
        <v>0</v>
      </c>
      <c r="CN236" s="1409">
        <f ca="1">IF(B236&gt;=$J$5,0,CONTADORES!CB242-CONTADORES!CB241)</f>
        <v>0</v>
      </c>
      <c r="CO236" s="1409">
        <f t="shared" ca="1" si="124"/>
        <v>0</v>
      </c>
      <c r="CP236" s="1409">
        <f t="shared" ca="1" si="125"/>
        <v>0</v>
      </c>
      <c r="CQ236" s="1409">
        <f t="shared" ca="1" si="126"/>
        <v>0</v>
      </c>
      <c r="CR236" s="1409">
        <f t="shared" ca="1" si="127"/>
        <v>0</v>
      </c>
      <c r="CS236" s="1468">
        <f ca="1">IF($B236&gt;=$J$5,0,CONTADORES!$BI242)</f>
        <v>0</v>
      </c>
      <c r="CT236" s="1334">
        <f>CONTADORES!E242</f>
        <v>0</v>
      </c>
      <c r="CU236" s="1334">
        <f>CONTADORES!CG242</f>
        <v>0</v>
      </c>
    </row>
    <row r="237" spans="2:99">
      <c r="B237" s="390">
        <v>45153</v>
      </c>
      <c r="C237" s="198">
        <f t="shared" ca="1" si="101"/>
        <v>0</v>
      </c>
      <c r="D237" s="196">
        <f ca="1">'CALCULO DE GAS'!P52</f>
        <v>0</v>
      </c>
      <c r="E237" s="196">
        <f ca="1">IF(B237&gt;=$J$5,0,(CONTADORES!$AD243-CONTADORES!$AD242)-$H237)</f>
        <v>0</v>
      </c>
      <c r="F237" s="198">
        <f t="shared" ca="1" si="129"/>
        <v>0</v>
      </c>
      <c r="G237" s="206">
        <f ca="1">IF(B237&gt;=$J$5,0,CONTADORES!$AF243-CONTADORES!$AF242)</f>
        <v>0</v>
      </c>
      <c r="H237" s="206">
        <f ca="1">IF(G237&gt;0,CONTADORES!$AE243-CONTADORES!$AE242,0)</f>
        <v>0</v>
      </c>
      <c r="I237" s="208">
        <f ca="1">IF(B237&gt;=$J$5,0,CONTADORES!$AB243-CONTADORES!$AB242)</f>
        <v>0</v>
      </c>
      <c r="J237" s="198">
        <f t="shared" ca="1" si="102"/>
        <v>0</v>
      </c>
      <c r="K237" s="196">
        <f ca="1">'CALCULO DE GAS'!Q52</f>
        <v>0</v>
      </c>
      <c r="L237" s="1396">
        <f ca="1">IF(B237&gt;=$J$5,0,(CONTADORES!$Y243-CONTADORES!$Y242)-$O237)</f>
        <v>0</v>
      </c>
      <c r="M237" s="1396">
        <f t="shared" ca="1" si="130"/>
        <v>0</v>
      </c>
      <c r="N237" s="1396">
        <f ca="1">IF(B237&gt;=$J$5,0,CONTADORES!$AA243-CONTADORES!$AA242)</f>
        <v>0</v>
      </c>
      <c r="O237" s="1396">
        <f ca="1">IF(N237&gt;0,CONTADORES!$Z243-CONTADORES!$Z242,0)</f>
        <v>0</v>
      </c>
      <c r="P237" s="202">
        <f ca="1">IF(B237&gt;=$J$5,0,CONTADORES!$W243-CONTADORES!$W242)</f>
        <v>0</v>
      </c>
      <c r="Q237" s="202">
        <f ca="1">IF(B237&gt;=$J$5,0,CONTADORES!$B243-CONTADORES!$B242)</f>
        <v>0</v>
      </c>
      <c r="R237" s="196">
        <f t="shared" ca="1" si="103"/>
        <v>0</v>
      </c>
      <c r="S237" s="11">
        <f ca="1">IF(B237&gt;=$J$5,0,CONTADORES!$D243-CONTADORES!$D242)</f>
        <v>0</v>
      </c>
      <c r="T237" s="198">
        <f ca="1">IF(B237&gt;=$J$5,0,CONTADORES!$BB243-CONTADORES!$BB242)</f>
        <v>0</v>
      </c>
      <c r="U237" s="196">
        <f t="shared" ca="1" si="131"/>
        <v>0</v>
      </c>
      <c r="V237" s="199">
        <f ca="1">IF(B237&gt;=$J$5,0,CONTADORES!$BD243-CONTADORES!$BD242)</f>
        <v>0</v>
      </c>
      <c r="W237" s="1397">
        <f t="shared" ca="1" si="104"/>
        <v>0</v>
      </c>
      <c r="X237" s="1397">
        <f t="shared" ca="1" si="105"/>
        <v>0</v>
      </c>
      <c r="Y237" s="1398">
        <f t="shared" ca="1" si="106"/>
        <v>0</v>
      </c>
      <c r="Z237" s="1398">
        <f t="shared" ca="1" si="107"/>
        <v>0</v>
      </c>
      <c r="AA237" s="1398">
        <f t="shared" ca="1" si="108"/>
        <v>0</v>
      </c>
      <c r="AB237" s="1398">
        <f t="shared" ca="1" si="109"/>
        <v>0</v>
      </c>
      <c r="AC237" s="1397">
        <f t="shared" ca="1" si="110"/>
        <v>0</v>
      </c>
      <c r="AD237" s="1409">
        <f ca="1">IF(B237&gt;=$J$5,0,CONTADORES!H243-CONTADORES!H242)</f>
        <v>0</v>
      </c>
      <c r="AE237" s="1438">
        <f ca="1">IF(B237&gt;=$J$5,0,CONTADORES!J243-CONTADORES!J242)</f>
        <v>0</v>
      </c>
      <c r="AF237" s="1438">
        <f ca="1">IF(B237&gt;=$J$5,0,CONTADORES!AU243-CONTADORES!AU242)</f>
        <v>0</v>
      </c>
      <c r="AG237" s="1438">
        <f ca="1">IF(B237&gt;=$J$5,0,CONTADORES!AW243-CONTADORES!AW242)</f>
        <v>0</v>
      </c>
      <c r="AH237" s="1409">
        <f ca="1">IF(B237&gt;=$J$5,0,(CONTADORES!AM243-CONTADORES!AM242)+(CONTADORES!M243-CONTADORES!M242))</f>
        <v>0</v>
      </c>
      <c r="AI237" s="1438">
        <f ca="1">IF(B237&gt;=$J$5,0,(CONTADORES!AK243-CONTADORES!AK242)+(CONTADORES!O243-CONTADORES!O242))</f>
        <v>0</v>
      </c>
      <c r="AJ237" s="1438">
        <f ca="1">IF(B237&gt;=$J$5,0,(CONTADORES!AI243-CONTADORES!AI242))</f>
        <v>0</v>
      </c>
      <c r="AK237" s="1438">
        <f ca="1">IF(B237&gt;=$J$5,0,(CONTADORES!Q243-CONTADORES!Q242))</f>
        <v>0</v>
      </c>
      <c r="AL237" s="1461">
        <f t="shared" ca="1" si="111"/>
        <v>0</v>
      </c>
      <c r="AM237" s="1409">
        <f ca="1">IF(B237&gt;=$J$5,0,(((CONTADORES!F243-CONTADORES!F242)+(CONTADORES!AQ243-CONTADORES!AQ242))))-BS237-AF237-AN237-BV237-BY237-CD237-CB237</f>
        <v>0</v>
      </c>
      <c r="AN237" s="1438">
        <f ca="1">IF(B237&gt;=$J$5,0,(CONTADORES!AX243-CONTADORES!AX242)+(CONTADORES!AZ243-CONTADORES!AZ242)+(CONTADORES!BE243-CONTADORES!BE242))-CB237</f>
        <v>0</v>
      </c>
      <c r="AO237" s="1466">
        <f>(CONTADORES!AC243-CONTADORES!AC242)</f>
        <v>0</v>
      </c>
      <c r="AP237" s="1466">
        <f>(CONTADORES!X243-CONTADORES!X242)</f>
        <v>0</v>
      </c>
      <c r="AQ237" s="1467">
        <f>(CONTADORES!C243-CONTADORES!C242)</f>
        <v>0</v>
      </c>
      <c r="AR237" s="1466">
        <f ca="1">AR236+(CONTADORES!BC243-CONTADORES!BC242)</f>
        <v>0</v>
      </c>
      <c r="AS237" s="1438">
        <f ca="1">IF(B237&gt;=$J$5,0,CONTADORES!S243-CONTADORES!S242)</f>
        <v>0</v>
      </c>
      <c r="AT237" s="1438">
        <f ca="1">IF(B237&gt;=$J$5,0,(CONTADORES!U243-CONTADORES!U242)+(CONTADORES!AG243-CONTADORES!AG242))</f>
        <v>0</v>
      </c>
      <c r="AU237" s="1437">
        <f>CONTADORES!I243-CONTADORES!I242</f>
        <v>0</v>
      </c>
      <c r="AV237" s="1466">
        <f>CONTADORES!AV243-CONTADORES!AV242</f>
        <v>0</v>
      </c>
      <c r="AW237" s="1466">
        <f ca="1">IF(B237&gt;=$J$5,0,(CONTADORES!N243-CONTADORES!N242)+(CONTADORES!AN243-CONTADORES!AN242))</f>
        <v>0</v>
      </c>
      <c r="AX237" s="1466">
        <f ca="1">IF(B237&gt;=$J$5,0,(CONTADORES!P243-CONTADORES!P242)+(CONTADORES!AL243-CONTADORES!AL242))</f>
        <v>0</v>
      </c>
      <c r="AY237" s="1466">
        <f ca="1">IF(B237&gt;=$J$5,0,(CONTADORES!AJ243-CONTADORES!AJ242))</f>
        <v>0</v>
      </c>
      <c r="AZ237" s="1466">
        <f ca="1">IF(B237&gt;=$J$5,0,(CONTADORES!R243-CONTADORES!R242))</f>
        <v>0</v>
      </c>
      <c r="BA237" s="1409">
        <f t="shared" ca="1" si="112"/>
        <v>0</v>
      </c>
      <c r="BB237" s="1437">
        <f ca="1">IF(B237&gt;=$J$5,0,(((CONTADORES!G243-CONTADORES!G242)+(CONTADORES!AR243-CONTADORES!AR242)+AR237)-(AV237+BC237)))</f>
        <v>0</v>
      </c>
      <c r="BC237" s="1438">
        <f ca="1">IF(B237&gt;=$J$5,0,(CONTADORES!AY243-CONTADORES!AY242)+(CONTADORES!BA243-CONTADORES!BA242)+(CONTADORES!BF243-CONTADORES!BF242))</f>
        <v>0</v>
      </c>
      <c r="BD237" s="1397">
        <f t="shared" ca="1" si="113"/>
        <v>0</v>
      </c>
      <c r="BE237" s="1398">
        <f ca="1">IF($B237&gt;=$J$5,0,CONTADORES!$BG243)</f>
        <v>0</v>
      </c>
      <c r="BF237" s="1397">
        <f ca="1">IF($B237&gt;=$J$5,0,CONTADORES!$BH243)</f>
        <v>0</v>
      </c>
      <c r="BG237" s="1397">
        <f ca="1">IF($B237&gt;=$J$5,0,CONTADORES!$BJ243)</f>
        <v>0</v>
      </c>
      <c r="BH237" s="1397">
        <f ca="1">IF(B237&gt;=$J$5,0,((CONTADORES!BK243-CONTADORES!BK242)/1000))</f>
        <v>0</v>
      </c>
      <c r="BI237" s="1397">
        <f ca="1">IF(C237&gt;=$J$5,0,((CONTADORES!BL243-CONTADORES!BL242)/1000))</f>
        <v>0</v>
      </c>
      <c r="BJ237" s="1397">
        <f ca="1">IF(C237&gt;=$J$5,0,((CONTADORES!BM243-CONTADORES!BM242)/1000))</f>
        <v>0</v>
      </c>
      <c r="BK237" s="1397">
        <f ca="1">IF(D237&gt;=$J$5,0,((CONTADORES!BN243-CONTADORES!BN242)/1000))</f>
        <v>0</v>
      </c>
      <c r="BL237" s="1399">
        <f t="shared" ca="1" si="114"/>
        <v>0</v>
      </c>
      <c r="BM237" s="1399">
        <f t="shared" ca="1" si="115"/>
        <v>0</v>
      </c>
      <c r="BN237" s="1398">
        <f ca="1">IF(W237&gt;=$J$5,0,CONTADORES!$BO243)</f>
        <v>0</v>
      </c>
      <c r="BO237" s="1409">
        <f ca="1">IF(W237&gt;=$J$5,0,CONTADORES!$BP243)</f>
        <v>0</v>
      </c>
      <c r="BP237" s="1438">
        <f ca="1">IF(W237&gt;=$J$5,0,CONTADORES!$BQ243)</f>
        <v>0</v>
      </c>
      <c r="BQ237" s="1438">
        <f ca="1">IF(B237&gt;=$J$5,0,(CONTADORES!AS243-CONTADORES!AS242))</f>
        <v>0</v>
      </c>
      <c r="BR237" s="1438">
        <f ca="1">IF(C237&gt;=$J$5,0,(CONTADORES!AT243-CONTADORES!AT242))</f>
        <v>0</v>
      </c>
      <c r="BS237" s="1409">
        <f ca="1">IF(B237&gt;=$J$5,0,CONTADORES!BR243-CONTADORES!BR242)/1000</f>
        <v>0</v>
      </c>
      <c r="BT237" s="1409">
        <f ca="1">IF(B237&gt;=$J$5,0,CONTADORES!BS243-CONTADORES!BS242)</f>
        <v>0</v>
      </c>
      <c r="BU237" s="1409">
        <f ca="1">IF(B237&gt;=$J$5,0,CONTADORES!BT243-CONTADORES!BT242)</f>
        <v>0</v>
      </c>
      <c r="BV237" s="1409">
        <f ca="1">IF(B237&gt;=$J$5,0,CONTADORES!BU243-CONTADORES!BU242)/1000</f>
        <v>0</v>
      </c>
      <c r="BW237" s="1409">
        <f ca="1">IF(B237&gt;=$J$5,0,CONTADORES!BV243-CONTADORES!BV242)/1000</f>
        <v>0</v>
      </c>
      <c r="BX237" s="1409">
        <f ca="1">IF(B237&gt;=$J$5,0,CONTADORES!BW243-CONTADORES!BW242)</f>
        <v>0</v>
      </c>
      <c r="BY237" s="1409">
        <f ca="1">IF(B237&gt;=$J$5,0,CONTADORES!BX243-CONTADORES!BX242)/1000</f>
        <v>0</v>
      </c>
      <c r="BZ237" s="1409">
        <f ca="1">IF(B237&gt;=$J$5,0,CONTADORES!BY243-CONTADORES!BY242)/1000</f>
        <v>0</v>
      </c>
      <c r="CA237" s="1409">
        <f ca="1">IF(B237&gt;=$J$5,0,CONTADORES!BZ243-CONTADORES!BZ242)</f>
        <v>0</v>
      </c>
      <c r="CB237" s="1409">
        <f ca="1">IF(B237&gt;=$J$5,0,(CONTADORES!CC243-CONTADORES!CC242)+(CONTADORES!CE243-CONTADORES!CE242))/1000</f>
        <v>0</v>
      </c>
      <c r="CC237" s="1409">
        <f ca="1">IF(B237&gt;=$J$5,0,(CONTADORES!CD243-CONTADORES!CD242)+(CONTADORES!CF243-CONTADORES!CF242))/1000</f>
        <v>0</v>
      </c>
      <c r="CD237" s="1409">
        <f ca="1">IF(B237&gt;=$J$5,0,CONTADORES!CA243-CONTADORES!CA242)</f>
        <v>0</v>
      </c>
      <c r="CE237" s="1409">
        <f ca="1">IF(B237&gt;=$J$5,0,CONTADORES!CB243-CONTADORES!CB242)</f>
        <v>0</v>
      </c>
      <c r="CF237" s="1409">
        <f t="shared" ca="1" si="116"/>
        <v>0</v>
      </c>
      <c r="CG237" s="1409">
        <f t="shared" ca="1" si="117"/>
        <v>0</v>
      </c>
      <c r="CH237" s="1409">
        <f t="shared" ca="1" si="118"/>
        <v>0</v>
      </c>
      <c r="CI237" s="1409">
        <f t="shared" ca="1" si="119"/>
        <v>0</v>
      </c>
      <c r="CJ237" s="1409">
        <f t="shared" ca="1" si="120"/>
        <v>0</v>
      </c>
      <c r="CK237" s="1409">
        <f t="shared" ca="1" si="121"/>
        <v>0</v>
      </c>
      <c r="CL237" s="1409">
        <f t="shared" ca="1" si="122"/>
        <v>0</v>
      </c>
      <c r="CM237" s="1409">
        <f t="shared" ca="1" si="123"/>
        <v>0</v>
      </c>
      <c r="CN237" s="1409">
        <f ca="1">IF(B237&gt;=$J$5,0,CONTADORES!CB243-CONTADORES!CB242)</f>
        <v>0</v>
      </c>
      <c r="CO237" s="1409">
        <f t="shared" ca="1" si="124"/>
        <v>0</v>
      </c>
      <c r="CP237" s="1409">
        <f t="shared" ca="1" si="125"/>
        <v>0</v>
      </c>
      <c r="CQ237" s="1409">
        <f t="shared" ca="1" si="126"/>
        <v>0</v>
      </c>
      <c r="CR237" s="1409">
        <f t="shared" ca="1" si="127"/>
        <v>0</v>
      </c>
      <c r="CS237" s="1468">
        <f ca="1">IF($B237&gt;=$J$5,0,CONTADORES!$BI243)</f>
        <v>0</v>
      </c>
      <c r="CT237" s="1334">
        <f>CONTADORES!E243</f>
        <v>0</v>
      </c>
      <c r="CU237" s="1334">
        <f>CONTADORES!CG243</f>
        <v>0</v>
      </c>
    </row>
    <row r="238" spans="2:99">
      <c r="B238" s="390">
        <v>45154</v>
      </c>
      <c r="C238" s="198">
        <f t="shared" ca="1" si="101"/>
        <v>0</v>
      </c>
      <c r="D238" s="196">
        <f ca="1">'CALCULO DE GAS'!P53</f>
        <v>0</v>
      </c>
      <c r="E238" s="196">
        <f ca="1">IF(B238&gt;=$J$5,0,(CONTADORES!$AD244-CONTADORES!$AD243)-$H238)</f>
        <v>0</v>
      </c>
      <c r="F238" s="198">
        <f t="shared" ca="1" si="129"/>
        <v>0</v>
      </c>
      <c r="G238" s="206">
        <f ca="1">IF(B238&gt;=$J$5,0,CONTADORES!$AF244-CONTADORES!$AF243)</f>
        <v>0</v>
      </c>
      <c r="H238" s="206">
        <f ca="1">IF(G238&gt;0,CONTADORES!$AE244-CONTADORES!$AE243,0)</f>
        <v>0</v>
      </c>
      <c r="I238" s="208">
        <f ca="1">IF(B238&gt;=$J$5,0,CONTADORES!$AB244-CONTADORES!$AB243)</f>
        <v>0</v>
      </c>
      <c r="J238" s="198">
        <f t="shared" ca="1" si="102"/>
        <v>0</v>
      </c>
      <c r="K238" s="196">
        <f ca="1">'CALCULO DE GAS'!Q53</f>
        <v>0</v>
      </c>
      <c r="L238" s="1396">
        <f ca="1">IF(B238&gt;=$J$5,0,(CONTADORES!$Y244-CONTADORES!$Y243)-$O238)</f>
        <v>0</v>
      </c>
      <c r="M238" s="1396">
        <f t="shared" ca="1" si="130"/>
        <v>0</v>
      </c>
      <c r="N238" s="1396">
        <f ca="1">IF(B238&gt;=$J$5,0,CONTADORES!$AA244-CONTADORES!$AA243)</f>
        <v>0</v>
      </c>
      <c r="O238" s="1396">
        <f ca="1">IF(N238&gt;0,CONTADORES!$Z244-CONTADORES!$Z243,0)</f>
        <v>0</v>
      </c>
      <c r="P238" s="202">
        <f ca="1">IF(B238&gt;=$J$5,0,CONTADORES!$W244-CONTADORES!$W243)</f>
        <v>0</v>
      </c>
      <c r="Q238" s="202">
        <f ca="1">IF(B238&gt;=$J$5,0,CONTADORES!$B244-CONTADORES!$B243)</f>
        <v>0</v>
      </c>
      <c r="R238" s="196">
        <f t="shared" ca="1" si="103"/>
        <v>0</v>
      </c>
      <c r="S238" s="11">
        <f ca="1">IF(B238&gt;=$J$5,0,CONTADORES!$D244-CONTADORES!$D243)</f>
        <v>0</v>
      </c>
      <c r="T238" s="198">
        <f ca="1">IF(B238&gt;=$J$5,0,CONTADORES!$BB244-CONTADORES!$BB243)</f>
        <v>0</v>
      </c>
      <c r="U238" s="196">
        <f t="shared" ca="1" si="131"/>
        <v>0</v>
      </c>
      <c r="V238" s="199">
        <f ca="1">IF(B238&gt;=$J$5,0,CONTADORES!$BD244-CONTADORES!$BD243)</f>
        <v>0</v>
      </c>
      <c r="W238" s="1397">
        <f t="shared" ca="1" si="104"/>
        <v>0</v>
      </c>
      <c r="X238" s="1397">
        <f t="shared" ca="1" si="105"/>
        <v>0</v>
      </c>
      <c r="Y238" s="1398">
        <f t="shared" ca="1" si="106"/>
        <v>0</v>
      </c>
      <c r="Z238" s="1398">
        <f t="shared" ca="1" si="107"/>
        <v>0</v>
      </c>
      <c r="AA238" s="1398">
        <f t="shared" ca="1" si="108"/>
        <v>0</v>
      </c>
      <c r="AB238" s="1398">
        <f t="shared" ca="1" si="109"/>
        <v>0</v>
      </c>
      <c r="AC238" s="1397">
        <f t="shared" ca="1" si="110"/>
        <v>0</v>
      </c>
      <c r="AD238" s="1409">
        <f ca="1">IF(B238&gt;=$J$5,0,CONTADORES!H244-CONTADORES!H243)</f>
        <v>0</v>
      </c>
      <c r="AE238" s="1438">
        <f ca="1">IF(B238&gt;=$J$5,0,CONTADORES!J244-CONTADORES!J243)</f>
        <v>0</v>
      </c>
      <c r="AF238" s="1438">
        <f ca="1">IF(B238&gt;=$J$5,0,CONTADORES!AU244-CONTADORES!AU243)</f>
        <v>0</v>
      </c>
      <c r="AG238" s="1438">
        <f ca="1">IF(B238&gt;=$J$5,0,CONTADORES!AW244-CONTADORES!AW243)</f>
        <v>0</v>
      </c>
      <c r="AH238" s="1409">
        <f ca="1">IF(B238&gt;=$J$5,0,(CONTADORES!AM244-CONTADORES!AM243)+(CONTADORES!M244-CONTADORES!M243))</f>
        <v>0</v>
      </c>
      <c r="AI238" s="1438">
        <f ca="1">IF(B238&gt;=$J$5,0,(CONTADORES!AK244-CONTADORES!AK243)+(CONTADORES!O244-CONTADORES!O243))</f>
        <v>0</v>
      </c>
      <c r="AJ238" s="1438">
        <f ca="1">IF(B238&gt;=$J$5,0,(CONTADORES!AI244-CONTADORES!AI243))</f>
        <v>0</v>
      </c>
      <c r="AK238" s="1438">
        <f ca="1">IF(B238&gt;=$J$5,0,(CONTADORES!Q244-CONTADORES!Q243))</f>
        <v>0</v>
      </c>
      <c r="AL238" s="1461">
        <f t="shared" ca="1" si="111"/>
        <v>0</v>
      </c>
      <c r="AM238" s="1409">
        <f ca="1">IF(B238&gt;=$J$5,0,(((CONTADORES!F244-CONTADORES!F243)+(CONTADORES!AQ244-CONTADORES!AQ243))))-BS238-AF238-AN238-BV238-BY238-CD238-CB238</f>
        <v>0</v>
      </c>
      <c r="AN238" s="1438">
        <f ca="1">IF(B238&gt;=$J$5,0,(CONTADORES!AX244-CONTADORES!AX243)+(CONTADORES!AZ244-CONTADORES!AZ243)+(CONTADORES!BE244-CONTADORES!BE243))-CB238</f>
        <v>0</v>
      </c>
      <c r="AO238" s="1466">
        <f>(CONTADORES!AC244-CONTADORES!AC243)</f>
        <v>0</v>
      </c>
      <c r="AP238" s="1466">
        <f>(CONTADORES!X244-CONTADORES!X243)</f>
        <v>0</v>
      </c>
      <c r="AQ238" s="1467">
        <f>(CONTADORES!C244-CONTADORES!C243)</f>
        <v>0</v>
      </c>
      <c r="AR238" s="1466">
        <f ca="1">AR237+(CONTADORES!BC244-CONTADORES!BC243)</f>
        <v>0</v>
      </c>
      <c r="AS238" s="1438">
        <f ca="1">IF(B238&gt;=$J$5,0,CONTADORES!S244-CONTADORES!S243)</f>
        <v>0</v>
      </c>
      <c r="AT238" s="1438">
        <f ca="1">IF(B238&gt;=$J$5,0,(CONTADORES!U244-CONTADORES!U243)+(CONTADORES!AG244-CONTADORES!AG243))</f>
        <v>0</v>
      </c>
      <c r="AU238" s="1437">
        <f>CONTADORES!I244-CONTADORES!I243</f>
        <v>0</v>
      </c>
      <c r="AV238" s="1466">
        <f>CONTADORES!AV244-CONTADORES!AV243</f>
        <v>0</v>
      </c>
      <c r="AW238" s="1466">
        <f ca="1">IF(B238&gt;=$J$5,0,(CONTADORES!N244-CONTADORES!N243)+(CONTADORES!AN244-CONTADORES!AN243))</f>
        <v>0</v>
      </c>
      <c r="AX238" s="1466">
        <f ca="1">IF(B238&gt;=$J$5,0,(CONTADORES!P244-CONTADORES!P243)+(CONTADORES!AL244-CONTADORES!AL243))</f>
        <v>0</v>
      </c>
      <c r="AY238" s="1466">
        <f ca="1">IF(B238&gt;=$J$5,0,(CONTADORES!AJ244-CONTADORES!AJ243))</f>
        <v>0</v>
      </c>
      <c r="AZ238" s="1466">
        <f ca="1">IF(B238&gt;=$J$5,0,(CONTADORES!R244-CONTADORES!R243))</f>
        <v>0</v>
      </c>
      <c r="BA238" s="1409">
        <f t="shared" ca="1" si="112"/>
        <v>0</v>
      </c>
      <c r="BB238" s="1437">
        <f ca="1">IF(B238&gt;=$J$5,0,(((CONTADORES!G244-CONTADORES!G243)+(CONTADORES!AR244-CONTADORES!AR243)+AR238)-(AV238+BC238)))</f>
        <v>0</v>
      </c>
      <c r="BC238" s="1438">
        <f ca="1">IF(B238&gt;=$J$5,0,(CONTADORES!AY244-CONTADORES!AY243)+(CONTADORES!BA244-CONTADORES!BA243)+(CONTADORES!BF244-CONTADORES!BF243))</f>
        <v>0</v>
      </c>
      <c r="BD238" s="1397">
        <f t="shared" ca="1" si="113"/>
        <v>0</v>
      </c>
      <c r="BE238" s="1398">
        <f ca="1">IF($B238&gt;=$J$5,0,CONTADORES!$BG244)</f>
        <v>0</v>
      </c>
      <c r="BF238" s="1397">
        <f ca="1">IF($B238&gt;=$J$5,0,CONTADORES!$BH244)</f>
        <v>0</v>
      </c>
      <c r="BG238" s="1397">
        <f ca="1">IF($B238&gt;=$J$5,0,CONTADORES!$BJ244)</f>
        <v>0</v>
      </c>
      <c r="BH238" s="1397">
        <f ca="1">IF(B238&gt;=$J$5,0,((CONTADORES!BK244-CONTADORES!BK243)/1000))</f>
        <v>0</v>
      </c>
      <c r="BI238" s="1397">
        <f ca="1">IF(C238&gt;=$J$5,0,((CONTADORES!BL244-CONTADORES!BL243)/1000))</f>
        <v>0</v>
      </c>
      <c r="BJ238" s="1397">
        <f ca="1">IF(C238&gt;=$J$5,0,((CONTADORES!BM244-CONTADORES!BM243)/1000))</f>
        <v>0</v>
      </c>
      <c r="BK238" s="1397">
        <f ca="1">IF(D238&gt;=$J$5,0,((CONTADORES!BN244-CONTADORES!BN243)/1000))</f>
        <v>0</v>
      </c>
      <c r="BL238" s="1399">
        <f t="shared" ca="1" si="114"/>
        <v>0</v>
      </c>
      <c r="BM238" s="1399">
        <f t="shared" ca="1" si="115"/>
        <v>0</v>
      </c>
      <c r="BN238" s="1398">
        <f ca="1">IF(W238&gt;=$J$5,0,CONTADORES!$BO244)</f>
        <v>0</v>
      </c>
      <c r="BO238" s="1409">
        <f ca="1">IF(W238&gt;=$J$5,0,CONTADORES!$BP244)</f>
        <v>0</v>
      </c>
      <c r="BP238" s="1438">
        <f ca="1">IF(W238&gt;=$J$5,0,CONTADORES!$BQ244)</f>
        <v>0</v>
      </c>
      <c r="BQ238" s="1438">
        <f ca="1">IF(B238&gt;=$J$5,0,(CONTADORES!AS244-CONTADORES!AS243))</f>
        <v>0</v>
      </c>
      <c r="BR238" s="1438">
        <f ca="1">IF(C238&gt;=$J$5,0,(CONTADORES!AT244-CONTADORES!AT243))</f>
        <v>0</v>
      </c>
      <c r="BS238" s="1409">
        <f ca="1">IF(B238&gt;=$J$5,0,CONTADORES!BR244-CONTADORES!BR243)/1000</f>
        <v>0</v>
      </c>
      <c r="BT238" s="1409">
        <f ca="1">IF(B238&gt;=$J$5,0,CONTADORES!BS244-CONTADORES!BS243)</f>
        <v>0</v>
      </c>
      <c r="BU238" s="1409">
        <f ca="1">IF(B238&gt;=$J$5,0,CONTADORES!BT244-CONTADORES!BT243)</f>
        <v>0</v>
      </c>
      <c r="BV238" s="1409">
        <f ca="1">IF(B238&gt;=$J$5,0,CONTADORES!BU244-CONTADORES!BU243)/1000</f>
        <v>0</v>
      </c>
      <c r="BW238" s="1409">
        <f ca="1">IF(B238&gt;=$J$5,0,CONTADORES!BV244-CONTADORES!BV243)/1000</f>
        <v>0</v>
      </c>
      <c r="BX238" s="1409">
        <f ca="1">IF(B238&gt;=$J$5,0,CONTADORES!BW244-CONTADORES!BW243)</f>
        <v>0</v>
      </c>
      <c r="BY238" s="1409">
        <f ca="1">IF(B238&gt;=$J$5,0,CONTADORES!BX244-CONTADORES!BX243)/1000</f>
        <v>0</v>
      </c>
      <c r="BZ238" s="1409">
        <f ca="1">IF(B238&gt;=$J$5,0,CONTADORES!BY244-CONTADORES!BY243)/1000</f>
        <v>0</v>
      </c>
      <c r="CA238" s="1409">
        <f ca="1">IF(B238&gt;=$J$5,0,CONTADORES!BZ244-CONTADORES!BZ243)</f>
        <v>0</v>
      </c>
      <c r="CB238" s="1409">
        <f ca="1">IF(B238&gt;=$J$5,0,(CONTADORES!CC244-CONTADORES!CC243)+(CONTADORES!CE244-CONTADORES!CE243))/1000</f>
        <v>0</v>
      </c>
      <c r="CC238" s="1409">
        <f ca="1">IF(B238&gt;=$J$5,0,(CONTADORES!CD244-CONTADORES!CD243)+(CONTADORES!CF244-CONTADORES!CF243))/1000</f>
        <v>0</v>
      </c>
      <c r="CD238" s="1409">
        <f ca="1">IF(B238&gt;=$J$5,0,CONTADORES!CA244-CONTADORES!CA243)</f>
        <v>0</v>
      </c>
      <c r="CE238" s="1409">
        <f ca="1">IF(B238&gt;=$J$5,0,CONTADORES!CB244-CONTADORES!CB243)</f>
        <v>0</v>
      </c>
      <c r="CF238" s="1409">
        <f t="shared" ca="1" si="116"/>
        <v>0</v>
      </c>
      <c r="CG238" s="1409">
        <f t="shared" ca="1" si="117"/>
        <v>0</v>
      </c>
      <c r="CH238" s="1409">
        <f t="shared" ca="1" si="118"/>
        <v>0</v>
      </c>
      <c r="CI238" s="1409">
        <f t="shared" ca="1" si="119"/>
        <v>0</v>
      </c>
      <c r="CJ238" s="1409">
        <f t="shared" ca="1" si="120"/>
        <v>0</v>
      </c>
      <c r="CK238" s="1409">
        <f t="shared" ca="1" si="121"/>
        <v>0</v>
      </c>
      <c r="CL238" s="1409">
        <f t="shared" ca="1" si="122"/>
        <v>0</v>
      </c>
      <c r="CM238" s="1409">
        <f t="shared" ca="1" si="123"/>
        <v>0</v>
      </c>
      <c r="CN238" s="1409">
        <f ca="1">IF(B238&gt;=$J$5,0,CONTADORES!CB244-CONTADORES!CB243)</f>
        <v>0</v>
      </c>
      <c r="CO238" s="1409">
        <f t="shared" ca="1" si="124"/>
        <v>0</v>
      </c>
      <c r="CP238" s="1409">
        <f t="shared" ca="1" si="125"/>
        <v>0</v>
      </c>
      <c r="CQ238" s="1409">
        <f t="shared" ca="1" si="126"/>
        <v>0</v>
      </c>
      <c r="CR238" s="1409">
        <f t="shared" ca="1" si="127"/>
        <v>0</v>
      </c>
      <c r="CS238" s="1468">
        <f ca="1">IF($B238&gt;=$J$5,0,CONTADORES!$BI244)</f>
        <v>0</v>
      </c>
      <c r="CT238" s="1334">
        <f>CONTADORES!E244</f>
        <v>0</v>
      </c>
      <c r="CU238" s="1334">
        <f>CONTADORES!CG244</f>
        <v>0</v>
      </c>
    </row>
    <row r="239" spans="2:99">
      <c r="B239" s="390">
        <v>45155</v>
      </c>
      <c r="C239" s="198">
        <f t="shared" ca="1" si="101"/>
        <v>0</v>
      </c>
      <c r="D239" s="196">
        <f ca="1">'CALCULO DE GAS'!P54</f>
        <v>0</v>
      </c>
      <c r="E239" s="196">
        <f ca="1">IF(B239&gt;=$J$5,0,(CONTADORES!$AD245-CONTADORES!$AD244)-$H239)</f>
        <v>0</v>
      </c>
      <c r="F239" s="198">
        <f t="shared" ca="1" si="129"/>
        <v>0</v>
      </c>
      <c r="G239" s="206">
        <f ca="1">IF(B239&gt;=$J$5,0,CONTADORES!$AF245-CONTADORES!$AF244)</f>
        <v>0</v>
      </c>
      <c r="H239" s="206">
        <f ca="1">IF(G239&gt;0,CONTADORES!$AE245-CONTADORES!$AE244,0)</f>
        <v>0</v>
      </c>
      <c r="I239" s="208">
        <f ca="1">IF(B239&gt;=$J$5,0,CONTADORES!$AB245-CONTADORES!$AB244)</f>
        <v>0</v>
      </c>
      <c r="J239" s="198">
        <f t="shared" ca="1" si="102"/>
        <v>0</v>
      </c>
      <c r="K239" s="196">
        <f ca="1">'CALCULO DE GAS'!Q54</f>
        <v>0</v>
      </c>
      <c r="L239" s="1396">
        <f ca="1">IF(B239&gt;=$J$5,0,(CONTADORES!$Y245-CONTADORES!$Y244)-$O239)</f>
        <v>0</v>
      </c>
      <c r="M239" s="1396">
        <f t="shared" ca="1" si="130"/>
        <v>0</v>
      </c>
      <c r="N239" s="1396">
        <f ca="1">IF(B239&gt;=$J$5,0,CONTADORES!$AA245-CONTADORES!$AA244)</f>
        <v>0</v>
      </c>
      <c r="O239" s="1396">
        <f ca="1">IF(N239&gt;0,CONTADORES!$Z245-CONTADORES!$Z244,0)</f>
        <v>0</v>
      </c>
      <c r="P239" s="202">
        <f ca="1">IF(B239&gt;=$J$5,0,CONTADORES!$W245-CONTADORES!$W244)</f>
        <v>0</v>
      </c>
      <c r="Q239" s="202">
        <f ca="1">IF(B239&gt;=$J$5,0,CONTADORES!$B245-CONTADORES!$B244)</f>
        <v>0</v>
      </c>
      <c r="R239" s="196">
        <f t="shared" ca="1" si="103"/>
        <v>0</v>
      </c>
      <c r="S239" s="11">
        <f ca="1">IF(B239&gt;=$J$5,0,CONTADORES!$D245-CONTADORES!$D244)</f>
        <v>0</v>
      </c>
      <c r="T239" s="198">
        <f ca="1">IF(B239&gt;=$J$5,0,CONTADORES!$BB245-CONTADORES!$BB244)</f>
        <v>0</v>
      </c>
      <c r="U239" s="196">
        <f t="shared" ca="1" si="131"/>
        <v>0</v>
      </c>
      <c r="V239" s="199">
        <f ca="1">IF(B239&gt;=$J$5,0,CONTADORES!$BD245-CONTADORES!$BD244)</f>
        <v>0</v>
      </c>
      <c r="W239" s="1397">
        <f t="shared" ca="1" si="104"/>
        <v>0</v>
      </c>
      <c r="X239" s="1397">
        <f t="shared" ca="1" si="105"/>
        <v>0</v>
      </c>
      <c r="Y239" s="1398">
        <f t="shared" ca="1" si="106"/>
        <v>0</v>
      </c>
      <c r="Z239" s="1398">
        <f t="shared" ca="1" si="107"/>
        <v>0</v>
      </c>
      <c r="AA239" s="1398">
        <f t="shared" ca="1" si="108"/>
        <v>0</v>
      </c>
      <c r="AB239" s="1398">
        <f t="shared" ca="1" si="109"/>
        <v>0</v>
      </c>
      <c r="AC239" s="1397">
        <f t="shared" ca="1" si="110"/>
        <v>0</v>
      </c>
      <c r="AD239" s="1409">
        <f ca="1">IF(B239&gt;=$J$5,0,CONTADORES!H245-CONTADORES!H244)</f>
        <v>0</v>
      </c>
      <c r="AE239" s="1438">
        <f ca="1">IF(B239&gt;=$J$5,0,CONTADORES!J245-CONTADORES!J244)</f>
        <v>0</v>
      </c>
      <c r="AF239" s="1438">
        <f ca="1">IF(B239&gt;=$J$5,0,CONTADORES!AU245-CONTADORES!AU244)</f>
        <v>0</v>
      </c>
      <c r="AG239" s="1438">
        <f ca="1">IF(B239&gt;=$J$5,0,CONTADORES!AW245-CONTADORES!AW244)</f>
        <v>0</v>
      </c>
      <c r="AH239" s="1409">
        <f ca="1">IF(B239&gt;=$J$5,0,(CONTADORES!AM245-CONTADORES!AM244)+(CONTADORES!M245-CONTADORES!M244))</f>
        <v>0</v>
      </c>
      <c r="AI239" s="1438">
        <f ca="1">IF(B239&gt;=$J$5,0,(CONTADORES!AK245-CONTADORES!AK244)+(CONTADORES!O245-CONTADORES!O244))</f>
        <v>0</v>
      </c>
      <c r="AJ239" s="1438">
        <f ca="1">IF(B239&gt;=$J$5,0,(CONTADORES!AI245-CONTADORES!AI244))</f>
        <v>0</v>
      </c>
      <c r="AK239" s="1438">
        <f ca="1">IF(B239&gt;=$J$5,0,(CONTADORES!Q245-CONTADORES!Q244))</f>
        <v>0</v>
      </c>
      <c r="AL239" s="1461">
        <f t="shared" ca="1" si="111"/>
        <v>0</v>
      </c>
      <c r="AM239" s="1409">
        <f ca="1">IF(B239&gt;=$J$5,0,(((CONTADORES!F245-CONTADORES!F244)+(CONTADORES!AQ245-CONTADORES!AQ244))))-BS239-AF239-AN239-BV239-BY239-CD239-CB239</f>
        <v>0</v>
      </c>
      <c r="AN239" s="1438">
        <f ca="1">IF(B239&gt;=$J$5,0,(CONTADORES!AX245-CONTADORES!AX244)+(CONTADORES!AZ245-CONTADORES!AZ244)+(CONTADORES!BE245-CONTADORES!BE244))-CB239</f>
        <v>0</v>
      </c>
      <c r="AO239" s="1466">
        <f>(CONTADORES!AC245-CONTADORES!AC244)</f>
        <v>0</v>
      </c>
      <c r="AP239" s="1466">
        <f>(CONTADORES!X245-CONTADORES!X244)</f>
        <v>0</v>
      </c>
      <c r="AQ239" s="1467">
        <f>(CONTADORES!C245-CONTADORES!C244)</f>
        <v>0</v>
      </c>
      <c r="AR239" s="1466">
        <f ca="1">AR238+(CONTADORES!BC245-CONTADORES!BC244)</f>
        <v>0</v>
      </c>
      <c r="AS239" s="1438">
        <f ca="1">IF(B239&gt;=$J$5,0,CONTADORES!S245-CONTADORES!S244)</f>
        <v>0</v>
      </c>
      <c r="AT239" s="1438">
        <f ca="1">IF(B239&gt;=$J$5,0,(CONTADORES!U245-CONTADORES!U244)+(CONTADORES!AG245-CONTADORES!AG244))</f>
        <v>0</v>
      </c>
      <c r="AU239" s="1437">
        <f>CONTADORES!I245-CONTADORES!I244</f>
        <v>0</v>
      </c>
      <c r="AV239" s="1466">
        <f>CONTADORES!AV245-CONTADORES!AV244</f>
        <v>0</v>
      </c>
      <c r="AW239" s="1466">
        <f ca="1">IF(B239&gt;=$J$5,0,(CONTADORES!N245-CONTADORES!N244)+(CONTADORES!AN245-CONTADORES!AN244))</f>
        <v>0</v>
      </c>
      <c r="AX239" s="1466">
        <f ca="1">IF(B239&gt;=$J$5,0,(CONTADORES!P245-CONTADORES!P244)+(CONTADORES!AL245-CONTADORES!AL244))</f>
        <v>0</v>
      </c>
      <c r="AY239" s="1466">
        <f ca="1">IF(B239&gt;=$J$5,0,(CONTADORES!AJ245-CONTADORES!AJ244))</f>
        <v>0</v>
      </c>
      <c r="AZ239" s="1466">
        <f ca="1">IF(B239&gt;=$J$5,0,(CONTADORES!R245-CONTADORES!R244))</f>
        <v>0</v>
      </c>
      <c r="BA239" s="1409">
        <f t="shared" ca="1" si="112"/>
        <v>0</v>
      </c>
      <c r="BB239" s="1437">
        <f ca="1">IF(B239&gt;=$J$5,0,(((CONTADORES!G245-CONTADORES!G244)+(CONTADORES!AR245-CONTADORES!AR244)+AR239)-(AV239+BC239)))</f>
        <v>0</v>
      </c>
      <c r="BC239" s="1438">
        <f ca="1">IF(B239&gt;=$J$5,0,(CONTADORES!AY245-CONTADORES!AY244)+(CONTADORES!BA245-CONTADORES!BA244)+(CONTADORES!BF245-CONTADORES!BF244))</f>
        <v>0</v>
      </c>
      <c r="BD239" s="1397">
        <f t="shared" ca="1" si="113"/>
        <v>0</v>
      </c>
      <c r="BE239" s="1398">
        <f ca="1">IF($B239&gt;=$J$5,0,CONTADORES!$BG245)</f>
        <v>0</v>
      </c>
      <c r="BF239" s="1397">
        <f ca="1">IF($B239&gt;=$J$5,0,CONTADORES!$BH245)</f>
        <v>0</v>
      </c>
      <c r="BG239" s="1397">
        <f ca="1">IF($B239&gt;=$J$5,0,CONTADORES!$BJ245)</f>
        <v>0</v>
      </c>
      <c r="BH239" s="1397">
        <f ca="1">IF(B239&gt;=$J$5,0,((CONTADORES!BK245-CONTADORES!BK244)/1000))</f>
        <v>0</v>
      </c>
      <c r="BI239" s="1397">
        <f ca="1">IF(C239&gt;=$J$5,0,((CONTADORES!BL245-CONTADORES!BL244)/1000))</f>
        <v>0</v>
      </c>
      <c r="BJ239" s="1397">
        <f ca="1">IF(C239&gt;=$J$5,0,((CONTADORES!BM245-CONTADORES!BM244)/1000))</f>
        <v>0</v>
      </c>
      <c r="BK239" s="1397">
        <f ca="1">IF(D239&gt;=$J$5,0,((CONTADORES!BN245-CONTADORES!BN244)/1000))</f>
        <v>0</v>
      </c>
      <c r="BL239" s="1399">
        <f t="shared" ca="1" si="114"/>
        <v>0</v>
      </c>
      <c r="BM239" s="1399">
        <f t="shared" ca="1" si="115"/>
        <v>0</v>
      </c>
      <c r="BN239" s="1398">
        <f ca="1">IF(W239&gt;=$J$5,0,CONTADORES!$BO245)</f>
        <v>0</v>
      </c>
      <c r="BO239" s="1409">
        <f ca="1">IF(W239&gt;=$J$5,0,CONTADORES!$BP245)</f>
        <v>0</v>
      </c>
      <c r="BP239" s="1438">
        <f ca="1">IF(W239&gt;=$J$5,0,CONTADORES!$BQ245)</f>
        <v>0</v>
      </c>
      <c r="BQ239" s="1438">
        <f ca="1">IF(B239&gt;=$J$5,0,(CONTADORES!AS245-CONTADORES!AS244))</f>
        <v>0</v>
      </c>
      <c r="BR239" s="1438">
        <f ca="1">IF(C239&gt;=$J$5,0,(CONTADORES!AT245-CONTADORES!AT244))</f>
        <v>0</v>
      </c>
      <c r="BS239" s="1409">
        <f ca="1">IF(B239&gt;=$J$5,0,CONTADORES!BR245-CONTADORES!BR244)/1000</f>
        <v>0</v>
      </c>
      <c r="BT239" s="1409">
        <f ca="1">IF(B239&gt;=$J$5,0,CONTADORES!BS245-CONTADORES!BS244)</f>
        <v>0</v>
      </c>
      <c r="BU239" s="1409">
        <f ca="1">IF(B239&gt;=$J$5,0,CONTADORES!BT245-CONTADORES!BT244)</f>
        <v>0</v>
      </c>
      <c r="BV239" s="1409">
        <f ca="1">IF(B239&gt;=$J$5,0,CONTADORES!BU245-CONTADORES!BU244)/1000</f>
        <v>0</v>
      </c>
      <c r="BW239" s="1409">
        <f ca="1">IF(B239&gt;=$J$5,0,CONTADORES!BV245-CONTADORES!BV244)/1000</f>
        <v>0</v>
      </c>
      <c r="BX239" s="1409">
        <f ca="1">IF(B239&gt;=$J$5,0,CONTADORES!BW245-CONTADORES!BW244)</f>
        <v>0</v>
      </c>
      <c r="BY239" s="1409">
        <f ca="1">IF(B239&gt;=$J$5,0,CONTADORES!BX245-CONTADORES!BX244)/1000</f>
        <v>0</v>
      </c>
      <c r="BZ239" s="1409">
        <f ca="1">IF(B239&gt;=$J$5,0,CONTADORES!BY245-CONTADORES!BY244)/1000</f>
        <v>0</v>
      </c>
      <c r="CA239" s="1409">
        <f ca="1">IF(B239&gt;=$J$5,0,CONTADORES!BZ245-CONTADORES!BZ244)</f>
        <v>0</v>
      </c>
      <c r="CB239" s="1409">
        <f ca="1">IF(B239&gt;=$J$5,0,(CONTADORES!CC245-CONTADORES!CC244)+(CONTADORES!CE245-CONTADORES!CE244))/1000</f>
        <v>0</v>
      </c>
      <c r="CC239" s="1409">
        <f ca="1">IF(B239&gt;=$J$5,0,(CONTADORES!CD245-CONTADORES!CD244)+(CONTADORES!CF245-CONTADORES!CF244))/1000</f>
        <v>0</v>
      </c>
      <c r="CD239" s="1409">
        <f ca="1">IF(B239&gt;=$J$5,0,CONTADORES!CA245-CONTADORES!CA244)</f>
        <v>0</v>
      </c>
      <c r="CE239" s="1409">
        <f ca="1">IF(B239&gt;=$J$5,0,CONTADORES!CB245-CONTADORES!CB244)</f>
        <v>0</v>
      </c>
      <c r="CF239" s="1409">
        <f t="shared" ca="1" si="116"/>
        <v>0</v>
      </c>
      <c r="CG239" s="1409">
        <f t="shared" ca="1" si="117"/>
        <v>0</v>
      </c>
      <c r="CH239" s="1409">
        <f t="shared" ca="1" si="118"/>
        <v>0</v>
      </c>
      <c r="CI239" s="1409">
        <f t="shared" ca="1" si="119"/>
        <v>0</v>
      </c>
      <c r="CJ239" s="1409">
        <f t="shared" ca="1" si="120"/>
        <v>0</v>
      </c>
      <c r="CK239" s="1409">
        <f t="shared" ca="1" si="121"/>
        <v>0</v>
      </c>
      <c r="CL239" s="1409">
        <f t="shared" ca="1" si="122"/>
        <v>0</v>
      </c>
      <c r="CM239" s="1409">
        <f t="shared" ca="1" si="123"/>
        <v>0</v>
      </c>
      <c r="CN239" s="1409">
        <f ca="1">IF(B239&gt;=$J$5,0,CONTADORES!CB245-CONTADORES!CB244)</f>
        <v>0</v>
      </c>
      <c r="CO239" s="1409">
        <f t="shared" ca="1" si="124"/>
        <v>0</v>
      </c>
      <c r="CP239" s="1409">
        <f t="shared" ca="1" si="125"/>
        <v>0</v>
      </c>
      <c r="CQ239" s="1409">
        <f t="shared" ca="1" si="126"/>
        <v>0</v>
      </c>
      <c r="CR239" s="1409">
        <f t="shared" ca="1" si="127"/>
        <v>0</v>
      </c>
      <c r="CS239" s="1468">
        <f ca="1">IF($B239&gt;=$J$5,0,CONTADORES!$BI245)</f>
        <v>0</v>
      </c>
      <c r="CT239" s="1334">
        <f>CONTADORES!E245</f>
        <v>0</v>
      </c>
      <c r="CU239" s="1334">
        <f>CONTADORES!CG245</f>
        <v>0</v>
      </c>
    </row>
    <row r="240" spans="2:99">
      <c r="B240" s="390">
        <v>45156</v>
      </c>
      <c r="C240" s="198">
        <f t="shared" ca="1" si="101"/>
        <v>0</v>
      </c>
      <c r="D240" s="196">
        <f ca="1">'CALCULO DE GAS'!P55</f>
        <v>0</v>
      </c>
      <c r="E240" s="196">
        <f ca="1">IF(B240&gt;=$J$5,0,(CONTADORES!$AD246-CONTADORES!$AD245)-$H240)</f>
        <v>0</v>
      </c>
      <c r="F240" s="198">
        <f t="shared" ca="1" si="129"/>
        <v>0</v>
      </c>
      <c r="G240" s="206">
        <f ca="1">IF(B240&gt;=$J$5,0,CONTADORES!$AF246-CONTADORES!$AF245)</f>
        <v>0</v>
      </c>
      <c r="H240" s="206">
        <f ca="1">IF(G240&gt;0,CONTADORES!$AE246-CONTADORES!$AE245,0)</f>
        <v>0</v>
      </c>
      <c r="I240" s="208">
        <f ca="1">IF(B240&gt;=$J$5,0,CONTADORES!$AB246-CONTADORES!$AB245)</f>
        <v>0</v>
      </c>
      <c r="J240" s="198">
        <f t="shared" ca="1" si="102"/>
        <v>0</v>
      </c>
      <c r="K240" s="196">
        <f ca="1">'CALCULO DE GAS'!Q55</f>
        <v>0</v>
      </c>
      <c r="L240" s="1396">
        <f ca="1">IF(B240&gt;=$J$5,0,(CONTADORES!$Y246-CONTADORES!$Y245)-$O240)</f>
        <v>0</v>
      </c>
      <c r="M240" s="1396">
        <f t="shared" ca="1" si="130"/>
        <v>0</v>
      </c>
      <c r="N240" s="1396">
        <f ca="1">IF(B240&gt;=$J$5,0,CONTADORES!$AA246-CONTADORES!$AA245)</f>
        <v>0</v>
      </c>
      <c r="O240" s="1396">
        <f ca="1">IF(N240&gt;0,CONTADORES!$Z246-CONTADORES!$Z245,0)</f>
        <v>0</v>
      </c>
      <c r="P240" s="202">
        <f ca="1">IF(B240&gt;=$J$5,0,CONTADORES!$W246-CONTADORES!$W245)</f>
        <v>0</v>
      </c>
      <c r="Q240" s="202">
        <f ca="1">IF(B240&gt;=$J$5,0,CONTADORES!$B246-CONTADORES!$B245)</f>
        <v>0</v>
      </c>
      <c r="R240" s="196">
        <f t="shared" ca="1" si="103"/>
        <v>0</v>
      </c>
      <c r="S240" s="11">
        <f ca="1">IF(B240&gt;=$J$5,0,CONTADORES!$D246-CONTADORES!$D245)</f>
        <v>0</v>
      </c>
      <c r="T240" s="198">
        <f ca="1">IF(B240&gt;=$J$5,0,CONTADORES!$BB246-CONTADORES!$BB245)</f>
        <v>0</v>
      </c>
      <c r="U240" s="196">
        <f t="shared" ca="1" si="131"/>
        <v>0</v>
      </c>
      <c r="V240" s="199">
        <f ca="1">IF(B240&gt;=$J$5,0,CONTADORES!$BD246-CONTADORES!$BD245)</f>
        <v>0</v>
      </c>
      <c r="W240" s="1397">
        <f t="shared" ca="1" si="104"/>
        <v>0</v>
      </c>
      <c r="X240" s="1397">
        <f t="shared" ca="1" si="105"/>
        <v>0</v>
      </c>
      <c r="Y240" s="1398">
        <f t="shared" ca="1" si="106"/>
        <v>0</v>
      </c>
      <c r="Z240" s="1398">
        <f t="shared" ca="1" si="107"/>
        <v>0</v>
      </c>
      <c r="AA240" s="1398">
        <f t="shared" ca="1" si="108"/>
        <v>0</v>
      </c>
      <c r="AB240" s="1398">
        <f t="shared" ca="1" si="109"/>
        <v>0</v>
      </c>
      <c r="AC240" s="1397">
        <f t="shared" ca="1" si="110"/>
        <v>0</v>
      </c>
      <c r="AD240" s="1409">
        <f ca="1">IF(B240&gt;=$J$5,0,CONTADORES!H246-CONTADORES!H245)</f>
        <v>0</v>
      </c>
      <c r="AE240" s="1438">
        <f ca="1">IF(B240&gt;=$J$5,0,CONTADORES!J246-CONTADORES!J245)</f>
        <v>0</v>
      </c>
      <c r="AF240" s="1438">
        <f ca="1">IF(B240&gt;=$J$5,0,CONTADORES!AU246-CONTADORES!AU245)</f>
        <v>0</v>
      </c>
      <c r="AG240" s="1438">
        <f ca="1">IF(B240&gt;=$J$5,0,CONTADORES!AW246-CONTADORES!AW245)</f>
        <v>0</v>
      </c>
      <c r="AH240" s="1409">
        <f ca="1">IF(B240&gt;=$J$5,0,(CONTADORES!AM246-CONTADORES!AM245)+(CONTADORES!M246-CONTADORES!M245))</f>
        <v>0</v>
      </c>
      <c r="AI240" s="1438">
        <f ca="1">IF(B240&gt;=$J$5,0,(CONTADORES!AK246-CONTADORES!AK245)+(CONTADORES!O246-CONTADORES!O245))</f>
        <v>0</v>
      </c>
      <c r="AJ240" s="1438">
        <f ca="1">IF(B240&gt;=$J$5,0,(CONTADORES!AI246-CONTADORES!AI245))</f>
        <v>0</v>
      </c>
      <c r="AK240" s="1438">
        <f ca="1">IF(B240&gt;=$J$5,0,(CONTADORES!Q246-CONTADORES!Q245))</f>
        <v>0</v>
      </c>
      <c r="AL240" s="1461">
        <f t="shared" ca="1" si="111"/>
        <v>0</v>
      </c>
      <c r="AM240" s="1409">
        <f ca="1">IF(B240&gt;=$J$5,0,(((CONTADORES!F246-CONTADORES!F245)+(CONTADORES!AQ246-CONTADORES!AQ245))))-BS240-AF240-AN240-BV240-BY240-CD240-CB240</f>
        <v>0</v>
      </c>
      <c r="AN240" s="1438">
        <f ca="1">IF(B240&gt;=$J$5,0,(CONTADORES!AX246-CONTADORES!AX245)+(CONTADORES!AZ246-CONTADORES!AZ245)+(CONTADORES!BE246-CONTADORES!BE245))-CB240</f>
        <v>0</v>
      </c>
      <c r="AO240" s="1466">
        <f>(CONTADORES!AC246-CONTADORES!AC245)</f>
        <v>0</v>
      </c>
      <c r="AP240" s="1466">
        <f>(CONTADORES!X246-CONTADORES!X245)</f>
        <v>0</v>
      </c>
      <c r="AQ240" s="1467">
        <f>(CONTADORES!C246-CONTADORES!C245)</f>
        <v>0</v>
      </c>
      <c r="AR240" s="1466">
        <f ca="1">AR239+(CONTADORES!BC246-CONTADORES!BC245)</f>
        <v>0</v>
      </c>
      <c r="AS240" s="1438">
        <f ca="1">IF(B240&gt;=$J$5,0,CONTADORES!S246-CONTADORES!S245)</f>
        <v>0</v>
      </c>
      <c r="AT240" s="1438">
        <f ca="1">IF(B240&gt;=$J$5,0,(CONTADORES!U246-CONTADORES!U245)+(CONTADORES!AG246-CONTADORES!AG245))</f>
        <v>0</v>
      </c>
      <c r="AU240" s="1437">
        <f>CONTADORES!I246-CONTADORES!I245</f>
        <v>0</v>
      </c>
      <c r="AV240" s="1466">
        <f>CONTADORES!AV246-CONTADORES!AV245</f>
        <v>0</v>
      </c>
      <c r="AW240" s="1466">
        <f ca="1">IF(B240&gt;=$J$5,0,(CONTADORES!N246-CONTADORES!N245)+(CONTADORES!AN246-CONTADORES!AN245))</f>
        <v>0</v>
      </c>
      <c r="AX240" s="1466">
        <f ca="1">IF(B240&gt;=$J$5,0,(CONTADORES!P246-CONTADORES!P245)+(CONTADORES!AL246-CONTADORES!AL245))</f>
        <v>0</v>
      </c>
      <c r="AY240" s="1466">
        <f ca="1">IF(B240&gt;=$J$5,0,(CONTADORES!AJ246-CONTADORES!AJ245))</f>
        <v>0</v>
      </c>
      <c r="AZ240" s="1466">
        <f ca="1">IF(B240&gt;=$J$5,0,(CONTADORES!R246-CONTADORES!R245))</f>
        <v>0</v>
      </c>
      <c r="BA240" s="1409">
        <f t="shared" ca="1" si="112"/>
        <v>0</v>
      </c>
      <c r="BB240" s="1437">
        <f ca="1">IF(B240&gt;=$J$5,0,(((CONTADORES!G246-CONTADORES!G245)+(CONTADORES!AR246-CONTADORES!AR245)+AR240)-(AV240+BC240)))</f>
        <v>0</v>
      </c>
      <c r="BC240" s="1438">
        <f ca="1">IF(B240&gt;=$J$5,0,(CONTADORES!AY246-CONTADORES!AY245)+(CONTADORES!BA246-CONTADORES!BA245)+(CONTADORES!BF246-CONTADORES!BF245))</f>
        <v>0</v>
      </c>
      <c r="BD240" s="1397">
        <f t="shared" ca="1" si="113"/>
        <v>0</v>
      </c>
      <c r="BE240" s="1398">
        <f ca="1">IF($B240&gt;=$J$5,0,CONTADORES!$BG246)</f>
        <v>0</v>
      </c>
      <c r="BF240" s="1397">
        <f ca="1">IF($B240&gt;=$J$5,0,CONTADORES!$BH246)</f>
        <v>0</v>
      </c>
      <c r="BG240" s="1397">
        <f ca="1">IF($B240&gt;=$J$5,0,CONTADORES!$BJ246)</f>
        <v>0</v>
      </c>
      <c r="BH240" s="1397">
        <f ca="1">IF(B240&gt;=$J$5,0,((CONTADORES!BK246-CONTADORES!BK245)/1000))</f>
        <v>0</v>
      </c>
      <c r="BI240" s="1397">
        <f ca="1">IF(C240&gt;=$J$5,0,((CONTADORES!BL246-CONTADORES!BL245)/1000))</f>
        <v>0</v>
      </c>
      <c r="BJ240" s="1397">
        <f ca="1">IF(C240&gt;=$J$5,0,((CONTADORES!BM246-CONTADORES!BM245)/1000))</f>
        <v>0</v>
      </c>
      <c r="BK240" s="1397">
        <f ca="1">IF(D240&gt;=$J$5,0,((CONTADORES!BN246-CONTADORES!BN245)/1000))</f>
        <v>0</v>
      </c>
      <c r="BL240" s="1399">
        <f t="shared" ca="1" si="114"/>
        <v>0</v>
      </c>
      <c r="BM240" s="1399">
        <f t="shared" ca="1" si="115"/>
        <v>0</v>
      </c>
      <c r="BN240" s="1398">
        <f ca="1">IF(W240&gt;=$J$5,0,CONTADORES!$BO246)</f>
        <v>0</v>
      </c>
      <c r="BO240" s="1409">
        <f ca="1">IF(W240&gt;=$J$5,0,CONTADORES!$BP246)</f>
        <v>0</v>
      </c>
      <c r="BP240" s="1438">
        <f ca="1">IF(W240&gt;=$J$5,0,CONTADORES!$BQ246)</f>
        <v>0</v>
      </c>
      <c r="BQ240" s="1438">
        <f ca="1">IF(B240&gt;=$J$5,0,(CONTADORES!AS246-CONTADORES!AS245))</f>
        <v>0</v>
      </c>
      <c r="BR240" s="1438">
        <f ca="1">IF(C240&gt;=$J$5,0,(CONTADORES!AT246-CONTADORES!AT245))</f>
        <v>0</v>
      </c>
      <c r="BS240" s="1409">
        <f ca="1">IF(B240&gt;=$J$5,0,CONTADORES!BR246-CONTADORES!BR245)/1000</f>
        <v>0</v>
      </c>
      <c r="BT240" s="1409">
        <f ca="1">IF(B240&gt;=$J$5,0,CONTADORES!BS246-CONTADORES!BS245)</f>
        <v>0</v>
      </c>
      <c r="BU240" s="1409">
        <f ca="1">IF(B240&gt;=$J$5,0,CONTADORES!BT246-CONTADORES!BT245)</f>
        <v>0</v>
      </c>
      <c r="BV240" s="1409">
        <f ca="1">IF(B240&gt;=$J$5,0,CONTADORES!BU246-CONTADORES!BU245)/1000</f>
        <v>0</v>
      </c>
      <c r="BW240" s="1409">
        <f ca="1">IF(B240&gt;=$J$5,0,CONTADORES!BV246-CONTADORES!BV245)/1000</f>
        <v>0</v>
      </c>
      <c r="BX240" s="1409">
        <f ca="1">IF(B240&gt;=$J$5,0,CONTADORES!BW246-CONTADORES!BW245)</f>
        <v>0</v>
      </c>
      <c r="BY240" s="1409">
        <f ca="1">IF(B240&gt;=$J$5,0,CONTADORES!BX246-CONTADORES!BX245)/1000</f>
        <v>0</v>
      </c>
      <c r="BZ240" s="1409">
        <f ca="1">IF(B240&gt;=$J$5,0,CONTADORES!BY246-CONTADORES!BY245)/1000</f>
        <v>0</v>
      </c>
      <c r="CA240" s="1409">
        <f ca="1">IF(B240&gt;=$J$5,0,CONTADORES!BZ246-CONTADORES!BZ245)</f>
        <v>0</v>
      </c>
      <c r="CB240" s="1409">
        <f ca="1">IF(B240&gt;=$J$5,0,(CONTADORES!CC246-CONTADORES!CC245)+(CONTADORES!CE246-CONTADORES!CE245))/1000</f>
        <v>0</v>
      </c>
      <c r="CC240" s="1409">
        <f ca="1">IF(B240&gt;=$J$5,0,(CONTADORES!CD246-CONTADORES!CD245)+(CONTADORES!CF246-CONTADORES!CF245))/1000</f>
        <v>0</v>
      </c>
      <c r="CD240" s="1409">
        <f ca="1">IF(B240&gt;=$J$5,0,CONTADORES!CA246-CONTADORES!CA245)</f>
        <v>0</v>
      </c>
      <c r="CE240" s="1409">
        <f ca="1">IF(B240&gt;=$J$5,0,CONTADORES!CB246-CONTADORES!CB245)</f>
        <v>0</v>
      </c>
      <c r="CF240" s="1409">
        <f t="shared" ca="1" si="116"/>
        <v>0</v>
      </c>
      <c r="CG240" s="1409">
        <f t="shared" ca="1" si="117"/>
        <v>0</v>
      </c>
      <c r="CH240" s="1409">
        <f t="shared" ca="1" si="118"/>
        <v>0</v>
      </c>
      <c r="CI240" s="1409">
        <f t="shared" ca="1" si="119"/>
        <v>0</v>
      </c>
      <c r="CJ240" s="1409">
        <f t="shared" ca="1" si="120"/>
        <v>0</v>
      </c>
      <c r="CK240" s="1409">
        <f t="shared" ca="1" si="121"/>
        <v>0</v>
      </c>
      <c r="CL240" s="1409">
        <f t="shared" ca="1" si="122"/>
        <v>0</v>
      </c>
      <c r="CM240" s="1409">
        <f t="shared" ca="1" si="123"/>
        <v>0</v>
      </c>
      <c r="CN240" s="1409">
        <f ca="1">IF(B240&gt;=$J$5,0,CONTADORES!CB246-CONTADORES!CB245)</f>
        <v>0</v>
      </c>
      <c r="CO240" s="1409">
        <f t="shared" ca="1" si="124"/>
        <v>0</v>
      </c>
      <c r="CP240" s="1409">
        <f t="shared" ca="1" si="125"/>
        <v>0</v>
      </c>
      <c r="CQ240" s="1409">
        <f t="shared" ca="1" si="126"/>
        <v>0</v>
      </c>
      <c r="CR240" s="1409">
        <f t="shared" ca="1" si="127"/>
        <v>0</v>
      </c>
      <c r="CS240" s="1468">
        <f ca="1">IF($B240&gt;=$J$5,0,CONTADORES!$BI246)</f>
        <v>0</v>
      </c>
      <c r="CT240" s="1334">
        <f>CONTADORES!E246</f>
        <v>0</v>
      </c>
      <c r="CU240" s="1334">
        <f>CONTADORES!CG246</f>
        <v>0</v>
      </c>
    </row>
    <row r="241" spans="2:99">
      <c r="B241" s="390">
        <v>45157</v>
      </c>
      <c r="C241" s="198">
        <f t="shared" ca="1" si="101"/>
        <v>0</v>
      </c>
      <c r="D241" s="196">
        <f ca="1">'CALCULO DE GAS'!P56</f>
        <v>0</v>
      </c>
      <c r="E241" s="196">
        <f ca="1">IF(B241&gt;=$J$5,0,(CONTADORES!$AD247-CONTADORES!$AD246)-$H241)</f>
        <v>0</v>
      </c>
      <c r="F241" s="198">
        <f t="shared" ca="1" si="129"/>
        <v>0</v>
      </c>
      <c r="G241" s="206">
        <f ca="1">IF(B241&gt;=$J$5,0,CONTADORES!$AF247-CONTADORES!$AF246)</f>
        <v>0</v>
      </c>
      <c r="H241" s="206">
        <f ca="1">IF(G241&gt;0,CONTADORES!$AE247-CONTADORES!$AE246,0)</f>
        <v>0</v>
      </c>
      <c r="I241" s="208">
        <f ca="1">IF(B241&gt;=$J$5,0,CONTADORES!$AB247-CONTADORES!$AB246)</f>
        <v>0</v>
      </c>
      <c r="J241" s="198">
        <f t="shared" ca="1" si="102"/>
        <v>0</v>
      </c>
      <c r="K241" s="196">
        <f ca="1">'CALCULO DE GAS'!Q56</f>
        <v>0</v>
      </c>
      <c r="L241" s="1396">
        <f ca="1">IF(B241&gt;=$J$5,0,(CONTADORES!$Y247-CONTADORES!$Y246)-$O241)</f>
        <v>0</v>
      </c>
      <c r="M241" s="1396">
        <f t="shared" ca="1" si="130"/>
        <v>0</v>
      </c>
      <c r="N241" s="1396">
        <f ca="1">IF(B241&gt;=$J$5,0,CONTADORES!$AA247-CONTADORES!$AA246)</f>
        <v>0</v>
      </c>
      <c r="O241" s="1396">
        <f ca="1">IF(N241&gt;0,CONTADORES!$Z247-CONTADORES!$Z246,0)</f>
        <v>0</v>
      </c>
      <c r="P241" s="202">
        <f ca="1">IF(B241&gt;=$J$5,0,CONTADORES!$W247-CONTADORES!$W246)</f>
        <v>0</v>
      </c>
      <c r="Q241" s="202">
        <f ca="1">IF(B241&gt;=$J$5,0,CONTADORES!$B247-CONTADORES!$B246)</f>
        <v>0</v>
      </c>
      <c r="R241" s="196">
        <f t="shared" ca="1" si="103"/>
        <v>0</v>
      </c>
      <c r="S241" s="11">
        <f ca="1">IF(B241&gt;=$J$5,0,CONTADORES!$D247-CONTADORES!$D246)</f>
        <v>0</v>
      </c>
      <c r="T241" s="198">
        <f ca="1">IF(B241&gt;=$J$5,0,CONTADORES!$BB247-CONTADORES!$BB246)</f>
        <v>0</v>
      </c>
      <c r="U241" s="196">
        <f t="shared" ca="1" si="131"/>
        <v>0</v>
      </c>
      <c r="V241" s="199">
        <f ca="1">IF(B241&gt;=$J$5,0,CONTADORES!$BD247-CONTADORES!$BD246)</f>
        <v>0</v>
      </c>
      <c r="W241" s="1402">
        <f t="shared" ca="1" si="104"/>
        <v>0</v>
      </c>
      <c r="X241" s="1397">
        <f t="shared" ca="1" si="105"/>
        <v>0</v>
      </c>
      <c r="Y241" s="1398">
        <f t="shared" ca="1" si="106"/>
        <v>0</v>
      </c>
      <c r="Z241" s="1398">
        <f t="shared" ca="1" si="107"/>
        <v>0</v>
      </c>
      <c r="AA241" s="1398">
        <f t="shared" ca="1" si="108"/>
        <v>0</v>
      </c>
      <c r="AB241" s="1398">
        <f t="shared" ca="1" si="109"/>
        <v>0</v>
      </c>
      <c r="AC241" s="1397">
        <f t="shared" ca="1" si="110"/>
        <v>0</v>
      </c>
      <c r="AD241" s="1409">
        <f ca="1">IF(B241&gt;=$J$5,0,CONTADORES!H247-CONTADORES!H246)</f>
        <v>0</v>
      </c>
      <c r="AE241" s="1438">
        <f ca="1">IF(B241&gt;=$J$5,0,CONTADORES!J247-CONTADORES!J246)</f>
        <v>0</v>
      </c>
      <c r="AF241" s="1438">
        <f ca="1">IF(B241&gt;=$J$5,0,CONTADORES!AU247-CONTADORES!AU246)</f>
        <v>0</v>
      </c>
      <c r="AG241" s="1438">
        <f ca="1">IF(B241&gt;=$J$5,0,CONTADORES!AW247-CONTADORES!AW246)</f>
        <v>0</v>
      </c>
      <c r="AH241" s="1409">
        <f ca="1">IF(B241&gt;=$J$5,0,(CONTADORES!AM247-CONTADORES!AM246)+(CONTADORES!M247-CONTADORES!M246))</f>
        <v>0</v>
      </c>
      <c r="AI241" s="1438">
        <f ca="1">IF(B241&gt;=$J$5,0,(CONTADORES!AK247-CONTADORES!AK246)+(CONTADORES!O247-CONTADORES!O246))</f>
        <v>0</v>
      </c>
      <c r="AJ241" s="1438">
        <f ca="1">IF(B241&gt;=$J$5,0,(CONTADORES!AI247-CONTADORES!AI246))</f>
        <v>0</v>
      </c>
      <c r="AK241" s="1438">
        <f ca="1">IF(B241&gt;=$J$5,0,(CONTADORES!Q247-CONTADORES!Q246))</f>
        <v>0</v>
      </c>
      <c r="AL241" s="1461">
        <f t="shared" ca="1" si="111"/>
        <v>0</v>
      </c>
      <c r="AM241" s="1409">
        <f ca="1">IF(B241&gt;=$J$5,0,(((CONTADORES!F247-CONTADORES!F246)+(CONTADORES!AQ247-CONTADORES!AQ246))))-BS241-AF241-AN241-BV241-BY241-CD241-CB241</f>
        <v>0</v>
      </c>
      <c r="AN241" s="1438">
        <f ca="1">IF(B241&gt;=$J$5,0,(CONTADORES!AX247-CONTADORES!AX246)+(CONTADORES!AZ247-CONTADORES!AZ246)+(CONTADORES!BE247-CONTADORES!BE246))-CB241</f>
        <v>0</v>
      </c>
      <c r="AO241" s="1466">
        <f>(CONTADORES!AC247-CONTADORES!AC246)</f>
        <v>0</v>
      </c>
      <c r="AP241" s="1466">
        <f>(CONTADORES!X247-CONTADORES!X246)</f>
        <v>0</v>
      </c>
      <c r="AQ241" s="1467">
        <f>(CONTADORES!C247-CONTADORES!C246)</f>
        <v>0</v>
      </c>
      <c r="AR241" s="1466">
        <f ca="1">AR240+(CONTADORES!BC247-CONTADORES!BC246)</f>
        <v>0</v>
      </c>
      <c r="AS241" s="1438">
        <f ca="1">IF(B241&gt;=$J$5,0,CONTADORES!S247-CONTADORES!S246)</f>
        <v>0</v>
      </c>
      <c r="AT241" s="1438">
        <f ca="1">IF(B241&gt;=$J$5,0,(CONTADORES!U247-CONTADORES!U246)+(CONTADORES!AG247-CONTADORES!AG246))</f>
        <v>0</v>
      </c>
      <c r="AU241" s="1437">
        <f>CONTADORES!I247-CONTADORES!I246</f>
        <v>0</v>
      </c>
      <c r="AV241" s="1466">
        <f>CONTADORES!AV247-CONTADORES!AV246</f>
        <v>0</v>
      </c>
      <c r="AW241" s="1466">
        <f ca="1">IF(B241&gt;=$J$5,0,(CONTADORES!N247-CONTADORES!N246)+(CONTADORES!AN247-CONTADORES!AN246))</f>
        <v>0</v>
      </c>
      <c r="AX241" s="1466">
        <f ca="1">IF(B241&gt;=$J$5,0,(CONTADORES!P247-CONTADORES!P246)+(CONTADORES!AL247-CONTADORES!AL246))</f>
        <v>0</v>
      </c>
      <c r="AY241" s="1466">
        <f ca="1">IF(B241&gt;=$J$5,0,(CONTADORES!AJ247-CONTADORES!AJ246))</f>
        <v>0</v>
      </c>
      <c r="AZ241" s="1466">
        <f ca="1">IF(B241&gt;=$J$5,0,(CONTADORES!R247-CONTADORES!R246))</f>
        <v>0</v>
      </c>
      <c r="BA241" s="1409">
        <f t="shared" ca="1" si="112"/>
        <v>0</v>
      </c>
      <c r="BB241" s="1437">
        <f ca="1">IF(B241&gt;=$J$5,0,(((CONTADORES!G247-CONTADORES!G246)+(CONTADORES!AR247-CONTADORES!AR246)+AR241)-(AV241+BC241)))</f>
        <v>0</v>
      </c>
      <c r="BC241" s="1438">
        <f ca="1">IF(B241&gt;=$J$5,0,(CONTADORES!AY247-CONTADORES!AY246)+(CONTADORES!BA247-CONTADORES!BA246)+(CONTADORES!BF247-CONTADORES!BF246))</f>
        <v>0</v>
      </c>
      <c r="BD241" s="1397">
        <f t="shared" ca="1" si="113"/>
        <v>0</v>
      </c>
      <c r="BE241" s="1398">
        <f ca="1">IF($B241&gt;=$J$5,0,CONTADORES!$BG247)</f>
        <v>0</v>
      </c>
      <c r="BF241" s="1397">
        <f ca="1">IF($B241&gt;=$J$5,0,CONTADORES!$BH247)</f>
        <v>0</v>
      </c>
      <c r="BG241" s="1397">
        <f ca="1">IF($B241&gt;=$J$5,0,CONTADORES!$BJ247)</f>
        <v>0</v>
      </c>
      <c r="BH241" s="1397">
        <f ca="1">IF(B241&gt;=$J$5,0,((CONTADORES!BK247-CONTADORES!BK246)/1000))</f>
        <v>0</v>
      </c>
      <c r="BI241" s="1397">
        <f ca="1">IF(C241&gt;=$J$5,0,((CONTADORES!BL247-CONTADORES!BL246)/1000))</f>
        <v>0</v>
      </c>
      <c r="BJ241" s="1397">
        <f ca="1">IF(C241&gt;=$J$5,0,((CONTADORES!BM247-CONTADORES!BM246)/1000))</f>
        <v>0</v>
      </c>
      <c r="BK241" s="1397">
        <f ca="1">IF(D241&gt;=$J$5,0,((CONTADORES!BN247-CONTADORES!BN246)/1000))</f>
        <v>0</v>
      </c>
      <c r="BL241" s="1399">
        <f t="shared" ca="1" si="114"/>
        <v>0</v>
      </c>
      <c r="BM241" s="1399">
        <f t="shared" ca="1" si="115"/>
        <v>0</v>
      </c>
      <c r="BN241" s="1398">
        <f ca="1">IF(W241&gt;=$J$5,0,CONTADORES!$BO247)</f>
        <v>0</v>
      </c>
      <c r="BO241" s="1409">
        <f ca="1">IF(W241&gt;=$J$5,0,CONTADORES!$BP247)</f>
        <v>0</v>
      </c>
      <c r="BP241" s="1438">
        <f ca="1">IF(W241&gt;=$J$5,0,CONTADORES!$BQ247)</f>
        <v>0</v>
      </c>
      <c r="BQ241" s="1438">
        <f ca="1">IF(B241&gt;=$J$5,0,(CONTADORES!AS247-CONTADORES!AS246))</f>
        <v>0</v>
      </c>
      <c r="BR241" s="1438">
        <f ca="1">IF(C241&gt;=$J$5,0,(CONTADORES!AT247-CONTADORES!AT246))</f>
        <v>0</v>
      </c>
      <c r="BS241" s="1409">
        <f ca="1">IF(B241&gt;=$J$5,0,CONTADORES!BR247-CONTADORES!BR246)/1000</f>
        <v>0</v>
      </c>
      <c r="BT241" s="1409">
        <f ca="1">IF(B241&gt;=$J$5,0,CONTADORES!BS247-CONTADORES!BS246)</f>
        <v>0</v>
      </c>
      <c r="BU241" s="1409">
        <f ca="1">IF(B241&gt;=$J$5,0,CONTADORES!BT247-CONTADORES!BT246)</f>
        <v>0</v>
      </c>
      <c r="BV241" s="1409">
        <f ca="1">IF(B241&gt;=$J$5,0,CONTADORES!BU247-CONTADORES!BU246)/1000</f>
        <v>0</v>
      </c>
      <c r="BW241" s="1409">
        <f ca="1">IF(B241&gt;=$J$5,0,CONTADORES!BV247-CONTADORES!BV246)/1000</f>
        <v>0</v>
      </c>
      <c r="BX241" s="1409">
        <f ca="1">IF(B241&gt;=$J$5,0,CONTADORES!BW247-CONTADORES!BW246)</f>
        <v>0</v>
      </c>
      <c r="BY241" s="1409">
        <f ca="1">IF(B241&gt;=$J$5,0,CONTADORES!BX247-CONTADORES!BX246)/1000</f>
        <v>0</v>
      </c>
      <c r="BZ241" s="1409">
        <f ca="1">IF(B241&gt;=$J$5,0,CONTADORES!BY247-CONTADORES!BY246)/1000</f>
        <v>0</v>
      </c>
      <c r="CA241" s="1409">
        <f ca="1">IF(B241&gt;=$J$5,0,CONTADORES!BZ247-CONTADORES!BZ246)</f>
        <v>0</v>
      </c>
      <c r="CB241" s="1409">
        <f ca="1">IF(B241&gt;=$J$5,0,(CONTADORES!CC247-CONTADORES!CC246)+(CONTADORES!CE247-CONTADORES!CE246))/1000</f>
        <v>0</v>
      </c>
      <c r="CC241" s="1409">
        <f ca="1">IF(B241&gt;=$J$5,0,(CONTADORES!CD247-CONTADORES!CD246)+(CONTADORES!CF247-CONTADORES!CF246))/1000</f>
        <v>0</v>
      </c>
      <c r="CD241" s="1409">
        <f ca="1">IF(B241&gt;=$J$5,0,CONTADORES!CA247-CONTADORES!CA246)</f>
        <v>0</v>
      </c>
      <c r="CE241" s="1409">
        <f ca="1">IF(B241&gt;=$J$5,0,CONTADORES!CB247-CONTADORES!CB246)</f>
        <v>0</v>
      </c>
      <c r="CF241" s="1409">
        <f t="shared" ca="1" si="116"/>
        <v>0</v>
      </c>
      <c r="CG241" s="1409">
        <f t="shared" ca="1" si="117"/>
        <v>0</v>
      </c>
      <c r="CH241" s="1409">
        <f t="shared" ca="1" si="118"/>
        <v>0</v>
      </c>
      <c r="CI241" s="1409">
        <f t="shared" ca="1" si="119"/>
        <v>0</v>
      </c>
      <c r="CJ241" s="1409">
        <f t="shared" ca="1" si="120"/>
        <v>0</v>
      </c>
      <c r="CK241" s="1409">
        <f t="shared" ca="1" si="121"/>
        <v>0</v>
      </c>
      <c r="CL241" s="1409">
        <f t="shared" ca="1" si="122"/>
        <v>0</v>
      </c>
      <c r="CM241" s="1409">
        <f t="shared" ca="1" si="123"/>
        <v>0</v>
      </c>
      <c r="CN241" s="1409">
        <f ca="1">IF(B241&gt;=$J$5,0,CONTADORES!CB247-CONTADORES!CB246)</f>
        <v>0</v>
      </c>
      <c r="CO241" s="1409">
        <f t="shared" ca="1" si="124"/>
        <v>0</v>
      </c>
      <c r="CP241" s="1409">
        <f t="shared" ca="1" si="125"/>
        <v>0</v>
      </c>
      <c r="CQ241" s="1409">
        <f t="shared" ca="1" si="126"/>
        <v>0</v>
      </c>
      <c r="CR241" s="1409">
        <f t="shared" ca="1" si="127"/>
        <v>0</v>
      </c>
      <c r="CS241" s="1468">
        <f ca="1">IF($B241&gt;=$J$5,0,CONTADORES!$BI247)</f>
        <v>0</v>
      </c>
      <c r="CT241" s="1334">
        <f>CONTADORES!E247</f>
        <v>0</v>
      </c>
      <c r="CU241" s="1334">
        <f>CONTADORES!CG247</f>
        <v>0</v>
      </c>
    </row>
    <row r="242" spans="2:99">
      <c r="B242" s="390">
        <v>45158</v>
      </c>
      <c r="C242" s="198">
        <f t="shared" ca="1" si="101"/>
        <v>0</v>
      </c>
      <c r="D242" s="196">
        <f ca="1">'CALCULO DE GAS'!P57</f>
        <v>0</v>
      </c>
      <c r="E242" s="196">
        <f ca="1">IF(B242&gt;=$J$5,0,(CONTADORES!$AD248-CONTADORES!$AD247)-$H242)</f>
        <v>0</v>
      </c>
      <c r="F242" s="198">
        <f t="shared" ca="1" si="129"/>
        <v>0</v>
      </c>
      <c r="G242" s="206">
        <f ca="1">IF(B242&gt;=$J$5,0,CONTADORES!$AF248-CONTADORES!$AF247)</f>
        <v>0</v>
      </c>
      <c r="H242" s="206">
        <f ca="1">IF(G242&gt;0,CONTADORES!$AE248-CONTADORES!$AE247,0)</f>
        <v>0</v>
      </c>
      <c r="I242" s="208">
        <f ca="1">IF(B242&gt;=$J$5,0,CONTADORES!$AB248-CONTADORES!$AB247)</f>
        <v>0</v>
      </c>
      <c r="J242" s="198">
        <f t="shared" ca="1" si="102"/>
        <v>0</v>
      </c>
      <c r="K242" s="196">
        <f ca="1">'CALCULO DE GAS'!Q57</f>
        <v>0</v>
      </c>
      <c r="L242" s="1396">
        <f ca="1">IF(B242&gt;=$J$5,0,(CONTADORES!$Y248-CONTADORES!$Y247)-$O242)</f>
        <v>0</v>
      </c>
      <c r="M242" s="1396">
        <f t="shared" ca="1" si="130"/>
        <v>0</v>
      </c>
      <c r="N242" s="1396">
        <f ca="1">IF(B242&gt;=$J$5,0,CONTADORES!$AA248-CONTADORES!$AA247)</f>
        <v>0</v>
      </c>
      <c r="O242" s="1396">
        <f ca="1">IF(N242&gt;0,CONTADORES!$Z248-CONTADORES!$Z247,0)</f>
        <v>0</v>
      </c>
      <c r="P242" s="202">
        <f ca="1">IF(B242&gt;=$J$5,0,CONTADORES!$W248-CONTADORES!$W247)</f>
        <v>0</v>
      </c>
      <c r="Q242" s="202">
        <f ca="1">IF(B242&gt;=$J$5,0,CONTADORES!$B248-CONTADORES!$B247)</f>
        <v>0</v>
      </c>
      <c r="R242" s="196">
        <f t="shared" ca="1" si="103"/>
        <v>0</v>
      </c>
      <c r="S242" s="11">
        <f ca="1">IF(B242&gt;=$J$5,0,CONTADORES!$D248-CONTADORES!$D247)</f>
        <v>0</v>
      </c>
      <c r="T242" s="198">
        <f ca="1">IF(B242&gt;=$J$5,0,CONTADORES!$BB248-CONTADORES!$BB247)</f>
        <v>0</v>
      </c>
      <c r="U242" s="196">
        <f t="shared" ca="1" si="131"/>
        <v>0</v>
      </c>
      <c r="V242" s="199">
        <f ca="1">IF(B242&gt;=$J$5,0,CONTADORES!$BD248-CONTADORES!$BD247)</f>
        <v>0</v>
      </c>
      <c r="W242" s="1397">
        <f t="shared" ca="1" si="104"/>
        <v>0</v>
      </c>
      <c r="X242" s="1397">
        <f t="shared" ca="1" si="105"/>
        <v>0</v>
      </c>
      <c r="Y242" s="1398">
        <f t="shared" ca="1" si="106"/>
        <v>0</v>
      </c>
      <c r="Z242" s="1398">
        <f t="shared" ca="1" si="107"/>
        <v>0</v>
      </c>
      <c r="AA242" s="1398">
        <f t="shared" ca="1" si="108"/>
        <v>0</v>
      </c>
      <c r="AB242" s="1398">
        <f t="shared" ca="1" si="109"/>
        <v>0</v>
      </c>
      <c r="AC242" s="1397">
        <f t="shared" ca="1" si="110"/>
        <v>0</v>
      </c>
      <c r="AD242" s="1409">
        <f ca="1">IF(B242&gt;=$J$5,0,CONTADORES!H248-CONTADORES!H247)</f>
        <v>0</v>
      </c>
      <c r="AE242" s="1438">
        <f ca="1">IF(B242&gt;=$J$5,0,CONTADORES!J248-CONTADORES!J247)</f>
        <v>0</v>
      </c>
      <c r="AF242" s="1438">
        <f ca="1">IF(B242&gt;=$J$5,0,CONTADORES!AU248-CONTADORES!AU247)</f>
        <v>0</v>
      </c>
      <c r="AG242" s="1438">
        <f ca="1">IF(B242&gt;=$J$5,0,CONTADORES!AW248-CONTADORES!AW247)</f>
        <v>0</v>
      </c>
      <c r="AH242" s="1409">
        <f ca="1">IF(B242&gt;=$J$5,0,(CONTADORES!AM248-CONTADORES!AM247)+(CONTADORES!M248-CONTADORES!M247))</f>
        <v>0</v>
      </c>
      <c r="AI242" s="1438">
        <f ca="1">IF(B242&gt;=$J$5,0,(CONTADORES!AK248-CONTADORES!AK247)+(CONTADORES!O248-CONTADORES!O247))</f>
        <v>0</v>
      </c>
      <c r="AJ242" s="1438">
        <f ca="1">IF(B242&gt;=$J$5,0,(CONTADORES!AI248-CONTADORES!AI247))</f>
        <v>0</v>
      </c>
      <c r="AK242" s="1438">
        <f ca="1">IF(B242&gt;=$J$5,0,(CONTADORES!Q248-CONTADORES!Q247))</f>
        <v>0</v>
      </c>
      <c r="AL242" s="1461">
        <f t="shared" ca="1" si="111"/>
        <v>0</v>
      </c>
      <c r="AM242" s="1409">
        <f ca="1">IF(B242&gt;=$J$5,0,(((CONTADORES!F248-CONTADORES!F247)+(CONTADORES!AQ248-CONTADORES!AQ247))))-BS242-AF242-AN242-BV242-BY242-CD242-CB242</f>
        <v>0</v>
      </c>
      <c r="AN242" s="1438">
        <f ca="1">IF(B242&gt;=$J$5,0,(CONTADORES!AX248-CONTADORES!AX247)+(CONTADORES!AZ248-CONTADORES!AZ247)+(CONTADORES!BE248-CONTADORES!BE247))-CB242</f>
        <v>0</v>
      </c>
      <c r="AO242" s="1466">
        <f>(CONTADORES!AC248-CONTADORES!AC247)</f>
        <v>0</v>
      </c>
      <c r="AP242" s="1466">
        <f>(CONTADORES!X248-CONTADORES!X247)</f>
        <v>0</v>
      </c>
      <c r="AQ242" s="1467">
        <f>(CONTADORES!C248-CONTADORES!C247)</f>
        <v>0</v>
      </c>
      <c r="AR242" s="1466">
        <f ca="1">AR241+(CONTADORES!BC248-CONTADORES!BC247)</f>
        <v>0</v>
      </c>
      <c r="AS242" s="1438">
        <f ca="1">IF(B242&gt;=$J$5,0,CONTADORES!S248-CONTADORES!S247)</f>
        <v>0</v>
      </c>
      <c r="AT242" s="1438">
        <f ca="1">IF(B242&gt;=$J$5,0,(CONTADORES!U248-CONTADORES!U247)+(CONTADORES!AG248-CONTADORES!AG247))</f>
        <v>0</v>
      </c>
      <c r="AU242" s="1437">
        <f>CONTADORES!I248-CONTADORES!I247</f>
        <v>0</v>
      </c>
      <c r="AV242" s="1466">
        <f>CONTADORES!AV248-CONTADORES!AV247</f>
        <v>0</v>
      </c>
      <c r="AW242" s="1466">
        <f ca="1">IF(B242&gt;=$J$5,0,(CONTADORES!N248-CONTADORES!N247)+(CONTADORES!AN248-CONTADORES!AN247))</f>
        <v>0</v>
      </c>
      <c r="AX242" s="1466">
        <f ca="1">IF(B242&gt;=$J$5,0,(CONTADORES!P248-CONTADORES!P247)+(CONTADORES!AL248-CONTADORES!AL247))</f>
        <v>0</v>
      </c>
      <c r="AY242" s="1466">
        <f ca="1">IF(B242&gt;=$J$5,0,(CONTADORES!AJ248-CONTADORES!AJ247))</f>
        <v>0</v>
      </c>
      <c r="AZ242" s="1466">
        <f ca="1">IF(B242&gt;=$J$5,0,(CONTADORES!R248-CONTADORES!R247))</f>
        <v>0</v>
      </c>
      <c r="BA242" s="1409">
        <f t="shared" ca="1" si="112"/>
        <v>0</v>
      </c>
      <c r="BB242" s="1437">
        <f ca="1">IF(B242&gt;=$J$5,0,(((CONTADORES!G248-CONTADORES!G247)+(CONTADORES!AR248-CONTADORES!AR247)+AR242)-(AV242+BC242)))</f>
        <v>0</v>
      </c>
      <c r="BC242" s="1438">
        <f ca="1">IF(B242&gt;=$J$5,0,(CONTADORES!AY248-CONTADORES!AY247)+(CONTADORES!BA248-CONTADORES!BA247)+(CONTADORES!BF248-CONTADORES!BF247))</f>
        <v>0</v>
      </c>
      <c r="BD242" s="1397">
        <f t="shared" ca="1" si="113"/>
        <v>0</v>
      </c>
      <c r="BE242" s="1398">
        <f ca="1">IF($B242&gt;=$J$5,0,CONTADORES!$BG248)</f>
        <v>0</v>
      </c>
      <c r="BF242" s="1397">
        <f ca="1">IF($B242&gt;=$J$5,0,CONTADORES!$BH248)</f>
        <v>0</v>
      </c>
      <c r="BG242" s="1397">
        <f ca="1">IF($B242&gt;=$J$5,0,CONTADORES!$BJ248)</f>
        <v>0</v>
      </c>
      <c r="BH242" s="1397">
        <f ca="1">IF(B242&gt;=$J$5,0,((CONTADORES!BK248-CONTADORES!BK247)/1000))</f>
        <v>0</v>
      </c>
      <c r="BI242" s="1397">
        <f ca="1">IF(C242&gt;=$J$5,0,((CONTADORES!BL248-CONTADORES!BL247)/1000))</f>
        <v>0</v>
      </c>
      <c r="BJ242" s="1397">
        <f ca="1">IF(C242&gt;=$J$5,0,((CONTADORES!BM248-CONTADORES!BM247)/1000))</f>
        <v>0</v>
      </c>
      <c r="BK242" s="1397">
        <f ca="1">IF(D242&gt;=$J$5,0,((CONTADORES!BN248-CONTADORES!BN247)/1000))</f>
        <v>0</v>
      </c>
      <c r="BL242" s="1399">
        <f t="shared" ca="1" si="114"/>
        <v>0</v>
      </c>
      <c r="BM242" s="1399">
        <f t="shared" ca="1" si="115"/>
        <v>0</v>
      </c>
      <c r="BN242" s="1398">
        <f ca="1">IF(W242&gt;=$J$5,0,CONTADORES!$BO248)</f>
        <v>0</v>
      </c>
      <c r="BO242" s="1409">
        <f ca="1">IF(W242&gt;=$J$5,0,CONTADORES!$BP248)</f>
        <v>0</v>
      </c>
      <c r="BP242" s="1438">
        <f ca="1">IF(W242&gt;=$J$5,0,CONTADORES!$BQ248)</f>
        <v>0</v>
      </c>
      <c r="BQ242" s="1438">
        <f ca="1">IF(B242&gt;=$J$5,0,(CONTADORES!AS248-CONTADORES!AS247))</f>
        <v>0</v>
      </c>
      <c r="BR242" s="1438">
        <f ca="1">IF(C242&gt;=$J$5,0,(CONTADORES!AT248-CONTADORES!AT247))</f>
        <v>0</v>
      </c>
      <c r="BS242" s="1409">
        <f ca="1">IF(B242&gt;=$J$5,0,CONTADORES!BR248-CONTADORES!BR247)/1000</f>
        <v>0</v>
      </c>
      <c r="BT242" s="1409">
        <f ca="1">IF(B242&gt;=$J$5,0,CONTADORES!BS248-CONTADORES!BS247)</f>
        <v>0</v>
      </c>
      <c r="BU242" s="1409">
        <f ca="1">IF(B242&gt;=$J$5,0,CONTADORES!BT248-CONTADORES!BT247)</f>
        <v>0</v>
      </c>
      <c r="BV242" s="1409">
        <f ca="1">IF(B242&gt;=$J$5,0,CONTADORES!BU248-CONTADORES!BU247)/1000</f>
        <v>0</v>
      </c>
      <c r="BW242" s="1409">
        <f ca="1">IF(B242&gt;=$J$5,0,CONTADORES!BV248-CONTADORES!BV247)/1000</f>
        <v>0</v>
      </c>
      <c r="BX242" s="1409">
        <f ca="1">IF(B242&gt;=$J$5,0,CONTADORES!BW248-CONTADORES!BW247)</f>
        <v>0</v>
      </c>
      <c r="BY242" s="1409">
        <f ca="1">IF(B242&gt;=$J$5,0,CONTADORES!BX248-CONTADORES!BX247)/1000</f>
        <v>0</v>
      </c>
      <c r="BZ242" s="1409">
        <f ca="1">IF(B242&gt;=$J$5,0,CONTADORES!BY248-CONTADORES!BY247)/1000</f>
        <v>0</v>
      </c>
      <c r="CA242" s="1409">
        <f ca="1">IF(B242&gt;=$J$5,0,CONTADORES!BZ248-CONTADORES!BZ247)</f>
        <v>0</v>
      </c>
      <c r="CB242" s="1409">
        <f ca="1">IF(B242&gt;=$J$5,0,(CONTADORES!CC248-CONTADORES!CC247)+(CONTADORES!CE248-CONTADORES!CE247))/1000</f>
        <v>0</v>
      </c>
      <c r="CC242" s="1409">
        <f ca="1">IF(B242&gt;=$J$5,0,(CONTADORES!CD248-CONTADORES!CD247)+(CONTADORES!CF248-CONTADORES!CF247))/1000</f>
        <v>0</v>
      </c>
      <c r="CD242" s="1409">
        <f ca="1">IF(B242&gt;=$J$5,0,CONTADORES!CA248-CONTADORES!CA247)</f>
        <v>0</v>
      </c>
      <c r="CE242" s="1409">
        <f ca="1">IF(B242&gt;=$J$5,0,CONTADORES!CB248-CONTADORES!CB247)</f>
        <v>0</v>
      </c>
      <c r="CF242" s="1409">
        <f t="shared" ca="1" si="116"/>
        <v>0</v>
      </c>
      <c r="CG242" s="1409">
        <f t="shared" ca="1" si="117"/>
        <v>0</v>
      </c>
      <c r="CH242" s="1409">
        <f t="shared" ca="1" si="118"/>
        <v>0</v>
      </c>
      <c r="CI242" s="1409">
        <f t="shared" ca="1" si="119"/>
        <v>0</v>
      </c>
      <c r="CJ242" s="1409">
        <f t="shared" ca="1" si="120"/>
        <v>0</v>
      </c>
      <c r="CK242" s="1409">
        <f t="shared" ca="1" si="121"/>
        <v>0</v>
      </c>
      <c r="CL242" s="1409">
        <f t="shared" ca="1" si="122"/>
        <v>0</v>
      </c>
      <c r="CM242" s="1409">
        <f t="shared" ca="1" si="123"/>
        <v>0</v>
      </c>
      <c r="CN242" s="1409">
        <f ca="1">IF(B242&gt;=$J$5,0,CONTADORES!CB248-CONTADORES!CB247)</f>
        <v>0</v>
      </c>
      <c r="CO242" s="1409">
        <f t="shared" ca="1" si="124"/>
        <v>0</v>
      </c>
      <c r="CP242" s="1409">
        <f t="shared" ca="1" si="125"/>
        <v>0</v>
      </c>
      <c r="CQ242" s="1409">
        <f t="shared" ca="1" si="126"/>
        <v>0</v>
      </c>
      <c r="CR242" s="1409">
        <f t="shared" ca="1" si="127"/>
        <v>0</v>
      </c>
      <c r="CS242" s="1468">
        <f ca="1">IF($B242&gt;=$J$5,0,CONTADORES!$BI248)</f>
        <v>0</v>
      </c>
      <c r="CT242" s="1334">
        <f>CONTADORES!E248</f>
        <v>0</v>
      </c>
      <c r="CU242" s="1334">
        <f>CONTADORES!CG248</f>
        <v>0</v>
      </c>
    </row>
    <row r="243" spans="2:99">
      <c r="B243" s="390">
        <v>45159</v>
      </c>
      <c r="C243" s="198">
        <f t="shared" ca="1" si="101"/>
        <v>0</v>
      </c>
      <c r="D243" s="196">
        <f ca="1">'CALCULO DE GAS'!P58</f>
        <v>0</v>
      </c>
      <c r="E243" s="196">
        <f ca="1">IF(B243&gt;=$J$5,0,(CONTADORES!$AD249-CONTADORES!$AD248)-$H243)</f>
        <v>0</v>
      </c>
      <c r="F243" s="198">
        <f t="shared" ca="1" si="129"/>
        <v>0</v>
      </c>
      <c r="G243" s="206">
        <f ca="1">IF(B243&gt;=$J$5,0,CONTADORES!$AF249-CONTADORES!$AF248)</f>
        <v>0</v>
      </c>
      <c r="H243" s="206">
        <f ca="1">IF(G243&gt;0,CONTADORES!$AE249-CONTADORES!$AE248,0)</f>
        <v>0</v>
      </c>
      <c r="I243" s="208">
        <f ca="1">IF(B243&gt;=$J$5,0,CONTADORES!$AB249-CONTADORES!$AB248)</f>
        <v>0</v>
      </c>
      <c r="J243" s="198">
        <f t="shared" ca="1" si="102"/>
        <v>0</v>
      </c>
      <c r="K243" s="196">
        <f ca="1">'CALCULO DE GAS'!Q58</f>
        <v>0</v>
      </c>
      <c r="L243" s="1396">
        <f ca="1">IF(B243&gt;=$J$5,0,(CONTADORES!$Y249-CONTADORES!$Y248)-$O243)</f>
        <v>0</v>
      </c>
      <c r="M243" s="1396">
        <f t="shared" ca="1" si="130"/>
        <v>0</v>
      </c>
      <c r="N243" s="1396">
        <f ca="1">IF(B243&gt;=$J$5,0,CONTADORES!$AA249-CONTADORES!$AA248)</f>
        <v>0</v>
      </c>
      <c r="O243" s="1396">
        <f ca="1">IF(N243&gt;0,CONTADORES!$Z249-CONTADORES!$Z248,0)</f>
        <v>0</v>
      </c>
      <c r="P243" s="202">
        <f ca="1">IF(B243&gt;=$J$5,0,CONTADORES!$W249-CONTADORES!$W248)</f>
        <v>0</v>
      </c>
      <c r="Q243" s="202">
        <f ca="1">IF(B243&gt;=$J$5,0,CONTADORES!$B249-CONTADORES!$B248)</f>
        <v>0</v>
      </c>
      <c r="R243" s="196">
        <f t="shared" ca="1" si="103"/>
        <v>0</v>
      </c>
      <c r="S243" s="11">
        <f ca="1">IF(B243&gt;=$J$5,0,CONTADORES!$D249-CONTADORES!$D248)</f>
        <v>0</v>
      </c>
      <c r="T243" s="198">
        <f ca="1">IF(B243&gt;=$J$5,0,CONTADORES!$BB249-CONTADORES!$BB248)</f>
        <v>0</v>
      </c>
      <c r="U243" s="196">
        <f t="shared" ca="1" si="131"/>
        <v>0</v>
      </c>
      <c r="V243" s="199">
        <f ca="1">IF(B243&gt;=$J$5,0,CONTADORES!$BD249-CONTADORES!$BD248)</f>
        <v>0</v>
      </c>
      <c r="W243" s="1397">
        <f t="shared" ca="1" si="104"/>
        <v>0</v>
      </c>
      <c r="X243" s="1397">
        <f t="shared" ca="1" si="105"/>
        <v>0</v>
      </c>
      <c r="Y243" s="1398">
        <f t="shared" ca="1" si="106"/>
        <v>0</v>
      </c>
      <c r="Z243" s="1398">
        <f t="shared" ca="1" si="107"/>
        <v>0</v>
      </c>
      <c r="AA243" s="1398">
        <f t="shared" ca="1" si="108"/>
        <v>0</v>
      </c>
      <c r="AB243" s="1398">
        <f t="shared" ca="1" si="109"/>
        <v>0</v>
      </c>
      <c r="AC243" s="1397">
        <f t="shared" ca="1" si="110"/>
        <v>0</v>
      </c>
      <c r="AD243" s="1409">
        <f ca="1">IF(B243&gt;=$J$5,0,CONTADORES!H249-CONTADORES!H248)</f>
        <v>0</v>
      </c>
      <c r="AE243" s="1438">
        <f ca="1">IF(B243&gt;=$J$5,0,CONTADORES!J249-CONTADORES!J248)</f>
        <v>0</v>
      </c>
      <c r="AF243" s="1438">
        <f ca="1">IF(B243&gt;=$J$5,0,CONTADORES!AU249-CONTADORES!AU248)</f>
        <v>0</v>
      </c>
      <c r="AG243" s="1438">
        <f ca="1">IF(B243&gt;=$J$5,0,CONTADORES!AW249-CONTADORES!AW248)</f>
        <v>0</v>
      </c>
      <c r="AH243" s="1409">
        <f ca="1">IF(B243&gt;=$J$5,0,(CONTADORES!AM249-CONTADORES!AM248)+(CONTADORES!M249-CONTADORES!M248))</f>
        <v>0</v>
      </c>
      <c r="AI243" s="1438">
        <f ca="1">IF(B243&gt;=$J$5,0,(CONTADORES!AK249-CONTADORES!AK248)+(CONTADORES!O249-CONTADORES!O248))</f>
        <v>0</v>
      </c>
      <c r="AJ243" s="1438">
        <f ca="1">IF(B243&gt;=$J$5,0,(CONTADORES!AI249-CONTADORES!AI248))</f>
        <v>0</v>
      </c>
      <c r="AK243" s="1438">
        <f ca="1">IF(B243&gt;=$J$5,0,(CONTADORES!Q249-CONTADORES!Q248))</f>
        <v>0</v>
      </c>
      <c r="AL243" s="1461">
        <f t="shared" ca="1" si="111"/>
        <v>0</v>
      </c>
      <c r="AM243" s="1409">
        <f ca="1">IF(B243&gt;=$J$5,0,(((CONTADORES!F249-CONTADORES!F248)+(CONTADORES!AQ249-CONTADORES!AQ248))))-BS243-AF243-AN243-BV243-BY243-CD243-CB243</f>
        <v>0</v>
      </c>
      <c r="AN243" s="1438">
        <f ca="1">IF(B243&gt;=$J$5,0,(CONTADORES!AX249-CONTADORES!AX248)+(CONTADORES!AZ249-CONTADORES!AZ248)+(CONTADORES!BE249-CONTADORES!BE248))-CB243</f>
        <v>0</v>
      </c>
      <c r="AO243" s="1466">
        <f>(CONTADORES!AC249-CONTADORES!AC248)</f>
        <v>0</v>
      </c>
      <c r="AP243" s="1466">
        <f>(CONTADORES!X249-CONTADORES!X248)</f>
        <v>0</v>
      </c>
      <c r="AQ243" s="1467">
        <f>(CONTADORES!C249-CONTADORES!C248)</f>
        <v>0</v>
      </c>
      <c r="AR243" s="1466">
        <f ca="1">AR242+(CONTADORES!BC249-CONTADORES!BC248)</f>
        <v>0</v>
      </c>
      <c r="AS243" s="1438">
        <f ca="1">IF(B243&gt;=$J$5,0,CONTADORES!S249-CONTADORES!S248)</f>
        <v>0</v>
      </c>
      <c r="AT243" s="1438">
        <f ca="1">IF(B243&gt;=$J$5,0,(CONTADORES!U249-CONTADORES!U248)+(CONTADORES!AG249-CONTADORES!AG248))</f>
        <v>0</v>
      </c>
      <c r="AU243" s="1437">
        <f>CONTADORES!I249-CONTADORES!I248</f>
        <v>0</v>
      </c>
      <c r="AV243" s="1466">
        <f>CONTADORES!AV249-CONTADORES!AV248</f>
        <v>0</v>
      </c>
      <c r="AW243" s="1466">
        <f ca="1">IF(B243&gt;=$J$5,0,(CONTADORES!N249-CONTADORES!N248)+(CONTADORES!AN249-CONTADORES!AN248))</f>
        <v>0</v>
      </c>
      <c r="AX243" s="1466">
        <f ca="1">IF(B243&gt;=$J$5,0,(CONTADORES!P249-CONTADORES!P248)+(CONTADORES!AL249-CONTADORES!AL248))</f>
        <v>0</v>
      </c>
      <c r="AY243" s="1466">
        <f ca="1">IF(B243&gt;=$J$5,0,(CONTADORES!AJ249-CONTADORES!AJ248))</f>
        <v>0</v>
      </c>
      <c r="AZ243" s="1466">
        <f ca="1">IF(B243&gt;=$J$5,0,(CONTADORES!R249-CONTADORES!R248))</f>
        <v>0</v>
      </c>
      <c r="BA243" s="1409">
        <f t="shared" ca="1" si="112"/>
        <v>0</v>
      </c>
      <c r="BB243" s="1437">
        <f ca="1">IF(B243&gt;=$J$5,0,(((CONTADORES!G249-CONTADORES!G248)+(CONTADORES!AR249-CONTADORES!AR248)+AR243)-(AV243+BC243)))</f>
        <v>0</v>
      </c>
      <c r="BC243" s="1438">
        <f ca="1">IF(B243&gt;=$J$5,0,(CONTADORES!AY249-CONTADORES!AY248)+(CONTADORES!BA249-CONTADORES!BA248)+(CONTADORES!BF249-CONTADORES!BF248))</f>
        <v>0</v>
      </c>
      <c r="BD243" s="1397">
        <f t="shared" ca="1" si="113"/>
        <v>0</v>
      </c>
      <c r="BE243" s="1398">
        <f ca="1">IF($B243&gt;=$J$5,0,CONTADORES!$BG249)</f>
        <v>0</v>
      </c>
      <c r="BF243" s="1397">
        <f ca="1">IF($B243&gt;=$J$5,0,CONTADORES!$BH249)</f>
        <v>0</v>
      </c>
      <c r="BG243" s="1397">
        <f ca="1">IF($B243&gt;=$J$5,0,CONTADORES!$BJ249)</f>
        <v>0</v>
      </c>
      <c r="BH243" s="1397">
        <f ca="1">IF(B243&gt;=$J$5,0,((CONTADORES!BK249-CONTADORES!BK248)/1000))</f>
        <v>0</v>
      </c>
      <c r="BI243" s="1397">
        <f ca="1">IF(C243&gt;=$J$5,0,((CONTADORES!BL249-CONTADORES!BL248)/1000))</f>
        <v>0</v>
      </c>
      <c r="BJ243" s="1397">
        <f ca="1">IF(C243&gt;=$J$5,0,((CONTADORES!BM249-CONTADORES!BM248)/1000))</f>
        <v>0</v>
      </c>
      <c r="BK243" s="1397">
        <f ca="1">IF(D243&gt;=$J$5,0,((CONTADORES!BN249-CONTADORES!BN248)/1000))</f>
        <v>0</v>
      </c>
      <c r="BL243" s="1399">
        <f t="shared" ca="1" si="114"/>
        <v>0</v>
      </c>
      <c r="BM243" s="1399">
        <f t="shared" ca="1" si="115"/>
        <v>0</v>
      </c>
      <c r="BN243" s="1398">
        <f ca="1">IF(W243&gt;=$J$5,0,CONTADORES!$BO249)</f>
        <v>0</v>
      </c>
      <c r="BO243" s="1409">
        <f ca="1">IF(W243&gt;=$J$5,0,CONTADORES!$BP249)</f>
        <v>0</v>
      </c>
      <c r="BP243" s="1438">
        <f ca="1">IF(W243&gt;=$J$5,0,CONTADORES!$BQ249)</f>
        <v>0</v>
      </c>
      <c r="BQ243" s="1438">
        <f ca="1">IF(B243&gt;=$J$5,0,(CONTADORES!AS249-CONTADORES!AS248))</f>
        <v>0</v>
      </c>
      <c r="BR243" s="1438">
        <f ca="1">IF(C243&gt;=$J$5,0,(CONTADORES!AT249-CONTADORES!AT248))</f>
        <v>0</v>
      </c>
      <c r="BS243" s="1409">
        <f ca="1">IF(B243&gt;=$J$5,0,CONTADORES!BR249-CONTADORES!BR248)/1000</f>
        <v>0</v>
      </c>
      <c r="BT243" s="1409">
        <f ca="1">IF(B243&gt;=$J$5,0,CONTADORES!BS249-CONTADORES!BS248)</f>
        <v>0</v>
      </c>
      <c r="BU243" s="1409">
        <f ca="1">IF(B243&gt;=$J$5,0,CONTADORES!BT249-CONTADORES!BT248)</f>
        <v>0</v>
      </c>
      <c r="BV243" s="1409">
        <f ca="1">IF(B243&gt;=$J$5,0,CONTADORES!BU249-CONTADORES!BU248)/1000</f>
        <v>0</v>
      </c>
      <c r="BW243" s="1409">
        <f ca="1">IF(B243&gt;=$J$5,0,CONTADORES!BV249-CONTADORES!BV248)/1000</f>
        <v>0</v>
      </c>
      <c r="BX243" s="1409">
        <f ca="1">IF(B243&gt;=$J$5,0,CONTADORES!BW249-CONTADORES!BW248)</f>
        <v>0</v>
      </c>
      <c r="BY243" s="1409">
        <f ca="1">IF(B243&gt;=$J$5,0,CONTADORES!BX249-CONTADORES!BX248)/1000</f>
        <v>0</v>
      </c>
      <c r="BZ243" s="1409">
        <f ca="1">IF(B243&gt;=$J$5,0,CONTADORES!BY249-CONTADORES!BY248)/1000</f>
        <v>0</v>
      </c>
      <c r="CA243" s="1409">
        <f ca="1">IF(B243&gt;=$J$5,0,CONTADORES!BZ249-CONTADORES!BZ248)</f>
        <v>0</v>
      </c>
      <c r="CB243" s="1409">
        <f ca="1">IF(B243&gt;=$J$5,0,(CONTADORES!CC249-CONTADORES!CC248)+(CONTADORES!CE249-CONTADORES!CE248))/1000</f>
        <v>0</v>
      </c>
      <c r="CC243" s="1409">
        <f ca="1">IF(B243&gt;=$J$5,0,(CONTADORES!CD249-CONTADORES!CD248)+(CONTADORES!CF249-CONTADORES!CF248))/1000</f>
        <v>0</v>
      </c>
      <c r="CD243" s="1409">
        <f ca="1">IF(B243&gt;=$J$5,0,CONTADORES!CA249-CONTADORES!CA248)</f>
        <v>0</v>
      </c>
      <c r="CE243" s="1409">
        <f ca="1">IF(B243&gt;=$J$5,0,CONTADORES!CB249-CONTADORES!CB248)</f>
        <v>0</v>
      </c>
      <c r="CF243" s="1409">
        <f t="shared" ca="1" si="116"/>
        <v>0</v>
      </c>
      <c r="CG243" s="1409">
        <f t="shared" ca="1" si="117"/>
        <v>0</v>
      </c>
      <c r="CH243" s="1409">
        <f t="shared" ca="1" si="118"/>
        <v>0</v>
      </c>
      <c r="CI243" s="1409">
        <f t="shared" ca="1" si="119"/>
        <v>0</v>
      </c>
      <c r="CJ243" s="1409">
        <f t="shared" ca="1" si="120"/>
        <v>0</v>
      </c>
      <c r="CK243" s="1409">
        <f t="shared" ca="1" si="121"/>
        <v>0</v>
      </c>
      <c r="CL243" s="1409">
        <f t="shared" ca="1" si="122"/>
        <v>0</v>
      </c>
      <c r="CM243" s="1409">
        <f t="shared" ca="1" si="123"/>
        <v>0</v>
      </c>
      <c r="CN243" s="1409">
        <f ca="1">IF(B243&gt;=$J$5,0,CONTADORES!CB249-CONTADORES!CB248)</f>
        <v>0</v>
      </c>
      <c r="CO243" s="1409">
        <f t="shared" ca="1" si="124"/>
        <v>0</v>
      </c>
      <c r="CP243" s="1409">
        <f t="shared" ca="1" si="125"/>
        <v>0</v>
      </c>
      <c r="CQ243" s="1409">
        <f t="shared" ca="1" si="126"/>
        <v>0</v>
      </c>
      <c r="CR243" s="1409">
        <f t="shared" ca="1" si="127"/>
        <v>0</v>
      </c>
      <c r="CS243" s="1468">
        <f ca="1">IF($B243&gt;=$J$5,0,CONTADORES!$BI249)</f>
        <v>0</v>
      </c>
      <c r="CT243" s="1334">
        <f>CONTADORES!E249</f>
        <v>0</v>
      </c>
      <c r="CU243" s="1334">
        <f>CONTADORES!CG249</f>
        <v>0</v>
      </c>
    </row>
    <row r="244" spans="2:99">
      <c r="B244" s="390">
        <v>45160</v>
      </c>
      <c r="C244" s="198">
        <f t="shared" ca="1" si="101"/>
        <v>0</v>
      </c>
      <c r="D244" s="196">
        <f ca="1">'CALCULO DE GAS'!P59</f>
        <v>0</v>
      </c>
      <c r="E244" s="196">
        <f ca="1">IF(B244&gt;=$J$5,0,(CONTADORES!$AD250-CONTADORES!$AD249)-$H244)</f>
        <v>0</v>
      </c>
      <c r="F244" s="198">
        <f t="shared" ca="1" si="129"/>
        <v>0</v>
      </c>
      <c r="G244" s="206">
        <f ca="1">IF(B244&gt;=$J$5,0,CONTADORES!$AF250-CONTADORES!$AF249)</f>
        <v>0</v>
      </c>
      <c r="H244" s="206">
        <f ca="1">IF(G244&gt;0,CONTADORES!$AE250-CONTADORES!$AE249,0)</f>
        <v>0</v>
      </c>
      <c r="I244" s="208">
        <f ca="1">IF(B244&gt;=$J$5,0,CONTADORES!$AB250-CONTADORES!$AB249)</f>
        <v>0</v>
      </c>
      <c r="J244" s="198">
        <f t="shared" ca="1" si="102"/>
        <v>0</v>
      </c>
      <c r="K244" s="196">
        <f ca="1">'CALCULO DE GAS'!Q59</f>
        <v>0</v>
      </c>
      <c r="L244" s="1396">
        <f ca="1">IF(B244&gt;=$J$5,0,(CONTADORES!$Y250-CONTADORES!$Y249)-$O244)</f>
        <v>0</v>
      </c>
      <c r="M244" s="1396">
        <f t="shared" ca="1" si="130"/>
        <v>0</v>
      </c>
      <c r="N244" s="1396">
        <f ca="1">IF(B244&gt;=$J$5,0,CONTADORES!$AA250-CONTADORES!$AA249)</f>
        <v>0</v>
      </c>
      <c r="O244" s="1396">
        <f ca="1">IF(N244&gt;0,CONTADORES!$Z250-CONTADORES!$Z249,0)</f>
        <v>0</v>
      </c>
      <c r="P244" s="202">
        <f ca="1">IF(B244&gt;=$J$5,0,CONTADORES!$W250-CONTADORES!$W249)</f>
        <v>0</v>
      </c>
      <c r="Q244" s="202">
        <f ca="1">IF(B244&gt;=$J$5,0,CONTADORES!$B250-CONTADORES!$B249)</f>
        <v>0</v>
      </c>
      <c r="R244" s="196">
        <f t="shared" ca="1" si="103"/>
        <v>0</v>
      </c>
      <c r="S244" s="11">
        <f ca="1">IF(B244&gt;=$J$5,0,CONTADORES!$D250-CONTADORES!$D249)</f>
        <v>0</v>
      </c>
      <c r="T244" s="198">
        <f ca="1">IF(B244&gt;=$J$5,0,CONTADORES!$BB250-CONTADORES!$BB249)</f>
        <v>0</v>
      </c>
      <c r="U244" s="196">
        <f t="shared" ca="1" si="131"/>
        <v>0</v>
      </c>
      <c r="V244" s="199">
        <f ca="1">IF(B244&gt;=$J$5,0,CONTADORES!$BD250-CONTADORES!$BD249)</f>
        <v>0</v>
      </c>
      <c r="W244" s="1397">
        <f t="shared" ca="1" si="104"/>
        <v>0</v>
      </c>
      <c r="X244" s="1397">
        <f t="shared" ca="1" si="105"/>
        <v>0</v>
      </c>
      <c r="Y244" s="1398">
        <f t="shared" ca="1" si="106"/>
        <v>0</v>
      </c>
      <c r="Z244" s="1398">
        <f t="shared" ca="1" si="107"/>
        <v>0</v>
      </c>
      <c r="AA244" s="1398">
        <f t="shared" ca="1" si="108"/>
        <v>0</v>
      </c>
      <c r="AB244" s="1398">
        <f t="shared" ca="1" si="109"/>
        <v>0</v>
      </c>
      <c r="AC244" s="1397">
        <f t="shared" ca="1" si="110"/>
        <v>0</v>
      </c>
      <c r="AD244" s="1409">
        <f ca="1">IF(B244&gt;=$J$5,0,CONTADORES!H250-CONTADORES!H249)</f>
        <v>0</v>
      </c>
      <c r="AE244" s="1438">
        <f ca="1">IF(B244&gt;=$J$5,0,CONTADORES!J250-CONTADORES!J249)</f>
        <v>0</v>
      </c>
      <c r="AF244" s="1438">
        <f ca="1">IF(B244&gt;=$J$5,0,CONTADORES!AU250-CONTADORES!AU249)</f>
        <v>0</v>
      </c>
      <c r="AG244" s="1438">
        <f ca="1">IF(B244&gt;=$J$5,0,CONTADORES!AW250-CONTADORES!AW249)</f>
        <v>0</v>
      </c>
      <c r="AH244" s="1409">
        <f ca="1">IF(B244&gt;=$J$5,0,(CONTADORES!AM250-CONTADORES!AM249)+(CONTADORES!M250-CONTADORES!M249))</f>
        <v>0</v>
      </c>
      <c r="AI244" s="1438">
        <f ca="1">IF(B244&gt;=$J$5,0,(CONTADORES!AK250-CONTADORES!AK249)+(CONTADORES!O250-CONTADORES!O249))</f>
        <v>0</v>
      </c>
      <c r="AJ244" s="1438">
        <f ca="1">IF(B244&gt;=$J$5,0,(CONTADORES!AI250-CONTADORES!AI249))</f>
        <v>0</v>
      </c>
      <c r="AK244" s="1438">
        <f ca="1">IF(B244&gt;=$J$5,0,(CONTADORES!Q250-CONTADORES!Q249))</f>
        <v>0</v>
      </c>
      <c r="AL244" s="1461">
        <f t="shared" ca="1" si="111"/>
        <v>0</v>
      </c>
      <c r="AM244" s="1409">
        <f ca="1">IF(B244&gt;=$J$5,0,(((CONTADORES!F250-CONTADORES!F249)+(CONTADORES!AQ250-CONTADORES!AQ249))))-BS244-AF244-AN244-BV244-BY244-CD244-CB244</f>
        <v>0</v>
      </c>
      <c r="AN244" s="1438">
        <f ca="1">IF(B244&gt;=$J$5,0,(CONTADORES!AX250-CONTADORES!AX249)+(CONTADORES!AZ250-CONTADORES!AZ249)+(CONTADORES!BE250-CONTADORES!BE249))-CB244</f>
        <v>0</v>
      </c>
      <c r="AO244" s="1466">
        <f>(CONTADORES!AC250-CONTADORES!AC249)</f>
        <v>0</v>
      </c>
      <c r="AP244" s="1466">
        <f>(CONTADORES!X250-CONTADORES!X249)</f>
        <v>0</v>
      </c>
      <c r="AQ244" s="1467">
        <f>(CONTADORES!C250-CONTADORES!C249)</f>
        <v>0</v>
      </c>
      <c r="AR244" s="1466">
        <f ca="1">AR243+(CONTADORES!BC250-CONTADORES!BC249)</f>
        <v>0</v>
      </c>
      <c r="AS244" s="1438">
        <f ca="1">IF(B244&gt;=$J$5,0,CONTADORES!S250-CONTADORES!S249)</f>
        <v>0</v>
      </c>
      <c r="AT244" s="1438">
        <f ca="1">IF(B244&gt;=$J$5,0,(CONTADORES!U250-CONTADORES!U249)+(CONTADORES!AG250-CONTADORES!AG249))</f>
        <v>0</v>
      </c>
      <c r="AU244" s="1437">
        <f>CONTADORES!I250-CONTADORES!I249</f>
        <v>0</v>
      </c>
      <c r="AV244" s="1466">
        <f>CONTADORES!AV250-CONTADORES!AV249</f>
        <v>0</v>
      </c>
      <c r="AW244" s="1466">
        <f ca="1">IF(B244&gt;=$J$5,0,(CONTADORES!N250-CONTADORES!N249)+(CONTADORES!AN250-CONTADORES!AN249))</f>
        <v>0</v>
      </c>
      <c r="AX244" s="1466">
        <f ca="1">IF(B244&gt;=$J$5,0,(CONTADORES!P250-CONTADORES!P249)+(CONTADORES!AL250-CONTADORES!AL249))</f>
        <v>0</v>
      </c>
      <c r="AY244" s="1466">
        <f ca="1">IF(B244&gt;=$J$5,0,(CONTADORES!AJ250-CONTADORES!AJ249))</f>
        <v>0</v>
      </c>
      <c r="AZ244" s="1466">
        <f ca="1">IF(B244&gt;=$J$5,0,(CONTADORES!R250-CONTADORES!R249))</f>
        <v>0</v>
      </c>
      <c r="BA244" s="1409">
        <f t="shared" ca="1" si="112"/>
        <v>0</v>
      </c>
      <c r="BB244" s="1437">
        <f ca="1">IF(B244&gt;=$J$5,0,(((CONTADORES!G250-CONTADORES!G249)+(CONTADORES!AR250-CONTADORES!AR249)+AR244)-(AV244+BC244)))</f>
        <v>0</v>
      </c>
      <c r="BC244" s="1438">
        <f ca="1">IF(B244&gt;=$J$5,0,(CONTADORES!AY250-CONTADORES!AY249)+(CONTADORES!BA250-CONTADORES!BA249)+(CONTADORES!BF250-CONTADORES!BF249))</f>
        <v>0</v>
      </c>
      <c r="BD244" s="1397">
        <f t="shared" ca="1" si="113"/>
        <v>0</v>
      </c>
      <c r="BE244" s="1398">
        <f ca="1">IF($B244&gt;=$J$5,0,CONTADORES!$BG250)</f>
        <v>0</v>
      </c>
      <c r="BF244" s="1397">
        <f ca="1">IF($B244&gt;=$J$5,0,CONTADORES!$BH250)</f>
        <v>0</v>
      </c>
      <c r="BG244" s="1397">
        <f ca="1">IF($B244&gt;=$J$5,0,CONTADORES!$BJ250)</f>
        <v>0</v>
      </c>
      <c r="BH244" s="1397">
        <f ca="1">IF(B244&gt;=$J$5,0,((CONTADORES!BK250-CONTADORES!BK249)/1000))</f>
        <v>0</v>
      </c>
      <c r="BI244" s="1397">
        <f ca="1">IF(C244&gt;=$J$5,0,((CONTADORES!BL250-CONTADORES!BL249)/1000))</f>
        <v>0</v>
      </c>
      <c r="BJ244" s="1397">
        <f ca="1">IF(C244&gt;=$J$5,0,((CONTADORES!BM250-CONTADORES!BM249)/1000))</f>
        <v>0</v>
      </c>
      <c r="BK244" s="1397">
        <f ca="1">IF(D244&gt;=$J$5,0,((CONTADORES!BN250-CONTADORES!BN249)/1000))</f>
        <v>0</v>
      </c>
      <c r="BL244" s="1399">
        <f t="shared" ca="1" si="114"/>
        <v>0</v>
      </c>
      <c r="BM244" s="1399">
        <f t="shared" ca="1" si="115"/>
        <v>0</v>
      </c>
      <c r="BN244" s="1398">
        <f ca="1">IF(W244&gt;=$J$5,0,CONTADORES!$BO250)</f>
        <v>0</v>
      </c>
      <c r="BO244" s="1409">
        <f ca="1">IF(W244&gt;=$J$5,0,CONTADORES!$BP250)</f>
        <v>0</v>
      </c>
      <c r="BP244" s="1438">
        <f ca="1">IF(W244&gt;=$J$5,0,CONTADORES!$BQ250)</f>
        <v>0</v>
      </c>
      <c r="BQ244" s="1438">
        <f ca="1">IF(B244&gt;=$J$5,0,(CONTADORES!AS250-CONTADORES!AS249))</f>
        <v>0</v>
      </c>
      <c r="BR244" s="1438">
        <f ca="1">IF(C244&gt;=$J$5,0,(CONTADORES!AT250-CONTADORES!AT249))</f>
        <v>0</v>
      </c>
      <c r="BS244" s="1409">
        <f ca="1">IF(B244&gt;=$J$5,0,CONTADORES!BR250-CONTADORES!BR249)/1000</f>
        <v>0</v>
      </c>
      <c r="BT244" s="1409">
        <f ca="1">IF(B244&gt;=$J$5,0,CONTADORES!BS250-CONTADORES!BS249)</f>
        <v>0</v>
      </c>
      <c r="BU244" s="1409">
        <f ca="1">IF(B244&gt;=$J$5,0,CONTADORES!BT250-CONTADORES!BT249)</f>
        <v>0</v>
      </c>
      <c r="BV244" s="1409">
        <f ca="1">IF(B244&gt;=$J$5,0,CONTADORES!BU250-CONTADORES!BU249)/1000</f>
        <v>0</v>
      </c>
      <c r="BW244" s="1409">
        <f ca="1">IF(B244&gt;=$J$5,0,CONTADORES!BV250-CONTADORES!BV249)/1000</f>
        <v>0</v>
      </c>
      <c r="BX244" s="1409">
        <f ca="1">IF(B244&gt;=$J$5,0,CONTADORES!BW250-CONTADORES!BW249)</f>
        <v>0</v>
      </c>
      <c r="BY244" s="1409">
        <f ca="1">IF(B244&gt;=$J$5,0,CONTADORES!BX250-CONTADORES!BX249)/1000</f>
        <v>0</v>
      </c>
      <c r="BZ244" s="1409">
        <f ca="1">IF(B244&gt;=$J$5,0,CONTADORES!BY250-CONTADORES!BY249)/1000</f>
        <v>0</v>
      </c>
      <c r="CA244" s="1409">
        <f ca="1">IF(B244&gt;=$J$5,0,CONTADORES!BZ250-CONTADORES!BZ249)</f>
        <v>0</v>
      </c>
      <c r="CB244" s="1409">
        <f ca="1">IF(B244&gt;=$J$5,0,(CONTADORES!CC250-CONTADORES!CC249)+(CONTADORES!CE250-CONTADORES!CE249))/1000</f>
        <v>0</v>
      </c>
      <c r="CC244" s="1409">
        <f ca="1">IF(B244&gt;=$J$5,0,(CONTADORES!CD250-CONTADORES!CD249)+(CONTADORES!CF250-CONTADORES!CF249))/1000</f>
        <v>0</v>
      </c>
      <c r="CD244" s="1409">
        <f ca="1">IF(B244&gt;=$J$5,0,CONTADORES!CA250-CONTADORES!CA249)</f>
        <v>0</v>
      </c>
      <c r="CE244" s="1409">
        <f ca="1">IF(B244&gt;=$J$5,0,CONTADORES!CB250-CONTADORES!CB249)</f>
        <v>0</v>
      </c>
      <c r="CF244" s="1409">
        <f t="shared" ca="1" si="116"/>
        <v>0</v>
      </c>
      <c r="CG244" s="1409">
        <f t="shared" ca="1" si="117"/>
        <v>0</v>
      </c>
      <c r="CH244" s="1409">
        <f t="shared" ca="1" si="118"/>
        <v>0</v>
      </c>
      <c r="CI244" s="1409">
        <f t="shared" ca="1" si="119"/>
        <v>0</v>
      </c>
      <c r="CJ244" s="1409">
        <f t="shared" ca="1" si="120"/>
        <v>0</v>
      </c>
      <c r="CK244" s="1409">
        <f t="shared" ca="1" si="121"/>
        <v>0</v>
      </c>
      <c r="CL244" s="1409">
        <f t="shared" ca="1" si="122"/>
        <v>0</v>
      </c>
      <c r="CM244" s="1409">
        <f t="shared" ca="1" si="123"/>
        <v>0</v>
      </c>
      <c r="CN244" s="1409">
        <f ca="1">IF(B244&gt;=$J$5,0,CONTADORES!CB250-CONTADORES!CB249)</f>
        <v>0</v>
      </c>
      <c r="CO244" s="1409">
        <f t="shared" ca="1" si="124"/>
        <v>0</v>
      </c>
      <c r="CP244" s="1409">
        <f t="shared" ca="1" si="125"/>
        <v>0</v>
      </c>
      <c r="CQ244" s="1409">
        <f t="shared" ca="1" si="126"/>
        <v>0</v>
      </c>
      <c r="CR244" s="1409">
        <f t="shared" ca="1" si="127"/>
        <v>0</v>
      </c>
      <c r="CS244" s="1468">
        <f ca="1">IF($B244&gt;=$J$5,0,CONTADORES!$BI250)</f>
        <v>0</v>
      </c>
      <c r="CT244" s="1334">
        <f>CONTADORES!E250</f>
        <v>0</v>
      </c>
      <c r="CU244" s="1334">
        <f>CONTADORES!CG250</f>
        <v>0</v>
      </c>
    </row>
    <row r="245" spans="2:99">
      <c r="B245" s="390">
        <v>45161</v>
      </c>
      <c r="C245" s="198">
        <f t="shared" ca="1" si="101"/>
        <v>0</v>
      </c>
      <c r="D245" s="196">
        <f ca="1">'CALCULO DE GAS'!P60</f>
        <v>0</v>
      </c>
      <c r="E245" s="196">
        <f ca="1">IF(B245&gt;=$J$5,0,(CONTADORES!$AD251-CONTADORES!$AD250)-$H245)</f>
        <v>0</v>
      </c>
      <c r="F245" s="198">
        <f t="shared" ca="1" si="129"/>
        <v>0</v>
      </c>
      <c r="G245" s="206">
        <f ca="1">IF(B245&gt;=$J$5,0,CONTADORES!$AF251-CONTADORES!$AF250)</f>
        <v>0</v>
      </c>
      <c r="H245" s="206">
        <f ca="1">IF(G245&gt;0,CONTADORES!$AE251-CONTADORES!$AE250,0)</f>
        <v>0</v>
      </c>
      <c r="I245" s="208">
        <f ca="1">IF(B245&gt;=$J$5,0,CONTADORES!$AB251-CONTADORES!$AB250)</f>
        <v>0</v>
      </c>
      <c r="J245" s="198">
        <f t="shared" ca="1" si="102"/>
        <v>0</v>
      </c>
      <c r="K245" s="196">
        <f ca="1">'CALCULO DE GAS'!Q60</f>
        <v>0</v>
      </c>
      <c r="L245" s="1396">
        <f ca="1">IF(B245&gt;=$J$5,0,(CONTADORES!$Y251-CONTADORES!$Y250)-$O245)</f>
        <v>0</v>
      </c>
      <c r="M245" s="1396">
        <f t="shared" ca="1" si="130"/>
        <v>0</v>
      </c>
      <c r="N245" s="1396">
        <f ca="1">IF(B245&gt;=$J$5,0,CONTADORES!$AA251-CONTADORES!$AA250)</f>
        <v>0</v>
      </c>
      <c r="O245" s="1396">
        <f ca="1">IF(N245&gt;0,CONTADORES!$Z251-CONTADORES!$Z250,0)</f>
        <v>0</v>
      </c>
      <c r="P245" s="202">
        <f ca="1">IF(B245&gt;=$J$5,0,CONTADORES!$W251-CONTADORES!$W250)</f>
        <v>0</v>
      </c>
      <c r="Q245" s="202">
        <f ca="1">IF(B245&gt;=$J$5,0,CONTADORES!$B251-CONTADORES!$B250)</f>
        <v>0</v>
      </c>
      <c r="R245" s="196">
        <f t="shared" ca="1" si="103"/>
        <v>0</v>
      </c>
      <c r="S245" s="11">
        <f ca="1">IF(B245&gt;=$J$5,0,CONTADORES!$D251-CONTADORES!$D250)</f>
        <v>0</v>
      </c>
      <c r="T245" s="198">
        <f ca="1">IF(B245&gt;=$J$5,0,CONTADORES!$BB251-CONTADORES!$BB250)</f>
        <v>0</v>
      </c>
      <c r="U245" s="196">
        <f t="shared" ca="1" si="131"/>
        <v>0</v>
      </c>
      <c r="V245" s="199">
        <f ca="1">IF(B245&gt;=$J$5,0,CONTADORES!$BD251-CONTADORES!$BD250)</f>
        <v>0</v>
      </c>
      <c r="W245" s="1397">
        <f t="shared" ca="1" si="104"/>
        <v>0</v>
      </c>
      <c r="X245" s="1397">
        <f t="shared" ca="1" si="105"/>
        <v>0</v>
      </c>
      <c r="Y245" s="1398">
        <f t="shared" ca="1" si="106"/>
        <v>0</v>
      </c>
      <c r="Z245" s="1398">
        <f t="shared" ca="1" si="107"/>
        <v>0</v>
      </c>
      <c r="AA245" s="1398">
        <f t="shared" ca="1" si="108"/>
        <v>0</v>
      </c>
      <c r="AB245" s="1398">
        <f t="shared" ca="1" si="109"/>
        <v>0</v>
      </c>
      <c r="AC245" s="1397">
        <f t="shared" ca="1" si="110"/>
        <v>0</v>
      </c>
      <c r="AD245" s="1409">
        <f ca="1">IF(B245&gt;=$J$5,0,CONTADORES!H251-CONTADORES!H250)</f>
        <v>0</v>
      </c>
      <c r="AE245" s="1438">
        <f ca="1">IF(B245&gt;=$J$5,0,CONTADORES!J251-CONTADORES!J250)</f>
        <v>0</v>
      </c>
      <c r="AF245" s="1438">
        <f ca="1">IF(B245&gt;=$J$5,0,CONTADORES!AU251-CONTADORES!AU250)</f>
        <v>0</v>
      </c>
      <c r="AG245" s="1438">
        <f ca="1">IF(B245&gt;=$J$5,0,CONTADORES!AW251-CONTADORES!AW250)</f>
        <v>0</v>
      </c>
      <c r="AH245" s="1409">
        <f ca="1">IF(B245&gt;=$J$5,0,(CONTADORES!AM251-CONTADORES!AM250)+(CONTADORES!M251-CONTADORES!M250))</f>
        <v>0</v>
      </c>
      <c r="AI245" s="1438">
        <f ca="1">IF(B245&gt;=$J$5,0,(CONTADORES!AK251-CONTADORES!AK250)+(CONTADORES!O251-CONTADORES!O250))</f>
        <v>0</v>
      </c>
      <c r="AJ245" s="1438">
        <f ca="1">IF(B245&gt;=$J$5,0,(CONTADORES!AI251-CONTADORES!AI250))</f>
        <v>0</v>
      </c>
      <c r="AK245" s="1438">
        <f ca="1">IF(B245&gt;=$J$5,0,(CONTADORES!Q251-CONTADORES!Q250))</f>
        <v>0</v>
      </c>
      <c r="AL245" s="1461">
        <f t="shared" ca="1" si="111"/>
        <v>0</v>
      </c>
      <c r="AM245" s="1409">
        <f ca="1">IF(B245&gt;=$J$5,0,(((CONTADORES!F251-CONTADORES!F250)+(CONTADORES!AQ251-CONTADORES!AQ250))))-BS245-AF245-AN245-BV245-BY245-CD245-CB245</f>
        <v>0</v>
      </c>
      <c r="AN245" s="1438">
        <f ca="1">IF(B245&gt;=$J$5,0,(CONTADORES!AX251-CONTADORES!AX250)+(CONTADORES!AZ251-CONTADORES!AZ250)+(CONTADORES!BE251-CONTADORES!BE250))-CB245</f>
        <v>0</v>
      </c>
      <c r="AO245" s="1466">
        <f>(CONTADORES!AC251-CONTADORES!AC250)</f>
        <v>0</v>
      </c>
      <c r="AP245" s="1466">
        <f>(CONTADORES!X251-CONTADORES!X250)</f>
        <v>0</v>
      </c>
      <c r="AQ245" s="1467">
        <f>(CONTADORES!C251-CONTADORES!C250)</f>
        <v>0</v>
      </c>
      <c r="AR245" s="1466">
        <f ca="1">AR244+(CONTADORES!BC251-CONTADORES!BC250)</f>
        <v>0</v>
      </c>
      <c r="AS245" s="1438">
        <f ca="1">IF(B245&gt;=$J$5,0,CONTADORES!S251-CONTADORES!S250)</f>
        <v>0</v>
      </c>
      <c r="AT245" s="1438">
        <f ca="1">IF(B245&gt;=$J$5,0,(CONTADORES!U251-CONTADORES!U250)+(CONTADORES!AG251-CONTADORES!AG250))</f>
        <v>0</v>
      </c>
      <c r="AU245" s="1437">
        <f>CONTADORES!I251-CONTADORES!I250</f>
        <v>0</v>
      </c>
      <c r="AV245" s="1466">
        <f>CONTADORES!AV251-CONTADORES!AV250</f>
        <v>0</v>
      </c>
      <c r="AW245" s="1466">
        <f ca="1">IF(B245&gt;=$J$5,0,(CONTADORES!N251-CONTADORES!N250)+(CONTADORES!AN251-CONTADORES!AN250))</f>
        <v>0</v>
      </c>
      <c r="AX245" s="1466">
        <f ca="1">IF(B245&gt;=$J$5,0,(CONTADORES!P251-CONTADORES!P250)+(CONTADORES!AL251-CONTADORES!AL250))</f>
        <v>0</v>
      </c>
      <c r="AY245" s="1466">
        <f ca="1">IF(B245&gt;=$J$5,0,(CONTADORES!AJ251-CONTADORES!AJ250))</f>
        <v>0</v>
      </c>
      <c r="AZ245" s="1466">
        <f ca="1">IF(B245&gt;=$J$5,0,(CONTADORES!R251-CONTADORES!R250))</f>
        <v>0</v>
      </c>
      <c r="BA245" s="1409">
        <f t="shared" ca="1" si="112"/>
        <v>0</v>
      </c>
      <c r="BB245" s="1437">
        <f ca="1">IF(B245&gt;=$J$5,0,(((CONTADORES!G251-CONTADORES!G250)+(CONTADORES!AR251-CONTADORES!AR250)+AR245)-(AV245+BC245)))</f>
        <v>0</v>
      </c>
      <c r="BC245" s="1438">
        <f ca="1">IF(B245&gt;=$J$5,0,(CONTADORES!AY251-CONTADORES!AY250)+(CONTADORES!BA251-CONTADORES!BA250)+(CONTADORES!BF251-CONTADORES!BF250))</f>
        <v>0</v>
      </c>
      <c r="BD245" s="1397">
        <f t="shared" ca="1" si="113"/>
        <v>0</v>
      </c>
      <c r="BE245" s="1398">
        <f ca="1">IF($B245&gt;=$J$5,0,CONTADORES!$BG251)</f>
        <v>0</v>
      </c>
      <c r="BF245" s="1397">
        <f ca="1">IF($B245&gt;=$J$5,0,CONTADORES!$BH251)</f>
        <v>0</v>
      </c>
      <c r="BG245" s="1397">
        <f ca="1">IF($B245&gt;=$J$5,0,CONTADORES!$BJ251)</f>
        <v>0</v>
      </c>
      <c r="BH245" s="1397">
        <f ca="1">IF(B245&gt;=$J$5,0,((CONTADORES!BK251-CONTADORES!BK250)/1000))</f>
        <v>0</v>
      </c>
      <c r="BI245" s="1397">
        <f ca="1">IF(C245&gt;=$J$5,0,((CONTADORES!BL251-CONTADORES!BL250)/1000))</f>
        <v>0</v>
      </c>
      <c r="BJ245" s="1397">
        <f ca="1">IF(C245&gt;=$J$5,0,((CONTADORES!BM251-CONTADORES!BM250)/1000))</f>
        <v>0</v>
      </c>
      <c r="BK245" s="1397">
        <f ca="1">IF(D245&gt;=$J$5,0,((CONTADORES!BN251-CONTADORES!BN250)/1000))</f>
        <v>0</v>
      </c>
      <c r="BL245" s="1399">
        <f t="shared" ca="1" si="114"/>
        <v>0</v>
      </c>
      <c r="BM245" s="1399">
        <f t="shared" ca="1" si="115"/>
        <v>0</v>
      </c>
      <c r="BN245" s="1398">
        <f ca="1">IF(W245&gt;=$J$5,0,CONTADORES!$BO251)</f>
        <v>0</v>
      </c>
      <c r="BO245" s="1409">
        <f ca="1">IF(W245&gt;=$J$5,0,CONTADORES!$BP251)</f>
        <v>0</v>
      </c>
      <c r="BP245" s="1438">
        <f ca="1">IF(W245&gt;=$J$5,0,CONTADORES!$BQ251)</f>
        <v>0</v>
      </c>
      <c r="BQ245" s="1438">
        <f ca="1">IF(B245&gt;=$J$5,0,(CONTADORES!AS251-CONTADORES!AS250))</f>
        <v>0</v>
      </c>
      <c r="BR245" s="1438">
        <f ca="1">IF(C245&gt;=$J$5,0,(CONTADORES!AT251-CONTADORES!AT250))</f>
        <v>0</v>
      </c>
      <c r="BS245" s="1409">
        <f ca="1">IF(B245&gt;=$J$5,0,CONTADORES!BR251-CONTADORES!BR250)/1000</f>
        <v>0</v>
      </c>
      <c r="BT245" s="1409">
        <f ca="1">IF(B245&gt;=$J$5,0,CONTADORES!BS251-CONTADORES!BS250)</f>
        <v>0</v>
      </c>
      <c r="BU245" s="1409">
        <f ca="1">IF(B245&gt;=$J$5,0,CONTADORES!BT251-CONTADORES!BT250)</f>
        <v>0</v>
      </c>
      <c r="BV245" s="1409">
        <f ca="1">IF(B245&gt;=$J$5,0,CONTADORES!BU251-CONTADORES!BU250)/1000</f>
        <v>0</v>
      </c>
      <c r="BW245" s="1409">
        <f ca="1">IF(B245&gt;=$J$5,0,CONTADORES!BV251-CONTADORES!BV250)/1000</f>
        <v>0</v>
      </c>
      <c r="BX245" s="1409">
        <f ca="1">IF(B245&gt;=$J$5,0,CONTADORES!BW251-CONTADORES!BW250)</f>
        <v>0</v>
      </c>
      <c r="BY245" s="1409">
        <f ca="1">IF(B245&gt;=$J$5,0,CONTADORES!BX251-CONTADORES!BX250)/1000</f>
        <v>0</v>
      </c>
      <c r="BZ245" s="1409">
        <f ca="1">IF(B245&gt;=$J$5,0,CONTADORES!BY251-CONTADORES!BY250)/1000</f>
        <v>0</v>
      </c>
      <c r="CA245" s="1409">
        <f ca="1">IF(B245&gt;=$J$5,0,CONTADORES!BZ251-CONTADORES!BZ250)</f>
        <v>0</v>
      </c>
      <c r="CB245" s="1409">
        <f ca="1">IF(B245&gt;=$J$5,0,(CONTADORES!CC251-CONTADORES!CC250)+(CONTADORES!CE251-CONTADORES!CE250))/1000</f>
        <v>0</v>
      </c>
      <c r="CC245" s="1409">
        <f ca="1">IF(B245&gt;=$J$5,0,(CONTADORES!CD251-CONTADORES!CD250)+(CONTADORES!CF251-CONTADORES!CF250))/1000</f>
        <v>0</v>
      </c>
      <c r="CD245" s="1409">
        <f ca="1">IF(B245&gt;=$J$5,0,CONTADORES!CA251-CONTADORES!CA250)</f>
        <v>0</v>
      </c>
      <c r="CE245" s="1409">
        <f ca="1">IF(B245&gt;=$J$5,0,CONTADORES!CB251-CONTADORES!CB250)</f>
        <v>0</v>
      </c>
      <c r="CF245" s="1409">
        <f t="shared" ca="1" si="116"/>
        <v>0</v>
      </c>
      <c r="CG245" s="1409">
        <f t="shared" ca="1" si="117"/>
        <v>0</v>
      </c>
      <c r="CH245" s="1409">
        <f t="shared" ca="1" si="118"/>
        <v>0</v>
      </c>
      <c r="CI245" s="1409">
        <f t="shared" ca="1" si="119"/>
        <v>0</v>
      </c>
      <c r="CJ245" s="1409">
        <f t="shared" ca="1" si="120"/>
        <v>0</v>
      </c>
      <c r="CK245" s="1409">
        <f t="shared" ca="1" si="121"/>
        <v>0</v>
      </c>
      <c r="CL245" s="1409">
        <f t="shared" ca="1" si="122"/>
        <v>0</v>
      </c>
      <c r="CM245" s="1409">
        <f t="shared" ca="1" si="123"/>
        <v>0</v>
      </c>
      <c r="CN245" s="1409">
        <f ca="1">IF(B245&gt;=$J$5,0,CONTADORES!CB251-CONTADORES!CB250)</f>
        <v>0</v>
      </c>
      <c r="CO245" s="1409">
        <f t="shared" ca="1" si="124"/>
        <v>0</v>
      </c>
      <c r="CP245" s="1409">
        <f t="shared" ca="1" si="125"/>
        <v>0</v>
      </c>
      <c r="CQ245" s="1409">
        <f t="shared" ca="1" si="126"/>
        <v>0</v>
      </c>
      <c r="CR245" s="1409">
        <f t="shared" ca="1" si="127"/>
        <v>0</v>
      </c>
      <c r="CS245" s="1468">
        <f ca="1">IF($B245&gt;=$J$5,0,CONTADORES!$BI251)</f>
        <v>0</v>
      </c>
      <c r="CT245" s="1334">
        <f>CONTADORES!E251</f>
        <v>0</v>
      </c>
      <c r="CU245" s="1334">
        <f>CONTADORES!CG251</f>
        <v>0</v>
      </c>
    </row>
    <row r="246" spans="2:99">
      <c r="B246" s="390">
        <v>45162</v>
      </c>
      <c r="C246" s="198">
        <f t="shared" ca="1" si="101"/>
        <v>0</v>
      </c>
      <c r="D246" s="196">
        <f ca="1">'CALCULO DE GAS'!P61</f>
        <v>0</v>
      </c>
      <c r="E246" s="196">
        <f ca="1">IF(B246&gt;=$J$5,0,(CONTADORES!$AD252-CONTADORES!$AD251)-$H246)</f>
        <v>0</v>
      </c>
      <c r="F246" s="198">
        <f t="shared" ca="1" si="129"/>
        <v>0</v>
      </c>
      <c r="G246" s="206">
        <f ca="1">IF(B246&gt;=$J$5,0,CONTADORES!$AF252-CONTADORES!$AF251)</f>
        <v>0</v>
      </c>
      <c r="H246" s="206">
        <f ca="1">IF(G246&gt;0,CONTADORES!$AE252-CONTADORES!$AE251,0)</f>
        <v>0</v>
      </c>
      <c r="I246" s="208">
        <f ca="1">IF(B246&gt;=$J$5,0,CONTADORES!$AB252-CONTADORES!$AB251)</f>
        <v>0</v>
      </c>
      <c r="J246" s="198">
        <f t="shared" ca="1" si="102"/>
        <v>0</v>
      </c>
      <c r="K246" s="196">
        <f ca="1">'CALCULO DE GAS'!Q61</f>
        <v>0</v>
      </c>
      <c r="L246" s="1396">
        <f ca="1">IF(B246&gt;=$J$5,0,(CONTADORES!$Y252-CONTADORES!$Y251)-$O246)</f>
        <v>0</v>
      </c>
      <c r="M246" s="1396">
        <f t="shared" ca="1" si="130"/>
        <v>0</v>
      </c>
      <c r="N246" s="1396">
        <f ca="1">IF(B246&gt;=$J$5,0,CONTADORES!$AA252-CONTADORES!$AA251)</f>
        <v>0</v>
      </c>
      <c r="O246" s="1396">
        <f ca="1">IF(N246&gt;0,CONTADORES!$Z252-CONTADORES!$Z251,0)</f>
        <v>0</v>
      </c>
      <c r="P246" s="202">
        <f ca="1">IF(B246&gt;=$J$5,0,CONTADORES!$W252-CONTADORES!$W251)</f>
        <v>0</v>
      </c>
      <c r="Q246" s="202">
        <f ca="1">IF(B246&gt;=$J$5,0,CONTADORES!$B252-CONTADORES!$B251)</f>
        <v>0</v>
      </c>
      <c r="R246" s="196">
        <f t="shared" ca="1" si="103"/>
        <v>0</v>
      </c>
      <c r="S246" s="11">
        <f ca="1">IF(B246&gt;=$J$5,0,CONTADORES!$D252-CONTADORES!$D251)</f>
        <v>0</v>
      </c>
      <c r="T246" s="198">
        <f ca="1">IF(B246&gt;=$J$5,0,CONTADORES!$BB252-CONTADORES!$BB251)</f>
        <v>0</v>
      </c>
      <c r="U246" s="196">
        <f t="shared" ca="1" si="131"/>
        <v>0</v>
      </c>
      <c r="V246" s="199">
        <f ca="1">IF(B246&gt;=$J$5,0,CONTADORES!$BD252-CONTADORES!$BD251)</f>
        <v>0</v>
      </c>
      <c r="W246" s="1397">
        <f t="shared" ca="1" si="104"/>
        <v>0</v>
      </c>
      <c r="X246" s="1397">
        <f t="shared" ca="1" si="105"/>
        <v>0</v>
      </c>
      <c r="Y246" s="1398">
        <f t="shared" ca="1" si="106"/>
        <v>0</v>
      </c>
      <c r="Z246" s="1398">
        <f t="shared" ca="1" si="107"/>
        <v>0</v>
      </c>
      <c r="AA246" s="1398">
        <f t="shared" ca="1" si="108"/>
        <v>0</v>
      </c>
      <c r="AB246" s="1398">
        <f t="shared" ca="1" si="109"/>
        <v>0</v>
      </c>
      <c r="AC246" s="1397">
        <f t="shared" ca="1" si="110"/>
        <v>0</v>
      </c>
      <c r="AD246" s="1409">
        <f ca="1">IF(B246&gt;=$J$5,0,CONTADORES!H252-CONTADORES!H251)</f>
        <v>0</v>
      </c>
      <c r="AE246" s="1438">
        <f ca="1">IF(B246&gt;=$J$5,0,CONTADORES!J252-CONTADORES!J251)</f>
        <v>0</v>
      </c>
      <c r="AF246" s="1438">
        <f ca="1">IF(B246&gt;=$J$5,0,CONTADORES!AU252-CONTADORES!AU251)</f>
        <v>0</v>
      </c>
      <c r="AG246" s="1438">
        <f ca="1">IF(B246&gt;=$J$5,0,CONTADORES!AW252-CONTADORES!AW251)</f>
        <v>0</v>
      </c>
      <c r="AH246" s="1409">
        <f ca="1">IF(B246&gt;=$J$5,0,(CONTADORES!AM252-CONTADORES!AM251)+(CONTADORES!M252-CONTADORES!M251))</f>
        <v>0</v>
      </c>
      <c r="AI246" s="1438">
        <f ca="1">IF(B246&gt;=$J$5,0,(CONTADORES!AK252-CONTADORES!AK251)+(CONTADORES!O252-CONTADORES!O251))</f>
        <v>0</v>
      </c>
      <c r="AJ246" s="1438">
        <f ca="1">IF(B246&gt;=$J$5,0,(CONTADORES!AI252-CONTADORES!AI251))</f>
        <v>0</v>
      </c>
      <c r="AK246" s="1438">
        <f ca="1">IF(B246&gt;=$J$5,0,(CONTADORES!Q252-CONTADORES!Q251))</f>
        <v>0</v>
      </c>
      <c r="AL246" s="1461">
        <f t="shared" ca="1" si="111"/>
        <v>0</v>
      </c>
      <c r="AM246" s="1409">
        <f ca="1">IF(B246&gt;=$J$5,0,(((CONTADORES!F252-CONTADORES!F251)+(CONTADORES!AQ252-CONTADORES!AQ251))))-BS246-AF246-AN246-BV246-BY246-CD246-CB246</f>
        <v>0</v>
      </c>
      <c r="AN246" s="1438">
        <f ca="1">IF(B246&gt;=$J$5,0,(CONTADORES!AX252-CONTADORES!AX251)+(CONTADORES!AZ252-CONTADORES!AZ251)+(CONTADORES!BE252-CONTADORES!BE251))-CB246</f>
        <v>0</v>
      </c>
      <c r="AO246" s="1466">
        <f>(CONTADORES!AC252-CONTADORES!AC251)</f>
        <v>0</v>
      </c>
      <c r="AP246" s="1466">
        <f>(CONTADORES!X252-CONTADORES!X251)</f>
        <v>0</v>
      </c>
      <c r="AQ246" s="1467">
        <f>(CONTADORES!C252-CONTADORES!C251)</f>
        <v>0</v>
      </c>
      <c r="AR246" s="1466">
        <f ca="1">AR245+(CONTADORES!BC252-CONTADORES!BC251)</f>
        <v>0</v>
      </c>
      <c r="AS246" s="1438">
        <f ca="1">IF(B246&gt;=$J$5,0,CONTADORES!S252-CONTADORES!S251)</f>
        <v>0</v>
      </c>
      <c r="AT246" s="1438">
        <f ca="1">IF(B246&gt;=$J$5,0,(CONTADORES!U252-CONTADORES!U251)+(CONTADORES!AG252-CONTADORES!AG251))</f>
        <v>0</v>
      </c>
      <c r="AU246" s="1437">
        <f>CONTADORES!I252-CONTADORES!I251</f>
        <v>0</v>
      </c>
      <c r="AV246" s="1466">
        <f>CONTADORES!AV252-CONTADORES!AV251</f>
        <v>0</v>
      </c>
      <c r="AW246" s="1466">
        <f ca="1">IF(B246&gt;=$J$5,0,(CONTADORES!N252-CONTADORES!N251)+(CONTADORES!AN252-CONTADORES!AN251))</f>
        <v>0</v>
      </c>
      <c r="AX246" s="1466">
        <f ca="1">IF(B246&gt;=$J$5,0,(CONTADORES!P252-CONTADORES!P251)+(CONTADORES!AL252-CONTADORES!AL251))</f>
        <v>0</v>
      </c>
      <c r="AY246" s="1466">
        <f ca="1">IF(B246&gt;=$J$5,0,(CONTADORES!AJ252-CONTADORES!AJ251))</f>
        <v>0</v>
      </c>
      <c r="AZ246" s="1466">
        <f ca="1">IF(B246&gt;=$J$5,0,(CONTADORES!R252-CONTADORES!R251))</f>
        <v>0</v>
      </c>
      <c r="BA246" s="1409">
        <f t="shared" ca="1" si="112"/>
        <v>0</v>
      </c>
      <c r="BB246" s="1437">
        <f ca="1">IF(B246&gt;=$J$5,0,(((CONTADORES!G252-CONTADORES!G251)+(CONTADORES!AR252-CONTADORES!AR251)+AR246)-(AV246+BC246)))</f>
        <v>0</v>
      </c>
      <c r="BC246" s="1438">
        <f ca="1">IF(B246&gt;=$J$5,0,(CONTADORES!AY252-CONTADORES!AY251)+(CONTADORES!BA252-CONTADORES!BA251)+(CONTADORES!BF252-CONTADORES!BF251))</f>
        <v>0</v>
      </c>
      <c r="BD246" s="1397">
        <f t="shared" ca="1" si="113"/>
        <v>0</v>
      </c>
      <c r="BE246" s="1398">
        <f ca="1">IF($B246&gt;=$J$5,0,CONTADORES!$BG252)</f>
        <v>0</v>
      </c>
      <c r="BF246" s="1397">
        <f ca="1">IF($B246&gt;=$J$5,0,CONTADORES!$BH252)</f>
        <v>0</v>
      </c>
      <c r="BG246" s="1397">
        <f ca="1">IF($B246&gt;=$J$5,0,CONTADORES!$BJ252)</f>
        <v>0</v>
      </c>
      <c r="BH246" s="1397">
        <f ca="1">IF(B246&gt;=$J$5,0,((CONTADORES!BK252-CONTADORES!BK251)/1000))</f>
        <v>0</v>
      </c>
      <c r="BI246" s="1397">
        <f ca="1">IF(C246&gt;=$J$5,0,((CONTADORES!BL252-CONTADORES!BL251)/1000))</f>
        <v>0</v>
      </c>
      <c r="BJ246" s="1397">
        <f ca="1">IF(C246&gt;=$J$5,0,((CONTADORES!BM252-CONTADORES!BM251)/1000))</f>
        <v>0</v>
      </c>
      <c r="BK246" s="1397">
        <f ca="1">IF(D246&gt;=$J$5,0,((CONTADORES!BN252-CONTADORES!BN251)/1000))</f>
        <v>0</v>
      </c>
      <c r="BL246" s="1399">
        <f t="shared" ca="1" si="114"/>
        <v>0</v>
      </c>
      <c r="BM246" s="1399">
        <f t="shared" ca="1" si="115"/>
        <v>0</v>
      </c>
      <c r="BN246" s="1398">
        <f ca="1">IF(W246&gt;=$J$5,0,CONTADORES!$BO252)</f>
        <v>0</v>
      </c>
      <c r="BO246" s="1409">
        <f ca="1">IF(W246&gt;=$J$5,0,CONTADORES!$BP252)</f>
        <v>0</v>
      </c>
      <c r="BP246" s="1438">
        <f ca="1">IF(W246&gt;=$J$5,0,CONTADORES!$BQ252)</f>
        <v>0</v>
      </c>
      <c r="BQ246" s="1438">
        <f ca="1">IF(B246&gt;=$J$5,0,(CONTADORES!AS252-CONTADORES!AS251))</f>
        <v>0</v>
      </c>
      <c r="BR246" s="1438">
        <f ca="1">IF(C246&gt;=$J$5,0,(CONTADORES!AT252-CONTADORES!AT251))</f>
        <v>0</v>
      </c>
      <c r="BS246" s="1409">
        <f ca="1">IF(B246&gt;=$J$5,0,CONTADORES!BR252-CONTADORES!BR251)/1000</f>
        <v>0</v>
      </c>
      <c r="BT246" s="1409">
        <f ca="1">IF(B246&gt;=$J$5,0,CONTADORES!BS252-CONTADORES!BS251)</f>
        <v>0</v>
      </c>
      <c r="BU246" s="1409">
        <f ca="1">IF(B246&gt;=$J$5,0,CONTADORES!BT252-CONTADORES!BT251)</f>
        <v>0</v>
      </c>
      <c r="BV246" s="1409">
        <f ca="1">IF(B246&gt;=$J$5,0,CONTADORES!BU252-CONTADORES!BU251)/1000</f>
        <v>0</v>
      </c>
      <c r="BW246" s="1409">
        <f ca="1">IF(B246&gt;=$J$5,0,CONTADORES!BV252-CONTADORES!BV251)/1000</f>
        <v>0</v>
      </c>
      <c r="BX246" s="1409">
        <f ca="1">IF(B246&gt;=$J$5,0,CONTADORES!BW252-CONTADORES!BW251)</f>
        <v>0</v>
      </c>
      <c r="BY246" s="1409">
        <f ca="1">IF(B246&gt;=$J$5,0,CONTADORES!BX252-CONTADORES!BX251)/1000</f>
        <v>0</v>
      </c>
      <c r="BZ246" s="1409">
        <f ca="1">IF(B246&gt;=$J$5,0,CONTADORES!BY252-CONTADORES!BY251)/1000</f>
        <v>0</v>
      </c>
      <c r="CA246" s="1409">
        <f ca="1">IF(B246&gt;=$J$5,0,CONTADORES!BZ252-CONTADORES!BZ251)</f>
        <v>0</v>
      </c>
      <c r="CB246" s="1409">
        <f ca="1">IF(B246&gt;=$J$5,0,(CONTADORES!CC252-CONTADORES!CC251)+(CONTADORES!CE252-CONTADORES!CE251))/1000</f>
        <v>0</v>
      </c>
      <c r="CC246" s="1409">
        <f ca="1">IF(B246&gt;=$J$5,0,(CONTADORES!CD252-CONTADORES!CD251)+(CONTADORES!CF252-CONTADORES!CF251))/1000</f>
        <v>0</v>
      </c>
      <c r="CD246" s="1409">
        <f ca="1">IF(B246&gt;=$J$5,0,CONTADORES!CA252-CONTADORES!CA251)</f>
        <v>0</v>
      </c>
      <c r="CE246" s="1409">
        <f ca="1">IF(B246&gt;=$J$5,0,CONTADORES!CB252-CONTADORES!CB251)</f>
        <v>0</v>
      </c>
      <c r="CF246" s="1409">
        <f t="shared" ca="1" si="116"/>
        <v>0</v>
      </c>
      <c r="CG246" s="1409">
        <f t="shared" ca="1" si="117"/>
        <v>0</v>
      </c>
      <c r="CH246" s="1409">
        <f t="shared" ca="1" si="118"/>
        <v>0</v>
      </c>
      <c r="CI246" s="1409">
        <f t="shared" ca="1" si="119"/>
        <v>0</v>
      </c>
      <c r="CJ246" s="1409">
        <f t="shared" ca="1" si="120"/>
        <v>0</v>
      </c>
      <c r="CK246" s="1409">
        <f t="shared" ca="1" si="121"/>
        <v>0</v>
      </c>
      <c r="CL246" s="1409">
        <f t="shared" ca="1" si="122"/>
        <v>0</v>
      </c>
      <c r="CM246" s="1409">
        <f t="shared" ca="1" si="123"/>
        <v>0</v>
      </c>
      <c r="CN246" s="1409">
        <f ca="1">IF(B246&gt;=$J$5,0,CONTADORES!CB252-CONTADORES!CB251)</f>
        <v>0</v>
      </c>
      <c r="CO246" s="1409">
        <f t="shared" ca="1" si="124"/>
        <v>0</v>
      </c>
      <c r="CP246" s="1409">
        <f t="shared" ca="1" si="125"/>
        <v>0</v>
      </c>
      <c r="CQ246" s="1409">
        <f t="shared" ca="1" si="126"/>
        <v>0</v>
      </c>
      <c r="CR246" s="1409">
        <f t="shared" ca="1" si="127"/>
        <v>0</v>
      </c>
      <c r="CS246" s="1468">
        <f ca="1">IF($B246&gt;=$J$5,0,CONTADORES!$BI252)</f>
        <v>0</v>
      </c>
      <c r="CT246" s="1334">
        <f>CONTADORES!E252</f>
        <v>0</v>
      </c>
      <c r="CU246" s="1334">
        <f>CONTADORES!CG252</f>
        <v>0</v>
      </c>
    </row>
    <row r="247" spans="2:99">
      <c r="B247" s="390">
        <v>45163</v>
      </c>
      <c r="C247" s="198">
        <f t="shared" ca="1" si="101"/>
        <v>0</v>
      </c>
      <c r="D247" s="196">
        <f ca="1">'CALCULO DE GAS'!P62</f>
        <v>0</v>
      </c>
      <c r="E247" s="196">
        <f ca="1">IF(B247&gt;=$J$5,0,(CONTADORES!$AD253-CONTADORES!$AD252)-$H247)</f>
        <v>0</v>
      </c>
      <c r="F247" s="198">
        <f t="shared" ca="1" si="129"/>
        <v>0</v>
      </c>
      <c r="G247" s="206">
        <f ca="1">IF(B247&gt;=$J$5,0,CONTADORES!$AF253-CONTADORES!$AF252)</f>
        <v>0</v>
      </c>
      <c r="H247" s="206">
        <f ca="1">IF(G247&gt;0,CONTADORES!$AE253-CONTADORES!$AE252,0)</f>
        <v>0</v>
      </c>
      <c r="I247" s="208">
        <f ca="1">IF(B247&gt;=$J$5,0,CONTADORES!$AB253-CONTADORES!$AB252)</f>
        <v>0</v>
      </c>
      <c r="J247" s="198">
        <f t="shared" ca="1" si="102"/>
        <v>0</v>
      </c>
      <c r="K247" s="196">
        <f ca="1">'CALCULO DE GAS'!Q62</f>
        <v>0</v>
      </c>
      <c r="L247" s="1396">
        <f ca="1">IF(B247&gt;=$J$5,0,(CONTADORES!$Y253-CONTADORES!$Y252)-$O247)</f>
        <v>0</v>
      </c>
      <c r="M247" s="1396">
        <f t="shared" ca="1" si="130"/>
        <v>0</v>
      </c>
      <c r="N247" s="1396">
        <f ca="1">IF(B247&gt;=$J$5,0,CONTADORES!$AA253-CONTADORES!$AA252)</f>
        <v>0</v>
      </c>
      <c r="O247" s="1396">
        <f ca="1">IF(N247&gt;0,CONTADORES!$Z253-CONTADORES!$Z252,0)</f>
        <v>0</v>
      </c>
      <c r="P247" s="202">
        <f ca="1">IF(B247&gt;=$J$5,0,CONTADORES!$W253-CONTADORES!$W252)</f>
        <v>0</v>
      </c>
      <c r="Q247" s="202">
        <f ca="1">IF(B247&gt;=$J$5,0,CONTADORES!$B253-CONTADORES!$B252)</f>
        <v>0</v>
      </c>
      <c r="R247" s="196">
        <f t="shared" ca="1" si="103"/>
        <v>0</v>
      </c>
      <c r="S247" s="11">
        <f ca="1">IF(B247&gt;=$J$5,0,CONTADORES!$D253-CONTADORES!$D252)</f>
        <v>0</v>
      </c>
      <c r="T247" s="198">
        <f ca="1">IF(B247&gt;=$J$5,0,CONTADORES!$BB253-CONTADORES!$BB252)</f>
        <v>0</v>
      </c>
      <c r="U247" s="196">
        <f t="shared" ca="1" si="131"/>
        <v>0</v>
      </c>
      <c r="V247" s="199">
        <f ca="1">IF(B247&gt;=$J$5,0,CONTADORES!$BD253-CONTADORES!$BD252)</f>
        <v>0</v>
      </c>
      <c r="W247" s="1397">
        <f t="shared" ca="1" si="104"/>
        <v>0</v>
      </c>
      <c r="X247" s="1397">
        <f t="shared" ca="1" si="105"/>
        <v>0</v>
      </c>
      <c r="Y247" s="1398">
        <f t="shared" ca="1" si="106"/>
        <v>0</v>
      </c>
      <c r="Z247" s="1398">
        <f t="shared" ca="1" si="107"/>
        <v>0</v>
      </c>
      <c r="AA247" s="1398">
        <f t="shared" ca="1" si="108"/>
        <v>0</v>
      </c>
      <c r="AB247" s="1398">
        <f t="shared" ca="1" si="109"/>
        <v>0</v>
      </c>
      <c r="AC247" s="1397">
        <f t="shared" ca="1" si="110"/>
        <v>0</v>
      </c>
      <c r="AD247" s="1409">
        <f ca="1">IF(B247&gt;=$J$5,0,CONTADORES!H253-CONTADORES!H252)</f>
        <v>0</v>
      </c>
      <c r="AE247" s="1438">
        <f ca="1">IF(B247&gt;=$J$5,0,CONTADORES!J253-CONTADORES!J252)</f>
        <v>0</v>
      </c>
      <c r="AF247" s="1438">
        <f ca="1">IF(B247&gt;=$J$5,0,CONTADORES!AU253-CONTADORES!AU252)</f>
        <v>0</v>
      </c>
      <c r="AG247" s="1438">
        <f ca="1">IF(B247&gt;=$J$5,0,CONTADORES!AW253-CONTADORES!AW252)</f>
        <v>0</v>
      </c>
      <c r="AH247" s="1409">
        <f ca="1">IF(B247&gt;=$J$5,0,(CONTADORES!AM253-CONTADORES!AM252)+(CONTADORES!M253-CONTADORES!M252))</f>
        <v>0</v>
      </c>
      <c r="AI247" s="1438">
        <f ca="1">IF(B247&gt;=$J$5,0,(CONTADORES!AK253-CONTADORES!AK252)+(CONTADORES!O253-CONTADORES!O252))</f>
        <v>0</v>
      </c>
      <c r="AJ247" s="1438">
        <f ca="1">IF(B247&gt;=$J$5,0,(CONTADORES!AI253-CONTADORES!AI252))</f>
        <v>0</v>
      </c>
      <c r="AK247" s="1438">
        <f ca="1">IF(B247&gt;=$J$5,0,(CONTADORES!Q253-CONTADORES!Q252))</f>
        <v>0</v>
      </c>
      <c r="AL247" s="1461">
        <f t="shared" ca="1" si="111"/>
        <v>0</v>
      </c>
      <c r="AM247" s="1409">
        <f ca="1">IF(B247&gt;=$J$5,0,(((CONTADORES!F253-CONTADORES!F252)+(CONTADORES!AQ253-CONTADORES!AQ252))))-BS247-AF247-AN247-BV247-BY247-CD247-CB247</f>
        <v>0</v>
      </c>
      <c r="AN247" s="1438">
        <f ca="1">IF(B247&gt;=$J$5,0,(CONTADORES!AX253-CONTADORES!AX252)+(CONTADORES!AZ253-CONTADORES!AZ252)+(CONTADORES!BE253-CONTADORES!BE252))-CB247</f>
        <v>0</v>
      </c>
      <c r="AO247" s="1466">
        <f>(CONTADORES!AC253-CONTADORES!AC252)</f>
        <v>0</v>
      </c>
      <c r="AP247" s="1466">
        <f>(CONTADORES!X253-CONTADORES!X252)</f>
        <v>0</v>
      </c>
      <c r="AQ247" s="1467">
        <f>(CONTADORES!C253-CONTADORES!C252)</f>
        <v>0</v>
      </c>
      <c r="AR247" s="1466">
        <f ca="1">AR246+(CONTADORES!BC253-CONTADORES!BC252)</f>
        <v>0</v>
      </c>
      <c r="AS247" s="1438">
        <f ca="1">IF(B247&gt;=$J$5,0,CONTADORES!S253-CONTADORES!S252)</f>
        <v>0</v>
      </c>
      <c r="AT247" s="1438">
        <f ca="1">IF(B247&gt;=$J$5,0,(CONTADORES!U253-CONTADORES!U252)+(CONTADORES!AG253-CONTADORES!AG252))</f>
        <v>0</v>
      </c>
      <c r="AU247" s="1437">
        <f>CONTADORES!I253-CONTADORES!I252</f>
        <v>0</v>
      </c>
      <c r="AV247" s="1466">
        <f>CONTADORES!AV253-CONTADORES!AV252</f>
        <v>0</v>
      </c>
      <c r="AW247" s="1466">
        <f ca="1">IF(B247&gt;=$J$5,0,(CONTADORES!N253-CONTADORES!N252)+(CONTADORES!AN253-CONTADORES!AN252))</f>
        <v>0</v>
      </c>
      <c r="AX247" s="1466">
        <f ca="1">IF(B247&gt;=$J$5,0,(CONTADORES!P253-CONTADORES!P252)+(CONTADORES!AL253-CONTADORES!AL252))</f>
        <v>0</v>
      </c>
      <c r="AY247" s="1466">
        <f ca="1">IF(B247&gt;=$J$5,0,(CONTADORES!AJ253-CONTADORES!AJ252))</f>
        <v>0</v>
      </c>
      <c r="AZ247" s="1466">
        <f ca="1">IF(B247&gt;=$J$5,0,(CONTADORES!R253-CONTADORES!R252))</f>
        <v>0</v>
      </c>
      <c r="BA247" s="1409">
        <f t="shared" ca="1" si="112"/>
        <v>0</v>
      </c>
      <c r="BB247" s="1437">
        <f ca="1">IF(B247&gt;=$J$5,0,(((CONTADORES!G253-CONTADORES!G252)+(CONTADORES!AR253-CONTADORES!AR252)+AR247)-(AV247+BC247)))</f>
        <v>0</v>
      </c>
      <c r="BC247" s="1438">
        <f ca="1">IF(B247&gt;=$J$5,0,(CONTADORES!AY253-CONTADORES!AY252)+(CONTADORES!BA253-CONTADORES!BA252)+(CONTADORES!BF253-CONTADORES!BF252))</f>
        <v>0</v>
      </c>
      <c r="BD247" s="1397">
        <f t="shared" ca="1" si="113"/>
        <v>0</v>
      </c>
      <c r="BE247" s="1398">
        <f ca="1">IF($B247&gt;=$J$5,0,CONTADORES!$BG253)</f>
        <v>0</v>
      </c>
      <c r="BF247" s="1397">
        <f ca="1">IF($B247&gt;=$J$5,0,CONTADORES!$BH253)</f>
        <v>0</v>
      </c>
      <c r="BG247" s="1397">
        <f ca="1">IF($B247&gt;=$J$5,0,CONTADORES!$BJ253)</f>
        <v>0</v>
      </c>
      <c r="BH247" s="1397">
        <f ca="1">IF(B247&gt;=$J$5,0,((CONTADORES!BK253-CONTADORES!BK252)/1000))</f>
        <v>0</v>
      </c>
      <c r="BI247" s="1397">
        <f ca="1">IF(C247&gt;=$J$5,0,((CONTADORES!BL253-CONTADORES!BL252)/1000))</f>
        <v>0</v>
      </c>
      <c r="BJ247" s="1397">
        <f ca="1">IF(C247&gt;=$J$5,0,((CONTADORES!BM253-CONTADORES!BM252)/1000))</f>
        <v>0</v>
      </c>
      <c r="BK247" s="1397">
        <f ca="1">IF(D247&gt;=$J$5,0,((CONTADORES!BN253-CONTADORES!BN252)/1000))</f>
        <v>0</v>
      </c>
      <c r="BL247" s="1399">
        <f t="shared" ca="1" si="114"/>
        <v>0</v>
      </c>
      <c r="BM247" s="1399">
        <f t="shared" ca="1" si="115"/>
        <v>0</v>
      </c>
      <c r="BN247" s="1398">
        <f ca="1">IF(W247&gt;=$J$5,0,CONTADORES!$BO253)</f>
        <v>0</v>
      </c>
      <c r="BO247" s="1409">
        <f ca="1">IF(W247&gt;=$J$5,0,CONTADORES!$BP253)</f>
        <v>0</v>
      </c>
      <c r="BP247" s="1438">
        <f ca="1">IF(W247&gt;=$J$5,0,CONTADORES!$BQ253)</f>
        <v>0</v>
      </c>
      <c r="BQ247" s="1438">
        <f ca="1">IF(B247&gt;=$J$5,0,(CONTADORES!AS253-CONTADORES!AS252))</f>
        <v>0</v>
      </c>
      <c r="BR247" s="1438">
        <f ca="1">IF(C247&gt;=$J$5,0,(CONTADORES!AT253-CONTADORES!AT252))</f>
        <v>0</v>
      </c>
      <c r="BS247" s="1409">
        <f ca="1">IF(B247&gt;=$J$5,0,CONTADORES!BR253-CONTADORES!BR252)/1000</f>
        <v>0</v>
      </c>
      <c r="BT247" s="1409">
        <f ca="1">IF(B247&gt;=$J$5,0,CONTADORES!BS253-CONTADORES!BS252)</f>
        <v>0</v>
      </c>
      <c r="BU247" s="1409">
        <f ca="1">IF(B247&gt;=$J$5,0,CONTADORES!BT253-CONTADORES!BT252)</f>
        <v>0</v>
      </c>
      <c r="BV247" s="1409">
        <f ca="1">IF(B247&gt;=$J$5,0,CONTADORES!BU253-CONTADORES!BU252)/1000</f>
        <v>0</v>
      </c>
      <c r="BW247" s="1409">
        <f ca="1">IF(B247&gt;=$J$5,0,CONTADORES!BV253-CONTADORES!BV252)/1000</f>
        <v>0</v>
      </c>
      <c r="BX247" s="1409">
        <f ca="1">IF(B247&gt;=$J$5,0,CONTADORES!BW253-CONTADORES!BW252)</f>
        <v>0</v>
      </c>
      <c r="BY247" s="1409">
        <f ca="1">IF(B247&gt;=$J$5,0,CONTADORES!BX253-CONTADORES!BX252)/1000</f>
        <v>0</v>
      </c>
      <c r="BZ247" s="1409">
        <f ca="1">IF(B247&gt;=$J$5,0,CONTADORES!BY253-CONTADORES!BY252)/1000</f>
        <v>0</v>
      </c>
      <c r="CA247" s="1409">
        <f ca="1">IF(B247&gt;=$J$5,0,CONTADORES!BZ253-CONTADORES!BZ252)</f>
        <v>0</v>
      </c>
      <c r="CB247" s="1409">
        <f ca="1">IF(B247&gt;=$J$5,0,(CONTADORES!CC253-CONTADORES!CC252)+(CONTADORES!CE253-CONTADORES!CE252))/1000</f>
        <v>0</v>
      </c>
      <c r="CC247" s="1409">
        <f ca="1">IF(B247&gt;=$J$5,0,(CONTADORES!CD253-CONTADORES!CD252)+(CONTADORES!CF253-CONTADORES!CF252))/1000</f>
        <v>0</v>
      </c>
      <c r="CD247" s="1409">
        <f ca="1">IF(B247&gt;=$J$5,0,CONTADORES!CA253-CONTADORES!CA252)</f>
        <v>0</v>
      </c>
      <c r="CE247" s="1409">
        <f ca="1">IF(B247&gt;=$J$5,0,CONTADORES!CB253-CONTADORES!CB252)</f>
        <v>0</v>
      </c>
      <c r="CF247" s="1409">
        <f t="shared" ca="1" si="116"/>
        <v>0</v>
      </c>
      <c r="CG247" s="1409">
        <f t="shared" ca="1" si="117"/>
        <v>0</v>
      </c>
      <c r="CH247" s="1409">
        <f t="shared" ca="1" si="118"/>
        <v>0</v>
      </c>
      <c r="CI247" s="1409">
        <f t="shared" ca="1" si="119"/>
        <v>0</v>
      </c>
      <c r="CJ247" s="1409">
        <f t="shared" ca="1" si="120"/>
        <v>0</v>
      </c>
      <c r="CK247" s="1409">
        <f t="shared" ca="1" si="121"/>
        <v>0</v>
      </c>
      <c r="CL247" s="1409">
        <f t="shared" ca="1" si="122"/>
        <v>0</v>
      </c>
      <c r="CM247" s="1409">
        <f t="shared" ca="1" si="123"/>
        <v>0</v>
      </c>
      <c r="CN247" s="1409">
        <f ca="1">IF(B247&gt;=$J$5,0,CONTADORES!CB253-CONTADORES!CB252)</f>
        <v>0</v>
      </c>
      <c r="CO247" s="1409">
        <f t="shared" ca="1" si="124"/>
        <v>0</v>
      </c>
      <c r="CP247" s="1409">
        <f t="shared" ca="1" si="125"/>
        <v>0</v>
      </c>
      <c r="CQ247" s="1409">
        <f t="shared" ca="1" si="126"/>
        <v>0</v>
      </c>
      <c r="CR247" s="1409">
        <f t="shared" ca="1" si="127"/>
        <v>0</v>
      </c>
      <c r="CS247" s="1468">
        <f ca="1">IF($B247&gt;=$J$5,0,CONTADORES!$BI253)</f>
        <v>0</v>
      </c>
      <c r="CT247" s="1334">
        <f>CONTADORES!E253</f>
        <v>0</v>
      </c>
      <c r="CU247" s="1334">
        <f>CONTADORES!CG253</f>
        <v>0</v>
      </c>
    </row>
    <row r="248" spans="2:99">
      <c r="B248" s="390">
        <v>45164</v>
      </c>
      <c r="C248" s="198">
        <f t="shared" ca="1" si="101"/>
        <v>0</v>
      </c>
      <c r="D248" s="196">
        <f ca="1">'CALCULO DE GAS'!P63</f>
        <v>0</v>
      </c>
      <c r="E248" s="196">
        <f ca="1">IF(B248&gt;=$J$5,0,(CONTADORES!$AD254-CONTADORES!$AD253)-$H248)</f>
        <v>0</v>
      </c>
      <c r="F248" s="198">
        <f t="shared" ca="1" si="129"/>
        <v>0</v>
      </c>
      <c r="G248" s="206">
        <f ca="1">IF(B248&gt;=$J$5,0,CONTADORES!$AF254-CONTADORES!$AF253)</f>
        <v>0</v>
      </c>
      <c r="H248" s="206">
        <f ca="1">IF(G248&gt;0,CONTADORES!$AE254-CONTADORES!$AE253,0)</f>
        <v>0</v>
      </c>
      <c r="I248" s="208">
        <f ca="1">IF(B248&gt;=$J$5,0,CONTADORES!$AB254-CONTADORES!$AB253)</f>
        <v>0</v>
      </c>
      <c r="J248" s="198">
        <f t="shared" ca="1" si="102"/>
        <v>0</v>
      </c>
      <c r="K248" s="196">
        <f ca="1">'CALCULO DE GAS'!Q63</f>
        <v>0</v>
      </c>
      <c r="L248" s="1396">
        <f ca="1">IF(B248&gt;=$J$5,0,(CONTADORES!$Y254-CONTADORES!$Y253)-$O248)</f>
        <v>0</v>
      </c>
      <c r="M248" s="1396">
        <f t="shared" ca="1" si="130"/>
        <v>0</v>
      </c>
      <c r="N248" s="1396">
        <f ca="1">IF(B248&gt;=$J$5,0,CONTADORES!$AA254-CONTADORES!$AA253)</f>
        <v>0</v>
      </c>
      <c r="O248" s="1396">
        <f ca="1">IF(N248&gt;0,CONTADORES!$Z254-CONTADORES!$Z253,0)</f>
        <v>0</v>
      </c>
      <c r="P248" s="202">
        <f ca="1">IF(B248&gt;=$J$5,0,CONTADORES!$W254-CONTADORES!$W253)</f>
        <v>0</v>
      </c>
      <c r="Q248" s="202">
        <f ca="1">IF(B248&gt;=$J$5,0,CONTADORES!$B254-CONTADORES!$B253)</f>
        <v>0</v>
      </c>
      <c r="R248" s="196">
        <f t="shared" ca="1" si="103"/>
        <v>0</v>
      </c>
      <c r="S248" s="11">
        <f ca="1">IF(B248&gt;=$J$5,0,CONTADORES!$D254-CONTADORES!$D253)</f>
        <v>0</v>
      </c>
      <c r="T248" s="198">
        <f ca="1">IF(B248&gt;=$J$5,0,CONTADORES!$BB254-CONTADORES!$BB253)</f>
        <v>0</v>
      </c>
      <c r="U248" s="196">
        <f t="shared" ca="1" si="131"/>
        <v>0</v>
      </c>
      <c r="V248" s="199">
        <f ca="1">IF(B248&gt;=$J$5,0,CONTADORES!$BD254-CONTADORES!$BD253)</f>
        <v>0</v>
      </c>
      <c r="W248" s="1397">
        <f t="shared" ca="1" si="104"/>
        <v>0</v>
      </c>
      <c r="X248" s="1397">
        <f t="shared" ca="1" si="105"/>
        <v>0</v>
      </c>
      <c r="Y248" s="1398">
        <f t="shared" ca="1" si="106"/>
        <v>0</v>
      </c>
      <c r="Z248" s="1398">
        <f t="shared" ca="1" si="107"/>
        <v>0</v>
      </c>
      <c r="AA248" s="1398">
        <f t="shared" ca="1" si="108"/>
        <v>0</v>
      </c>
      <c r="AB248" s="1398">
        <f t="shared" ca="1" si="109"/>
        <v>0</v>
      </c>
      <c r="AC248" s="1397">
        <f t="shared" ca="1" si="110"/>
        <v>0</v>
      </c>
      <c r="AD248" s="1409">
        <f ca="1">IF(B248&gt;=$J$5,0,CONTADORES!H254-CONTADORES!H253)</f>
        <v>0</v>
      </c>
      <c r="AE248" s="1438">
        <f ca="1">IF(B248&gt;=$J$5,0,CONTADORES!J254-CONTADORES!J253)</f>
        <v>0</v>
      </c>
      <c r="AF248" s="1438">
        <f ca="1">IF(B248&gt;=$J$5,0,CONTADORES!AU254-CONTADORES!AU253)</f>
        <v>0</v>
      </c>
      <c r="AG248" s="1438">
        <f ca="1">IF(B248&gt;=$J$5,0,CONTADORES!AW254-CONTADORES!AW253)</f>
        <v>0</v>
      </c>
      <c r="AH248" s="1409">
        <f ca="1">IF(B248&gt;=$J$5,0,(CONTADORES!AM254-CONTADORES!AM253)+(CONTADORES!M254-CONTADORES!M253))</f>
        <v>0</v>
      </c>
      <c r="AI248" s="1438">
        <f ca="1">IF(B248&gt;=$J$5,0,(CONTADORES!AK254-CONTADORES!AK253)+(CONTADORES!O254-CONTADORES!O253))</f>
        <v>0</v>
      </c>
      <c r="AJ248" s="1438">
        <f ca="1">IF(B248&gt;=$J$5,0,(CONTADORES!AI254-CONTADORES!AI253))</f>
        <v>0</v>
      </c>
      <c r="AK248" s="1438">
        <f ca="1">IF(B248&gt;=$J$5,0,(CONTADORES!Q254-CONTADORES!Q253))</f>
        <v>0</v>
      </c>
      <c r="AL248" s="1461">
        <f t="shared" ca="1" si="111"/>
        <v>0</v>
      </c>
      <c r="AM248" s="1409">
        <f ca="1">IF(B248&gt;=$J$5,0,(((CONTADORES!F254-CONTADORES!F253)+(CONTADORES!AQ254-CONTADORES!AQ253))))-BS248-AF248-AN248-BV248-BY248-CD248-CB248</f>
        <v>0</v>
      </c>
      <c r="AN248" s="1438">
        <f ca="1">IF(B248&gt;=$J$5,0,(CONTADORES!AX254-CONTADORES!AX253)+(CONTADORES!AZ254-CONTADORES!AZ253)+(CONTADORES!BE254-CONTADORES!BE253))-CB248</f>
        <v>0</v>
      </c>
      <c r="AO248" s="1466">
        <f>(CONTADORES!AC254-CONTADORES!AC253)</f>
        <v>0</v>
      </c>
      <c r="AP248" s="1466">
        <f>(CONTADORES!X254-CONTADORES!X253)</f>
        <v>0</v>
      </c>
      <c r="AQ248" s="1467">
        <f>(CONTADORES!C254-CONTADORES!C253)</f>
        <v>0</v>
      </c>
      <c r="AR248" s="1466">
        <f ca="1">AR247+(CONTADORES!BC254-CONTADORES!BC253)</f>
        <v>0</v>
      </c>
      <c r="AS248" s="1438">
        <f ca="1">IF(B248&gt;=$J$5,0,CONTADORES!S254-CONTADORES!S253)</f>
        <v>0</v>
      </c>
      <c r="AT248" s="1438">
        <f ca="1">IF(B248&gt;=$J$5,0,(CONTADORES!U254-CONTADORES!U253)+(CONTADORES!AG254-CONTADORES!AG253))</f>
        <v>0</v>
      </c>
      <c r="AU248" s="1437">
        <f>CONTADORES!I254-CONTADORES!I253</f>
        <v>0</v>
      </c>
      <c r="AV248" s="1466">
        <f>CONTADORES!AV254-CONTADORES!AV253</f>
        <v>0</v>
      </c>
      <c r="AW248" s="1466">
        <f ca="1">IF(B248&gt;=$J$5,0,(CONTADORES!N254-CONTADORES!N253)+(CONTADORES!AN254-CONTADORES!AN253))</f>
        <v>0</v>
      </c>
      <c r="AX248" s="1466">
        <f ca="1">IF(B248&gt;=$J$5,0,(CONTADORES!P254-CONTADORES!P253)+(CONTADORES!AL254-CONTADORES!AL253))</f>
        <v>0</v>
      </c>
      <c r="AY248" s="1466">
        <f ca="1">IF(B248&gt;=$J$5,0,(CONTADORES!AJ254-CONTADORES!AJ253))</f>
        <v>0</v>
      </c>
      <c r="AZ248" s="1466">
        <f ca="1">IF(B248&gt;=$J$5,0,(CONTADORES!R254-CONTADORES!R253))</f>
        <v>0</v>
      </c>
      <c r="BA248" s="1409">
        <f t="shared" ca="1" si="112"/>
        <v>0</v>
      </c>
      <c r="BB248" s="1437">
        <f ca="1">IF(B248&gt;=$J$5,0,(((CONTADORES!G254-CONTADORES!G253)+(CONTADORES!AR254-CONTADORES!AR253)+AR248)-(AV248+BC248)))</f>
        <v>0</v>
      </c>
      <c r="BC248" s="1438">
        <f ca="1">IF(B248&gt;=$J$5,0,(CONTADORES!AY254-CONTADORES!AY253)+(CONTADORES!BA254-CONTADORES!BA253)+(CONTADORES!BF254-CONTADORES!BF253))</f>
        <v>0</v>
      </c>
      <c r="BD248" s="1397">
        <f t="shared" ca="1" si="113"/>
        <v>0</v>
      </c>
      <c r="BE248" s="1398">
        <f ca="1">IF($B248&gt;=$J$5,0,CONTADORES!$BG254)</f>
        <v>0</v>
      </c>
      <c r="BF248" s="1397">
        <f ca="1">IF($B248&gt;=$J$5,0,CONTADORES!$BH254)</f>
        <v>0</v>
      </c>
      <c r="BG248" s="1397">
        <f ca="1">IF($B248&gt;=$J$5,0,CONTADORES!$BJ254)</f>
        <v>0</v>
      </c>
      <c r="BH248" s="1397">
        <f ca="1">IF(B248&gt;=$J$5,0,((CONTADORES!BK254-CONTADORES!BK253)/1000))</f>
        <v>0</v>
      </c>
      <c r="BI248" s="1397">
        <f ca="1">IF(C248&gt;=$J$5,0,((CONTADORES!BL254-CONTADORES!BL253)/1000))</f>
        <v>0</v>
      </c>
      <c r="BJ248" s="1397">
        <f ca="1">IF(C248&gt;=$J$5,0,((CONTADORES!BM254-CONTADORES!BM253)/1000))</f>
        <v>0</v>
      </c>
      <c r="BK248" s="1397">
        <f ca="1">IF(D248&gt;=$J$5,0,((CONTADORES!BN254-CONTADORES!BN253)/1000))</f>
        <v>0</v>
      </c>
      <c r="BL248" s="1399">
        <f t="shared" ca="1" si="114"/>
        <v>0</v>
      </c>
      <c r="BM248" s="1399">
        <f t="shared" ca="1" si="115"/>
        <v>0</v>
      </c>
      <c r="BN248" s="1398">
        <f ca="1">IF(W248&gt;=$J$5,0,CONTADORES!$BO254)</f>
        <v>0</v>
      </c>
      <c r="BO248" s="1409">
        <f ca="1">IF(W248&gt;=$J$5,0,CONTADORES!$BP254)</f>
        <v>0</v>
      </c>
      <c r="BP248" s="1438">
        <f ca="1">IF(W248&gt;=$J$5,0,CONTADORES!$BQ254)</f>
        <v>0</v>
      </c>
      <c r="BQ248" s="1438">
        <f ca="1">IF(B248&gt;=$J$5,0,(CONTADORES!AS254-CONTADORES!AS253))</f>
        <v>0</v>
      </c>
      <c r="BR248" s="1438">
        <f ca="1">IF(C248&gt;=$J$5,0,(CONTADORES!AT254-CONTADORES!AT253))</f>
        <v>0</v>
      </c>
      <c r="BS248" s="1409">
        <f ca="1">IF(B248&gt;=$J$5,0,CONTADORES!BR254-CONTADORES!BR253)/1000</f>
        <v>0</v>
      </c>
      <c r="BT248" s="1409">
        <f ca="1">IF(B248&gt;=$J$5,0,CONTADORES!BS254-CONTADORES!BS253)</f>
        <v>0</v>
      </c>
      <c r="BU248" s="1409">
        <f ca="1">IF(B248&gt;=$J$5,0,CONTADORES!BT254-CONTADORES!BT253)</f>
        <v>0</v>
      </c>
      <c r="BV248" s="1409">
        <f ca="1">IF(B248&gt;=$J$5,0,CONTADORES!BU254-CONTADORES!BU253)/1000</f>
        <v>0</v>
      </c>
      <c r="BW248" s="1409">
        <f ca="1">IF(B248&gt;=$J$5,0,CONTADORES!BV254-CONTADORES!BV253)/1000</f>
        <v>0</v>
      </c>
      <c r="BX248" s="1409">
        <f ca="1">IF(B248&gt;=$J$5,0,CONTADORES!BW254-CONTADORES!BW253)</f>
        <v>0</v>
      </c>
      <c r="BY248" s="1409">
        <f ca="1">IF(B248&gt;=$J$5,0,CONTADORES!BX254-CONTADORES!BX253)/1000</f>
        <v>0</v>
      </c>
      <c r="BZ248" s="1409">
        <f ca="1">IF(B248&gt;=$J$5,0,CONTADORES!BY254-CONTADORES!BY253)/1000</f>
        <v>0</v>
      </c>
      <c r="CA248" s="1409">
        <f ca="1">IF(B248&gt;=$J$5,0,CONTADORES!BZ254-CONTADORES!BZ253)</f>
        <v>0</v>
      </c>
      <c r="CB248" s="1409">
        <f ca="1">IF(B248&gt;=$J$5,0,(CONTADORES!CC254-CONTADORES!CC253)+(CONTADORES!CE254-CONTADORES!CE253))/1000</f>
        <v>0</v>
      </c>
      <c r="CC248" s="1409">
        <f ca="1">IF(B248&gt;=$J$5,0,(CONTADORES!CD254-CONTADORES!CD253)+(CONTADORES!CF254-CONTADORES!CF253))/1000</f>
        <v>0</v>
      </c>
      <c r="CD248" s="1409">
        <f ca="1">IF(B248&gt;=$J$5,0,CONTADORES!CA254-CONTADORES!CA253)</f>
        <v>0</v>
      </c>
      <c r="CE248" s="1409">
        <f ca="1">IF(B248&gt;=$J$5,0,CONTADORES!CB254-CONTADORES!CB253)</f>
        <v>0</v>
      </c>
      <c r="CF248" s="1409">
        <f t="shared" ca="1" si="116"/>
        <v>0</v>
      </c>
      <c r="CG248" s="1409">
        <f t="shared" ca="1" si="117"/>
        <v>0</v>
      </c>
      <c r="CH248" s="1409">
        <f t="shared" ca="1" si="118"/>
        <v>0</v>
      </c>
      <c r="CI248" s="1409">
        <f t="shared" ca="1" si="119"/>
        <v>0</v>
      </c>
      <c r="CJ248" s="1409">
        <f t="shared" ca="1" si="120"/>
        <v>0</v>
      </c>
      <c r="CK248" s="1409">
        <f t="shared" ca="1" si="121"/>
        <v>0</v>
      </c>
      <c r="CL248" s="1409">
        <f t="shared" ca="1" si="122"/>
        <v>0</v>
      </c>
      <c r="CM248" s="1409">
        <f t="shared" ca="1" si="123"/>
        <v>0</v>
      </c>
      <c r="CN248" s="1409">
        <f ca="1">IF(B248&gt;=$J$5,0,CONTADORES!CB254-CONTADORES!CB253)</f>
        <v>0</v>
      </c>
      <c r="CO248" s="1409">
        <f t="shared" ca="1" si="124"/>
        <v>0</v>
      </c>
      <c r="CP248" s="1409">
        <f t="shared" ca="1" si="125"/>
        <v>0</v>
      </c>
      <c r="CQ248" s="1409">
        <f t="shared" ca="1" si="126"/>
        <v>0</v>
      </c>
      <c r="CR248" s="1409">
        <f t="shared" ca="1" si="127"/>
        <v>0</v>
      </c>
      <c r="CS248" s="1468">
        <f ca="1">IF($B248&gt;=$J$5,0,CONTADORES!$BI254)</f>
        <v>0</v>
      </c>
      <c r="CT248" s="1334">
        <f>CONTADORES!E254</f>
        <v>0</v>
      </c>
      <c r="CU248" s="1334">
        <f>CONTADORES!CG254</f>
        <v>0</v>
      </c>
    </row>
    <row r="249" spans="2:99">
      <c r="B249" s="390">
        <v>45165</v>
      </c>
      <c r="C249" s="198">
        <f t="shared" ca="1" si="101"/>
        <v>0</v>
      </c>
      <c r="D249" s="196">
        <f ca="1">'CALCULO DE GAS'!P64</f>
        <v>0</v>
      </c>
      <c r="E249" s="196">
        <f ca="1">IF(B249&gt;=$J$5,0,(CONTADORES!$AD255-CONTADORES!$AD254)-$H249)</f>
        <v>0</v>
      </c>
      <c r="F249" s="198">
        <f t="shared" ca="1" si="129"/>
        <v>0</v>
      </c>
      <c r="G249" s="206">
        <f ca="1">IF(B249&gt;=$J$5,0,CONTADORES!$AF255-CONTADORES!$AF254)</f>
        <v>0</v>
      </c>
      <c r="H249" s="206">
        <f ca="1">IF(G249&gt;0,CONTADORES!$AE255-CONTADORES!$AE254,0)</f>
        <v>0</v>
      </c>
      <c r="I249" s="208">
        <f ca="1">IF(B249&gt;=$J$5,0,CONTADORES!$AB255-CONTADORES!$AB254)</f>
        <v>0</v>
      </c>
      <c r="J249" s="198">
        <f t="shared" ca="1" si="102"/>
        <v>0</v>
      </c>
      <c r="K249" s="196">
        <f ca="1">'CALCULO DE GAS'!Q64</f>
        <v>0</v>
      </c>
      <c r="L249" s="1396">
        <f ca="1">IF(B249&gt;=$J$5,0,(CONTADORES!$Y255-CONTADORES!$Y254)-$O249)</f>
        <v>0</v>
      </c>
      <c r="M249" s="1396">
        <f t="shared" ca="1" si="130"/>
        <v>0</v>
      </c>
      <c r="N249" s="1396">
        <f ca="1">IF(B249&gt;=$J$5,0,CONTADORES!$AA255-CONTADORES!$AA254)</f>
        <v>0</v>
      </c>
      <c r="O249" s="1396">
        <f ca="1">IF(N249&gt;0,CONTADORES!$Z255-CONTADORES!$Z254,0)</f>
        <v>0</v>
      </c>
      <c r="P249" s="202">
        <f ca="1">IF(B249&gt;=$J$5,0,CONTADORES!$W255-CONTADORES!$W254)</f>
        <v>0</v>
      </c>
      <c r="Q249" s="202">
        <f ca="1">IF(B249&gt;=$J$5,0,CONTADORES!$B255-CONTADORES!$B254)</f>
        <v>0</v>
      </c>
      <c r="R249" s="196">
        <f t="shared" ca="1" si="103"/>
        <v>0</v>
      </c>
      <c r="S249" s="11">
        <f ca="1">IF(B249&gt;=$J$5,0,CONTADORES!$D255-CONTADORES!$D254)</f>
        <v>0</v>
      </c>
      <c r="T249" s="198">
        <f ca="1">IF(B249&gt;=$J$5,0,CONTADORES!$BB255-CONTADORES!$BB254)</f>
        <v>0</v>
      </c>
      <c r="U249" s="196">
        <f t="shared" ca="1" si="131"/>
        <v>0</v>
      </c>
      <c r="V249" s="199">
        <f ca="1">IF(B249&gt;=$J$5,0,CONTADORES!$BD255-CONTADORES!$BD254)</f>
        <v>0</v>
      </c>
      <c r="W249" s="1397">
        <f t="shared" ca="1" si="104"/>
        <v>0</v>
      </c>
      <c r="X249" s="1397">
        <f t="shared" ca="1" si="105"/>
        <v>0</v>
      </c>
      <c r="Y249" s="1398">
        <f t="shared" ca="1" si="106"/>
        <v>0</v>
      </c>
      <c r="Z249" s="1398">
        <f t="shared" ca="1" si="107"/>
        <v>0</v>
      </c>
      <c r="AA249" s="1398">
        <f t="shared" ca="1" si="108"/>
        <v>0</v>
      </c>
      <c r="AB249" s="1398">
        <f t="shared" ca="1" si="109"/>
        <v>0</v>
      </c>
      <c r="AC249" s="1397">
        <f t="shared" ca="1" si="110"/>
        <v>0</v>
      </c>
      <c r="AD249" s="1409">
        <f ca="1">IF(B249&gt;=$J$5,0,CONTADORES!H255-CONTADORES!H254)</f>
        <v>0</v>
      </c>
      <c r="AE249" s="1438">
        <f ca="1">IF(B249&gt;=$J$5,0,CONTADORES!J255-CONTADORES!J254)</f>
        <v>0</v>
      </c>
      <c r="AF249" s="1438">
        <f ca="1">IF(B249&gt;=$J$5,0,CONTADORES!AU255-CONTADORES!AU254)</f>
        <v>0</v>
      </c>
      <c r="AG249" s="1438">
        <f ca="1">IF(B249&gt;=$J$5,0,CONTADORES!AW255-CONTADORES!AW254)</f>
        <v>0</v>
      </c>
      <c r="AH249" s="1409">
        <f ca="1">IF(B249&gt;=$J$5,0,(CONTADORES!AM255-CONTADORES!AM254)+(CONTADORES!M255-CONTADORES!M254))</f>
        <v>0</v>
      </c>
      <c r="AI249" s="1438">
        <f ca="1">IF(B249&gt;=$J$5,0,(CONTADORES!AK255-CONTADORES!AK254)+(CONTADORES!O255-CONTADORES!O254))</f>
        <v>0</v>
      </c>
      <c r="AJ249" s="1438">
        <f ca="1">IF(B249&gt;=$J$5,0,(CONTADORES!AI255-CONTADORES!AI254))</f>
        <v>0</v>
      </c>
      <c r="AK249" s="1438">
        <f ca="1">IF(B249&gt;=$J$5,0,(CONTADORES!Q255-CONTADORES!Q254))</f>
        <v>0</v>
      </c>
      <c r="AL249" s="1461">
        <f t="shared" ca="1" si="111"/>
        <v>0</v>
      </c>
      <c r="AM249" s="1409">
        <f ca="1">IF(B249&gt;=$J$5,0,(((CONTADORES!F255-CONTADORES!F254)+(CONTADORES!AQ255-CONTADORES!AQ254))))-BS249-AF249-AN249-BV249-BY249-CD249-CB249</f>
        <v>0</v>
      </c>
      <c r="AN249" s="1438">
        <f ca="1">IF(B249&gt;=$J$5,0,(CONTADORES!AX255-CONTADORES!AX254)+(CONTADORES!AZ255-CONTADORES!AZ254)+(CONTADORES!BE255-CONTADORES!BE254))-CB249</f>
        <v>0</v>
      </c>
      <c r="AO249" s="1466">
        <f>(CONTADORES!AC255-CONTADORES!AC254)</f>
        <v>0</v>
      </c>
      <c r="AP249" s="1466">
        <f>(CONTADORES!X255-CONTADORES!X254)</f>
        <v>0</v>
      </c>
      <c r="AQ249" s="1467">
        <f>(CONTADORES!C255-CONTADORES!C254)</f>
        <v>0</v>
      </c>
      <c r="AR249" s="1466">
        <f ca="1">AR248+(CONTADORES!BC255-CONTADORES!BC254)</f>
        <v>0</v>
      </c>
      <c r="AS249" s="1438">
        <f ca="1">IF(B249&gt;=$J$5,0,CONTADORES!S255-CONTADORES!S254)</f>
        <v>0</v>
      </c>
      <c r="AT249" s="1438">
        <f ca="1">IF(B249&gt;=$J$5,0,(CONTADORES!U255-CONTADORES!U254)+(CONTADORES!AG255-CONTADORES!AG254))</f>
        <v>0</v>
      </c>
      <c r="AU249" s="1437">
        <f>CONTADORES!I255-CONTADORES!I254</f>
        <v>0</v>
      </c>
      <c r="AV249" s="1466">
        <f>CONTADORES!AV255-CONTADORES!AV254</f>
        <v>0</v>
      </c>
      <c r="AW249" s="1466">
        <f ca="1">IF(B249&gt;=$J$5,0,(CONTADORES!N255-CONTADORES!N254)+(CONTADORES!AN255-CONTADORES!AN254))</f>
        <v>0</v>
      </c>
      <c r="AX249" s="1466">
        <f ca="1">IF(B249&gt;=$J$5,0,(CONTADORES!P255-CONTADORES!P254)+(CONTADORES!AL255-CONTADORES!AL254))</f>
        <v>0</v>
      </c>
      <c r="AY249" s="1466">
        <f ca="1">IF(B249&gt;=$J$5,0,(CONTADORES!AJ255-CONTADORES!AJ254))</f>
        <v>0</v>
      </c>
      <c r="AZ249" s="1466">
        <f ca="1">IF(B249&gt;=$J$5,0,(CONTADORES!R255-CONTADORES!R254))</f>
        <v>0</v>
      </c>
      <c r="BA249" s="1409">
        <f t="shared" ca="1" si="112"/>
        <v>0</v>
      </c>
      <c r="BB249" s="1437">
        <f ca="1">IF(B249&gt;=$J$5,0,(((CONTADORES!G255-CONTADORES!G254)+(CONTADORES!AR255-CONTADORES!AR254)+AR249)-(AV249+BC249)))</f>
        <v>0</v>
      </c>
      <c r="BC249" s="1438">
        <f ca="1">IF(B249&gt;=$J$5,0,(CONTADORES!AY255-CONTADORES!AY254)+(CONTADORES!BA255-CONTADORES!BA254)+(CONTADORES!BF255-CONTADORES!BF254))</f>
        <v>0</v>
      </c>
      <c r="BD249" s="1397">
        <f t="shared" ca="1" si="113"/>
        <v>0</v>
      </c>
      <c r="BE249" s="1398">
        <f ca="1">IF($B249&gt;=$J$5,0,CONTADORES!$BG255)</f>
        <v>0</v>
      </c>
      <c r="BF249" s="1397">
        <f ca="1">IF($B249&gt;=$J$5,0,CONTADORES!$BH255)</f>
        <v>0</v>
      </c>
      <c r="BG249" s="1397">
        <f ca="1">IF($B249&gt;=$J$5,0,CONTADORES!$BJ255)</f>
        <v>0</v>
      </c>
      <c r="BH249" s="1397">
        <f ca="1">IF(B249&gt;=$J$5,0,((CONTADORES!BK255-CONTADORES!BK254)/1000))</f>
        <v>0</v>
      </c>
      <c r="BI249" s="1397">
        <f ca="1">IF(C249&gt;=$J$5,0,((CONTADORES!BL255-CONTADORES!BL254)/1000))</f>
        <v>0</v>
      </c>
      <c r="BJ249" s="1397">
        <f ca="1">IF(C249&gt;=$J$5,0,((CONTADORES!BM255-CONTADORES!BM254)/1000))</f>
        <v>0</v>
      </c>
      <c r="BK249" s="1397">
        <f ca="1">IF(D249&gt;=$J$5,0,((CONTADORES!BN255-CONTADORES!BN254)/1000))</f>
        <v>0</v>
      </c>
      <c r="BL249" s="1399">
        <f t="shared" ca="1" si="114"/>
        <v>0</v>
      </c>
      <c r="BM249" s="1399">
        <f t="shared" ca="1" si="115"/>
        <v>0</v>
      </c>
      <c r="BN249" s="1398">
        <f ca="1">IF(W249&gt;=$J$5,0,CONTADORES!$BO255)</f>
        <v>0</v>
      </c>
      <c r="BO249" s="1409">
        <f ca="1">IF(W249&gt;=$J$5,0,CONTADORES!$BP255)</f>
        <v>0</v>
      </c>
      <c r="BP249" s="1438">
        <f ca="1">IF(W249&gt;=$J$5,0,CONTADORES!$BQ255)</f>
        <v>0</v>
      </c>
      <c r="BQ249" s="1438">
        <f ca="1">IF(B249&gt;=$J$5,0,(CONTADORES!AS255-CONTADORES!AS254))</f>
        <v>0</v>
      </c>
      <c r="BR249" s="1438">
        <f ca="1">IF(C249&gt;=$J$5,0,(CONTADORES!AT255-CONTADORES!AT254))</f>
        <v>0</v>
      </c>
      <c r="BS249" s="1409">
        <f ca="1">IF(B249&gt;=$J$5,0,CONTADORES!BR255-CONTADORES!BR254)/1000</f>
        <v>0</v>
      </c>
      <c r="BT249" s="1409">
        <f ca="1">IF(B249&gt;=$J$5,0,CONTADORES!BS255-CONTADORES!BS254)</f>
        <v>0</v>
      </c>
      <c r="BU249" s="1409">
        <f ca="1">IF(B249&gt;=$J$5,0,CONTADORES!BT255-CONTADORES!BT254)</f>
        <v>0</v>
      </c>
      <c r="BV249" s="1409">
        <f ca="1">IF(B249&gt;=$J$5,0,CONTADORES!BU255-CONTADORES!BU254)/1000</f>
        <v>0</v>
      </c>
      <c r="BW249" s="1409">
        <f ca="1">IF(B249&gt;=$J$5,0,CONTADORES!BV255-CONTADORES!BV254)/1000</f>
        <v>0</v>
      </c>
      <c r="BX249" s="1409">
        <f ca="1">IF(B249&gt;=$J$5,0,CONTADORES!BW255-CONTADORES!BW254)</f>
        <v>0</v>
      </c>
      <c r="BY249" s="1409">
        <f ca="1">IF(B249&gt;=$J$5,0,CONTADORES!BX255-CONTADORES!BX254)/1000</f>
        <v>0</v>
      </c>
      <c r="BZ249" s="1409">
        <f ca="1">IF(B249&gt;=$J$5,0,CONTADORES!BY255-CONTADORES!BY254)/1000</f>
        <v>0</v>
      </c>
      <c r="CA249" s="1409">
        <f ca="1">IF(B249&gt;=$J$5,0,CONTADORES!BZ255-CONTADORES!BZ254)</f>
        <v>0</v>
      </c>
      <c r="CB249" s="1409">
        <f ca="1">IF(B249&gt;=$J$5,0,(CONTADORES!CC255-CONTADORES!CC254)+(CONTADORES!CE255-CONTADORES!CE254))/1000</f>
        <v>0</v>
      </c>
      <c r="CC249" s="1409">
        <f ca="1">IF(B249&gt;=$J$5,0,(CONTADORES!CD255-CONTADORES!CD254)+(CONTADORES!CF255-CONTADORES!CF254))/1000</f>
        <v>0</v>
      </c>
      <c r="CD249" s="1409">
        <f ca="1">IF(B249&gt;=$J$5,0,CONTADORES!CA255-CONTADORES!CA254)</f>
        <v>0</v>
      </c>
      <c r="CE249" s="1409">
        <f ca="1">IF(B249&gt;=$J$5,0,CONTADORES!CB255-CONTADORES!CB254)</f>
        <v>0</v>
      </c>
      <c r="CF249" s="1409">
        <f t="shared" ca="1" si="116"/>
        <v>0</v>
      </c>
      <c r="CG249" s="1409">
        <f t="shared" ca="1" si="117"/>
        <v>0</v>
      </c>
      <c r="CH249" s="1409">
        <f t="shared" ca="1" si="118"/>
        <v>0</v>
      </c>
      <c r="CI249" s="1409">
        <f t="shared" ca="1" si="119"/>
        <v>0</v>
      </c>
      <c r="CJ249" s="1409">
        <f t="shared" ca="1" si="120"/>
        <v>0</v>
      </c>
      <c r="CK249" s="1409">
        <f t="shared" ca="1" si="121"/>
        <v>0</v>
      </c>
      <c r="CL249" s="1409">
        <f t="shared" ca="1" si="122"/>
        <v>0</v>
      </c>
      <c r="CM249" s="1409">
        <f t="shared" ca="1" si="123"/>
        <v>0</v>
      </c>
      <c r="CN249" s="1409">
        <f ca="1">IF(B249&gt;=$J$5,0,CONTADORES!CB255-CONTADORES!CB254)</f>
        <v>0</v>
      </c>
      <c r="CO249" s="1409">
        <f t="shared" ca="1" si="124"/>
        <v>0</v>
      </c>
      <c r="CP249" s="1409">
        <f t="shared" ca="1" si="125"/>
        <v>0</v>
      </c>
      <c r="CQ249" s="1409">
        <f t="shared" ca="1" si="126"/>
        <v>0</v>
      </c>
      <c r="CR249" s="1409">
        <f t="shared" ca="1" si="127"/>
        <v>0</v>
      </c>
      <c r="CS249" s="1468">
        <f ca="1">IF($B249&gt;=$J$5,0,CONTADORES!$BI255)</f>
        <v>0</v>
      </c>
      <c r="CT249" s="1334">
        <f>CONTADORES!E255</f>
        <v>0</v>
      </c>
      <c r="CU249" s="1334">
        <f>CONTADORES!CG255</f>
        <v>0</v>
      </c>
    </row>
    <row r="250" spans="2:99" s="1410" customFormat="1">
      <c r="B250" s="1469">
        <v>45166</v>
      </c>
      <c r="C250" s="1411">
        <f t="shared" ca="1" si="101"/>
        <v>0</v>
      </c>
      <c r="D250" s="1412">
        <f ca="1">'CALCULO DE GAS'!P65</f>
        <v>0</v>
      </c>
      <c r="E250" s="196">
        <f ca="1">IF(B250&gt;=$J$5,0,(CONTADORES!$AD256-CONTADORES!$AD255)-$H250)</f>
        <v>0</v>
      </c>
      <c r="F250" s="1411">
        <f t="shared" ca="1" si="129"/>
        <v>0</v>
      </c>
      <c r="G250" s="206">
        <f ca="1">IF(B250&gt;=$J$5,0,CONTADORES!$AF256-CONTADORES!$AF255)</f>
        <v>0</v>
      </c>
      <c r="H250" s="206">
        <f ca="1">IF(G250&gt;0,CONTADORES!$AE256-CONTADORES!$AE255,0)</f>
        <v>0</v>
      </c>
      <c r="I250" s="208">
        <f ca="1">IF(B250&gt;=$J$5,0,CONTADORES!$AB256-CONTADORES!$AB255)</f>
        <v>0</v>
      </c>
      <c r="J250" s="198">
        <f t="shared" ca="1" si="102"/>
        <v>0</v>
      </c>
      <c r="K250" s="1412">
        <f ca="1">'CALCULO DE GAS'!Q65</f>
        <v>0</v>
      </c>
      <c r="L250" s="1396">
        <f ca="1">IF(B250&gt;=$J$5,0,(CONTADORES!$Y256-CONTADORES!$Y255)-$O250)</f>
        <v>0</v>
      </c>
      <c r="M250" s="1413">
        <f t="shared" ca="1" si="130"/>
        <v>0</v>
      </c>
      <c r="N250" s="1396">
        <f ca="1">IF(B250&gt;=$J$5,0,CONTADORES!$AA256-CONTADORES!$AA255)</f>
        <v>0</v>
      </c>
      <c r="O250" s="1396">
        <f ca="1">IF(N250&gt;0,CONTADORES!$Z256-CONTADORES!$Z255,0)</f>
        <v>0</v>
      </c>
      <c r="P250" s="202">
        <f ca="1">IF(B250&gt;=$J$5,0,CONTADORES!$W256-CONTADORES!$W255)</f>
        <v>0</v>
      </c>
      <c r="Q250" s="1415">
        <f ca="1">IF(B250&gt;=$J$5,0,CONTADORES!$B256-CONTADORES!$B255)</f>
        <v>0</v>
      </c>
      <c r="R250" s="1412">
        <f t="shared" ca="1" si="103"/>
        <v>0</v>
      </c>
      <c r="S250" s="11">
        <f ca="1">IF(B250&gt;=$J$5,0,CONTADORES!$D256-CONTADORES!$D255)</f>
        <v>0</v>
      </c>
      <c r="T250" s="198">
        <f ca="1">IF(B250&gt;=$J$5,0,CONTADORES!$BB256-CONTADORES!$BB255)</f>
        <v>0</v>
      </c>
      <c r="U250" s="196">
        <f t="shared" ca="1" si="131"/>
        <v>0</v>
      </c>
      <c r="V250" s="199">
        <f ca="1">IF(B250&gt;=$J$5,0,CONTADORES!$BD256-CONTADORES!$BD255)</f>
        <v>0</v>
      </c>
      <c r="W250" s="1402">
        <f t="shared" ca="1" si="104"/>
        <v>0</v>
      </c>
      <c r="X250" s="1402">
        <f t="shared" ca="1" si="105"/>
        <v>0</v>
      </c>
      <c r="Y250" s="1407">
        <f t="shared" ca="1" si="106"/>
        <v>0</v>
      </c>
      <c r="Z250" s="1407">
        <f t="shared" ca="1" si="107"/>
        <v>0</v>
      </c>
      <c r="AA250" s="1407">
        <f t="shared" ca="1" si="108"/>
        <v>0</v>
      </c>
      <c r="AB250" s="1407">
        <f t="shared" ca="1" si="109"/>
        <v>0</v>
      </c>
      <c r="AC250" s="1402">
        <f t="shared" ca="1" si="110"/>
        <v>0</v>
      </c>
      <c r="AD250" s="1409">
        <f ca="1">IF(B250&gt;=$J$5,0,CONTADORES!H256-CONTADORES!H255)</f>
        <v>0</v>
      </c>
      <c r="AE250" s="1438">
        <f ca="1">IF(B250&gt;=$J$5,0,CONTADORES!J256-CONTADORES!J255)</f>
        <v>0</v>
      </c>
      <c r="AF250" s="1438">
        <f ca="1">IF(B250&gt;=$J$5,0,CONTADORES!AU256-CONTADORES!AU255)</f>
        <v>0</v>
      </c>
      <c r="AG250" s="1438">
        <f ca="1">IF(B250&gt;=$J$5,0,CONTADORES!AW256-CONTADORES!AW255)</f>
        <v>0</v>
      </c>
      <c r="AH250" s="1409">
        <f ca="1">IF(B250&gt;=$J$5,0,(CONTADORES!AM256-CONTADORES!AM255)+(CONTADORES!M256-CONTADORES!M255))</f>
        <v>0</v>
      </c>
      <c r="AI250" s="1438">
        <f ca="1">IF(B250&gt;=$J$5,0,(CONTADORES!AK256-CONTADORES!AK255)+(CONTADORES!O256-CONTADORES!O255))</f>
        <v>0</v>
      </c>
      <c r="AJ250" s="1438">
        <f ca="1">IF(B250&gt;=$J$5,0,(CONTADORES!AI256-CONTADORES!AI255))</f>
        <v>0</v>
      </c>
      <c r="AK250" s="1438">
        <f ca="1">IF(B250&gt;=$J$5,0,(CONTADORES!Q256-CONTADORES!Q255))</f>
        <v>0</v>
      </c>
      <c r="AL250" s="1462">
        <f t="shared" ca="1" si="111"/>
        <v>0</v>
      </c>
      <c r="AM250" s="1409">
        <f ca="1">IF(B250&gt;=$J$5,0,(((CONTADORES!F256-CONTADORES!F255)+(CONTADORES!AQ256-CONTADORES!AQ255))))-BS250-AF250-AN250-BV250-BY250-CD250-CB250</f>
        <v>0</v>
      </c>
      <c r="AN250" s="1438">
        <f ca="1">IF(B250&gt;=$J$5,0,(CONTADORES!AX256-CONTADORES!AX255)+(CONTADORES!AZ256-CONTADORES!AZ255)+(CONTADORES!BE256-CONTADORES!BE255))-CB250</f>
        <v>0</v>
      </c>
      <c r="AO250" s="1466">
        <f>(CONTADORES!AC256-CONTADORES!AC255)</f>
        <v>0</v>
      </c>
      <c r="AP250" s="1466">
        <f>(CONTADORES!X256-CONTADORES!X255)</f>
        <v>0</v>
      </c>
      <c r="AQ250" s="1467">
        <f>(CONTADORES!C256-CONTADORES!C255)</f>
        <v>0</v>
      </c>
      <c r="AR250" s="1466">
        <f ca="1">AR249+(CONTADORES!BC256-CONTADORES!BC255)</f>
        <v>0</v>
      </c>
      <c r="AS250" s="1438">
        <f ca="1">IF(B250&gt;=$J$5,0,CONTADORES!S256-CONTADORES!S255)</f>
        <v>0</v>
      </c>
      <c r="AT250" s="1438">
        <f ca="1">IF(B250&gt;=$J$5,0,(CONTADORES!U256-CONTADORES!U255)+(CONTADORES!AG256-CONTADORES!AG255))</f>
        <v>0</v>
      </c>
      <c r="AU250" s="1437">
        <f>CONTADORES!I256-CONTADORES!I255</f>
        <v>0</v>
      </c>
      <c r="AV250" s="1466">
        <f>CONTADORES!AV256-CONTADORES!AV255</f>
        <v>0</v>
      </c>
      <c r="AW250" s="1466">
        <f ca="1">IF(B250&gt;=$J$5,0,(CONTADORES!N256-CONTADORES!N255)+(CONTADORES!AN256-CONTADORES!AN255))</f>
        <v>0</v>
      </c>
      <c r="AX250" s="1466">
        <f ca="1">IF(B250&gt;=$J$5,0,(CONTADORES!P256-CONTADORES!P255)+(CONTADORES!AL256-CONTADORES!AL255))</f>
        <v>0</v>
      </c>
      <c r="AY250" s="1466">
        <f ca="1">IF(B250&gt;=$J$5,0,(CONTADORES!AJ256-CONTADORES!AJ255))</f>
        <v>0</v>
      </c>
      <c r="AZ250" s="1466">
        <f ca="1">IF(B250&gt;=$J$5,0,(CONTADORES!R256-CONTADORES!R255))</f>
        <v>0</v>
      </c>
      <c r="BA250" s="1441">
        <f t="shared" ca="1" si="112"/>
        <v>0</v>
      </c>
      <c r="BB250" s="1437">
        <f ca="1">IF(B250&gt;=$J$5,0,(((CONTADORES!G256-CONTADORES!G255)+(CONTADORES!AR256-CONTADORES!AR255)+AR250)-(AV250+BC250)))</f>
        <v>0</v>
      </c>
      <c r="BC250" s="1438">
        <f ca="1">IF(B250&gt;=$J$5,0,(CONTADORES!AY256-CONTADORES!AY255)+(CONTADORES!BA256-CONTADORES!BA255)+(CONTADORES!BF256-CONTADORES!BF255))</f>
        <v>0</v>
      </c>
      <c r="BD250" s="1402">
        <f t="shared" ca="1" si="113"/>
        <v>0</v>
      </c>
      <c r="BE250" s="1398">
        <f ca="1">IF($B250&gt;=$J$5,0,CONTADORES!$BG256)</f>
        <v>0</v>
      </c>
      <c r="BF250" s="1397">
        <f ca="1">IF($B250&gt;=$J$5,0,CONTADORES!$BH256)</f>
        <v>0</v>
      </c>
      <c r="BG250" s="1397">
        <f ca="1">IF($B250&gt;=$J$5,0,CONTADORES!$BJ256)</f>
        <v>0</v>
      </c>
      <c r="BH250" s="1397">
        <f ca="1">IF(B250&gt;=$J$5,0,((CONTADORES!BK256-CONTADORES!BK255)/1000))</f>
        <v>0</v>
      </c>
      <c r="BI250" s="1397">
        <f ca="1">IF(C250&gt;=$J$5,0,((CONTADORES!BL256-CONTADORES!BL255)/1000))</f>
        <v>0</v>
      </c>
      <c r="BJ250" s="1397">
        <f ca="1">IF(C250&gt;=$J$5,0,((CONTADORES!BM256-CONTADORES!BM255)/1000))</f>
        <v>0</v>
      </c>
      <c r="BK250" s="1397">
        <f ca="1">IF(D250&gt;=$J$5,0,((CONTADORES!BN256-CONTADORES!BN255)/1000))</f>
        <v>0</v>
      </c>
      <c r="BL250" s="1417">
        <f t="shared" ca="1" si="114"/>
        <v>0</v>
      </c>
      <c r="BM250" s="1417">
        <f t="shared" ca="1" si="115"/>
        <v>0</v>
      </c>
      <c r="BN250" s="1398">
        <f ca="1">IF(W250&gt;=$J$5,0,CONTADORES!$BO256)</f>
        <v>0</v>
      </c>
      <c r="BO250" s="1409">
        <f ca="1">IF(W250&gt;=$J$5,0,CONTADORES!$BP256)</f>
        <v>0</v>
      </c>
      <c r="BP250" s="1438">
        <f ca="1">IF(W250&gt;=$J$5,0,CONTADORES!$BQ256)</f>
        <v>0</v>
      </c>
      <c r="BQ250" s="1438">
        <f ca="1">IF(B250&gt;=$J$5,0,(CONTADORES!AS256-CONTADORES!AS255))</f>
        <v>0</v>
      </c>
      <c r="BR250" s="1438">
        <f ca="1">IF(C250&gt;=$J$5,0,(CONTADORES!AT256-CONTADORES!AT255))</f>
        <v>0</v>
      </c>
      <c r="BS250" s="1409">
        <f ca="1">IF(B250&gt;=$J$5,0,CONTADORES!BR256-CONTADORES!BR255)/1000</f>
        <v>0</v>
      </c>
      <c r="BT250" s="1409">
        <f ca="1">IF(B250&gt;=$J$5,0,CONTADORES!BS256-CONTADORES!BS255)</f>
        <v>0</v>
      </c>
      <c r="BU250" s="1409">
        <f ca="1">IF(B250&gt;=$J$5,0,CONTADORES!BT256-CONTADORES!BT255)</f>
        <v>0</v>
      </c>
      <c r="BV250" s="1409">
        <f ca="1">IF(B250&gt;=$J$5,0,CONTADORES!BU256-CONTADORES!BU255)/1000</f>
        <v>0</v>
      </c>
      <c r="BW250" s="1409">
        <f ca="1">IF(B250&gt;=$J$5,0,CONTADORES!BV256-CONTADORES!BV255)/1000</f>
        <v>0</v>
      </c>
      <c r="BX250" s="1409">
        <f ca="1">IF(B250&gt;=$J$5,0,CONTADORES!BW256-CONTADORES!BW255)</f>
        <v>0</v>
      </c>
      <c r="BY250" s="1409">
        <f ca="1">IF(B250&gt;=$J$5,0,CONTADORES!BX256-CONTADORES!BX255)/1000</f>
        <v>0</v>
      </c>
      <c r="BZ250" s="1409">
        <f ca="1">IF(B250&gt;=$J$5,0,CONTADORES!BY256-CONTADORES!BY255)/1000</f>
        <v>0</v>
      </c>
      <c r="CA250" s="1409">
        <f ca="1">IF(B250&gt;=$J$5,0,CONTADORES!BZ256-CONTADORES!BZ255)</f>
        <v>0</v>
      </c>
      <c r="CB250" s="1409">
        <f ca="1">IF(B250&gt;=$J$5,0,(CONTADORES!CC256-CONTADORES!CC255)+(CONTADORES!CE256-CONTADORES!CE255))/1000</f>
        <v>0</v>
      </c>
      <c r="CC250" s="1409">
        <f ca="1">IF(B250&gt;=$J$5,0,(CONTADORES!CD256-CONTADORES!CD255)+(CONTADORES!CF256-CONTADORES!CF255))/1000</f>
        <v>0</v>
      </c>
      <c r="CD250" s="1409">
        <f ca="1">IF(B250&gt;=$J$5,0,CONTADORES!CA256-CONTADORES!CA255)</f>
        <v>0</v>
      </c>
      <c r="CE250" s="1409">
        <f ca="1">IF(B250&gt;=$J$5,0,CONTADORES!CB256-CONTADORES!CB255)</f>
        <v>0</v>
      </c>
      <c r="CF250" s="1441">
        <f t="shared" ca="1" si="116"/>
        <v>0</v>
      </c>
      <c r="CG250" s="1441">
        <f t="shared" ca="1" si="117"/>
        <v>0</v>
      </c>
      <c r="CH250" s="1441">
        <f t="shared" ca="1" si="118"/>
        <v>0</v>
      </c>
      <c r="CI250" s="1441">
        <f t="shared" ca="1" si="119"/>
        <v>0</v>
      </c>
      <c r="CJ250" s="1441">
        <f t="shared" ca="1" si="120"/>
        <v>0</v>
      </c>
      <c r="CK250" s="1441">
        <f t="shared" ca="1" si="121"/>
        <v>0</v>
      </c>
      <c r="CL250" s="1441">
        <f t="shared" ca="1" si="122"/>
        <v>0</v>
      </c>
      <c r="CM250" s="1441">
        <f t="shared" ca="1" si="123"/>
        <v>0</v>
      </c>
      <c r="CN250" s="1409">
        <f ca="1">IF(B250&gt;=$J$5,0,CONTADORES!CB256-CONTADORES!CB255)</f>
        <v>0</v>
      </c>
      <c r="CO250" s="1441">
        <f t="shared" ca="1" si="124"/>
        <v>0</v>
      </c>
      <c r="CP250" s="1441">
        <f t="shared" ca="1" si="125"/>
        <v>0</v>
      </c>
      <c r="CQ250" s="1441">
        <f t="shared" ca="1" si="126"/>
        <v>0</v>
      </c>
      <c r="CR250" s="1441">
        <f t="shared" ca="1" si="127"/>
        <v>0</v>
      </c>
      <c r="CS250" s="1468">
        <f ca="1">IF($B250&gt;=$J$5,0,CONTADORES!$BI256)</f>
        <v>0</v>
      </c>
      <c r="CT250" s="1334">
        <f>CONTADORES!E256</f>
        <v>0</v>
      </c>
      <c r="CU250" s="1334">
        <f>CONTADORES!CG256</f>
        <v>0</v>
      </c>
    </row>
    <row r="251" spans="2:99" s="1410" customFormat="1">
      <c r="B251" s="1469">
        <v>45167</v>
      </c>
      <c r="C251" s="1411">
        <f t="shared" ca="1" si="101"/>
        <v>0</v>
      </c>
      <c r="D251" s="1412">
        <f ca="1">'CALCULO DE GAS'!P66</f>
        <v>0</v>
      </c>
      <c r="E251" s="196">
        <f ca="1">IF(B251&gt;=$J$5,0,(CONTADORES!$AD257-CONTADORES!$AD256)-$H251)</f>
        <v>0</v>
      </c>
      <c r="F251" s="1411">
        <f t="shared" ca="1" si="129"/>
        <v>0</v>
      </c>
      <c r="G251" s="206">
        <f ca="1">IF(B251&gt;=$J$5,0,CONTADORES!$AF257-CONTADORES!$AF256)</f>
        <v>0</v>
      </c>
      <c r="H251" s="206">
        <f ca="1">IF(G251&gt;0,CONTADORES!$AE257-CONTADORES!$AE256,0)</f>
        <v>0</v>
      </c>
      <c r="I251" s="208">
        <f ca="1">IF(B251&gt;=$J$5,0,CONTADORES!$AB257-CONTADORES!$AB256)</f>
        <v>0</v>
      </c>
      <c r="J251" s="198">
        <f t="shared" ca="1" si="102"/>
        <v>0</v>
      </c>
      <c r="K251" s="1412">
        <f ca="1">'CALCULO DE GAS'!Q66</f>
        <v>0</v>
      </c>
      <c r="L251" s="1396">
        <f ca="1">IF(B251&gt;=$J$5,0,(CONTADORES!$Y257-CONTADORES!$Y256)-$O251)</f>
        <v>0</v>
      </c>
      <c r="M251" s="1413">
        <f t="shared" ca="1" si="130"/>
        <v>0</v>
      </c>
      <c r="N251" s="1396">
        <f ca="1">IF(B251&gt;=$J$5,0,CONTADORES!$AA257-CONTADORES!$AA256)</f>
        <v>0</v>
      </c>
      <c r="O251" s="1396">
        <f ca="1">IF(N251&gt;0,CONTADORES!$Z257-CONTADORES!$Z256,0)</f>
        <v>0</v>
      </c>
      <c r="P251" s="202">
        <f ca="1">IF(B251&gt;=$J$5,0,CONTADORES!$W257-CONTADORES!$W256)</f>
        <v>0</v>
      </c>
      <c r="Q251" s="1415">
        <f ca="1">IF(B251&gt;=$J$5,0,CONTADORES!$B257-CONTADORES!$B256)</f>
        <v>0</v>
      </c>
      <c r="R251" s="1412">
        <f t="shared" ca="1" si="103"/>
        <v>0</v>
      </c>
      <c r="S251" s="11">
        <f ca="1">IF(B251&gt;=$J$5,0,CONTADORES!$D257-CONTADORES!$D256)</f>
        <v>0</v>
      </c>
      <c r="T251" s="198">
        <f ca="1">IF(B251&gt;=$J$5,0,CONTADORES!$BB257-CONTADORES!$BB256)</f>
        <v>0</v>
      </c>
      <c r="U251" s="196">
        <f t="shared" ca="1" si="131"/>
        <v>0</v>
      </c>
      <c r="V251" s="199">
        <f ca="1">IF(B251&gt;=$J$5,0,CONTADORES!$BD257-CONTADORES!$BD256)</f>
        <v>0</v>
      </c>
      <c r="W251" s="1402">
        <f t="shared" ca="1" si="104"/>
        <v>0</v>
      </c>
      <c r="X251" s="1402">
        <f t="shared" ca="1" si="105"/>
        <v>0</v>
      </c>
      <c r="Y251" s="1407">
        <f t="shared" ca="1" si="106"/>
        <v>0</v>
      </c>
      <c r="Z251" s="1407">
        <f t="shared" ca="1" si="107"/>
        <v>0</v>
      </c>
      <c r="AA251" s="1407">
        <f t="shared" ca="1" si="108"/>
        <v>0</v>
      </c>
      <c r="AB251" s="1407">
        <f t="shared" ca="1" si="109"/>
        <v>0</v>
      </c>
      <c r="AC251" s="1402">
        <f t="shared" ca="1" si="110"/>
        <v>0</v>
      </c>
      <c r="AD251" s="1409">
        <f ca="1">IF(B251&gt;=$J$5,0,CONTADORES!H257-CONTADORES!H256)</f>
        <v>0</v>
      </c>
      <c r="AE251" s="1438">
        <f ca="1">IF(B251&gt;=$J$5,0,CONTADORES!J257-CONTADORES!J256)</f>
        <v>0</v>
      </c>
      <c r="AF251" s="1438">
        <f ca="1">IF(B251&gt;=$J$5,0,CONTADORES!AU257-CONTADORES!AU256)</f>
        <v>0</v>
      </c>
      <c r="AG251" s="1438">
        <f ca="1">IF(B251&gt;=$J$5,0,CONTADORES!AW257-CONTADORES!AW256)</f>
        <v>0</v>
      </c>
      <c r="AH251" s="1409">
        <f ca="1">IF(B251&gt;=$J$5,0,(CONTADORES!AM257-CONTADORES!AM256)+(CONTADORES!M257-CONTADORES!M256))</f>
        <v>0</v>
      </c>
      <c r="AI251" s="1438">
        <f ca="1">IF(B251&gt;=$J$5,0,(CONTADORES!AK257-CONTADORES!AK256)+(CONTADORES!O257-CONTADORES!O256))</f>
        <v>0</v>
      </c>
      <c r="AJ251" s="1438">
        <f ca="1">IF(B251&gt;=$J$5,0,(CONTADORES!AI257-CONTADORES!AI256))</f>
        <v>0</v>
      </c>
      <c r="AK251" s="1438">
        <f ca="1">IF(B251&gt;=$J$5,0,(CONTADORES!Q257-CONTADORES!Q256))</f>
        <v>0</v>
      </c>
      <c r="AL251" s="1462">
        <f t="shared" ca="1" si="111"/>
        <v>0</v>
      </c>
      <c r="AM251" s="1409">
        <f ca="1">IF(B251&gt;=$J$5,0,(((CONTADORES!F257-CONTADORES!F256)+(CONTADORES!AQ257-CONTADORES!AQ256))))-BS251-AF251-AN251-BV251-BY251-CD251-CB251</f>
        <v>0</v>
      </c>
      <c r="AN251" s="1438">
        <f ca="1">IF(B251&gt;=$J$5,0,(CONTADORES!AX257-CONTADORES!AX256)+(CONTADORES!AZ257-CONTADORES!AZ256)+(CONTADORES!BE257-CONTADORES!BE256))-CB251</f>
        <v>0</v>
      </c>
      <c r="AO251" s="1466">
        <f>(CONTADORES!AC257-CONTADORES!AC256)</f>
        <v>0</v>
      </c>
      <c r="AP251" s="1466">
        <f>(CONTADORES!X257-CONTADORES!X256)</f>
        <v>0</v>
      </c>
      <c r="AQ251" s="1467">
        <f>(CONTADORES!C257-CONTADORES!C256)</f>
        <v>0</v>
      </c>
      <c r="AR251" s="1466">
        <f ca="1">AR250+(CONTADORES!BC257-CONTADORES!BC256)</f>
        <v>0</v>
      </c>
      <c r="AS251" s="1438">
        <f ca="1">IF(B251&gt;=$J$5,0,CONTADORES!S257-CONTADORES!S256)</f>
        <v>0</v>
      </c>
      <c r="AT251" s="1438">
        <f ca="1">IF(B251&gt;=$J$5,0,(CONTADORES!U257-CONTADORES!U256)+(CONTADORES!AG257-CONTADORES!AG256))</f>
        <v>0</v>
      </c>
      <c r="AU251" s="1437">
        <f>CONTADORES!I257-CONTADORES!I256</f>
        <v>0</v>
      </c>
      <c r="AV251" s="1466">
        <f>CONTADORES!AV257-CONTADORES!AV256</f>
        <v>0</v>
      </c>
      <c r="AW251" s="1466">
        <f ca="1">IF(B251&gt;=$J$5,0,(CONTADORES!N257-CONTADORES!N256)+(CONTADORES!AN257-CONTADORES!AN256))</f>
        <v>0</v>
      </c>
      <c r="AX251" s="1466">
        <f ca="1">IF(B251&gt;=$J$5,0,(CONTADORES!P257-CONTADORES!P256)+(CONTADORES!AL257-CONTADORES!AL256))</f>
        <v>0</v>
      </c>
      <c r="AY251" s="1466">
        <f ca="1">IF(B251&gt;=$J$5,0,(CONTADORES!AJ257-CONTADORES!AJ256))</f>
        <v>0</v>
      </c>
      <c r="AZ251" s="1466">
        <f ca="1">IF(B251&gt;=$J$5,0,(CONTADORES!R257-CONTADORES!R256))</f>
        <v>0</v>
      </c>
      <c r="BA251" s="1441">
        <f t="shared" ca="1" si="112"/>
        <v>0</v>
      </c>
      <c r="BB251" s="1437">
        <f ca="1">IF(B251&gt;=$J$5,0,(((CONTADORES!G257-CONTADORES!G256)+(CONTADORES!AR257-CONTADORES!AR256)+AR251)-(AV251+BC251)))</f>
        <v>0</v>
      </c>
      <c r="BC251" s="1438">
        <f ca="1">IF(B251&gt;=$J$5,0,(CONTADORES!AY257-CONTADORES!AY256)+(CONTADORES!BA257-CONTADORES!BA256)+(CONTADORES!BF257-CONTADORES!BF256))</f>
        <v>0</v>
      </c>
      <c r="BD251" s="1402">
        <f t="shared" ca="1" si="113"/>
        <v>0</v>
      </c>
      <c r="BE251" s="1398">
        <f ca="1">IF($B251&gt;=$J$5,0,CONTADORES!$BG257)</f>
        <v>0</v>
      </c>
      <c r="BF251" s="1397">
        <f ca="1">IF($B251&gt;=$J$5,0,CONTADORES!$BH257)</f>
        <v>0</v>
      </c>
      <c r="BG251" s="1397">
        <f ca="1">IF($B251&gt;=$J$5,0,CONTADORES!$BJ257)</f>
        <v>0</v>
      </c>
      <c r="BH251" s="1397">
        <f ca="1">IF(B251&gt;=$J$5,0,((CONTADORES!BK257-CONTADORES!BK256)/1000))</f>
        <v>0</v>
      </c>
      <c r="BI251" s="1397">
        <f ca="1">IF(C251&gt;=$J$5,0,((CONTADORES!BL257-CONTADORES!BL256)/1000))</f>
        <v>0</v>
      </c>
      <c r="BJ251" s="1397">
        <f ca="1">IF(C251&gt;=$J$5,0,((CONTADORES!BM257-CONTADORES!BM256)/1000))</f>
        <v>0</v>
      </c>
      <c r="BK251" s="1397">
        <f ca="1">IF(D251&gt;=$J$5,0,((CONTADORES!BN257-CONTADORES!BN256)/1000))</f>
        <v>0</v>
      </c>
      <c r="BL251" s="1417">
        <f t="shared" ca="1" si="114"/>
        <v>0</v>
      </c>
      <c r="BM251" s="1417">
        <f t="shared" ca="1" si="115"/>
        <v>0</v>
      </c>
      <c r="BN251" s="1398">
        <f ca="1">IF(W251&gt;=$J$5,0,CONTADORES!$BO257)</f>
        <v>0</v>
      </c>
      <c r="BO251" s="1409">
        <f ca="1">IF(W251&gt;=$J$5,0,CONTADORES!$BP257)</f>
        <v>0</v>
      </c>
      <c r="BP251" s="1438">
        <f ca="1">IF(W251&gt;=$J$5,0,CONTADORES!$BQ257)</f>
        <v>0</v>
      </c>
      <c r="BQ251" s="1438">
        <f ca="1">IF(B251&gt;=$J$5,0,(CONTADORES!AS257-CONTADORES!AS256))</f>
        <v>0</v>
      </c>
      <c r="BR251" s="1438">
        <f ca="1">IF(C251&gt;=$J$5,0,(CONTADORES!AT257-CONTADORES!AT256))</f>
        <v>0</v>
      </c>
      <c r="BS251" s="1409">
        <f ca="1">IF(B251&gt;=$J$5,0,CONTADORES!BR257-CONTADORES!BR256)/1000</f>
        <v>0</v>
      </c>
      <c r="BT251" s="1409">
        <f ca="1">IF(B251&gt;=$J$5,0,CONTADORES!BS257-CONTADORES!BS256)</f>
        <v>0</v>
      </c>
      <c r="BU251" s="1409">
        <f ca="1">IF(B251&gt;=$J$5,0,CONTADORES!BT257-CONTADORES!BT256)</f>
        <v>0</v>
      </c>
      <c r="BV251" s="1409">
        <f ca="1">IF(B251&gt;=$J$5,0,CONTADORES!BU257-CONTADORES!BU256)/1000</f>
        <v>0</v>
      </c>
      <c r="BW251" s="1409">
        <f ca="1">IF(B251&gt;=$J$5,0,CONTADORES!BV257-CONTADORES!BV256)/1000</f>
        <v>0</v>
      </c>
      <c r="BX251" s="1409">
        <f ca="1">IF(B251&gt;=$J$5,0,CONTADORES!BW257-CONTADORES!BW256)</f>
        <v>0</v>
      </c>
      <c r="BY251" s="1409">
        <f ca="1">IF(B251&gt;=$J$5,0,CONTADORES!BX257-CONTADORES!BX256)/1000</f>
        <v>0</v>
      </c>
      <c r="BZ251" s="1409">
        <f ca="1">IF(B251&gt;=$J$5,0,CONTADORES!BY257-CONTADORES!BY256)/1000</f>
        <v>0</v>
      </c>
      <c r="CA251" s="1409">
        <f ca="1">IF(B251&gt;=$J$5,0,CONTADORES!BZ257-CONTADORES!BZ256)</f>
        <v>0</v>
      </c>
      <c r="CB251" s="1409">
        <f ca="1">IF(B251&gt;=$J$5,0,(CONTADORES!CC257-CONTADORES!CC256)+(CONTADORES!CE257-CONTADORES!CE256))/1000</f>
        <v>0</v>
      </c>
      <c r="CC251" s="1409">
        <f ca="1">IF(B251&gt;=$J$5,0,(CONTADORES!CD257-CONTADORES!CD256)+(CONTADORES!CF257-CONTADORES!CF256))/1000</f>
        <v>0</v>
      </c>
      <c r="CD251" s="1409">
        <f ca="1">IF(B251&gt;=$J$5,0,CONTADORES!CA257-CONTADORES!CA256)</f>
        <v>0</v>
      </c>
      <c r="CE251" s="1409">
        <f ca="1">IF(B251&gt;=$J$5,0,CONTADORES!CB257-CONTADORES!CB256)</f>
        <v>0</v>
      </c>
      <c r="CF251" s="1441">
        <f t="shared" ca="1" si="116"/>
        <v>0</v>
      </c>
      <c r="CG251" s="1441">
        <f t="shared" ca="1" si="117"/>
        <v>0</v>
      </c>
      <c r="CH251" s="1441">
        <f t="shared" ca="1" si="118"/>
        <v>0</v>
      </c>
      <c r="CI251" s="1441">
        <f t="shared" ca="1" si="119"/>
        <v>0</v>
      </c>
      <c r="CJ251" s="1441">
        <f t="shared" ca="1" si="120"/>
        <v>0</v>
      </c>
      <c r="CK251" s="1441">
        <f t="shared" ca="1" si="121"/>
        <v>0</v>
      </c>
      <c r="CL251" s="1441">
        <f t="shared" ca="1" si="122"/>
        <v>0</v>
      </c>
      <c r="CM251" s="1441">
        <f t="shared" ca="1" si="123"/>
        <v>0</v>
      </c>
      <c r="CN251" s="1409">
        <f ca="1">IF(B251&gt;=$J$5,0,CONTADORES!CB257-CONTADORES!CB256)</f>
        <v>0</v>
      </c>
      <c r="CO251" s="1441">
        <f t="shared" ca="1" si="124"/>
        <v>0</v>
      </c>
      <c r="CP251" s="1441">
        <f t="shared" ca="1" si="125"/>
        <v>0</v>
      </c>
      <c r="CQ251" s="1441">
        <f t="shared" ca="1" si="126"/>
        <v>0</v>
      </c>
      <c r="CR251" s="1441">
        <f t="shared" ca="1" si="127"/>
        <v>0</v>
      </c>
      <c r="CS251" s="1468">
        <f ca="1">IF($B251&gt;=$J$5,0,CONTADORES!$BI257)</f>
        <v>0</v>
      </c>
      <c r="CT251" s="1334">
        <f>CONTADORES!E257</f>
        <v>0</v>
      </c>
      <c r="CU251" s="1334">
        <f>CONTADORES!CG257</f>
        <v>0</v>
      </c>
    </row>
    <row r="252" spans="2:99" s="1410" customFormat="1">
      <c r="B252" s="1469">
        <v>45168</v>
      </c>
      <c r="C252" s="1411">
        <f t="shared" ca="1" si="101"/>
        <v>0</v>
      </c>
      <c r="D252" s="1412">
        <f ca="1">'CALCULO DE GAS'!P67</f>
        <v>0</v>
      </c>
      <c r="E252" s="196">
        <f ca="1">IF(B252&gt;=$J$5,0,(CONTADORES!$AD258-CONTADORES!$AD257)-$H252)</f>
        <v>0</v>
      </c>
      <c r="F252" s="1411">
        <f t="shared" ca="1" si="129"/>
        <v>0</v>
      </c>
      <c r="G252" s="206">
        <f ca="1">IF(B252&gt;=$J$5,0,CONTADORES!$AF258-CONTADORES!$AF257)</f>
        <v>0</v>
      </c>
      <c r="H252" s="206">
        <f ca="1">IF(G252&gt;0,CONTADORES!$AE258-CONTADORES!$AE257,0)</f>
        <v>0</v>
      </c>
      <c r="I252" s="208">
        <f ca="1">IF(B252&gt;=$J$5,0,CONTADORES!$AB258-CONTADORES!$AB257)</f>
        <v>0</v>
      </c>
      <c r="J252" s="198">
        <f t="shared" ca="1" si="102"/>
        <v>0</v>
      </c>
      <c r="K252" s="1412">
        <f ca="1">'CALCULO DE GAS'!Q67</f>
        <v>0</v>
      </c>
      <c r="L252" s="1396">
        <f ca="1">IF(B252&gt;=$J$5,0,(CONTADORES!$Y258-CONTADORES!$Y257)-$O252)</f>
        <v>0</v>
      </c>
      <c r="M252" s="1413">
        <f t="shared" ca="1" si="130"/>
        <v>0</v>
      </c>
      <c r="N252" s="1396">
        <f ca="1">IF(B252&gt;=$J$5,0,CONTADORES!$AA258-CONTADORES!$AA257)</f>
        <v>0</v>
      </c>
      <c r="O252" s="1396">
        <f ca="1">IF(N252&gt;0,CONTADORES!$Z258-CONTADORES!$Z257,0)</f>
        <v>0</v>
      </c>
      <c r="P252" s="202">
        <f ca="1">IF(B252&gt;=$J$5,0,CONTADORES!$W258-CONTADORES!$W257)</f>
        <v>0</v>
      </c>
      <c r="Q252" s="1415">
        <f ca="1">IF(B252&gt;=$J$5,0,CONTADORES!$B258-CONTADORES!$B257)</f>
        <v>0</v>
      </c>
      <c r="R252" s="1412">
        <f t="shared" ca="1" si="103"/>
        <v>0</v>
      </c>
      <c r="S252" s="11">
        <f ca="1">IF(B252&gt;=$J$5,0,CONTADORES!$D258-CONTADORES!$D257)</f>
        <v>0</v>
      </c>
      <c r="T252" s="198">
        <f ca="1">IF(B252&gt;=$J$5,0,CONTADORES!$BB258-CONTADORES!$BB257)</f>
        <v>0</v>
      </c>
      <c r="U252" s="196">
        <f t="shared" ca="1" si="131"/>
        <v>0</v>
      </c>
      <c r="V252" s="199">
        <f ca="1">IF(B252&gt;=$J$5,0,CONTADORES!$BD258-CONTADORES!$BD257)</f>
        <v>0</v>
      </c>
      <c r="W252" s="1402">
        <f t="shared" ca="1" si="104"/>
        <v>0</v>
      </c>
      <c r="X252" s="1402">
        <f t="shared" ca="1" si="105"/>
        <v>0</v>
      </c>
      <c r="Y252" s="1407">
        <f t="shared" ca="1" si="106"/>
        <v>0</v>
      </c>
      <c r="Z252" s="1407">
        <f t="shared" ca="1" si="107"/>
        <v>0</v>
      </c>
      <c r="AA252" s="1407">
        <f t="shared" ca="1" si="108"/>
        <v>0</v>
      </c>
      <c r="AB252" s="1407">
        <f t="shared" ca="1" si="109"/>
        <v>0</v>
      </c>
      <c r="AC252" s="1402">
        <f t="shared" ca="1" si="110"/>
        <v>0</v>
      </c>
      <c r="AD252" s="1409">
        <f ca="1">IF(B252&gt;=$J$5,0,CONTADORES!H258-CONTADORES!H257)</f>
        <v>0</v>
      </c>
      <c r="AE252" s="1438">
        <f ca="1">IF(B252&gt;=$J$5,0,CONTADORES!J258-CONTADORES!J257)</f>
        <v>0</v>
      </c>
      <c r="AF252" s="1438">
        <f ca="1">IF(B252&gt;=$J$5,0,CONTADORES!AU258-CONTADORES!AU257)</f>
        <v>0</v>
      </c>
      <c r="AG252" s="1438">
        <f ca="1">IF(B252&gt;=$J$5,0,CONTADORES!AW258-CONTADORES!AW257)</f>
        <v>0</v>
      </c>
      <c r="AH252" s="1409">
        <f ca="1">IF(B252&gt;=$J$5,0,(CONTADORES!AM258-CONTADORES!AM257)+(CONTADORES!M258-CONTADORES!M257))</f>
        <v>0</v>
      </c>
      <c r="AI252" s="1438">
        <f ca="1">IF(B252&gt;=$J$5,0,(CONTADORES!AK258-CONTADORES!AK257)+(CONTADORES!O258-CONTADORES!O257))</f>
        <v>0</v>
      </c>
      <c r="AJ252" s="1438">
        <f ca="1">IF(B252&gt;=$J$5,0,(CONTADORES!AI258-CONTADORES!AI257))</f>
        <v>0</v>
      </c>
      <c r="AK252" s="1438">
        <f ca="1">IF(B252&gt;=$J$5,0,(CONTADORES!Q258-CONTADORES!Q257))</f>
        <v>0</v>
      </c>
      <c r="AL252" s="1462">
        <f t="shared" ca="1" si="111"/>
        <v>0</v>
      </c>
      <c r="AM252" s="1409">
        <f ca="1">IF(B252&gt;=$J$5,0,(((CONTADORES!F258-CONTADORES!F257)+(CONTADORES!AQ258-CONTADORES!AQ257))))-BS252-AF252-AN252-BV252-BY252-CD252-CB252</f>
        <v>0</v>
      </c>
      <c r="AN252" s="1438">
        <f ca="1">IF(B252&gt;=$J$5,0,(CONTADORES!AX258-CONTADORES!AX257)+(CONTADORES!AZ258-CONTADORES!AZ257)+(CONTADORES!BE258-CONTADORES!BE257))-CB252</f>
        <v>0</v>
      </c>
      <c r="AO252" s="1466">
        <f>(CONTADORES!AC258-CONTADORES!AC257)</f>
        <v>0</v>
      </c>
      <c r="AP252" s="1466">
        <f>(CONTADORES!X258-CONTADORES!X257)</f>
        <v>0</v>
      </c>
      <c r="AQ252" s="1467">
        <f>(CONTADORES!C258-CONTADORES!C257)</f>
        <v>0</v>
      </c>
      <c r="AR252" s="1466">
        <f ca="1">AR251+(CONTADORES!BC258-CONTADORES!BC257)</f>
        <v>0</v>
      </c>
      <c r="AS252" s="1438">
        <f ca="1">IF(B252&gt;=$J$5,0,CONTADORES!S258-CONTADORES!S257)</f>
        <v>0</v>
      </c>
      <c r="AT252" s="1438">
        <f ca="1">IF(B252&gt;=$J$5,0,(CONTADORES!U258-CONTADORES!U257)+(CONTADORES!AG258-CONTADORES!AG257))</f>
        <v>0</v>
      </c>
      <c r="AU252" s="1437">
        <f>CONTADORES!I258-CONTADORES!I257</f>
        <v>0</v>
      </c>
      <c r="AV252" s="1466">
        <f>CONTADORES!AV258-CONTADORES!AV257</f>
        <v>0</v>
      </c>
      <c r="AW252" s="1466">
        <f ca="1">IF(B252&gt;=$J$5,0,(CONTADORES!N258-CONTADORES!N257)+(CONTADORES!AN258-CONTADORES!AN257))</f>
        <v>0</v>
      </c>
      <c r="AX252" s="1466">
        <f ca="1">IF(B252&gt;=$J$5,0,(CONTADORES!P258-CONTADORES!P257)+(CONTADORES!AL258-CONTADORES!AL257))</f>
        <v>0</v>
      </c>
      <c r="AY252" s="1466">
        <f ca="1">IF(B252&gt;=$J$5,0,(CONTADORES!AJ258-CONTADORES!AJ257))</f>
        <v>0</v>
      </c>
      <c r="AZ252" s="1466">
        <f ca="1">IF(B252&gt;=$J$5,0,(CONTADORES!R258-CONTADORES!R257))</f>
        <v>0</v>
      </c>
      <c r="BA252" s="1441">
        <f t="shared" ca="1" si="112"/>
        <v>0</v>
      </c>
      <c r="BB252" s="1437">
        <f ca="1">IF(B252&gt;=$J$5,0,(((CONTADORES!G258-CONTADORES!G257)+(CONTADORES!AR258-CONTADORES!AR257)+AR252)-(AV252+BC252)))</f>
        <v>0</v>
      </c>
      <c r="BC252" s="1438">
        <f ca="1">IF(B252&gt;=$J$5,0,(CONTADORES!AY258-CONTADORES!AY257)+(CONTADORES!BA258-CONTADORES!BA257)+(CONTADORES!BF258-CONTADORES!BF257))</f>
        <v>0</v>
      </c>
      <c r="BD252" s="1402">
        <f t="shared" ca="1" si="113"/>
        <v>0</v>
      </c>
      <c r="BE252" s="1398">
        <f ca="1">IF($B252&gt;=$J$5,0,CONTADORES!$BG258)</f>
        <v>0</v>
      </c>
      <c r="BF252" s="1397">
        <f ca="1">IF($B252&gt;=$J$5,0,CONTADORES!$BH258)</f>
        <v>0</v>
      </c>
      <c r="BG252" s="1397">
        <f ca="1">IF($B252&gt;=$J$5,0,CONTADORES!$BJ258)</f>
        <v>0</v>
      </c>
      <c r="BH252" s="1397">
        <f ca="1">IF(B252&gt;=$J$5,0,((CONTADORES!BK258-CONTADORES!BK257)/1000))</f>
        <v>0</v>
      </c>
      <c r="BI252" s="1397">
        <f ca="1">IF(C252&gt;=$J$5,0,((CONTADORES!BL258-CONTADORES!BL257)/1000))</f>
        <v>0</v>
      </c>
      <c r="BJ252" s="1397">
        <f ca="1">IF(C252&gt;=$J$5,0,((CONTADORES!BM258-CONTADORES!BM257)/1000))</f>
        <v>0</v>
      </c>
      <c r="BK252" s="1397">
        <f ca="1">IF(D252&gt;=$J$5,0,((CONTADORES!BN258-CONTADORES!BN257)/1000))</f>
        <v>0</v>
      </c>
      <c r="BL252" s="1417">
        <f t="shared" ca="1" si="114"/>
        <v>0</v>
      </c>
      <c r="BM252" s="1417">
        <f t="shared" ca="1" si="115"/>
        <v>0</v>
      </c>
      <c r="BN252" s="1398">
        <f ca="1">IF(W252&gt;=$J$5,0,CONTADORES!$BO258)</f>
        <v>0</v>
      </c>
      <c r="BO252" s="1409">
        <f ca="1">IF(W252&gt;=$J$5,0,CONTADORES!$BP258)</f>
        <v>0</v>
      </c>
      <c r="BP252" s="1438">
        <f ca="1">IF(W252&gt;=$J$5,0,CONTADORES!$BQ258)</f>
        <v>0</v>
      </c>
      <c r="BQ252" s="1438">
        <f ca="1">IF(B252&gt;=$J$5,0,(CONTADORES!AS258-CONTADORES!AS257))</f>
        <v>0</v>
      </c>
      <c r="BR252" s="1438">
        <f ca="1">IF(C252&gt;=$J$5,0,(CONTADORES!AT258-CONTADORES!AT257))</f>
        <v>0</v>
      </c>
      <c r="BS252" s="1409">
        <f ca="1">IF(B252&gt;=$J$5,0,CONTADORES!BR258-CONTADORES!BR257)/1000</f>
        <v>0</v>
      </c>
      <c r="BT252" s="1409">
        <f ca="1">IF(B252&gt;=$J$5,0,CONTADORES!BS258-CONTADORES!BS257)</f>
        <v>0</v>
      </c>
      <c r="BU252" s="1409">
        <f ca="1">IF(B252&gt;=$J$5,0,CONTADORES!BT258-CONTADORES!BT257)</f>
        <v>0</v>
      </c>
      <c r="BV252" s="1409">
        <f ca="1">IF(B252&gt;=$J$5,0,CONTADORES!BU258-CONTADORES!BU257)/1000</f>
        <v>0</v>
      </c>
      <c r="BW252" s="1409">
        <f ca="1">IF(B252&gt;=$J$5,0,CONTADORES!BV258-CONTADORES!BV257)/1000</f>
        <v>0</v>
      </c>
      <c r="BX252" s="1409">
        <f ca="1">IF(B252&gt;=$J$5,0,CONTADORES!BW258-CONTADORES!BW257)</f>
        <v>0</v>
      </c>
      <c r="BY252" s="1409">
        <f ca="1">IF(B252&gt;=$J$5,0,CONTADORES!BX258-CONTADORES!BX257)/1000</f>
        <v>0</v>
      </c>
      <c r="BZ252" s="1409">
        <f ca="1">IF(B252&gt;=$J$5,0,CONTADORES!BY258-CONTADORES!BY257)/1000</f>
        <v>0</v>
      </c>
      <c r="CA252" s="1409">
        <f ca="1">IF(B252&gt;=$J$5,0,CONTADORES!BZ258-CONTADORES!BZ257)</f>
        <v>0</v>
      </c>
      <c r="CB252" s="1409">
        <f ca="1">IF(B252&gt;=$J$5,0,(CONTADORES!CC258-CONTADORES!CC257)+(CONTADORES!CE258-CONTADORES!CE257))/1000</f>
        <v>0</v>
      </c>
      <c r="CC252" s="1409">
        <f ca="1">IF(B252&gt;=$J$5,0,(CONTADORES!CD258-CONTADORES!CD257)+(CONTADORES!CF258-CONTADORES!CF257))/1000</f>
        <v>0</v>
      </c>
      <c r="CD252" s="1409">
        <f ca="1">IF(B252&gt;=$J$5,0,CONTADORES!CA258-CONTADORES!CA257)</f>
        <v>0</v>
      </c>
      <c r="CE252" s="1409">
        <f ca="1">IF(B252&gt;=$J$5,0,CONTADORES!CB258-CONTADORES!CB257)</f>
        <v>0</v>
      </c>
      <c r="CF252" s="1441">
        <f t="shared" ca="1" si="116"/>
        <v>0</v>
      </c>
      <c r="CG252" s="1441">
        <f t="shared" ca="1" si="117"/>
        <v>0</v>
      </c>
      <c r="CH252" s="1441">
        <f t="shared" ca="1" si="118"/>
        <v>0</v>
      </c>
      <c r="CI252" s="1441">
        <f t="shared" ca="1" si="119"/>
        <v>0</v>
      </c>
      <c r="CJ252" s="1441">
        <f t="shared" ca="1" si="120"/>
        <v>0</v>
      </c>
      <c r="CK252" s="1441">
        <f t="shared" ca="1" si="121"/>
        <v>0</v>
      </c>
      <c r="CL252" s="1441">
        <f t="shared" ca="1" si="122"/>
        <v>0</v>
      </c>
      <c r="CM252" s="1441">
        <f t="shared" ca="1" si="123"/>
        <v>0</v>
      </c>
      <c r="CN252" s="1409">
        <f ca="1">IF(B252&gt;=$J$5,0,CONTADORES!CB258-CONTADORES!CB257)</f>
        <v>0</v>
      </c>
      <c r="CO252" s="1441">
        <f t="shared" ca="1" si="124"/>
        <v>0</v>
      </c>
      <c r="CP252" s="1441">
        <f t="shared" ca="1" si="125"/>
        <v>0</v>
      </c>
      <c r="CQ252" s="1441">
        <f t="shared" ca="1" si="126"/>
        <v>0</v>
      </c>
      <c r="CR252" s="1441">
        <f t="shared" ca="1" si="127"/>
        <v>0</v>
      </c>
      <c r="CS252" s="1468">
        <f ca="1">IF($B252&gt;=$J$5,0,CONTADORES!$BI258)</f>
        <v>0</v>
      </c>
      <c r="CT252" s="1334">
        <f>CONTADORES!E258</f>
        <v>0</v>
      </c>
      <c r="CU252" s="1334">
        <f>CONTADORES!CG258</f>
        <v>0</v>
      </c>
    </row>
    <row r="253" spans="2:99" ht="15" thickBot="1">
      <c r="B253" s="1043">
        <v>45169</v>
      </c>
      <c r="C253" s="200">
        <f t="shared" ca="1" si="101"/>
        <v>0</v>
      </c>
      <c r="D253" s="197">
        <f ca="1">'CALCULO DE GAS'!P68</f>
        <v>0</v>
      </c>
      <c r="E253" s="197">
        <f ca="1">IF(B253&gt;=$J$5,0,(CONTADORES!$AD259-CONTADORES!$AD258)-$H253)</f>
        <v>0</v>
      </c>
      <c r="F253" s="200">
        <f t="shared" ca="1" si="129"/>
        <v>0</v>
      </c>
      <c r="G253" s="197">
        <f ca="1">IF(B253&gt;=$J$5,0,CONTADORES!$AF259-CONTADORES!$AF258)</f>
        <v>0</v>
      </c>
      <c r="H253" s="197">
        <f ca="1">IF(G253&gt;0,CONTADORES!$AE259-CONTADORES!$AE258,0)</f>
        <v>0</v>
      </c>
      <c r="I253" s="201">
        <f ca="1">IF(B253&gt;=$J$5,0,CONTADORES!$AB259-CONTADORES!$AB258)</f>
        <v>0</v>
      </c>
      <c r="J253" s="1470">
        <f t="shared" ca="1" si="102"/>
        <v>0</v>
      </c>
      <c r="K253" s="1226">
        <f ca="1">'CALCULO DE GAS'!Q68</f>
        <v>0</v>
      </c>
      <c r="L253" s="1226">
        <f ca="1">IF(B253&gt;=$J$5,0,(CONTADORES!$Y259-CONTADORES!$Y258)-$O253)</f>
        <v>0</v>
      </c>
      <c r="M253" s="1471">
        <f t="shared" ca="1" si="130"/>
        <v>0</v>
      </c>
      <c r="N253" s="1471">
        <f ca="1">IF(B253&gt;=$J$5,0,CONTADORES!$AA259-CONTADORES!$AA258)</f>
        <v>0</v>
      </c>
      <c r="O253" s="1471">
        <f ca="1">IF(N253&gt;0,CONTADORES!$Z259-CONTADORES!$Z258,0)</f>
        <v>0</v>
      </c>
      <c r="P253" s="1426">
        <f ca="1">IF(B253&gt;=$J$5,0,CONTADORES!$W259-CONTADORES!$W258)</f>
        <v>0</v>
      </c>
      <c r="Q253" s="203">
        <f ca="1">IF(B253&gt;=$J$5,0,CONTADORES!$B259-CONTADORES!$B258)</f>
        <v>0</v>
      </c>
      <c r="R253" s="197">
        <f t="shared" ca="1" si="103"/>
        <v>0</v>
      </c>
      <c r="S253" s="64">
        <f ca="1">IF(B253&gt;=$J$5,0,CONTADORES!$D259-CONTADORES!$D258)</f>
        <v>0</v>
      </c>
      <c r="T253" s="200">
        <f ca="1">IF(B253&gt;=$J$5,0,CONTADORES!$BB259-CONTADORES!$BB258)</f>
        <v>0</v>
      </c>
      <c r="U253" s="197">
        <f t="shared" ca="1" si="131"/>
        <v>0</v>
      </c>
      <c r="V253" s="201">
        <f ca="1">IF(B253&gt;=$J$5,0,CONTADORES!$BD259-CONTADORES!$BD258)</f>
        <v>0</v>
      </c>
      <c r="W253" s="1425">
        <f t="shared" ca="1" si="104"/>
        <v>0</v>
      </c>
      <c r="X253" s="1425">
        <f t="shared" ca="1" si="105"/>
        <v>0</v>
      </c>
      <c r="Y253" s="1426">
        <f t="shared" ca="1" si="106"/>
        <v>0</v>
      </c>
      <c r="Z253" s="1426">
        <f t="shared" ca="1" si="107"/>
        <v>0</v>
      </c>
      <c r="AA253" s="1426">
        <f t="shared" ca="1" si="108"/>
        <v>0</v>
      </c>
      <c r="AB253" s="1426">
        <f t="shared" ca="1" si="109"/>
        <v>0</v>
      </c>
      <c r="AC253" s="1426">
        <f t="shared" ca="1" si="110"/>
        <v>0</v>
      </c>
      <c r="AD253" s="1426">
        <f ca="1">IF(B253&gt;=$J$5,0,CONTADORES!H259-CONTADORES!H258)</f>
        <v>0</v>
      </c>
      <c r="AE253" s="1425">
        <f ca="1">IF(B253&gt;=$J$5,0,CONTADORES!J259-CONTADORES!J258)</f>
        <v>0</v>
      </c>
      <c r="AF253" s="1425">
        <f ca="1">IF(B253&gt;=$J$5,0,CONTADORES!AU259-CONTADORES!AU258)</f>
        <v>0</v>
      </c>
      <c r="AG253" s="1425">
        <f ca="1">IF(B253&gt;=$J$5,0,CONTADORES!AW259-CONTADORES!AW258)</f>
        <v>0</v>
      </c>
      <c r="AH253" s="1426">
        <f ca="1">IF(B253&gt;=$J$5,0,(CONTADORES!AM259-CONTADORES!AM258)+(CONTADORES!M259-CONTADORES!M258))</f>
        <v>0</v>
      </c>
      <c r="AI253" s="1425">
        <f ca="1">IF(B253&gt;=$J$5,0,(CONTADORES!AK259-CONTADORES!AK258)+(CONTADORES!O259-CONTADORES!O258))</f>
        <v>0</v>
      </c>
      <c r="AJ253" s="1425">
        <f ca="1">IF(B253&gt;=$J$5,0,(CONTADORES!AI259-CONTADORES!AI258))</f>
        <v>0</v>
      </c>
      <c r="AK253" s="1425">
        <f ca="1">IF(B253&gt;=$J$5,0,(CONTADORES!Q259-CONTADORES!Q258))</f>
        <v>0</v>
      </c>
      <c r="AL253" s="1472">
        <f t="shared" ca="1" si="111"/>
        <v>0</v>
      </c>
      <c r="AM253" s="1426">
        <f ca="1">IF(B253&gt;=$J$5,0,(((CONTADORES!F259-CONTADORES!F258)+(CONTADORES!AQ259-CONTADORES!AQ258))))-BS253-AF253-AN253-BV253-BY253-CD253-CB253</f>
        <v>0</v>
      </c>
      <c r="AN253" s="1425">
        <f ca="1">IF(B253&gt;=$J$5,0,(CONTADORES!AX259-CONTADORES!AX258)+(CONTADORES!AZ259-CONTADORES!AZ258)+(CONTADORES!BE259-CONTADORES!BE258))-CB253</f>
        <v>0</v>
      </c>
      <c r="AO253" s="1427">
        <f>(CONTADORES!AC259-CONTADORES!AC258)</f>
        <v>0</v>
      </c>
      <c r="AP253" s="1427">
        <f>(CONTADORES!X259-CONTADORES!X258)</f>
        <v>0</v>
      </c>
      <c r="AQ253" s="1473">
        <f>(CONTADORES!C259-CONTADORES!C258)</f>
        <v>0</v>
      </c>
      <c r="AR253" s="1427">
        <f ca="1">AR252+(CONTADORES!BC259-CONTADORES!BC258)</f>
        <v>0</v>
      </c>
      <c r="AS253" s="1425">
        <f ca="1">IF(B253&gt;=$J$5,0,CONTADORES!S259-CONTADORES!S258)</f>
        <v>0</v>
      </c>
      <c r="AT253" s="1425">
        <f ca="1">IF(B253&gt;=$J$5,0,(CONTADORES!U259-CONTADORES!U258)+(CONTADORES!AG259-CONTADORES!AG258))</f>
        <v>0</v>
      </c>
      <c r="AU253" s="61">
        <f>CONTADORES!I259-CONTADORES!I258</f>
        <v>0</v>
      </c>
      <c r="AV253" s="1427">
        <f>CONTADORES!AV259-CONTADORES!AV258</f>
        <v>0</v>
      </c>
      <c r="AW253" s="1427">
        <f ca="1">IF(B253&gt;=$J$5,0,(CONTADORES!N259-CONTADORES!N258)+(CONTADORES!AN259-CONTADORES!AN258))</f>
        <v>0</v>
      </c>
      <c r="AX253" s="1427">
        <f ca="1">IF(B253&gt;=$J$5,0,(CONTADORES!P259-CONTADORES!P258)+(CONTADORES!AL259-CONTADORES!AL258))</f>
        <v>0</v>
      </c>
      <c r="AY253" s="1427">
        <f ca="1">IF(B253&gt;=$J$5,0,(CONTADORES!AJ259-CONTADORES!AJ258))</f>
        <v>0</v>
      </c>
      <c r="AZ253" s="1427">
        <f ca="1">IF(B253&gt;=$J$5,0,(CONTADORES!R259-CONTADORES!R258))</f>
        <v>0</v>
      </c>
      <c r="BA253" s="1426">
        <f t="shared" ca="1" si="112"/>
        <v>0</v>
      </c>
      <c r="BB253" s="61">
        <f ca="1">IF(B253&gt;=$J$5,0,(((CONTADORES!G259-CONTADORES!G258)+(CONTADORES!AR259-CONTADORES!AR258)+AR253)-(AV253+BC253)))</f>
        <v>0</v>
      </c>
      <c r="BC253" s="1425">
        <f ca="1">IF(B253&gt;=$J$5,0,(CONTADORES!AY259-CONTADORES!AY258)+(CONTADORES!BA259-CONTADORES!BA258)+(CONTADORES!BF259-CONTADORES!BF258))</f>
        <v>0</v>
      </c>
      <c r="BD253" s="1425">
        <f t="shared" ca="1" si="113"/>
        <v>0</v>
      </c>
      <c r="BE253" s="1457">
        <f ca="1">IF($B253&gt;=$J$5,0,CONTADORES!$BG259)</f>
        <v>0</v>
      </c>
      <c r="BF253" s="1456">
        <f ca="1">IF($B253&gt;=$J$5,0,CONTADORES!$BH259)</f>
        <v>0</v>
      </c>
      <c r="BG253" s="1456">
        <f ca="1">IF($B253&gt;=$J$5,0,CONTADORES!$BJ259)</f>
        <v>0</v>
      </c>
      <c r="BH253" s="1456">
        <f ca="1">IF(B253&gt;=$J$5,0,((CONTADORES!BK259-CONTADORES!BK258)/1000))</f>
        <v>0</v>
      </c>
      <c r="BI253" s="1456">
        <f ca="1">IF(C253&gt;=$J$5,0,((CONTADORES!BL259-CONTADORES!BL258)/1000))</f>
        <v>0</v>
      </c>
      <c r="BJ253" s="1456">
        <f ca="1">IF(C253&gt;=$J$5,0,((CONTADORES!BM259-CONTADORES!BM258)/1000))</f>
        <v>0</v>
      </c>
      <c r="BK253" s="1456">
        <f ca="1">IF(D253&gt;=$J$5,0,((CONTADORES!BN259-CONTADORES!BN258)/1000))</f>
        <v>0</v>
      </c>
      <c r="BL253" s="61">
        <f t="shared" ca="1" si="114"/>
        <v>0</v>
      </c>
      <c r="BM253" s="1427">
        <f t="shared" ca="1" si="115"/>
        <v>0</v>
      </c>
      <c r="BN253" s="1426">
        <f ca="1">IF(W253&gt;=$J$5,0,CONTADORES!$BO259)</f>
        <v>0</v>
      </c>
      <c r="BO253" s="1426">
        <f ca="1">IF(W253&gt;=$J$5,0,CONTADORES!$BP259)</f>
        <v>0</v>
      </c>
      <c r="BP253" s="1425">
        <f ca="1">IF(W253&gt;=$J$5,0,CONTADORES!$BQ259)</f>
        <v>0</v>
      </c>
      <c r="BQ253" s="1425">
        <f ca="1">IF(B253&gt;=$J$5,0,(CONTADORES!AS259-CONTADORES!AS258))</f>
        <v>0</v>
      </c>
      <c r="BR253" s="1425">
        <f ca="1">IF(C253&gt;=$J$5,0,(CONTADORES!AT259-CONTADORES!AT258))</f>
        <v>0</v>
      </c>
      <c r="BS253" s="1426">
        <f ca="1">IF(B253&gt;=$J$5,0,CONTADORES!BR259-CONTADORES!BR258)/1000</f>
        <v>0</v>
      </c>
      <c r="BT253" s="1426">
        <f ca="1">IF(B253&gt;=$J$5,0,CONTADORES!BS259-CONTADORES!BS258)</f>
        <v>0</v>
      </c>
      <c r="BU253" s="1426">
        <f ca="1">IF(B253&gt;=$J$5,0,CONTADORES!BT259-CONTADORES!BT258)</f>
        <v>0</v>
      </c>
      <c r="BV253" s="1426">
        <f ca="1">IF(B253&gt;=$J$5,0,CONTADORES!BU259-CONTADORES!BU258)/1000</f>
        <v>0</v>
      </c>
      <c r="BW253" s="1426">
        <f ca="1">IF(B253&gt;=$J$5,0,CONTADORES!BV259-CONTADORES!BV258)/1000</f>
        <v>0</v>
      </c>
      <c r="BX253" s="1426">
        <f ca="1">IF(B253&gt;=$J$5,0,CONTADORES!BW259-CONTADORES!BW258)</f>
        <v>0</v>
      </c>
      <c r="BY253" s="1426">
        <f ca="1">IF(B253&gt;=$J$5,0,CONTADORES!BX259-CONTADORES!BX258)/1000</f>
        <v>0</v>
      </c>
      <c r="BZ253" s="1426">
        <f ca="1">IF(B253&gt;=$J$5,0,CONTADORES!BY259-CONTADORES!BY258)/1000</f>
        <v>0</v>
      </c>
      <c r="CA253" s="1426">
        <f ca="1">IF(B253&gt;=$J$5,0,CONTADORES!BZ259-CONTADORES!BZ258)</f>
        <v>0</v>
      </c>
      <c r="CB253" s="1426">
        <f ca="1">IF(B253&gt;=$J$5,0,(CONTADORES!CC259-CONTADORES!CC258)+(CONTADORES!CE259-CONTADORES!CE258))/1000</f>
        <v>0</v>
      </c>
      <c r="CC253" s="1426">
        <f ca="1">IF(B253&gt;=$J$5,0,(CONTADORES!CD259-CONTADORES!CD258)+(CONTADORES!CF259-CONTADORES!CF258))/1000</f>
        <v>0</v>
      </c>
      <c r="CD253" s="1426">
        <f ca="1">IF(B253&gt;=$J$5,0,CONTADORES!CA259-CONTADORES!CA258)</f>
        <v>0</v>
      </c>
      <c r="CE253" s="1426">
        <f ca="1">IF(B253&gt;=$J$5,0,CONTADORES!CB259-CONTADORES!CB258)</f>
        <v>0</v>
      </c>
      <c r="CF253" s="1426">
        <f t="shared" ca="1" si="116"/>
        <v>0</v>
      </c>
      <c r="CG253" s="1426">
        <f t="shared" ca="1" si="117"/>
        <v>0</v>
      </c>
      <c r="CH253" s="1426">
        <f t="shared" ca="1" si="118"/>
        <v>0</v>
      </c>
      <c r="CI253" s="1426">
        <f t="shared" ca="1" si="119"/>
        <v>0</v>
      </c>
      <c r="CJ253" s="1426">
        <f t="shared" ca="1" si="120"/>
        <v>0</v>
      </c>
      <c r="CK253" s="1426">
        <f t="shared" ca="1" si="121"/>
        <v>0</v>
      </c>
      <c r="CL253" s="1426">
        <f t="shared" ca="1" si="122"/>
        <v>0</v>
      </c>
      <c r="CM253" s="1426">
        <f t="shared" ca="1" si="123"/>
        <v>0</v>
      </c>
      <c r="CN253" s="1426">
        <f ca="1">IF(B253&gt;=$J$5,0,CONTADORES!CB259-CONTADORES!CB258)</f>
        <v>0</v>
      </c>
      <c r="CO253" s="1426">
        <f t="shared" ca="1" si="124"/>
        <v>0</v>
      </c>
      <c r="CP253" s="1426">
        <f t="shared" ca="1" si="125"/>
        <v>0</v>
      </c>
      <c r="CQ253" s="1426">
        <f t="shared" ca="1" si="126"/>
        <v>0</v>
      </c>
      <c r="CR253" s="1426">
        <f t="shared" ca="1" si="127"/>
        <v>0</v>
      </c>
      <c r="CS253" s="1449">
        <f ca="1">IF($B253&gt;=$J$5,0,CONTADORES!$BI259)</f>
        <v>0</v>
      </c>
      <c r="CT253" s="1335">
        <f>CONTADORES!E259</f>
        <v>0</v>
      </c>
      <c r="CU253" s="1335">
        <f>CONTADORES!CG259</f>
        <v>0</v>
      </c>
    </row>
    <row r="254" spans="2:99">
      <c r="B254" s="390">
        <v>45170</v>
      </c>
      <c r="C254" s="211">
        <f t="shared" ca="1" si="101"/>
        <v>0</v>
      </c>
      <c r="D254" s="204">
        <f ca="1">'CALCULO DE GAS'!P72</f>
        <v>0</v>
      </c>
      <c r="E254" s="204">
        <f ca="1">IF(B254&gt;=$J$5,0,(CONTADORES!$AD262-CONTADORES!$AD261)-$H254)</f>
        <v>0</v>
      </c>
      <c r="F254" s="1474">
        <f t="shared" ca="1" si="129"/>
        <v>0</v>
      </c>
      <c r="G254" s="204">
        <f ca="1">IF(B254&gt;=$J$5,0,CONTADORES!$AF262-CONTADORES!$AF261)</f>
        <v>0</v>
      </c>
      <c r="H254" s="204">
        <f ca="1">IF(G254&gt;0,CONTADORES!$AE262-CONTADORES!$AE261,0)</f>
        <v>0</v>
      </c>
      <c r="I254" s="1475">
        <f ca="1">IF(B254&gt;=$J$5,0,CONTADORES!$AB262-CONTADORES!$AB261)</f>
        <v>0</v>
      </c>
      <c r="J254" s="211">
        <f t="shared" ca="1" si="102"/>
        <v>0</v>
      </c>
      <c r="K254" s="204">
        <f ca="1">'CALCULO DE GAS'!Q72</f>
        <v>0</v>
      </c>
      <c r="L254" s="1475">
        <f ca="1">IF(B254&gt;=$J$5,0,(CONTADORES!$Y262-CONTADORES!$Y261)-$O254)</f>
        <v>0</v>
      </c>
      <c r="M254" s="1475">
        <f t="shared" ca="1" si="130"/>
        <v>0</v>
      </c>
      <c r="N254" s="1475">
        <f ca="1">IF(B254&gt;=$J$5,0,CONTADORES!$AA262-CONTADORES!$AA261)</f>
        <v>0</v>
      </c>
      <c r="O254" s="212">
        <f ca="1">IF(N254&gt;0,CONTADORES!$Z262-CONTADORES!$Z261,0)</f>
        <v>0</v>
      </c>
      <c r="P254" s="1434">
        <f ca="1">IF(B254&gt;=$J$5,0,CONTADORES!$W262-CONTADORES!$W261)</f>
        <v>0</v>
      </c>
      <c r="Q254" s="211">
        <f ca="1">IF(B254&gt;=$J$5,0,CONTADORES!$B262-CONTADORES!$B261)</f>
        <v>0</v>
      </c>
      <c r="R254" s="204">
        <f t="shared" ca="1" si="103"/>
        <v>0</v>
      </c>
      <c r="S254" s="175">
        <f ca="1">IF(B254&gt;=$J$5,0,CONTADORES!$D262-CONTADORES!$D261)</f>
        <v>0</v>
      </c>
      <c r="T254" s="211">
        <f ca="1">IF(B254&gt;=$J$5,0,CONTADORES!$BB262-CONTADORES!$BB261)</f>
        <v>0</v>
      </c>
      <c r="U254" s="204">
        <f t="shared" ca="1" si="131"/>
        <v>0</v>
      </c>
      <c r="V254" s="212">
        <f ca="1">IF(B254&gt;=$J$5,0,CONTADORES!$BD262-CONTADORES!$BD261)</f>
        <v>0</v>
      </c>
      <c r="W254" s="1397">
        <f t="shared" ca="1" si="104"/>
        <v>0</v>
      </c>
      <c r="X254" s="1397">
        <f t="shared" ca="1" si="105"/>
        <v>0</v>
      </c>
      <c r="Y254" s="1398">
        <f t="shared" ca="1" si="106"/>
        <v>0</v>
      </c>
      <c r="Z254" s="1398">
        <f t="shared" ca="1" si="107"/>
        <v>0</v>
      </c>
      <c r="AA254" s="1398">
        <f t="shared" ca="1" si="108"/>
        <v>0</v>
      </c>
      <c r="AB254" s="1398">
        <f t="shared" ca="1" si="109"/>
        <v>0</v>
      </c>
      <c r="AC254" s="1397">
        <f t="shared" ca="1" si="110"/>
        <v>0</v>
      </c>
      <c r="AD254" s="1434">
        <f ca="1">IF(B254&gt;=$J$5,0,CONTADORES!H262-CONTADORES!H261)</f>
        <v>0</v>
      </c>
      <c r="AE254" s="1435">
        <f ca="1">IF(B254&gt;=$J$5,0,CONTADORES!J262-CONTADORES!J261)</f>
        <v>0</v>
      </c>
      <c r="AF254" s="1434">
        <f ca="1">IF(B254&gt;=$J$5,0,CONTADORES!AU262-CONTADORES!AU261)</f>
        <v>0</v>
      </c>
      <c r="AG254" s="1435">
        <f ca="1">IF(B254&gt;=$J$5,0,CONTADORES!AW262-CONTADORES!AW261)</f>
        <v>0</v>
      </c>
      <c r="AH254" s="1434">
        <f ca="1">IF(B254&gt;=$J$5,0,(CONTADORES!AM262-CONTADORES!AM261)+(CONTADORES!M262-CONTADORES!M261))</f>
        <v>0</v>
      </c>
      <c r="AI254" s="1434">
        <f ca="1">IF(B254&gt;=$J$5,0,(CONTADORES!AK262-CONTADORES!AK261)+(CONTADORES!O262-CONTADORES!O261))</f>
        <v>0</v>
      </c>
      <c r="AJ254" s="1434">
        <f ca="1">IF(B254&gt;=$J$5,0,(CONTADORES!AI262-CONTADORES!AI261))</f>
        <v>0</v>
      </c>
      <c r="AK254" s="1434">
        <f ca="1">IF(B254&gt;=$J$5,0,(CONTADORES!Q262-CONTADORES!Q261))</f>
        <v>0</v>
      </c>
      <c r="AL254" s="1450">
        <f t="shared" ca="1" si="111"/>
        <v>0</v>
      </c>
      <c r="AM254" s="1434">
        <f ca="1">IF(B254&gt;=$J$5,0,(((CONTADORES!F262-CONTADORES!F261)+(CONTADORES!AQ262-CONTADORES!AQ261))))-BS254-AF254-AN254-BV254-BY254-CD254-CB254</f>
        <v>0</v>
      </c>
      <c r="AN254" s="1434">
        <f ca="1">IF(B254&gt;=$J$5,0,(CONTADORES!AX262-CONTADORES!AX261)+(CONTADORES!AZ262-CONTADORES!AZ261)+(CONTADORES!BE262-CONTADORES!BE261))</f>
        <v>0</v>
      </c>
      <c r="AO254" s="1464">
        <f>(CONTADORES!AC262-CONTADORES!AC261)</f>
        <v>0</v>
      </c>
      <c r="AP254" s="1476">
        <f>(CONTADORES!X262-CONTADORES!X261)</f>
        <v>0</v>
      </c>
      <c r="AQ254" s="1399">
        <f>(CONTADORES!C262-CONTADORES!C261)</f>
        <v>0</v>
      </c>
      <c r="AR254" s="1399">
        <f>(CONTADORES!BC262-CONTADORES!BC261)</f>
        <v>0</v>
      </c>
      <c r="AS254" s="1397">
        <f ca="1">IF(B254&gt;=$J$5,0,CONTADORES!S262-CONTADORES!S261)</f>
        <v>0</v>
      </c>
      <c r="AT254" s="1397">
        <f ca="1">IF(B254&gt;=$J$5,0,(CONTADORES!U262-CONTADORES!U261)+(CONTADORES!AG262-CONTADORES!AG261))</f>
        <v>0</v>
      </c>
      <c r="AU254" s="1433">
        <f>CONTADORES!I262-CONTADORES!I261</f>
        <v>0</v>
      </c>
      <c r="AV254" s="1399">
        <f>CONTADORES!AV262-CONTADORES!AV261</f>
        <v>0</v>
      </c>
      <c r="AW254" s="1399">
        <f ca="1">IF(B254&gt;=$J$5,0,(CONTADORES!N262-CONTADORES!N261)+(CONTADORES!AN262-CONTADORES!AN261))</f>
        <v>0</v>
      </c>
      <c r="AX254" s="1399">
        <f ca="1">IF(B254&gt;=$J$5,0,(CONTADORES!P262-CONTADORES!P261)+(CONTADORES!AL262-CONTADORES!AL261))</f>
        <v>0</v>
      </c>
      <c r="AY254" s="1399">
        <f ca="1">IF(B254&gt;=$J$5,0,(CONTADORES!AJ262-CONTADORES!AJ261))</f>
        <v>0</v>
      </c>
      <c r="AZ254" s="1399">
        <f ca="1">IF(B254&gt;=$J$5,0,(CONTADORES!R262-CONTADORES!R261))</f>
        <v>0</v>
      </c>
      <c r="BA254" s="1398">
        <f t="shared" ca="1" si="112"/>
        <v>0</v>
      </c>
      <c r="BB254" s="1399">
        <f ca="1">IF(B254&gt;=$J$5,0,(((CONTADORES!G262-CONTADORES!G261)+(CONTADORES!AR262-CONTADORES!AR261)+AR254)-(AV254+BC254)))</f>
        <v>0</v>
      </c>
      <c r="BC254" s="1397">
        <f ca="1">IF(B254&gt;=$J$5,0,(CONTADORES!AY262-CONTADORES!AY261)+(CONTADORES!BA262-CONTADORES!BA261)+(CONTADORES!BF262-CONTADORES!BF261))</f>
        <v>0</v>
      </c>
      <c r="BD254" s="1397">
        <f t="shared" si="113"/>
        <v>0</v>
      </c>
      <c r="BE254" s="1398">
        <f ca="1">IF($B254&gt;=$J$5,0,CONTADORES!$BG262)</f>
        <v>0</v>
      </c>
      <c r="BF254" s="1397">
        <f ca="1">IF($B254&gt;=$J$5,0,CONTADORES!$BH262)</f>
        <v>0</v>
      </c>
      <c r="BG254" s="1397">
        <f ca="1">IF($B254&gt;=$J$5,0,CONTADORES!$BJ262)</f>
        <v>0</v>
      </c>
      <c r="BH254" s="1397">
        <f ca="1">IF(B254&gt;=$J$5,0,((CONTADORES!BK262-CONTADORES!BK261)/1000))</f>
        <v>0</v>
      </c>
      <c r="BI254" s="1397">
        <f ca="1">IF(C254&gt;=$J$5,0,((CONTADORES!BL262-CONTADORES!BL261)/1000))</f>
        <v>0</v>
      </c>
      <c r="BJ254" s="1397">
        <f ca="1">IF(C254&gt;=$J$5,0,((CONTADORES!BM262-CONTADORES!BM261)/1000))</f>
        <v>0</v>
      </c>
      <c r="BK254" s="1397">
        <f ca="1">IF(D254&gt;=$J$5,0,((CONTADORES!BN262-CONTADORES!BN261)/1000))</f>
        <v>0</v>
      </c>
      <c r="BL254" s="1399">
        <f t="shared" ca="1" si="114"/>
        <v>0</v>
      </c>
      <c r="BM254" s="1399">
        <f t="shared" ca="1" si="115"/>
        <v>0</v>
      </c>
      <c r="BN254" s="1398">
        <f ca="1">IF(W254&gt;=$J$5,0,CONTADORES!$BO262)</f>
        <v>0</v>
      </c>
      <c r="BO254" s="1397">
        <f ca="1">IF(W254&gt;=$J$5,0,CONTADORES!$BP262)</f>
        <v>0</v>
      </c>
      <c r="BP254" s="1397">
        <f ca="1">IF(W254&gt;=$J$5,0,CONTADORES!$BQ262)</f>
        <v>0</v>
      </c>
      <c r="BQ254" s="1397">
        <f ca="1">IF(B254&gt;=$J$5,0,(CONTADORES!AS262-CONTADORES!AS261))</f>
        <v>0</v>
      </c>
      <c r="BR254" s="1397">
        <f ca="1">IF(C254&gt;=$J$5,0,(CONTADORES!AT262-CONTADORES!AT261))</f>
        <v>0</v>
      </c>
      <c r="BS254" s="1397">
        <f ca="1">IF(B254&gt;=$J$5,0,CONTADORES!BR262-CONTADORES!BR261)/1000</f>
        <v>0</v>
      </c>
      <c r="BT254" s="1397">
        <f ca="1">IF(BF254&gt;=$J$5,0,CONTADORES!BS262-CONTADORES!BS261)</f>
        <v>0</v>
      </c>
      <c r="BU254" s="1397">
        <f ca="1">IF(BG254&gt;=$J$5,0,CONTADORES!BT262-CONTADORES!BT261)</f>
        <v>0</v>
      </c>
      <c r="BV254" s="1397">
        <f ca="1">IF(B254&gt;=$J$5,0,CONTADORES!BU262-CONTADORES!BU261)/1000</f>
        <v>0</v>
      </c>
      <c r="BW254" s="1397">
        <f ca="1">IF(B254&gt;=$J$5,0,CONTADORES!BV262-CONTADORES!BV261)/1000</f>
        <v>0</v>
      </c>
      <c r="BX254" s="1397">
        <f ca="1">IF(B254&gt;=$J$5,0,CONTADORES!BW262-CONTADORES!BW261)</f>
        <v>0</v>
      </c>
      <c r="BY254" s="1397">
        <f ca="1">IF(B254&gt;=$J$5,0,CONTADORES!BX262-CONTADORES!BX261)/1000</f>
        <v>0</v>
      </c>
      <c r="BZ254" s="1397">
        <f ca="1">IF(B254&gt;=$J$5,0,CONTADORES!BY262-CONTADORES!BY261)/1000</f>
        <v>0</v>
      </c>
      <c r="CA254" s="1397">
        <f ca="1">IF(B254&gt;=$J$5,0,CONTADORES!BZ262-CONTADORES!BZ261)</f>
        <v>0</v>
      </c>
      <c r="CB254" s="1398">
        <f ca="1">IF(B254&gt;=$J$5,0,(CONTADORES!CC262-CONTADORES!CC261)+(CONTADORES!CE262-CONTADORES!CE261))/1000</f>
        <v>0</v>
      </c>
      <c r="CC254" s="1398">
        <f ca="1">IF(B254&gt;=$J$5,0,(CONTADORES!CD262-CONTADORES!CD261)+(CONTADORES!CF262-CONTADORES!CF261))/1000</f>
        <v>0</v>
      </c>
      <c r="CD254" s="1398">
        <f ca="1">IF(B254&gt;=$J$5,0,CONTADORES!CA262-CONTADORES!CA261)</f>
        <v>0</v>
      </c>
      <c r="CE254" s="1398">
        <f ca="1">IF(B254&gt;=$J$5,0,CONTADORES!CB262-CONTADORES!CB261)</f>
        <v>0</v>
      </c>
      <c r="CF254" s="1434">
        <f t="shared" ca="1" si="116"/>
        <v>0</v>
      </c>
      <c r="CG254" s="1434">
        <f t="shared" ca="1" si="117"/>
        <v>0</v>
      </c>
      <c r="CH254" s="1434">
        <f t="shared" ca="1" si="118"/>
        <v>0</v>
      </c>
      <c r="CI254" s="1434">
        <f t="shared" ca="1" si="119"/>
        <v>0</v>
      </c>
      <c r="CJ254" s="1434">
        <f t="shared" ca="1" si="120"/>
        <v>0</v>
      </c>
      <c r="CK254" s="1434">
        <f t="shared" ca="1" si="121"/>
        <v>0</v>
      </c>
      <c r="CL254" s="1434">
        <f t="shared" ca="1" si="122"/>
        <v>0</v>
      </c>
      <c r="CM254" s="1434">
        <f t="shared" ca="1" si="123"/>
        <v>0</v>
      </c>
      <c r="CN254" s="1434">
        <f ca="1">IF(B254&gt;=$J$5,0,CONTADORES!CB262-CONTADORES!CB261)</f>
        <v>0</v>
      </c>
      <c r="CO254" s="1434">
        <f t="shared" ca="1" si="124"/>
        <v>0</v>
      </c>
      <c r="CP254" s="1434">
        <f t="shared" ca="1" si="125"/>
        <v>0</v>
      </c>
      <c r="CQ254" s="1434">
        <f t="shared" ca="1" si="126"/>
        <v>0</v>
      </c>
      <c r="CR254" s="1434">
        <f t="shared" ca="1" si="127"/>
        <v>0</v>
      </c>
      <c r="CS254" s="1434">
        <f ca="1">IF($B254&gt;=$J$5,0,CONTADORES!$BI262)</f>
        <v>0</v>
      </c>
      <c r="CT254" s="1333">
        <f>CONTADORES!E262</f>
        <v>0</v>
      </c>
      <c r="CU254" s="1333">
        <f>CONTADORES!CG262</f>
        <v>0</v>
      </c>
    </row>
    <row r="255" spans="2:99">
      <c r="B255" s="390">
        <v>45171</v>
      </c>
      <c r="C255" s="202">
        <f t="shared" ca="1" si="101"/>
        <v>0</v>
      </c>
      <c r="D255" s="196">
        <f ca="1">'CALCULO DE GAS'!P73</f>
        <v>0</v>
      </c>
      <c r="E255" s="196">
        <f ca="1">IF(B255&gt;=$J$5,0,(CONTADORES!$AD263-CONTADORES!$AD262)-$H255)</f>
        <v>0</v>
      </c>
      <c r="F255" s="198">
        <f t="shared" ca="1" si="129"/>
        <v>0</v>
      </c>
      <c r="G255" s="196">
        <f ca="1">IF(B255&gt;=$J$5,0,CONTADORES!$AF263-CONTADORES!$AF262)</f>
        <v>0</v>
      </c>
      <c r="H255" s="196">
        <f ca="1">IF(G255&gt;0,CONTADORES!$AE263-CONTADORES!$AE262,0)</f>
        <v>0</v>
      </c>
      <c r="I255" s="1396">
        <f ca="1">IF(B255&gt;=$J$5,0,CONTADORES!$AB263-CONTADORES!$AB262)</f>
        <v>0</v>
      </c>
      <c r="J255" s="202">
        <f t="shared" ca="1" si="102"/>
        <v>0</v>
      </c>
      <c r="K255" s="196">
        <f ca="1">'CALCULO DE GAS'!Q73</f>
        <v>0</v>
      </c>
      <c r="L255" s="1396">
        <f ca="1">IF(B255&gt;=$J$5,0,(CONTADORES!$Y263-CONTADORES!$Y262)-$O255)</f>
        <v>0</v>
      </c>
      <c r="M255" s="1396">
        <f t="shared" ca="1" si="130"/>
        <v>0</v>
      </c>
      <c r="N255" s="1396">
        <f ca="1">IF(B255&gt;=$J$5,0,CONTADORES!$AA263-CONTADORES!$AA262)</f>
        <v>0</v>
      </c>
      <c r="O255" s="199">
        <f ca="1">IF(N255&gt;0,CONTADORES!$Z263-CONTADORES!$Z262,0)</f>
        <v>0</v>
      </c>
      <c r="P255" s="1398">
        <f ca="1">IF(B255&gt;=$J$5,0,CONTADORES!$W263-CONTADORES!$W262)</f>
        <v>0</v>
      </c>
      <c r="Q255" s="202">
        <f ca="1">IF(B255&gt;=$J$5,0,CONTADORES!$B263-CONTADORES!$B262)</f>
        <v>0</v>
      </c>
      <c r="R255" s="196">
        <f t="shared" ca="1" si="103"/>
        <v>0</v>
      </c>
      <c r="S255" s="11">
        <f ca="1">IF(B255&gt;=$J$5,0,CONTADORES!$D263-CONTADORES!$D262)</f>
        <v>0</v>
      </c>
      <c r="T255" s="202">
        <f ca="1">IF(B255&gt;=$J$5,0,CONTADORES!$BB263-CONTADORES!$BB262)</f>
        <v>0</v>
      </c>
      <c r="U255" s="196">
        <f t="shared" ca="1" si="131"/>
        <v>0</v>
      </c>
      <c r="V255" s="199">
        <f ca="1">IF(B255&gt;=$J$5,0,CONTADORES!$BD263-CONTADORES!$BD262)</f>
        <v>0</v>
      </c>
      <c r="W255" s="1397">
        <f t="shared" ca="1" si="104"/>
        <v>0</v>
      </c>
      <c r="X255" s="1397">
        <f t="shared" ca="1" si="105"/>
        <v>0</v>
      </c>
      <c r="Y255" s="1398">
        <f t="shared" ca="1" si="106"/>
        <v>0</v>
      </c>
      <c r="Z255" s="1398">
        <f t="shared" ca="1" si="107"/>
        <v>0</v>
      </c>
      <c r="AA255" s="1398">
        <f t="shared" ca="1" si="108"/>
        <v>0</v>
      </c>
      <c r="AB255" s="1398">
        <f t="shared" ca="1" si="109"/>
        <v>0</v>
      </c>
      <c r="AC255" s="1397">
        <f t="shared" ca="1" si="110"/>
        <v>0</v>
      </c>
      <c r="AD255" s="1398">
        <f ca="1">IF(B255&gt;=$J$5,0,CONTADORES!H263-CONTADORES!H262)</f>
        <v>0</v>
      </c>
      <c r="AE255" s="1397">
        <f ca="1">IF(B255&gt;=$J$5,0,CONTADORES!J263-CONTADORES!J262)</f>
        <v>0</v>
      </c>
      <c r="AF255" s="1398">
        <f ca="1">IF(B255&gt;=$J$5,0,CONTADORES!AU263-CONTADORES!AU262)</f>
        <v>0</v>
      </c>
      <c r="AG255" s="1397">
        <f ca="1">IF(B255&gt;=$J$5,0,CONTADORES!AW263-CONTADORES!AW262)</f>
        <v>0</v>
      </c>
      <c r="AH255" s="1398">
        <f ca="1">IF(B255&gt;=$J$5,0,(CONTADORES!AM263-CONTADORES!AM262)+(CONTADORES!M263-CONTADORES!M262))</f>
        <v>0</v>
      </c>
      <c r="AI255" s="1398">
        <f ca="1">IF(B255&gt;=$J$5,0,(CONTADORES!AK263-CONTADORES!AK262)+(CONTADORES!O263-CONTADORES!O262))</f>
        <v>0</v>
      </c>
      <c r="AJ255" s="1398">
        <f ca="1">IF(B255&gt;=$J$5,0,(CONTADORES!AI263-CONTADORES!AI262))</f>
        <v>0</v>
      </c>
      <c r="AK255" s="1398">
        <f ca="1">IF(B255&gt;=$J$5,0,(CONTADORES!Q263-CONTADORES!Q262))</f>
        <v>0</v>
      </c>
      <c r="AL255" s="1461">
        <f t="shared" ca="1" si="111"/>
        <v>0</v>
      </c>
      <c r="AM255" s="1409">
        <f ca="1">IF(B255&gt;=$J$5,0,(((CONTADORES!F263-CONTADORES!F262)+(CONTADORES!AQ263-CONTADORES!AQ262))))-BS255-AF255-AN255-BV255-BY255-CD255-CB255</f>
        <v>0</v>
      </c>
      <c r="AN255" s="1398">
        <f ca="1">IF(B255&gt;=$J$5,0,(CONTADORES!AX263-CONTADORES!AX262)+(CONTADORES!AZ263-CONTADORES!AZ262)+(CONTADORES!BE263-CONTADORES!BE262))</f>
        <v>0</v>
      </c>
      <c r="AO255" s="1433">
        <f>(CONTADORES!AC263-CONTADORES!AC262)</f>
        <v>0</v>
      </c>
      <c r="AP255" s="1433">
        <f>(CONTADORES!X263-CONTADORES!X262)</f>
        <v>0</v>
      </c>
      <c r="AQ255" s="1399">
        <f>(CONTADORES!C263-CONTADORES!C262)</f>
        <v>0</v>
      </c>
      <c r="AR255" s="1399">
        <f>(CONTADORES!BC263-CONTADORES!BC262)</f>
        <v>0</v>
      </c>
      <c r="AS255" s="1397">
        <f ca="1">IF(B255&gt;=$J$5,0,CONTADORES!S263-CONTADORES!S262)</f>
        <v>0</v>
      </c>
      <c r="AT255" s="1397">
        <f ca="1">IF(B255&gt;=$J$5,0,(CONTADORES!U263-CONTADORES!U262)+(CONTADORES!AG263-CONTADORES!AG262))</f>
        <v>0</v>
      </c>
      <c r="AU255" s="1433">
        <f>CONTADORES!I263-CONTADORES!I262</f>
        <v>0</v>
      </c>
      <c r="AV255" s="1399">
        <f>CONTADORES!AV263-CONTADORES!AV262</f>
        <v>0</v>
      </c>
      <c r="AW255" s="1399">
        <f ca="1">IF(B255&gt;=$J$5,0,(CONTADORES!N263-CONTADORES!N262)+(CONTADORES!AN263-CONTADORES!AN262))</f>
        <v>0</v>
      </c>
      <c r="AX255" s="1399">
        <f ca="1">IF(B255&gt;=$J$5,0,(CONTADORES!P263-CONTADORES!P262)+(CONTADORES!AL263-CONTADORES!AL262))</f>
        <v>0</v>
      </c>
      <c r="AY255" s="1399">
        <f ca="1">IF(B255&gt;=$J$5,0,(CONTADORES!AJ263-CONTADORES!AJ262))</f>
        <v>0</v>
      </c>
      <c r="AZ255" s="1399">
        <f ca="1">IF(B255&gt;=$J$5,0,(CONTADORES!R263-CONTADORES!R262))</f>
        <v>0</v>
      </c>
      <c r="BA255" s="1409">
        <f t="shared" ca="1" si="112"/>
        <v>0</v>
      </c>
      <c r="BB255" s="1399">
        <f ca="1">IF(B255&gt;=$J$5,0,(((CONTADORES!G263-CONTADORES!G262)+(CONTADORES!AR263-CONTADORES!AR262)+AR255)-(AV255+BC255)))</f>
        <v>0</v>
      </c>
      <c r="BC255" s="1397">
        <f ca="1">IF(B255&gt;=$J$5,0,(CONTADORES!AY263-CONTADORES!AY262)+(CONTADORES!BA263-CONTADORES!BA262)+(CONTADORES!BF263-CONTADORES!BF262))</f>
        <v>0</v>
      </c>
      <c r="BD255" s="1397">
        <f t="shared" si="113"/>
        <v>0</v>
      </c>
      <c r="BE255" s="1398">
        <f ca="1">IF($B255&gt;=$J$5,0,CONTADORES!$BG263)</f>
        <v>0</v>
      </c>
      <c r="BF255" s="1397">
        <f ca="1">IF($B255&gt;=$J$5,0,CONTADORES!$BH263)</f>
        <v>0</v>
      </c>
      <c r="BG255" s="1397">
        <f ca="1">IF($B255&gt;=$J$5,0,CONTADORES!$BJ263)</f>
        <v>0</v>
      </c>
      <c r="BH255" s="1397">
        <f ca="1">IF(B255&gt;=$J$5,0,((CONTADORES!BK263-CONTADORES!BK262)/1000))</f>
        <v>0</v>
      </c>
      <c r="BI255" s="1397">
        <f ca="1">IF(C255&gt;=$J$5,0,((CONTADORES!BL263-CONTADORES!BL262)/1000))</f>
        <v>0</v>
      </c>
      <c r="BJ255" s="1397">
        <f ca="1">IF(C255&gt;=$J$5,0,((CONTADORES!BM263-CONTADORES!BM262)/1000))</f>
        <v>0</v>
      </c>
      <c r="BK255" s="1397">
        <f ca="1">IF(D255&gt;=$J$5,0,((CONTADORES!BN263-CONTADORES!BN262)/1000))</f>
        <v>0</v>
      </c>
      <c r="BL255" s="1399">
        <f t="shared" ca="1" si="114"/>
        <v>0</v>
      </c>
      <c r="BM255" s="1399">
        <f t="shared" ca="1" si="115"/>
        <v>0</v>
      </c>
      <c r="BN255" s="1398">
        <f ca="1">IF(W255&gt;=$J$5,0,CONTADORES!$BO263)</f>
        <v>0</v>
      </c>
      <c r="BO255" s="1397">
        <f ca="1">IF(W255&gt;=$J$5,0,CONTADORES!$BP263)</f>
        <v>0</v>
      </c>
      <c r="BP255" s="1397">
        <f ca="1">IF(W255&gt;=$J$5,0,CONTADORES!$BQ263)</f>
        <v>0</v>
      </c>
      <c r="BQ255" s="1397">
        <f ca="1">IF(B255&gt;=$J$5,0,(CONTADORES!AS263-CONTADORES!AS262))</f>
        <v>0</v>
      </c>
      <c r="BR255" s="1397">
        <f ca="1">IF(C255&gt;=$J$5,0,(CONTADORES!AT263-CONTADORES!AT262))</f>
        <v>0</v>
      </c>
      <c r="BS255" s="1397">
        <f ca="1">IF(B255&gt;=$J$5,0,CONTADORES!BR263-CONTADORES!BR262)/1000</f>
        <v>0</v>
      </c>
      <c r="BT255" s="1397">
        <f ca="1">IF(BF255&gt;=$J$5,0,CONTADORES!BS263-CONTADORES!BS262)</f>
        <v>0</v>
      </c>
      <c r="BU255" s="1397">
        <f ca="1">IF(BG255&gt;=$J$5,0,CONTADORES!BT263-CONTADORES!BT262)</f>
        <v>0</v>
      </c>
      <c r="BV255" s="1397">
        <f ca="1">IF(B255&gt;=$J$5,0,CONTADORES!BU263-CONTADORES!BU262)/1000</f>
        <v>0</v>
      </c>
      <c r="BW255" s="1397">
        <f ca="1">IF(B255&gt;=$J$5,0,CONTADORES!BV263-CONTADORES!BV262)/1000</f>
        <v>0</v>
      </c>
      <c r="BX255" s="1397">
        <f ca="1">IF(B255&gt;=$J$5,0,CONTADORES!BW263-CONTADORES!BW262)</f>
        <v>0</v>
      </c>
      <c r="BY255" s="1397">
        <f ca="1">IF(B255&gt;=$J$5,0,CONTADORES!BX263-CONTADORES!BX262)/1000</f>
        <v>0</v>
      </c>
      <c r="BZ255" s="1397">
        <f ca="1">IF(B255&gt;=$J$5,0,CONTADORES!BY263-CONTADORES!BY262)/1000</f>
        <v>0</v>
      </c>
      <c r="CA255" s="1397">
        <f ca="1">IF(B255&gt;=$J$5,0,CONTADORES!BZ263-CONTADORES!BZ262)</f>
        <v>0</v>
      </c>
      <c r="CB255" s="1398">
        <f ca="1">IF(B255&gt;=$J$5,0,(CONTADORES!CC263-CONTADORES!CC262)+(CONTADORES!CE263-CONTADORES!CE262))/1000</f>
        <v>0</v>
      </c>
      <c r="CC255" s="1398">
        <f ca="1">IF(B255&gt;=$J$5,0,(CONTADORES!CD263-CONTADORES!CD262)+(CONTADORES!CF263-CONTADORES!CF262))/1000</f>
        <v>0</v>
      </c>
      <c r="CD255" s="1398">
        <f ca="1">IF(B255&gt;=$J$5,0,CONTADORES!CA263-CONTADORES!CA262)</f>
        <v>0</v>
      </c>
      <c r="CE255" s="1398">
        <f ca="1">IF(B255&gt;=$J$5,0,CONTADORES!CB263-CONTADORES!CB262)</f>
        <v>0</v>
      </c>
      <c r="CF255" s="1409">
        <f t="shared" ca="1" si="116"/>
        <v>0</v>
      </c>
      <c r="CG255" s="1409">
        <f t="shared" ca="1" si="117"/>
        <v>0</v>
      </c>
      <c r="CH255" s="1409">
        <f t="shared" ca="1" si="118"/>
        <v>0</v>
      </c>
      <c r="CI255" s="1409">
        <f t="shared" ca="1" si="119"/>
        <v>0</v>
      </c>
      <c r="CJ255" s="1409">
        <f t="shared" ca="1" si="120"/>
        <v>0</v>
      </c>
      <c r="CK255" s="1409">
        <f t="shared" ca="1" si="121"/>
        <v>0</v>
      </c>
      <c r="CL255" s="1409">
        <f t="shared" ca="1" si="122"/>
        <v>0</v>
      </c>
      <c r="CM255" s="1409">
        <f t="shared" ca="1" si="123"/>
        <v>0</v>
      </c>
      <c r="CN255" s="1409">
        <f ca="1">IF(B255&gt;=$J$5,0,CONTADORES!CB263-CONTADORES!CB262)</f>
        <v>0</v>
      </c>
      <c r="CO255" s="1409">
        <f t="shared" ca="1" si="124"/>
        <v>0</v>
      </c>
      <c r="CP255" s="1409">
        <f t="shared" ca="1" si="125"/>
        <v>0</v>
      </c>
      <c r="CQ255" s="1409">
        <f t="shared" ca="1" si="126"/>
        <v>0</v>
      </c>
      <c r="CR255" s="1409">
        <f t="shared" ca="1" si="127"/>
        <v>0</v>
      </c>
      <c r="CS255" s="1409">
        <f ca="1">IF($B255&gt;=$J$5,0,CONTADORES!$BI263)</f>
        <v>0</v>
      </c>
      <c r="CT255" s="1334">
        <f>CONTADORES!E263</f>
        <v>0</v>
      </c>
      <c r="CU255" s="1334">
        <f>CONTADORES!CG263</f>
        <v>0</v>
      </c>
    </row>
    <row r="256" spans="2:99">
      <c r="B256" s="390">
        <v>45172</v>
      </c>
      <c r="C256" s="202">
        <f t="shared" ca="1" si="101"/>
        <v>0</v>
      </c>
      <c r="D256" s="196">
        <f ca="1">'CALCULO DE GAS'!P74</f>
        <v>0</v>
      </c>
      <c r="E256" s="196">
        <f ca="1">IF(B256&gt;=$J$5,0,(CONTADORES!$AD264-CONTADORES!$AD263)-$H256)</f>
        <v>0</v>
      </c>
      <c r="F256" s="198">
        <f t="shared" ca="1" si="129"/>
        <v>0</v>
      </c>
      <c r="G256" s="196">
        <f ca="1">IF(B256&gt;=$J$5,0,CONTADORES!$AF264-CONTADORES!$AF263)</f>
        <v>0</v>
      </c>
      <c r="H256" s="196">
        <f ca="1">IF(G256&gt;0,CONTADORES!$AE264-CONTADORES!$AE263,0)</f>
        <v>0</v>
      </c>
      <c r="I256" s="1396">
        <f ca="1">IF(B256&gt;=$J$5,0,CONTADORES!$AB264-CONTADORES!$AB263)</f>
        <v>0</v>
      </c>
      <c r="J256" s="202">
        <f t="shared" ca="1" si="102"/>
        <v>0</v>
      </c>
      <c r="K256" s="196">
        <f ca="1">'CALCULO DE GAS'!Q74</f>
        <v>0</v>
      </c>
      <c r="L256" s="1396">
        <f ca="1">IF(B256&gt;=$J$5,0,(CONTADORES!$Y264-CONTADORES!$Y263)-$O256)</f>
        <v>0</v>
      </c>
      <c r="M256" s="1396">
        <f t="shared" ca="1" si="130"/>
        <v>0</v>
      </c>
      <c r="N256" s="1396">
        <f ca="1">IF(B256&gt;=$J$5,0,CONTADORES!$AA264-CONTADORES!$AA263)</f>
        <v>0</v>
      </c>
      <c r="O256" s="199">
        <f ca="1">IF(N256&gt;0,CONTADORES!$Z264-CONTADORES!$Z263,0)</f>
        <v>0</v>
      </c>
      <c r="P256" s="1398">
        <f ca="1">IF(B256&gt;=$J$5,0,CONTADORES!$W264-CONTADORES!$W263)</f>
        <v>0</v>
      </c>
      <c r="Q256" s="202">
        <f ca="1">IF(B256&gt;=$J$5,0,CONTADORES!$B264-CONTADORES!$B263)</f>
        <v>0</v>
      </c>
      <c r="R256" s="196">
        <f t="shared" ca="1" si="103"/>
        <v>0</v>
      </c>
      <c r="S256" s="11">
        <f ca="1">IF(B256&gt;=$J$5,0,CONTADORES!$D264-CONTADORES!$D263)</f>
        <v>0</v>
      </c>
      <c r="T256" s="202">
        <f ca="1">IF(B256&gt;=$J$5,0,CONTADORES!$BB264-CONTADORES!$BB263)</f>
        <v>0</v>
      </c>
      <c r="U256" s="196">
        <f t="shared" ca="1" si="131"/>
        <v>0</v>
      </c>
      <c r="V256" s="199">
        <f ca="1">IF(B256&gt;=$J$5,0,CONTADORES!$BD264-CONTADORES!$BD263)</f>
        <v>0</v>
      </c>
      <c r="W256" s="1397">
        <f t="shared" ca="1" si="104"/>
        <v>0</v>
      </c>
      <c r="X256" s="1397">
        <f t="shared" ca="1" si="105"/>
        <v>0</v>
      </c>
      <c r="Y256" s="1398">
        <f t="shared" ca="1" si="106"/>
        <v>0</v>
      </c>
      <c r="Z256" s="1398">
        <f t="shared" ca="1" si="107"/>
        <v>0</v>
      </c>
      <c r="AA256" s="1398">
        <f t="shared" ca="1" si="108"/>
        <v>0</v>
      </c>
      <c r="AB256" s="1398">
        <f t="shared" ca="1" si="109"/>
        <v>0</v>
      </c>
      <c r="AC256" s="1397">
        <f t="shared" ca="1" si="110"/>
        <v>0</v>
      </c>
      <c r="AD256" s="1398">
        <f ca="1">IF(B256&gt;=$J$5,0,CONTADORES!H264-CONTADORES!H263)</f>
        <v>0</v>
      </c>
      <c r="AE256" s="1397">
        <f ca="1">IF(B256&gt;=$J$5,0,CONTADORES!J264-CONTADORES!J263)</f>
        <v>0</v>
      </c>
      <c r="AF256" s="1398">
        <f ca="1">IF(B256&gt;=$J$5,0,CONTADORES!AU264-CONTADORES!AU263)</f>
        <v>0</v>
      </c>
      <c r="AG256" s="1397">
        <f ca="1">IF(B256&gt;=$J$5,0,CONTADORES!AW264-CONTADORES!AW263)</f>
        <v>0</v>
      </c>
      <c r="AH256" s="1398">
        <f ca="1">IF(B256&gt;=$J$5,0,(CONTADORES!AM264-CONTADORES!AM263)+(CONTADORES!M264-CONTADORES!M263))</f>
        <v>0</v>
      </c>
      <c r="AI256" s="1398">
        <f ca="1">IF(B256&gt;=$J$5,0,(CONTADORES!AK264-CONTADORES!AK263)+(CONTADORES!O264-CONTADORES!O263))</f>
        <v>0</v>
      </c>
      <c r="AJ256" s="1398">
        <f ca="1">IF(B256&gt;=$J$5,0,(CONTADORES!AI264-CONTADORES!AI263))</f>
        <v>0</v>
      </c>
      <c r="AK256" s="1398">
        <f ca="1">IF(B256&gt;=$J$5,0,(CONTADORES!Q264-CONTADORES!Q263))</f>
        <v>0</v>
      </c>
      <c r="AL256" s="1461">
        <f t="shared" ca="1" si="111"/>
        <v>0</v>
      </c>
      <c r="AM256" s="1409">
        <f ca="1">IF(B256&gt;=$J$5,0,(((CONTADORES!F264-CONTADORES!F263)+(CONTADORES!AQ264-CONTADORES!AQ263))))-BS256-AF256-AN256-BV256-BY256-CD256-CB256</f>
        <v>0</v>
      </c>
      <c r="AN256" s="1398">
        <f ca="1">IF(B256&gt;=$J$5,0,(CONTADORES!AX264-CONTADORES!AX263)+(CONTADORES!AZ264-CONTADORES!AZ263)+(CONTADORES!BE264-CONTADORES!BE263))</f>
        <v>0</v>
      </c>
      <c r="AO256" s="1433">
        <f>(CONTADORES!AC264-CONTADORES!AC263)</f>
        <v>0</v>
      </c>
      <c r="AP256" s="1433">
        <f>(CONTADORES!X264-CONTADORES!X263)</f>
        <v>0</v>
      </c>
      <c r="AQ256" s="1399">
        <f>(CONTADORES!C264-CONTADORES!C263)</f>
        <v>0</v>
      </c>
      <c r="AR256" s="1399">
        <f>(CONTADORES!BC264-CONTADORES!BC263)</f>
        <v>0</v>
      </c>
      <c r="AS256" s="1397">
        <f ca="1">IF(B256&gt;=$J$5,0,CONTADORES!S264-CONTADORES!S263)</f>
        <v>0</v>
      </c>
      <c r="AT256" s="1397">
        <f ca="1">IF(B256&gt;=$J$5,0,(CONTADORES!U264-CONTADORES!U263)+(CONTADORES!AG264-CONTADORES!AG263))</f>
        <v>0</v>
      </c>
      <c r="AU256" s="1433">
        <f>CONTADORES!I264-CONTADORES!I263</f>
        <v>0</v>
      </c>
      <c r="AV256" s="1399">
        <f>CONTADORES!AV264-CONTADORES!AV263</f>
        <v>0</v>
      </c>
      <c r="AW256" s="1399">
        <f ca="1">IF(B256&gt;=$J$5,0,(CONTADORES!N264-CONTADORES!N263)+(CONTADORES!AN264-CONTADORES!AN263))</f>
        <v>0</v>
      </c>
      <c r="AX256" s="1399">
        <f ca="1">IF(B256&gt;=$J$5,0,(CONTADORES!P264-CONTADORES!P263)+(CONTADORES!AL264-CONTADORES!AL263))</f>
        <v>0</v>
      </c>
      <c r="AY256" s="1399">
        <f ca="1">IF(B256&gt;=$J$5,0,(CONTADORES!AJ264-CONTADORES!AJ263))</f>
        <v>0</v>
      </c>
      <c r="AZ256" s="1399">
        <f ca="1">IF(B256&gt;=$J$5,0,(CONTADORES!R264-CONTADORES!R263))</f>
        <v>0</v>
      </c>
      <c r="BA256" s="1409">
        <f t="shared" ca="1" si="112"/>
        <v>0</v>
      </c>
      <c r="BB256" s="1399">
        <f ca="1">IF(B256&gt;=$J$5,0,(((CONTADORES!G264-CONTADORES!G263)+(CONTADORES!AR264-CONTADORES!AR263)+AR256)-(AV256+BC256)))</f>
        <v>0</v>
      </c>
      <c r="BC256" s="1397">
        <f ca="1">IF(B256&gt;=$J$5,0,(CONTADORES!AY264-CONTADORES!AY263)+(CONTADORES!BA264-CONTADORES!BA263)+(CONTADORES!BF264-CONTADORES!BF263))</f>
        <v>0</v>
      </c>
      <c r="BD256" s="1397">
        <f t="shared" si="113"/>
        <v>0</v>
      </c>
      <c r="BE256" s="1398">
        <f ca="1">IF($B256&gt;=$J$5,0,CONTADORES!$BG264)</f>
        <v>0</v>
      </c>
      <c r="BF256" s="1397">
        <f ca="1">IF($B256&gt;=$J$5,0,CONTADORES!$BH264)</f>
        <v>0</v>
      </c>
      <c r="BG256" s="1397">
        <f ca="1">IF($B256&gt;=$J$5,0,CONTADORES!$BJ264)</f>
        <v>0</v>
      </c>
      <c r="BH256" s="1397">
        <f ca="1">IF(B256&gt;=$J$5,0,((CONTADORES!BK264-CONTADORES!BK263)/1000))</f>
        <v>0</v>
      </c>
      <c r="BI256" s="1397">
        <f ca="1">IF(C256&gt;=$J$5,0,((CONTADORES!BL264-CONTADORES!BL263)/1000))</f>
        <v>0</v>
      </c>
      <c r="BJ256" s="1397">
        <f ca="1">IF(C256&gt;=$J$5,0,((CONTADORES!BM264-CONTADORES!BM263)/1000))</f>
        <v>0</v>
      </c>
      <c r="BK256" s="1397">
        <f ca="1">IF(D256&gt;=$J$5,0,((CONTADORES!BN264-CONTADORES!BN263)/1000))</f>
        <v>0</v>
      </c>
      <c r="BL256" s="1399">
        <f t="shared" ca="1" si="114"/>
        <v>0</v>
      </c>
      <c r="BM256" s="1399">
        <f t="shared" ca="1" si="115"/>
        <v>0</v>
      </c>
      <c r="BN256" s="1398">
        <f ca="1">IF(W256&gt;=$J$5,0,CONTADORES!$BO264)</f>
        <v>0</v>
      </c>
      <c r="BO256" s="1397">
        <f ca="1">IF(W256&gt;=$J$5,0,CONTADORES!$BP264)</f>
        <v>0</v>
      </c>
      <c r="BP256" s="1397">
        <f ca="1">IF(W256&gt;=$J$5,0,CONTADORES!$BQ264)</f>
        <v>0</v>
      </c>
      <c r="BQ256" s="1397">
        <f ca="1">IF(B256&gt;=$J$5,0,(CONTADORES!AS264-CONTADORES!AS263))</f>
        <v>0</v>
      </c>
      <c r="BR256" s="1397">
        <f ca="1">IF(C256&gt;=$J$5,0,(CONTADORES!AT264-CONTADORES!AT263))</f>
        <v>0</v>
      </c>
      <c r="BS256" s="1397">
        <f ca="1">IF(B256&gt;=$J$5,0,CONTADORES!BR264-CONTADORES!BR263)/1000</f>
        <v>0</v>
      </c>
      <c r="BT256" s="1397">
        <f ca="1">IF(BF256&gt;=$J$5,0,CONTADORES!BS264-CONTADORES!BS263)</f>
        <v>0</v>
      </c>
      <c r="BU256" s="1397">
        <f ca="1">IF(BG256&gt;=$J$5,0,CONTADORES!BT264-CONTADORES!BT263)</f>
        <v>0</v>
      </c>
      <c r="BV256" s="1397">
        <f ca="1">IF(B256&gt;=$J$5,0,CONTADORES!BU264-CONTADORES!BU263)/1000</f>
        <v>0</v>
      </c>
      <c r="BW256" s="1397">
        <f ca="1">IF(B256&gt;=$J$5,0,CONTADORES!BV264-CONTADORES!BV263)/1000</f>
        <v>0</v>
      </c>
      <c r="BX256" s="1397">
        <f ca="1">IF(B256&gt;=$J$5,0,CONTADORES!BW264-CONTADORES!BW263)</f>
        <v>0</v>
      </c>
      <c r="BY256" s="1397">
        <f ca="1">IF(B256&gt;=$J$5,0,CONTADORES!BX264-CONTADORES!BX263)/1000</f>
        <v>0</v>
      </c>
      <c r="BZ256" s="1397">
        <f ca="1">IF(B256&gt;=$J$5,0,CONTADORES!BY264-CONTADORES!BY263)/1000</f>
        <v>0</v>
      </c>
      <c r="CA256" s="1397">
        <f ca="1">IF(B256&gt;=$J$5,0,CONTADORES!BZ264-CONTADORES!BZ263)</f>
        <v>0</v>
      </c>
      <c r="CB256" s="1398">
        <f ca="1">IF(B256&gt;=$J$5,0,(CONTADORES!CC264-CONTADORES!CC263)+(CONTADORES!CE264-CONTADORES!CE263))/1000</f>
        <v>0</v>
      </c>
      <c r="CC256" s="1398">
        <f ca="1">IF(B256&gt;=$J$5,0,(CONTADORES!CD264-CONTADORES!CD263)+(CONTADORES!CF264-CONTADORES!CF263))/1000</f>
        <v>0</v>
      </c>
      <c r="CD256" s="1398">
        <f ca="1">IF(B256&gt;=$J$5,0,CONTADORES!CA264-CONTADORES!CA263)</f>
        <v>0</v>
      </c>
      <c r="CE256" s="1398">
        <f ca="1">IF(B256&gt;=$J$5,0,CONTADORES!CB264-CONTADORES!CB263)</f>
        <v>0</v>
      </c>
      <c r="CF256" s="1409">
        <f t="shared" ca="1" si="116"/>
        <v>0</v>
      </c>
      <c r="CG256" s="1409">
        <f t="shared" ca="1" si="117"/>
        <v>0</v>
      </c>
      <c r="CH256" s="1409">
        <f t="shared" ca="1" si="118"/>
        <v>0</v>
      </c>
      <c r="CI256" s="1409">
        <f t="shared" ca="1" si="119"/>
        <v>0</v>
      </c>
      <c r="CJ256" s="1409">
        <f t="shared" ca="1" si="120"/>
        <v>0</v>
      </c>
      <c r="CK256" s="1409">
        <f t="shared" ca="1" si="121"/>
        <v>0</v>
      </c>
      <c r="CL256" s="1409">
        <f t="shared" ca="1" si="122"/>
        <v>0</v>
      </c>
      <c r="CM256" s="1409">
        <f t="shared" ca="1" si="123"/>
        <v>0</v>
      </c>
      <c r="CN256" s="1409">
        <f ca="1">IF(B256&gt;=$J$5,0,CONTADORES!CB264-CONTADORES!CB263)</f>
        <v>0</v>
      </c>
      <c r="CO256" s="1409">
        <f t="shared" ca="1" si="124"/>
        <v>0</v>
      </c>
      <c r="CP256" s="1409">
        <f t="shared" ca="1" si="125"/>
        <v>0</v>
      </c>
      <c r="CQ256" s="1409">
        <f t="shared" ca="1" si="126"/>
        <v>0</v>
      </c>
      <c r="CR256" s="1409">
        <f t="shared" ca="1" si="127"/>
        <v>0</v>
      </c>
      <c r="CS256" s="1409">
        <f ca="1">IF($B256&gt;=$J$5,0,CONTADORES!$BI264)</f>
        <v>0</v>
      </c>
      <c r="CT256" s="1334">
        <f>CONTADORES!E264</f>
        <v>0</v>
      </c>
      <c r="CU256" s="1334">
        <f>CONTADORES!CG264</f>
        <v>0</v>
      </c>
    </row>
    <row r="257" spans="2:99">
      <c r="B257" s="390">
        <v>45173</v>
      </c>
      <c r="C257" s="202">
        <f t="shared" ca="1" si="101"/>
        <v>0</v>
      </c>
      <c r="D257" s="196">
        <f ca="1">'CALCULO DE GAS'!P75</f>
        <v>0</v>
      </c>
      <c r="E257" s="196">
        <f ca="1">IF(B257&gt;=$J$5,0,(CONTADORES!$AD265-CONTADORES!$AD264)-$H257)</f>
        <v>0</v>
      </c>
      <c r="F257" s="198">
        <f t="shared" ca="1" si="129"/>
        <v>0</v>
      </c>
      <c r="G257" s="196">
        <f ca="1">IF(B257&gt;=$J$5,0,CONTADORES!$AF265-CONTADORES!$AF264)</f>
        <v>0</v>
      </c>
      <c r="H257" s="196">
        <f ca="1">IF(G257&gt;0,CONTADORES!$AE265-CONTADORES!$AE264,0)</f>
        <v>0</v>
      </c>
      <c r="I257" s="1396">
        <f ca="1">IF(B257&gt;=$J$5,0,CONTADORES!$AB265-CONTADORES!$AB264)</f>
        <v>0</v>
      </c>
      <c r="J257" s="202">
        <f t="shared" ca="1" si="102"/>
        <v>-1E-3</v>
      </c>
      <c r="K257" s="196">
        <f ca="1">'CALCULO DE GAS'!Q75</f>
        <v>0</v>
      </c>
      <c r="L257" s="1396">
        <f ca="1">IF(B257&gt;=$J$5,0,(CONTADORES!$Y265-CONTADORES!$Y264)-$O257)</f>
        <v>0</v>
      </c>
      <c r="M257" s="1396">
        <v>1E-3</v>
      </c>
      <c r="N257" s="1396">
        <f ca="1">IF(B257&gt;=$J$5,0,CONTADORES!$AA265-CONTADORES!$AA264)</f>
        <v>0</v>
      </c>
      <c r="O257" s="199">
        <f ca="1">IF(N257&gt;0,CONTADORES!$Z265-CONTADORES!$Z264,0)</f>
        <v>0</v>
      </c>
      <c r="P257" s="1398">
        <f ca="1">IF(B257&gt;=$J$5,0,CONTADORES!$W265-CONTADORES!$W264)</f>
        <v>0</v>
      </c>
      <c r="Q257" s="202">
        <f ca="1">IF(B257&gt;=$J$5,0,CONTADORES!$B265-CONTADORES!$B264)</f>
        <v>0</v>
      </c>
      <c r="R257" s="196">
        <f t="shared" ca="1" si="103"/>
        <v>0</v>
      </c>
      <c r="S257" s="11">
        <f ca="1">IF(B257&gt;=$J$5,0,CONTADORES!$D265-CONTADORES!$D264)</f>
        <v>0</v>
      </c>
      <c r="T257" s="202">
        <f ca="1">IF(B257&gt;=$J$5,0,CONTADORES!$BB265-CONTADORES!$BB264)</f>
        <v>0</v>
      </c>
      <c r="U257" s="196">
        <f t="shared" ca="1" si="131"/>
        <v>0</v>
      </c>
      <c r="V257" s="199">
        <f ca="1">IF(B257&gt;=$J$5,0,CONTADORES!$BD265-CONTADORES!$BD264)</f>
        <v>0</v>
      </c>
      <c r="W257" s="1397">
        <f t="shared" ca="1" si="104"/>
        <v>-1E-3</v>
      </c>
      <c r="X257" s="1397">
        <f t="shared" ca="1" si="105"/>
        <v>1E-3</v>
      </c>
      <c r="Y257" s="1398">
        <f t="shared" ca="1" si="106"/>
        <v>0</v>
      </c>
      <c r="Z257" s="1398">
        <f t="shared" ca="1" si="107"/>
        <v>0</v>
      </c>
      <c r="AA257" s="1398">
        <f t="shared" ca="1" si="108"/>
        <v>0</v>
      </c>
      <c r="AB257" s="1398">
        <f t="shared" ca="1" si="109"/>
        <v>0</v>
      </c>
      <c r="AC257" s="1397">
        <f t="shared" ca="1" si="110"/>
        <v>0</v>
      </c>
      <c r="AD257" s="1398">
        <f ca="1">IF(B257&gt;=$J$5,0,CONTADORES!H265-CONTADORES!H264)</f>
        <v>0</v>
      </c>
      <c r="AE257" s="1397">
        <f ca="1">IF(B257&gt;=$J$5,0,CONTADORES!J265-CONTADORES!J264)</f>
        <v>0</v>
      </c>
      <c r="AF257" s="1398">
        <f ca="1">IF(B257&gt;=$J$5,0,CONTADORES!AU265-CONTADORES!AU264)</f>
        <v>0</v>
      </c>
      <c r="AG257" s="1397">
        <f ca="1">IF(B257&gt;=$J$5,0,CONTADORES!AW265-CONTADORES!AW264)</f>
        <v>0</v>
      </c>
      <c r="AH257" s="1398">
        <f ca="1">IF(B257&gt;=$J$5,0,(CONTADORES!AM265-CONTADORES!AM264)+(CONTADORES!M265-CONTADORES!M264))</f>
        <v>0</v>
      </c>
      <c r="AI257" s="1398">
        <f ca="1">IF(B257&gt;=$J$5,0,(CONTADORES!AK265-CONTADORES!AK264)+(CONTADORES!O265-CONTADORES!O264))</f>
        <v>0</v>
      </c>
      <c r="AJ257" s="1398">
        <f ca="1">IF(B257&gt;=$J$5,0,(CONTADORES!AI265-CONTADORES!AI264))</f>
        <v>0</v>
      </c>
      <c r="AK257" s="1398">
        <f ca="1">IF(B257&gt;=$J$5,0,(CONTADORES!Q265-CONTADORES!Q264))</f>
        <v>0</v>
      </c>
      <c r="AL257" s="1461">
        <f t="shared" ca="1" si="111"/>
        <v>0</v>
      </c>
      <c r="AM257" s="1409">
        <f ca="1">IF(B257&gt;=$J$5,0,(((CONTADORES!F265-CONTADORES!F264)+(CONTADORES!AQ265-CONTADORES!AQ264))))-BS257-AF257-AN257-BV257-BY257-CD257-CB257</f>
        <v>0</v>
      </c>
      <c r="AN257" s="1398">
        <f ca="1">IF(B257&gt;=$J$5,0,(CONTADORES!AX265-CONTADORES!AX264)+(CONTADORES!AZ265-CONTADORES!AZ264)+(CONTADORES!BE265-CONTADORES!BE264))</f>
        <v>0</v>
      </c>
      <c r="AO257" s="1433">
        <f>(CONTADORES!AC265-CONTADORES!AC264)</f>
        <v>0</v>
      </c>
      <c r="AP257" s="1433">
        <f>(CONTADORES!X265-CONTADORES!X264)</f>
        <v>0</v>
      </c>
      <c r="AQ257" s="1399">
        <f>(CONTADORES!C265-CONTADORES!C264)</f>
        <v>0</v>
      </c>
      <c r="AR257" s="1399">
        <f>(CONTADORES!BC265-CONTADORES!BC264)</f>
        <v>0</v>
      </c>
      <c r="AS257" s="1397">
        <f ca="1">IF(B257&gt;=$J$5,0,CONTADORES!S265-CONTADORES!S264)</f>
        <v>0</v>
      </c>
      <c r="AT257" s="1397">
        <f ca="1">IF(B257&gt;=$J$5,0,(CONTADORES!U265-CONTADORES!U264)+(CONTADORES!AG265-CONTADORES!AG264))</f>
        <v>0</v>
      </c>
      <c r="AU257" s="1433">
        <f>CONTADORES!I265-CONTADORES!I264</f>
        <v>0</v>
      </c>
      <c r="AV257" s="1399">
        <f>CONTADORES!AV265-CONTADORES!AV264</f>
        <v>0</v>
      </c>
      <c r="AW257" s="1399">
        <f ca="1">IF(B257&gt;=$J$5,0,(CONTADORES!N265-CONTADORES!N264)+(CONTADORES!AN265-CONTADORES!AN264))</f>
        <v>0</v>
      </c>
      <c r="AX257" s="1399">
        <f ca="1">IF(B257&gt;=$J$5,0,(CONTADORES!P265-CONTADORES!P264)+(CONTADORES!AL265-CONTADORES!AL264))</f>
        <v>0</v>
      </c>
      <c r="AY257" s="1399">
        <f ca="1">IF(B257&gt;=$J$5,0,(CONTADORES!AJ265-CONTADORES!AJ264))</f>
        <v>0</v>
      </c>
      <c r="AZ257" s="1399">
        <f ca="1">IF(B257&gt;=$J$5,0,(CONTADORES!R265-CONTADORES!R264))</f>
        <v>0</v>
      </c>
      <c r="BA257" s="1409">
        <f t="shared" ca="1" si="112"/>
        <v>0</v>
      </c>
      <c r="BB257" s="1399">
        <f ca="1">IF(B257&gt;=$J$5,0,(((CONTADORES!G265-CONTADORES!G264)+(CONTADORES!AR265-CONTADORES!AR264)+AR257)-(AV257+BC257)))</f>
        <v>0</v>
      </c>
      <c r="BC257" s="1397">
        <f ca="1">IF(B257&gt;=$J$5,0,(CONTADORES!AY265-CONTADORES!AY264)+(CONTADORES!BA265-CONTADORES!BA264)+(CONTADORES!BF265-CONTADORES!BF264))</f>
        <v>0</v>
      </c>
      <c r="BD257" s="1397">
        <f t="shared" si="113"/>
        <v>0</v>
      </c>
      <c r="BE257" s="1398">
        <f ca="1">IF($B257&gt;=$J$5,0,CONTADORES!$BG265)</f>
        <v>0</v>
      </c>
      <c r="BF257" s="1397">
        <f ca="1">IF($B257&gt;=$J$5,0,CONTADORES!$BH265)</f>
        <v>0</v>
      </c>
      <c r="BG257" s="1397">
        <f ca="1">IF($B257&gt;=$J$5,0,CONTADORES!$BJ265)</f>
        <v>0</v>
      </c>
      <c r="BH257" s="1397">
        <f ca="1">IF(B257&gt;=$J$5,0,((CONTADORES!BK265-CONTADORES!BK264)/1000))</f>
        <v>0</v>
      </c>
      <c r="BI257" s="1397">
        <f ca="1">IF(C257&gt;=$J$5,0,((CONTADORES!BL265-CONTADORES!BL264)/1000))</f>
        <v>0</v>
      </c>
      <c r="BJ257" s="1397">
        <f ca="1">IF(C257&gt;=$J$5,0,((CONTADORES!BM265-CONTADORES!BM264)/1000))</f>
        <v>0</v>
      </c>
      <c r="BK257" s="1397">
        <f ca="1">IF(D257&gt;=$J$5,0,((CONTADORES!BN265-CONTADORES!BN264)/1000))</f>
        <v>0</v>
      </c>
      <c r="BL257" s="1399">
        <f t="shared" ca="1" si="114"/>
        <v>0</v>
      </c>
      <c r="BM257" s="1399">
        <f t="shared" ca="1" si="115"/>
        <v>0</v>
      </c>
      <c r="BN257" s="1398">
        <f ca="1">IF(W257&gt;=$J$5,0,CONTADORES!$BO265)</f>
        <v>0</v>
      </c>
      <c r="BO257" s="1397">
        <f ca="1">IF(W257&gt;=$J$5,0,CONTADORES!$BP265)</f>
        <v>0</v>
      </c>
      <c r="BP257" s="1397">
        <f ca="1">IF(W257&gt;=$J$5,0,CONTADORES!$BQ265)</f>
        <v>0</v>
      </c>
      <c r="BQ257" s="1397">
        <f ca="1">IF(B257&gt;=$J$5,0,(CONTADORES!AS265-CONTADORES!AS264))</f>
        <v>0</v>
      </c>
      <c r="BR257" s="1397">
        <f ca="1">IF(C257&gt;=$J$5,0,(CONTADORES!AT265-CONTADORES!AT264))</f>
        <v>0</v>
      </c>
      <c r="BS257" s="1397">
        <f ca="1">IF(B257&gt;=$J$5,0,CONTADORES!BR265-CONTADORES!BR264)/1000</f>
        <v>0</v>
      </c>
      <c r="BT257" s="1397">
        <f ca="1">IF(BF257&gt;=$J$5,0,CONTADORES!BS265-CONTADORES!BS264)</f>
        <v>0</v>
      </c>
      <c r="BU257" s="1397">
        <f ca="1">IF(BG257&gt;=$J$5,0,CONTADORES!BT265-CONTADORES!BT264)</f>
        <v>0</v>
      </c>
      <c r="BV257" s="1397">
        <f ca="1">IF(B257&gt;=$J$5,0,CONTADORES!BU265-CONTADORES!BU264)/1000</f>
        <v>0</v>
      </c>
      <c r="BW257" s="1397">
        <f ca="1">IF(B257&gt;=$J$5,0,CONTADORES!BV265-CONTADORES!BV264)/1000</f>
        <v>0</v>
      </c>
      <c r="BX257" s="1397">
        <f ca="1">IF(B257&gt;=$J$5,0,CONTADORES!BW265-CONTADORES!BW264)</f>
        <v>0</v>
      </c>
      <c r="BY257" s="1397">
        <f ca="1">IF(B257&gt;=$J$5,0,CONTADORES!BX265-CONTADORES!BX264)/1000</f>
        <v>0</v>
      </c>
      <c r="BZ257" s="1397">
        <f ca="1">IF(B257&gt;=$J$5,0,CONTADORES!BY265-CONTADORES!BY264)/1000</f>
        <v>0</v>
      </c>
      <c r="CA257" s="1397">
        <f ca="1">IF(B257&gt;=$J$5,0,CONTADORES!BZ265-CONTADORES!BZ264)</f>
        <v>0</v>
      </c>
      <c r="CB257" s="1398">
        <f ca="1">IF(B257&gt;=$J$5,0,(CONTADORES!CC265-CONTADORES!CC264)+(CONTADORES!CE265-CONTADORES!CE264))/1000</f>
        <v>0</v>
      </c>
      <c r="CC257" s="1398">
        <f ca="1">IF(B257&gt;=$J$5,0,(CONTADORES!CD265-CONTADORES!CD264)+(CONTADORES!CF265-CONTADORES!CF264))/1000</f>
        <v>0</v>
      </c>
      <c r="CD257" s="1398">
        <f ca="1">IF(B257&gt;=$J$5,0,CONTADORES!CA265-CONTADORES!CA264)</f>
        <v>0</v>
      </c>
      <c r="CE257" s="1398">
        <f ca="1">IF(B257&gt;=$J$5,0,CONTADORES!CB265-CONTADORES!CB264)</f>
        <v>0</v>
      </c>
      <c r="CF257" s="1409">
        <f t="shared" ca="1" si="116"/>
        <v>0</v>
      </c>
      <c r="CG257" s="1409">
        <f t="shared" ca="1" si="117"/>
        <v>0</v>
      </c>
      <c r="CH257" s="1409">
        <f t="shared" ca="1" si="118"/>
        <v>0</v>
      </c>
      <c r="CI257" s="1409">
        <f t="shared" ca="1" si="119"/>
        <v>0</v>
      </c>
      <c r="CJ257" s="1409">
        <f t="shared" ca="1" si="120"/>
        <v>0</v>
      </c>
      <c r="CK257" s="1409">
        <f t="shared" ca="1" si="121"/>
        <v>0</v>
      </c>
      <c r="CL257" s="1409">
        <f t="shared" ca="1" si="122"/>
        <v>0</v>
      </c>
      <c r="CM257" s="1409">
        <f t="shared" ca="1" si="123"/>
        <v>0</v>
      </c>
      <c r="CN257" s="1409">
        <f ca="1">IF(B257&gt;=$J$5,0,CONTADORES!CB265-CONTADORES!CB264)</f>
        <v>0</v>
      </c>
      <c r="CO257" s="1409">
        <f t="shared" ca="1" si="124"/>
        <v>0</v>
      </c>
      <c r="CP257" s="1409">
        <f t="shared" ca="1" si="125"/>
        <v>0</v>
      </c>
      <c r="CQ257" s="1409">
        <f t="shared" ca="1" si="126"/>
        <v>0</v>
      </c>
      <c r="CR257" s="1409">
        <f t="shared" ca="1" si="127"/>
        <v>0</v>
      </c>
      <c r="CS257" s="1409">
        <f ca="1">IF($B257&gt;=$J$5,0,CONTADORES!$BI265)</f>
        <v>0</v>
      </c>
      <c r="CT257" s="1334">
        <f>CONTADORES!E265</f>
        <v>0</v>
      </c>
      <c r="CU257" s="1334">
        <f>CONTADORES!CG265</f>
        <v>0</v>
      </c>
    </row>
    <row r="258" spans="2:99">
      <c r="B258" s="390">
        <v>45174</v>
      </c>
      <c r="C258" s="202">
        <f t="shared" ca="1" si="101"/>
        <v>0</v>
      </c>
      <c r="D258" s="196">
        <f ca="1">'CALCULO DE GAS'!P76</f>
        <v>0</v>
      </c>
      <c r="E258" s="196">
        <f ca="1">IF(B258&gt;=$J$5,0,(CONTADORES!$AD266-CONTADORES!$AD265)-$H258)</f>
        <v>0</v>
      </c>
      <c r="F258" s="198">
        <f t="shared" ca="1" si="129"/>
        <v>0</v>
      </c>
      <c r="G258" s="196">
        <f ca="1">IF(B258&gt;=$J$5,0,CONTADORES!$AF266-CONTADORES!$AF265)</f>
        <v>0</v>
      </c>
      <c r="H258" s="196">
        <f ca="1">IF(G258&gt;0,CONTADORES!$AE266-CONTADORES!$AE265,0)</f>
        <v>0</v>
      </c>
      <c r="I258" s="1396">
        <f ca="1">IF(B258&gt;=$J$5,0,CONTADORES!$AB266-CONTADORES!$AB265)</f>
        <v>0</v>
      </c>
      <c r="J258" s="202">
        <f t="shared" ca="1" si="102"/>
        <v>0</v>
      </c>
      <c r="K258" s="196">
        <f ca="1">'CALCULO DE GAS'!Q76</f>
        <v>0</v>
      </c>
      <c r="L258" s="1396">
        <f ca="1">IF(B258&gt;=$J$5,0,(CONTADORES!$Y266-CONTADORES!$Y265)-$O258)</f>
        <v>0</v>
      </c>
      <c r="M258" s="1396">
        <f t="shared" ref="M258:M289" ca="1" si="132">IF(O258=0,0,"ERROR")</f>
        <v>0</v>
      </c>
      <c r="N258" s="1396">
        <f ca="1">IF(B258&gt;=$J$5,0,CONTADORES!$AA266-CONTADORES!$AA265)</f>
        <v>0</v>
      </c>
      <c r="O258" s="199">
        <f ca="1">IF(N258&gt;0,CONTADORES!$Z266-CONTADORES!$Z265,0)</f>
        <v>0</v>
      </c>
      <c r="P258" s="1398">
        <f ca="1">IF(B258&gt;=$J$5,0,CONTADORES!$W266-CONTADORES!$W265)</f>
        <v>0</v>
      </c>
      <c r="Q258" s="202">
        <f ca="1">IF(B258&gt;=$J$5,0,CONTADORES!$B266-CONTADORES!$B265)</f>
        <v>0</v>
      </c>
      <c r="R258" s="196">
        <f t="shared" ca="1" si="103"/>
        <v>0</v>
      </c>
      <c r="S258" s="11">
        <f ca="1">IF(B258&gt;=$J$5,0,CONTADORES!$D266-CONTADORES!$D265)</f>
        <v>0</v>
      </c>
      <c r="T258" s="202">
        <f ca="1">IF(B258&gt;=$J$5,0,CONTADORES!$BB266-CONTADORES!$BB265)</f>
        <v>0</v>
      </c>
      <c r="U258" s="196">
        <f t="shared" ca="1" si="131"/>
        <v>0</v>
      </c>
      <c r="V258" s="199">
        <f ca="1">IF(B258&gt;=$J$5,0,CONTADORES!$BD266-CONTADORES!$BD265)</f>
        <v>0</v>
      </c>
      <c r="W258" s="1397">
        <f t="shared" ca="1" si="104"/>
        <v>0</v>
      </c>
      <c r="X258" s="1397">
        <f t="shared" ca="1" si="105"/>
        <v>0</v>
      </c>
      <c r="Y258" s="1398">
        <f t="shared" ca="1" si="106"/>
        <v>0</v>
      </c>
      <c r="Z258" s="1398">
        <f t="shared" ca="1" si="107"/>
        <v>0</v>
      </c>
      <c r="AA258" s="1398">
        <f t="shared" ca="1" si="108"/>
        <v>0</v>
      </c>
      <c r="AB258" s="1398">
        <f t="shared" ca="1" si="109"/>
        <v>0</v>
      </c>
      <c r="AC258" s="1397">
        <f t="shared" ca="1" si="110"/>
        <v>0</v>
      </c>
      <c r="AD258" s="1398">
        <f ca="1">IF(B258&gt;=$J$5,0,CONTADORES!H266-CONTADORES!H265)</f>
        <v>0</v>
      </c>
      <c r="AE258" s="1397">
        <f ca="1">IF(B258&gt;=$J$5,0,CONTADORES!J266-CONTADORES!J265)</f>
        <v>0</v>
      </c>
      <c r="AF258" s="1398">
        <f ca="1">IF(B258&gt;=$J$5,0,CONTADORES!AU266-CONTADORES!AU265)</f>
        <v>0</v>
      </c>
      <c r="AG258" s="1397">
        <f ca="1">IF(B258&gt;=$J$5,0,CONTADORES!AW266-CONTADORES!AW265)</f>
        <v>0</v>
      </c>
      <c r="AH258" s="1398">
        <f ca="1">IF(B258&gt;=$J$5,0,(CONTADORES!AM266-CONTADORES!AM265)+(CONTADORES!M266-CONTADORES!M265))</f>
        <v>0</v>
      </c>
      <c r="AI258" s="1398">
        <f ca="1">IF(B258&gt;=$J$5,0,(CONTADORES!AK266-CONTADORES!AK265)+(CONTADORES!O266-CONTADORES!O265))</f>
        <v>0</v>
      </c>
      <c r="AJ258" s="1398">
        <f ca="1">IF(B258&gt;=$J$5,0,(CONTADORES!AI266-CONTADORES!AI265))</f>
        <v>0</v>
      </c>
      <c r="AK258" s="1398">
        <f ca="1">IF(B258&gt;=$J$5,0,(CONTADORES!Q266-CONTADORES!Q265))</f>
        <v>0</v>
      </c>
      <c r="AL258" s="1461">
        <f t="shared" ca="1" si="111"/>
        <v>0</v>
      </c>
      <c r="AM258" s="1409">
        <f ca="1">IF(B258&gt;=$J$5,0,(((CONTADORES!F266-CONTADORES!F265)+(CONTADORES!AQ266-CONTADORES!AQ265))))-BS258-AF258-AN258-BV258-BY258-CD258-CB258</f>
        <v>0</v>
      </c>
      <c r="AN258" s="1398">
        <f ca="1">IF(B258&gt;=$J$5,0,(CONTADORES!AX266-CONTADORES!AX265)+(CONTADORES!AZ266-CONTADORES!AZ265)+(CONTADORES!BE266-CONTADORES!BE265))</f>
        <v>0</v>
      </c>
      <c r="AO258" s="1433">
        <f>(CONTADORES!AC266-CONTADORES!AC265)</f>
        <v>0</v>
      </c>
      <c r="AP258" s="1433">
        <f>(CONTADORES!X266-CONTADORES!X265)</f>
        <v>0</v>
      </c>
      <c r="AQ258" s="1399">
        <f>(CONTADORES!C266-CONTADORES!C265)</f>
        <v>0</v>
      </c>
      <c r="AR258" s="1399">
        <f>(CONTADORES!BC266-CONTADORES!BC265)</f>
        <v>0</v>
      </c>
      <c r="AS258" s="1397">
        <f ca="1">IF(B258&gt;=$J$5,0,CONTADORES!S266-CONTADORES!S265)</f>
        <v>0</v>
      </c>
      <c r="AT258" s="1397">
        <f ca="1">IF(B258&gt;=$J$5,0,(CONTADORES!U266-CONTADORES!U265)+(CONTADORES!AG266-CONTADORES!AG265))</f>
        <v>0</v>
      </c>
      <c r="AU258" s="1433">
        <f>CONTADORES!I266-CONTADORES!I265</f>
        <v>0</v>
      </c>
      <c r="AV258" s="1399">
        <f>CONTADORES!AV266-CONTADORES!AV265</f>
        <v>0</v>
      </c>
      <c r="AW258" s="1399">
        <f ca="1">IF(B258&gt;=$J$5,0,(CONTADORES!N266-CONTADORES!N265)+(CONTADORES!AN266-CONTADORES!AN265))</f>
        <v>0</v>
      </c>
      <c r="AX258" s="1399">
        <f ca="1">IF(B258&gt;=$J$5,0,(CONTADORES!P266-CONTADORES!P265)+(CONTADORES!AL266-CONTADORES!AL265))</f>
        <v>0</v>
      </c>
      <c r="AY258" s="1399">
        <f ca="1">IF(B258&gt;=$J$5,0,(CONTADORES!AJ266-CONTADORES!AJ265))</f>
        <v>0</v>
      </c>
      <c r="AZ258" s="1399">
        <f ca="1">IF(B258&gt;=$J$5,0,(CONTADORES!R266-CONTADORES!R265))</f>
        <v>0</v>
      </c>
      <c r="BA258" s="1409">
        <f t="shared" ca="1" si="112"/>
        <v>0</v>
      </c>
      <c r="BB258" s="1399">
        <f ca="1">IF(B258&gt;=$J$5,0,(((CONTADORES!G266-CONTADORES!G265)+(CONTADORES!AR266-CONTADORES!AR265)+AR258)-(AV258+BC258)))</f>
        <v>0</v>
      </c>
      <c r="BC258" s="1397">
        <f ca="1">IF(B258&gt;=$J$5,0,(CONTADORES!AY266-CONTADORES!AY265)+(CONTADORES!BA266-CONTADORES!BA265)+(CONTADORES!BF266-CONTADORES!BF265))</f>
        <v>0</v>
      </c>
      <c r="BD258" s="1397">
        <f t="shared" si="113"/>
        <v>0</v>
      </c>
      <c r="BE258" s="1398">
        <f ca="1">IF($B258&gt;=$J$5,0,CONTADORES!$BG266)</f>
        <v>0</v>
      </c>
      <c r="BF258" s="1397">
        <f ca="1">IF($B258&gt;=$J$5,0,CONTADORES!$BH266)</f>
        <v>0</v>
      </c>
      <c r="BG258" s="1397">
        <f ca="1">IF($B258&gt;=$J$5,0,CONTADORES!$BJ266)</f>
        <v>0</v>
      </c>
      <c r="BH258" s="1397">
        <f ca="1">IF(B258&gt;=$J$5,0,((CONTADORES!BK266-CONTADORES!BK265)/1000))</f>
        <v>0</v>
      </c>
      <c r="BI258" s="1397">
        <f ca="1">IF(C258&gt;=$J$5,0,((CONTADORES!BL266-CONTADORES!BL265)/1000))</f>
        <v>0</v>
      </c>
      <c r="BJ258" s="1397">
        <f ca="1">IF(C258&gt;=$J$5,0,((CONTADORES!BM266-CONTADORES!BM265)/1000))</f>
        <v>0</v>
      </c>
      <c r="BK258" s="1397">
        <f ca="1">IF(D258&gt;=$J$5,0,((CONTADORES!BN266-CONTADORES!BN265)/1000))</f>
        <v>0</v>
      </c>
      <c r="BL258" s="1399">
        <f t="shared" ca="1" si="114"/>
        <v>0</v>
      </c>
      <c r="BM258" s="1399">
        <f t="shared" ca="1" si="115"/>
        <v>0</v>
      </c>
      <c r="BN258" s="1398">
        <f ca="1">IF(W258&gt;=$J$5,0,CONTADORES!$BO266)</f>
        <v>0</v>
      </c>
      <c r="BO258" s="1397">
        <f ca="1">IF(W258&gt;=$J$5,0,CONTADORES!$BP266)</f>
        <v>0</v>
      </c>
      <c r="BP258" s="1397">
        <f ca="1">IF(W258&gt;=$J$5,0,CONTADORES!$BQ266)</f>
        <v>0</v>
      </c>
      <c r="BQ258" s="1397">
        <f ca="1">IF(B258&gt;=$J$5,0,(CONTADORES!AS266-CONTADORES!AS265))</f>
        <v>0</v>
      </c>
      <c r="BR258" s="1397">
        <f ca="1">IF(C258&gt;=$J$5,0,(CONTADORES!AT266-CONTADORES!AT265))</f>
        <v>0</v>
      </c>
      <c r="BS258" s="1397">
        <f ca="1">IF(B258&gt;=$J$5,0,CONTADORES!BR266-CONTADORES!BR265)/1000</f>
        <v>0</v>
      </c>
      <c r="BT258" s="1397">
        <f ca="1">IF(BF258&gt;=$J$5,0,CONTADORES!BS266-CONTADORES!BS265)</f>
        <v>0</v>
      </c>
      <c r="BU258" s="1397">
        <f ca="1">IF(BG258&gt;=$J$5,0,CONTADORES!BT266-CONTADORES!BT265)</f>
        <v>0</v>
      </c>
      <c r="BV258" s="1397">
        <f ca="1">IF(B258&gt;=$J$5,0,CONTADORES!BU266-CONTADORES!BU265)/1000</f>
        <v>0</v>
      </c>
      <c r="BW258" s="1397">
        <f ca="1">IF(B258&gt;=$J$5,0,CONTADORES!BV266-CONTADORES!BV265)/1000</f>
        <v>0</v>
      </c>
      <c r="BX258" s="1397">
        <f ca="1">IF(B258&gt;=$J$5,0,CONTADORES!BW266-CONTADORES!BW265)</f>
        <v>0</v>
      </c>
      <c r="BY258" s="1397">
        <f ca="1">IF(B258&gt;=$J$5,0,CONTADORES!BX266-CONTADORES!BX265)/1000</f>
        <v>0</v>
      </c>
      <c r="BZ258" s="1397">
        <f ca="1">IF(B258&gt;=$J$5,0,CONTADORES!BY266-CONTADORES!BY265)/1000</f>
        <v>0</v>
      </c>
      <c r="CA258" s="1397">
        <f ca="1">IF(B258&gt;=$J$5,0,CONTADORES!BZ266-CONTADORES!BZ265)</f>
        <v>0</v>
      </c>
      <c r="CB258" s="1398">
        <f ca="1">IF(B258&gt;=$J$5,0,(CONTADORES!CC266-CONTADORES!CC265)+(CONTADORES!CE266-CONTADORES!CE265))/1000</f>
        <v>0</v>
      </c>
      <c r="CC258" s="1398">
        <f ca="1">IF(B258&gt;=$J$5,0,(CONTADORES!CD266-CONTADORES!CD265)+(CONTADORES!CF266-CONTADORES!CF265))/1000</f>
        <v>0</v>
      </c>
      <c r="CD258" s="1398">
        <f ca="1">IF(B258&gt;=$J$5,0,CONTADORES!CA266-CONTADORES!CA265)</f>
        <v>0</v>
      </c>
      <c r="CE258" s="1398">
        <f ca="1">IF(B258&gt;=$J$5,0,CONTADORES!CB266-CONTADORES!CB265)</f>
        <v>0</v>
      </c>
      <c r="CF258" s="1409">
        <f t="shared" ca="1" si="116"/>
        <v>0</v>
      </c>
      <c r="CG258" s="1409">
        <f t="shared" ca="1" si="117"/>
        <v>0</v>
      </c>
      <c r="CH258" s="1409">
        <f t="shared" ca="1" si="118"/>
        <v>0</v>
      </c>
      <c r="CI258" s="1409">
        <f t="shared" ca="1" si="119"/>
        <v>0</v>
      </c>
      <c r="CJ258" s="1409">
        <f t="shared" ca="1" si="120"/>
        <v>0</v>
      </c>
      <c r="CK258" s="1409">
        <f t="shared" ca="1" si="121"/>
        <v>0</v>
      </c>
      <c r="CL258" s="1409">
        <f t="shared" ca="1" si="122"/>
        <v>0</v>
      </c>
      <c r="CM258" s="1409">
        <f t="shared" ca="1" si="123"/>
        <v>0</v>
      </c>
      <c r="CN258" s="1409">
        <f ca="1">IF(B258&gt;=$J$5,0,CONTADORES!CB266-CONTADORES!CB265)</f>
        <v>0</v>
      </c>
      <c r="CO258" s="1409">
        <f t="shared" ca="1" si="124"/>
        <v>0</v>
      </c>
      <c r="CP258" s="1409">
        <f t="shared" ca="1" si="125"/>
        <v>0</v>
      </c>
      <c r="CQ258" s="1409">
        <f t="shared" ca="1" si="126"/>
        <v>0</v>
      </c>
      <c r="CR258" s="1409">
        <f t="shared" ca="1" si="127"/>
        <v>0</v>
      </c>
      <c r="CS258" s="1409">
        <f ca="1">IF($B258&gt;=$J$5,0,CONTADORES!$BI266)</f>
        <v>0</v>
      </c>
      <c r="CT258" s="1334">
        <f>CONTADORES!E266</f>
        <v>0</v>
      </c>
      <c r="CU258" s="1334">
        <f>CONTADORES!CG266</f>
        <v>0</v>
      </c>
    </row>
    <row r="259" spans="2:99">
      <c r="B259" s="390">
        <v>45175</v>
      </c>
      <c r="C259" s="202">
        <f t="shared" ca="1" si="101"/>
        <v>0</v>
      </c>
      <c r="D259" s="196">
        <f ca="1">'CALCULO DE GAS'!P77</f>
        <v>0</v>
      </c>
      <c r="E259" s="196">
        <f ca="1">IF(B259&gt;=$J$5,0,(CONTADORES!$AD267-CONTADORES!$AD266)-$H259)</f>
        <v>0</v>
      </c>
      <c r="F259" s="198">
        <f t="shared" ca="1" si="129"/>
        <v>0</v>
      </c>
      <c r="G259" s="196">
        <f ca="1">IF(B259&gt;=$J$5,0,CONTADORES!$AF267-CONTADORES!$AF266)</f>
        <v>0</v>
      </c>
      <c r="H259" s="196">
        <f ca="1">IF(G259&gt;0,CONTADORES!$AE267-CONTADORES!$AE266,0)</f>
        <v>0</v>
      </c>
      <c r="I259" s="1396">
        <f ca="1">IF(B259&gt;=$J$5,0,CONTADORES!$AB267-CONTADORES!$AB266)</f>
        <v>0</v>
      </c>
      <c r="J259" s="202">
        <f t="shared" ca="1" si="102"/>
        <v>0</v>
      </c>
      <c r="K259" s="196">
        <f ca="1">'CALCULO DE GAS'!Q77</f>
        <v>0</v>
      </c>
      <c r="L259" s="1396">
        <f ca="1">IF(B259&gt;=$J$5,0,(CONTADORES!$Y267-CONTADORES!$Y266)-$O259)</f>
        <v>0</v>
      </c>
      <c r="M259" s="1396">
        <f t="shared" ca="1" si="132"/>
        <v>0</v>
      </c>
      <c r="N259" s="1396">
        <f ca="1">IF(B259&gt;=$J$5,0,CONTADORES!$AA267-CONTADORES!$AA266)</f>
        <v>0</v>
      </c>
      <c r="O259" s="199">
        <f ca="1">IF(N259&gt;0,CONTADORES!$Z267-CONTADORES!$Z266,0)</f>
        <v>0</v>
      </c>
      <c r="P259" s="1398">
        <f ca="1">IF(B259&gt;=$J$5,0,CONTADORES!$W267-CONTADORES!$W266)</f>
        <v>0</v>
      </c>
      <c r="Q259" s="202">
        <f ca="1">IF(B259&gt;=$J$5,0,CONTADORES!$B267-CONTADORES!$B266)</f>
        <v>0</v>
      </c>
      <c r="R259" s="196">
        <f t="shared" ca="1" si="103"/>
        <v>0</v>
      </c>
      <c r="S259" s="11">
        <f ca="1">IF(B259&gt;=$J$5,0,CONTADORES!$D267-CONTADORES!$D266)</f>
        <v>0</v>
      </c>
      <c r="T259" s="202">
        <f ca="1">IF(B259&gt;=$J$5,0,CONTADORES!$BB267-CONTADORES!$BB266)</f>
        <v>0</v>
      </c>
      <c r="U259" s="196">
        <f t="shared" ca="1" si="131"/>
        <v>0</v>
      </c>
      <c r="V259" s="199">
        <f ca="1">IF(B259&gt;=$J$5,0,CONTADORES!$BD267-CONTADORES!$BD266)</f>
        <v>0</v>
      </c>
      <c r="W259" s="1397">
        <f t="shared" ca="1" si="104"/>
        <v>0</v>
      </c>
      <c r="X259" s="1397">
        <f t="shared" ca="1" si="105"/>
        <v>0</v>
      </c>
      <c r="Y259" s="1398">
        <f t="shared" ca="1" si="106"/>
        <v>0</v>
      </c>
      <c r="Z259" s="1398">
        <f t="shared" ca="1" si="107"/>
        <v>0</v>
      </c>
      <c r="AA259" s="1398">
        <f t="shared" ca="1" si="108"/>
        <v>0</v>
      </c>
      <c r="AB259" s="1398">
        <f t="shared" ca="1" si="109"/>
        <v>0</v>
      </c>
      <c r="AC259" s="1397">
        <f t="shared" ca="1" si="110"/>
        <v>0</v>
      </c>
      <c r="AD259" s="1398">
        <f ca="1">IF(B259&gt;=$J$5,0,CONTADORES!H267-CONTADORES!H266)</f>
        <v>0</v>
      </c>
      <c r="AE259" s="1397">
        <f ca="1">IF(B259&gt;=$J$5,0,CONTADORES!J267-CONTADORES!J266)</f>
        <v>0</v>
      </c>
      <c r="AF259" s="1398">
        <f ca="1">IF(B259&gt;=$J$5,0,CONTADORES!AU267-CONTADORES!AU266)</f>
        <v>0</v>
      </c>
      <c r="AG259" s="1397">
        <f ca="1">IF(B259&gt;=$J$5,0,CONTADORES!AW267-CONTADORES!AW266)</f>
        <v>0</v>
      </c>
      <c r="AH259" s="1398">
        <f ca="1">IF(B259&gt;=$J$5,0,(CONTADORES!AM267-CONTADORES!AM266)+(CONTADORES!M267-CONTADORES!M266))</f>
        <v>0</v>
      </c>
      <c r="AI259" s="1398">
        <f ca="1">IF(B259&gt;=$J$5,0,(CONTADORES!AK267-CONTADORES!AK266)+(CONTADORES!O267-CONTADORES!O266))</f>
        <v>0</v>
      </c>
      <c r="AJ259" s="1398">
        <f ca="1">IF(B259&gt;=$J$5,0,(CONTADORES!AI267-CONTADORES!AI266))</f>
        <v>0</v>
      </c>
      <c r="AK259" s="1398">
        <f ca="1">IF(B259&gt;=$J$5,0,(CONTADORES!Q267-CONTADORES!Q266))</f>
        <v>0</v>
      </c>
      <c r="AL259" s="1461">
        <f t="shared" ca="1" si="111"/>
        <v>0</v>
      </c>
      <c r="AM259" s="1409">
        <f ca="1">IF(B259&gt;=$J$5,0,(((CONTADORES!F267-CONTADORES!F266)+(CONTADORES!AQ267-CONTADORES!AQ266))))-BS259-AF259-AN259-BV259-BY259-CD259-CB259</f>
        <v>0</v>
      </c>
      <c r="AN259" s="1398">
        <f ca="1">IF(B259&gt;=$J$5,0,(CONTADORES!AX267-CONTADORES!AX266)+(CONTADORES!AZ267-CONTADORES!AZ266)+(CONTADORES!BE267-CONTADORES!BE266))</f>
        <v>0</v>
      </c>
      <c r="AO259" s="1433">
        <f>(CONTADORES!AC267-CONTADORES!AC266)</f>
        <v>0</v>
      </c>
      <c r="AP259" s="1433">
        <f>(CONTADORES!X267-CONTADORES!X266)</f>
        <v>0</v>
      </c>
      <c r="AQ259" s="1399">
        <f>(CONTADORES!C267-CONTADORES!C266)</f>
        <v>0</v>
      </c>
      <c r="AR259" s="1399">
        <f>(CONTADORES!BC267-CONTADORES!BC266)</f>
        <v>0</v>
      </c>
      <c r="AS259" s="1397">
        <f ca="1">IF(B259&gt;=$J$5,0,CONTADORES!S267-CONTADORES!S266)</f>
        <v>0</v>
      </c>
      <c r="AT259" s="1397">
        <f ca="1">IF(B259&gt;=$J$5,0,(CONTADORES!U267-CONTADORES!U266)+(CONTADORES!AG267-CONTADORES!AG266))</f>
        <v>0</v>
      </c>
      <c r="AU259" s="1433">
        <f>CONTADORES!I267-CONTADORES!I266</f>
        <v>0</v>
      </c>
      <c r="AV259" s="1399">
        <f>CONTADORES!AV267-CONTADORES!AV266</f>
        <v>0</v>
      </c>
      <c r="AW259" s="1399">
        <f ca="1">IF(B259&gt;=$J$5,0,(CONTADORES!N267-CONTADORES!N266)+(CONTADORES!AN267-CONTADORES!AN266))</f>
        <v>0</v>
      </c>
      <c r="AX259" s="1399">
        <f ca="1">IF(B259&gt;=$J$5,0,(CONTADORES!P267-CONTADORES!P266)+(CONTADORES!AL267-CONTADORES!AL266))</f>
        <v>0</v>
      </c>
      <c r="AY259" s="1399">
        <f ca="1">IF(B259&gt;=$J$5,0,(CONTADORES!AJ267-CONTADORES!AJ266))</f>
        <v>0</v>
      </c>
      <c r="AZ259" s="1399">
        <f ca="1">IF(B259&gt;=$J$5,0,(CONTADORES!R267-CONTADORES!R266))</f>
        <v>0</v>
      </c>
      <c r="BA259" s="1409">
        <f t="shared" ca="1" si="112"/>
        <v>0</v>
      </c>
      <c r="BB259" s="1399">
        <f ca="1">IF(B259&gt;=$J$5,0,(((CONTADORES!G267-CONTADORES!G266)+(CONTADORES!AR267-CONTADORES!AR266)+AR259)-(AV259+BC259)))</f>
        <v>0</v>
      </c>
      <c r="BC259" s="1397">
        <f ca="1">IF(B259&gt;=$J$5,0,(CONTADORES!AY267-CONTADORES!AY266)+(CONTADORES!BA267-CONTADORES!BA266)+(CONTADORES!BF267-CONTADORES!BF266))</f>
        <v>0</v>
      </c>
      <c r="BD259" s="1397">
        <f t="shared" si="113"/>
        <v>0</v>
      </c>
      <c r="BE259" s="1398">
        <f ca="1">IF($B259&gt;=$J$5,0,CONTADORES!$BG267)</f>
        <v>0</v>
      </c>
      <c r="BF259" s="1397">
        <f ca="1">IF($B259&gt;=$J$5,0,CONTADORES!$BH267)</f>
        <v>0</v>
      </c>
      <c r="BG259" s="1397">
        <f ca="1">IF($B259&gt;=$J$5,0,CONTADORES!$BJ267)</f>
        <v>0</v>
      </c>
      <c r="BH259" s="1397">
        <f ca="1">IF(B259&gt;=$J$5,0,((CONTADORES!BK267-CONTADORES!BK266)/1000))</f>
        <v>0</v>
      </c>
      <c r="BI259" s="1397">
        <f ca="1">IF(C259&gt;=$J$5,0,((CONTADORES!BL267-CONTADORES!BL266)/1000))</f>
        <v>0</v>
      </c>
      <c r="BJ259" s="1397">
        <f ca="1">IF(C259&gt;=$J$5,0,((CONTADORES!BM267-CONTADORES!BM266)/1000))</f>
        <v>0</v>
      </c>
      <c r="BK259" s="1397">
        <f ca="1">IF(D259&gt;=$J$5,0,((CONTADORES!BN267-CONTADORES!BN266)/1000))</f>
        <v>0</v>
      </c>
      <c r="BL259" s="1399">
        <f t="shared" ca="1" si="114"/>
        <v>0</v>
      </c>
      <c r="BM259" s="1399">
        <f t="shared" ca="1" si="115"/>
        <v>0</v>
      </c>
      <c r="BN259" s="1398">
        <f ca="1">IF(W259&gt;=$J$5,0,CONTADORES!$BO267)</f>
        <v>0</v>
      </c>
      <c r="BO259" s="1397">
        <f ca="1">IF(W259&gt;=$J$5,0,CONTADORES!$BP267)</f>
        <v>0</v>
      </c>
      <c r="BP259" s="1397">
        <f ca="1">IF(W259&gt;=$J$5,0,CONTADORES!$BQ267)</f>
        <v>0</v>
      </c>
      <c r="BQ259" s="1397">
        <f ca="1">IF(B259&gt;=$J$5,0,(CONTADORES!AS267-CONTADORES!AS266))</f>
        <v>0</v>
      </c>
      <c r="BR259" s="1397">
        <f ca="1">IF(C259&gt;=$J$5,0,(CONTADORES!AT267-CONTADORES!AT266))</f>
        <v>0</v>
      </c>
      <c r="BS259" s="1397">
        <f ca="1">IF(B259&gt;=$J$5,0,CONTADORES!BR267-CONTADORES!BR266)/1000</f>
        <v>0</v>
      </c>
      <c r="BT259" s="1397">
        <f ca="1">IF(BF259&gt;=$J$5,0,CONTADORES!BS267-CONTADORES!BS266)</f>
        <v>0</v>
      </c>
      <c r="BU259" s="1397">
        <f ca="1">IF(BG259&gt;=$J$5,0,CONTADORES!BT267-CONTADORES!BT266)</f>
        <v>0</v>
      </c>
      <c r="BV259" s="1397">
        <f ca="1">IF(B259&gt;=$J$5,0,CONTADORES!BU267-CONTADORES!BU266)/1000</f>
        <v>0</v>
      </c>
      <c r="BW259" s="1397">
        <f ca="1">IF(B259&gt;=$J$5,0,CONTADORES!BV267-CONTADORES!BV266)/1000</f>
        <v>0</v>
      </c>
      <c r="BX259" s="1397">
        <f ca="1">IF(B259&gt;=$J$5,0,CONTADORES!BW267-CONTADORES!BW266)</f>
        <v>0</v>
      </c>
      <c r="BY259" s="1397">
        <f ca="1">IF(B259&gt;=$J$5,0,CONTADORES!BX267-CONTADORES!BX266)/1000</f>
        <v>0</v>
      </c>
      <c r="BZ259" s="1397">
        <f ca="1">IF(B259&gt;=$J$5,0,CONTADORES!BY267-CONTADORES!BY266)/1000</f>
        <v>0</v>
      </c>
      <c r="CA259" s="1397">
        <f ca="1">IF(B259&gt;=$J$5,0,CONTADORES!BZ267-CONTADORES!BZ266)</f>
        <v>0</v>
      </c>
      <c r="CB259" s="1398">
        <f ca="1">IF(B259&gt;=$J$5,0,(CONTADORES!CC267-CONTADORES!CC266)+(CONTADORES!CE267-CONTADORES!CE266))/1000</f>
        <v>0</v>
      </c>
      <c r="CC259" s="1398">
        <f ca="1">IF(B259&gt;=$J$5,0,(CONTADORES!CD267-CONTADORES!CD266)+(CONTADORES!CF267-CONTADORES!CF266))/1000</f>
        <v>0</v>
      </c>
      <c r="CD259" s="1398">
        <f ca="1">IF(B259&gt;=$J$5,0,CONTADORES!CA267-CONTADORES!CA266)</f>
        <v>0</v>
      </c>
      <c r="CE259" s="1398">
        <f ca="1">IF(B259&gt;=$J$5,0,CONTADORES!CB267-CONTADORES!CB266)</f>
        <v>0</v>
      </c>
      <c r="CF259" s="1409">
        <f t="shared" ca="1" si="116"/>
        <v>0</v>
      </c>
      <c r="CG259" s="1409">
        <f t="shared" ca="1" si="117"/>
        <v>0</v>
      </c>
      <c r="CH259" s="1409">
        <f t="shared" ca="1" si="118"/>
        <v>0</v>
      </c>
      <c r="CI259" s="1409">
        <f t="shared" ca="1" si="119"/>
        <v>0</v>
      </c>
      <c r="CJ259" s="1409">
        <f t="shared" ca="1" si="120"/>
        <v>0</v>
      </c>
      <c r="CK259" s="1409">
        <f t="shared" ca="1" si="121"/>
        <v>0</v>
      </c>
      <c r="CL259" s="1409">
        <f t="shared" ca="1" si="122"/>
        <v>0</v>
      </c>
      <c r="CM259" s="1409">
        <f t="shared" ca="1" si="123"/>
        <v>0</v>
      </c>
      <c r="CN259" s="1409">
        <f ca="1">IF(B259&gt;=$J$5,0,CONTADORES!CB267-CONTADORES!CB266)</f>
        <v>0</v>
      </c>
      <c r="CO259" s="1409">
        <f t="shared" ca="1" si="124"/>
        <v>0</v>
      </c>
      <c r="CP259" s="1409">
        <f t="shared" ca="1" si="125"/>
        <v>0</v>
      </c>
      <c r="CQ259" s="1409">
        <f t="shared" ca="1" si="126"/>
        <v>0</v>
      </c>
      <c r="CR259" s="1409">
        <f t="shared" ca="1" si="127"/>
        <v>0</v>
      </c>
      <c r="CS259" s="1409">
        <f ca="1">IF($B259&gt;=$J$5,0,CONTADORES!$BI267)</f>
        <v>0</v>
      </c>
      <c r="CT259" s="1334">
        <f>CONTADORES!E267</f>
        <v>0</v>
      </c>
      <c r="CU259" s="1334">
        <f>CONTADORES!CG267</f>
        <v>0</v>
      </c>
    </row>
    <row r="260" spans="2:99">
      <c r="B260" s="390">
        <v>45176</v>
      </c>
      <c r="C260" s="202">
        <f t="shared" ca="1" si="101"/>
        <v>0</v>
      </c>
      <c r="D260" s="196">
        <f ca="1">'CALCULO DE GAS'!P78</f>
        <v>0</v>
      </c>
      <c r="E260" s="196">
        <f ca="1">IF(B260&gt;=$J$5,0,(CONTADORES!$AD268-CONTADORES!$AD267)-$H260)</f>
        <v>0</v>
      </c>
      <c r="F260" s="198">
        <f t="shared" ca="1" si="129"/>
        <v>0</v>
      </c>
      <c r="G260" s="196">
        <f ca="1">IF(B260&gt;=$J$5,0,CONTADORES!$AF268-CONTADORES!$AF267)</f>
        <v>0</v>
      </c>
      <c r="H260" s="196">
        <f ca="1">IF(G260&gt;0,CONTADORES!$AE268-CONTADORES!$AE267,0)</f>
        <v>0</v>
      </c>
      <c r="I260" s="1396">
        <f ca="1">IF(B260&gt;=$J$5,0,CONTADORES!$AB268-CONTADORES!$AB267)</f>
        <v>0</v>
      </c>
      <c r="J260" s="202">
        <f t="shared" ca="1" si="102"/>
        <v>0</v>
      </c>
      <c r="K260" s="196">
        <f ca="1">'CALCULO DE GAS'!Q78</f>
        <v>0</v>
      </c>
      <c r="L260" s="1396">
        <f ca="1">IF(B260&gt;=$J$5,0,(CONTADORES!$Y268-CONTADORES!$Y267)-$O260)</f>
        <v>0</v>
      </c>
      <c r="M260" s="1396">
        <f t="shared" ca="1" si="132"/>
        <v>0</v>
      </c>
      <c r="N260" s="1396">
        <f ca="1">IF(B260&gt;=$J$5,0,CONTADORES!$AA268-CONTADORES!$AA267)</f>
        <v>0</v>
      </c>
      <c r="O260" s="199">
        <f ca="1">IF(N260&gt;0,CONTADORES!$Z268-CONTADORES!$Z267,0)</f>
        <v>0</v>
      </c>
      <c r="P260" s="1398">
        <f ca="1">IF(B260&gt;=$J$5,0,CONTADORES!$W268-CONTADORES!$W267)</f>
        <v>0</v>
      </c>
      <c r="Q260" s="202">
        <f ca="1">IF(B260&gt;=$J$5,0,CONTADORES!$B268-CONTADORES!$B267)</f>
        <v>0</v>
      </c>
      <c r="R260" s="196">
        <f t="shared" ca="1" si="103"/>
        <v>0</v>
      </c>
      <c r="S260" s="11">
        <f ca="1">IF(B260&gt;=$J$5,0,CONTADORES!$D268-CONTADORES!$D267)</f>
        <v>0</v>
      </c>
      <c r="T260" s="202">
        <f ca="1">IF(B260&gt;=$J$5,0,CONTADORES!$BB268-CONTADORES!$BB267)</f>
        <v>0</v>
      </c>
      <c r="U260" s="196">
        <f t="shared" ca="1" si="131"/>
        <v>0</v>
      </c>
      <c r="V260" s="199">
        <f ca="1">IF(B260&gt;=$J$5,0,CONTADORES!$BD268-CONTADORES!$BD267)</f>
        <v>0</v>
      </c>
      <c r="W260" s="1397">
        <f t="shared" ca="1" si="104"/>
        <v>0</v>
      </c>
      <c r="X260" s="1397">
        <f t="shared" ca="1" si="105"/>
        <v>0</v>
      </c>
      <c r="Y260" s="1398">
        <f t="shared" ca="1" si="106"/>
        <v>0</v>
      </c>
      <c r="Z260" s="1398">
        <f t="shared" ca="1" si="107"/>
        <v>0</v>
      </c>
      <c r="AA260" s="1398">
        <f t="shared" ca="1" si="108"/>
        <v>0</v>
      </c>
      <c r="AB260" s="1398">
        <f t="shared" ca="1" si="109"/>
        <v>0</v>
      </c>
      <c r="AC260" s="1397">
        <f t="shared" ca="1" si="110"/>
        <v>0</v>
      </c>
      <c r="AD260" s="1398">
        <f ca="1">IF(B260&gt;=$J$5,0,CONTADORES!H268-CONTADORES!H267)</f>
        <v>0</v>
      </c>
      <c r="AE260" s="1397">
        <f ca="1">IF(B260&gt;=$J$5,0,CONTADORES!J268-CONTADORES!J267)</f>
        <v>0</v>
      </c>
      <c r="AF260" s="1398">
        <f ca="1">IF(B260&gt;=$J$5,0,CONTADORES!AU268-CONTADORES!AU267)</f>
        <v>0</v>
      </c>
      <c r="AG260" s="1397">
        <f ca="1">IF(B260&gt;=$J$5,0,CONTADORES!AW268-CONTADORES!AW267)</f>
        <v>0</v>
      </c>
      <c r="AH260" s="1398">
        <f ca="1">IF(B260&gt;=$J$5,0,(CONTADORES!AM268-CONTADORES!AM267)+(CONTADORES!M268-CONTADORES!M267))</f>
        <v>0</v>
      </c>
      <c r="AI260" s="1398">
        <f ca="1">IF(B260&gt;=$J$5,0,(CONTADORES!AK268-CONTADORES!AK267)+(CONTADORES!O268-CONTADORES!O267))</f>
        <v>0</v>
      </c>
      <c r="AJ260" s="1398">
        <f ca="1">IF(B260&gt;=$J$5,0,(CONTADORES!AI268-CONTADORES!AI267))</f>
        <v>0</v>
      </c>
      <c r="AK260" s="1398">
        <f ca="1">IF(B260&gt;=$J$5,0,(CONTADORES!Q268-CONTADORES!Q267))</f>
        <v>0</v>
      </c>
      <c r="AL260" s="1461">
        <f t="shared" ca="1" si="111"/>
        <v>0</v>
      </c>
      <c r="AM260" s="1409">
        <f ca="1">IF(B260&gt;=$J$5,0,(((CONTADORES!F268-CONTADORES!F267)+(CONTADORES!AQ268-CONTADORES!AQ267))))-BS260-AF260-AN260-BV260-BY260-CD260-CB260</f>
        <v>0</v>
      </c>
      <c r="AN260" s="1398">
        <f ca="1">IF(B260&gt;=$J$5,0,(CONTADORES!AX268-CONTADORES!AX267)+(CONTADORES!AZ268-CONTADORES!AZ267)+(CONTADORES!BE268-CONTADORES!BE267))</f>
        <v>0</v>
      </c>
      <c r="AO260" s="1433">
        <f>(CONTADORES!AC268-CONTADORES!AC267)</f>
        <v>0</v>
      </c>
      <c r="AP260" s="1433">
        <f>(CONTADORES!X268-CONTADORES!X267)</f>
        <v>0</v>
      </c>
      <c r="AQ260" s="1399">
        <f>(CONTADORES!C268-CONTADORES!C267)</f>
        <v>0</v>
      </c>
      <c r="AR260" s="1399">
        <f>(CONTADORES!BC268-CONTADORES!BC267)</f>
        <v>0</v>
      </c>
      <c r="AS260" s="1397">
        <f ca="1">IF(B260&gt;=$J$5,0,CONTADORES!S268-CONTADORES!S267)</f>
        <v>0</v>
      </c>
      <c r="AT260" s="1397">
        <f ca="1">IF(B260&gt;=$J$5,0,(CONTADORES!U268-CONTADORES!U267)+(CONTADORES!AG268-CONTADORES!AG267))</f>
        <v>0</v>
      </c>
      <c r="AU260" s="1433">
        <f>CONTADORES!I268-CONTADORES!I267</f>
        <v>0</v>
      </c>
      <c r="AV260" s="1399">
        <f>CONTADORES!AV268-CONTADORES!AV267</f>
        <v>0</v>
      </c>
      <c r="AW260" s="1399">
        <f ca="1">IF(B260&gt;=$J$5,0,(CONTADORES!N268-CONTADORES!N267)+(CONTADORES!AN268-CONTADORES!AN267))</f>
        <v>0</v>
      </c>
      <c r="AX260" s="1399">
        <f ca="1">IF(B260&gt;=$J$5,0,(CONTADORES!P268-CONTADORES!P267)+(CONTADORES!AL268-CONTADORES!AL267))</f>
        <v>0</v>
      </c>
      <c r="AY260" s="1399">
        <f ca="1">IF(B260&gt;=$J$5,0,(CONTADORES!AJ268-CONTADORES!AJ267))</f>
        <v>0</v>
      </c>
      <c r="AZ260" s="1399">
        <f ca="1">IF(B260&gt;=$J$5,0,(CONTADORES!R268-CONTADORES!R267))</f>
        <v>0</v>
      </c>
      <c r="BA260" s="1409">
        <f t="shared" ca="1" si="112"/>
        <v>0</v>
      </c>
      <c r="BB260" s="1399">
        <f ca="1">IF(B260&gt;=$J$5,0,(((CONTADORES!G268-CONTADORES!G267)+(CONTADORES!AR268-CONTADORES!AR267)+AR260)-(AV260+BC260)))</f>
        <v>0</v>
      </c>
      <c r="BC260" s="1397">
        <f ca="1">IF(B260&gt;=$J$5,0,(CONTADORES!AY268-CONTADORES!AY267)+(CONTADORES!BA268-CONTADORES!BA267)+(CONTADORES!BF268-CONTADORES!BF267))</f>
        <v>0</v>
      </c>
      <c r="BD260" s="1397">
        <f t="shared" si="113"/>
        <v>0</v>
      </c>
      <c r="BE260" s="1398">
        <f ca="1">IF($B260&gt;=$J$5,0,CONTADORES!$BG268)</f>
        <v>0</v>
      </c>
      <c r="BF260" s="1397">
        <f ca="1">IF($B260&gt;=$J$5,0,CONTADORES!$BH268)</f>
        <v>0</v>
      </c>
      <c r="BG260" s="1397">
        <f ca="1">IF($B260&gt;=$J$5,0,CONTADORES!$BJ268)</f>
        <v>0</v>
      </c>
      <c r="BH260" s="1397">
        <f ca="1">IF(B260&gt;=$J$5,0,((CONTADORES!BK268-CONTADORES!BK267)/1000))</f>
        <v>0</v>
      </c>
      <c r="BI260" s="1397">
        <f ca="1">IF(C260&gt;=$J$5,0,((CONTADORES!BL268-CONTADORES!BL267)/1000))</f>
        <v>0</v>
      </c>
      <c r="BJ260" s="1397">
        <f ca="1">IF(C260&gt;=$J$5,0,((CONTADORES!BM268-CONTADORES!BM267)/1000))</f>
        <v>0</v>
      </c>
      <c r="BK260" s="1397">
        <f ca="1">IF(D260&gt;=$J$5,0,((CONTADORES!BN268-CONTADORES!BN267)/1000))</f>
        <v>0</v>
      </c>
      <c r="BL260" s="1399">
        <f t="shared" ca="1" si="114"/>
        <v>0</v>
      </c>
      <c r="BM260" s="1399">
        <f t="shared" ca="1" si="115"/>
        <v>0</v>
      </c>
      <c r="BN260" s="1398">
        <f ca="1">IF(W260&gt;=$J$5,0,CONTADORES!$BO268)</f>
        <v>0</v>
      </c>
      <c r="BO260" s="1397">
        <f ca="1">IF(W260&gt;=$J$5,0,CONTADORES!$BP268)</f>
        <v>0</v>
      </c>
      <c r="BP260" s="1397">
        <f ca="1">IF(W260&gt;=$J$5,0,CONTADORES!$BQ268)</f>
        <v>0</v>
      </c>
      <c r="BQ260" s="1397">
        <f ca="1">IF(B260&gt;=$J$5,0,(CONTADORES!AS268-CONTADORES!AS267))</f>
        <v>0</v>
      </c>
      <c r="BR260" s="1397">
        <f ca="1">IF(C260&gt;=$J$5,0,(CONTADORES!AT268-CONTADORES!AT267))</f>
        <v>0</v>
      </c>
      <c r="BS260" s="1397">
        <f ca="1">IF(B260&gt;=$J$5,0,CONTADORES!BR268-CONTADORES!BR267)/1000</f>
        <v>0</v>
      </c>
      <c r="BT260" s="1397">
        <f ca="1">IF(BF260&gt;=$J$5,0,CONTADORES!BS268-CONTADORES!BS267)</f>
        <v>0</v>
      </c>
      <c r="BU260" s="1397">
        <f ca="1">IF(BG260&gt;=$J$5,0,CONTADORES!BT268-CONTADORES!BT267)</f>
        <v>0</v>
      </c>
      <c r="BV260" s="1397">
        <f ca="1">IF(B260&gt;=$J$5,0,CONTADORES!BU268-CONTADORES!BU267)/1000</f>
        <v>0</v>
      </c>
      <c r="BW260" s="1397">
        <f ca="1">IF(B260&gt;=$J$5,0,CONTADORES!BV268-CONTADORES!BV267)/1000</f>
        <v>0</v>
      </c>
      <c r="BX260" s="1397">
        <f ca="1">IF(B260&gt;=$J$5,0,CONTADORES!BW268-CONTADORES!BW267)</f>
        <v>0</v>
      </c>
      <c r="BY260" s="1397">
        <f ca="1">IF(B260&gt;=$J$5,0,CONTADORES!BX268-CONTADORES!BX267)/1000</f>
        <v>0</v>
      </c>
      <c r="BZ260" s="1397">
        <f ca="1">IF(B260&gt;=$J$5,0,CONTADORES!BY268-CONTADORES!BY267)/1000</f>
        <v>0</v>
      </c>
      <c r="CA260" s="1397">
        <f ca="1">IF(B260&gt;=$J$5,0,CONTADORES!BZ268-CONTADORES!BZ267)</f>
        <v>0</v>
      </c>
      <c r="CB260" s="1398">
        <f ca="1">IF(B260&gt;=$J$5,0,(CONTADORES!CC268-CONTADORES!CC267)+(CONTADORES!CE268-CONTADORES!CE267))/1000</f>
        <v>0</v>
      </c>
      <c r="CC260" s="1398">
        <f ca="1">IF(B260&gt;=$J$5,0,(CONTADORES!CD268-CONTADORES!CD267)+(CONTADORES!CF268-CONTADORES!CF267))/1000</f>
        <v>0</v>
      </c>
      <c r="CD260" s="1398">
        <f ca="1">IF(B260&gt;=$J$5,0,CONTADORES!CA268-CONTADORES!CA267)</f>
        <v>0</v>
      </c>
      <c r="CE260" s="1398">
        <f ca="1">IF(B260&gt;=$J$5,0,CONTADORES!CB268-CONTADORES!CB267)</f>
        <v>0</v>
      </c>
      <c r="CF260" s="1409">
        <f t="shared" ca="1" si="116"/>
        <v>0</v>
      </c>
      <c r="CG260" s="1409">
        <f t="shared" ca="1" si="117"/>
        <v>0</v>
      </c>
      <c r="CH260" s="1409">
        <f t="shared" ca="1" si="118"/>
        <v>0</v>
      </c>
      <c r="CI260" s="1409">
        <f t="shared" ca="1" si="119"/>
        <v>0</v>
      </c>
      <c r="CJ260" s="1409">
        <f t="shared" ca="1" si="120"/>
        <v>0</v>
      </c>
      <c r="CK260" s="1409">
        <f t="shared" ca="1" si="121"/>
        <v>0</v>
      </c>
      <c r="CL260" s="1409">
        <f t="shared" ca="1" si="122"/>
        <v>0</v>
      </c>
      <c r="CM260" s="1409">
        <f t="shared" ca="1" si="123"/>
        <v>0</v>
      </c>
      <c r="CN260" s="1409">
        <f ca="1">IF(B260&gt;=$J$5,0,CONTADORES!CB268-CONTADORES!CB267)</f>
        <v>0</v>
      </c>
      <c r="CO260" s="1409">
        <f t="shared" ca="1" si="124"/>
        <v>0</v>
      </c>
      <c r="CP260" s="1409">
        <f t="shared" ca="1" si="125"/>
        <v>0</v>
      </c>
      <c r="CQ260" s="1409">
        <f t="shared" ca="1" si="126"/>
        <v>0</v>
      </c>
      <c r="CR260" s="1409">
        <f t="shared" ca="1" si="127"/>
        <v>0</v>
      </c>
      <c r="CS260" s="1409">
        <f ca="1">IF($B260&gt;=$J$5,0,CONTADORES!$BI268)</f>
        <v>0</v>
      </c>
      <c r="CT260" s="1334">
        <f>CONTADORES!E268</f>
        <v>0</v>
      </c>
      <c r="CU260" s="1334">
        <f>CONTADORES!CG268</f>
        <v>0</v>
      </c>
    </row>
    <row r="261" spans="2:99">
      <c r="B261" s="390">
        <v>45177</v>
      </c>
      <c r="C261" s="202">
        <f t="shared" ca="1" si="101"/>
        <v>0</v>
      </c>
      <c r="D261" s="196">
        <f ca="1">'CALCULO DE GAS'!P79</f>
        <v>0</v>
      </c>
      <c r="E261" s="196">
        <f ca="1">IF(B261&gt;=$J$5,0,(CONTADORES!$AD269-CONTADORES!$AD268)-$H261)</f>
        <v>0</v>
      </c>
      <c r="F261" s="198">
        <v>0</v>
      </c>
      <c r="G261" s="196">
        <f ca="1">IF(B261&gt;=$J$5,0,CONTADORES!$AF269-CONTADORES!$AF268)</f>
        <v>0</v>
      </c>
      <c r="H261" s="196">
        <f ca="1">IF(G261&gt;0,CONTADORES!$AE269-CONTADORES!$AE268,0)</f>
        <v>0</v>
      </c>
      <c r="I261" s="1396">
        <f ca="1">IF(B261&gt;=$J$5,0,CONTADORES!$AB269-CONTADORES!$AB268)</f>
        <v>0</v>
      </c>
      <c r="J261" s="202">
        <f t="shared" ca="1" si="102"/>
        <v>0</v>
      </c>
      <c r="K261" s="196">
        <f ca="1">'CALCULO DE GAS'!Q79</f>
        <v>0</v>
      </c>
      <c r="L261" s="1396">
        <f ca="1">IF(B261&gt;=$J$5,0,(CONTADORES!$Y269-CONTADORES!$Y268)-$O261)</f>
        <v>0</v>
      </c>
      <c r="M261" s="1396">
        <f t="shared" ca="1" si="132"/>
        <v>0</v>
      </c>
      <c r="N261" s="1396">
        <f ca="1">IF(B261&gt;=$J$5,0,CONTADORES!$AA269-CONTADORES!$AA268)</f>
        <v>0</v>
      </c>
      <c r="O261" s="199">
        <f ca="1">IF(N261&gt;0,CONTADORES!$Z269-CONTADORES!$Z268,0)</f>
        <v>0</v>
      </c>
      <c r="P261" s="1398">
        <f ca="1">IF(B261&gt;=$J$5,0,CONTADORES!$W269-CONTADORES!$W268)</f>
        <v>0</v>
      </c>
      <c r="Q261" s="202">
        <f ca="1">IF(B261&gt;=$J$5,0,CONTADORES!$B269-CONTADORES!$B268)</f>
        <v>0</v>
      </c>
      <c r="R261" s="196">
        <f t="shared" ca="1" si="103"/>
        <v>0</v>
      </c>
      <c r="S261" s="11">
        <f ca="1">IF(B261&gt;=$J$5,0,CONTADORES!$D269-CONTADORES!$D268)</f>
        <v>0</v>
      </c>
      <c r="T261" s="202">
        <f ca="1">IF(B261&gt;=$J$5,0,CONTADORES!$BB269-CONTADORES!$BB268)</f>
        <v>0</v>
      </c>
      <c r="U261" s="196">
        <f t="shared" ca="1" si="131"/>
        <v>0</v>
      </c>
      <c r="V261" s="199">
        <f ca="1">IF(B261&gt;=$J$5,0,CONTADORES!$BD269-CONTADORES!$BD268)</f>
        <v>0</v>
      </c>
      <c r="W261" s="1397">
        <f t="shared" ca="1" si="104"/>
        <v>0</v>
      </c>
      <c r="X261" s="1397">
        <f t="shared" ca="1" si="105"/>
        <v>0</v>
      </c>
      <c r="Y261" s="1398">
        <f t="shared" ca="1" si="106"/>
        <v>0</v>
      </c>
      <c r="Z261" s="1398">
        <f t="shared" ca="1" si="107"/>
        <v>0</v>
      </c>
      <c r="AA261" s="1398">
        <f t="shared" ca="1" si="108"/>
        <v>0</v>
      </c>
      <c r="AB261" s="1398">
        <f t="shared" ca="1" si="109"/>
        <v>0</v>
      </c>
      <c r="AC261" s="1397">
        <f t="shared" ca="1" si="110"/>
        <v>0</v>
      </c>
      <c r="AD261" s="1398">
        <f ca="1">IF(B261&gt;=$J$5,0,CONTADORES!H269-CONTADORES!H268)</f>
        <v>0</v>
      </c>
      <c r="AE261" s="1397">
        <f ca="1">IF(B261&gt;=$J$5,0,CONTADORES!J269-CONTADORES!J268)</f>
        <v>0</v>
      </c>
      <c r="AF261" s="1398">
        <f ca="1">IF(B261&gt;=$J$5,0,CONTADORES!AU269-CONTADORES!AU268)</f>
        <v>0</v>
      </c>
      <c r="AG261" s="1397">
        <f ca="1">IF(B261&gt;=$J$5,0,CONTADORES!AW269-CONTADORES!AW268)</f>
        <v>0</v>
      </c>
      <c r="AH261" s="1398">
        <f ca="1">IF(B261&gt;=$J$5,0,(CONTADORES!AM269-CONTADORES!AM268)+(CONTADORES!M269-CONTADORES!M268))</f>
        <v>0</v>
      </c>
      <c r="AI261" s="1398">
        <f ca="1">IF(B261&gt;=$J$5,0,(CONTADORES!AK269-CONTADORES!AK268)+(CONTADORES!O269-CONTADORES!O268))</f>
        <v>0</v>
      </c>
      <c r="AJ261" s="1398">
        <f ca="1">IF(B261&gt;=$J$5,0,(CONTADORES!AI269-CONTADORES!AI268))</f>
        <v>0</v>
      </c>
      <c r="AK261" s="1398">
        <f ca="1">IF(B261&gt;=$J$5,0,(CONTADORES!Q269-CONTADORES!Q268))</f>
        <v>0</v>
      </c>
      <c r="AL261" s="1461">
        <f t="shared" ca="1" si="111"/>
        <v>0</v>
      </c>
      <c r="AM261" s="1409">
        <f ca="1">IF(B261&gt;=$J$5,0,(((CONTADORES!F269-CONTADORES!F268)+(CONTADORES!AQ269-CONTADORES!AQ268))))-BS261-AF261-AN261-BV261-BY261-CD261-CB261</f>
        <v>0</v>
      </c>
      <c r="AN261" s="1398">
        <f ca="1">IF(B261&gt;=$J$5,0,(CONTADORES!AX269-CONTADORES!AX268)+(CONTADORES!AZ269-CONTADORES!AZ268)+(CONTADORES!BE269-CONTADORES!BE268))</f>
        <v>0</v>
      </c>
      <c r="AO261" s="1433">
        <f>(CONTADORES!AC269-CONTADORES!AC268)</f>
        <v>0</v>
      </c>
      <c r="AP261" s="1433">
        <f>(CONTADORES!X269-CONTADORES!X268)</f>
        <v>0</v>
      </c>
      <c r="AQ261" s="1399">
        <f>(CONTADORES!C269-CONTADORES!C268)</f>
        <v>0</v>
      </c>
      <c r="AR261" s="1399">
        <f>(CONTADORES!BC269-CONTADORES!BC268)</f>
        <v>0</v>
      </c>
      <c r="AS261" s="1397">
        <f ca="1">IF(B261&gt;=$J$5,0,CONTADORES!S269-CONTADORES!S268)</f>
        <v>0</v>
      </c>
      <c r="AT261" s="1397">
        <f ca="1">IF(B261&gt;=$J$5,0,(CONTADORES!U269-CONTADORES!U268)+(CONTADORES!AG269-CONTADORES!AG268))</f>
        <v>0</v>
      </c>
      <c r="AU261" s="1433">
        <f>CONTADORES!I269-CONTADORES!I268</f>
        <v>0</v>
      </c>
      <c r="AV261" s="1399">
        <f>CONTADORES!AV269-CONTADORES!AV268</f>
        <v>0</v>
      </c>
      <c r="AW261" s="1399">
        <f ca="1">IF(B261&gt;=$J$5,0,(CONTADORES!N269-CONTADORES!N268)+(CONTADORES!AN269-CONTADORES!AN268))</f>
        <v>0</v>
      </c>
      <c r="AX261" s="1399">
        <f ca="1">IF(B261&gt;=$J$5,0,(CONTADORES!P269-CONTADORES!P268)+(CONTADORES!AL269-CONTADORES!AL268))</f>
        <v>0</v>
      </c>
      <c r="AY261" s="1399">
        <f ca="1">IF(B261&gt;=$J$5,0,(CONTADORES!AJ269-CONTADORES!AJ268))</f>
        <v>0</v>
      </c>
      <c r="AZ261" s="1399">
        <f ca="1">IF(B261&gt;=$J$5,0,(CONTADORES!R269-CONTADORES!R268))</f>
        <v>0</v>
      </c>
      <c r="BA261" s="1409">
        <f t="shared" ca="1" si="112"/>
        <v>0</v>
      </c>
      <c r="BB261" s="1399">
        <f ca="1">IF(B261&gt;=$J$5,0,(((CONTADORES!G269-CONTADORES!G268)+(CONTADORES!AR269-CONTADORES!AR268)+AR261)-(AV261+BC261)))</f>
        <v>0</v>
      </c>
      <c r="BC261" s="1397">
        <f ca="1">IF(B261&gt;=$J$5,0,(CONTADORES!AY269-CONTADORES!AY268)+(CONTADORES!BA269-CONTADORES!BA268)+(CONTADORES!BF269-CONTADORES!BF268))</f>
        <v>0</v>
      </c>
      <c r="BD261" s="1397">
        <f t="shared" si="113"/>
        <v>0</v>
      </c>
      <c r="BE261" s="1398">
        <f ca="1">IF($B261&gt;=$J$5,0,CONTADORES!$BG269)</f>
        <v>0</v>
      </c>
      <c r="BF261" s="1397">
        <f ca="1">IF($B261&gt;=$J$5,0,CONTADORES!$BH269)</f>
        <v>0</v>
      </c>
      <c r="BG261" s="1397">
        <f ca="1">IF($B261&gt;=$J$5,0,CONTADORES!$BJ269)</f>
        <v>0</v>
      </c>
      <c r="BH261" s="1397">
        <f ca="1">IF(B261&gt;=$J$5,0,((CONTADORES!BK269-CONTADORES!BK268)/1000))</f>
        <v>0</v>
      </c>
      <c r="BI261" s="1397">
        <f ca="1">IF(C261&gt;=$J$5,0,((CONTADORES!BL269-CONTADORES!BL268)/1000))</f>
        <v>0</v>
      </c>
      <c r="BJ261" s="1397">
        <f ca="1">IF(C261&gt;=$J$5,0,((CONTADORES!BM269-CONTADORES!BM268)/1000))</f>
        <v>0</v>
      </c>
      <c r="BK261" s="1397">
        <f ca="1">IF(D261&gt;=$J$5,0,((CONTADORES!BN269-CONTADORES!BN268)/1000))</f>
        <v>0</v>
      </c>
      <c r="BL261" s="1399">
        <f t="shared" ca="1" si="114"/>
        <v>0</v>
      </c>
      <c r="BM261" s="1399">
        <f t="shared" ca="1" si="115"/>
        <v>0</v>
      </c>
      <c r="BN261" s="1398">
        <f ca="1">IF(W261&gt;=$J$5,0,CONTADORES!$BO269)</f>
        <v>0</v>
      </c>
      <c r="BO261" s="1397">
        <f ca="1">IF(W261&gt;=$J$5,0,CONTADORES!$BP269)</f>
        <v>0</v>
      </c>
      <c r="BP261" s="1397">
        <f ca="1">IF(W261&gt;=$J$5,0,CONTADORES!$BQ269)</f>
        <v>0</v>
      </c>
      <c r="BQ261" s="1397">
        <f ca="1">IF(B261&gt;=$J$5,0,(CONTADORES!AS269-CONTADORES!AS268))</f>
        <v>0</v>
      </c>
      <c r="BR261" s="1397">
        <f ca="1">IF(C261&gt;=$J$5,0,(CONTADORES!AT269-CONTADORES!AT268))</f>
        <v>0</v>
      </c>
      <c r="BS261" s="1397">
        <f ca="1">IF(B261&gt;=$J$5,0,CONTADORES!BR269-CONTADORES!BR268)/1000</f>
        <v>0</v>
      </c>
      <c r="BT261" s="1397">
        <f ca="1">IF(BF261&gt;=$J$5,0,CONTADORES!BS269-CONTADORES!BS268)</f>
        <v>0</v>
      </c>
      <c r="BU261" s="1397">
        <f ca="1">IF(BG261&gt;=$J$5,0,CONTADORES!BT269-CONTADORES!BT268)</f>
        <v>0</v>
      </c>
      <c r="BV261" s="1397">
        <f ca="1">IF(B261&gt;=$J$5,0,CONTADORES!BU269-CONTADORES!BU268)/1000</f>
        <v>0</v>
      </c>
      <c r="BW261" s="1397">
        <f ca="1">IF(B261&gt;=$J$5,0,CONTADORES!BV269-CONTADORES!BV268)/1000</f>
        <v>0</v>
      </c>
      <c r="BX261" s="1397">
        <f ca="1">IF(B261&gt;=$J$5,0,CONTADORES!BW269-CONTADORES!BW268)</f>
        <v>0</v>
      </c>
      <c r="BY261" s="1397">
        <f ca="1">IF(B261&gt;=$J$5,0,CONTADORES!BX269-CONTADORES!BX268)/1000</f>
        <v>0</v>
      </c>
      <c r="BZ261" s="1397">
        <f ca="1">IF(B261&gt;=$J$5,0,CONTADORES!BY269-CONTADORES!BY268)/1000</f>
        <v>0</v>
      </c>
      <c r="CA261" s="1397">
        <f ca="1">IF(B261&gt;=$J$5,0,CONTADORES!BZ269-CONTADORES!BZ268)</f>
        <v>0</v>
      </c>
      <c r="CB261" s="1398">
        <f ca="1">IF(B261&gt;=$J$5,0,(CONTADORES!CC269-CONTADORES!CC268)+(CONTADORES!CE269-CONTADORES!CE268))/1000</f>
        <v>0</v>
      </c>
      <c r="CC261" s="1398">
        <f ca="1">IF(B261&gt;=$J$5,0,(CONTADORES!CD269-CONTADORES!CD268)+(CONTADORES!CF269-CONTADORES!CF268))/1000</f>
        <v>0</v>
      </c>
      <c r="CD261" s="1398">
        <f ca="1">IF(B261&gt;=$J$5,0,CONTADORES!CA269-CONTADORES!CA268)</f>
        <v>0</v>
      </c>
      <c r="CE261" s="1398">
        <f ca="1">IF(B261&gt;=$J$5,0,CONTADORES!CB269-CONTADORES!CB268)</f>
        <v>0</v>
      </c>
      <c r="CF261" s="1409">
        <f t="shared" ca="1" si="116"/>
        <v>0</v>
      </c>
      <c r="CG261" s="1409">
        <f t="shared" ca="1" si="117"/>
        <v>0</v>
      </c>
      <c r="CH261" s="1409">
        <f t="shared" ca="1" si="118"/>
        <v>0</v>
      </c>
      <c r="CI261" s="1409">
        <f t="shared" ca="1" si="119"/>
        <v>0</v>
      </c>
      <c r="CJ261" s="1409">
        <f t="shared" ca="1" si="120"/>
        <v>0</v>
      </c>
      <c r="CK261" s="1409">
        <f t="shared" ca="1" si="121"/>
        <v>0</v>
      </c>
      <c r="CL261" s="1409">
        <f t="shared" ca="1" si="122"/>
        <v>0</v>
      </c>
      <c r="CM261" s="1409">
        <f t="shared" ca="1" si="123"/>
        <v>0</v>
      </c>
      <c r="CN261" s="1409">
        <f ca="1">IF(B261&gt;=$J$5,0,CONTADORES!CB269-CONTADORES!CB268)</f>
        <v>0</v>
      </c>
      <c r="CO261" s="1409">
        <f t="shared" ca="1" si="124"/>
        <v>0</v>
      </c>
      <c r="CP261" s="1409">
        <f t="shared" ca="1" si="125"/>
        <v>0</v>
      </c>
      <c r="CQ261" s="1409">
        <f t="shared" ca="1" si="126"/>
        <v>0</v>
      </c>
      <c r="CR261" s="1409">
        <f t="shared" ca="1" si="127"/>
        <v>0</v>
      </c>
      <c r="CS261" s="1409">
        <f ca="1">IF($B261&gt;=$J$5,0,CONTADORES!$BI269)</f>
        <v>0</v>
      </c>
      <c r="CT261" s="1334">
        <f>CONTADORES!E269</f>
        <v>0</v>
      </c>
      <c r="CU261" s="1334">
        <f>CONTADORES!CG269</f>
        <v>0</v>
      </c>
    </row>
    <row r="262" spans="2:99">
      <c r="B262" s="390">
        <v>45178</v>
      </c>
      <c r="C262" s="202">
        <f t="shared" ca="1" si="101"/>
        <v>0</v>
      </c>
      <c r="D262" s="196">
        <f ca="1">'CALCULO DE GAS'!P80</f>
        <v>0</v>
      </c>
      <c r="E262" s="196">
        <f ca="1">IF(B262&gt;=$J$5,0,(CONTADORES!$AD270-CONTADORES!$AD269)-$H262)</f>
        <v>0</v>
      </c>
      <c r="F262" s="198">
        <f t="shared" ref="F262:F293" ca="1" si="133">IF(H262=0,0,"ERROR")</f>
        <v>0</v>
      </c>
      <c r="G262" s="196">
        <f ca="1">IF(B262&gt;=$J$5,0,CONTADORES!$AF270-CONTADORES!$AF269)</f>
        <v>0</v>
      </c>
      <c r="H262" s="196">
        <f ca="1">IF(G262&gt;0,CONTADORES!$AE270-CONTADORES!$AE269,0)</f>
        <v>0</v>
      </c>
      <c r="I262" s="1396">
        <f ca="1">IF(B262&gt;=$J$5,0,CONTADORES!$AB270-CONTADORES!$AB269)</f>
        <v>0</v>
      </c>
      <c r="J262" s="202">
        <f t="shared" ca="1" si="102"/>
        <v>0</v>
      </c>
      <c r="K262" s="196">
        <f ca="1">'CALCULO DE GAS'!Q80</f>
        <v>0</v>
      </c>
      <c r="L262" s="1396">
        <f ca="1">IF(B262&gt;=$J$5,0,(CONTADORES!$Y270-CONTADORES!$Y269)-$O262)</f>
        <v>0</v>
      </c>
      <c r="M262" s="1396">
        <f t="shared" ca="1" si="132"/>
        <v>0</v>
      </c>
      <c r="N262" s="1396">
        <f ca="1">IF(B262&gt;=$J$5,0,CONTADORES!$AA270-CONTADORES!$AA269)</f>
        <v>0</v>
      </c>
      <c r="O262" s="199">
        <f ca="1">IF(N262&gt;0,CONTADORES!$Z270-CONTADORES!$Z269,0)</f>
        <v>0</v>
      </c>
      <c r="P262" s="1398">
        <f ca="1">IF(B262&gt;=$J$5,0,CONTADORES!$W270-CONTADORES!$W269)</f>
        <v>0</v>
      </c>
      <c r="Q262" s="202">
        <f ca="1">IF(B262&gt;=$J$5,0,CONTADORES!$B270-CONTADORES!$B269)</f>
        <v>0</v>
      </c>
      <c r="R262" s="196">
        <f t="shared" ca="1" si="103"/>
        <v>0</v>
      </c>
      <c r="S262" s="11">
        <f ca="1">IF(B262&gt;=$J$5,0,CONTADORES!$D270-CONTADORES!$D269)</f>
        <v>0</v>
      </c>
      <c r="T262" s="202">
        <f ca="1">IF(B262&gt;=$J$5,0,CONTADORES!$BB270-CONTADORES!$BB269)</f>
        <v>0</v>
      </c>
      <c r="U262" s="196">
        <f t="shared" ca="1" si="131"/>
        <v>0</v>
      </c>
      <c r="V262" s="199">
        <f ca="1">IF(B262&gt;=$J$5,0,CONTADORES!$BD270-CONTADORES!$BD269)</f>
        <v>0</v>
      </c>
      <c r="W262" s="1397">
        <f t="shared" ca="1" si="104"/>
        <v>0</v>
      </c>
      <c r="X262" s="1397">
        <f t="shared" ca="1" si="105"/>
        <v>0</v>
      </c>
      <c r="Y262" s="1398">
        <f t="shared" ca="1" si="106"/>
        <v>0</v>
      </c>
      <c r="Z262" s="1398">
        <f t="shared" ca="1" si="107"/>
        <v>0</v>
      </c>
      <c r="AA262" s="1398">
        <f t="shared" ca="1" si="108"/>
        <v>0</v>
      </c>
      <c r="AB262" s="1398">
        <f t="shared" ca="1" si="109"/>
        <v>0</v>
      </c>
      <c r="AC262" s="1397">
        <f t="shared" ca="1" si="110"/>
        <v>0</v>
      </c>
      <c r="AD262" s="1398">
        <f ca="1">IF(B262&gt;=$J$5,0,CONTADORES!H270-CONTADORES!H269)</f>
        <v>0</v>
      </c>
      <c r="AE262" s="1397">
        <f ca="1">IF(B262&gt;=$J$5,0,CONTADORES!J270-CONTADORES!J269)</f>
        <v>0</v>
      </c>
      <c r="AF262" s="1398">
        <f ca="1">IF(B262&gt;=$J$5,0,CONTADORES!AU270-CONTADORES!AU269)</f>
        <v>0</v>
      </c>
      <c r="AG262" s="1397">
        <f ca="1">IF(B262&gt;=$J$5,0,CONTADORES!AW270-CONTADORES!AW269)</f>
        <v>0</v>
      </c>
      <c r="AH262" s="1398">
        <f ca="1">IF(B262&gt;=$J$5,0,(CONTADORES!AM270-CONTADORES!AM269)+(CONTADORES!M270-CONTADORES!M269))</f>
        <v>0</v>
      </c>
      <c r="AI262" s="1398">
        <f ca="1">IF(B262&gt;=$J$5,0,(CONTADORES!AK270-CONTADORES!AK269)+(CONTADORES!O270-CONTADORES!O269))</f>
        <v>0</v>
      </c>
      <c r="AJ262" s="1398">
        <f ca="1">IF(B262&gt;=$J$5,0,(CONTADORES!AI270-CONTADORES!AI269))</f>
        <v>0</v>
      </c>
      <c r="AK262" s="1398">
        <f ca="1">IF(B262&gt;=$J$5,0,(CONTADORES!Q270-CONTADORES!Q269))</f>
        <v>0</v>
      </c>
      <c r="AL262" s="1461">
        <f t="shared" ca="1" si="111"/>
        <v>0</v>
      </c>
      <c r="AM262" s="1409">
        <f ca="1">IF(B262&gt;=$J$5,0,(((CONTADORES!F270-CONTADORES!F269)+(CONTADORES!AQ270-CONTADORES!AQ269))))-BS262-AF262-AN262-BV262-BY262-CD262-CB262</f>
        <v>0</v>
      </c>
      <c r="AN262" s="1398">
        <f ca="1">IF(B262&gt;=$J$5,0,(CONTADORES!AX270-CONTADORES!AX269)+(CONTADORES!AZ270-CONTADORES!AZ269)+(CONTADORES!BE270-CONTADORES!BE269))</f>
        <v>0</v>
      </c>
      <c r="AO262" s="1433">
        <f>(CONTADORES!AC270-CONTADORES!AC269)</f>
        <v>0</v>
      </c>
      <c r="AP262" s="1433">
        <f>(CONTADORES!X270-CONTADORES!X269)</f>
        <v>0</v>
      </c>
      <c r="AQ262" s="1399">
        <f>(CONTADORES!C270-CONTADORES!C269)</f>
        <v>0</v>
      </c>
      <c r="AR262" s="1399">
        <f>(CONTADORES!BC270-CONTADORES!BC269)</f>
        <v>0</v>
      </c>
      <c r="AS262" s="1397">
        <f ca="1">IF(B262&gt;=$J$5,0,CONTADORES!S270-CONTADORES!S269)</f>
        <v>0</v>
      </c>
      <c r="AT262" s="1397">
        <f ca="1">IF(B262&gt;=$J$5,0,(CONTADORES!U270-CONTADORES!U269)+(CONTADORES!AG270-CONTADORES!AG269))</f>
        <v>0</v>
      </c>
      <c r="AU262" s="1433">
        <f>CONTADORES!I270-CONTADORES!I269</f>
        <v>0</v>
      </c>
      <c r="AV262" s="1399">
        <f>CONTADORES!AV270-CONTADORES!AV269</f>
        <v>0</v>
      </c>
      <c r="AW262" s="1399">
        <f ca="1">IF(B262&gt;=$J$5,0,(CONTADORES!N270-CONTADORES!N269)+(CONTADORES!AN270-CONTADORES!AN269))</f>
        <v>0</v>
      </c>
      <c r="AX262" s="1399">
        <f ca="1">IF(B262&gt;=$J$5,0,(CONTADORES!P270-CONTADORES!P269)+(CONTADORES!AL270-CONTADORES!AL269))</f>
        <v>0</v>
      </c>
      <c r="AY262" s="1399">
        <f ca="1">IF(B262&gt;=$J$5,0,(CONTADORES!AJ270-CONTADORES!AJ269))</f>
        <v>0</v>
      </c>
      <c r="AZ262" s="1399">
        <f ca="1">IF(B262&gt;=$J$5,0,(CONTADORES!R270-CONTADORES!R269))</f>
        <v>0</v>
      </c>
      <c r="BA262" s="1409">
        <f t="shared" ca="1" si="112"/>
        <v>0</v>
      </c>
      <c r="BB262" s="1399">
        <f ca="1">IF(B262&gt;=$J$5,0,(((CONTADORES!G270-CONTADORES!G269)+(CONTADORES!AR270-CONTADORES!AR269)+AR262)-(AV262+BC262)))</f>
        <v>0</v>
      </c>
      <c r="BC262" s="1397">
        <f ca="1">IF(B262&gt;=$J$5,0,(CONTADORES!AY270-CONTADORES!AY269)+(CONTADORES!BA270-CONTADORES!BA269)+(CONTADORES!BF270-CONTADORES!BF269))</f>
        <v>0</v>
      </c>
      <c r="BD262" s="1397">
        <f t="shared" si="113"/>
        <v>0</v>
      </c>
      <c r="BE262" s="1398">
        <f ca="1">IF($B262&gt;=$J$5,0,CONTADORES!$BG270)</f>
        <v>0</v>
      </c>
      <c r="BF262" s="1397">
        <f ca="1">IF($B262&gt;=$J$5,0,CONTADORES!$BH270)</f>
        <v>0</v>
      </c>
      <c r="BG262" s="1397">
        <f ca="1">IF($B262&gt;=$J$5,0,CONTADORES!$BJ270)</f>
        <v>0</v>
      </c>
      <c r="BH262" s="1397">
        <f ca="1">IF(B262&gt;=$J$5,0,((CONTADORES!BK270-CONTADORES!BK269)/1000))</f>
        <v>0</v>
      </c>
      <c r="BI262" s="1397">
        <f ca="1">IF(C262&gt;=$J$5,0,((CONTADORES!BL270-CONTADORES!BL269)/1000))</f>
        <v>0</v>
      </c>
      <c r="BJ262" s="1397">
        <f ca="1">IF(C262&gt;=$J$5,0,((CONTADORES!BM270-CONTADORES!BM269)/1000))</f>
        <v>0</v>
      </c>
      <c r="BK262" s="1397">
        <f ca="1">IF(D262&gt;=$J$5,0,((CONTADORES!BN270-CONTADORES!BN269)/1000))</f>
        <v>0</v>
      </c>
      <c r="BL262" s="1399">
        <f t="shared" ca="1" si="114"/>
        <v>0</v>
      </c>
      <c r="BM262" s="1399">
        <f t="shared" ca="1" si="115"/>
        <v>0</v>
      </c>
      <c r="BN262" s="1398">
        <f ca="1">IF(W262&gt;=$J$5,0,CONTADORES!$BO270)</f>
        <v>0</v>
      </c>
      <c r="BO262" s="1397">
        <f ca="1">IF(W262&gt;=$J$5,0,CONTADORES!$BP270)</f>
        <v>0</v>
      </c>
      <c r="BP262" s="1397">
        <f ca="1">IF(W262&gt;=$J$5,0,CONTADORES!$BQ270)</f>
        <v>0</v>
      </c>
      <c r="BQ262" s="1397">
        <f ca="1">IF(B262&gt;=$J$5,0,(CONTADORES!AS270-CONTADORES!AS269))</f>
        <v>0</v>
      </c>
      <c r="BR262" s="1397">
        <f ca="1">IF(C262&gt;=$J$5,0,(CONTADORES!AT270-CONTADORES!AT269))</f>
        <v>0</v>
      </c>
      <c r="BS262" s="1397">
        <f ca="1">IF(B262&gt;=$J$5,0,CONTADORES!BR270-CONTADORES!BR269)/1000</f>
        <v>0</v>
      </c>
      <c r="BT262" s="1397">
        <f ca="1">IF(BF262&gt;=$J$5,0,CONTADORES!BS270-CONTADORES!BS269)</f>
        <v>0</v>
      </c>
      <c r="BU262" s="1397">
        <f ca="1">IF(BG262&gt;=$J$5,0,CONTADORES!BT270-CONTADORES!BT269)</f>
        <v>0</v>
      </c>
      <c r="BV262" s="1397">
        <f ca="1">IF(B262&gt;=$J$5,0,CONTADORES!BU270-CONTADORES!BU269)/1000</f>
        <v>0</v>
      </c>
      <c r="BW262" s="1397">
        <f ca="1">IF(B262&gt;=$J$5,0,CONTADORES!BV270-CONTADORES!BV269)/1000</f>
        <v>0</v>
      </c>
      <c r="BX262" s="1397">
        <f ca="1">IF(B262&gt;=$J$5,0,CONTADORES!BW270-CONTADORES!BW269)</f>
        <v>0</v>
      </c>
      <c r="BY262" s="1397">
        <f ca="1">IF(B262&gt;=$J$5,0,CONTADORES!BX270-CONTADORES!BX269)/1000</f>
        <v>0</v>
      </c>
      <c r="BZ262" s="1397">
        <f ca="1">IF(B262&gt;=$J$5,0,CONTADORES!BY270-CONTADORES!BY269)/1000</f>
        <v>0</v>
      </c>
      <c r="CA262" s="1397">
        <f ca="1">IF(B262&gt;=$J$5,0,CONTADORES!BZ270-CONTADORES!BZ269)</f>
        <v>0</v>
      </c>
      <c r="CB262" s="1398">
        <f ca="1">IF(B262&gt;=$J$5,0,(CONTADORES!CC270-CONTADORES!CC269)+(CONTADORES!CE270-CONTADORES!CE269))/1000</f>
        <v>0</v>
      </c>
      <c r="CC262" s="1398">
        <f ca="1">IF(B262&gt;=$J$5,0,(CONTADORES!CD270-CONTADORES!CD269)+(CONTADORES!CF270-CONTADORES!CF269))/1000</f>
        <v>0</v>
      </c>
      <c r="CD262" s="1398">
        <f ca="1">IF(B262&gt;=$J$5,0,CONTADORES!CA270-CONTADORES!CA269)</f>
        <v>0</v>
      </c>
      <c r="CE262" s="1398">
        <f ca="1">IF(B262&gt;=$J$5,0,CONTADORES!CB270-CONTADORES!CB269)</f>
        <v>0</v>
      </c>
      <c r="CF262" s="1409">
        <f t="shared" ca="1" si="116"/>
        <v>0</v>
      </c>
      <c r="CG262" s="1409">
        <f t="shared" ca="1" si="117"/>
        <v>0</v>
      </c>
      <c r="CH262" s="1409">
        <f t="shared" ca="1" si="118"/>
        <v>0</v>
      </c>
      <c r="CI262" s="1409">
        <f t="shared" ca="1" si="119"/>
        <v>0</v>
      </c>
      <c r="CJ262" s="1409">
        <f t="shared" ca="1" si="120"/>
        <v>0</v>
      </c>
      <c r="CK262" s="1409">
        <f t="shared" ca="1" si="121"/>
        <v>0</v>
      </c>
      <c r="CL262" s="1409">
        <f t="shared" ca="1" si="122"/>
        <v>0</v>
      </c>
      <c r="CM262" s="1409">
        <f t="shared" ca="1" si="123"/>
        <v>0</v>
      </c>
      <c r="CN262" s="1409">
        <f ca="1">IF(B262&gt;=$J$5,0,CONTADORES!CB270-CONTADORES!CB269)</f>
        <v>0</v>
      </c>
      <c r="CO262" s="1409">
        <f t="shared" ca="1" si="124"/>
        <v>0</v>
      </c>
      <c r="CP262" s="1409">
        <f t="shared" ca="1" si="125"/>
        <v>0</v>
      </c>
      <c r="CQ262" s="1409">
        <f t="shared" ca="1" si="126"/>
        <v>0</v>
      </c>
      <c r="CR262" s="1409">
        <f t="shared" ca="1" si="127"/>
        <v>0</v>
      </c>
      <c r="CS262" s="1409">
        <f ca="1">IF($B262&gt;=$J$5,0,CONTADORES!$BI270)</f>
        <v>0</v>
      </c>
      <c r="CT262" s="1334">
        <f>CONTADORES!E270</f>
        <v>0</v>
      </c>
      <c r="CU262" s="1334">
        <f>CONTADORES!CG270</f>
        <v>0</v>
      </c>
    </row>
    <row r="263" spans="2:99">
      <c r="B263" s="390">
        <v>45179</v>
      </c>
      <c r="C263" s="202">
        <f t="shared" ca="1" si="101"/>
        <v>0</v>
      </c>
      <c r="D263" s="196">
        <f ca="1">'CALCULO DE GAS'!P81</f>
        <v>0</v>
      </c>
      <c r="E263" s="196">
        <f ca="1">IF(B263&gt;=$J$5,0,(CONTADORES!$AD271-CONTADORES!$AD270)-$H263)</f>
        <v>0</v>
      </c>
      <c r="F263" s="198">
        <f t="shared" ca="1" si="133"/>
        <v>0</v>
      </c>
      <c r="G263" s="196">
        <f ca="1">IF(B263&gt;=$J$5,0,CONTADORES!$AF271-CONTADORES!$AF270)</f>
        <v>0</v>
      </c>
      <c r="H263" s="196">
        <f ca="1">IF(G263&gt;0,CONTADORES!$AE271-CONTADORES!$AE270,0)</f>
        <v>0</v>
      </c>
      <c r="I263" s="1396">
        <f ca="1">IF(B263&gt;=$J$5,0,CONTADORES!$AB271-CONTADORES!$AB270)</f>
        <v>0</v>
      </c>
      <c r="J263" s="202">
        <f t="shared" ca="1" si="102"/>
        <v>0</v>
      </c>
      <c r="K263" s="196">
        <f ca="1">'CALCULO DE GAS'!Q81</f>
        <v>0</v>
      </c>
      <c r="L263" s="1396">
        <f ca="1">IF(B263&gt;=$J$5,0,(CONTADORES!$Y271-CONTADORES!$Y270)-$O263)</f>
        <v>0</v>
      </c>
      <c r="M263" s="1396">
        <f t="shared" ca="1" si="132"/>
        <v>0</v>
      </c>
      <c r="N263" s="1396">
        <f ca="1">IF(B263&gt;=$J$5,0,CONTADORES!$AA271-CONTADORES!$AA270)</f>
        <v>0</v>
      </c>
      <c r="O263" s="199">
        <f ca="1">IF(N263&gt;0,CONTADORES!$Z271-CONTADORES!$Z270,0)</f>
        <v>0</v>
      </c>
      <c r="P263" s="1398">
        <f ca="1">IF(B263&gt;=$J$5,0,CONTADORES!$W271-CONTADORES!$W270)</f>
        <v>0</v>
      </c>
      <c r="Q263" s="202">
        <f ca="1">IF(B263&gt;=$J$5,0,CONTADORES!$B271-CONTADORES!$B270)</f>
        <v>0</v>
      </c>
      <c r="R263" s="196">
        <f t="shared" ca="1" si="103"/>
        <v>0</v>
      </c>
      <c r="S263" s="11">
        <f ca="1">IF(B263&gt;=$J$5,0,CONTADORES!$D271-CONTADORES!$D270)</f>
        <v>0</v>
      </c>
      <c r="T263" s="202">
        <f ca="1">IF(B263&gt;=$J$5,0,CONTADORES!$BB271-CONTADORES!$BB270)</f>
        <v>0</v>
      </c>
      <c r="U263" s="196">
        <f t="shared" ca="1" si="131"/>
        <v>0</v>
      </c>
      <c r="V263" s="199">
        <f ca="1">IF(B263&gt;=$J$5,0,CONTADORES!$BD271-CONTADORES!$BD270)</f>
        <v>0</v>
      </c>
      <c r="W263" s="1397">
        <f t="shared" ca="1" si="104"/>
        <v>0</v>
      </c>
      <c r="X263" s="1397">
        <f t="shared" ca="1" si="105"/>
        <v>0</v>
      </c>
      <c r="Y263" s="1398">
        <f t="shared" ca="1" si="106"/>
        <v>0</v>
      </c>
      <c r="Z263" s="1398">
        <f t="shared" ca="1" si="107"/>
        <v>0</v>
      </c>
      <c r="AA263" s="1398">
        <f t="shared" ca="1" si="108"/>
        <v>0</v>
      </c>
      <c r="AB263" s="1398">
        <f t="shared" ca="1" si="109"/>
        <v>0</v>
      </c>
      <c r="AC263" s="1397">
        <f t="shared" ca="1" si="110"/>
        <v>0</v>
      </c>
      <c r="AD263" s="1398">
        <f ca="1">IF(B263&gt;=$J$5,0,CONTADORES!H271-CONTADORES!H270)</f>
        <v>0</v>
      </c>
      <c r="AE263" s="1397">
        <f ca="1">IF(B263&gt;=$J$5,0,CONTADORES!J271-CONTADORES!J270)</f>
        <v>0</v>
      </c>
      <c r="AF263" s="1398">
        <f ca="1">IF(B263&gt;=$J$5,0,CONTADORES!AU271-CONTADORES!AU270)</f>
        <v>0</v>
      </c>
      <c r="AG263" s="1397">
        <f ca="1">IF(B263&gt;=$J$5,0,CONTADORES!AW271-CONTADORES!AW270)</f>
        <v>0</v>
      </c>
      <c r="AH263" s="1398">
        <f ca="1">IF(B263&gt;=$J$5,0,(CONTADORES!AM271-CONTADORES!AM270)+(CONTADORES!M271-CONTADORES!M270))</f>
        <v>0</v>
      </c>
      <c r="AI263" s="1398">
        <f ca="1">IF(B263&gt;=$J$5,0,(CONTADORES!AK271-CONTADORES!AK270)+(CONTADORES!O271-CONTADORES!O270))</f>
        <v>0</v>
      </c>
      <c r="AJ263" s="1398">
        <f ca="1">IF(B263&gt;=$J$5,0,(CONTADORES!AI271-CONTADORES!AI270))</f>
        <v>0</v>
      </c>
      <c r="AK263" s="1398">
        <f ca="1">IF(B263&gt;=$J$5,0,(CONTADORES!Q271-CONTADORES!Q270))</f>
        <v>0</v>
      </c>
      <c r="AL263" s="1461">
        <f t="shared" ca="1" si="111"/>
        <v>0</v>
      </c>
      <c r="AM263" s="1409">
        <f ca="1">IF(B263&gt;=$J$5,0,(((CONTADORES!F271-CONTADORES!F270)+(CONTADORES!AQ271-CONTADORES!AQ270))))-BS263-AF263-AN263-BV263-BY263-CD263-CB263</f>
        <v>0</v>
      </c>
      <c r="AN263" s="1398">
        <f ca="1">IF(B263&gt;=$J$5,0,(CONTADORES!AX271-CONTADORES!AX270)+(CONTADORES!AZ271-CONTADORES!AZ270)+(CONTADORES!BE271-CONTADORES!BE270))</f>
        <v>0</v>
      </c>
      <c r="AO263" s="1433">
        <f>(CONTADORES!AC271-CONTADORES!AC270)</f>
        <v>0</v>
      </c>
      <c r="AP263" s="1433">
        <f>(CONTADORES!X271-CONTADORES!X270)</f>
        <v>0</v>
      </c>
      <c r="AQ263" s="1399">
        <f>(CONTADORES!C271-CONTADORES!C270)</f>
        <v>0</v>
      </c>
      <c r="AR263" s="1399">
        <f>(CONTADORES!BC271-CONTADORES!BC270)</f>
        <v>0</v>
      </c>
      <c r="AS263" s="1397">
        <f ca="1">IF(B263&gt;=$J$5,0,CONTADORES!S271-CONTADORES!S270)</f>
        <v>0</v>
      </c>
      <c r="AT263" s="1397">
        <f ca="1">IF(B263&gt;=$J$5,0,(CONTADORES!U271-CONTADORES!U270)+(CONTADORES!AG271-CONTADORES!AG270))</f>
        <v>0</v>
      </c>
      <c r="AU263" s="1433">
        <f>CONTADORES!I271-CONTADORES!I270</f>
        <v>0</v>
      </c>
      <c r="AV263" s="1399">
        <f>CONTADORES!AV271-CONTADORES!AV270</f>
        <v>0</v>
      </c>
      <c r="AW263" s="1399">
        <f ca="1">IF(B263&gt;=$J$5,0,(CONTADORES!N271-CONTADORES!N270)+(CONTADORES!AN271-CONTADORES!AN270))</f>
        <v>0</v>
      </c>
      <c r="AX263" s="1399">
        <f ca="1">IF(B263&gt;=$J$5,0,(CONTADORES!P271-CONTADORES!P270)+(CONTADORES!AL271-CONTADORES!AL270))</f>
        <v>0</v>
      </c>
      <c r="AY263" s="1399">
        <f ca="1">IF(B263&gt;=$J$5,0,(CONTADORES!AJ271-CONTADORES!AJ270))</f>
        <v>0</v>
      </c>
      <c r="AZ263" s="1399">
        <f ca="1">IF(B263&gt;=$J$5,0,(CONTADORES!R271-CONTADORES!R270))</f>
        <v>0</v>
      </c>
      <c r="BA263" s="1409">
        <f t="shared" ca="1" si="112"/>
        <v>0</v>
      </c>
      <c r="BB263" s="1399">
        <f ca="1">IF(B263&gt;=$J$5,0,(((CONTADORES!G271-CONTADORES!G270)+(CONTADORES!AR271-CONTADORES!AR270)+AR263)-(AV263+BC263)))</f>
        <v>0</v>
      </c>
      <c r="BC263" s="1397">
        <f ca="1">IF(B263&gt;=$J$5,0,(CONTADORES!AY271-CONTADORES!AY270)+(CONTADORES!BA271-CONTADORES!BA270)+(CONTADORES!BF271-CONTADORES!BF270))</f>
        <v>0</v>
      </c>
      <c r="BD263" s="1397">
        <f t="shared" si="113"/>
        <v>0</v>
      </c>
      <c r="BE263" s="1398">
        <f ca="1">IF($B263&gt;=$J$5,0,CONTADORES!$BG271)</f>
        <v>0</v>
      </c>
      <c r="BF263" s="1397">
        <f ca="1">IF($B263&gt;=$J$5,0,CONTADORES!$BH271)</f>
        <v>0</v>
      </c>
      <c r="BG263" s="1397">
        <f ca="1">IF($B263&gt;=$J$5,0,CONTADORES!$BJ271)</f>
        <v>0</v>
      </c>
      <c r="BH263" s="1397">
        <f ca="1">IF(B263&gt;=$J$5,0,((CONTADORES!BK271-CONTADORES!BK270)/1000))</f>
        <v>0</v>
      </c>
      <c r="BI263" s="1397">
        <f ca="1">IF(C263&gt;=$J$5,0,((CONTADORES!BL271-CONTADORES!BL270)/1000))</f>
        <v>0</v>
      </c>
      <c r="BJ263" s="1397">
        <f ca="1">IF(C263&gt;=$J$5,0,((CONTADORES!BM271-CONTADORES!BM270)/1000))</f>
        <v>0</v>
      </c>
      <c r="BK263" s="1397">
        <f ca="1">IF(D263&gt;=$J$5,0,((CONTADORES!BN271-CONTADORES!BN270)/1000))</f>
        <v>0</v>
      </c>
      <c r="BL263" s="1399">
        <f t="shared" ca="1" si="114"/>
        <v>0</v>
      </c>
      <c r="BM263" s="1399">
        <f t="shared" ca="1" si="115"/>
        <v>0</v>
      </c>
      <c r="BN263" s="1398">
        <f ca="1">IF(W263&gt;=$J$5,0,CONTADORES!$BO271)</f>
        <v>0</v>
      </c>
      <c r="BO263" s="1397">
        <f ca="1">IF(W263&gt;=$J$5,0,CONTADORES!$BP271)</f>
        <v>0</v>
      </c>
      <c r="BP263" s="1397">
        <f ca="1">IF(W263&gt;=$J$5,0,CONTADORES!$BQ271)</f>
        <v>0</v>
      </c>
      <c r="BQ263" s="1397">
        <f ca="1">IF(B263&gt;=$J$5,0,(CONTADORES!AS271-CONTADORES!AS270))</f>
        <v>0</v>
      </c>
      <c r="BR263" s="1397">
        <f ca="1">IF(C263&gt;=$J$5,0,(CONTADORES!AT271-CONTADORES!AT270))</f>
        <v>0</v>
      </c>
      <c r="BS263" s="1397">
        <f ca="1">IF(B263&gt;=$J$5,0,CONTADORES!BR271-CONTADORES!BR270)/1000</f>
        <v>0</v>
      </c>
      <c r="BT263" s="1397">
        <f ca="1">IF(BF263&gt;=$J$5,0,CONTADORES!BS271-CONTADORES!BS270)</f>
        <v>0</v>
      </c>
      <c r="BU263" s="1397">
        <f ca="1">IF(BG263&gt;=$J$5,0,CONTADORES!BT271-CONTADORES!BT270)</f>
        <v>0</v>
      </c>
      <c r="BV263" s="1397">
        <f ca="1">IF(B263&gt;=$J$5,0,CONTADORES!BU271-CONTADORES!BU270)/1000</f>
        <v>0</v>
      </c>
      <c r="BW263" s="1397">
        <f ca="1">IF(B263&gt;=$J$5,0,CONTADORES!BV271-CONTADORES!BV270)/1000</f>
        <v>0</v>
      </c>
      <c r="BX263" s="1397">
        <f ca="1">IF(B263&gt;=$J$5,0,CONTADORES!BW271-CONTADORES!BW270)</f>
        <v>0</v>
      </c>
      <c r="BY263" s="1397">
        <f ca="1">IF(B263&gt;=$J$5,0,CONTADORES!BX271-CONTADORES!BX270)/1000</f>
        <v>0</v>
      </c>
      <c r="BZ263" s="1397">
        <f ca="1">IF(B263&gt;=$J$5,0,CONTADORES!BY271-CONTADORES!BY270)/1000</f>
        <v>0</v>
      </c>
      <c r="CA263" s="1397">
        <f ca="1">IF(B263&gt;=$J$5,0,CONTADORES!BZ271-CONTADORES!BZ270)</f>
        <v>0</v>
      </c>
      <c r="CB263" s="1398">
        <f ca="1">IF(B263&gt;=$J$5,0,(CONTADORES!CC271-CONTADORES!CC270)+(CONTADORES!CE271-CONTADORES!CE270))/1000</f>
        <v>0</v>
      </c>
      <c r="CC263" s="1398">
        <f ca="1">IF(B263&gt;=$J$5,0,(CONTADORES!CD271-CONTADORES!CD270)+(CONTADORES!CF271-CONTADORES!CF270))/1000</f>
        <v>0</v>
      </c>
      <c r="CD263" s="1398">
        <f ca="1">IF(B263&gt;=$J$5,0,CONTADORES!CA271-CONTADORES!CA270)</f>
        <v>0</v>
      </c>
      <c r="CE263" s="1398">
        <f ca="1">IF(B263&gt;=$J$5,0,CONTADORES!CB271-CONTADORES!CB270)</f>
        <v>0</v>
      </c>
      <c r="CF263" s="1409">
        <f t="shared" ca="1" si="116"/>
        <v>0</v>
      </c>
      <c r="CG263" s="1409">
        <f t="shared" ca="1" si="117"/>
        <v>0</v>
      </c>
      <c r="CH263" s="1409">
        <f t="shared" ca="1" si="118"/>
        <v>0</v>
      </c>
      <c r="CI263" s="1409">
        <f t="shared" ca="1" si="119"/>
        <v>0</v>
      </c>
      <c r="CJ263" s="1409">
        <f t="shared" ca="1" si="120"/>
        <v>0</v>
      </c>
      <c r="CK263" s="1409">
        <f t="shared" ca="1" si="121"/>
        <v>0</v>
      </c>
      <c r="CL263" s="1409">
        <f t="shared" ca="1" si="122"/>
        <v>0</v>
      </c>
      <c r="CM263" s="1409">
        <f t="shared" ca="1" si="123"/>
        <v>0</v>
      </c>
      <c r="CN263" s="1409">
        <f ca="1">IF(B263&gt;=$J$5,0,CONTADORES!CB271-CONTADORES!CB270)</f>
        <v>0</v>
      </c>
      <c r="CO263" s="1409">
        <f t="shared" ca="1" si="124"/>
        <v>0</v>
      </c>
      <c r="CP263" s="1409">
        <f t="shared" ca="1" si="125"/>
        <v>0</v>
      </c>
      <c r="CQ263" s="1409">
        <f t="shared" ca="1" si="126"/>
        <v>0</v>
      </c>
      <c r="CR263" s="1409">
        <f t="shared" ca="1" si="127"/>
        <v>0</v>
      </c>
      <c r="CS263" s="1409">
        <f ca="1">IF($B263&gt;=$J$5,0,CONTADORES!$BI271)</f>
        <v>0</v>
      </c>
      <c r="CT263" s="1334">
        <f>CONTADORES!E271</f>
        <v>0</v>
      </c>
      <c r="CU263" s="1334">
        <f>CONTADORES!CG271</f>
        <v>0</v>
      </c>
    </row>
    <row r="264" spans="2:99">
      <c r="B264" s="390">
        <v>45180</v>
      </c>
      <c r="C264" s="202">
        <f t="shared" ca="1" si="101"/>
        <v>0</v>
      </c>
      <c r="D264" s="196">
        <f ca="1">'CALCULO DE GAS'!P82</f>
        <v>0</v>
      </c>
      <c r="E264" s="196">
        <f ca="1">IF(B264&gt;=$J$5,0,(CONTADORES!$AD272-CONTADORES!$AD271)-$H264)</f>
        <v>0</v>
      </c>
      <c r="F264" s="198">
        <f t="shared" ca="1" si="133"/>
        <v>0</v>
      </c>
      <c r="G264" s="196">
        <f ca="1">IF(B264&gt;=$J$5,0,CONTADORES!$AF272-CONTADORES!$AF271)</f>
        <v>0</v>
      </c>
      <c r="H264" s="196">
        <f ca="1">IF(G264&gt;0,CONTADORES!$AE272-CONTADORES!$AE271,0)</f>
        <v>0</v>
      </c>
      <c r="I264" s="1396">
        <f ca="1">IF(B264&gt;=$J$5,0,CONTADORES!$AB272-CONTADORES!$AB271)</f>
        <v>0</v>
      </c>
      <c r="J264" s="202">
        <f t="shared" ca="1" si="102"/>
        <v>0</v>
      </c>
      <c r="K264" s="196">
        <f ca="1">'CALCULO DE GAS'!Q82</f>
        <v>0</v>
      </c>
      <c r="L264" s="1396">
        <f ca="1">IF(B264&gt;=$J$5,0,(CONTADORES!$Y272-CONTADORES!$Y271)-$O264)</f>
        <v>0</v>
      </c>
      <c r="M264" s="1396">
        <f t="shared" ca="1" si="132"/>
        <v>0</v>
      </c>
      <c r="N264" s="1396">
        <f ca="1">IF(B264&gt;=$J$5,0,CONTADORES!$AA272-CONTADORES!$AA271)</f>
        <v>0</v>
      </c>
      <c r="O264" s="199">
        <f ca="1">IF(N264&gt;0,CONTADORES!$Z272-CONTADORES!$Z271,0)</f>
        <v>0</v>
      </c>
      <c r="P264" s="1398">
        <f ca="1">IF(B264&gt;=$J$5,0,CONTADORES!$W272-CONTADORES!$W271)</f>
        <v>0</v>
      </c>
      <c r="Q264" s="202">
        <f ca="1">IF(B264&gt;=$J$5,0,CONTADORES!$B272-CONTADORES!$B271)</f>
        <v>0</v>
      </c>
      <c r="R264" s="196">
        <f t="shared" ca="1" si="103"/>
        <v>0</v>
      </c>
      <c r="S264" s="11">
        <f ca="1">IF(B264&gt;=$J$5,0,CONTADORES!$D272-CONTADORES!$D271)</f>
        <v>0</v>
      </c>
      <c r="T264" s="202">
        <f ca="1">IF(B264&gt;=$J$5,0,CONTADORES!$BB272-CONTADORES!$BB271)</f>
        <v>0</v>
      </c>
      <c r="U264" s="196">
        <f t="shared" ca="1" si="131"/>
        <v>0</v>
      </c>
      <c r="V264" s="199">
        <f ca="1">IF(B264&gt;=$J$5,0,CONTADORES!$BD272-CONTADORES!$BD271)</f>
        <v>0</v>
      </c>
      <c r="W264" s="1397">
        <f t="shared" ca="1" si="104"/>
        <v>0</v>
      </c>
      <c r="X264" s="1397">
        <f t="shared" ca="1" si="105"/>
        <v>0</v>
      </c>
      <c r="Y264" s="1398">
        <f t="shared" ca="1" si="106"/>
        <v>0</v>
      </c>
      <c r="Z264" s="1398">
        <f t="shared" ca="1" si="107"/>
        <v>0</v>
      </c>
      <c r="AA264" s="1398">
        <f t="shared" ca="1" si="108"/>
        <v>0</v>
      </c>
      <c r="AB264" s="1398">
        <f t="shared" ca="1" si="109"/>
        <v>0</v>
      </c>
      <c r="AC264" s="1397">
        <f t="shared" ca="1" si="110"/>
        <v>0</v>
      </c>
      <c r="AD264" s="1398">
        <f ca="1">IF(B264&gt;=$J$5,0,CONTADORES!H272-CONTADORES!H271)</f>
        <v>0</v>
      </c>
      <c r="AE264" s="1397">
        <f ca="1">IF(B264&gt;=$J$5,0,CONTADORES!J272-CONTADORES!J271)</f>
        <v>0</v>
      </c>
      <c r="AF264" s="1398">
        <f ca="1">IF(B264&gt;=$J$5,0,CONTADORES!AU272-CONTADORES!AU271)</f>
        <v>0</v>
      </c>
      <c r="AG264" s="1397">
        <f ca="1">IF(B264&gt;=$J$5,0,CONTADORES!AW272-CONTADORES!AW271)</f>
        <v>0</v>
      </c>
      <c r="AH264" s="1398">
        <f ca="1">IF(B264&gt;=$J$5,0,(CONTADORES!AM272-CONTADORES!AM271)+(CONTADORES!M272-CONTADORES!M271))</f>
        <v>0</v>
      </c>
      <c r="AI264" s="1398">
        <f ca="1">IF(B264&gt;=$J$5,0,(CONTADORES!AK272-CONTADORES!AK271)+(CONTADORES!O272-CONTADORES!O271))</f>
        <v>0</v>
      </c>
      <c r="AJ264" s="1398">
        <f ca="1">IF(B264&gt;=$J$5,0,(CONTADORES!AI272-CONTADORES!AI271))</f>
        <v>0</v>
      </c>
      <c r="AK264" s="1398">
        <f ca="1">IF(B264&gt;=$J$5,0,(CONTADORES!Q272-CONTADORES!Q271))</f>
        <v>0</v>
      </c>
      <c r="AL264" s="1461">
        <f t="shared" ca="1" si="111"/>
        <v>0</v>
      </c>
      <c r="AM264" s="1409">
        <f ca="1">IF(B264&gt;=$J$5,0,(((CONTADORES!F272-CONTADORES!F271)+(CONTADORES!AQ272-CONTADORES!AQ271))))-BS264-AF264-AN264-BV264-BY264-CD264-CB264</f>
        <v>0</v>
      </c>
      <c r="AN264" s="1398">
        <f ca="1">IF(B264&gt;=$J$5,0,(CONTADORES!AX272-CONTADORES!AX271)+(CONTADORES!AZ272-CONTADORES!AZ271)+(CONTADORES!BE272-CONTADORES!BE271))</f>
        <v>0</v>
      </c>
      <c r="AO264" s="1433">
        <f>(CONTADORES!AC272-CONTADORES!AC271)</f>
        <v>0</v>
      </c>
      <c r="AP264" s="1433">
        <f>(CONTADORES!X272-CONTADORES!X271)</f>
        <v>0</v>
      </c>
      <c r="AQ264" s="1399">
        <f>(CONTADORES!C272-CONTADORES!C271)</f>
        <v>0</v>
      </c>
      <c r="AR264" s="1399">
        <f>(CONTADORES!BC272-CONTADORES!BC271)</f>
        <v>0</v>
      </c>
      <c r="AS264" s="1397">
        <f ca="1">IF(B264&gt;=$J$5,0,CONTADORES!S272-CONTADORES!S271)</f>
        <v>0</v>
      </c>
      <c r="AT264" s="1397">
        <f ca="1">IF(B264&gt;=$J$5,0,(CONTADORES!U272-CONTADORES!U271)+(CONTADORES!AG272-CONTADORES!AG271))</f>
        <v>0</v>
      </c>
      <c r="AU264" s="1433">
        <f>CONTADORES!I272-CONTADORES!I271</f>
        <v>0</v>
      </c>
      <c r="AV264" s="1399">
        <f>CONTADORES!AV272-CONTADORES!AV271</f>
        <v>0</v>
      </c>
      <c r="AW264" s="1399">
        <f ca="1">IF(B264&gt;=$J$5,0,(CONTADORES!N272-CONTADORES!N271)+(CONTADORES!AN272-CONTADORES!AN271))</f>
        <v>0</v>
      </c>
      <c r="AX264" s="1399">
        <f ca="1">IF(B264&gt;=$J$5,0,(CONTADORES!P272-CONTADORES!P271)+(CONTADORES!AL272-CONTADORES!AL271))</f>
        <v>0</v>
      </c>
      <c r="AY264" s="1399">
        <f ca="1">IF(B264&gt;=$J$5,0,(CONTADORES!AJ272-CONTADORES!AJ271))</f>
        <v>0</v>
      </c>
      <c r="AZ264" s="1399">
        <f ca="1">IF(B264&gt;=$J$5,0,(CONTADORES!R272-CONTADORES!R271))</f>
        <v>0</v>
      </c>
      <c r="BA264" s="1409">
        <f t="shared" ca="1" si="112"/>
        <v>0</v>
      </c>
      <c r="BB264" s="1399">
        <f ca="1">IF(B264&gt;=$J$5,0,(((CONTADORES!G272-CONTADORES!G271)+(CONTADORES!AR272-CONTADORES!AR271)+AR264)-(AV264+BC264)))</f>
        <v>0</v>
      </c>
      <c r="BC264" s="1397">
        <f ca="1">IF(B264&gt;=$J$5,0,(CONTADORES!AY272-CONTADORES!AY271)+(CONTADORES!BA272-CONTADORES!BA271)+(CONTADORES!BF272-CONTADORES!BF271))</f>
        <v>0</v>
      </c>
      <c r="BD264" s="1397">
        <f t="shared" si="113"/>
        <v>0</v>
      </c>
      <c r="BE264" s="1398">
        <f ca="1">IF($B264&gt;=$J$5,0,CONTADORES!$BG272)</f>
        <v>0</v>
      </c>
      <c r="BF264" s="1397">
        <f ca="1">IF($B264&gt;=$J$5,0,CONTADORES!$BH272)</f>
        <v>0</v>
      </c>
      <c r="BG264" s="1397">
        <f ca="1">IF($B264&gt;=$J$5,0,CONTADORES!$BJ272)</f>
        <v>0</v>
      </c>
      <c r="BH264" s="1397">
        <f ca="1">IF(B264&gt;=$J$5,0,((CONTADORES!BK272-CONTADORES!BK271)/1000))</f>
        <v>0</v>
      </c>
      <c r="BI264" s="1397">
        <f ca="1">IF(C264&gt;=$J$5,0,((CONTADORES!BL272-CONTADORES!BL271)/1000))</f>
        <v>0</v>
      </c>
      <c r="BJ264" s="1397">
        <f ca="1">IF(C264&gt;=$J$5,0,((CONTADORES!BM272-CONTADORES!BM271)/1000))</f>
        <v>0</v>
      </c>
      <c r="BK264" s="1397">
        <f ca="1">IF(D264&gt;=$J$5,0,((CONTADORES!BN272-CONTADORES!BN271)/1000))</f>
        <v>0</v>
      </c>
      <c r="BL264" s="1399">
        <f t="shared" ca="1" si="114"/>
        <v>0</v>
      </c>
      <c r="BM264" s="1399">
        <f t="shared" ca="1" si="115"/>
        <v>0</v>
      </c>
      <c r="BN264" s="1398">
        <f ca="1">IF(W264&gt;=$J$5,0,CONTADORES!$BO272)</f>
        <v>0</v>
      </c>
      <c r="BO264" s="1397">
        <f ca="1">IF(W264&gt;=$J$5,0,CONTADORES!$BP272)</f>
        <v>0</v>
      </c>
      <c r="BP264" s="1397">
        <f ca="1">IF(W264&gt;=$J$5,0,CONTADORES!$BQ272)</f>
        <v>0</v>
      </c>
      <c r="BQ264" s="1397">
        <f ca="1">IF(B264&gt;=$J$5,0,(CONTADORES!AS272-CONTADORES!AS271))</f>
        <v>0</v>
      </c>
      <c r="BR264" s="1397">
        <f ca="1">IF(C264&gt;=$J$5,0,(CONTADORES!AT272-CONTADORES!AT271))</f>
        <v>0</v>
      </c>
      <c r="BS264" s="1397">
        <f ca="1">IF(B264&gt;=$J$5,0,CONTADORES!BR272-CONTADORES!BR271)/1000</f>
        <v>0</v>
      </c>
      <c r="BT264" s="1397">
        <f ca="1">IF(BF264&gt;=$J$5,0,CONTADORES!BS272-CONTADORES!BS271)</f>
        <v>0</v>
      </c>
      <c r="BU264" s="1397">
        <f ca="1">IF(BG264&gt;=$J$5,0,CONTADORES!BT272-CONTADORES!BT271)</f>
        <v>0</v>
      </c>
      <c r="BV264" s="1397">
        <f ca="1">IF(B264&gt;=$J$5,0,CONTADORES!BU272-CONTADORES!BU271)/1000</f>
        <v>0</v>
      </c>
      <c r="BW264" s="1397">
        <f ca="1">IF(B264&gt;=$J$5,0,CONTADORES!BV272-CONTADORES!BV271)/1000</f>
        <v>0</v>
      </c>
      <c r="BX264" s="1397">
        <f ca="1">IF(B264&gt;=$J$5,0,CONTADORES!BW272-CONTADORES!BW271)</f>
        <v>0</v>
      </c>
      <c r="BY264" s="1397">
        <f ca="1">IF(B264&gt;=$J$5,0,CONTADORES!BX272-CONTADORES!BX271)/1000</f>
        <v>0</v>
      </c>
      <c r="BZ264" s="1397">
        <f ca="1">IF(B264&gt;=$J$5,0,CONTADORES!BY272-CONTADORES!BY271)/1000</f>
        <v>0</v>
      </c>
      <c r="CA264" s="1397">
        <f ca="1">IF(B264&gt;=$J$5,0,CONTADORES!BZ272-CONTADORES!BZ271)</f>
        <v>0</v>
      </c>
      <c r="CB264" s="1398">
        <f ca="1">IF(B264&gt;=$J$5,0,(CONTADORES!CC272-CONTADORES!CC271)+(CONTADORES!CE272-CONTADORES!CE271))/1000</f>
        <v>0</v>
      </c>
      <c r="CC264" s="1398">
        <f ca="1">IF(B264&gt;=$J$5,0,(CONTADORES!CD272-CONTADORES!CD271)+(CONTADORES!CF272-CONTADORES!CF271))/1000</f>
        <v>0</v>
      </c>
      <c r="CD264" s="1398">
        <f ca="1">IF(B264&gt;=$J$5,0,CONTADORES!CA272-CONTADORES!CA271)</f>
        <v>0</v>
      </c>
      <c r="CE264" s="1398">
        <f ca="1">IF(B264&gt;=$J$5,0,CONTADORES!CB272-CONTADORES!CB271)</f>
        <v>0</v>
      </c>
      <c r="CF264" s="1409">
        <f t="shared" ca="1" si="116"/>
        <v>0</v>
      </c>
      <c r="CG264" s="1409">
        <f t="shared" ca="1" si="117"/>
        <v>0</v>
      </c>
      <c r="CH264" s="1409">
        <f t="shared" ca="1" si="118"/>
        <v>0</v>
      </c>
      <c r="CI264" s="1409">
        <f t="shared" ca="1" si="119"/>
        <v>0</v>
      </c>
      <c r="CJ264" s="1409">
        <f t="shared" ca="1" si="120"/>
        <v>0</v>
      </c>
      <c r="CK264" s="1409">
        <f t="shared" ca="1" si="121"/>
        <v>0</v>
      </c>
      <c r="CL264" s="1409">
        <f t="shared" ca="1" si="122"/>
        <v>0</v>
      </c>
      <c r="CM264" s="1409">
        <f t="shared" ca="1" si="123"/>
        <v>0</v>
      </c>
      <c r="CN264" s="1409">
        <f ca="1">IF(B264&gt;=$J$5,0,CONTADORES!CB272-CONTADORES!CB271)</f>
        <v>0</v>
      </c>
      <c r="CO264" s="1409">
        <f t="shared" ca="1" si="124"/>
        <v>0</v>
      </c>
      <c r="CP264" s="1409">
        <f t="shared" ca="1" si="125"/>
        <v>0</v>
      </c>
      <c r="CQ264" s="1409">
        <f t="shared" ca="1" si="126"/>
        <v>0</v>
      </c>
      <c r="CR264" s="1409">
        <f t="shared" ca="1" si="127"/>
        <v>0</v>
      </c>
      <c r="CS264" s="1409">
        <f ca="1">IF($B264&gt;=$J$5,0,CONTADORES!$BI272)</f>
        <v>0</v>
      </c>
      <c r="CT264" s="1334">
        <f>CONTADORES!E272</f>
        <v>0</v>
      </c>
      <c r="CU264" s="1334">
        <f>CONTADORES!CG272</f>
        <v>0</v>
      </c>
    </row>
    <row r="265" spans="2:99">
      <c r="B265" s="390">
        <v>45181</v>
      </c>
      <c r="C265" s="202">
        <f t="shared" ca="1" si="101"/>
        <v>0</v>
      </c>
      <c r="D265" s="196">
        <f ca="1">'CALCULO DE GAS'!P83</f>
        <v>0</v>
      </c>
      <c r="E265" s="196">
        <f ca="1">IF(B265&gt;=$J$5,0,(CONTADORES!$AD273-CONTADORES!$AD272)-$H265)</f>
        <v>0</v>
      </c>
      <c r="F265" s="198">
        <f t="shared" ca="1" si="133"/>
        <v>0</v>
      </c>
      <c r="G265" s="196">
        <f ca="1">IF(B265&gt;=$J$5,0,CONTADORES!$AF273-CONTADORES!$AF272)</f>
        <v>0</v>
      </c>
      <c r="H265" s="196">
        <f ca="1">IF(G265&gt;0,CONTADORES!$AE273-CONTADORES!$AE272,0)</f>
        <v>0</v>
      </c>
      <c r="I265" s="1396">
        <f ca="1">IF(B265&gt;=$J$5,0,CONTADORES!$AB273-CONTADORES!$AB272)</f>
        <v>0</v>
      </c>
      <c r="J265" s="202">
        <f t="shared" ca="1" si="102"/>
        <v>0</v>
      </c>
      <c r="K265" s="196">
        <f ca="1">'CALCULO DE GAS'!Q83</f>
        <v>0</v>
      </c>
      <c r="L265" s="1396">
        <f ca="1">IF(B265&gt;=$J$5,0,(CONTADORES!$Y273-CONTADORES!$Y272)-$O265)</f>
        <v>0</v>
      </c>
      <c r="M265" s="1396">
        <f t="shared" ca="1" si="132"/>
        <v>0</v>
      </c>
      <c r="N265" s="1396">
        <f ca="1">IF(B265&gt;=$J$5,0,CONTADORES!$AA273-CONTADORES!$AA272)</f>
        <v>0</v>
      </c>
      <c r="O265" s="199">
        <f ca="1">IF(N265&gt;0,CONTADORES!$Z273-CONTADORES!$Z272,0)</f>
        <v>0</v>
      </c>
      <c r="P265" s="1398">
        <f ca="1">IF(B265&gt;=$J$5,0,CONTADORES!$W273-CONTADORES!$W272)</f>
        <v>0</v>
      </c>
      <c r="Q265" s="202">
        <f ca="1">IF(B265&gt;=$J$5,0,CONTADORES!$B273-CONTADORES!$B272)</f>
        <v>0</v>
      </c>
      <c r="R265" s="196">
        <f t="shared" ca="1" si="103"/>
        <v>0</v>
      </c>
      <c r="S265" s="11">
        <f ca="1">IF(B265&gt;=$J$5,0,CONTADORES!$D273-CONTADORES!$D272)</f>
        <v>0</v>
      </c>
      <c r="T265" s="202">
        <f ca="1">IF(B265&gt;=$J$5,0,CONTADORES!$BB273-CONTADORES!$BB272)</f>
        <v>0</v>
      </c>
      <c r="U265" s="196">
        <f t="shared" ca="1" si="131"/>
        <v>0</v>
      </c>
      <c r="V265" s="199">
        <f ca="1">IF(B265&gt;=$J$5,0,CONTADORES!$BD273-CONTADORES!$BD272)</f>
        <v>0</v>
      </c>
      <c r="W265" s="1397">
        <f t="shared" ca="1" si="104"/>
        <v>0</v>
      </c>
      <c r="X265" s="1397">
        <f t="shared" ca="1" si="105"/>
        <v>0</v>
      </c>
      <c r="Y265" s="1398">
        <f t="shared" ca="1" si="106"/>
        <v>0</v>
      </c>
      <c r="Z265" s="1398">
        <f t="shared" ca="1" si="107"/>
        <v>0</v>
      </c>
      <c r="AA265" s="1398">
        <f t="shared" ca="1" si="108"/>
        <v>0</v>
      </c>
      <c r="AB265" s="1398">
        <f t="shared" ca="1" si="109"/>
        <v>0</v>
      </c>
      <c r="AC265" s="1397">
        <f t="shared" ca="1" si="110"/>
        <v>0</v>
      </c>
      <c r="AD265" s="1398">
        <f ca="1">IF(B265&gt;=$J$5,0,CONTADORES!H273-CONTADORES!H272)</f>
        <v>0</v>
      </c>
      <c r="AE265" s="1397">
        <f ca="1">IF(B265&gt;=$J$5,0,CONTADORES!J273-CONTADORES!J272)</f>
        <v>0</v>
      </c>
      <c r="AF265" s="1398">
        <f ca="1">IF(B265&gt;=$J$5,0,CONTADORES!AU273-CONTADORES!AU272)</f>
        <v>0</v>
      </c>
      <c r="AG265" s="1397">
        <f ca="1">IF(B265&gt;=$J$5,0,CONTADORES!AW273-CONTADORES!AW272)</f>
        <v>0</v>
      </c>
      <c r="AH265" s="1398">
        <f ca="1">IF(B265&gt;=$J$5,0,(CONTADORES!AM273-CONTADORES!AM272)+(CONTADORES!M273-CONTADORES!M272))</f>
        <v>0</v>
      </c>
      <c r="AI265" s="1398">
        <f ca="1">IF(B265&gt;=$J$5,0,(CONTADORES!AK273-CONTADORES!AK272)+(CONTADORES!O273-CONTADORES!O272))</f>
        <v>0</v>
      </c>
      <c r="AJ265" s="1398">
        <f ca="1">IF(B265&gt;=$J$5,0,(CONTADORES!AI273-CONTADORES!AI272))</f>
        <v>0</v>
      </c>
      <c r="AK265" s="1398">
        <f ca="1">IF(B265&gt;=$J$5,0,(CONTADORES!Q273-CONTADORES!Q272))</f>
        <v>0</v>
      </c>
      <c r="AL265" s="1461">
        <f t="shared" ca="1" si="111"/>
        <v>0</v>
      </c>
      <c r="AM265" s="1409">
        <f ca="1">IF(B265&gt;=$J$5,0,(((CONTADORES!F273-CONTADORES!F272)+(CONTADORES!AQ273-CONTADORES!AQ272))))-BS265-AF265-AN265-BV265-BY265-CD265-CB265</f>
        <v>0</v>
      </c>
      <c r="AN265" s="1398">
        <f ca="1">IF(B265&gt;=$J$5,0,(CONTADORES!AX273-CONTADORES!AX272)+(CONTADORES!AZ273-CONTADORES!AZ272)+(CONTADORES!BE273-CONTADORES!BE272))</f>
        <v>0</v>
      </c>
      <c r="AO265" s="1433">
        <f>(CONTADORES!AC273-CONTADORES!AC272)</f>
        <v>0</v>
      </c>
      <c r="AP265" s="1433">
        <f>(CONTADORES!X273-CONTADORES!X272)</f>
        <v>0</v>
      </c>
      <c r="AQ265" s="1399">
        <f>(CONTADORES!C273-CONTADORES!C272)</f>
        <v>0</v>
      </c>
      <c r="AR265" s="1399">
        <f>(CONTADORES!BC273-CONTADORES!BC272)</f>
        <v>0</v>
      </c>
      <c r="AS265" s="1397">
        <f ca="1">IF(B265&gt;=$J$5,0,CONTADORES!S273-CONTADORES!S272)</f>
        <v>0</v>
      </c>
      <c r="AT265" s="1397">
        <f ca="1">IF(B265&gt;=$J$5,0,(CONTADORES!U273-CONTADORES!U272)+(CONTADORES!AG273-CONTADORES!AG272))</f>
        <v>0</v>
      </c>
      <c r="AU265" s="1433">
        <f>CONTADORES!I273-CONTADORES!I272</f>
        <v>0</v>
      </c>
      <c r="AV265" s="1399">
        <f>CONTADORES!AV273-CONTADORES!AV272</f>
        <v>0</v>
      </c>
      <c r="AW265" s="1399">
        <f ca="1">IF(B265&gt;=$J$5,0,(CONTADORES!N273-CONTADORES!N272)+(CONTADORES!AN273-CONTADORES!AN272))</f>
        <v>0</v>
      </c>
      <c r="AX265" s="1399">
        <f ca="1">IF(B265&gt;=$J$5,0,(CONTADORES!P273-CONTADORES!P272)+(CONTADORES!AL273-CONTADORES!AL272))</f>
        <v>0</v>
      </c>
      <c r="AY265" s="1399">
        <f ca="1">IF(B265&gt;=$J$5,0,(CONTADORES!AJ273-CONTADORES!AJ272))</f>
        <v>0</v>
      </c>
      <c r="AZ265" s="1399">
        <f ca="1">IF(B265&gt;=$J$5,0,(CONTADORES!R273-CONTADORES!R272))</f>
        <v>0</v>
      </c>
      <c r="BA265" s="1409">
        <f t="shared" ca="1" si="112"/>
        <v>0</v>
      </c>
      <c r="BB265" s="1399">
        <f ca="1">IF(B265&gt;=$J$5,0,(((CONTADORES!G273-CONTADORES!G272)+(CONTADORES!AR273-CONTADORES!AR272)+AR265)-(AV265+BC265)))</f>
        <v>0</v>
      </c>
      <c r="BC265" s="1397">
        <f ca="1">IF(B265&gt;=$J$5,0,(CONTADORES!AY273-CONTADORES!AY272)+(CONTADORES!BA273-CONTADORES!BA272)+(CONTADORES!BF273-CONTADORES!BF272))</f>
        <v>0</v>
      </c>
      <c r="BD265" s="1397">
        <f t="shared" si="113"/>
        <v>0</v>
      </c>
      <c r="BE265" s="1398">
        <f ca="1">IF($B265&gt;=$J$5,0,CONTADORES!$BG273)</f>
        <v>0</v>
      </c>
      <c r="BF265" s="1397">
        <f ca="1">IF($B265&gt;=$J$5,0,CONTADORES!$BH273)</f>
        <v>0</v>
      </c>
      <c r="BG265" s="1397">
        <f ca="1">IF($B265&gt;=$J$5,0,CONTADORES!$BJ273)</f>
        <v>0</v>
      </c>
      <c r="BH265" s="1397">
        <f ca="1">IF(B265&gt;=$J$5,0,((CONTADORES!BK273-CONTADORES!BK272)/1000))</f>
        <v>0</v>
      </c>
      <c r="BI265" s="1397">
        <f ca="1">IF(C265&gt;=$J$5,0,((CONTADORES!BL273-CONTADORES!BL272)/1000))</f>
        <v>0</v>
      </c>
      <c r="BJ265" s="1397">
        <f ca="1">IF(C265&gt;=$J$5,0,((CONTADORES!BM273-CONTADORES!BM272)/1000))</f>
        <v>0</v>
      </c>
      <c r="BK265" s="1397">
        <f ca="1">IF(D265&gt;=$J$5,0,((CONTADORES!BN273-CONTADORES!BN272)/1000))</f>
        <v>0</v>
      </c>
      <c r="BL265" s="1399">
        <f t="shared" ca="1" si="114"/>
        <v>0</v>
      </c>
      <c r="BM265" s="1399">
        <f t="shared" ca="1" si="115"/>
        <v>0</v>
      </c>
      <c r="BN265" s="1398">
        <f ca="1">IF(W265&gt;=$J$5,0,CONTADORES!$BO273)</f>
        <v>0</v>
      </c>
      <c r="BO265" s="1397">
        <f ca="1">IF(W265&gt;=$J$5,0,CONTADORES!$BP273)</f>
        <v>0</v>
      </c>
      <c r="BP265" s="1397">
        <f ca="1">IF(W265&gt;=$J$5,0,CONTADORES!$BQ273)</f>
        <v>0</v>
      </c>
      <c r="BQ265" s="1397">
        <f ca="1">IF(B265&gt;=$J$5,0,(CONTADORES!AS273-CONTADORES!AS272))</f>
        <v>0</v>
      </c>
      <c r="BR265" s="1397">
        <f ca="1">IF(C265&gt;=$J$5,0,(CONTADORES!AT273-CONTADORES!AT272))</f>
        <v>0</v>
      </c>
      <c r="BS265" s="1397">
        <f ca="1">IF(B265&gt;=$J$5,0,CONTADORES!BR273-CONTADORES!BR272)/1000</f>
        <v>0</v>
      </c>
      <c r="BT265" s="1397">
        <f ca="1">IF(BF265&gt;=$J$5,0,CONTADORES!BS273-CONTADORES!BS272)</f>
        <v>0</v>
      </c>
      <c r="BU265" s="1397">
        <f ca="1">IF(BG265&gt;=$J$5,0,CONTADORES!BT273-CONTADORES!BT272)</f>
        <v>0</v>
      </c>
      <c r="BV265" s="1397">
        <f ca="1">IF(B265&gt;=$J$5,0,CONTADORES!BU273-CONTADORES!BU272)/1000</f>
        <v>0</v>
      </c>
      <c r="BW265" s="1397">
        <f ca="1">IF(B265&gt;=$J$5,0,CONTADORES!BV273-CONTADORES!BV272)/1000</f>
        <v>0</v>
      </c>
      <c r="BX265" s="1397">
        <f ca="1">IF(B265&gt;=$J$5,0,CONTADORES!BW273-CONTADORES!BW272)</f>
        <v>0</v>
      </c>
      <c r="BY265" s="1397">
        <f ca="1">IF(B265&gt;=$J$5,0,CONTADORES!BX273-CONTADORES!BX272)/1000</f>
        <v>0</v>
      </c>
      <c r="BZ265" s="1397">
        <f ca="1">IF(B265&gt;=$J$5,0,CONTADORES!BY273-CONTADORES!BY272)/1000</f>
        <v>0</v>
      </c>
      <c r="CA265" s="1397">
        <f ca="1">IF(B265&gt;=$J$5,0,CONTADORES!BZ273-CONTADORES!BZ272)</f>
        <v>0</v>
      </c>
      <c r="CB265" s="1398">
        <f ca="1">IF(B265&gt;=$J$5,0,(CONTADORES!CC273-CONTADORES!CC272)+(CONTADORES!CE273-CONTADORES!CE272))/1000</f>
        <v>0</v>
      </c>
      <c r="CC265" s="1398">
        <f ca="1">IF(B265&gt;=$J$5,0,(CONTADORES!CD273-CONTADORES!CD272)+(CONTADORES!CF273-CONTADORES!CF272))/1000</f>
        <v>0</v>
      </c>
      <c r="CD265" s="1398">
        <f ca="1">IF(B265&gt;=$J$5,0,CONTADORES!CA273-CONTADORES!CA272)</f>
        <v>0</v>
      </c>
      <c r="CE265" s="1398">
        <f ca="1">IF(B265&gt;=$J$5,0,CONTADORES!CB273-CONTADORES!CB272)</f>
        <v>0</v>
      </c>
      <c r="CF265" s="1409">
        <f t="shared" ca="1" si="116"/>
        <v>0</v>
      </c>
      <c r="CG265" s="1409">
        <f t="shared" ca="1" si="117"/>
        <v>0</v>
      </c>
      <c r="CH265" s="1409">
        <f t="shared" ca="1" si="118"/>
        <v>0</v>
      </c>
      <c r="CI265" s="1409">
        <f t="shared" ca="1" si="119"/>
        <v>0</v>
      </c>
      <c r="CJ265" s="1409">
        <f t="shared" ca="1" si="120"/>
        <v>0</v>
      </c>
      <c r="CK265" s="1409">
        <f t="shared" ca="1" si="121"/>
        <v>0</v>
      </c>
      <c r="CL265" s="1409">
        <f t="shared" ca="1" si="122"/>
        <v>0</v>
      </c>
      <c r="CM265" s="1409">
        <f t="shared" ca="1" si="123"/>
        <v>0</v>
      </c>
      <c r="CN265" s="1409">
        <f ca="1">IF(B265&gt;=$J$5,0,CONTADORES!CB273-CONTADORES!CB272)</f>
        <v>0</v>
      </c>
      <c r="CO265" s="1409">
        <f t="shared" ca="1" si="124"/>
        <v>0</v>
      </c>
      <c r="CP265" s="1409">
        <f t="shared" ca="1" si="125"/>
        <v>0</v>
      </c>
      <c r="CQ265" s="1409">
        <f t="shared" ca="1" si="126"/>
        <v>0</v>
      </c>
      <c r="CR265" s="1409">
        <f t="shared" ca="1" si="127"/>
        <v>0</v>
      </c>
      <c r="CS265" s="1409">
        <f ca="1">IF($B265&gt;=$J$5,0,CONTADORES!$BI273)</f>
        <v>0</v>
      </c>
      <c r="CT265" s="1334">
        <f>CONTADORES!E273</f>
        <v>0</v>
      </c>
      <c r="CU265" s="1334">
        <f>CONTADORES!CG273</f>
        <v>0</v>
      </c>
    </row>
    <row r="266" spans="2:99">
      <c r="B266" s="390">
        <v>45182</v>
      </c>
      <c r="C266" s="202">
        <f t="shared" ca="1" si="101"/>
        <v>0</v>
      </c>
      <c r="D266" s="196">
        <f ca="1">'CALCULO DE GAS'!P84</f>
        <v>0</v>
      </c>
      <c r="E266" s="196">
        <f ca="1">IF(B266&gt;=$J$5,0,(CONTADORES!$AD274-CONTADORES!$AD273)-$H266)</f>
        <v>0</v>
      </c>
      <c r="F266" s="198">
        <f t="shared" ca="1" si="133"/>
        <v>0</v>
      </c>
      <c r="G266" s="196">
        <f ca="1">IF(B266&gt;=$J$5,0,CONTADORES!$AF274-CONTADORES!$AF273)</f>
        <v>0</v>
      </c>
      <c r="H266" s="196">
        <f ca="1">IF(G266&gt;0,CONTADORES!$AE274-CONTADORES!$AE273,0)</f>
        <v>0</v>
      </c>
      <c r="I266" s="1396">
        <f ca="1">IF(B266&gt;=$J$5,0,CONTADORES!$AB274-CONTADORES!$AB273)</f>
        <v>0</v>
      </c>
      <c r="J266" s="202">
        <f t="shared" ca="1" si="102"/>
        <v>0</v>
      </c>
      <c r="K266" s="196">
        <f ca="1">'CALCULO DE GAS'!Q84</f>
        <v>0</v>
      </c>
      <c r="L266" s="1396">
        <f ca="1">IF(B266&gt;=$J$5,0,(CONTADORES!$Y274-CONTADORES!$Y273)-$O266)</f>
        <v>0</v>
      </c>
      <c r="M266" s="1396">
        <f t="shared" ca="1" si="132"/>
        <v>0</v>
      </c>
      <c r="N266" s="1396">
        <f ca="1">IF(B266&gt;=$J$5,0,CONTADORES!$AA274-CONTADORES!$AA273)</f>
        <v>0</v>
      </c>
      <c r="O266" s="199">
        <f ca="1">IF(N266&gt;0,CONTADORES!$Z274-CONTADORES!$Z273,0)</f>
        <v>0</v>
      </c>
      <c r="P266" s="1398">
        <f ca="1">IF(B266&gt;=$J$5,0,CONTADORES!$W274-CONTADORES!$W273)</f>
        <v>0</v>
      </c>
      <c r="Q266" s="202">
        <f ca="1">IF(B266&gt;=$J$5,0,CONTADORES!$B274-CONTADORES!$B273)</f>
        <v>0</v>
      </c>
      <c r="R266" s="196">
        <f t="shared" ca="1" si="103"/>
        <v>0</v>
      </c>
      <c r="S266" s="11">
        <f ca="1">IF(B266&gt;=$J$5,0,CONTADORES!$D274-CONTADORES!$D273)</f>
        <v>0</v>
      </c>
      <c r="T266" s="202">
        <f ca="1">IF(B266&gt;=$J$5,0,CONTADORES!$BB274-CONTADORES!$BB273)</f>
        <v>0</v>
      </c>
      <c r="U266" s="196">
        <f t="shared" ca="1" si="131"/>
        <v>0</v>
      </c>
      <c r="V266" s="199">
        <f ca="1">IF(B266&gt;=$J$5,0,CONTADORES!$BD274-CONTADORES!$BD273)</f>
        <v>0</v>
      </c>
      <c r="W266" s="1397">
        <f t="shared" ca="1" si="104"/>
        <v>0</v>
      </c>
      <c r="X266" s="1397">
        <f t="shared" ca="1" si="105"/>
        <v>0</v>
      </c>
      <c r="Y266" s="1398">
        <f t="shared" ca="1" si="106"/>
        <v>0</v>
      </c>
      <c r="Z266" s="1398">
        <f t="shared" ca="1" si="107"/>
        <v>0</v>
      </c>
      <c r="AA266" s="1398">
        <f t="shared" ca="1" si="108"/>
        <v>0</v>
      </c>
      <c r="AB266" s="1398">
        <f t="shared" ca="1" si="109"/>
        <v>0</v>
      </c>
      <c r="AC266" s="1397">
        <f t="shared" ca="1" si="110"/>
        <v>0</v>
      </c>
      <c r="AD266" s="1398">
        <f ca="1">IF(B266&gt;=$J$5,0,CONTADORES!H274-CONTADORES!H273)</f>
        <v>0</v>
      </c>
      <c r="AE266" s="1397">
        <f ca="1">IF(B266&gt;=$J$5,0,CONTADORES!J274-CONTADORES!J273)</f>
        <v>0</v>
      </c>
      <c r="AF266" s="1398">
        <f ca="1">IF(B266&gt;=$J$5,0,CONTADORES!AU274-CONTADORES!AU273)</f>
        <v>0</v>
      </c>
      <c r="AG266" s="1397">
        <f ca="1">IF(B266&gt;=$J$5,0,CONTADORES!AW274-CONTADORES!AW273)</f>
        <v>0</v>
      </c>
      <c r="AH266" s="1398">
        <f ca="1">IF(B266&gt;=$J$5,0,(CONTADORES!AM274-CONTADORES!AM273)+(CONTADORES!M274-CONTADORES!M273))</f>
        <v>0</v>
      </c>
      <c r="AI266" s="1398">
        <f ca="1">IF(B266&gt;=$J$5,0,(CONTADORES!AK274-CONTADORES!AK273)+(CONTADORES!O274-CONTADORES!O273))</f>
        <v>0</v>
      </c>
      <c r="AJ266" s="1398">
        <f ca="1">IF(B266&gt;=$J$5,0,(CONTADORES!AI274-CONTADORES!AI273))</f>
        <v>0</v>
      </c>
      <c r="AK266" s="1398">
        <f ca="1">IF(B266&gt;=$J$5,0,(CONTADORES!Q274-CONTADORES!Q273))</f>
        <v>0</v>
      </c>
      <c r="AL266" s="1461">
        <f t="shared" ca="1" si="111"/>
        <v>0</v>
      </c>
      <c r="AM266" s="1409">
        <f ca="1">IF(B266&gt;=$J$5,0,(((CONTADORES!F274-CONTADORES!F273)+(CONTADORES!AQ274-CONTADORES!AQ273))))-BS266-AF266-AN266-BV266-BY266-CD266-CB266</f>
        <v>0</v>
      </c>
      <c r="AN266" s="1398">
        <f ca="1">IF(B266&gt;=$J$5,0,(CONTADORES!AX274-CONTADORES!AX273)+(CONTADORES!AZ274-CONTADORES!AZ273)+(CONTADORES!BE274-CONTADORES!BE273))</f>
        <v>0</v>
      </c>
      <c r="AO266" s="1433">
        <f>(CONTADORES!AC274-CONTADORES!AC273)</f>
        <v>0</v>
      </c>
      <c r="AP266" s="1433">
        <f>(CONTADORES!X274-CONTADORES!X273)</f>
        <v>0</v>
      </c>
      <c r="AQ266" s="1399">
        <f>(CONTADORES!C274-CONTADORES!C273)</f>
        <v>0</v>
      </c>
      <c r="AR266" s="1399">
        <f>(CONTADORES!BC274-CONTADORES!BC273)</f>
        <v>0</v>
      </c>
      <c r="AS266" s="1397">
        <f ca="1">IF(B266&gt;=$J$5,0,CONTADORES!S274-CONTADORES!S273)</f>
        <v>0</v>
      </c>
      <c r="AT266" s="1397">
        <f ca="1">IF(B266&gt;=$J$5,0,(CONTADORES!U274-CONTADORES!U273)+(CONTADORES!AG274-CONTADORES!AG273))</f>
        <v>0</v>
      </c>
      <c r="AU266" s="1433">
        <f>CONTADORES!I274-CONTADORES!I273</f>
        <v>0</v>
      </c>
      <c r="AV266" s="1399">
        <f>CONTADORES!AV274-CONTADORES!AV273</f>
        <v>0</v>
      </c>
      <c r="AW266" s="1399">
        <f ca="1">IF(B266&gt;=$J$5,0,(CONTADORES!N274-CONTADORES!N273)+(CONTADORES!AN274-CONTADORES!AN273))</f>
        <v>0</v>
      </c>
      <c r="AX266" s="1399">
        <f ca="1">IF(B266&gt;=$J$5,0,(CONTADORES!P274-CONTADORES!P273)+(CONTADORES!AL274-CONTADORES!AL273))</f>
        <v>0</v>
      </c>
      <c r="AY266" s="1399">
        <f ca="1">IF(B266&gt;=$J$5,0,(CONTADORES!AJ274-CONTADORES!AJ273))</f>
        <v>0</v>
      </c>
      <c r="AZ266" s="1399">
        <f ca="1">IF(B266&gt;=$J$5,0,(CONTADORES!R274-CONTADORES!R273))</f>
        <v>0</v>
      </c>
      <c r="BA266" s="1409">
        <f t="shared" ca="1" si="112"/>
        <v>0</v>
      </c>
      <c r="BB266" s="1399">
        <f ca="1">IF(B266&gt;=$J$5,0,(((CONTADORES!G274-CONTADORES!G273)+(CONTADORES!AR274-CONTADORES!AR273)+AR266)-(AV266+BC266)))</f>
        <v>0</v>
      </c>
      <c r="BC266" s="1397">
        <f ca="1">IF(B266&gt;=$J$5,0,(CONTADORES!AY274-CONTADORES!AY273)+(CONTADORES!BA274-CONTADORES!BA273)+(CONTADORES!BF274-CONTADORES!BF273))</f>
        <v>0</v>
      </c>
      <c r="BD266" s="1397">
        <f t="shared" si="113"/>
        <v>0</v>
      </c>
      <c r="BE266" s="1398">
        <f ca="1">IF($B266&gt;=$J$5,0,CONTADORES!$BG274)</f>
        <v>0</v>
      </c>
      <c r="BF266" s="1397">
        <f ca="1">IF($B266&gt;=$J$5,0,CONTADORES!$BH274)</f>
        <v>0</v>
      </c>
      <c r="BG266" s="1397">
        <f ca="1">IF($B266&gt;=$J$5,0,CONTADORES!$BJ274)</f>
        <v>0</v>
      </c>
      <c r="BH266" s="1397">
        <f ca="1">IF(B266&gt;=$J$5,0,((CONTADORES!BK274-CONTADORES!BK273)/1000))</f>
        <v>0</v>
      </c>
      <c r="BI266" s="1397">
        <f ca="1">IF(C266&gt;=$J$5,0,((CONTADORES!BL274-CONTADORES!BL273)/1000))</f>
        <v>0</v>
      </c>
      <c r="BJ266" s="1397">
        <f ca="1">IF(C266&gt;=$J$5,0,((CONTADORES!BM274-CONTADORES!BM273)/1000))</f>
        <v>0</v>
      </c>
      <c r="BK266" s="1397">
        <f ca="1">IF(D266&gt;=$J$5,0,((CONTADORES!BN274-CONTADORES!BN273)/1000))</f>
        <v>0</v>
      </c>
      <c r="BL266" s="1399">
        <f t="shared" ca="1" si="114"/>
        <v>0</v>
      </c>
      <c r="BM266" s="1399">
        <f t="shared" ca="1" si="115"/>
        <v>0</v>
      </c>
      <c r="BN266" s="1398">
        <f ca="1">IF(W266&gt;=$J$5,0,CONTADORES!$BO274)</f>
        <v>0</v>
      </c>
      <c r="BO266" s="1397">
        <f ca="1">IF(W266&gt;=$J$5,0,CONTADORES!$BP274)</f>
        <v>0</v>
      </c>
      <c r="BP266" s="1397">
        <f ca="1">IF(W266&gt;=$J$5,0,CONTADORES!$BQ274)</f>
        <v>0</v>
      </c>
      <c r="BQ266" s="1397">
        <f ca="1">IF(B266&gt;=$J$5,0,(CONTADORES!AS274-CONTADORES!AS273))</f>
        <v>0</v>
      </c>
      <c r="BR266" s="1397">
        <f ca="1">IF(C266&gt;=$J$5,0,(CONTADORES!AT274-CONTADORES!AT273))</f>
        <v>0</v>
      </c>
      <c r="BS266" s="1397">
        <f ca="1">IF(B266&gt;=$J$5,0,CONTADORES!BR274-CONTADORES!BR273)/1000</f>
        <v>0</v>
      </c>
      <c r="BT266" s="1397">
        <f ca="1">IF(BF266&gt;=$J$5,0,CONTADORES!BS274-CONTADORES!BS273)</f>
        <v>0</v>
      </c>
      <c r="BU266" s="1397">
        <f ca="1">IF(BG266&gt;=$J$5,0,CONTADORES!BT274-CONTADORES!BT273)</f>
        <v>0</v>
      </c>
      <c r="BV266" s="1397">
        <f ca="1">IF(B266&gt;=$J$5,0,CONTADORES!BU274-CONTADORES!BU273)/1000</f>
        <v>0</v>
      </c>
      <c r="BW266" s="1397">
        <f ca="1">IF(B266&gt;=$J$5,0,CONTADORES!BV274-CONTADORES!BV273)/1000</f>
        <v>0</v>
      </c>
      <c r="BX266" s="1397">
        <f ca="1">IF(B266&gt;=$J$5,0,CONTADORES!BW274-CONTADORES!BW273)</f>
        <v>0</v>
      </c>
      <c r="BY266" s="1397">
        <f ca="1">IF(B266&gt;=$J$5,0,CONTADORES!BX274-CONTADORES!BX273)/1000</f>
        <v>0</v>
      </c>
      <c r="BZ266" s="1397">
        <f ca="1">IF(B266&gt;=$J$5,0,CONTADORES!BY274-CONTADORES!BY273)/1000</f>
        <v>0</v>
      </c>
      <c r="CA266" s="1397">
        <f ca="1">IF(B266&gt;=$J$5,0,CONTADORES!BZ274-CONTADORES!BZ273)</f>
        <v>0</v>
      </c>
      <c r="CB266" s="1398">
        <f ca="1">IF(B266&gt;=$J$5,0,(CONTADORES!CC274-CONTADORES!CC273)+(CONTADORES!CE274-CONTADORES!CE273))/1000</f>
        <v>0</v>
      </c>
      <c r="CC266" s="1398">
        <f ca="1">IF(B266&gt;=$J$5,0,(CONTADORES!CD274-CONTADORES!CD273)+(CONTADORES!CF274-CONTADORES!CF273))/1000</f>
        <v>0</v>
      </c>
      <c r="CD266" s="1398">
        <f ca="1">IF(B266&gt;=$J$5,0,CONTADORES!CA274-CONTADORES!CA273)</f>
        <v>0</v>
      </c>
      <c r="CE266" s="1398">
        <f ca="1">IF(B266&gt;=$J$5,0,CONTADORES!CB274-CONTADORES!CB273)</f>
        <v>0</v>
      </c>
      <c r="CF266" s="1409">
        <f t="shared" ca="1" si="116"/>
        <v>0</v>
      </c>
      <c r="CG266" s="1409">
        <f t="shared" ca="1" si="117"/>
        <v>0</v>
      </c>
      <c r="CH266" s="1409">
        <f t="shared" ca="1" si="118"/>
        <v>0</v>
      </c>
      <c r="CI266" s="1409">
        <f t="shared" ca="1" si="119"/>
        <v>0</v>
      </c>
      <c r="CJ266" s="1409">
        <f t="shared" ca="1" si="120"/>
        <v>0</v>
      </c>
      <c r="CK266" s="1409">
        <f t="shared" ca="1" si="121"/>
        <v>0</v>
      </c>
      <c r="CL266" s="1409">
        <f t="shared" ca="1" si="122"/>
        <v>0</v>
      </c>
      <c r="CM266" s="1409">
        <f t="shared" ca="1" si="123"/>
        <v>0</v>
      </c>
      <c r="CN266" s="1409">
        <f ca="1">IF(B266&gt;=$J$5,0,CONTADORES!CB274-CONTADORES!CB273)</f>
        <v>0</v>
      </c>
      <c r="CO266" s="1409">
        <f t="shared" ca="1" si="124"/>
        <v>0</v>
      </c>
      <c r="CP266" s="1409">
        <f t="shared" ca="1" si="125"/>
        <v>0</v>
      </c>
      <c r="CQ266" s="1409">
        <f t="shared" ca="1" si="126"/>
        <v>0</v>
      </c>
      <c r="CR266" s="1409">
        <f t="shared" ca="1" si="127"/>
        <v>0</v>
      </c>
      <c r="CS266" s="1409">
        <f ca="1">IF($B266&gt;=$J$5,0,CONTADORES!$BI274)</f>
        <v>0</v>
      </c>
      <c r="CT266" s="1334">
        <f>CONTADORES!E274</f>
        <v>0</v>
      </c>
      <c r="CU266" s="1334">
        <f>CONTADORES!CG274</f>
        <v>0</v>
      </c>
    </row>
    <row r="267" spans="2:99">
      <c r="B267" s="390">
        <v>45183</v>
      </c>
      <c r="C267" s="202">
        <f t="shared" ref="C267:C330" ca="1" si="134">I267-F267</f>
        <v>0</v>
      </c>
      <c r="D267" s="196">
        <f ca="1">'CALCULO DE GAS'!P85</f>
        <v>0</v>
      </c>
      <c r="E267" s="196">
        <f ca="1">IF(B267&gt;=$J$5,0,(CONTADORES!$AD275-CONTADORES!$AD274)-$H267)</f>
        <v>0</v>
      </c>
      <c r="F267" s="198">
        <f t="shared" ca="1" si="133"/>
        <v>0</v>
      </c>
      <c r="G267" s="196">
        <f ca="1">IF(B267&gt;=$J$5,0,CONTADORES!$AF275-CONTADORES!$AF274)</f>
        <v>0</v>
      </c>
      <c r="H267" s="196">
        <f ca="1">IF(G267&gt;0,CONTADORES!$AE275-CONTADORES!$AE274,0)</f>
        <v>0</v>
      </c>
      <c r="I267" s="1396">
        <f ca="1">IF(B267&gt;=$J$5,0,CONTADORES!$AB275-CONTADORES!$AB274)</f>
        <v>0</v>
      </c>
      <c r="J267" s="202">
        <f t="shared" ref="J267:J330" ca="1" si="135">P267-M267</f>
        <v>0</v>
      </c>
      <c r="K267" s="196">
        <f ca="1">'CALCULO DE GAS'!Q85</f>
        <v>0</v>
      </c>
      <c r="L267" s="1396">
        <f ca="1">IF(B267&gt;=$J$5,0,(CONTADORES!$Y275-CONTADORES!$Y274)-$O267)</f>
        <v>0</v>
      </c>
      <c r="M267" s="1396">
        <f t="shared" ca="1" si="132"/>
        <v>0</v>
      </c>
      <c r="N267" s="1396">
        <f ca="1">IF(B267&gt;=$J$5,0,CONTADORES!$AA275-CONTADORES!$AA274)</f>
        <v>0</v>
      </c>
      <c r="O267" s="199">
        <f ca="1">IF(N267&gt;0,CONTADORES!$Z275-CONTADORES!$Z274,0)</f>
        <v>0</v>
      </c>
      <c r="P267" s="1398">
        <f ca="1">IF(B267&gt;=$J$5,0,CONTADORES!$W275-CONTADORES!$W274)</f>
        <v>0</v>
      </c>
      <c r="Q267" s="202">
        <f ca="1">IF(B267&gt;=$J$5,0,CONTADORES!$B275-CONTADORES!$B274)</f>
        <v>0</v>
      </c>
      <c r="R267" s="196">
        <f t="shared" ref="R267:R330" ca="1" si="136">$Q267*120</f>
        <v>0</v>
      </c>
      <c r="S267" s="11">
        <f ca="1">IF(B267&gt;=$J$5,0,CONTADORES!$D275-CONTADORES!$D274)</f>
        <v>0</v>
      </c>
      <c r="T267" s="202">
        <f ca="1">IF(B267&gt;=$J$5,0,CONTADORES!$BB275-CONTADORES!$BB274)</f>
        <v>0</v>
      </c>
      <c r="U267" s="196">
        <f t="shared" ca="1" si="131"/>
        <v>0</v>
      </c>
      <c r="V267" s="199">
        <f ca="1">IF(B267&gt;=$J$5,0,CONTADORES!$BD275-CONTADORES!$BD274)</f>
        <v>0</v>
      </c>
      <c r="W267" s="1397">
        <f t="shared" ref="W267:W330" ca="1" si="137">C267+J267</f>
        <v>0</v>
      </c>
      <c r="X267" s="1397">
        <f t="shared" ref="X267:X330" ca="1" si="138">F267+M267+Q267+T267</f>
        <v>0</v>
      </c>
      <c r="Y267" s="1398">
        <f t="shared" ref="Y267:Y330" ca="1" si="139">W267+X267</f>
        <v>0</v>
      </c>
      <c r="Z267" s="1398">
        <f t="shared" ref="Z267:Z330" ca="1" si="140">D267+K267</f>
        <v>0</v>
      </c>
      <c r="AA267" s="1398">
        <f t="shared" ref="AA267:AA330" ca="1" si="141">G267+N267+R267+U267</f>
        <v>0</v>
      </c>
      <c r="AB267" s="1398">
        <f t="shared" ref="AB267:AB330" ca="1" si="142">E267+L267</f>
        <v>0</v>
      </c>
      <c r="AC267" s="1397">
        <f t="shared" ref="AC267:AC330" ca="1" si="143">H267+O267+S267+V267</f>
        <v>0</v>
      </c>
      <c r="AD267" s="1398">
        <f ca="1">IF(B267&gt;=$J$5,0,CONTADORES!H275-CONTADORES!H274)</f>
        <v>0</v>
      </c>
      <c r="AE267" s="1397">
        <f ca="1">IF(B267&gt;=$J$5,0,CONTADORES!J275-CONTADORES!J274)</f>
        <v>0</v>
      </c>
      <c r="AF267" s="1398">
        <f ca="1">IF(B267&gt;=$J$5,0,CONTADORES!AU275-CONTADORES!AU274)</f>
        <v>0</v>
      </c>
      <c r="AG267" s="1397">
        <f ca="1">IF(B267&gt;=$J$5,0,CONTADORES!AW275-CONTADORES!AW274)</f>
        <v>0</v>
      </c>
      <c r="AH267" s="1398">
        <f ca="1">IF(B267&gt;=$J$5,0,(CONTADORES!AM275-CONTADORES!AM274)+(CONTADORES!M275-CONTADORES!M274))</f>
        <v>0</v>
      </c>
      <c r="AI267" s="1398">
        <f ca="1">IF(B267&gt;=$J$5,0,(CONTADORES!AK275-CONTADORES!AK274)+(CONTADORES!O275-CONTADORES!O274))</f>
        <v>0</v>
      </c>
      <c r="AJ267" s="1398">
        <f ca="1">IF(B267&gt;=$J$5,0,(CONTADORES!AI275-CONTADORES!AI274))</f>
        <v>0</v>
      </c>
      <c r="AK267" s="1398">
        <f ca="1">IF(B267&gt;=$J$5,0,(CONTADORES!Q275-CONTADORES!Q274))</f>
        <v>0</v>
      </c>
      <c r="AL267" s="1461">
        <f t="shared" ref="AL267:AL330" ca="1" si="144">Y267-(AD267+AF267+AH267+AI267+AJ267+AK267+CJ267+CK267+BS267+BV267+BY267+CF267+CL267)</f>
        <v>0</v>
      </c>
      <c r="AM267" s="1409">
        <f ca="1">IF(B267&gt;=$J$5,0,(((CONTADORES!F275-CONTADORES!F274)+(CONTADORES!AQ275-CONTADORES!AQ274))))-BS267-AF267-AN267-BV267-BY267-CD267-CB267</f>
        <v>0</v>
      </c>
      <c r="AN267" s="1398">
        <f ca="1">IF(B267&gt;=$J$5,0,(CONTADORES!AX275-CONTADORES!AX274)+(CONTADORES!AZ275-CONTADORES!AZ274)+(CONTADORES!BE275-CONTADORES!BE274))</f>
        <v>0</v>
      </c>
      <c r="AO267" s="1433">
        <f>(CONTADORES!AC275-CONTADORES!AC274)</f>
        <v>0</v>
      </c>
      <c r="AP267" s="1433">
        <f>(CONTADORES!X275-CONTADORES!X274)</f>
        <v>0</v>
      </c>
      <c r="AQ267" s="1399">
        <f>(CONTADORES!C275-CONTADORES!C274)</f>
        <v>0</v>
      </c>
      <c r="AR267" s="1399">
        <f>(CONTADORES!BC275-CONTADORES!BC274)</f>
        <v>0</v>
      </c>
      <c r="AS267" s="1397">
        <f ca="1">IF(B267&gt;=$J$5,0,CONTADORES!S275-CONTADORES!S274)</f>
        <v>0</v>
      </c>
      <c r="AT267" s="1397">
        <f ca="1">IF(B267&gt;=$J$5,0,(CONTADORES!U275-CONTADORES!U274)+(CONTADORES!AG275-CONTADORES!AG274))</f>
        <v>0</v>
      </c>
      <c r="AU267" s="1433">
        <f>CONTADORES!I275-CONTADORES!I274</f>
        <v>0</v>
      </c>
      <c r="AV267" s="1399">
        <f>CONTADORES!AV275-CONTADORES!AV274</f>
        <v>0</v>
      </c>
      <c r="AW267" s="1399">
        <f ca="1">IF(B267&gt;=$J$5,0,(CONTADORES!N275-CONTADORES!N274)+(CONTADORES!AN275-CONTADORES!AN274))</f>
        <v>0</v>
      </c>
      <c r="AX267" s="1399">
        <f ca="1">IF(B267&gt;=$J$5,0,(CONTADORES!P275-CONTADORES!P274)+(CONTADORES!AL275-CONTADORES!AL274))</f>
        <v>0</v>
      </c>
      <c r="AY267" s="1399">
        <f ca="1">IF(B267&gt;=$J$5,0,(CONTADORES!AJ275-CONTADORES!AJ274))</f>
        <v>0</v>
      </c>
      <c r="AZ267" s="1399">
        <f ca="1">IF(B267&gt;=$J$5,0,(CONTADORES!R275-CONTADORES!R274))</f>
        <v>0</v>
      </c>
      <c r="BA267" s="1409">
        <f t="shared" ref="BA267:BA330" ca="1" si="145">BD267-(AU267+AV267+AW267+AX267+AY267+AZ267+BT267+BW267+BZ267+CG267+CO267+CQ267+CR267)</f>
        <v>0</v>
      </c>
      <c r="BB267" s="1399">
        <f ca="1">IF(B267&gt;=$J$5,0,(((CONTADORES!G275-CONTADORES!G274)+(CONTADORES!AR275-CONTADORES!AR274)+AR267)-(AV267+BC267)))</f>
        <v>0</v>
      </c>
      <c r="BC267" s="1397">
        <f ca="1">IF(B267&gt;=$J$5,0,(CONTADORES!AY275-CONTADORES!AY274)+(CONTADORES!BA275-CONTADORES!BA274)+(CONTADORES!BF275-CONTADORES!BF274))</f>
        <v>0</v>
      </c>
      <c r="BD267" s="1397">
        <f t="shared" ref="BD267:BD330" si="146">SUM(AO267:AR267)</f>
        <v>0</v>
      </c>
      <c r="BE267" s="1398">
        <f ca="1">IF($B267&gt;=$J$5,0,CONTADORES!$BG275)</f>
        <v>0</v>
      </c>
      <c r="BF267" s="1397">
        <f ca="1">IF($B267&gt;=$J$5,0,CONTADORES!$BH275)</f>
        <v>0</v>
      </c>
      <c r="BG267" s="1397">
        <f ca="1">IF($B267&gt;=$J$5,0,CONTADORES!$BJ275)</f>
        <v>0</v>
      </c>
      <c r="BH267" s="1397">
        <f ca="1">IF(B267&gt;=$J$5,0,((CONTADORES!BK275-CONTADORES!BK274)/1000))</f>
        <v>0</v>
      </c>
      <c r="BI267" s="1397">
        <f ca="1">IF(C267&gt;=$J$5,0,((CONTADORES!BL275-CONTADORES!BL274)/1000))</f>
        <v>0</v>
      </c>
      <c r="BJ267" s="1397">
        <f ca="1">IF(C267&gt;=$J$5,0,((CONTADORES!BM275-CONTADORES!BM274)/1000))</f>
        <v>0</v>
      </c>
      <c r="BK267" s="1397">
        <f ca="1">IF(D267&gt;=$J$5,0,((CONTADORES!BN275-CONTADORES!BN274)/1000))</f>
        <v>0</v>
      </c>
      <c r="BL267" s="1399">
        <f t="shared" ref="BL267:BL330" ca="1" si="147">BH267+BJ267</f>
        <v>0</v>
      </c>
      <c r="BM267" s="1399">
        <f t="shared" ref="BM267:BM330" ca="1" si="148">BI267+BK267</f>
        <v>0</v>
      </c>
      <c r="BN267" s="1398">
        <f ca="1">IF(W267&gt;=$J$5,0,CONTADORES!$BO275)</f>
        <v>0</v>
      </c>
      <c r="BO267" s="1397">
        <f ca="1">IF(W267&gt;=$J$5,0,CONTADORES!$BP275)</f>
        <v>0</v>
      </c>
      <c r="BP267" s="1397">
        <f ca="1">IF(W267&gt;=$J$5,0,CONTADORES!$BQ275)</f>
        <v>0</v>
      </c>
      <c r="BQ267" s="1397">
        <f ca="1">IF(B267&gt;=$J$5,0,(CONTADORES!AS275-CONTADORES!AS274))</f>
        <v>0</v>
      </c>
      <c r="BR267" s="1397">
        <f ca="1">IF(C267&gt;=$J$5,0,(CONTADORES!AT275-CONTADORES!AT274))</f>
        <v>0</v>
      </c>
      <c r="BS267" s="1397">
        <f ca="1">IF(B267&gt;=$J$5,0,CONTADORES!BR275-CONTADORES!BR274)/1000</f>
        <v>0</v>
      </c>
      <c r="BT267" s="1397">
        <f ca="1">IF(BF267&gt;=$J$5,0,CONTADORES!BS275-CONTADORES!BS274)</f>
        <v>0</v>
      </c>
      <c r="BU267" s="1397">
        <f ca="1">IF(BG267&gt;=$J$5,0,CONTADORES!BT275-CONTADORES!BT274)</f>
        <v>0</v>
      </c>
      <c r="BV267" s="1397">
        <f ca="1">IF(B267&gt;=$J$5,0,CONTADORES!BU275-CONTADORES!BU274)/1000</f>
        <v>0</v>
      </c>
      <c r="BW267" s="1397">
        <f ca="1">IF(B267&gt;=$J$5,0,CONTADORES!BV275-CONTADORES!BV274)/1000</f>
        <v>0</v>
      </c>
      <c r="BX267" s="1397">
        <f ca="1">IF(B267&gt;=$J$5,0,CONTADORES!BW275-CONTADORES!BW274)</f>
        <v>0</v>
      </c>
      <c r="BY267" s="1397">
        <f ca="1">IF(B267&gt;=$J$5,0,CONTADORES!BX275-CONTADORES!BX274)/1000</f>
        <v>0</v>
      </c>
      <c r="BZ267" s="1397">
        <f ca="1">IF(B267&gt;=$J$5,0,CONTADORES!BY275-CONTADORES!BY274)/1000</f>
        <v>0</v>
      </c>
      <c r="CA267" s="1397">
        <f ca="1">IF(B267&gt;=$J$5,0,CONTADORES!BZ275-CONTADORES!BZ274)</f>
        <v>0</v>
      </c>
      <c r="CB267" s="1398">
        <f ca="1">IF(B267&gt;=$J$5,0,(CONTADORES!CC275-CONTADORES!CC274)+(CONTADORES!CE275-CONTADORES!CE274))/1000</f>
        <v>0</v>
      </c>
      <c r="CC267" s="1398">
        <f ca="1">IF(B267&gt;=$J$5,0,(CONTADORES!CD275-CONTADORES!CD274)+(CONTADORES!CF275-CONTADORES!CF274))/1000</f>
        <v>0</v>
      </c>
      <c r="CD267" s="1398">
        <f ca="1">IF(B267&gt;=$J$5,0,CONTADORES!CA275-CONTADORES!CA274)</f>
        <v>0</v>
      </c>
      <c r="CE267" s="1398">
        <f ca="1">IF(B267&gt;=$J$5,0,CONTADORES!CB275-CONTADORES!CB274)</f>
        <v>0</v>
      </c>
      <c r="CF267" s="1409">
        <f t="shared" ref="CF267:CF330" ca="1" si="149">CD267+CH267</f>
        <v>0</v>
      </c>
      <c r="CG267" s="1409">
        <f t="shared" ref="CG267:CG330" ca="1" si="150">CN267+CM267</f>
        <v>0</v>
      </c>
      <c r="CH267" s="1409">
        <f t="shared" ref="CH267:CH330" ca="1" si="151">(AM267*0.5)</f>
        <v>0</v>
      </c>
      <c r="CI267" s="1409">
        <f t="shared" ref="CI267:CI330" ca="1" si="152">(AN267*0.4)</f>
        <v>0</v>
      </c>
      <c r="CJ267" s="1409">
        <f t="shared" ref="CJ267:CJ330" ca="1" si="153">AM267-CH267</f>
        <v>0</v>
      </c>
      <c r="CK267" s="1409">
        <f t="shared" ref="CK267:CK330" ca="1" si="154">AN267-CI267</f>
        <v>0</v>
      </c>
      <c r="CL267" s="1409">
        <f t="shared" ref="CL267:CL330" ca="1" si="155">CB267+CI267</f>
        <v>0</v>
      </c>
      <c r="CM267" s="1409">
        <f t="shared" ref="CM267:CM330" ca="1" si="156">(BB267*0.5)</f>
        <v>0</v>
      </c>
      <c r="CN267" s="1409">
        <f ca="1">IF(B267&gt;=$J$5,0,CONTADORES!CB275-CONTADORES!CB274)</f>
        <v>0</v>
      </c>
      <c r="CO267" s="1409">
        <f t="shared" ref="CO267:CO330" ca="1" si="157">BB267-CM267</f>
        <v>0</v>
      </c>
      <c r="CP267" s="1409">
        <f t="shared" ref="CP267:CP330" ca="1" si="158">BC267*0.5</f>
        <v>0</v>
      </c>
      <c r="CQ267" s="1409">
        <f t="shared" ref="CQ267:CQ330" ca="1" si="159">BC267-CP267</f>
        <v>0</v>
      </c>
      <c r="CR267" s="1409">
        <f t="shared" ref="CR267:CR330" ca="1" si="160">CC267+CP267</f>
        <v>0</v>
      </c>
      <c r="CS267" s="1409">
        <f ca="1">IF($B267&gt;=$J$5,0,CONTADORES!$BI275)</f>
        <v>0</v>
      </c>
      <c r="CT267" s="1334">
        <f>CONTADORES!E275</f>
        <v>0</v>
      </c>
      <c r="CU267" s="1334">
        <f>CONTADORES!CG275</f>
        <v>0</v>
      </c>
    </row>
    <row r="268" spans="2:99">
      <c r="B268" s="390">
        <v>45184</v>
      </c>
      <c r="C268" s="202">
        <f t="shared" ca="1" si="134"/>
        <v>0</v>
      </c>
      <c r="D268" s="196">
        <f ca="1">'CALCULO DE GAS'!P86</f>
        <v>0</v>
      </c>
      <c r="E268" s="196">
        <f ca="1">IF(B268&gt;=$J$5,0,(CONTADORES!$AD276-CONTADORES!$AD275)-$H268)</f>
        <v>0</v>
      </c>
      <c r="F268" s="198">
        <f t="shared" ca="1" si="133"/>
        <v>0</v>
      </c>
      <c r="G268" s="196">
        <f ca="1">IF(B268&gt;=$J$5,0,CONTADORES!$AF276-CONTADORES!$AF275)</f>
        <v>0</v>
      </c>
      <c r="H268" s="196">
        <f ca="1">IF(G268&gt;0,CONTADORES!$AE276-CONTADORES!$AE275,0)</f>
        <v>0</v>
      </c>
      <c r="I268" s="1396">
        <f ca="1">IF(B268&gt;=$J$5,0,CONTADORES!$AB276-CONTADORES!$AB275)</f>
        <v>0</v>
      </c>
      <c r="J268" s="202">
        <f t="shared" ca="1" si="135"/>
        <v>0</v>
      </c>
      <c r="K268" s="196">
        <f ca="1">'CALCULO DE GAS'!Q86</f>
        <v>0</v>
      </c>
      <c r="L268" s="1396">
        <f ca="1">IF(B268&gt;=$J$5,0,(CONTADORES!$Y276-CONTADORES!$Y275)-$O268)</f>
        <v>0</v>
      </c>
      <c r="M268" s="1396">
        <f t="shared" ca="1" si="132"/>
        <v>0</v>
      </c>
      <c r="N268" s="1396">
        <f ca="1">IF(B268&gt;=$J$5,0,CONTADORES!$AA276-CONTADORES!$AA275)</f>
        <v>0</v>
      </c>
      <c r="O268" s="199">
        <f ca="1">IF(N268&gt;0,CONTADORES!$Z276-CONTADORES!$Z275,0)</f>
        <v>0</v>
      </c>
      <c r="P268" s="1398">
        <f ca="1">IF(B268&gt;=$J$5,0,CONTADORES!$W276-CONTADORES!$W275)</f>
        <v>0</v>
      </c>
      <c r="Q268" s="202">
        <f ca="1">IF(B268&gt;=$J$5,0,CONTADORES!$B276-CONTADORES!$B275)</f>
        <v>0</v>
      </c>
      <c r="R268" s="196">
        <f t="shared" ca="1" si="136"/>
        <v>0</v>
      </c>
      <c r="S268" s="11">
        <f ca="1">IF(B268&gt;=$J$5,0,CONTADORES!$D276-CONTADORES!$D275)</f>
        <v>0</v>
      </c>
      <c r="T268" s="202">
        <f ca="1">IF(B268&gt;=$J$5,0,CONTADORES!$BB276-CONTADORES!$BB275)</f>
        <v>0</v>
      </c>
      <c r="U268" s="196">
        <f t="shared" ca="1" si="131"/>
        <v>0</v>
      </c>
      <c r="V268" s="199">
        <f ca="1">IF(B268&gt;=$J$5,0,CONTADORES!$BD276-CONTADORES!$BD275)</f>
        <v>0</v>
      </c>
      <c r="W268" s="1397">
        <f t="shared" ca="1" si="137"/>
        <v>0</v>
      </c>
      <c r="X268" s="1397">
        <f t="shared" ca="1" si="138"/>
        <v>0</v>
      </c>
      <c r="Y268" s="1398">
        <f t="shared" ca="1" si="139"/>
        <v>0</v>
      </c>
      <c r="Z268" s="1398">
        <f t="shared" ca="1" si="140"/>
        <v>0</v>
      </c>
      <c r="AA268" s="1398">
        <f t="shared" ca="1" si="141"/>
        <v>0</v>
      </c>
      <c r="AB268" s="1398">
        <f t="shared" ca="1" si="142"/>
        <v>0</v>
      </c>
      <c r="AC268" s="1397">
        <f t="shared" ca="1" si="143"/>
        <v>0</v>
      </c>
      <c r="AD268" s="1398">
        <f ca="1">IF(B268&gt;=$J$5,0,CONTADORES!H276-CONTADORES!H275)</f>
        <v>0</v>
      </c>
      <c r="AE268" s="1397">
        <f ca="1">IF(B268&gt;=$J$5,0,CONTADORES!J276-CONTADORES!J275)</f>
        <v>0</v>
      </c>
      <c r="AF268" s="1398">
        <f ca="1">IF(B268&gt;=$J$5,0,CONTADORES!AU276-CONTADORES!AU275)</f>
        <v>0</v>
      </c>
      <c r="AG268" s="1397">
        <f ca="1">IF(B268&gt;=$J$5,0,CONTADORES!AW276-CONTADORES!AW275)</f>
        <v>0</v>
      </c>
      <c r="AH268" s="1398">
        <f ca="1">IF(B268&gt;=$J$5,0,(CONTADORES!AM276-CONTADORES!AM275)+(CONTADORES!M276-CONTADORES!M275))</f>
        <v>0</v>
      </c>
      <c r="AI268" s="1398">
        <f ca="1">IF(B268&gt;=$J$5,0,(CONTADORES!AK276-CONTADORES!AK275)+(CONTADORES!O276-CONTADORES!O275))</f>
        <v>0</v>
      </c>
      <c r="AJ268" s="1398">
        <f ca="1">IF(B268&gt;=$J$5,0,(CONTADORES!AI276-CONTADORES!AI275))</f>
        <v>0</v>
      </c>
      <c r="AK268" s="1398">
        <f ca="1">IF(B268&gt;=$J$5,0,(CONTADORES!Q276-CONTADORES!Q275))</f>
        <v>0</v>
      </c>
      <c r="AL268" s="1461">
        <f t="shared" ca="1" si="144"/>
        <v>0</v>
      </c>
      <c r="AM268" s="1409">
        <f ca="1">IF(B268&gt;=$J$5,0,(((CONTADORES!F276-CONTADORES!F275)+(CONTADORES!AQ276-CONTADORES!AQ275))))-BS268-AF268-AN268-BV268-BY268-CD268-CB268</f>
        <v>0</v>
      </c>
      <c r="AN268" s="1398">
        <f ca="1">IF(B268&gt;=$J$5,0,(CONTADORES!AX276-CONTADORES!AX275)+(CONTADORES!AZ276-CONTADORES!AZ275)+(CONTADORES!BE276-CONTADORES!BE275))</f>
        <v>0</v>
      </c>
      <c r="AO268" s="1433">
        <f>(CONTADORES!AC276-CONTADORES!AC275)</f>
        <v>0</v>
      </c>
      <c r="AP268" s="1433">
        <f>(CONTADORES!X276-CONTADORES!X275)</f>
        <v>0</v>
      </c>
      <c r="AQ268" s="1399">
        <f>(CONTADORES!C276-CONTADORES!C275)</f>
        <v>0</v>
      </c>
      <c r="AR268" s="1399">
        <f>(CONTADORES!BC276-CONTADORES!BC275)</f>
        <v>0</v>
      </c>
      <c r="AS268" s="1397">
        <f ca="1">IF(B268&gt;=$J$5,0,CONTADORES!S276-CONTADORES!S275)</f>
        <v>0</v>
      </c>
      <c r="AT268" s="1397">
        <f ca="1">IF(B268&gt;=$J$5,0,(CONTADORES!U276-CONTADORES!U275)+(CONTADORES!AG276-CONTADORES!AG275))</f>
        <v>0</v>
      </c>
      <c r="AU268" s="1433">
        <f>CONTADORES!I276-CONTADORES!I275</f>
        <v>0</v>
      </c>
      <c r="AV268" s="1399">
        <f>CONTADORES!AV276-CONTADORES!AV275</f>
        <v>0</v>
      </c>
      <c r="AW268" s="1399">
        <f ca="1">IF(B268&gt;=$J$5,0,(CONTADORES!N276-CONTADORES!N275)+(CONTADORES!AN276-CONTADORES!AN275))</f>
        <v>0</v>
      </c>
      <c r="AX268" s="1399">
        <f ca="1">IF(B268&gt;=$J$5,0,(CONTADORES!P276-CONTADORES!P275)+(CONTADORES!AL276-CONTADORES!AL275))</f>
        <v>0</v>
      </c>
      <c r="AY268" s="1399">
        <f ca="1">IF(B268&gt;=$J$5,0,(CONTADORES!AJ276-CONTADORES!AJ275))</f>
        <v>0</v>
      </c>
      <c r="AZ268" s="1399">
        <f ca="1">IF(B268&gt;=$J$5,0,(CONTADORES!R276-CONTADORES!R275))</f>
        <v>0</v>
      </c>
      <c r="BA268" s="1409">
        <f t="shared" ca="1" si="145"/>
        <v>0</v>
      </c>
      <c r="BB268" s="1399">
        <f ca="1">IF(B268&gt;=$J$5,0,(((CONTADORES!G276-CONTADORES!G275)+(CONTADORES!AR276-CONTADORES!AR275)+AR268)-(AV268+BC268)))</f>
        <v>0</v>
      </c>
      <c r="BC268" s="1397">
        <f ca="1">IF(B268&gt;=$J$5,0,(CONTADORES!AY276-CONTADORES!AY275)+(CONTADORES!BA276-CONTADORES!BA275)+(CONTADORES!BF276-CONTADORES!BF275))</f>
        <v>0</v>
      </c>
      <c r="BD268" s="1397">
        <f t="shared" si="146"/>
        <v>0</v>
      </c>
      <c r="BE268" s="1398">
        <f ca="1">IF($B268&gt;=$J$5,0,CONTADORES!$BG276)</f>
        <v>0</v>
      </c>
      <c r="BF268" s="1397">
        <f ca="1">IF($B268&gt;=$J$5,0,CONTADORES!$BH276)</f>
        <v>0</v>
      </c>
      <c r="BG268" s="1397">
        <f ca="1">IF($B268&gt;=$J$5,0,CONTADORES!$BJ276)</f>
        <v>0</v>
      </c>
      <c r="BH268" s="1397">
        <f ca="1">IF(B268&gt;=$J$5,0,((CONTADORES!BK276-CONTADORES!BK275)/1000))</f>
        <v>0</v>
      </c>
      <c r="BI268" s="1397">
        <f ca="1">IF(C268&gt;=$J$5,0,((CONTADORES!BL276-CONTADORES!BL275)/1000))</f>
        <v>0</v>
      </c>
      <c r="BJ268" s="1397">
        <f ca="1">IF(C268&gt;=$J$5,0,((CONTADORES!BM276-CONTADORES!BM275)/1000))</f>
        <v>0</v>
      </c>
      <c r="BK268" s="1397">
        <f ca="1">IF(D268&gt;=$J$5,0,((CONTADORES!BN276-CONTADORES!BN275)/1000))</f>
        <v>0</v>
      </c>
      <c r="BL268" s="1399">
        <f t="shared" ca="1" si="147"/>
        <v>0</v>
      </c>
      <c r="BM268" s="1399">
        <f t="shared" ca="1" si="148"/>
        <v>0</v>
      </c>
      <c r="BN268" s="1398">
        <f ca="1">IF(W268&gt;=$J$5,0,CONTADORES!$BO276)</f>
        <v>0</v>
      </c>
      <c r="BO268" s="1397">
        <f ca="1">IF(W268&gt;=$J$5,0,CONTADORES!$BP276)</f>
        <v>0</v>
      </c>
      <c r="BP268" s="1397">
        <f ca="1">IF(W268&gt;=$J$5,0,CONTADORES!$BQ276)</f>
        <v>0</v>
      </c>
      <c r="BQ268" s="1397">
        <f ca="1">IF(B268&gt;=$J$5,0,(CONTADORES!AS276-CONTADORES!AS275))</f>
        <v>0</v>
      </c>
      <c r="BR268" s="1397">
        <f ca="1">IF(C268&gt;=$J$5,0,(CONTADORES!AT276-CONTADORES!AT275))</f>
        <v>0</v>
      </c>
      <c r="BS268" s="1397">
        <f ca="1">IF(B268&gt;=$J$5,0,CONTADORES!BR276-CONTADORES!BR275)/1000</f>
        <v>0</v>
      </c>
      <c r="BT268" s="1397">
        <f ca="1">IF(BF268&gt;=$J$5,0,CONTADORES!BS276-CONTADORES!BS275)</f>
        <v>0</v>
      </c>
      <c r="BU268" s="1397">
        <f ca="1">IF(BG268&gt;=$J$5,0,CONTADORES!BT276-CONTADORES!BT275)</f>
        <v>0</v>
      </c>
      <c r="BV268" s="1397">
        <f ca="1">IF(B268&gt;=$J$5,0,CONTADORES!BU276-CONTADORES!BU275)/1000</f>
        <v>0</v>
      </c>
      <c r="BW268" s="1397">
        <f ca="1">IF(B268&gt;=$J$5,0,CONTADORES!BV276-CONTADORES!BV275)/1000</f>
        <v>0</v>
      </c>
      <c r="BX268" s="1397">
        <f ca="1">IF(B268&gt;=$J$5,0,CONTADORES!BW276-CONTADORES!BW275)</f>
        <v>0</v>
      </c>
      <c r="BY268" s="1397">
        <f ca="1">IF(B268&gt;=$J$5,0,CONTADORES!BX276-CONTADORES!BX275)/1000</f>
        <v>0</v>
      </c>
      <c r="BZ268" s="1397">
        <f ca="1">IF(B268&gt;=$J$5,0,CONTADORES!BY276-CONTADORES!BY275)/1000</f>
        <v>0</v>
      </c>
      <c r="CA268" s="1397">
        <f ca="1">IF(B268&gt;=$J$5,0,CONTADORES!BZ276-CONTADORES!BZ275)</f>
        <v>0</v>
      </c>
      <c r="CB268" s="1398">
        <f ca="1">IF(B268&gt;=$J$5,0,(CONTADORES!CC276-CONTADORES!CC275)+(CONTADORES!CE276-CONTADORES!CE275))/1000</f>
        <v>0</v>
      </c>
      <c r="CC268" s="1398">
        <f ca="1">IF(B268&gt;=$J$5,0,(CONTADORES!CD276-CONTADORES!CD275)+(CONTADORES!CF276-CONTADORES!CF275))/1000</f>
        <v>0</v>
      </c>
      <c r="CD268" s="1398">
        <f ca="1">IF(B268&gt;=$J$5,0,CONTADORES!CA276-CONTADORES!CA275)</f>
        <v>0</v>
      </c>
      <c r="CE268" s="1398">
        <f ca="1">IF(B268&gt;=$J$5,0,CONTADORES!CB276-CONTADORES!CB275)</f>
        <v>0</v>
      </c>
      <c r="CF268" s="1409">
        <f t="shared" ca="1" si="149"/>
        <v>0</v>
      </c>
      <c r="CG268" s="1409">
        <f t="shared" ca="1" si="150"/>
        <v>0</v>
      </c>
      <c r="CH268" s="1409">
        <f t="shared" ca="1" si="151"/>
        <v>0</v>
      </c>
      <c r="CI268" s="1409">
        <f t="shared" ca="1" si="152"/>
        <v>0</v>
      </c>
      <c r="CJ268" s="1409">
        <f t="shared" ca="1" si="153"/>
        <v>0</v>
      </c>
      <c r="CK268" s="1409">
        <f t="shared" ca="1" si="154"/>
        <v>0</v>
      </c>
      <c r="CL268" s="1409">
        <f t="shared" ca="1" si="155"/>
        <v>0</v>
      </c>
      <c r="CM268" s="1409">
        <f t="shared" ca="1" si="156"/>
        <v>0</v>
      </c>
      <c r="CN268" s="1409">
        <f ca="1">IF(B268&gt;=$J$5,0,CONTADORES!CB276-CONTADORES!CB275)</f>
        <v>0</v>
      </c>
      <c r="CO268" s="1409">
        <f t="shared" ca="1" si="157"/>
        <v>0</v>
      </c>
      <c r="CP268" s="1409">
        <f t="shared" ca="1" si="158"/>
        <v>0</v>
      </c>
      <c r="CQ268" s="1409">
        <f t="shared" ca="1" si="159"/>
        <v>0</v>
      </c>
      <c r="CR268" s="1409">
        <f t="shared" ca="1" si="160"/>
        <v>0</v>
      </c>
      <c r="CS268" s="1409">
        <f ca="1">IF($B268&gt;=$J$5,0,CONTADORES!$BI276)</f>
        <v>0</v>
      </c>
      <c r="CT268" s="1334">
        <f>CONTADORES!E276</f>
        <v>0</v>
      </c>
      <c r="CU268" s="1334">
        <f>CONTADORES!CG276</f>
        <v>0</v>
      </c>
    </row>
    <row r="269" spans="2:99">
      <c r="B269" s="390">
        <v>45185</v>
      </c>
      <c r="C269" s="202">
        <f t="shared" ca="1" si="134"/>
        <v>0</v>
      </c>
      <c r="D269" s="196">
        <f ca="1">'CALCULO DE GAS'!P87</f>
        <v>0</v>
      </c>
      <c r="E269" s="196">
        <f ca="1">IF(B269&gt;=$J$5,0,(CONTADORES!$AD277-CONTADORES!$AD276)-$H269)</f>
        <v>0</v>
      </c>
      <c r="F269" s="198">
        <f t="shared" ca="1" si="133"/>
        <v>0</v>
      </c>
      <c r="G269" s="196">
        <f ca="1">IF(B269&gt;=$J$5,0,CONTADORES!$AF277-CONTADORES!$AF276)</f>
        <v>0</v>
      </c>
      <c r="H269" s="196">
        <f ca="1">IF(G269&gt;0,CONTADORES!$AE277-CONTADORES!$AE276,0)</f>
        <v>0</v>
      </c>
      <c r="I269" s="1396">
        <f ca="1">IF(B269&gt;=$J$5,0,CONTADORES!$AB277-CONTADORES!$AB276)</f>
        <v>0</v>
      </c>
      <c r="J269" s="202">
        <f t="shared" ca="1" si="135"/>
        <v>0</v>
      </c>
      <c r="K269" s="196">
        <f ca="1">'CALCULO DE GAS'!Q87</f>
        <v>0</v>
      </c>
      <c r="L269" s="1396">
        <f ca="1">IF(B269&gt;=$J$5,0,(CONTADORES!$Y277-CONTADORES!$Y276)-$O269)</f>
        <v>0</v>
      </c>
      <c r="M269" s="1396">
        <f t="shared" ca="1" si="132"/>
        <v>0</v>
      </c>
      <c r="N269" s="1396">
        <f ca="1">IF(B269&gt;=$J$5,0,CONTADORES!$AA277-CONTADORES!$AA276)</f>
        <v>0</v>
      </c>
      <c r="O269" s="199">
        <f ca="1">IF(N269&gt;0,CONTADORES!$Z277-CONTADORES!$Z276,0)</f>
        <v>0</v>
      </c>
      <c r="P269" s="1398">
        <f ca="1">IF(B269&gt;=$J$5,0,CONTADORES!$W277-CONTADORES!$W276)</f>
        <v>0</v>
      </c>
      <c r="Q269" s="202">
        <f ca="1">IF(B269&gt;=$J$5,0,CONTADORES!$B277-CONTADORES!$B276)</f>
        <v>0</v>
      </c>
      <c r="R269" s="196">
        <f t="shared" ca="1" si="136"/>
        <v>0</v>
      </c>
      <c r="S269" s="11">
        <f ca="1">IF(B269&gt;=$J$5,0,CONTADORES!$D277-CONTADORES!$D276)</f>
        <v>0</v>
      </c>
      <c r="T269" s="202">
        <f ca="1">IF(B269&gt;=$J$5,0,CONTADORES!$BB277-CONTADORES!$BB276)</f>
        <v>0</v>
      </c>
      <c r="U269" s="196">
        <f t="shared" ca="1" si="131"/>
        <v>0</v>
      </c>
      <c r="V269" s="199">
        <f ca="1">IF(B269&gt;=$J$5,0,CONTADORES!$BD277-CONTADORES!$BD276)</f>
        <v>0</v>
      </c>
      <c r="W269" s="1397">
        <f t="shared" ca="1" si="137"/>
        <v>0</v>
      </c>
      <c r="X269" s="1397">
        <f t="shared" ca="1" si="138"/>
        <v>0</v>
      </c>
      <c r="Y269" s="1398">
        <f t="shared" ca="1" si="139"/>
        <v>0</v>
      </c>
      <c r="Z269" s="1398">
        <f t="shared" ca="1" si="140"/>
        <v>0</v>
      </c>
      <c r="AA269" s="1398">
        <f t="shared" ca="1" si="141"/>
        <v>0</v>
      </c>
      <c r="AB269" s="1398">
        <f t="shared" ca="1" si="142"/>
        <v>0</v>
      </c>
      <c r="AC269" s="1397">
        <f t="shared" ca="1" si="143"/>
        <v>0</v>
      </c>
      <c r="AD269" s="1398">
        <f ca="1">IF(B269&gt;=$J$5,0,CONTADORES!H277-CONTADORES!H276)</f>
        <v>0</v>
      </c>
      <c r="AE269" s="1397">
        <f ca="1">IF(B269&gt;=$J$5,0,CONTADORES!J277-CONTADORES!J276)</f>
        <v>0</v>
      </c>
      <c r="AF269" s="1398">
        <f ca="1">IF(B269&gt;=$J$5,0,CONTADORES!AU277-CONTADORES!AU276)</f>
        <v>0</v>
      </c>
      <c r="AG269" s="1397">
        <f ca="1">IF(B269&gt;=$J$5,0,CONTADORES!AW277-CONTADORES!AW276)</f>
        <v>0</v>
      </c>
      <c r="AH269" s="1398">
        <f ca="1">IF(B269&gt;=$J$5,0,(CONTADORES!AM277-CONTADORES!AM276)+(CONTADORES!M277-CONTADORES!M276))</f>
        <v>0</v>
      </c>
      <c r="AI269" s="1398">
        <f ca="1">IF(B269&gt;=$J$5,0,(CONTADORES!AK277-CONTADORES!AK276)+(CONTADORES!O277-CONTADORES!O276))</f>
        <v>0</v>
      </c>
      <c r="AJ269" s="1398">
        <f ca="1">IF(B269&gt;=$J$5,0,(CONTADORES!AI277-CONTADORES!AI276))</f>
        <v>0</v>
      </c>
      <c r="AK269" s="1398">
        <f ca="1">IF(B269&gt;=$J$5,0,(CONTADORES!Q277-CONTADORES!Q276))</f>
        <v>0</v>
      </c>
      <c r="AL269" s="1461">
        <f t="shared" ca="1" si="144"/>
        <v>0</v>
      </c>
      <c r="AM269" s="1409">
        <f ca="1">IF(B269&gt;=$J$5,0,(((CONTADORES!F277-CONTADORES!F276)+(CONTADORES!AQ277-CONTADORES!AQ276))))-BS269-AF269-AN269-BV269-BY269-CD269-CB269</f>
        <v>0</v>
      </c>
      <c r="AN269" s="1398">
        <f ca="1">IF(B269&gt;=$J$5,0,(CONTADORES!AX277-CONTADORES!AX276)+(CONTADORES!AZ277-CONTADORES!AZ276)+(CONTADORES!BE277-CONTADORES!BE276))</f>
        <v>0</v>
      </c>
      <c r="AO269" s="1433">
        <f>(CONTADORES!AC277-CONTADORES!AC276)</f>
        <v>0</v>
      </c>
      <c r="AP269" s="1433">
        <f>(CONTADORES!X277-CONTADORES!X276)</f>
        <v>0</v>
      </c>
      <c r="AQ269" s="1399">
        <f>(CONTADORES!C277-CONTADORES!C276)</f>
        <v>0</v>
      </c>
      <c r="AR269" s="1399">
        <f>(CONTADORES!BC277-CONTADORES!BC276)</f>
        <v>0</v>
      </c>
      <c r="AS269" s="1397">
        <f ca="1">IF(B269&gt;=$J$5,0,CONTADORES!S277-CONTADORES!S276)</f>
        <v>0</v>
      </c>
      <c r="AT269" s="1397">
        <f ca="1">IF(B269&gt;=$J$5,0,(CONTADORES!U277-CONTADORES!U276)+(CONTADORES!AG277-CONTADORES!AG276))</f>
        <v>0</v>
      </c>
      <c r="AU269" s="1433">
        <f>CONTADORES!I277-CONTADORES!I276</f>
        <v>0</v>
      </c>
      <c r="AV269" s="1399">
        <f>CONTADORES!AV277-CONTADORES!AV276</f>
        <v>0</v>
      </c>
      <c r="AW269" s="1399">
        <f ca="1">IF(B269&gt;=$J$5,0,(CONTADORES!N277-CONTADORES!N276)+(CONTADORES!AN277-CONTADORES!AN276))</f>
        <v>0</v>
      </c>
      <c r="AX269" s="1399">
        <f ca="1">IF(B269&gt;=$J$5,0,(CONTADORES!P277-CONTADORES!P276)+(CONTADORES!AL277-CONTADORES!AL276))</f>
        <v>0</v>
      </c>
      <c r="AY269" s="1399">
        <f ca="1">IF(B269&gt;=$J$5,0,(CONTADORES!AJ277-CONTADORES!AJ276))</f>
        <v>0</v>
      </c>
      <c r="AZ269" s="1399">
        <f ca="1">IF(B269&gt;=$J$5,0,(CONTADORES!R277-CONTADORES!R276))</f>
        <v>0</v>
      </c>
      <c r="BA269" s="1409">
        <f t="shared" ca="1" si="145"/>
        <v>0</v>
      </c>
      <c r="BB269" s="1399">
        <f ca="1">IF(B269&gt;=$J$5,0,(((CONTADORES!G277-CONTADORES!G276)+(CONTADORES!AR277-CONTADORES!AR276)+AR269)-(AV269+BC269)))</f>
        <v>0</v>
      </c>
      <c r="BC269" s="1397">
        <f ca="1">IF(B269&gt;=$J$5,0,(CONTADORES!AY277-CONTADORES!AY276)+(CONTADORES!BA277-CONTADORES!BA276)+(CONTADORES!BF277-CONTADORES!BF276))</f>
        <v>0</v>
      </c>
      <c r="BD269" s="1397">
        <f t="shared" si="146"/>
        <v>0</v>
      </c>
      <c r="BE269" s="1398">
        <f ca="1">IF($B269&gt;=$J$5,0,CONTADORES!$BG277)</f>
        <v>0</v>
      </c>
      <c r="BF269" s="1397">
        <f ca="1">IF($B269&gt;=$J$5,0,CONTADORES!$BH277)</f>
        <v>0</v>
      </c>
      <c r="BG269" s="1397">
        <f ca="1">IF($B269&gt;=$J$5,0,CONTADORES!$BJ277)</f>
        <v>0</v>
      </c>
      <c r="BH269" s="1397">
        <f ca="1">IF(B269&gt;=$J$5,0,((CONTADORES!BK277-CONTADORES!BK276)/1000))</f>
        <v>0</v>
      </c>
      <c r="BI269" s="1397">
        <f ca="1">IF(C269&gt;=$J$5,0,((CONTADORES!BL277-CONTADORES!BL276)/1000))</f>
        <v>0</v>
      </c>
      <c r="BJ269" s="1397">
        <f ca="1">IF(C269&gt;=$J$5,0,((CONTADORES!BM277-CONTADORES!BM276)/1000))</f>
        <v>0</v>
      </c>
      <c r="BK269" s="1397">
        <f ca="1">IF(D269&gt;=$J$5,0,((CONTADORES!BN277-CONTADORES!BN276)/1000))</f>
        <v>0</v>
      </c>
      <c r="BL269" s="1399">
        <f t="shared" ca="1" si="147"/>
        <v>0</v>
      </c>
      <c r="BM269" s="1399">
        <f t="shared" ca="1" si="148"/>
        <v>0</v>
      </c>
      <c r="BN269" s="1398">
        <f ca="1">IF(W269&gt;=$J$5,0,CONTADORES!$BO277)</f>
        <v>0</v>
      </c>
      <c r="BO269" s="1397">
        <f ca="1">IF(W269&gt;=$J$5,0,CONTADORES!$BP277)</f>
        <v>0</v>
      </c>
      <c r="BP269" s="1397">
        <f ca="1">IF(W269&gt;=$J$5,0,CONTADORES!$BQ277)</f>
        <v>0</v>
      </c>
      <c r="BQ269" s="1397">
        <f ca="1">IF(B269&gt;=$J$5,0,(CONTADORES!AS277-CONTADORES!AS276))</f>
        <v>0</v>
      </c>
      <c r="BR269" s="1397">
        <f ca="1">IF(C269&gt;=$J$5,0,(CONTADORES!AT277-CONTADORES!AT276))</f>
        <v>0</v>
      </c>
      <c r="BS269" s="1397">
        <f ca="1">IF(B269&gt;=$J$5,0,CONTADORES!BR277-CONTADORES!BR276)/1000</f>
        <v>0</v>
      </c>
      <c r="BT269" s="1397">
        <f ca="1">IF(BF269&gt;=$J$5,0,CONTADORES!BS277-CONTADORES!BS276)</f>
        <v>0</v>
      </c>
      <c r="BU269" s="1397">
        <f ca="1">IF(BG269&gt;=$J$5,0,CONTADORES!BT277-CONTADORES!BT276)</f>
        <v>0</v>
      </c>
      <c r="BV269" s="1397">
        <f ca="1">IF(B269&gt;=$J$5,0,CONTADORES!BU277-CONTADORES!BU276)/1000</f>
        <v>0</v>
      </c>
      <c r="BW269" s="1397">
        <f ca="1">IF(B269&gt;=$J$5,0,CONTADORES!BV277-CONTADORES!BV276)/1000</f>
        <v>0</v>
      </c>
      <c r="BX269" s="1397">
        <f ca="1">IF(B269&gt;=$J$5,0,CONTADORES!BW277-CONTADORES!BW276)</f>
        <v>0</v>
      </c>
      <c r="BY269" s="1397">
        <f ca="1">IF(B269&gt;=$J$5,0,CONTADORES!BX277-CONTADORES!BX276)/1000</f>
        <v>0</v>
      </c>
      <c r="BZ269" s="1397">
        <f ca="1">IF(B269&gt;=$J$5,0,CONTADORES!BY277-CONTADORES!BY276)/1000</f>
        <v>0</v>
      </c>
      <c r="CA269" s="1397">
        <f ca="1">IF(B269&gt;=$J$5,0,CONTADORES!BZ277-CONTADORES!BZ276)</f>
        <v>0</v>
      </c>
      <c r="CB269" s="1398">
        <f ca="1">IF(B269&gt;=$J$5,0,(CONTADORES!CC277-CONTADORES!CC276)+(CONTADORES!CE277-CONTADORES!CE276))/1000</f>
        <v>0</v>
      </c>
      <c r="CC269" s="1398">
        <f ca="1">IF(B269&gt;=$J$5,0,(CONTADORES!CD277-CONTADORES!CD276)+(CONTADORES!CF277-CONTADORES!CF276))/1000</f>
        <v>0</v>
      </c>
      <c r="CD269" s="1398">
        <f ca="1">IF(B269&gt;=$J$5,0,CONTADORES!CA277-CONTADORES!CA276)</f>
        <v>0</v>
      </c>
      <c r="CE269" s="1398">
        <f ca="1">IF(B269&gt;=$J$5,0,CONTADORES!CB277-CONTADORES!CB276)</f>
        <v>0</v>
      </c>
      <c r="CF269" s="1409">
        <f t="shared" ca="1" si="149"/>
        <v>0</v>
      </c>
      <c r="CG269" s="1409">
        <f t="shared" ca="1" si="150"/>
        <v>0</v>
      </c>
      <c r="CH269" s="1409">
        <f t="shared" ca="1" si="151"/>
        <v>0</v>
      </c>
      <c r="CI269" s="1409">
        <f t="shared" ca="1" si="152"/>
        <v>0</v>
      </c>
      <c r="CJ269" s="1409">
        <f t="shared" ca="1" si="153"/>
        <v>0</v>
      </c>
      <c r="CK269" s="1409">
        <f t="shared" ca="1" si="154"/>
        <v>0</v>
      </c>
      <c r="CL269" s="1409">
        <f t="shared" ca="1" si="155"/>
        <v>0</v>
      </c>
      <c r="CM269" s="1409">
        <f t="shared" ca="1" si="156"/>
        <v>0</v>
      </c>
      <c r="CN269" s="1409">
        <f ca="1">IF(B269&gt;=$J$5,0,CONTADORES!CB277-CONTADORES!CB276)</f>
        <v>0</v>
      </c>
      <c r="CO269" s="1409">
        <f t="shared" ca="1" si="157"/>
        <v>0</v>
      </c>
      <c r="CP269" s="1409">
        <f t="shared" ca="1" si="158"/>
        <v>0</v>
      </c>
      <c r="CQ269" s="1409">
        <f t="shared" ca="1" si="159"/>
        <v>0</v>
      </c>
      <c r="CR269" s="1409">
        <f t="shared" ca="1" si="160"/>
        <v>0</v>
      </c>
      <c r="CS269" s="1409">
        <f ca="1">IF($B269&gt;=$J$5,0,CONTADORES!$BI277)</f>
        <v>0</v>
      </c>
      <c r="CT269" s="1334">
        <f>CONTADORES!E277</f>
        <v>0</v>
      </c>
      <c r="CU269" s="1334">
        <f>CONTADORES!CG277</f>
        <v>0</v>
      </c>
    </row>
    <row r="270" spans="2:99">
      <c r="B270" s="390">
        <v>45186</v>
      </c>
      <c r="C270" s="202">
        <f t="shared" ca="1" si="134"/>
        <v>0</v>
      </c>
      <c r="D270" s="196">
        <f ca="1">'CALCULO DE GAS'!P88</f>
        <v>0</v>
      </c>
      <c r="E270" s="196">
        <f ca="1">IF(B270&gt;=$J$5,0,(CONTADORES!$AD278-CONTADORES!$AD277)-$H270)</f>
        <v>0</v>
      </c>
      <c r="F270" s="198">
        <f t="shared" ca="1" si="133"/>
        <v>0</v>
      </c>
      <c r="G270" s="196">
        <f ca="1">IF(B270&gt;=$J$5,0,CONTADORES!$AF278-CONTADORES!$AF277)</f>
        <v>0</v>
      </c>
      <c r="H270" s="196">
        <f ca="1">IF(G270&gt;0,CONTADORES!$AE278-CONTADORES!$AE277,0)</f>
        <v>0</v>
      </c>
      <c r="I270" s="1396">
        <f ca="1">IF(B270&gt;=$J$5,0,CONTADORES!$AB278-CONTADORES!$AB277)</f>
        <v>0</v>
      </c>
      <c r="J270" s="202">
        <f t="shared" ca="1" si="135"/>
        <v>0</v>
      </c>
      <c r="K270" s="196">
        <f ca="1">'CALCULO DE GAS'!Q88</f>
        <v>0</v>
      </c>
      <c r="L270" s="1396">
        <f ca="1">IF(B270&gt;=$J$5,0,(CONTADORES!$Y278-CONTADORES!$Y277)-$O270)</f>
        <v>0</v>
      </c>
      <c r="M270" s="1396">
        <f t="shared" ca="1" si="132"/>
        <v>0</v>
      </c>
      <c r="N270" s="1396">
        <f ca="1">IF(B270&gt;=$J$5,0,CONTADORES!$AA278-CONTADORES!$AA277)</f>
        <v>0</v>
      </c>
      <c r="O270" s="199">
        <f ca="1">IF(N270&gt;0,CONTADORES!$Z278-CONTADORES!$Z277,0)</f>
        <v>0</v>
      </c>
      <c r="P270" s="1398">
        <f ca="1">IF(B270&gt;=$J$5,0,CONTADORES!$W278-CONTADORES!$W277)</f>
        <v>0</v>
      </c>
      <c r="Q270" s="202">
        <f ca="1">IF(B270&gt;=$J$5,0,CONTADORES!$B278-CONTADORES!$B277)</f>
        <v>0</v>
      </c>
      <c r="R270" s="196">
        <f t="shared" ca="1" si="136"/>
        <v>0</v>
      </c>
      <c r="S270" s="11">
        <f ca="1">IF(B270&gt;=$J$5,0,CONTADORES!$D278-CONTADORES!$D277)</f>
        <v>0</v>
      </c>
      <c r="T270" s="202">
        <f ca="1">IF(B270&gt;=$J$5,0,CONTADORES!$BB278-CONTADORES!$BB277)</f>
        <v>0</v>
      </c>
      <c r="U270" s="196">
        <f t="shared" ca="1" si="131"/>
        <v>0</v>
      </c>
      <c r="V270" s="199">
        <f ca="1">IF(B270&gt;=$J$5,0,CONTADORES!$BD278-CONTADORES!$BD277)</f>
        <v>0</v>
      </c>
      <c r="W270" s="1397">
        <f t="shared" ca="1" si="137"/>
        <v>0</v>
      </c>
      <c r="X270" s="1397">
        <f t="shared" ca="1" si="138"/>
        <v>0</v>
      </c>
      <c r="Y270" s="1398">
        <f t="shared" ca="1" si="139"/>
        <v>0</v>
      </c>
      <c r="Z270" s="1398">
        <f t="shared" ca="1" si="140"/>
        <v>0</v>
      </c>
      <c r="AA270" s="1398">
        <f t="shared" ca="1" si="141"/>
        <v>0</v>
      </c>
      <c r="AB270" s="1398">
        <f t="shared" ca="1" si="142"/>
        <v>0</v>
      </c>
      <c r="AC270" s="1397">
        <f t="shared" ca="1" si="143"/>
        <v>0</v>
      </c>
      <c r="AD270" s="1398">
        <f ca="1">IF(B270&gt;=$J$5,0,CONTADORES!H278-CONTADORES!H277)</f>
        <v>0</v>
      </c>
      <c r="AE270" s="1397">
        <f ca="1">IF(B270&gt;=$J$5,0,CONTADORES!J278-CONTADORES!J277)</f>
        <v>0</v>
      </c>
      <c r="AF270" s="1398">
        <f ca="1">IF(B270&gt;=$J$5,0,CONTADORES!AU278-CONTADORES!AU277)</f>
        <v>0</v>
      </c>
      <c r="AG270" s="1397">
        <f ca="1">IF(B270&gt;=$J$5,0,CONTADORES!AW278-CONTADORES!AW277)</f>
        <v>0</v>
      </c>
      <c r="AH270" s="1398">
        <f ca="1">IF(B270&gt;=$J$5,0,(CONTADORES!AM278-CONTADORES!AM277)+(CONTADORES!M278-CONTADORES!M277))</f>
        <v>0</v>
      </c>
      <c r="AI270" s="1398">
        <f ca="1">IF(B270&gt;=$J$5,0,(CONTADORES!AK278-CONTADORES!AK277)+(CONTADORES!O278-CONTADORES!O277))</f>
        <v>0</v>
      </c>
      <c r="AJ270" s="1398">
        <f ca="1">IF(B270&gt;=$J$5,0,(CONTADORES!AI278-CONTADORES!AI277))</f>
        <v>0</v>
      </c>
      <c r="AK270" s="1398">
        <f ca="1">IF(B270&gt;=$J$5,0,(CONTADORES!Q278-CONTADORES!Q277))</f>
        <v>0</v>
      </c>
      <c r="AL270" s="1461">
        <f t="shared" ca="1" si="144"/>
        <v>0</v>
      </c>
      <c r="AM270" s="1409">
        <f ca="1">IF(B270&gt;=$J$5,0,(((CONTADORES!F278-CONTADORES!F277)+(CONTADORES!AQ278-CONTADORES!AQ277))))-BS270-AF270-AN270-BV270-BY270-CD270-CB270</f>
        <v>0</v>
      </c>
      <c r="AN270" s="1398">
        <f ca="1">IF(B270&gt;=$J$5,0,(CONTADORES!AX278-CONTADORES!AX277)+(CONTADORES!AZ278-CONTADORES!AZ277)+(CONTADORES!BE278-CONTADORES!BE277))</f>
        <v>0</v>
      </c>
      <c r="AO270" s="1433">
        <f>(CONTADORES!AC278-CONTADORES!AC277)</f>
        <v>0</v>
      </c>
      <c r="AP270" s="1433">
        <f>(CONTADORES!X278-CONTADORES!X277)</f>
        <v>0</v>
      </c>
      <c r="AQ270" s="1399">
        <f>(CONTADORES!C278-CONTADORES!C277)</f>
        <v>0</v>
      </c>
      <c r="AR270" s="1399">
        <f>(CONTADORES!BC278-CONTADORES!BC277)</f>
        <v>0</v>
      </c>
      <c r="AS270" s="1397">
        <f ca="1">IF(B270&gt;=$J$5,0,CONTADORES!S278-CONTADORES!S277)</f>
        <v>0</v>
      </c>
      <c r="AT270" s="1397">
        <f ca="1">IF(B270&gt;=$J$5,0,(CONTADORES!U278-CONTADORES!U277)+(CONTADORES!AG278-CONTADORES!AG277))</f>
        <v>0</v>
      </c>
      <c r="AU270" s="1433">
        <f>CONTADORES!I278-CONTADORES!I277</f>
        <v>0</v>
      </c>
      <c r="AV270" s="1399">
        <f>CONTADORES!AV278-CONTADORES!AV277</f>
        <v>0</v>
      </c>
      <c r="AW270" s="1399">
        <f ca="1">IF(B270&gt;=$J$5,0,(CONTADORES!N278-CONTADORES!N277)+(CONTADORES!AN278-CONTADORES!AN277))</f>
        <v>0</v>
      </c>
      <c r="AX270" s="1399">
        <f ca="1">IF(B270&gt;=$J$5,0,(CONTADORES!P278-CONTADORES!P277)+(CONTADORES!AL278-CONTADORES!AL277))</f>
        <v>0</v>
      </c>
      <c r="AY270" s="1399">
        <f ca="1">IF(B270&gt;=$J$5,0,(CONTADORES!AJ278-CONTADORES!AJ277))</f>
        <v>0</v>
      </c>
      <c r="AZ270" s="1399">
        <f ca="1">IF(B270&gt;=$J$5,0,(CONTADORES!R278-CONTADORES!R277))</f>
        <v>0</v>
      </c>
      <c r="BA270" s="1409">
        <f t="shared" ca="1" si="145"/>
        <v>0</v>
      </c>
      <c r="BB270" s="1399">
        <f ca="1">IF(B270&gt;=$J$5,0,(((CONTADORES!G278-CONTADORES!G277)+(CONTADORES!AR278-CONTADORES!AR277)+AR270)-(AV270+BC270)))</f>
        <v>0</v>
      </c>
      <c r="BC270" s="1397">
        <f ca="1">IF(B270&gt;=$J$5,0,(CONTADORES!AY278-CONTADORES!AY277)+(CONTADORES!BA278-CONTADORES!BA277)+(CONTADORES!BF278-CONTADORES!BF277))</f>
        <v>0</v>
      </c>
      <c r="BD270" s="1397">
        <f t="shared" si="146"/>
        <v>0</v>
      </c>
      <c r="BE270" s="1398">
        <f ca="1">IF($B270&gt;=$J$5,0,CONTADORES!$BG278)</f>
        <v>0</v>
      </c>
      <c r="BF270" s="1397">
        <f ca="1">IF($B270&gt;=$J$5,0,CONTADORES!$BH278)</f>
        <v>0</v>
      </c>
      <c r="BG270" s="1397">
        <f ca="1">IF($B270&gt;=$J$5,0,CONTADORES!$BJ278)</f>
        <v>0</v>
      </c>
      <c r="BH270" s="1397">
        <f ca="1">IF(B270&gt;=$J$5,0,((CONTADORES!BK278-CONTADORES!BK277)/1000))</f>
        <v>0</v>
      </c>
      <c r="BI270" s="1397">
        <f ca="1">IF(C270&gt;=$J$5,0,((CONTADORES!BL278-CONTADORES!BL277)/1000))</f>
        <v>0</v>
      </c>
      <c r="BJ270" s="1397">
        <f ca="1">IF(C270&gt;=$J$5,0,((CONTADORES!BM278-CONTADORES!BM277)/1000))</f>
        <v>0</v>
      </c>
      <c r="BK270" s="1397">
        <f ca="1">IF(D270&gt;=$J$5,0,((CONTADORES!BN278-CONTADORES!BN277)/1000))</f>
        <v>0</v>
      </c>
      <c r="BL270" s="1399">
        <f t="shared" ca="1" si="147"/>
        <v>0</v>
      </c>
      <c r="BM270" s="1399">
        <f t="shared" ca="1" si="148"/>
        <v>0</v>
      </c>
      <c r="BN270" s="1398">
        <f ca="1">IF(W270&gt;=$J$5,0,CONTADORES!$BO278)</f>
        <v>0</v>
      </c>
      <c r="BO270" s="1397">
        <f ca="1">IF(W270&gt;=$J$5,0,CONTADORES!$BP278)</f>
        <v>0</v>
      </c>
      <c r="BP270" s="1397">
        <f ca="1">IF(W270&gt;=$J$5,0,CONTADORES!$BQ278)</f>
        <v>0</v>
      </c>
      <c r="BQ270" s="1397">
        <f ca="1">IF(B270&gt;=$J$5,0,(CONTADORES!AS278-CONTADORES!AS277))</f>
        <v>0</v>
      </c>
      <c r="BR270" s="1397">
        <f ca="1">IF(C270&gt;=$J$5,0,(CONTADORES!AT278-CONTADORES!AT277))</f>
        <v>0</v>
      </c>
      <c r="BS270" s="1397">
        <f ca="1">IF(B270&gt;=$J$5,0,CONTADORES!BR278-CONTADORES!BR277)/1000</f>
        <v>0</v>
      </c>
      <c r="BT270" s="1397">
        <f ca="1">IF(BF270&gt;=$J$5,0,CONTADORES!BS278-CONTADORES!BS277)</f>
        <v>0</v>
      </c>
      <c r="BU270" s="1397">
        <f ca="1">IF(BG270&gt;=$J$5,0,CONTADORES!BT278-CONTADORES!BT277)</f>
        <v>0</v>
      </c>
      <c r="BV270" s="1397">
        <f ca="1">IF(B270&gt;=$J$5,0,CONTADORES!BU278-CONTADORES!BU277)/1000</f>
        <v>0</v>
      </c>
      <c r="BW270" s="1397">
        <f ca="1">IF(B270&gt;=$J$5,0,CONTADORES!BV278-CONTADORES!BV277)/1000</f>
        <v>0</v>
      </c>
      <c r="BX270" s="1397">
        <f ca="1">IF(B270&gt;=$J$5,0,CONTADORES!BW278-CONTADORES!BW277)</f>
        <v>0</v>
      </c>
      <c r="BY270" s="1397">
        <f ca="1">IF(B270&gt;=$J$5,0,CONTADORES!BX278-CONTADORES!BX277)/1000</f>
        <v>0</v>
      </c>
      <c r="BZ270" s="1397">
        <f ca="1">IF(B270&gt;=$J$5,0,CONTADORES!BY278-CONTADORES!BY277)/1000</f>
        <v>0</v>
      </c>
      <c r="CA270" s="1397">
        <f ca="1">IF(B270&gt;=$J$5,0,CONTADORES!BZ278-CONTADORES!BZ277)</f>
        <v>0</v>
      </c>
      <c r="CB270" s="1398">
        <f ca="1">IF(B270&gt;=$J$5,0,(CONTADORES!CC278-CONTADORES!CC277)+(CONTADORES!CE278-CONTADORES!CE277))/1000</f>
        <v>0</v>
      </c>
      <c r="CC270" s="1398">
        <f ca="1">IF(B270&gt;=$J$5,0,(CONTADORES!CD278-CONTADORES!CD277)+(CONTADORES!CF278-CONTADORES!CF277))/1000</f>
        <v>0</v>
      </c>
      <c r="CD270" s="1398">
        <f ca="1">IF(B270&gt;=$J$5,0,CONTADORES!CA278-CONTADORES!CA277)</f>
        <v>0</v>
      </c>
      <c r="CE270" s="1398">
        <f ca="1">IF(B270&gt;=$J$5,0,CONTADORES!CB278-CONTADORES!CB277)</f>
        <v>0</v>
      </c>
      <c r="CF270" s="1409">
        <f t="shared" ca="1" si="149"/>
        <v>0</v>
      </c>
      <c r="CG270" s="1409">
        <f t="shared" ca="1" si="150"/>
        <v>0</v>
      </c>
      <c r="CH270" s="1409">
        <f t="shared" ca="1" si="151"/>
        <v>0</v>
      </c>
      <c r="CI270" s="1409">
        <f t="shared" ca="1" si="152"/>
        <v>0</v>
      </c>
      <c r="CJ270" s="1409">
        <f t="shared" ca="1" si="153"/>
        <v>0</v>
      </c>
      <c r="CK270" s="1409">
        <f t="shared" ca="1" si="154"/>
        <v>0</v>
      </c>
      <c r="CL270" s="1409">
        <f t="shared" ca="1" si="155"/>
        <v>0</v>
      </c>
      <c r="CM270" s="1409">
        <f t="shared" ca="1" si="156"/>
        <v>0</v>
      </c>
      <c r="CN270" s="1409">
        <f ca="1">IF(B270&gt;=$J$5,0,CONTADORES!CB278-CONTADORES!CB277)</f>
        <v>0</v>
      </c>
      <c r="CO270" s="1409">
        <f t="shared" ca="1" si="157"/>
        <v>0</v>
      </c>
      <c r="CP270" s="1409">
        <f t="shared" ca="1" si="158"/>
        <v>0</v>
      </c>
      <c r="CQ270" s="1409">
        <f t="shared" ca="1" si="159"/>
        <v>0</v>
      </c>
      <c r="CR270" s="1409">
        <f t="shared" ca="1" si="160"/>
        <v>0</v>
      </c>
      <c r="CS270" s="1409">
        <f ca="1">IF($B270&gt;=$J$5,0,CONTADORES!$BI278)</f>
        <v>0</v>
      </c>
      <c r="CT270" s="1334">
        <f>CONTADORES!E278</f>
        <v>0</v>
      </c>
      <c r="CU270" s="1334">
        <f>CONTADORES!CG278</f>
        <v>0</v>
      </c>
    </row>
    <row r="271" spans="2:99">
      <c r="B271" s="390">
        <v>45187</v>
      </c>
      <c r="C271" s="202">
        <f t="shared" ca="1" si="134"/>
        <v>0</v>
      </c>
      <c r="D271" s="196">
        <f ca="1">'CALCULO DE GAS'!P89</f>
        <v>0</v>
      </c>
      <c r="E271" s="196">
        <f ca="1">IF(B271&gt;=$J$5,0,(CONTADORES!$AD279-CONTADORES!$AD278)-$H271)</f>
        <v>0</v>
      </c>
      <c r="F271" s="198">
        <f t="shared" ca="1" si="133"/>
        <v>0</v>
      </c>
      <c r="G271" s="196">
        <f ca="1">IF(B271&gt;=$J$5,0,CONTADORES!$AF279-CONTADORES!$AF278)</f>
        <v>0</v>
      </c>
      <c r="H271" s="196">
        <f ca="1">IF(G271&gt;0,CONTADORES!$AE279-CONTADORES!$AE278,0)</f>
        <v>0</v>
      </c>
      <c r="I271" s="1396">
        <f ca="1">IF(B271&gt;=$J$5,0,CONTADORES!$AB279-CONTADORES!$AB278)</f>
        <v>0</v>
      </c>
      <c r="J271" s="202">
        <f t="shared" ca="1" si="135"/>
        <v>0</v>
      </c>
      <c r="K271" s="196">
        <f ca="1">'CALCULO DE GAS'!Q89</f>
        <v>0</v>
      </c>
      <c r="L271" s="1396">
        <f ca="1">IF(B271&gt;=$J$5,0,(CONTADORES!$Y279-CONTADORES!$Y278)-$O271)</f>
        <v>0</v>
      </c>
      <c r="M271" s="1396">
        <f t="shared" ca="1" si="132"/>
        <v>0</v>
      </c>
      <c r="N271" s="1396">
        <f ca="1">IF(B271&gt;=$J$5,0,CONTADORES!$AA279-CONTADORES!$AA278)</f>
        <v>0</v>
      </c>
      <c r="O271" s="199">
        <f ca="1">IF(N271&gt;0,CONTADORES!$Z279-CONTADORES!$Z278,0)</f>
        <v>0</v>
      </c>
      <c r="P271" s="1398">
        <f ca="1">IF(B271&gt;=$J$5,0,CONTADORES!$W279-CONTADORES!$W278)</f>
        <v>0</v>
      </c>
      <c r="Q271" s="202">
        <f ca="1">IF(B271&gt;=$J$5,0,CONTADORES!$B279-CONTADORES!$B278)</f>
        <v>0</v>
      </c>
      <c r="R271" s="196">
        <f t="shared" ca="1" si="136"/>
        <v>0</v>
      </c>
      <c r="S271" s="11">
        <f ca="1">IF(B271&gt;=$J$5,0,CONTADORES!$D279-CONTADORES!$D278)</f>
        <v>0</v>
      </c>
      <c r="T271" s="202">
        <f ca="1">IF(B271&gt;=$J$5,0,CONTADORES!$BB279-CONTADORES!$BB278)</f>
        <v>0</v>
      </c>
      <c r="U271" s="196">
        <f t="shared" ca="1" si="131"/>
        <v>0</v>
      </c>
      <c r="V271" s="199">
        <f ca="1">IF(B271&gt;=$J$5,0,CONTADORES!$BD279-CONTADORES!$BD278)</f>
        <v>0</v>
      </c>
      <c r="W271" s="1397">
        <f t="shared" ca="1" si="137"/>
        <v>0</v>
      </c>
      <c r="X271" s="1397">
        <f t="shared" ca="1" si="138"/>
        <v>0</v>
      </c>
      <c r="Y271" s="1398">
        <f t="shared" ca="1" si="139"/>
        <v>0</v>
      </c>
      <c r="Z271" s="1398">
        <f t="shared" ca="1" si="140"/>
        <v>0</v>
      </c>
      <c r="AA271" s="1398">
        <f t="shared" ca="1" si="141"/>
        <v>0</v>
      </c>
      <c r="AB271" s="1398">
        <f t="shared" ca="1" si="142"/>
        <v>0</v>
      </c>
      <c r="AC271" s="1397">
        <f t="shared" ca="1" si="143"/>
        <v>0</v>
      </c>
      <c r="AD271" s="1398">
        <f ca="1">IF(B271&gt;=$J$5,0,CONTADORES!H279-CONTADORES!H278)</f>
        <v>0</v>
      </c>
      <c r="AE271" s="1397">
        <f ca="1">IF(B271&gt;=$J$5,0,CONTADORES!J279-CONTADORES!J278)</f>
        <v>0</v>
      </c>
      <c r="AF271" s="1398">
        <f ca="1">IF(B271&gt;=$J$5,0,CONTADORES!AU279-CONTADORES!AU278)</f>
        <v>0</v>
      </c>
      <c r="AG271" s="1397">
        <f ca="1">IF(B271&gt;=$J$5,0,CONTADORES!AW279-CONTADORES!AW278)</f>
        <v>0</v>
      </c>
      <c r="AH271" s="1398">
        <f ca="1">IF(B271&gt;=$J$5,0,(CONTADORES!AM279-CONTADORES!AM278)+(CONTADORES!M279-CONTADORES!M278))</f>
        <v>0</v>
      </c>
      <c r="AI271" s="1398">
        <f ca="1">IF(B271&gt;=$J$5,0,(CONTADORES!AK279-CONTADORES!AK278)+(CONTADORES!O279-CONTADORES!O278))</f>
        <v>0</v>
      </c>
      <c r="AJ271" s="1398">
        <f ca="1">IF(B271&gt;=$J$5,0,(CONTADORES!AI279-CONTADORES!AI278))</f>
        <v>0</v>
      </c>
      <c r="AK271" s="1398">
        <f ca="1">IF(B271&gt;=$J$5,0,(CONTADORES!Q279-CONTADORES!Q278))</f>
        <v>0</v>
      </c>
      <c r="AL271" s="1461">
        <f t="shared" ca="1" si="144"/>
        <v>0</v>
      </c>
      <c r="AM271" s="1409">
        <f ca="1">IF(B271&gt;=$J$5,0,(((CONTADORES!F279-CONTADORES!F278)+(CONTADORES!AQ279-CONTADORES!AQ278))))-BS271-AF271-AN271-BV271-BY271-CD271-CB271</f>
        <v>0</v>
      </c>
      <c r="AN271" s="1398">
        <f ca="1">IF(B271&gt;=$J$5,0,(CONTADORES!AX279-CONTADORES!AX278)+(CONTADORES!AZ279-CONTADORES!AZ278)+(CONTADORES!BE279-CONTADORES!BE278))</f>
        <v>0</v>
      </c>
      <c r="AO271" s="1433">
        <f>(CONTADORES!AC279-CONTADORES!AC278)</f>
        <v>0</v>
      </c>
      <c r="AP271" s="1433">
        <f>(CONTADORES!X279-CONTADORES!X278)</f>
        <v>0</v>
      </c>
      <c r="AQ271" s="1399">
        <f>(CONTADORES!C279-CONTADORES!C278)</f>
        <v>0</v>
      </c>
      <c r="AR271" s="1399">
        <f>(CONTADORES!BC279-CONTADORES!BC278)</f>
        <v>0</v>
      </c>
      <c r="AS271" s="1397">
        <f ca="1">IF(B271&gt;=$J$5,0,CONTADORES!S279-CONTADORES!S278)</f>
        <v>0</v>
      </c>
      <c r="AT271" s="1397">
        <f ca="1">IF(B271&gt;=$J$5,0,(CONTADORES!U279-CONTADORES!U278)+(CONTADORES!AG279-CONTADORES!AG278))</f>
        <v>0</v>
      </c>
      <c r="AU271" s="1433">
        <f>CONTADORES!I279-CONTADORES!I278</f>
        <v>0</v>
      </c>
      <c r="AV271" s="1399">
        <f>CONTADORES!AV279-CONTADORES!AV278</f>
        <v>0</v>
      </c>
      <c r="AW271" s="1399">
        <f ca="1">IF(B271&gt;=$J$5,0,(CONTADORES!N279-CONTADORES!N278)+(CONTADORES!AN279-CONTADORES!AN278))</f>
        <v>0</v>
      </c>
      <c r="AX271" s="1399">
        <f ca="1">IF(B271&gt;=$J$5,0,(CONTADORES!P279-CONTADORES!P278)+(CONTADORES!AL279-CONTADORES!AL278))</f>
        <v>0</v>
      </c>
      <c r="AY271" s="1399">
        <f ca="1">IF(B271&gt;=$J$5,0,(CONTADORES!AJ279-CONTADORES!AJ278))</f>
        <v>0</v>
      </c>
      <c r="AZ271" s="1399">
        <f ca="1">IF(B271&gt;=$J$5,0,(CONTADORES!R279-CONTADORES!R278))</f>
        <v>0</v>
      </c>
      <c r="BA271" s="1409">
        <f t="shared" ca="1" si="145"/>
        <v>0</v>
      </c>
      <c r="BB271" s="1399">
        <f ca="1">IF(B271&gt;=$J$5,0,(((CONTADORES!G279-CONTADORES!G278)+(CONTADORES!AR279-CONTADORES!AR278)+AR271)-(AV271+BC271)))</f>
        <v>0</v>
      </c>
      <c r="BC271" s="1397">
        <f ca="1">IF(B271&gt;=$J$5,0,(CONTADORES!AY279-CONTADORES!AY278)+(CONTADORES!BA279-CONTADORES!BA278)+(CONTADORES!BF279-CONTADORES!BF278))</f>
        <v>0</v>
      </c>
      <c r="BD271" s="1397">
        <f t="shared" si="146"/>
        <v>0</v>
      </c>
      <c r="BE271" s="1398">
        <f ca="1">IF($B271&gt;=$J$5,0,CONTADORES!$BG279)</f>
        <v>0</v>
      </c>
      <c r="BF271" s="1397">
        <f ca="1">IF($B271&gt;=$J$5,0,CONTADORES!$BH279)</f>
        <v>0</v>
      </c>
      <c r="BG271" s="1397">
        <f ca="1">IF($B271&gt;=$J$5,0,CONTADORES!$BJ279)</f>
        <v>0</v>
      </c>
      <c r="BH271" s="1397">
        <f ca="1">IF(B271&gt;=$J$5,0,((CONTADORES!BK279-CONTADORES!BK278)/1000))</f>
        <v>0</v>
      </c>
      <c r="BI271" s="1397">
        <f ca="1">IF(C271&gt;=$J$5,0,((CONTADORES!BL279-CONTADORES!BL278)/1000))</f>
        <v>0</v>
      </c>
      <c r="BJ271" s="1397">
        <f ca="1">IF(C271&gt;=$J$5,0,((CONTADORES!BM279-CONTADORES!BM278)/1000))</f>
        <v>0</v>
      </c>
      <c r="BK271" s="1397">
        <f ca="1">IF(D271&gt;=$J$5,0,((CONTADORES!BN279-CONTADORES!BN278)/1000))</f>
        <v>0</v>
      </c>
      <c r="BL271" s="1399">
        <f t="shared" ca="1" si="147"/>
        <v>0</v>
      </c>
      <c r="BM271" s="1399">
        <f t="shared" ca="1" si="148"/>
        <v>0</v>
      </c>
      <c r="BN271" s="1398">
        <f ca="1">IF(W271&gt;=$J$5,0,CONTADORES!$BO279)</f>
        <v>0</v>
      </c>
      <c r="BO271" s="1397">
        <f ca="1">IF(W271&gt;=$J$5,0,CONTADORES!$BP279)</f>
        <v>0</v>
      </c>
      <c r="BP271" s="1397">
        <f ca="1">IF(W271&gt;=$J$5,0,CONTADORES!$BQ279)</f>
        <v>0</v>
      </c>
      <c r="BQ271" s="1397">
        <f ca="1">IF(B271&gt;=$J$5,0,(CONTADORES!AS279-CONTADORES!AS278))</f>
        <v>0</v>
      </c>
      <c r="BR271" s="1397">
        <f ca="1">IF(C271&gt;=$J$5,0,(CONTADORES!AT279-CONTADORES!AT278))</f>
        <v>0</v>
      </c>
      <c r="BS271" s="1397">
        <f ca="1">IF(B271&gt;=$J$5,0,CONTADORES!BR279-CONTADORES!BR278)/1000</f>
        <v>0</v>
      </c>
      <c r="BT271" s="1397">
        <f ca="1">IF(BF271&gt;=$J$5,0,CONTADORES!BS279-CONTADORES!BS278)</f>
        <v>0</v>
      </c>
      <c r="BU271" s="1397">
        <f ca="1">IF(BG271&gt;=$J$5,0,CONTADORES!BT279-CONTADORES!BT278)</f>
        <v>0</v>
      </c>
      <c r="BV271" s="1397">
        <f ca="1">IF(B271&gt;=$J$5,0,CONTADORES!BU279-CONTADORES!BU278)/1000</f>
        <v>0</v>
      </c>
      <c r="BW271" s="1397">
        <f ca="1">IF(B271&gt;=$J$5,0,CONTADORES!BV279-CONTADORES!BV278)/1000</f>
        <v>0</v>
      </c>
      <c r="BX271" s="1397">
        <f ca="1">IF(B271&gt;=$J$5,0,CONTADORES!BW279-CONTADORES!BW278)</f>
        <v>0</v>
      </c>
      <c r="BY271" s="1397">
        <f ca="1">IF(B271&gt;=$J$5,0,CONTADORES!BX279-CONTADORES!BX278)/1000</f>
        <v>0</v>
      </c>
      <c r="BZ271" s="1397">
        <f ca="1">IF(B271&gt;=$J$5,0,CONTADORES!BY279-CONTADORES!BY278)/1000</f>
        <v>0</v>
      </c>
      <c r="CA271" s="1397">
        <f ca="1">IF(B271&gt;=$J$5,0,CONTADORES!BZ279-CONTADORES!BZ278)</f>
        <v>0</v>
      </c>
      <c r="CB271" s="1398">
        <f ca="1">IF(B271&gt;=$J$5,0,(CONTADORES!CC279-CONTADORES!CC278)+(CONTADORES!CE279-CONTADORES!CE278))/1000</f>
        <v>0</v>
      </c>
      <c r="CC271" s="1398">
        <f ca="1">IF(B271&gt;=$J$5,0,(CONTADORES!CD279-CONTADORES!CD278)+(CONTADORES!CF279-CONTADORES!CF278))/1000</f>
        <v>0</v>
      </c>
      <c r="CD271" s="1398">
        <f ca="1">IF(B271&gt;=$J$5,0,CONTADORES!CA279-CONTADORES!CA278)</f>
        <v>0</v>
      </c>
      <c r="CE271" s="1398">
        <f ca="1">IF(B271&gt;=$J$5,0,CONTADORES!CB279-CONTADORES!CB278)</f>
        <v>0</v>
      </c>
      <c r="CF271" s="1409">
        <f t="shared" ca="1" si="149"/>
        <v>0</v>
      </c>
      <c r="CG271" s="1409">
        <f t="shared" ca="1" si="150"/>
        <v>0</v>
      </c>
      <c r="CH271" s="1409">
        <f t="shared" ca="1" si="151"/>
        <v>0</v>
      </c>
      <c r="CI271" s="1409">
        <f t="shared" ca="1" si="152"/>
        <v>0</v>
      </c>
      <c r="CJ271" s="1409">
        <f t="shared" ca="1" si="153"/>
        <v>0</v>
      </c>
      <c r="CK271" s="1409">
        <f t="shared" ca="1" si="154"/>
        <v>0</v>
      </c>
      <c r="CL271" s="1409">
        <f t="shared" ca="1" si="155"/>
        <v>0</v>
      </c>
      <c r="CM271" s="1409">
        <f t="shared" ca="1" si="156"/>
        <v>0</v>
      </c>
      <c r="CN271" s="1409">
        <f ca="1">IF(B271&gt;=$J$5,0,CONTADORES!CB279-CONTADORES!CB278)</f>
        <v>0</v>
      </c>
      <c r="CO271" s="1409">
        <f t="shared" ca="1" si="157"/>
        <v>0</v>
      </c>
      <c r="CP271" s="1409">
        <f t="shared" ca="1" si="158"/>
        <v>0</v>
      </c>
      <c r="CQ271" s="1409">
        <f t="shared" ca="1" si="159"/>
        <v>0</v>
      </c>
      <c r="CR271" s="1409">
        <f t="shared" ca="1" si="160"/>
        <v>0</v>
      </c>
      <c r="CS271" s="1409">
        <f ca="1">IF($B271&gt;=$J$5,0,CONTADORES!$BI279)</f>
        <v>0</v>
      </c>
      <c r="CT271" s="1334">
        <f>CONTADORES!E279</f>
        <v>0</v>
      </c>
      <c r="CU271" s="1334">
        <f>CONTADORES!CG279</f>
        <v>0</v>
      </c>
    </row>
    <row r="272" spans="2:99">
      <c r="B272" s="390">
        <v>45188</v>
      </c>
      <c r="C272" s="202">
        <f t="shared" ca="1" si="134"/>
        <v>0</v>
      </c>
      <c r="D272" s="196">
        <f ca="1">'CALCULO DE GAS'!P90</f>
        <v>0</v>
      </c>
      <c r="E272" s="196">
        <f ca="1">IF(B272&gt;=$J$5,0,(CONTADORES!$AD280-CONTADORES!$AD279)-$H272)</f>
        <v>0</v>
      </c>
      <c r="F272" s="198">
        <f t="shared" ca="1" si="133"/>
        <v>0</v>
      </c>
      <c r="G272" s="196">
        <f ca="1">IF(B272&gt;=$J$5,0,CONTADORES!$AF280-CONTADORES!$AF279)</f>
        <v>0</v>
      </c>
      <c r="H272" s="196">
        <f ca="1">IF(G272&gt;0,CONTADORES!$AE280-CONTADORES!$AE279,0)</f>
        <v>0</v>
      </c>
      <c r="I272" s="1396">
        <f ca="1">IF(B272&gt;=$J$5,0,CONTADORES!$AB280-CONTADORES!$AB279)</f>
        <v>0</v>
      </c>
      <c r="J272" s="202">
        <f t="shared" ca="1" si="135"/>
        <v>0</v>
      </c>
      <c r="K272" s="196">
        <f ca="1">'CALCULO DE GAS'!Q90</f>
        <v>0</v>
      </c>
      <c r="L272" s="1396">
        <f ca="1">IF(B272&gt;=$J$5,0,(CONTADORES!$Y280-CONTADORES!$Y279)-$O272)</f>
        <v>0</v>
      </c>
      <c r="M272" s="1396">
        <f t="shared" ca="1" si="132"/>
        <v>0</v>
      </c>
      <c r="N272" s="1396">
        <f ca="1">IF(B272&gt;=$J$5,0,CONTADORES!$AA280-CONTADORES!$AA279)</f>
        <v>0</v>
      </c>
      <c r="O272" s="199">
        <f ca="1">IF(N272&gt;0,CONTADORES!$Z280-CONTADORES!$Z279,0)</f>
        <v>0</v>
      </c>
      <c r="P272" s="1398">
        <f ca="1">IF(B272&gt;=$J$5,0,CONTADORES!$W280-CONTADORES!$W279)</f>
        <v>0</v>
      </c>
      <c r="Q272" s="202">
        <f ca="1">IF(B272&gt;=$J$5,0,CONTADORES!$B280-CONTADORES!$B279)</f>
        <v>0</v>
      </c>
      <c r="R272" s="196">
        <f t="shared" ca="1" si="136"/>
        <v>0</v>
      </c>
      <c r="S272" s="11">
        <f ca="1">IF(B272&gt;=$J$5,0,CONTADORES!$D280-CONTADORES!$D279)</f>
        <v>0</v>
      </c>
      <c r="T272" s="202">
        <f ca="1">IF(B272&gt;=$J$5,0,CONTADORES!$BB280-CONTADORES!$BB279)</f>
        <v>0</v>
      </c>
      <c r="U272" s="196">
        <f t="shared" ca="1" si="131"/>
        <v>0</v>
      </c>
      <c r="V272" s="199">
        <f ca="1">IF(B272&gt;=$J$5,0,CONTADORES!$BD280-CONTADORES!$BD279)</f>
        <v>0</v>
      </c>
      <c r="W272" s="1397">
        <f t="shared" ca="1" si="137"/>
        <v>0</v>
      </c>
      <c r="X272" s="1397">
        <f t="shared" ca="1" si="138"/>
        <v>0</v>
      </c>
      <c r="Y272" s="1398">
        <f t="shared" ca="1" si="139"/>
        <v>0</v>
      </c>
      <c r="Z272" s="1398">
        <f t="shared" ca="1" si="140"/>
        <v>0</v>
      </c>
      <c r="AA272" s="1398">
        <f t="shared" ca="1" si="141"/>
        <v>0</v>
      </c>
      <c r="AB272" s="1398">
        <f t="shared" ca="1" si="142"/>
        <v>0</v>
      </c>
      <c r="AC272" s="1397">
        <f t="shared" ca="1" si="143"/>
        <v>0</v>
      </c>
      <c r="AD272" s="1398">
        <f ca="1">IF(B272&gt;=$J$5,0,CONTADORES!H280-CONTADORES!H279)</f>
        <v>0</v>
      </c>
      <c r="AE272" s="1397">
        <f ca="1">IF(B272&gt;=$J$5,0,CONTADORES!J280-CONTADORES!J279)</f>
        <v>0</v>
      </c>
      <c r="AF272" s="1398">
        <f ca="1">IF(B272&gt;=$J$5,0,CONTADORES!AU280-CONTADORES!AU279)</f>
        <v>0</v>
      </c>
      <c r="AG272" s="1397">
        <f ca="1">IF(B272&gt;=$J$5,0,CONTADORES!AW280-CONTADORES!AW279)</f>
        <v>0</v>
      </c>
      <c r="AH272" s="1398">
        <f ca="1">IF(B272&gt;=$J$5,0,(CONTADORES!AM280-CONTADORES!AM279)+(CONTADORES!M280-CONTADORES!M279))</f>
        <v>0</v>
      </c>
      <c r="AI272" s="1398">
        <f ca="1">IF(B272&gt;=$J$5,0,(CONTADORES!AK280-CONTADORES!AK279)+(CONTADORES!O280-CONTADORES!O279))</f>
        <v>0</v>
      </c>
      <c r="AJ272" s="1398">
        <f ca="1">IF(B272&gt;=$J$5,0,(CONTADORES!AI280-CONTADORES!AI279))</f>
        <v>0</v>
      </c>
      <c r="AK272" s="1398">
        <f ca="1">IF(B272&gt;=$J$5,0,(CONTADORES!Q280-CONTADORES!Q279))</f>
        <v>0</v>
      </c>
      <c r="AL272" s="1461">
        <f t="shared" ca="1" si="144"/>
        <v>0</v>
      </c>
      <c r="AM272" s="1409">
        <f ca="1">IF(B272&gt;=$J$5,0,(((CONTADORES!F280-CONTADORES!F279)+(CONTADORES!AQ280-CONTADORES!AQ279))))-BS272-AF272-AN272-BV272-BY272-CD272-CB272</f>
        <v>0</v>
      </c>
      <c r="AN272" s="1398">
        <f ca="1">IF(B272&gt;=$J$5,0,(CONTADORES!AX280-CONTADORES!AX279)+(CONTADORES!AZ280-CONTADORES!AZ279)+(CONTADORES!BE280-CONTADORES!BE279))</f>
        <v>0</v>
      </c>
      <c r="AO272" s="1433">
        <f>(CONTADORES!AC280-CONTADORES!AC279)</f>
        <v>0</v>
      </c>
      <c r="AP272" s="1433">
        <f>(CONTADORES!X280-CONTADORES!X279)</f>
        <v>0</v>
      </c>
      <c r="AQ272" s="1399">
        <f>(CONTADORES!C280-CONTADORES!C279)</f>
        <v>0</v>
      </c>
      <c r="AR272" s="1399">
        <f>(CONTADORES!BC280-CONTADORES!BC279)</f>
        <v>0</v>
      </c>
      <c r="AS272" s="1397">
        <f ca="1">IF(B272&gt;=$J$5,0,CONTADORES!S280-CONTADORES!S279)</f>
        <v>0</v>
      </c>
      <c r="AT272" s="1397">
        <f ca="1">IF(B272&gt;=$J$5,0,(CONTADORES!U280-CONTADORES!U279)+(CONTADORES!AG280-CONTADORES!AG279))</f>
        <v>0</v>
      </c>
      <c r="AU272" s="1433">
        <f>CONTADORES!I280-CONTADORES!I279</f>
        <v>0</v>
      </c>
      <c r="AV272" s="1399">
        <f>CONTADORES!AV280-CONTADORES!AV279</f>
        <v>0</v>
      </c>
      <c r="AW272" s="1399">
        <f ca="1">IF(B272&gt;=$J$5,0,(CONTADORES!N280-CONTADORES!N279)+(CONTADORES!AN280-CONTADORES!AN279))</f>
        <v>0</v>
      </c>
      <c r="AX272" s="1399">
        <f ca="1">IF(B272&gt;=$J$5,0,(CONTADORES!P280-CONTADORES!P279)+(CONTADORES!AL280-CONTADORES!AL279))</f>
        <v>0</v>
      </c>
      <c r="AY272" s="1399">
        <f ca="1">IF(B272&gt;=$J$5,0,(CONTADORES!AJ280-CONTADORES!AJ279))</f>
        <v>0</v>
      </c>
      <c r="AZ272" s="1399">
        <f ca="1">IF(B272&gt;=$J$5,0,(CONTADORES!R280-CONTADORES!R279))</f>
        <v>0</v>
      </c>
      <c r="BA272" s="1409">
        <f t="shared" ca="1" si="145"/>
        <v>0</v>
      </c>
      <c r="BB272" s="1399">
        <f ca="1">IF(B272&gt;=$J$5,0,(((CONTADORES!G280-CONTADORES!G279)+(CONTADORES!AR280-CONTADORES!AR279)+AR272)-(AV272+BC272)))</f>
        <v>0</v>
      </c>
      <c r="BC272" s="1397">
        <f ca="1">IF(B272&gt;=$J$5,0,(CONTADORES!AY280-CONTADORES!AY279)+(CONTADORES!BA280-CONTADORES!BA279)+(CONTADORES!BF280-CONTADORES!BF279))</f>
        <v>0</v>
      </c>
      <c r="BD272" s="1397">
        <f t="shared" si="146"/>
        <v>0</v>
      </c>
      <c r="BE272" s="1398">
        <f ca="1">IF($B272&gt;=$J$5,0,CONTADORES!$BG280)</f>
        <v>0</v>
      </c>
      <c r="BF272" s="1397">
        <f ca="1">IF($B272&gt;=$J$5,0,CONTADORES!$BH280)</f>
        <v>0</v>
      </c>
      <c r="BG272" s="1397">
        <f ca="1">IF($B272&gt;=$J$5,0,CONTADORES!$BJ280)</f>
        <v>0</v>
      </c>
      <c r="BH272" s="1397">
        <f ca="1">IF(B272&gt;=$J$5,0,((CONTADORES!BK280-CONTADORES!BK279)/1000))</f>
        <v>0</v>
      </c>
      <c r="BI272" s="1397">
        <f ca="1">IF(C272&gt;=$J$5,0,((CONTADORES!BL280-CONTADORES!BL279)/1000))</f>
        <v>0</v>
      </c>
      <c r="BJ272" s="1397">
        <f ca="1">IF(C272&gt;=$J$5,0,((CONTADORES!BM280-CONTADORES!BM279)/1000))</f>
        <v>0</v>
      </c>
      <c r="BK272" s="1397">
        <f ca="1">IF(D272&gt;=$J$5,0,((CONTADORES!BN280-CONTADORES!BN279)/1000))</f>
        <v>0</v>
      </c>
      <c r="BL272" s="1399">
        <f t="shared" ca="1" si="147"/>
        <v>0</v>
      </c>
      <c r="BM272" s="1399">
        <f t="shared" ca="1" si="148"/>
        <v>0</v>
      </c>
      <c r="BN272" s="1398">
        <f ca="1">IF(W272&gt;=$J$5,0,CONTADORES!$BO280)</f>
        <v>0</v>
      </c>
      <c r="BO272" s="1397">
        <f ca="1">IF(W272&gt;=$J$5,0,CONTADORES!$BP280)</f>
        <v>0</v>
      </c>
      <c r="BP272" s="1397">
        <f ca="1">IF(W272&gt;=$J$5,0,CONTADORES!$BQ280)</f>
        <v>0</v>
      </c>
      <c r="BQ272" s="1397">
        <f ca="1">IF(B272&gt;=$J$5,0,(CONTADORES!AS280-CONTADORES!AS279))</f>
        <v>0</v>
      </c>
      <c r="BR272" s="1397">
        <f ca="1">IF(C272&gt;=$J$5,0,(CONTADORES!AT280-CONTADORES!AT279))</f>
        <v>0</v>
      </c>
      <c r="BS272" s="1397">
        <f ca="1">IF(B272&gt;=$J$5,0,CONTADORES!BR280-CONTADORES!BR279)/1000</f>
        <v>0</v>
      </c>
      <c r="BT272" s="1397">
        <f ca="1">IF(BF272&gt;=$J$5,0,CONTADORES!BS280-CONTADORES!BS279)</f>
        <v>0</v>
      </c>
      <c r="BU272" s="1397">
        <f ca="1">IF(BG272&gt;=$J$5,0,CONTADORES!BT280-CONTADORES!BT279)</f>
        <v>0</v>
      </c>
      <c r="BV272" s="1397">
        <f ca="1">IF(B272&gt;=$J$5,0,CONTADORES!BU280-CONTADORES!BU279)/1000</f>
        <v>0</v>
      </c>
      <c r="BW272" s="1397">
        <f ca="1">IF(B272&gt;=$J$5,0,CONTADORES!BV280-CONTADORES!BV279)/1000</f>
        <v>0</v>
      </c>
      <c r="BX272" s="1397">
        <f ca="1">IF(B272&gt;=$J$5,0,CONTADORES!BW280-CONTADORES!BW279)</f>
        <v>0</v>
      </c>
      <c r="BY272" s="1397">
        <f ca="1">IF(B272&gt;=$J$5,0,CONTADORES!BX280-CONTADORES!BX279)/1000</f>
        <v>0</v>
      </c>
      <c r="BZ272" s="1397">
        <f ca="1">IF(B272&gt;=$J$5,0,CONTADORES!BY280-CONTADORES!BY279)/1000</f>
        <v>0</v>
      </c>
      <c r="CA272" s="1397">
        <f ca="1">IF(B272&gt;=$J$5,0,CONTADORES!BZ280-CONTADORES!BZ279)</f>
        <v>0</v>
      </c>
      <c r="CB272" s="1398">
        <f ca="1">IF(B272&gt;=$J$5,0,(CONTADORES!CC280-CONTADORES!CC279)+(CONTADORES!CE280-CONTADORES!CE279))/1000</f>
        <v>0</v>
      </c>
      <c r="CC272" s="1398">
        <f ca="1">IF(B272&gt;=$J$5,0,(CONTADORES!CD280-CONTADORES!CD279)+(CONTADORES!CF280-CONTADORES!CF279))/1000</f>
        <v>0</v>
      </c>
      <c r="CD272" s="1398">
        <f ca="1">IF(B272&gt;=$J$5,0,CONTADORES!CA280-CONTADORES!CA279)</f>
        <v>0</v>
      </c>
      <c r="CE272" s="1398">
        <f ca="1">IF(B272&gt;=$J$5,0,CONTADORES!CB280-CONTADORES!CB279)</f>
        <v>0</v>
      </c>
      <c r="CF272" s="1409">
        <f t="shared" ca="1" si="149"/>
        <v>0</v>
      </c>
      <c r="CG272" s="1409">
        <f t="shared" ca="1" si="150"/>
        <v>0</v>
      </c>
      <c r="CH272" s="1409">
        <f t="shared" ca="1" si="151"/>
        <v>0</v>
      </c>
      <c r="CI272" s="1409">
        <f t="shared" ca="1" si="152"/>
        <v>0</v>
      </c>
      <c r="CJ272" s="1409">
        <f t="shared" ca="1" si="153"/>
        <v>0</v>
      </c>
      <c r="CK272" s="1409">
        <f t="shared" ca="1" si="154"/>
        <v>0</v>
      </c>
      <c r="CL272" s="1409">
        <f t="shared" ca="1" si="155"/>
        <v>0</v>
      </c>
      <c r="CM272" s="1409">
        <f t="shared" ca="1" si="156"/>
        <v>0</v>
      </c>
      <c r="CN272" s="1409">
        <f ca="1">IF(B272&gt;=$J$5,0,CONTADORES!CB280-CONTADORES!CB279)</f>
        <v>0</v>
      </c>
      <c r="CO272" s="1409">
        <f t="shared" ca="1" si="157"/>
        <v>0</v>
      </c>
      <c r="CP272" s="1409">
        <f t="shared" ca="1" si="158"/>
        <v>0</v>
      </c>
      <c r="CQ272" s="1409">
        <f t="shared" ca="1" si="159"/>
        <v>0</v>
      </c>
      <c r="CR272" s="1409">
        <f t="shared" ca="1" si="160"/>
        <v>0</v>
      </c>
      <c r="CS272" s="1409">
        <f ca="1">IF($B272&gt;=$J$5,0,CONTADORES!$BI280)</f>
        <v>0</v>
      </c>
      <c r="CT272" s="1334">
        <f>CONTADORES!E280</f>
        <v>0</v>
      </c>
      <c r="CU272" s="1334">
        <f>CONTADORES!CG280</f>
        <v>0</v>
      </c>
    </row>
    <row r="273" spans="2:99">
      <c r="B273" s="390">
        <v>45189</v>
      </c>
      <c r="C273" s="202">
        <f t="shared" ca="1" si="134"/>
        <v>0</v>
      </c>
      <c r="D273" s="196">
        <f ca="1">'CALCULO DE GAS'!P91</f>
        <v>0</v>
      </c>
      <c r="E273" s="196">
        <f ca="1">IF(B273&gt;=$J$5,0,(CONTADORES!$AD281-CONTADORES!$AD280)-$H273)</f>
        <v>0</v>
      </c>
      <c r="F273" s="198">
        <f t="shared" ca="1" si="133"/>
        <v>0</v>
      </c>
      <c r="G273" s="196">
        <f ca="1">IF(B273&gt;=$J$5,0,CONTADORES!$AF281-CONTADORES!$AF280)</f>
        <v>0</v>
      </c>
      <c r="H273" s="196">
        <f ca="1">IF(G273&gt;0,CONTADORES!$AE281-CONTADORES!$AE280,0)</f>
        <v>0</v>
      </c>
      <c r="I273" s="1396">
        <f ca="1">IF(B273&gt;=$J$5,0,CONTADORES!$AB281-CONTADORES!$AB280)</f>
        <v>0</v>
      </c>
      <c r="J273" s="202">
        <f t="shared" ca="1" si="135"/>
        <v>0</v>
      </c>
      <c r="K273" s="196">
        <f ca="1">'CALCULO DE GAS'!Q91</f>
        <v>0</v>
      </c>
      <c r="L273" s="1396">
        <f ca="1">IF(B273&gt;=$J$5,0,(CONTADORES!$Y281-CONTADORES!$Y280)-$O273)</f>
        <v>0</v>
      </c>
      <c r="M273" s="1396">
        <f t="shared" ca="1" si="132"/>
        <v>0</v>
      </c>
      <c r="N273" s="1396">
        <f ca="1">IF(B273&gt;=$J$5,0,CONTADORES!$AA281-CONTADORES!$AA280)</f>
        <v>0</v>
      </c>
      <c r="O273" s="199">
        <f ca="1">IF(N273&gt;0,CONTADORES!$Z281-CONTADORES!$Z280,0)</f>
        <v>0</v>
      </c>
      <c r="P273" s="1398">
        <f ca="1">IF(B273&gt;=$J$5,0,CONTADORES!$W281-CONTADORES!$W280)</f>
        <v>0</v>
      </c>
      <c r="Q273" s="202">
        <f ca="1">IF(B273&gt;=$J$5,0,CONTADORES!$B281-CONTADORES!$B280)</f>
        <v>0</v>
      </c>
      <c r="R273" s="196">
        <f t="shared" ca="1" si="136"/>
        <v>0</v>
      </c>
      <c r="S273" s="11">
        <f ca="1">IF(B273&gt;=$J$5,0,CONTADORES!$D281-CONTADORES!$D280)</f>
        <v>0</v>
      </c>
      <c r="T273" s="202">
        <f ca="1">IF(B273&gt;=$J$5,0,CONTADORES!$BB281-CONTADORES!$BB280)</f>
        <v>0</v>
      </c>
      <c r="U273" s="196">
        <f t="shared" ca="1" si="131"/>
        <v>0</v>
      </c>
      <c r="V273" s="199">
        <f ca="1">IF(B273&gt;=$J$5,0,CONTADORES!$BD281-CONTADORES!$BD280)</f>
        <v>0</v>
      </c>
      <c r="W273" s="1397">
        <f t="shared" ca="1" si="137"/>
        <v>0</v>
      </c>
      <c r="X273" s="1397">
        <f t="shared" ca="1" si="138"/>
        <v>0</v>
      </c>
      <c r="Y273" s="1398">
        <f t="shared" ca="1" si="139"/>
        <v>0</v>
      </c>
      <c r="Z273" s="1398">
        <f t="shared" ca="1" si="140"/>
        <v>0</v>
      </c>
      <c r="AA273" s="1398">
        <f t="shared" ca="1" si="141"/>
        <v>0</v>
      </c>
      <c r="AB273" s="1398">
        <f t="shared" ca="1" si="142"/>
        <v>0</v>
      </c>
      <c r="AC273" s="1397">
        <f t="shared" ca="1" si="143"/>
        <v>0</v>
      </c>
      <c r="AD273" s="1398">
        <f ca="1">IF(B273&gt;=$J$5,0,CONTADORES!H281-CONTADORES!H280)</f>
        <v>0</v>
      </c>
      <c r="AE273" s="1397">
        <f ca="1">IF(B273&gt;=$J$5,0,CONTADORES!J281-CONTADORES!J280)</f>
        <v>0</v>
      </c>
      <c r="AF273" s="1398">
        <f ca="1">IF(B273&gt;=$J$5,0,CONTADORES!AU281-CONTADORES!AU280)</f>
        <v>0</v>
      </c>
      <c r="AG273" s="1397">
        <f ca="1">IF(B273&gt;=$J$5,0,CONTADORES!AW281-CONTADORES!AW280)</f>
        <v>0</v>
      </c>
      <c r="AH273" s="1398">
        <f ca="1">IF(B273&gt;=$J$5,0,(CONTADORES!AM281-CONTADORES!AM280)+(CONTADORES!M281-CONTADORES!M280))</f>
        <v>0</v>
      </c>
      <c r="AI273" s="1398">
        <f ca="1">IF(B273&gt;=$J$5,0,(CONTADORES!AK281-CONTADORES!AK280)+(CONTADORES!O281-CONTADORES!O280))</f>
        <v>0</v>
      </c>
      <c r="AJ273" s="1398">
        <f ca="1">IF(B273&gt;=$J$5,0,(CONTADORES!AI281-CONTADORES!AI280))</f>
        <v>0</v>
      </c>
      <c r="AK273" s="1398">
        <f ca="1">IF(B273&gt;=$J$5,0,(CONTADORES!Q281-CONTADORES!Q280))</f>
        <v>0</v>
      </c>
      <c r="AL273" s="1461">
        <f t="shared" ca="1" si="144"/>
        <v>0</v>
      </c>
      <c r="AM273" s="1409">
        <f ca="1">IF(B273&gt;=$J$5,0,(((CONTADORES!F281-CONTADORES!F280)+(CONTADORES!AQ281-CONTADORES!AQ280))))-BS273-AF273-AN273-BV273-BY273-CD273-CB273</f>
        <v>0</v>
      </c>
      <c r="AN273" s="1398">
        <f ca="1">IF(B273&gt;=$J$5,0,(CONTADORES!AX281-CONTADORES!AX280)+(CONTADORES!AZ281-CONTADORES!AZ280)+(CONTADORES!BE281-CONTADORES!BE280))</f>
        <v>0</v>
      </c>
      <c r="AO273" s="1433">
        <f>(CONTADORES!AC281-CONTADORES!AC280)</f>
        <v>0</v>
      </c>
      <c r="AP273" s="1433">
        <f>(CONTADORES!X281-CONTADORES!X280)</f>
        <v>0</v>
      </c>
      <c r="AQ273" s="1399">
        <f>(CONTADORES!C281-CONTADORES!C280)</f>
        <v>0</v>
      </c>
      <c r="AR273" s="1399">
        <f>(CONTADORES!BC281-CONTADORES!BC280)</f>
        <v>0</v>
      </c>
      <c r="AS273" s="1397">
        <f ca="1">IF(B273&gt;=$J$5,0,CONTADORES!S281-CONTADORES!S280)</f>
        <v>0</v>
      </c>
      <c r="AT273" s="1397">
        <f ca="1">IF(B273&gt;=$J$5,0,(CONTADORES!U281-CONTADORES!U280)+(CONTADORES!AG281-CONTADORES!AG280))</f>
        <v>0</v>
      </c>
      <c r="AU273" s="1433">
        <f>CONTADORES!I281-CONTADORES!I280</f>
        <v>0</v>
      </c>
      <c r="AV273" s="1399">
        <f>CONTADORES!AV281-CONTADORES!AV280</f>
        <v>0</v>
      </c>
      <c r="AW273" s="1399">
        <f ca="1">IF(B273&gt;=$J$5,0,(CONTADORES!N281-CONTADORES!N280)+(CONTADORES!AN281-CONTADORES!AN280))</f>
        <v>0</v>
      </c>
      <c r="AX273" s="1399">
        <f ca="1">IF(B273&gt;=$J$5,0,(CONTADORES!P281-CONTADORES!P280)+(CONTADORES!AL281-CONTADORES!AL280))</f>
        <v>0</v>
      </c>
      <c r="AY273" s="1399">
        <f ca="1">IF(B273&gt;=$J$5,0,(CONTADORES!AJ281-CONTADORES!AJ280))</f>
        <v>0</v>
      </c>
      <c r="AZ273" s="1399">
        <f ca="1">IF(B273&gt;=$J$5,0,(CONTADORES!R281-CONTADORES!R280))</f>
        <v>0</v>
      </c>
      <c r="BA273" s="1409">
        <f t="shared" ca="1" si="145"/>
        <v>0</v>
      </c>
      <c r="BB273" s="1399">
        <f ca="1">IF(B273&gt;=$J$5,0,(((CONTADORES!G281-CONTADORES!G280)+(CONTADORES!AR281-CONTADORES!AR280)+AR273)-(AV273+BC273)))</f>
        <v>0</v>
      </c>
      <c r="BC273" s="1397">
        <f ca="1">IF(B273&gt;=$J$5,0,(CONTADORES!AY281-CONTADORES!AY280)+(CONTADORES!BA281-CONTADORES!BA280)+(CONTADORES!BF281-CONTADORES!BF280))</f>
        <v>0</v>
      </c>
      <c r="BD273" s="1397">
        <f t="shared" si="146"/>
        <v>0</v>
      </c>
      <c r="BE273" s="1398">
        <f ca="1">IF($B273&gt;=$J$5,0,CONTADORES!$BG281)</f>
        <v>0</v>
      </c>
      <c r="BF273" s="1397">
        <f ca="1">IF($B273&gt;=$J$5,0,CONTADORES!$BH281)</f>
        <v>0</v>
      </c>
      <c r="BG273" s="1397">
        <f ca="1">IF($B273&gt;=$J$5,0,CONTADORES!$BJ281)</f>
        <v>0</v>
      </c>
      <c r="BH273" s="1397">
        <f ca="1">IF(B273&gt;=$J$5,0,((CONTADORES!BK281-CONTADORES!BK280)/1000))</f>
        <v>0</v>
      </c>
      <c r="BI273" s="1397">
        <f ca="1">IF(C273&gt;=$J$5,0,((CONTADORES!BL281-CONTADORES!BL280)/1000))</f>
        <v>0</v>
      </c>
      <c r="BJ273" s="1397">
        <f ca="1">IF(C273&gt;=$J$5,0,((CONTADORES!BM281-CONTADORES!BM280)/1000))</f>
        <v>0</v>
      </c>
      <c r="BK273" s="1397">
        <f ca="1">IF(D273&gt;=$J$5,0,((CONTADORES!BN281-CONTADORES!BN280)/1000))</f>
        <v>0</v>
      </c>
      <c r="BL273" s="1399">
        <f t="shared" ca="1" si="147"/>
        <v>0</v>
      </c>
      <c r="BM273" s="1399">
        <f t="shared" ca="1" si="148"/>
        <v>0</v>
      </c>
      <c r="BN273" s="1398">
        <f ca="1">IF(W273&gt;=$J$5,0,CONTADORES!$BO281)</f>
        <v>0</v>
      </c>
      <c r="BO273" s="1397">
        <f ca="1">IF(W273&gt;=$J$5,0,CONTADORES!$BP281)</f>
        <v>0</v>
      </c>
      <c r="BP273" s="1397">
        <f ca="1">IF(W273&gt;=$J$5,0,CONTADORES!$BQ281)</f>
        <v>0</v>
      </c>
      <c r="BQ273" s="1397">
        <f ca="1">IF(B273&gt;=$J$5,0,(CONTADORES!AS281-CONTADORES!AS280))</f>
        <v>0</v>
      </c>
      <c r="BR273" s="1397">
        <f ca="1">IF(C273&gt;=$J$5,0,(CONTADORES!AT281-CONTADORES!AT280))</f>
        <v>0</v>
      </c>
      <c r="BS273" s="1397">
        <f ca="1">IF(B273&gt;=$J$5,0,CONTADORES!BR281-CONTADORES!BR280)/1000</f>
        <v>0</v>
      </c>
      <c r="BT273" s="1397">
        <f ca="1">IF(BF273&gt;=$J$5,0,CONTADORES!BS281-CONTADORES!BS280)</f>
        <v>0</v>
      </c>
      <c r="BU273" s="1397">
        <f ca="1">IF(BG273&gt;=$J$5,0,CONTADORES!BT281-CONTADORES!BT280)</f>
        <v>0</v>
      </c>
      <c r="BV273" s="1397">
        <f ca="1">IF(B273&gt;=$J$5,0,CONTADORES!BU281-CONTADORES!BU280)/1000</f>
        <v>0</v>
      </c>
      <c r="BW273" s="1397">
        <f ca="1">IF(B273&gt;=$J$5,0,CONTADORES!BV281-CONTADORES!BV280)/1000</f>
        <v>0</v>
      </c>
      <c r="BX273" s="1397">
        <f ca="1">IF(B273&gt;=$J$5,0,CONTADORES!BW281-CONTADORES!BW280)</f>
        <v>0</v>
      </c>
      <c r="BY273" s="1397">
        <f ca="1">IF(B273&gt;=$J$5,0,CONTADORES!BX281-CONTADORES!BX280)/1000</f>
        <v>0</v>
      </c>
      <c r="BZ273" s="1397">
        <f ca="1">IF(B273&gt;=$J$5,0,CONTADORES!BY281-CONTADORES!BY280)/1000</f>
        <v>0</v>
      </c>
      <c r="CA273" s="1397">
        <f ca="1">IF(B273&gt;=$J$5,0,CONTADORES!BZ281-CONTADORES!BZ280)</f>
        <v>0</v>
      </c>
      <c r="CB273" s="1398">
        <f ca="1">IF(B273&gt;=$J$5,0,(CONTADORES!CC281-CONTADORES!CC280)+(CONTADORES!CE281-CONTADORES!CE280))/1000</f>
        <v>0</v>
      </c>
      <c r="CC273" s="1398">
        <f ca="1">IF(B273&gt;=$J$5,0,(CONTADORES!CD281-CONTADORES!CD280)+(CONTADORES!CF281-CONTADORES!CF280))/1000</f>
        <v>0</v>
      </c>
      <c r="CD273" s="1398">
        <f ca="1">IF(B273&gt;=$J$5,0,CONTADORES!CA281-CONTADORES!CA280)</f>
        <v>0</v>
      </c>
      <c r="CE273" s="1398">
        <f ca="1">IF(B273&gt;=$J$5,0,CONTADORES!CB281-CONTADORES!CB280)</f>
        <v>0</v>
      </c>
      <c r="CF273" s="1409">
        <f t="shared" ca="1" si="149"/>
        <v>0</v>
      </c>
      <c r="CG273" s="1409">
        <f t="shared" ca="1" si="150"/>
        <v>0</v>
      </c>
      <c r="CH273" s="1409">
        <f t="shared" ca="1" si="151"/>
        <v>0</v>
      </c>
      <c r="CI273" s="1409">
        <f t="shared" ca="1" si="152"/>
        <v>0</v>
      </c>
      <c r="CJ273" s="1409">
        <f t="shared" ca="1" si="153"/>
        <v>0</v>
      </c>
      <c r="CK273" s="1409">
        <f t="shared" ca="1" si="154"/>
        <v>0</v>
      </c>
      <c r="CL273" s="1409">
        <f t="shared" ca="1" si="155"/>
        <v>0</v>
      </c>
      <c r="CM273" s="1409">
        <f t="shared" ca="1" si="156"/>
        <v>0</v>
      </c>
      <c r="CN273" s="1409">
        <f ca="1">IF(B273&gt;=$J$5,0,CONTADORES!CB281-CONTADORES!CB280)</f>
        <v>0</v>
      </c>
      <c r="CO273" s="1409">
        <f t="shared" ca="1" si="157"/>
        <v>0</v>
      </c>
      <c r="CP273" s="1409">
        <f t="shared" ca="1" si="158"/>
        <v>0</v>
      </c>
      <c r="CQ273" s="1409">
        <f t="shared" ca="1" si="159"/>
        <v>0</v>
      </c>
      <c r="CR273" s="1409">
        <f t="shared" ca="1" si="160"/>
        <v>0</v>
      </c>
      <c r="CS273" s="1409">
        <f ca="1">IF($B273&gt;=$J$5,0,CONTADORES!$BI281)</f>
        <v>0</v>
      </c>
      <c r="CT273" s="1334">
        <f>CONTADORES!E281</f>
        <v>0</v>
      </c>
      <c r="CU273" s="1334">
        <f>CONTADORES!CG281</f>
        <v>0</v>
      </c>
    </row>
    <row r="274" spans="2:99">
      <c r="B274" s="390">
        <v>45190</v>
      </c>
      <c r="C274" s="202">
        <f t="shared" ca="1" si="134"/>
        <v>0</v>
      </c>
      <c r="D274" s="196">
        <f ca="1">'CALCULO DE GAS'!P92</f>
        <v>0</v>
      </c>
      <c r="E274" s="196">
        <f ca="1">IF(B274&gt;=$J$5,0,(CONTADORES!$AD282-CONTADORES!$AD281)-$H274)</f>
        <v>0</v>
      </c>
      <c r="F274" s="198">
        <f t="shared" ca="1" si="133"/>
        <v>0</v>
      </c>
      <c r="G274" s="196">
        <f ca="1">IF(B274&gt;=$J$5,0,CONTADORES!$AF282-CONTADORES!$AF281)</f>
        <v>0</v>
      </c>
      <c r="H274" s="196">
        <f ca="1">IF(G274&gt;0,CONTADORES!$AE282-CONTADORES!$AE281,0)</f>
        <v>0</v>
      </c>
      <c r="I274" s="1396">
        <f ca="1">IF(B274&gt;=$J$5,0,CONTADORES!$AB282-CONTADORES!$AB281)</f>
        <v>0</v>
      </c>
      <c r="J274" s="202">
        <f t="shared" ca="1" si="135"/>
        <v>0</v>
      </c>
      <c r="K274" s="196">
        <f ca="1">'CALCULO DE GAS'!Q92</f>
        <v>0</v>
      </c>
      <c r="L274" s="1396">
        <f ca="1">IF(B274&gt;=$J$5,0,(CONTADORES!$Y282-CONTADORES!$Y281)-$O274)</f>
        <v>0</v>
      </c>
      <c r="M274" s="1396">
        <f t="shared" ca="1" si="132"/>
        <v>0</v>
      </c>
      <c r="N274" s="1396">
        <f ca="1">IF(B274&gt;=$J$5,0,CONTADORES!$AA282-CONTADORES!$AA281)</f>
        <v>0</v>
      </c>
      <c r="O274" s="199">
        <f ca="1">IF(N274&gt;0,CONTADORES!$Z282-CONTADORES!$Z281,0)</f>
        <v>0</v>
      </c>
      <c r="P274" s="1398">
        <f ca="1">IF(B274&gt;=$J$5,0,CONTADORES!$W282-CONTADORES!$W281)</f>
        <v>0</v>
      </c>
      <c r="Q274" s="202">
        <f ca="1">IF(B274&gt;=$J$5,0,CONTADORES!$B282-CONTADORES!$B281)</f>
        <v>0</v>
      </c>
      <c r="R274" s="196">
        <f t="shared" ca="1" si="136"/>
        <v>0</v>
      </c>
      <c r="S274" s="11">
        <f ca="1">IF(B274&gt;=$J$5,0,CONTADORES!$D282-CONTADORES!$D281)</f>
        <v>0</v>
      </c>
      <c r="T274" s="202">
        <f ca="1">IF(B274&gt;=$J$5,0,CONTADORES!$BB282-CONTADORES!$BB281)</f>
        <v>0</v>
      </c>
      <c r="U274" s="196">
        <f t="shared" ca="1" si="131"/>
        <v>0</v>
      </c>
      <c r="V274" s="199">
        <f ca="1">IF(B274&gt;=$J$5,0,CONTADORES!$BD282-CONTADORES!$BD281)</f>
        <v>0</v>
      </c>
      <c r="W274" s="1397">
        <f t="shared" ca="1" si="137"/>
        <v>0</v>
      </c>
      <c r="X274" s="1397">
        <f t="shared" ca="1" si="138"/>
        <v>0</v>
      </c>
      <c r="Y274" s="1398">
        <f t="shared" ca="1" si="139"/>
        <v>0</v>
      </c>
      <c r="Z274" s="1398">
        <f t="shared" ca="1" si="140"/>
        <v>0</v>
      </c>
      <c r="AA274" s="1398">
        <f t="shared" ca="1" si="141"/>
        <v>0</v>
      </c>
      <c r="AB274" s="1398">
        <f t="shared" ca="1" si="142"/>
        <v>0</v>
      </c>
      <c r="AC274" s="1397">
        <f t="shared" ca="1" si="143"/>
        <v>0</v>
      </c>
      <c r="AD274" s="1398">
        <f ca="1">IF(B274&gt;=$J$5,0,CONTADORES!H282-CONTADORES!H281)</f>
        <v>0</v>
      </c>
      <c r="AE274" s="1397">
        <f ca="1">IF(B274&gt;=$J$5,0,CONTADORES!J282-CONTADORES!J281)</f>
        <v>0</v>
      </c>
      <c r="AF274" s="1398">
        <f ca="1">IF(B274&gt;=$J$5,0,CONTADORES!AU282-CONTADORES!AU281)</f>
        <v>0</v>
      </c>
      <c r="AG274" s="1397">
        <f ca="1">IF(B274&gt;=$J$5,0,CONTADORES!AW282-CONTADORES!AW281)</f>
        <v>0</v>
      </c>
      <c r="AH274" s="1398">
        <f ca="1">IF(B274&gt;=$J$5,0,(CONTADORES!AM282-CONTADORES!AM281)+(CONTADORES!M282-CONTADORES!M281))</f>
        <v>0</v>
      </c>
      <c r="AI274" s="1398">
        <f ca="1">IF(B274&gt;=$J$5,0,(CONTADORES!AK282-CONTADORES!AK281)+(CONTADORES!O282-CONTADORES!O281))</f>
        <v>0</v>
      </c>
      <c r="AJ274" s="1398">
        <f ca="1">IF(B274&gt;=$J$5,0,(CONTADORES!AI282-CONTADORES!AI281))</f>
        <v>0</v>
      </c>
      <c r="AK274" s="1398">
        <f ca="1">IF(B274&gt;=$J$5,0,(CONTADORES!Q282-CONTADORES!Q281))</f>
        <v>0</v>
      </c>
      <c r="AL274" s="1461">
        <f t="shared" ca="1" si="144"/>
        <v>0</v>
      </c>
      <c r="AM274" s="1409">
        <f ca="1">IF(B274&gt;=$J$5,0,(((CONTADORES!F282-CONTADORES!F281)+(CONTADORES!AQ282-CONTADORES!AQ281))))-BS274-AF274-AN274-BV274-BY274-CD274-CB274</f>
        <v>0</v>
      </c>
      <c r="AN274" s="1398">
        <f ca="1">IF(B274&gt;=$J$5,0,(CONTADORES!AX282-CONTADORES!AX281)+(CONTADORES!AZ282-CONTADORES!AZ281)+(CONTADORES!BE282-CONTADORES!BE281))</f>
        <v>0</v>
      </c>
      <c r="AO274" s="1433">
        <f>(CONTADORES!AC282-CONTADORES!AC281)</f>
        <v>0</v>
      </c>
      <c r="AP274" s="1433">
        <f>(CONTADORES!X282-CONTADORES!X281)</f>
        <v>0</v>
      </c>
      <c r="AQ274" s="1399">
        <f>(CONTADORES!C282-CONTADORES!C281)</f>
        <v>0</v>
      </c>
      <c r="AR274" s="1399">
        <f>(CONTADORES!BC282-CONTADORES!BC281)</f>
        <v>0</v>
      </c>
      <c r="AS274" s="1397">
        <f ca="1">IF(B274&gt;=$J$5,0,CONTADORES!S282-CONTADORES!S281)</f>
        <v>0</v>
      </c>
      <c r="AT274" s="1397">
        <f ca="1">IF(B274&gt;=$J$5,0,(CONTADORES!U282-CONTADORES!U281)+(CONTADORES!AG282-CONTADORES!AG281))</f>
        <v>0</v>
      </c>
      <c r="AU274" s="1433">
        <f>CONTADORES!I282-CONTADORES!I281</f>
        <v>0</v>
      </c>
      <c r="AV274" s="1399">
        <f>CONTADORES!AV282-CONTADORES!AV281</f>
        <v>0</v>
      </c>
      <c r="AW274" s="1399">
        <f ca="1">IF(B274&gt;=$J$5,0,(CONTADORES!N282-CONTADORES!N281)+(CONTADORES!AN282-CONTADORES!AN281))</f>
        <v>0</v>
      </c>
      <c r="AX274" s="1399">
        <f ca="1">IF(B274&gt;=$J$5,0,(CONTADORES!P282-CONTADORES!P281)+(CONTADORES!AL282-CONTADORES!AL281))</f>
        <v>0</v>
      </c>
      <c r="AY274" s="1399">
        <f ca="1">IF(B274&gt;=$J$5,0,(CONTADORES!AJ282-CONTADORES!AJ281))</f>
        <v>0</v>
      </c>
      <c r="AZ274" s="1399">
        <f ca="1">IF(B274&gt;=$J$5,0,(CONTADORES!R282-CONTADORES!R281))</f>
        <v>0</v>
      </c>
      <c r="BA274" s="1409">
        <f t="shared" ca="1" si="145"/>
        <v>0</v>
      </c>
      <c r="BB274" s="1399">
        <f ca="1">IF(B274&gt;=$J$5,0,(((CONTADORES!G282-CONTADORES!G281)+(CONTADORES!AR282-CONTADORES!AR281)+AR274)-(AV274+BC274)))</f>
        <v>0</v>
      </c>
      <c r="BC274" s="1397">
        <f ca="1">IF(B274&gt;=$J$5,0,(CONTADORES!AY282-CONTADORES!AY281)+(CONTADORES!BA282-CONTADORES!BA281)+(CONTADORES!BF282-CONTADORES!BF281))</f>
        <v>0</v>
      </c>
      <c r="BD274" s="1397">
        <f t="shared" si="146"/>
        <v>0</v>
      </c>
      <c r="BE274" s="1398">
        <f ca="1">IF($B274&gt;=$J$5,0,CONTADORES!$BG282)</f>
        <v>0</v>
      </c>
      <c r="BF274" s="1397">
        <f ca="1">IF($B274&gt;=$J$5,0,CONTADORES!$BH282)</f>
        <v>0</v>
      </c>
      <c r="BG274" s="1397">
        <f ca="1">IF($B274&gt;=$J$5,0,CONTADORES!$BJ282)</f>
        <v>0</v>
      </c>
      <c r="BH274" s="1397">
        <f ca="1">IF(B274&gt;=$J$5,0,((CONTADORES!BK282-CONTADORES!BK281)/1000))</f>
        <v>0</v>
      </c>
      <c r="BI274" s="1397">
        <f ca="1">IF(C274&gt;=$J$5,0,((CONTADORES!BL282-CONTADORES!BL281)/1000))</f>
        <v>0</v>
      </c>
      <c r="BJ274" s="1397">
        <f ca="1">IF(C274&gt;=$J$5,0,((CONTADORES!BM282-CONTADORES!BM281)/1000))</f>
        <v>0</v>
      </c>
      <c r="BK274" s="1397">
        <f ca="1">IF(D274&gt;=$J$5,0,((CONTADORES!BN282-CONTADORES!BN281)/1000))</f>
        <v>0</v>
      </c>
      <c r="BL274" s="1399">
        <f t="shared" ca="1" si="147"/>
        <v>0</v>
      </c>
      <c r="BM274" s="1399">
        <f t="shared" ca="1" si="148"/>
        <v>0</v>
      </c>
      <c r="BN274" s="1398">
        <f ca="1">IF(W274&gt;=$J$5,0,CONTADORES!$BO282)</f>
        <v>0</v>
      </c>
      <c r="BO274" s="1397">
        <f ca="1">IF(W274&gt;=$J$5,0,CONTADORES!$BP282)</f>
        <v>0</v>
      </c>
      <c r="BP274" s="1397">
        <f ca="1">IF(W274&gt;=$J$5,0,CONTADORES!$BQ282)</f>
        <v>0</v>
      </c>
      <c r="BQ274" s="1397">
        <f ca="1">IF(B274&gt;=$J$5,0,(CONTADORES!AS282-CONTADORES!AS281))</f>
        <v>0</v>
      </c>
      <c r="BR274" s="1397">
        <f ca="1">IF(C274&gt;=$J$5,0,(CONTADORES!AT282-CONTADORES!AT281))</f>
        <v>0</v>
      </c>
      <c r="BS274" s="1397">
        <f ca="1">IF(B274&gt;=$J$5,0,CONTADORES!BR282-CONTADORES!BR281)/1000</f>
        <v>0</v>
      </c>
      <c r="BT274" s="1397">
        <f ca="1">IF(BF274&gt;=$J$5,0,CONTADORES!BS282-CONTADORES!BS281)</f>
        <v>0</v>
      </c>
      <c r="BU274" s="1397">
        <f ca="1">IF(BG274&gt;=$J$5,0,CONTADORES!BT282-CONTADORES!BT281)</f>
        <v>0</v>
      </c>
      <c r="BV274" s="1397">
        <f ca="1">IF(B274&gt;=$J$5,0,CONTADORES!BU282-CONTADORES!BU281)/1000</f>
        <v>0</v>
      </c>
      <c r="BW274" s="1397">
        <f ca="1">IF(B274&gt;=$J$5,0,CONTADORES!BV282-CONTADORES!BV281)/1000</f>
        <v>0</v>
      </c>
      <c r="BX274" s="1397">
        <f ca="1">IF(B274&gt;=$J$5,0,CONTADORES!BW282-CONTADORES!BW281)</f>
        <v>0</v>
      </c>
      <c r="BY274" s="1397">
        <f ca="1">IF(B274&gt;=$J$5,0,CONTADORES!BX282-CONTADORES!BX281)/1000</f>
        <v>0</v>
      </c>
      <c r="BZ274" s="1397">
        <f ca="1">IF(B274&gt;=$J$5,0,CONTADORES!BY282-CONTADORES!BY281)/1000</f>
        <v>0</v>
      </c>
      <c r="CA274" s="1397">
        <f ca="1">IF(B274&gt;=$J$5,0,CONTADORES!BZ282-CONTADORES!BZ281)</f>
        <v>0</v>
      </c>
      <c r="CB274" s="1398">
        <f ca="1">IF(B274&gt;=$J$5,0,(CONTADORES!CC282-CONTADORES!CC281)+(CONTADORES!CE282-CONTADORES!CE281))/1000</f>
        <v>0</v>
      </c>
      <c r="CC274" s="1398">
        <f ca="1">IF(B274&gt;=$J$5,0,(CONTADORES!CD282-CONTADORES!CD281)+(CONTADORES!CF282-CONTADORES!CF281))/1000</f>
        <v>0</v>
      </c>
      <c r="CD274" s="1398">
        <f ca="1">IF(B274&gt;=$J$5,0,CONTADORES!CA282-CONTADORES!CA281)</f>
        <v>0</v>
      </c>
      <c r="CE274" s="1398">
        <f ca="1">IF(B274&gt;=$J$5,0,CONTADORES!CB282-CONTADORES!CB281)</f>
        <v>0</v>
      </c>
      <c r="CF274" s="1409">
        <f t="shared" ca="1" si="149"/>
        <v>0</v>
      </c>
      <c r="CG274" s="1409">
        <f t="shared" ca="1" si="150"/>
        <v>0</v>
      </c>
      <c r="CH274" s="1409">
        <f t="shared" ca="1" si="151"/>
        <v>0</v>
      </c>
      <c r="CI274" s="1409">
        <f t="shared" ca="1" si="152"/>
        <v>0</v>
      </c>
      <c r="CJ274" s="1409">
        <f t="shared" ca="1" si="153"/>
        <v>0</v>
      </c>
      <c r="CK274" s="1409">
        <f t="shared" ca="1" si="154"/>
        <v>0</v>
      </c>
      <c r="CL274" s="1409">
        <f t="shared" ca="1" si="155"/>
        <v>0</v>
      </c>
      <c r="CM274" s="1409">
        <f t="shared" ca="1" si="156"/>
        <v>0</v>
      </c>
      <c r="CN274" s="1409">
        <f ca="1">IF(B274&gt;=$J$5,0,CONTADORES!CB282-CONTADORES!CB281)</f>
        <v>0</v>
      </c>
      <c r="CO274" s="1409">
        <f t="shared" ca="1" si="157"/>
        <v>0</v>
      </c>
      <c r="CP274" s="1409">
        <f t="shared" ca="1" si="158"/>
        <v>0</v>
      </c>
      <c r="CQ274" s="1409">
        <f t="shared" ca="1" si="159"/>
        <v>0</v>
      </c>
      <c r="CR274" s="1409">
        <f t="shared" ca="1" si="160"/>
        <v>0</v>
      </c>
      <c r="CS274" s="1409">
        <f ca="1">IF($B274&gt;=$J$5,0,CONTADORES!$BI282)</f>
        <v>0</v>
      </c>
      <c r="CT274" s="1334">
        <f>CONTADORES!E282</f>
        <v>0</v>
      </c>
      <c r="CU274" s="1334">
        <f>CONTADORES!CG282</f>
        <v>0</v>
      </c>
    </row>
    <row r="275" spans="2:99">
      <c r="B275" s="390">
        <v>45191</v>
      </c>
      <c r="C275" s="202">
        <f t="shared" ca="1" si="134"/>
        <v>0</v>
      </c>
      <c r="D275" s="196">
        <f ca="1">'CALCULO DE GAS'!P93</f>
        <v>0</v>
      </c>
      <c r="E275" s="196">
        <f ca="1">IF(B275&gt;=$J$5,0,(CONTADORES!$AD283-CONTADORES!$AD282)-$H275)</f>
        <v>0</v>
      </c>
      <c r="F275" s="198">
        <f t="shared" ca="1" si="133"/>
        <v>0</v>
      </c>
      <c r="G275" s="196">
        <f ca="1">IF(B275&gt;=$J$5,0,CONTADORES!$AF283-CONTADORES!$AF282)</f>
        <v>0</v>
      </c>
      <c r="H275" s="196">
        <f ca="1">IF(G275&gt;0,CONTADORES!$AE283-CONTADORES!$AE282,0)</f>
        <v>0</v>
      </c>
      <c r="I275" s="1396">
        <f ca="1">IF(B275&gt;=$J$5,0,CONTADORES!$AB283-CONTADORES!$AB282)</f>
        <v>0</v>
      </c>
      <c r="J275" s="202">
        <f t="shared" ca="1" si="135"/>
        <v>0</v>
      </c>
      <c r="K275" s="196">
        <f ca="1">'CALCULO DE GAS'!Q93</f>
        <v>0</v>
      </c>
      <c r="L275" s="1396">
        <f ca="1">IF(B275&gt;=$J$5,0,(CONTADORES!$Y283-CONTADORES!$Y282)-$O275)</f>
        <v>0</v>
      </c>
      <c r="M275" s="1396">
        <f t="shared" ca="1" si="132"/>
        <v>0</v>
      </c>
      <c r="N275" s="1396">
        <f ca="1">IF(B275&gt;=$J$5,0,CONTADORES!$AA283-CONTADORES!$AA282)</f>
        <v>0</v>
      </c>
      <c r="O275" s="199">
        <f ca="1">IF(N275&gt;0,CONTADORES!$Z283-CONTADORES!$Z282,0)</f>
        <v>0</v>
      </c>
      <c r="P275" s="1398">
        <f ca="1">IF(B275&gt;=$J$5,0,CONTADORES!$W283-CONTADORES!$W282)</f>
        <v>0</v>
      </c>
      <c r="Q275" s="202">
        <f ca="1">IF(B275&gt;=$J$5,0,CONTADORES!$B283-CONTADORES!$B282)</f>
        <v>0</v>
      </c>
      <c r="R275" s="196">
        <f t="shared" ca="1" si="136"/>
        <v>0</v>
      </c>
      <c r="S275" s="11">
        <f ca="1">IF(B275&gt;=$J$5,0,CONTADORES!$D283-CONTADORES!$D282)</f>
        <v>0</v>
      </c>
      <c r="T275" s="202">
        <f ca="1">IF(B275&gt;=$J$5,0,CONTADORES!$BB283-CONTADORES!$BB282)</f>
        <v>0</v>
      </c>
      <c r="U275" s="196">
        <f t="shared" ca="1" si="131"/>
        <v>0</v>
      </c>
      <c r="V275" s="199">
        <f ca="1">IF(B275&gt;=$J$5,0,CONTADORES!$BD283-CONTADORES!$BD282)</f>
        <v>0</v>
      </c>
      <c r="W275" s="1397">
        <f t="shared" ca="1" si="137"/>
        <v>0</v>
      </c>
      <c r="X275" s="1397">
        <f t="shared" ca="1" si="138"/>
        <v>0</v>
      </c>
      <c r="Y275" s="1398">
        <f t="shared" ca="1" si="139"/>
        <v>0</v>
      </c>
      <c r="Z275" s="1398">
        <f t="shared" ca="1" si="140"/>
        <v>0</v>
      </c>
      <c r="AA275" s="1398">
        <f t="shared" ca="1" si="141"/>
        <v>0</v>
      </c>
      <c r="AB275" s="1398">
        <f t="shared" ca="1" si="142"/>
        <v>0</v>
      </c>
      <c r="AC275" s="1397">
        <f t="shared" ca="1" si="143"/>
        <v>0</v>
      </c>
      <c r="AD275" s="1398">
        <f ca="1">IF(B275&gt;=$J$5,0,CONTADORES!H283-CONTADORES!H282)</f>
        <v>0</v>
      </c>
      <c r="AE275" s="1397">
        <f ca="1">IF(B275&gt;=$J$5,0,CONTADORES!J283-CONTADORES!J282)</f>
        <v>0</v>
      </c>
      <c r="AF275" s="1398">
        <f ca="1">IF(B275&gt;=$J$5,0,CONTADORES!AU283-CONTADORES!AU282)</f>
        <v>0</v>
      </c>
      <c r="AG275" s="1397">
        <f ca="1">IF(B275&gt;=$J$5,0,CONTADORES!AW283-CONTADORES!AW282)</f>
        <v>0</v>
      </c>
      <c r="AH275" s="1398">
        <f ca="1">IF(B275&gt;=$J$5,0,(CONTADORES!AM283-CONTADORES!AM282)+(CONTADORES!M283-CONTADORES!M282))</f>
        <v>0</v>
      </c>
      <c r="AI275" s="1398">
        <f ca="1">IF(B275&gt;=$J$5,0,(CONTADORES!AK283-CONTADORES!AK282)+(CONTADORES!O283-CONTADORES!O282))</f>
        <v>0</v>
      </c>
      <c r="AJ275" s="1398">
        <f ca="1">IF(B275&gt;=$J$5,0,(CONTADORES!AI283-CONTADORES!AI282))</f>
        <v>0</v>
      </c>
      <c r="AK275" s="1398">
        <f ca="1">IF(B275&gt;=$J$5,0,(CONTADORES!Q283-CONTADORES!Q282))</f>
        <v>0</v>
      </c>
      <c r="AL275" s="1461">
        <f t="shared" ca="1" si="144"/>
        <v>0</v>
      </c>
      <c r="AM275" s="1409">
        <f ca="1">IF(B275&gt;=$J$5,0,(((CONTADORES!F283-CONTADORES!F282)+(CONTADORES!AQ283-CONTADORES!AQ282))))-BS275-AF275-AN275-BV275-BY275-CD275-CB275</f>
        <v>0</v>
      </c>
      <c r="AN275" s="1398">
        <f ca="1">IF(B275&gt;=$J$5,0,(CONTADORES!AX283-CONTADORES!AX282)+(CONTADORES!AZ283-CONTADORES!AZ282)+(CONTADORES!BE283-CONTADORES!BE282))</f>
        <v>0</v>
      </c>
      <c r="AO275" s="1433">
        <f>(CONTADORES!AC283-CONTADORES!AC282)</f>
        <v>0</v>
      </c>
      <c r="AP275" s="1433">
        <f>(CONTADORES!X283-CONTADORES!X282)</f>
        <v>0</v>
      </c>
      <c r="AQ275" s="1399">
        <f>(CONTADORES!C283-CONTADORES!C282)</f>
        <v>0</v>
      </c>
      <c r="AR275" s="1399">
        <f>(CONTADORES!BC283-CONTADORES!BC282)</f>
        <v>0</v>
      </c>
      <c r="AS275" s="1397">
        <f ca="1">IF(B275&gt;=$J$5,0,CONTADORES!S283-CONTADORES!S282)</f>
        <v>0</v>
      </c>
      <c r="AT275" s="1397">
        <f ca="1">IF(B275&gt;=$J$5,0,(CONTADORES!U283-CONTADORES!U282)+(CONTADORES!AG283-CONTADORES!AG282))</f>
        <v>0</v>
      </c>
      <c r="AU275" s="1433">
        <f>CONTADORES!I283-CONTADORES!I282</f>
        <v>0</v>
      </c>
      <c r="AV275" s="1399">
        <f>CONTADORES!AV283-CONTADORES!AV282</f>
        <v>0</v>
      </c>
      <c r="AW275" s="1399">
        <f ca="1">IF(B275&gt;=$J$5,0,(CONTADORES!N283-CONTADORES!N282)+(CONTADORES!AN283-CONTADORES!AN282))</f>
        <v>0</v>
      </c>
      <c r="AX275" s="1399">
        <f ca="1">IF(B275&gt;=$J$5,0,(CONTADORES!P283-CONTADORES!P282)+(CONTADORES!AL283-CONTADORES!AL282))</f>
        <v>0</v>
      </c>
      <c r="AY275" s="1399">
        <f ca="1">IF(B275&gt;=$J$5,0,(CONTADORES!AJ283-CONTADORES!AJ282))</f>
        <v>0</v>
      </c>
      <c r="AZ275" s="1399">
        <f ca="1">IF(B275&gt;=$J$5,0,(CONTADORES!R283-CONTADORES!R282))</f>
        <v>0</v>
      </c>
      <c r="BA275" s="1409">
        <f t="shared" ca="1" si="145"/>
        <v>0</v>
      </c>
      <c r="BB275" s="1399">
        <f ca="1">IF(B275&gt;=$J$5,0,(((CONTADORES!G283-CONTADORES!G282)+(CONTADORES!AR283-CONTADORES!AR282)+AR275)-(AV275+BC275)))</f>
        <v>0</v>
      </c>
      <c r="BC275" s="1397">
        <f ca="1">IF(B275&gt;=$J$5,0,(CONTADORES!AY283-CONTADORES!AY282)+(CONTADORES!BA283-CONTADORES!BA282)+(CONTADORES!BF283-CONTADORES!BF282))</f>
        <v>0</v>
      </c>
      <c r="BD275" s="1397">
        <f t="shared" si="146"/>
        <v>0</v>
      </c>
      <c r="BE275" s="1398">
        <f ca="1">IF($B275&gt;=$J$5,0,CONTADORES!$BG283)</f>
        <v>0</v>
      </c>
      <c r="BF275" s="1397">
        <f ca="1">IF($B275&gt;=$J$5,0,CONTADORES!$BH283)</f>
        <v>0</v>
      </c>
      <c r="BG275" s="1397">
        <f ca="1">IF($B275&gt;=$J$5,0,CONTADORES!$BJ283)</f>
        <v>0</v>
      </c>
      <c r="BH275" s="1397">
        <f ca="1">IF(B275&gt;=$J$5,0,((CONTADORES!BK283-CONTADORES!BK282)/1000))</f>
        <v>0</v>
      </c>
      <c r="BI275" s="1397">
        <f ca="1">IF(C275&gt;=$J$5,0,((CONTADORES!BL283-CONTADORES!BL282)/1000))</f>
        <v>0</v>
      </c>
      <c r="BJ275" s="1397">
        <f ca="1">IF(C275&gt;=$J$5,0,((CONTADORES!BM283-CONTADORES!BM282)/1000))</f>
        <v>0</v>
      </c>
      <c r="BK275" s="1397">
        <f ca="1">IF(D275&gt;=$J$5,0,((CONTADORES!BN283-CONTADORES!BN282)/1000))</f>
        <v>0</v>
      </c>
      <c r="BL275" s="1399">
        <f t="shared" ca="1" si="147"/>
        <v>0</v>
      </c>
      <c r="BM275" s="1399">
        <f t="shared" ca="1" si="148"/>
        <v>0</v>
      </c>
      <c r="BN275" s="1398">
        <f ca="1">IF(W275&gt;=$J$5,0,CONTADORES!$BO283)</f>
        <v>0</v>
      </c>
      <c r="BO275" s="1397">
        <f ca="1">IF(W275&gt;=$J$5,0,CONTADORES!$BP283)</f>
        <v>0</v>
      </c>
      <c r="BP275" s="1397">
        <f ca="1">IF(W275&gt;=$J$5,0,CONTADORES!$BQ283)</f>
        <v>0</v>
      </c>
      <c r="BQ275" s="1397">
        <f ca="1">IF(B275&gt;=$J$5,0,(CONTADORES!AS283-CONTADORES!AS282))</f>
        <v>0</v>
      </c>
      <c r="BR275" s="1397">
        <f ca="1">IF(C275&gt;=$J$5,0,(CONTADORES!AT283-CONTADORES!AT282))</f>
        <v>0</v>
      </c>
      <c r="BS275" s="1397">
        <f ca="1">IF(B275&gt;=$J$5,0,CONTADORES!BR283-CONTADORES!BR282)/1000</f>
        <v>0</v>
      </c>
      <c r="BT275" s="1397">
        <f ca="1">IF(BF275&gt;=$J$5,0,CONTADORES!BS283-CONTADORES!BS282)</f>
        <v>0</v>
      </c>
      <c r="BU275" s="1397">
        <f ca="1">IF(BG275&gt;=$J$5,0,CONTADORES!BT283-CONTADORES!BT282)</f>
        <v>0</v>
      </c>
      <c r="BV275" s="1397">
        <f ca="1">IF(B275&gt;=$J$5,0,CONTADORES!BU283-CONTADORES!BU282)/1000</f>
        <v>0</v>
      </c>
      <c r="BW275" s="1397">
        <f ca="1">IF(B275&gt;=$J$5,0,CONTADORES!BV283-CONTADORES!BV282)/1000</f>
        <v>0</v>
      </c>
      <c r="BX275" s="1397">
        <f ca="1">IF(B275&gt;=$J$5,0,CONTADORES!BW283-CONTADORES!BW282)</f>
        <v>0</v>
      </c>
      <c r="BY275" s="1397">
        <f ca="1">IF(B275&gt;=$J$5,0,CONTADORES!BX283-CONTADORES!BX282)/1000</f>
        <v>0</v>
      </c>
      <c r="BZ275" s="1397">
        <f ca="1">IF(B275&gt;=$J$5,0,CONTADORES!BY283-CONTADORES!BY282)/1000</f>
        <v>0</v>
      </c>
      <c r="CA275" s="1397">
        <f ca="1">IF(B275&gt;=$J$5,0,CONTADORES!BZ283-CONTADORES!BZ282)</f>
        <v>0</v>
      </c>
      <c r="CB275" s="1398">
        <f ca="1">IF(B275&gt;=$J$5,0,(CONTADORES!CC283-CONTADORES!CC282)+(CONTADORES!CE283-CONTADORES!CE282))/1000</f>
        <v>0</v>
      </c>
      <c r="CC275" s="1398">
        <f ca="1">IF(B275&gt;=$J$5,0,(CONTADORES!CD283-CONTADORES!CD282)+(CONTADORES!CF283-CONTADORES!CF282))/1000</f>
        <v>0</v>
      </c>
      <c r="CD275" s="1398">
        <f ca="1">IF(B275&gt;=$J$5,0,CONTADORES!CA283-CONTADORES!CA282)</f>
        <v>0</v>
      </c>
      <c r="CE275" s="1398">
        <f ca="1">IF(B275&gt;=$J$5,0,CONTADORES!CB283-CONTADORES!CB282)</f>
        <v>0</v>
      </c>
      <c r="CF275" s="1409">
        <f t="shared" ca="1" si="149"/>
        <v>0</v>
      </c>
      <c r="CG275" s="1409">
        <f t="shared" ca="1" si="150"/>
        <v>0</v>
      </c>
      <c r="CH275" s="1409">
        <f t="shared" ca="1" si="151"/>
        <v>0</v>
      </c>
      <c r="CI275" s="1409">
        <f t="shared" ca="1" si="152"/>
        <v>0</v>
      </c>
      <c r="CJ275" s="1409">
        <f t="shared" ca="1" si="153"/>
        <v>0</v>
      </c>
      <c r="CK275" s="1409">
        <f t="shared" ca="1" si="154"/>
        <v>0</v>
      </c>
      <c r="CL275" s="1409">
        <f t="shared" ca="1" si="155"/>
        <v>0</v>
      </c>
      <c r="CM275" s="1409">
        <f t="shared" ca="1" si="156"/>
        <v>0</v>
      </c>
      <c r="CN275" s="1409">
        <f ca="1">IF(B275&gt;=$J$5,0,CONTADORES!CB283-CONTADORES!CB282)</f>
        <v>0</v>
      </c>
      <c r="CO275" s="1409">
        <f t="shared" ca="1" si="157"/>
        <v>0</v>
      </c>
      <c r="CP275" s="1409">
        <f t="shared" ca="1" si="158"/>
        <v>0</v>
      </c>
      <c r="CQ275" s="1409">
        <f t="shared" ca="1" si="159"/>
        <v>0</v>
      </c>
      <c r="CR275" s="1409">
        <f t="shared" ca="1" si="160"/>
        <v>0</v>
      </c>
      <c r="CS275" s="1409">
        <f ca="1">IF($B275&gt;=$J$5,0,CONTADORES!$BI283)</f>
        <v>0</v>
      </c>
      <c r="CT275" s="1334">
        <f>CONTADORES!E283</f>
        <v>0</v>
      </c>
      <c r="CU275" s="1334">
        <f>CONTADORES!CG283</f>
        <v>0</v>
      </c>
    </row>
    <row r="276" spans="2:99">
      <c r="B276" s="390">
        <v>45192</v>
      </c>
      <c r="C276" s="202">
        <f t="shared" ca="1" si="134"/>
        <v>0</v>
      </c>
      <c r="D276" s="196">
        <f ca="1">'CALCULO DE GAS'!P94</f>
        <v>0</v>
      </c>
      <c r="E276" s="196">
        <f ca="1">IF(B276&gt;=$J$5,0,(CONTADORES!$AD284-CONTADORES!$AD283)-$H276)</f>
        <v>0</v>
      </c>
      <c r="F276" s="198">
        <f t="shared" ca="1" si="133"/>
        <v>0</v>
      </c>
      <c r="G276" s="196">
        <f ca="1">IF(B276&gt;=$J$5,0,CONTADORES!$AF284-CONTADORES!$AF283)</f>
        <v>0</v>
      </c>
      <c r="H276" s="196">
        <f ca="1">IF(G276&gt;0,CONTADORES!$AE284-CONTADORES!$AE283,0)</f>
        <v>0</v>
      </c>
      <c r="I276" s="1396">
        <f ca="1">IF(B276&gt;=$J$5,0,CONTADORES!$AB284-CONTADORES!$AB283)</f>
        <v>0</v>
      </c>
      <c r="J276" s="202">
        <f t="shared" ca="1" si="135"/>
        <v>0</v>
      </c>
      <c r="K276" s="196">
        <f ca="1">'CALCULO DE GAS'!Q94</f>
        <v>0</v>
      </c>
      <c r="L276" s="1396">
        <f ca="1">IF(B276&gt;=$J$5,0,(CONTADORES!$Y284-CONTADORES!$Y283)-$O276)</f>
        <v>0</v>
      </c>
      <c r="M276" s="1396">
        <f t="shared" ca="1" si="132"/>
        <v>0</v>
      </c>
      <c r="N276" s="1396">
        <f ca="1">IF(B276&gt;=$J$5,0,CONTADORES!$AA284-CONTADORES!$AA283)</f>
        <v>0</v>
      </c>
      <c r="O276" s="199">
        <f ca="1">IF(N276&gt;0,CONTADORES!$Z284-CONTADORES!$Z283,0)</f>
        <v>0</v>
      </c>
      <c r="P276" s="1398">
        <f ca="1">IF(B276&gt;=$J$5,0,CONTADORES!$W284-CONTADORES!$W283)</f>
        <v>0</v>
      </c>
      <c r="Q276" s="202">
        <f ca="1">IF(B276&gt;=$J$5,0,CONTADORES!$B284-CONTADORES!$B283)</f>
        <v>0</v>
      </c>
      <c r="R276" s="196">
        <f t="shared" ca="1" si="136"/>
        <v>0</v>
      </c>
      <c r="S276" s="11">
        <f ca="1">IF(B276&gt;=$J$5,0,CONTADORES!$D284-CONTADORES!$D283)</f>
        <v>0</v>
      </c>
      <c r="T276" s="202">
        <f ca="1">IF(B276&gt;=$J$5,0,CONTADORES!$BB284-CONTADORES!$BB283)</f>
        <v>0</v>
      </c>
      <c r="U276" s="196">
        <f t="shared" ca="1" si="131"/>
        <v>0</v>
      </c>
      <c r="V276" s="199">
        <f ca="1">IF(B276&gt;=$J$5,0,CONTADORES!$BD284-CONTADORES!$BD283)</f>
        <v>0</v>
      </c>
      <c r="W276" s="1397">
        <f t="shared" ca="1" si="137"/>
        <v>0</v>
      </c>
      <c r="X276" s="1397">
        <f t="shared" ca="1" si="138"/>
        <v>0</v>
      </c>
      <c r="Y276" s="1398">
        <f t="shared" ca="1" si="139"/>
        <v>0</v>
      </c>
      <c r="Z276" s="1398">
        <f t="shared" ca="1" si="140"/>
        <v>0</v>
      </c>
      <c r="AA276" s="1398">
        <f t="shared" ca="1" si="141"/>
        <v>0</v>
      </c>
      <c r="AB276" s="1398">
        <f t="shared" ca="1" si="142"/>
        <v>0</v>
      </c>
      <c r="AC276" s="1397">
        <f t="shared" ca="1" si="143"/>
        <v>0</v>
      </c>
      <c r="AD276" s="1398">
        <f ca="1">IF(B276&gt;=$J$5,0,CONTADORES!H284-CONTADORES!H283)</f>
        <v>0</v>
      </c>
      <c r="AE276" s="1397">
        <f ca="1">IF(B276&gt;=$J$5,0,CONTADORES!J284-CONTADORES!J283)</f>
        <v>0</v>
      </c>
      <c r="AF276" s="1398">
        <f ca="1">IF(B276&gt;=$J$5,0,CONTADORES!AU284-CONTADORES!AU283)</f>
        <v>0</v>
      </c>
      <c r="AG276" s="1397">
        <f ca="1">IF(B276&gt;=$J$5,0,CONTADORES!AW284-CONTADORES!AW283)</f>
        <v>0</v>
      </c>
      <c r="AH276" s="1398">
        <f ca="1">IF(B276&gt;=$J$5,0,(CONTADORES!AM284-CONTADORES!AM283)+(CONTADORES!M284-CONTADORES!M283))</f>
        <v>0</v>
      </c>
      <c r="AI276" s="1398">
        <f ca="1">IF(B276&gt;=$J$5,0,(CONTADORES!AK284-CONTADORES!AK283)+(CONTADORES!O284-CONTADORES!O283))</f>
        <v>0</v>
      </c>
      <c r="AJ276" s="1398">
        <f ca="1">IF(B276&gt;=$J$5,0,(CONTADORES!AI284-CONTADORES!AI283))</f>
        <v>0</v>
      </c>
      <c r="AK276" s="1398">
        <f ca="1">IF(B276&gt;=$J$5,0,(CONTADORES!Q284-CONTADORES!Q283))</f>
        <v>0</v>
      </c>
      <c r="AL276" s="1461">
        <f t="shared" ca="1" si="144"/>
        <v>0</v>
      </c>
      <c r="AM276" s="1409">
        <f ca="1">IF(B276&gt;=$J$5,0,(((CONTADORES!F284-CONTADORES!F283)+(CONTADORES!AQ284-CONTADORES!AQ283))))-BS276-AF276-AN276-BV276-BY276-CD276-CB276</f>
        <v>0</v>
      </c>
      <c r="AN276" s="1398">
        <f ca="1">IF(B276&gt;=$J$5,0,(CONTADORES!AX284-CONTADORES!AX283)+(CONTADORES!AZ284-CONTADORES!AZ283)+(CONTADORES!BE284-CONTADORES!BE283))</f>
        <v>0</v>
      </c>
      <c r="AO276" s="1433">
        <f>(CONTADORES!AC284-CONTADORES!AC283)</f>
        <v>0</v>
      </c>
      <c r="AP276" s="1433">
        <f>(CONTADORES!X284-CONTADORES!X283)</f>
        <v>0</v>
      </c>
      <c r="AQ276" s="1399">
        <f>(CONTADORES!C284-CONTADORES!C283)</f>
        <v>0</v>
      </c>
      <c r="AR276" s="1399">
        <f>(CONTADORES!BC284-CONTADORES!BC283)</f>
        <v>0</v>
      </c>
      <c r="AS276" s="1397">
        <f ca="1">IF(B276&gt;=$J$5,0,CONTADORES!S284-CONTADORES!S283)</f>
        <v>0</v>
      </c>
      <c r="AT276" s="1397">
        <f ca="1">IF(B276&gt;=$J$5,0,(CONTADORES!U284-CONTADORES!U283)+(CONTADORES!AG284-CONTADORES!AG283))</f>
        <v>0</v>
      </c>
      <c r="AU276" s="1433">
        <f>CONTADORES!I284-CONTADORES!I283</f>
        <v>0</v>
      </c>
      <c r="AV276" s="1399">
        <f>CONTADORES!AV284-CONTADORES!AV283</f>
        <v>0</v>
      </c>
      <c r="AW276" s="1399">
        <f ca="1">IF(B276&gt;=$J$5,0,(CONTADORES!N284-CONTADORES!N283)+(CONTADORES!AN284-CONTADORES!AN283))</f>
        <v>0</v>
      </c>
      <c r="AX276" s="1399">
        <f ca="1">IF(B276&gt;=$J$5,0,(CONTADORES!P284-CONTADORES!P283)+(CONTADORES!AL284-CONTADORES!AL283))</f>
        <v>0</v>
      </c>
      <c r="AY276" s="1399">
        <f ca="1">IF(B276&gt;=$J$5,0,(CONTADORES!AJ284-CONTADORES!AJ283))</f>
        <v>0</v>
      </c>
      <c r="AZ276" s="1399">
        <f ca="1">IF(B276&gt;=$J$5,0,(CONTADORES!R284-CONTADORES!R283))</f>
        <v>0</v>
      </c>
      <c r="BA276" s="1409">
        <f t="shared" ca="1" si="145"/>
        <v>0</v>
      </c>
      <c r="BB276" s="1399">
        <f ca="1">IF(B276&gt;=$J$5,0,(((CONTADORES!G284-CONTADORES!G283)+(CONTADORES!AR284-CONTADORES!AR283)+AR276)-(AV276+BC276)))</f>
        <v>0</v>
      </c>
      <c r="BC276" s="1397">
        <f ca="1">IF(B276&gt;=$J$5,0,(CONTADORES!AY284-CONTADORES!AY283)+(CONTADORES!BA284-CONTADORES!BA283)+(CONTADORES!BF284-CONTADORES!BF283))</f>
        <v>0</v>
      </c>
      <c r="BD276" s="1397">
        <f t="shared" si="146"/>
        <v>0</v>
      </c>
      <c r="BE276" s="1398">
        <f ca="1">IF($B276&gt;=$J$5,0,CONTADORES!$BG284)</f>
        <v>0</v>
      </c>
      <c r="BF276" s="1397">
        <f ca="1">IF($B276&gt;=$J$5,0,CONTADORES!$BH284)</f>
        <v>0</v>
      </c>
      <c r="BG276" s="1397">
        <f ca="1">IF($B276&gt;=$J$5,0,CONTADORES!$BJ284)</f>
        <v>0</v>
      </c>
      <c r="BH276" s="1397">
        <f ca="1">IF(B276&gt;=$J$5,0,((CONTADORES!BK284-CONTADORES!BK283)/1000))</f>
        <v>0</v>
      </c>
      <c r="BI276" s="1397">
        <f ca="1">IF(C276&gt;=$J$5,0,((CONTADORES!BL284-CONTADORES!BL283)/1000))</f>
        <v>0</v>
      </c>
      <c r="BJ276" s="1397">
        <f ca="1">IF(C276&gt;=$J$5,0,((CONTADORES!BM284-CONTADORES!BM283)/1000))</f>
        <v>0</v>
      </c>
      <c r="BK276" s="1397">
        <f ca="1">IF(D276&gt;=$J$5,0,((CONTADORES!BN284-CONTADORES!BN283)/1000))</f>
        <v>0</v>
      </c>
      <c r="BL276" s="1399">
        <f t="shared" ca="1" si="147"/>
        <v>0</v>
      </c>
      <c r="BM276" s="1399">
        <f t="shared" ca="1" si="148"/>
        <v>0</v>
      </c>
      <c r="BN276" s="1398">
        <f ca="1">IF(W276&gt;=$J$5,0,CONTADORES!$BO284)</f>
        <v>0</v>
      </c>
      <c r="BO276" s="1397">
        <f ca="1">IF(W276&gt;=$J$5,0,CONTADORES!$BP284)</f>
        <v>0</v>
      </c>
      <c r="BP276" s="1397">
        <f ca="1">IF(W276&gt;=$J$5,0,CONTADORES!$BQ284)</f>
        <v>0</v>
      </c>
      <c r="BQ276" s="1397">
        <f ca="1">IF(B276&gt;=$J$5,0,(CONTADORES!AS284-CONTADORES!AS283))</f>
        <v>0</v>
      </c>
      <c r="BR276" s="1397">
        <f ca="1">IF(C276&gt;=$J$5,0,(CONTADORES!AT284-CONTADORES!AT283))</f>
        <v>0</v>
      </c>
      <c r="BS276" s="1397">
        <f ca="1">IF(B276&gt;=$J$5,0,CONTADORES!BR284-CONTADORES!BR283)/1000</f>
        <v>0</v>
      </c>
      <c r="BT276" s="1397">
        <f ca="1">IF(BF276&gt;=$J$5,0,CONTADORES!BS284-CONTADORES!BS283)</f>
        <v>0</v>
      </c>
      <c r="BU276" s="1397">
        <f ca="1">IF(BG276&gt;=$J$5,0,CONTADORES!BT284-CONTADORES!BT283)</f>
        <v>0</v>
      </c>
      <c r="BV276" s="1397">
        <f ca="1">IF(B276&gt;=$J$5,0,CONTADORES!BU284-CONTADORES!BU283)/1000</f>
        <v>0</v>
      </c>
      <c r="BW276" s="1397">
        <f ca="1">IF(B276&gt;=$J$5,0,CONTADORES!BV284-CONTADORES!BV283)/1000</f>
        <v>0</v>
      </c>
      <c r="BX276" s="1397">
        <f ca="1">IF(B276&gt;=$J$5,0,CONTADORES!BW284-CONTADORES!BW283)</f>
        <v>0</v>
      </c>
      <c r="BY276" s="1397">
        <f ca="1">IF(B276&gt;=$J$5,0,CONTADORES!BX284-CONTADORES!BX283)/1000</f>
        <v>0</v>
      </c>
      <c r="BZ276" s="1397">
        <f ca="1">IF(B276&gt;=$J$5,0,CONTADORES!BY284-CONTADORES!BY283)/1000</f>
        <v>0</v>
      </c>
      <c r="CA276" s="1397">
        <f ca="1">IF(B276&gt;=$J$5,0,CONTADORES!BZ284-CONTADORES!BZ283)</f>
        <v>0</v>
      </c>
      <c r="CB276" s="1398">
        <f ca="1">IF(B276&gt;=$J$5,0,(CONTADORES!CC284-CONTADORES!CC283)+(CONTADORES!CE284-CONTADORES!CE283))/1000</f>
        <v>0</v>
      </c>
      <c r="CC276" s="1398">
        <f ca="1">IF(B276&gt;=$J$5,0,(CONTADORES!CD284-CONTADORES!CD283)+(CONTADORES!CF284-CONTADORES!CF283))/1000</f>
        <v>0</v>
      </c>
      <c r="CD276" s="1398">
        <f ca="1">IF(B276&gt;=$J$5,0,CONTADORES!CA284-CONTADORES!CA283)</f>
        <v>0</v>
      </c>
      <c r="CE276" s="1398">
        <f ca="1">IF(B276&gt;=$J$5,0,CONTADORES!CB284-CONTADORES!CB283)</f>
        <v>0</v>
      </c>
      <c r="CF276" s="1409">
        <f t="shared" ca="1" si="149"/>
        <v>0</v>
      </c>
      <c r="CG276" s="1409">
        <f t="shared" ca="1" si="150"/>
        <v>0</v>
      </c>
      <c r="CH276" s="1409">
        <f t="shared" ca="1" si="151"/>
        <v>0</v>
      </c>
      <c r="CI276" s="1409">
        <f t="shared" ca="1" si="152"/>
        <v>0</v>
      </c>
      <c r="CJ276" s="1409">
        <f t="shared" ca="1" si="153"/>
        <v>0</v>
      </c>
      <c r="CK276" s="1409">
        <f t="shared" ca="1" si="154"/>
        <v>0</v>
      </c>
      <c r="CL276" s="1409">
        <f t="shared" ca="1" si="155"/>
        <v>0</v>
      </c>
      <c r="CM276" s="1409">
        <f t="shared" ca="1" si="156"/>
        <v>0</v>
      </c>
      <c r="CN276" s="1409">
        <f ca="1">IF(B276&gt;=$J$5,0,CONTADORES!CB284-CONTADORES!CB283)</f>
        <v>0</v>
      </c>
      <c r="CO276" s="1409">
        <f t="shared" ca="1" si="157"/>
        <v>0</v>
      </c>
      <c r="CP276" s="1409">
        <f t="shared" ca="1" si="158"/>
        <v>0</v>
      </c>
      <c r="CQ276" s="1409">
        <f t="shared" ca="1" si="159"/>
        <v>0</v>
      </c>
      <c r="CR276" s="1409">
        <f t="shared" ca="1" si="160"/>
        <v>0</v>
      </c>
      <c r="CS276" s="1409">
        <f ca="1">IF($B276&gt;=$J$5,0,CONTADORES!$BI284)</f>
        <v>0</v>
      </c>
      <c r="CT276" s="1334">
        <f>CONTADORES!E284</f>
        <v>0</v>
      </c>
      <c r="CU276" s="1334">
        <f>CONTADORES!CG284</f>
        <v>0</v>
      </c>
    </row>
    <row r="277" spans="2:99">
      <c r="B277" s="390">
        <v>45193</v>
      </c>
      <c r="C277" s="202">
        <f t="shared" ca="1" si="134"/>
        <v>0</v>
      </c>
      <c r="D277" s="196">
        <f ca="1">'CALCULO DE GAS'!P95</f>
        <v>0</v>
      </c>
      <c r="E277" s="196">
        <f ca="1">IF(B277&gt;=$J$5,0,(CONTADORES!$AD285-CONTADORES!$AD284)-$H277)</f>
        <v>0</v>
      </c>
      <c r="F277" s="198">
        <f t="shared" ca="1" si="133"/>
        <v>0</v>
      </c>
      <c r="G277" s="196">
        <f ca="1">IF(B277&gt;=$J$5,0,CONTADORES!$AF285-CONTADORES!$AF284)</f>
        <v>0</v>
      </c>
      <c r="H277" s="196">
        <f ca="1">IF(G277&gt;0,CONTADORES!$AE285-CONTADORES!$AE284,0)</f>
        <v>0</v>
      </c>
      <c r="I277" s="1396">
        <f ca="1">IF(B277&gt;=$J$5,0,CONTADORES!$AB285-CONTADORES!$AB284)</f>
        <v>0</v>
      </c>
      <c r="J277" s="202">
        <f t="shared" ca="1" si="135"/>
        <v>0</v>
      </c>
      <c r="K277" s="196">
        <f ca="1">'CALCULO DE GAS'!Q95</f>
        <v>0</v>
      </c>
      <c r="L277" s="1396">
        <f ca="1">IF(B277&gt;=$J$5,0,(CONTADORES!$Y285-CONTADORES!$Y284)-$O277)</f>
        <v>0</v>
      </c>
      <c r="M277" s="1396">
        <f t="shared" ca="1" si="132"/>
        <v>0</v>
      </c>
      <c r="N277" s="1396">
        <f ca="1">IF(B277&gt;=$J$5,0,CONTADORES!$AA285-CONTADORES!$AA284)</f>
        <v>0</v>
      </c>
      <c r="O277" s="199">
        <f ca="1">IF(N277&gt;0,CONTADORES!$Z285-CONTADORES!$Z284,0)</f>
        <v>0</v>
      </c>
      <c r="P277" s="1398">
        <f ca="1">IF(B277&gt;=$J$5,0,CONTADORES!$W285-CONTADORES!$W284)</f>
        <v>0</v>
      </c>
      <c r="Q277" s="202">
        <f ca="1">IF(B277&gt;=$J$5,0,CONTADORES!$B285-CONTADORES!$B284)</f>
        <v>0</v>
      </c>
      <c r="R277" s="196">
        <f t="shared" ca="1" si="136"/>
        <v>0</v>
      </c>
      <c r="S277" s="11">
        <f ca="1">IF(B277&gt;=$J$5,0,CONTADORES!$D285-CONTADORES!$D284)</f>
        <v>0</v>
      </c>
      <c r="T277" s="202">
        <f ca="1">IF(B277&gt;=$J$5,0,CONTADORES!$BB285-CONTADORES!$BB284)</f>
        <v>0</v>
      </c>
      <c r="U277" s="196">
        <f t="shared" ca="1" si="131"/>
        <v>0</v>
      </c>
      <c r="V277" s="199">
        <f ca="1">IF(B277&gt;=$J$5,0,CONTADORES!$BD285-CONTADORES!$BD284)</f>
        <v>0</v>
      </c>
      <c r="W277" s="1397">
        <f t="shared" ca="1" si="137"/>
        <v>0</v>
      </c>
      <c r="X277" s="1397">
        <f t="shared" ca="1" si="138"/>
        <v>0</v>
      </c>
      <c r="Y277" s="1398">
        <f t="shared" ca="1" si="139"/>
        <v>0</v>
      </c>
      <c r="Z277" s="1398">
        <f t="shared" ca="1" si="140"/>
        <v>0</v>
      </c>
      <c r="AA277" s="1398">
        <f t="shared" ca="1" si="141"/>
        <v>0</v>
      </c>
      <c r="AB277" s="1398">
        <f t="shared" ca="1" si="142"/>
        <v>0</v>
      </c>
      <c r="AC277" s="1397">
        <f t="shared" ca="1" si="143"/>
        <v>0</v>
      </c>
      <c r="AD277" s="1398">
        <f ca="1">IF(B277&gt;=$J$5,0,CONTADORES!H285-CONTADORES!H284)</f>
        <v>0</v>
      </c>
      <c r="AE277" s="1397">
        <f ca="1">IF(B277&gt;=$J$5,0,CONTADORES!J285-CONTADORES!J284)</f>
        <v>0</v>
      </c>
      <c r="AF277" s="1398">
        <f ca="1">IF(B277&gt;=$J$5,0,CONTADORES!AU285-CONTADORES!AU284)</f>
        <v>0</v>
      </c>
      <c r="AG277" s="1397">
        <f ca="1">IF(B277&gt;=$J$5,0,CONTADORES!AW285-CONTADORES!AW284)</f>
        <v>0</v>
      </c>
      <c r="AH277" s="1398">
        <f ca="1">IF(B277&gt;=$J$5,0,(CONTADORES!AM285-CONTADORES!AM284)+(CONTADORES!M285-CONTADORES!M284))</f>
        <v>0</v>
      </c>
      <c r="AI277" s="1398">
        <f ca="1">IF(B277&gt;=$J$5,0,(CONTADORES!AK285-CONTADORES!AK284)+(CONTADORES!O285-CONTADORES!O284))</f>
        <v>0</v>
      </c>
      <c r="AJ277" s="1398">
        <f ca="1">IF(B277&gt;=$J$5,0,(CONTADORES!AI285-CONTADORES!AI284))</f>
        <v>0</v>
      </c>
      <c r="AK277" s="1398">
        <f ca="1">IF(B277&gt;=$J$5,0,(CONTADORES!Q285-CONTADORES!Q284))</f>
        <v>0</v>
      </c>
      <c r="AL277" s="1461">
        <f t="shared" ca="1" si="144"/>
        <v>0</v>
      </c>
      <c r="AM277" s="1409">
        <f ca="1">IF(B277&gt;=$J$5,0,(((CONTADORES!F285-CONTADORES!F284)+(CONTADORES!AQ285-CONTADORES!AQ284))))-BS277-AF277-AN277-BV277-BY277-CD277-CB277</f>
        <v>0</v>
      </c>
      <c r="AN277" s="1398">
        <f ca="1">IF(B277&gt;=$J$5,0,(CONTADORES!AX285-CONTADORES!AX284)+(CONTADORES!AZ285-CONTADORES!AZ284)+(CONTADORES!BE285-CONTADORES!BE284))</f>
        <v>0</v>
      </c>
      <c r="AO277" s="1433">
        <f>(CONTADORES!AC285-CONTADORES!AC284)</f>
        <v>0</v>
      </c>
      <c r="AP277" s="1433">
        <f>(CONTADORES!X285-CONTADORES!X284)</f>
        <v>0</v>
      </c>
      <c r="AQ277" s="1399">
        <f>(CONTADORES!C285-CONTADORES!C284)</f>
        <v>0</v>
      </c>
      <c r="AR277" s="1399">
        <f>(CONTADORES!BC285-CONTADORES!BC284)</f>
        <v>0</v>
      </c>
      <c r="AS277" s="1397">
        <f ca="1">IF(B277&gt;=$J$5,0,CONTADORES!S285-CONTADORES!S284)</f>
        <v>0</v>
      </c>
      <c r="AT277" s="1397">
        <f ca="1">IF(B277&gt;=$J$5,0,(CONTADORES!U285-CONTADORES!U284)+(CONTADORES!AG285-CONTADORES!AG284))</f>
        <v>0</v>
      </c>
      <c r="AU277" s="1433">
        <f>CONTADORES!I285-CONTADORES!I284</f>
        <v>0</v>
      </c>
      <c r="AV277" s="1399">
        <f>CONTADORES!AV285-CONTADORES!AV284</f>
        <v>0</v>
      </c>
      <c r="AW277" s="1399">
        <f ca="1">IF(B277&gt;=$J$5,0,(CONTADORES!N285-CONTADORES!N284)+(CONTADORES!AN285-CONTADORES!AN284))</f>
        <v>0</v>
      </c>
      <c r="AX277" s="1399">
        <f ca="1">IF(B277&gt;=$J$5,0,(CONTADORES!P285-CONTADORES!P284)+(CONTADORES!AL285-CONTADORES!AL284))</f>
        <v>0</v>
      </c>
      <c r="AY277" s="1399">
        <f ca="1">IF(B277&gt;=$J$5,0,(CONTADORES!AJ285-CONTADORES!AJ284))</f>
        <v>0</v>
      </c>
      <c r="AZ277" s="1399">
        <f ca="1">IF(B277&gt;=$J$5,0,(CONTADORES!R285-CONTADORES!R284))</f>
        <v>0</v>
      </c>
      <c r="BA277" s="1409">
        <f t="shared" ca="1" si="145"/>
        <v>0</v>
      </c>
      <c r="BB277" s="1399">
        <f ca="1">IF(B277&gt;=$J$5,0,(((CONTADORES!G285-CONTADORES!G284)+(CONTADORES!AR285-CONTADORES!AR284)+AR277)-(AV277+BC277)))</f>
        <v>0</v>
      </c>
      <c r="BC277" s="1397">
        <f ca="1">IF(B277&gt;=$J$5,0,(CONTADORES!AY285-CONTADORES!AY284)+(CONTADORES!BA285-CONTADORES!BA284)+(CONTADORES!BF285-CONTADORES!BF284))</f>
        <v>0</v>
      </c>
      <c r="BD277" s="1397">
        <f t="shared" si="146"/>
        <v>0</v>
      </c>
      <c r="BE277" s="1398">
        <f ca="1">IF($B277&gt;=$J$5,0,CONTADORES!$BG285)</f>
        <v>0</v>
      </c>
      <c r="BF277" s="1397">
        <f ca="1">IF($B277&gt;=$J$5,0,CONTADORES!$BH285)</f>
        <v>0</v>
      </c>
      <c r="BG277" s="1397">
        <f ca="1">IF($B277&gt;=$J$5,0,CONTADORES!$BJ285)</f>
        <v>0</v>
      </c>
      <c r="BH277" s="1397">
        <f ca="1">IF(B277&gt;=$J$5,0,((CONTADORES!BK285-CONTADORES!BK284)/1000))</f>
        <v>0</v>
      </c>
      <c r="BI277" s="1397">
        <f ca="1">IF(C277&gt;=$J$5,0,((CONTADORES!BL285-CONTADORES!BL284)/1000))</f>
        <v>0</v>
      </c>
      <c r="BJ277" s="1397">
        <f ca="1">IF(C277&gt;=$J$5,0,((CONTADORES!BM285-CONTADORES!BM284)/1000))</f>
        <v>0</v>
      </c>
      <c r="BK277" s="1397">
        <f ca="1">IF(D277&gt;=$J$5,0,((CONTADORES!BN285-CONTADORES!BN284)/1000))</f>
        <v>0</v>
      </c>
      <c r="BL277" s="1399">
        <f t="shared" ca="1" si="147"/>
        <v>0</v>
      </c>
      <c r="BM277" s="1399">
        <f t="shared" ca="1" si="148"/>
        <v>0</v>
      </c>
      <c r="BN277" s="1398">
        <f ca="1">IF(W277&gt;=$J$5,0,CONTADORES!$BO285)</f>
        <v>0</v>
      </c>
      <c r="BO277" s="1397">
        <f ca="1">IF(W277&gt;=$J$5,0,CONTADORES!$BP285)</f>
        <v>0</v>
      </c>
      <c r="BP277" s="1397">
        <f ca="1">IF(W277&gt;=$J$5,0,CONTADORES!$BQ285)</f>
        <v>0</v>
      </c>
      <c r="BQ277" s="1397">
        <f ca="1">IF(B277&gt;=$J$5,0,(CONTADORES!AS285-CONTADORES!AS284))</f>
        <v>0</v>
      </c>
      <c r="BR277" s="1397">
        <f ca="1">IF(C277&gt;=$J$5,0,(CONTADORES!AT285-CONTADORES!AT284))</f>
        <v>0</v>
      </c>
      <c r="BS277" s="1397">
        <f ca="1">IF(B277&gt;=$J$5,0,CONTADORES!BR285-CONTADORES!BR284)/1000</f>
        <v>0</v>
      </c>
      <c r="BT277" s="1397">
        <f ca="1">IF(BF277&gt;=$J$5,0,CONTADORES!BS285-CONTADORES!BS284)</f>
        <v>0</v>
      </c>
      <c r="BU277" s="1397">
        <f ca="1">IF(BG277&gt;=$J$5,0,CONTADORES!BT285-CONTADORES!BT284)</f>
        <v>0</v>
      </c>
      <c r="BV277" s="1397">
        <f ca="1">IF(B277&gt;=$J$5,0,CONTADORES!BU285-CONTADORES!BU284)/1000</f>
        <v>0</v>
      </c>
      <c r="BW277" s="1397">
        <f ca="1">IF(B277&gt;=$J$5,0,CONTADORES!BV285-CONTADORES!BV284)/1000</f>
        <v>0</v>
      </c>
      <c r="BX277" s="1397">
        <f ca="1">IF(B277&gt;=$J$5,0,CONTADORES!BW285-CONTADORES!BW284)</f>
        <v>0</v>
      </c>
      <c r="BY277" s="1397">
        <f ca="1">IF(B277&gt;=$J$5,0,CONTADORES!BX285-CONTADORES!BX284)/1000</f>
        <v>0</v>
      </c>
      <c r="BZ277" s="1397">
        <f ca="1">IF(B277&gt;=$J$5,0,CONTADORES!BY285-CONTADORES!BY284)/1000</f>
        <v>0</v>
      </c>
      <c r="CA277" s="1397">
        <f ca="1">IF(B277&gt;=$J$5,0,CONTADORES!BZ285-CONTADORES!BZ284)</f>
        <v>0</v>
      </c>
      <c r="CB277" s="1398">
        <f ca="1">IF(B277&gt;=$J$5,0,(CONTADORES!CC285-CONTADORES!CC284)+(CONTADORES!CE285-CONTADORES!CE284))/1000</f>
        <v>0</v>
      </c>
      <c r="CC277" s="1398">
        <f ca="1">IF(B277&gt;=$J$5,0,(CONTADORES!CD285-CONTADORES!CD284)+(CONTADORES!CF285-CONTADORES!CF284))/1000</f>
        <v>0</v>
      </c>
      <c r="CD277" s="1398">
        <f ca="1">IF(B277&gt;=$J$5,0,CONTADORES!CA285-CONTADORES!CA284)</f>
        <v>0</v>
      </c>
      <c r="CE277" s="1398">
        <f ca="1">IF(B277&gt;=$J$5,0,CONTADORES!CB285-CONTADORES!CB284)</f>
        <v>0</v>
      </c>
      <c r="CF277" s="1409">
        <f t="shared" ca="1" si="149"/>
        <v>0</v>
      </c>
      <c r="CG277" s="1409">
        <f t="shared" ca="1" si="150"/>
        <v>0</v>
      </c>
      <c r="CH277" s="1409">
        <f t="shared" ca="1" si="151"/>
        <v>0</v>
      </c>
      <c r="CI277" s="1409">
        <f t="shared" ca="1" si="152"/>
        <v>0</v>
      </c>
      <c r="CJ277" s="1409">
        <f t="shared" ca="1" si="153"/>
        <v>0</v>
      </c>
      <c r="CK277" s="1409">
        <f t="shared" ca="1" si="154"/>
        <v>0</v>
      </c>
      <c r="CL277" s="1409">
        <f t="shared" ca="1" si="155"/>
        <v>0</v>
      </c>
      <c r="CM277" s="1409">
        <f t="shared" ca="1" si="156"/>
        <v>0</v>
      </c>
      <c r="CN277" s="1409">
        <f ca="1">IF(B277&gt;=$J$5,0,CONTADORES!CB285-CONTADORES!CB284)</f>
        <v>0</v>
      </c>
      <c r="CO277" s="1409">
        <f t="shared" ca="1" si="157"/>
        <v>0</v>
      </c>
      <c r="CP277" s="1409">
        <f t="shared" ca="1" si="158"/>
        <v>0</v>
      </c>
      <c r="CQ277" s="1409">
        <f t="shared" ca="1" si="159"/>
        <v>0</v>
      </c>
      <c r="CR277" s="1409">
        <f t="shared" ca="1" si="160"/>
        <v>0</v>
      </c>
      <c r="CS277" s="1409">
        <f ca="1">IF($B277&gt;=$J$5,0,CONTADORES!$BI285)</f>
        <v>0</v>
      </c>
      <c r="CT277" s="1334">
        <f>CONTADORES!E285</f>
        <v>0</v>
      </c>
      <c r="CU277" s="1334">
        <f>CONTADORES!CG285</f>
        <v>0</v>
      </c>
    </row>
    <row r="278" spans="2:99">
      <c r="B278" s="390">
        <v>45194</v>
      </c>
      <c r="C278" s="202">
        <f t="shared" ca="1" si="134"/>
        <v>0</v>
      </c>
      <c r="D278" s="196">
        <f ca="1">'CALCULO DE GAS'!P96</f>
        <v>0</v>
      </c>
      <c r="E278" s="196">
        <f ca="1">IF(B278&gt;=$J$5,0,(CONTADORES!$AD286-CONTADORES!$AD285)-$H278)</f>
        <v>0</v>
      </c>
      <c r="F278" s="198">
        <f t="shared" ca="1" si="133"/>
        <v>0</v>
      </c>
      <c r="G278" s="196">
        <f ca="1">IF(B278&gt;=$J$5,0,CONTADORES!$AF286-CONTADORES!$AF285)</f>
        <v>0</v>
      </c>
      <c r="H278" s="196">
        <f ca="1">IF(G278&gt;0,CONTADORES!$AE286-CONTADORES!$AE285,0)</f>
        <v>0</v>
      </c>
      <c r="I278" s="1396">
        <f ca="1">IF(B278&gt;=$J$5,0,CONTADORES!$AB286-CONTADORES!$AB285)</f>
        <v>0</v>
      </c>
      <c r="J278" s="202">
        <f t="shared" ca="1" si="135"/>
        <v>0</v>
      </c>
      <c r="K278" s="196">
        <f ca="1">'CALCULO DE GAS'!Q96</f>
        <v>0</v>
      </c>
      <c r="L278" s="1396">
        <f ca="1">IF(B278&gt;=$J$5,0,(CONTADORES!$Y286-CONTADORES!$Y285)-$O278)</f>
        <v>0</v>
      </c>
      <c r="M278" s="1396">
        <f t="shared" ca="1" si="132"/>
        <v>0</v>
      </c>
      <c r="N278" s="1396">
        <f ca="1">IF(B278&gt;=$J$5,0,CONTADORES!$AA286-CONTADORES!$AA285)</f>
        <v>0</v>
      </c>
      <c r="O278" s="199">
        <f ca="1">IF(N278&gt;0,CONTADORES!$Z286-CONTADORES!$Z285,0)</f>
        <v>0</v>
      </c>
      <c r="P278" s="1398">
        <f ca="1">IF(B278&gt;=$J$5,0,CONTADORES!$W286-CONTADORES!$W285)</f>
        <v>0</v>
      </c>
      <c r="Q278" s="202">
        <f ca="1">IF(B278&gt;=$J$5,0,CONTADORES!$B286-CONTADORES!$B285)</f>
        <v>0</v>
      </c>
      <c r="R278" s="196">
        <f t="shared" ca="1" si="136"/>
        <v>0</v>
      </c>
      <c r="S278" s="11">
        <f ca="1">IF(B278&gt;=$J$5,0,CONTADORES!$D286-CONTADORES!$D285)</f>
        <v>0</v>
      </c>
      <c r="T278" s="202">
        <f ca="1">IF(B278&gt;=$J$5,0,CONTADORES!$BB286-CONTADORES!$BB285)</f>
        <v>0</v>
      </c>
      <c r="U278" s="196">
        <f t="shared" ca="1" si="131"/>
        <v>0</v>
      </c>
      <c r="V278" s="199">
        <f ca="1">IF(B278&gt;=$J$5,0,CONTADORES!$BD286-CONTADORES!$BD285)</f>
        <v>0</v>
      </c>
      <c r="W278" s="1397">
        <f t="shared" ca="1" si="137"/>
        <v>0</v>
      </c>
      <c r="X278" s="1397">
        <f t="shared" ca="1" si="138"/>
        <v>0</v>
      </c>
      <c r="Y278" s="1398">
        <f t="shared" ca="1" si="139"/>
        <v>0</v>
      </c>
      <c r="Z278" s="1398">
        <f t="shared" ca="1" si="140"/>
        <v>0</v>
      </c>
      <c r="AA278" s="1398">
        <f t="shared" ca="1" si="141"/>
        <v>0</v>
      </c>
      <c r="AB278" s="1398">
        <f t="shared" ca="1" si="142"/>
        <v>0</v>
      </c>
      <c r="AC278" s="1397">
        <f t="shared" ca="1" si="143"/>
        <v>0</v>
      </c>
      <c r="AD278" s="1398">
        <f ca="1">IF(B278&gt;=$J$5,0,CONTADORES!H286-CONTADORES!H285)</f>
        <v>0</v>
      </c>
      <c r="AE278" s="1397">
        <f ca="1">IF(B278&gt;=$J$5,0,CONTADORES!J286-CONTADORES!J285)</f>
        <v>0</v>
      </c>
      <c r="AF278" s="1398">
        <f ca="1">IF(B278&gt;=$J$5,0,CONTADORES!AU286-CONTADORES!AU285)</f>
        <v>0</v>
      </c>
      <c r="AG278" s="1397">
        <f ca="1">IF(B278&gt;=$J$5,0,CONTADORES!AW286-CONTADORES!AW285)</f>
        <v>0</v>
      </c>
      <c r="AH278" s="1398">
        <f ca="1">IF(B278&gt;=$J$5,0,(CONTADORES!AM286-CONTADORES!AM285)+(CONTADORES!M286-CONTADORES!M285))</f>
        <v>0</v>
      </c>
      <c r="AI278" s="1398">
        <f ca="1">IF(B278&gt;=$J$5,0,(CONTADORES!AK286-CONTADORES!AK285)+(CONTADORES!O286-CONTADORES!O285))</f>
        <v>0</v>
      </c>
      <c r="AJ278" s="1398">
        <f ca="1">IF(B278&gt;=$J$5,0,(CONTADORES!AI286-CONTADORES!AI285))</f>
        <v>0</v>
      </c>
      <c r="AK278" s="1398">
        <f ca="1">IF(B278&gt;=$J$5,0,(CONTADORES!Q286-CONTADORES!Q285))</f>
        <v>0</v>
      </c>
      <c r="AL278" s="1461">
        <f t="shared" ca="1" si="144"/>
        <v>0</v>
      </c>
      <c r="AM278" s="1409">
        <f ca="1">IF(B278&gt;=$J$5,0,(((CONTADORES!F286-CONTADORES!F285)+(CONTADORES!AQ286-CONTADORES!AQ285))))-BS278-AF278-AN278-BV278-BY278-CD278-CB278</f>
        <v>0</v>
      </c>
      <c r="AN278" s="1398">
        <f ca="1">IF(B278&gt;=$J$5,0,(CONTADORES!AX286-CONTADORES!AX285)+(CONTADORES!AZ286-CONTADORES!AZ285)+(CONTADORES!BE286-CONTADORES!BE285))</f>
        <v>0</v>
      </c>
      <c r="AO278" s="1433">
        <f>(CONTADORES!AC286-CONTADORES!AC285)</f>
        <v>0</v>
      </c>
      <c r="AP278" s="1433">
        <f>(CONTADORES!X286-CONTADORES!X285)</f>
        <v>0</v>
      </c>
      <c r="AQ278" s="1399">
        <f>(CONTADORES!C286-CONTADORES!C285)</f>
        <v>0</v>
      </c>
      <c r="AR278" s="1399">
        <f>(CONTADORES!BC286-CONTADORES!BC285)</f>
        <v>0</v>
      </c>
      <c r="AS278" s="1397">
        <f ca="1">IF(B278&gt;=$J$5,0,CONTADORES!S286-CONTADORES!S285)</f>
        <v>0</v>
      </c>
      <c r="AT278" s="1397">
        <f ca="1">IF(B278&gt;=$J$5,0,(CONTADORES!U286-CONTADORES!U285)+(CONTADORES!AG286-CONTADORES!AG285))</f>
        <v>0</v>
      </c>
      <c r="AU278" s="1433">
        <f>CONTADORES!I286-CONTADORES!I285</f>
        <v>0</v>
      </c>
      <c r="AV278" s="1399">
        <f>CONTADORES!AV286-CONTADORES!AV285</f>
        <v>0</v>
      </c>
      <c r="AW278" s="1399">
        <f ca="1">IF(B278&gt;=$J$5,0,(CONTADORES!N286-CONTADORES!N285)+(CONTADORES!AN286-CONTADORES!AN285))</f>
        <v>0</v>
      </c>
      <c r="AX278" s="1399">
        <f ca="1">IF(B278&gt;=$J$5,0,(CONTADORES!P286-CONTADORES!P285)+(CONTADORES!AL286-CONTADORES!AL285))</f>
        <v>0</v>
      </c>
      <c r="AY278" s="1399">
        <f ca="1">IF(B278&gt;=$J$5,0,(CONTADORES!AJ286-CONTADORES!AJ285))</f>
        <v>0</v>
      </c>
      <c r="AZ278" s="1399">
        <f ca="1">IF(B278&gt;=$J$5,0,(CONTADORES!R286-CONTADORES!R285))</f>
        <v>0</v>
      </c>
      <c r="BA278" s="1409">
        <f t="shared" ca="1" si="145"/>
        <v>0</v>
      </c>
      <c r="BB278" s="1399">
        <f ca="1">IF(B278&gt;=$J$5,0,(((CONTADORES!G286-CONTADORES!G285)+(CONTADORES!AR286-CONTADORES!AR285)+AR278)-(AV278+BC278)))</f>
        <v>0</v>
      </c>
      <c r="BC278" s="1397">
        <f ca="1">IF(B278&gt;=$J$5,0,(CONTADORES!AY286-CONTADORES!AY285)+(CONTADORES!BA286-CONTADORES!BA285)+(CONTADORES!BF286-CONTADORES!BF285))</f>
        <v>0</v>
      </c>
      <c r="BD278" s="1397">
        <f t="shared" si="146"/>
        <v>0</v>
      </c>
      <c r="BE278" s="1398">
        <f ca="1">IF($B278&gt;=$J$5,0,CONTADORES!$BG286)</f>
        <v>0</v>
      </c>
      <c r="BF278" s="1397">
        <f ca="1">IF($B278&gt;=$J$5,0,CONTADORES!$BH286)</f>
        <v>0</v>
      </c>
      <c r="BG278" s="1397">
        <f ca="1">IF($B278&gt;=$J$5,0,CONTADORES!$BJ286)</f>
        <v>0</v>
      </c>
      <c r="BH278" s="1397">
        <f ca="1">IF(B278&gt;=$J$5,0,((CONTADORES!BK286-CONTADORES!BK285)/1000))</f>
        <v>0</v>
      </c>
      <c r="BI278" s="1397">
        <f ca="1">IF(C278&gt;=$J$5,0,((CONTADORES!BL286-CONTADORES!BL285)/1000))</f>
        <v>0</v>
      </c>
      <c r="BJ278" s="1397">
        <f ca="1">IF(C278&gt;=$J$5,0,((CONTADORES!BM286-CONTADORES!BM285)/1000))</f>
        <v>0</v>
      </c>
      <c r="BK278" s="1397">
        <f ca="1">IF(D278&gt;=$J$5,0,((CONTADORES!BN286-CONTADORES!BN285)/1000))</f>
        <v>0</v>
      </c>
      <c r="BL278" s="1399">
        <f t="shared" ca="1" si="147"/>
        <v>0</v>
      </c>
      <c r="BM278" s="1399">
        <f t="shared" ca="1" si="148"/>
        <v>0</v>
      </c>
      <c r="BN278" s="1398">
        <f ca="1">IF(W278&gt;=$J$5,0,CONTADORES!$BO286)</f>
        <v>0</v>
      </c>
      <c r="BO278" s="1397">
        <f ca="1">IF(W278&gt;=$J$5,0,CONTADORES!$BP286)</f>
        <v>0</v>
      </c>
      <c r="BP278" s="1397">
        <f ca="1">IF(W278&gt;=$J$5,0,CONTADORES!$BQ286)</f>
        <v>0</v>
      </c>
      <c r="BQ278" s="1397">
        <f ca="1">IF(B278&gt;=$J$5,0,(CONTADORES!AS286-CONTADORES!AS285))</f>
        <v>0</v>
      </c>
      <c r="BR278" s="1397">
        <f ca="1">IF(C278&gt;=$J$5,0,(CONTADORES!AT286-CONTADORES!AT285))</f>
        <v>0</v>
      </c>
      <c r="BS278" s="1397">
        <f ca="1">IF(B278&gt;=$J$5,0,CONTADORES!BR286-CONTADORES!BR285)/1000</f>
        <v>0</v>
      </c>
      <c r="BT278" s="1397">
        <f ca="1">IF(BF278&gt;=$J$5,0,CONTADORES!BS286-CONTADORES!BS285)</f>
        <v>0</v>
      </c>
      <c r="BU278" s="1397">
        <f ca="1">IF(BG278&gt;=$J$5,0,CONTADORES!BT286-CONTADORES!BT285)</f>
        <v>0</v>
      </c>
      <c r="BV278" s="1397">
        <f ca="1">IF(B278&gt;=$J$5,0,CONTADORES!BU286-CONTADORES!BU285)/1000</f>
        <v>0</v>
      </c>
      <c r="BW278" s="1397">
        <f ca="1">IF(B278&gt;=$J$5,0,CONTADORES!BV286-CONTADORES!BV285)/1000</f>
        <v>0</v>
      </c>
      <c r="BX278" s="1397">
        <f ca="1">IF(B278&gt;=$J$5,0,CONTADORES!BW286-CONTADORES!BW285)</f>
        <v>0</v>
      </c>
      <c r="BY278" s="1397">
        <f ca="1">IF(B278&gt;=$J$5,0,CONTADORES!BX286-CONTADORES!BX285)/1000</f>
        <v>0</v>
      </c>
      <c r="BZ278" s="1397">
        <f ca="1">IF(B278&gt;=$J$5,0,CONTADORES!BY286-CONTADORES!BY285)/1000</f>
        <v>0</v>
      </c>
      <c r="CA278" s="1397">
        <f ca="1">IF(B278&gt;=$J$5,0,CONTADORES!BZ286-CONTADORES!BZ285)</f>
        <v>0</v>
      </c>
      <c r="CB278" s="1398">
        <f ca="1">IF(B278&gt;=$J$5,0,(CONTADORES!CC286-CONTADORES!CC285)+(CONTADORES!CE286-CONTADORES!CE285))/1000</f>
        <v>0</v>
      </c>
      <c r="CC278" s="1398">
        <f ca="1">IF(B278&gt;=$J$5,0,(CONTADORES!CD286-CONTADORES!CD285)+(CONTADORES!CF286-CONTADORES!CF285))/1000</f>
        <v>0</v>
      </c>
      <c r="CD278" s="1398">
        <f ca="1">IF(B278&gt;=$J$5,0,CONTADORES!CA286-CONTADORES!CA285)</f>
        <v>0</v>
      </c>
      <c r="CE278" s="1398">
        <f ca="1">IF(B278&gt;=$J$5,0,CONTADORES!CB286-CONTADORES!CB285)</f>
        <v>0</v>
      </c>
      <c r="CF278" s="1409">
        <f t="shared" ca="1" si="149"/>
        <v>0</v>
      </c>
      <c r="CG278" s="1409">
        <f t="shared" ca="1" si="150"/>
        <v>0</v>
      </c>
      <c r="CH278" s="1409">
        <f t="shared" ca="1" si="151"/>
        <v>0</v>
      </c>
      <c r="CI278" s="1409">
        <f t="shared" ca="1" si="152"/>
        <v>0</v>
      </c>
      <c r="CJ278" s="1409">
        <f t="shared" ca="1" si="153"/>
        <v>0</v>
      </c>
      <c r="CK278" s="1409">
        <f t="shared" ca="1" si="154"/>
        <v>0</v>
      </c>
      <c r="CL278" s="1409">
        <f t="shared" ca="1" si="155"/>
        <v>0</v>
      </c>
      <c r="CM278" s="1409">
        <f t="shared" ca="1" si="156"/>
        <v>0</v>
      </c>
      <c r="CN278" s="1409">
        <f ca="1">IF(B278&gt;=$J$5,0,CONTADORES!CB286-CONTADORES!CB285)</f>
        <v>0</v>
      </c>
      <c r="CO278" s="1409">
        <f t="shared" ca="1" si="157"/>
        <v>0</v>
      </c>
      <c r="CP278" s="1409">
        <f t="shared" ca="1" si="158"/>
        <v>0</v>
      </c>
      <c r="CQ278" s="1409">
        <f t="shared" ca="1" si="159"/>
        <v>0</v>
      </c>
      <c r="CR278" s="1409">
        <f t="shared" ca="1" si="160"/>
        <v>0</v>
      </c>
      <c r="CS278" s="1409">
        <f ca="1">IF($B278&gt;=$J$5,0,CONTADORES!$BI286)</f>
        <v>0</v>
      </c>
      <c r="CT278" s="1334">
        <f>CONTADORES!E286</f>
        <v>0</v>
      </c>
      <c r="CU278" s="1334">
        <f>CONTADORES!CG286</f>
        <v>0</v>
      </c>
    </row>
    <row r="279" spans="2:99">
      <c r="B279" s="390">
        <v>45195</v>
      </c>
      <c r="C279" s="202">
        <f t="shared" ca="1" si="134"/>
        <v>0</v>
      </c>
      <c r="D279" s="196">
        <f ca="1">'CALCULO DE GAS'!P97</f>
        <v>0</v>
      </c>
      <c r="E279" s="196">
        <f ca="1">IF(B279&gt;=$J$5,0,(CONTADORES!$AD287-CONTADORES!$AD286)-$H279)</f>
        <v>0</v>
      </c>
      <c r="F279" s="198">
        <f t="shared" ca="1" si="133"/>
        <v>0</v>
      </c>
      <c r="G279" s="196">
        <f ca="1">IF(B279&gt;=$J$5,0,CONTADORES!$AF287-CONTADORES!$AF286)</f>
        <v>0</v>
      </c>
      <c r="H279" s="196">
        <f ca="1">IF(G279&gt;0,CONTADORES!$AE287-CONTADORES!$AE286,0)</f>
        <v>0</v>
      </c>
      <c r="I279" s="1396">
        <f ca="1">IF(B279&gt;=$J$5,0,CONTADORES!$AB287-CONTADORES!$AB286)</f>
        <v>0</v>
      </c>
      <c r="J279" s="202">
        <f t="shared" ca="1" si="135"/>
        <v>0</v>
      </c>
      <c r="K279" s="196">
        <f ca="1">'CALCULO DE GAS'!Q97</f>
        <v>0</v>
      </c>
      <c r="L279" s="1396">
        <f ca="1">IF(B279&gt;=$J$5,0,(CONTADORES!$Y287-CONTADORES!$Y286)-$O279)</f>
        <v>0</v>
      </c>
      <c r="M279" s="1396">
        <f t="shared" ca="1" si="132"/>
        <v>0</v>
      </c>
      <c r="N279" s="1396">
        <f ca="1">IF(B279&gt;=$J$5,0,CONTADORES!$AA287-CONTADORES!$AA286)</f>
        <v>0</v>
      </c>
      <c r="O279" s="199">
        <f ca="1">IF(N279&gt;0,CONTADORES!$Z287-CONTADORES!$Z286,0)</f>
        <v>0</v>
      </c>
      <c r="P279" s="1398">
        <f ca="1">IF(B279&gt;=$J$5,0,CONTADORES!$W287-CONTADORES!$W286)</f>
        <v>0</v>
      </c>
      <c r="Q279" s="202">
        <f ca="1">IF(B279&gt;=$J$5,0,CONTADORES!$B287-CONTADORES!$B286)</f>
        <v>0</v>
      </c>
      <c r="R279" s="196">
        <f t="shared" ca="1" si="136"/>
        <v>0</v>
      </c>
      <c r="S279" s="11">
        <f ca="1">IF(B279&gt;=$J$5,0,CONTADORES!$D287-CONTADORES!$D286)</f>
        <v>0</v>
      </c>
      <c r="T279" s="202">
        <f ca="1">IF(B279&gt;=$J$5,0,CONTADORES!$BB287-CONTADORES!$BB286)</f>
        <v>0</v>
      </c>
      <c r="U279" s="196">
        <f t="shared" ca="1" si="131"/>
        <v>0</v>
      </c>
      <c r="V279" s="199">
        <f ca="1">IF(B279&gt;=$J$5,0,CONTADORES!$BD287-CONTADORES!$BD286)</f>
        <v>0</v>
      </c>
      <c r="W279" s="1397">
        <f t="shared" ca="1" si="137"/>
        <v>0</v>
      </c>
      <c r="X279" s="1397">
        <f t="shared" ca="1" si="138"/>
        <v>0</v>
      </c>
      <c r="Y279" s="1398">
        <f t="shared" ca="1" si="139"/>
        <v>0</v>
      </c>
      <c r="Z279" s="1398">
        <f t="shared" ca="1" si="140"/>
        <v>0</v>
      </c>
      <c r="AA279" s="1398">
        <f t="shared" ca="1" si="141"/>
        <v>0</v>
      </c>
      <c r="AB279" s="1398">
        <f t="shared" ca="1" si="142"/>
        <v>0</v>
      </c>
      <c r="AC279" s="1397">
        <f t="shared" ca="1" si="143"/>
        <v>0</v>
      </c>
      <c r="AD279" s="1398">
        <f ca="1">IF(B279&gt;=$J$5,0,CONTADORES!H287-CONTADORES!H286)</f>
        <v>0</v>
      </c>
      <c r="AE279" s="1397">
        <f ca="1">IF(B279&gt;=$J$5,0,CONTADORES!J287-CONTADORES!J286)</f>
        <v>0</v>
      </c>
      <c r="AF279" s="1398">
        <f ca="1">IF(B279&gt;=$J$5,0,CONTADORES!AU287-CONTADORES!AU286)</f>
        <v>0</v>
      </c>
      <c r="AG279" s="1397">
        <f ca="1">IF(B279&gt;=$J$5,0,CONTADORES!AW287-CONTADORES!AW286)</f>
        <v>0</v>
      </c>
      <c r="AH279" s="1398">
        <f ca="1">IF(B279&gt;=$J$5,0,(CONTADORES!AM287-CONTADORES!AM286)+(CONTADORES!M287-CONTADORES!M286))</f>
        <v>0</v>
      </c>
      <c r="AI279" s="1398">
        <f ca="1">IF(B279&gt;=$J$5,0,(CONTADORES!AK287-CONTADORES!AK286)+(CONTADORES!O287-CONTADORES!O286))</f>
        <v>0</v>
      </c>
      <c r="AJ279" s="1398">
        <f ca="1">IF(B279&gt;=$J$5,0,(CONTADORES!AI287-CONTADORES!AI286))</f>
        <v>0</v>
      </c>
      <c r="AK279" s="1398">
        <f ca="1">IF(B279&gt;=$J$5,0,(CONTADORES!Q287-CONTADORES!Q286))</f>
        <v>0</v>
      </c>
      <c r="AL279" s="1461">
        <f t="shared" ca="1" si="144"/>
        <v>0</v>
      </c>
      <c r="AM279" s="1409">
        <f ca="1">IF(B279&gt;=$J$5,0,(((CONTADORES!F287-CONTADORES!F286)+(CONTADORES!AQ287-CONTADORES!AQ286))))-BS279-AF279-AN279-BV279-BY279-CD279-CB279</f>
        <v>0</v>
      </c>
      <c r="AN279" s="1398">
        <f ca="1">IF(B279&gt;=$J$5,0,(CONTADORES!AX287-CONTADORES!AX286)+(CONTADORES!AZ287-CONTADORES!AZ286)+(CONTADORES!BE287-CONTADORES!BE286))</f>
        <v>0</v>
      </c>
      <c r="AO279" s="1433">
        <f>(CONTADORES!AC287-CONTADORES!AC286)</f>
        <v>0</v>
      </c>
      <c r="AP279" s="1433">
        <f>(CONTADORES!X287-CONTADORES!X286)</f>
        <v>0</v>
      </c>
      <c r="AQ279" s="1399">
        <f>(CONTADORES!C287-CONTADORES!C286)</f>
        <v>0</v>
      </c>
      <c r="AR279" s="1399">
        <f>(CONTADORES!BC287-CONTADORES!BC286)</f>
        <v>0</v>
      </c>
      <c r="AS279" s="1397">
        <f ca="1">IF(B279&gt;=$J$5,0,CONTADORES!S287-CONTADORES!S286)</f>
        <v>0</v>
      </c>
      <c r="AT279" s="1397">
        <f ca="1">IF(B279&gt;=$J$5,0,(CONTADORES!U287-CONTADORES!U286)+(CONTADORES!AG287-CONTADORES!AG286))</f>
        <v>0</v>
      </c>
      <c r="AU279" s="1433">
        <f>CONTADORES!I287-CONTADORES!I286</f>
        <v>0</v>
      </c>
      <c r="AV279" s="1399">
        <f>CONTADORES!AV287-CONTADORES!AV286</f>
        <v>0</v>
      </c>
      <c r="AW279" s="1399">
        <f ca="1">IF(B279&gt;=$J$5,0,(CONTADORES!N287-CONTADORES!N286)+(CONTADORES!AN287-CONTADORES!AN286))</f>
        <v>0</v>
      </c>
      <c r="AX279" s="1399">
        <f ca="1">IF(B279&gt;=$J$5,0,(CONTADORES!P287-CONTADORES!P286)+(CONTADORES!AL287-CONTADORES!AL286))</f>
        <v>0</v>
      </c>
      <c r="AY279" s="1399">
        <f ca="1">IF(B279&gt;=$J$5,0,(CONTADORES!AJ287-CONTADORES!AJ286))</f>
        <v>0</v>
      </c>
      <c r="AZ279" s="1399">
        <f ca="1">IF(B279&gt;=$J$5,0,(CONTADORES!R287-CONTADORES!R286))</f>
        <v>0</v>
      </c>
      <c r="BA279" s="1409">
        <f t="shared" ca="1" si="145"/>
        <v>0</v>
      </c>
      <c r="BB279" s="1399">
        <f ca="1">IF(B279&gt;=$J$5,0,(((CONTADORES!G287-CONTADORES!G286)+(CONTADORES!AR287-CONTADORES!AR286)+AR279)-(AV279+BC279)))</f>
        <v>0</v>
      </c>
      <c r="BC279" s="1397">
        <f ca="1">IF(B279&gt;=$J$5,0,(CONTADORES!AY287-CONTADORES!AY286)+(CONTADORES!BA287-CONTADORES!BA286)+(CONTADORES!BF287-CONTADORES!BF286))</f>
        <v>0</v>
      </c>
      <c r="BD279" s="1397">
        <f t="shared" si="146"/>
        <v>0</v>
      </c>
      <c r="BE279" s="1398">
        <f ca="1">IF($B279&gt;=$J$5,0,CONTADORES!$BG287)</f>
        <v>0</v>
      </c>
      <c r="BF279" s="1397">
        <f ca="1">IF($B279&gt;=$J$5,0,CONTADORES!$BH287)</f>
        <v>0</v>
      </c>
      <c r="BG279" s="1397">
        <f ca="1">IF($B279&gt;=$J$5,0,CONTADORES!$BJ287)</f>
        <v>0</v>
      </c>
      <c r="BH279" s="1397">
        <f ca="1">IF(B279&gt;=$J$5,0,((CONTADORES!BK287-CONTADORES!BK286)/1000))</f>
        <v>0</v>
      </c>
      <c r="BI279" s="1397">
        <f ca="1">IF(C279&gt;=$J$5,0,((CONTADORES!BL287-CONTADORES!BL286)/1000))</f>
        <v>0</v>
      </c>
      <c r="BJ279" s="1397">
        <f ca="1">IF(C279&gt;=$J$5,0,((CONTADORES!BM287-CONTADORES!BM286)/1000))</f>
        <v>0</v>
      </c>
      <c r="BK279" s="1397">
        <f ca="1">IF(D279&gt;=$J$5,0,((CONTADORES!BN287-CONTADORES!BN286)/1000))</f>
        <v>0</v>
      </c>
      <c r="BL279" s="1399">
        <f t="shared" ca="1" si="147"/>
        <v>0</v>
      </c>
      <c r="BM279" s="1399">
        <f t="shared" ca="1" si="148"/>
        <v>0</v>
      </c>
      <c r="BN279" s="1398">
        <f ca="1">IF(W279&gt;=$J$5,0,CONTADORES!$BO287)</f>
        <v>0</v>
      </c>
      <c r="BO279" s="1397">
        <f ca="1">IF(W279&gt;=$J$5,0,CONTADORES!$BP287)</f>
        <v>0</v>
      </c>
      <c r="BP279" s="1397">
        <f ca="1">IF(W279&gt;=$J$5,0,CONTADORES!$BQ287)</f>
        <v>0</v>
      </c>
      <c r="BQ279" s="1397">
        <f ca="1">IF(B279&gt;=$J$5,0,(CONTADORES!AS287-CONTADORES!AS286))</f>
        <v>0</v>
      </c>
      <c r="BR279" s="1397">
        <f ca="1">IF(C279&gt;=$J$5,0,(CONTADORES!AT287-CONTADORES!AT286))</f>
        <v>0</v>
      </c>
      <c r="BS279" s="1397">
        <f ca="1">IF(B279&gt;=$J$5,0,CONTADORES!BR287-CONTADORES!BR286)/1000</f>
        <v>0</v>
      </c>
      <c r="BT279" s="1397">
        <f ca="1">IF(BF279&gt;=$J$5,0,CONTADORES!BS287-CONTADORES!BS286)</f>
        <v>0</v>
      </c>
      <c r="BU279" s="1397">
        <f ca="1">IF(BG279&gt;=$J$5,0,CONTADORES!BT287-CONTADORES!BT286)</f>
        <v>0</v>
      </c>
      <c r="BV279" s="1397">
        <f ca="1">IF(B279&gt;=$J$5,0,CONTADORES!BU287-CONTADORES!BU286)/1000</f>
        <v>0</v>
      </c>
      <c r="BW279" s="1397">
        <f ca="1">IF(B279&gt;=$J$5,0,CONTADORES!BV287-CONTADORES!BV286)/1000</f>
        <v>0</v>
      </c>
      <c r="BX279" s="1397">
        <f ca="1">IF(B279&gt;=$J$5,0,CONTADORES!BW287-CONTADORES!BW286)</f>
        <v>0</v>
      </c>
      <c r="BY279" s="1397">
        <f ca="1">IF(B279&gt;=$J$5,0,CONTADORES!BX287-CONTADORES!BX286)/1000</f>
        <v>0</v>
      </c>
      <c r="BZ279" s="1397">
        <f ca="1">IF(B279&gt;=$J$5,0,CONTADORES!BY287-CONTADORES!BY286)/1000</f>
        <v>0</v>
      </c>
      <c r="CA279" s="1397">
        <f ca="1">IF(B279&gt;=$J$5,0,CONTADORES!BZ287-CONTADORES!BZ286)</f>
        <v>0</v>
      </c>
      <c r="CB279" s="1398">
        <f ca="1">IF(B279&gt;=$J$5,0,(CONTADORES!CC287-CONTADORES!CC286)+(CONTADORES!CE287-CONTADORES!CE286))/1000</f>
        <v>0</v>
      </c>
      <c r="CC279" s="1398">
        <f ca="1">IF(B279&gt;=$J$5,0,(CONTADORES!CD287-CONTADORES!CD286)+(CONTADORES!CF287-CONTADORES!CF286))/1000</f>
        <v>0</v>
      </c>
      <c r="CD279" s="1398">
        <f ca="1">IF(B279&gt;=$J$5,0,CONTADORES!CA287-CONTADORES!CA286)</f>
        <v>0</v>
      </c>
      <c r="CE279" s="1398">
        <f ca="1">IF(B279&gt;=$J$5,0,CONTADORES!CB287-CONTADORES!CB286)</f>
        <v>0</v>
      </c>
      <c r="CF279" s="1409">
        <f t="shared" ca="1" si="149"/>
        <v>0</v>
      </c>
      <c r="CG279" s="1409">
        <f t="shared" ca="1" si="150"/>
        <v>0</v>
      </c>
      <c r="CH279" s="1409">
        <f t="shared" ca="1" si="151"/>
        <v>0</v>
      </c>
      <c r="CI279" s="1409">
        <f t="shared" ca="1" si="152"/>
        <v>0</v>
      </c>
      <c r="CJ279" s="1409">
        <f t="shared" ca="1" si="153"/>
        <v>0</v>
      </c>
      <c r="CK279" s="1409">
        <f t="shared" ca="1" si="154"/>
        <v>0</v>
      </c>
      <c r="CL279" s="1409">
        <f t="shared" ca="1" si="155"/>
        <v>0</v>
      </c>
      <c r="CM279" s="1409">
        <f t="shared" ca="1" si="156"/>
        <v>0</v>
      </c>
      <c r="CN279" s="1409">
        <f ca="1">IF(B279&gt;=$J$5,0,CONTADORES!CB287-CONTADORES!CB286)</f>
        <v>0</v>
      </c>
      <c r="CO279" s="1409">
        <f t="shared" ca="1" si="157"/>
        <v>0</v>
      </c>
      <c r="CP279" s="1409">
        <f t="shared" ca="1" si="158"/>
        <v>0</v>
      </c>
      <c r="CQ279" s="1409">
        <f t="shared" ca="1" si="159"/>
        <v>0</v>
      </c>
      <c r="CR279" s="1409">
        <f t="shared" ca="1" si="160"/>
        <v>0</v>
      </c>
      <c r="CS279" s="1409">
        <f ca="1">IF($B279&gt;=$J$5,0,CONTADORES!$BI287)</f>
        <v>0</v>
      </c>
      <c r="CT279" s="1334">
        <f>CONTADORES!E287</f>
        <v>0</v>
      </c>
      <c r="CU279" s="1334">
        <f>CONTADORES!CG287</f>
        <v>0</v>
      </c>
    </row>
    <row r="280" spans="2:99">
      <c r="B280" s="390">
        <v>45196</v>
      </c>
      <c r="C280" s="202">
        <f t="shared" ca="1" si="134"/>
        <v>0</v>
      </c>
      <c r="D280" s="196">
        <f ca="1">'CALCULO DE GAS'!P98</f>
        <v>0</v>
      </c>
      <c r="E280" s="196">
        <f ca="1">IF(B280&gt;=$J$5,0,(CONTADORES!$AD288-CONTADORES!$AD287)-$H280)</f>
        <v>0</v>
      </c>
      <c r="F280" s="198">
        <f t="shared" ca="1" si="133"/>
        <v>0</v>
      </c>
      <c r="G280" s="196">
        <f ca="1">IF(B280&gt;=$J$5,0,CONTADORES!$AF288-CONTADORES!$AF287)</f>
        <v>0</v>
      </c>
      <c r="H280" s="196">
        <f ca="1">IF(G280&gt;0,CONTADORES!$AE288-CONTADORES!$AE287,0)</f>
        <v>0</v>
      </c>
      <c r="I280" s="1396">
        <f ca="1">IF(B280&gt;=$J$5,0,CONTADORES!$AB288-CONTADORES!$AB287)</f>
        <v>0</v>
      </c>
      <c r="J280" s="202">
        <f t="shared" ca="1" si="135"/>
        <v>0</v>
      </c>
      <c r="K280" s="196">
        <f ca="1">'CALCULO DE GAS'!Q98</f>
        <v>0</v>
      </c>
      <c r="L280" s="1396">
        <f ca="1">IF(B280&gt;=$J$5,0,(CONTADORES!$Y288-CONTADORES!$Y287)-$O280)</f>
        <v>0</v>
      </c>
      <c r="M280" s="1396">
        <f t="shared" ca="1" si="132"/>
        <v>0</v>
      </c>
      <c r="N280" s="1396">
        <f ca="1">IF(B280&gt;=$J$5,0,CONTADORES!$AA288-CONTADORES!$AA287)</f>
        <v>0</v>
      </c>
      <c r="O280" s="199">
        <f ca="1">IF(N280&gt;0,CONTADORES!$Z288-CONTADORES!$Z287,0)</f>
        <v>0</v>
      </c>
      <c r="P280" s="1398">
        <f ca="1">IF(B280&gt;=$J$5,0,CONTADORES!$W288-CONTADORES!$W287)</f>
        <v>0</v>
      </c>
      <c r="Q280" s="202">
        <f ca="1">IF(B280&gt;=$J$5,0,CONTADORES!$B288-CONTADORES!$B287)</f>
        <v>0</v>
      </c>
      <c r="R280" s="196">
        <f t="shared" ca="1" si="136"/>
        <v>0</v>
      </c>
      <c r="S280" s="11">
        <f ca="1">IF(B280&gt;=$J$5,0,CONTADORES!$D288-CONTADORES!$D287)</f>
        <v>0</v>
      </c>
      <c r="T280" s="202">
        <f ca="1">IF(B280&gt;=$J$5,0,CONTADORES!$BB288-CONTADORES!$BB287)</f>
        <v>0</v>
      </c>
      <c r="U280" s="196">
        <f t="shared" ca="1" si="131"/>
        <v>0</v>
      </c>
      <c r="V280" s="199">
        <f ca="1">IF(B280&gt;=$J$5,0,CONTADORES!$BD288-CONTADORES!$BD287)</f>
        <v>0</v>
      </c>
      <c r="W280" s="1397">
        <f t="shared" ca="1" si="137"/>
        <v>0</v>
      </c>
      <c r="X280" s="1397">
        <f t="shared" ca="1" si="138"/>
        <v>0</v>
      </c>
      <c r="Y280" s="1398">
        <f t="shared" ca="1" si="139"/>
        <v>0</v>
      </c>
      <c r="Z280" s="1398">
        <f t="shared" ca="1" si="140"/>
        <v>0</v>
      </c>
      <c r="AA280" s="1398">
        <f t="shared" ca="1" si="141"/>
        <v>0</v>
      </c>
      <c r="AB280" s="1398">
        <f t="shared" ca="1" si="142"/>
        <v>0</v>
      </c>
      <c r="AC280" s="1397">
        <f t="shared" ca="1" si="143"/>
        <v>0</v>
      </c>
      <c r="AD280" s="1398">
        <f ca="1">IF(B280&gt;=$J$5,0,CONTADORES!H288-CONTADORES!H287)</f>
        <v>0</v>
      </c>
      <c r="AE280" s="1397">
        <f ca="1">IF(B280&gt;=$J$5,0,CONTADORES!J288-CONTADORES!J287)</f>
        <v>0</v>
      </c>
      <c r="AF280" s="1398">
        <f ca="1">IF(B280&gt;=$J$5,0,CONTADORES!AU288-CONTADORES!AU287)</f>
        <v>0</v>
      </c>
      <c r="AG280" s="1397">
        <f ca="1">IF(B280&gt;=$J$5,0,CONTADORES!AW288-CONTADORES!AW287)</f>
        <v>0</v>
      </c>
      <c r="AH280" s="1398">
        <f ca="1">IF(B280&gt;=$J$5,0,(CONTADORES!AM288-CONTADORES!AM287)+(CONTADORES!M288-CONTADORES!M287))</f>
        <v>0</v>
      </c>
      <c r="AI280" s="1398">
        <f ca="1">IF(B280&gt;=$J$5,0,(CONTADORES!AK288-CONTADORES!AK287)+(CONTADORES!O288-CONTADORES!O287))</f>
        <v>0</v>
      </c>
      <c r="AJ280" s="1398">
        <f ca="1">IF(B280&gt;=$J$5,0,(CONTADORES!AI288-CONTADORES!AI287))</f>
        <v>0</v>
      </c>
      <c r="AK280" s="1398">
        <f ca="1">IF(B280&gt;=$J$5,0,(CONTADORES!Q288-CONTADORES!Q287))</f>
        <v>0</v>
      </c>
      <c r="AL280" s="1461">
        <f t="shared" ca="1" si="144"/>
        <v>0</v>
      </c>
      <c r="AM280" s="1409">
        <f ca="1">IF(B280&gt;=$J$5,0,(((CONTADORES!F288-CONTADORES!F287)+(CONTADORES!AQ288-CONTADORES!AQ287))))-BS280-AF280-AN280-BV280-BY280-CD280-CB280</f>
        <v>0</v>
      </c>
      <c r="AN280" s="1398">
        <f ca="1">IF(B280&gt;=$J$5,0,(CONTADORES!AX288-CONTADORES!AX287)+(CONTADORES!AZ288-CONTADORES!AZ287)+(CONTADORES!BE288-CONTADORES!BE287))</f>
        <v>0</v>
      </c>
      <c r="AO280" s="1433">
        <f>(CONTADORES!AC288-CONTADORES!AC287)</f>
        <v>0</v>
      </c>
      <c r="AP280" s="1433">
        <f>(CONTADORES!X288-CONTADORES!X287)</f>
        <v>0</v>
      </c>
      <c r="AQ280" s="1399">
        <f>(CONTADORES!C288-CONTADORES!C287)</f>
        <v>0</v>
      </c>
      <c r="AR280" s="1399">
        <f>(CONTADORES!BC288-CONTADORES!BC287)</f>
        <v>0</v>
      </c>
      <c r="AS280" s="1397">
        <f ca="1">IF(B280&gt;=$J$5,0,CONTADORES!S288-CONTADORES!S287)</f>
        <v>0</v>
      </c>
      <c r="AT280" s="1397">
        <f ca="1">IF(B280&gt;=$J$5,0,(CONTADORES!U288-CONTADORES!U287)+(CONTADORES!AG288-CONTADORES!AG287))</f>
        <v>0</v>
      </c>
      <c r="AU280" s="1433">
        <f>CONTADORES!I288-CONTADORES!I287</f>
        <v>0</v>
      </c>
      <c r="AV280" s="1399">
        <f>CONTADORES!AV288-CONTADORES!AV287</f>
        <v>0</v>
      </c>
      <c r="AW280" s="1399">
        <f ca="1">IF(B280&gt;=$J$5,0,(CONTADORES!N288-CONTADORES!N287)+(CONTADORES!AN288-CONTADORES!AN287))</f>
        <v>0</v>
      </c>
      <c r="AX280" s="1399">
        <f ca="1">IF(B280&gt;=$J$5,0,(CONTADORES!P288-CONTADORES!P287)+(CONTADORES!AL288-CONTADORES!AL287))</f>
        <v>0</v>
      </c>
      <c r="AY280" s="1399">
        <f ca="1">IF(B280&gt;=$J$5,0,(CONTADORES!AJ288-CONTADORES!AJ287))</f>
        <v>0</v>
      </c>
      <c r="AZ280" s="1399">
        <f ca="1">IF(B280&gt;=$J$5,0,(CONTADORES!R288-CONTADORES!R287))</f>
        <v>0</v>
      </c>
      <c r="BA280" s="1409">
        <f t="shared" ca="1" si="145"/>
        <v>0</v>
      </c>
      <c r="BB280" s="1399">
        <f ca="1">IF(B280&gt;=$J$5,0,(((CONTADORES!G288-CONTADORES!G287)+(CONTADORES!AR288-CONTADORES!AR287)+AR280)-(AV280+BC280)))</f>
        <v>0</v>
      </c>
      <c r="BC280" s="1397">
        <f ca="1">IF(B280&gt;=$J$5,0,(CONTADORES!AY288-CONTADORES!AY287)+(CONTADORES!BA288-CONTADORES!BA287)+(CONTADORES!BF288-CONTADORES!BF287))</f>
        <v>0</v>
      </c>
      <c r="BD280" s="1397">
        <f t="shared" si="146"/>
        <v>0</v>
      </c>
      <c r="BE280" s="1398">
        <f ca="1">IF($B280&gt;=$J$5,0,CONTADORES!$BG288)</f>
        <v>0</v>
      </c>
      <c r="BF280" s="1397">
        <f ca="1">IF($B280&gt;=$J$5,0,CONTADORES!$BH288)</f>
        <v>0</v>
      </c>
      <c r="BG280" s="1397">
        <f ca="1">IF($B280&gt;=$J$5,0,CONTADORES!$BJ288)</f>
        <v>0</v>
      </c>
      <c r="BH280" s="1397">
        <f ca="1">IF(B280&gt;=$J$5,0,((CONTADORES!BK288-CONTADORES!BK287)/1000))</f>
        <v>0</v>
      </c>
      <c r="BI280" s="1397">
        <f ca="1">IF(C280&gt;=$J$5,0,((CONTADORES!BL288-CONTADORES!BL287)/1000))</f>
        <v>0</v>
      </c>
      <c r="BJ280" s="1397">
        <f ca="1">IF(C280&gt;=$J$5,0,((CONTADORES!BM288-CONTADORES!BM287)/1000))</f>
        <v>0</v>
      </c>
      <c r="BK280" s="1397">
        <f ca="1">IF(D280&gt;=$J$5,0,((CONTADORES!BN288-CONTADORES!BN287)/1000))</f>
        <v>0</v>
      </c>
      <c r="BL280" s="1399">
        <f t="shared" ca="1" si="147"/>
        <v>0</v>
      </c>
      <c r="BM280" s="1399">
        <f t="shared" ca="1" si="148"/>
        <v>0</v>
      </c>
      <c r="BN280" s="1398">
        <f ca="1">IF(W280&gt;=$J$5,0,CONTADORES!$BO288)</f>
        <v>0</v>
      </c>
      <c r="BO280" s="1397">
        <f ca="1">IF(W280&gt;=$J$5,0,CONTADORES!$BP288)</f>
        <v>0</v>
      </c>
      <c r="BP280" s="1397">
        <f ca="1">IF(W280&gt;=$J$5,0,CONTADORES!$BQ288)</f>
        <v>0</v>
      </c>
      <c r="BQ280" s="1397">
        <f ca="1">IF(B280&gt;=$J$5,0,(CONTADORES!AS288-CONTADORES!AS287))</f>
        <v>0</v>
      </c>
      <c r="BR280" s="1397">
        <f ca="1">IF(C280&gt;=$J$5,0,(CONTADORES!AT288-CONTADORES!AT287))</f>
        <v>0</v>
      </c>
      <c r="BS280" s="1397">
        <f ca="1">IF(B280&gt;=$J$5,0,CONTADORES!BR288-CONTADORES!BR287)/1000</f>
        <v>0</v>
      </c>
      <c r="BT280" s="1397">
        <f ca="1">IF(BF280&gt;=$J$5,0,CONTADORES!BS288-CONTADORES!BS287)</f>
        <v>0</v>
      </c>
      <c r="BU280" s="1397">
        <f ca="1">IF(BG280&gt;=$J$5,0,CONTADORES!BT288-CONTADORES!BT287)</f>
        <v>0</v>
      </c>
      <c r="BV280" s="1397">
        <f ca="1">IF(B280&gt;=$J$5,0,CONTADORES!BU288-CONTADORES!BU287)/1000</f>
        <v>0</v>
      </c>
      <c r="BW280" s="1397">
        <f ca="1">IF(B280&gt;=$J$5,0,CONTADORES!BV288-CONTADORES!BV287)/1000</f>
        <v>0</v>
      </c>
      <c r="BX280" s="1397">
        <f ca="1">IF(B280&gt;=$J$5,0,CONTADORES!BW288-CONTADORES!BW287)</f>
        <v>0</v>
      </c>
      <c r="BY280" s="1397">
        <f ca="1">IF(B280&gt;=$J$5,0,CONTADORES!BX288-CONTADORES!BX287)/1000</f>
        <v>0</v>
      </c>
      <c r="BZ280" s="1397">
        <f ca="1">IF(B280&gt;=$J$5,0,CONTADORES!BY288-CONTADORES!BY287)/1000</f>
        <v>0</v>
      </c>
      <c r="CA280" s="1397">
        <f ca="1">IF(B280&gt;=$J$5,0,CONTADORES!BZ288-CONTADORES!BZ287)</f>
        <v>0</v>
      </c>
      <c r="CB280" s="1398">
        <f ca="1">IF(B280&gt;=$J$5,0,(CONTADORES!CC288-CONTADORES!CC287)+(CONTADORES!CE288-CONTADORES!CE287))/1000</f>
        <v>0</v>
      </c>
      <c r="CC280" s="1398">
        <f ca="1">IF(B280&gt;=$J$5,0,(CONTADORES!CD288-CONTADORES!CD287)+(CONTADORES!CF288-CONTADORES!CF287))/1000</f>
        <v>0</v>
      </c>
      <c r="CD280" s="1398">
        <f ca="1">IF(B280&gt;=$J$5,0,CONTADORES!CA288-CONTADORES!CA287)</f>
        <v>0</v>
      </c>
      <c r="CE280" s="1398">
        <f ca="1">IF(B280&gt;=$J$5,0,CONTADORES!CB288-CONTADORES!CB287)</f>
        <v>0</v>
      </c>
      <c r="CF280" s="1409">
        <f t="shared" ca="1" si="149"/>
        <v>0</v>
      </c>
      <c r="CG280" s="1409">
        <f t="shared" ca="1" si="150"/>
        <v>0</v>
      </c>
      <c r="CH280" s="1409">
        <f t="shared" ca="1" si="151"/>
        <v>0</v>
      </c>
      <c r="CI280" s="1409">
        <f t="shared" ca="1" si="152"/>
        <v>0</v>
      </c>
      <c r="CJ280" s="1409">
        <f t="shared" ca="1" si="153"/>
        <v>0</v>
      </c>
      <c r="CK280" s="1409">
        <f t="shared" ca="1" si="154"/>
        <v>0</v>
      </c>
      <c r="CL280" s="1409">
        <f t="shared" ca="1" si="155"/>
        <v>0</v>
      </c>
      <c r="CM280" s="1409">
        <f t="shared" ca="1" si="156"/>
        <v>0</v>
      </c>
      <c r="CN280" s="1409">
        <f ca="1">IF(B280&gt;=$J$5,0,CONTADORES!CB288-CONTADORES!CB287)</f>
        <v>0</v>
      </c>
      <c r="CO280" s="1409">
        <f t="shared" ca="1" si="157"/>
        <v>0</v>
      </c>
      <c r="CP280" s="1409">
        <f t="shared" ca="1" si="158"/>
        <v>0</v>
      </c>
      <c r="CQ280" s="1409">
        <f t="shared" ca="1" si="159"/>
        <v>0</v>
      </c>
      <c r="CR280" s="1409">
        <f t="shared" ca="1" si="160"/>
        <v>0</v>
      </c>
      <c r="CS280" s="1409">
        <f ca="1">IF($B280&gt;=$J$5,0,CONTADORES!$BI288)</f>
        <v>0</v>
      </c>
      <c r="CT280" s="1334">
        <f>CONTADORES!E288</f>
        <v>0</v>
      </c>
      <c r="CU280" s="1334">
        <f>CONTADORES!CG288</f>
        <v>0</v>
      </c>
    </row>
    <row r="281" spans="2:99">
      <c r="B281" s="390">
        <v>45197</v>
      </c>
      <c r="C281" s="202">
        <f t="shared" ca="1" si="134"/>
        <v>0</v>
      </c>
      <c r="D281" s="196">
        <f ca="1">'CALCULO DE GAS'!P99</f>
        <v>0</v>
      </c>
      <c r="E281" s="196">
        <f ca="1">IF(B281&gt;=$J$5,0,(CONTADORES!$AD289-CONTADORES!$AD288)-$H281)</f>
        <v>0</v>
      </c>
      <c r="F281" s="198">
        <f t="shared" ca="1" si="133"/>
        <v>0</v>
      </c>
      <c r="G281" s="196">
        <f ca="1">IF(B281&gt;=$J$5,0,CONTADORES!$AF289-CONTADORES!$AF288)</f>
        <v>0</v>
      </c>
      <c r="H281" s="196">
        <f ca="1">IF(G281&gt;0,CONTADORES!$AE289-CONTADORES!$AE288,0)</f>
        <v>0</v>
      </c>
      <c r="I281" s="1396">
        <f ca="1">IF(B281&gt;=$J$5,0,CONTADORES!$AB289-CONTADORES!$AB288)</f>
        <v>0</v>
      </c>
      <c r="J281" s="202">
        <f t="shared" ca="1" si="135"/>
        <v>0</v>
      </c>
      <c r="K281" s="196">
        <f ca="1">'CALCULO DE GAS'!Q99</f>
        <v>0</v>
      </c>
      <c r="L281" s="1396">
        <f ca="1">IF(B281&gt;=$J$5,0,(CONTADORES!$Y289-CONTADORES!$Y288)-$O281)</f>
        <v>0</v>
      </c>
      <c r="M281" s="1396">
        <f t="shared" ca="1" si="132"/>
        <v>0</v>
      </c>
      <c r="N281" s="1396">
        <f ca="1">IF(B281&gt;=$J$5,0,CONTADORES!$AA289-CONTADORES!$AA288)</f>
        <v>0</v>
      </c>
      <c r="O281" s="199">
        <f ca="1">IF(N281&gt;0,CONTADORES!$Z289-CONTADORES!$Z288,0)</f>
        <v>0</v>
      </c>
      <c r="P281" s="1398">
        <f ca="1">IF(B281&gt;=$J$5,0,CONTADORES!$W289-CONTADORES!$W288)</f>
        <v>0</v>
      </c>
      <c r="Q281" s="202">
        <f ca="1">IF(B281&gt;=$J$5,0,CONTADORES!$B289-CONTADORES!$B288)</f>
        <v>0</v>
      </c>
      <c r="R281" s="196">
        <f t="shared" ca="1" si="136"/>
        <v>0</v>
      </c>
      <c r="S281" s="11">
        <f ca="1">IF(B281&gt;=$J$5,0,CONTADORES!$D289-CONTADORES!$D288)</f>
        <v>0</v>
      </c>
      <c r="T281" s="202">
        <f ca="1">IF(B281&gt;=$J$5,0,CONTADORES!$BB289-CONTADORES!$BB288)</f>
        <v>0</v>
      </c>
      <c r="U281" s="196">
        <f t="shared" ca="1" si="131"/>
        <v>0</v>
      </c>
      <c r="V281" s="199">
        <f ca="1">IF(B281&gt;=$J$5,0,CONTADORES!$BD289-CONTADORES!$BD288)</f>
        <v>0</v>
      </c>
      <c r="W281" s="1397">
        <f t="shared" ca="1" si="137"/>
        <v>0</v>
      </c>
      <c r="X281" s="1397">
        <f t="shared" ca="1" si="138"/>
        <v>0</v>
      </c>
      <c r="Y281" s="1398">
        <f t="shared" ca="1" si="139"/>
        <v>0</v>
      </c>
      <c r="Z281" s="1398">
        <f t="shared" ca="1" si="140"/>
        <v>0</v>
      </c>
      <c r="AA281" s="1398">
        <f t="shared" ca="1" si="141"/>
        <v>0</v>
      </c>
      <c r="AB281" s="1398">
        <f t="shared" ca="1" si="142"/>
        <v>0</v>
      </c>
      <c r="AC281" s="1397">
        <f t="shared" ca="1" si="143"/>
        <v>0</v>
      </c>
      <c r="AD281" s="1398">
        <f ca="1">IF(B281&gt;=$J$5,0,CONTADORES!H289-CONTADORES!H288)</f>
        <v>0</v>
      </c>
      <c r="AE281" s="1397">
        <f ca="1">IF(B281&gt;=$J$5,0,CONTADORES!J289-CONTADORES!J288)</f>
        <v>0</v>
      </c>
      <c r="AF281" s="1398">
        <f ca="1">IF(B281&gt;=$J$5,0,CONTADORES!AU289-CONTADORES!AU288)</f>
        <v>0</v>
      </c>
      <c r="AG281" s="1397">
        <f ca="1">IF(B281&gt;=$J$5,0,CONTADORES!AW289-CONTADORES!AW288)</f>
        <v>0</v>
      </c>
      <c r="AH281" s="1398">
        <f ca="1">IF(B281&gt;=$J$5,0,(CONTADORES!AM289-CONTADORES!AM288)+(CONTADORES!M289-CONTADORES!M288))</f>
        <v>0</v>
      </c>
      <c r="AI281" s="1398">
        <f ca="1">IF(B281&gt;=$J$5,0,(CONTADORES!AK289-CONTADORES!AK288)+(CONTADORES!O289-CONTADORES!O288))</f>
        <v>0</v>
      </c>
      <c r="AJ281" s="1398">
        <f ca="1">IF(B281&gt;=$J$5,0,(CONTADORES!AI289-CONTADORES!AI288))</f>
        <v>0</v>
      </c>
      <c r="AK281" s="1398">
        <f ca="1">IF(B281&gt;=$J$5,0,(CONTADORES!Q289-CONTADORES!Q288))</f>
        <v>0</v>
      </c>
      <c r="AL281" s="1461">
        <f t="shared" ca="1" si="144"/>
        <v>0</v>
      </c>
      <c r="AM281" s="1409">
        <f ca="1">IF(B281&gt;=$J$5,0,(((CONTADORES!F289-CONTADORES!F288)+(CONTADORES!AQ289-CONTADORES!AQ288))))-BS281-AF281-AN281-BV281-BY281-CD281-CB281</f>
        <v>0</v>
      </c>
      <c r="AN281" s="1398">
        <f ca="1">IF(B281&gt;=$J$5,0,(CONTADORES!AX289-CONTADORES!AX288)+(CONTADORES!AZ289-CONTADORES!AZ288)+(CONTADORES!BE289-CONTADORES!BE288))</f>
        <v>0</v>
      </c>
      <c r="AO281" s="1433">
        <f>(CONTADORES!AC289-CONTADORES!AC288)</f>
        <v>0</v>
      </c>
      <c r="AP281" s="1433">
        <f>(CONTADORES!X289-CONTADORES!X288)</f>
        <v>0</v>
      </c>
      <c r="AQ281" s="1399">
        <f>(CONTADORES!C289-CONTADORES!C288)</f>
        <v>0</v>
      </c>
      <c r="AR281" s="1399">
        <f>(CONTADORES!BC289-CONTADORES!BC288)</f>
        <v>0</v>
      </c>
      <c r="AS281" s="1397">
        <f ca="1">IF(B281&gt;=$J$5,0,CONTADORES!S289-CONTADORES!S288)</f>
        <v>0</v>
      </c>
      <c r="AT281" s="1397">
        <f ca="1">IF(B281&gt;=$J$5,0,(CONTADORES!U289-CONTADORES!U288)+(CONTADORES!AG289-CONTADORES!AG288))</f>
        <v>0</v>
      </c>
      <c r="AU281" s="1433">
        <f>CONTADORES!I289-CONTADORES!I288</f>
        <v>0</v>
      </c>
      <c r="AV281" s="1399">
        <f>CONTADORES!AV289-CONTADORES!AV288</f>
        <v>0</v>
      </c>
      <c r="AW281" s="1399">
        <f ca="1">IF(B281&gt;=$J$5,0,(CONTADORES!N289-CONTADORES!N288)+(CONTADORES!AN289-CONTADORES!AN288))</f>
        <v>0</v>
      </c>
      <c r="AX281" s="1399">
        <f ca="1">IF(B281&gt;=$J$5,0,(CONTADORES!P289-CONTADORES!P288)+(CONTADORES!AL289-CONTADORES!AL288))</f>
        <v>0</v>
      </c>
      <c r="AY281" s="1399">
        <f ca="1">IF(B281&gt;=$J$5,0,(CONTADORES!AJ289-CONTADORES!AJ288))</f>
        <v>0</v>
      </c>
      <c r="AZ281" s="1399">
        <f ca="1">IF(B281&gt;=$J$5,0,(CONTADORES!R289-CONTADORES!R288))</f>
        <v>0</v>
      </c>
      <c r="BA281" s="1409">
        <f t="shared" ca="1" si="145"/>
        <v>0</v>
      </c>
      <c r="BB281" s="1399">
        <f ca="1">IF(B281&gt;=$J$5,0,(((CONTADORES!G289-CONTADORES!G288)+(CONTADORES!AR289-CONTADORES!AR288)+AR281)-(AV281+BC281)))</f>
        <v>0</v>
      </c>
      <c r="BC281" s="1397">
        <f ca="1">IF(B281&gt;=$J$5,0,(CONTADORES!AY289-CONTADORES!AY288)+(CONTADORES!BA289-CONTADORES!BA288)+(CONTADORES!BF289-CONTADORES!BF288))</f>
        <v>0</v>
      </c>
      <c r="BD281" s="1397">
        <f t="shared" si="146"/>
        <v>0</v>
      </c>
      <c r="BE281" s="1398">
        <f ca="1">IF($B281&gt;=$J$5,0,CONTADORES!$BG289)</f>
        <v>0</v>
      </c>
      <c r="BF281" s="1397">
        <f ca="1">IF($B281&gt;=$J$5,0,CONTADORES!$BH289)</f>
        <v>0</v>
      </c>
      <c r="BG281" s="1397">
        <f ca="1">IF($B281&gt;=$J$5,0,CONTADORES!$BJ289)</f>
        <v>0</v>
      </c>
      <c r="BH281" s="1397">
        <f ca="1">IF(B281&gt;=$J$5,0,((CONTADORES!BK289-CONTADORES!BK288)/1000))</f>
        <v>0</v>
      </c>
      <c r="BI281" s="1397">
        <f ca="1">IF(C281&gt;=$J$5,0,((CONTADORES!BL289-CONTADORES!BL288)/1000))</f>
        <v>0</v>
      </c>
      <c r="BJ281" s="1397">
        <f ca="1">IF(C281&gt;=$J$5,0,((CONTADORES!BM289-CONTADORES!BM288)/1000))</f>
        <v>0</v>
      </c>
      <c r="BK281" s="1397">
        <f ca="1">IF(D281&gt;=$J$5,0,((CONTADORES!BN289-CONTADORES!BN288)/1000))</f>
        <v>0</v>
      </c>
      <c r="BL281" s="1399">
        <f t="shared" ca="1" si="147"/>
        <v>0</v>
      </c>
      <c r="BM281" s="1399">
        <f t="shared" ca="1" si="148"/>
        <v>0</v>
      </c>
      <c r="BN281" s="1398">
        <f ca="1">IF(W281&gt;=$J$5,0,CONTADORES!$BO289)</f>
        <v>0</v>
      </c>
      <c r="BO281" s="1397">
        <f ca="1">IF(W281&gt;=$J$5,0,CONTADORES!$BP289)</f>
        <v>0</v>
      </c>
      <c r="BP281" s="1397">
        <f ca="1">IF(W281&gt;=$J$5,0,CONTADORES!$BQ289)</f>
        <v>0</v>
      </c>
      <c r="BQ281" s="1397">
        <f ca="1">IF(B281&gt;=$J$5,0,(CONTADORES!AS289-CONTADORES!AS288))</f>
        <v>0</v>
      </c>
      <c r="BR281" s="1397">
        <f ca="1">IF(C281&gt;=$J$5,0,(CONTADORES!AT289-CONTADORES!AT288))</f>
        <v>0</v>
      </c>
      <c r="BS281" s="1397">
        <f ca="1">IF(B281&gt;=$J$5,0,CONTADORES!BR289-CONTADORES!BR288)/1000</f>
        <v>0</v>
      </c>
      <c r="BT281" s="1397">
        <f ca="1">IF(BF281&gt;=$J$5,0,CONTADORES!BS289-CONTADORES!BS288)</f>
        <v>0</v>
      </c>
      <c r="BU281" s="1397">
        <f ca="1">IF(BG281&gt;=$J$5,0,CONTADORES!BT289-CONTADORES!BT288)</f>
        <v>0</v>
      </c>
      <c r="BV281" s="1397">
        <f ca="1">IF(B281&gt;=$J$5,0,CONTADORES!BU289-CONTADORES!BU288)/1000</f>
        <v>0</v>
      </c>
      <c r="BW281" s="1397">
        <f ca="1">IF(B281&gt;=$J$5,0,CONTADORES!BV289-CONTADORES!BV288)/1000</f>
        <v>0</v>
      </c>
      <c r="BX281" s="1397">
        <f ca="1">IF(B281&gt;=$J$5,0,CONTADORES!BW289-CONTADORES!BW288)</f>
        <v>0</v>
      </c>
      <c r="BY281" s="1397">
        <f ca="1">IF(B281&gt;=$J$5,0,CONTADORES!BX289-CONTADORES!BX288)/1000</f>
        <v>0</v>
      </c>
      <c r="BZ281" s="1397">
        <f ca="1">IF(B281&gt;=$J$5,0,CONTADORES!BY289-CONTADORES!BY288)/1000</f>
        <v>0</v>
      </c>
      <c r="CA281" s="1397">
        <f ca="1">IF(B281&gt;=$J$5,0,CONTADORES!BZ289-CONTADORES!BZ288)</f>
        <v>0</v>
      </c>
      <c r="CB281" s="1398">
        <f ca="1">IF(B281&gt;=$J$5,0,(CONTADORES!CC289-CONTADORES!CC288)+(CONTADORES!CE289-CONTADORES!CE288))/1000</f>
        <v>0</v>
      </c>
      <c r="CC281" s="1398">
        <f ca="1">IF(B281&gt;=$J$5,0,(CONTADORES!CD289-CONTADORES!CD288)+(CONTADORES!CF289-CONTADORES!CF288))/1000</f>
        <v>0</v>
      </c>
      <c r="CD281" s="1398">
        <f ca="1">IF(B281&gt;=$J$5,0,CONTADORES!CA289-CONTADORES!CA288)</f>
        <v>0</v>
      </c>
      <c r="CE281" s="1398">
        <f ca="1">IF(B281&gt;=$J$5,0,CONTADORES!CB289-CONTADORES!CB288)</f>
        <v>0</v>
      </c>
      <c r="CF281" s="1409">
        <f t="shared" ca="1" si="149"/>
        <v>0</v>
      </c>
      <c r="CG281" s="1409">
        <f t="shared" ca="1" si="150"/>
        <v>0</v>
      </c>
      <c r="CH281" s="1409">
        <f t="shared" ca="1" si="151"/>
        <v>0</v>
      </c>
      <c r="CI281" s="1409">
        <f t="shared" ca="1" si="152"/>
        <v>0</v>
      </c>
      <c r="CJ281" s="1409">
        <f t="shared" ca="1" si="153"/>
        <v>0</v>
      </c>
      <c r="CK281" s="1409">
        <f t="shared" ca="1" si="154"/>
        <v>0</v>
      </c>
      <c r="CL281" s="1409">
        <f t="shared" ca="1" si="155"/>
        <v>0</v>
      </c>
      <c r="CM281" s="1409">
        <f t="shared" ca="1" si="156"/>
        <v>0</v>
      </c>
      <c r="CN281" s="1409">
        <f ca="1">IF(B281&gt;=$J$5,0,CONTADORES!CB289-CONTADORES!CB288)</f>
        <v>0</v>
      </c>
      <c r="CO281" s="1409">
        <f t="shared" ca="1" si="157"/>
        <v>0</v>
      </c>
      <c r="CP281" s="1409">
        <f t="shared" ca="1" si="158"/>
        <v>0</v>
      </c>
      <c r="CQ281" s="1409">
        <f t="shared" ca="1" si="159"/>
        <v>0</v>
      </c>
      <c r="CR281" s="1409">
        <f t="shared" ca="1" si="160"/>
        <v>0</v>
      </c>
      <c r="CS281" s="1409">
        <f ca="1">IF($B281&gt;=$J$5,0,CONTADORES!$BI289)</f>
        <v>0</v>
      </c>
      <c r="CT281" s="1334">
        <f>CONTADORES!E289</f>
        <v>0</v>
      </c>
      <c r="CU281" s="1334">
        <f>CONTADORES!CG289</f>
        <v>0</v>
      </c>
    </row>
    <row r="282" spans="2:99">
      <c r="B282" s="390">
        <v>45198</v>
      </c>
      <c r="C282" s="202">
        <f t="shared" ca="1" si="134"/>
        <v>0</v>
      </c>
      <c r="D282" s="196">
        <f ca="1">'CALCULO DE GAS'!P100</f>
        <v>0</v>
      </c>
      <c r="E282" s="196">
        <f ca="1">IF(B282&gt;=$J$5,0,(CONTADORES!$AD290-CONTADORES!$AD289)-$H282)</f>
        <v>0</v>
      </c>
      <c r="F282" s="198">
        <f t="shared" ca="1" si="133"/>
        <v>0</v>
      </c>
      <c r="G282" s="196">
        <f ca="1">IF(B282&gt;=$J$5,0,CONTADORES!$AF290-CONTADORES!$AF289)</f>
        <v>0</v>
      </c>
      <c r="H282" s="196">
        <f ca="1">IF(G282&gt;0,CONTADORES!$AE290-CONTADORES!$AE289,0)</f>
        <v>0</v>
      </c>
      <c r="I282" s="1396">
        <f ca="1">IF(B282&gt;=$J$5,0,CONTADORES!$AB290-CONTADORES!$AB289)</f>
        <v>0</v>
      </c>
      <c r="J282" s="202">
        <f t="shared" ca="1" si="135"/>
        <v>0</v>
      </c>
      <c r="K282" s="196">
        <f ca="1">'CALCULO DE GAS'!Q100</f>
        <v>0</v>
      </c>
      <c r="L282" s="1396">
        <f ca="1">IF(B282&gt;=$J$5,0,(CONTADORES!$Y290-CONTADORES!$Y289)-$O282)</f>
        <v>0</v>
      </c>
      <c r="M282" s="1396">
        <f t="shared" ca="1" si="132"/>
        <v>0</v>
      </c>
      <c r="N282" s="1396">
        <f ca="1">IF(B282&gt;=$J$5,0,CONTADORES!$AA290-CONTADORES!$AA289)</f>
        <v>0</v>
      </c>
      <c r="O282" s="199">
        <f ca="1">IF(N282&gt;0,CONTADORES!$Z290-CONTADORES!$Z289,0)</f>
        <v>0</v>
      </c>
      <c r="P282" s="1398">
        <f ca="1">IF(B282&gt;=$J$5,0,CONTADORES!$W290-CONTADORES!$W289)</f>
        <v>0</v>
      </c>
      <c r="Q282" s="202">
        <f ca="1">IF(B282&gt;=$J$5,0,CONTADORES!$B290-CONTADORES!$B289)</f>
        <v>0</v>
      </c>
      <c r="R282" s="196">
        <f t="shared" ca="1" si="136"/>
        <v>0</v>
      </c>
      <c r="S282" s="11">
        <f ca="1">IF(B282&gt;=$J$5,0,CONTADORES!$D290-CONTADORES!$D289)</f>
        <v>0</v>
      </c>
      <c r="T282" s="202">
        <f ca="1">IF(B282&gt;=$J$5,0,CONTADORES!$BB290-CONTADORES!$BB289)</f>
        <v>0</v>
      </c>
      <c r="U282" s="196">
        <f t="shared" ca="1" si="131"/>
        <v>0</v>
      </c>
      <c r="V282" s="199">
        <f ca="1">IF(B282&gt;=$J$5,0,CONTADORES!$BD290-CONTADORES!$BD289)</f>
        <v>0</v>
      </c>
      <c r="W282" s="1397">
        <f t="shared" ca="1" si="137"/>
        <v>0</v>
      </c>
      <c r="X282" s="1397">
        <f t="shared" ca="1" si="138"/>
        <v>0</v>
      </c>
      <c r="Y282" s="1398">
        <f t="shared" ca="1" si="139"/>
        <v>0</v>
      </c>
      <c r="Z282" s="1398">
        <f t="shared" ca="1" si="140"/>
        <v>0</v>
      </c>
      <c r="AA282" s="1398">
        <f t="shared" ca="1" si="141"/>
        <v>0</v>
      </c>
      <c r="AB282" s="1398">
        <f t="shared" ca="1" si="142"/>
        <v>0</v>
      </c>
      <c r="AC282" s="1397">
        <f t="shared" ca="1" si="143"/>
        <v>0</v>
      </c>
      <c r="AD282" s="1398">
        <f ca="1">IF(B282&gt;=$J$5,0,CONTADORES!H290-CONTADORES!H289)</f>
        <v>0</v>
      </c>
      <c r="AE282" s="1397">
        <f ca="1">IF(B282&gt;=$J$5,0,CONTADORES!J290-CONTADORES!J289)</f>
        <v>0</v>
      </c>
      <c r="AF282" s="1398">
        <f ca="1">IF(B282&gt;=$J$5,0,CONTADORES!AU290-CONTADORES!AU289)</f>
        <v>0</v>
      </c>
      <c r="AG282" s="1397">
        <f ca="1">IF(B282&gt;=$J$5,0,CONTADORES!AW290-CONTADORES!AW289)</f>
        <v>0</v>
      </c>
      <c r="AH282" s="1398">
        <f ca="1">IF(B282&gt;=$J$5,0,(CONTADORES!AM290-CONTADORES!AM289)+(CONTADORES!M290-CONTADORES!M289))</f>
        <v>0</v>
      </c>
      <c r="AI282" s="1398">
        <f ca="1">IF(B282&gt;=$J$5,0,(CONTADORES!AK290-CONTADORES!AK289)+(CONTADORES!O290-CONTADORES!O289))</f>
        <v>0</v>
      </c>
      <c r="AJ282" s="1398">
        <f ca="1">IF(B282&gt;=$J$5,0,(CONTADORES!AI290-CONTADORES!AI289))</f>
        <v>0</v>
      </c>
      <c r="AK282" s="1398">
        <f ca="1">IF(B282&gt;=$J$5,0,(CONTADORES!Q290-CONTADORES!Q289))</f>
        <v>0</v>
      </c>
      <c r="AL282" s="1461">
        <f t="shared" ca="1" si="144"/>
        <v>0</v>
      </c>
      <c r="AM282" s="1409">
        <f ca="1">IF(B282&gt;=$J$5,0,(((CONTADORES!F290-CONTADORES!F289)+(CONTADORES!AQ290-CONTADORES!AQ289))))-BS282-AF282-AN282-BV282-BY282-CD282-CB282</f>
        <v>0</v>
      </c>
      <c r="AN282" s="1398">
        <f ca="1">IF(B282&gt;=$J$5,0,(CONTADORES!AX290-CONTADORES!AX289)+(CONTADORES!AZ290-CONTADORES!AZ289)+(CONTADORES!BE290-CONTADORES!BE289))</f>
        <v>0</v>
      </c>
      <c r="AO282" s="1433">
        <f>(CONTADORES!AC290-CONTADORES!AC289)</f>
        <v>0</v>
      </c>
      <c r="AP282" s="1433">
        <f>(CONTADORES!X290-CONTADORES!X289)</f>
        <v>0</v>
      </c>
      <c r="AQ282" s="1399">
        <f>(CONTADORES!C290-CONTADORES!C289)</f>
        <v>0</v>
      </c>
      <c r="AR282" s="1399">
        <f>(CONTADORES!BC290-CONTADORES!BC289)</f>
        <v>0</v>
      </c>
      <c r="AS282" s="1409">
        <f ca="1">IF(B282&gt;=$J$5,0,CONTADORES!S290-CONTADORES!S289)</f>
        <v>0</v>
      </c>
      <c r="AT282" s="1438">
        <f ca="1">IF(B282&gt;=$J$5,0,(CONTADORES!U290-CONTADORES!U289)+(CONTADORES!AG290-CONTADORES!AG289))</f>
        <v>0</v>
      </c>
      <c r="AU282" s="1433">
        <f>CONTADORES!I290-CONTADORES!I289</f>
        <v>0</v>
      </c>
      <c r="AV282" s="1399">
        <f>CONTADORES!AV290-CONTADORES!AV289</f>
        <v>0</v>
      </c>
      <c r="AW282" s="1399">
        <f ca="1">IF(B282&gt;=$J$5,0,(CONTADORES!N290-CONTADORES!N289)+(CONTADORES!AN290-CONTADORES!AN289))</f>
        <v>0</v>
      </c>
      <c r="AX282" s="1399">
        <f ca="1">IF(B282&gt;=$J$5,0,(CONTADORES!P290-CONTADORES!P289)+(CONTADORES!AL290-CONTADORES!AL289))</f>
        <v>0</v>
      </c>
      <c r="AY282" s="1399">
        <f ca="1">IF(B282&gt;=$J$5,0,(CONTADORES!AJ290-CONTADORES!AJ289))</f>
        <v>0</v>
      </c>
      <c r="AZ282" s="1399">
        <f ca="1">IF(B282&gt;=$J$5,0,(CONTADORES!R290-CONTADORES!R289))</f>
        <v>0</v>
      </c>
      <c r="BA282" s="1409">
        <f t="shared" ca="1" si="145"/>
        <v>0</v>
      </c>
      <c r="BB282" s="1399">
        <f ca="1">IF(B282&gt;=$J$5,0,(((CONTADORES!G290-CONTADORES!G289)+(CONTADORES!AR290-CONTADORES!AR289)+AR282)-(AV282+BC282)))</f>
        <v>0</v>
      </c>
      <c r="BC282" s="1397">
        <f ca="1">IF(B282&gt;=$J$5,0,(CONTADORES!AY290-CONTADORES!AY289)+(CONTADORES!BA290-CONTADORES!BA289)+(CONTADORES!BF290-CONTADORES!BF289))</f>
        <v>0</v>
      </c>
      <c r="BD282" s="1397">
        <f t="shared" si="146"/>
        <v>0</v>
      </c>
      <c r="BE282" s="1398">
        <f ca="1">IF($B282&gt;=$J$5,0,CONTADORES!$BG290)</f>
        <v>0</v>
      </c>
      <c r="BF282" s="1397">
        <f ca="1">IF($B282&gt;=$J$5,0,CONTADORES!$BH290)</f>
        <v>0</v>
      </c>
      <c r="BG282" s="1397">
        <f ca="1">IF($B282&gt;=$J$5,0,CONTADORES!$BJ290)</f>
        <v>0</v>
      </c>
      <c r="BH282" s="1397">
        <f ca="1">IF(B282&gt;=$J$5,0,((CONTADORES!BK290-CONTADORES!BK289)/1000))</f>
        <v>0</v>
      </c>
      <c r="BI282" s="1397">
        <f ca="1">IF(C282&gt;=$J$5,0,((CONTADORES!BL290-CONTADORES!BL289)/1000))</f>
        <v>0</v>
      </c>
      <c r="BJ282" s="1397">
        <f ca="1">IF(C282&gt;=$J$5,0,((CONTADORES!BM290-CONTADORES!BM289)/1000))</f>
        <v>0</v>
      </c>
      <c r="BK282" s="1397">
        <f ca="1">IF(D282&gt;=$J$5,0,((CONTADORES!BN290-CONTADORES!BN289)/1000))</f>
        <v>0</v>
      </c>
      <c r="BL282" s="1399">
        <f t="shared" ca="1" si="147"/>
        <v>0</v>
      </c>
      <c r="BM282" s="1399">
        <f t="shared" ca="1" si="148"/>
        <v>0</v>
      </c>
      <c r="BN282" s="1398">
        <f ca="1">IF(W282&gt;=$J$5,0,CONTADORES!$BO290)</f>
        <v>0</v>
      </c>
      <c r="BO282" s="1397">
        <f ca="1">IF(W282&gt;=$J$5,0,CONTADORES!$BP290)</f>
        <v>0</v>
      </c>
      <c r="BP282" s="1397">
        <f ca="1">IF(W282&gt;=$J$5,0,CONTADORES!$BQ290)</f>
        <v>0</v>
      </c>
      <c r="BQ282" s="1397">
        <f ca="1">IF(B282&gt;=$J$5,0,(CONTADORES!AS290-CONTADORES!AS289))</f>
        <v>0</v>
      </c>
      <c r="BR282" s="1397">
        <f ca="1">IF(C282&gt;=$J$5,0,(CONTADORES!AT290-CONTADORES!AT289))</f>
        <v>0</v>
      </c>
      <c r="BS282" s="1397">
        <f ca="1">IF(B282&gt;=$J$5,0,CONTADORES!BR290-CONTADORES!BR289)/1000</f>
        <v>0</v>
      </c>
      <c r="BT282" s="1397">
        <f ca="1">IF(BF282&gt;=$J$5,0,CONTADORES!BS290-CONTADORES!BS289)</f>
        <v>0</v>
      </c>
      <c r="BU282" s="1397">
        <f ca="1">IF(BG282&gt;=$J$5,0,CONTADORES!BT290-CONTADORES!BT289)</f>
        <v>0</v>
      </c>
      <c r="BV282" s="1397">
        <f ca="1">IF(B282&gt;=$J$5,0,CONTADORES!BU290-CONTADORES!BU289)/1000</f>
        <v>0</v>
      </c>
      <c r="BW282" s="1397">
        <f ca="1">IF(B282&gt;=$J$5,0,CONTADORES!BV290-CONTADORES!BV289)/1000</f>
        <v>0</v>
      </c>
      <c r="BX282" s="1397">
        <f ca="1">IF(B282&gt;=$J$5,0,CONTADORES!BW290-CONTADORES!BW289)</f>
        <v>0</v>
      </c>
      <c r="BY282" s="1397">
        <f ca="1">IF(B282&gt;=$J$5,0,CONTADORES!BX290-CONTADORES!BX289)/1000</f>
        <v>0</v>
      </c>
      <c r="BZ282" s="1397">
        <f ca="1">IF(B282&gt;=$J$5,0,CONTADORES!BY290-CONTADORES!BY289)/1000</f>
        <v>0</v>
      </c>
      <c r="CA282" s="1397">
        <f ca="1">IF(B282&gt;=$J$5,0,CONTADORES!BZ290-CONTADORES!BZ289)</f>
        <v>0</v>
      </c>
      <c r="CB282" s="1398">
        <f ca="1">IF(B282&gt;=$J$5,0,(CONTADORES!CC290-CONTADORES!CC289)+(CONTADORES!CE290-CONTADORES!CE289))/1000</f>
        <v>0</v>
      </c>
      <c r="CC282" s="1398">
        <f ca="1">IF(B282&gt;=$J$5,0,(CONTADORES!CD290-CONTADORES!CD289)+(CONTADORES!CF290-CONTADORES!CF289))/1000</f>
        <v>0</v>
      </c>
      <c r="CD282" s="1398">
        <f ca="1">IF(B282&gt;=$J$5,0,CONTADORES!CA290-CONTADORES!CA289)</f>
        <v>0</v>
      </c>
      <c r="CE282" s="1398">
        <f ca="1">IF(B282&gt;=$J$5,0,CONTADORES!CB290-CONTADORES!CB289)</f>
        <v>0</v>
      </c>
      <c r="CF282" s="1409">
        <f t="shared" ca="1" si="149"/>
        <v>0</v>
      </c>
      <c r="CG282" s="1409">
        <f t="shared" ca="1" si="150"/>
        <v>0</v>
      </c>
      <c r="CH282" s="1409">
        <f t="shared" ca="1" si="151"/>
        <v>0</v>
      </c>
      <c r="CI282" s="1409">
        <f t="shared" ca="1" si="152"/>
        <v>0</v>
      </c>
      <c r="CJ282" s="1409">
        <f t="shared" ca="1" si="153"/>
        <v>0</v>
      </c>
      <c r="CK282" s="1409">
        <f t="shared" ca="1" si="154"/>
        <v>0</v>
      </c>
      <c r="CL282" s="1409">
        <f t="shared" ca="1" si="155"/>
        <v>0</v>
      </c>
      <c r="CM282" s="1409">
        <f t="shared" ca="1" si="156"/>
        <v>0</v>
      </c>
      <c r="CN282" s="1409">
        <f ca="1">IF(B282&gt;=$J$5,0,CONTADORES!CB290-CONTADORES!CB289)</f>
        <v>0</v>
      </c>
      <c r="CO282" s="1409">
        <f t="shared" ca="1" si="157"/>
        <v>0</v>
      </c>
      <c r="CP282" s="1409">
        <f t="shared" ca="1" si="158"/>
        <v>0</v>
      </c>
      <c r="CQ282" s="1409">
        <f t="shared" ca="1" si="159"/>
        <v>0</v>
      </c>
      <c r="CR282" s="1409">
        <f t="shared" ca="1" si="160"/>
        <v>0</v>
      </c>
      <c r="CS282" s="1409">
        <f ca="1">IF($B282&gt;=$J$5,0,CONTADORES!$BI290)</f>
        <v>0</v>
      </c>
      <c r="CT282" s="1334">
        <f>CONTADORES!E290</f>
        <v>0</v>
      </c>
      <c r="CU282" s="1334">
        <f>CONTADORES!CG290</f>
        <v>0</v>
      </c>
    </row>
    <row r="283" spans="2:99" ht="15" thickBot="1">
      <c r="B283" s="1043">
        <v>45199</v>
      </c>
      <c r="C283" s="203">
        <f t="shared" ca="1" si="134"/>
        <v>0</v>
      </c>
      <c r="D283" s="197">
        <f ca="1">'CALCULO DE GAS'!P101</f>
        <v>0</v>
      </c>
      <c r="E283" s="197">
        <f ca="1">IF(B283&gt;=$J$5,0,(CONTADORES!$AD291-CONTADORES!$AD290)-$H283)</f>
        <v>0</v>
      </c>
      <c r="F283" s="200">
        <f t="shared" ca="1" si="133"/>
        <v>0</v>
      </c>
      <c r="G283" s="1452">
        <f ca="1">IF(B283&gt;=$J$5,0,CONTADORES!$AF291-CONTADORES!$AF290)</f>
        <v>0</v>
      </c>
      <c r="H283" s="1452">
        <f ca="1">IF(G283&gt;0,CONTADORES!$AE291-CONTADORES!$AE290,0)</f>
        <v>0</v>
      </c>
      <c r="I283" s="1455">
        <f ca="1">IF(B283&gt;=$J$5,0,CONTADORES!$AB291-CONTADORES!$AB290)</f>
        <v>0</v>
      </c>
      <c r="J283" s="203">
        <f t="shared" ca="1" si="135"/>
        <v>0</v>
      </c>
      <c r="K283" s="197">
        <f ca="1">'CALCULO DE GAS'!Q101</f>
        <v>0</v>
      </c>
      <c r="L283" s="1455">
        <f ca="1">IF(B283&gt;=$J$5,0,(CONTADORES!$Y291-CONTADORES!$Y290)-$O283)</f>
        <v>0</v>
      </c>
      <c r="M283" s="1424">
        <f t="shared" ca="1" si="132"/>
        <v>0</v>
      </c>
      <c r="N283" s="1455">
        <f ca="1">IF(B283&gt;=$J$5,0,CONTADORES!$AA291-CONTADORES!$AA290)</f>
        <v>0</v>
      </c>
      <c r="O283" s="1454">
        <f ca="1">IF(N283&gt;0,CONTADORES!$Z291-CONTADORES!$Z290,0)</f>
        <v>0</v>
      </c>
      <c r="P283" s="1457">
        <f ca="1">IF(B283&gt;=$J$5,0,CONTADORES!$W291-CONTADORES!$W290)</f>
        <v>0</v>
      </c>
      <c r="Q283" s="1451">
        <f ca="1">IF(B283&gt;=$J$5,0,CONTADORES!$B291-CONTADORES!$B290)</f>
        <v>0</v>
      </c>
      <c r="R283" s="197">
        <f t="shared" ca="1" si="136"/>
        <v>0</v>
      </c>
      <c r="S283" s="1328">
        <f ca="1">IF(B283&gt;=$J$5,0,CONTADORES!$D291-CONTADORES!$D290)</f>
        <v>0</v>
      </c>
      <c r="T283" s="1451">
        <f ca="1">IF(B283&gt;=$J$5,0,CONTADORES!$BB291-CONTADORES!$BB290)</f>
        <v>0</v>
      </c>
      <c r="U283" s="197">
        <f t="shared" ca="1" si="131"/>
        <v>0</v>
      </c>
      <c r="V283" s="1454">
        <f ca="1">IF(B283&gt;=$J$5,0,CONTADORES!$BD291-CONTADORES!$BD290)</f>
        <v>0</v>
      </c>
      <c r="W283" s="1425">
        <f t="shared" ca="1" si="137"/>
        <v>0</v>
      </c>
      <c r="X283" s="1425">
        <f t="shared" ca="1" si="138"/>
        <v>0</v>
      </c>
      <c r="Y283" s="1426">
        <f t="shared" ca="1" si="139"/>
        <v>0</v>
      </c>
      <c r="Z283" s="1426">
        <f t="shared" ca="1" si="140"/>
        <v>0</v>
      </c>
      <c r="AA283" s="1426">
        <f t="shared" ca="1" si="141"/>
        <v>0</v>
      </c>
      <c r="AB283" s="1426">
        <f t="shared" ca="1" si="142"/>
        <v>0</v>
      </c>
      <c r="AC283" s="1426">
        <f t="shared" ca="1" si="143"/>
        <v>0</v>
      </c>
      <c r="AD283" s="1457">
        <f ca="1">IF(B283&gt;=$J$5,0,CONTADORES!H291-CONTADORES!H290)</f>
        <v>0</v>
      </c>
      <c r="AE283" s="1456">
        <f ca="1">IF(B283&gt;=$J$5,0,CONTADORES!J291-CONTADORES!J290)</f>
        <v>0</v>
      </c>
      <c r="AF283" s="1457">
        <f ca="1">IF(B283&gt;=$J$5,0,CONTADORES!AU291-CONTADORES!AU290)</f>
        <v>0</v>
      </c>
      <c r="AG283" s="1456">
        <f ca="1">IF(B283&gt;=$J$5,0,CONTADORES!AW291-CONTADORES!AW290)</f>
        <v>0</v>
      </c>
      <c r="AH283" s="1457">
        <f ca="1">IF(B283&gt;=$J$5,0,(CONTADORES!AM291-CONTADORES!AM290)+(CONTADORES!M291-CONTADORES!M290))</f>
        <v>0</v>
      </c>
      <c r="AI283" s="1457">
        <f ca="1">IF(B283&gt;=$J$5,0,(CONTADORES!AK291-CONTADORES!AK290)+(CONTADORES!O291-CONTADORES!O290))</f>
        <v>0</v>
      </c>
      <c r="AJ283" s="1457">
        <f ca="1">IF(B283&gt;=$J$5,0,(CONTADORES!AI291-CONTADORES!AI290))</f>
        <v>0</v>
      </c>
      <c r="AK283" s="1457">
        <f ca="1">IF(B283&gt;=$J$5,0,(CONTADORES!Q291-CONTADORES!Q290))</f>
        <v>0</v>
      </c>
      <c r="AL283" s="1426">
        <f t="shared" ca="1" si="144"/>
        <v>0</v>
      </c>
      <c r="AM283" s="1426">
        <f ca="1">IF(B283&gt;=$J$5,0,(((CONTADORES!F291-CONTADORES!F290)+(CONTADORES!AQ291-CONTADORES!AQ290))))-BS283-AF283-AN283-BV283-BY283-CD283-CB283</f>
        <v>0</v>
      </c>
      <c r="AN283" s="1457">
        <f ca="1">IF(B283&gt;=$J$5,0,(CONTADORES!AX291-CONTADORES!AX290)+(CONTADORES!AZ291-CONTADORES!AZ290)+(CONTADORES!BE291-CONTADORES!BE290))</f>
        <v>0</v>
      </c>
      <c r="AO283" s="1459">
        <f>(CONTADORES!AC291-CONTADORES!AC290)</f>
        <v>0</v>
      </c>
      <c r="AP283" s="1459">
        <f>(CONTADORES!X291-CONTADORES!X290)</f>
        <v>0</v>
      </c>
      <c r="AQ283" s="1399">
        <f>(CONTADORES!C291-CONTADORES!C290)</f>
        <v>0</v>
      </c>
      <c r="AR283" s="1399">
        <f>(CONTADORES!BC291-CONTADORES!BC290)</f>
        <v>0</v>
      </c>
      <c r="AS283" s="1457">
        <f ca="1">IF(B283&gt;=$J$5,0,CONTADORES!S291-CONTADORES!S290)</f>
        <v>0</v>
      </c>
      <c r="AT283" s="1456">
        <f ca="1">IF(B283&gt;=$J$5,0,(CONTADORES!U291-CONTADORES!U290)+(CONTADORES!AG291-CONTADORES!AG290))</f>
        <v>0</v>
      </c>
      <c r="AU283" s="61">
        <f>CONTADORES!I291-CONTADORES!I290</f>
        <v>0</v>
      </c>
      <c r="AV283" s="1399">
        <f>CONTADORES!AV291-CONTADORES!AV290</f>
        <v>0</v>
      </c>
      <c r="AW283" s="1399">
        <f ca="1">IF(B283&gt;=$J$5,0,(CONTADORES!N291-CONTADORES!N290)+(CONTADORES!AN291-CONTADORES!AN290))</f>
        <v>0</v>
      </c>
      <c r="AX283" s="1399">
        <f ca="1">IF(B283&gt;=$J$5,0,(CONTADORES!P291-CONTADORES!P290)+(CONTADORES!AL291-CONTADORES!AL290))</f>
        <v>0</v>
      </c>
      <c r="AY283" s="1399">
        <f ca="1">IF(B283&gt;=$J$5,0,(CONTADORES!AJ291-CONTADORES!AJ290))</f>
        <v>0</v>
      </c>
      <c r="AZ283" s="1399">
        <f ca="1">IF(B283&gt;=$J$5,0,(CONTADORES!R291-CONTADORES!R290))</f>
        <v>0</v>
      </c>
      <c r="BA283" s="1426">
        <f t="shared" ca="1" si="145"/>
        <v>0</v>
      </c>
      <c r="BB283" s="1399">
        <f ca="1">IF(B283&gt;=$J$5,0,(((CONTADORES!G291-CONTADORES!G290)+(CONTADORES!AR291-CONTADORES!AR290)+AR283)-(AV283+BC283)))</f>
        <v>0</v>
      </c>
      <c r="BC283" s="1445">
        <f ca="1">IF(B283&gt;=$J$5,0,(CONTADORES!AY291-CONTADORES!AY290)+(CONTADORES!BA291-CONTADORES!BA290)+(CONTADORES!BF291-CONTADORES!BF290))</f>
        <v>0</v>
      </c>
      <c r="BD283" s="1425">
        <f t="shared" si="146"/>
        <v>0</v>
      </c>
      <c r="BE283" s="1426">
        <f ca="1">IF($B283&gt;=$J$5,0,CONTADORES!$BG291)</f>
        <v>0</v>
      </c>
      <c r="BF283" s="1425">
        <f ca="1">IF($B283&gt;=$J$5,0,CONTADORES!$BH291)</f>
        <v>0</v>
      </c>
      <c r="BG283" s="1425">
        <f ca="1">IF($B283&gt;=$J$5,0,CONTADORES!$BJ291)</f>
        <v>0</v>
      </c>
      <c r="BH283" s="1425">
        <f ca="1">IF(B283&gt;=$J$5,0,((CONTADORES!BK291-CONTADORES!BK290)/1000))</f>
        <v>0</v>
      </c>
      <c r="BI283" s="1425">
        <f ca="1">IF(C283&gt;=$J$5,0,((CONTADORES!BL291-CONTADORES!BL290)/1000))</f>
        <v>0</v>
      </c>
      <c r="BJ283" s="1425">
        <f ca="1">IF(C283&gt;=$J$5,0,((CONTADORES!BM291-CONTADORES!BM290)/1000))</f>
        <v>0</v>
      </c>
      <c r="BK283" s="1425">
        <f ca="1">IF(D283&gt;=$J$5,0,((CONTADORES!BN291-CONTADORES!BN290)/1000))</f>
        <v>0</v>
      </c>
      <c r="BL283" s="61">
        <f t="shared" ca="1" si="147"/>
        <v>0</v>
      </c>
      <c r="BM283" s="1427">
        <f t="shared" ca="1" si="148"/>
        <v>0</v>
      </c>
      <c r="BN283" s="1426">
        <f ca="1">IF(W283&gt;=$J$5,0,CONTADORES!$BO291)</f>
        <v>0</v>
      </c>
      <c r="BO283" s="1425">
        <f ca="1">IF(W283&gt;=$J$5,0,CONTADORES!$BP291)</f>
        <v>0</v>
      </c>
      <c r="BP283" s="1425">
        <f ca="1">IF(W283&gt;=$J$5,0,CONTADORES!$BQ291)</f>
        <v>0</v>
      </c>
      <c r="BQ283" s="1425">
        <f ca="1">IF(B283&gt;=$J$5,0,(CONTADORES!AS291-CONTADORES!AS290))</f>
        <v>0</v>
      </c>
      <c r="BR283" s="1425">
        <f ca="1">IF(C283&gt;=$J$5,0,(CONTADORES!AT291-CONTADORES!AT290))</f>
        <v>0</v>
      </c>
      <c r="BS283" s="1425">
        <f ca="1">IF(B283&gt;=$J$5,0,CONTADORES!BR291-CONTADORES!BR290)/1000</f>
        <v>0</v>
      </c>
      <c r="BT283" s="1397">
        <f ca="1">IF(BF283&gt;=$J$5,0,CONTADORES!BS291-CONTADORES!BS290)</f>
        <v>0</v>
      </c>
      <c r="BU283" s="1397">
        <f ca="1">IF(BG283&gt;=$J$5,0,CONTADORES!BT291-CONTADORES!BT290)</f>
        <v>0</v>
      </c>
      <c r="BV283" s="1397">
        <f ca="1">IF(B283&gt;=$J$5,0,CONTADORES!BU291-CONTADORES!BU290)/1000</f>
        <v>0</v>
      </c>
      <c r="BW283" s="1397">
        <f ca="1">IF(B283&gt;=$J$5,0,CONTADORES!BV291-CONTADORES!BV290)/1000</f>
        <v>0</v>
      </c>
      <c r="BX283" s="1397">
        <f ca="1">IF(B283&gt;=$J$5,0,CONTADORES!BW291-CONTADORES!BW290)</f>
        <v>0</v>
      </c>
      <c r="BY283" s="1397">
        <f ca="1">IF(B283&gt;=$J$5,0,CONTADORES!BX291-CONTADORES!BX290)/1000</f>
        <v>0</v>
      </c>
      <c r="BZ283" s="1397">
        <f ca="1">IF(B283&gt;=$J$5,0,CONTADORES!BY291-CONTADORES!BY290)/1000</f>
        <v>0</v>
      </c>
      <c r="CA283" s="1397">
        <f ca="1">IF(B283&gt;=$J$5,0,CONTADORES!BZ291-CONTADORES!BZ290)</f>
        <v>0</v>
      </c>
      <c r="CB283" s="1398">
        <f ca="1">IF(B283&gt;=$J$5,0,(CONTADORES!CC291-CONTADORES!CC290)+(CONTADORES!CE291-CONTADORES!CE290))/1000</f>
        <v>0</v>
      </c>
      <c r="CC283" s="1398">
        <f ca="1">IF(B283&gt;=$J$5,0,(CONTADORES!CD291-CONTADORES!CD290)+(CONTADORES!CF291-CONTADORES!CF290))/1000</f>
        <v>0</v>
      </c>
      <c r="CD283" s="1398">
        <f ca="1">IF(B283&gt;=$J$5,0,CONTADORES!CA291-CONTADORES!CA290)</f>
        <v>0</v>
      </c>
      <c r="CE283" s="1398">
        <f ca="1">IF(B283&gt;=$J$5,0,CONTADORES!CB291-CONTADORES!CB290)</f>
        <v>0</v>
      </c>
      <c r="CF283" s="1426">
        <f t="shared" ca="1" si="149"/>
        <v>0</v>
      </c>
      <c r="CG283" s="1426">
        <f t="shared" ca="1" si="150"/>
        <v>0</v>
      </c>
      <c r="CH283" s="1426">
        <f t="shared" ca="1" si="151"/>
        <v>0</v>
      </c>
      <c r="CI283" s="1426">
        <f t="shared" ca="1" si="152"/>
        <v>0</v>
      </c>
      <c r="CJ283" s="1426">
        <f t="shared" ca="1" si="153"/>
        <v>0</v>
      </c>
      <c r="CK283" s="1426">
        <f t="shared" ca="1" si="154"/>
        <v>0</v>
      </c>
      <c r="CL283" s="1426">
        <f t="shared" ca="1" si="155"/>
        <v>0</v>
      </c>
      <c r="CM283" s="1426">
        <f t="shared" ca="1" si="156"/>
        <v>0</v>
      </c>
      <c r="CN283" s="1426">
        <f ca="1">IF(B283&gt;=$J$5,0,CONTADORES!CB291-CONTADORES!CB290)</f>
        <v>0</v>
      </c>
      <c r="CO283" s="1426">
        <f t="shared" ca="1" si="157"/>
        <v>0</v>
      </c>
      <c r="CP283" s="1426">
        <f t="shared" ca="1" si="158"/>
        <v>0</v>
      </c>
      <c r="CQ283" s="1426">
        <f t="shared" ca="1" si="159"/>
        <v>0</v>
      </c>
      <c r="CR283" s="1426">
        <f t="shared" ca="1" si="160"/>
        <v>0</v>
      </c>
      <c r="CS283" s="1426">
        <f ca="1">IF($B283&gt;=$J$5,0,CONTADORES!$BI291)</f>
        <v>0</v>
      </c>
      <c r="CT283" s="1335">
        <f>CONTADORES!E291</f>
        <v>0</v>
      </c>
      <c r="CU283" s="1335">
        <f>CONTADORES!CG291</f>
        <v>0</v>
      </c>
    </row>
    <row r="284" spans="2:99">
      <c r="B284" s="1477">
        <v>45200</v>
      </c>
      <c r="C284" s="202">
        <f t="shared" ca="1" si="134"/>
        <v>0</v>
      </c>
      <c r="D284" s="196">
        <f ca="1">'CALCULO DE GAS'!P106</f>
        <v>0</v>
      </c>
      <c r="E284" s="196">
        <f ca="1">IF(B284&gt;=$J$5,0,(CONTADORES!$AD294-CONTADORES!$AD293)-$H284)</f>
        <v>0</v>
      </c>
      <c r="F284" s="198">
        <f t="shared" ca="1" si="133"/>
        <v>0</v>
      </c>
      <c r="G284" s="196">
        <f ca="1">IF(B284&gt;=$J$5,0,CONTADORES!$AF294-CONTADORES!$AF293)</f>
        <v>0</v>
      </c>
      <c r="H284" s="196">
        <f ca="1">IF(G284&gt;0,CONTADORES!$AE294-CONTADORES!$AE293,0)</f>
        <v>0</v>
      </c>
      <c r="I284" s="199">
        <f ca="1">IF(B284&gt;=$J$5,0,CONTADORES!$AB294-CONTADORES!$AB293)</f>
        <v>0</v>
      </c>
      <c r="J284" s="198">
        <f t="shared" ca="1" si="135"/>
        <v>0</v>
      </c>
      <c r="K284" s="196">
        <f ca="1">'CALCULO DE GAS'!Q106</f>
        <v>0</v>
      </c>
      <c r="L284" s="1396">
        <f ca="1">IF(B284&gt;=$J$5,0,(CONTADORES!$Y294-CONTADORES!$Y293)-$O284)</f>
        <v>0</v>
      </c>
      <c r="M284" s="1396">
        <f t="shared" ca="1" si="132"/>
        <v>0</v>
      </c>
      <c r="N284" s="1396">
        <f ca="1">IF(B284&gt;=$J$5,0,CONTADORES!$AA294-CONTADORES!$AA293)</f>
        <v>0</v>
      </c>
      <c r="O284" s="1396">
        <f ca="1">IF(N284&gt;0,CONTADORES!$Z294-CONTADORES!$Z293,0)</f>
        <v>0</v>
      </c>
      <c r="P284" s="202">
        <f ca="1">IF(B284&gt;=$J$5,0,CONTADORES!$W294-CONTADORES!$W293)</f>
        <v>0</v>
      </c>
      <c r="Q284" s="202">
        <f ca="1">IF(B284&gt;=$J$5,0,CONTADORES!$B294-CONTADORES!$B293)</f>
        <v>0</v>
      </c>
      <c r="R284" s="196">
        <f t="shared" ca="1" si="136"/>
        <v>0</v>
      </c>
      <c r="S284" s="11">
        <f ca="1">IF(B284&gt;=$J$5,0,CONTADORES!$D294-CONTADORES!$D293)</f>
        <v>0</v>
      </c>
      <c r="T284" s="198">
        <f ca="1">IF(B284&gt;=$J$5,0,CONTADORES!$BB294-CONTADORES!$BB293)</f>
        <v>0</v>
      </c>
      <c r="U284" s="196">
        <f t="shared" ca="1" si="131"/>
        <v>0</v>
      </c>
      <c r="V284" s="199">
        <f ca="1">IF(B284&gt;=$J$5,0,CONTADORES!$BD294-CONTADORES!$BD293)</f>
        <v>0</v>
      </c>
      <c r="W284" s="1397">
        <f t="shared" ca="1" si="137"/>
        <v>0</v>
      </c>
      <c r="X284" s="1397">
        <f t="shared" ca="1" si="138"/>
        <v>0</v>
      </c>
      <c r="Y284" s="1398">
        <f t="shared" ca="1" si="139"/>
        <v>0</v>
      </c>
      <c r="Z284" s="1398">
        <f t="shared" ca="1" si="140"/>
        <v>0</v>
      </c>
      <c r="AA284" s="1398">
        <f t="shared" ca="1" si="141"/>
        <v>0</v>
      </c>
      <c r="AB284" s="1398">
        <f t="shared" ca="1" si="142"/>
        <v>0</v>
      </c>
      <c r="AC284" s="1397">
        <f t="shared" ca="1" si="143"/>
        <v>0</v>
      </c>
      <c r="AD284" s="1397">
        <f ca="1">IF(B284&gt;=$J$5,0,CONTADORES!H294-CONTADORES!H293)</f>
        <v>0</v>
      </c>
      <c r="AE284" s="1397">
        <f ca="1">IF(B284&gt;=$J$5,0,CONTADORES!J294-CONTADORES!J293)</f>
        <v>0</v>
      </c>
      <c r="AF284" s="1397">
        <f ca="1">IF(B284&gt;=$J$5,0,CONTADORES!AU294-CONTADORES!AU293)</f>
        <v>0</v>
      </c>
      <c r="AG284" s="1397">
        <f ca="1">IF(B284&gt;=$J$5,0,CONTADORES!AW294-CONTADORES!AW293)</f>
        <v>0</v>
      </c>
      <c r="AH284" s="1434">
        <f ca="1">IF(B284&gt;=$J$5,0,(CONTADORES!AM294-CONTADORES!AM293)+(CONTADORES!M294-CONTADORES!M293))</f>
        <v>0</v>
      </c>
      <c r="AI284" s="1434">
        <f ca="1">IF(B284&gt;=$J$5,0,(CONTADORES!AK294-CONTADORES!AK293)+(CONTADORES!O294-CONTADORES!O293))</f>
        <v>0</v>
      </c>
      <c r="AJ284" s="1434">
        <f ca="1">IF(B284&gt;=$J$5,0,(CONTADORES!AI294-CONTADORES!AI293))</f>
        <v>0</v>
      </c>
      <c r="AK284" s="1434">
        <f ca="1">IF(B284&gt;=$J$5,0,(CONTADORES!Q294-CONTADORES!Q293))</f>
        <v>0</v>
      </c>
      <c r="AL284" s="1450">
        <f t="shared" ca="1" si="144"/>
        <v>0</v>
      </c>
      <c r="AM284" s="1434">
        <f ca="1">IF(B284&gt;=$J$5,0,(((CONTADORES!F294-CONTADORES!F293)+(CONTADORES!AQ294-CONTADORES!AQ293))))-BS284-AF284-AN284-BV284-BY284-CD284-CB284+T284</f>
        <v>0</v>
      </c>
      <c r="AN284" s="1397">
        <f ca="1">IF(B284&gt;=$J$5,0,(CONTADORES!AX294-CONTADORES!AX293)+(CONTADORES!AZ294-CONTADORES!AZ293)+(CONTADORES!BE294-CONTADORES!BE293))-CB284</f>
        <v>0</v>
      </c>
      <c r="AO284" s="1464">
        <f>(CONTADORES!AC294-CONTADORES!AC293)</f>
        <v>0</v>
      </c>
      <c r="AP284" s="1464">
        <f>(CONTADORES!X294-CONTADORES!X293)</f>
        <v>0</v>
      </c>
      <c r="AQ284" s="1464">
        <f>(CONTADORES!C294-CONTADORES!C293)</f>
        <v>0</v>
      </c>
      <c r="AR284" s="1464">
        <f>(CONTADORES!BC294-CONTADORES!BC293)</f>
        <v>0</v>
      </c>
      <c r="AS284" s="1397">
        <f ca="1">IF(B284&gt;=$J$5,0,CONTADORES!S294-CONTADORES!S293)</f>
        <v>0</v>
      </c>
      <c r="AT284" s="1397">
        <f ca="1">IF(B284&gt;=$J$5,0,(CONTADORES!U294-CONTADORES!U293)+(CONTADORES!AG294-CONTADORES!AG293))</f>
        <v>0</v>
      </c>
      <c r="AU284" s="1433">
        <f>CONTADORES!I294-CONTADORES!I293</f>
        <v>0</v>
      </c>
      <c r="AV284" s="1464">
        <f>CONTADORES!AV294-CONTADORES!AV293</f>
        <v>0</v>
      </c>
      <c r="AW284" s="1464">
        <f ca="1">IF(B284&gt;=$J$5,0,(CONTADORES!N294-CONTADORES!N293)+(CONTADORES!AN294-CONTADORES!AN293))</f>
        <v>0</v>
      </c>
      <c r="AX284" s="1464">
        <f ca="1">IF(B284&gt;=$J$5,0,(CONTADORES!P294-CONTADORES!P293)+(CONTADORES!AL294-CONTADORES!AL293))</f>
        <v>0</v>
      </c>
      <c r="AY284" s="1464">
        <f ca="1">IF(B284&gt;=$J$5,0,(CONTADORES!AJ294-CONTADORES!AJ293))</f>
        <v>0</v>
      </c>
      <c r="AZ284" s="1464">
        <f ca="1">IF(B284&gt;=$J$5,0,(CONTADORES!R294-CONTADORES!R293))</f>
        <v>0</v>
      </c>
      <c r="BA284" s="1398">
        <f t="shared" ca="1" si="145"/>
        <v>0</v>
      </c>
      <c r="BB284" s="1464">
        <f ca="1">IF(B284&gt;=$J$5,0,(((CONTADORES!G294-CONTADORES!G293)+(CONTADORES!AR294-CONTADORES!AR293))))-AV284-BC284-BT284-BW284-BZ284-CE284</f>
        <v>0</v>
      </c>
      <c r="BC284" s="1434">
        <f ca="1">IF(B284&gt;=$J$5,0,(CONTADORES!AY294-CONTADORES!AY293)+(CONTADORES!BA294-CONTADORES!BA293)+(CONTADORES!BF294-CONTADORES!BF293))</f>
        <v>0</v>
      </c>
      <c r="BD284" s="1397">
        <f t="shared" si="146"/>
        <v>0</v>
      </c>
      <c r="BE284" s="1398">
        <f ca="1">IF($B284&gt;=$J$5,0,CONTADORES!$BG294)</f>
        <v>0</v>
      </c>
      <c r="BF284" s="1397">
        <f ca="1">IF($B284&gt;=$J$5,0,CONTADORES!$BH294)</f>
        <v>0</v>
      </c>
      <c r="BG284" s="1434">
        <f ca="1">IF($B284&gt;=$J$5,0,CONTADORES!$BJ294)</f>
        <v>0</v>
      </c>
      <c r="BH284" s="1434">
        <f ca="1">IF(B284&gt;=$J$5,0,((CONTADORES!BK294-CONTADORES!BK293)/1000))</f>
        <v>0</v>
      </c>
      <c r="BI284" s="1434">
        <f ca="1">IF(B284&gt;=$J$5,0,((CONTADORES!BL294-CONTADORES!BL293)/1000))</f>
        <v>0</v>
      </c>
      <c r="BJ284" s="1434">
        <f ca="1">IF(B284&gt;=$J$5,0,((CONTADORES!BM294-CONTADORES!BM293)/1000))</f>
        <v>0</v>
      </c>
      <c r="BK284" s="1434">
        <f ca="1">IF(B284&gt;=$J$5,0,((CONTADORES!BN294-CONTADORES!BN293)/1000))</f>
        <v>0</v>
      </c>
      <c r="BL284" s="1399">
        <f t="shared" ca="1" si="147"/>
        <v>0</v>
      </c>
      <c r="BM284" s="1399">
        <f t="shared" ca="1" si="148"/>
        <v>0</v>
      </c>
      <c r="BN284" s="1398">
        <f ca="1">IF(B284&gt;=$J$5,0,CONTADORES!$BO294)</f>
        <v>0</v>
      </c>
      <c r="BO284" s="1397">
        <f ca="1">IF(W284&gt;=$J$5,0,CONTADORES!$BP294)</f>
        <v>0</v>
      </c>
      <c r="BP284" s="1397">
        <f ca="1">IF(W284&gt;=$J$5,0,CONTADORES!$BQ294)</f>
        <v>0</v>
      </c>
      <c r="BQ284" s="1397">
        <f ca="1">IF(B284&gt;=$J$5,0,(CONTADORES!AS294-CONTADORES!AS293))</f>
        <v>0</v>
      </c>
      <c r="BR284" s="1397">
        <f ca="1">IF(B284&gt;=$J$5,0,(CONTADORES!AT294-CONTADORES!AT293))</f>
        <v>0</v>
      </c>
      <c r="BS284" s="1398">
        <f ca="1">IF(B284&gt;=$J$5,0,CONTADORES!BR294-CONTADORES!BR293)/1000</f>
        <v>0</v>
      </c>
      <c r="BT284" s="1434">
        <f ca="1">IF(B284&gt;=$J$5,0,CONTADORES!BS294-CONTADORES!BS293)</f>
        <v>0</v>
      </c>
      <c r="BU284" s="1434">
        <f ca="1">IF(B284&gt;=$J$5,0,CONTADORES!BT294-CONTADORES!BT293)</f>
        <v>0</v>
      </c>
      <c r="BV284" s="1434">
        <f ca="1">IF(B284&gt;=$J$5,0,CONTADORES!BU294-CONTADORES!BU293)/1000</f>
        <v>0</v>
      </c>
      <c r="BW284" s="1434">
        <f ca="1">IF(B284&gt;=$J$5,0,CONTADORES!BV294-CONTADORES!BV293)/1000</f>
        <v>0</v>
      </c>
      <c r="BX284" s="1434">
        <f ca="1">IF(B284&gt;=$J$5,0,CONTADORES!BW294-CONTADORES!BW293)</f>
        <v>0</v>
      </c>
      <c r="BY284" s="1434">
        <f ca="1">IF(B284&gt;=$J$5,0,CONTADORES!BX294-CONTADORES!BX293)/1000</f>
        <v>0</v>
      </c>
      <c r="BZ284" s="1434">
        <f ca="1">IF(B284&gt;=$J$5,0,CONTADORES!BY294-CONTADORES!BY293)/1000</f>
        <v>0</v>
      </c>
      <c r="CA284" s="1434">
        <f ca="1">IF(B284&gt;=$J$5,0,CONTADORES!BZ294-CONTADORES!BZ293)</f>
        <v>0</v>
      </c>
      <c r="CB284" s="1434">
        <f ca="1">IF(B284&gt;=$J$5,0,(CONTADORES!CC294-CONTADORES!CC293)+(CONTADORES!CE294-CONTADORES!CE293))/1000</f>
        <v>0</v>
      </c>
      <c r="CC284" s="1434">
        <f ca="1">IF(B284&gt;=$J$5,0,(CONTADORES!CD294-CONTADORES!CD293)+(CONTADORES!CF294-CONTADORES!CF293))/1000</f>
        <v>0</v>
      </c>
      <c r="CD284" s="1434">
        <f ca="1">IF(B284&gt;=$J$5,0,CONTADORES!CA294-CONTADORES!CA293)</f>
        <v>0</v>
      </c>
      <c r="CE284" s="1434">
        <f ca="1">IF(B284&gt;=$J$5,0,CONTADORES!CB294-CONTADORES!CB293)</f>
        <v>0</v>
      </c>
      <c r="CF284" s="1434">
        <f t="shared" ca="1" si="149"/>
        <v>0</v>
      </c>
      <c r="CG284" s="1434">
        <f t="shared" ca="1" si="150"/>
        <v>0</v>
      </c>
      <c r="CH284" s="1434">
        <f t="shared" ca="1" si="151"/>
        <v>0</v>
      </c>
      <c r="CI284" s="1434">
        <f t="shared" ca="1" si="152"/>
        <v>0</v>
      </c>
      <c r="CJ284" s="1434">
        <f t="shared" ca="1" si="153"/>
        <v>0</v>
      </c>
      <c r="CK284" s="1434">
        <f t="shared" ca="1" si="154"/>
        <v>0</v>
      </c>
      <c r="CL284" s="1434">
        <f t="shared" ca="1" si="155"/>
        <v>0</v>
      </c>
      <c r="CM284" s="1434">
        <f t="shared" ca="1" si="156"/>
        <v>0</v>
      </c>
      <c r="CN284" s="1434">
        <f ca="1">IF(B284&gt;=$J$5,0,CONTADORES!CB294-CONTADORES!CB293)</f>
        <v>0</v>
      </c>
      <c r="CO284" s="1434">
        <f t="shared" ca="1" si="157"/>
        <v>0</v>
      </c>
      <c r="CP284" s="1434">
        <f t="shared" ca="1" si="158"/>
        <v>0</v>
      </c>
      <c r="CQ284" s="1434">
        <f t="shared" ca="1" si="159"/>
        <v>0</v>
      </c>
      <c r="CR284" s="1434">
        <f t="shared" ca="1" si="160"/>
        <v>0</v>
      </c>
      <c r="CS284" s="1434">
        <f ca="1">IF($B284&gt;=$J$5,0,CONTADORES!$BI294)</f>
        <v>0</v>
      </c>
      <c r="CT284" s="1333">
        <f>CONTADORES!E294</f>
        <v>0</v>
      </c>
      <c r="CU284" s="1333">
        <f>CONTADORES!CG294</f>
        <v>0</v>
      </c>
    </row>
    <row r="285" spans="2:99">
      <c r="B285" s="1477">
        <v>45201</v>
      </c>
      <c r="C285" s="202">
        <f t="shared" ca="1" si="134"/>
        <v>0</v>
      </c>
      <c r="D285" s="196">
        <f ca="1">'CALCULO DE GAS'!P107</f>
        <v>0</v>
      </c>
      <c r="E285" s="196">
        <f ca="1">IF(B285&gt;=$J$5,0,(CONTADORES!$AD295-CONTADORES!$AD294)-$H285)</f>
        <v>0</v>
      </c>
      <c r="F285" s="198">
        <f t="shared" ca="1" si="133"/>
        <v>0</v>
      </c>
      <c r="G285" s="196">
        <f ca="1">IF(B285&gt;=$J$5,0,CONTADORES!$AF295-CONTADORES!$AF294)</f>
        <v>0</v>
      </c>
      <c r="H285" s="196">
        <f ca="1">IF(G285&gt;0,CONTADORES!$AE295-CONTADORES!$AE294,0)</f>
        <v>0</v>
      </c>
      <c r="I285" s="199">
        <f ca="1">IF(B285&gt;=$J$5,0,CONTADORES!$AB295-CONTADORES!$AB294)</f>
        <v>0</v>
      </c>
      <c r="J285" s="198">
        <f t="shared" ca="1" si="135"/>
        <v>0</v>
      </c>
      <c r="K285" s="196">
        <f ca="1">'CALCULO DE GAS'!Q107</f>
        <v>0</v>
      </c>
      <c r="L285" s="1396">
        <f ca="1">IF(B285&gt;=$J$5,0,(CONTADORES!$Y295-CONTADORES!$Y294)-$O285)</f>
        <v>0</v>
      </c>
      <c r="M285" s="1396">
        <f t="shared" ca="1" si="132"/>
        <v>0</v>
      </c>
      <c r="N285" s="1396">
        <f ca="1">IF(B285&gt;=$J$5,0,CONTADORES!$AA295-CONTADORES!$AA294)</f>
        <v>0</v>
      </c>
      <c r="O285" s="1396">
        <f ca="1">IF(N285&gt;0,CONTADORES!$Z295-CONTADORES!$Z294,0)</f>
        <v>0</v>
      </c>
      <c r="P285" s="202">
        <f ca="1">IF(B285&gt;=$J$5,0,CONTADORES!$W295-CONTADORES!$W294)</f>
        <v>0</v>
      </c>
      <c r="Q285" s="202">
        <f ca="1">IF(B285&gt;=$J$5,0,CONTADORES!$B295-CONTADORES!$B294)</f>
        <v>0</v>
      </c>
      <c r="R285" s="196">
        <f t="shared" ca="1" si="136"/>
        <v>0</v>
      </c>
      <c r="S285" s="11">
        <f ca="1">IF(B285&gt;=$J$5,0,CONTADORES!$D295-CONTADORES!$D294)</f>
        <v>0</v>
      </c>
      <c r="T285" s="198">
        <f ca="1">IF(B285&gt;=$J$5,0,CONTADORES!$BB295-CONTADORES!$BB294)</f>
        <v>0</v>
      </c>
      <c r="U285" s="196">
        <f t="shared" ca="1" si="131"/>
        <v>0</v>
      </c>
      <c r="V285" s="199">
        <f ca="1">IF(B285&gt;=$J$5,0,CONTADORES!$BD295-CONTADORES!$BD294)</f>
        <v>0</v>
      </c>
      <c r="W285" s="1397">
        <f t="shared" ca="1" si="137"/>
        <v>0</v>
      </c>
      <c r="X285" s="1397">
        <f t="shared" ca="1" si="138"/>
        <v>0</v>
      </c>
      <c r="Y285" s="1398">
        <f t="shared" ca="1" si="139"/>
        <v>0</v>
      </c>
      <c r="Z285" s="1398">
        <f t="shared" ca="1" si="140"/>
        <v>0</v>
      </c>
      <c r="AA285" s="1398">
        <f t="shared" ca="1" si="141"/>
        <v>0</v>
      </c>
      <c r="AB285" s="1398">
        <f t="shared" ca="1" si="142"/>
        <v>0</v>
      </c>
      <c r="AC285" s="1397">
        <f t="shared" ca="1" si="143"/>
        <v>0</v>
      </c>
      <c r="AD285" s="1397">
        <f ca="1">IF(B285&gt;=$J$5,0,CONTADORES!H295-CONTADORES!H294)</f>
        <v>0</v>
      </c>
      <c r="AE285" s="1397">
        <f ca="1">IF(B285&gt;=$J$5,0,CONTADORES!J295-CONTADORES!J294)</f>
        <v>0</v>
      </c>
      <c r="AF285" s="1397">
        <f ca="1">IF(B285&gt;=$J$5,0,CONTADORES!AU295-CONTADORES!AU294)</f>
        <v>0</v>
      </c>
      <c r="AG285" s="1397">
        <f ca="1">IF(B285&gt;=$J$5,0,CONTADORES!AW295-CONTADORES!AW294)</f>
        <v>0</v>
      </c>
      <c r="AH285" s="1409">
        <f ca="1">IF(B285&gt;=$J$5,0,(CONTADORES!AM295-CONTADORES!AM294)+(CONTADORES!M295-CONTADORES!M294))</f>
        <v>0</v>
      </c>
      <c r="AI285" s="1409">
        <f ca="1">IF(B285&gt;=$J$5,0,(CONTADORES!AK295-CONTADORES!AK294)+(CONTADORES!O295-CONTADORES!O294))</f>
        <v>0</v>
      </c>
      <c r="AJ285" s="1409">
        <f ca="1">IF(B285&gt;=$J$5,0,(CONTADORES!AI295-CONTADORES!AI294))</f>
        <v>0</v>
      </c>
      <c r="AK285" s="1409">
        <f ca="1">IF(B285&gt;=$J$5,0,(CONTADORES!Q295-CONTADORES!Q294))</f>
        <v>0</v>
      </c>
      <c r="AL285" s="1461">
        <f t="shared" ca="1" si="144"/>
        <v>0</v>
      </c>
      <c r="AM285" s="1409">
        <f ca="1">IF(B285&gt;=$J$5,0,(((CONTADORES!F295-CONTADORES!F294)+(CONTADORES!AQ295-CONTADORES!AQ294))))-BS285-AF285-AN285-BV285-BY285-CD285-CB285+T285</f>
        <v>0</v>
      </c>
      <c r="AN285" s="1397">
        <f ca="1">IF(B285&gt;=$J$5,0,(CONTADORES!AX295-CONTADORES!AX294)+(CONTADORES!AZ295-CONTADORES!AZ294)+(CONTADORES!BE295-CONTADORES!BE294))-CB285</f>
        <v>0</v>
      </c>
      <c r="AO285" s="1437">
        <f>(CONTADORES!AC295-CONTADORES!AC294)</f>
        <v>0</v>
      </c>
      <c r="AP285" s="1437">
        <f>(CONTADORES!X295-CONTADORES!X294)</f>
        <v>0</v>
      </c>
      <c r="AQ285" s="1437">
        <f>(CONTADORES!C295-CONTADORES!C294)</f>
        <v>0</v>
      </c>
      <c r="AR285" s="1437">
        <f>(CONTADORES!BC295-CONTADORES!BC294)</f>
        <v>0</v>
      </c>
      <c r="AS285" s="1397">
        <f ca="1">IF(B285&gt;=$J$5,0,CONTADORES!S295-CONTADORES!S294)</f>
        <v>0</v>
      </c>
      <c r="AT285" s="1397">
        <f ca="1">IF(B285&gt;=$J$5,0,(CONTADORES!U295-CONTADORES!U294)+(CONTADORES!AG295-CONTADORES!AG294))</f>
        <v>0</v>
      </c>
      <c r="AU285" s="1433">
        <f>CONTADORES!I295-CONTADORES!I294</f>
        <v>0</v>
      </c>
      <c r="AV285" s="1437">
        <f>CONTADORES!AV295-CONTADORES!AV294</f>
        <v>0</v>
      </c>
      <c r="AW285" s="1437">
        <f ca="1">IF(B285&gt;=$J$5,0,(CONTADORES!N295-CONTADORES!N294)+(CONTADORES!AN295-CONTADORES!AN294))</f>
        <v>0</v>
      </c>
      <c r="AX285" s="1437">
        <f ca="1">IF(B285&gt;=$J$5,0,(CONTADORES!P295-CONTADORES!P294)+(CONTADORES!AL295-CONTADORES!AL294))</f>
        <v>0</v>
      </c>
      <c r="AY285" s="1437">
        <f ca="1">IF(B285&gt;=$J$5,0,(CONTADORES!AJ295-CONTADORES!AJ294))</f>
        <v>0</v>
      </c>
      <c r="AZ285" s="1437">
        <f ca="1">IF(B285&gt;=$J$5,0,(CONTADORES!R295-CONTADORES!R294))</f>
        <v>0</v>
      </c>
      <c r="BA285" s="1409">
        <f t="shared" ca="1" si="145"/>
        <v>0</v>
      </c>
      <c r="BB285" s="1437">
        <f ca="1">IF(B285&gt;=$J$5,0,(((CONTADORES!G295-CONTADORES!G294)+(CONTADORES!AR295-CONTADORES!AR294))))-AV285-BC285-BT285-BW285-BZ285-CE285</f>
        <v>0</v>
      </c>
      <c r="BC285" s="1398">
        <f ca="1">IF(B285&gt;=$J$5,0,(CONTADORES!AY295-CONTADORES!AY294)+(CONTADORES!BA295-CONTADORES!BA294)+(CONTADORES!BF295-CONTADORES!BF294))</f>
        <v>0</v>
      </c>
      <c r="BD285" s="1397">
        <f t="shared" si="146"/>
        <v>0</v>
      </c>
      <c r="BE285" s="1398">
        <f ca="1">IF($B285&gt;=$J$5,0,CONTADORES!$BG295)</f>
        <v>0</v>
      </c>
      <c r="BF285" s="1397">
        <f ca="1">IF($B285&gt;=$J$5,0,CONTADORES!$BH295)</f>
        <v>0</v>
      </c>
      <c r="BG285" s="1398">
        <f ca="1">IF($B285&gt;=$J$5,0,CONTADORES!$BJ295)</f>
        <v>0</v>
      </c>
      <c r="BH285" s="1398">
        <f ca="1">IF(B285&gt;=$J$5,0,((CONTADORES!BK295-CONTADORES!BK294)/1000))</f>
        <v>0</v>
      </c>
      <c r="BI285" s="1398">
        <f ca="1">IF(B285&gt;=$J$5,0,((CONTADORES!BL295-CONTADORES!BL294)/1000))</f>
        <v>0</v>
      </c>
      <c r="BJ285" s="1398">
        <f ca="1">IF(B285&gt;=$J$5,0,((CONTADORES!BM295-CONTADORES!BM294)/1000))</f>
        <v>0</v>
      </c>
      <c r="BK285" s="1398">
        <f ca="1">IF(B285&gt;=$J$5,0,((CONTADORES!BN295-CONTADORES!BN294)/1000))</f>
        <v>0</v>
      </c>
      <c r="BL285" s="1399">
        <f t="shared" ca="1" si="147"/>
        <v>0</v>
      </c>
      <c r="BM285" s="1399">
        <f t="shared" ca="1" si="148"/>
        <v>0</v>
      </c>
      <c r="BN285" s="1398">
        <f ca="1">IF(B285&gt;=$J$5,0,CONTADORES!$BO295)</f>
        <v>0</v>
      </c>
      <c r="BO285" s="1397">
        <f ca="1">IF(W285&gt;=$J$5,0,CONTADORES!$BP295)</f>
        <v>0</v>
      </c>
      <c r="BP285" s="1397">
        <f ca="1">IF(W285&gt;=$J$5,0,CONTADORES!$BQ295)</f>
        <v>0</v>
      </c>
      <c r="BQ285" s="1397">
        <f ca="1">IF(B285&gt;=$J$5,0,(CONTADORES!AS295-CONTADORES!AS294))</f>
        <v>0</v>
      </c>
      <c r="BR285" s="1397">
        <f ca="1">IF(B285&gt;=$J$5,0,(CONTADORES!AT295-CONTADORES!AT294))</f>
        <v>0</v>
      </c>
      <c r="BS285" s="1398">
        <f ca="1">IF(B285&gt;=$J$5,0,CONTADORES!BR295-CONTADORES!BR294)/1000</f>
        <v>0</v>
      </c>
      <c r="BT285" s="1409">
        <f ca="1">IF(B285&gt;=$J$5,0,CONTADORES!BS295-CONTADORES!BS294)</f>
        <v>0</v>
      </c>
      <c r="BU285" s="1409">
        <f ca="1">IF(B285&gt;=$J$5,0,CONTADORES!BT295-CONTADORES!BT294)</f>
        <v>0</v>
      </c>
      <c r="BV285" s="1409">
        <f ca="1">IF(B285&gt;=$J$5,0,CONTADORES!BU295-CONTADORES!BU294)/1000</f>
        <v>0</v>
      </c>
      <c r="BW285" s="1409">
        <f ca="1">IF(B285&gt;=$J$5,0,CONTADORES!BV295-CONTADORES!BV294)/1000</f>
        <v>0</v>
      </c>
      <c r="BX285" s="1409">
        <f ca="1">IF(B285&gt;=$J$5,0,CONTADORES!BW295-CONTADORES!BW294)</f>
        <v>0</v>
      </c>
      <c r="BY285" s="1409">
        <f ca="1">IF(B285&gt;=$J$5,0,CONTADORES!BX295-CONTADORES!BX294)/1000</f>
        <v>0</v>
      </c>
      <c r="BZ285" s="1409">
        <f ca="1">IF(B285&gt;=$J$5,0,CONTADORES!BY295-CONTADORES!BY294)/1000</f>
        <v>0</v>
      </c>
      <c r="CA285" s="1409">
        <f ca="1">IF(B285&gt;=$J$5,0,CONTADORES!BZ295-CONTADORES!BZ294)</f>
        <v>0</v>
      </c>
      <c r="CB285" s="1409">
        <f ca="1">IF(B285&gt;=$J$5,0,(CONTADORES!CC295-CONTADORES!CC294)+(CONTADORES!CE295-CONTADORES!CE294))/1000</f>
        <v>0</v>
      </c>
      <c r="CC285" s="1409">
        <f ca="1">IF(B285&gt;=$J$5,0,(CONTADORES!CD295-CONTADORES!CD294)+(CONTADORES!CF295-CONTADORES!CF294))/1000</f>
        <v>0</v>
      </c>
      <c r="CD285" s="1409">
        <f ca="1">IF(B285&gt;=$J$5,0,CONTADORES!CA295-CONTADORES!CA294)</f>
        <v>0</v>
      </c>
      <c r="CE285" s="1409">
        <f ca="1">IF(B285&gt;=$J$5,0,CONTADORES!CB295-CONTADORES!CB294)</f>
        <v>0</v>
      </c>
      <c r="CF285" s="1409">
        <f t="shared" ca="1" si="149"/>
        <v>0</v>
      </c>
      <c r="CG285" s="1409">
        <f t="shared" ca="1" si="150"/>
        <v>0</v>
      </c>
      <c r="CH285" s="1409">
        <f t="shared" ca="1" si="151"/>
        <v>0</v>
      </c>
      <c r="CI285" s="1409">
        <f t="shared" ca="1" si="152"/>
        <v>0</v>
      </c>
      <c r="CJ285" s="1409">
        <f t="shared" ca="1" si="153"/>
        <v>0</v>
      </c>
      <c r="CK285" s="1409">
        <f t="shared" ca="1" si="154"/>
        <v>0</v>
      </c>
      <c r="CL285" s="1409">
        <f t="shared" ca="1" si="155"/>
        <v>0</v>
      </c>
      <c r="CM285" s="1409">
        <f t="shared" ca="1" si="156"/>
        <v>0</v>
      </c>
      <c r="CN285" s="1409">
        <f ca="1">IF(B285&gt;=$J$5,0,CONTADORES!CB295-CONTADORES!CB294)</f>
        <v>0</v>
      </c>
      <c r="CO285" s="1409">
        <f t="shared" ca="1" si="157"/>
        <v>0</v>
      </c>
      <c r="CP285" s="1409">
        <f t="shared" ca="1" si="158"/>
        <v>0</v>
      </c>
      <c r="CQ285" s="1409">
        <f t="shared" ca="1" si="159"/>
        <v>0</v>
      </c>
      <c r="CR285" s="1409">
        <f t="shared" ca="1" si="160"/>
        <v>0</v>
      </c>
      <c r="CS285" s="1409">
        <f ca="1">IF($B285&gt;=$J$5,0,CONTADORES!$BI295)</f>
        <v>0</v>
      </c>
      <c r="CT285" s="1334">
        <f>CONTADORES!E295</f>
        <v>0</v>
      </c>
      <c r="CU285" s="1334">
        <f>CONTADORES!CG295</f>
        <v>0</v>
      </c>
    </row>
    <row r="286" spans="2:99">
      <c r="B286" s="1477">
        <v>45202</v>
      </c>
      <c r="C286" s="202">
        <f t="shared" ca="1" si="134"/>
        <v>0</v>
      </c>
      <c r="D286" s="196">
        <f ca="1">'CALCULO DE GAS'!P108</f>
        <v>0</v>
      </c>
      <c r="E286" s="196">
        <f ca="1">IF(B286&gt;=$J$5,0,(CONTADORES!$AD296-CONTADORES!$AD295)-$H286)</f>
        <v>0</v>
      </c>
      <c r="F286" s="198">
        <f t="shared" ca="1" si="133"/>
        <v>0</v>
      </c>
      <c r="G286" s="196">
        <f ca="1">IF(B286&gt;=$J$5,0,CONTADORES!$AF296-CONTADORES!$AF295)</f>
        <v>0</v>
      </c>
      <c r="H286" s="196">
        <f ca="1">IF(G286&gt;0,CONTADORES!$AE296-CONTADORES!$AE295,0)</f>
        <v>0</v>
      </c>
      <c r="I286" s="199">
        <f ca="1">IF(B286&gt;=$J$5,0,CONTADORES!$AB296-CONTADORES!$AB295)</f>
        <v>0</v>
      </c>
      <c r="J286" s="198">
        <f t="shared" ca="1" si="135"/>
        <v>0</v>
      </c>
      <c r="K286" s="196">
        <f ca="1">'CALCULO DE GAS'!Q108</f>
        <v>0</v>
      </c>
      <c r="L286" s="1396">
        <f ca="1">IF(B286&gt;=$J$5,0,(CONTADORES!$Y296-CONTADORES!$Y295)-$O286)</f>
        <v>0</v>
      </c>
      <c r="M286" s="1396">
        <f t="shared" ca="1" si="132"/>
        <v>0</v>
      </c>
      <c r="N286" s="1396">
        <f ca="1">IF(B286&gt;=$J$5,0,CONTADORES!$AA296-CONTADORES!$AA295)</f>
        <v>0</v>
      </c>
      <c r="O286" s="1396">
        <f ca="1">IF(N286&gt;0,CONTADORES!$Z296-CONTADORES!$Z295,0)</f>
        <v>0</v>
      </c>
      <c r="P286" s="202">
        <f ca="1">IF(B286&gt;=$J$5,0,CONTADORES!$W296-CONTADORES!$W295)</f>
        <v>0</v>
      </c>
      <c r="Q286" s="202">
        <f ca="1">IF(B286&gt;=$J$5,0,CONTADORES!$B296-CONTADORES!$B295)</f>
        <v>0</v>
      </c>
      <c r="R286" s="196">
        <f t="shared" ca="1" si="136"/>
        <v>0</v>
      </c>
      <c r="S286" s="11">
        <f ca="1">IF(B286&gt;=$J$5,0,CONTADORES!$D296-CONTADORES!$D295)</f>
        <v>0</v>
      </c>
      <c r="T286" s="198">
        <f ca="1">IF(B286&gt;=$J$5,0,CONTADORES!$BB296-CONTADORES!$BB295)</f>
        <v>0</v>
      </c>
      <c r="U286" s="196">
        <f t="shared" ca="1" si="131"/>
        <v>0</v>
      </c>
      <c r="V286" s="199">
        <f ca="1">IF(B286&gt;=$J$5,0,CONTADORES!$BD296-CONTADORES!$BD295)</f>
        <v>0</v>
      </c>
      <c r="W286" s="1397">
        <f t="shared" ca="1" si="137"/>
        <v>0</v>
      </c>
      <c r="X286" s="1397">
        <f t="shared" ca="1" si="138"/>
        <v>0</v>
      </c>
      <c r="Y286" s="1398">
        <f t="shared" ca="1" si="139"/>
        <v>0</v>
      </c>
      <c r="Z286" s="1398">
        <f t="shared" ca="1" si="140"/>
        <v>0</v>
      </c>
      <c r="AA286" s="1398">
        <f t="shared" ca="1" si="141"/>
        <v>0</v>
      </c>
      <c r="AB286" s="1398">
        <f t="shared" ca="1" si="142"/>
        <v>0</v>
      </c>
      <c r="AC286" s="1397">
        <f t="shared" ca="1" si="143"/>
        <v>0</v>
      </c>
      <c r="AD286" s="1397">
        <f ca="1">IF(B286&gt;=$J$5,0,CONTADORES!H296-CONTADORES!H295)</f>
        <v>0</v>
      </c>
      <c r="AE286" s="1397">
        <f ca="1">IF(B286&gt;=$J$5,0,CONTADORES!J296-CONTADORES!J295)</f>
        <v>0</v>
      </c>
      <c r="AF286" s="1397">
        <f ca="1">IF(B286&gt;=$J$5,0,CONTADORES!AU296-CONTADORES!AU295)</f>
        <v>0</v>
      </c>
      <c r="AG286" s="1397">
        <f ca="1">IF(B286&gt;=$J$5,0,CONTADORES!AW296-CONTADORES!AW295)</f>
        <v>0</v>
      </c>
      <c r="AH286" s="1409">
        <f ca="1">IF(B286&gt;=$J$5,0,(CONTADORES!AM296-CONTADORES!AM295)+(CONTADORES!M296-CONTADORES!M295))</f>
        <v>0</v>
      </c>
      <c r="AI286" s="1409">
        <f ca="1">IF(B286&gt;=$J$5,0,(CONTADORES!AK296-CONTADORES!AK295)+(CONTADORES!O296-CONTADORES!O295))</f>
        <v>0</v>
      </c>
      <c r="AJ286" s="1409">
        <f ca="1">IF(B286&gt;=$J$5,0,(CONTADORES!AI296-CONTADORES!AI295))</f>
        <v>0</v>
      </c>
      <c r="AK286" s="1409">
        <f ca="1">IF(B286&gt;=$J$5,0,(CONTADORES!Q296-CONTADORES!Q295))</f>
        <v>0</v>
      </c>
      <c r="AL286" s="1461">
        <f t="shared" ca="1" si="144"/>
        <v>0</v>
      </c>
      <c r="AM286" s="1409">
        <f ca="1">IF(B286&gt;=$J$5,0,(((CONTADORES!F296-CONTADORES!F295)+(CONTADORES!AQ296-CONTADORES!AQ295))))-BS286-AF286-AN286-BV286-BY286-CD286-CB286+T286</f>
        <v>0</v>
      </c>
      <c r="AN286" s="1397">
        <f ca="1">IF(B286&gt;=$J$5,0,(CONTADORES!AX296-CONTADORES!AX295)+(CONTADORES!AZ296-CONTADORES!AZ295)+(CONTADORES!BE296-CONTADORES!BE295))-CB286</f>
        <v>0</v>
      </c>
      <c r="AO286" s="1437">
        <f>(CONTADORES!AC296-CONTADORES!AC295)</f>
        <v>0</v>
      </c>
      <c r="AP286" s="1437">
        <f>(CONTADORES!X296-CONTADORES!X295)</f>
        <v>0</v>
      </c>
      <c r="AQ286" s="1437">
        <f>(CONTADORES!C296-CONTADORES!C295)</f>
        <v>0</v>
      </c>
      <c r="AR286" s="1437">
        <f>(CONTADORES!BC296-CONTADORES!BC295)</f>
        <v>0</v>
      </c>
      <c r="AS286" s="1397">
        <f ca="1">IF(B286&gt;=$J$5,0,CONTADORES!S296-CONTADORES!S295)</f>
        <v>0</v>
      </c>
      <c r="AT286" s="1397">
        <f ca="1">IF(B286&gt;=$J$5,0,(CONTADORES!U296-CONTADORES!U295)+(CONTADORES!AG296-CONTADORES!AG295))</f>
        <v>0</v>
      </c>
      <c r="AU286" s="1433">
        <f>CONTADORES!I296-CONTADORES!I295</f>
        <v>0</v>
      </c>
      <c r="AV286" s="1437">
        <f>CONTADORES!AV296-CONTADORES!AV295</f>
        <v>0</v>
      </c>
      <c r="AW286" s="1437">
        <f ca="1">IF(B286&gt;=$J$5,0,(CONTADORES!N296-CONTADORES!N295)+(CONTADORES!AN296-CONTADORES!AN295))</f>
        <v>0</v>
      </c>
      <c r="AX286" s="1437">
        <f ca="1">IF(B286&gt;=$J$5,0,(CONTADORES!P296-CONTADORES!P295)+(CONTADORES!AL296-CONTADORES!AL295))</f>
        <v>0</v>
      </c>
      <c r="AY286" s="1437">
        <f ca="1">IF(B286&gt;=$J$5,0,(CONTADORES!AJ296-CONTADORES!AJ295))</f>
        <v>0</v>
      </c>
      <c r="AZ286" s="1437">
        <f ca="1">IF(B286&gt;=$J$5,0,(CONTADORES!R296-CONTADORES!R295))</f>
        <v>0</v>
      </c>
      <c r="BA286" s="1409">
        <f t="shared" ca="1" si="145"/>
        <v>0</v>
      </c>
      <c r="BB286" s="1437">
        <f ca="1">IF(B286&gt;=$J$5,0,(((CONTADORES!G296-CONTADORES!G295)+(CONTADORES!AR296-CONTADORES!AR295))))-AV286-BC286-BT286-BW286-BZ286-CE286</f>
        <v>0</v>
      </c>
      <c r="BC286" s="1398">
        <f ca="1">IF(B286&gt;=$J$5,0,(CONTADORES!AY296-CONTADORES!AY295)+(CONTADORES!BA296-CONTADORES!BA295)+(CONTADORES!BF296-CONTADORES!BF295))</f>
        <v>0</v>
      </c>
      <c r="BD286" s="1397">
        <f t="shared" si="146"/>
        <v>0</v>
      </c>
      <c r="BE286" s="1398">
        <f ca="1">IF($B286&gt;=$J$5,0,CONTADORES!$BG296)</f>
        <v>0</v>
      </c>
      <c r="BF286" s="1397">
        <f ca="1">IF($B286&gt;=$J$5,0,CONTADORES!$BH296)</f>
        <v>0</v>
      </c>
      <c r="BG286" s="1398">
        <f ca="1">IF($B286&gt;=$J$5,0,CONTADORES!$BJ296)</f>
        <v>0</v>
      </c>
      <c r="BH286" s="1398">
        <f ca="1">IF(B286&gt;=$J$5,0,((CONTADORES!BK296-CONTADORES!BK295)/1000))</f>
        <v>0</v>
      </c>
      <c r="BI286" s="1398">
        <f ca="1">IF(B286&gt;=$J$5,0,((CONTADORES!BL296-CONTADORES!BL295)/1000))</f>
        <v>0</v>
      </c>
      <c r="BJ286" s="1398">
        <f ca="1">IF(B286&gt;=$J$5,0,((CONTADORES!BM296-CONTADORES!BM295)/1000))</f>
        <v>0</v>
      </c>
      <c r="BK286" s="1398">
        <f ca="1">IF(B286&gt;=$J$5,0,((CONTADORES!BN296-CONTADORES!BN295)/1000))</f>
        <v>0</v>
      </c>
      <c r="BL286" s="1399">
        <f t="shared" ca="1" si="147"/>
        <v>0</v>
      </c>
      <c r="BM286" s="1399">
        <f t="shared" ca="1" si="148"/>
        <v>0</v>
      </c>
      <c r="BN286" s="1398">
        <f ca="1">IF(B286&gt;=$J$5,0,CONTADORES!$BO296)</f>
        <v>0</v>
      </c>
      <c r="BO286" s="1397">
        <f ca="1">IF(W286&gt;=$J$5,0,CONTADORES!$BP296)</f>
        <v>0</v>
      </c>
      <c r="BP286" s="1397">
        <f ca="1">IF(W286&gt;=$J$5,0,CONTADORES!$BQ296)</f>
        <v>0</v>
      </c>
      <c r="BQ286" s="1397">
        <f ca="1">IF(B286&gt;=$J$5,0,(CONTADORES!AS296-CONTADORES!AS295))</f>
        <v>0</v>
      </c>
      <c r="BR286" s="1397">
        <f ca="1">IF(B286&gt;=$J$5,0,(CONTADORES!AT296-CONTADORES!AT295))</f>
        <v>0</v>
      </c>
      <c r="BS286" s="1398">
        <f ca="1">IF(B286&gt;=$J$5,0,CONTADORES!BR296-CONTADORES!BR295)/1000</f>
        <v>0</v>
      </c>
      <c r="BT286" s="1409">
        <f ca="1">IF(B286&gt;=$J$5,0,CONTADORES!BS296-CONTADORES!BS295)</f>
        <v>0</v>
      </c>
      <c r="BU286" s="1409">
        <f ca="1">IF(B286&gt;=$J$5,0,CONTADORES!BT296-CONTADORES!BT295)</f>
        <v>0</v>
      </c>
      <c r="BV286" s="1409">
        <f ca="1">IF(B286&gt;=$J$5,0,CONTADORES!BU296-CONTADORES!BU295)/1000</f>
        <v>0</v>
      </c>
      <c r="BW286" s="1409">
        <f ca="1">IF(B286&gt;=$J$5,0,CONTADORES!BV296-CONTADORES!BV295)/1000</f>
        <v>0</v>
      </c>
      <c r="BX286" s="1409">
        <f ca="1">IF(B286&gt;=$J$5,0,CONTADORES!BW296-CONTADORES!BW295)</f>
        <v>0</v>
      </c>
      <c r="BY286" s="1409">
        <f ca="1">IF(B286&gt;=$J$5,0,CONTADORES!BX296-CONTADORES!BX295)/1000</f>
        <v>0</v>
      </c>
      <c r="BZ286" s="1409">
        <f ca="1">IF(B286&gt;=$J$5,0,CONTADORES!BY296-CONTADORES!BY295)/1000</f>
        <v>0</v>
      </c>
      <c r="CA286" s="1409">
        <f ca="1">IF(B286&gt;=$J$5,0,CONTADORES!BZ296-CONTADORES!BZ295)</f>
        <v>0</v>
      </c>
      <c r="CB286" s="1409">
        <f ca="1">IF(B286&gt;=$J$5,0,(CONTADORES!CC296-CONTADORES!CC295)+(CONTADORES!CE296-CONTADORES!CE295))/1000</f>
        <v>0</v>
      </c>
      <c r="CC286" s="1409">
        <f ca="1">IF(B286&gt;=$J$5,0,(CONTADORES!CD296-CONTADORES!CD295)+(CONTADORES!CF296-CONTADORES!CF295))/1000</f>
        <v>0</v>
      </c>
      <c r="CD286" s="1409">
        <f ca="1">IF(B286&gt;=$J$5,0,CONTADORES!CA296-CONTADORES!CA295)</f>
        <v>0</v>
      </c>
      <c r="CE286" s="1409">
        <f ca="1">IF(B286&gt;=$J$5,0,CONTADORES!CB296-CONTADORES!CB295)</f>
        <v>0</v>
      </c>
      <c r="CF286" s="1409">
        <f t="shared" ca="1" si="149"/>
        <v>0</v>
      </c>
      <c r="CG286" s="1409">
        <f t="shared" ca="1" si="150"/>
        <v>0</v>
      </c>
      <c r="CH286" s="1409">
        <f t="shared" ca="1" si="151"/>
        <v>0</v>
      </c>
      <c r="CI286" s="1409">
        <f t="shared" ca="1" si="152"/>
        <v>0</v>
      </c>
      <c r="CJ286" s="1409">
        <f t="shared" ca="1" si="153"/>
        <v>0</v>
      </c>
      <c r="CK286" s="1409">
        <f t="shared" ca="1" si="154"/>
        <v>0</v>
      </c>
      <c r="CL286" s="1409">
        <f t="shared" ca="1" si="155"/>
        <v>0</v>
      </c>
      <c r="CM286" s="1409">
        <f t="shared" ca="1" si="156"/>
        <v>0</v>
      </c>
      <c r="CN286" s="1409">
        <f ca="1">IF(B286&gt;=$J$5,0,CONTADORES!CB296-CONTADORES!CB295)</f>
        <v>0</v>
      </c>
      <c r="CO286" s="1409">
        <f t="shared" ca="1" si="157"/>
        <v>0</v>
      </c>
      <c r="CP286" s="1409">
        <f t="shared" ca="1" si="158"/>
        <v>0</v>
      </c>
      <c r="CQ286" s="1409">
        <f t="shared" ca="1" si="159"/>
        <v>0</v>
      </c>
      <c r="CR286" s="1409">
        <f t="shared" ca="1" si="160"/>
        <v>0</v>
      </c>
      <c r="CS286" s="1409">
        <f ca="1">IF($B286&gt;=$J$5,0,CONTADORES!$BI296)</f>
        <v>0</v>
      </c>
      <c r="CT286" s="1334">
        <f>CONTADORES!E296</f>
        <v>0</v>
      </c>
      <c r="CU286" s="1334">
        <f>CONTADORES!CG296</f>
        <v>0</v>
      </c>
    </row>
    <row r="287" spans="2:99">
      <c r="B287" s="1477">
        <v>45203</v>
      </c>
      <c r="C287" s="202">
        <f t="shared" ca="1" si="134"/>
        <v>0</v>
      </c>
      <c r="D287" s="196">
        <f ca="1">'CALCULO DE GAS'!P109</f>
        <v>0</v>
      </c>
      <c r="E287" s="196">
        <f ca="1">IF(B287&gt;=$J$5,0,(CONTADORES!$AD297-CONTADORES!$AD296)-$H287)</f>
        <v>0</v>
      </c>
      <c r="F287" s="198">
        <f t="shared" ca="1" si="133"/>
        <v>0</v>
      </c>
      <c r="G287" s="196">
        <f ca="1">IF(B287&gt;=$J$5,0,CONTADORES!$AF297-CONTADORES!$AF296)</f>
        <v>0</v>
      </c>
      <c r="H287" s="196">
        <f ca="1">IF(G287&gt;0,CONTADORES!$AE297-CONTADORES!$AE296,0)</f>
        <v>0</v>
      </c>
      <c r="I287" s="199">
        <f ca="1">IF(B287&gt;=$J$5,0,CONTADORES!$AB297-CONTADORES!$AB296)</f>
        <v>0</v>
      </c>
      <c r="J287" s="198">
        <f t="shared" ca="1" si="135"/>
        <v>0</v>
      </c>
      <c r="K287" s="196">
        <f ca="1">'CALCULO DE GAS'!Q109</f>
        <v>0</v>
      </c>
      <c r="L287" s="1396">
        <f ca="1">IF(B287&gt;=$J$5,0,(CONTADORES!$Y297-CONTADORES!$Y296)-$O287)</f>
        <v>0</v>
      </c>
      <c r="M287" s="1396">
        <f t="shared" ca="1" si="132"/>
        <v>0</v>
      </c>
      <c r="N287" s="1396">
        <f ca="1">IF(B287&gt;=$J$5,0,CONTADORES!$AA297-CONTADORES!$AA296)</f>
        <v>0</v>
      </c>
      <c r="O287" s="1396">
        <f ca="1">IF(N287&gt;0,CONTADORES!$Z297-CONTADORES!$Z296,0)</f>
        <v>0</v>
      </c>
      <c r="P287" s="202">
        <f ca="1">IF(B287&gt;=$J$5,0,CONTADORES!$W297-CONTADORES!$W296)</f>
        <v>0</v>
      </c>
      <c r="Q287" s="202">
        <f ca="1">IF(B287&gt;=$J$5,0,CONTADORES!$B297-CONTADORES!$B296)</f>
        <v>0</v>
      </c>
      <c r="R287" s="196">
        <f t="shared" ca="1" si="136"/>
        <v>0</v>
      </c>
      <c r="S287" s="11">
        <f ca="1">IF(B287&gt;=$J$5,0,CONTADORES!$D297-CONTADORES!$D296)</f>
        <v>0</v>
      </c>
      <c r="T287" s="198">
        <f ca="1">IF(B287&gt;=$J$5,0,CONTADORES!$BB297-CONTADORES!$BB296)</f>
        <v>0</v>
      </c>
      <c r="U287" s="196">
        <f t="shared" ca="1" si="131"/>
        <v>0</v>
      </c>
      <c r="V287" s="199">
        <f ca="1">IF(B287&gt;=$J$5,0,CONTADORES!$BD297-CONTADORES!$BD296)</f>
        <v>0</v>
      </c>
      <c r="W287" s="1397">
        <f t="shared" ca="1" si="137"/>
        <v>0</v>
      </c>
      <c r="X287" s="1397">
        <f t="shared" ca="1" si="138"/>
        <v>0</v>
      </c>
      <c r="Y287" s="1398">
        <f t="shared" ca="1" si="139"/>
        <v>0</v>
      </c>
      <c r="Z287" s="1398">
        <f t="shared" ca="1" si="140"/>
        <v>0</v>
      </c>
      <c r="AA287" s="1398">
        <f t="shared" ca="1" si="141"/>
        <v>0</v>
      </c>
      <c r="AB287" s="1398">
        <f t="shared" ca="1" si="142"/>
        <v>0</v>
      </c>
      <c r="AC287" s="1397">
        <f t="shared" ca="1" si="143"/>
        <v>0</v>
      </c>
      <c r="AD287" s="1397">
        <f ca="1">IF(B287&gt;=$J$5,0,CONTADORES!H297-CONTADORES!H296)</f>
        <v>0</v>
      </c>
      <c r="AE287" s="1397">
        <f ca="1">IF(B287&gt;=$J$5,0,CONTADORES!J297-CONTADORES!J296)</f>
        <v>0</v>
      </c>
      <c r="AF287" s="1397">
        <f ca="1">IF(B287&gt;=$J$5,0,CONTADORES!AU297-CONTADORES!AU296)</f>
        <v>0</v>
      </c>
      <c r="AG287" s="1397">
        <f ca="1">IF(B287&gt;=$J$5,0,CONTADORES!AW297-CONTADORES!AW296)</f>
        <v>0</v>
      </c>
      <c r="AH287" s="1409">
        <f ca="1">IF(B287&gt;=$J$5,0,(CONTADORES!AM297-CONTADORES!AM296)+(CONTADORES!M297-CONTADORES!M296))</f>
        <v>0</v>
      </c>
      <c r="AI287" s="1409">
        <f ca="1">IF(B287&gt;=$J$5,0,(CONTADORES!AK297-CONTADORES!AK296)+(CONTADORES!O297-CONTADORES!O296))</f>
        <v>0</v>
      </c>
      <c r="AJ287" s="1409">
        <f ca="1">IF(B287&gt;=$J$5,0,(CONTADORES!AI297-CONTADORES!AI296))</f>
        <v>0</v>
      </c>
      <c r="AK287" s="1409">
        <f ca="1">IF(B287&gt;=$J$5,0,(CONTADORES!Q297-CONTADORES!Q296))</f>
        <v>0</v>
      </c>
      <c r="AL287" s="1461">
        <f t="shared" ca="1" si="144"/>
        <v>0</v>
      </c>
      <c r="AM287" s="1409">
        <f ca="1">IF(B287&gt;=$J$5,0,(((CONTADORES!F297-CONTADORES!F296)+(CONTADORES!AQ297-CONTADORES!AQ296))))-BS287-AF287-AN287-BV287-BY287-CD287-CB287+T287</f>
        <v>0</v>
      </c>
      <c r="AN287" s="1397">
        <f ca="1">IF(B287&gt;=$J$5,0,(CONTADORES!AX297-CONTADORES!AX296)+(CONTADORES!AZ297-CONTADORES!AZ296)+(CONTADORES!BE297-CONTADORES!BE296))-CB287</f>
        <v>0</v>
      </c>
      <c r="AO287" s="1437">
        <f>(CONTADORES!AC297-CONTADORES!AC296)</f>
        <v>0</v>
      </c>
      <c r="AP287" s="1437">
        <f>(CONTADORES!X297-CONTADORES!X296)</f>
        <v>0</v>
      </c>
      <c r="AQ287" s="1437">
        <f>(CONTADORES!C297-CONTADORES!C296)</f>
        <v>0</v>
      </c>
      <c r="AR287" s="1437">
        <f>(CONTADORES!BC297-CONTADORES!BC296)</f>
        <v>0</v>
      </c>
      <c r="AS287" s="1397">
        <f ca="1">IF(B287&gt;=$J$5,0,CONTADORES!S297-CONTADORES!S296)</f>
        <v>0</v>
      </c>
      <c r="AT287" s="1397">
        <f ca="1">IF(B287&gt;=$J$5,0,(CONTADORES!U297-CONTADORES!U296)+(CONTADORES!AG297-CONTADORES!AG296))</f>
        <v>0</v>
      </c>
      <c r="AU287" s="1433">
        <f>CONTADORES!I297-CONTADORES!I296</f>
        <v>0</v>
      </c>
      <c r="AV287" s="1437">
        <f>CONTADORES!AV297-CONTADORES!AV296</f>
        <v>0</v>
      </c>
      <c r="AW287" s="1437">
        <f ca="1">IF(B287&gt;=$J$5,0,(CONTADORES!N297-CONTADORES!N296)+(CONTADORES!AN297-CONTADORES!AN296))</f>
        <v>0</v>
      </c>
      <c r="AX287" s="1437">
        <f ca="1">IF(B287&gt;=$J$5,0,(CONTADORES!P297-CONTADORES!P296)+(CONTADORES!AL297-CONTADORES!AL296))</f>
        <v>0</v>
      </c>
      <c r="AY287" s="1437">
        <f ca="1">IF(B287&gt;=$J$5,0,(CONTADORES!AJ297-CONTADORES!AJ296))</f>
        <v>0</v>
      </c>
      <c r="AZ287" s="1437">
        <f ca="1">IF(B287&gt;=$J$5,0,(CONTADORES!R297-CONTADORES!R296))</f>
        <v>0</v>
      </c>
      <c r="BA287" s="1409">
        <f t="shared" ca="1" si="145"/>
        <v>0</v>
      </c>
      <c r="BB287" s="1437">
        <f ca="1">IF(B287&gt;=$J$5,0,(((CONTADORES!G297-CONTADORES!G296)+(CONTADORES!AR297-CONTADORES!AR296))))-AV287-BC287-BT287-BW287-BZ287-CE287</f>
        <v>0</v>
      </c>
      <c r="BC287" s="1398">
        <f ca="1">IF(B287&gt;=$J$5,0,(CONTADORES!AY297-CONTADORES!AY296)+(CONTADORES!BA297-CONTADORES!BA296)+(CONTADORES!BF297-CONTADORES!BF296))</f>
        <v>0</v>
      </c>
      <c r="BD287" s="1397">
        <f t="shared" si="146"/>
        <v>0</v>
      </c>
      <c r="BE287" s="1398">
        <f ca="1">IF($B287&gt;=$J$5,0,CONTADORES!$BG297)</f>
        <v>0</v>
      </c>
      <c r="BF287" s="1397">
        <f ca="1">IF($B287&gt;=$J$5,0,CONTADORES!$BH297)</f>
        <v>0</v>
      </c>
      <c r="BG287" s="1398">
        <f ca="1">IF($B287&gt;=$J$5,0,CONTADORES!$BJ297)</f>
        <v>0</v>
      </c>
      <c r="BH287" s="1398">
        <f ca="1">IF(B287&gt;=$J$5,0,((CONTADORES!BK297-CONTADORES!BK296)/1000))</f>
        <v>0</v>
      </c>
      <c r="BI287" s="1398">
        <f ca="1">IF(B287&gt;=$J$5,0,((CONTADORES!BL297-CONTADORES!BL296)/1000))</f>
        <v>0</v>
      </c>
      <c r="BJ287" s="1398">
        <f ca="1">IF(B287&gt;=$J$5,0,((CONTADORES!BM297-CONTADORES!BM296)/1000))</f>
        <v>0</v>
      </c>
      <c r="BK287" s="1398">
        <f ca="1">IF(B287&gt;=$J$5,0,((CONTADORES!BN297-CONTADORES!BN296)/1000))</f>
        <v>0</v>
      </c>
      <c r="BL287" s="1399">
        <f t="shared" ca="1" si="147"/>
        <v>0</v>
      </c>
      <c r="BM287" s="1399">
        <f t="shared" ca="1" si="148"/>
        <v>0</v>
      </c>
      <c r="BN287" s="1398">
        <f ca="1">IF(B287&gt;=$J$5,0,CONTADORES!$BO297)</f>
        <v>0</v>
      </c>
      <c r="BO287" s="1397">
        <f ca="1">IF(W287&gt;=$J$5,0,CONTADORES!$BP297)</f>
        <v>0</v>
      </c>
      <c r="BP287" s="1397">
        <f ca="1">IF(W287&gt;=$J$5,0,CONTADORES!$BQ297)</f>
        <v>0</v>
      </c>
      <c r="BQ287" s="1397">
        <f ca="1">IF(B287&gt;=$J$5,0,(CONTADORES!AS297-CONTADORES!AS296))</f>
        <v>0</v>
      </c>
      <c r="BR287" s="1397">
        <f ca="1">IF(B287&gt;=$J$5,0,(CONTADORES!AT297-CONTADORES!AT296))</f>
        <v>0</v>
      </c>
      <c r="BS287" s="1398">
        <f ca="1">IF(B287&gt;=$J$5,0,CONTADORES!BR297-CONTADORES!BR296)/1000</f>
        <v>0</v>
      </c>
      <c r="BT287" s="1409">
        <f ca="1">IF(B287&gt;=$J$5,0,CONTADORES!BS297-CONTADORES!BS296)</f>
        <v>0</v>
      </c>
      <c r="BU287" s="1409">
        <f ca="1">IF(B287&gt;=$J$5,0,CONTADORES!BT297-CONTADORES!BT296)</f>
        <v>0</v>
      </c>
      <c r="BV287" s="1409">
        <f ca="1">IF(B287&gt;=$J$5,0,CONTADORES!BU297-CONTADORES!BU296)/1000</f>
        <v>0</v>
      </c>
      <c r="BW287" s="1409">
        <f ca="1">IF(B287&gt;=$J$5,0,CONTADORES!BV297-CONTADORES!BV296)/1000</f>
        <v>0</v>
      </c>
      <c r="BX287" s="1409">
        <f ca="1">IF(B287&gt;=$J$5,0,CONTADORES!BW297-CONTADORES!BW296)</f>
        <v>0</v>
      </c>
      <c r="BY287" s="1409">
        <f ca="1">IF(B287&gt;=$J$5,0,CONTADORES!BX297-CONTADORES!BX296)/1000</f>
        <v>0</v>
      </c>
      <c r="BZ287" s="1409">
        <f ca="1">IF(B287&gt;=$J$5,0,CONTADORES!BY297-CONTADORES!BY296)/1000</f>
        <v>0</v>
      </c>
      <c r="CA287" s="1409">
        <f ca="1">IF(B287&gt;=$J$5,0,CONTADORES!BZ297-CONTADORES!BZ296)</f>
        <v>0</v>
      </c>
      <c r="CB287" s="1409">
        <f ca="1">IF(B287&gt;=$J$5,0,(CONTADORES!CC297-CONTADORES!CC296)+(CONTADORES!CE297-CONTADORES!CE296))/1000</f>
        <v>0</v>
      </c>
      <c r="CC287" s="1409">
        <f ca="1">IF(B287&gt;=$J$5,0,(CONTADORES!CD297-CONTADORES!CD296)+(CONTADORES!CF297-CONTADORES!CF296))/1000</f>
        <v>0</v>
      </c>
      <c r="CD287" s="1409">
        <f ca="1">IF(B287&gt;=$J$5,0,CONTADORES!CA297-CONTADORES!CA296)</f>
        <v>0</v>
      </c>
      <c r="CE287" s="1409">
        <f ca="1">IF(B287&gt;=$J$5,0,CONTADORES!CB297-CONTADORES!CB296)</f>
        <v>0</v>
      </c>
      <c r="CF287" s="1409">
        <f t="shared" ca="1" si="149"/>
        <v>0</v>
      </c>
      <c r="CG287" s="1409">
        <f t="shared" ca="1" si="150"/>
        <v>0</v>
      </c>
      <c r="CH287" s="1409">
        <f t="shared" ca="1" si="151"/>
        <v>0</v>
      </c>
      <c r="CI287" s="1409">
        <f t="shared" ca="1" si="152"/>
        <v>0</v>
      </c>
      <c r="CJ287" s="1409">
        <f t="shared" ca="1" si="153"/>
        <v>0</v>
      </c>
      <c r="CK287" s="1409">
        <f t="shared" ca="1" si="154"/>
        <v>0</v>
      </c>
      <c r="CL287" s="1409">
        <f t="shared" ca="1" si="155"/>
        <v>0</v>
      </c>
      <c r="CM287" s="1409">
        <f t="shared" ca="1" si="156"/>
        <v>0</v>
      </c>
      <c r="CN287" s="1409">
        <f ca="1">IF(B287&gt;=$J$5,0,CONTADORES!CB297-CONTADORES!CB296)</f>
        <v>0</v>
      </c>
      <c r="CO287" s="1409">
        <f t="shared" ca="1" si="157"/>
        <v>0</v>
      </c>
      <c r="CP287" s="1409">
        <f t="shared" ca="1" si="158"/>
        <v>0</v>
      </c>
      <c r="CQ287" s="1409">
        <f t="shared" ca="1" si="159"/>
        <v>0</v>
      </c>
      <c r="CR287" s="1409">
        <f t="shared" ca="1" si="160"/>
        <v>0</v>
      </c>
      <c r="CS287" s="1409">
        <f ca="1">IF($B287&gt;=$J$5,0,CONTADORES!$BI297)</f>
        <v>0</v>
      </c>
      <c r="CT287" s="1334">
        <f>CONTADORES!E297</f>
        <v>0</v>
      </c>
      <c r="CU287" s="1334">
        <f>CONTADORES!CG297</f>
        <v>0</v>
      </c>
    </row>
    <row r="288" spans="2:99">
      <c r="B288" s="1477">
        <v>45204</v>
      </c>
      <c r="C288" s="202">
        <f t="shared" ca="1" si="134"/>
        <v>0</v>
      </c>
      <c r="D288" s="196">
        <f ca="1">'CALCULO DE GAS'!P110</f>
        <v>0</v>
      </c>
      <c r="E288" s="196">
        <f ca="1">IF(B288&gt;=$J$5,0,(CONTADORES!$AD298-CONTADORES!$AD297)-$H288)</f>
        <v>0</v>
      </c>
      <c r="F288" s="198">
        <f t="shared" ca="1" si="133"/>
        <v>0</v>
      </c>
      <c r="G288" s="196">
        <f ca="1">IF(B288&gt;=$J$5,0,CONTADORES!$AF298-CONTADORES!$AF297)</f>
        <v>0</v>
      </c>
      <c r="H288" s="196">
        <f ca="1">IF(G288&gt;0,CONTADORES!$AE298-CONTADORES!$AE297,0)</f>
        <v>0</v>
      </c>
      <c r="I288" s="199">
        <f ca="1">IF(B288&gt;=$J$5,0,CONTADORES!$AB298-CONTADORES!$AB297)</f>
        <v>0</v>
      </c>
      <c r="J288" s="198">
        <f t="shared" ca="1" si="135"/>
        <v>0</v>
      </c>
      <c r="K288" s="196">
        <f ca="1">'CALCULO DE GAS'!Q110</f>
        <v>0</v>
      </c>
      <c r="L288" s="1396">
        <f ca="1">IF(B288&gt;=$J$5,0,(CONTADORES!$Y298-CONTADORES!$Y297)-$O288)</f>
        <v>0</v>
      </c>
      <c r="M288" s="1396">
        <f t="shared" ca="1" si="132"/>
        <v>0</v>
      </c>
      <c r="N288" s="1396">
        <f ca="1">IF(B288&gt;=$J$5,0,CONTADORES!$AA298-CONTADORES!$AA297)</f>
        <v>0</v>
      </c>
      <c r="O288" s="1396">
        <f ca="1">IF(N288&gt;0,CONTADORES!$Z298-CONTADORES!$Z297,0)</f>
        <v>0</v>
      </c>
      <c r="P288" s="202">
        <f ca="1">IF(B288&gt;=$J$5,0,CONTADORES!$W298-CONTADORES!$W297)</f>
        <v>0</v>
      </c>
      <c r="Q288" s="202">
        <f ca="1">IF(B288&gt;=$J$5,0,CONTADORES!$B298-CONTADORES!$B297)</f>
        <v>0</v>
      </c>
      <c r="R288" s="196">
        <f t="shared" ca="1" si="136"/>
        <v>0</v>
      </c>
      <c r="S288" s="11">
        <f ca="1">IF(B288&gt;=$J$5,0,CONTADORES!$D298-CONTADORES!$D297)</f>
        <v>0</v>
      </c>
      <c r="T288" s="198">
        <f ca="1">IF(B288&gt;=$J$5,0,CONTADORES!$BB298-CONTADORES!$BB297)</f>
        <v>0</v>
      </c>
      <c r="U288" s="196">
        <f t="shared" ca="1" si="131"/>
        <v>0</v>
      </c>
      <c r="V288" s="199">
        <f ca="1">IF(B288&gt;=$J$5,0,CONTADORES!$BD298-CONTADORES!$BD297)</f>
        <v>0</v>
      </c>
      <c r="W288" s="1397">
        <f t="shared" ca="1" si="137"/>
        <v>0</v>
      </c>
      <c r="X288" s="1397">
        <f t="shared" ca="1" si="138"/>
        <v>0</v>
      </c>
      <c r="Y288" s="1398">
        <f t="shared" ca="1" si="139"/>
        <v>0</v>
      </c>
      <c r="Z288" s="1398">
        <f t="shared" ca="1" si="140"/>
        <v>0</v>
      </c>
      <c r="AA288" s="1398">
        <f t="shared" ca="1" si="141"/>
        <v>0</v>
      </c>
      <c r="AB288" s="1398">
        <f t="shared" ca="1" si="142"/>
        <v>0</v>
      </c>
      <c r="AC288" s="1397">
        <f t="shared" ca="1" si="143"/>
        <v>0</v>
      </c>
      <c r="AD288" s="1397">
        <f ca="1">IF(B288&gt;=$J$5,0,CONTADORES!H298-CONTADORES!H297)</f>
        <v>0</v>
      </c>
      <c r="AE288" s="1397">
        <f ca="1">IF(B288&gt;=$J$5,0,CONTADORES!J298-CONTADORES!J297)</f>
        <v>0</v>
      </c>
      <c r="AF288" s="1397">
        <f ca="1">IF(B288&gt;=$J$5,0,CONTADORES!AU298-CONTADORES!AU297)</f>
        <v>0</v>
      </c>
      <c r="AG288" s="1397">
        <f ca="1">IF(B288&gt;=$J$5,0,CONTADORES!AW298-CONTADORES!AW297)</f>
        <v>0</v>
      </c>
      <c r="AH288" s="1409">
        <f ca="1">IF(B288&gt;=$J$5,0,(CONTADORES!AM298-CONTADORES!AM297)+(CONTADORES!M298-CONTADORES!M297))</f>
        <v>0</v>
      </c>
      <c r="AI288" s="1409">
        <f ca="1">IF(B288&gt;=$J$5,0,(CONTADORES!AK298-CONTADORES!AK297)+(CONTADORES!O298-CONTADORES!O297))</f>
        <v>0</v>
      </c>
      <c r="AJ288" s="1409">
        <f ca="1">IF(B288&gt;=$J$5,0,(CONTADORES!AI298-CONTADORES!AI297))</f>
        <v>0</v>
      </c>
      <c r="AK288" s="1409">
        <f ca="1">IF(B288&gt;=$J$5,0,(CONTADORES!Q298-CONTADORES!Q297))</f>
        <v>0</v>
      </c>
      <c r="AL288" s="1461">
        <f t="shared" ca="1" si="144"/>
        <v>0</v>
      </c>
      <c r="AM288" s="1409">
        <f ca="1">IF(B288&gt;=$J$5,0,(((CONTADORES!F298-CONTADORES!F297)+(CONTADORES!AQ298-CONTADORES!AQ297))))-BS288-AF288-AN288-BV288-BY288-CD288-CB288+T288</f>
        <v>0</v>
      </c>
      <c r="AN288" s="1397">
        <f ca="1">IF(B288&gt;=$J$5,0,(CONTADORES!AX298-CONTADORES!AX297)+(CONTADORES!AZ298-CONTADORES!AZ297)+(CONTADORES!BE298-CONTADORES!BE297))-CB288</f>
        <v>0</v>
      </c>
      <c r="AO288" s="1437">
        <f>(CONTADORES!AC298-CONTADORES!AC297)</f>
        <v>0</v>
      </c>
      <c r="AP288" s="1437">
        <f>(CONTADORES!X298-CONTADORES!X297)</f>
        <v>0</v>
      </c>
      <c r="AQ288" s="1437">
        <f>(CONTADORES!C298-CONTADORES!C297)</f>
        <v>0</v>
      </c>
      <c r="AR288" s="1437">
        <f>(CONTADORES!BC298-CONTADORES!BC297)</f>
        <v>0</v>
      </c>
      <c r="AS288" s="1397">
        <f ca="1">IF(B288&gt;=$J$5,0,CONTADORES!S298-CONTADORES!S297)</f>
        <v>0</v>
      </c>
      <c r="AT288" s="1397">
        <f ca="1">IF(B288&gt;=$J$5,0,(CONTADORES!U298-CONTADORES!U297)+(CONTADORES!AG298-CONTADORES!AG297))</f>
        <v>0</v>
      </c>
      <c r="AU288" s="1433">
        <f>CONTADORES!I298-CONTADORES!I297</f>
        <v>0</v>
      </c>
      <c r="AV288" s="1437">
        <f>CONTADORES!AV298-CONTADORES!AV297</f>
        <v>0</v>
      </c>
      <c r="AW288" s="1437">
        <f ca="1">IF(B288&gt;=$J$5,0,(CONTADORES!N298-CONTADORES!N297)+(CONTADORES!AN298-CONTADORES!AN297))</f>
        <v>0</v>
      </c>
      <c r="AX288" s="1437">
        <f ca="1">IF(B288&gt;=$J$5,0,(CONTADORES!P298-CONTADORES!P297)+(CONTADORES!AL298-CONTADORES!AL297))</f>
        <v>0</v>
      </c>
      <c r="AY288" s="1437">
        <f ca="1">IF(B288&gt;=$J$5,0,(CONTADORES!AJ298-CONTADORES!AJ297))</f>
        <v>0</v>
      </c>
      <c r="AZ288" s="1437">
        <f ca="1">IF(B288&gt;=$J$5,0,(CONTADORES!R298-CONTADORES!R297))</f>
        <v>0</v>
      </c>
      <c r="BA288" s="1409">
        <f t="shared" ca="1" si="145"/>
        <v>0</v>
      </c>
      <c r="BB288" s="1437">
        <f ca="1">IF(B288&gt;=$J$5,0,(((CONTADORES!G298-CONTADORES!G297)+(CONTADORES!AR298-CONTADORES!AR297))))-AV288-BC288-BT288-BW288-BZ288-CE288</f>
        <v>0</v>
      </c>
      <c r="BC288" s="1398">
        <f ca="1">IF(B288&gt;=$J$5,0,(CONTADORES!AY298-CONTADORES!AY297)+(CONTADORES!BA298-CONTADORES!BA297)+(CONTADORES!BF298-CONTADORES!BF297))</f>
        <v>0</v>
      </c>
      <c r="BD288" s="1397">
        <f t="shared" si="146"/>
        <v>0</v>
      </c>
      <c r="BE288" s="1398">
        <f ca="1">IF($B288&gt;=$J$5,0,CONTADORES!$BG298)</f>
        <v>0</v>
      </c>
      <c r="BF288" s="1397">
        <f ca="1">IF($B288&gt;=$J$5,0,CONTADORES!$BH298)</f>
        <v>0</v>
      </c>
      <c r="BG288" s="1398">
        <f ca="1">IF($B288&gt;=$J$5,0,CONTADORES!$BJ298)</f>
        <v>0</v>
      </c>
      <c r="BH288" s="1398">
        <f ca="1">IF(B288&gt;=$J$5,0,((CONTADORES!BK298-CONTADORES!BK297)/1000))</f>
        <v>0</v>
      </c>
      <c r="BI288" s="1398">
        <f ca="1">IF(B288&gt;=$J$5,0,((CONTADORES!BL298-CONTADORES!BL297)/1000))</f>
        <v>0</v>
      </c>
      <c r="BJ288" s="1398">
        <f ca="1">IF(B288&gt;=$J$5,0,((CONTADORES!BM298-CONTADORES!BM297)/1000))</f>
        <v>0</v>
      </c>
      <c r="BK288" s="1398">
        <f ca="1">IF(B288&gt;=$J$5,0,((CONTADORES!BN298-CONTADORES!BN297)/1000))</f>
        <v>0</v>
      </c>
      <c r="BL288" s="1399">
        <f t="shared" ca="1" si="147"/>
        <v>0</v>
      </c>
      <c r="BM288" s="1399">
        <f t="shared" ca="1" si="148"/>
        <v>0</v>
      </c>
      <c r="BN288" s="1398">
        <f ca="1">IF(B288&gt;=$J$5,0,CONTADORES!$BO298)</f>
        <v>0</v>
      </c>
      <c r="BO288" s="1397">
        <f ca="1">IF(W288&gt;=$J$5,0,CONTADORES!$BP298)</f>
        <v>0</v>
      </c>
      <c r="BP288" s="1397">
        <f ca="1">IF(W288&gt;=$J$5,0,CONTADORES!$BQ298)</f>
        <v>0</v>
      </c>
      <c r="BQ288" s="1397">
        <f ca="1">IF(B288&gt;=$J$5,0,(CONTADORES!AS298-CONTADORES!AS297))</f>
        <v>0</v>
      </c>
      <c r="BR288" s="1397">
        <f ca="1">IF(B288&gt;=$J$5,0,(CONTADORES!AT298-CONTADORES!AT297))</f>
        <v>0</v>
      </c>
      <c r="BS288" s="1398">
        <f ca="1">IF(B288&gt;=$J$5,0,CONTADORES!BR298-CONTADORES!BR297)/1000</f>
        <v>0</v>
      </c>
      <c r="BT288" s="1409">
        <f ca="1">IF(B288&gt;=$J$5,0,CONTADORES!BS298-CONTADORES!BS297)</f>
        <v>0</v>
      </c>
      <c r="BU288" s="1409">
        <f ca="1">IF(B288&gt;=$J$5,0,CONTADORES!BT298-CONTADORES!BT297)</f>
        <v>0</v>
      </c>
      <c r="BV288" s="1409">
        <f ca="1">IF(B288&gt;=$J$5,0,CONTADORES!BU298-CONTADORES!BU297)/1000</f>
        <v>0</v>
      </c>
      <c r="BW288" s="1409">
        <f ca="1">IF(B288&gt;=$J$5,0,CONTADORES!BV298-CONTADORES!BV297)/1000</f>
        <v>0</v>
      </c>
      <c r="BX288" s="1409">
        <f ca="1">IF(B288&gt;=$J$5,0,CONTADORES!BW298-CONTADORES!BW297)</f>
        <v>0</v>
      </c>
      <c r="BY288" s="1409">
        <f ca="1">IF(B288&gt;=$J$5,0,CONTADORES!BX298-CONTADORES!BX297)/1000</f>
        <v>0</v>
      </c>
      <c r="BZ288" s="1409">
        <f ca="1">IF(B288&gt;=$J$5,0,CONTADORES!BY298-CONTADORES!BY297)/1000</f>
        <v>0</v>
      </c>
      <c r="CA288" s="1409">
        <f ca="1">IF(B288&gt;=$J$5,0,CONTADORES!BZ298-CONTADORES!BZ297)</f>
        <v>0</v>
      </c>
      <c r="CB288" s="1409">
        <f ca="1">IF(B288&gt;=$J$5,0,(CONTADORES!CC298-CONTADORES!CC297)+(CONTADORES!CE298-CONTADORES!CE297))/1000</f>
        <v>0</v>
      </c>
      <c r="CC288" s="1409">
        <f ca="1">IF(B288&gt;=$J$5,0,(CONTADORES!CD298-CONTADORES!CD297)+(CONTADORES!CF298-CONTADORES!CF297))/1000</f>
        <v>0</v>
      </c>
      <c r="CD288" s="1409">
        <f ca="1">IF(B288&gt;=$J$5,0,CONTADORES!CA298-CONTADORES!CA297)</f>
        <v>0</v>
      </c>
      <c r="CE288" s="1409">
        <f ca="1">IF(B288&gt;=$J$5,0,CONTADORES!CB298-CONTADORES!CB297)</f>
        <v>0</v>
      </c>
      <c r="CF288" s="1409">
        <f t="shared" ca="1" si="149"/>
        <v>0</v>
      </c>
      <c r="CG288" s="1409">
        <f t="shared" ca="1" si="150"/>
        <v>0</v>
      </c>
      <c r="CH288" s="1409">
        <f t="shared" ca="1" si="151"/>
        <v>0</v>
      </c>
      <c r="CI288" s="1409">
        <f t="shared" ca="1" si="152"/>
        <v>0</v>
      </c>
      <c r="CJ288" s="1409">
        <f t="shared" ca="1" si="153"/>
        <v>0</v>
      </c>
      <c r="CK288" s="1409">
        <f t="shared" ca="1" si="154"/>
        <v>0</v>
      </c>
      <c r="CL288" s="1409">
        <f t="shared" ca="1" si="155"/>
        <v>0</v>
      </c>
      <c r="CM288" s="1409">
        <f t="shared" ca="1" si="156"/>
        <v>0</v>
      </c>
      <c r="CN288" s="1409">
        <f ca="1">IF(B288&gt;=$J$5,0,CONTADORES!CB298-CONTADORES!CB297)</f>
        <v>0</v>
      </c>
      <c r="CO288" s="1409">
        <f t="shared" ca="1" si="157"/>
        <v>0</v>
      </c>
      <c r="CP288" s="1409">
        <f t="shared" ca="1" si="158"/>
        <v>0</v>
      </c>
      <c r="CQ288" s="1409">
        <f t="shared" ca="1" si="159"/>
        <v>0</v>
      </c>
      <c r="CR288" s="1409">
        <f t="shared" ca="1" si="160"/>
        <v>0</v>
      </c>
      <c r="CS288" s="1409">
        <f ca="1">IF($B288&gt;=$J$5,0,CONTADORES!$BI298)</f>
        <v>0</v>
      </c>
      <c r="CT288" s="1334">
        <f>CONTADORES!E298</f>
        <v>0</v>
      </c>
      <c r="CU288" s="1334">
        <f>CONTADORES!CG298</f>
        <v>0</v>
      </c>
    </row>
    <row r="289" spans="2:99">
      <c r="B289" s="1477">
        <v>45205</v>
      </c>
      <c r="C289" s="202">
        <f t="shared" ca="1" si="134"/>
        <v>0</v>
      </c>
      <c r="D289" s="196">
        <f ca="1">'CALCULO DE GAS'!P111</f>
        <v>0</v>
      </c>
      <c r="E289" s="196">
        <f ca="1">IF(B289&gt;=$J$5,0,(CONTADORES!$AD299-CONTADORES!$AD298)-$H289)</f>
        <v>0</v>
      </c>
      <c r="F289" s="198">
        <f t="shared" ca="1" si="133"/>
        <v>0</v>
      </c>
      <c r="G289" s="196">
        <f ca="1">IF(B289&gt;=$J$5,0,CONTADORES!$AF299-CONTADORES!$AF298)</f>
        <v>0</v>
      </c>
      <c r="H289" s="196">
        <f ca="1">IF(G289&gt;0,CONTADORES!$AE299-CONTADORES!$AE298,0)</f>
        <v>0</v>
      </c>
      <c r="I289" s="199">
        <f ca="1">IF(B289&gt;=$J$5,0,CONTADORES!$AB299-CONTADORES!$AB298)</f>
        <v>0</v>
      </c>
      <c r="J289" s="198">
        <f t="shared" ca="1" si="135"/>
        <v>0</v>
      </c>
      <c r="K289" s="196">
        <f ca="1">'CALCULO DE GAS'!Q111</f>
        <v>0</v>
      </c>
      <c r="L289" s="1396">
        <f ca="1">IF(B289&gt;=$J$5,0,(CONTADORES!$Y299-CONTADORES!$Y298)-$O289)</f>
        <v>0</v>
      </c>
      <c r="M289" s="1396">
        <f t="shared" ca="1" si="132"/>
        <v>0</v>
      </c>
      <c r="N289" s="1396">
        <f ca="1">IF(B289&gt;=$J$5,0,CONTADORES!$AA299-CONTADORES!$AA298)</f>
        <v>0</v>
      </c>
      <c r="O289" s="1396">
        <f ca="1">IF(N289&gt;0,CONTADORES!$Z299-CONTADORES!$Z298,0)</f>
        <v>0</v>
      </c>
      <c r="P289" s="202">
        <f ca="1">IF(B289&gt;=$J$5,0,CONTADORES!$W299-CONTADORES!$W298)</f>
        <v>0</v>
      </c>
      <c r="Q289" s="202">
        <f ca="1">IF(B289&gt;=$J$5,0,CONTADORES!$B299-CONTADORES!$B298)</f>
        <v>0</v>
      </c>
      <c r="R289" s="196">
        <f t="shared" ca="1" si="136"/>
        <v>0</v>
      </c>
      <c r="S289" s="11">
        <f ca="1">IF(B289&gt;=$J$5,0,CONTADORES!$D299-CONTADORES!$D298)</f>
        <v>0</v>
      </c>
      <c r="T289" s="198">
        <f ca="1">IF(B289&gt;=$J$5,0,CONTADORES!$BB299-CONTADORES!$BB298)</f>
        <v>0</v>
      </c>
      <c r="U289" s="196">
        <f t="shared" ca="1" si="131"/>
        <v>0</v>
      </c>
      <c r="V289" s="199">
        <f ca="1">IF(B289&gt;=$J$5,0,CONTADORES!$BD299-CONTADORES!$BD298)</f>
        <v>0</v>
      </c>
      <c r="W289" s="1397">
        <f t="shared" ca="1" si="137"/>
        <v>0</v>
      </c>
      <c r="X289" s="1397">
        <f t="shared" ca="1" si="138"/>
        <v>0</v>
      </c>
      <c r="Y289" s="1398">
        <f t="shared" ca="1" si="139"/>
        <v>0</v>
      </c>
      <c r="Z289" s="1398">
        <f t="shared" ca="1" si="140"/>
        <v>0</v>
      </c>
      <c r="AA289" s="1398">
        <f t="shared" ca="1" si="141"/>
        <v>0</v>
      </c>
      <c r="AB289" s="1398">
        <f t="shared" ca="1" si="142"/>
        <v>0</v>
      </c>
      <c r="AC289" s="1397">
        <f t="shared" ca="1" si="143"/>
        <v>0</v>
      </c>
      <c r="AD289" s="1397">
        <f ca="1">IF(B289&gt;=$J$5,0,CONTADORES!H299-CONTADORES!H298)</f>
        <v>0</v>
      </c>
      <c r="AE289" s="1397">
        <f ca="1">IF(B289&gt;=$J$5,0,CONTADORES!J299-CONTADORES!J298)</f>
        <v>0</v>
      </c>
      <c r="AF289" s="1397">
        <f ca="1">IF(B289&gt;=$J$5,0,CONTADORES!AU299-CONTADORES!AU298)</f>
        <v>0</v>
      </c>
      <c r="AG289" s="1397">
        <f ca="1">IF(B289&gt;=$J$5,0,CONTADORES!AW299-CONTADORES!AW298)</f>
        <v>0</v>
      </c>
      <c r="AH289" s="1409">
        <f ca="1">IF(B289&gt;=$J$5,0,(CONTADORES!AM299-CONTADORES!AM298)+(CONTADORES!M299-CONTADORES!M298))</f>
        <v>0</v>
      </c>
      <c r="AI289" s="1409">
        <f ca="1">IF(B289&gt;=$J$5,0,(CONTADORES!AK299-CONTADORES!AK298)+(CONTADORES!O299-CONTADORES!O298))</f>
        <v>0</v>
      </c>
      <c r="AJ289" s="1409">
        <f ca="1">IF(B289&gt;=$J$5,0,(CONTADORES!AI299-CONTADORES!AI298))</f>
        <v>0</v>
      </c>
      <c r="AK289" s="1409">
        <f ca="1">IF(B289&gt;=$J$5,0,(CONTADORES!Q299-CONTADORES!Q298))</f>
        <v>0</v>
      </c>
      <c r="AL289" s="1461">
        <f t="shared" ca="1" si="144"/>
        <v>0</v>
      </c>
      <c r="AM289" s="1409">
        <f ca="1">IF(B289&gt;=$J$5,0,(((CONTADORES!F299-CONTADORES!F298)+(CONTADORES!AQ299-CONTADORES!AQ298))))-BS289-AF289-AN289-BV289-BY289-CD289-CB289+T289</f>
        <v>0</v>
      </c>
      <c r="AN289" s="1397">
        <f ca="1">IF(B289&gt;=$J$5,0,(CONTADORES!AX299-CONTADORES!AX298)+(CONTADORES!AZ299-CONTADORES!AZ298)+(CONTADORES!BE299-CONTADORES!BE298))-CB289</f>
        <v>0</v>
      </c>
      <c r="AO289" s="1437">
        <f>(CONTADORES!AC299-CONTADORES!AC298)</f>
        <v>0</v>
      </c>
      <c r="AP289" s="1437">
        <f>(CONTADORES!X299-CONTADORES!X298)</f>
        <v>0</v>
      </c>
      <c r="AQ289" s="1437">
        <f>(CONTADORES!C299-CONTADORES!C298)</f>
        <v>0</v>
      </c>
      <c r="AR289" s="1437">
        <f>(CONTADORES!BC299-CONTADORES!BC298)</f>
        <v>0</v>
      </c>
      <c r="AS289" s="1397">
        <f ca="1">IF(B289&gt;=$J$5,0,CONTADORES!S299-CONTADORES!S298)</f>
        <v>0</v>
      </c>
      <c r="AT289" s="1397">
        <f ca="1">IF(B289&gt;=$J$5,0,(CONTADORES!U299-CONTADORES!U298)+(CONTADORES!AG299-CONTADORES!AG298))</f>
        <v>0</v>
      </c>
      <c r="AU289" s="1433">
        <f>CONTADORES!I299-CONTADORES!I298</f>
        <v>0</v>
      </c>
      <c r="AV289" s="1437">
        <f>CONTADORES!AV299-CONTADORES!AV298</f>
        <v>0</v>
      </c>
      <c r="AW289" s="1437">
        <f ca="1">IF(B289&gt;=$J$5,0,(CONTADORES!N299-CONTADORES!N298)+(CONTADORES!AN299-CONTADORES!AN298))</f>
        <v>0</v>
      </c>
      <c r="AX289" s="1437">
        <f ca="1">IF(B289&gt;=$J$5,0,(CONTADORES!P299-CONTADORES!P298)+(CONTADORES!AL299-CONTADORES!AL298))</f>
        <v>0</v>
      </c>
      <c r="AY289" s="1437">
        <f ca="1">IF(B289&gt;=$J$5,0,(CONTADORES!AJ299-CONTADORES!AJ298))</f>
        <v>0</v>
      </c>
      <c r="AZ289" s="1437">
        <f ca="1">IF(B289&gt;=$J$5,0,(CONTADORES!R299-CONTADORES!R298))</f>
        <v>0</v>
      </c>
      <c r="BA289" s="1409">
        <f t="shared" ca="1" si="145"/>
        <v>0</v>
      </c>
      <c r="BB289" s="1437">
        <f ca="1">IF(B289&gt;=$J$5,0,(((CONTADORES!G299-CONTADORES!G298)+(CONTADORES!AR299-CONTADORES!AR298))))-AV289-BC289-BT289-BW289-BZ289-CE289</f>
        <v>0</v>
      </c>
      <c r="BC289" s="1398">
        <f ca="1">IF(B289&gt;=$J$5,0,(CONTADORES!AY299-CONTADORES!AY298)+(CONTADORES!BA299-CONTADORES!BA298)+(CONTADORES!BF299-CONTADORES!BF298))</f>
        <v>0</v>
      </c>
      <c r="BD289" s="1397">
        <f t="shared" si="146"/>
        <v>0</v>
      </c>
      <c r="BE289" s="1398">
        <f ca="1">IF($B289&gt;=$J$5,0,CONTADORES!$BG299)</f>
        <v>0</v>
      </c>
      <c r="BF289" s="1397">
        <f ca="1">IF($B289&gt;=$J$5,0,CONTADORES!$BH299)</f>
        <v>0</v>
      </c>
      <c r="BG289" s="1398">
        <f ca="1">IF($B289&gt;=$J$5,0,CONTADORES!$BJ299)</f>
        <v>0</v>
      </c>
      <c r="BH289" s="1398">
        <f ca="1">IF(B289&gt;=$J$5,0,((CONTADORES!BK299-CONTADORES!BK298)/1000))</f>
        <v>0</v>
      </c>
      <c r="BI289" s="1398">
        <f ca="1">IF(B289&gt;=$J$5,0,((CONTADORES!BL299-CONTADORES!BL298)/1000))</f>
        <v>0</v>
      </c>
      <c r="BJ289" s="1398">
        <f ca="1">IF(B289&gt;=$J$5,0,((CONTADORES!BM299-CONTADORES!BM298)/1000))</f>
        <v>0</v>
      </c>
      <c r="BK289" s="1398">
        <f ca="1">IF(B289&gt;=$J$5,0,((CONTADORES!BN299-CONTADORES!BN298)/1000))</f>
        <v>0</v>
      </c>
      <c r="BL289" s="1399">
        <f t="shared" ca="1" si="147"/>
        <v>0</v>
      </c>
      <c r="BM289" s="1399">
        <f t="shared" ca="1" si="148"/>
        <v>0</v>
      </c>
      <c r="BN289" s="1398">
        <f ca="1">IF(B289&gt;=$J$5,0,CONTADORES!$BO299)</f>
        <v>0</v>
      </c>
      <c r="BO289" s="1397">
        <f ca="1">IF(W289&gt;=$J$5,0,CONTADORES!$BP299)</f>
        <v>0</v>
      </c>
      <c r="BP289" s="1397">
        <f ca="1">IF(W289&gt;=$J$5,0,CONTADORES!$BQ299)</f>
        <v>0</v>
      </c>
      <c r="BQ289" s="1397">
        <f ca="1">IF(B289&gt;=$J$5,0,(CONTADORES!AS299-CONTADORES!AS298))</f>
        <v>0</v>
      </c>
      <c r="BR289" s="1397">
        <f ca="1">IF(B289&gt;=$J$5,0,(CONTADORES!AT299-CONTADORES!AT298))</f>
        <v>0</v>
      </c>
      <c r="BS289" s="1398">
        <f ca="1">IF(B289&gt;=$J$5,0,CONTADORES!BR299-CONTADORES!BR298)/1000</f>
        <v>0</v>
      </c>
      <c r="BT289" s="1409">
        <f ca="1">IF(B289&gt;=$J$5,0,CONTADORES!BS299-CONTADORES!BS298)</f>
        <v>0</v>
      </c>
      <c r="BU289" s="1409">
        <f ca="1">IF(B289&gt;=$J$5,0,CONTADORES!BT299-CONTADORES!BT298)</f>
        <v>0</v>
      </c>
      <c r="BV289" s="1409">
        <f ca="1">IF(B289&gt;=$J$5,0,CONTADORES!BU299-CONTADORES!BU298)/1000</f>
        <v>0</v>
      </c>
      <c r="BW289" s="1409">
        <f ca="1">IF(B289&gt;=$J$5,0,CONTADORES!BV299-CONTADORES!BV298)/1000</f>
        <v>0</v>
      </c>
      <c r="BX289" s="1409">
        <f ca="1">IF(B289&gt;=$J$5,0,CONTADORES!BW299-CONTADORES!BW298)</f>
        <v>0</v>
      </c>
      <c r="BY289" s="1409">
        <f ca="1">IF(B289&gt;=$J$5,0,CONTADORES!BX299-CONTADORES!BX298)/1000</f>
        <v>0</v>
      </c>
      <c r="BZ289" s="1409">
        <f ca="1">IF(B289&gt;=$J$5,0,CONTADORES!BY299-CONTADORES!BY298)/1000</f>
        <v>0</v>
      </c>
      <c r="CA289" s="1409">
        <f ca="1">IF(B289&gt;=$J$5,0,CONTADORES!BZ299-CONTADORES!BZ298)</f>
        <v>0</v>
      </c>
      <c r="CB289" s="1409">
        <f ca="1">IF(B289&gt;=$J$5,0,(CONTADORES!CC299-CONTADORES!CC298)+(CONTADORES!CE299-CONTADORES!CE298))/1000</f>
        <v>0</v>
      </c>
      <c r="CC289" s="1409">
        <f ca="1">IF(B289&gt;=$J$5,0,(CONTADORES!CD299-CONTADORES!CD298)+(CONTADORES!CF299-CONTADORES!CF298))/1000</f>
        <v>0</v>
      </c>
      <c r="CD289" s="1409">
        <f ca="1">IF(B289&gt;=$J$5,0,CONTADORES!CA299-CONTADORES!CA298)</f>
        <v>0</v>
      </c>
      <c r="CE289" s="1409">
        <f ca="1">IF(B289&gt;=$J$5,0,CONTADORES!CB299-CONTADORES!CB298)</f>
        <v>0</v>
      </c>
      <c r="CF289" s="1409">
        <f t="shared" ca="1" si="149"/>
        <v>0</v>
      </c>
      <c r="CG289" s="1409">
        <f t="shared" ca="1" si="150"/>
        <v>0</v>
      </c>
      <c r="CH289" s="1409">
        <f t="shared" ca="1" si="151"/>
        <v>0</v>
      </c>
      <c r="CI289" s="1409">
        <f t="shared" ca="1" si="152"/>
        <v>0</v>
      </c>
      <c r="CJ289" s="1409">
        <f t="shared" ca="1" si="153"/>
        <v>0</v>
      </c>
      <c r="CK289" s="1409">
        <f t="shared" ca="1" si="154"/>
        <v>0</v>
      </c>
      <c r="CL289" s="1409">
        <f t="shared" ca="1" si="155"/>
        <v>0</v>
      </c>
      <c r="CM289" s="1409">
        <f t="shared" ca="1" si="156"/>
        <v>0</v>
      </c>
      <c r="CN289" s="1409">
        <f ca="1">IF(B289&gt;=$J$5,0,CONTADORES!CB299-CONTADORES!CB298)</f>
        <v>0</v>
      </c>
      <c r="CO289" s="1409">
        <f t="shared" ca="1" si="157"/>
        <v>0</v>
      </c>
      <c r="CP289" s="1409">
        <f t="shared" ca="1" si="158"/>
        <v>0</v>
      </c>
      <c r="CQ289" s="1409">
        <f t="shared" ca="1" si="159"/>
        <v>0</v>
      </c>
      <c r="CR289" s="1409">
        <f t="shared" ca="1" si="160"/>
        <v>0</v>
      </c>
      <c r="CS289" s="1409">
        <f ca="1">IF($B289&gt;=$J$5,0,CONTADORES!$BI299)</f>
        <v>0</v>
      </c>
      <c r="CT289" s="1334">
        <f>CONTADORES!E299</f>
        <v>0</v>
      </c>
      <c r="CU289" s="1334">
        <f>CONTADORES!CG299</f>
        <v>0</v>
      </c>
    </row>
    <row r="290" spans="2:99">
      <c r="B290" s="1477">
        <v>45206</v>
      </c>
      <c r="C290" s="202">
        <f t="shared" ca="1" si="134"/>
        <v>0</v>
      </c>
      <c r="D290" s="196">
        <f ca="1">'CALCULO DE GAS'!P112</f>
        <v>0</v>
      </c>
      <c r="E290" s="196">
        <f ca="1">IF(B290&gt;=$J$5,0,(CONTADORES!$AD300-CONTADORES!$AD299)-$H290)</f>
        <v>0</v>
      </c>
      <c r="F290" s="198">
        <f t="shared" ca="1" si="133"/>
        <v>0</v>
      </c>
      <c r="G290" s="196">
        <f ca="1">IF(B290&gt;=$J$5,0,CONTADORES!$AF300-CONTADORES!$AF299)</f>
        <v>0</v>
      </c>
      <c r="H290" s="196">
        <f ca="1">IF(G290&gt;0,CONTADORES!$AE300-CONTADORES!$AE299,0)</f>
        <v>0</v>
      </c>
      <c r="I290" s="199">
        <f ca="1">IF(B290&gt;=$J$5,0,CONTADORES!$AB300-CONTADORES!$AB299)</f>
        <v>0</v>
      </c>
      <c r="J290" s="198">
        <f t="shared" ca="1" si="135"/>
        <v>0</v>
      </c>
      <c r="K290" s="196">
        <f ca="1">'CALCULO DE GAS'!Q112</f>
        <v>0</v>
      </c>
      <c r="L290" s="1396">
        <f ca="1">IF(B290&gt;=$J$5,0,(CONTADORES!$Y300-CONTADORES!$Y299)-$O290)</f>
        <v>0</v>
      </c>
      <c r="M290" s="1396">
        <f t="shared" ref="M290:M321" ca="1" si="161">IF(O290=0,0,"ERROR")</f>
        <v>0</v>
      </c>
      <c r="N290" s="1396">
        <f ca="1">IF(B290&gt;=$J$5,0,CONTADORES!$AA300-CONTADORES!$AA299)</f>
        <v>0</v>
      </c>
      <c r="O290" s="1396">
        <f ca="1">IF(N290&gt;0,CONTADORES!$Z300-CONTADORES!$Z299,0)</f>
        <v>0</v>
      </c>
      <c r="P290" s="202">
        <f ca="1">IF(B290&gt;=$J$5,0,CONTADORES!$W300-CONTADORES!$W299)</f>
        <v>0</v>
      </c>
      <c r="Q290" s="202">
        <f ca="1">IF(B290&gt;=$J$5,0,CONTADORES!$B300-CONTADORES!$B299)</f>
        <v>0</v>
      </c>
      <c r="R290" s="196">
        <f t="shared" ca="1" si="136"/>
        <v>0</v>
      </c>
      <c r="S290" s="11">
        <f ca="1">IF(B290&gt;=$J$5,0,CONTADORES!$D300-CONTADORES!$D299)</f>
        <v>0</v>
      </c>
      <c r="T290" s="198">
        <f ca="1">IF(B290&gt;=$J$5,0,CONTADORES!$BB300-CONTADORES!$BB299)</f>
        <v>0</v>
      </c>
      <c r="U290" s="196">
        <f t="shared" ca="1" si="131"/>
        <v>0</v>
      </c>
      <c r="V290" s="199">
        <f ca="1">IF(B290&gt;=$J$5,0,CONTADORES!$BD300-CONTADORES!$BD299)</f>
        <v>0</v>
      </c>
      <c r="W290" s="1397">
        <f t="shared" ca="1" si="137"/>
        <v>0</v>
      </c>
      <c r="X290" s="1397">
        <f t="shared" ca="1" si="138"/>
        <v>0</v>
      </c>
      <c r="Y290" s="1398">
        <f t="shared" ca="1" si="139"/>
        <v>0</v>
      </c>
      <c r="Z290" s="1398">
        <f t="shared" ca="1" si="140"/>
        <v>0</v>
      </c>
      <c r="AA290" s="1398">
        <f t="shared" ca="1" si="141"/>
        <v>0</v>
      </c>
      <c r="AB290" s="1398">
        <f t="shared" ca="1" si="142"/>
        <v>0</v>
      </c>
      <c r="AC290" s="1397">
        <f t="shared" ca="1" si="143"/>
        <v>0</v>
      </c>
      <c r="AD290" s="1397">
        <f ca="1">IF(B290&gt;=$J$5,0,CONTADORES!H300-CONTADORES!H299)</f>
        <v>0</v>
      </c>
      <c r="AE290" s="1397">
        <f ca="1">IF(B290&gt;=$J$5,0,CONTADORES!J300-CONTADORES!J299)</f>
        <v>0</v>
      </c>
      <c r="AF290" s="1397">
        <f ca="1">IF(B290&gt;=$J$5,0,CONTADORES!AU300-CONTADORES!AU299)</f>
        <v>0</v>
      </c>
      <c r="AG290" s="1397">
        <f ca="1">IF(B290&gt;=$J$5,0,CONTADORES!AW300-CONTADORES!AW299)</f>
        <v>0</v>
      </c>
      <c r="AH290" s="1409">
        <f ca="1">IF(B290&gt;=$J$5,0,(CONTADORES!AM300-CONTADORES!AM299)+(CONTADORES!M300-CONTADORES!M299))</f>
        <v>0</v>
      </c>
      <c r="AI290" s="1409">
        <f ca="1">IF(B290&gt;=$J$5,0,(CONTADORES!AK300-CONTADORES!AK299)+(CONTADORES!O300-CONTADORES!O299))</f>
        <v>0</v>
      </c>
      <c r="AJ290" s="1409">
        <f ca="1">IF(B290&gt;=$J$5,0,(CONTADORES!AI300-CONTADORES!AI299))</f>
        <v>0</v>
      </c>
      <c r="AK290" s="1409">
        <f ca="1">IF(B290&gt;=$J$5,0,(CONTADORES!Q300-CONTADORES!Q299))</f>
        <v>0</v>
      </c>
      <c r="AL290" s="1461">
        <f t="shared" ca="1" si="144"/>
        <v>0</v>
      </c>
      <c r="AM290" s="1409">
        <f ca="1">IF(B290&gt;=$J$5,0,(((CONTADORES!F300-CONTADORES!F299)+(CONTADORES!AQ300-CONTADORES!AQ299))))-BS290-AF290-AN290-BV290-BY290-CD290-CB290+T290</f>
        <v>0</v>
      </c>
      <c r="AN290" s="1397">
        <f ca="1">IF(B290&gt;=$J$5,0,(CONTADORES!AX300-CONTADORES!AX299)+(CONTADORES!AZ300-CONTADORES!AZ299)+(CONTADORES!BE300-CONTADORES!BE299))-CB290</f>
        <v>0</v>
      </c>
      <c r="AO290" s="1437">
        <f>(CONTADORES!AC300-CONTADORES!AC299)</f>
        <v>0</v>
      </c>
      <c r="AP290" s="1437">
        <f>(CONTADORES!X300-CONTADORES!X299)</f>
        <v>0</v>
      </c>
      <c r="AQ290" s="1437">
        <f>(CONTADORES!C300-CONTADORES!C299)</f>
        <v>0</v>
      </c>
      <c r="AR290" s="1437">
        <f>(CONTADORES!BC300-CONTADORES!BC299)</f>
        <v>0</v>
      </c>
      <c r="AS290" s="1397">
        <f ca="1">IF(B290&gt;=$J$5,0,CONTADORES!S300-CONTADORES!S299)</f>
        <v>0</v>
      </c>
      <c r="AT290" s="1397">
        <f ca="1">IF(B290&gt;=$J$5,0,(CONTADORES!U300-CONTADORES!U299)+(CONTADORES!AG300-CONTADORES!AG299))</f>
        <v>0</v>
      </c>
      <c r="AU290" s="1433">
        <f>CONTADORES!I300-CONTADORES!I299</f>
        <v>0</v>
      </c>
      <c r="AV290" s="1437">
        <f>CONTADORES!AV300-CONTADORES!AV299</f>
        <v>0</v>
      </c>
      <c r="AW290" s="1437">
        <f ca="1">IF(B290&gt;=$J$5,0,(CONTADORES!N300-CONTADORES!N299)+(CONTADORES!AN300-CONTADORES!AN299))</f>
        <v>0</v>
      </c>
      <c r="AX290" s="1437">
        <f ca="1">IF(B290&gt;=$J$5,0,(CONTADORES!P300-CONTADORES!P299)+(CONTADORES!AL300-CONTADORES!AL299))</f>
        <v>0</v>
      </c>
      <c r="AY290" s="1437">
        <f ca="1">IF(B290&gt;=$J$5,0,(CONTADORES!AJ300-CONTADORES!AJ299))</f>
        <v>0</v>
      </c>
      <c r="AZ290" s="1437">
        <f ca="1">IF(B290&gt;=$J$5,0,(CONTADORES!R300-CONTADORES!R299))</f>
        <v>0</v>
      </c>
      <c r="BA290" s="1409">
        <f t="shared" ca="1" si="145"/>
        <v>0</v>
      </c>
      <c r="BB290" s="1437">
        <f ca="1">IF(B290&gt;=$J$5,0,(((CONTADORES!G300-CONTADORES!G299)+(CONTADORES!AR300-CONTADORES!AR299))))-AV290-BC290-BT290-BW290-BZ290-CE290</f>
        <v>0</v>
      </c>
      <c r="BC290" s="1398">
        <f ca="1">IF(B290&gt;=$J$5,0,(CONTADORES!AY300-CONTADORES!AY299)+(CONTADORES!BA300-CONTADORES!BA299)+(CONTADORES!BF300-CONTADORES!BF299))</f>
        <v>0</v>
      </c>
      <c r="BD290" s="1397">
        <f t="shared" si="146"/>
        <v>0</v>
      </c>
      <c r="BE290" s="1398">
        <f ca="1">IF($B290&gt;=$J$5,0,CONTADORES!$BG300)</f>
        <v>0</v>
      </c>
      <c r="BF290" s="1397">
        <f ca="1">IF($B290&gt;=$J$5,0,CONTADORES!$BH300)</f>
        <v>0</v>
      </c>
      <c r="BG290" s="1398">
        <f ca="1">IF($B290&gt;=$J$5,0,CONTADORES!$BJ300)</f>
        <v>0</v>
      </c>
      <c r="BH290" s="1398">
        <f ca="1">IF(B290&gt;=$J$5,0,((CONTADORES!BK300-CONTADORES!BK299)/1000))</f>
        <v>0</v>
      </c>
      <c r="BI290" s="1398">
        <f ca="1">IF(B290&gt;=$J$5,0,((CONTADORES!BL300-CONTADORES!BL299)/1000))</f>
        <v>0</v>
      </c>
      <c r="BJ290" s="1398">
        <f ca="1">IF(B290&gt;=$J$5,0,((CONTADORES!BM300-CONTADORES!BM299)/1000))</f>
        <v>0</v>
      </c>
      <c r="BK290" s="1398">
        <f ca="1">IF(B290&gt;=$J$5,0,((CONTADORES!BN300-CONTADORES!BN299)/1000))</f>
        <v>0</v>
      </c>
      <c r="BL290" s="1399">
        <f t="shared" ca="1" si="147"/>
        <v>0</v>
      </c>
      <c r="BM290" s="1399">
        <f t="shared" ca="1" si="148"/>
        <v>0</v>
      </c>
      <c r="BN290" s="1398">
        <f ca="1">IF(B290&gt;=$J$5,0,CONTADORES!$BO300)</f>
        <v>0</v>
      </c>
      <c r="BO290" s="1397">
        <f ca="1">IF(W290&gt;=$J$5,0,CONTADORES!$BP300)</f>
        <v>0</v>
      </c>
      <c r="BP290" s="1397">
        <f ca="1">IF(W290&gt;=$J$5,0,CONTADORES!$BQ300)</f>
        <v>0</v>
      </c>
      <c r="BQ290" s="1397">
        <f ca="1">IF(B290&gt;=$J$5,0,(CONTADORES!AS300-CONTADORES!AS299))</f>
        <v>0</v>
      </c>
      <c r="BR290" s="1397">
        <f ca="1">IF(B290&gt;=$J$5,0,(CONTADORES!AT300-CONTADORES!AT299))</f>
        <v>0</v>
      </c>
      <c r="BS290" s="1398">
        <f ca="1">IF(B290&gt;=$J$5,0,CONTADORES!BR300-CONTADORES!BR299)/1000</f>
        <v>0</v>
      </c>
      <c r="BT290" s="1409">
        <f ca="1">IF(B290&gt;=$J$5,0,CONTADORES!BS300-CONTADORES!BS299)</f>
        <v>0</v>
      </c>
      <c r="BU290" s="1409">
        <f ca="1">IF(B290&gt;=$J$5,0,CONTADORES!BT300-CONTADORES!BT299)</f>
        <v>0</v>
      </c>
      <c r="BV290" s="1409">
        <f ca="1">IF(B290&gt;=$J$5,0,CONTADORES!BU300-CONTADORES!BU299)/1000</f>
        <v>0</v>
      </c>
      <c r="BW290" s="1409">
        <f ca="1">IF(B290&gt;=$J$5,0,CONTADORES!BV300-CONTADORES!BV299)/1000</f>
        <v>0</v>
      </c>
      <c r="BX290" s="1409">
        <f ca="1">IF(B290&gt;=$J$5,0,CONTADORES!BW300-CONTADORES!BW299)</f>
        <v>0</v>
      </c>
      <c r="BY290" s="1409">
        <f ca="1">IF(B290&gt;=$J$5,0,CONTADORES!BX300-CONTADORES!BX299)/1000</f>
        <v>0</v>
      </c>
      <c r="BZ290" s="1409">
        <f ca="1">IF(B290&gt;=$J$5,0,CONTADORES!BY300-CONTADORES!BY299)/1000</f>
        <v>0</v>
      </c>
      <c r="CA290" s="1409">
        <f ca="1">IF(B290&gt;=$J$5,0,CONTADORES!BZ300-CONTADORES!BZ299)</f>
        <v>0</v>
      </c>
      <c r="CB290" s="1409">
        <f ca="1">IF(B290&gt;=$J$5,0,(CONTADORES!CC300-CONTADORES!CC299)+(CONTADORES!CE300-CONTADORES!CE299))/1000</f>
        <v>0</v>
      </c>
      <c r="CC290" s="1409">
        <f ca="1">IF(B290&gt;=$J$5,0,(CONTADORES!CD300-CONTADORES!CD299)+(CONTADORES!CF300-CONTADORES!CF299))/1000</f>
        <v>0</v>
      </c>
      <c r="CD290" s="1409">
        <f ca="1">IF(B290&gt;=$J$5,0,CONTADORES!CA300-CONTADORES!CA299)</f>
        <v>0</v>
      </c>
      <c r="CE290" s="1409">
        <f ca="1">IF(B290&gt;=$J$5,0,CONTADORES!CB300-CONTADORES!CB299)</f>
        <v>0</v>
      </c>
      <c r="CF290" s="1409">
        <f t="shared" ca="1" si="149"/>
        <v>0</v>
      </c>
      <c r="CG290" s="1409">
        <f t="shared" ca="1" si="150"/>
        <v>0</v>
      </c>
      <c r="CH290" s="1409">
        <f t="shared" ca="1" si="151"/>
        <v>0</v>
      </c>
      <c r="CI290" s="1409">
        <f t="shared" ca="1" si="152"/>
        <v>0</v>
      </c>
      <c r="CJ290" s="1409">
        <f t="shared" ca="1" si="153"/>
        <v>0</v>
      </c>
      <c r="CK290" s="1409">
        <f t="shared" ca="1" si="154"/>
        <v>0</v>
      </c>
      <c r="CL290" s="1409">
        <f t="shared" ca="1" si="155"/>
        <v>0</v>
      </c>
      <c r="CM290" s="1409">
        <f t="shared" ca="1" si="156"/>
        <v>0</v>
      </c>
      <c r="CN290" s="1409">
        <f ca="1">IF(B290&gt;=$J$5,0,CONTADORES!CB300-CONTADORES!CB299)</f>
        <v>0</v>
      </c>
      <c r="CO290" s="1409">
        <f t="shared" ca="1" si="157"/>
        <v>0</v>
      </c>
      <c r="CP290" s="1409">
        <f t="shared" ca="1" si="158"/>
        <v>0</v>
      </c>
      <c r="CQ290" s="1409">
        <f t="shared" ca="1" si="159"/>
        <v>0</v>
      </c>
      <c r="CR290" s="1409">
        <f t="shared" ca="1" si="160"/>
        <v>0</v>
      </c>
      <c r="CS290" s="1409">
        <f ca="1">IF($B290&gt;=$J$5,0,CONTADORES!$BI300)</f>
        <v>0</v>
      </c>
      <c r="CT290" s="1334">
        <f>CONTADORES!E300</f>
        <v>0</v>
      </c>
      <c r="CU290" s="1334">
        <f>CONTADORES!CG300</f>
        <v>0</v>
      </c>
    </row>
    <row r="291" spans="2:99">
      <c r="B291" s="1477">
        <v>45207</v>
      </c>
      <c r="C291" s="202">
        <f t="shared" ca="1" si="134"/>
        <v>0</v>
      </c>
      <c r="D291" s="196">
        <f ca="1">'CALCULO DE GAS'!P113</f>
        <v>0</v>
      </c>
      <c r="E291" s="196">
        <f ca="1">IF(B291&gt;=$J$5,0,(CONTADORES!$AD301-CONTADORES!$AD300)-$H291)</f>
        <v>0</v>
      </c>
      <c r="F291" s="198">
        <f t="shared" ca="1" si="133"/>
        <v>0</v>
      </c>
      <c r="G291" s="196">
        <f ca="1">IF(B291&gt;=$J$5,0,CONTADORES!$AF301-CONTADORES!$AF300)</f>
        <v>0</v>
      </c>
      <c r="H291" s="196">
        <f ca="1">IF(G291&gt;0,CONTADORES!$AE301-CONTADORES!$AE300,0)</f>
        <v>0</v>
      </c>
      <c r="I291" s="199">
        <f ca="1">IF(B291&gt;=$J$5,0,CONTADORES!$AB301-CONTADORES!$AB300)</f>
        <v>0</v>
      </c>
      <c r="J291" s="198">
        <f t="shared" ca="1" si="135"/>
        <v>0</v>
      </c>
      <c r="K291" s="196">
        <f ca="1">'CALCULO DE GAS'!Q113</f>
        <v>0</v>
      </c>
      <c r="L291" s="1396">
        <f ca="1">IF(B291&gt;=$J$5,0,(CONTADORES!$Y301-CONTADORES!$Y300)-$O291)</f>
        <v>0</v>
      </c>
      <c r="M291" s="1396">
        <f t="shared" ca="1" si="161"/>
        <v>0</v>
      </c>
      <c r="N291" s="1396">
        <f ca="1">IF(B291&gt;=$J$5,0,CONTADORES!$AA301-CONTADORES!$AA300)</f>
        <v>0</v>
      </c>
      <c r="O291" s="1396">
        <f ca="1">IF(N291&gt;0,CONTADORES!$Z301-CONTADORES!$Z300,0)</f>
        <v>0</v>
      </c>
      <c r="P291" s="202">
        <f ca="1">IF(B291&gt;=$J$5,0,CONTADORES!$W301-CONTADORES!$W300)</f>
        <v>0</v>
      </c>
      <c r="Q291" s="202">
        <f ca="1">IF(B291&gt;=$J$5,0,CONTADORES!$B301-CONTADORES!$B300)</f>
        <v>0</v>
      </c>
      <c r="R291" s="196">
        <f t="shared" ca="1" si="136"/>
        <v>0</v>
      </c>
      <c r="S291" s="11">
        <f ca="1">IF(B291&gt;=$J$5,0,CONTADORES!$D301-CONTADORES!$D300)</f>
        <v>0</v>
      </c>
      <c r="T291" s="198">
        <f ca="1">IF(B291&gt;=$J$5,0,CONTADORES!$BB301-CONTADORES!$BB300)</f>
        <v>0</v>
      </c>
      <c r="U291" s="196">
        <f t="shared" ca="1" si="131"/>
        <v>0</v>
      </c>
      <c r="V291" s="199">
        <f ca="1">IF(B291&gt;=$J$5,0,CONTADORES!$BD301-CONTADORES!$BD300)</f>
        <v>0</v>
      </c>
      <c r="W291" s="1397">
        <f t="shared" ca="1" si="137"/>
        <v>0</v>
      </c>
      <c r="X291" s="1397">
        <f t="shared" ca="1" si="138"/>
        <v>0</v>
      </c>
      <c r="Y291" s="1398">
        <f t="shared" ca="1" si="139"/>
        <v>0</v>
      </c>
      <c r="Z291" s="1398">
        <f t="shared" ca="1" si="140"/>
        <v>0</v>
      </c>
      <c r="AA291" s="1398">
        <f t="shared" ca="1" si="141"/>
        <v>0</v>
      </c>
      <c r="AB291" s="1398">
        <f t="shared" ca="1" si="142"/>
        <v>0</v>
      </c>
      <c r="AC291" s="1397">
        <f t="shared" ca="1" si="143"/>
        <v>0</v>
      </c>
      <c r="AD291" s="1397">
        <f ca="1">IF(B291&gt;=$J$5,0,CONTADORES!H301-CONTADORES!H300)</f>
        <v>0</v>
      </c>
      <c r="AE291" s="1397">
        <f ca="1">IF(B291&gt;=$J$5,0,CONTADORES!J301-CONTADORES!J300)</f>
        <v>0</v>
      </c>
      <c r="AF291" s="1397">
        <f ca="1">IF(B291&gt;=$J$5,0,CONTADORES!AU301-CONTADORES!AU300)</f>
        <v>0</v>
      </c>
      <c r="AG291" s="1397">
        <f ca="1">IF(B291&gt;=$J$5,0,CONTADORES!AW301-CONTADORES!AW300)</f>
        <v>0</v>
      </c>
      <c r="AH291" s="1409">
        <f ca="1">IF(B291&gt;=$J$5,0,(CONTADORES!AM301-CONTADORES!AM300)+(CONTADORES!M301-CONTADORES!M300))</f>
        <v>0</v>
      </c>
      <c r="AI291" s="1409">
        <f ca="1">IF(B291&gt;=$J$5,0,(CONTADORES!AK301-CONTADORES!AK300)+(CONTADORES!O301-CONTADORES!O300))</f>
        <v>0</v>
      </c>
      <c r="AJ291" s="1409">
        <f ca="1">IF(B291&gt;=$J$5,0,(CONTADORES!AI301-CONTADORES!AI300))</f>
        <v>0</v>
      </c>
      <c r="AK291" s="1409">
        <f ca="1">IF(B291&gt;=$J$5,0,(CONTADORES!Q301-CONTADORES!Q300))</f>
        <v>0</v>
      </c>
      <c r="AL291" s="1461">
        <f t="shared" ca="1" si="144"/>
        <v>0</v>
      </c>
      <c r="AM291" s="1409">
        <f ca="1">IF(B291&gt;=$J$5,0,(((CONTADORES!F301-CONTADORES!F300)+(CONTADORES!AQ301-CONTADORES!AQ300))))-BS291-AF291-AN291-BV291-BY291-CD291-CB291+T291</f>
        <v>0</v>
      </c>
      <c r="AN291" s="1397">
        <f ca="1">IF(B291&gt;=$J$5,0,(CONTADORES!AX301-CONTADORES!AX300)+(CONTADORES!AZ301-CONTADORES!AZ300)+(CONTADORES!BE301-CONTADORES!BE300))-CB291</f>
        <v>0</v>
      </c>
      <c r="AO291" s="1437">
        <f>(CONTADORES!AC301-CONTADORES!AC300)</f>
        <v>0</v>
      </c>
      <c r="AP291" s="1437">
        <f>(CONTADORES!X301-CONTADORES!X300)</f>
        <v>0</v>
      </c>
      <c r="AQ291" s="1437">
        <f>(CONTADORES!C301-CONTADORES!C300)</f>
        <v>0</v>
      </c>
      <c r="AR291" s="1437">
        <f>(CONTADORES!BC301-CONTADORES!BC300)</f>
        <v>0</v>
      </c>
      <c r="AS291" s="1397">
        <f ca="1">IF(B291&gt;=$J$5,0,CONTADORES!S301-CONTADORES!S300)</f>
        <v>0</v>
      </c>
      <c r="AT291" s="1397">
        <f ca="1">IF(B291&gt;=$J$5,0,(CONTADORES!U301-CONTADORES!U300)+(CONTADORES!AG301-CONTADORES!AG300))</f>
        <v>0</v>
      </c>
      <c r="AU291" s="1433">
        <f>CONTADORES!I301-CONTADORES!I300</f>
        <v>0</v>
      </c>
      <c r="AV291" s="1437">
        <f>CONTADORES!AV301-CONTADORES!AV300</f>
        <v>0</v>
      </c>
      <c r="AW291" s="1437">
        <f ca="1">IF(B291&gt;=$J$5,0,(CONTADORES!N301-CONTADORES!N300)+(CONTADORES!AN301-CONTADORES!AN300))</f>
        <v>0</v>
      </c>
      <c r="AX291" s="1437">
        <f ca="1">IF(B291&gt;=$J$5,0,(CONTADORES!P301-CONTADORES!P300)+(CONTADORES!AL301-CONTADORES!AL300))</f>
        <v>0</v>
      </c>
      <c r="AY291" s="1437">
        <f ca="1">IF(B291&gt;=$J$5,0,(CONTADORES!AJ301-CONTADORES!AJ300))</f>
        <v>0</v>
      </c>
      <c r="AZ291" s="1437">
        <f ca="1">IF(B291&gt;=$J$5,0,(CONTADORES!R301-CONTADORES!R300))</f>
        <v>0</v>
      </c>
      <c r="BA291" s="1409">
        <f t="shared" ca="1" si="145"/>
        <v>0</v>
      </c>
      <c r="BB291" s="1437">
        <f ca="1">IF(B291&gt;=$J$5,0,(((CONTADORES!G301-CONTADORES!G300)+(CONTADORES!AR301-CONTADORES!AR300))))-AV291-BC291-BT291-BW291-BZ291-CE291</f>
        <v>0</v>
      </c>
      <c r="BC291" s="1398">
        <f ca="1">IF(B291&gt;=$J$5,0,(CONTADORES!AY301-CONTADORES!AY300)+(CONTADORES!BA301-CONTADORES!BA300)+(CONTADORES!BF301-CONTADORES!BF300))</f>
        <v>0</v>
      </c>
      <c r="BD291" s="1397">
        <f t="shared" si="146"/>
        <v>0</v>
      </c>
      <c r="BE291" s="1398">
        <f ca="1">IF($B291&gt;=$J$5,0,CONTADORES!$BG301)</f>
        <v>0</v>
      </c>
      <c r="BF291" s="1397">
        <f ca="1">IF($B291&gt;=$J$5,0,CONTADORES!$BH301)</f>
        <v>0</v>
      </c>
      <c r="BG291" s="1398">
        <f ca="1">IF($B291&gt;=$J$5,0,CONTADORES!$BJ301)</f>
        <v>0</v>
      </c>
      <c r="BH291" s="1398">
        <f ca="1">IF(B291&gt;=$J$5,0,((CONTADORES!BK301-CONTADORES!BK300)/1000))</f>
        <v>0</v>
      </c>
      <c r="BI291" s="1398">
        <f ca="1">IF(B291&gt;=$J$5,0,((CONTADORES!BL301-CONTADORES!BL300)/1000))</f>
        <v>0</v>
      </c>
      <c r="BJ291" s="1398">
        <f ca="1">IF(B291&gt;=$J$5,0,((CONTADORES!BM301-CONTADORES!BM300)/1000))</f>
        <v>0</v>
      </c>
      <c r="BK291" s="1398">
        <f ca="1">IF(B291&gt;=$J$5,0,((CONTADORES!BN301-CONTADORES!BN300)/1000))</f>
        <v>0</v>
      </c>
      <c r="BL291" s="1399">
        <f t="shared" ca="1" si="147"/>
        <v>0</v>
      </c>
      <c r="BM291" s="1399">
        <f t="shared" ca="1" si="148"/>
        <v>0</v>
      </c>
      <c r="BN291" s="1398">
        <f ca="1">IF(B291&gt;=$J$5,0,CONTADORES!$BO301)</f>
        <v>0</v>
      </c>
      <c r="BO291" s="1397">
        <f ca="1">IF(W291&gt;=$J$5,0,CONTADORES!$BP301)</f>
        <v>0</v>
      </c>
      <c r="BP291" s="1397">
        <f ca="1">IF(W291&gt;=$J$5,0,CONTADORES!$BQ301)</f>
        <v>0</v>
      </c>
      <c r="BQ291" s="1397">
        <f ca="1">IF(B291&gt;=$J$5,0,(CONTADORES!AS301-CONTADORES!AS300))</f>
        <v>0</v>
      </c>
      <c r="BR291" s="1397">
        <f ca="1">IF(B291&gt;=$J$5,0,(CONTADORES!AT301-CONTADORES!AT300))</f>
        <v>0</v>
      </c>
      <c r="BS291" s="1398">
        <f ca="1">IF(B291&gt;=$J$5,0,CONTADORES!BR301-CONTADORES!BR300)/1000</f>
        <v>0</v>
      </c>
      <c r="BT291" s="1409">
        <f ca="1">IF(B291&gt;=$J$5,0,CONTADORES!BS301-CONTADORES!BS300)</f>
        <v>0</v>
      </c>
      <c r="BU291" s="1409">
        <f ca="1">IF(B291&gt;=$J$5,0,CONTADORES!BT301-CONTADORES!BT300)</f>
        <v>0</v>
      </c>
      <c r="BV291" s="1409">
        <f ca="1">IF(B291&gt;=$J$5,0,CONTADORES!BU301-CONTADORES!BU300)/1000</f>
        <v>0</v>
      </c>
      <c r="BW291" s="1409">
        <f ca="1">IF(B291&gt;=$J$5,0,CONTADORES!BV301-CONTADORES!BV300)/1000</f>
        <v>0</v>
      </c>
      <c r="BX291" s="1409">
        <f ca="1">IF(B291&gt;=$J$5,0,CONTADORES!BW301-CONTADORES!BW300)</f>
        <v>0</v>
      </c>
      <c r="BY291" s="1409">
        <f ca="1">IF(B291&gt;=$J$5,0,CONTADORES!BX301-CONTADORES!BX300)/1000</f>
        <v>0</v>
      </c>
      <c r="BZ291" s="1409">
        <f ca="1">IF(B291&gt;=$J$5,0,CONTADORES!BY301-CONTADORES!BY300)/1000</f>
        <v>0</v>
      </c>
      <c r="CA291" s="1409">
        <f ca="1">IF(B291&gt;=$J$5,0,CONTADORES!BZ301-CONTADORES!BZ300)</f>
        <v>0</v>
      </c>
      <c r="CB291" s="1409">
        <f ca="1">IF(B291&gt;=$J$5,0,(CONTADORES!CC301-CONTADORES!CC300)+(CONTADORES!CE301-CONTADORES!CE300))/1000</f>
        <v>0</v>
      </c>
      <c r="CC291" s="1409">
        <f ca="1">IF(B291&gt;=$J$5,0,(CONTADORES!CD301-CONTADORES!CD300)+(CONTADORES!CF301-CONTADORES!CF300))/1000</f>
        <v>0</v>
      </c>
      <c r="CD291" s="1409">
        <f ca="1">IF(B291&gt;=$J$5,0,CONTADORES!CA301-CONTADORES!CA300)</f>
        <v>0</v>
      </c>
      <c r="CE291" s="1409">
        <f ca="1">IF(B291&gt;=$J$5,0,CONTADORES!CB301-CONTADORES!CB300)</f>
        <v>0</v>
      </c>
      <c r="CF291" s="1409">
        <f t="shared" ca="1" si="149"/>
        <v>0</v>
      </c>
      <c r="CG291" s="1409">
        <f t="shared" ca="1" si="150"/>
        <v>0</v>
      </c>
      <c r="CH291" s="1409">
        <f t="shared" ca="1" si="151"/>
        <v>0</v>
      </c>
      <c r="CI291" s="1409">
        <f t="shared" ca="1" si="152"/>
        <v>0</v>
      </c>
      <c r="CJ291" s="1409">
        <f t="shared" ca="1" si="153"/>
        <v>0</v>
      </c>
      <c r="CK291" s="1409">
        <f t="shared" ca="1" si="154"/>
        <v>0</v>
      </c>
      <c r="CL291" s="1409">
        <f t="shared" ca="1" si="155"/>
        <v>0</v>
      </c>
      <c r="CM291" s="1409">
        <f t="shared" ca="1" si="156"/>
        <v>0</v>
      </c>
      <c r="CN291" s="1409">
        <f ca="1">IF(B291&gt;=$J$5,0,CONTADORES!CB301-CONTADORES!CB300)</f>
        <v>0</v>
      </c>
      <c r="CO291" s="1409">
        <f t="shared" ca="1" si="157"/>
        <v>0</v>
      </c>
      <c r="CP291" s="1409">
        <f t="shared" ca="1" si="158"/>
        <v>0</v>
      </c>
      <c r="CQ291" s="1409">
        <f t="shared" ca="1" si="159"/>
        <v>0</v>
      </c>
      <c r="CR291" s="1409">
        <f t="shared" ca="1" si="160"/>
        <v>0</v>
      </c>
      <c r="CS291" s="1409">
        <f ca="1">IF($B291&gt;=$J$5,0,CONTADORES!$BI301)</f>
        <v>0</v>
      </c>
      <c r="CT291" s="1334">
        <f>CONTADORES!E301</f>
        <v>0</v>
      </c>
      <c r="CU291" s="1334">
        <f>CONTADORES!CG301</f>
        <v>0</v>
      </c>
    </row>
    <row r="292" spans="2:99">
      <c r="B292" s="1477">
        <v>45208</v>
      </c>
      <c r="C292" s="202">
        <f t="shared" ca="1" si="134"/>
        <v>0</v>
      </c>
      <c r="D292" s="196">
        <f ca="1">'CALCULO DE GAS'!P114</f>
        <v>0</v>
      </c>
      <c r="E292" s="196">
        <f ca="1">IF(B292&gt;=$J$5,0,(CONTADORES!$AD302-CONTADORES!$AD301)-$H292)</f>
        <v>0</v>
      </c>
      <c r="F292" s="198">
        <f t="shared" ca="1" si="133"/>
        <v>0</v>
      </c>
      <c r="G292" s="196">
        <f ca="1">IF(B292&gt;=$J$5,0,CONTADORES!$AF302-CONTADORES!$AF301)</f>
        <v>0</v>
      </c>
      <c r="H292" s="196">
        <f ca="1">IF(G292&gt;0,CONTADORES!$AE302-CONTADORES!$AE301,0)</f>
        <v>0</v>
      </c>
      <c r="I292" s="199">
        <f ca="1">IF(B292&gt;=$J$5,0,CONTADORES!$AB302-CONTADORES!$AB301)</f>
        <v>0</v>
      </c>
      <c r="J292" s="198">
        <f t="shared" ca="1" si="135"/>
        <v>0</v>
      </c>
      <c r="K292" s="196">
        <f ca="1">'CALCULO DE GAS'!Q114</f>
        <v>0</v>
      </c>
      <c r="L292" s="1396">
        <f ca="1">IF(B292&gt;=$J$5,0,(CONTADORES!$Y302-CONTADORES!$Y301)-$O292)</f>
        <v>0</v>
      </c>
      <c r="M292" s="1396">
        <f t="shared" ca="1" si="161"/>
        <v>0</v>
      </c>
      <c r="N292" s="1396">
        <f ca="1">IF(B292&gt;=$J$5,0,CONTADORES!$AA302-CONTADORES!$AA301)</f>
        <v>0</v>
      </c>
      <c r="O292" s="1396">
        <f ca="1">IF(N292&gt;0,CONTADORES!$Z302-CONTADORES!$Z301,0)</f>
        <v>0</v>
      </c>
      <c r="P292" s="202">
        <f ca="1">IF(B292&gt;=$J$5,0,CONTADORES!$W302-CONTADORES!$W301)</f>
        <v>0</v>
      </c>
      <c r="Q292" s="202">
        <f ca="1">IF(B292&gt;=$J$5,0,CONTADORES!$B302-CONTADORES!$B301)</f>
        <v>0</v>
      </c>
      <c r="R292" s="196">
        <f t="shared" ca="1" si="136"/>
        <v>0</v>
      </c>
      <c r="S292" s="11">
        <f ca="1">IF(B292&gt;=$J$5,0,CONTADORES!$D302-CONTADORES!$D301)</f>
        <v>0</v>
      </c>
      <c r="T292" s="198">
        <f ca="1">IF(B292&gt;=$J$5,0,CONTADORES!$BB302-CONTADORES!$BB301)</f>
        <v>0</v>
      </c>
      <c r="U292" s="196">
        <f t="shared" ca="1" si="131"/>
        <v>0</v>
      </c>
      <c r="V292" s="199">
        <f ca="1">IF(B292&gt;=$J$5,0,CONTADORES!$BD302-CONTADORES!$BD301)</f>
        <v>0</v>
      </c>
      <c r="W292" s="1397">
        <f t="shared" ca="1" si="137"/>
        <v>0</v>
      </c>
      <c r="X292" s="1397">
        <f t="shared" ca="1" si="138"/>
        <v>0</v>
      </c>
      <c r="Y292" s="1398">
        <f t="shared" ca="1" si="139"/>
        <v>0</v>
      </c>
      <c r="Z292" s="1398">
        <f t="shared" ca="1" si="140"/>
        <v>0</v>
      </c>
      <c r="AA292" s="1398">
        <f t="shared" ca="1" si="141"/>
        <v>0</v>
      </c>
      <c r="AB292" s="1398">
        <f t="shared" ca="1" si="142"/>
        <v>0</v>
      </c>
      <c r="AC292" s="1397">
        <f t="shared" ca="1" si="143"/>
        <v>0</v>
      </c>
      <c r="AD292" s="1397">
        <f ca="1">IF(B292&gt;=$J$5,0,CONTADORES!H302-CONTADORES!H301)</f>
        <v>0</v>
      </c>
      <c r="AE292" s="1397">
        <f ca="1">IF(B292&gt;=$J$5,0,CONTADORES!J302-CONTADORES!J301)</f>
        <v>0</v>
      </c>
      <c r="AF292" s="1397">
        <f ca="1">IF(B292&gt;=$J$5,0,CONTADORES!AU302-CONTADORES!AU301)</f>
        <v>0</v>
      </c>
      <c r="AG292" s="1397">
        <f ca="1">IF(B292&gt;=$J$5,0,CONTADORES!AW302-CONTADORES!AW301)</f>
        <v>0</v>
      </c>
      <c r="AH292" s="1409">
        <f ca="1">IF(B292&gt;=$J$5,0,(CONTADORES!AM302-CONTADORES!AM301)+(CONTADORES!M302-CONTADORES!M301))</f>
        <v>0</v>
      </c>
      <c r="AI292" s="1409">
        <f ca="1">IF(B292&gt;=$J$5,0,(CONTADORES!AK302-CONTADORES!AK301)+(CONTADORES!O302-CONTADORES!O301))</f>
        <v>0</v>
      </c>
      <c r="AJ292" s="1409">
        <f ca="1">IF(B292&gt;=$J$5,0,(CONTADORES!AI302-CONTADORES!AI301))</f>
        <v>0</v>
      </c>
      <c r="AK292" s="1409">
        <f ca="1">IF(B292&gt;=$J$5,0,(CONTADORES!Q302-CONTADORES!Q301))</f>
        <v>0</v>
      </c>
      <c r="AL292" s="1461">
        <f t="shared" ca="1" si="144"/>
        <v>0</v>
      </c>
      <c r="AM292" s="1409">
        <f ca="1">IF(B292&gt;=$J$5,0,(((CONTADORES!F302-CONTADORES!F301)+(CONTADORES!AQ302-CONTADORES!AQ301))))-BS292-AF292-AN292-BV292-BY292-CD292-CB292+T292</f>
        <v>0</v>
      </c>
      <c r="AN292" s="1397">
        <f ca="1">IF(B292&gt;=$J$5,0,(CONTADORES!AX302-CONTADORES!AX301)+(CONTADORES!AZ302-CONTADORES!AZ301)+(CONTADORES!BE302-CONTADORES!BE301))-CB292</f>
        <v>0</v>
      </c>
      <c r="AO292" s="1437">
        <f>(CONTADORES!AC302-CONTADORES!AC301)</f>
        <v>0</v>
      </c>
      <c r="AP292" s="1437">
        <f>(CONTADORES!X302-CONTADORES!X301)</f>
        <v>0</v>
      </c>
      <c r="AQ292" s="1437">
        <f>(CONTADORES!C302-CONTADORES!C301)</f>
        <v>0</v>
      </c>
      <c r="AR292" s="1437">
        <f>(CONTADORES!BC302-CONTADORES!BC301)</f>
        <v>0</v>
      </c>
      <c r="AS292" s="1397">
        <f ca="1">IF(B292&gt;=$J$5,0,CONTADORES!S302-CONTADORES!S301)</f>
        <v>0</v>
      </c>
      <c r="AT292" s="1397">
        <f ca="1">IF(B292&gt;=$J$5,0,(CONTADORES!U302-CONTADORES!U301)+(CONTADORES!AG302-CONTADORES!AG301))</f>
        <v>0</v>
      </c>
      <c r="AU292" s="1433">
        <f>CONTADORES!I302-CONTADORES!I301</f>
        <v>0</v>
      </c>
      <c r="AV292" s="1437">
        <f>CONTADORES!AV302-CONTADORES!AV301</f>
        <v>0</v>
      </c>
      <c r="AW292" s="1437">
        <f ca="1">IF(B292&gt;=$J$5,0,(CONTADORES!N302-CONTADORES!N301)+(CONTADORES!AN302-CONTADORES!AN301))</f>
        <v>0</v>
      </c>
      <c r="AX292" s="1437">
        <f ca="1">IF(B292&gt;=$J$5,0,(CONTADORES!P302-CONTADORES!P301)+(CONTADORES!AL302-CONTADORES!AL301))</f>
        <v>0</v>
      </c>
      <c r="AY292" s="1437">
        <f ca="1">IF(B292&gt;=$J$5,0,(CONTADORES!AJ302-CONTADORES!AJ301))</f>
        <v>0</v>
      </c>
      <c r="AZ292" s="1437">
        <f ca="1">IF(B292&gt;=$J$5,0,(CONTADORES!R302-CONTADORES!R301))</f>
        <v>0</v>
      </c>
      <c r="BA292" s="1409">
        <f t="shared" ca="1" si="145"/>
        <v>0</v>
      </c>
      <c r="BB292" s="1437">
        <f ca="1">IF(B292&gt;=$J$5,0,(((CONTADORES!G302-CONTADORES!G301)+(CONTADORES!AR302-CONTADORES!AR301))))-AV292-BC292-BT292-BW292-BZ292-CE292</f>
        <v>0</v>
      </c>
      <c r="BC292" s="1398">
        <f ca="1">IF(B292&gt;=$J$5,0,(CONTADORES!AY302-CONTADORES!AY301)+(CONTADORES!BA302-CONTADORES!BA301)+(CONTADORES!BF302-CONTADORES!BF301))</f>
        <v>0</v>
      </c>
      <c r="BD292" s="1397">
        <f t="shared" si="146"/>
        <v>0</v>
      </c>
      <c r="BE292" s="1398">
        <f ca="1">IF($B292&gt;=$J$5,0,CONTADORES!$BG302)</f>
        <v>0</v>
      </c>
      <c r="BF292" s="1397">
        <f ca="1">IF($B292&gt;=$J$5,0,CONTADORES!$BH302)</f>
        <v>0</v>
      </c>
      <c r="BG292" s="1398">
        <f ca="1">IF($B292&gt;=$J$5,0,CONTADORES!$BJ302)</f>
        <v>0</v>
      </c>
      <c r="BH292" s="1398">
        <f ca="1">IF(B292&gt;=$J$5,0,((CONTADORES!BK302-CONTADORES!BK301)/1000))</f>
        <v>0</v>
      </c>
      <c r="BI292" s="1398">
        <f ca="1">IF(B292&gt;=$J$5,0,((CONTADORES!BL302-CONTADORES!BL301)/1000))</f>
        <v>0</v>
      </c>
      <c r="BJ292" s="1398">
        <f ca="1">IF(B292&gt;=$J$5,0,((CONTADORES!BM302-CONTADORES!BM301)/1000))</f>
        <v>0</v>
      </c>
      <c r="BK292" s="1398">
        <f ca="1">IF(B292&gt;=$J$5,0,((CONTADORES!BN302-CONTADORES!BN301)/1000))</f>
        <v>0</v>
      </c>
      <c r="BL292" s="1399">
        <f t="shared" ca="1" si="147"/>
        <v>0</v>
      </c>
      <c r="BM292" s="1399">
        <f t="shared" ca="1" si="148"/>
        <v>0</v>
      </c>
      <c r="BN292" s="1398">
        <f ca="1">IF(B292&gt;=$J$5,0,CONTADORES!$BO302)</f>
        <v>0</v>
      </c>
      <c r="BO292" s="1397">
        <f ca="1">IF(W292&gt;=$J$5,0,CONTADORES!$BP302)</f>
        <v>0</v>
      </c>
      <c r="BP292" s="1397">
        <f ca="1">IF(W292&gt;=$J$5,0,CONTADORES!$BQ302)</f>
        <v>0</v>
      </c>
      <c r="BQ292" s="1397">
        <f ca="1">IF(B292&gt;=$J$5,0,(CONTADORES!AS302-CONTADORES!AS301))</f>
        <v>0</v>
      </c>
      <c r="BR292" s="1397">
        <f ca="1">IF(B292&gt;=$J$5,0,(CONTADORES!AT302-CONTADORES!AT301))</f>
        <v>0</v>
      </c>
      <c r="BS292" s="1398">
        <f ca="1">IF(B292&gt;=$J$5,0,CONTADORES!BR302-CONTADORES!BR301)/1000</f>
        <v>0</v>
      </c>
      <c r="BT292" s="1409">
        <f ca="1">IF(B292&gt;=$J$5,0,CONTADORES!BS302-CONTADORES!BS301)</f>
        <v>0</v>
      </c>
      <c r="BU292" s="1409">
        <f ca="1">IF(B292&gt;=$J$5,0,CONTADORES!BT302-CONTADORES!BT301)</f>
        <v>0</v>
      </c>
      <c r="BV292" s="1409">
        <f ca="1">IF(B292&gt;=$J$5,0,CONTADORES!BU302-CONTADORES!BU301)/1000</f>
        <v>0</v>
      </c>
      <c r="BW292" s="1409">
        <f ca="1">IF(B292&gt;=$J$5,0,CONTADORES!BV302-CONTADORES!BV301)/1000</f>
        <v>0</v>
      </c>
      <c r="BX292" s="1409">
        <f ca="1">IF(B292&gt;=$J$5,0,CONTADORES!BW302-CONTADORES!BW301)</f>
        <v>0</v>
      </c>
      <c r="BY292" s="1409">
        <f ca="1">IF(B292&gt;=$J$5,0,CONTADORES!BX302-CONTADORES!BX301)/1000</f>
        <v>0</v>
      </c>
      <c r="BZ292" s="1409">
        <f ca="1">IF(B292&gt;=$J$5,0,CONTADORES!BY302-CONTADORES!BY301)/1000</f>
        <v>0</v>
      </c>
      <c r="CA292" s="1409">
        <f ca="1">IF(B292&gt;=$J$5,0,CONTADORES!BZ302-CONTADORES!BZ301)</f>
        <v>0</v>
      </c>
      <c r="CB292" s="1409">
        <f ca="1">IF(B292&gt;=$J$5,0,(CONTADORES!CC302-CONTADORES!CC301)+(CONTADORES!CE302-CONTADORES!CE301))/1000</f>
        <v>0</v>
      </c>
      <c r="CC292" s="1409">
        <f ca="1">IF(B292&gt;=$J$5,0,(CONTADORES!CD302-CONTADORES!CD301)+(CONTADORES!CF302-CONTADORES!CF301))/1000</f>
        <v>0</v>
      </c>
      <c r="CD292" s="1409">
        <f ca="1">IF(B292&gt;=$J$5,0,CONTADORES!CA302-CONTADORES!CA301)</f>
        <v>0</v>
      </c>
      <c r="CE292" s="1409">
        <f ca="1">IF(B292&gt;=$J$5,0,CONTADORES!CB302-CONTADORES!CB301)</f>
        <v>0</v>
      </c>
      <c r="CF292" s="1409">
        <f t="shared" ca="1" si="149"/>
        <v>0</v>
      </c>
      <c r="CG292" s="1409">
        <f t="shared" ca="1" si="150"/>
        <v>0</v>
      </c>
      <c r="CH292" s="1409">
        <f t="shared" ca="1" si="151"/>
        <v>0</v>
      </c>
      <c r="CI292" s="1409">
        <f t="shared" ca="1" si="152"/>
        <v>0</v>
      </c>
      <c r="CJ292" s="1409">
        <f t="shared" ca="1" si="153"/>
        <v>0</v>
      </c>
      <c r="CK292" s="1409">
        <f t="shared" ca="1" si="154"/>
        <v>0</v>
      </c>
      <c r="CL292" s="1409">
        <f t="shared" ca="1" si="155"/>
        <v>0</v>
      </c>
      <c r="CM292" s="1409">
        <f t="shared" ca="1" si="156"/>
        <v>0</v>
      </c>
      <c r="CN292" s="1409">
        <f ca="1">IF(B292&gt;=$J$5,0,CONTADORES!CB302-CONTADORES!CB301)</f>
        <v>0</v>
      </c>
      <c r="CO292" s="1409">
        <f t="shared" ca="1" si="157"/>
        <v>0</v>
      </c>
      <c r="CP292" s="1409">
        <f t="shared" ca="1" si="158"/>
        <v>0</v>
      </c>
      <c r="CQ292" s="1409">
        <f t="shared" ca="1" si="159"/>
        <v>0</v>
      </c>
      <c r="CR292" s="1409">
        <f t="shared" ca="1" si="160"/>
        <v>0</v>
      </c>
      <c r="CS292" s="1409">
        <f ca="1">IF($B292&gt;=$J$5,0,CONTADORES!$BI302)</f>
        <v>0</v>
      </c>
      <c r="CT292" s="1334">
        <f>CONTADORES!E302</f>
        <v>0</v>
      </c>
      <c r="CU292" s="1334">
        <f>CONTADORES!CG302</f>
        <v>0</v>
      </c>
    </row>
    <row r="293" spans="2:99">
      <c r="B293" s="1477">
        <v>45209</v>
      </c>
      <c r="C293" s="202">
        <f t="shared" ca="1" si="134"/>
        <v>0</v>
      </c>
      <c r="D293" s="196">
        <f ca="1">'CALCULO DE GAS'!P115</f>
        <v>0</v>
      </c>
      <c r="E293" s="196">
        <f ca="1">IF(B293&gt;=$J$5,0,(CONTADORES!$AD303-CONTADORES!$AD302)-$H293)</f>
        <v>0</v>
      </c>
      <c r="F293" s="198">
        <f t="shared" ca="1" si="133"/>
        <v>0</v>
      </c>
      <c r="G293" s="196">
        <f ca="1">IF(B293&gt;=$J$5,0,CONTADORES!$AF303-CONTADORES!$AF302)</f>
        <v>0</v>
      </c>
      <c r="H293" s="196">
        <f ca="1">IF(G293&gt;0,CONTADORES!$AE303-CONTADORES!$AE302,0)</f>
        <v>0</v>
      </c>
      <c r="I293" s="199">
        <f ca="1">IF(B293&gt;=$J$5,0,CONTADORES!$AB303-CONTADORES!$AB302)</f>
        <v>0</v>
      </c>
      <c r="J293" s="198">
        <f t="shared" ca="1" si="135"/>
        <v>0</v>
      </c>
      <c r="K293" s="196">
        <f ca="1">'CALCULO DE GAS'!Q115</f>
        <v>0</v>
      </c>
      <c r="L293" s="1396">
        <f ca="1">IF(B293&gt;=$J$5,0,(CONTADORES!$Y303-CONTADORES!$Y302)-$O293)</f>
        <v>0</v>
      </c>
      <c r="M293" s="1396">
        <f t="shared" ca="1" si="161"/>
        <v>0</v>
      </c>
      <c r="N293" s="1396">
        <f ca="1">IF(B293&gt;=$J$5,0,CONTADORES!$AA303-CONTADORES!$AA302)</f>
        <v>0</v>
      </c>
      <c r="O293" s="1396">
        <f ca="1">IF(N293&gt;0,CONTADORES!$Z303-CONTADORES!$Z302,0)</f>
        <v>0</v>
      </c>
      <c r="P293" s="202">
        <f ca="1">IF(B293&gt;=$J$5,0,CONTADORES!$W303-CONTADORES!$W302)</f>
        <v>0</v>
      </c>
      <c r="Q293" s="202">
        <f ca="1">IF(B293&gt;=$J$5,0,CONTADORES!$B303-CONTADORES!$B302)</f>
        <v>0</v>
      </c>
      <c r="R293" s="196">
        <f t="shared" ca="1" si="136"/>
        <v>0</v>
      </c>
      <c r="S293" s="11">
        <f ca="1">IF(B293&gt;=$J$5,0,CONTADORES!$D303-CONTADORES!$D302)</f>
        <v>0</v>
      </c>
      <c r="T293" s="198">
        <f ca="1">IF(B293&gt;=$J$5,0,CONTADORES!$BB303-CONTADORES!$BB302)</f>
        <v>0</v>
      </c>
      <c r="U293" s="196">
        <f t="shared" ref="U293:U356" ca="1" si="162">$T293*120</f>
        <v>0</v>
      </c>
      <c r="V293" s="199">
        <f ca="1">IF(B293&gt;=$J$5,0,CONTADORES!$BD303-CONTADORES!$BD302)</f>
        <v>0</v>
      </c>
      <c r="W293" s="1397">
        <f t="shared" ca="1" si="137"/>
        <v>0</v>
      </c>
      <c r="X293" s="1397">
        <f t="shared" ca="1" si="138"/>
        <v>0</v>
      </c>
      <c r="Y293" s="1398">
        <f t="shared" ca="1" si="139"/>
        <v>0</v>
      </c>
      <c r="Z293" s="1398">
        <f t="shared" ca="1" si="140"/>
        <v>0</v>
      </c>
      <c r="AA293" s="1398">
        <f t="shared" ca="1" si="141"/>
        <v>0</v>
      </c>
      <c r="AB293" s="1398">
        <f t="shared" ca="1" si="142"/>
        <v>0</v>
      </c>
      <c r="AC293" s="1397">
        <f t="shared" ca="1" si="143"/>
        <v>0</v>
      </c>
      <c r="AD293" s="1397">
        <f ca="1">IF(B293&gt;=$J$5,0,CONTADORES!H303-CONTADORES!H302)</f>
        <v>0</v>
      </c>
      <c r="AE293" s="1397">
        <f ca="1">IF(B293&gt;=$J$5,0,CONTADORES!J303-CONTADORES!J302)</f>
        <v>0</v>
      </c>
      <c r="AF293" s="1397">
        <f ca="1">IF(B293&gt;=$J$5,0,CONTADORES!AU303-CONTADORES!AU302)</f>
        <v>0</v>
      </c>
      <c r="AG293" s="1397">
        <f ca="1">IF(B293&gt;=$J$5,0,CONTADORES!AW303-CONTADORES!AW302)</f>
        <v>0</v>
      </c>
      <c r="AH293" s="1409">
        <f ca="1">IF(B293&gt;=$J$5,0,(CONTADORES!AM303-CONTADORES!AM302)+(CONTADORES!M303-CONTADORES!M302))</f>
        <v>0</v>
      </c>
      <c r="AI293" s="1409">
        <f ca="1">IF(B293&gt;=$J$5,0,(CONTADORES!AK303-CONTADORES!AK302)+(CONTADORES!O303-CONTADORES!O302))</f>
        <v>0</v>
      </c>
      <c r="AJ293" s="1409">
        <f ca="1">IF(B293&gt;=$J$5,0,(CONTADORES!AI303-CONTADORES!AI302))</f>
        <v>0</v>
      </c>
      <c r="AK293" s="1409">
        <f ca="1">IF(B293&gt;=$J$5,0,(CONTADORES!Q303-CONTADORES!Q302))</f>
        <v>0</v>
      </c>
      <c r="AL293" s="1461">
        <f t="shared" ca="1" si="144"/>
        <v>0</v>
      </c>
      <c r="AM293" s="1409">
        <f ca="1">IF(B293&gt;=$J$5,0,(((CONTADORES!F303-CONTADORES!F302)+(CONTADORES!AQ303-CONTADORES!AQ302))))-BS293-AF293-AN293-BV293-BY293-CD293-CB293+T293</f>
        <v>0</v>
      </c>
      <c r="AN293" s="1397">
        <f ca="1">IF(B293&gt;=$J$5,0,(CONTADORES!AX303-CONTADORES!AX302)+(CONTADORES!AZ303-CONTADORES!AZ302)+(CONTADORES!BE303-CONTADORES!BE302))-CB293</f>
        <v>0</v>
      </c>
      <c r="AO293" s="1437">
        <f>(CONTADORES!AC303-CONTADORES!AC302)</f>
        <v>0</v>
      </c>
      <c r="AP293" s="1437">
        <f>(CONTADORES!X303-CONTADORES!X302)</f>
        <v>0</v>
      </c>
      <c r="AQ293" s="1437">
        <f>(CONTADORES!C303-CONTADORES!C302)</f>
        <v>0</v>
      </c>
      <c r="AR293" s="1437">
        <f>(CONTADORES!BC303-CONTADORES!BC302)</f>
        <v>0</v>
      </c>
      <c r="AS293" s="1397">
        <f ca="1">IF(B293&gt;=$J$5,0,CONTADORES!S303-CONTADORES!S302)</f>
        <v>0</v>
      </c>
      <c r="AT293" s="1397">
        <f ca="1">IF(B293&gt;=$J$5,0,(CONTADORES!U303-CONTADORES!U302)+(CONTADORES!AG303-CONTADORES!AG302))</f>
        <v>0</v>
      </c>
      <c r="AU293" s="1433">
        <f>CONTADORES!I303-CONTADORES!I302</f>
        <v>0</v>
      </c>
      <c r="AV293" s="1437">
        <f>CONTADORES!AV303-CONTADORES!AV302</f>
        <v>0</v>
      </c>
      <c r="AW293" s="1437">
        <f ca="1">IF(B293&gt;=$J$5,0,(CONTADORES!N303-CONTADORES!N302)+(CONTADORES!AN303-CONTADORES!AN302))</f>
        <v>0</v>
      </c>
      <c r="AX293" s="1437">
        <f ca="1">IF(B293&gt;=$J$5,0,(CONTADORES!P303-CONTADORES!P302)+(CONTADORES!AL303-CONTADORES!AL302))</f>
        <v>0</v>
      </c>
      <c r="AY293" s="1437">
        <f ca="1">IF(B293&gt;=$J$5,0,(CONTADORES!AJ303-CONTADORES!AJ302))</f>
        <v>0</v>
      </c>
      <c r="AZ293" s="1437">
        <f ca="1">IF(B293&gt;=$J$5,0,(CONTADORES!R303-CONTADORES!R302))</f>
        <v>0</v>
      </c>
      <c r="BA293" s="1409">
        <f t="shared" ca="1" si="145"/>
        <v>0</v>
      </c>
      <c r="BB293" s="1437">
        <f ca="1">IF(B293&gt;=$J$5,0,(((CONTADORES!G303-CONTADORES!G302)+(CONTADORES!AR303-CONTADORES!AR302))))-AV293-BC293-BT293-BW293-BZ293-CE293</f>
        <v>0</v>
      </c>
      <c r="BC293" s="1398">
        <f ca="1">IF(B293&gt;=$J$5,0,(CONTADORES!AY303-CONTADORES!AY302)+(CONTADORES!BA303-CONTADORES!BA302)+(CONTADORES!BF303-CONTADORES!BF302))</f>
        <v>0</v>
      </c>
      <c r="BD293" s="1397">
        <f t="shared" si="146"/>
        <v>0</v>
      </c>
      <c r="BE293" s="1398">
        <f ca="1">IF($B293&gt;=$J$5,0,CONTADORES!$BG303)</f>
        <v>0</v>
      </c>
      <c r="BF293" s="1397">
        <f ca="1">IF($B293&gt;=$J$5,0,CONTADORES!$BH303)</f>
        <v>0</v>
      </c>
      <c r="BG293" s="1398">
        <f ca="1">IF($B293&gt;=$J$5,0,CONTADORES!$BJ303)</f>
        <v>0</v>
      </c>
      <c r="BH293" s="1398">
        <f ca="1">IF(B293&gt;=$J$5,0,((CONTADORES!BK303-CONTADORES!BK302)/1000))</f>
        <v>0</v>
      </c>
      <c r="BI293" s="1398">
        <f ca="1">IF(B293&gt;=$J$5,0,((CONTADORES!BL303-CONTADORES!BL302)/1000))</f>
        <v>0</v>
      </c>
      <c r="BJ293" s="1398">
        <f ca="1">IF(B293&gt;=$J$5,0,((CONTADORES!BM303-CONTADORES!BM302)/1000))</f>
        <v>0</v>
      </c>
      <c r="BK293" s="1398">
        <f ca="1">IF(B293&gt;=$J$5,0,((CONTADORES!BN303-CONTADORES!BN302)/1000))</f>
        <v>0</v>
      </c>
      <c r="BL293" s="1399">
        <f t="shared" ca="1" si="147"/>
        <v>0</v>
      </c>
      <c r="BM293" s="1399">
        <f t="shared" ca="1" si="148"/>
        <v>0</v>
      </c>
      <c r="BN293" s="1398">
        <f ca="1">IF(B293&gt;=$J$5,0,CONTADORES!$BO303)</f>
        <v>0</v>
      </c>
      <c r="BO293" s="1397">
        <f ca="1">IF(W293&gt;=$J$5,0,CONTADORES!$BP303)</f>
        <v>0</v>
      </c>
      <c r="BP293" s="1397">
        <f ca="1">IF(W293&gt;=$J$5,0,CONTADORES!$BQ303)</f>
        <v>0</v>
      </c>
      <c r="BQ293" s="1397">
        <f ca="1">IF(B293&gt;=$J$5,0,(CONTADORES!AS303-CONTADORES!AS302))</f>
        <v>0</v>
      </c>
      <c r="BR293" s="1397">
        <f ca="1">IF(B293&gt;=$J$5,0,(CONTADORES!AT303-CONTADORES!AT302))</f>
        <v>0</v>
      </c>
      <c r="BS293" s="1398">
        <f ca="1">IF(B293&gt;=$J$5,0,CONTADORES!BR303-CONTADORES!BR302)/1000</f>
        <v>0</v>
      </c>
      <c r="BT293" s="1409">
        <f ca="1">IF(B293&gt;=$J$5,0,CONTADORES!BS303-CONTADORES!BS302)</f>
        <v>0</v>
      </c>
      <c r="BU293" s="1409">
        <f ca="1">IF(B293&gt;=$J$5,0,CONTADORES!BT303-CONTADORES!BT302)</f>
        <v>0</v>
      </c>
      <c r="BV293" s="1409">
        <f ca="1">IF(B293&gt;=$J$5,0,CONTADORES!BU303-CONTADORES!BU302)/1000</f>
        <v>0</v>
      </c>
      <c r="BW293" s="1409">
        <f ca="1">IF(B293&gt;=$J$5,0,CONTADORES!BV303-CONTADORES!BV302)/1000</f>
        <v>0</v>
      </c>
      <c r="BX293" s="1409">
        <f ca="1">IF(B293&gt;=$J$5,0,CONTADORES!BW303-CONTADORES!BW302)</f>
        <v>0</v>
      </c>
      <c r="BY293" s="1409">
        <f ca="1">IF(B293&gt;=$J$5,0,CONTADORES!BX303-CONTADORES!BX302)/1000</f>
        <v>0</v>
      </c>
      <c r="BZ293" s="1409">
        <f ca="1">IF(B293&gt;=$J$5,0,CONTADORES!BY303-CONTADORES!BY302)/1000</f>
        <v>0</v>
      </c>
      <c r="CA293" s="1409">
        <f ca="1">IF(B293&gt;=$J$5,0,CONTADORES!BZ303-CONTADORES!BZ302)</f>
        <v>0</v>
      </c>
      <c r="CB293" s="1409">
        <f ca="1">IF(B293&gt;=$J$5,0,(CONTADORES!CC303-CONTADORES!CC302)+(CONTADORES!CE303-CONTADORES!CE302))/1000</f>
        <v>0</v>
      </c>
      <c r="CC293" s="1409">
        <f ca="1">IF(B293&gt;=$J$5,0,(CONTADORES!CD303-CONTADORES!CD302)+(CONTADORES!CF303-CONTADORES!CF302))/1000</f>
        <v>0</v>
      </c>
      <c r="CD293" s="1409">
        <f ca="1">IF(B293&gt;=$J$5,0,CONTADORES!CA303-CONTADORES!CA302)</f>
        <v>0</v>
      </c>
      <c r="CE293" s="1409">
        <f ca="1">IF(B293&gt;=$J$5,0,CONTADORES!CB303-CONTADORES!CB302)</f>
        <v>0</v>
      </c>
      <c r="CF293" s="1409">
        <f t="shared" ca="1" si="149"/>
        <v>0</v>
      </c>
      <c r="CG293" s="1409">
        <f t="shared" ca="1" si="150"/>
        <v>0</v>
      </c>
      <c r="CH293" s="1409">
        <f t="shared" ca="1" si="151"/>
        <v>0</v>
      </c>
      <c r="CI293" s="1409">
        <f t="shared" ca="1" si="152"/>
        <v>0</v>
      </c>
      <c r="CJ293" s="1409">
        <f t="shared" ca="1" si="153"/>
        <v>0</v>
      </c>
      <c r="CK293" s="1409">
        <f t="shared" ca="1" si="154"/>
        <v>0</v>
      </c>
      <c r="CL293" s="1409">
        <f t="shared" ca="1" si="155"/>
        <v>0</v>
      </c>
      <c r="CM293" s="1409">
        <f t="shared" ca="1" si="156"/>
        <v>0</v>
      </c>
      <c r="CN293" s="1409">
        <f ca="1">IF(B293&gt;=$J$5,0,CONTADORES!CB303-CONTADORES!CB302)</f>
        <v>0</v>
      </c>
      <c r="CO293" s="1409">
        <f t="shared" ca="1" si="157"/>
        <v>0</v>
      </c>
      <c r="CP293" s="1409">
        <f t="shared" ca="1" si="158"/>
        <v>0</v>
      </c>
      <c r="CQ293" s="1409">
        <f t="shared" ca="1" si="159"/>
        <v>0</v>
      </c>
      <c r="CR293" s="1409">
        <f t="shared" ca="1" si="160"/>
        <v>0</v>
      </c>
      <c r="CS293" s="1409">
        <f ca="1">IF($B293&gt;=$J$5,0,CONTADORES!$BI303)</f>
        <v>0</v>
      </c>
      <c r="CT293" s="1334">
        <f>CONTADORES!E303</f>
        <v>0</v>
      </c>
      <c r="CU293" s="1334">
        <f>CONTADORES!CG303</f>
        <v>0</v>
      </c>
    </row>
    <row r="294" spans="2:99">
      <c r="B294" s="1477">
        <v>45210</v>
      </c>
      <c r="C294" s="202">
        <f t="shared" ca="1" si="134"/>
        <v>0</v>
      </c>
      <c r="D294" s="196">
        <f ca="1">'CALCULO DE GAS'!P116</f>
        <v>0</v>
      </c>
      <c r="E294" s="196">
        <f ca="1">IF(B294&gt;=$J$5,0,(CONTADORES!$AD304-CONTADORES!$AD303)-$H294)</f>
        <v>0</v>
      </c>
      <c r="F294" s="198">
        <f t="shared" ref="F294:F316" ca="1" si="163">IF(H294=0,0,"ERROR")</f>
        <v>0</v>
      </c>
      <c r="G294" s="196">
        <f ca="1">IF(B294&gt;=$J$5,0,CONTADORES!$AF304-CONTADORES!$AF303)</f>
        <v>0</v>
      </c>
      <c r="H294" s="196">
        <f ca="1">IF(G294&gt;0,CONTADORES!$AE304-CONTADORES!$AE303,0)</f>
        <v>0</v>
      </c>
      <c r="I294" s="199">
        <f ca="1">IF(B294&gt;=$J$5,0,CONTADORES!$AB304-CONTADORES!$AB303)</f>
        <v>0</v>
      </c>
      <c r="J294" s="198">
        <f t="shared" ca="1" si="135"/>
        <v>0</v>
      </c>
      <c r="K294" s="196">
        <f ca="1">'CALCULO DE GAS'!Q116</f>
        <v>0</v>
      </c>
      <c r="L294" s="1396">
        <f ca="1">IF(B294&gt;=$J$5,0,(CONTADORES!$Y304-CONTADORES!$Y303)-$O294)</f>
        <v>0</v>
      </c>
      <c r="M294" s="1396">
        <f t="shared" ca="1" si="161"/>
        <v>0</v>
      </c>
      <c r="N294" s="1396">
        <f ca="1">IF(B294&gt;=$J$5,0,CONTADORES!$AA304-CONTADORES!$AA303)</f>
        <v>0</v>
      </c>
      <c r="O294" s="1396">
        <f ca="1">IF(N294&gt;0,CONTADORES!$Z304-CONTADORES!$Z303,0)</f>
        <v>0</v>
      </c>
      <c r="P294" s="202">
        <f ca="1">IF(B294&gt;=$J$5,0,CONTADORES!$W304-CONTADORES!$W303)</f>
        <v>0</v>
      </c>
      <c r="Q294" s="202">
        <f ca="1">IF(B294&gt;=$J$5,0,CONTADORES!$B304-CONTADORES!$B303)</f>
        <v>0</v>
      </c>
      <c r="R294" s="196">
        <f t="shared" ca="1" si="136"/>
        <v>0</v>
      </c>
      <c r="S294" s="11">
        <f ca="1">IF(B294&gt;=$J$5,0,CONTADORES!$D304-CONTADORES!$D303)</f>
        <v>0</v>
      </c>
      <c r="T294" s="198">
        <f ca="1">IF(B294&gt;=$J$5,0,CONTADORES!$BB304-CONTADORES!$BB303)</f>
        <v>0</v>
      </c>
      <c r="U294" s="196">
        <f t="shared" ca="1" si="162"/>
        <v>0</v>
      </c>
      <c r="V294" s="199">
        <f ca="1">IF(B294&gt;=$J$5,0,CONTADORES!$BD304-CONTADORES!$BD303)</f>
        <v>0</v>
      </c>
      <c r="W294" s="1397">
        <f t="shared" ca="1" si="137"/>
        <v>0</v>
      </c>
      <c r="X294" s="1397">
        <f t="shared" ca="1" si="138"/>
        <v>0</v>
      </c>
      <c r="Y294" s="1398">
        <f t="shared" ca="1" si="139"/>
        <v>0</v>
      </c>
      <c r="Z294" s="1398">
        <f t="shared" ca="1" si="140"/>
        <v>0</v>
      </c>
      <c r="AA294" s="1398">
        <f t="shared" ca="1" si="141"/>
        <v>0</v>
      </c>
      <c r="AB294" s="1398">
        <f t="shared" ca="1" si="142"/>
        <v>0</v>
      </c>
      <c r="AC294" s="1397">
        <f t="shared" ca="1" si="143"/>
        <v>0</v>
      </c>
      <c r="AD294" s="1397">
        <f ca="1">IF(B294&gt;=$J$5,0,CONTADORES!H304-CONTADORES!H303)</f>
        <v>0</v>
      </c>
      <c r="AE294" s="1397">
        <f ca="1">IF(B294&gt;=$J$5,0,CONTADORES!J304-CONTADORES!J303)</f>
        <v>0</v>
      </c>
      <c r="AF294" s="1397">
        <f ca="1">IF(B294&gt;=$J$5,0,CONTADORES!AU304-CONTADORES!AU303)</f>
        <v>0</v>
      </c>
      <c r="AG294" s="1397">
        <f ca="1">IF(B294&gt;=$J$5,0,CONTADORES!AW304-CONTADORES!AW303)</f>
        <v>0</v>
      </c>
      <c r="AH294" s="1409">
        <f ca="1">IF(B294&gt;=$J$5,0,(CONTADORES!AM304-CONTADORES!AM303)+(CONTADORES!M304-CONTADORES!M303))</f>
        <v>0</v>
      </c>
      <c r="AI294" s="1409">
        <f ca="1">IF(B294&gt;=$J$5,0,(CONTADORES!AK304-CONTADORES!AK303)+(CONTADORES!O304-CONTADORES!O303))</f>
        <v>0</v>
      </c>
      <c r="AJ294" s="1409">
        <f ca="1">IF(B294&gt;=$J$5,0,(CONTADORES!AI304-CONTADORES!AI303))</f>
        <v>0</v>
      </c>
      <c r="AK294" s="1409">
        <f ca="1">IF(B294&gt;=$J$5,0,(CONTADORES!Q304-CONTADORES!Q303))</f>
        <v>0</v>
      </c>
      <c r="AL294" s="1461">
        <f t="shared" ca="1" si="144"/>
        <v>0</v>
      </c>
      <c r="AM294" s="1409">
        <f ca="1">IF(B294&gt;=$J$5,0,(((CONTADORES!F304-CONTADORES!F303)+(CONTADORES!AQ304-CONTADORES!AQ303))))-BS294-AF294-AN294-BV294-BY294-CD294-CB294+T294</f>
        <v>0</v>
      </c>
      <c r="AN294" s="1397">
        <f ca="1">IF(B294&gt;=$J$5,0,(CONTADORES!AX304-CONTADORES!AX303)+(CONTADORES!AZ304-CONTADORES!AZ303)+(CONTADORES!BE304-CONTADORES!BE303))-CB294</f>
        <v>0</v>
      </c>
      <c r="AO294" s="1437">
        <f>(CONTADORES!AC304-CONTADORES!AC303)</f>
        <v>0</v>
      </c>
      <c r="AP294" s="1437">
        <f>(CONTADORES!X304-CONTADORES!X303)</f>
        <v>0</v>
      </c>
      <c r="AQ294" s="1437">
        <f>(CONTADORES!C304-CONTADORES!C303)</f>
        <v>0</v>
      </c>
      <c r="AR294" s="1437">
        <f>(CONTADORES!BC304-CONTADORES!BC303)</f>
        <v>0</v>
      </c>
      <c r="AS294" s="1397">
        <f ca="1">IF(B294&gt;=$J$5,0,CONTADORES!S304-CONTADORES!S303)</f>
        <v>0</v>
      </c>
      <c r="AT294" s="1397">
        <f ca="1">IF(B294&gt;=$J$5,0,(CONTADORES!U304-CONTADORES!U303)+(CONTADORES!AG304-CONTADORES!AG303))</f>
        <v>0</v>
      </c>
      <c r="AU294" s="1433">
        <f>CONTADORES!I304-CONTADORES!I303</f>
        <v>0</v>
      </c>
      <c r="AV294" s="1437">
        <f>CONTADORES!AV304-CONTADORES!AV303</f>
        <v>0</v>
      </c>
      <c r="AW294" s="1437">
        <f ca="1">IF(B294&gt;=$J$5,0,(CONTADORES!N304-CONTADORES!N303)+(CONTADORES!AN304-CONTADORES!AN303))</f>
        <v>0</v>
      </c>
      <c r="AX294" s="1437">
        <f ca="1">IF(B294&gt;=$J$5,0,(CONTADORES!P304-CONTADORES!P303)+(CONTADORES!AL304-CONTADORES!AL303))</f>
        <v>0</v>
      </c>
      <c r="AY294" s="1437">
        <f ca="1">IF(B294&gt;=$J$5,0,(CONTADORES!AJ304-CONTADORES!AJ303))</f>
        <v>0</v>
      </c>
      <c r="AZ294" s="1437">
        <f ca="1">IF(B294&gt;=$J$5,0,(CONTADORES!R304-CONTADORES!R303))</f>
        <v>0</v>
      </c>
      <c r="BA294" s="1409">
        <f t="shared" ca="1" si="145"/>
        <v>0</v>
      </c>
      <c r="BB294" s="1437">
        <f ca="1">IF(B294&gt;=$J$5,0,(((CONTADORES!G304-CONTADORES!G303)+(CONTADORES!AR304-CONTADORES!AR303))))-AV294-BC294-BT294-BW294-BZ294-CE294</f>
        <v>0</v>
      </c>
      <c r="BC294" s="1398">
        <f ca="1">IF(B294&gt;=$J$5,0,(CONTADORES!AY304-CONTADORES!AY303)+(CONTADORES!BA304-CONTADORES!BA303)+(CONTADORES!BF304-CONTADORES!BF303))</f>
        <v>0</v>
      </c>
      <c r="BD294" s="1397">
        <f t="shared" si="146"/>
        <v>0</v>
      </c>
      <c r="BE294" s="1398">
        <f ca="1">IF($B294&gt;=$J$5,0,CONTADORES!$BG304)</f>
        <v>0</v>
      </c>
      <c r="BF294" s="1397">
        <f ca="1">IF($B294&gt;=$J$5,0,CONTADORES!$BH304)</f>
        <v>0</v>
      </c>
      <c r="BG294" s="1398">
        <f ca="1">IF($B294&gt;=$J$5,0,CONTADORES!$BJ304)</f>
        <v>0</v>
      </c>
      <c r="BH294" s="1398">
        <f ca="1">IF(B294&gt;=$J$5,0,((CONTADORES!BK304-CONTADORES!BK303)/1000))</f>
        <v>0</v>
      </c>
      <c r="BI294" s="1398">
        <f ca="1">IF(B294&gt;=$J$5,0,((CONTADORES!BL304-CONTADORES!BL303)/1000))</f>
        <v>0</v>
      </c>
      <c r="BJ294" s="1398">
        <f ca="1">IF(B294&gt;=$J$5,0,((CONTADORES!BM304-CONTADORES!BM303)/1000))</f>
        <v>0</v>
      </c>
      <c r="BK294" s="1398">
        <f ca="1">IF(B294&gt;=$J$5,0,((CONTADORES!BN304-CONTADORES!BN303)/1000))</f>
        <v>0</v>
      </c>
      <c r="BL294" s="1399">
        <f t="shared" ca="1" si="147"/>
        <v>0</v>
      </c>
      <c r="BM294" s="1399">
        <f t="shared" ca="1" si="148"/>
        <v>0</v>
      </c>
      <c r="BN294" s="1398">
        <f ca="1">IF(B294&gt;=$J$5,0,CONTADORES!$BO304)</f>
        <v>0</v>
      </c>
      <c r="BO294" s="1397">
        <f ca="1">IF(W294&gt;=$J$5,0,CONTADORES!$BP304)</f>
        <v>0</v>
      </c>
      <c r="BP294" s="1397">
        <f ca="1">IF(W294&gt;=$J$5,0,CONTADORES!$BQ304)</f>
        <v>0</v>
      </c>
      <c r="BQ294" s="1397">
        <f ca="1">IF(B294&gt;=$J$5,0,(CONTADORES!AS304-CONTADORES!AS303))</f>
        <v>0</v>
      </c>
      <c r="BR294" s="1397">
        <f ca="1">IF(B294&gt;=$J$5,0,(CONTADORES!AT304-CONTADORES!AT303))</f>
        <v>0</v>
      </c>
      <c r="BS294" s="1398">
        <f ca="1">IF(B294&gt;=$J$5,0,CONTADORES!BR304-CONTADORES!BR303)/1000</f>
        <v>0</v>
      </c>
      <c r="BT294" s="1409">
        <f ca="1">IF(B294&gt;=$J$5,0,CONTADORES!BS304-CONTADORES!BS303)</f>
        <v>0</v>
      </c>
      <c r="BU294" s="1409">
        <f ca="1">IF(B294&gt;=$J$5,0,CONTADORES!BT304-CONTADORES!BT303)</f>
        <v>0</v>
      </c>
      <c r="BV294" s="1409">
        <f ca="1">IF(B294&gt;=$J$5,0,CONTADORES!BU304-CONTADORES!BU303)/1000</f>
        <v>0</v>
      </c>
      <c r="BW294" s="1409">
        <f ca="1">IF(B294&gt;=$J$5,0,CONTADORES!BV304-CONTADORES!BV303)/1000</f>
        <v>0</v>
      </c>
      <c r="BX294" s="1409">
        <f ca="1">IF(B294&gt;=$J$5,0,CONTADORES!BW304-CONTADORES!BW303)</f>
        <v>0</v>
      </c>
      <c r="BY294" s="1409">
        <f ca="1">IF(B294&gt;=$J$5,0,CONTADORES!BX304-CONTADORES!BX303)/1000</f>
        <v>0</v>
      </c>
      <c r="BZ294" s="1409">
        <f ca="1">IF(B294&gt;=$J$5,0,CONTADORES!BY304-CONTADORES!BY303)/1000</f>
        <v>0</v>
      </c>
      <c r="CA294" s="1409">
        <f ca="1">IF(B294&gt;=$J$5,0,CONTADORES!BZ304-CONTADORES!BZ303)</f>
        <v>0</v>
      </c>
      <c r="CB294" s="1409">
        <f ca="1">IF(B294&gt;=$J$5,0,(CONTADORES!CC304-CONTADORES!CC303)+(CONTADORES!CE304-CONTADORES!CE303))/1000</f>
        <v>0</v>
      </c>
      <c r="CC294" s="1409">
        <f ca="1">IF(B294&gt;=$J$5,0,(CONTADORES!CD304-CONTADORES!CD303)+(CONTADORES!CF304-CONTADORES!CF303))/1000</f>
        <v>0</v>
      </c>
      <c r="CD294" s="1409">
        <f ca="1">IF(B294&gt;=$J$5,0,CONTADORES!CA304-CONTADORES!CA303)</f>
        <v>0</v>
      </c>
      <c r="CE294" s="1409">
        <f ca="1">IF(B294&gt;=$J$5,0,CONTADORES!CB304-CONTADORES!CB303)</f>
        <v>0</v>
      </c>
      <c r="CF294" s="1409">
        <f t="shared" ca="1" si="149"/>
        <v>0</v>
      </c>
      <c r="CG294" s="1409">
        <f t="shared" ca="1" si="150"/>
        <v>0</v>
      </c>
      <c r="CH294" s="1409">
        <f t="shared" ca="1" si="151"/>
        <v>0</v>
      </c>
      <c r="CI294" s="1409">
        <f t="shared" ca="1" si="152"/>
        <v>0</v>
      </c>
      <c r="CJ294" s="1409">
        <f t="shared" ca="1" si="153"/>
        <v>0</v>
      </c>
      <c r="CK294" s="1409">
        <f t="shared" ca="1" si="154"/>
        <v>0</v>
      </c>
      <c r="CL294" s="1409">
        <f t="shared" ca="1" si="155"/>
        <v>0</v>
      </c>
      <c r="CM294" s="1409">
        <f t="shared" ca="1" si="156"/>
        <v>0</v>
      </c>
      <c r="CN294" s="1409">
        <f ca="1">IF(B294&gt;=$J$5,0,CONTADORES!CB304-CONTADORES!CB303)</f>
        <v>0</v>
      </c>
      <c r="CO294" s="1409">
        <f t="shared" ca="1" si="157"/>
        <v>0</v>
      </c>
      <c r="CP294" s="1409">
        <f t="shared" ca="1" si="158"/>
        <v>0</v>
      </c>
      <c r="CQ294" s="1409">
        <f t="shared" ca="1" si="159"/>
        <v>0</v>
      </c>
      <c r="CR294" s="1409">
        <f t="shared" ca="1" si="160"/>
        <v>0</v>
      </c>
      <c r="CS294" s="1409">
        <f ca="1">IF($B294&gt;=$J$5,0,CONTADORES!$BI304)</f>
        <v>0</v>
      </c>
      <c r="CT294" s="1334">
        <f>CONTADORES!E304</f>
        <v>0</v>
      </c>
      <c r="CU294" s="1334">
        <f>CONTADORES!CG304</f>
        <v>0</v>
      </c>
    </row>
    <row r="295" spans="2:99">
      <c r="B295" s="1477">
        <v>45211</v>
      </c>
      <c r="C295" s="202">
        <f t="shared" ca="1" si="134"/>
        <v>0</v>
      </c>
      <c r="D295" s="196">
        <f ca="1">'CALCULO DE GAS'!P117</f>
        <v>0</v>
      </c>
      <c r="E295" s="196">
        <f ca="1">IF(B295&gt;=$J$5,0,(CONTADORES!$AD305-CONTADORES!$AD304)-$H295)</f>
        <v>0</v>
      </c>
      <c r="F295" s="198">
        <f t="shared" ca="1" si="163"/>
        <v>0</v>
      </c>
      <c r="G295" s="196">
        <f ca="1">IF(B295&gt;=$J$5,0,CONTADORES!$AF305-CONTADORES!$AF304)</f>
        <v>0</v>
      </c>
      <c r="H295" s="196">
        <f ca="1">IF(G295&gt;0,CONTADORES!$AE305-CONTADORES!$AE304,0)</f>
        <v>0</v>
      </c>
      <c r="I295" s="199">
        <f ca="1">IF(B295&gt;=$J$5,0,CONTADORES!$AB305-CONTADORES!$AB304)</f>
        <v>0</v>
      </c>
      <c r="J295" s="198">
        <f t="shared" ca="1" si="135"/>
        <v>0</v>
      </c>
      <c r="K295" s="196">
        <f ca="1">'CALCULO DE GAS'!Q117</f>
        <v>0</v>
      </c>
      <c r="L295" s="1396">
        <f ca="1">IF(B295&gt;=$J$5,0,(CONTADORES!$Y305-CONTADORES!$Y304)-$O295)</f>
        <v>0</v>
      </c>
      <c r="M295" s="1396">
        <f t="shared" ca="1" si="161"/>
        <v>0</v>
      </c>
      <c r="N295" s="1396">
        <f ca="1">IF(B295&gt;=$J$5,0,CONTADORES!$AA305-CONTADORES!$AA304)</f>
        <v>0</v>
      </c>
      <c r="O295" s="1396">
        <f ca="1">IF(N295&gt;0,CONTADORES!$Z305-CONTADORES!$Z304,0)</f>
        <v>0</v>
      </c>
      <c r="P295" s="202">
        <f ca="1">IF(B295&gt;=$J$5,0,CONTADORES!$W305-CONTADORES!$W304)</f>
        <v>0</v>
      </c>
      <c r="Q295" s="202">
        <f ca="1">IF(B295&gt;=$J$5,0,CONTADORES!$B305-CONTADORES!$B304)</f>
        <v>0</v>
      </c>
      <c r="R295" s="196">
        <f t="shared" ca="1" si="136"/>
        <v>0</v>
      </c>
      <c r="S295" s="11">
        <f ca="1">IF(B295&gt;=$J$5,0,CONTADORES!$D305-CONTADORES!$D304)</f>
        <v>0</v>
      </c>
      <c r="T295" s="198">
        <f ca="1">IF(B295&gt;=$J$5,0,CONTADORES!$BB305-CONTADORES!$BB304)</f>
        <v>0</v>
      </c>
      <c r="U295" s="196">
        <f t="shared" ca="1" si="162"/>
        <v>0</v>
      </c>
      <c r="V295" s="199">
        <f ca="1">IF(B295&gt;=$J$5,0,CONTADORES!$BD305-CONTADORES!$BD304)</f>
        <v>0</v>
      </c>
      <c r="W295" s="1397">
        <f t="shared" ca="1" si="137"/>
        <v>0</v>
      </c>
      <c r="X295" s="1397">
        <f t="shared" ca="1" si="138"/>
        <v>0</v>
      </c>
      <c r="Y295" s="1398">
        <f t="shared" ca="1" si="139"/>
        <v>0</v>
      </c>
      <c r="Z295" s="1398">
        <f t="shared" ca="1" si="140"/>
        <v>0</v>
      </c>
      <c r="AA295" s="1398">
        <f t="shared" ca="1" si="141"/>
        <v>0</v>
      </c>
      <c r="AB295" s="1398">
        <f t="shared" ca="1" si="142"/>
        <v>0</v>
      </c>
      <c r="AC295" s="1397">
        <f t="shared" ca="1" si="143"/>
        <v>0</v>
      </c>
      <c r="AD295" s="1397">
        <f ca="1">IF(B295&gt;=$J$5,0,CONTADORES!H305-CONTADORES!H304)</f>
        <v>0</v>
      </c>
      <c r="AE295" s="1397">
        <f ca="1">IF(B295&gt;=$J$5,0,CONTADORES!J305-CONTADORES!J304)</f>
        <v>0</v>
      </c>
      <c r="AF295" s="1397">
        <f ca="1">IF(B295&gt;=$J$5,0,CONTADORES!AU305-CONTADORES!AU304)</f>
        <v>0</v>
      </c>
      <c r="AG295" s="1397">
        <f ca="1">IF(B295&gt;=$J$5,0,CONTADORES!AW305-CONTADORES!AW304)</f>
        <v>0</v>
      </c>
      <c r="AH295" s="1409">
        <f ca="1">IF(B295&gt;=$J$5,0,(CONTADORES!AM305-CONTADORES!AM304)+(CONTADORES!M305-CONTADORES!M304))</f>
        <v>0</v>
      </c>
      <c r="AI295" s="1409">
        <f ca="1">IF(B295&gt;=$J$5,0,(CONTADORES!AK305-CONTADORES!AK304)+(CONTADORES!O305-CONTADORES!O304))</f>
        <v>0</v>
      </c>
      <c r="AJ295" s="1409">
        <f ca="1">IF(B295&gt;=$J$5,0,(CONTADORES!AI305-CONTADORES!AI304))</f>
        <v>0</v>
      </c>
      <c r="AK295" s="1409">
        <f ca="1">IF(B295&gt;=$J$5,0,(CONTADORES!Q305-CONTADORES!Q304))</f>
        <v>0</v>
      </c>
      <c r="AL295" s="1461">
        <f t="shared" ca="1" si="144"/>
        <v>0</v>
      </c>
      <c r="AM295" s="1409">
        <f ca="1">IF(B295&gt;=$J$5,0,(((CONTADORES!F305-CONTADORES!F304)+(CONTADORES!AQ305-CONTADORES!AQ304))))-BS295-AF295-AN295-BV295-BY295-CD295-CB295+T295</f>
        <v>0</v>
      </c>
      <c r="AN295" s="1397">
        <f ca="1">IF(B295&gt;=$J$5,0,(CONTADORES!AX305-CONTADORES!AX304)+(CONTADORES!AZ305-CONTADORES!AZ304)+(CONTADORES!BE305-CONTADORES!BE304))-CB295</f>
        <v>0</v>
      </c>
      <c r="AO295" s="1437">
        <f>(CONTADORES!AC305-CONTADORES!AC304)</f>
        <v>0</v>
      </c>
      <c r="AP295" s="1437">
        <f>(CONTADORES!X305-CONTADORES!X304)</f>
        <v>0</v>
      </c>
      <c r="AQ295" s="1437">
        <f>(CONTADORES!C305-CONTADORES!C304)</f>
        <v>0</v>
      </c>
      <c r="AR295" s="1437">
        <f>(CONTADORES!BC305-CONTADORES!BC304)</f>
        <v>0</v>
      </c>
      <c r="AS295" s="1397">
        <f ca="1">IF(B295&gt;=$J$5,0,CONTADORES!S305-CONTADORES!S304)</f>
        <v>0</v>
      </c>
      <c r="AT295" s="1397">
        <f ca="1">IF(B295&gt;=$J$5,0,(CONTADORES!U305-CONTADORES!U304)+(CONTADORES!AG305-CONTADORES!AG304))</f>
        <v>0</v>
      </c>
      <c r="AU295" s="1433">
        <f>CONTADORES!I305-CONTADORES!I304</f>
        <v>0</v>
      </c>
      <c r="AV295" s="1437">
        <f>CONTADORES!AV305-CONTADORES!AV304</f>
        <v>0</v>
      </c>
      <c r="AW295" s="1437">
        <f ca="1">IF(B295&gt;=$J$5,0,(CONTADORES!N305-CONTADORES!N304)+(CONTADORES!AN305-CONTADORES!AN304))</f>
        <v>0</v>
      </c>
      <c r="AX295" s="1437">
        <f ca="1">IF(B295&gt;=$J$5,0,(CONTADORES!P305-CONTADORES!P304)+(CONTADORES!AL305-CONTADORES!AL304))</f>
        <v>0</v>
      </c>
      <c r="AY295" s="1437">
        <f ca="1">IF(B295&gt;=$J$5,0,(CONTADORES!AJ305-CONTADORES!AJ304))</f>
        <v>0</v>
      </c>
      <c r="AZ295" s="1437">
        <f ca="1">IF(B295&gt;=$J$5,0,(CONTADORES!R305-CONTADORES!R304))</f>
        <v>0</v>
      </c>
      <c r="BA295" s="1409">
        <f t="shared" ca="1" si="145"/>
        <v>0</v>
      </c>
      <c r="BB295" s="1437">
        <f ca="1">IF(B295&gt;=$J$5,0,(((CONTADORES!G305-CONTADORES!G304)+(CONTADORES!AR305-CONTADORES!AR304))))-AV295-BC295-BT295-BW295-BZ295-CE295</f>
        <v>0</v>
      </c>
      <c r="BC295" s="1398">
        <f ca="1">IF(B295&gt;=$J$5,0,(CONTADORES!AY305-CONTADORES!AY304)+(CONTADORES!BA305-CONTADORES!BA304)+(CONTADORES!BF305-CONTADORES!BF304))</f>
        <v>0</v>
      </c>
      <c r="BD295" s="1397">
        <f t="shared" si="146"/>
        <v>0</v>
      </c>
      <c r="BE295" s="1398">
        <f ca="1">IF($B295&gt;=$J$5,0,CONTADORES!$BG305)</f>
        <v>0</v>
      </c>
      <c r="BF295" s="1397">
        <f ca="1">IF($B295&gt;=$J$5,0,CONTADORES!$BH305)</f>
        <v>0</v>
      </c>
      <c r="BG295" s="1398">
        <f ca="1">IF($B295&gt;=$J$5,0,CONTADORES!$BJ305)</f>
        <v>0</v>
      </c>
      <c r="BH295" s="1398">
        <f ca="1">IF(B295&gt;=$J$5,0,((CONTADORES!BK305-CONTADORES!BK304)/1000))</f>
        <v>0</v>
      </c>
      <c r="BI295" s="1398">
        <f ca="1">IF(B295&gt;=$J$5,0,((CONTADORES!BL305-CONTADORES!BL304)/1000))</f>
        <v>0</v>
      </c>
      <c r="BJ295" s="1398">
        <f ca="1">IF(B295&gt;=$J$5,0,((CONTADORES!BM305-CONTADORES!BM304)/1000))</f>
        <v>0</v>
      </c>
      <c r="BK295" s="1398">
        <f ca="1">IF(B295&gt;=$J$5,0,((CONTADORES!BN305-CONTADORES!BN304)/1000))</f>
        <v>0</v>
      </c>
      <c r="BL295" s="1399">
        <f t="shared" ca="1" si="147"/>
        <v>0</v>
      </c>
      <c r="BM295" s="1399">
        <f t="shared" ca="1" si="148"/>
        <v>0</v>
      </c>
      <c r="BN295" s="1398">
        <f ca="1">IF(B295&gt;=$J$5,0,CONTADORES!$BO305)</f>
        <v>0</v>
      </c>
      <c r="BO295" s="1397">
        <f ca="1">IF(W295&gt;=$J$5,0,CONTADORES!$BP305)</f>
        <v>0</v>
      </c>
      <c r="BP295" s="1397">
        <f ca="1">IF(W295&gt;=$J$5,0,CONTADORES!$BQ305)</f>
        <v>0</v>
      </c>
      <c r="BQ295" s="1397">
        <f ca="1">IF(B295&gt;=$J$5,0,(CONTADORES!AS305-CONTADORES!AS304))</f>
        <v>0</v>
      </c>
      <c r="BR295" s="1397">
        <f ca="1">IF(B295&gt;=$J$5,0,(CONTADORES!AT305-CONTADORES!AT304))</f>
        <v>0</v>
      </c>
      <c r="BS295" s="1398">
        <f ca="1">IF(B295&gt;=$J$5,0,CONTADORES!BR305-CONTADORES!BR304)/1000</f>
        <v>0</v>
      </c>
      <c r="BT295" s="1409">
        <f ca="1">IF(B295&gt;=$J$5,0,CONTADORES!BS305-CONTADORES!BS304)</f>
        <v>0</v>
      </c>
      <c r="BU295" s="1409">
        <f ca="1">IF(B295&gt;=$J$5,0,CONTADORES!BT305-CONTADORES!BT304)</f>
        <v>0</v>
      </c>
      <c r="BV295" s="1409">
        <f ca="1">IF(B295&gt;=$J$5,0,CONTADORES!BU305-CONTADORES!BU304)/1000</f>
        <v>0</v>
      </c>
      <c r="BW295" s="1409">
        <f ca="1">IF(B295&gt;=$J$5,0,CONTADORES!BV305-CONTADORES!BV304)/1000</f>
        <v>0</v>
      </c>
      <c r="BX295" s="1409">
        <f ca="1">IF(B295&gt;=$J$5,0,CONTADORES!BW305-CONTADORES!BW304)</f>
        <v>0</v>
      </c>
      <c r="BY295" s="1409">
        <f ca="1">IF(B295&gt;=$J$5,0,CONTADORES!BX305-CONTADORES!BX304)/1000</f>
        <v>0</v>
      </c>
      <c r="BZ295" s="1409">
        <f ca="1">IF(B295&gt;=$J$5,0,CONTADORES!BY305-CONTADORES!BY304)/1000</f>
        <v>0</v>
      </c>
      <c r="CA295" s="1409">
        <f ca="1">IF(B295&gt;=$J$5,0,CONTADORES!BZ305-CONTADORES!BZ304)</f>
        <v>0</v>
      </c>
      <c r="CB295" s="1409">
        <f ca="1">IF(B295&gt;=$J$5,0,(CONTADORES!CC305-CONTADORES!CC304)+(CONTADORES!CE305-CONTADORES!CE304))/1000</f>
        <v>0</v>
      </c>
      <c r="CC295" s="1409">
        <f ca="1">IF(B295&gt;=$J$5,0,(CONTADORES!CD305-CONTADORES!CD304)+(CONTADORES!CF305-CONTADORES!CF304))/1000</f>
        <v>0</v>
      </c>
      <c r="CD295" s="1409">
        <f ca="1">IF(B295&gt;=$J$5,0,CONTADORES!CA305-CONTADORES!CA304)</f>
        <v>0</v>
      </c>
      <c r="CE295" s="1409">
        <f ca="1">IF(B295&gt;=$J$5,0,CONTADORES!CB305-CONTADORES!CB304)</f>
        <v>0</v>
      </c>
      <c r="CF295" s="1409">
        <f t="shared" ca="1" si="149"/>
        <v>0</v>
      </c>
      <c r="CG295" s="1409">
        <f t="shared" ca="1" si="150"/>
        <v>0</v>
      </c>
      <c r="CH295" s="1409">
        <f t="shared" ca="1" si="151"/>
        <v>0</v>
      </c>
      <c r="CI295" s="1409">
        <f t="shared" ca="1" si="152"/>
        <v>0</v>
      </c>
      <c r="CJ295" s="1409">
        <f t="shared" ca="1" si="153"/>
        <v>0</v>
      </c>
      <c r="CK295" s="1409">
        <f t="shared" ca="1" si="154"/>
        <v>0</v>
      </c>
      <c r="CL295" s="1409">
        <f t="shared" ca="1" si="155"/>
        <v>0</v>
      </c>
      <c r="CM295" s="1409">
        <f t="shared" ca="1" si="156"/>
        <v>0</v>
      </c>
      <c r="CN295" s="1409">
        <f ca="1">IF(B295&gt;=$J$5,0,CONTADORES!CB305-CONTADORES!CB304)</f>
        <v>0</v>
      </c>
      <c r="CO295" s="1409">
        <f t="shared" ca="1" si="157"/>
        <v>0</v>
      </c>
      <c r="CP295" s="1409">
        <f t="shared" ca="1" si="158"/>
        <v>0</v>
      </c>
      <c r="CQ295" s="1409">
        <f t="shared" ca="1" si="159"/>
        <v>0</v>
      </c>
      <c r="CR295" s="1409">
        <f t="shared" ca="1" si="160"/>
        <v>0</v>
      </c>
      <c r="CS295" s="1409">
        <f ca="1">IF($B295&gt;=$J$5,0,CONTADORES!$BI305)</f>
        <v>0</v>
      </c>
      <c r="CT295" s="1334">
        <f>CONTADORES!E305</f>
        <v>0</v>
      </c>
      <c r="CU295" s="1334">
        <f>CONTADORES!CG305</f>
        <v>0</v>
      </c>
    </row>
    <row r="296" spans="2:99">
      <c r="B296" s="1477">
        <v>45212</v>
      </c>
      <c r="C296" s="202">
        <f t="shared" ca="1" si="134"/>
        <v>0</v>
      </c>
      <c r="D296" s="196">
        <f ca="1">'CALCULO DE GAS'!P118</f>
        <v>0</v>
      </c>
      <c r="E296" s="196">
        <f ca="1">IF(B296&gt;=$J$5,0,(CONTADORES!$AD306-CONTADORES!$AD305)-$H296)</f>
        <v>0</v>
      </c>
      <c r="F296" s="198">
        <f t="shared" ca="1" si="163"/>
        <v>0</v>
      </c>
      <c r="G296" s="196">
        <f ca="1">IF(B296&gt;=$J$5,0,CONTADORES!$AF306-CONTADORES!$AF305)</f>
        <v>0</v>
      </c>
      <c r="H296" s="196">
        <f ca="1">IF(G296&gt;0,CONTADORES!$AE306-CONTADORES!$AE305,0)</f>
        <v>0</v>
      </c>
      <c r="I296" s="199">
        <f ca="1">IF(B296&gt;=$J$5,0,CONTADORES!$AB306-CONTADORES!$AB305)</f>
        <v>0</v>
      </c>
      <c r="J296" s="198">
        <f t="shared" ca="1" si="135"/>
        <v>0</v>
      </c>
      <c r="K296" s="196">
        <f ca="1">'CALCULO DE GAS'!Q118</f>
        <v>0</v>
      </c>
      <c r="L296" s="1396">
        <f ca="1">IF(B296&gt;=$J$5,0,(CONTADORES!$Y306-CONTADORES!$Y305)-$O296)</f>
        <v>0</v>
      </c>
      <c r="M296" s="1396">
        <f t="shared" ca="1" si="161"/>
        <v>0</v>
      </c>
      <c r="N296" s="1396">
        <f ca="1">IF(B296&gt;=$J$5,0,CONTADORES!$AA306-CONTADORES!$AA305)</f>
        <v>0</v>
      </c>
      <c r="O296" s="1396">
        <f ca="1">IF(N296&gt;0,CONTADORES!$Z306-CONTADORES!$Z305,0)</f>
        <v>0</v>
      </c>
      <c r="P296" s="202">
        <f ca="1">IF(B296&gt;=$J$5,0,CONTADORES!$W306-CONTADORES!$W305)</f>
        <v>0</v>
      </c>
      <c r="Q296" s="202">
        <f ca="1">IF(B296&gt;=$J$5,0,CONTADORES!$B306-CONTADORES!$B305)</f>
        <v>0</v>
      </c>
      <c r="R296" s="196">
        <f t="shared" ca="1" si="136"/>
        <v>0</v>
      </c>
      <c r="S296" s="11">
        <f ca="1">IF(B296&gt;=$J$5,0,CONTADORES!$D306-CONTADORES!$D305)</f>
        <v>0</v>
      </c>
      <c r="T296" s="198">
        <f ca="1">IF(B296&gt;=$J$5,0,CONTADORES!$BB306-CONTADORES!$BB305)</f>
        <v>0</v>
      </c>
      <c r="U296" s="196">
        <f t="shared" ca="1" si="162"/>
        <v>0</v>
      </c>
      <c r="V296" s="199">
        <f ca="1">IF(B296&gt;=$J$5,0,CONTADORES!$BD306-CONTADORES!$BD305)</f>
        <v>0</v>
      </c>
      <c r="W296" s="1397">
        <f t="shared" ca="1" si="137"/>
        <v>0</v>
      </c>
      <c r="X296" s="1397">
        <f t="shared" ca="1" si="138"/>
        <v>0</v>
      </c>
      <c r="Y296" s="1398">
        <f t="shared" ca="1" si="139"/>
        <v>0</v>
      </c>
      <c r="Z296" s="1398">
        <f t="shared" ca="1" si="140"/>
        <v>0</v>
      </c>
      <c r="AA296" s="1398">
        <f t="shared" ca="1" si="141"/>
        <v>0</v>
      </c>
      <c r="AB296" s="1398">
        <f t="shared" ca="1" si="142"/>
        <v>0</v>
      </c>
      <c r="AC296" s="1397">
        <f t="shared" ca="1" si="143"/>
        <v>0</v>
      </c>
      <c r="AD296" s="1397">
        <f ca="1">IF(B296&gt;=$J$5,0,CONTADORES!H306-CONTADORES!H305)</f>
        <v>0</v>
      </c>
      <c r="AE296" s="1397">
        <f ca="1">IF(B296&gt;=$J$5,0,CONTADORES!J306-CONTADORES!J305)</f>
        <v>0</v>
      </c>
      <c r="AF296" s="1397">
        <f ca="1">IF(B296&gt;=$J$5,0,CONTADORES!AU306-CONTADORES!AU305)</f>
        <v>0</v>
      </c>
      <c r="AG296" s="1397">
        <f ca="1">IF(B296&gt;=$J$5,0,CONTADORES!AW306-CONTADORES!AW305)</f>
        <v>0</v>
      </c>
      <c r="AH296" s="1409">
        <f ca="1">IF(B296&gt;=$J$5,0,(CONTADORES!AM306-CONTADORES!AM305)+(CONTADORES!M306-CONTADORES!M305))</f>
        <v>0</v>
      </c>
      <c r="AI296" s="1409">
        <f ca="1">IF(B296&gt;=$J$5,0,(CONTADORES!AK306-CONTADORES!AK305)+(CONTADORES!O306-CONTADORES!O305))</f>
        <v>0</v>
      </c>
      <c r="AJ296" s="1409">
        <f ca="1">IF(B296&gt;=$J$5,0,(CONTADORES!AI306-CONTADORES!AI305))</f>
        <v>0</v>
      </c>
      <c r="AK296" s="1409">
        <f ca="1">IF(B296&gt;=$J$5,0,(CONTADORES!Q306-CONTADORES!Q305))</f>
        <v>0</v>
      </c>
      <c r="AL296" s="1461">
        <f t="shared" ca="1" si="144"/>
        <v>0</v>
      </c>
      <c r="AM296" s="1409">
        <f ca="1">IF(B296&gt;=$J$5,0,(((CONTADORES!F306-CONTADORES!F305)+(CONTADORES!AQ306-CONTADORES!AQ305))))-BS296-AF296-AN296-BV296-BY296-CD296-CB296+T296</f>
        <v>0</v>
      </c>
      <c r="AN296" s="1397">
        <f ca="1">IF(B296&gt;=$J$5,0,(CONTADORES!AX306-CONTADORES!AX305)+(CONTADORES!AZ306-CONTADORES!AZ305)+(CONTADORES!BE306-CONTADORES!BE305))-CB296</f>
        <v>0</v>
      </c>
      <c r="AO296" s="1437">
        <f>(CONTADORES!AC306-CONTADORES!AC305)</f>
        <v>0</v>
      </c>
      <c r="AP296" s="1437">
        <f>(CONTADORES!X306-CONTADORES!X305)</f>
        <v>0</v>
      </c>
      <c r="AQ296" s="1437">
        <f>(CONTADORES!C306-CONTADORES!C305)</f>
        <v>0</v>
      </c>
      <c r="AR296" s="1437">
        <f>(CONTADORES!BC306-CONTADORES!BC305)</f>
        <v>0</v>
      </c>
      <c r="AS296" s="1397">
        <f ca="1">IF(B296&gt;=$J$5,0,CONTADORES!S306-CONTADORES!S305)</f>
        <v>0</v>
      </c>
      <c r="AT296" s="1397">
        <f ca="1">IF(B296&gt;=$J$5,0,(CONTADORES!U306-CONTADORES!U305)+(CONTADORES!AG306-CONTADORES!AG305))</f>
        <v>0</v>
      </c>
      <c r="AU296" s="1433">
        <f>CONTADORES!I306-CONTADORES!I305</f>
        <v>0</v>
      </c>
      <c r="AV296" s="1437">
        <f>CONTADORES!AV306-CONTADORES!AV305</f>
        <v>0</v>
      </c>
      <c r="AW296" s="1437">
        <f ca="1">IF(B296&gt;=$J$5,0,(CONTADORES!N306-CONTADORES!N305)+(CONTADORES!AN306-CONTADORES!AN305))</f>
        <v>0</v>
      </c>
      <c r="AX296" s="1437">
        <f ca="1">IF(B296&gt;=$J$5,0,(CONTADORES!P306-CONTADORES!P305)+(CONTADORES!AL306-CONTADORES!AL305))</f>
        <v>0</v>
      </c>
      <c r="AY296" s="1437">
        <f ca="1">IF(B296&gt;=$J$5,0,(CONTADORES!AJ306-CONTADORES!AJ305))</f>
        <v>0</v>
      </c>
      <c r="AZ296" s="1437">
        <f ca="1">IF(B296&gt;=$J$5,0,(CONTADORES!R306-CONTADORES!R305))</f>
        <v>0</v>
      </c>
      <c r="BA296" s="1409">
        <f t="shared" ca="1" si="145"/>
        <v>0</v>
      </c>
      <c r="BB296" s="1437">
        <f ca="1">IF(B296&gt;=$J$5,0,(((CONTADORES!G306-CONTADORES!G305)+(CONTADORES!AR306-CONTADORES!AR305))))-AV296-BC296-BT296-BW296-BZ296-CE296</f>
        <v>0</v>
      </c>
      <c r="BC296" s="1398">
        <f ca="1">IF(B296&gt;=$J$5,0,(CONTADORES!AY306-CONTADORES!AY305)+(CONTADORES!BA306-CONTADORES!BA305)+(CONTADORES!BF306-CONTADORES!BF305))</f>
        <v>0</v>
      </c>
      <c r="BD296" s="1397">
        <f t="shared" si="146"/>
        <v>0</v>
      </c>
      <c r="BE296" s="1398">
        <f ca="1">IF($B296&gt;=$J$5,0,CONTADORES!$BG306)</f>
        <v>0</v>
      </c>
      <c r="BF296" s="1397">
        <f ca="1">IF($B296&gt;=$J$5,0,CONTADORES!$BH306)</f>
        <v>0</v>
      </c>
      <c r="BG296" s="1398">
        <f ca="1">IF($B296&gt;=$J$5,0,CONTADORES!$BJ306)</f>
        <v>0</v>
      </c>
      <c r="BH296" s="1398">
        <f ca="1">IF(B296&gt;=$J$5,0,((CONTADORES!BK306-CONTADORES!BK305)/1000))</f>
        <v>0</v>
      </c>
      <c r="BI296" s="1398">
        <f ca="1">IF(B296&gt;=$J$5,0,((CONTADORES!BL306-CONTADORES!BL305)/1000))</f>
        <v>0</v>
      </c>
      <c r="BJ296" s="1398">
        <f ca="1">IF(B296&gt;=$J$5,0,((CONTADORES!BM306-CONTADORES!BM305)/1000))</f>
        <v>0</v>
      </c>
      <c r="BK296" s="1398">
        <f ca="1">IF(B296&gt;=$J$5,0,((CONTADORES!BN306-CONTADORES!BN305)/1000))</f>
        <v>0</v>
      </c>
      <c r="BL296" s="1399">
        <f t="shared" ca="1" si="147"/>
        <v>0</v>
      </c>
      <c r="BM296" s="1399">
        <f t="shared" ca="1" si="148"/>
        <v>0</v>
      </c>
      <c r="BN296" s="1398">
        <f ca="1">IF(B296&gt;=$J$5,0,CONTADORES!$BO306)</f>
        <v>0</v>
      </c>
      <c r="BO296" s="1397">
        <f ca="1">IF(W296&gt;=$J$5,0,CONTADORES!$BP306)</f>
        <v>0</v>
      </c>
      <c r="BP296" s="1397">
        <f ca="1">IF(W296&gt;=$J$5,0,CONTADORES!$BQ306)</f>
        <v>0</v>
      </c>
      <c r="BQ296" s="1397">
        <f ca="1">IF(B296&gt;=$J$5,0,(CONTADORES!AS306-CONTADORES!AS305))</f>
        <v>0</v>
      </c>
      <c r="BR296" s="1397">
        <f ca="1">IF(B296&gt;=$J$5,0,(CONTADORES!AT306-CONTADORES!AT305))</f>
        <v>0</v>
      </c>
      <c r="BS296" s="1398">
        <f ca="1">IF(B296&gt;=$J$5,0,CONTADORES!BR306-CONTADORES!BR305)/1000</f>
        <v>0</v>
      </c>
      <c r="BT296" s="1409">
        <f ca="1">IF(B296&gt;=$J$5,0,CONTADORES!BS306-CONTADORES!BS305)</f>
        <v>0</v>
      </c>
      <c r="BU296" s="1409">
        <f ca="1">IF(B296&gt;=$J$5,0,CONTADORES!BT306-CONTADORES!BT305)</f>
        <v>0</v>
      </c>
      <c r="BV296" s="1409">
        <f ca="1">IF(B296&gt;=$J$5,0,CONTADORES!BU306-CONTADORES!BU305)/1000</f>
        <v>0</v>
      </c>
      <c r="BW296" s="1409">
        <f ca="1">IF(B296&gt;=$J$5,0,CONTADORES!BV306-CONTADORES!BV305)/1000</f>
        <v>0</v>
      </c>
      <c r="BX296" s="1409">
        <f ca="1">IF(B296&gt;=$J$5,0,CONTADORES!BW306-CONTADORES!BW305)</f>
        <v>0</v>
      </c>
      <c r="BY296" s="1409">
        <f ca="1">IF(B296&gt;=$J$5,0,CONTADORES!BX306-CONTADORES!BX305)/1000</f>
        <v>0</v>
      </c>
      <c r="BZ296" s="1409">
        <f ca="1">IF(B296&gt;=$J$5,0,CONTADORES!BY306-CONTADORES!BY305)/1000</f>
        <v>0</v>
      </c>
      <c r="CA296" s="1409">
        <f ca="1">IF(B296&gt;=$J$5,0,CONTADORES!BZ306-CONTADORES!BZ305)</f>
        <v>0</v>
      </c>
      <c r="CB296" s="1409">
        <f ca="1">IF(B296&gt;=$J$5,0,(CONTADORES!CC306-CONTADORES!CC305)+(CONTADORES!CE306-CONTADORES!CE305))/1000</f>
        <v>0</v>
      </c>
      <c r="CC296" s="1409">
        <f ca="1">IF(B296&gt;=$J$5,0,(CONTADORES!CD306-CONTADORES!CD305)+(CONTADORES!CF306-CONTADORES!CF305))/1000</f>
        <v>0</v>
      </c>
      <c r="CD296" s="1409">
        <f ca="1">IF(B296&gt;=$J$5,0,CONTADORES!CA306-CONTADORES!CA305)</f>
        <v>0</v>
      </c>
      <c r="CE296" s="1409">
        <f ca="1">IF(B296&gt;=$J$5,0,CONTADORES!CB306-CONTADORES!CB305)</f>
        <v>0</v>
      </c>
      <c r="CF296" s="1409">
        <f t="shared" ca="1" si="149"/>
        <v>0</v>
      </c>
      <c r="CG296" s="1409">
        <f t="shared" ca="1" si="150"/>
        <v>0</v>
      </c>
      <c r="CH296" s="1409">
        <f t="shared" ca="1" si="151"/>
        <v>0</v>
      </c>
      <c r="CI296" s="1409">
        <f t="shared" ca="1" si="152"/>
        <v>0</v>
      </c>
      <c r="CJ296" s="1409">
        <f t="shared" ca="1" si="153"/>
        <v>0</v>
      </c>
      <c r="CK296" s="1409">
        <f t="shared" ca="1" si="154"/>
        <v>0</v>
      </c>
      <c r="CL296" s="1409">
        <f t="shared" ca="1" si="155"/>
        <v>0</v>
      </c>
      <c r="CM296" s="1409">
        <f t="shared" ca="1" si="156"/>
        <v>0</v>
      </c>
      <c r="CN296" s="1409">
        <f ca="1">IF(B296&gt;=$J$5,0,CONTADORES!CB306-CONTADORES!CB305)</f>
        <v>0</v>
      </c>
      <c r="CO296" s="1409">
        <f t="shared" ca="1" si="157"/>
        <v>0</v>
      </c>
      <c r="CP296" s="1409">
        <f t="shared" ca="1" si="158"/>
        <v>0</v>
      </c>
      <c r="CQ296" s="1409">
        <f t="shared" ca="1" si="159"/>
        <v>0</v>
      </c>
      <c r="CR296" s="1409">
        <f t="shared" ca="1" si="160"/>
        <v>0</v>
      </c>
      <c r="CS296" s="1409">
        <f ca="1">IF($B296&gt;=$J$5,0,CONTADORES!$BI306)</f>
        <v>0</v>
      </c>
      <c r="CT296" s="1334">
        <f>CONTADORES!E306</f>
        <v>0</v>
      </c>
      <c r="CU296" s="1334">
        <f>CONTADORES!CG306</f>
        <v>0</v>
      </c>
    </row>
    <row r="297" spans="2:99">
      <c r="B297" s="1477">
        <v>45213</v>
      </c>
      <c r="C297" s="202">
        <f t="shared" ca="1" si="134"/>
        <v>0</v>
      </c>
      <c r="D297" s="196">
        <f ca="1">'CALCULO DE GAS'!P119</f>
        <v>0</v>
      </c>
      <c r="E297" s="196">
        <f ca="1">IF(B297&gt;=$J$5,0,(CONTADORES!$AD307-CONTADORES!$AD306)-$H297)</f>
        <v>0</v>
      </c>
      <c r="F297" s="198">
        <f t="shared" ca="1" si="163"/>
        <v>0</v>
      </c>
      <c r="G297" s="196">
        <f ca="1">IF(B297&gt;=$J$5,0,CONTADORES!$AF307-CONTADORES!$AF306)</f>
        <v>0</v>
      </c>
      <c r="H297" s="196">
        <f ca="1">IF(G297&gt;0,CONTADORES!$AE307-CONTADORES!$AE306,0)</f>
        <v>0</v>
      </c>
      <c r="I297" s="199">
        <f ca="1">IF(B297&gt;=$J$5,0,CONTADORES!$AB307-CONTADORES!$AB306)</f>
        <v>0</v>
      </c>
      <c r="J297" s="198">
        <f t="shared" ca="1" si="135"/>
        <v>0</v>
      </c>
      <c r="K297" s="196">
        <f ca="1">'CALCULO DE GAS'!Q119</f>
        <v>0</v>
      </c>
      <c r="L297" s="1396">
        <f ca="1">IF(B297&gt;=$J$5,0,(CONTADORES!$Y307-CONTADORES!$Y306)-$O297)</f>
        <v>0</v>
      </c>
      <c r="M297" s="1396">
        <f t="shared" ca="1" si="161"/>
        <v>0</v>
      </c>
      <c r="N297" s="1396">
        <f ca="1">IF(B297&gt;=$J$5,0,CONTADORES!$AA307-CONTADORES!$AA306)</f>
        <v>0</v>
      </c>
      <c r="O297" s="1396">
        <f ca="1">IF(N297&gt;0,CONTADORES!$Z307-CONTADORES!$Z306,0)</f>
        <v>0</v>
      </c>
      <c r="P297" s="202">
        <f ca="1">IF(B297&gt;=$J$5,0,CONTADORES!$W307-CONTADORES!$W306)</f>
        <v>0</v>
      </c>
      <c r="Q297" s="202">
        <f ca="1">IF(B297&gt;=$J$5,0,CONTADORES!$B307-CONTADORES!$B306)</f>
        <v>0</v>
      </c>
      <c r="R297" s="196">
        <f t="shared" ca="1" si="136"/>
        <v>0</v>
      </c>
      <c r="S297" s="11">
        <f ca="1">IF(B297&gt;=$J$5,0,CONTADORES!$D307-CONTADORES!$D306)</f>
        <v>0</v>
      </c>
      <c r="T297" s="198">
        <f ca="1">IF(B297&gt;=$J$5,0,CONTADORES!$BB307-CONTADORES!$BB306)</f>
        <v>0</v>
      </c>
      <c r="U297" s="196">
        <f t="shared" ca="1" si="162"/>
        <v>0</v>
      </c>
      <c r="V297" s="199">
        <f ca="1">IF(B297&gt;=$J$5,0,CONTADORES!$BD307-CONTADORES!$BD306)</f>
        <v>0</v>
      </c>
      <c r="W297" s="1397">
        <f t="shared" ca="1" si="137"/>
        <v>0</v>
      </c>
      <c r="X297" s="1397">
        <f t="shared" ca="1" si="138"/>
        <v>0</v>
      </c>
      <c r="Y297" s="1398">
        <f t="shared" ca="1" si="139"/>
        <v>0</v>
      </c>
      <c r="Z297" s="1398">
        <f t="shared" ca="1" si="140"/>
        <v>0</v>
      </c>
      <c r="AA297" s="1398">
        <f t="shared" ca="1" si="141"/>
        <v>0</v>
      </c>
      <c r="AB297" s="1398">
        <f t="shared" ca="1" si="142"/>
        <v>0</v>
      </c>
      <c r="AC297" s="1397">
        <f t="shared" ca="1" si="143"/>
        <v>0</v>
      </c>
      <c r="AD297" s="1397">
        <f ca="1">IF(B297&gt;=$J$5,0,CONTADORES!H307-CONTADORES!H306)</f>
        <v>0</v>
      </c>
      <c r="AE297" s="1397">
        <f ca="1">IF(B297&gt;=$J$5,0,CONTADORES!J307-CONTADORES!J306)</f>
        <v>0</v>
      </c>
      <c r="AF297" s="1397">
        <f ca="1">IF(B297&gt;=$J$5,0,CONTADORES!AU307-CONTADORES!AU306)</f>
        <v>0</v>
      </c>
      <c r="AG297" s="1397">
        <f ca="1">IF(B297&gt;=$J$5,0,CONTADORES!AW307-CONTADORES!AW306)</f>
        <v>0</v>
      </c>
      <c r="AH297" s="1409">
        <f ca="1">IF(B297&gt;=$J$5,0,(CONTADORES!AM307-CONTADORES!AM306)+(CONTADORES!M307-CONTADORES!M306))</f>
        <v>0</v>
      </c>
      <c r="AI297" s="1409">
        <f ca="1">IF(B297&gt;=$J$5,0,(CONTADORES!AK307-CONTADORES!AK306)+(CONTADORES!O307-CONTADORES!O306))</f>
        <v>0</v>
      </c>
      <c r="AJ297" s="1409">
        <f ca="1">IF(B297&gt;=$J$5,0,(CONTADORES!AI307-CONTADORES!AI306))</f>
        <v>0</v>
      </c>
      <c r="AK297" s="1409">
        <f ca="1">IF(B297&gt;=$J$5,0,(CONTADORES!Q307-CONTADORES!Q306))</f>
        <v>0</v>
      </c>
      <c r="AL297" s="1461">
        <f t="shared" ca="1" si="144"/>
        <v>0</v>
      </c>
      <c r="AM297" s="1409">
        <f ca="1">IF(B297&gt;=$J$5,0,(((CONTADORES!F307-CONTADORES!F306)+(CONTADORES!AQ307-CONTADORES!AQ306))))-BS297-AF297-AN297-BV297-BY297-CD297-CB297+T297</f>
        <v>0</v>
      </c>
      <c r="AN297" s="1397">
        <f ca="1">IF(B297&gt;=$J$5,0,(CONTADORES!AX307-CONTADORES!AX306)+(CONTADORES!AZ307-CONTADORES!AZ306)+(CONTADORES!BE307-CONTADORES!BE306))-CB297</f>
        <v>0</v>
      </c>
      <c r="AO297" s="1437">
        <f>(CONTADORES!AC307-CONTADORES!AC306)</f>
        <v>0</v>
      </c>
      <c r="AP297" s="1437">
        <f>(CONTADORES!X307-CONTADORES!X306)</f>
        <v>0</v>
      </c>
      <c r="AQ297" s="1437">
        <f>(CONTADORES!C307-CONTADORES!C306)</f>
        <v>0</v>
      </c>
      <c r="AR297" s="1437">
        <f>(CONTADORES!BC307-CONTADORES!BC306)</f>
        <v>0</v>
      </c>
      <c r="AS297" s="1397">
        <f ca="1">IF(B297&gt;=$J$5,0,CONTADORES!S307-CONTADORES!S306)</f>
        <v>0</v>
      </c>
      <c r="AT297" s="1397">
        <f ca="1">IF(B297&gt;=$J$5,0,(CONTADORES!U307-CONTADORES!U306)+(CONTADORES!AG307-CONTADORES!AG306))</f>
        <v>0</v>
      </c>
      <c r="AU297" s="1433">
        <f>CONTADORES!I307-CONTADORES!I306</f>
        <v>0</v>
      </c>
      <c r="AV297" s="1437">
        <f>CONTADORES!AV307-CONTADORES!AV306</f>
        <v>0</v>
      </c>
      <c r="AW297" s="1437">
        <f ca="1">IF(B297&gt;=$J$5,0,(CONTADORES!N307-CONTADORES!N306)+(CONTADORES!AN307-CONTADORES!AN306))</f>
        <v>0</v>
      </c>
      <c r="AX297" s="1437">
        <f ca="1">IF(B297&gt;=$J$5,0,(CONTADORES!P307-CONTADORES!P306)+(CONTADORES!AL307-CONTADORES!AL306))</f>
        <v>0</v>
      </c>
      <c r="AY297" s="1437">
        <f ca="1">IF(B297&gt;=$J$5,0,(CONTADORES!AJ307-CONTADORES!AJ306))</f>
        <v>0</v>
      </c>
      <c r="AZ297" s="1437">
        <f ca="1">IF(B297&gt;=$J$5,0,(CONTADORES!R307-CONTADORES!R306))</f>
        <v>0</v>
      </c>
      <c r="BA297" s="1409">
        <f t="shared" ca="1" si="145"/>
        <v>0</v>
      </c>
      <c r="BB297" s="1437">
        <f ca="1">IF(B297&gt;=$J$5,0,(((CONTADORES!G307-CONTADORES!G306)+(CONTADORES!AR307-CONTADORES!AR306))))-AV297-BC297-BT297-BW297-BZ297-CE297</f>
        <v>0</v>
      </c>
      <c r="BC297" s="1398">
        <f ca="1">IF(B297&gt;=$J$5,0,(CONTADORES!AY307-CONTADORES!AY306)+(CONTADORES!BA307-CONTADORES!BA306)+(CONTADORES!BF307-CONTADORES!BF306))</f>
        <v>0</v>
      </c>
      <c r="BD297" s="1397">
        <f t="shared" si="146"/>
        <v>0</v>
      </c>
      <c r="BE297" s="1398">
        <f ca="1">IF($B297&gt;=$J$5,0,CONTADORES!$BG307)</f>
        <v>0</v>
      </c>
      <c r="BF297" s="1397">
        <f ca="1">IF($B297&gt;=$J$5,0,CONTADORES!$BH307)</f>
        <v>0</v>
      </c>
      <c r="BG297" s="1398">
        <f ca="1">IF($B297&gt;=$J$5,0,CONTADORES!$BJ307)</f>
        <v>0</v>
      </c>
      <c r="BH297" s="1398">
        <f ca="1">IF(B297&gt;=$J$5,0,((CONTADORES!BK307-CONTADORES!BK306)/1000))</f>
        <v>0</v>
      </c>
      <c r="BI297" s="1398">
        <f ca="1">IF(B297&gt;=$J$5,0,((CONTADORES!BL307-CONTADORES!BL306)/1000))</f>
        <v>0</v>
      </c>
      <c r="BJ297" s="1398">
        <f ca="1">IF(B297&gt;=$J$5,0,((CONTADORES!BM307-CONTADORES!BM306)/1000))</f>
        <v>0</v>
      </c>
      <c r="BK297" s="1398">
        <f ca="1">IF(B297&gt;=$J$5,0,((CONTADORES!BN307-CONTADORES!BN306)/1000))</f>
        <v>0</v>
      </c>
      <c r="BL297" s="1399">
        <f t="shared" ca="1" si="147"/>
        <v>0</v>
      </c>
      <c r="BM297" s="1399">
        <f t="shared" ca="1" si="148"/>
        <v>0</v>
      </c>
      <c r="BN297" s="1398">
        <f ca="1">IF(B297&gt;=$J$5,0,CONTADORES!$BO307)</f>
        <v>0</v>
      </c>
      <c r="BO297" s="1397">
        <f ca="1">IF(W297&gt;=$J$5,0,CONTADORES!$BP307)</f>
        <v>0</v>
      </c>
      <c r="BP297" s="1397">
        <f ca="1">IF(W297&gt;=$J$5,0,CONTADORES!$BQ307)</f>
        <v>0</v>
      </c>
      <c r="BQ297" s="1397">
        <f ca="1">IF(B297&gt;=$J$5,0,(CONTADORES!AS307-CONTADORES!AS306))</f>
        <v>0</v>
      </c>
      <c r="BR297" s="1397">
        <f ca="1">IF(B297&gt;=$J$5,0,(CONTADORES!AT307-CONTADORES!AT306))</f>
        <v>0</v>
      </c>
      <c r="BS297" s="1398">
        <f ca="1">IF(B297&gt;=$J$5,0,CONTADORES!BR307-CONTADORES!BR306)/1000</f>
        <v>0</v>
      </c>
      <c r="BT297" s="1409">
        <f ca="1">IF(B297&gt;=$J$5,0,CONTADORES!BS307-CONTADORES!BS306)</f>
        <v>0</v>
      </c>
      <c r="BU297" s="1409">
        <f ca="1">IF(B297&gt;=$J$5,0,CONTADORES!BT307-CONTADORES!BT306)</f>
        <v>0</v>
      </c>
      <c r="BV297" s="1409">
        <f ca="1">IF(B297&gt;=$J$5,0,CONTADORES!BU307-CONTADORES!BU306)/1000</f>
        <v>0</v>
      </c>
      <c r="BW297" s="1409">
        <f ca="1">IF(B297&gt;=$J$5,0,CONTADORES!BV307-CONTADORES!BV306)/1000</f>
        <v>0</v>
      </c>
      <c r="BX297" s="1409">
        <f ca="1">IF(B297&gt;=$J$5,0,CONTADORES!BW307-CONTADORES!BW306)</f>
        <v>0</v>
      </c>
      <c r="BY297" s="1409">
        <f ca="1">IF(B297&gt;=$J$5,0,CONTADORES!BX307-CONTADORES!BX306)/1000</f>
        <v>0</v>
      </c>
      <c r="BZ297" s="1409">
        <f ca="1">IF(B297&gt;=$J$5,0,CONTADORES!BY307-CONTADORES!BY306)/1000</f>
        <v>0</v>
      </c>
      <c r="CA297" s="1409">
        <f ca="1">IF(B297&gt;=$J$5,0,CONTADORES!BZ307-CONTADORES!BZ306)</f>
        <v>0</v>
      </c>
      <c r="CB297" s="1409">
        <f ca="1">IF(B297&gt;=$J$5,0,(CONTADORES!CC307-CONTADORES!CC306)+(CONTADORES!CE307-CONTADORES!CE306))/1000</f>
        <v>0</v>
      </c>
      <c r="CC297" s="1409">
        <f ca="1">IF(B297&gt;=$J$5,0,(CONTADORES!CD307-CONTADORES!CD306)+(CONTADORES!CF307-CONTADORES!CF306))/1000</f>
        <v>0</v>
      </c>
      <c r="CD297" s="1409">
        <f ca="1">IF(B297&gt;=$J$5,0,CONTADORES!CA307-CONTADORES!CA306)</f>
        <v>0</v>
      </c>
      <c r="CE297" s="1409">
        <f ca="1">IF(B297&gt;=$J$5,0,CONTADORES!CB307-CONTADORES!CB306)</f>
        <v>0</v>
      </c>
      <c r="CF297" s="1409">
        <f t="shared" ca="1" si="149"/>
        <v>0</v>
      </c>
      <c r="CG297" s="1409">
        <f t="shared" ca="1" si="150"/>
        <v>0</v>
      </c>
      <c r="CH297" s="1409">
        <f t="shared" ca="1" si="151"/>
        <v>0</v>
      </c>
      <c r="CI297" s="1409">
        <f t="shared" ca="1" si="152"/>
        <v>0</v>
      </c>
      <c r="CJ297" s="1409">
        <f t="shared" ca="1" si="153"/>
        <v>0</v>
      </c>
      <c r="CK297" s="1409">
        <f t="shared" ca="1" si="154"/>
        <v>0</v>
      </c>
      <c r="CL297" s="1409">
        <f t="shared" ca="1" si="155"/>
        <v>0</v>
      </c>
      <c r="CM297" s="1409">
        <f t="shared" ca="1" si="156"/>
        <v>0</v>
      </c>
      <c r="CN297" s="1409">
        <f ca="1">IF(B297&gt;=$J$5,0,CONTADORES!CB307-CONTADORES!CB306)</f>
        <v>0</v>
      </c>
      <c r="CO297" s="1409">
        <f t="shared" ca="1" si="157"/>
        <v>0</v>
      </c>
      <c r="CP297" s="1409">
        <f t="shared" ca="1" si="158"/>
        <v>0</v>
      </c>
      <c r="CQ297" s="1409">
        <f t="shared" ca="1" si="159"/>
        <v>0</v>
      </c>
      <c r="CR297" s="1409">
        <f t="shared" ca="1" si="160"/>
        <v>0</v>
      </c>
      <c r="CS297" s="1409">
        <f ca="1">IF($B297&gt;=$J$5,0,CONTADORES!$BI307)</f>
        <v>0</v>
      </c>
      <c r="CT297" s="1334">
        <f>CONTADORES!E307</f>
        <v>0</v>
      </c>
      <c r="CU297" s="1334">
        <f>CONTADORES!CG307</f>
        <v>0</v>
      </c>
    </row>
    <row r="298" spans="2:99">
      <c r="B298" s="1477">
        <v>45214</v>
      </c>
      <c r="C298" s="202">
        <f t="shared" ca="1" si="134"/>
        <v>0</v>
      </c>
      <c r="D298" s="196">
        <f ca="1">'CALCULO DE GAS'!P120</f>
        <v>0</v>
      </c>
      <c r="E298" s="196">
        <f ca="1">IF(B298&gt;=$J$5,0,(CONTADORES!$AD308-CONTADORES!$AD307)-$H298)</f>
        <v>0</v>
      </c>
      <c r="F298" s="198">
        <f t="shared" ca="1" si="163"/>
        <v>0</v>
      </c>
      <c r="G298" s="196">
        <f ca="1">IF(B298&gt;=$J$5,0,CONTADORES!$AF308-CONTADORES!$AF307)</f>
        <v>0</v>
      </c>
      <c r="H298" s="196">
        <f ca="1">IF(G298&gt;0,CONTADORES!$AE308-CONTADORES!$AE307,0)</f>
        <v>0</v>
      </c>
      <c r="I298" s="199">
        <f ca="1">IF(B298&gt;=$J$5,0,CONTADORES!$AB308-CONTADORES!$AB307)</f>
        <v>0</v>
      </c>
      <c r="J298" s="198">
        <f t="shared" ca="1" si="135"/>
        <v>0</v>
      </c>
      <c r="K298" s="196">
        <f ca="1">'CALCULO DE GAS'!Q120</f>
        <v>0</v>
      </c>
      <c r="L298" s="1396">
        <f ca="1">IF(B298&gt;=$J$5,0,(CONTADORES!$Y308-CONTADORES!$Y307)-$O298)</f>
        <v>0</v>
      </c>
      <c r="M298" s="1396">
        <f t="shared" ca="1" si="161"/>
        <v>0</v>
      </c>
      <c r="N298" s="1396">
        <f ca="1">IF(B298&gt;=$J$5,0,CONTADORES!$AA308-CONTADORES!$AA307)</f>
        <v>0</v>
      </c>
      <c r="O298" s="1396">
        <f ca="1">IF(N298&gt;0,CONTADORES!$Z308-CONTADORES!$Z307,0)</f>
        <v>0</v>
      </c>
      <c r="P298" s="202">
        <f ca="1">IF(B298&gt;=$J$5,0,CONTADORES!$W308-CONTADORES!$W307)</f>
        <v>0</v>
      </c>
      <c r="Q298" s="202">
        <f ca="1">IF(B298&gt;=$J$5,0,CONTADORES!$B308-CONTADORES!$B307)</f>
        <v>0</v>
      </c>
      <c r="R298" s="196">
        <f t="shared" ca="1" si="136"/>
        <v>0</v>
      </c>
      <c r="S298" s="11">
        <f ca="1">IF(B298&gt;=$J$5,0,CONTADORES!$D308-CONTADORES!$D307)</f>
        <v>0</v>
      </c>
      <c r="T298" s="198">
        <f ca="1">IF(B298&gt;=$J$5,0,CONTADORES!$BB308-CONTADORES!$BB307)</f>
        <v>0</v>
      </c>
      <c r="U298" s="196">
        <f t="shared" ca="1" si="162"/>
        <v>0</v>
      </c>
      <c r="V298" s="199">
        <f ca="1">IF(B298&gt;=$J$5,0,CONTADORES!$BD308-CONTADORES!$BD307)</f>
        <v>0</v>
      </c>
      <c r="W298" s="1397">
        <f t="shared" ca="1" si="137"/>
        <v>0</v>
      </c>
      <c r="X298" s="1397">
        <f t="shared" ca="1" si="138"/>
        <v>0</v>
      </c>
      <c r="Y298" s="1398">
        <f t="shared" ca="1" si="139"/>
        <v>0</v>
      </c>
      <c r="Z298" s="1398">
        <f t="shared" ca="1" si="140"/>
        <v>0</v>
      </c>
      <c r="AA298" s="1398">
        <f t="shared" ca="1" si="141"/>
        <v>0</v>
      </c>
      <c r="AB298" s="1398">
        <f t="shared" ca="1" si="142"/>
        <v>0</v>
      </c>
      <c r="AC298" s="1397">
        <f t="shared" ca="1" si="143"/>
        <v>0</v>
      </c>
      <c r="AD298" s="1397">
        <f ca="1">IF(B298&gt;=$J$5,0,CONTADORES!H308-CONTADORES!H307)</f>
        <v>0</v>
      </c>
      <c r="AE298" s="1397">
        <f ca="1">IF(B298&gt;=$J$5,0,CONTADORES!J308-CONTADORES!J307)</f>
        <v>0</v>
      </c>
      <c r="AF298" s="1397">
        <f ca="1">IF(B298&gt;=$J$5,0,CONTADORES!AU308-CONTADORES!AU307)</f>
        <v>0</v>
      </c>
      <c r="AG298" s="1397">
        <f ca="1">IF(B298&gt;=$J$5,0,CONTADORES!AW308-CONTADORES!AW307)</f>
        <v>0</v>
      </c>
      <c r="AH298" s="1409">
        <f ca="1">IF(B298&gt;=$J$5,0,(CONTADORES!AM308-CONTADORES!AM307)+(CONTADORES!M308-CONTADORES!M307))</f>
        <v>0</v>
      </c>
      <c r="AI298" s="1409">
        <f ca="1">IF(B298&gt;=$J$5,0,(CONTADORES!AK308-CONTADORES!AK307)+(CONTADORES!O308-CONTADORES!O307))</f>
        <v>0</v>
      </c>
      <c r="AJ298" s="1409">
        <f ca="1">IF(B298&gt;=$J$5,0,(CONTADORES!AI308-CONTADORES!AI307))</f>
        <v>0</v>
      </c>
      <c r="AK298" s="1409">
        <f ca="1">IF(B298&gt;=$J$5,0,(CONTADORES!Q308-CONTADORES!Q307))</f>
        <v>0</v>
      </c>
      <c r="AL298" s="1461">
        <f t="shared" ca="1" si="144"/>
        <v>0</v>
      </c>
      <c r="AM298" s="1409">
        <f ca="1">IF(B298&gt;=$J$5,0,(((CONTADORES!F308-CONTADORES!F307)+(CONTADORES!AQ308-CONTADORES!AQ307))))-BS298-AF298-AN298-BV298-BY298-CD298-CB298+T298</f>
        <v>0</v>
      </c>
      <c r="AN298" s="1397">
        <f ca="1">IF(B298&gt;=$J$5,0,(CONTADORES!AX308-CONTADORES!AX307)+(CONTADORES!AZ308-CONTADORES!AZ307)+(CONTADORES!BE308-CONTADORES!BE307))-CB298</f>
        <v>0</v>
      </c>
      <c r="AO298" s="1437">
        <f>(CONTADORES!AC308-CONTADORES!AC307)</f>
        <v>0</v>
      </c>
      <c r="AP298" s="1437">
        <f>(CONTADORES!X308-CONTADORES!X307)</f>
        <v>0</v>
      </c>
      <c r="AQ298" s="1437">
        <f>(CONTADORES!C308-CONTADORES!C307)</f>
        <v>0</v>
      </c>
      <c r="AR298" s="1437">
        <f>(CONTADORES!BC308-CONTADORES!BC307)</f>
        <v>0</v>
      </c>
      <c r="AS298" s="1397">
        <f ca="1">IF(B298&gt;=$J$5,0,CONTADORES!S308-CONTADORES!S307)</f>
        <v>0</v>
      </c>
      <c r="AT298" s="1397">
        <f ca="1">IF(B298&gt;=$J$5,0,(CONTADORES!U308-CONTADORES!U307)+(CONTADORES!AG308-CONTADORES!AG307))</f>
        <v>0</v>
      </c>
      <c r="AU298" s="1433">
        <f>CONTADORES!I308-CONTADORES!I307</f>
        <v>0</v>
      </c>
      <c r="AV298" s="1437">
        <f>CONTADORES!AV308-CONTADORES!AV307</f>
        <v>0</v>
      </c>
      <c r="AW298" s="1437">
        <f ca="1">IF(B298&gt;=$J$5,0,(CONTADORES!N308-CONTADORES!N307)+(CONTADORES!AN308-CONTADORES!AN307))</f>
        <v>0</v>
      </c>
      <c r="AX298" s="1437">
        <f ca="1">IF(B298&gt;=$J$5,0,(CONTADORES!P308-CONTADORES!P307)+(CONTADORES!AL308-CONTADORES!AL307))</f>
        <v>0</v>
      </c>
      <c r="AY298" s="1437">
        <f ca="1">IF(B298&gt;=$J$5,0,(CONTADORES!AJ308-CONTADORES!AJ307))</f>
        <v>0</v>
      </c>
      <c r="AZ298" s="1437">
        <f ca="1">IF(B298&gt;=$J$5,0,(CONTADORES!R308-CONTADORES!R307))</f>
        <v>0</v>
      </c>
      <c r="BA298" s="1409">
        <f t="shared" ca="1" si="145"/>
        <v>0</v>
      </c>
      <c r="BB298" s="1437">
        <f ca="1">IF(B298&gt;=$J$5,0,(((CONTADORES!G308-CONTADORES!G307)+(CONTADORES!AR308-CONTADORES!AR307))))-AV298-BC298-BT298-BW298-BZ298-CE298</f>
        <v>0</v>
      </c>
      <c r="BC298" s="1398">
        <f ca="1">IF(B298&gt;=$J$5,0,(CONTADORES!AY308-CONTADORES!AY307)+(CONTADORES!BA308-CONTADORES!BA307)+(CONTADORES!BF308-CONTADORES!BF307))</f>
        <v>0</v>
      </c>
      <c r="BD298" s="1397">
        <f t="shared" si="146"/>
        <v>0</v>
      </c>
      <c r="BE298" s="1398">
        <f ca="1">IF($B298&gt;=$J$5,0,CONTADORES!$BG308)</f>
        <v>0</v>
      </c>
      <c r="BF298" s="1397">
        <f ca="1">IF($B298&gt;=$J$5,0,CONTADORES!$BH308)</f>
        <v>0</v>
      </c>
      <c r="BG298" s="1398">
        <f ca="1">IF($B298&gt;=$J$5,0,CONTADORES!$BJ308)</f>
        <v>0</v>
      </c>
      <c r="BH298" s="1398">
        <f ca="1">IF(B298&gt;=$J$5,0,((CONTADORES!BK308-CONTADORES!BK307)/1000))</f>
        <v>0</v>
      </c>
      <c r="BI298" s="1398">
        <f ca="1">IF(B298&gt;=$J$5,0,((CONTADORES!BL308-CONTADORES!BL307)/1000))</f>
        <v>0</v>
      </c>
      <c r="BJ298" s="1398">
        <f ca="1">IF(B298&gt;=$J$5,0,((CONTADORES!BM308-CONTADORES!BM307)/1000))</f>
        <v>0</v>
      </c>
      <c r="BK298" s="1398">
        <f ca="1">IF(B298&gt;=$J$5,0,((CONTADORES!BN308-CONTADORES!BN307)/1000))</f>
        <v>0</v>
      </c>
      <c r="BL298" s="1399">
        <f t="shared" ca="1" si="147"/>
        <v>0</v>
      </c>
      <c r="BM298" s="1399">
        <f t="shared" ca="1" si="148"/>
        <v>0</v>
      </c>
      <c r="BN298" s="1398">
        <f ca="1">IF(B298&gt;=$J$5,0,CONTADORES!$BO308)</f>
        <v>0</v>
      </c>
      <c r="BO298" s="1397">
        <f ca="1">IF(W298&gt;=$J$5,0,CONTADORES!$BP308)</f>
        <v>0</v>
      </c>
      <c r="BP298" s="1397">
        <f ca="1">IF(W298&gt;=$J$5,0,CONTADORES!$BQ308)</f>
        <v>0</v>
      </c>
      <c r="BQ298" s="1397">
        <f ca="1">IF(B298&gt;=$J$5,0,(CONTADORES!AS308-CONTADORES!AS307))</f>
        <v>0</v>
      </c>
      <c r="BR298" s="1397">
        <f ca="1">IF(B298&gt;=$J$5,0,(CONTADORES!AT308-CONTADORES!AT307))</f>
        <v>0</v>
      </c>
      <c r="BS298" s="1398">
        <f ca="1">IF(B298&gt;=$J$5,0,CONTADORES!BR308-CONTADORES!BR307)/1000</f>
        <v>0</v>
      </c>
      <c r="BT298" s="1409">
        <f ca="1">IF(B298&gt;=$J$5,0,CONTADORES!BS308-CONTADORES!BS307)</f>
        <v>0</v>
      </c>
      <c r="BU298" s="1409">
        <f ca="1">IF(B298&gt;=$J$5,0,CONTADORES!BT308-CONTADORES!BT307)</f>
        <v>0</v>
      </c>
      <c r="BV298" s="1409">
        <f ca="1">IF(B298&gt;=$J$5,0,CONTADORES!BU308-CONTADORES!BU307)/1000</f>
        <v>0</v>
      </c>
      <c r="BW298" s="1409">
        <f ca="1">IF(B298&gt;=$J$5,0,CONTADORES!BV308-CONTADORES!BV307)/1000</f>
        <v>0</v>
      </c>
      <c r="BX298" s="1409">
        <f ca="1">IF(B298&gt;=$J$5,0,CONTADORES!BW308-CONTADORES!BW307)</f>
        <v>0</v>
      </c>
      <c r="BY298" s="1409">
        <f ca="1">IF(B298&gt;=$J$5,0,CONTADORES!BX308-CONTADORES!BX307)/1000</f>
        <v>0</v>
      </c>
      <c r="BZ298" s="1409">
        <f ca="1">IF(B298&gt;=$J$5,0,CONTADORES!BY308-CONTADORES!BY307)/1000</f>
        <v>0</v>
      </c>
      <c r="CA298" s="1409">
        <f ca="1">IF(B298&gt;=$J$5,0,CONTADORES!BZ308-CONTADORES!BZ307)</f>
        <v>0</v>
      </c>
      <c r="CB298" s="1409">
        <f ca="1">IF(B298&gt;=$J$5,0,(CONTADORES!CC308-CONTADORES!CC307)+(CONTADORES!CE308-CONTADORES!CE307))/1000</f>
        <v>0</v>
      </c>
      <c r="CC298" s="1409">
        <f ca="1">IF(B298&gt;=$J$5,0,(CONTADORES!CD308-CONTADORES!CD307)+(CONTADORES!CF308-CONTADORES!CF307))/1000</f>
        <v>0</v>
      </c>
      <c r="CD298" s="1409">
        <f ca="1">IF(B298&gt;=$J$5,0,CONTADORES!CA308-CONTADORES!CA307)</f>
        <v>0</v>
      </c>
      <c r="CE298" s="1409">
        <f ca="1">IF(B298&gt;=$J$5,0,CONTADORES!CB308-CONTADORES!CB307)</f>
        <v>0</v>
      </c>
      <c r="CF298" s="1409">
        <f t="shared" ca="1" si="149"/>
        <v>0</v>
      </c>
      <c r="CG298" s="1409">
        <f t="shared" ca="1" si="150"/>
        <v>0</v>
      </c>
      <c r="CH298" s="1409">
        <f t="shared" ca="1" si="151"/>
        <v>0</v>
      </c>
      <c r="CI298" s="1409">
        <f t="shared" ca="1" si="152"/>
        <v>0</v>
      </c>
      <c r="CJ298" s="1409">
        <f t="shared" ca="1" si="153"/>
        <v>0</v>
      </c>
      <c r="CK298" s="1409">
        <f t="shared" ca="1" si="154"/>
        <v>0</v>
      </c>
      <c r="CL298" s="1409">
        <f t="shared" ca="1" si="155"/>
        <v>0</v>
      </c>
      <c r="CM298" s="1409">
        <f t="shared" ca="1" si="156"/>
        <v>0</v>
      </c>
      <c r="CN298" s="1409">
        <f ca="1">IF(B298&gt;=$J$5,0,CONTADORES!CB308-CONTADORES!CB307)</f>
        <v>0</v>
      </c>
      <c r="CO298" s="1409">
        <f t="shared" ca="1" si="157"/>
        <v>0</v>
      </c>
      <c r="CP298" s="1409">
        <f t="shared" ca="1" si="158"/>
        <v>0</v>
      </c>
      <c r="CQ298" s="1409">
        <f t="shared" ca="1" si="159"/>
        <v>0</v>
      </c>
      <c r="CR298" s="1409">
        <f t="shared" ca="1" si="160"/>
        <v>0</v>
      </c>
      <c r="CS298" s="1409">
        <f ca="1">IF($B298&gt;=$J$5,0,CONTADORES!$BI308)</f>
        <v>0</v>
      </c>
      <c r="CT298" s="1334">
        <f>CONTADORES!E308</f>
        <v>0</v>
      </c>
      <c r="CU298" s="1334">
        <f>CONTADORES!CG308</f>
        <v>0</v>
      </c>
    </row>
    <row r="299" spans="2:99">
      <c r="B299" s="1477">
        <v>45215</v>
      </c>
      <c r="C299" s="202">
        <f t="shared" ca="1" si="134"/>
        <v>0</v>
      </c>
      <c r="D299" s="196">
        <f ca="1">'CALCULO DE GAS'!P121</f>
        <v>0</v>
      </c>
      <c r="E299" s="196">
        <f ca="1">IF(B299&gt;=$J$5,0,(CONTADORES!$AD309-CONTADORES!$AD308)-$H299)</f>
        <v>0</v>
      </c>
      <c r="F299" s="198">
        <f t="shared" ca="1" si="163"/>
        <v>0</v>
      </c>
      <c r="G299" s="196">
        <f ca="1">IF(B299&gt;=$J$5,0,CONTADORES!$AF309-CONTADORES!$AF308)</f>
        <v>0</v>
      </c>
      <c r="H299" s="196">
        <f ca="1">IF(G299&gt;0,CONTADORES!$AE309-CONTADORES!$AE308,0)</f>
        <v>0</v>
      </c>
      <c r="I299" s="199">
        <f ca="1">IF(B299&gt;=$J$5,0,CONTADORES!$AB309-CONTADORES!$AB308)</f>
        <v>0</v>
      </c>
      <c r="J299" s="198">
        <f t="shared" ca="1" si="135"/>
        <v>0</v>
      </c>
      <c r="K299" s="196">
        <f ca="1">'CALCULO DE GAS'!Q121</f>
        <v>0</v>
      </c>
      <c r="L299" s="1396">
        <f ca="1">IF(B299&gt;=$J$5,0,(CONTADORES!$Y309-CONTADORES!$Y308)-$O299)</f>
        <v>0</v>
      </c>
      <c r="M299" s="1396">
        <f t="shared" ca="1" si="161"/>
        <v>0</v>
      </c>
      <c r="N299" s="1396">
        <f ca="1">IF(B299&gt;=$J$5,0,CONTADORES!$AA309-CONTADORES!$AA308)</f>
        <v>0</v>
      </c>
      <c r="O299" s="1396">
        <f ca="1">IF(N299&gt;0,CONTADORES!$Z309-CONTADORES!$Z308,0)</f>
        <v>0</v>
      </c>
      <c r="P299" s="202">
        <f ca="1">IF(B299&gt;=$J$5,0,CONTADORES!$W309-CONTADORES!$W308)</f>
        <v>0</v>
      </c>
      <c r="Q299" s="202">
        <f ca="1">IF(B299&gt;=$J$5,0,CONTADORES!$B309-CONTADORES!$B308)</f>
        <v>0</v>
      </c>
      <c r="R299" s="196">
        <f t="shared" ca="1" si="136"/>
        <v>0</v>
      </c>
      <c r="S299" s="11">
        <f ca="1">IF(B299&gt;=$J$5,0,CONTADORES!$D309-CONTADORES!$D308)</f>
        <v>0</v>
      </c>
      <c r="T299" s="198">
        <f ca="1">IF(B299&gt;=$J$5,0,CONTADORES!$BB309-CONTADORES!$BB308)</f>
        <v>0</v>
      </c>
      <c r="U299" s="196">
        <f t="shared" ca="1" si="162"/>
        <v>0</v>
      </c>
      <c r="V299" s="199">
        <f ca="1">IF(B299&gt;=$J$5,0,CONTADORES!$BD309-CONTADORES!$BD308)</f>
        <v>0</v>
      </c>
      <c r="W299" s="1397">
        <f t="shared" ca="1" si="137"/>
        <v>0</v>
      </c>
      <c r="X299" s="1397">
        <f t="shared" ca="1" si="138"/>
        <v>0</v>
      </c>
      <c r="Y299" s="1398">
        <f t="shared" ca="1" si="139"/>
        <v>0</v>
      </c>
      <c r="Z299" s="1398">
        <f t="shared" ca="1" si="140"/>
        <v>0</v>
      </c>
      <c r="AA299" s="1398">
        <f t="shared" ca="1" si="141"/>
        <v>0</v>
      </c>
      <c r="AB299" s="1398">
        <f t="shared" ca="1" si="142"/>
        <v>0</v>
      </c>
      <c r="AC299" s="1397">
        <f t="shared" ca="1" si="143"/>
        <v>0</v>
      </c>
      <c r="AD299" s="1397">
        <f ca="1">IF(B299&gt;=$J$5,0,CONTADORES!H309-CONTADORES!H308)</f>
        <v>0</v>
      </c>
      <c r="AE299" s="1397">
        <f ca="1">IF(B299&gt;=$J$5,0,CONTADORES!J309-CONTADORES!J308)</f>
        <v>0</v>
      </c>
      <c r="AF299" s="1397">
        <f ca="1">IF(B299&gt;=$J$5,0,CONTADORES!AU309-CONTADORES!AU308)</f>
        <v>0</v>
      </c>
      <c r="AG299" s="1397">
        <f ca="1">IF(B299&gt;=$J$5,0,CONTADORES!AW309-CONTADORES!AW308)</f>
        <v>0</v>
      </c>
      <c r="AH299" s="1409">
        <f ca="1">IF(B299&gt;=$J$5,0,(CONTADORES!AM309-CONTADORES!AM308)+(CONTADORES!M309-CONTADORES!M308))</f>
        <v>0</v>
      </c>
      <c r="AI299" s="1409">
        <f ca="1">IF(B299&gt;=$J$5,0,(CONTADORES!AK309-CONTADORES!AK308)+(CONTADORES!O309-CONTADORES!O308))</f>
        <v>0</v>
      </c>
      <c r="AJ299" s="1409">
        <f ca="1">IF(B299&gt;=$J$5,0,(CONTADORES!AI309-CONTADORES!AI308))</f>
        <v>0</v>
      </c>
      <c r="AK299" s="1409">
        <f ca="1">IF(B299&gt;=$J$5,0,(CONTADORES!Q309-CONTADORES!Q308))</f>
        <v>0</v>
      </c>
      <c r="AL299" s="1461">
        <f t="shared" ca="1" si="144"/>
        <v>0</v>
      </c>
      <c r="AM299" s="1409">
        <f ca="1">IF(B299&gt;=$J$5,0,(((CONTADORES!F309-CONTADORES!F308)+(CONTADORES!AQ309-CONTADORES!AQ308))))-BS299-AF299-AN299-BV299-BY299-CD299-CB299+T299</f>
        <v>0</v>
      </c>
      <c r="AN299" s="1397">
        <f ca="1">IF(B299&gt;=$J$5,0,(CONTADORES!AX309-CONTADORES!AX308)+(CONTADORES!AZ309-CONTADORES!AZ308)+(CONTADORES!BE309-CONTADORES!BE308))-CB299</f>
        <v>0</v>
      </c>
      <c r="AO299" s="1437">
        <f>(CONTADORES!AC309-CONTADORES!AC308)</f>
        <v>0</v>
      </c>
      <c r="AP299" s="1437">
        <f>(CONTADORES!X309-CONTADORES!X308)</f>
        <v>0</v>
      </c>
      <c r="AQ299" s="1437">
        <f>(CONTADORES!C309-CONTADORES!C308)</f>
        <v>0</v>
      </c>
      <c r="AR299" s="1437">
        <f>(CONTADORES!BC309-CONTADORES!BC308)</f>
        <v>0</v>
      </c>
      <c r="AS299" s="1397">
        <f ca="1">IF(B299&gt;=$J$5,0,CONTADORES!S309-CONTADORES!S308)</f>
        <v>0</v>
      </c>
      <c r="AT299" s="1397">
        <f ca="1">IF(B299&gt;=$J$5,0,(CONTADORES!U309-CONTADORES!U308)+(CONTADORES!AG309-CONTADORES!AG308))</f>
        <v>0</v>
      </c>
      <c r="AU299" s="1433">
        <f>CONTADORES!I309-CONTADORES!I308</f>
        <v>0</v>
      </c>
      <c r="AV299" s="1437">
        <f>CONTADORES!AV309-CONTADORES!AV308</f>
        <v>0</v>
      </c>
      <c r="AW299" s="1437">
        <f ca="1">IF(B299&gt;=$J$5,0,(CONTADORES!N309-CONTADORES!N308)+(CONTADORES!AN309-CONTADORES!AN308))</f>
        <v>0</v>
      </c>
      <c r="AX299" s="1437">
        <f ca="1">IF(B299&gt;=$J$5,0,(CONTADORES!P309-CONTADORES!P308)+(CONTADORES!AL309-CONTADORES!AL308))</f>
        <v>0</v>
      </c>
      <c r="AY299" s="1437">
        <f ca="1">IF(B299&gt;=$J$5,0,(CONTADORES!AJ309-CONTADORES!AJ308))</f>
        <v>0</v>
      </c>
      <c r="AZ299" s="1437">
        <f ca="1">IF(B299&gt;=$J$5,0,(CONTADORES!R309-CONTADORES!R308))</f>
        <v>0</v>
      </c>
      <c r="BA299" s="1409">
        <f t="shared" ca="1" si="145"/>
        <v>0</v>
      </c>
      <c r="BB299" s="1437">
        <f ca="1">IF(B299&gt;=$J$5,0,(((CONTADORES!G309-CONTADORES!G308)+(CONTADORES!AR309-CONTADORES!AR308))))-AV299-BC299-BT299-BW299-BZ299-CE299</f>
        <v>0</v>
      </c>
      <c r="BC299" s="1398">
        <f ca="1">IF(B299&gt;=$J$5,0,(CONTADORES!AY309-CONTADORES!AY308)+(CONTADORES!BA309-CONTADORES!BA308)+(CONTADORES!BF309-CONTADORES!BF308))</f>
        <v>0</v>
      </c>
      <c r="BD299" s="1397">
        <f t="shared" si="146"/>
        <v>0</v>
      </c>
      <c r="BE299" s="1398">
        <f ca="1">IF($B299&gt;=$J$5,0,CONTADORES!$BG309)</f>
        <v>0</v>
      </c>
      <c r="BF299" s="1397">
        <f ca="1">IF($B299&gt;=$J$5,0,CONTADORES!$BH309)</f>
        <v>0</v>
      </c>
      <c r="BG299" s="1398">
        <f ca="1">IF($B299&gt;=$J$5,0,CONTADORES!$BJ309)</f>
        <v>0</v>
      </c>
      <c r="BH299" s="1398">
        <f ca="1">IF(B299&gt;=$J$5,0,((CONTADORES!BK309-CONTADORES!BK308)/1000))</f>
        <v>0</v>
      </c>
      <c r="BI299" s="1398">
        <f ca="1">IF(B299&gt;=$J$5,0,((CONTADORES!BL309-CONTADORES!BL308)/1000))</f>
        <v>0</v>
      </c>
      <c r="BJ299" s="1398">
        <f ca="1">IF(B299&gt;=$J$5,0,((CONTADORES!BM309-CONTADORES!BM308)/1000))</f>
        <v>0</v>
      </c>
      <c r="BK299" s="1398">
        <f ca="1">IF(B299&gt;=$J$5,0,((CONTADORES!BN309-CONTADORES!BN308)/1000))</f>
        <v>0</v>
      </c>
      <c r="BL299" s="1399">
        <f t="shared" ca="1" si="147"/>
        <v>0</v>
      </c>
      <c r="BM299" s="1399">
        <f t="shared" ca="1" si="148"/>
        <v>0</v>
      </c>
      <c r="BN299" s="1398">
        <f ca="1">IF(B299&gt;=$J$5,0,CONTADORES!$BO309)</f>
        <v>0</v>
      </c>
      <c r="BO299" s="1397">
        <f ca="1">IF(W299&gt;=$J$5,0,CONTADORES!$BP309)</f>
        <v>0</v>
      </c>
      <c r="BP299" s="1397">
        <f ca="1">IF(W299&gt;=$J$5,0,CONTADORES!$BQ309)</f>
        <v>0</v>
      </c>
      <c r="BQ299" s="1397">
        <f ca="1">IF(B299&gt;=$J$5,0,(CONTADORES!AS309-CONTADORES!AS308))</f>
        <v>0</v>
      </c>
      <c r="BR299" s="1397">
        <f ca="1">IF(B299&gt;=$J$5,0,(CONTADORES!AT309-CONTADORES!AT308))</f>
        <v>0</v>
      </c>
      <c r="BS299" s="1398">
        <f ca="1">IF(B299&gt;=$J$5,0,CONTADORES!BR309-CONTADORES!BR308)/1000</f>
        <v>0</v>
      </c>
      <c r="BT299" s="1409">
        <f ca="1">IF(B299&gt;=$J$5,0,CONTADORES!BS309-CONTADORES!BS308)</f>
        <v>0</v>
      </c>
      <c r="BU299" s="1409">
        <f ca="1">IF(B299&gt;=$J$5,0,CONTADORES!BT309-CONTADORES!BT308)</f>
        <v>0</v>
      </c>
      <c r="BV299" s="1409">
        <f ca="1">IF(B299&gt;=$J$5,0,CONTADORES!BU309-CONTADORES!BU308)/1000</f>
        <v>0</v>
      </c>
      <c r="BW299" s="1409">
        <f ca="1">IF(B299&gt;=$J$5,0,CONTADORES!BV309-CONTADORES!BV308)/1000</f>
        <v>0</v>
      </c>
      <c r="BX299" s="1409">
        <f ca="1">IF(B299&gt;=$J$5,0,CONTADORES!BW309-CONTADORES!BW308)</f>
        <v>0</v>
      </c>
      <c r="BY299" s="1409">
        <f ca="1">IF(B299&gt;=$J$5,0,CONTADORES!BX309-CONTADORES!BX308)/1000</f>
        <v>0</v>
      </c>
      <c r="BZ299" s="1409">
        <f ca="1">IF(B299&gt;=$J$5,0,CONTADORES!BY309-CONTADORES!BY308)/1000</f>
        <v>0</v>
      </c>
      <c r="CA299" s="1409">
        <f ca="1">IF(B299&gt;=$J$5,0,CONTADORES!BZ309-CONTADORES!BZ308)</f>
        <v>0</v>
      </c>
      <c r="CB299" s="1409">
        <f ca="1">IF(B299&gt;=$J$5,0,(CONTADORES!CC309-CONTADORES!CC308)+(CONTADORES!CE309-CONTADORES!CE308))/1000</f>
        <v>0</v>
      </c>
      <c r="CC299" s="1409">
        <f ca="1">IF(B299&gt;=$J$5,0,(CONTADORES!CD309-CONTADORES!CD308)+(CONTADORES!CF309-CONTADORES!CF308))/1000</f>
        <v>0</v>
      </c>
      <c r="CD299" s="1409">
        <f ca="1">IF(B299&gt;=$J$5,0,CONTADORES!CA309-CONTADORES!CA308)</f>
        <v>0</v>
      </c>
      <c r="CE299" s="1409">
        <f ca="1">IF(B299&gt;=$J$5,0,CONTADORES!CB309-CONTADORES!CB308)</f>
        <v>0</v>
      </c>
      <c r="CF299" s="1409">
        <f t="shared" ca="1" si="149"/>
        <v>0</v>
      </c>
      <c r="CG299" s="1409">
        <f t="shared" ca="1" si="150"/>
        <v>0</v>
      </c>
      <c r="CH299" s="1409">
        <f t="shared" ca="1" si="151"/>
        <v>0</v>
      </c>
      <c r="CI299" s="1409">
        <f t="shared" ca="1" si="152"/>
        <v>0</v>
      </c>
      <c r="CJ299" s="1409">
        <f t="shared" ca="1" si="153"/>
        <v>0</v>
      </c>
      <c r="CK299" s="1409">
        <f t="shared" ca="1" si="154"/>
        <v>0</v>
      </c>
      <c r="CL299" s="1409">
        <f t="shared" ca="1" si="155"/>
        <v>0</v>
      </c>
      <c r="CM299" s="1409">
        <f t="shared" ca="1" si="156"/>
        <v>0</v>
      </c>
      <c r="CN299" s="1409">
        <f ca="1">IF(B299&gt;=$J$5,0,CONTADORES!CB309-CONTADORES!CB308)</f>
        <v>0</v>
      </c>
      <c r="CO299" s="1409">
        <f t="shared" ca="1" si="157"/>
        <v>0</v>
      </c>
      <c r="CP299" s="1409">
        <f t="shared" ca="1" si="158"/>
        <v>0</v>
      </c>
      <c r="CQ299" s="1409">
        <f t="shared" ca="1" si="159"/>
        <v>0</v>
      </c>
      <c r="CR299" s="1409">
        <f t="shared" ca="1" si="160"/>
        <v>0</v>
      </c>
      <c r="CS299" s="1409">
        <f ca="1">IF($B299&gt;=$J$5,0,CONTADORES!$BI309)</f>
        <v>0</v>
      </c>
      <c r="CT299" s="1334">
        <f>CONTADORES!E309</f>
        <v>0</v>
      </c>
      <c r="CU299" s="1334">
        <f>CONTADORES!CG309</f>
        <v>0</v>
      </c>
    </row>
    <row r="300" spans="2:99">
      <c r="B300" s="1477">
        <v>45216</v>
      </c>
      <c r="C300" s="202">
        <f t="shared" ca="1" si="134"/>
        <v>0</v>
      </c>
      <c r="D300" s="196">
        <f ca="1">'CALCULO DE GAS'!P122</f>
        <v>0</v>
      </c>
      <c r="E300" s="196">
        <f ca="1">IF(B300&gt;=$J$5,0,(CONTADORES!$AD310-CONTADORES!$AD309)-$H300)</f>
        <v>0</v>
      </c>
      <c r="F300" s="198">
        <f t="shared" ca="1" si="163"/>
        <v>0</v>
      </c>
      <c r="G300" s="196">
        <f ca="1">IF(B300&gt;=$J$5,0,CONTADORES!$AF310-CONTADORES!$AF309)</f>
        <v>0</v>
      </c>
      <c r="H300" s="196">
        <f ca="1">IF(G300&gt;0,CONTADORES!$AE310-CONTADORES!$AE309,0)</f>
        <v>0</v>
      </c>
      <c r="I300" s="199">
        <f ca="1">IF(B300&gt;=$J$5,0,CONTADORES!$AB310-CONTADORES!$AB309)</f>
        <v>0</v>
      </c>
      <c r="J300" s="198">
        <f t="shared" ca="1" si="135"/>
        <v>0</v>
      </c>
      <c r="K300" s="196">
        <f ca="1">'CALCULO DE GAS'!Q122</f>
        <v>0</v>
      </c>
      <c r="L300" s="1396">
        <f ca="1">IF(B300&gt;=$J$5,0,(CONTADORES!$Y310-CONTADORES!$Y309)-$O300)</f>
        <v>0</v>
      </c>
      <c r="M300" s="1396">
        <f t="shared" ca="1" si="161"/>
        <v>0</v>
      </c>
      <c r="N300" s="1396">
        <f ca="1">IF(B300&gt;=$J$5,0,CONTADORES!$AA310-CONTADORES!$AA309)</f>
        <v>0</v>
      </c>
      <c r="O300" s="1396">
        <f ca="1">IF(N300&gt;0,CONTADORES!$Z310-CONTADORES!$Z309,0)</f>
        <v>0</v>
      </c>
      <c r="P300" s="202">
        <f ca="1">IF(B300&gt;=$J$5,0,CONTADORES!$W310-CONTADORES!$W309)</f>
        <v>0</v>
      </c>
      <c r="Q300" s="202">
        <f ca="1">IF(B300&gt;=$J$5,0,CONTADORES!$B310-CONTADORES!$B309)</f>
        <v>0</v>
      </c>
      <c r="R300" s="196">
        <f t="shared" ca="1" si="136"/>
        <v>0</v>
      </c>
      <c r="S300" s="11">
        <f ca="1">IF(B300&gt;=$J$5,0,CONTADORES!$D310-CONTADORES!$D309)</f>
        <v>0</v>
      </c>
      <c r="T300" s="198">
        <f ca="1">IF(B300&gt;=$J$5,0,CONTADORES!$BB310-CONTADORES!$BB309)</f>
        <v>0</v>
      </c>
      <c r="U300" s="196">
        <f t="shared" ca="1" si="162"/>
        <v>0</v>
      </c>
      <c r="V300" s="199">
        <f ca="1">IF(B300&gt;=$J$5,0,CONTADORES!$BD310-CONTADORES!$BD309)</f>
        <v>0</v>
      </c>
      <c r="W300" s="1397">
        <f t="shared" ca="1" si="137"/>
        <v>0</v>
      </c>
      <c r="X300" s="1397">
        <f t="shared" ca="1" si="138"/>
        <v>0</v>
      </c>
      <c r="Y300" s="1398">
        <f t="shared" ca="1" si="139"/>
        <v>0</v>
      </c>
      <c r="Z300" s="1398">
        <f t="shared" ca="1" si="140"/>
        <v>0</v>
      </c>
      <c r="AA300" s="1398">
        <f t="shared" ca="1" si="141"/>
        <v>0</v>
      </c>
      <c r="AB300" s="1398">
        <f t="shared" ca="1" si="142"/>
        <v>0</v>
      </c>
      <c r="AC300" s="1397">
        <f t="shared" ca="1" si="143"/>
        <v>0</v>
      </c>
      <c r="AD300" s="1397">
        <f ca="1">IF(B300&gt;=$J$5,0,CONTADORES!H310-CONTADORES!H309)</f>
        <v>0</v>
      </c>
      <c r="AE300" s="1397">
        <f ca="1">IF(B300&gt;=$J$5,0,CONTADORES!J310-CONTADORES!J309)</f>
        <v>0</v>
      </c>
      <c r="AF300" s="1397">
        <f ca="1">IF(B300&gt;=$J$5,0,CONTADORES!AU310-CONTADORES!AU309)</f>
        <v>0</v>
      </c>
      <c r="AG300" s="1397">
        <f ca="1">IF(B300&gt;=$J$5,0,CONTADORES!AW310-CONTADORES!AW309)</f>
        <v>0</v>
      </c>
      <c r="AH300" s="1409">
        <f ca="1">IF(B300&gt;=$J$5,0,(CONTADORES!AM310-CONTADORES!AM309)+(CONTADORES!M310-CONTADORES!M309))</f>
        <v>0</v>
      </c>
      <c r="AI300" s="1409">
        <f ca="1">IF(B300&gt;=$J$5,0,(CONTADORES!AK310-CONTADORES!AK309)+(CONTADORES!O310-CONTADORES!O309))</f>
        <v>0</v>
      </c>
      <c r="AJ300" s="1409">
        <f ca="1">IF(B300&gt;=$J$5,0,(CONTADORES!AI310-CONTADORES!AI309))</f>
        <v>0</v>
      </c>
      <c r="AK300" s="1409">
        <f ca="1">IF(B300&gt;=$J$5,0,(CONTADORES!Q310-CONTADORES!Q309))</f>
        <v>0</v>
      </c>
      <c r="AL300" s="1461">
        <f t="shared" ca="1" si="144"/>
        <v>0</v>
      </c>
      <c r="AM300" s="1409">
        <f ca="1">IF(B300&gt;=$J$5,0,(((CONTADORES!F310-CONTADORES!F309)+(CONTADORES!AQ310-CONTADORES!AQ309))))-BS300-AF300-AN300-BV300-BY300-CD300-CB300+T300</f>
        <v>0</v>
      </c>
      <c r="AN300" s="1397">
        <f ca="1">IF(B300&gt;=$J$5,0,(CONTADORES!AX310-CONTADORES!AX309)+(CONTADORES!AZ310-CONTADORES!AZ309)+(CONTADORES!BE310-CONTADORES!BE309))-CB300</f>
        <v>0</v>
      </c>
      <c r="AO300" s="1437">
        <f>(CONTADORES!AC310-CONTADORES!AC309)</f>
        <v>0</v>
      </c>
      <c r="AP300" s="1437">
        <f>(CONTADORES!X310-CONTADORES!X309)</f>
        <v>0</v>
      </c>
      <c r="AQ300" s="1437">
        <f>(CONTADORES!C310-CONTADORES!C309)</f>
        <v>0</v>
      </c>
      <c r="AR300" s="1437">
        <f>(CONTADORES!BC310-CONTADORES!BC309)</f>
        <v>0</v>
      </c>
      <c r="AS300" s="1397">
        <f ca="1">IF(B300&gt;=$J$5,0,CONTADORES!S310-CONTADORES!S309)</f>
        <v>0</v>
      </c>
      <c r="AT300" s="1397">
        <f ca="1">IF(B300&gt;=$J$5,0,(CONTADORES!U310-CONTADORES!U309)+(CONTADORES!AG310-CONTADORES!AG309))</f>
        <v>0</v>
      </c>
      <c r="AU300" s="1433">
        <f>CONTADORES!I310-CONTADORES!I309</f>
        <v>0</v>
      </c>
      <c r="AV300" s="1437">
        <f>CONTADORES!AV310-CONTADORES!AV309</f>
        <v>0</v>
      </c>
      <c r="AW300" s="1437">
        <f ca="1">IF(B300&gt;=$J$5,0,(CONTADORES!N310-CONTADORES!N309)+(CONTADORES!AN310-CONTADORES!AN309))</f>
        <v>0</v>
      </c>
      <c r="AX300" s="1437">
        <f ca="1">IF(B300&gt;=$J$5,0,(CONTADORES!P310-CONTADORES!P309)+(CONTADORES!AL310-CONTADORES!AL309))</f>
        <v>0</v>
      </c>
      <c r="AY300" s="1437">
        <f ca="1">IF(B300&gt;=$J$5,0,(CONTADORES!AJ310-CONTADORES!AJ309))</f>
        <v>0</v>
      </c>
      <c r="AZ300" s="1437">
        <f ca="1">IF(B300&gt;=$J$5,0,(CONTADORES!R310-CONTADORES!R309))</f>
        <v>0</v>
      </c>
      <c r="BA300" s="1409">
        <f t="shared" ca="1" si="145"/>
        <v>0</v>
      </c>
      <c r="BB300" s="1437">
        <f ca="1">IF(B300&gt;=$J$5,0,(((CONTADORES!G310-CONTADORES!G309)+(CONTADORES!AR310-CONTADORES!AR309))))-AV300-BC300-BT300-BW300-BZ300-CE300</f>
        <v>0</v>
      </c>
      <c r="BC300" s="1398">
        <f ca="1">IF(B300&gt;=$J$5,0,(CONTADORES!AY310-CONTADORES!AY309)+(CONTADORES!BA310-CONTADORES!BA309)+(CONTADORES!BF310-CONTADORES!BF309))</f>
        <v>0</v>
      </c>
      <c r="BD300" s="1397">
        <f t="shared" si="146"/>
        <v>0</v>
      </c>
      <c r="BE300" s="1398">
        <f ca="1">IF($B300&gt;=$J$5,0,CONTADORES!$BG310)</f>
        <v>0</v>
      </c>
      <c r="BF300" s="1397">
        <f ca="1">IF($B300&gt;=$J$5,0,CONTADORES!$BH310)</f>
        <v>0</v>
      </c>
      <c r="BG300" s="1398">
        <f ca="1">IF($B300&gt;=$J$5,0,CONTADORES!$BJ310)</f>
        <v>0</v>
      </c>
      <c r="BH300" s="1398">
        <f ca="1">IF(B300&gt;=$J$5,0,((CONTADORES!BK310-CONTADORES!BK309)/1000))</f>
        <v>0</v>
      </c>
      <c r="BI300" s="1398">
        <f ca="1">IF(B300&gt;=$J$5,0,((CONTADORES!BL310-CONTADORES!BL309)/1000))</f>
        <v>0</v>
      </c>
      <c r="BJ300" s="1398">
        <f ca="1">IF(B300&gt;=$J$5,0,((CONTADORES!BM310-CONTADORES!BM309)/1000))</f>
        <v>0</v>
      </c>
      <c r="BK300" s="1398">
        <f ca="1">IF(B300&gt;=$J$5,0,((CONTADORES!BN310-CONTADORES!BN309)/1000))</f>
        <v>0</v>
      </c>
      <c r="BL300" s="1399">
        <f t="shared" ca="1" si="147"/>
        <v>0</v>
      </c>
      <c r="BM300" s="1399">
        <f t="shared" ca="1" si="148"/>
        <v>0</v>
      </c>
      <c r="BN300" s="1398">
        <f ca="1">IF(B300&gt;=$J$5,0,CONTADORES!$BO310)</f>
        <v>0</v>
      </c>
      <c r="BO300" s="1397">
        <f ca="1">IF(W300&gt;=$J$5,0,CONTADORES!$BP310)</f>
        <v>0</v>
      </c>
      <c r="BP300" s="1397">
        <f ca="1">IF(W300&gt;=$J$5,0,CONTADORES!$BQ310)</f>
        <v>0</v>
      </c>
      <c r="BQ300" s="1397">
        <f ca="1">IF(B300&gt;=$J$5,0,(CONTADORES!AS310-CONTADORES!AS309))</f>
        <v>0</v>
      </c>
      <c r="BR300" s="1397">
        <f ca="1">IF(B300&gt;=$J$5,0,(CONTADORES!AT310-CONTADORES!AT309))</f>
        <v>0</v>
      </c>
      <c r="BS300" s="1398">
        <f ca="1">IF(B300&gt;=$J$5,0,CONTADORES!BR310-CONTADORES!BR309)/1000</f>
        <v>0</v>
      </c>
      <c r="BT300" s="1409">
        <f ca="1">IF(B300&gt;=$J$5,0,CONTADORES!BS310-CONTADORES!BS309)</f>
        <v>0</v>
      </c>
      <c r="BU300" s="1409">
        <f ca="1">IF(B300&gt;=$J$5,0,CONTADORES!BT310-CONTADORES!BT309)</f>
        <v>0</v>
      </c>
      <c r="BV300" s="1409">
        <f ca="1">IF(B300&gt;=$J$5,0,CONTADORES!BU310-CONTADORES!BU309)/1000</f>
        <v>0</v>
      </c>
      <c r="BW300" s="1409">
        <f ca="1">IF(B300&gt;=$J$5,0,CONTADORES!BV310-CONTADORES!BV309)/1000</f>
        <v>0</v>
      </c>
      <c r="BX300" s="1409">
        <f ca="1">IF(B300&gt;=$J$5,0,CONTADORES!BW310-CONTADORES!BW309)</f>
        <v>0</v>
      </c>
      <c r="BY300" s="1409">
        <f ca="1">IF(B300&gt;=$J$5,0,CONTADORES!BX310-CONTADORES!BX309)/1000</f>
        <v>0</v>
      </c>
      <c r="BZ300" s="1409">
        <f ca="1">IF(B300&gt;=$J$5,0,CONTADORES!BY310-CONTADORES!BY309)/1000</f>
        <v>0</v>
      </c>
      <c r="CA300" s="1409">
        <f ca="1">IF(B300&gt;=$J$5,0,CONTADORES!BZ310-CONTADORES!BZ309)</f>
        <v>0</v>
      </c>
      <c r="CB300" s="1409">
        <f ca="1">IF(B300&gt;=$J$5,0,(CONTADORES!CC310-CONTADORES!CC309)+(CONTADORES!CE310-CONTADORES!CE309))/1000</f>
        <v>0</v>
      </c>
      <c r="CC300" s="1409">
        <f ca="1">IF(B300&gt;=$J$5,0,(CONTADORES!CD310-CONTADORES!CD309)+(CONTADORES!CF310-CONTADORES!CF309))/1000</f>
        <v>0</v>
      </c>
      <c r="CD300" s="1409">
        <f ca="1">IF(B300&gt;=$J$5,0,CONTADORES!CA310-CONTADORES!CA309)</f>
        <v>0</v>
      </c>
      <c r="CE300" s="1409">
        <f ca="1">IF(B300&gt;=$J$5,0,CONTADORES!CB310-CONTADORES!CB309)</f>
        <v>0</v>
      </c>
      <c r="CF300" s="1409">
        <f t="shared" ca="1" si="149"/>
        <v>0</v>
      </c>
      <c r="CG300" s="1409">
        <f t="shared" ca="1" si="150"/>
        <v>0</v>
      </c>
      <c r="CH300" s="1409">
        <f t="shared" ca="1" si="151"/>
        <v>0</v>
      </c>
      <c r="CI300" s="1409">
        <f t="shared" ca="1" si="152"/>
        <v>0</v>
      </c>
      <c r="CJ300" s="1409">
        <f t="shared" ca="1" si="153"/>
        <v>0</v>
      </c>
      <c r="CK300" s="1409">
        <f t="shared" ca="1" si="154"/>
        <v>0</v>
      </c>
      <c r="CL300" s="1409">
        <f t="shared" ca="1" si="155"/>
        <v>0</v>
      </c>
      <c r="CM300" s="1409">
        <f t="shared" ca="1" si="156"/>
        <v>0</v>
      </c>
      <c r="CN300" s="1409">
        <f ca="1">IF(B300&gt;=$J$5,0,CONTADORES!CB310-CONTADORES!CB309)</f>
        <v>0</v>
      </c>
      <c r="CO300" s="1409">
        <f t="shared" ca="1" si="157"/>
        <v>0</v>
      </c>
      <c r="CP300" s="1409">
        <f t="shared" ca="1" si="158"/>
        <v>0</v>
      </c>
      <c r="CQ300" s="1409">
        <f t="shared" ca="1" si="159"/>
        <v>0</v>
      </c>
      <c r="CR300" s="1409">
        <f t="shared" ca="1" si="160"/>
        <v>0</v>
      </c>
      <c r="CS300" s="1409">
        <f ca="1">IF($B300&gt;=$J$5,0,CONTADORES!$BI310)</f>
        <v>0</v>
      </c>
      <c r="CT300" s="1334">
        <f>CONTADORES!E310</f>
        <v>0</v>
      </c>
      <c r="CU300" s="1334">
        <f>CONTADORES!CG310</f>
        <v>0</v>
      </c>
    </row>
    <row r="301" spans="2:99">
      <c r="B301" s="1477">
        <v>45217</v>
      </c>
      <c r="C301" s="202">
        <f t="shared" ca="1" si="134"/>
        <v>0</v>
      </c>
      <c r="D301" s="196">
        <f ca="1">'CALCULO DE GAS'!P123</f>
        <v>0</v>
      </c>
      <c r="E301" s="196">
        <f ca="1">IF(B301&gt;=$J$5,0,(CONTADORES!$AD311-CONTADORES!$AD310)-$H301)</f>
        <v>0</v>
      </c>
      <c r="F301" s="198">
        <f t="shared" ca="1" si="163"/>
        <v>0</v>
      </c>
      <c r="G301" s="196">
        <f ca="1">IF(B301&gt;=$J$5,0,CONTADORES!$AF311-CONTADORES!$AF310)</f>
        <v>0</v>
      </c>
      <c r="H301" s="196">
        <f ca="1">IF(G301&gt;0,CONTADORES!$AE311-CONTADORES!$AE310,0)</f>
        <v>0</v>
      </c>
      <c r="I301" s="199">
        <f ca="1">IF(B301&gt;=$J$5,0,CONTADORES!$AB311-CONTADORES!$AB310)</f>
        <v>0</v>
      </c>
      <c r="J301" s="198">
        <f t="shared" ca="1" si="135"/>
        <v>0</v>
      </c>
      <c r="K301" s="196">
        <f ca="1">'CALCULO DE GAS'!Q123</f>
        <v>0</v>
      </c>
      <c r="L301" s="1396">
        <f ca="1">IF(B301&gt;=$J$5,0,(CONTADORES!$Y311-CONTADORES!$Y310)-$O301)</f>
        <v>0</v>
      </c>
      <c r="M301" s="1396">
        <f t="shared" ca="1" si="161"/>
        <v>0</v>
      </c>
      <c r="N301" s="1396">
        <f ca="1">IF(B301&gt;=$J$5,0,CONTADORES!$AA311-CONTADORES!$AA310)</f>
        <v>0</v>
      </c>
      <c r="O301" s="1396">
        <f ca="1">IF(N301&gt;0,CONTADORES!$Z311-CONTADORES!$Z310,0)</f>
        <v>0</v>
      </c>
      <c r="P301" s="202">
        <f ca="1">IF(B301&gt;=$J$5,0,CONTADORES!$W311-CONTADORES!$W310)</f>
        <v>0</v>
      </c>
      <c r="Q301" s="202">
        <f ca="1">IF(B301&gt;=$J$5,0,CONTADORES!$B311-CONTADORES!$B310)</f>
        <v>0</v>
      </c>
      <c r="R301" s="196">
        <f t="shared" ca="1" si="136"/>
        <v>0</v>
      </c>
      <c r="S301" s="11">
        <f ca="1">IF(B301&gt;=$J$5,0,CONTADORES!$D311-CONTADORES!$D310)</f>
        <v>0</v>
      </c>
      <c r="T301" s="198">
        <f ca="1">IF(B301&gt;=$J$5,0,CONTADORES!$BB311-CONTADORES!$BB310)</f>
        <v>0</v>
      </c>
      <c r="U301" s="196">
        <f t="shared" ca="1" si="162"/>
        <v>0</v>
      </c>
      <c r="V301" s="199">
        <f ca="1">IF(B301&gt;=$J$5,0,CONTADORES!$BD311-CONTADORES!$BD310)</f>
        <v>0</v>
      </c>
      <c r="W301" s="1397">
        <f t="shared" ca="1" si="137"/>
        <v>0</v>
      </c>
      <c r="X301" s="1397">
        <f t="shared" ca="1" si="138"/>
        <v>0</v>
      </c>
      <c r="Y301" s="1398">
        <f t="shared" ca="1" si="139"/>
        <v>0</v>
      </c>
      <c r="Z301" s="1398">
        <f t="shared" ca="1" si="140"/>
        <v>0</v>
      </c>
      <c r="AA301" s="1398">
        <f t="shared" ca="1" si="141"/>
        <v>0</v>
      </c>
      <c r="AB301" s="1398">
        <f t="shared" ca="1" si="142"/>
        <v>0</v>
      </c>
      <c r="AC301" s="1397">
        <f t="shared" ca="1" si="143"/>
        <v>0</v>
      </c>
      <c r="AD301" s="1397">
        <f ca="1">IF(B301&gt;=$J$5,0,CONTADORES!H311-CONTADORES!H310)</f>
        <v>0</v>
      </c>
      <c r="AE301" s="1397">
        <f ca="1">IF(B301&gt;=$J$5,0,CONTADORES!J311-CONTADORES!J310)</f>
        <v>0</v>
      </c>
      <c r="AF301" s="1397">
        <f ca="1">IF(B301&gt;=$J$5,0,CONTADORES!AU311-CONTADORES!AU310)</f>
        <v>0</v>
      </c>
      <c r="AG301" s="1397">
        <f ca="1">IF(B301&gt;=$J$5,0,CONTADORES!AW311-CONTADORES!AW310)</f>
        <v>0</v>
      </c>
      <c r="AH301" s="1409">
        <f ca="1">IF(B301&gt;=$J$5,0,(CONTADORES!AM311-CONTADORES!AM310)+(CONTADORES!M311-CONTADORES!M310))</f>
        <v>0</v>
      </c>
      <c r="AI301" s="1409">
        <f ca="1">IF(B301&gt;=$J$5,0,(CONTADORES!AK311-CONTADORES!AK310)+(CONTADORES!O311-CONTADORES!O310))</f>
        <v>0</v>
      </c>
      <c r="AJ301" s="1409">
        <f ca="1">IF(B301&gt;=$J$5,0,(CONTADORES!AI311-CONTADORES!AI310))</f>
        <v>0</v>
      </c>
      <c r="AK301" s="1409">
        <f ca="1">IF(B301&gt;=$J$5,0,(CONTADORES!Q311-CONTADORES!Q310))</f>
        <v>0</v>
      </c>
      <c r="AL301" s="1461">
        <f t="shared" ca="1" si="144"/>
        <v>0</v>
      </c>
      <c r="AM301" s="1409">
        <f ca="1">IF(B301&gt;=$J$5,0,(((CONTADORES!F311-CONTADORES!F310)+(CONTADORES!AQ311-CONTADORES!AQ310))))-BS301-AF301-AN301-BV301-BY301-CD301-CB301+T301</f>
        <v>0</v>
      </c>
      <c r="AN301" s="1397">
        <f ca="1">IF(B301&gt;=$J$5,0,(CONTADORES!AX311-CONTADORES!AX310)+(CONTADORES!AZ311-CONTADORES!AZ310)+(CONTADORES!BE311-CONTADORES!BE310))-CB301</f>
        <v>0</v>
      </c>
      <c r="AO301" s="1437">
        <f>(CONTADORES!AC311-CONTADORES!AC310)</f>
        <v>0</v>
      </c>
      <c r="AP301" s="1437">
        <f>(CONTADORES!X311-CONTADORES!X310)</f>
        <v>0</v>
      </c>
      <c r="AQ301" s="1437">
        <f>(CONTADORES!C311-CONTADORES!C310)</f>
        <v>0</v>
      </c>
      <c r="AR301" s="1437">
        <f>(CONTADORES!BC311-CONTADORES!BC310)</f>
        <v>0</v>
      </c>
      <c r="AS301" s="1397">
        <f ca="1">IF(B301&gt;=$J$5,0,CONTADORES!S311-CONTADORES!S310)</f>
        <v>0</v>
      </c>
      <c r="AT301" s="1397">
        <f ca="1">IF(B301&gt;=$J$5,0,(CONTADORES!U311-CONTADORES!U310)+(CONTADORES!AG311-CONTADORES!AG310))</f>
        <v>0</v>
      </c>
      <c r="AU301" s="1433">
        <f>CONTADORES!I311-CONTADORES!I310</f>
        <v>0</v>
      </c>
      <c r="AV301" s="1437">
        <f>CONTADORES!AV311-CONTADORES!AV310</f>
        <v>0</v>
      </c>
      <c r="AW301" s="1437">
        <f ca="1">IF(B301&gt;=$J$5,0,(CONTADORES!N311-CONTADORES!N310)+(CONTADORES!AN311-CONTADORES!AN310))</f>
        <v>0</v>
      </c>
      <c r="AX301" s="1437">
        <f ca="1">IF(B301&gt;=$J$5,0,(CONTADORES!P311-CONTADORES!P310)+(CONTADORES!AL311-CONTADORES!AL310))</f>
        <v>0</v>
      </c>
      <c r="AY301" s="1437">
        <f ca="1">IF(B301&gt;=$J$5,0,(CONTADORES!AJ311-CONTADORES!AJ310))</f>
        <v>0</v>
      </c>
      <c r="AZ301" s="1437">
        <f ca="1">IF(B301&gt;=$J$5,0,(CONTADORES!R311-CONTADORES!R310))</f>
        <v>0</v>
      </c>
      <c r="BA301" s="1409">
        <f t="shared" ca="1" si="145"/>
        <v>0</v>
      </c>
      <c r="BB301" s="1437">
        <f ca="1">IF(B301&gt;=$J$5,0,(((CONTADORES!G311-CONTADORES!G310)+(CONTADORES!AR311-CONTADORES!AR310))))-AV301-BC301-BT301-BW301-BZ301-CE301</f>
        <v>0</v>
      </c>
      <c r="BC301" s="1398">
        <f ca="1">IF(B301&gt;=$J$5,0,(CONTADORES!AY311-CONTADORES!AY310)+(CONTADORES!BA311-CONTADORES!BA310)+(CONTADORES!BF311-CONTADORES!BF310))</f>
        <v>0</v>
      </c>
      <c r="BD301" s="1397">
        <f t="shared" si="146"/>
        <v>0</v>
      </c>
      <c r="BE301" s="1398">
        <f ca="1">IF($B301&gt;=$J$5,0,CONTADORES!$BG311)</f>
        <v>0</v>
      </c>
      <c r="BF301" s="1397">
        <f ca="1">IF($B301&gt;=$J$5,0,CONTADORES!$BH311)</f>
        <v>0</v>
      </c>
      <c r="BG301" s="1398">
        <f ca="1">IF($B301&gt;=$J$5,0,CONTADORES!$BJ311)</f>
        <v>0</v>
      </c>
      <c r="BH301" s="1398">
        <f ca="1">IF(B301&gt;=$J$5,0,((CONTADORES!BK311-CONTADORES!BK310)/1000))</f>
        <v>0</v>
      </c>
      <c r="BI301" s="1398">
        <f ca="1">IF(B301&gt;=$J$5,0,((CONTADORES!BL311-CONTADORES!BL310)/1000))</f>
        <v>0</v>
      </c>
      <c r="BJ301" s="1398">
        <f ca="1">IF(B301&gt;=$J$5,0,((CONTADORES!BM311-CONTADORES!BM310)/1000))</f>
        <v>0</v>
      </c>
      <c r="BK301" s="1398">
        <f ca="1">IF(B301&gt;=$J$5,0,((CONTADORES!BN311-CONTADORES!BN310)/1000))</f>
        <v>0</v>
      </c>
      <c r="BL301" s="1399">
        <f t="shared" ca="1" si="147"/>
        <v>0</v>
      </c>
      <c r="BM301" s="1399">
        <f t="shared" ca="1" si="148"/>
        <v>0</v>
      </c>
      <c r="BN301" s="1398">
        <f ca="1">IF(B301&gt;=$J$5,0,CONTADORES!$BO311)</f>
        <v>0</v>
      </c>
      <c r="BO301" s="1397">
        <f ca="1">IF(W301&gt;=$J$5,0,CONTADORES!$BP311)</f>
        <v>0</v>
      </c>
      <c r="BP301" s="1397">
        <f ca="1">IF(W301&gt;=$J$5,0,CONTADORES!$BQ311)</f>
        <v>0</v>
      </c>
      <c r="BQ301" s="1397">
        <f ca="1">IF(B301&gt;=$J$5,0,(CONTADORES!AS311-CONTADORES!AS310))</f>
        <v>0</v>
      </c>
      <c r="BR301" s="1397">
        <f ca="1">IF(B301&gt;=$J$5,0,(CONTADORES!AT311-CONTADORES!AT310))</f>
        <v>0</v>
      </c>
      <c r="BS301" s="1398">
        <f ca="1">IF(B301&gt;=$J$5,0,CONTADORES!BR311-CONTADORES!BR310)/1000</f>
        <v>0</v>
      </c>
      <c r="BT301" s="1409">
        <f ca="1">IF(B301&gt;=$J$5,0,CONTADORES!BS311-CONTADORES!BS310)</f>
        <v>0</v>
      </c>
      <c r="BU301" s="1409">
        <f ca="1">IF(B301&gt;=$J$5,0,CONTADORES!BT311-CONTADORES!BT310)</f>
        <v>0</v>
      </c>
      <c r="BV301" s="1409">
        <f ca="1">IF(B301&gt;=$J$5,0,CONTADORES!BU311-CONTADORES!BU310)/1000</f>
        <v>0</v>
      </c>
      <c r="BW301" s="1409">
        <f ca="1">IF(B301&gt;=$J$5,0,CONTADORES!BV311-CONTADORES!BV310)/1000</f>
        <v>0</v>
      </c>
      <c r="BX301" s="1409">
        <f ca="1">IF(B301&gt;=$J$5,0,CONTADORES!BW311-CONTADORES!BW310)</f>
        <v>0</v>
      </c>
      <c r="BY301" s="1409">
        <f ca="1">IF(B301&gt;=$J$5,0,CONTADORES!BX311-CONTADORES!BX310)/1000</f>
        <v>0</v>
      </c>
      <c r="BZ301" s="1409">
        <f ca="1">IF(B301&gt;=$J$5,0,CONTADORES!BY311-CONTADORES!BY310)/1000</f>
        <v>0</v>
      </c>
      <c r="CA301" s="1409">
        <f ca="1">IF(B301&gt;=$J$5,0,CONTADORES!BZ311-CONTADORES!BZ310)</f>
        <v>0</v>
      </c>
      <c r="CB301" s="1409">
        <f ca="1">IF(B301&gt;=$J$5,0,(CONTADORES!CC311-CONTADORES!CC310)+(CONTADORES!CE311-CONTADORES!CE310))/1000</f>
        <v>0</v>
      </c>
      <c r="CC301" s="1409">
        <f ca="1">IF(B301&gt;=$J$5,0,(CONTADORES!CD311-CONTADORES!CD310)+(CONTADORES!CF311-CONTADORES!CF310))/1000</f>
        <v>0</v>
      </c>
      <c r="CD301" s="1409">
        <f ca="1">IF(B301&gt;=$J$5,0,CONTADORES!CA311-CONTADORES!CA310)</f>
        <v>0</v>
      </c>
      <c r="CE301" s="1409">
        <f ca="1">IF(B301&gt;=$J$5,0,CONTADORES!CB311-CONTADORES!CB310)</f>
        <v>0</v>
      </c>
      <c r="CF301" s="1409">
        <f t="shared" ca="1" si="149"/>
        <v>0</v>
      </c>
      <c r="CG301" s="1409">
        <f t="shared" ca="1" si="150"/>
        <v>0</v>
      </c>
      <c r="CH301" s="1409">
        <f t="shared" ca="1" si="151"/>
        <v>0</v>
      </c>
      <c r="CI301" s="1409">
        <f t="shared" ca="1" si="152"/>
        <v>0</v>
      </c>
      <c r="CJ301" s="1409">
        <f t="shared" ca="1" si="153"/>
        <v>0</v>
      </c>
      <c r="CK301" s="1409">
        <f t="shared" ca="1" si="154"/>
        <v>0</v>
      </c>
      <c r="CL301" s="1409">
        <f t="shared" ca="1" si="155"/>
        <v>0</v>
      </c>
      <c r="CM301" s="1409">
        <f t="shared" ca="1" si="156"/>
        <v>0</v>
      </c>
      <c r="CN301" s="1409">
        <f ca="1">IF(B301&gt;=$J$5,0,CONTADORES!CB311-CONTADORES!CB310)</f>
        <v>0</v>
      </c>
      <c r="CO301" s="1409">
        <f t="shared" ca="1" si="157"/>
        <v>0</v>
      </c>
      <c r="CP301" s="1409">
        <f t="shared" ca="1" si="158"/>
        <v>0</v>
      </c>
      <c r="CQ301" s="1409">
        <f t="shared" ca="1" si="159"/>
        <v>0</v>
      </c>
      <c r="CR301" s="1409">
        <f t="shared" ca="1" si="160"/>
        <v>0</v>
      </c>
      <c r="CS301" s="1409">
        <f ca="1">IF($B301&gt;=$J$5,0,CONTADORES!$BI311)</f>
        <v>0</v>
      </c>
      <c r="CT301" s="1334">
        <f>CONTADORES!E311</f>
        <v>0</v>
      </c>
      <c r="CU301" s="1334">
        <f>CONTADORES!CG311</f>
        <v>0</v>
      </c>
    </row>
    <row r="302" spans="2:99">
      <c r="B302" s="1477">
        <v>45218</v>
      </c>
      <c r="C302" s="202">
        <f t="shared" ca="1" si="134"/>
        <v>0</v>
      </c>
      <c r="D302" s="196">
        <f ca="1">'CALCULO DE GAS'!P124</f>
        <v>0</v>
      </c>
      <c r="E302" s="196">
        <f ca="1">IF(B302&gt;=$J$5,0,(CONTADORES!$AD312-CONTADORES!$AD311)-$H302)</f>
        <v>0</v>
      </c>
      <c r="F302" s="198">
        <f t="shared" ca="1" si="163"/>
        <v>0</v>
      </c>
      <c r="G302" s="196">
        <f ca="1">IF(B302&gt;=$J$5,0,CONTADORES!$AF312-CONTADORES!$AF311)</f>
        <v>0</v>
      </c>
      <c r="H302" s="196">
        <f ca="1">IF(G302&gt;0,CONTADORES!$AE312-CONTADORES!$AE311,0)</f>
        <v>0</v>
      </c>
      <c r="I302" s="199">
        <f ca="1">IF(B302&gt;=$J$5,0,CONTADORES!$AB312-CONTADORES!$AB311)</f>
        <v>0</v>
      </c>
      <c r="J302" s="198">
        <f t="shared" ca="1" si="135"/>
        <v>0</v>
      </c>
      <c r="K302" s="196">
        <f ca="1">'CALCULO DE GAS'!Q124</f>
        <v>0</v>
      </c>
      <c r="L302" s="1396">
        <f ca="1">IF(B302&gt;=$J$5,0,(CONTADORES!$Y312-CONTADORES!$Y311)-$O302)</f>
        <v>0</v>
      </c>
      <c r="M302" s="1396">
        <f t="shared" ca="1" si="161"/>
        <v>0</v>
      </c>
      <c r="N302" s="1396">
        <f ca="1">IF(B302&gt;=$J$5,0,CONTADORES!$AA312-CONTADORES!$AA311)</f>
        <v>0</v>
      </c>
      <c r="O302" s="1396">
        <f ca="1">IF(N302&gt;0,CONTADORES!$Z312-CONTADORES!$Z311,0)</f>
        <v>0</v>
      </c>
      <c r="P302" s="202">
        <f ca="1">IF(B302&gt;=$J$5,0,CONTADORES!$W312-CONTADORES!$W311)</f>
        <v>0</v>
      </c>
      <c r="Q302" s="202">
        <f ca="1">IF(B302&gt;=$J$5,0,CONTADORES!$B312-CONTADORES!$B311)</f>
        <v>0</v>
      </c>
      <c r="R302" s="196">
        <f t="shared" ca="1" si="136"/>
        <v>0</v>
      </c>
      <c r="S302" s="11">
        <f ca="1">IF(B302&gt;=$J$5,0,CONTADORES!$D312-CONTADORES!$D311)</f>
        <v>0</v>
      </c>
      <c r="T302" s="198">
        <f ca="1">IF(B302&gt;=$J$5,0,CONTADORES!$BB312-CONTADORES!$BB311)</f>
        <v>0</v>
      </c>
      <c r="U302" s="196">
        <f t="shared" ca="1" si="162"/>
        <v>0</v>
      </c>
      <c r="V302" s="199">
        <f ca="1">IF(B302&gt;=$J$5,0,CONTADORES!$BD312-CONTADORES!$BD311)</f>
        <v>0</v>
      </c>
      <c r="W302" s="1397">
        <f t="shared" ca="1" si="137"/>
        <v>0</v>
      </c>
      <c r="X302" s="1397">
        <f t="shared" ca="1" si="138"/>
        <v>0</v>
      </c>
      <c r="Y302" s="1398">
        <f t="shared" ca="1" si="139"/>
        <v>0</v>
      </c>
      <c r="Z302" s="1398">
        <f t="shared" ca="1" si="140"/>
        <v>0</v>
      </c>
      <c r="AA302" s="1398">
        <f t="shared" ca="1" si="141"/>
        <v>0</v>
      </c>
      <c r="AB302" s="1398">
        <f t="shared" ca="1" si="142"/>
        <v>0</v>
      </c>
      <c r="AC302" s="1397">
        <f t="shared" ca="1" si="143"/>
        <v>0</v>
      </c>
      <c r="AD302" s="1397">
        <f ca="1">IF(B302&gt;=$J$5,0,CONTADORES!H312-CONTADORES!H311)</f>
        <v>0</v>
      </c>
      <c r="AE302" s="1397">
        <f ca="1">IF(B302&gt;=$J$5,0,CONTADORES!J312-CONTADORES!J311)</f>
        <v>0</v>
      </c>
      <c r="AF302" s="1397">
        <f ca="1">IF(B302&gt;=$J$5,0,CONTADORES!AU312-CONTADORES!AU311)</f>
        <v>0</v>
      </c>
      <c r="AG302" s="1397">
        <f ca="1">IF(B302&gt;=$J$5,0,CONTADORES!AW312-CONTADORES!AW311)</f>
        <v>0</v>
      </c>
      <c r="AH302" s="1409">
        <f ca="1">IF(B302&gt;=$J$5,0,(CONTADORES!AM312-CONTADORES!AM311)+(CONTADORES!M312-CONTADORES!M311))</f>
        <v>0</v>
      </c>
      <c r="AI302" s="1409">
        <f ca="1">IF(B302&gt;=$J$5,0,(CONTADORES!AK312-CONTADORES!AK311)+(CONTADORES!O312-CONTADORES!O311))</f>
        <v>0</v>
      </c>
      <c r="AJ302" s="1409">
        <f ca="1">IF(B302&gt;=$J$5,0,(CONTADORES!AI312-CONTADORES!AI311))</f>
        <v>0</v>
      </c>
      <c r="AK302" s="1409">
        <f ca="1">IF(B302&gt;=$J$5,0,(CONTADORES!Q312-CONTADORES!Q311))</f>
        <v>0</v>
      </c>
      <c r="AL302" s="1461">
        <f t="shared" ca="1" si="144"/>
        <v>0</v>
      </c>
      <c r="AM302" s="1409">
        <f ca="1">IF(B302&gt;=$J$5,0,(((CONTADORES!F312-CONTADORES!F311)+(CONTADORES!AQ312-CONTADORES!AQ311))))-BS302-AF302-AN302-BV302-BY302-CD302-CB302+T302</f>
        <v>0</v>
      </c>
      <c r="AN302" s="1397">
        <f ca="1">IF(B302&gt;=$J$5,0,(CONTADORES!AX312-CONTADORES!AX311)+(CONTADORES!AZ312-CONTADORES!AZ311)+(CONTADORES!BE312-CONTADORES!BE311))-CB302</f>
        <v>0</v>
      </c>
      <c r="AO302" s="1437">
        <f>(CONTADORES!AC312-CONTADORES!AC311)</f>
        <v>0</v>
      </c>
      <c r="AP302" s="1437">
        <f>(CONTADORES!X312-CONTADORES!X311)</f>
        <v>0</v>
      </c>
      <c r="AQ302" s="1437">
        <f>(CONTADORES!C312-CONTADORES!C311)</f>
        <v>0</v>
      </c>
      <c r="AR302" s="1437">
        <f>(CONTADORES!BC312-CONTADORES!BC311)</f>
        <v>0</v>
      </c>
      <c r="AS302" s="1397">
        <f ca="1">IF(B302&gt;=$J$5,0,CONTADORES!S312-CONTADORES!S311)</f>
        <v>0</v>
      </c>
      <c r="AT302" s="1397">
        <f ca="1">IF(B302&gt;=$J$5,0,(CONTADORES!U312-CONTADORES!U311)+(CONTADORES!AG312-CONTADORES!AG311))</f>
        <v>0</v>
      </c>
      <c r="AU302" s="1433">
        <f>CONTADORES!I312-CONTADORES!I311</f>
        <v>0</v>
      </c>
      <c r="AV302" s="1437">
        <f>CONTADORES!AV312-CONTADORES!AV311</f>
        <v>0</v>
      </c>
      <c r="AW302" s="1437">
        <f ca="1">IF(B302&gt;=$J$5,0,(CONTADORES!N312-CONTADORES!N311)+(CONTADORES!AN312-CONTADORES!AN311))</f>
        <v>0</v>
      </c>
      <c r="AX302" s="1437">
        <f ca="1">IF(B302&gt;=$J$5,0,(CONTADORES!P312-CONTADORES!P311)+(CONTADORES!AL312-CONTADORES!AL311))</f>
        <v>0</v>
      </c>
      <c r="AY302" s="1437">
        <f ca="1">IF(B302&gt;=$J$5,0,(CONTADORES!AJ312-CONTADORES!AJ311))</f>
        <v>0</v>
      </c>
      <c r="AZ302" s="1437">
        <f ca="1">IF(B302&gt;=$J$5,0,(CONTADORES!R312-CONTADORES!R311))</f>
        <v>0</v>
      </c>
      <c r="BA302" s="1409">
        <f t="shared" ca="1" si="145"/>
        <v>0</v>
      </c>
      <c r="BB302" s="1437">
        <f ca="1">IF(B302&gt;=$J$5,0,(((CONTADORES!G312-CONTADORES!G311)+(CONTADORES!AR312-CONTADORES!AR311))))-AV302-BC302-BT302-BW302-BZ302-CE302</f>
        <v>0</v>
      </c>
      <c r="BC302" s="1398">
        <f ca="1">IF(B302&gt;=$J$5,0,(CONTADORES!AY312-CONTADORES!AY311)+(CONTADORES!BA312-CONTADORES!BA311)+(CONTADORES!BF312-CONTADORES!BF311))</f>
        <v>0</v>
      </c>
      <c r="BD302" s="1397">
        <f t="shared" si="146"/>
        <v>0</v>
      </c>
      <c r="BE302" s="1398">
        <f ca="1">IF($B302&gt;=$J$5,0,CONTADORES!$BG312)</f>
        <v>0</v>
      </c>
      <c r="BF302" s="1397">
        <f ca="1">IF($B302&gt;=$J$5,0,CONTADORES!$BH312)</f>
        <v>0</v>
      </c>
      <c r="BG302" s="1398">
        <f ca="1">IF($B302&gt;=$J$5,0,CONTADORES!$BJ312)</f>
        <v>0</v>
      </c>
      <c r="BH302" s="1398">
        <f ca="1">IF(B302&gt;=$J$5,0,((CONTADORES!BK312-CONTADORES!BK311)/1000))</f>
        <v>0</v>
      </c>
      <c r="BI302" s="1398">
        <f ca="1">IF(B302&gt;=$J$5,0,((CONTADORES!BL312-CONTADORES!BL311)/1000))</f>
        <v>0</v>
      </c>
      <c r="BJ302" s="1398">
        <f ca="1">IF(B302&gt;=$J$5,0,((CONTADORES!BM312-CONTADORES!BM311)/1000))</f>
        <v>0</v>
      </c>
      <c r="BK302" s="1398">
        <f ca="1">IF(B302&gt;=$J$5,0,((CONTADORES!BN312-CONTADORES!BN311)/1000))</f>
        <v>0</v>
      </c>
      <c r="BL302" s="1399">
        <f t="shared" ca="1" si="147"/>
        <v>0</v>
      </c>
      <c r="BM302" s="1399">
        <f t="shared" ca="1" si="148"/>
        <v>0</v>
      </c>
      <c r="BN302" s="1398">
        <f ca="1">IF(B302&gt;=$J$5,0,CONTADORES!$BO312)</f>
        <v>0</v>
      </c>
      <c r="BO302" s="1397">
        <f ca="1">IF(W302&gt;=$J$5,0,CONTADORES!$BP312)</f>
        <v>0</v>
      </c>
      <c r="BP302" s="1397">
        <f ca="1">IF(W302&gt;=$J$5,0,CONTADORES!$BQ312)</f>
        <v>0</v>
      </c>
      <c r="BQ302" s="1397">
        <f ca="1">IF(B302&gt;=$J$5,0,(CONTADORES!AS312-CONTADORES!AS311))</f>
        <v>0</v>
      </c>
      <c r="BR302" s="1397">
        <f ca="1">IF(B302&gt;=$J$5,0,(CONTADORES!AT312-CONTADORES!AT311))</f>
        <v>0</v>
      </c>
      <c r="BS302" s="1398">
        <f ca="1">IF(B302&gt;=$J$5,0,CONTADORES!BR312-CONTADORES!BR311)/1000</f>
        <v>0</v>
      </c>
      <c r="BT302" s="1409">
        <f ca="1">IF(B302&gt;=$J$5,0,CONTADORES!BS312-CONTADORES!BS311)</f>
        <v>0</v>
      </c>
      <c r="BU302" s="1409">
        <f ca="1">IF(B302&gt;=$J$5,0,CONTADORES!BT312-CONTADORES!BT311)</f>
        <v>0</v>
      </c>
      <c r="BV302" s="1409">
        <f ca="1">IF(B302&gt;=$J$5,0,CONTADORES!BU312-CONTADORES!BU311)/1000</f>
        <v>0</v>
      </c>
      <c r="BW302" s="1409">
        <f ca="1">IF(B302&gt;=$J$5,0,CONTADORES!BV312-CONTADORES!BV311)/1000</f>
        <v>0</v>
      </c>
      <c r="BX302" s="1409">
        <f ca="1">IF(B302&gt;=$J$5,0,CONTADORES!BW312-CONTADORES!BW311)</f>
        <v>0</v>
      </c>
      <c r="BY302" s="1409">
        <f ca="1">IF(B302&gt;=$J$5,0,CONTADORES!BX312-CONTADORES!BX311)/1000</f>
        <v>0</v>
      </c>
      <c r="BZ302" s="1409">
        <f ca="1">IF(B302&gt;=$J$5,0,CONTADORES!BY312-CONTADORES!BY311)/1000</f>
        <v>0</v>
      </c>
      <c r="CA302" s="1409">
        <f ca="1">IF(B302&gt;=$J$5,0,CONTADORES!BZ312-CONTADORES!BZ311)</f>
        <v>0</v>
      </c>
      <c r="CB302" s="1409">
        <f ca="1">IF(B302&gt;=$J$5,0,(CONTADORES!CC312-CONTADORES!CC311)+(CONTADORES!CE312-CONTADORES!CE311))/1000</f>
        <v>0</v>
      </c>
      <c r="CC302" s="1409">
        <f ca="1">IF(B302&gt;=$J$5,0,(CONTADORES!CD312-CONTADORES!CD311)+(CONTADORES!CF312-CONTADORES!CF311))/1000</f>
        <v>0</v>
      </c>
      <c r="CD302" s="1409">
        <f ca="1">IF(B302&gt;=$J$5,0,CONTADORES!CA312-CONTADORES!CA311)</f>
        <v>0</v>
      </c>
      <c r="CE302" s="1409">
        <f ca="1">IF(B302&gt;=$J$5,0,CONTADORES!CB312-CONTADORES!CB311)</f>
        <v>0</v>
      </c>
      <c r="CF302" s="1409">
        <f t="shared" ca="1" si="149"/>
        <v>0</v>
      </c>
      <c r="CG302" s="1409">
        <f t="shared" ca="1" si="150"/>
        <v>0</v>
      </c>
      <c r="CH302" s="1409">
        <f t="shared" ca="1" si="151"/>
        <v>0</v>
      </c>
      <c r="CI302" s="1409">
        <f t="shared" ca="1" si="152"/>
        <v>0</v>
      </c>
      <c r="CJ302" s="1409">
        <f t="shared" ca="1" si="153"/>
        <v>0</v>
      </c>
      <c r="CK302" s="1409">
        <f t="shared" ca="1" si="154"/>
        <v>0</v>
      </c>
      <c r="CL302" s="1409">
        <f t="shared" ca="1" si="155"/>
        <v>0</v>
      </c>
      <c r="CM302" s="1409">
        <f t="shared" ca="1" si="156"/>
        <v>0</v>
      </c>
      <c r="CN302" s="1409">
        <f ca="1">IF(B302&gt;=$J$5,0,CONTADORES!CB312-CONTADORES!CB311)</f>
        <v>0</v>
      </c>
      <c r="CO302" s="1409">
        <f t="shared" ca="1" si="157"/>
        <v>0</v>
      </c>
      <c r="CP302" s="1409">
        <f t="shared" ca="1" si="158"/>
        <v>0</v>
      </c>
      <c r="CQ302" s="1409">
        <f t="shared" ca="1" si="159"/>
        <v>0</v>
      </c>
      <c r="CR302" s="1409">
        <f t="shared" ca="1" si="160"/>
        <v>0</v>
      </c>
      <c r="CS302" s="1409">
        <f ca="1">IF($B302&gt;=$J$5,0,CONTADORES!$BI312)</f>
        <v>0</v>
      </c>
      <c r="CT302" s="1334">
        <f>CONTADORES!E312</f>
        <v>0</v>
      </c>
      <c r="CU302" s="1334">
        <f>CONTADORES!CG312</f>
        <v>0</v>
      </c>
    </row>
    <row r="303" spans="2:99">
      <c r="B303" s="1477">
        <v>45219</v>
      </c>
      <c r="C303" s="202">
        <f t="shared" ca="1" si="134"/>
        <v>0</v>
      </c>
      <c r="D303" s="196">
        <f ca="1">'CALCULO DE GAS'!P125</f>
        <v>0</v>
      </c>
      <c r="E303" s="196">
        <f ca="1">IF(B303&gt;=$J$5,0,(CONTADORES!$AD313-CONTADORES!$AD312)-$H303)</f>
        <v>0</v>
      </c>
      <c r="F303" s="198">
        <f t="shared" ca="1" si="163"/>
        <v>0</v>
      </c>
      <c r="G303" s="196">
        <f ca="1">IF(B303&gt;=$J$5,0,CONTADORES!$AF313-CONTADORES!$AF312)</f>
        <v>0</v>
      </c>
      <c r="H303" s="196">
        <f ca="1">IF(G303&gt;0,CONTADORES!$AE313-CONTADORES!$AE312,0)</f>
        <v>0</v>
      </c>
      <c r="I303" s="199">
        <f ca="1">IF(B303&gt;=$J$5,0,CONTADORES!$AB313-CONTADORES!$AB312)</f>
        <v>0</v>
      </c>
      <c r="J303" s="198">
        <f t="shared" ca="1" si="135"/>
        <v>0</v>
      </c>
      <c r="K303" s="196">
        <f ca="1">'CALCULO DE GAS'!Q125</f>
        <v>0</v>
      </c>
      <c r="L303" s="1396">
        <f ca="1">IF(B303&gt;=$J$5,0,(CONTADORES!$Y313-CONTADORES!$Y312)-$O303)</f>
        <v>0</v>
      </c>
      <c r="M303" s="1396">
        <f t="shared" ca="1" si="161"/>
        <v>0</v>
      </c>
      <c r="N303" s="1396">
        <f ca="1">IF(B303&gt;=$J$5,0,CONTADORES!$AA313-CONTADORES!$AA312)</f>
        <v>0</v>
      </c>
      <c r="O303" s="1396">
        <f ca="1">IF(N303&gt;0,CONTADORES!$Z313-CONTADORES!$Z312,0)</f>
        <v>0</v>
      </c>
      <c r="P303" s="202">
        <f ca="1">IF(B303&gt;=$J$5,0,CONTADORES!$W313-CONTADORES!$W312)</f>
        <v>0</v>
      </c>
      <c r="Q303" s="202">
        <f ca="1">IF(B303&gt;=$J$5,0,CONTADORES!$B313-CONTADORES!$B312)</f>
        <v>0</v>
      </c>
      <c r="R303" s="196">
        <f t="shared" ca="1" si="136"/>
        <v>0</v>
      </c>
      <c r="S303" s="11">
        <f ca="1">IF(B303&gt;=$J$5,0,CONTADORES!$D313-CONTADORES!$D312)</f>
        <v>0</v>
      </c>
      <c r="T303" s="198">
        <f ca="1">IF(B303&gt;=$J$5,0,CONTADORES!$BB313-CONTADORES!$BB312)</f>
        <v>0</v>
      </c>
      <c r="U303" s="196">
        <f t="shared" ca="1" si="162"/>
        <v>0</v>
      </c>
      <c r="V303" s="199">
        <f ca="1">IF(B303&gt;=$J$5,0,CONTADORES!$BD313-CONTADORES!$BD312)</f>
        <v>0</v>
      </c>
      <c r="W303" s="1397">
        <f t="shared" ca="1" si="137"/>
        <v>0</v>
      </c>
      <c r="X303" s="1397">
        <f t="shared" ca="1" si="138"/>
        <v>0</v>
      </c>
      <c r="Y303" s="1398">
        <f t="shared" ca="1" si="139"/>
        <v>0</v>
      </c>
      <c r="Z303" s="1398">
        <f t="shared" ca="1" si="140"/>
        <v>0</v>
      </c>
      <c r="AA303" s="1398">
        <f t="shared" ca="1" si="141"/>
        <v>0</v>
      </c>
      <c r="AB303" s="1398">
        <f t="shared" ca="1" si="142"/>
        <v>0</v>
      </c>
      <c r="AC303" s="1397">
        <f t="shared" ca="1" si="143"/>
        <v>0</v>
      </c>
      <c r="AD303" s="1397">
        <f ca="1">IF(B303&gt;=$J$5,0,CONTADORES!H313-CONTADORES!H312)</f>
        <v>0</v>
      </c>
      <c r="AE303" s="1397">
        <f ca="1">IF(B303&gt;=$J$5,0,CONTADORES!J313-CONTADORES!J312)</f>
        <v>0</v>
      </c>
      <c r="AF303" s="1397">
        <f ca="1">IF(B303&gt;=$J$5,0,CONTADORES!AU313-CONTADORES!AU312)</f>
        <v>0</v>
      </c>
      <c r="AG303" s="1397">
        <f ca="1">IF(B303&gt;=$J$5,0,CONTADORES!AW313-CONTADORES!AW312)</f>
        <v>0</v>
      </c>
      <c r="AH303" s="1409">
        <f ca="1">IF(B303&gt;=$J$5,0,(CONTADORES!AM313-CONTADORES!AM312)+(CONTADORES!M313-CONTADORES!M312))</f>
        <v>0</v>
      </c>
      <c r="AI303" s="1409">
        <f ca="1">IF(B303&gt;=$J$5,0,(CONTADORES!AK313-CONTADORES!AK312)+(CONTADORES!O313-CONTADORES!O312))</f>
        <v>0</v>
      </c>
      <c r="AJ303" s="1409">
        <f ca="1">IF(B303&gt;=$J$5,0,(CONTADORES!AI313-CONTADORES!AI312))</f>
        <v>0</v>
      </c>
      <c r="AK303" s="1409">
        <f ca="1">IF(B303&gt;=$J$5,0,(CONTADORES!Q313-CONTADORES!Q312))</f>
        <v>0</v>
      </c>
      <c r="AL303" s="1461">
        <f t="shared" ca="1" si="144"/>
        <v>0</v>
      </c>
      <c r="AM303" s="1409">
        <f ca="1">IF(B303&gt;=$J$5,0,(((CONTADORES!F313-CONTADORES!F312)+(CONTADORES!AQ313-CONTADORES!AQ312))))-BS303-AF303-AN303-BV303-BY303-CD303-CB303+T303</f>
        <v>0</v>
      </c>
      <c r="AN303" s="1397">
        <f ca="1">IF(B303&gt;=$J$5,0,(CONTADORES!AX313-CONTADORES!AX312)+(CONTADORES!AZ313-CONTADORES!AZ312)+(CONTADORES!BE313-CONTADORES!BE312))-CB303</f>
        <v>0</v>
      </c>
      <c r="AO303" s="1437">
        <f>(CONTADORES!AC313-CONTADORES!AC312)</f>
        <v>0</v>
      </c>
      <c r="AP303" s="1437">
        <f>(CONTADORES!X313-CONTADORES!X312)</f>
        <v>0</v>
      </c>
      <c r="AQ303" s="1437">
        <f>(CONTADORES!C313-CONTADORES!C312)</f>
        <v>0</v>
      </c>
      <c r="AR303" s="1437">
        <f>(CONTADORES!BC313-CONTADORES!BC312)</f>
        <v>0</v>
      </c>
      <c r="AS303" s="1397">
        <f ca="1">IF(B303&gt;=$J$5,0,CONTADORES!S313-CONTADORES!S312)</f>
        <v>0</v>
      </c>
      <c r="AT303" s="1397">
        <f ca="1">IF(B303&gt;=$J$5,0,(CONTADORES!U313-CONTADORES!U312)+(CONTADORES!AG313-CONTADORES!AG312))</f>
        <v>0</v>
      </c>
      <c r="AU303" s="1433">
        <f>CONTADORES!I313-CONTADORES!I312</f>
        <v>0</v>
      </c>
      <c r="AV303" s="1437">
        <f>CONTADORES!AV313-CONTADORES!AV312</f>
        <v>0</v>
      </c>
      <c r="AW303" s="1437">
        <f ca="1">IF(B303&gt;=$J$5,0,(CONTADORES!N313-CONTADORES!N312)+(CONTADORES!AN313-CONTADORES!AN312))</f>
        <v>0</v>
      </c>
      <c r="AX303" s="1437">
        <f ca="1">IF(B303&gt;=$J$5,0,(CONTADORES!P313-CONTADORES!P312)+(CONTADORES!AL313-CONTADORES!AL312))</f>
        <v>0</v>
      </c>
      <c r="AY303" s="1437">
        <f ca="1">IF(B303&gt;=$J$5,0,(CONTADORES!AJ313-CONTADORES!AJ312))</f>
        <v>0</v>
      </c>
      <c r="AZ303" s="1437">
        <f ca="1">IF(B303&gt;=$J$5,0,(CONTADORES!R313-CONTADORES!R312))</f>
        <v>0</v>
      </c>
      <c r="BA303" s="1409">
        <f t="shared" ca="1" si="145"/>
        <v>0</v>
      </c>
      <c r="BB303" s="1437">
        <f ca="1">IF(B303&gt;=$J$5,0,(((CONTADORES!G313-CONTADORES!G312)+(CONTADORES!AR313-CONTADORES!AR312))))-AV303-BC303-BT303-BW303-BZ303-CE303</f>
        <v>0</v>
      </c>
      <c r="BC303" s="1398">
        <f ca="1">IF(B303&gt;=$J$5,0,(CONTADORES!AY313-CONTADORES!AY312)+(CONTADORES!BA313-CONTADORES!BA312)+(CONTADORES!BF313-CONTADORES!BF312))</f>
        <v>0</v>
      </c>
      <c r="BD303" s="1397">
        <f t="shared" si="146"/>
        <v>0</v>
      </c>
      <c r="BE303" s="1398">
        <f ca="1">IF($B303&gt;=$J$5,0,CONTADORES!$BG313)</f>
        <v>0</v>
      </c>
      <c r="BF303" s="1397">
        <f ca="1">IF($B303&gt;=$J$5,0,CONTADORES!$BH313)</f>
        <v>0</v>
      </c>
      <c r="BG303" s="1398">
        <f ca="1">IF($B303&gt;=$J$5,0,CONTADORES!$BJ313)</f>
        <v>0</v>
      </c>
      <c r="BH303" s="1398">
        <f ca="1">IF(B303&gt;=$J$5,0,((CONTADORES!BK313-CONTADORES!BK312)/1000))</f>
        <v>0</v>
      </c>
      <c r="BI303" s="1398">
        <f ca="1">IF(B303&gt;=$J$5,0,((CONTADORES!BL313-CONTADORES!BL312)/1000))</f>
        <v>0</v>
      </c>
      <c r="BJ303" s="1398">
        <f ca="1">IF(B303&gt;=$J$5,0,((CONTADORES!BM313-CONTADORES!BM312)/1000))</f>
        <v>0</v>
      </c>
      <c r="BK303" s="1398">
        <f ca="1">IF(B303&gt;=$J$5,0,((CONTADORES!BN313-CONTADORES!BN312)/1000))</f>
        <v>0</v>
      </c>
      <c r="BL303" s="1399">
        <f t="shared" ca="1" si="147"/>
        <v>0</v>
      </c>
      <c r="BM303" s="1399">
        <f t="shared" ca="1" si="148"/>
        <v>0</v>
      </c>
      <c r="BN303" s="1398">
        <f ca="1">IF(B303&gt;=$J$5,0,CONTADORES!$BO313)</f>
        <v>0</v>
      </c>
      <c r="BO303" s="1397">
        <f ca="1">IF(W303&gt;=$J$5,0,CONTADORES!$BP313)</f>
        <v>0</v>
      </c>
      <c r="BP303" s="1397">
        <f ca="1">IF(W303&gt;=$J$5,0,CONTADORES!$BQ313)</f>
        <v>0</v>
      </c>
      <c r="BQ303" s="1397">
        <f ca="1">IF(B303&gt;=$J$5,0,(CONTADORES!AS313-CONTADORES!AS312))</f>
        <v>0</v>
      </c>
      <c r="BR303" s="1397">
        <f ca="1">IF(B303&gt;=$J$5,0,(CONTADORES!AT313-CONTADORES!AT312))</f>
        <v>0</v>
      </c>
      <c r="BS303" s="1398">
        <f ca="1">IF(B303&gt;=$J$5,0,CONTADORES!BR313-CONTADORES!BR312)/1000</f>
        <v>0</v>
      </c>
      <c r="BT303" s="1409">
        <f ca="1">IF(B303&gt;=$J$5,0,CONTADORES!BS313-CONTADORES!BS312)</f>
        <v>0</v>
      </c>
      <c r="BU303" s="1409">
        <f ca="1">IF(B303&gt;=$J$5,0,CONTADORES!BT313-CONTADORES!BT312)</f>
        <v>0</v>
      </c>
      <c r="BV303" s="1409">
        <f ca="1">IF(B303&gt;=$J$5,0,CONTADORES!BU313-CONTADORES!BU312)/1000</f>
        <v>0</v>
      </c>
      <c r="BW303" s="1409">
        <f ca="1">IF(B303&gt;=$J$5,0,CONTADORES!BV313-CONTADORES!BV312)/1000</f>
        <v>0</v>
      </c>
      <c r="BX303" s="1409">
        <f ca="1">IF(B303&gt;=$J$5,0,CONTADORES!BW313-CONTADORES!BW312)</f>
        <v>0</v>
      </c>
      <c r="BY303" s="1409">
        <f ca="1">IF(B303&gt;=$J$5,0,CONTADORES!BX313-CONTADORES!BX312)/1000</f>
        <v>0</v>
      </c>
      <c r="BZ303" s="1409">
        <f ca="1">IF(B303&gt;=$J$5,0,CONTADORES!BY313-CONTADORES!BY312)/1000</f>
        <v>0</v>
      </c>
      <c r="CA303" s="1409">
        <f ca="1">IF(B303&gt;=$J$5,0,CONTADORES!BZ313-CONTADORES!BZ312)</f>
        <v>0</v>
      </c>
      <c r="CB303" s="1409">
        <f ca="1">IF(B303&gt;=$J$5,0,(CONTADORES!CC313-CONTADORES!CC312)+(CONTADORES!CE313-CONTADORES!CE312))/1000</f>
        <v>0</v>
      </c>
      <c r="CC303" s="1409">
        <f ca="1">IF(B303&gt;=$J$5,0,(CONTADORES!CD313-CONTADORES!CD312)+(CONTADORES!CF313-CONTADORES!CF312))/1000</f>
        <v>0</v>
      </c>
      <c r="CD303" s="1409">
        <f ca="1">IF(B303&gt;=$J$5,0,CONTADORES!CA313-CONTADORES!CA312)</f>
        <v>0</v>
      </c>
      <c r="CE303" s="1409">
        <f ca="1">IF(B303&gt;=$J$5,0,CONTADORES!CB313-CONTADORES!CB312)</f>
        <v>0</v>
      </c>
      <c r="CF303" s="1409">
        <f t="shared" ca="1" si="149"/>
        <v>0</v>
      </c>
      <c r="CG303" s="1409">
        <f t="shared" ca="1" si="150"/>
        <v>0</v>
      </c>
      <c r="CH303" s="1409">
        <f t="shared" ca="1" si="151"/>
        <v>0</v>
      </c>
      <c r="CI303" s="1409">
        <f t="shared" ca="1" si="152"/>
        <v>0</v>
      </c>
      <c r="CJ303" s="1409">
        <f t="shared" ca="1" si="153"/>
        <v>0</v>
      </c>
      <c r="CK303" s="1409">
        <f t="shared" ca="1" si="154"/>
        <v>0</v>
      </c>
      <c r="CL303" s="1409">
        <f t="shared" ca="1" si="155"/>
        <v>0</v>
      </c>
      <c r="CM303" s="1409">
        <f t="shared" ca="1" si="156"/>
        <v>0</v>
      </c>
      <c r="CN303" s="1409">
        <f ca="1">IF(B303&gt;=$J$5,0,CONTADORES!CB313-CONTADORES!CB312)</f>
        <v>0</v>
      </c>
      <c r="CO303" s="1409">
        <f t="shared" ca="1" si="157"/>
        <v>0</v>
      </c>
      <c r="CP303" s="1409">
        <f t="shared" ca="1" si="158"/>
        <v>0</v>
      </c>
      <c r="CQ303" s="1409">
        <f t="shared" ca="1" si="159"/>
        <v>0</v>
      </c>
      <c r="CR303" s="1409">
        <f t="shared" ca="1" si="160"/>
        <v>0</v>
      </c>
      <c r="CS303" s="1409">
        <f ca="1">IF($B303&gt;=$J$5,0,CONTADORES!$BI313)</f>
        <v>0</v>
      </c>
      <c r="CT303" s="1334">
        <f>CONTADORES!E313</f>
        <v>0</v>
      </c>
      <c r="CU303" s="1334">
        <f>CONTADORES!CG313</f>
        <v>0</v>
      </c>
    </row>
    <row r="304" spans="2:99">
      <c r="B304" s="1477">
        <v>45220</v>
      </c>
      <c r="C304" s="202">
        <f t="shared" ca="1" si="134"/>
        <v>0</v>
      </c>
      <c r="D304" s="196">
        <f ca="1">'CALCULO DE GAS'!P126</f>
        <v>0</v>
      </c>
      <c r="E304" s="196">
        <f ca="1">IF(B304&gt;=$J$5,0,(CONTADORES!$AD314-CONTADORES!$AD313)-$H304)</f>
        <v>0</v>
      </c>
      <c r="F304" s="198">
        <f t="shared" ca="1" si="163"/>
        <v>0</v>
      </c>
      <c r="G304" s="196">
        <f ca="1">IF(B304&gt;=$J$5,0,CONTADORES!$AF314-CONTADORES!$AF313)</f>
        <v>0</v>
      </c>
      <c r="H304" s="196">
        <f ca="1">IF(G304&gt;0,CONTADORES!$AE314-CONTADORES!$AE313,0)</f>
        <v>0</v>
      </c>
      <c r="I304" s="199">
        <f ca="1">IF(B304&gt;=$J$5,0,CONTADORES!$AB314-CONTADORES!$AB313)</f>
        <v>0</v>
      </c>
      <c r="J304" s="198">
        <f t="shared" ca="1" si="135"/>
        <v>0</v>
      </c>
      <c r="K304" s="196">
        <f ca="1">'CALCULO DE GAS'!Q126</f>
        <v>0</v>
      </c>
      <c r="L304" s="1396">
        <f ca="1">IF(B304&gt;=$J$5,0,(CONTADORES!$Y314-CONTADORES!$Y313)-$O304)</f>
        <v>0</v>
      </c>
      <c r="M304" s="1396">
        <f t="shared" ca="1" si="161"/>
        <v>0</v>
      </c>
      <c r="N304" s="1396">
        <f ca="1">IF(B304&gt;=$J$5,0,CONTADORES!$AA314-CONTADORES!$AA313)</f>
        <v>0</v>
      </c>
      <c r="O304" s="1396">
        <f ca="1">IF(N304&gt;0,CONTADORES!$Z314-CONTADORES!$Z313,0)</f>
        <v>0</v>
      </c>
      <c r="P304" s="202">
        <f ca="1">IF(B304&gt;=$J$5,0,CONTADORES!$W314-CONTADORES!$W313)</f>
        <v>0</v>
      </c>
      <c r="Q304" s="202">
        <f ca="1">IF(B304&gt;=$J$5,0,CONTADORES!$B314-CONTADORES!$B313)</f>
        <v>0</v>
      </c>
      <c r="R304" s="196">
        <f t="shared" ca="1" si="136"/>
        <v>0</v>
      </c>
      <c r="S304" s="11">
        <f ca="1">IF(B304&gt;=$J$5,0,CONTADORES!$D314-CONTADORES!$D313)</f>
        <v>0</v>
      </c>
      <c r="T304" s="198">
        <f ca="1">IF(B304&gt;=$J$5,0,CONTADORES!$BB314-CONTADORES!$BB313)</f>
        <v>0</v>
      </c>
      <c r="U304" s="196">
        <f t="shared" ca="1" si="162"/>
        <v>0</v>
      </c>
      <c r="V304" s="199">
        <f ca="1">IF(B304&gt;=$J$5,0,CONTADORES!$BD314-CONTADORES!$BD313)</f>
        <v>0</v>
      </c>
      <c r="W304" s="1397">
        <f t="shared" ca="1" si="137"/>
        <v>0</v>
      </c>
      <c r="X304" s="1397">
        <f t="shared" ca="1" si="138"/>
        <v>0</v>
      </c>
      <c r="Y304" s="1398">
        <f t="shared" ca="1" si="139"/>
        <v>0</v>
      </c>
      <c r="Z304" s="1398">
        <f t="shared" ca="1" si="140"/>
        <v>0</v>
      </c>
      <c r="AA304" s="1398">
        <f t="shared" ca="1" si="141"/>
        <v>0</v>
      </c>
      <c r="AB304" s="1398">
        <f t="shared" ca="1" si="142"/>
        <v>0</v>
      </c>
      <c r="AC304" s="1397">
        <f t="shared" ca="1" si="143"/>
        <v>0</v>
      </c>
      <c r="AD304" s="1397">
        <f ca="1">IF(B304&gt;=$J$5,0,CONTADORES!H314-CONTADORES!H313)</f>
        <v>0</v>
      </c>
      <c r="AE304" s="1397">
        <f ca="1">IF(B304&gt;=$J$5,0,CONTADORES!J314-CONTADORES!J313)</f>
        <v>0</v>
      </c>
      <c r="AF304" s="1397">
        <f ca="1">IF(B304&gt;=$J$5,0,CONTADORES!AU314-CONTADORES!AU313)</f>
        <v>0</v>
      </c>
      <c r="AG304" s="1397">
        <f ca="1">IF(B304&gt;=$J$5,0,CONTADORES!AW314-CONTADORES!AW313)</f>
        <v>0</v>
      </c>
      <c r="AH304" s="1409">
        <f ca="1">IF(B304&gt;=$J$5,0,(CONTADORES!AM314-CONTADORES!AM313)+(CONTADORES!M314-CONTADORES!M313))</f>
        <v>0</v>
      </c>
      <c r="AI304" s="1409">
        <f ca="1">IF(B304&gt;=$J$5,0,(CONTADORES!AK314-CONTADORES!AK313)+(CONTADORES!O314-CONTADORES!O313))</f>
        <v>0</v>
      </c>
      <c r="AJ304" s="1409">
        <f ca="1">IF(B304&gt;=$J$5,0,(CONTADORES!AI314-CONTADORES!AI313))</f>
        <v>0</v>
      </c>
      <c r="AK304" s="1409">
        <f ca="1">IF(B304&gt;=$J$5,0,(CONTADORES!Q314-CONTADORES!Q313))</f>
        <v>0</v>
      </c>
      <c r="AL304" s="1461">
        <f t="shared" ca="1" si="144"/>
        <v>0</v>
      </c>
      <c r="AM304" s="1409">
        <f ca="1">IF(B304&gt;=$J$5,0,(((CONTADORES!F314-CONTADORES!F313)+(CONTADORES!AQ314-CONTADORES!AQ313))))-BS304-AF304-AN304-BV304-BY304-CD304-CB304+T304</f>
        <v>0</v>
      </c>
      <c r="AN304" s="1397">
        <f ca="1">IF(B304&gt;=$J$5,0,(CONTADORES!AX314-CONTADORES!AX313)+(CONTADORES!AZ314-CONTADORES!AZ313)+(CONTADORES!BE314-CONTADORES!BE313))-CB304</f>
        <v>0</v>
      </c>
      <c r="AO304" s="1437">
        <f>(CONTADORES!AC314-CONTADORES!AC313)</f>
        <v>0</v>
      </c>
      <c r="AP304" s="1437">
        <f>(CONTADORES!X314-CONTADORES!X313)</f>
        <v>0</v>
      </c>
      <c r="AQ304" s="1437">
        <f>(CONTADORES!C314-CONTADORES!C313)</f>
        <v>0</v>
      </c>
      <c r="AR304" s="1437">
        <f>(CONTADORES!BC314-CONTADORES!BC313)</f>
        <v>0</v>
      </c>
      <c r="AS304" s="1397">
        <f ca="1">IF(B304&gt;=$J$5,0,CONTADORES!S314-CONTADORES!S313)</f>
        <v>0</v>
      </c>
      <c r="AT304" s="1397">
        <f ca="1">IF(B304&gt;=$J$5,0,(CONTADORES!U314-CONTADORES!U313)+(CONTADORES!AG314-CONTADORES!AG313))</f>
        <v>0</v>
      </c>
      <c r="AU304" s="1433">
        <f>CONTADORES!I314-CONTADORES!I313</f>
        <v>0</v>
      </c>
      <c r="AV304" s="1437">
        <f>CONTADORES!AV314-CONTADORES!AV313</f>
        <v>0</v>
      </c>
      <c r="AW304" s="1437">
        <f ca="1">IF(B304&gt;=$J$5,0,(CONTADORES!N314-CONTADORES!N313)+(CONTADORES!AN314-CONTADORES!AN313))</f>
        <v>0</v>
      </c>
      <c r="AX304" s="1437">
        <f ca="1">IF(B304&gt;=$J$5,0,(CONTADORES!P314-CONTADORES!P313)+(CONTADORES!AL314-CONTADORES!AL313))</f>
        <v>0</v>
      </c>
      <c r="AY304" s="1437">
        <f ca="1">IF(B304&gt;=$J$5,0,(CONTADORES!AJ314-CONTADORES!AJ313))</f>
        <v>0</v>
      </c>
      <c r="AZ304" s="1437">
        <f ca="1">IF(B304&gt;=$J$5,0,(CONTADORES!R314-CONTADORES!R313))</f>
        <v>0</v>
      </c>
      <c r="BA304" s="1409">
        <f t="shared" ca="1" si="145"/>
        <v>0</v>
      </c>
      <c r="BB304" s="1437">
        <f ca="1">IF(B304&gt;=$J$5,0,(((CONTADORES!G314-CONTADORES!G313)+(CONTADORES!AR314-CONTADORES!AR313))))-AV304-BC304-BT304-BW304-BZ304-CE304</f>
        <v>0</v>
      </c>
      <c r="BC304" s="1398">
        <f ca="1">IF(B304&gt;=$J$5,0,(CONTADORES!AY314-CONTADORES!AY313)+(CONTADORES!BA314-CONTADORES!BA313)+(CONTADORES!BF314-CONTADORES!BF313))</f>
        <v>0</v>
      </c>
      <c r="BD304" s="1397">
        <f t="shared" si="146"/>
        <v>0</v>
      </c>
      <c r="BE304" s="1398">
        <f ca="1">IF($B304&gt;=$J$5,0,CONTADORES!$BG314)</f>
        <v>0</v>
      </c>
      <c r="BF304" s="1397">
        <f ca="1">IF($B304&gt;=$J$5,0,CONTADORES!$BH314)</f>
        <v>0</v>
      </c>
      <c r="BG304" s="1398">
        <f ca="1">IF($B304&gt;=$J$5,0,CONTADORES!$BJ314)</f>
        <v>0</v>
      </c>
      <c r="BH304" s="1398">
        <f ca="1">IF(B304&gt;=$J$5,0,((CONTADORES!BK314-CONTADORES!BK313)/1000))</f>
        <v>0</v>
      </c>
      <c r="BI304" s="1398">
        <f ca="1">IF(B304&gt;=$J$5,0,((CONTADORES!BL314-CONTADORES!BL313)/1000))</f>
        <v>0</v>
      </c>
      <c r="BJ304" s="1398">
        <f ca="1">IF(B304&gt;=$J$5,0,((CONTADORES!BM314-CONTADORES!BM313)/1000))</f>
        <v>0</v>
      </c>
      <c r="BK304" s="1398">
        <f ca="1">IF(B304&gt;=$J$5,0,((CONTADORES!BN314-CONTADORES!BN313)/1000))</f>
        <v>0</v>
      </c>
      <c r="BL304" s="1399">
        <f t="shared" ca="1" si="147"/>
        <v>0</v>
      </c>
      <c r="BM304" s="1399">
        <f t="shared" ca="1" si="148"/>
        <v>0</v>
      </c>
      <c r="BN304" s="1398">
        <f ca="1">IF(B304&gt;=$J$5,0,CONTADORES!$BO314)</f>
        <v>0</v>
      </c>
      <c r="BO304" s="1397">
        <f ca="1">IF(W304&gt;=$J$5,0,CONTADORES!$BP314)</f>
        <v>0</v>
      </c>
      <c r="BP304" s="1397">
        <f ca="1">IF(W304&gt;=$J$5,0,CONTADORES!$BQ314)</f>
        <v>0</v>
      </c>
      <c r="BQ304" s="1397">
        <f ca="1">IF(B304&gt;=$J$5,0,(CONTADORES!AS314-CONTADORES!AS313))</f>
        <v>0</v>
      </c>
      <c r="BR304" s="1397">
        <f ca="1">IF(B304&gt;=$J$5,0,(CONTADORES!AT314-CONTADORES!AT313))</f>
        <v>0</v>
      </c>
      <c r="BS304" s="1398">
        <f ca="1">IF(B304&gt;=$J$5,0,CONTADORES!BR314-CONTADORES!BR313)/1000</f>
        <v>0</v>
      </c>
      <c r="BT304" s="1409">
        <f ca="1">IF(B304&gt;=$J$5,0,CONTADORES!BS314-CONTADORES!BS313)</f>
        <v>0</v>
      </c>
      <c r="BU304" s="1409">
        <f ca="1">IF(B304&gt;=$J$5,0,CONTADORES!BT314-CONTADORES!BT313)</f>
        <v>0</v>
      </c>
      <c r="BV304" s="1409">
        <f ca="1">IF(B304&gt;=$J$5,0,CONTADORES!BU314-CONTADORES!BU313)/1000</f>
        <v>0</v>
      </c>
      <c r="BW304" s="1409">
        <f ca="1">IF(B304&gt;=$J$5,0,CONTADORES!BV314-CONTADORES!BV313)/1000</f>
        <v>0</v>
      </c>
      <c r="BX304" s="1409">
        <f ca="1">IF(B304&gt;=$J$5,0,CONTADORES!BW314-CONTADORES!BW313)</f>
        <v>0</v>
      </c>
      <c r="BY304" s="1409">
        <f ca="1">IF(B304&gt;=$J$5,0,CONTADORES!BX314-CONTADORES!BX313)/1000</f>
        <v>0</v>
      </c>
      <c r="BZ304" s="1409">
        <f ca="1">IF(B304&gt;=$J$5,0,CONTADORES!BY314-CONTADORES!BY313)/1000</f>
        <v>0</v>
      </c>
      <c r="CA304" s="1409">
        <f ca="1">IF(B304&gt;=$J$5,0,CONTADORES!BZ314-CONTADORES!BZ313)</f>
        <v>0</v>
      </c>
      <c r="CB304" s="1409">
        <f ca="1">IF(B304&gt;=$J$5,0,(CONTADORES!CC314-CONTADORES!CC313)+(CONTADORES!CE314-CONTADORES!CE313))/1000</f>
        <v>0</v>
      </c>
      <c r="CC304" s="1409">
        <f ca="1">IF(B304&gt;=$J$5,0,(CONTADORES!CD314-CONTADORES!CD313)+(CONTADORES!CF314-CONTADORES!CF313))/1000</f>
        <v>0</v>
      </c>
      <c r="CD304" s="1409">
        <f ca="1">IF(B304&gt;=$J$5,0,CONTADORES!CA314-CONTADORES!CA313)</f>
        <v>0</v>
      </c>
      <c r="CE304" s="1409">
        <f ca="1">IF(B304&gt;=$J$5,0,CONTADORES!CB314-CONTADORES!CB313)</f>
        <v>0</v>
      </c>
      <c r="CF304" s="1409">
        <f t="shared" ca="1" si="149"/>
        <v>0</v>
      </c>
      <c r="CG304" s="1409">
        <f t="shared" ca="1" si="150"/>
        <v>0</v>
      </c>
      <c r="CH304" s="1409">
        <f t="shared" ca="1" si="151"/>
        <v>0</v>
      </c>
      <c r="CI304" s="1409">
        <f t="shared" ca="1" si="152"/>
        <v>0</v>
      </c>
      <c r="CJ304" s="1409">
        <f t="shared" ca="1" si="153"/>
        <v>0</v>
      </c>
      <c r="CK304" s="1409">
        <f t="shared" ca="1" si="154"/>
        <v>0</v>
      </c>
      <c r="CL304" s="1409">
        <f t="shared" ca="1" si="155"/>
        <v>0</v>
      </c>
      <c r="CM304" s="1409">
        <f t="shared" ca="1" si="156"/>
        <v>0</v>
      </c>
      <c r="CN304" s="1409">
        <f ca="1">IF(B304&gt;=$J$5,0,CONTADORES!CB314-CONTADORES!CB313)</f>
        <v>0</v>
      </c>
      <c r="CO304" s="1409">
        <f t="shared" ca="1" si="157"/>
        <v>0</v>
      </c>
      <c r="CP304" s="1409">
        <f t="shared" ca="1" si="158"/>
        <v>0</v>
      </c>
      <c r="CQ304" s="1409">
        <f t="shared" ca="1" si="159"/>
        <v>0</v>
      </c>
      <c r="CR304" s="1409">
        <f t="shared" ca="1" si="160"/>
        <v>0</v>
      </c>
      <c r="CS304" s="1409">
        <f ca="1">IF($B304&gt;=$J$5,0,CONTADORES!$BI314)</f>
        <v>0</v>
      </c>
      <c r="CT304" s="1334">
        <f>CONTADORES!E314</f>
        <v>0</v>
      </c>
      <c r="CU304" s="1334">
        <f>CONTADORES!CG314</f>
        <v>0</v>
      </c>
    </row>
    <row r="305" spans="2:99" ht="13.95" customHeight="1">
      <c r="B305" s="1477">
        <v>45221</v>
      </c>
      <c r="C305" s="202">
        <f t="shared" ca="1" si="134"/>
        <v>0</v>
      </c>
      <c r="D305" s="196">
        <f ca="1">'CALCULO DE GAS'!P127</f>
        <v>0</v>
      </c>
      <c r="E305" s="196">
        <f ca="1">IF(B305&gt;=$J$5,0,(CONTADORES!$AD315-CONTADORES!$AD314)-$H305)</f>
        <v>0</v>
      </c>
      <c r="F305" s="198">
        <f t="shared" ca="1" si="163"/>
        <v>0</v>
      </c>
      <c r="G305" s="196">
        <f ca="1">IF(B305&gt;=$J$5,0,CONTADORES!$AF315-CONTADORES!$AF314)</f>
        <v>0</v>
      </c>
      <c r="H305" s="196">
        <f ca="1">IF(G305&gt;0,CONTADORES!$AE315-CONTADORES!$AE314,0)</f>
        <v>0</v>
      </c>
      <c r="I305" s="199">
        <f ca="1">IF(B305&gt;=$J$5,0,CONTADORES!$AB315-CONTADORES!$AB314)</f>
        <v>0</v>
      </c>
      <c r="J305" s="198">
        <f t="shared" ca="1" si="135"/>
        <v>0</v>
      </c>
      <c r="K305" s="196">
        <f ca="1">'CALCULO DE GAS'!Q127</f>
        <v>0</v>
      </c>
      <c r="L305" s="1396">
        <f ca="1">IF(B305&gt;=$J$5,0,(CONTADORES!$Y315-CONTADORES!$Y314)-$O305)</f>
        <v>0</v>
      </c>
      <c r="M305" s="1396">
        <f t="shared" ca="1" si="161"/>
        <v>0</v>
      </c>
      <c r="N305" s="1396">
        <f ca="1">IF(B305&gt;=$J$5,0,CONTADORES!$AA315-CONTADORES!$AA314)</f>
        <v>0</v>
      </c>
      <c r="O305" s="1396">
        <f ca="1">IF(N305&gt;0,CONTADORES!$Z315-CONTADORES!$Z314,0)</f>
        <v>0</v>
      </c>
      <c r="P305" s="202">
        <f ca="1">IF(B305&gt;=$J$5,0,CONTADORES!$W315-CONTADORES!$W314)</f>
        <v>0</v>
      </c>
      <c r="Q305" s="202">
        <f ca="1">IF(B305&gt;=$J$5,0,CONTADORES!$B315-CONTADORES!$B314)</f>
        <v>0</v>
      </c>
      <c r="R305" s="196">
        <f t="shared" ca="1" si="136"/>
        <v>0</v>
      </c>
      <c r="S305" s="11">
        <f ca="1">IF(B305&gt;=$J$5,0,CONTADORES!$D315-CONTADORES!$D314)</f>
        <v>0</v>
      </c>
      <c r="T305" s="198">
        <f ca="1">IF(B305&gt;=$J$5,0,CONTADORES!$BB315-CONTADORES!$BB314)</f>
        <v>0</v>
      </c>
      <c r="U305" s="196">
        <f t="shared" ca="1" si="162"/>
        <v>0</v>
      </c>
      <c r="V305" s="199">
        <f ca="1">IF(B305&gt;=$J$5,0,CONTADORES!$BD315-CONTADORES!$BD314)</f>
        <v>0</v>
      </c>
      <c r="W305" s="1397">
        <f t="shared" ca="1" si="137"/>
        <v>0</v>
      </c>
      <c r="X305" s="1397">
        <f t="shared" ca="1" si="138"/>
        <v>0</v>
      </c>
      <c r="Y305" s="1398">
        <f t="shared" ca="1" si="139"/>
        <v>0</v>
      </c>
      <c r="Z305" s="1398">
        <f t="shared" ca="1" si="140"/>
        <v>0</v>
      </c>
      <c r="AA305" s="1398">
        <f t="shared" ca="1" si="141"/>
        <v>0</v>
      </c>
      <c r="AB305" s="1398">
        <f t="shared" ca="1" si="142"/>
        <v>0</v>
      </c>
      <c r="AC305" s="1397">
        <f t="shared" ca="1" si="143"/>
        <v>0</v>
      </c>
      <c r="AD305" s="1397">
        <f ca="1">IF(B305&gt;=$J$5,0,CONTADORES!H315-CONTADORES!H314)</f>
        <v>0</v>
      </c>
      <c r="AE305" s="1397">
        <f ca="1">IF(B305&gt;=$J$5,0,CONTADORES!J315-CONTADORES!J314)</f>
        <v>0</v>
      </c>
      <c r="AF305" s="1397">
        <f ca="1">IF(B305&gt;=$J$5,0,CONTADORES!AU315-CONTADORES!AU314)</f>
        <v>0</v>
      </c>
      <c r="AG305" s="1397">
        <f ca="1">IF(B305&gt;=$J$5,0,CONTADORES!AW315-CONTADORES!AW314)</f>
        <v>0</v>
      </c>
      <c r="AH305" s="1409">
        <f ca="1">IF(B305&gt;=$J$5,0,(CONTADORES!AM315-CONTADORES!AM314)+(CONTADORES!M315-CONTADORES!M314))</f>
        <v>0</v>
      </c>
      <c r="AI305" s="1409">
        <f ca="1">IF(B305&gt;=$J$5,0,(CONTADORES!AK315-CONTADORES!AK314)+(CONTADORES!O315-CONTADORES!O314))</f>
        <v>0</v>
      </c>
      <c r="AJ305" s="1409">
        <f ca="1">IF(B305&gt;=$J$5,0,(CONTADORES!AI315-CONTADORES!AI314))</f>
        <v>0</v>
      </c>
      <c r="AK305" s="1409">
        <f ca="1">IF(B305&gt;=$J$5,0,(CONTADORES!Q315-CONTADORES!Q314))</f>
        <v>0</v>
      </c>
      <c r="AL305" s="1461">
        <f t="shared" ca="1" si="144"/>
        <v>0</v>
      </c>
      <c r="AM305" s="1409">
        <f ca="1">IF(B305&gt;=$J$5,0,(((CONTADORES!F315-CONTADORES!F314)+(CONTADORES!AQ315-CONTADORES!AQ314))))-BS305-AF305-AN305-BV305-BY305-CD305-CB305+T305</f>
        <v>0</v>
      </c>
      <c r="AN305" s="1397">
        <f ca="1">IF(B305&gt;=$J$5,0,(CONTADORES!AX315-CONTADORES!AX314)+(CONTADORES!AZ315-CONTADORES!AZ314)+(CONTADORES!BE315-CONTADORES!BE314))-CB305</f>
        <v>0</v>
      </c>
      <c r="AO305" s="1437">
        <f ca="1">IF(B305&gt;=$J$5,0,(CONTADORES!AC315-CONTADORES!AC314))</f>
        <v>0</v>
      </c>
      <c r="AP305" s="1437">
        <f ca="1">IF(B305&gt;=$J$5,0,(CONTADORES!X315-CONTADORES!X314))</f>
        <v>0</v>
      </c>
      <c r="AQ305" s="1437">
        <f ca="1">IF(B305&gt;=$J$5,0,(CONTADORES!C315-CONTADORES!C314))</f>
        <v>0</v>
      </c>
      <c r="AR305" s="1437">
        <f ca="1">IF(B305&gt;=$J$5,0,(CONTADORES!BC315-CONTADORES!BC314))</f>
        <v>0</v>
      </c>
      <c r="AS305" s="1397">
        <f ca="1">IF(B305&gt;=$J$5,0,CONTADORES!S315-CONTADORES!S314)</f>
        <v>0</v>
      </c>
      <c r="AT305" s="1397">
        <f ca="1">IF(B305&gt;=$J$5,0,(CONTADORES!U315-CONTADORES!U314)+(CONTADORES!AG315-CONTADORES!AG314))</f>
        <v>0</v>
      </c>
      <c r="AU305" s="1433">
        <f ca="1">IF(B305&gt;=$J$5,0,(CONTADORES!I315-CONTADORES!I314))</f>
        <v>0</v>
      </c>
      <c r="AV305" s="1437">
        <f ca="1">IF(B305&gt;=$J$5,0,(CONTADORES!AV315-CONTADORES!AV314))</f>
        <v>0</v>
      </c>
      <c r="AW305" s="1437">
        <f ca="1">IF(B305&gt;=$J$5,0,(CONTADORES!N315-CONTADORES!N314)+(CONTADORES!AN315-CONTADORES!AN314))</f>
        <v>0</v>
      </c>
      <c r="AX305" s="1437">
        <f ca="1">IF(B305&gt;=$J$5,0,(CONTADORES!P315-CONTADORES!P314)+(CONTADORES!AL315-CONTADORES!AL314))</f>
        <v>0</v>
      </c>
      <c r="AY305" s="1437">
        <f ca="1">IF(B305&gt;=$J$5,0,(CONTADORES!AJ315-CONTADORES!AJ314))</f>
        <v>0</v>
      </c>
      <c r="AZ305" s="1437">
        <f ca="1">IF(B305&gt;=$J$5,0,(CONTADORES!R315-CONTADORES!R314))</f>
        <v>0</v>
      </c>
      <c r="BA305" s="1409">
        <f t="shared" ca="1" si="145"/>
        <v>0</v>
      </c>
      <c r="BB305" s="1437">
        <f ca="1">IF(B305&gt;=$J$5,0,(((CONTADORES!G315-CONTADORES!G314)+(CONTADORES!AR315-CONTADORES!AR314))))-AV305-BC305-BT305-BW305-BZ305-CE305</f>
        <v>0</v>
      </c>
      <c r="BC305" s="1398">
        <f ca="1">IF(B305&gt;=$J$5,0,(CONTADORES!AY315-CONTADORES!AY314)+(CONTADORES!BA315-CONTADORES!BA314)+(CONTADORES!BF315-CONTADORES!BF314))</f>
        <v>0</v>
      </c>
      <c r="BD305" s="1397">
        <f t="shared" ca="1" si="146"/>
        <v>0</v>
      </c>
      <c r="BE305" s="1398">
        <f ca="1">IF($B305&gt;=$J$5,0,CONTADORES!$BG315)</f>
        <v>0</v>
      </c>
      <c r="BF305" s="1397">
        <f ca="1">IF($B305&gt;=$J$5,0,CONTADORES!$BH315)</f>
        <v>0</v>
      </c>
      <c r="BG305" s="1398">
        <f ca="1">IF($B305&gt;=$J$5,0,CONTADORES!$BJ315)</f>
        <v>0</v>
      </c>
      <c r="BH305" s="1398">
        <f ca="1">IF(B305&gt;=$J$5,0,((CONTADORES!BK315-CONTADORES!BK314)/1000))</f>
        <v>0</v>
      </c>
      <c r="BI305" s="1398">
        <f ca="1">IF(B305&gt;=$J$5,0,((CONTADORES!BL315-CONTADORES!BL314)/1000))</f>
        <v>0</v>
      </c>
      <c r="BJ305" s="1398">
        <f ca="1">IF(B305&gt;=$J$5,0,((CONTADORES!BM315-CONTADORES!BM314)/1000))</f>
        <v>0</v>
      </c>
      <c r="BK305" s="1398">
        <f ca="1">IF(B305&gt;=$J$5,0,((CONTADORES!BN315-CONTADORES!BN314)/1000))</f>
        <v>0</v>
      </c>
      <c r="BL305" s="1399">
        <f t="shared" ca="1" si="147"/>
        <v>0</v>
      </c>
      <c r="BM305" s="1399">
        <f t="shared" ca="1" si="148"/>
        <v>0</v>
      </c>
      <c r="BN305" s="1398">
        <f ca="1">IF(B305&gt;=$J$5,0,CONTADORES!$BO315)</f>
        <v>0</v>
      </c>
      <c r="BO305" s="1397">
        <f ca="1">IF(W305&gt;=$J$5,0,CONTADORES!$BP315)</f>
        <v>0</v>
      </c>
      <c r="BP305" s="1397">
        <f ca="1">IF(W305&gt;=$J$5,0,CONTADORES!$BQ315)</f>
        <v>0</v>
      </c>
      <c r="BQ305" s="1397">
        <f ca="1">IF(B305&gt;=$J$5,0,(CONTADORES!AS315-CONTADORES!AS314))</f>
        <v>0</v>
      </c>
      <c r="BR305" s="1397">
        <f ca="1">IF(B305&gt;=$J$5,0,(CONTADORES!AT315-CONTADORES!AT314))</f>
        <v>0</v>
      </c>
      <c r="BS305" s="1398">
        <f ca="1">IF(B305&gt;=$J$5,0,CONTADORES!BR315-CONTADORES!BR314)/1000</f>
        <v>0</v>
      </c>
      <c r="BT305" s="1409">
        <f ca="1">IF(B305&gt;=$J$5,0,CONTADORES!BS315-CONTADORES!BS314)</f>
        <v>0</v>
      </c>
      <c r="BU305" s="1409">
        <f ca="1">IF(B305&gt;=$J$5,0,CONTADORES!BT315-CONTADORES!BT314)</f>
        <v>0</v>
      </c>
      <c r="BV305" s="1409">
        <f ca="1">IF(B305&gt;=$J$5,0,CONTADORES!BU315-CONTADORES!BU314)/1000</f>
        <v>0</v>
      </c>
      <c r="BW305" s="1409">
        <f ca="1">IF(B305&gt;=$J$5,0,CONTADORES!BV315-CONTADORES!BV314)/1000</f>
        <v>0</v>
      </c>
      <c r="BX305" s="1409">
        <f ca="1">IF(B305&gt;=$J$5,0,CONTADORES!BW315-CONTADORES!BW314)</f>
        <v>0</v>
      </c>
      <c r="BY305" s="1409">
        <f ca="1">IF(B305&gt;=$J$5,0,CONTADORES!BX315-CONTADORES!BX314)/1000</f>
        <v>0</v>
      </c>
      <c r="BZ305" s="1409">
        <f ca="1">IF(B305&gt;=$J$5,0,CONTADORES!BY315-CONTADORES!BY314)/1000</f>
        <v>0</v>
      </c>
      <c r="CA305" s="1409">
        <f ca="1">IF(B305&gt;=$J$5,0,CONTADORES!BZ315-CONTADORES!BZ314)</f>
        <v>0</v>
      </c>
      <c r="CB305" s="1409">
        <f ca="1">IF(B305&gt;=$J$5,0,(CONTADORES!CC315-CONTADORES!CC314)+(CONTADORES!CE315-CONTADORES!CE314))/1000</f>
        <v>0</v>
      </c>
      <c r="CC305" s="1409">
        <f ca="1">IF(B305&gt;=$J$5,0,(CONTADORES!CD315-CONTADORES!CD314)+(CONTADORES!CF315-CONTADORES!CF314))/1000</f>
        <v>0</v>
      </c>
      <c r="CD305" s="1409">
        <f ca="1">IF(B305&gt;=$J$5,0,CONTADORES!CA315-CONTADORES!CA314)</f>
        <v>0</v>
      </c>
      <c r="CE305" s="1409">
        <f ca="1">IF(B305&gt;=$J$5,0,CONTADORES!CB315-CONTADORES!CB314)</f>
        <v>0</v>
      </c>
      <c r="CF305" s="1409">
        <f t="shared" ca="1" si="149"/>
        <v>0</v>
      </c>
      <c r="CG305" s="1409">
        <f t="shared" ca="1" si="150"/>
        <v>0</v>
      </c>
      <c r="CH305" s="1409">
        <f t="shared" ca="1" si="151"/>
        <v>0</v>
      </c>
      <c r="CI305" s="1409">
        <f t="shared" ca="1" si="152"/>
        <v>0</v>
      </c>
      <c r="CJ305" s="1409">
        <f t="shared" ca="1" si="153"/>
        <v>0</v>
      </c>
      <c r="CK305" s="1409">
        <f t="shared" ca="1" si="154"/>
        <v>0</v>
      </c>
      <c r="CL305" s="1409">
        <f t="shared" ca="1" si="155"/>
        <v>0</v>
      </c>
      <c r="CM305" s="1409">
        <f t="shared" ca="1" si="156"/>
        <v>0</v>
      </c>
      <c r="CN305" s="1409">
        <f ca="1">IF(B305&gt;=$J$5,0,CONTADORES!CB315-CONTADORES!CB314)</f>
        <v>0</v>
      </c>
      <c r="CO305" s="1409">
        <f t="shared" ca="1" si="157"/>
        <v>0</v>
      </c>
      <c r="CP305" s="1409">
        <f t="shared" ca="1" si="158"/>
        <v>0</v>
      </c>
      <c r="CQ305" s="1409">
        <f t="shared" ca="1" si="159"/>
        <v>0</v>
      </c>
      <c r="CR305" s="1409">
        <f t="shared" ca="1" si="160"/>
        <v>0</v>
      </c>
      <c r="CS305" s="1409">
        <f ca="1">IF($B305&gt;=$J$5,0,CONTADORES!$BI315)</f>
        <v>0</v>
      </c>
      <c r="CT305" s="1334">
        <f>CONTADORES!E315</f>
        <v>0</v>
      </c>
      <c r="CU305" s="1334">
        <f>CONTADORES!CG315</f>
        <v>0</v>
      </c>
    </row>
    <row r="306" spans="2:99">
      <c r="B306" s="1477">
        <v>45222</v>
      </c>
      <c r="C306" s="202">
        <f t="shared" ca="1" si="134"/>
        <v>0</v>
      </c>
      <c r="D306" s="196">
        <f ca="1">'CALCULO DE GAS'!P128</f>
        <v>0</v>
      </c>
      <c r="E306" s="196">
        <f ca="1">IF(B306&gt;=$J$5,0,(CONTADORES!$AD316-CONTADORES!$AD315)-$H306)</f>
        <v>0</v>
      </c>
      <c r="F306" s="198">
        <f t="shared" ca="1" si="163"/>
        <v>0</v>
      </c>
      <c r="G306" s="196">
        <f ca="1">IF(B306&gt;=$J$5,0,CONTADORES!$AF316-CONTADORES!$AF315)</f>
        <v>0</v>
      </c>
      <c r="H306" s="196">
        <f ca="1">IF(G306&gt;0,CONTADORES!$AE316-CONTADORES!$AE315,0)</f>
        <v>0</v>
      </c>
      <c r="I306" s="199">
        <f ca="1">IF(B306&gt;=$J$5,0,CONTADORES!$AB316-CONTADORES!$AB315)</f>
        <v>0</v>
      </c>
      <c r="J306" s="198">
        <f t="shared" ca="1" si="135"/>
        <v>0</v>
      </c>
      <c r="K306" s="196">
        <f ca="1">'CALCULO DE GAS'!Q128</f>
        <v>0</v>
      </c>
      <c r="L306" s="1396">
        <f ca="1">IF(B306&gt;=$J$5,0,(CONTADORES!$Y316-CONTADORES!$Y315)-$O306)</f>
        <v>0</v>
      </c>
      <c r="M306" s="1396">
        <f t="shared" ca="1" si="161"/>
        <v>0</v>
      </c>
      <c r="N306" s="1396">
        <f ca="1">IF(B306&gt;=$J$5,0,CONTADORES!$AA316-CONTADORES!$AA315)</f>
        <v>0</v>
      </c>
      <c r="O306" s="1396">
        <f ca="1">IF(N306&gt;0,CONTADORES!$Z316-CONTADORES!$Z315,0)</f>
        <v>0</v>
      </c>
      <c r="P306" s="202">
        <f ca="1">IF(B306&gt;=$J$5,0,CONTADORES!$W316-CONTADORES!$W315)</f>
        <v>0</v>
      </c>
      <c r="Q306" s="202">
        <f ca="1">IF(B306&gt;=$J$5,0,CONTADORES!$B316-CONTADORES!$B315)</f>
        <v>0</v>
      </c>
      <c r="R306" s="196">
        <f t="shared" ca="1" si="136"/>
        <v>0</v>
      </c>
      <c r="S306" s="11">
        <f ca="1">IF(B306&gt;=$J$5,0,CONTADORES!$D316-CONTADORES!$D315)</f>
        <v>0</v>
      </c>
      <c r="T306" s="198">
        <f ca="1">IF(B306&gt;=$J$5,0,CONTADORES!$BB316-CONTADORES!$BB315)</f>
        <v>0</v>
      </c>
      <c r="U306" s="196">
        <f t="shared" ca="1" si="162"/>
        <v>0</v>
      </c>
      <c r="V306" s="199">
        <f ca="1">IF(B306&gt;=$J$5,0,CONTADORES!$BD316-CONTADORES!$BD315)</f>
        <v>0</v>
      </c>
      <c r="W306" s="1397">
        <f t="shared" ca="1" si="137"/>
        <v>0</v>
      </c>
      <c r="X306" s="1397">
        <f t="shared" ca="1" si="138"/>
        <v>0</v>
      </c>
      <c r="Y306" s="1398">
        <f t="shared" ca="1" si="139"/>
        <v>0</v>
      </c>
      <c r="Z306" s="1398">
        <f t="shared" ca="1" si="140"/>
        <v>0</v>
      </c>
      <c r="AA306" s="1398">
        <f t="shared" ca="1" si="141"/>
        <v>0</v>
      </c>
      <c r="AB306" s="1398">
        <f t="shared" ca="1" si="142"/>
        <v>0</v>
      </c>
      <c r="AC306" s="1397">
        <f t="shared" ca="1" si="143"/>
        <v>0</v>
      </c>
      <c r="AD306" s="1397">
        <f ca="1">IF(B306&gt;=$J$5,0,CONTADORES!H316-CONTADORES!H315)</f>
        <v>0</v>
      </c>
      <c r="AE306" s="1397">
        <f ca="1">IF(B306&gt;=$J$5,0,CONTADORES!J316-CONTADORES!J315)</f>
        <v>0</v>
      </c>
      <c r="AF306" s="1397">
        <f ca="1">IF(B306&gt;=$J$5,0,CONTADORES!AU316-CONTADORES!AU315)</f>
        <v>0</v>
      </c>
      <c r="AG306" s="1397">
        <f ca="1">IF(B306&gt;=$J$5,0,CONTADORES!AW316-CONTADORES!AW315)</f>
        <v>0</v>
      </c>
      <c r="AH306" s="1409">
        <f ca="1">IF(B306&gt;=$J$5,0,(CONTADORES!AM316-CONTADORES!AM315)+(CONTADORES!M316-CONTADORES!M315))</f>
        <v>0</v>
      </c>
      <c r="AI306" s="1409">
        <f ca="1">IF(B306&gt;=$J$5,0,(CONTADORES!AK316-CONTADORES!AK315)+(CONTADORES!O316-CONTADORES!O315))</f>
        <v>0</v>
      </c>
      <c r="AJ306" s="1409">
        <f ca="1">IF(B306&gt;=$J$5,0,(CONTADORES!AI316-CONTADORES!AI315))</f>
        <v>0</v>
      </c>
      <c r="AK306" s="1409">
        <f ca="1">IF(B306&gt;=$J$5,0,(CONTADORES!Q316-CONTADORES!Q315))</f>
        <v>0</v>
      </c>
      <c r="AL306" s="1461">
        <f t="shared" ca="1" si="144"/>
        <v>0</v>
      </c>
      <c r="AM306" s="1409">
        <f ca="1">IF(B306&gt;=$J$5,0,(((CONTADORES!F316-CONTADORES!F315)+(CONTADORES!AQ316-CONTADORES!AQ315))))-BS306-AF306-AN306-BV306-BY306-CD306-CB306+T306</f>
        <v>0</v>
      </c>
      <c r="AN306" s="1397">
        <f ca="1">IF(B306&gt;=$J$5,0,(CONTADORES!AX316-CONTADORES!AX315)+(CONTADORES!AZ316-CONTADORES!AZ315)+(CONTADORES!BE316-CONTADORES!BE315))-CB306</f>
        <v>0</v>
      </c>
      <c r="AO306" s="1437">
        <f ca="1">IF(B306&gt;=$J$5,0,(CONTADORES!AC316-CONTADORES!AC315))</f>
        <v>0</v>
      </c>
      <c r="AP306" s="1437">
        <f ca="1">IF(B306&gt;=$J$5,0,(CONTADORES!X316-CONTADORES!X315))</f>
        <v>0</v>
      </c>
      <c r="AQ306" s="1437">
        <f ca="1">IF(B306&gt;=$J$5,0,(CONTADORES!C316-CONTADORES!C315))</f>
        <v>0</v>
      </c>
      <c r="AR306" s="1437">
        <f ca="1">IF(B306&gt;=$J$5,0,(CONTADORES!BC316-CONTADORES!BC315))</f>
        <v>0</v>
      </c>
      <c r="AS306" s="1397">
        <f ca="1">IF(B306&gt;=$J$5,0,CONTADORES!S316-CONTADORES!S315)</f>
        <v>0</v>
      </c>
      <c r="AT306" s="1397">
        <f ca="1">IF(B306&gt;=$J$5,0,(CONTADORES!U316-CONTADORES!U315)+(CONTADORES!AG316-CONTADORES!AG315))</f>
        <v>0</v>
      </c>
      <c r="AU306" s="1433">
        <f ca="1">IF(B306&gt;=$J$5,0,(CONTADORES!I316-CONTADORES!I315))</f>
        <v>0</v>
      </c>
      <c r="AV306" s="1437">
        <f ca="1">IF(B306&gt;=$J$5,0,(CONTADORES!AV316-CONTADORES!AV315))</f>
        <v>0</v>
      </c>
      <c r="AW306" s="1437">
        <f ca="1">IF(B306&gt;=$J$5,0,(CONTADORES!N316-CONTADORES!N315)+(CONTADORES!AN316-CONTADORES!AN315))</f>
        <v>0</v>
      </c>
      <c r="AX306" s="1437">
        <f ca="1">IF(B306&gt;=$J$5,0,(CONTADORES!P316-CONTADORES!P315)+(CONTADORES!AL316-CONTADORES!AL315))</f>
        <v>0</v>
      </c>
      <c r="AY306" s="1437">
        <f ca="1">IF(B306&gt;=$J$5,0,(CONTADORES!AJ316-CONTADORES!AJ315))</f>
        <v>0</v>
      </c>
      <c r="AZ306" s="1437">
        <f ca="1">IF(B306&gt;=$J$5,0,(CONTADORES!R316-CONTADORES!R315))</f>
        <v>0</v>
      </c>
      <c r="BA306" s="1409">
        <f t="shared" ca="1" si="145"/>
        <v>0</v>
      </c>
      <c r="BB306" s="1437">
        <f ca="1">IF(B306&gt;=$J$5,0,(((CONTADORES!G316-CONTADORES!G315)+(CONTADORES!AR316-CONTADORES!AR315))))-AV306-BC306-BT306-BW306-BZ306-CE306</f>
        <v>0</v>
      </c>
      <c r="BC306" s="1398">
        <f ca="1">IF(B306&gt;=$J$5,0,(CONTADORES!AY316-CONTADORES!AY315)+(CONTADORES!BA316-CONTADORES!BA315)+(CONTADORES!BF316-CONTADORES!BF315))</f>
        <v>0</v>
      </c>
      <c r="BD306" s="1397">
        <f t="shared" ca="1" si="146"/>
        <v>0</v>
      </c>
      <c r="BE306" s="1398">
        <f ca="1">IF($B306&gt;=$J$5,0,CONTADORES!$BG316)</f>
        <v>0</v>
      </c>
      <c r="BF306" s="1397">
        <f ca="1">IF($B306&gt;=$J$5,0,CONTADORES!$BH316)</f>
        <v>0</v>
      </c>
      <c r="BG306" s="1398">
        <f ca="1">IF($B306&gt;=$J$5,0,CONTADORES!$BJ316)</f>
        <v>0</v>
      </c>
      <c r="BH306" s="1398">
        <f ca="1">IF(B306&gt;=$J$5,0,((CONTADORES!BK316-CONTADORES!BK315)/1000))</f>
        <v>0</v>
      </c>
      <c r="BI306" s="1398">
        <f ca="1">IF(B306&gt;=$J$5,0,((CONTADORES!BL316-CONTADORES!BL315)/1000))</f>
        <v>0</v>
      </c>
      <c r="BJ306" s="1398">
        <f ca="1">IF(B306&gt;=$J$5,0,((CONTADORES!BM316-CONTADORES!BM315)/1000))</f>
        <v>0</v>
      </c>
      <c r="BK306" s="1398">
        <f ca="1">IF(B306&gt;=$J$5,0,((CONTADORES!BN316-CONTADORES!BN315)/1000))</f>
        <v>0</v>
      </c>
      <c r="BL306" s="1399">
        <f t="shared" ca="1" si="147"/>
        <v>0</v>
      </c>
      <c r="BM306" s="1399">
        <f t="shared" ca="1" si="148"/>
        <v>0</v>
      </c>
      <c r="BN306" s="1398">
        <f ca="1">IF(B306&gt;=$J$5,0,CONTADORES!$BO316)</f>
        <v>0</v>
      </c>
      <c r="BO306" s="1397">
        <f ca="1">IF(W306&gt;=$J$5,0,CONTADORES!$BP316)</f>
        <v>0</v>
      </c>
      <c r="BP306" s="1397">
        <f ca="1">IF(W306&gt;=$J$5,0,CONTADORES!$BQ316)</f>
        <v>0</v>
      </c>
      <c r="BQ306" s="1397">
        <f ca="1">IF(B306&gt;=$J$5,0,(CONTADORES!AS316-CONTADORES!AS315))</f>
        <v>0</v>
      </c>
      <c r="BR306" s="1397">
        <f ca="1">IF(B306&gt;=$J$5,0,(CONTADORES!AT316-CONTADORES!AT315))</f>
        <v>0</v>
      </c>
      <c r="BS306" s="1398">
        <f ca="1">IF(B306&gt;=$J$5,0,CONTADORES!BR316-CONTADORES!BR315)/1000</f>
        <v>0</v>
      </c>
      <c r="BT306" s="1409">
        <f ca="1">IF(B306&gt;=$J$5,0,CONTADORES!BS316-CONTADORES!BS315)</f>
        <v>0</v>
      </c>
      <c r="BU306" s="1409">
        <f ca="1">IF(B306&gt;=$J$5,0,CONTADORES!BT316-CONTADORES!BT315)</f>
        <v>0</v>
      </c>
      <c r="BV306" s="1409">
        <f ca="1">IF(B306&gt;=$J$5,0,CONTADORES!BU316-CONTADORES!BU315)/1000</f>
        <v>0</v>
      </c>
      <c r="BW306" s="1409">
        <f ca="1">IF(B306&gt;=$J$5,0,CONTADORES!BV316-CONTADORES!BV315)/1000</f>
        <v>0</v>
      </c>
      <c r="BX306" s="1409">
        <f ca="1">IF(B306&gt;=$J$5,0,CONTADORES!BW316-CONTADORES!BW315)</f>
        <v>0</v>
      </c>
      <c r="BY306" s="1409">
        <f ca="1">IF(B306&gt;=$J$5,0,CONTADORES!BX316-CONTADORES!BX315)/1000</f>
        <v>0</v>
      </c>
      <c r="BZ306" s="1409">
        <f ca="1">IF(B306&gt;=$J$5,0,CONTADORES!BY316-CONTADORES!BY315)/1000</f>
        <v>0</v>
      </c>
      <c r="CA306" s="1409">
        <f ca="1">IF(B306&gt;=$J$5,0,CONTADORES!BZ316-CONTADORES!BZ315)</f>
        <v>0</v>
      </c>
      <c r="CB306" s="1409">
        <f ca="1">IF(B306&gt;=$J$5,0,(CONTADORES!CC316-CONTADORES!CC315)+(CONTADORES!CE316-CONTADORES!CE315))/1000</f>
        <v>0</v>
      </c>
      <c r="CC306" s="1409">
        <f ca="1">IF(B306&gt;=$J$5,0,(CONTADORES!CD316-CONTADORES!CD315)+(CONTADORES!CF316-CONTADORES!CF315))/1000</f>
        <v>0</v>
      </c>
      <c r="CD306" s="1409">
        <f ca="1">IF(B306&gt;=$J$5,0,CONTADORES!CA316-CONTADORES!CA315)</f>
        <v>0</v>
      </c>
      <c r="CE306" s="1409">
        <f ca="1">IF(B306&gt;=$J$5,0,CONTADORES!CB316-CONTADORES!CB315)</f>
        <v>0</v>
      </c>
      <c r="CF306" s="1409">
        <f t="shared" ca="1" si="149"/>
        <v>0</v>
      </c>
      <c r="CG306" s="1409">
        <f t="shared" ca="1" si="150"/>
        <v>0</v>
      </c>
      <c r="CH306" s="1409">
        <f t="shared" ca="1" si="151"/>
        <v>0</v>
      </c>
      <c r="CI306" s="1409">
        <f t="shared" ca="1" si="152"/>
        <v>0</v>
      </c>
      <c r="CJ306" s="1409">
        <f t="shared" ca="1" si="153"/>
        <v>0</v>
      </c>
      <c r="CK306" s="1409">
        <f t="shared" ca="1" si="154"/>
        <v>0</v>
      </c>
      <c r="CL306" s="1409">
        <f t="shared" ca="1" si="155"/>
        <v>0</v>
      </c>
      <c r="CM306" s="1409">
        <f t="shared" ca="1" si="156"/>
        <v>0</v>
      </c>
      <c r="CN306" s="1409">
        <f ca="1">IF(B306&gt;=$J$5,0,CONTADORES!CB316-CONTADORES!CB315)</f>
        <v>0</v>
      </c>
      <c r="CO306" s="1409">
        <f t="shared" ca="1" si="157"/>
        <v>0</v>
      </c>
      <c r="CP306" s="1409">
        <f t="shared" ca="1" si="158"/>
        <v>0</v>
      </c>
      <c r="CQ306" s="1409">
        <f t="shared" ca="1" si="159"/>
        <v>0</v>
      </c>
      <c r="CR306" s="1409">
        <f t="shared" ca="1" si="160"/>
        <v>0</v>
      </c>
      <c r="CS306" s="1409">
        <f ca="1">IF($B306&gt;=$J$5,0,CONTADORES!$BI316)</f>
        <v>0</v>
      </c>
      <c r="CT306" s="1334">
        <f>CONTADORES!E316</f>
        <v>0</v>
      </c>
      <c r="CU306" s="1334">
        <f>CONTADORES!CG316</f>
        <v>0</v>
      </c>
    </row>
    <row r="307" spans="2:99">
      <c r="B307" s="1477">
        <v>45223</v>
      </c>
      <c r="C307" s="202">
        <f t="shared" ca="1" si="134"/>
        <v>0</v>
      </c>
      <c r="D307" s="196">
        <f ca="1">'CALCULO DE GAS'!P129</f>
        <v>0</v>
      </c>
      <c r="E307" s="196">
        <f ca="1">IF(B307&gt;=$J$5,0,(CONTADORES!$AD317-CONTADORES!$AD316)-$H307)</f>
        <v>0</v>
      </c>
      <c r="F307" s="198">
        <f t="shared" ca="1" si="163"/>
        <v>0</v>
      </c>
      <c r="G307" s="196">
        <f ca="1">IF(B307&gt;=$J$5,0,CONTADORES!$AF317-CONTADORES!$AF316)</f>
        <v>0</v>
      </c>
      <c r="H307" s="196">
        <f ca="1">IF(G307&gt;0,CONTADORES!$AE317-CONTADORES!$AE316,0)</f>
        <v>0</v>
      </c>
      <c r="I307" s="199">
        <f ca="1">IF(B307&gt;=$J$5,0,CONTADORES!$AB317-CONTADORES!$AB316)</f>
        <v>0</v>
      </c>
      <c r="J307" s="198">
        <f t="shared" ca="1" si="135"/>
        <v>0</v>
      </c>
      <c r="K307" s="196">
        <f ca="1">'CALCULO DE GAS'!Q129</f>
        <v>0</v>
      </c>
      <c r="L307" s="1396">
        <f ca="1">IF(B307&gt;=$J$5,0,(CONTADORES!$Y317-CONTADORES!$Y316)-$O307)</f>
        <v>0</v>
      </c>
      <c r="M307" s="1396">
        <f t="shared" ca="1" si="161"/>
        <v>0</v>
      </c>
      <c r="N307" s="1396">
        <f ca="1">IF(B307&gt;=$J$5,0,CONTADORES!$AA317-CONTADORES!$AA316)</f>
        <v>0</v>
      </c>
      <c r="O307" s="1396">
        <f ca="1">IF(N307&gt;0,CONTADORES!$Z317-CONTADORES!$Z316,0)</f>
        <v>0</v>
      </c>
      <c r="P307" s="202">
        <f ca="1">IF(B307&gt;=$J$5,0,CONTADORES!$W317-CONTADORES!$W316)</f>
        <v>0</v>
      </c>
      <c r="Q307" s="202">
        <f ca="1">IF(B307&gt;=$J$5,0,CONTADORES!$B317-CONTADORES!$B316)</f>
        <v>0</v>
      </c>
      <c r="R307" s="196">
        <f t="shared" ca="1" si="136"/>
        <v>0</v>
      </c>
      <c r="S307" s="11">
        <f ca="1">IF(B307&gt;=$J$5,0,CONTADORES!$D317-CONTADORES!$D316)</f>
        <v>0</v>
      </c>
      <c r="T307" s="198">
        <f ca="1">IF(B307&gt;=$J$5,0,CONTADORES!$BB317-CONTADORES!$BB316)</f>
        <v>0</v>
      </c>
      <c r="U307" s="196">
        <f t="shared" ca="1" si="162"/>
        <v>0</v>
      </c>
      <c r="V307" s="199">
        <f ca="1">IF(B307&gt;=$J$5,0,CONTADORES!$BD317-CONTADORES!$BD316)</f>
        <v>0</v>
      </c>
      <c r="W307" s="1397">
        <f t="shared" ca="1" si="137"/>
        <v>0</v>
      </c>
      <c r="X307" s="1397">
        <f t="shared" ca="1" si="138"/>
        <v>0</v>
      </c>
      <c r="Y307" s="1398">
        <f t="shared" ca="1" si="139"/>
        <v>0</v>
      </c>
      <c r="Z307" s="1398">
        <f t="shared" ca="1" si="140"/>
        <v>0</v>
      </c>
      <c r="AA307" s="1398">
        <f t="shared" ca="1" si="141"/>
        <v>0</v>
      </c>
      <c r="AB307" s="1398">
        <f t="shared" ca="1" si="142"/>
        <v>0</v>
      </c>
      <c r="AC307" s="1397">
        <f t="shared" ca="1" si="143"/>
        <v>0</v>
      </c>
      <c r="AD307" s="1397">
        <f ca="1">IF(B307&gt;=$J$5,0,CONTADORES!H317-CONTADORES!H316)</f>
        <v>0</v>
      </c>
      <c r="AE307" s="1397">
        <f ca="1">IF(B307&gt;=$J$5,0,CONTADORES!J317-CONTADORES!J316)</f>
        <v>0</v>
      </c>
      <c r="AF307" s="1397">
        <f ca="1">IF(B307&gt;=$J$5,0,CONTADORES!AU317-CONTADORES!AU316)</f>
        <v>0</v>
      </c>
      <c r="AG307" s="1397">
        <f ca="1">IF(B307&gt;=$J$5,0,CONTADORES!AW317-CONTADORES!AW316)</f>
        <v>0</v>
      </c>
      <c r="AH307" s="1409">
        <f ca="1">IF(B307&gt;=$J$5,0,(CONTADORES!AM317-CONTADORES!AM316)+(CONTADORES!M317-CONTADORES!M316))</f>
        <v>0</v>
      </c>
      <c r="AI307" s="1409">
        <f ca="1">IF(B307&gt;=$J$5,0,(CONTADORES!AK317-CONTADORES!AK316)+(CONTADORES!O317-CONTADORES!O316))</f>
        <v>0</v>
      </c>
      <c r="AJ307" s="1409">
        <f ca="1">IF(B307&gt;=$J$5,0,(CONTADORES!AI317-CONTADORES!AI316))</f>
        <v>0</v>
      </c>
      <c r="AK307" s="1409">
        <f ca="1">IF(B307&gt;=$J$5,0,(CONTADORES!Q317-CONTADORES!Q316))</f>
        <v>0</v>
      </c>
      <c r="AL307" s="1461">
        <f t="shared" ca="1" si="144"/>
        <v>0</v>
      </c>
      <c r="AM307" s="1409">
        <f ca="1">IF(B307&gt;=$J$5,0,(((CONTADORES!F317-CONTADORES!F316)+(CONTADORES!AQ317-CONTADORES!AQ316))))-BS307-AF307-AN307-BV307-BY307-CD307-CB307+T307</f>
        <v>0</v>
      </c>
      <c r="AN307" s="1397">
        <f ca="1">IF(B307&gt;=$J$5,0,(CONTADORES!AX317-CONTADORES!AX316)+(CONTADORES!AZ317-CONTADORES!AZ316)+(CONTADORES!BE317-CONTADORES!BE316))-CB307</f>
        <v>0</v>
      </c>
      <c r="AO307" s="1437">
        <f ca="1">IF(B307&gt;=$J$5,0,(CONTADORES!AC317-CONTADORES!AC316))</f>
        <v>0</v>
      </c>
      <c r="AP307" s="1437">
        <f ca="1">IF(B307&gt;=$J$5,0,(CONTADORES!X317-CONTADORES!X316))</f>
        <v>0</v>
      </c>
      <c r="AQ307" s="1437">
        <f ca="1">IF(B307&gt;=$J$5,0,(CONTADORES!C317-CONTADORES!C316))</f>
        <v>0</v>
      </c>
      <c r="AR307" s="1437">
        <f ca="1">IF(B307&gt;=$J$5,0,(CONTADORES!BC317-CONTADORES!BC316))</f>
        <v>0</v>
      </c>
      <c r="AS307" s="1397">
        <f ca="1">IF(B307&gt;=$J$5,0,CONTADORES!S317-CONTADORES!S316)</f>
        <v>0</v>
      </c>
      <c r="AT307" s="1397">
        <f ca="1">IF(B307&gt;=$J$5,0,(CONTADORES!U317-CONTADORES!U316)+(CONTADORES!AG317-CONTADORES!AG316))</f>
        <v>0</v>
      </c>
      <c r="AU307" s="1433">
        <f ca="1">IF(B307&gt;=$J$5,0,(CONTADORES!I317-CONTADORES!I316))</f>
        <v>0</v>
      </c>
      <c r="AV307" s="1437">
        <f ca="1">IF(B307&gt;=$J$5,0,(CONTADORES!AV317-CONTADORES!AV316))</f>
        <v>0</v>
      </c>
      <c r="AW307" s="1437">
        <f ca="1">IF(B307&gt;=$J$5,0,(CONTADORES!N317-CONTADORES!N316)+(CONTADORES!AN317-CONTADORES!AN316))</f>
        <v>0</v>
      </c>
      <c r="AX307" s="1437">
        <f ca="1">IF(B307&gt;=$J$5,0,(CONTADORES!P317-CONTADORES!P316)+(CONTADORES!AL317-CONTADORES!AL316))</f>
        <v>0</v>
      </c>
      <c r="AY307" s="1437">
        <f ca="1">IF(B307&gt;=$J$5,0,(CONTADORES!AJ317-CONTADORES!AJ316))</f>
        <v>0</v>
      </c>
      <c r="AZ307" s="1437">
        <f ca="1">IF(B307&gt;=$J$5,0,(CONTADORES!R317-CONTADORES!R316))</f>
        <v>0</v>
      </c>
      <c r="BA307" s="1409">
        <f t="shared" ca="1" si="145"/>
        <v>0</v>
      </c>
      <c r="BB307" s="1437">
        <f ca="1">IF(B307&gt;=$J$5,0,(((CONTADORES!G317-CONTADORES!G316)+(CONTADORES!AR317-CONTADORES!AR316))))-AV307-BC307-BT307-BW307-BZ307-CE307</f>
        <v>0</v>
      </c>
      <c r="BC307" s="1398">
        <f ca="1">IF(B307&gt;=$J$5,0,(CONTADORES!AY317-CONTADORES!AY316)+(CONTADORES!BA317-CONTADORES!BA316)+(CONTADORES!BF317-CONTADORES!BF316))</f>
        <v>0</v>
      </c>
      <c r="BD307" s="1397">
        <f t="shared" ca="1" si="146"/>
        <v>0</v>
      </c>
      <c r="BE307" s="1398">
        <f ca="1">IF($B307&gt;=$J$5,0,CONTADORES!$BG317)</f>
        <v>0</v>
      </c>
      <c r="BF307" s="1397">
        <f ca="1">IF($B307&gt;=$J$5,0,CONTADORES!$BH317)</f>
        <v>0</v>
      </c>
      <c r="BG307" s="1398">
        <f ca="1">IF($B307&gt;=$J$5,0,CONTADORES!$BJ317)</f>
        <v>0</v>
      </c>
      <c r="BH307" s="1398">
        <f ca="1">IF(B307&gt;=$J$5,0,((CONTADORES!BK317-CONTADORES!BK316)/1000))</f>
        <v>0</v>
      </c>
      <c r="BI307" s="1398">
        <f ca="1">IF(B307&gt;=$J$5,0,((CONTADORES!BL317-CONTADORES!BL316)/1000))</f>
        <v>0</v>
      </c>
      <c r="BJ307" s="1398">
        <f ca="1">IF(B307&gt;=$J$5,0,((CONTADORES!BM317-CONTADORES!BM316)/1000))</f>
        <v>0</v>
      </c>
      <c r="BK307" s="1398">
        <f ca="1">IF(B307&gt;=$J$5,0,((CONTADORES!BN317-CONTADORES!BN316)/1000))</f>
        <v>0</v>
      </c>
      <c r="BL307" s="1399">
        <f t="shared" ca="1" si="147"/>
        <v>0</v>
      </c>
      <c r="BM307" s="1399">
        <f t="shared" ca="1" si="148"/>
        <v>0</v>
      </c>
      <c r="BN307" s="1398">
        <f ca="1">IF(B307&gt;=$J$5,0,CONTADORES!$BO317)</f>
        <v>0</v>
      </c>
      <c r="BO307" s="1397">
        <f ca="1">IF(W307&gt;=$J$5,0,CONTADORES!$BP317)</f>
        <v>0</v>
      </c>
      <c r="BP307" s="1397">
        <f ca="1">IF(W307&gt;=$J$5,0,CONTADORES!$BQ317)</f>
        <v>0</v>
      </c>
      <c r="BQ307" s="1397">
        <f ca="1">IF(B307&gt;=$J$5,0,(CONTADORES!AS317-CONTADORES!AS316))</f>
        <v>0</v>
      </c>
      <c r="BR307" s="1397">
        <f ca="1">IF(B307&gt;=$J$5,0,(CONTADORES!AT317-CONTADORES!AT316))</f>
        <v>0</v>
      </c>
      <c r="BS307" s="1398">
        <f ca="1">IF(B307&gt;=$J$5,0,CONTADORES!BR317-CONTADORES!BR316)/1000</f>
        <v>0</v>
      </c>
      <c r="BT307" s="1409">
        <f ca="1">IF(B307&gt;=$J$5,0,CONTADORES!BS317-CONTADORES!BS316)</f>
        <v>0</v>
      </c>
      <c r="BU307" s="1409">
        <f ca="1">IF(B307&gt;=$J$5,0,CONTADORES!BT317-CONTADORES!BT316)</f>
        <v>0</v>
      </c>
      <c r="BV307" s="1409">
        <f ca="1">IF(B307&gt;=$J$5,0,CONTADORES!BU317-CONTADORES!BU316)/1000</f>
        <v>0</v>
      </c>
      <c r="BW307" s="1409">
        <f ca="1">IF(B307&gt;=$J$5,0,CONTADORES!BV317-CONTADORES!BV316)/1000</f>
        <v>0</v>
      </c>
      <c r="BX307" s="1409">
        <f ca="1">IF(B307&gt;=$J$5,0,CONTADORES!BW317-CONTADORES!BW316)</f>
        <v>0</v>
      </c>
      <c r="BY307" s="1409">
        <f ca="1">IF(B307&gt;=$J$5,0,CONTADORES!BX317-CONTADORES!BX316)/1000</f>
        <v>0</v>
      </c>
      <c r="BZ307" s="1409">
        <f ca="1">IF(B307&gt;=$J$5,0,CONTADORES!BY317-CONTADORES!BY316)/1000</f>
        <v>0</v>
      </c>
      <c r="CA307" s="1409">
        <f ca="1">IF(B307&gt;=$J$5,0,CONTADORES!BZ317-CONTADORES!BZ316)</f>
        <v>0</v>
      </c>
      <c r="CB307" s="1409">
        <f ca="1">IF(B307&gt;=$J$5,0,(CONTADORES!CC317-CONTADORES!CC316)+(CONTADORES!CE317-CONTADORES!CE316))/1000</f>
        <v>0</v>
      </c>
      <c r="CC307" s="1409">
        <f ca="1">IF(B307&gt;=$J$5,0,(CONTADORES!CD317-CONTADORES!CD316)+(CONTADORES!CF317-CONTADORES!CF316))/1000</f>
        <v>0</v>
      </c>
      <c r="CD307" s="1409">
        <f ca="1">IF(B307&gt;=$J$5,0,CONTADORES!CA317-CONTADORES!CA316)</f>
        <v>0</v>
      </c>
      <c r="CE307" s="1409">
        <f ca="1">IF(B307&gt;=$J$5,0,CONTADORES!CB317-CONTADORES!CB316)</f>
        <v>0</v>
      </c>
      <c r="CF307" s="1409">
        <f t="shared" ca="1" si="149"/>
        <v>0</v>
      </c>
      <c r="CG307" s="1409">
        <f t="shared" ca="1" si="150"/>
        <v>0</v>
      </c>
      <c r="CH307" s="1409">
        <f t="shared" ca="1" si="151"/>
        <v>0</v>
      </c>
      <c r="CI307" s="1409">
        <f t="shared" ca="1" si="152"/>
        <v>0</v>
      </c>
      <c r="CJ307" s="1409">
        <f t="shared" ca="1" si="153"/>
        <v>0</v>
      </c>
      <c r="CK307" s="1409">
        <f t="shared" ca="1" si="154"/>
        <v>0</v>
      </c>
      <c r="CL307" s="1409">
        <f t="shared" ca="1" si="155"/>
        <v>0</v>
      </c>
      <c r="CM307" s="1409">
        <f t="shared" ca="1" si="156"/>
        <v>0</v>
      </c>
      <c r="CN307" s="1409">
        <f ca="1">IF(B307&gt;=$J$5,0,CONTADORES!CB317-CONTADORES!CB316)</f>
        <v>0</v>
      </c>
      <c r="CO307" s="1409">
        <f t="shared" ca="1" si="157"/>
        <v>0</v>
      </c>
      <c r="CP307" s="1409">
        <f t="shared" ca="1" si="158"/>
        <v>0</v>
      </c>
      <c r="CQ307" s="1409">
        <f t="shared" ca="1" si="159"/>
        <v>0</v>
      </c>
      <c r="CR307" s="1409">
        <f t="shared" ca="1" si="160"/>
        <v>0</v>
      </c>
      <c r="CS307" s="1409">
        <f ca="1">IF($B307&gt;=$J$5,0,CONTADORES!$BI317)</f>
        <v>0</v>
      </c>
      <c r="CT307" s="1334">
        <f>CONTADORES!E317</f>
        <v>0</v>
      </c>
      <c r="CU307" s="1334">
        <f>CONTADORES!CG317</f>
        <v>0</v>
      </c>
    </row>
    <row r="308" spans="2:99">
      <c r="B308" s="1477">
        <v>45224</v>
      </c>
      <c r="C308" s="202">
        <f t="shared" ca="1" si="134"/>
        <v>0</v>
      </c>
      <c r="D308" s="196">
        <f ca="1">'CALCULO DE GAS'!P130</f>
        <v>0</v>
      </c>
      <c r="E308" s="196">
        <f ca="1">IF(B308&gt;=$J$5,0,(CONTADORES!$AD318-CONTADORES!$AD317)-$H308)</f>
        <v>0</v>
      </c>
      <c r="F308" s="198">
        <f t="shared" ca="1" si="163"/>
        <v>0</v>
      </c>
      <c r="G308" s="196">
        <f ca="1">IF(B308&gt;=$J$5,0,CONTADORES!$AF318-CONTADORES!$AF317)</f>
        <v>0</v>
      </c>
      <c r="H308" s="196">
        <f ca="1">IF(G308&gt;0,CONTADORES!$AE318-CONTADORES!$AE317,0)</f>
        <v>0</v>
      </c>
      <c r="I308" s="199">
        <f ca="1">IF(B308&gt;=$J$5,0,CONTADORES!$AB318-CONTADORES!$AB317)</f>
        <v>0</v>
      </c>
      <c r="J308" s="198">
        <f t="shared" ca="1" si="135"/>
        <v>0</v>
      </c>
      <c r="K308" s="196">
        <f ca="1">'CALCULO DE GAS'!Q130</f>
        <v>0</v>
      </c>
      <c r="L308" s="1396">
        <f ca="1">IF(B308&gt;=$J$5,0,(CONTADORES!$Y318-CONTADORES!$Y317)-$O308)</f>
        <v>0</v>
      </c>
      <c r="M308" s="1396">
        <f t="shared" ca="1" si="161"/>
        <v>0</v>
      </c>
      <c r="N308" s="1396">
        <f ca="1">IF(B308&gt;=$J$5,0,CONTADORES!$AA318-CONTADORES!$AA317)</f>
        <v>0</v>
      </c>
      <c r="O308" s="1396">
        <f ca="1">IF(N308&gt;0,CONTADORES!$Z318-CONTADORES!$Z317,0)</f>
        <v>0</v>
      </c>
      <c r="P308" s="202">
        <f ca="1">IF(B308&gt;=$J$5,0,CONTADORES!$W318-CONTADORES!$W317)</f>
        <v>0</v>
      </c>
      <c r="Q308" s="202">
        <f ca="1">IF(B308&gt;=$J$5,0,CONTADORES!$B318-CONTADORES!$B317)</f>
        <v>0</v>
      </c>
      <c r="R308" s="196">
        <f t="shared" ca="1" si="136"/>
        <v>0</v>
      </c>
      <c r="S308" s="11">
        <f ca="1">IF(B308&gt;=$J$5,0,CONTADORES!$D318-CONTADORES!$D317)</f>
        <v>0</v>
      </c>
      <c r="T308" s="198">
        <f ca="1">IF(B308&gt;=$J$5,0,CONTADORES!$BB318-CONTADORES!$BB317)</f>
        <v>0</v>
      </c>
      <c r="U308" s="196">
        <f t="shared" ca="1" si="162"/>
        <v>0</v>
      </c>
      <c r="V308" s="199">
        <f ca="1">IF(B308&gt;=$J$5,0,CONTADORES!$BD318-CONTADORES!$BD317)</f>
        <v>0</v>
      </c>
      <c r="W308" s="1397">
        <f t="shared" ca="1" si="137"/>
        <v>0</v>
      </c>
      <c r="X308" s="1397">
        <f t="shared" ca="1" si="138"/>
        <v>0</v>
      </c>
      <c r="Y308" s="1398">
        <f t="shared" ca="1" si="139"/>
        <v>0</v>
      </c>
      <c r="Z308" s="1398">
        <f t="shared" ca="1" si="140"/>
        <v>0</v>
      </c>
      <c r="AA308" s="1398">
        <f t="shared" ca="1" si="141"/>
        <v>0</v>
      </c>
      <c r="AB308" s="1398">
        <f t="shared" ca="1" si="142"/>
        <v>0</v>
      </c>
      <c r="AC308" s="1397">
        <f t="shared" ca="1" si="143"/>
        <v>0</v>
      </c>
      <c r="AD308" s="1397">
        <f ca="1">IF(B308&gt;=$J$5,0,CONTADORES!H318-CONTADORES!H317)</f>
        <v>0</v>
      </c>
      <c r="AE308" s="1397">
        <f ca="1">IF(B308&gt;=$J$5,0,CONTADORES!J318-CONTADORES!J317)</f>
        <v>0</v>
      </c>
      <c r="AF308" s="1397">
        <f ca="1">IF(B308&gt;=$J$5,0,CONTADORES!AU318-CONTADORES!AU317)</f>
        <v>0</v>
      </c>
      <c r="AG308" s="1397">
        <f ca="1">IF(B308&gt;=$J$5,0,CONTADORES!AW318-CONTADORES!AW317)</f>
        <v>0</v>
      </c>
      <c r="AH308" s="1409">
        <f ca="1">IF(B308&gt;=$J$5,0,(CONTADORES!AM318-CONTADORES!AM317)+(CONTADORES!M318-CONTADORES!M317))</f>
        <v>0</v>
      </c>
      <c r="AI308" s="1409">
        <f ca="1">IF(B308&gt;=$J$5,0,(CONTADORES!AK318-CONTADORES!AK317)+(CONTADORES!O318-CONTADORES!O317))</f>
        <v>0</v>
      </c>
      <c r="AJ308" s="1409">
        <f ca="1">IF(B308&gt;=$J$5,0,(CONTADORES!AI318-CONTADORES!AI317))</f>
        <v>0</v>
      </c>
      <c r="AK308" s="1409">
        <f ca="1">IF(B308&gt;=$J$5,0,(CONTADORES!Q318-CONTADORES!Q317))</f>
        <v>0</v>
      </c>
      <c r="AL308" s="1461">
        <f t="shared" ca="1" si="144"/>
        <v>0</v>
      </c>
      <c r="AM308" s="1409">
        <f ca="1">IF(B308&gt;=$J$5,0,(((CONTADORES!F318-CONTADORES!F317)+(CONTADORES!AQ318-CONTADORES!AQ317))))-BS308-AF308-AN308-BV308-BY308-CD308-CB308+T308</f>
        <v>0</v>
      </c>
      <c r="AN308" s="1397">
        <f ca="1">IF(B308&gt;=$J$5,0,(CONTADORES!AX318-CONTADORES!AX317)+(CONTADORES!AZ318-CONTADORES!AZ317)+(CONTADORES!BE318-CONTADORES!BE317))-CB308</f>
        <v>0</v>
      </c>
      <c r="AO308" s="1437">
        <f ca="1">IF(B308&gt;=$J$5,0,(CONTADORES!AC318-CONTADORES!AC317))</f>
        <v>0</v>
      </c>
      <c r="AP308" s="1437">
        <f ca="1">IF(B308&gt;=$J$5,0,(CONTADORES!X318-CONTADORES!X317))</f>
        <v>0</v>
      </c>
      <c r="AQ308" s="1437">
        <f ca="1">IF(B308&gt;=$J$5,0,(CONTADORES!C318-CONTADORES!C317))</f>
        <v>0</v>
      </c>
      <c r="AR308" s="1437">
        <f ca="1">IF(B308&gt;=$J$5,0,(CONTADORES!BC318-CONTADORES!BC317))</f>
        <v>0</v>
      </c>
      <c r="AS308" s="1397">
        <f ca="1">IF(B308&gt;=$J$5,0,CONTADORES!S318-CONTADORES!S317)</f>
        <v>0</v>
      </c>
      <c r="AT308" s="1397">
        <f ca="1">IF(B308&gt;=$J$5,0,(CONTADORES!U318-CONTADORES!U317)+(CONTADORES!AG318-CONTADORES!AG317))</f>
        <v>0</v>
      </c>
      <c r="AU308" s="1433">
        <f ca="1">IF(B308&gt;=$J$5,0,(CONTADORES!I318-CONTADORES!I317))</f>
        <v>0</v>
      </c>
      <c r="AV308" s="1437">
        <f ca="1">IF(B308&gt;=$J$5,0,(CONTADORES!AV318-CONTADORES!AV317))</f>
        <v>0</v>
      </c>
      <c r="AW308" s="1437">
        <f ca="1">IF(B308&gt;=$J$5,0,(CONTADORES!N318-CONTADORES!N317)+(CONTADORES!AN318-CONTADORES!AN317))</f>
        <v>0</v>
      </c>
      <c r="AX308" s="1437">
        <f ca="1">IF(B308&gt;=$J$5,0,(CONTADORES!P318-CONTADORES!P317)+(CONTADORES!AL318-CONTADORES!AL317))</f>
        <v>0</v>
      </c>
      <c r="AY308" s="1437">
        <f ca="1">IF(B308&gt;=$J$5,0,(CONTADORES!AJ318-CONTADORES!AJ317))</f>
        <v>0</v>
      </c>
      <c r="AZ308" s="1437">
        <f ca="1">IF(B308&gt;=$J$5,0,(CONTADORES!R318-CONTADORES!R317))</f>
        <v>0</v>
      </c>
      <c r="BA308" s="1409">
        <f t="shared" ca="1" si="145"/>
        <v>0</v>
      </c>
      <c r="BB308" s="1437">
        <f ca="1">IF(B308&gt;=$J$5,0,(((CONTADORES!G318-CONTADORES!G317)+(CONTADORES!AR318-CONTADORES!AR317))))-AV308-BC308-BT308-BW308-BZ308-CE308</f>
        <v>0</v>
      </c>
      <c r="BC308" s="1398">
        <f ca="1">IF(B308&gt;=$J$5,0,(CONTADORES!AY318-CONTADORES!AY317)+(CONTADORES!BA318-CONTADORES!BA317)+(CONTADORES!BF318-CONTADORES!BF317))</f>
        <v>0</v>
      </c>
      <c r="BD308" s="1397">
        <f t="shared" ca="1" si="146"/>
        <v>0</v>
      </c>
      <c r="BE308" s="1398">
        <f ca="1">IF($B308&gt;=$J$5,0,CONTADORES!$BG318)</f>
        <v>0</v>
      </c>
      <c r="BF308" s="1397">
        <f ca="1">IF($B308&gt;=$J$5,0,CONTADORES!$BH318)</f>
        <v>0</v>
      </c>
      <c r="BG308" s="1398">
        <f ca="1">IF($B308&gt;=$J$5,0,CONTADORES!$BJ318)</f>
        <v>0</v>
      </c>
      <c r="BH308" s="1398">
        <f ca="1">IF(B308&gt;=$J$5,0,((CONTADORES!BK318-CONTADORES!BK317)/1000))</f>
        <v>0</v>
      </c>
      <c r="BI308" s="1398">
        <f ca="1">IF(B308&gt;=$J$5,0,((CONTADORES!BL318-CONTADORES!BL317)/1000))</f>
        <v>0</v>
      </c>
      <c r="BJ308" s="1398">
        <f ca="1">IF(B308&gt;=$J$5,0,((CONTADORES!BM318-CONTADORES!BM317)/1000))</f>
        <v>0</v>
      </c>
      <c r="BK308" s="1398">
        <f ca="1">IF(B308&gt;=$J$5,0,((CONTADORES!BN318-CONTADORES!BN317)/1000))</f>
        <v>0</v>
      </c>
      <c r="BL308" s="1399">
        <f t="shared" ca="1" si="147"/>
        <v>0</v>
      </c>
      <c r="BM308" s="1399">
        <f t="shared" ca="1" si="148"/>
        <v>0</v>
      </c>
      <c r="BN308" s="1398">
        <f ca="1">IF(B308&gt;=$J$5,0,CONTADORES!$BO318)</f>
        <v>0</v>
      </c>
      <c r="BO308" s="1397">
        <f ca="1">IF(W308&gt;=$J$5,0,CONTADORES!$BP318)</f>
        <v>0</v>
      </c>
      <c r="BP308" s="1397">
        <f ca="1">IF(W308&gt;=$J$5,0,CONTADORES!$BQ318)</f>
        <v>0</v>
      </c>
      <c r="BQ308" s="1397">
        <f ca="1">IF(B308&gt;=$J$5,0,(CONTADORES!AS318-CONTADORES!AS317))</f>
        <v>0</v>
      </c>
      <c r="BR308" s="1397">
        <f ca="1">IF(B308&gt;=$J$5,0,(CONTADORES!AT318-CONTADORES!AT317))</f>
        <v>0</v>
      </c>
      <c r="BS308" s="1398">
        <f ca="1">IF(B308&gt;=$J$5,0,CONTADORES!BR318-CONTADORES!BR317)/1000</f>
        <v>0</v>
      </c>
      <c r="BT308" s="1409">
        <f ca="1">IF(B308&gt;=$J$5,0,CONTADORES!BS318-CONTADORES!BS317)</f>
        <v>0</v>
      </c>
      <c r="BU308" s="1409">
        <f ca="1">IF(B308&gt;=$J$5,0,CONTADORES!BT318-CONTADORES!BT317)</f>
        <v>0</v>
      </c>
      <c r="BV308" s="1409">
        <f ca="1">IF(B308&gt;=$J$5,0,CONTADORES!BU318-CONTADORES!BU317)/1000</f>
        <v>0</v>
      </c>
      <c r="BW308" s="1409">
        <f ca="1">IF(B308&gt;=$J$5,0,CONTADORES!BV318-CONTADORES!BV317)/1000</f>
        <v>0</v>
      </c>
      <c r="BX308" s="1409">
        <f ca="1">IF(B308&gt;=$J$5,0,CONTADORES!BW318-CONTADORES!BW317)</f>
        <v>0</v>
      </c>
      <c r="BY308" s="1409">
        <f ca="1">IF(B308&gt;=$J$5,0,CONTADORES!BX318-CONTADORES!BX317)/1000</f>
        <v>0</v>
      </c>
      <c r="BZ308" s="1409">
        <f ca="1">IF(B308&gt;=$J$5,0,CONTADORES!BY318-CONTADORES!BY317)/1000</f>
        <v>0</v>
      </c>
      <c r="CA308" s="1409">
        <f ca="1">IF(B308&gt;=$J$5,0,CONTADORES!BZ318-CONTADORES!BZ317)</f>
        <v>0</v>
      </c>
      <c r="CB308" s="1409">
        <f ca="1">IF(B308&gt;=$J$5,0,(CONTADORES!CC318-CONTADORES!CC317)+(CONTADORES!CE318-CONTADORES!CE317))/1000</f>
        <v>0</v>
      </c>
      <c r="CC308" s="1409">
        <f ca="1">IF(B308&gt;=$J$5,0,(CONTADORES!CD318-CONTADORES!CD317)+(CONTADORES!CF318-CONTADORES!CF317))/1000</f>
        <v>0</v>
      </c>
      <c r="CD308" s="1409">
        <f ca="1">IF(B308&gt;=$J$5,0,CONTADORES!CA318-CONTADORES!CA317)</f>
        <v>0</v>
      </c>
      <c r="CE308" s="1409">
        <f ca="1">IF(B308&gt;=$J$5,0,CONTADORES!CB318-CONTADORES!CB317)</f>
        <v>0</v>
      </c>
      <c r="CF308" s="1409">
        <f t="shared" ca="1" si="149"/>
        <v>0</v>
      </c>
      <c r="CG308" s="1409">
        <f t="shared" ca="1" si="150"/>
        <v>0</v>
      </c>
      <c r="CH308" s="1409">
        <f t="shared" ca="1" si="151"/>
        <v>0</v>
      </c>
      <c r="CI308" s="1409">
        <f t="shared" ca="1" si="152"/>
        <v>0</v>
      </c>
      <c r="CJ308" s="1409">
        <f t="shared" ca="1" si="153"/>
        <v>0</v>
      </c>
      <c r="CK308" s="1409">
        <f t="shared" ca="1" si="154"/>
        <v>0</v>
      </c>
      <c r="CL308" s="1409">
        <f t="shared" ca="1" si="155"/>
        <v>0</v>
      </c>
      <c r="CM308" s="1409">
        <f t="shared" ca="1" si="156"/>
        <v>0</v>
      </c>
      <c r="CN308" s="1409">
        <f ca="1">IF(B308&gt;=$J$5,0,CONTADORES!CB318-CONTADORES!CB317)</f>
        <v>0</v>
      </c>
      <c r="CO308" s="1409">
        <f t="shared" ca="1" si="157"/>
        <v>0</v>
      </c>
      <c r="CP308" s="1409">
        <f t="shared" ca="1" si="158"/>
        <v>0</v>
      </c>
      <c r="CQ308" s="1409">
        <f t="shared" ca="1" si="159"/>
        <v>0</v>
      </c>
      <c r="CR308" s="1409">
        <f t="shared" ca="1" si="160"/>
        <v>0</v>
      </c>
      <c r="CS308" s="1409">
        <f ca="1">IF($B308&gt;=$J$5,0,CONTADORES!$BI318)</f>
        <v>0</v>
      </c>
      <c r="CT308" s="1334">
        <f>CONTADORES!E318</f>
        <v>0</v>
      </c>
      <c r="CU308" s="1334">
        <f>CONTADORES!CG318</f>
        <v>0</v>
      </c>
    </row>
    <row r="309" spans="2:99">
      <c r="B309" s="1477">
        <v>45225</v>
      </c>
      <c r="C309" s="202">
        <f t="shared" ca="1" si="134"/>
        <v>0</v>
      </c>
      <c r="D309" s="196">
        <f ca="1">'CALCULO DE GAS'!P131</f>
        <v>0</v>
      </c>
      <c r="E309" s="196">
        <f ca="1">IF(B309&gt;=$J$5,0,(CONTADORES!$AD319-CONTADORES!$AD318)-$H309)</f>
        <v>0</v>
      </c>
      <c r="F309" s="198">
        <f t="shared" ca="1" si="163"/>
        <v>0</v>
      </c>
      <c r="G309" s="196">
        <f ca="1">IF(B309&gt;=$J$5,0,CONTADORES!$AF319-CONTADORES!$AF318)</f>
        <v>0</v>
      </c>
      <c r="H309" s="196">
        <f ca="1">IF(G309&gt;0,CONTADORES!$AE319-CONTADORES!$AE318,0)</f>
        <v>0</v>
      </c>
      <c r="I309" s="199">
        <f ca="1">IF(B309&gt;=$J$5,0,CONTADORES!$AB319-CONTADORES!$AB318)</f>
        <v>0</v>
      </c>
      <c r="J309" s="198">
        <f t="shared" ca="1" si="135"/>
        <v>0</v>
      </c>
      <c r="K309" s="196">
        <f ca="1">'CALCULO DE GAS'!Q131</f>
        <v>0</v>
      </c>
      <c r="L309" s="1396">
        <f ca="1">IF(B309&gt;=$J$5,0,(CONTADORES!$Y319-CONTADORES!$Y318)-$O309)</f>
        <v>0</v>
      </c>
      <c r="M309" s="1396">
        <f t="shared" ca="1" si="161"/>
        <v>0</v>
      </c>
      <c r="N309" s="1396">
        <f ca="1">IF(B309&gt;=$J$5,0,CONTADORES!$AA319-CONTADORES!$AA318)</f>
        <v>0</v>
      </c>
      <c r="O309" s="1396">
        <f ca="1">IF(N309&gt;0,CONTADORES!$Z319-CONTADORES!$Z318,0)</f>
        <v>0</v>
      </c>
      <c r="P309" s="202">
        <f ca="1">IF(B309&gt;=$J$5,0,CONTADORES!$W319-CONTADORES!$W318)</f>
        <v>0</v>
      </c>
      <c r="Q309" s="202">
        <f ca="1">IF(B309&gt;=$J$5,0,CONTADORES!$B319-CONTADORES!$B318)</f>
        <v>0</v>
      </c>
      <c r="R309" s="196">
        <f t="shared" ca="1" si="136"/>
        <v>0</v>
      </c>
      <c r="S309" s="11">
        <f ca="1">IF(B309&gt;=$J$5,0,CONTADORES!$D319-CONTADORES!$D318)</f>
        <v>0</v>
      </c>
      <c r="T309" s="198">
        <f ca="1">IF(B309&gt;=$J$5,0,CONTADORES!$BB319-CONTADORES!$BB318)</f>
        <v>0</v>
      </c>
      <c r="U309" s="196">
        <f t="shared" ca="1" si="162"/>
        <v>0</v>
      </c>
      <c r="V309" s="199">
        <f ca="1">IF(B309&gt;=$J$5,0,CONTADORES!$BD319-CONTADORES!$BD318)</f>
        <v>0</v>
      </c>
      <c r="W309" s="1397">
        <f t="shared" ca="1" si="137"/>
        <v>0</v>
      </c>
      <c r="X309" s="1397">
        <f t="shared" ca="1" si="138"/>
        <v>0</v>
      </c>
      <c r="Y309" s="1398">
        <f t="shared" ca="1" si="139"/>
        <v>0</v>
      </c>
      <c r="Z309" s="1398">
        <f t="shared" ca="1" si="140"/>
        <v>0</v>
      </c>
      <c r="AA309" s="1398">
        <f t="shared" ca="1" si="141"/>
        <v>0</v>
      </c>
      <c r="AB309" s="1398">
        <f t="shared" ca="1" si="142"/>
        <v>0</v>
      </c>
      <c r="AC309" s="1397">
        <f t="shared" ca="1" si="143"/>
        <v>0</v>
      </c>
      <c r="AD309" s="1397">
        <f ca="1">IF(B309&gt;=$J$5,0,CONTADORES!H319-CONTADORES!H318)</f>
        <v>0</v>
      </c>
      <c r="AE309" s="1397">
        <f ca="1">IF(B309&gt;=$J$5,0,CONTADORES!J319-CONTADORES!J318)</f>
        <v>0</v>
      </c>
      <c r="AF309" s="1397">
        <f ca="1">IF(B309&gt;=$J$5,0,CONTADORES!AU319-CONTADORES!AU318)</f>
        <v>0</v>
      </c>
      <c r="AG309" s="1397">
        <f ca="1">IF(B309&gt;=$J$5,0,CONTADORES!AW319-CONTADORES!AW318)</f>
        <v>0</v>
      </c>
      <c r="AH309" s="1409">
        <f ca="1">IF(B309&gt;=$J$5,0,(CONTADORES!AM319-CONTADORES!AM318)+(CONTADORES!M319-CONTADORES!M318))</f>
        <v>0</v>
      </c>
      <c r="AI309" s="1409">
        <f ca="1">IF(B309&gt;=$J$5,0,(CONTADORES!AK319-CONTADORES!AK318)+(CONTADORES!O319-CONTADORES!O318))</f>
        <v>0</v>
      </c>
      <c r="AJ309" s="1409">
        <f ca="1">IF(B309&gt;=$J$5,0,(CONTADORES!AI319-CONTADORES!AI318))</f>
        <v>0</v>
      </c>
      <c r="AK309" s="1409">
        <f ca="1">IF(B309&gt;=$J$5,0,(CONTADORES!Q319-CONTADORES!Q318))</f>
        <v>0</v>
      </c>
      <c r="AL309" s="1461">
        <f t="shared" ca="1" si="144"/>
        <v>0</v>
      </c>
      <c r="AM309" s="1409">
        <f ca="1">IF(B309&gt;=$J$5,0,(((CONTADORES!F319-CONTADORES!F318)+(CONTADORES!AQ319-CONTADORES!AQ318))))-BS309-AF309-AN309-BV309-BY309-CD309-CB309+T309</f>
        <v>0</v>
      </c>
      <c r="AN309" s="1397">
        <f ca="1">IF(B309&gt;=$J$5,0,(CONTADORES!AX319-CONTADORES!AX318)+(CONTADORES!AZ319-CONTADORES!AZ318)+(CONTADORES!BE319-CONTADORES!BE318))-CB309</f>
        <v>0</v>
      </c>
      <c r="AO309" s="1437">
        <f ca="1">IF(B309&gt;=$J$5,0,(CONTADORES!AC319-CONTADORES!AC318))</f>
        <v>0</v>
      </c>
      <c r="AP309" s="1437">
        <f ca="1">IF(B309&gt;=$J$5,0,(CONTADORES!X319-CONTADORES!X318))</f>
        <v>0</v>
      </c>
      <c r="AQ309" s="1437">
        <f ca="1">IF(B309&gt;=$J$5,0,(CONTADORES!C319-CONTADORES!C318))</f>
        <v>0</v>
      </c>
      <c r="AR309" s="1437">
        <f ca="1">IF(B309&gt;=$J$5,0,(CONTADORES!BC319-CONTADORES!BC318))</f>
        <v>0</v>
      </c>
      <c r="AS309" s="1397">
        <f ca="1">IF(B309&gt;=$J$5,0,CONTADORES!S319-CONTADORES!S318)</f>
        <v>0</v>
      </c>
      <c r="AT309" s="1397">
        <f ca="1">IF(B309&gt;=$J$5,0,(CONTADORES!U319-CONTADORES!U318)+(CONTADORES!AG319-CONTADORES!AG318))</f>
        <v>0</v>
      </c>
      <c r="AU309" s="1433">
        <f ca="1">IF(B309&gt;=$J$5,0,(CONTADORES!I319-CONTADORES!I318))</f>
        <v>0</v>
      </c>
      <c r="AV309" s="1437">
        <f ca="1">IF(B309&gt;=$J$5,0,(CONTADORES!AV319-CONTADORES!AV318))</f>
        <v>0</v>
      </c>
      <c r="AW309" s="1437">
        <f ca="1">IF(B309&gt;=$J$5,0,(CONTADORES!N319-CONTADORES!N318)+(CONTADORES!AN319-CONTADORES!AN318))</f>
        <v>0</v>
      </c>
      <c r="AX309" s="1437">
        <f ca="1">IF(B309&gt;=$J$5,0,(CONTADORES!P319-CONTADORES!P318)+(CONTADORES!AL319-CONTADORES!AL318))</f>
        <v>0</v>
      </c>
      <c r="AY309" s="1437">
        <f ca="1">IF(B309&gt;=$J$5,0,(CONTADORES!AJ319-CONTADORES!AJ318))</f>
        <v>0</v>
      </c>
      <c r="AZ309" s="1437">
        <f ca="1">IF(B309&gt;=$J$5,0,(CONTADORES!R319-CONTADORES!R318))</f>
        <v>0</v>
      </c>
      <c r="BA309" s="1409">
        <f t="shared" ca="1" si="145"/>
        <v>0</v>
      </c>
      <c r="BB309" s="1437">
        <f ca="1">IF(B309&gt;=$J$5,0,(((CONTADORES!G319-CONTADORES!G318)+(CONTADORES!AR319-CONTADORES!AR318))))-AV309-BC309-BT309-BW309-BZ309-CE309</f>
        <v>0</v>
      </c>
      <c r="BC309" s="1398">
        <f ca="1">IF(B309&gt;=$J$5,0,(CONTADORES!AY319-CONTADORES!AY318)+(CONTADORES!BA319-CONTADORES!BA318)+(CONTADORES!BF319-CONTADORES!BF318))</f>
        <v>0</v>
      </c>
      <c r="BD309" s="1397">
        <f t="shared" ca="1" si="146"/>
        <v>0</v>
      </c>
      <c r="BE309" s="1398">
        <f ca="1">IF($B309&gt;=$J$5,0,CONTADORES!$BG319)</f>
        <v>0</v>
      </c>
      <c r="BF309" s="1397">
        <f ca="1">IF($B309&gt;=$J$5,0,CONTADORES!$BH319)</f>
        <v>0</v>
      </c>
      <c r="BG309" s="1398">
        <f ca="1">IF($B309&gt;=$J$5,0,CONTADORES!$BJ319)</f>
        <v>0</v>
      </c>
      <c r="BH309" s="1398">
        <f ca="1">IF(B309&gt;=$J$5,0,((CONTADORES!BK319-CONTADORES!BK318)/1000))</f>
        <v>0</v>
      </c>
      <c r="BI309" s="1398">
        <f ca="1">IF(B309&gt;=$J$5,0,((CONTADORES!BL319-CONTADORES!BL318)/1000))</f>
        <v>0</v>
      </c>
      <c r="BJ309" s="1398">
        <f ca="1">IF(B309&gt;=$J$5,0,((CONTADORES!BM319-CONTADORES!BM318)/1000))</f>
        <v>0</v>
      </c>
      <c r="BK309" s="1398">
        <f ca="1">IF(B309&gt;=$J$5,0,((CONTADORES!BN319-CONTADORES!BN318)/1000))</f>
        <v>0</v>
      </c>
      <c r="BL309" s="1399">
        <f t="shared" ca="1" si="147"/>
        <v>0</v>
      </c>
      <c r="BM309" s="1399">
        <f t="shared" ca="1" si="148"/>
        <v>0</v>
      </c>
      <c r="BN309" s="1398">
        <f ca="1">IF(B309&gt;=$J$5,0,CONTADORES!$BO319)</f>
        <v>0</v>
      </c>
      <c r="BO309" s="1397">
        <f ca="1">IF(W309&gt;=$J$5,0,CONTADORES!$BP319)</f>
        <v>0</v>
      </c>
      <c r="BP309" s="1397">
        <f ca="1">IF(W309&gt;=$J$5,0,CONTADORES!$BQ319)</f>
        <v>0</v>
      </c>
      <c r="BQ309" s="1397">
        <f ca="1">IF(B309&gt;=$J$5,0,(CONTADORES!AS319-CONTADORES!AS318))</f>
        <v>0</v>
      </c>
      <c r="BR309" s="1397">
        <f ca="1">IF(B309&gt;=$J$5,0,(CONTADORES!AT319-CONTADORES!AT318))</f>
        <v>0</v>
      </c>
      <c r="BS309" s="1398">
        <f ca="1">IF(B309&gt;=$J$5,0,CONTADORES!BR319-CONTADORES!BR318)/1000</f>
        <v>0</v>
      </c>
      <c r="BT309" s="1409">
        <f ca="1">IF(B309&gt;=$J$5,0,CONTADORES!BS319-CONTADORES!BS318)</f>
        <v>0</v>
      </c>
      <c r="BU309" s="1409">
        <f ca="1">IF(B309&gt;=$J$5,0,CONTADORES!BT319-CONTADORES!BT318)</f>
        <v>0</v>
      </c>
      <c r="BV309" s="1409">
        <f ca="1">IF(B309&gt;=$J$5,0,CONTADORES!BU319-CONTADORES!BU318)/1000</f>
        <v>0</v>
      </c>
      <c r="BW309" s="1409">
        <f ca="1">IF(B309&gt;=$J$5,0,CONTADORES!BV319-CONTADORES!BV318)/1000</f>
        <v>0</v>
      </c>
      <c r="BX309" s="1409">
        <f ca="1">IF(B309&gt;=$J$5,0,CONTADORES!BW319-CONTADORES!BW318)</f>
        <v>0</v>
      </c>
      <c r="BY309" s="1409">
        <f ca="1">IF(B309&gt;=$J$5,0,CONTADORES!BX319-CONTADORES!BX318)/1000</f>
        <v>0</v>
      </c>
      <c r="BZ309" s="1409">
        <f ca="1">IF(B309&gt;=$J$5,0,CONTADORES!BY319-CONTADORES!BY318)/1000</f>
        <v>0</v>
      </c>
      <c r="CA309" s="1409">
        <f ca="1">IF(B309&gt;=$J$5,0,CONTADORES!BZ319-CONTADORES!BZ318)</f>
        <v>0</v>
      </c>
      <c r="CB309" s="1409">
        <f ca="1">IF(B309&gt;=$J$5,0,(CONTADORES!CC319-CONTADORES!CC318)+(CONTADORES!CE319-CONTADORES!CE318))/1000</f>
        <v>0</v>
      </c>
      <c r="CC309" s="1409">
        <f ca="1">IF(B309&gt;=$J$5,0,(CONTADORES!CD319-CONTADORES!CD318)+(CONTADORES!CF319-CONTADORES!CF318))/1000</f>
        <v>0</v>
      </c>
      <c r="CD309" s="1409">
        <f ca="1">IF(B309&gt;=$J$5,0,CONTADORES!CA319-CONTADORES!CA318)</f>
        <v>0</v>
      </c>
      <c r="CE309" s="1409">
        <f ca="1">IF(B309&gt;=$J$5,0,CONTADORES!CB319-CONTADORES!CB318)</f>
        <v>0</v>
      </c>
      <c r="CF309" s="1409">
        <f t="shared" ca="1" si="149"/>
        <v>0</v>
      </c>
      <c r="CG309" s="1409">
        <f t="shared" ca="1" si="150"/>
        <v>0</v>
      </c>
      <c r="CH309" s="1409">
        <f t="shared" ca="1" si="151"/>
        <v>0</v>
      </c>
      <c r="CI309" s="1409">
        <f t="shared" ca="1" si="152"/>
        <v>0</v>
      </c>
      <c r="CJ309" s="1409">
        <f t="shared" ca="1" si="153"/>
        <v>0</v>
      </c>
      <c r="CK309" s="1409">
        <f t="shared" ca="1" si="154"/>
        <v>0</v>
      </c>
      <c r="CL309" s="1409">
        <f t="shared" ca="1" si="155"/>
        <v>0</v>
      </c>
      <c r="CM309" s="1409">
        <f t="shared" ca="1" si="156"/>
        <v>0</v>
      </c>
      <c r="CN309" s="1409">
        <f ca="1">IF(B309&gt;=$J$5,0,CONTADORES!CB319-CONTADORES!CB318)</f>
        <v>0</v>
      </c>
      <c r="CO309" s="1409">
        <f t="shared" ca="1" si="157"/>
        <v>0</v>
      </c>
      <c r="CP309" s="1409">
        <f t="shared" ca="1" si="158"/>
        <v>0</v>
      </c>
      <c r="CQ309" s="1409">
        <f t="shared" ca="1" si="159"/>
        <v>0</v>
      </c>
      <c r="CR309" s="1409">
        <f t="shared" ca="1" si="160"/>
        <v>0</v>
      </c>
      <c r="CS309" s="1409">
        <f ca="1">IF($B309&gt;=$J$5,0,CONTADORES!$BI319)</f>
        <v>0</v>
      </c>
      <c r="CT309" s="1334">
        <f>CONTADORES!E319</f>
        <v>0</v>
      </c>
      <c r="CU309" s="1334">
        <f>CONTADORES!CG319</f>
        <v>0</v>
      </c>
    </row>
    <row r="310" spans="2:99">
      <c r="B310" s="1477">
        <v>45226</v>
      </c>
      <c r="C310" s="202">
        <f t="shared" ca="1" si="134"/>
        <v>0</v>
      </c>
      <c r="D310" s="196">
        <f ca="1">'CALCULO DE GAS'!P132</f>
        <v>0</v>
      </c>
      <c r="E310" s="196">
        <f ca="1">IF(B310&gt;=$J$5,0,(CONTADORES!$AD320-CONTADORES!$AD319)-$H310)</f>
        <v>0</v>
      </c>
      <c r="F310" s="198">
        <f t="shared" ca="1" si="163"/>
        <v>0</v>
      </c>
      <c r="G310" s="196">
        <f ca="1">IF(B310&gt;=$J$5,0,CONTADORES!$AF320-CONTADORES!$AF319)</f>
        <v>0</v>
      </c>
      <c r="H310" s="196">
        <f ca="1">IF(G310&gt;0,CONTADORES!$AE320-CONTADORES!$AE319,0)</f>
        <v>0</v>
      </c>
      <c r="I310" s="199">
        <f ca="1">IF(B310&gt;=$J$5,0,CONTADORES!$AB320-CONTADORES!$AB319)</f>
        <v>0</v>
      </c>
      <c r="J310" s="198">
        <f t="shared" ca="1" si="135"/>
        <v>0</v>
      </c>
      <c r="K310" s="196">
        <f ca="1">'CALCULO DE GAS'!Q132</f>
        <v>0</v>
      </c>
      <c r="L310" s="1396">
        <f ca="1">IF(B310&gt;=$J$5,0,(CONTADORES!$Y320-CONTADORES!$Y319)-$O310)</f>
        <v>0</v>
      </c>
      <c r="M310" s="1396">
        <f t="shared" ca="1" si="161"/>
        <v>0</v>
      </c>
      <c r="N310" s="1396">
        <f ca="1">IF(B310&gt;=$J$5,0,CONTADORES!$AA320-CONTADORES!$AA319)</f>
        <v>0</v>
      </c>
      <c r="O310" s="1396">
        <f ca="1">IF(N310&gt;0,CONTADORES!$Z320-CONTADORES!$Z319,0)</f>
        <v>0</v>
      </c>
      <c r="P310" s="202">
        <f ca="1">IF(B310&gt;=$J$5,0,CONTADORES!$W320-CONTADORES!$W319)</f>
        <v>0</v>
      </c>
      <c r="Q310" s="202">
        <f ca="1">IF(B310&gt;=$J$5,0,CONTADORES!$B320-CONTADORES!$B319)</f>
        <v>0</v>
      </c>
      <c r="R310" s="196">
        <f t="shared" ca="1" si="136"/>
        <v>0</v>
      </c>
      <c r="S310" s="11">
        <f ca="1">IF(B310&gt;=$J$5,0,CONTADORES!$D320-CONTADORES!$D319)</f>
        <v>0</v>
      </c>
      <c r="T310" s="198">
        <f ca="1">IF(B310&gt;=$J$5,0,CONTADORES!$BB320-CONTADORES!$BB319)</f>
        <v>0</v>
      </c>
      <c r="U310" s="196">
        <f t="shared" ca="1" si="162"/>
        <v>0</v>
      </c>
      <c r="V310" s="199">
        <f ca="1">IF(B310&gt;=$J$5,0,CONTADORES!$BD320-CONTADORES!$BD319)</f>
        <v>0</v>
      </c>
      <c r="W310" s="1397">
        <f t="shared" ca="1" si="137"/>
        <v>0</v>
      </c>
      <c r="X310" s="1397">
        <f t="shared" ca="1" si="138"/>
        <v>0</v>
      </c>
      <c r="Y310" s="1398">
        <f t="shared" ca="1" si="139"/>
        <v>0</v>
      </c>
      <c r="Z310" s="1398">
        <f t="shared" ca="1" si="140"/>
        <v>0</v>
      </c>
      <c r="AA310" s="1398">
        <f t="shared" ca="1" si="141"/>
        <v>0</v>
      </c>
      <c r="AB310" s="1398">
        <f t="shared" ca="1" si="142"/>
        <v>0</v>
      </c>
      <c r="AC310" s="1397">
        <f t="shared" ca="1" si="143"/>
        <v>0</v>
      </c>
      <c r="AD310" s="1397">
        <f ca="1">IF(B310&gt;=$J$5,0,CONTADORES!H320-CONTADORES!H319)</f>
        <v>0</v>
      </c>
      <c r="AE310" s="1397">
        <f ca="1">IF(B310&gt;=$J$5,0,CONTADORES!J320-CONTADORES!J319)</f>
        <v>0</v>
      </c>
      <c r="AF310" s="1397">
        <f ca="1">IF(B310&gt;=$J$5,0,CONTADORES!AU320-CONTADORES!AU319)</f>
        <v>0</v>
      </c>
      <c r="AG310" s="1397">
        <f ca="1">IF(B310&gt;=$J$5,0,CONTADORES!AW320-CONTADORES!AW319)</f>
        <v>0</v>
      </c>
      <c r="AH310" s="1409">
        <f ca="1">IF(B310&gt;=$J$5,0,(CONTADORES!AM320-CONTADORES!AM319)+(CONTADORES!M320-CONTADORES!M319))</f>
        <v>0</v>
      </c>
      <c r="AI310" s="1409">
        <f ca="1">IF(B310&gt;=$J$5,0,(CONTADORES!AK320-CONTADORES!AK319)+(CONTADORES!O320-CONTADORES!O319))</f>
        <v>0</v>
      </c>
      <c r="AJ310" s="1409">
        <f ca="1">IF(B310&gt;=$J$5,0,(CONTADORES!AI320-CONTADORES!AI319))</f>
        <v>0</v>
      </c>
      <c r="AK310" s="1409">
        <f ca="1">IF(B310&gt;=$J$5,0,(CONTADORES!Q320-CONTADORES!Q319))</f>
        <v>0</v>
      </c>
      <c r="AL310" s="1461">
        <f t="shared" ca="1" si="144"/>
        <v>0</v>
      </c>
      <c r="AM310" s="1409">
        <f ca="1">IF(B310&gt;=$J$5,0,(((CONTADORES!F320-CONTADORES!F319)+(CONTADORES!AQ320-CONTADORES!AQ319))))-BS310-AF310-AN310-BV310-BY310-CD310-CB310+T310</f>
        <v>0</v>
      </c>
      <c r="AN310" s="1397">
        <f ca="1">IF(B310&gt;=$J$5,0,(CONTADORES!AX320-CONTADORES!AX319)+(CONTADORES!AZ320-CONTADORES!AZ319)+(CONTADORES!BE320-CONTADORES!BE319))-CB310</f>
        <v>0</v>
      </c>
      <c r="AO310" s="1437">
        <f ca="1">IF(B310&gt;=$J$5,0,(CONTADORES!AC320-CONTADORES!AC319))</f>
        <v>0</v>
      </c>
      <c r="AP310" s="1437">
        <f ca="1">IF(B310&gt;=$J$5,0,(CONTADORES!X320-CONTADORES!X319))</f>
        <v>0</v>
      </c>
      <c r="AQ310" s="1437">
        <f ca="1">IF(B310&gt;=$J$5,0,(CONTADORES!C320-CONTADORES!C319))</f>
        <v>0</v>
      </c>
      <c r="AR310" s="1437">
        <f ca="1">IF(B310&gt;=$J$5,0,(CONTADORES!BC320-CONTADORES!BC319))</f>
        <v>0</v>
      </c>
      <c r="AS310" s="1397">
        <f ca="1">IF(B310&gt;=$J$5,0,CONTADORES!S320-CONTADORES!S319)</f>
        <v>0</v>
      </c>
      <c r="AT310" s="1397">
        <f ca="1">IF(B310&gt;=$J$5,0,(CONTADORES!U320-CONTADORES!U319)+(CONTADORES!AG320-CONTADORES!AG319))</f>
        <v>0</v>
      </c>
      <c r="AU310" s="1433">
        <f ca="1">IF(B310&gt;=$J$5,0,(CONTADORES!I320-CONTADORES!I319))</f>
        <v>0</v>
      </c>
      <c r="AV310" s="1437">
        <f ca="1">IF(B310&gt;=$J$5,0,(CONTADORES!AV320-CONTADORES!AV319))</f>
        <v>0</v>
      </c>
      <c r="AW310" s="1437">
        <f ca="1">IF(B310&gt;=$J$5,0,(CONTADORES!N320-CONTADORES!N319)+(CONTADORES!AN320-CONTADORES!AN319))</f>
        <v>0</v>
      </c>
      <c r="AX310" s="1437">
        <f ca="1">IF(B310&gt;=$J$5,0,(CONTADORES!P320-CONTADORES!P319)+(CONTADORES!AL320-CONTADORES!AL319))</f>
        <v>0</v>
      </c>
      <c r="AY310" s="1437">
        <f ca="1">IF(B310&gt;=$J$5,0,(CONTADORES!AJ320-CONTADORES!AJ319))</f>
        <v>0</v>
      </c>
      <c r="AZ310" s="1437">
        <f ca="1">IF(B310&gt;=$J$5,0,(CONTADORES!R320-CONTADORES!R319))</f>
        <v>0</v>
      </c>
      <c r="BA310" s="1409">
        <f t="shared" ca="1" si="145"/>
        <v>0</v>
      </c>
      <c r="BB310" s="1437">
        <f ca="1">IF(B310&gt;=$J$5,0,(((CONTADORES!G320-CONTADORES!G319)+(CONTADORES!AR320-CONTADORES!AR319))))-AV310-BC310-BT310-BW310-BZ310-CE310</f>
        <v>0</v>
      </c>
      <c r="BC310" s="1398">
        <f ca="1">IF(B310&gt;=$J$5,0,(CONTADORES!AY320-CONTADORES!AY319)+(CONTADORES!BA320-CONTADORES!BA319)+(CONTADORES!BF320-CONTADORES!BF319))</f>
        <v>0</v>
      </c>
      <c r="BD310" s="1397">
        <f t="shared" ca="1" si="146"/>
        <v>0</v>
      </c>
      <c r="BE310" s="1398">
        <f ca="1">IF($B310&gt;=$J$5,0,CONTADORES!$BG320)</f>
        <v>0</v>
      </c>
      <c r="BF310" s="1397">
        <f ca="1">IF($B310&gt;=$J$5,0,CONTADORES!$BH320)</f>
        <v>0</v>
      </c>
      <c r="BG310" s="1398">
        <f ca="1">IF($B310&gt;=$J$5,0,CONTADORES!$BJ320)</f>
        <v>0</v>
      </c>
      <c r="BH310" s="1398">
        <f ca="1">IF(B310&gt;=$J$5,0,((CONTADORES!BK320-CONTADORES!BK319)/1000))</f>
        <v>0</v>
      </c>
      <c r="BI310" s="1398">
        <f ca="1">IF(B310&gt;=$J$5,0,((CONTADORES!BL320-CONTADORES!BL319)/1000))</f>
        <v>0</v>
      </c>
      <c r="BJ310" s="1398">
        <f ca="1">IF(B310&gt;=$J$5,0,((CONTADORES!BM320-CONTADORES!BM319)/1000))</f>
        <v>0</v>
      </c>
      <c r="BK310" s="1398">
        <f ca="1">IF(B310&gt;=$J$5,0,((CONTADORES!BN320-CONTADORES!BN319)/1000))</f>
        <v>0</v>
      </c>
      <c r="BL310" s="1399">
        <f t="shared" ca="1" si="147"/>
        <v>0</v>
      </c>
      <c r="BM310" s="1399">
        <f t="shared" ca="1" si="148"/>
        <v>0</v>
      </c>
      <c r="BN310" s="1398">
        <f ca="1">IF(B310&gt;=$J$5,0,CONTADORES!$BO320)</f>
        <v>0</v>
      </c>
      <c r="BO310" s="1397">
        <f ca="1">IF(W310&gt;=$J$5,0,CONTADORES!$BP320)</f>
        <v>0</v>
      </c>
      <c r="BP310" s="1397">
        <f ca="1">IF(W310&gt;=$J$5,0,CONTADORES!$BQ320)</f>
        <v>0</v>
      </c>
      <c r="BQ310" s="1397">
        <f ca="1">IF(B310&gt;=$J$5,0,(CONTADORES!AS320-CONTADORES!AS319))</f>
        <v>0</v>
      </c>
      <c r="BR310" s="1397">
        <f ca="1">IF(B310&gt;=$J$5,0,(CONTADORES!AT320-CONTADORES!AT319))</f>
        <v>0</v>
      </c>
      <c r="BS310" s="1398">
        <f ca="1">IF(B310&gt;=$J$5,0,CONTADORES!BR320-CONTADORES!BR319)/1000</f>
        <v>0</v>
      </c>
      <c r="BT310" s="1409">
        <f ca="1">IF(B310&gt;=$J$5,0,CONTADORES!BS320-CONTADORES!BS319)</f>
        <v>0</v>
      </c>
      <c r="BU310" s="1409">
        <f ca="1">IF(B310&gt;=$J$5,0,CONTADORES!BT320-CONTADORES!BT319)</f>
        <v>0</v>
      </c>
      <c r="BV310" s="1409">
        <f ca="1">IF(B310&gt;=$J$5,0,CONTADORES!BU320-CONTADORES!BU319)/1000</f>
        <v>0</v>
      </c>
      <c r="BW310" s="1409">
        <f ca="1">IF(B310&gt;=$J$5,0,CONTADORES!BV320-CONTADORES!BV319)/1000</f>
        <v>0</v>
      </c>
      <c r="BX310" s="1409">
        <f ca="1">IF(B310&gt;=$J$5,0,CONTADORES!BW320-CONTADORES!BW319)</f>
        <v>0</v>
      </c>
      <c r="BY310" s="1409">
        <f ca="1">IF(B310&gt;=$J$5,0,CONTADORES!BX320-CONTADORES!BX319)/1000</f>
        <v>0</v>
      </c>
      <c r="BZ310" s="1409">
        <f ca="1">IF(B310&gt;=$J$5,0,CONTADORES!BY320-CONTADORES!BY319)/1000</f>
        <v>0</v>
      </c>
      <c r="CA310" s="1409">
        <f ca="1">IF(B310&gt;=$J$5,0,CONTADORES!BZ320-CONTADORES!BZ319)</f>
        <v>0</v>
      </c>
      <c r="CB310" s="1409">
        <f ca="1">IF(B310&gt;=$J$5,0,(CONTADORES!CC320-CONTADORES!CC319)+(CONTADORES!CE320-CONTADORES!CE319))/1000</f>
        <v>0</v>
      </c>
      <c r="CC310" s="1409">
        <f ca="1">IF(B310&gt;=$J$5,0,(CONTADORES!CD320-CONTADORES!CD319)+(CONTADORES!CF320-CONTADORES!CF319))/1000</f>
        <v>0</v>
      </c>
      <c r="CD310" s="1409">
        <f ca="1">IF(B310&gt;=$J$5,0,CONTADORES!CA320-CONTADORES!CA319)</f>
        <v>0</v>
      </c>
      <c r="CE310" s="1409">
        <f ca="1">IF(B310&gt;=$J$5,0,CONTADORES!CB320-CONTADORES!CB319)</f>
        <v>0</v>
      </c>
      <c r="CF310" s="1409">
        <f t="shared" ca="1" si="149"/>
        <v>0</v>
      </c>
      <c r="CG310" s="1409">
        <f t="shared" ca="1" si="150"/>
        <v>0</v>
      </c>
      <c r="CH310" s="1409">
        <f t="shared" ca="1" si="151"/>
        <v>0</v>
      </c>
      <c r="CI310" s="1409">
        <f t="shared" ca="1" si="152"/>
        <v>0</v>
      </c>
      <c r="CJ310" s="1409">
        <f t="shared" ca="1" si="153"/>
        <v>0</v>
      </c>
      <c r="CK310" s="1409">
        <f t="shared" ca="1" si="154"/>
        <v>0</v>
      </c>
      <c r="CL310" s="1409">
        <f t="shared" ca="1" si="155"/>
        <v>0</v>
      </c>
      <c r="CM310" s="1409">
        <f t="shared" ca="1" si="156"/>
        <v>0</v>
      </c>
      <c r="CN310" s="1409">
        <f ca="1">IF(B310&gt;=$J$5,0,CONTADORES!CB320-CONTADORES!CB319)</f>
        <v>0</v>
      </c>
      <c r="CO310" s="1409">
        <f t="shared" ca="1" si="157"/>
        <v>0</v>
      </c>
      <c r="CP310" s="1409">
        <f t="shared" ca="1" si="158"/>
        <v>0</v>
      </c>
      <c r="CQ310" s="1409">
        <f t="shared" ca="1" si="159"/>
        <v>0</v>
      </c>
      <c r="CR310" s="1409">
        <f t="shared" ca="1" si="160"/>
        <v>0</v>
      </c>
      <c r="CS310" s="1409">
        <f ca="1">IF($B310&gt;=$J$5,0,CONTADORES!$BI320)</f>
        <v>0</v>
      </c>
      <c r="CT310" s="1334">
        <f>CONTADORES!E320</f>
        <v>0</v>
      </c>
      <c r="CU310" s="1334">
        <f>CONTADORES!CG320</f>
        <v>0</v>
      </c>
    </row>
    <row r="311" spans="2:99">
      <c r="B311" s="1477">
        <v>45227</v>
      </c>
      <c r="C311" s="202">
        <f t="shared" ca="1" si="134"/>
        <v>0</v>
      </c>
      <c r="D311" s="196">
        <f ca="1">'CALCULO DE GAS'!P133</f>
        <v>0</v>
      </c>
      <c r="E311" s="196">
        <f ca="1">IF(B311&gt;=$J$5,0,(CONTADORES!$AD321-CONTADORES!$AD320)-$H311)</f>
        <v>0</v>
      </c>
      <c r="F311" s="198">
        <f t="shared" ca="1" si="163"/>
        <v>0</v>
      </c>
      <c r="G311" s="196">
        <f ca="1">IF(B311&gt;=$J$5,0,CONTADORES!$AF321-CONTADORES!$AF320)</f>
        <v>0</v>
      </c>
      <c r="H311" s="196">
        <f ca="1">IF(G311&gt;0,CONTADORES!$AE321-CONTADORES!$AE320,0)</f>
        <v>0</v>
      </c>
      <c r="I311" s="199">
        <f ca="1">IF(B311&gt;=$J$5,0,CONTADORES!$AB321-CONTADORES!$AB320)</f>
        <v>0</v>
      </c>
      <c r="J311" s="198">
        <f t="shared" ca="1" si="135"/>
        <v>0</v>
      </c>
      <c r="K311" s="196">
        <f ca="1">'CALCULO DE GAS'!Q133</f>
        <v>0</v>
      </c>
      <c r="L311" s="1396">
        <f ca="1">IF(B311&gt;=$J$5,0,(CONTADORES!$Y321-CONTADORES!$Y320)-$O311)</f>
        <v>0</v>
      </c>
      <c r="M311" s="1396">
        <f t="shared" ca="1" si="161"/>
        <v>0</v>
      </c>
      <c r="N311" s="1396">
        <f ca="1">IF(B311&gt;=$J$5,0,CONTADORES!$AA321-CONTADORES!$AA320)</f>
        <v>0</v>
      </c>
      <c r="O311" s="1396">
        <f ca="1">IF(N311&gt;0,CONTADORES!$Z321-CONTADORES!$Z320,0)</f>
        <v>0</v>
      </c>
      <c r="P311" s="202">
        <f ca="1">IF(B311&gt;=$J$5,0,CONTADORES!$W321-CONTADORES!$W320)</f>
        <v>0</v>
      </c>
      <c r="Q311" s="202">
        <f ca="1">IF(B311&gt;=$J$5,0,CONTADORES!$B321-CONTADORES!$B320)</f>
        <v>0</v>
      </c>
      <c r="R311" s="196">
        <f t="shared" ca="1" si="136"/>
        <v>0</v>
      </c>
      <c r="S311" s="11">
        <f ca="1">IF(B311&gt;=$J$5,0,CONTADORES!$D321-CONTADORES!$D320)</f>
        <v>0</v>
      </c>
      <c r="T311" s="198">
        <f ca="1">IF(B311&gt;=$J$5,0,CONTADORES!$BB321-CONTADORES!$BB320)</f>
        <v>0</v>
      </c>
      <c r="U311" s="196">
        <f t="shared" ca="1" si="162"/>
        <v>0</v>
      </c>
      <c r="V311" s="199">
        <f ca="1">IF(B311&gt;=$J$5,0,CONTADORES!$BD321-CONTADORES!$BD320)</f>
        <v>0</v>
      </c>
      <c r="W311" s="1397">
        <f t="shared" ca="1" si="137"/>
        <v>0</v>
      </c>
      <c r="X311" s="1397">
        <f t="shared" ca="1" si="138"/>
        <v>0</v>
      </c>
      <c r="Y311" s="1398">
        <f t="shared" ca="1" si="139"/>
        <v>0</v>
      </c>
      <c r="Z311" s="1398">
        <f t="shared" ca="1" si="140"/>
        <v>0</v>
      </c>
      <c r="AA311" s="1398">
        <f t="shared" ca="1" si="141"/>
        <v>0</v>
      </c>
      <c r="AB311" s="1398">
        <f t="shared" ca="1" si="142"/>
        <v>0</v>
      </c>
      <c r="AC311" s="1397">
        <f t="shared" ca="1" si="143"/>
        <v>0</v>
      </c>
      <c r="AD311" s="1397">
        <f ca="1">IF(B311&gt;=$J$5,0,CONTADORES!H321-CONTADORES!H320)</f>
        <v>0</v>
      </c>
      <c r="AE311" s="1397">
        <f ca="1">IF(B311&gt;=$J$5,0,CONTADORES!J321-CONTADORES!J320)</f>
        <v>0</v>
      </c>
      <c r="AF311" s="1397">
        <f ca="1">IF(B311&gt;=$J$5,0,CONTADORES!AU321-CONTADORES!AU320)</f>
        <v>0</v>
      </c>
      <c r="AG311" s="1397">
        <f ca="1">IF(B311&gt;=$J$5,0,CONTADORES!AW321-CONTADORES!AW320)</f>
        <v>0</v>
      </c>
      <c r="AH311" s="1409">
        <f ca="1">IF(B311&gt;=$J$5,0,(CONTADORES!AM321-CONTADORES!AM320)+(CONTADORES!M321-CONTADORES!M320))</f>
        <v>0</v>
      </c>
      <c r="AI311" s="1409">
        <f ca="1">IF(B311&gt;=$J$5,0,(CONTADORES!AK321-CONTADORES!AK320)+(CONTADORES!O321-CONTADORES!O320))</f>
        <v>0</v>
      </c>
      <c r="AJ311" s="1409">
        <f ca="1">IF(B311&gt;=$J$5,0,(CONTADORES!AI321-CONTADORES!AI320))</f>
        <v>0</v>
      </c>
      <c r="AK311" s="1409">
        <f ca="1">IF(B311&gt;=$J$5,0,(CONTADORES!Q321-CONTADORES!Q320))</f>
        <v>0</v>
      </c>
      <c r="AL311" s="1461">
        <f t="shared" ca="1" si="144"/>
        <v>0</v>
      </c>
      <c r="AM311" s="1409">
        <f ca="1">IF(B311&gt;=$J$5,0,(((CONTADORES!F321-CONTADORES!F320)+(CONTADORES!AQ321-CONTADORES!AQ320))))-BS311-AF311-AN311-BV311-BY311-CD311-CB311+T311</f>
        <v>0</v>
      </c>
      <c r="AN311" s="1397">
        <f ca="1">IF(B311&gt;=$J$5,0,(CONTADORES!AX321-CONTADORES!AX320)+(CONTADORES!AZ321-CONTADORES!AZ320)+(CONTADORES!BE321-CONTADORES!BE320))-CB311</f>
        <v>0</v>
      </c>
      <c r="AO311" s="1437">
        <f ca="1">IF(B311&gt;=$J$5,0,(CONTADORES!AC321-CONTADORES!AC320))</f>
        <v>0</v>
      </c>
      <c r="AP311" s="1437">
        <f ca="1">IF(B311&gt;=$J$5,0,(CONTADORES!X321-CONTADORES!X320))</f>
        <v>0</v>
      </c>
      <c r="AQ311" s="1437">
        <f ca="1">IF(B311&gt;=$J$5,0,(CONTADORES!C321-CONTADORES!C320))</f>
        <v>0</v>
      </c>
      <c r="AR311" s="1437">
        <f ca="1">IF(B311&gt;=$J$5,0,(CONTADORES!BC321-CONTADORES!BC320))</f>
        <v>0</v>
      </c>
      <c r="AS311" s="1397">
        <f ca="1">IF(B311&gt;=$J$5,0,CONTADORES!S321-CONTADORES!S320)</f>
        <v>0</v>
      </c>
      <c r="AT311" s="1397">
        <f ca="1">IF(B311&gt;=$J$5,0,(CONTADORES!U321-CONTADORES!U320)+(CONTADORES!AG321-CONTADORES!AG320))</f>
        <v>0</v>
      </c>
      <c r="AU311" s="1433">
        <f ca="1">IF(B311&gt;=$J$5,0,(CONTADORES!I321-CONTADORES!I320))</f>
        <v>0</v>
      </c>
      <c r="AV311" s="1437">
        <f ca="1">IF(B311&gt;=$J$5,0,(CONTADORES!AV321-CONTADORES!AV320))</f>
        <v>0</v>
      </c>
      <c r="AW311" s="1437">
        <f ca="1">IF(B311&gt;=$J$5,0,(CONTADORES!N321-CONTADORES!N320)+(CONTADORES!AN321-CONTADORES!AN320))</f>
        <v>0</v>
      </c>
      <c r="AX311" s="1437">
        <f ca="1">IF(B311&gt;=$J$5,0,(CONTADORES!P321-CONTADORES!P320)+(CONTADORES!AL321-CONTADORES!AL320))</f>
        <v>0</v>
      </c>
      <c r="AY311" s="1437">
        <f ca="1">IF(B311&gt;=$J$5,0,(CONTADORES!AJ321-CONTADORES!AJ320))</f>
        <v>0</v>
      </c>
      <c r="AZ311" s="1437">
        <f ca="1">IF(B311&gt;=$J$5,0,(CONTADORES!R321-CONTADORES!R320))</f>
        <v>0</v>
      </c>
      <c r="BA311" s="1409">
        <f t="shared" ca="1" si="145"/>
        <v>0</v>
      </c>
      <c r="BB311" s="1437">
        <f ca="1">IF(B311&gt;=$J$5,0,(((CONTADORES!G321-CONTADORES!G320)+(CONTADORES!AR321-CONTADORES!AR320))))-AV311-BC311-BT311-BW311-BZ311-CE311</f>
        <v>0</v>
      </c>
      <c r="BC311" s="1398">
        <f ca="1">IF(B311&gt;=$J$5,0,(CONTADORES!AY321-CONTADORES!AY320)+(CONTADORES!BA321-CONTADORES!BA320)+(CONTADORES!BF321-CONTADORES!BF320))</f>
        <v>0</v>
      </c>
      <c r="BD311" s="1397">
        <f t="shared" ca="1" si="146"/>
        <v>0</v>
      </c>
      <c r="BE311" s="1398">
        <f ca="1">IF($B311&gt;=$J$5,0,CONTADORES!$BG321)</f>
        <v>0</v>
      </c>
      <c r="BF311" s="1397">
        <f ca="1">IF($B311&gt;=$J$5,0,CONTADORES!$BH321)</f>
        <v>0</v>
      </c>
      <c r="BG311" s="1398">
        <f ca="1">IF($B311&gt;=$J$5,0,CONTADORES!$BJ321)</f>
        <v>0</v>
      </c>
      <c r="BH311" s="1398">
        <f ca="1">IF(B311&gt;=$J$5,0,((CONTADORES!BK321-CONTADORES!BK320)/1000))</f>
        <v>0</v>
      </c>
      <c r="BI311" s="1398">
        <f ca="1">IF(B311&gt;=$J$5,0,((CONTADORES!BL321-CONTADORES!BL320)/1000))</f>
        <v>0</v>
      </c>
      <c r="BJ311" s="1398">
        <f ca="1">IF(B311&gt;=$J$5,0,((CONTADORES!BM321-CONTADORES!BM320)/1000))</f>
        <v>0</v>
      </c>
      <c r="BK311" s="1398">
        <f ca="1">IF(B311&gt;=$J$5,0,((CONTADORES!BN321-CONTADORES!BN320)/1000))</f>
        <v>0</v>
      </c>
      <c r="BL311" s="1399">
        <f t="shared" ca="1" si="147"/>
        <v>0</v>
      </c>
      <c r="BM311" s="1399">
        <f t="shared" ca="1" si="148"/>
        <v>0</v>
      </c>
      <c r="BN311" s="1398">
        <f ca="1">IF(B311&gt;=$J$5,0,CONTADORES!$BO321)</f>
        <v>0</v>
      </c>
      <c r="BO311" s="1397">
        <f ca="1">IF(W311&gt;=$J$5,0,CONTADORES!$BP321)</f>
        <v>0</v>
      </c>
      <c r="BP311" s="1397">
        <f ca="1">IF(W311&gt;=$J$5,0,CONTADORES!$BQ321)</f>
        <v>0</v>
      </c>
      <c r="BQ311" s="1397">
        <f ca="1">IF(B311&gt;=$J$5,0,(CONTADORES!AS321-CONTADORES!AS320))</f>
        <v>0</v>
      </c>
      <c r="BR311" s="1397">
        <f ca="1">IF(B311&gt;=$J$5,0,(CONTADORES!AT321-CONTADORES!AT320))</f>
        <v>0</v>
      </c>
      <c r="BS311" s="1398">
        <f ca="1">IF(B311&gt;=$J$5,0,CONTADORES!BR321-CONTADORES!BR320)/1000</f>
        <v>0</v>
      </c>
      <c r="BT311" s="1409">
        <f ca="1">IF(B311&gt;=$J$5,0,CONTADORES!BS321-CONTADORES!BS320)</f>
        <v>0</v>
      </c>
      <c r="BU311" s="1409">
        <f ca="1">IF(B311&gt;=$J$5,0,CONTADORES!BT321-CONTADORES!BT320)</f>
        <v>0</v>
      </c>
      <c r="BV311" s="1409">
        <f ca="1">IF(B311&gt;=$J$5,0,CONTADORES!BU321-CONTADORES!BU320)/1000</f>
        <v>0</v>
      </c>
      <c r="BW311" s="1409">
        <f ca="1">IF(B311&gt;=$J$5,0,CONTADORES!BV321-CONTADORES!BV320)/1000</f>
        <v>0</v>
      </c>
      <c r="BX311" s="1409">
        <f ca="1">IF(B311&gt;=$J$5,0,CONTADORES!BW321-CONTADORES!BW320)</f>
        <v>0</v>
      </c>
      <c r="BY311" s="1409">
        <f ca="1">IF(B311&gt;=$J$5,0,CONTADORES!BX321-CONTADORES!BX320)/1000</f>
        <v>0</v>
      </c>
      <c r="BZ311" s="1409">
        <f ca="1">IF(B311&gt;=$J$5,0,CONTADORES!BY321-CONTADORES!BY320)/1000</f>
        <v>0</v>
      </c>
      <c r="CA311" s="1409">
        <f ca="1">IF(B311&gt;=$J$5,0,CONTADORES!BZ321-CONTADORES!BZ320)</f>
        <v>0</v>
      </c>
      <c r="CB311" s="1409">
        <f ca="1">IF(B311&gt;=$J$5,0,(CONTADORES!CC321-CONTADORES!CC320)+(CONTADORES!CE321-CONTADORES!CE320))/1000</f>
        <v>0</v>
      </c>
      <c r="CC311" s="1409">
        <f ca="1">IF(B311&gt;=$J$5,0,(CONTADORES!CD321-CONTADORES!CD320)+(CONTADORES!CF321-CONTADORES!CF320))/1000</f>
        <v>0</v>
      </c>
      <c r="CD311" s="1409">
        <f ca="1">IF(B311&gt;=$J$5,0,CONTADORES!CA321-CONTADORES!CA320)</f>
        <v>0</v>
      </c>
      <c r="CE311" s="1409">
        <f ca="1">IF(B311&gt;=$J$5,0,CONTADORES!CB321-CONTADORES!CB320)</f>
        <v>0</v>
      </c>
      <c r="CF311" s="1409">
        <f t="shared" ca="1" si="149"/>
        <v>0</v>
      </c>
      <c r="CG311" s="1409">
        <f t="shared" ca="1" si="150"/>
        <v>0</v>
      </c>
      <c r="CH311" s="1409">
        <f t="shared" ca="1" si="151"/>
        <v>0</v>
      </c>
      <c r="CI311" s="1409">
        <f t="shared" ca="1" si="152"/>
        <v>0</v>
      </c>
      <c r="CJ311" s="1409">
        <f t="shared" ca="1" si="153"/>
        <v>0</v>
      </c>
      <c r="CK311" s="1409">
        <f t="shared" ca="1" si="154"/>
        <v>0</v>
      </c>
      <c r="CL311" s="1409">
        <f t="shared" ca="1" si="155"/>
        <v>0</v>
      </c>
      <c r="CM311" s="1409">
        <f t="shared" ca="1" si="156"/>
        <v>0</v>
      </c>
      <c r="CN311" s="1409">
        <f ca="1">IF(B311&gt;=$J$5,0,CONTADORES!CB321-CONTADORES!CB320)</f>
        <v>0</v>
      </c>
      <c r="CO311" s="1409">
        <f t="shared" ca="1" si="157"/>
        <v>0</v>
      </c>
      <c r="CP311" s="1409">
        <f t="shared" ca="1" si="158"/>
        <v>0</v>
      </c>
      <c r="CQ311" s="1409">
        <f t="shared" ca="1" si="159"/>
        <v>0</v>
      </c>
      <c r="CR311" s="1409">
        <f t="shared" ca="1" si="160"/>
        <v>0</v>
      </c>
      <c r="CS311" s="1409">
        <f ca="1">IF($B311&gt;=$J$5,0,CONTADORES!$BI321)</f>
        <v>0</v>
      </c>
      <c r="CT311" s="1334">
        <f>CONTADORES!E321</f>
        <v>0</v>
      </c>
      <c r="CU311" s="1334">
        <f>CONTADORES!CG321</f>
        <v>0</v>
      </c>
    </row>
    <row r="312" spans="2:99">
      <c r="B312" s="1477">
        <v>45228</v>
      </c>
      <c r="C312" s="202">
        <f t="shared" ca="1" si="134"/>
        <v>0</v>
      </c>
      <c r="D312" s="196">
        <f ca="1">'CALCULO DE GAS'!P134</f>
        <v>0</v>
      </c>
      <c r="E312" s="196">
        <f ca="1">IF(B312&gt;=$J$5,0,(CONTADORES!$AD322-CONTADORES!$AD321)-$H312)</f>
        <v>0</v>
      </c>
      <c r="F312" s="198">
        <f t="shared" ca="1" si="163"/>
        <v>0</v>
      </c>
      <c r="G312" s="196">
        <f ca="1">IF(B312&gt;=$J$5,0,CONTADORES!$AF322-CONTADORES!$AF321)</f>
        <v>0</v>
      </c>
      <c r="H312" s="196">
        <f ca="1">IF(G312&gt;0,CONTADORES!$AE322-CONTADORES!$AE321,0)</f>
        <v>0</v>
      </c>
      <c r="I312" s="199">
        <f ca="1">IF(B312&gt;=$J$5,0,CONTADORES!$AB322-CONTADORES!$AB321)</f>
        <v>0</v>
      </c>
      <c r="J312" s="198">
        <f t="shared" ca="1" si="135"/>
        <v>0</v>
      </c>
      <c r="K312" s="196">
        <f ca="1">'CALCULO DE GAS'!Q134</f>
        <v>0</v>
      </c>
      <c r="L312" s="1396">
        <f ca="1">IF(B312&gt;=$J$5,0,(CONTADORES!$Y322-CONTADORES!$Y321)-$O312)</f>
        <v>0</v>
      </c>
      <c r="M312" s="1396">
        <f t="shared" ca="1" si="161"/>
        <v>0</v>
      </c>
      <c r="N312" s="1396">
        <f ca="1">IF(B312&gt;=$J$5,0,CONTADORES!$AA322-CONTADORES!$AA321)</f>
        <v>0</v>
      </c>
      <c r="O312" s="1396">
        <f ca="1">IF(N312&gt;0,CONTADORES!$Z322-CONTADORES!$Z321,0)</f>
        <v>0</v>
      </c>
      <c r="P312" s="202">
        <f ca="1">IF(B312&gt;=$J$5,0,CONTADORES!$W322-CONTADORES!$W321)</f>
        <v>0</v>
      </c>
      <c r="Q312" s="202">
        <f ca="1">IF(B312&gt;=$J$5,0,CONTADORES!$B322-CONTADORES!$B321)</f>
        <v>0</v>
      </c>
      <c r="R312" s="196">
        <f t="shared" ca="1" si="136"/>
        <v>0</v>
      </c>
      <c r="S312" s="11">
        <f ca="1">IF(B312&gt;=$J$5,0,CONTADORES!$D322-CONTADORES!$D321)</f>
        <v>0</v>
      </c>
      <c r="T312" s="198">
        <f ca="1">IF(B312&gt;=$J$5,0,CONTADORES!$BB322-CONTADORES!$BB321)</f>
        <v>0</v>
      </c>
      <c r="U312" s="196">
        <f t="shared" ca="1" si="162"/>
        <v>0</v>
      </c>
      <c r="V312" s="199">
        <f ca="1">IF(B312&gt;=$J$5,0,CONTADORES!$BD322-CONTADORES!$BD321)</f>
        <v>0</v>
      </c>
      <c r="W312" s="1397">
        <f t="shared" ca="1" si="137"/>
        <v>0</v>
      </c>
      <c r="X312" s="1397">
        <f t="shared" ca="1" si="138"/>
        <v>0</v>
      </c>
      <c r="Y312" s="1398">
        <f t="shared" ca="1" si="139"/>
        <v>0</v>
      </c>
      <c r="Z312" s="1398">
        <f t="shared" ca="1" si="140"/>
        <v>0</v>
      </c>
      <c r="AA312" s="1398">
        <f t="shared" ca="1" si="141"/>
        <v>0</v>
      </c>
      <c r="AB312" s="1398">
        <f t="shared" ca="1" si="142"/>
        <v>0</v>
      </c>
      <c r="AC312" s="1397">
        <f t="shared" ca="1" si="143"/>
        <v>0</v>
      </c>
      <c r="AD312" s="1397">
        <f ca="1">IF(B312&gt;=$J$5,0,CONTADORES!H322-CONTADORES!H321)</f>
        <v>0</v>
      </c>
      <c r="AE312" s="1397">
        <f ca="1">IF(B312&gt;=$J$5,0,CONTADORES!J322-CONTADORES!J321)</f>
        <v>0</v>
      </c>
      <c r="AF312" s="1397">
        <f ca="1">IF(B312&gt;=$J$5,0,CONTADORES!AU322-CONTADORES!AU321)</f>
        <v>0</v>
      </c>
      <c r="AG312" s="1397">
        <f ca="1">IF(B312&gt;=$J$5,0,CONTADORES!AW322-CONTADORES!AW321)</f>
        <v>0</v>
      </c>
      <c r="AH312" s="1409">
        <f ca="1">IF(B312&gt;=$J$5,0,(CONTADORES!AM322-CONTADORES!AM321)+(CONTADORES!M322-CONTADORES!M321))</f>
        <v>0</v>
      </c>
      <c r="AI312" s="1409">
        <f ca="1">IF(B312&gt;=$J$5,0,(CONTADORES!AK322-CONTADORES!AK321)+(CONTADORES!O322-CONTADORES!O321))</f>
        <v>0</v>
      </c>
      <c r="AJ312" s="1409">
        <f ca="1">IF(B312&gt;=$J$5,0,(CONTADORES!AI322-CONTADORES!AI321))</f>
        <v>0</v>
      </c>
      <c r="AK312" s="1409">
        <f ca="1">IF(B312&gt;=$J$5,0,(CONTADORES!Q322-CONTADORES!Q321))</f>
        <v>0</v>
      </c>
      <c r="AL312" s="1461">
        <f t="shared" ca="1" si="144"/>
        <v>0</v>
      </c>
      <c r="AM312" s="1409">
        <f ca="1">IF(B312&gt;=$J$5,0,(((CONTADORES!F322-CONTADORES!F321)+(CONTADORES!AQ322-CONTADORES!AQ321))))-BS312-AF312-AN312-BV312-BY312-CD312-CB312+T312</f>
        <v>0</v>
      </c>
      <c r="AN312" s="1397">
        <f ca="1">IF(B312&gt;=$J$5,0,(CONTADORES!AX322-CONTADORES!AX321)+(CONTADORES!AZ322-CONTADORES!AZ321)+(CONTADORES!BE322-CONTADORES!BE321))-CB312</f>
        <v>0</v>
      </c>
      <c r="AO312" s="1437">
        <f ca="1">IF(B312&gt;=$J$5,0,(CONTADORES!AC322-CONTADORES!AC321))</f>
        <v>0</v>
      </c>
      <c r="AP312" s="1437">
        <f ca="1">IF(B312&gt;=$J$5,0,(CONTADORES!X322-CONTADORES!X321))</f>
        <v>0</v>
      </c>
      <c r="AQ312" s="1437">
        <f ca="1">IF(B312&gt;=$J$5,0,(CONTADORES!C322-CONTADORES!C321))</f>
        <v>0</v>
      </c>
      <c r="AR312" s="1437">
        <f ca="1">IF(B312&gt;=$J$5,0,(CONTADORES!BC322-CONTADORES!BC321))</f>
        <v>0</v>
      </c>
      <c r="AS312" s="1397">
        <f ca="1">IF(B312&gt;=$J$5,0,CONTADORES!S322-CONTADORES!S321)</f>
        <v>0</v>
      </c>
      <c r="AT312" s="1397">
        <f ca="1">IF(B312&gt;=$J$5,0,(CONTADORES!U322-CONTADORES!U321)+(CONTADORES!AG322-CONTADORES!AG321))</f>
        <v>0</v>
      </c>
      <c r="AU312" s="1433">
        <f ca="1">IF(B312&gt;=$J$5,0,(CONTADORES!I322-CONTADORES!I321))</f>
        <v>0</v>
      </c>
      <c r="AV312" s="1437">
        <f ca="1">IF(B312&gt;=$J$5,0,(CONTADORES!AV322-CONTADORES!AV321))</f>
        <v>0</v>
      </c>
      <c r="AW312" s="1437">
        <f ca="1">IF(B312&gt;=$J$5,0,(CONTADORES!N322-CONTADORES!N321)+(CONTADORES!AN322-CONTADORES!AN321))</f>
        <v>0</v>
      </c>
      <c r="AX312" s="1437">
        <f ca="1">IF(B312&gt;=$J$5,0,(CONTADORES!P322-CONTADORES!P321)+(CONTADORES!AL322-CONTADORES!AL321))</f>
        <v>0</v>
      </c>
      <c r="AY312" s="1437">
        <f ca="1">IF(B312&gt;=$J$5,0,(CONTADORES!AJ322-CONTADORES!AJ321))</f>
        <v>0</v>
      </c>
      <c r="AZ312" s="1437">
        <f ca="1">IF(B312&gt;=$J$5,0,(CONTADORES!R322-CONTADORES!R321))</f>
        <v>0</v>
      </c>
      <c r="BA312" s="1409">
        <f t="shared" ca="1" si="145"/>
        <v>0</v>
      </c>
      <c r="BB312" s="1437">
        <f ca="1">IF(B312&gt;=$J$5,0,(((CONTADORES!G322-CONTADORES!G321)+(CONTADORES!AR322-CONTADORES!AR321))))-AV312-BC312-BT312-BW312-BZ312-CE312</f>
        <v>0</v>
      </c>
      <c r="BC312" s="1398">
        <f ca="1">IF(B312&gt;=$J$5,0,(CONTADORES!AY322-CONTADORES!AY321)+(CONTADORES!BA322-CONTADORES!BA321)+(CONTADORES!BF322-CONTADORES!BF321))</f>
        <v>0</v>
      </c>
      <c r="BD312" s="1397">
        <f t="shared" ca="1" si="146"/>
        <v>0</v>
      </c>
      <c r="BE312" s="1398">
        <f ca="1">IF($B312&gt;=$J$5,0,CONTADORES!$BG322)</f>
        <v>0</v>
      </c>
      <c r="BF312" s="1397">
        <f ca="1">IF($B312&gt;=$J$5,0,CONTADORES!$BH322)</f>
        <v>0</v>
      </c>
      <c r="BG312" s="1398">
        <f ca="1">IF($B312&gt;=$J$5,0,CONTADORES!$BJ322)</f>
        <v>0</v>
      </c>
      <c r="BH312" s="1398">
        <f ca="1">IF(B312&gt;=$J$5,0,((CONTADORES!BK322-CONTADORES!BK321)/1000))</f>
        <v>0</v>
      </c>
      <c r="BI312" s="1398">
        <f ca="1">IF(B312&gt;=$J$5,0,((CONTADORES!BL322-CONTADORES!BL321)/1000))</f>
        <v>0</v>
      </c>
      <c r="BJ312" s="1398">
        <f ca="1">IF(B312&gt;=$J$5,0,((CONTADORES!BM322-CONTADORES!BM321)/1000))</f>
        <v>0</v>
      </c>
      <c r="BK312" s="1398">
        <f ca="1">IF(B312&gt;=$J$5,0,((CONTADORES!BN322-CONTADORES!BN321)/1000))</f>
        <v>0</v>
      </c>
      <c r="BL312" s="1399">
        <f t="shared" ca="1" si="147"/>
        <v>0</v>
      </c>
      <c r="BM312" s="1399">
        <f t="shared" ca="1" si="148"/>
        <v>0</v>
      </c>
      <c r="BN312" s="1398">
        <f ca="1">IF(B312&gt;=$J$5,0,CONTADORES!$BO322)</f>
        <v>0</v>
      </c>
      <c r="BO312" s="1397">
        <f ca="1">IF(W312&gt;=$J$5,0,CONTADORES!$BP322)</f>
        <v>0</v>
      </c>
      <c r="BP312" s="1397">
        <f ca="1">IF(W312&gt;=$J$5,0,CONTADORES!$BQ322)</f>
        <v>0</v>
      </c>
      <c r="BQ312" s="1397">
        <f ca="1">IF(B312&gt;=$J$5,0,(CONTADORES!AS322-CONTADORES!AS321))</f>
        <v>0</v>
      </c>
      <c r="BR312" s="1397">
        <f ca="1">IF(B312&gt;=$J$5,0,(CONTADORES!AT322-CONTADORES!AT321))</f>
        <v>0</v>
      </c>
      <c r="BS312" s="1398">
        <f ca="1">IF(B312&gt;=$J$5,0,CONTADORES!BR322-CONTADORES!BR321)/1000</f>
        <v>0</v>
      </c>
      <c r="BT312" s="1409">
        <f ca="1">IF(B312&gt;=$J$5,0,CONTADORES!BS322-CONTADORES!BS321)</f>
        <v>0</v>
      </c>
      <c r="BU312" s="1409">
        <f ca="1">IF(B312&gt;=$J$5,0,CONTADORES!BT322-CONTADORES!BT321)</f>
        <v>0</v>
      </c>
      <c r="BV312" s="1409">
        <f ca="1">IF(B312&gt;=$J$5,0,CONTADORES!BU322-CONTADORES!BU321)/1000</f>
        <v>0</v>
      </c>
      <c r="BW312" s="1409">
        <f ca="1">IF(B312&gt;=$J$5,0,CONTADORES!BV322-CONTADORES!BV321)/1000</f>
        <v>0</v>
      </c>
      <c r="BX312" s="1409">
        <f ca="1">IF(B312&gt;=$J$5,0,CONTADORES!BW322-CONTADORES!BW321)</f>
        <v>0</v>
      </c>
      <c r="BY312" s="1409">
        <f ca="1">IF(B312&gt;=$J$5,0,CONTADORES!BX322-CONTADORES!BX321)/1000</f>
        <v>0</v>
      </c>
      <c r="BZ312" s="1409">
        <f ca="1">IF(B312&gt;=$J$5,0,CONTADORES!BY322-CONTADORES!BY321)/1000</f>
        <v>0</v>
      </c>
      <c r="CA312" s="1409">
        <f ca="1">IF(B312&gt;=$J$5,0,CONTADORES!BZ322-CONTADORES!BZ321)</f>
        <v>0</v>
      </c>
      <c r="CB312" s="1409">
        <f ca="1">IF(B312&gt;=$J$5,0,(CONTADORES!CC322-CONTADORES!CC321)+(CONTADORES!CE322-CONTADORES!CE321))/1000</f>
        <v>0</v>
      </c>
      <c r="CC312" s="1409">
        <f ca="1">IF(B312&gt;=$J$5,0,(CONTADORES!CD322-CONTADORES!CD321)+(CONTADORES!CF322-CONTADORES!CF321))/1000</f>
        <v>0</v>
      </c>
      <c r="CD312" s="1409">
        <f ca="1">IF(B312&gt;=$J$5,0,CONTADORES!CA322-CONTADORES!CA321)</f>
        <v>0</v>
      </c>
      <c r="CE312" s="1409">
        <f ca="1">IF(B312&gt;=$J$5,0,CONTADORES!CB322-CONTADORES!CB321)</f>
        <v>0</v>
      </c>
      <c r="CF312" s="1409">
        <f t="shared" ca="1" si="149"/>
        <v>0</v>
      </c>
      <c r="CG312" s="1409">
        <f t="shared" ca="1" si="150"/>
        <v>0</v>
      </c>
      <c r="CH312" s="1409">
        <f t="shared" ca="1" si="151"/>
        <v>0</v>
      </c>
      <c r="CI312" s="1409">
        <f t="shared" ca="1" si="152"/>
        <v>0</v>
      </c>
      <c r="CJ312" s="1409">
        <f t="shared" ca="1" si="153"/>
        <v>0</v>
      </c>
      <c r="CK312" s="1409">
        <f t="shared" ca="1" si="154"/>
        <v>0</v>
      </c>
      <c r="CL312" s="1409">
        <f t="shared" ca="1" si="155"/>
        <v>0</v>
      </c>
      <c r="CM312" s="1409">
        <f t="shared" ca="1" si="156"/>
        <v>0</v>
      </c>
      <c r="CN312" s="1409">
        <f ca="1">IF(B312&gt;=$J$5,0,CONTADORES!CB322-CONTADORES!CB321)</f>
        <v>0</v>
      </c>
      <c r="CO312" s="1409">
        <f t="shared" ca="1" si="157"/>
        <v>0</v>
      </c>
      <c r="CP312" s="1409">
        <f t="shared" ca="1" si="158"/>
        <v>0</v>
      </c>
      <c r="CQ312" s="1409">
        <f t="shared" ca="1" si="159"/>
        <v>0</v>
      </c>
      <c r="CR312" s="1409">
        <f t="shared" ca="1" si="160"/>
        <v>0</v>
      </c>
      <c r="CS312" s="1409">
        <f ca="1">IF($B312&gt;=$J$5,0,CONTADORES!$BI322)</f>
        <v>0</v>
      </c>
      <c r="CT312" s="1334">
        <f>CONTADORES!E322</f>
        <v>0</v>
      </c>
      <c r="CU312" s="1334">
        <f>CONTADORES!CG322</f>
        <v>0</v>
      </c>
    </row>
    <row r="313" spans="2:99">
      <c r="B313" s="1477">
        <v>45229</v>
      </c>
      <c r="C313" s="202">
        <f t="shared" ca="1" si="134"/>
        <v>0</v>
      </c>
      <c r="D313" s="196">
        <f ca="1">'CALCULO DE GAS'!P135</f>
        <v>0</v>
      </c>
      <c r="E313" s="196">
        <f ca="1">IF(B313&gt;=$J$5,0,(CONTADORES!$AD323-CONTADORES!$AD322)-$H313)</f>
        <v>0</v>
      </c>
      <c r="F313" s="198">
        <f t="shared" ca="1" si="163"/>
        <v>0</v>
      </c>
      <c r="G313" s="196">
        <f ca="1">IF(B313&gt;=$J$5,0,CONTADORES!$AF323-CONTADORES!$AF322)</f>
        <v>0</v>
      </c>
      <c r="H313" s="196">
        <f ca="1">IF(G313&gt;0,CONTADORES!$AE323-CONTADORES!$AE322,0)</f>
        <v>0</v>
      </c>
      <c r="I313" s="199">
        <f ca="1">IF(B313&gt;=$J$5,0,CONTADORES!$AB323-CONTADORES!$AB322)</f>
        <v>0</v>
      </c>
      <c r="J313" s="198">
        <f t="shared" ca="1" si="135"/>
        <v>0</v>
      </c>
      <c r="K313" s="196">
        <f ca="1">'CALCULO DE GAS'!Q135</f>
        <v>0</v>
      </c>
      <c r="L313" s="1396">
        <f ca="1">IF(B313&gt;=$J$5,0,(CONTADORES!$Y323-CONTADORES!$Y322)-$O313)</f>
        <v>0</v>
      </c>
      <c r="M313" s="1396">
        <f t="shared" ca="1" si="161"/>
        <v>0</v>
      </c>
      <c r="N313" s="1396">
        <f ca="1">IF(B313&gt;=$J$5,0,CONTADORES!$AA323-CONTADORES!$AA322)</f>
        <v>0</v>
      </c>
      <c r="O313" s="1396">
        <f ca="1">IF(N313&gt;0,CONTADORES!$Z323-CONTADORES!$Z322,0)</f>
        <v>0</v>
      </c>
      <c r="P313" s="202">
        <f ca="1">IF(B313&gt;=$J$5,0,CONTADORES!$W323-CONTADORES!$W322)</f>
        <v>0</v>
      </c>
      <c r="Q313" s="202">
        <f ca="1">IF(B313&gt;=$J$5,0,CONTADORES!$B323-CONTADORES!$B322)</f>
        <v>0</v>
      </c>
      <c r="R313" s="196">
        <f t="shared" ca="1" si="136"/>
        <v>0</v>
      </c>
      <c r="S313" s="11">
        <f ca="1">IF(B313&gt;=$J$5,0,CONTADORES!$D323-CONTADORES!$D322)</f>
        <v>0</v>
      </c>
      <c r="T313" s="198">
        <f ca="1">IF(B313&gt;=$J$5,0,CONTADORES!$BB323-CONTADORES!$BB322)</f>
        <v>0</v>
      </c>
      <c r="U313" s="196">
        <f t="shared" ca="1" si="162"/>
        <v>0</v>
      </c>
      <c r="V313" s="199">
        <f ca="1">IF(B313&gt;=$J$5,0,CONTADORES!$BD323-CONTADORES!$BD322)</f>
        <v>0</v>
      </c>
      <c r="W313" s="1397">
        <f t="shared" ca="1" si="137"/>
        <v>0</v>
      </c>
      <c r="X313" s="1397">
        <f t="shared" ca="1" si="138"/>
        <v>0</v>
      </c>
      <c r="Y313" s="1398">
        <f t="shared" ca="1" si="139"/>
        <v>0</v>
      </c>
      <c r="Z313" s="1398">
        <f t="shared" ca="1" si="140"/>
        <v>0</v>
      </c>
      <c r="AA313" s="1398">
        <f t="shared" ca="1" si="141"/>
        <v>0</v>
      </c>
      <c r="AB313" s="1398">
        <f t="shared" ca="1" si="142"/>
        <v>0</v>
      </c>
      <c r="AC313" s="1397">
        <f t="shared" ca="1" si="143"/>
        <v>0</v>
      </c>
      <c r="AD313" s="1397">
        <f ca="1">IF(B313&gt;=$J$5,0,CONTADORES!H323-CONTADORES!H322)</f>
        <v>0</v>
      </c>
      <c r="AE313" s="1397">
        <f ca="1">IF(B313&gt;=$J$5,0,CONTADORES!J323-CONTADORES!J322)</f>
        <v>0</v>
      </c>
      <c r="AF313" s="1397">
        <f ca="1">IF(B313&gt;=$J$5,0,CONTADORES!AU323-CONTADORES!AU322)</f>
        <v>0</v>
      </c>
      <c r="AG313" s="1397">
        <f ca="1">IF(B313&gt;=$J$5,0,CONTADORES!AW323-CONTADORES!AW322)</f>
        <v>0</v>
      </c>
      <c r="AH313" s="1409">
        <f ca="1">IF(B313&gt;=$J$5,0,(CONTADORES!AM323-CONTADORES!AM322)+(CONTADORES!M323-CONTADORES!M322))</f>
        <v>0</v>
      </c>
      <c r="AI313" s="1409">
        <f ca="1">IF(B313&gt;=$J$5,0,(CONTADORES!AK323-CONTADORES!AK322)+(CONTADORES!O323-CONTADORES!O322))</f>
        <v>0</v>
      </c>
      <c r="AJ313" s="1409">
        <f ca="1">IF(B313&gt;=$J$5,0,(CONTADORES!AI323-CONTADORES!AI322))</f>
        <v>0</v>
      </c>
      <c r="AK313" s="1409">
        <f ca="1">IF(B313&gt;=$J$5,0,(CONTADORES!Q323-CONTADORES!Q322))</f>
        <v>0</v>
      </c>
      <c r="AL313" s="1461">
        <f t="shared" ca="1" si="144"/>
        <v>0</v>
      </c>
      <c r="AM313" s="1409">
        <f ca="1">IF(B313&gt;=$J$5,0,(((CONTADORES!F323-CONTADORES!F322)+(CONTADORES!AQ323-CONTADORES!AQ322))))-BS313-AF313-AN313-BV313-BY313-CD313-CB313+T313</f>
        <v>0</v>
      </c>
      <c r="AN313" s="1397">
        <f ca="1">IF(B313&gt;=$J$5,0,(CONTADORES!AX323-CONTADORES!AX322)+(CONTADORES!AZ323-CONTADORES!AZ322)+(CONTADORES!BE323-CONTADORES!BE322))-CB313</f>
        <v>0</v>
      </c>
      <c r="AO313" s="1437">
        <f ca="1">IF(B313&gt;=$J$5,0,(CONTADORES!AC323-CONTADORES!AC322))</f>
        <v>0</v>
      </c>
      <c r="AP313" s="1437">
        <f ca="1">IF(B313&gt;=$J$5,0,(CONTADORES!X323-CONTADORES!X322))</f>
        <v>0</v>
      </c>
      <c r="AQ313" s="1437">
        <f ca="1">IF(B313&gt;=$J$5,0,(CONTADORES!C323-CONTADORES!C322))</f>
        <v>0</v>
      </c>
      <c r="AR313" s="1437">
        <f ca="1">IF(B313&gt;=$J$5,0,(CONTADORES!BC323-CONTADORES!BC322))</f>
        <v>0</v>
      </c>
      <c r="AS313" s="1397">
        <f ca="1">IF(B313&gt;=$J$5,0,CONTADORES!S323-CONTADORES!S322)</f>
        <v>0</v>
      </c>
      <c r="AT313" s="1397">
        <f ca="1">IF(B313&gt;=$J$5,0,(CONTADORES!U323-CONTADORES!U322)+(CONTADORES!AG323-CONTADORES!AG322))</f>
        <v>0</v>
      </c>
      <c r="AU313" s="1433">
        <f ca="1">IF(B313&gt;=$J$5,0,(CONTADORES!I323-CONTADORES!I322))</f>
        <v>0</v>
      </c>
      <c r="AV313" s="1437">
        <f ca="1">IF(B313&gt;=$J$5,0,(CONTADORES!AV323-CONTADORES!AV322))</f>
        <v>0</v>
      </c>
      <c r="AW313" s="1437">
        <f ca="1">IF(B313&gt;=$J$5,0,(CONTADORES!N323-CONTADORES!N322)+(CONTADORES!AN323-CONTADORES!AN322))</f>
        <v>0</v>
      </c>
      <c r="AX313" s="1437">
        <f ca="1">IF(B313&gt;=$J$5,0,(CONTADORES!P323-CONTADORES!P322)+(CONTADORES!AL323-CONTADORES!AL322))</f>
        <v>0</v>
      </c>
      <c r="AY313" s="1437">
        <f ca="1">IF(B313&gt;=$J$5,0,(CONTADORES!AJ323-CONTADORES!AJ322))</f>
        <v>0</v>
      </c>
      <c r="AZ313" s="1437">
        <f ca="1">IF(B313&gt;=$J$5,0,(CONTADORES!R323-CONTADORES!R322))</f>
        <v>0</v>
      </c>
      <c r="BA313" s="1409">
        <f t="shared" ca="1" si="145"/>
        <v>0</v>
      </c>
      <c r="BB313" s="1437">
        <f ca="1">IF(B313&gt;=$J$5,0,(((CONTADORES!G323-CONTADORES!G322)+(CONTADORES!AR323-CONTADORES!AR322))))-AV313-BC313-BT313-BW313-BZ313-CE313</f>
        <v>0</v>
      </c>
      <c r="BC313" s="1398">
        <f ca="1">IF(B313&gt;=$J$5,0,(CONTADORES!AY323-CONTADORES!AY322)+(CONTADORES!BA323-CONTADORES!BA322)+(CONTADORES!BF323-CONTADORES!BF322))</f>
        <v>0</v>
      </c>
      <c r="BD313" s="1397">
        <f t="shared" ca="1" si="146"/>
        <v>0</v>
      </c>
      <c r="BE313" s="1398">
        <f ca="1">IF($B313&gt;=$J$5,0,CONTADORES!$BG323)</f>
        <v>0</v>
      </c>
      <c r="BF313" s="1397">
        <f ca="1">IF($B313&gt;=$J$5,0,CONTADORES!$BH323)</f>
        <v>0</v>
      </c>
      <c r="BG313" s="1398">
        <f ca="1">IF($B313&gt;=$J$5,0,CONTADORES!$BJ323)</f>
        <v>0</v>
      </c>
      <c r="BH313" s="1398">
        <f ca="1">IF(B313&gt;=$J$5,0,((CONTADORES!BK323-CONTADORES!BK322)/1000))</f>
        <v>0</v>
      </c>
      <c r="BI313" s="1398">
        <f ca="1">IF(B313&gt;=$J$5,0,((CONTADORES!BL323-CONTADORES!BL322)/1000))</f>
        <v>0</v>
      </c>
      <c r="BJ313" s="1398">
        <f ca="1">IF(B313&gt;=$J$5,0,((CONTADORES!BM323-CONTADORES!BM322)/1000))</f>
        <v>0</v>
      </c>
      <c r="BK313" s="1398">
        <f ca="1">IF(B313&gt;=$J$5,0,((CONTADORES!BN323-CONTADORES!BN322)/1000))</f>
        <v>0</v>
      </c>
      <c r="BL313" s="1399">
        <f t="shared" ca="1" si="147"/>
        <v>0</v>
      </c>
      <c r="BM313" s="1399">
        <f t="shared" ca="1" si="148"/>
        <v>0</v>
      </c>
      <c r="BN313" s="1398">
        <f ca="1">IF(B313&gt;=$J$5,0,CONTADORES!$BO323)</f>
        <v>0</v>
      </c>
      <c r="BO313" s="1397">
        <f ca="1">IF(W313&gt;=$J$5,0,CONTADORES!$BP323)</f>
        <v>0</v>
      </c>
      <c r="BP313" s="1397">
        <f ca="1">IF(W313&gt;=$J$5,0,CONTADORES!$BQ323)</f>
        <v>0</v>
      </c>
      <c r="BQ313" s="1397">
        <f ca="1">IF(B313&gt;=$J$5,0,(CONTADORES!AS323-CONTADORES!AS322))</f>
        <v>0</v>
      </c>
      <c r="BR313" s="1397">
        <f ca="1">IF(B313&gt;=$J$5,0,(CONTADORES!AT323-CONTADORES!AT322))</f>
        <v>0</v>
      </c>
      <c r="BS313" s="1398">
        <f ca="1">IF(B313&gt;=$J$5,0,CONTADORES!BR323-CONTADORES!BR322)/1000</f>
        <v>0</v>
      </c>
      <c r="BT313" s="1409">
        <f ca="1">IF(B313&gt;=$J$5,0,CONTADORES!BS323-CONTADORES!BS322)</f>
        <v>0</v>
      </c>
      <c r="BU313" s="1409">
        <f ca="1">IF(B313&gt;=$J$5,0,CONTADORES!BT323-CONTADORES!BT322)</f>
        <v>0</v>
      </c>
      <c r="BV313" s="1409">
        <f ca="1">IF(B313&gt;=$J$5,0,CONTADORES!BU323-CONTADORES!BU322)/1000</f>
        <v>0</v>
      </c>
      <c r="BW313" s="1409">
        <f ca="1">IF(B313&gt;=$J$5,0,CONTADORES!BV323-CONTADORES!BV322)/1000</f>
        <v>0</v>
      </c>
      <c r="BX313" s="1409">
        <f ca="1">IF(B313&gt;=$J$5,0,CONTADORES!BW323-CONTADORES!BW322)</f>
        <v>0</v>
      </c>
      <c r="BY313" s="1409">
        <f ca="1">IF(B313&gt;=$J$5,0,CONTADORES!BX323-CONTADORES!BX322)/1000</f>
        <v>0</v>
      </c>
      <c r="BZ313" s="1409">
        <f ca="1">IF(B313&gt;=$J$5,0,CONTADORES!BY323-CONTADORES!BY322)/1000</f>
        <v>0</v>
      </c>
      <c r="CA313" s="1409">
        <f ca="1">IF(B313&gt;=$J$5,0,CONTADORES!BZ323-CONTADORES!BZ322)</f>
        <v>0</v>
      </c>
      <c r="CB313" s="1409">
        <f ca="1">IF(B313&gt;=$J$5,0,(CONTADORES!CC323-CONTADORES!CC322)+(CONTADORES!CE323-CONTADORES!CE322))/1000</f>
        <v>0</v>
      </c>
      <c r="CC313" s="1409">
        <f ca="1">IF(B313&gt;=$J$5,0,(CONTADORES!CD323-CONTADORES!CD322)+(CONTADORES!CF323-CONTADORES!CF322))/1000</f>
        <v>0</v>
      </c>
      <c r="CD313" s="1409">
        <f ca="1">IF(B313&gt;=$J$5,0,CONTADORES!CA323-CONTADORES!CA322)</f>
        <v>0</v>
      </c>
      <c r="CE313" s="1409">
        <f ca="1">IF(B313&gt;=$J$5,0,CONTADORES!CB323-CONTADORES!CB322)</f>
        <v>0</v>
      </c>
      <c r="CF313" s="1409">
        <f t="shared" ca="1" si="149"/>
        <v>0</v>
      </c>
      <c r="CG313" s="1409">
        <f t="shared" ca="1" si="150"/>
        <v>0</v>
      </c>
      <c r="CH313" s="1409">
        <f t="shared" ca="1" si="151"/>
        <v>0</v>
      </c>
      <c r="CI313" s="1409">
        <f t="shared" ca="1" si="152"/>
        <v>0</v>
      </c>
      <c r="CJ313" s="1409">
        <f t="shared" ca="1" si="153"/>
        <v>0</v>
      </c>
      <c r="CK313" s="1409">
        <f t="shared" ca="1" si="154"/>
        <v>0</v>
      </c>
      <c r="CL313" s="1409">
        <f t="shared" ca="1" si="155"/>
        <v>0</v>
      </c>
      <c r="CM313" s="1409">
        <f t="shared" ca="1" si="156"/>
        <v>0</v>
      </c>
      <c r="CN313" s="1409">
        <f ca="1">IF(B313&gt;=$J$5,0,CONTADORES!CB323-CONTADORES!CB322)</f>
        <v>0</v>
      </c>
      <c r="CO313" s="1409">
        <f t="shared" ca="1" si="157"/>
        <v>0</v>
      </c>
      <c r="CP313" s="1409">
        <f t="shared" ca="1" si="158"/>
        <v>0</v>
      </c>
      <c r="CQ313" s="1409">
        <f t="shared" ca="1" si="159"/>
        <v>0</v>
      </c>
      <c r="CR313" s="1409">
        <f t="shared" ca="1" si="160"/>
        <v>0</v>
      </c>
      <c r="CS313" s="1409">
        <f ca="1">IF($B313&gt;=$J$5,0,CONTADORES!$BI323)</f>
        <v>0</v>
      </c>
      <c r="CT313" s="1334">
        <f>CONTADORES!E323</f>
        <v>0</v>
      </c>
      <c r="CU313" s="1334">
        <f>CONTADORES!CG323</f>
        <v>0</v>
      </c>
    </row>
    <row r="314" spans="2:99" ht="15" thickBot="1">
      <c r="B314" s="1478">
        <v>45230</v>
      </c>
      <c r="C314" s="203">
        <f t="shared" ca="1" si="134"/>
        <v>0</v>
      </c>
      <c r="D314" s="197">
        <f ca="1">'CALCULO DE GAS'!P136</f>
        <v>0</v>
      </c>
      <c r="E314" s="197">
        <f ca="1">IF(B314&gt;=$J$5,0,(CONTADORES!$AD324-CONTADORES!$AD323)-$H314)</f>
        <v>0</v>
      </c>
      <c r="F314" s="200">
        <f t="shared" ca="1" si="163"/>
        <v>0</v>
      </c>
      <c r="G314" s="197">
        <f ca="1">IF(B314&gt;=$J$5,0,CONTADORES!$AF324-CONTADORES!$AF323)</f>
        <v>0</v>
      </c>
      <c r="H314" s="197">
        <f ca="1">IF(G314&gt;0,CONTADORES!$AE324-CONTADORES!$AE323,0)</f>
        <v>0</v>
      </c>
      <c r="I314" s="201">
        <f ca="1">IF(B314&gt;=$J$5,0,CONTADORES!$AB324-CONTADORES!$AB323)</f>
        <v>0</v>
      </c>
      <c r="J314" s="200">
        <f t="shared" ca="1" si="135"/>
        <v>0</v>
      </c>
      <c r="K314" s="197">
        <f ca="1">'CALCULO DE GAS'!Q136</f>
        <v>0</v>
      </c>
      <c r="L314" s="1424">
        <f ca="1">IF(B314&gt;=$J$5,0,(CONTADORES!$Y324-CONTADORES!$Y323)-$O314)</f>
        <v>0</v>
      </c>
      <c r="M314" s="1424">
        <f t="shared" ca="1" si="161"/>
        <v>0</v>
      </c>
      <c r="N314" s="1424">
        <f ca="1">IF(B314&gt;=$J$5,0,CONTADORES!$AA324-CONTADORES!$AA323)</f>
        <v>0</v>
      </c>
      <c r="O314" s="1424">
        <f ca="1">IF(N314&gt;0,CONTADORES!$Z324-CONTADORES!$Z323,0)</f>
        <v>0</v>
      </c>
      <c r="P314" s="203">
        <f ca="1">IF(B314&gt;=$J$5,0,CONTADORES!$W324-CONTADORES!$W323)</f>
        <v>0</v>
      </c>
      <c r="Q314" s="203">
        <f ca="1">IF(B314&gt;=$J$5,0,CONTADORES!$B324-CONTADORES!$B323)</f>
        <v>0</v>
      </c>
      <c r="R314" s="197">
        <f t="shared" ca="1" si="136"/>
        <v>0</v>
      </c>
      <c r="S314" s="64">
        <f ca="1">IF(B314&gt;=$J$5,0,CONTADORES!$D324-CONTADORES!$D323)</f>
        <v>0</v>
      </c>
      <c r="T314" s="200">
        <f ca="1">IF(B314&gt;=$J$5,0,CONTADORES!$BB324-CONTADORES!$BB323)</f>
        <v>0</v>
      </c>
      <c r="U314" s="197">
        <f t="shared" ca="1" si="162"/>
        <v>0</v>
      </c>
      <c r="V314" s="201">
        <f ca="1">IF(B314&gt;=$J$5,0,CONTADORES!$BD324-CONTADORES!$BD323)</f>
        <v>0</v>
      </c>
      <c r="W314" s="1425">
        <f t="shared" ca="1" si="137"/>
        <v>0</v>
      </c>
      <c r="X314" s="1425">
        <f t="shared" ca="1" si="138"/>
        <v>0</v>
      </c>
      <c r="Y314" s="1426">
        <f t="shared" ca="1" si="139"/>
        <v>0</v>
      </c>
      <c r="Z314" s="1426">
        <f t="shared" ca="1" si="140"/>
        <v>0</v>
      </c>
      <c r="AA314" s="1426">
        <f t="shared" ca="1" si="141"/>
        <v>0</v>
      </c>
      <c r="AB314" s="1426">
        <f t="shared" ca="1" si="142"/>
        <v>0</v>
      </c>
      <c r="AC314" s="1426">
        <f t="shared" ca="1" si="143"/>
        <v>0</v>
      </c>
      <c r="AD314" s="1425">
        <f ca="1">IF(B314&gt;=$J$5,0,CONTADORES!H324-CONTADORES!H323)</f>
        <v>0</v>
      </c>
      <c r="AE314" s="1425">
        <f ca="1">IF(B314&gt;=$J$5,0,CONTADORES!J324-CONTADORES!J323)</f>
        <v>0</v>
      </c>
      <c r="AF314" s="1425">
        <f ca="1">IF(B314&gt;=$J$5,0,CONTADORES!AU324-CONTADORES!AU323)</f>
        <v>0</v>
      </c>
      <c r="AG314" s="1425">
        <f ca="1">IF(B314&gt;=$J$5,0,CONTADORES!AW324-CONTADORES!AW323)</f>
        <v>0</v>
      </c>
      <c r="AH314" s="1426">
        <f ca="1">IF(B314&gt;=$J$5,0,(CONTADORES!AM324-CONTADORES!AM323)+(CONTADORES!M324-CONTADORES!M323))</f>
        <v>0</v>
      </c>
      <c r="AI314" s="1426">
        <f ca="1">IF(B314&gt;=$J$5,0,(CONTADORES!AK324-CONTADORES!AK323)+(CONTADORES!O324-CONTADORES!O323))</f>
        <v>0</v>
      </c>
      <c r="AJ314" s="1426">
        <f ca="1">IF(B314&gt;=$J$5,0,(CONTADORES!AI324-CONTADORES!AI323))</f>
        <v>0</v>
      </c>
      <c r="AK314" s="1426">
        <f ca="1">IF(B314&gt;=$J$5,0,(CONTADORES!Q324-CONTADORES!Q323))</f>
        <v>0</v>
      </c>
      <c r="AL314" s="1426">
        <f t="shared" ca="1" si="144"/>
        <v>0</v>
      </c>
      <c r="AM314" s="1426">
        <f ca="1">IF(B314&gt;=$J$5,0,(((CONTADORES!F324-CONTADORES!F323)+(CONTADORES!AQ324-CONTADORES!AQ323))))-BS314-AF314-AN314-BV314-BY314-CD314-CB314+T314</f>
        <v>0</v>
      </c>
      <c r="AN314" s="1426">
        <f ca="1">IF(B314&gt;=$J$5,0,(CONTADORES!AX324-CONTADORES!AX323)+(CONTADORES!AZ324-CONTADORES!AZ323)+(CONTADORES!BE324-CONTADORES!BE323))-CB314</f>
        <v>0</v>
      </c>
      <c r="AO314" s="61">
        <f ca="1">IF(B314&gt;=$J$5,0,(CONTADORES!AC324-CONTADORES!AC323))</f>
        <v>0</v>
      </c>
      <c r="AP314" s="61">
        <f ca="1">IF(B314&gt;=$J$5,0,(CONTADORES!X324-CONTADORES!X323))</f>
        <v>0</v>
      </c>
      <c r="AQ314" s="61">
        <f ca="1">IF(B314&gt;=$J$5,0,(CONTADORES!C324-CONTADORES!C323))</f>
        <v>0</v>
      </c>
      <c r="AR314" s="61">
        <f ca="1">IF(B314&gt;=$J$5,0,(CONTADORES!BC324-CONTADORES!BC323))</f>
        <v>0</v>
      </c>
      <c r="AS314" s="1425">
        <f ca="1">IF(B314&gt;=$J$5,0,CONTADORES!S324-CONTADORES!S323)</f>
        <v>0</v>
      </c>
      <c r="AT314" s="1425">
        <f ca="1">IF(B314&gt;=$J$5,0,(CONTADORES!U324-CONTADORES!U323)+(CONTADORES!AG324-CONTADORES!AG323))</f>
        <v>0</v>
      </c>
      <c r="AU314" s="61">
        <f ca="1">IF(B314&gt;=$J$5,0,(CONTADORES!I324-CONTADORES!I323))</f>
        <v>0</v>
      </c>
      <c r="AV314" s="61">
        <f ca="1">IF(B314&gt;=$J$5,0,(CONTADORES!AV324-CONTADORES!AV323))</f>
        <v>0</v>
      </c>
      <c r="AW314" s="61">
        <f ca="1">IF(B314&gt;=$J$5,0,(CONTADORES!N324-CONTADORES!N323)+(CONTADORES!AN324-CONTADORES!AN323))</f>
        <v>0</v>
      </c>
      <c r="AX314" s="61">
        <f ca="1">IF(B314&gt;=$J$5,0,(CONTADORES!P324-CONTADORES!P323)+(CONTADORES!AL324-CONTADORES!AL323))</f>
        <v>0</v>
      </c>
      <c r="AY314" s="61">
        <f ca="1">IF(B314&gt;=$J$5,0,(CONTADORES!AJ324-CONTADORES!AJ323))</f>
        <v>0</v>
      </c>
      <c r="AZ314" s="61">
        <f ca="1">IF(B314&gt;=$J$5,0,(CONTADORES!R324-CONTADORES!R323))</f>
        <v>0</v>
      </c>
      <c r="BA314" s="1426">
        <f t="shared" ca="1" si="145"/>
        <v>0</v>
      </c>
      <c r="BB314" s="61">
        <f ca="1">IF(B314&gt;=$J$5,0,(((CONTADORES!G324-CONTADORES!G323)+(CONTADORES!AR324-CONTADORES!AR323))))-AV314-BC314-BT314-BW314-BZ314-CE314</f>
        <v>0</v>
      </c>
      <c r="BC314" s="1426">
        <f ca="1">IF(B314&gt;=$J$5,0,(CONTADORES!AY324-CONTADORES!AY323)+(CONTADORES!BA324-CONTADORES!BA323)+(CONTADORES!BF324-CONTADORES!BF323))</f>
        <v>0</v>
      </c>
      <c r="BD314" s="1425">
        <f t="shared" ca="1" si="146"/>
        <v>0</v>
      </c>
      <c r="BE314" s="1426">
        <f ca="1">IF($B314&gt;=$J$5,0,CONTADORES!$BG324)</f>
        <v>0</v>
      </c>
      <c r="BF314" s="1425">
        <f ca="1">IF($B314&gt;=$J$5,0,CONTADORES!$BH324)</f>
        <v>0</v>
      </c>
      <c r="BG314" s="1426">
        <f ca="1">IF($B314&gt;=$J$5,0,CONTADORES!$BJ324)</f>
        <v>0</v>
      </c>
      <c r="BH314" s="1426">
        <f ca="1">IF(B314&gt;=$J$5,0,((CONTADORES!BK324-CONTADORES!BK323)/1000))</f>
        <v>0</v>
      </c>
      <c r="BI314" s="1426">
        <f ca="1">IF(B314&gt;=$J$5,0,((CONTADORES!BL324-CONTADORES!BL323)/1000))</f>
        <v>0</v>
      </c>
      <c r="BJ314" s="1426">
        <f ca="1">IF(B314&gt;=$J$5,0,((CONTADORES!BM324-CONTADORES!BM323)/1000))</f>
        <v>0</v>
      </c>
      <c r="BK314" s="1426">
        <f ca="1">IF(B314&gt;=$J$5,0,((CONTADORES!BN324-CONTADORES!BN323)/1000))</f>
        <v>0</v>
      </c>
      <c r="BL314" s="61">
        <f t="shared" ca="1" si="147"/>
        <v>0</v>
      </c>
      <c r="BM314" s="1427">
        <f t="shared" ca="1" si="148"/>
        <v>0</v>
      </c>
      <c r="BN314" s="1426">
        <f ca="1">IF(B314&gt;=$J$5,0,CONTADORES!$BO324)</f>
        <v>0</v>
      </c>
      <c r="BO314" s="1425">
        <f ca="1">IF(W314&gt;=$J$5,0,CONTADORES!$BP324)</f>
        <v>0</v>
      </c>
      <c r="BP314" s="1425">
        <f ca="1">IF(W314&gt;=$J$5,0,CONTADORES!$BQ324)</f>
        <v>0</v>
      </c>
      <c r="BQ314" s="1425">
        <f ca="1">IF(B314&gt;=$J$5,0,(CONTADORES!AS324-CONTADORES!AS323))</f>
        <v>0</v>
      </c>
      <c r="BR314" s="1425">
        <f ca="1">IF(B314&gt;=$J$5,0,(CONTADORES!AT324-CONTADORES!AT323))</f>
        <v>0</v>
      </c>
      <c r="BS314" s="1426">
        <f ca="1">IF(B314&gt;=$J$5,0,CONTADORES!BR324-CONTADORES!BR323)/1000</f>
        <v>0</v>
      </c>
      <c r="BT314" s="1426">
        <f ca="1">IF(B314&gt;=$J$5,0,CONTADORES!BS324-CONTADORES!BS323)</f>
        <v>0</v>
      </c>
      <c r="BU314" s="1426">
        <f ca="1">IF(B314&gt;=$J$5,0,CONTADORES!BT324-CONTADORES!BT323)</f>
        <v>0</v>
      </c>
      <c r="BV314" s="1426">
        <f ca="1">IF(B314&gt;=$J$5,0,CONTADORES!BU324-CONTADORES!BU323)/1000</f>
        <v>0</v>
      </c>
      <c r="BW314" s="1426">
        <f ca="1">IF(B314&gt;=$J$5,0,CONTADORES!BV324-CONTADORES!BV323)/1000</f>
        <v>0</v>
      </c>
      <c r="BX314" s="1426">
        <f ca="1">IF(B314&gt;=$J$5,0,CONTADORES!BW324-CONTADORES!BW323)</f>
        <v>0</v>
      </c>
      <c r="BY314" s="1426">
        <f ca="1">IF(B314&gt;=$J$5,0,CONTADORES!BX324-CONTADORES!BX323)/1000</f>
        <v>0</v>
      </c>
      <c r="BZ314" s="1426">
        <f ca="1">IF(B314&gt;=$J$5,0,CONTADORES!BY324-CONTADORES!BY323)/1000</f>
        <v>0</v>
      </c>
      <c r="CA314" s="1426">
        <f ca="1">IF(B314&gt;=$J$5,0,CONTADORES!BZ324-CONTADORES!BZ323)</f>
        <v>0</v>
      </c>
      <c r="CB314" s="1426">
        <f ca="1">IF(B314&gt;=$J$5,0,(CONTADORES!CC324-CONTADORES!CC323)+(CONTADORES!CE324-CONTADORES!CE323))/1000</f>
        <v>0</v>
      </c>
      <c r="CC314" s="1426">
        <f ca="1">IF(B314&gt;=$J$5,0,(CONTADORES!CD324-CONTADORES!CD323)+(CONTADORES!CF324-CONTADORES!CF323))/1000</f>
        <v>0</v>
      </c>
      <c r="CD314" s="1426">
        <f ca="1">IF(B314&gt;=$J$5,0,CONTADORES!CA324-CONTADORES!CA323)</f>
        <v>0</v>
      </c>
      <c r="CE314" s="1426">
        <f ca="1">IF(B314&gt;=$J$5,0,CONTADORES!CB324-CONTADORES!CB323)</f>
        <v>0</v>
      </c>
      <c r="CF314" s="1426">
        <f t="shared" ca="1" si="149"/>
        <v>0</v>
      </c>
      <c r="CG314" s="1426">
        <f t="shared" ca="1" si="150"/>
        <v>0</v>
      </c>
      <c r="CH314" s="1426">
        <f t="shared" ca="1" si="151"/>
        <v>0</v>
      </c>
      <c r="CI314" s="1426">
        <f t="shared" ca="1" si="152"/>
        <v>0</v>
      </c>
      <c r="CJ314" s="1426">
        <f t="shared" ca="1" si="153"/>
        <v>0</v>
      </c>
      <c r="CK314" s="1426">
        <f t="shared" ca="1" si="154"/>
        <v>0</v>
      </c>
      <c r="CL314" s="1426">
        <f t="shared" ca="1" si="155"/>
        <v>0</v>
      </c>
      <c r="CM314" s="1426">
        <f t="shared" ca="1" si="156"/>
        <v>0</v>
      </c>
      <c r="CN314" s="1426">
        <f ca="1">IF(B314&gt;=$J$5,0,CONTADORES!CB324-CONTADORES!CB323)</f>
        <v>0</v>
      </c>
      <c r="CO314" s="1426">
        <f t="shared" ca="1" si="157"/>
        <v>0</v>
      </c>
      <c r="CP314" s="1426">
        <f t="shared" ca="1" si="158"/>
        <v>0</v>
      </c>
      <c r="CQ314" s="1426">
        <f t="shared" ca="1" si="159"/>
        <v>0</v>
      </c>
      <c r="CR314" s="1426">
        <f t="shared" ca="1" si="160"/>
        <v>0</v>
      </c>
      <c r="CS314" s="1426">
        <f ca="1">IF($B314&gt;=$J$5,0,CONTADORES!$BI324)</f>
        <v>0</v>
      </c>
      <c r="CT314" s="1335">
        <f>CONTADORES!E324</f>
        <v>0</v>
      </c>
      <c r="CU314" s="1335">
        <f>CONTADORES!CG324</f>
        <v>0</v>
      </c>
    </row>
    <row r="315" spans="2:99">
      <c r="B315" s="390">
        <v>45231</v>
      </c>
      <c r="C315" s="198">
        <f t="shared" ca="1" si="134"/>
        <v>0</v>
      </c>
      <c r="D315" s="196">
        <f ca="1">'CALCULO DE GAS'!P140</f>
        <v>0</v>
      </c>
      <c r="E315" s="196">
        <f ca="1">IF(B315&gt;=$J$5,0,(CONTADORES!$AD327-CONTADORES!$AD326)-$H315)</f>
        <v>0</v>
      </c>
      <c r="F315" s="198">
        <f t="shared" ca="1" si="163"/>
        <v>0</v>
      </c>
      <c r="G315" s="196">
        <f ca="1">IF(B315&gt;=$J$5,0,CONTADORES!$AF327-CONTADORES!$AF326)</f>
        <v>0</v>
      </c>
      <c r="H315" s="196">
        <f ca="1">IF(G315&gt;0,CONTADORES!$AE327-CONTADORES!$AE326,0)</f>
        <v>0</v>
      </c>
      <c r="I315" s="199">
        <f ca="1">IF(B315&gt;=$J$5,0,CONTADORES!$AB327-CONTADORES!$AB326)</f>
        <v>0</v>
      </c>
      <c r="J315" s="198">
        <f t="shared" ca="1" si="135"/>
        <v>0</v>
      </c>
      <c r="K315" s="196">
        <f ca="1">'CALCULO DE GAS'!Q140</f>
        <v>0</v>
      </c>
      <c r="L315" s="1396">
        <f ca="1">IF(B315&gt;=$J$5,0,(CONTADORES!$Y327-CONTADORES!$Y326)-$O315)</f>
        <v>0</v>
      </c>
      <c r="M315" s="1396">
        <f t="shared" ca="1" si="161"/>
        <v>0</v>
      </c>
      <c r="N315" s="1396">
        <f ca="1">IF(B315&gt;=$J$5,0,CONTADORES!$AA327-CONTADORES!$AA326)</f>
        <v>0</v>
      </c>
      <c r="O315" s="1396">
        <f ca="1">IF(N315&gt;0,CONTADORES!$Z327-CONTADORES!$Z326,0)</f>
        <v>0</v>
      </c>
      <c r="P315" s="202">
        <f ca="1">IF(B315&gt;=$J$5,0,CONTADORES!$W327-CONTADORES!$W326)</f>
        <v>0</v>
      </c>
      <c r="Q315" s="202">
        <f ca="1">IF(B315&gt;=$J$5,0,CONTADORES!$B327-CONTADORES!$B326)</f>
        <v>0</v>
      </c>
      <c r="R315" s="196">
        <f t="shared" ca="1" si="136"/>
        <v>0</v>
      </c>
      <c r="S315" s="11">
        <f ca="1">IF(B315&gt;=$J$5,0,CONTADORES!$D327-CONTADORES!$D326)</f>
        <v>0</v>
      </c>
      <c r="T315" s="198">
        <f ca="1">IF(B315&gt;=$J$5,0,CONTADORES!$BB327-CONTADORES!$BB326)</f>
        <v>0</v>
      </c>
      <c r="U315" s="196">
        <f t="shared" ca="1" si="162"/>
        <v>0</v>
      </c>
      <c r="V315" s="11">
        <f ca="1">IF(B315&gt;=$J$5,0,CONTADORES!$BD327-CONTADORES!$BD326)</f>
        <v>0</v>
      </c>
      <c r="W315" s="1397">
        <f t="shared" ca="1" si="137"/>
        <v>0</v>
      </c>
      <c r="X315" s="1397">
        <f t="shared" ca="1" si="138"/>
        <v>0</v>
      </c>
      <c r="Y315" s="1398">
        <f t="shared" ca="1" si="139"/>
        <v>0</v>
      </c>
      <c r="Z315" s="1398">
        <f t="shared" ca="1" si="140"/>
        <v>0</v>
      </c>
      <c r="AA315" s="1398">
        <f t="shared" ca="1" si="141"/>
        <v>0</v>
      </c>
      <c r="AB315" s="1398">
        <f t="shared" ca="1" si="142"/>
        <v>0</v>
      </c>
      <c r="AC315" s="1397">
        <f t="shared" ca="1" si="143"/>
        <v>0</v>
      </c>
      <c r="AD315" s="1407">
        <f ca="1">IF(B315&gt;=$J$5,0,CONTADORES!H327-CONTADORES!H326)</f>
        <v>0</v>
      </c>
      <c r="AE315" s="1397">
        <f ca="1">IF(B315&gt;=$J$5,0,CONTADORES!J327-CONTADORES!J326)</f>
        <v>0</v>
      </c>
      <c r="AF315" s="1397">
        <f ca="1">IF(B315&gt;=$J$5,0,CONTADORES!AU327-CONTADORES!AU326)</f>
        <v>0</v>
      </c>
      <c r="AG315" s="1397">
        <f ca="1">IF(B315&gt;=$J$5,0,CONTADORES!AW327-CONTADORES!AW326)</f>
        <v>0</v>
      </c>
      <c r="AH315" s="1398">
        <f ca="1">IF(B315&gt;=$J$5,0,(CONTADORES!AM327-CONTADORES!AM326)+(CONTADORES!M327-CONTADORES!M326))</f>
        <v>0</v>
      </c>
      <c r="AI315" s="1397">
        <f ca="1">IF(B315&gt;=$J$5,0,(CONTADORES!AK327-CONTADORES!AK326)+(CONTADORES!O327-CONTADORES!O326))</f>
        <v>0</v>
      </c>
      <c r="AJ315" s="1397">
        <f ca="1">IF(B315&gt;=$J$5,0,(CONTADORES!AI327-CONTADORES!AI326))</f>
        <v>0</v>
      </c>
      <c r="AK315" s="1397">
        <f ca="1">IF(B315&gt;=$J$5,0,(CONTADORES!Q327-CONTADORES!Q326))</f>
        <v>0</v>
      </c>
      <c r="AL315" s="1450">
        <f t="shared" ca="1" si="144"/>
        <v>0</v>
      </c>
      <c r="AM315" s="1397">
        <f ca="1">IF(B315&gt;=$J$5,0,(((CONTADORES!F327-CONTADORES!F326)+(CONTADORES!AQ327-CONTADORES!AQ326))))-BS315-AF315-AN315-BV315-BY315-CD315-CB315+T315</f>
        <v>0</v>
      </c>
      <c r="AN315" s="1397">
        <f ca="1">IF(B315&gt;=$J$5,0,(CONTADORES!AX327-CONTADORES!AX326)+(CONTADORES!AZ327-CONTADORES!AZ326)+(CONTADORES!BE327-CONTADORES!BE326))-CB315</f>
        <v>0</v>
      </c>
      <c r="AO315" s="1399">
        <f ca="1">IF(B315&gt;=$J$5,0,(CONTADORES!AC327-CONTADORES!AC326))</f>
        <v>0</v>
      </c>
      <c r="AP315" s="1433">
        <f ca="1">IF(B315&gt;=$J$5,0,(CONTADORES!X327-CONTADORES!X326))</f>
        <v>0</v>
      </c>
      <c r="AQ315" s="1399">
        <f ca="1">IF(B315&gt;=$J$5,0,(CONTADORES!C327-CONTADORES!C326))</f>
        <v>0</v>
      </c>
      <c r="AR315" s="1399">
        <f ca="1">IF(B315&gt;=$J$5,0,(CONTADORES!BC327-CONTADORES!BC326))</f>
        <v>0</v>
      </c>
      <c r="AS315" s="1397">
        <f ca="1">IF(B315&gt;=$J$5,0,CONTADORES!S327-CONTADORES!S326)</f>
        <v>0</v>
      </c>
      <c r="AT315" s="1397">
        <f ca="1">IF(B315&gt;=$J$5,0,(CONTADORES!U327-CONTADORES!U326)+(CONTADORES!AG327-CONTADORES!AG326))</f>
        <v>0</v>
      </c>
      <c r="AU315" s="1433">
        <f ca="1">IF(B315&gt;=$J$5,0,(CONTADORES!I327-CONTADORES!I326))</f>
        <v>0</v>
      </c>
      <c r="AV315" s="1399">
        <f ca="1">IF(B315&gt;=$J$5,0,(CONTADORES!AV327-CONTADORES!AV326))</f>
        <v>0</v>
      </c>
      <c r="AW315" s="1433">
        <f ca="1">IF(B315&gt;=$J$5,0,(CONTADORES!N327-CONTADORES!N326)+(CONTADORES!AN327-CONTADORES!AN326))</f>
        <v>0</v>
      </c>
      <c r="AX315" s="1399">
        <f ca="1">IF(B315&gt;=$J$5,0,(CONTADORES!P327-CONTADORES!P326)+(CONTADORES!AL327-CONTADORES!AL326))</f>
        <v>0</v>
      </c>
      <c r="AY315" s="1399">
        <f ca="1">IF(B315&gt;=$J$5,0,(CONTADORES!AJ327-CONTADORES!AJ326))</f>
        <v>0</v>
      </c>
      <c r="AZ315" s="1399">
        <f ca="1">IF(B315&gt;=$J$5,0,(CONTADORES!R327-CONTADORES!R326))</f>
        <v>0</v>
      </c>
      <c r="BA315" s="1398">
        <f t="shared" ca="1" si="145"/>
        <v>0</v>
      </c>
      <c r="BB315" s="1399">
        <f ca="1">IF(B315&gt;=$J$5,0,(((CONTADORES!G327-CONTADORES!G326)+(CONTADORES!AR327-CONTADORES!AR326))))-AV315-BC315-BT315-BW315-BZ315-CE315-AR315</f>
        <v>0</v>
      </c>
      <c r="BC315" s="1397">
        <f ca="1">IF(B315&gt;=$J$5,0,(CONTADORES!AY327-CONTADORES!AY326)+(CONTADORES!BA327-CONTADORES!BA326)+(CONTADORES!BF327-CONTADORES!BF326))</f>
        <v>0</v>
      </c>
      <c r="BD315" s="1397">
        <f t="shared" ca="1" si="146"/>
        <v>0</v>
      </c>
      <c r="BE315" s="1398">
        <f ca="1">IF($B315&gt;=$J$5,0,CONTADORES!$BG327)</f>
        <v>0</v>
      </c>
      <c r="BF315" s="1397">
        <f ca="1">IF($B315&gt;=$J$5,0,CONTADORES!$BH327)</f>
        <v>0</v>
      </c>
      <c r="BG315" s="1397">
        <f ca="1">IF($B315&gt;=$J$5,0,CONTADORES!$BJ327)</f>
        <v>0</v>
      </c>
      <c r="BH315" s="1397">
        <f ca="1">IF(B315&gt;=$J$5,0,((CONTADORES!BK327-CONTADORES!BK326)/1000))</f>
        <v>0</v>
      </c>
      <c r="BI315" s="1397">
        <f ca="1">IF(C315&gt;=$J$5,0,((CONTADORES!BL327-CONTADORES!BL326)/1000))</f>
        <v>0</v>
      </c>
      <c r="BJ315" s="1397">
        <f ca="1">IF(C315&gt;=$J$5,0,((CONTADORES!BM327-CONTADORES!BM326)/1000))</f>
        <v>0</v>
      </c>
      <c r="BK315" s="1397">
        <f ca="1">IF(D315&gt;=$J$5,0,((CONTADORES!BN327-CONTADORES!BN326)/1000))</f>
        <v>0</v>
      </c>
      <c r="BL315" s="1399">
        <f t="shared" ca="1" si="147"/>
        <v>0</v>
      </c>
      <c r="BM315" s="1399">
        <f t="shared" ca="1" si="148"/>
        <v>0</v>
      </c>
      <c r="BN315" s="1399">
        <f ca="1">IF(B315&gt;=$J$5,0,CONTADORES!$BO327)</f>
        <v>0</v>
      </c>
      <c r="BO315" s="1397">
        <f ca="1">IF(W315&gt;=$J$5,0,CONTADORES!$BP327)</f>
        <v>0</v>
      </c>
      <c r="BP315" s="1397">
        <f ca="1">IF(W315&gt;=$J$5,0,CONTADORES!$BQ327)</f>
        <v>0</v>
      </c>
      <c r="BQ315" s="1397">
        <f ca="1">IF(B315&gt;=$J$5,0,(CONTADORES!AS327-CONTADORES!AS326))</f>
        <v>0</v>
      </c>
      <c r="BR315" s="1397">
        <f ca="1">IF(B315&gt;=$J$5,0,(CONTADORES!AT327-CONTADORES!AT326))</f>
        <v>0</v>
      </c>
      <c r="BS315" s="1397">
        <f ca="1">IF(B315&gt;=$J$5,0,CONTADORES!BR327-CONTADORES!BR326)/1000</f>
        <v>0</v>
      </c>
      <c r="BT315" s="1398">
        <f ca="1">IF(B315&gt;=$J$5,0,CONTADORES!BS327-CONTADORES!BS326)</f>
        <v>0</v>
      </c>
      <c r="BU315" s="1397">
        <f ca="1">IF(B315&gt;=$J$5,0,CONTADORES!BT327-CONTADORES!BT326)</f>
        <v>0</v>
      </c>
      <c r="BV315" s="1397">
        <f ca="1">IF(B315&gt;=$J$5,0,CONTADORES!BU327-CONTADORES!BU326)/1000</f>
        <v>0</v>
      </c>
      <c r="BW315" s="1397">
        <f ca="1">IF(B315&gt;=$J$5,0,CONTADORES!BV327-CONTADORES!BV326)/1000</f>
        <v>0</v>
      </c>
      <c r="BX315" s="1397">
        <f ca="1">IF(B315&gt;=$J$5,0,CONTADORES!BW327-CONTADORES!BW326)</f>
        <v>0</v>
      </c>
      <c r="BY315" s="1397">
        <f ca="1">IF(B315&gt;=$J$5,0,CONTADORES!BX327-CONTADORES!BX326)/1000</f>
        <v>0</v>
      </c>
      <c r="BZ315" s="1397">
        <f ca="1">IF(B315&gt;=$J$5,0,CONTADORES!BY327-CONTADORES!BY326)/1000</f>
        <v>0</v>
      </c>
      <c r="CA315" s="1397">
        <f ca="1">IF(B315&gt;=$J$5,0,CONTADORES!BZ327-CONTADORES!BZ326)</f>
        <v>0</v>
      </c>
      <c r="CB315" s="1397">
        <f ca="1">IF(B315&gt;=$J$5,0,(CONTADORES!CC327-CONTADORES!CC326)+(CONTADORES!CE327-CONTADORES!CE326))/1000</f>
        <v>0</v>
      </c>
      <c r="CC315" s="1397">
        <f ca="1">IF(B315&gt;=$J$5,0,(CONTADORES!CD327-CONTADORES!CD326)+(CONTADORES!CF327-CONTADORES!CF326))/1000</f>
        <v>0</v>
      </c>
      <c r="CD315" s="1397">
        <f ca="1">IF(B315&gt;=$J$5,0,CONTADORES!CA327-CONTADORES!CA326)</f>
        <v>0</v>
      </c>
      <c r="CE315" s="1397">
        <f ca="1">IF(B315&gt;=$J$5,0,CONTADORES!CB327-CONTADORES!CB326)</f>
        <v>0</v>
      </c>
      <c r="CF315" s="1397">
        <f t="shared" ca="1" si="149"/>
        <v>0</v>
      </c>
      <c r="CG315" s="1397">
        <f t="shared" ca="1" si="150"/>
        <v>0</v>
      </c>
      <c r="CH315" s="1397">
        <f t="shared" ca="1" si="151"/>
        <v>0</v>
      </c>
      <c r="CI315" s="1397">
        <f t="shared" ca="1" si="152"/>
        <v>0</v>
      </c>
      <c r="CJ315" s="1397">
        <f t="shared" ca="1" si="153"/>
        <v>0</v>
      </c>
      <c r="CK315" s="1397">
        <f t="shared" ca="1" si="154"/>
        <v>0</v>
      </c>
      <c r="CL315" s="1397">
        <f t="shared" ca="1" si="155"/>
        <v>0</v>
      </c>
      <c r="CM315" s="1397">
        <f t="shared" ca="1" si="156"/>
        <v>0</v>
      </c>
      <c r="CN315" s="1397">
        <f ca="1">IF(B315&gt;=$J$5,0,CONTADORES!CB327-CONTADORES!CB326)</f>
        <v>0</v>
      </c>
      <c r="CO315" s="1397">
        <f t="shared" ca="1" si="157"/>
        <v>0</v>
      </c>
      <c r="CP315" s="1397">
        <f t="shared" ca="1" si="158"/>
        <v>0</v>
      </c>
      <c r="CQ315" s="1397">
        <f t="shared" ca="1" si="159"/>
        <v>0</v>
      </c>
      <c r="CR315" s="1397">
        <f t="shared" ca="1" si="160"/>
        <v>0</v>
      </c>
      <c r="CS315" s="1403">
        <f ca="1">IF($B315&gt;=$J$5,0,CONTADORES!$BI327)</f>
        <v>0</v>
      </c>
      <c r="CT315" s="1369">
        <f>CONTADORES!E327</f>
        <v>0</v>
      </c>
      <c r="CU315" s="1369">
        <f>CONTADORES!CG327</f>
        <v>0</v>
      </c>
    </row>
    <row r="316" spans="2:99">
      <c r="B316" s="390">
        <v>45232</v>
      </c>
      <c r="C316" s="198">
        <f t="shared" ca="1" si="134"/>
        <v>0</v>
      </c>
      <c r="D316" s="196">
        <f ca="1">'CALCULO DE GAS'!P141</f>
        <v>0</v>
      </c>
      <c r="E316" s="196">
        <f ca="1">IF(B316&gt;=$J$5,0,(CONTADORES!$AD328-CONTADORES!$AD327)-$H316)</f>
        <v>0</v>
      </c>
      <c r="F316" s="198">
        <f t="shared" ca="1" si="163"/>
        <v>0</v>
      </c>
      <c r="G316" s="196">
        <f ca="1">IF(B316&gt;=$J$5,0,CONTADORES!$AF328-CONTADORES!$AF327)</f>
        <v>0</v>
      </c>
      <c r="H316" s="196">
        <f ca="1">IF(G316&gt;0,CONTADORES!$AE328-CONTADORES!$AE327,0)</f>
        <v>0</v>
      </c>
      <c r="I316" s="199">
        <f ca="1">IF(B316&gt;=$J$5,0,CONTADORES!$AB328-CONTADORES!$AB327)</f>
        <v>0</v>
      </c>
      <c r="J316" s="198">
        <f t="shared" ca="1" si="135"/>
        <v>0</v>
      </c>
      <c r="K316" s="196">
        <f ca="1">'CALCULO DE GAS'!Q141</f>
        <v>0</v>
      </c>
      <c r="L316" s="1396">
        <f ca="1">IF(B316&gt;=$J$5,0,(CONTADORES!$Y328-CONTADORES!$Y327)-$O316)</f>
        <v>0</v>
      </c>
      <c r="M316" s="1396">
        <f t="shared" ca="1" si="161"/>
        <v>0</v>
      </c>
      <c r="N316" s="1396">
        <f ca="1">IF(B316&gt;=$J$5,0,CONTADORES!$AA328-CONTADORES!$AA327)</f>
        <v>0</v>
      </c>
      <c r="O316" s="1396">
        <f ca="1">IF(N316&gt;0,CONTADORES!$Z328-CONTADORES!$Z327,0)</f>
        <v>0</v>
      </c>
      <c r="P316" s="202">
        <f ca="1">IF(B316&gt;=$J$5,0,CONTADORES!$W328-CONTADORES!$W327)</f>
        <v>0</v>
      </c>
      <c r="Q316" s="202">
        <f ca="1">IF(B316&gt;=$J$5,0,CONTADORES!$B328-CONTADORES!$B327)</f>
        <v>0</v>
      </c>
      <c r="R316" s="196">
        <f t="shared" ca="1" si="136"/>
        <v>0</v>
      </c>
      <c r="S316" s="11">
        <f ca="1">IF(B316&gt;=$J$5,0,CONTADORES!$D328-CONTADORES!$D327)</f>
        <v>0</v>
      </c>
      <c r="T316" s="198">
        <f ca="1">IF(B316&gt;=$J$5,0,CONTADORES!$BB328-CONTADORES!$BB327)</f>
        <v>0</v>
      </c>
      <c r="U316" s="196">
        <f t="shared" ca="1" si="162"/>
        <v>0</v>
      </c>
      <c r="V316" s="11">
        <f ca="1">IF(B316&gt;=$J$5,0,CONTADORES!$BD328-CONTADORES!$BD327)</f>
        <v>0</v>
      </c>
      <c r="W316" s="1397">
        <f t="shared" ca="1" si="137"/>
        <v>0</v>
      </c>
      <c r="X316" s="1397">
        <f t="shared" ca="1" si="138"/>
        <v>0</v>
      </c>
      <c r="Y316" s="1398">
        <f t="shared" ca="1" si="139"/>
        <v>0</v>
      </c>
      <c r="Z316" s="1398">
        <f t="shared" ca="1" si="140"/>
        <v>0</v>
      </c>
      <c r="AA316" s="1398">
        <f t="shared" ca="1" si="141"/>
        <v>0</v>
      </c>
      <c r="AB316" s="1398">
        <f t="shared" ca="1" si="142"/>
        <v>0</v>
      </c>
      <c r="AC316" s="1397">
        <f t="shared" ca="1" si="143"/>
        <v>0</v>
      </c>
      <c r="AD316" s="1407">
        <f ca="1">IF(B316&gt;=$J$5,0,CONTADORES!H328-CONTADORES!H327)</f>
        <v>0</v>
      </c>
      <c r="AE316" s="1397">
        <f ca="1">IF(B316&gt;=$J$5,0,CONTADORES!J328-CONTADORES!J327)</f>
        <v>0</v>
      </c>
      <c r="AF316" s="1397">
        <f ca="1">IF(B316&gt;=$J$5,0,CONTADORES!AU328-CONTADORES!AU327)</f>
        <v>0</v>
      </c>
      <c r="AG316" s="1397">
        <f ca="1">IF(B316&gt;=$J$5,0,CONTADORES!AW328-CONTADORES!AW327)</f>
        <v>0</v>
      </c>
      <c r="AH316" s="1398">
        <f ca="1">IF(B316&gt;=$J$5,0,(CONTADORES!AM328-CONTADORES!AM327)+(CONTADORES!M328-CONTADORES!M327))</f>
        <v>0</v>
      </c>
      <c r="AI316" s="1397">
        <f ca="1">IF(B316&gt;=$J$5,0,(CONTADORES!AK328-CONTADORES!AK327)+(CONTADORES!O328-CONTADORES!O327))</f>
        <v>0</v>
      </c>
      <c r="AJ316" s="1397">
        <f ca="1">IF(B316&gt;=$J$5,0,(CONTADORES!AI328-CONTADORES!AI327))</f>
        <v>0</v>
      </c>
      <c r="AK316" s="1397">
        <f ca="1">IF(B316&gt;=$J$5,0,(CONTADORES!Q328-CONTADORES!Q327))</f>
        <v>0</v>
      </c>
      <c r="AL316" s="1461">
        <f t="shared" ca="1" si="144"/>
        <v>0</v>
      </c>
      <c r="AM316" s="1397">
        <f ca="1">IF(B316&gt;=$J$5,0,(((CONTADORES!F328-CONTADORES!F327)+(CONTADORES!AQ328-CONTADORES!AQ327))))-BS316-AF316-AN316-BV316-BY316-CD316-CB316+T316</f>
        <v>0</v>
      </c>
      <c r="AN316" s="1397">
        <f ca="1">IF(B316&gt;=$J$5,0,(CONTADORES!AX328-CONTADORES!AX327)+(CONTADORES!AZ328-CONTADORES!AZ327)+(CONTADORES!BE328-CONTADORES!BE327))-CB316</f>
        <v>0</v>
      </c>
      <c r="AO316" s="1399">
        <f ca="1">IF(B316&gt;=$J$5,0,(CONTADORES!AC328-CONTADORES!AC327))</f>
        <v>0</v>
      </c>
      <c r="AP316" s="1433">
        <f ca="1">IF(B316&gt;=$J$5,0,(CONTADORES!X328-CONTADORES!X327))</f>
        <v>0</v>
      </c>
      <c r="AQ316" s="1399">
        <f ca="1">IF(B316&gt;=$J$5,0,(CONTADORES!C328-CONTADORES!C327))</f>
        <v>0</v>
      </c>
      <c r="AR316" s="1399">
        <f ca="1">IF(B316&gt;=$J$5,0,(CONTADORES!BC328-CONTADORES!BC327))</f>
        <v>0</v>
      </c>
      <c r="AS316" s="1397">
        <f ca="1">IF(B316&gt;=$J$5,0,CONTADORES!S328-CONTADORES!S327)</f>
        <v>0</v>
      </c>
      <c r="AT316" s="1397">
        <f ca="1">IF(B316&gt;=$J$5,0,(CONTADORES!U328-CONTADORES!U327)+(CONTADORES!AG328-CONTADORES!AG327))</f>
        <v>0</v>
      </c>
      <c r="AU316" s="1433">
        <f ca="1">IF(B316&gt;=$J$5,0,(CONTADORES!I328-CONTADORES!I327))</f>
        <v>0</v>
      </c>
      <c r="AV316" s="1399">
        <f ca="1">IF(B316&gt;=$J$5,0,(CONTADORES!AV328-CONTADORES!AV327))</f>
        <v>0</v>
      </c>
      <c r="AW316" s="1433">
        <f ca="1">IF(B316&gt;=$J$5,0,(CONTADORES!N328-CONTADORES!N327)+(CONTADORES!AN328-CONTADORES!AN327))</f>
        <v>0</v>
      </c>
      <c r="AX316" s="1399">
        <f ca="1">IF(B316&gt;=$J$5,0,(CONTADORES!P328-CONTADORES!P327)+(CONTADORES!AL328-CONTADORES!AL327))</f>
        <v>0</v>
      </c>
      <c r="AY316" s="1399">
        <f ca="1">IF(B316&gt;=$J$5,0,(CONTADORES!AJ328-CONTADORES!AJ327))</f>
        <v>0</v>
      </c>
      <c r="AZ316" s="1399">
        <f ca="1">IF(B316&gt;=$J$5,0,(CONTADORES!R328-CONTADORES!R327))</f>
        <v>0</v>
      </c>
      <c r="BA316" s="1409">
        <f t="shared" ca="1" si="145"/>
        <v>0</v>
      </c>
      <c r="BB316" s="1399">
        <f ca="1">IF(B316&gt;=$J$5,0,(((CONTADORES!G328-CONTADORES!G327)+(CONTADORES!AR328-CONTADORES!AR327))))-AV316-BC316-BT316-BW316-BZ316-CE316-AR316</f>
        <v>0</v>
      </c>
      <c r="BC316" s="1397">
        <f ca="1">IF(B316&gt;=$J$5,0,(CONTADORES!AY328-CONTADORES!AY327)+(CONTADORES!BA328-CONTADORES!BA327)+(CONTADORES!BF328-CONTADORES!BF327))</f>
        <v>0</v>
      </c>
      <c r="BD316" s="1397">
        <f t="shared" ca="1" si="146"/>
        <v>0</v>
      </c>
      <c r="BE316" s="1398">
        <f ca="1">IF($B316&gt;=$J$5,0,CONTADORES!$BG328)</f>
        <v>0</v>
      </c>
      <c r="BF316" s="1397">
        <f ca="1">IF($B316&gt;=$J$5,0,CONTADORES!$BH328)</f>
        <v>0</v>
      </c>
      <c r="BG316" s="1397">
        <f ca="1">IF($B316&gt;=$J$5,0,CONTADORES!$BJ328)</f>
        <v>0</v>
      </c>
      <c r="BH316" s="1397">
        <f ca="1">IF(B316&gt;=$J$5,0,((CONTADORES!BK328-CONTADORES!BK327)/1000))</f>
        <v>0</v>
      </c>
      <c r="BI316" s="1397">
        <f ca="1">IF(C316&gt;=$J$5,0,((CONTADORES!BL328-CONTADORES!BL327)/1000))</f>
        <v>0</v>
      </c>
      <c r="BJ316" s="1397">
        <f ca="1">IF(C316&gt;=$J$5,0,((CONTADORES!BM328-CONTADORES!BM327)/1000))</f>
        <v>0</v>
      </c>
      <c r="BK316" s="1397">
        <f ca="1">IF(D316&gt;=$J$5,0,((CONTADORES!BN328-CONTADORES!BN327)/1000))</f>
        <v>0</v>
      </c>
      <c r="BL316" s="1399">
        <f t="shared" ca="1" si="147"/>
        <v>0</v>
      </c>
      <c r="BM316" s="1399">
        <f t="shared" ca="1" si="148"/>
        <v>0</v>
      </c>
      <c r="BN316" s="1399">
        <f ca="1">IF(B316&gt;=$J$5,0,CONTADORES!$BO328)</f>
        <v>0</v>
      </c>
      <c r="BO316" s="1397">
        <f ca="1">IF(W316&gt;=$J$5,0,CONTADORES!$BP328)</f>
        <v>0</v>
      </c>
      <c r="BP316" s="1397">
        <f ca="1">IF(W316&gt;=$J$5,0,CONTADORES!$BQ328)</f>
        <v>0</v>
      </c>
      <c r="BQ316" s="1397">
        <f ca="1">IF(B316&gt;=$J$5,0,(CONTADORES!AS328-CONTADORES!AS327))</f>
        <v>0</v>
      </c>
      <c r="BR316" s="1397">
        <f ca="1">IF(B316&gt;=$J$5,0,(CONTADORES!AT328-CONTADORES!AT327))</f>
        <v>0</v>
      </c>
      <c r="BS316" s="1397">
        <f ca="1">IF(B316&gt;=$J$5,0,CONTADORES!BR328-CONTADORES!BR327)/1000</f>
        <v>0</v>
      </c>
      <c r="BT316" s="1398">
        <f ca="1">IF(B316&gt;=$J$5,0,CONTADORES!BS328-CONTADORES!BS327)</f>
        <v>0</v>
      </c>
      <c r="BU316" s="1397">
        <f ca="1">IF(B316&gt;=$J$5,0,CONTADORES!BT328-CONTADORES!BT327)</f>
        <v>0</v>
      </c>
      <c r="BV316" s="1397">
        <f ca="1">IF(B316&gt;=$J$5,0,CONTADORES!BU328-CONTADORES!BU327)/1000</f>
        <v>0</v>
      </c>
      <c r="BW316" s="1397">
        <f ca="1">IF(B316&gt;=$J$5,0,CONTADORES!BV328-CONTADORES!BV327)/1000</f>
        <v>0</v>
      </c>
      <c r="BX316" s="1397">
        <f ca="1">IF(B316&gt;=$J$5,0,CONTADORES!BW328-CONTADORES!BW327)</f>
        <v>0</v>
      </c>
      <c r="BY316" s="1397">
        <f ca="1">IF(B316&gt;=$J$5,0,CONTADORES!BX328-CONTADORES!BX327)/1000</f>
        <v>0</v>
      </c>
      <c r="BZ316" s="1397">
        <f ca="1">IF(B316&gt;=$J$5,0,CONTADORES!BY328-CONTADORES!BY327)/1000</f>
        <v>0</v>
      </c>
      <c r="CA316" s="1397">
        <f ca="1">IF(B316&gt;=$J$5,0,CONTADORES!BZ328-CONTADORES!BZ327)</f>
        <v>0</v>
      </c>
      <c r="CB316" s="1397">
        <f ca="1">IF(B316&gt;=$J$5,0,(CONTADORES!CC328-CONTADORES!CC327)+(CONTADORES!CE328-CONTADORES!CE327))/1000</f>
        <v>0</v>
      </c>
      <c r="CC316" s="1397">
        <f ca="1">IF(B316&gt;=$J$5,0,(CONTADORES!CD328-CONTADORES!CD327)+(CONTADORES!CF328-CONTADORES!CF327))/1000</f>
        <v>0</v>
      </c>
      <c r="CD316" s="1397">
        <f ca="1">IF(B316&gt;=$J$5,0,CONTADORES!CA328-CONTADORES!CA327)</f>
        <v>0</v>
      </c>
      <c r="CE316" s="1397">
        <f ca="1">IF(B316&gt;=$J$5,0,CONTADORES!CB328-CONTADORES!CB327)</f>
        <v>0</v>
      </c>
      <c r="CF316" s="1397">
        <f t="shared" ca="1" si="149"/>
        <v>0</v>
      </c>
      <c r="CG316" s="1397">
        <f t="shared" ca="1" si="150"/>
        <v>0</v>
      </c>
      <c r="CH316" s="1397">
        <f t="shared" ca="1" si="151"/>
        <v>0</v>
      </c>
      <c r="CI316" s="1397">
        <f t="shared" ca="1" si="152"/>
        <v>0</v>
      </c>
      <c r="CJ316" s="1397">
        <f t="shared" ca="1" si="153"/>
        <v>0</v>
      </c>
      <c r="CK316" s="1397">
        <f t="shared" ca="1" si="154"/>
        <v>0</v>
      </c>
      <c r="CL316" s="1397">
        <f t="shared" ca="1" si="155"/>
        <v>0</v>
      </c>
      <c r="CM316" s="1397">
        <f t="shared" ca="1" si="156"/>
        <v>0</v>
      </c>
      <c r="CN316" s="1397">
        <f ca="1">IF(B316&gt;=$J$5,0,CONTADORES!CB328-CONTADORES!CB327)</f>
        <v>0</v>
      </c>
      <c r="CO316" s="1397">
        <f t="shared" ca="1" si="157"/>
        <v>0</v>
      </c>
      <c r="CP316" s="1397">
        <f t="shared" ca="1" si="158"/>
        <v>0</v>
      </c>
      <c r="CQ316" s="1397">
        <f t="shared" ca="1" si="159"/>
        <v>0</v>
      </c>
      <c r="CR316" s="1397">
        <f t="shared" ca="1" si="160"/>
        <v>0</v>
      </c>
      <c r="CS316" s="1403">
        <f ca="1">IF($B316&gt;=$J$5,0,CONTADORES!$BI328)</f>
        <v>0</v>
      </c>
      <c r="CT316" s="1369">
        <f>CONTADORES!E328</f>
        <v>0</v>
      </c>
      <c r="CU316" s="1369">
        <f>CONTADORES!CG328</f>
        <v>0</v>
      </c>
    </row>
    <row r="317" spans="2:99">
      <c r="B317" s="390">
        <v>45233</v>
      </c>
      <c r="C317" s="198">
        <f t="shared" ca="1" si="134"/>
        <v>0</v>
      </c>
      <c r="D317" s="196">
        <f ca="1">'CALCULO DE GAS'!P142</f>
        <v>0</v>
      </c>
      <c r="E317" s="196">
        <f ca="1">IF(B317&gt;=$J$5,0,(CONTADORES!$AD329-CONTADORES!$AD328)-$H317)</f>
        <v>0</v>
      </c>
      <c r="F317" s="198">
        <f t="shared" ref="F317:F344" ca="1" si="164">IF(H317=0,0,"ERROR")</f>
        <v>0</v>
      </c>
      <c r="G317" s="196">
        <f ca="1">IF(B317&gt;=$J$5,0,CONTADORES!$AF329-CONTADORES!$AF328)</f>
        <v>0</v>
      </c>
      <c r="H317" s="196">
        <f ca="1">IF(G317&gt;0,CONTADORES!$AE329-CONTADORES!$AE328,0)</f>
        <v>0</v>
      </c>
      <c r="I317" s="199">
        <f ca="1">IF(B317&gt;=$J$5,0,CONTADORES!$AB329-CONTADORES!$AB328)</f>
        <v>0</v>
      </c>
      <c r="J317" s="198">
        <f t="shared" ca="1" si="135"/>
        <v>0</v>
      </c>
      <c r="K317" s="196">
        <f ca="1">'CALCULO DE GAS'!Q142</f>
        <v>0</v>
      </c>
      <c r="L317" s="1396">
        <f ca="1">IF(B317&gt;=$J$5,0,(CONTADORES!$Y329-CONTADORES!$Y328)-$O317)</f>
        <v>0</v>
      </c>
      <c r="M317" s="1396">
        <f t="shared" ca="1" si="161"/>
        <v>0</v>
      </c>
      <c r="N317" s="1396">
        <f ca="1">IF(B317&gt;=$J$5,0,CONTADORES!$AA329-CONTADORES!$AA328)</f>
        <v>0</v>
      </c>
      <c r="O317" s="1396">
        <f ca="1">IF(N317&gt;0,CONTADORES!$Z329-CONTADORES!$Z328,0)</f>
        <v>0</v>
      </c>
      <c r="P317" s="202">
        <f ca="1">IF(B317&gt;=$J$5,0,CONTADORES!$W329-CONTADORES!$W328)</f>
        <v>0</v>
      </c>
      <c r="Q317" s="202">
        <f ca="1">IF(B317&gt;=$J$5,0,CONTADORES!$B329-CONTADORES!$B328)</f>
        <v>0</v>
      </c>
      <c r="R317" s="196">
        <f t="shared" ca="1" si="136"/>
        <v>0</v>
      </c>
      <c r="S317" s="11">
        <f ca="1">IF(B317&gt;=$J$5,0,CONTADORES!$D329-CONTADORES!$D328)</f>
        <v>0</v>
      </c>
      <c r="T317" s="198">
        <f ca="1">IF(B317&gt;=$J$5,0,CONTADORES!$BB329-CONTADORES!$BB328)</f>
        <v>0</v>
      </c>
      <c r="U317" s="196">
        <f t="shared" ca="1" si="162"/>
        <v>0</v>
      </c>
      <c r="V317" s="11">
        <f ca="1">IF(B317&gt;=$J$5,0,CONTADORES!$BD329-CONTADORES!$BD328)</f>
        <v>0</v>
      </c>
      <c r="W317" s="1397">
        <f t="shared" ca="1" si="137"/>
        <v>0</v>
      </c>
      <c r="X317" s="1397">
        <f t="shared" ca="1" si="138"/>
        <v>0</v>
      </c>
      <c r="Y317" s="1398">
        <f t="shared" ca="1" si="139"/>
        <v>0</v>
      </c>
      <c r="Z317" s="1398">
        <f t="shared" ca="1" si="140"/>
        <v>0</v>
      </c>
      <c r="AA317" s="1398">
        <f t="shared" ca="1" si="141"/>
        <v>0</v>
      </c>
      <c r="AB317" s="1398">
        <f t="shared" ca="1" si="142"/>
        <v>0</v>
      </c>
      <c r="AC317" s="1397">
        <f t="shared" ca="1" si="143"/>
        <v>0</v>
      </c>
      <c r="AD317" s="1407">
        <f ca="1">IF(B317&gt;=$J$5,0,CONTADORES!H329-CONTADORES!H328)</f>
        <v>0</v>
      </c>
      <c r="AE317" s="1397">
        <f ca="1">IF(B317&gt;=$J$5,0,CONTADORES!J329-CONTADORES!J328)</f>
        <v>0</v>
      </c>
      <c r="AF317" s="1397">
        <f ca="1">IF(B317&gt;=$J$5,0,CONTADORES!AU329-CONTADORES!AU328)</f>
        <v>0</v>
      </c>
      <c r="AG317" s="1397">
        <f ca="1">IF(B317&gt;=$J$5,0,CONTADORES!AW329-CONTADORES!AW328)</f>
        <v>0</v>
      </c>
      <c r="AH317" s="1398">
        <f ca="1">IF(B317&gt;=$J$5,0,(CONTADORES!AM329-CONTADORES!AM328)+(CONTADORES!M329-CONTADORES!M328))</f>
        <v>0</v>
      </c>
      <c r="AI317" s="1397">
        <f ca="1">IF(B317&gt;=$J$5,0,(CONTADORES!AK329-CONTADORES!AK328)+(CONTADORES!O329-CONTADORES!O328))</f>
        <v>0</v>
      </c>
      <c r="AJ317" s="1397">
        <f ca="1">IF(B317&gt;=$J$5,0,(CONTADORES!AI329-CONTADORES!AI328))</f>
        <v>0</v>
      </c>
      <c r="AK317" s="1397">
        <f ca="1">IF(B317&gt;=$J$5,0,(CONTADORES!Q329-CONTADORES!Q328))</f>
        <v>0</v>
      </c>
      <c r="AL317" s="1461">
        <f t="shared" ca="1" si="144"/>
        <v>0</v>
      </c>
      <c r="AM317" s="1397">
        <f ca="1">IF(B317&gt;=$J$5,0,(((CONTADORES!F329-CONTADORES!F328)+(CONTADORES!AQ329-CONTADORES!AQ328))))-BS317-AF317-AN317-BV317-BY317-CD317-CB317+T317</f>
        <v>0</v>
      </c>
      <c r="AN317" s="1397">
        <f ca="1">IF(B317&gt;=$J$5,0,(CONTADORES!AX329-CONTADORES!AX328)+(CONTADORES!AZ329-CONTADORES!AZ328)+(CONTADORES!BE329-CONTADORES!BE328))-CB317</f>
        <v>0</v>
      </c>
      <c r="AO317" s="1399">
        <f ca="1">IF(B317&gt;=$J$5,0,(CONTADORES!AC329-CONTADORES!AC328))</f>
        <v>0</v>
      </c>
      <c r="AP317" s="1433">
        <f ca="1">IF(B317&gt;=$J$5,0,(CONTADORES!X329-CONTADORES!X328))</f>
        <v>0</v>
      </c>
      <c r="AQ317" s="1399">
        <f ca="1">IF(B317&gt;=$J$5,0,(CONTADORES!C329-CONTADORES!C328))</f>
        <v>0</v>
      </c>
      <c r="AR317" s="1399">
        <f ca="1">IF(B317&gt;=$J$5,0,(CONTADORES!BC329-CONTADORES!BC328))</f>
        <v>0</v>
      </c>
      <c r="AS317" s="1397">
        <f ca="1">IF(B317&gt;=$J$5,0,CONTADORES!S329-CONTADORES!S328)</f>
        <v>0</v>
      </c>
      <c r="AT317" s="1397">
        <f ca="1">IF(B317&gt;=$J$5,0,(CONTADORES!U329-CONTADORES!U328)+(CONTADORES!AG329-CONTADORES!AG328))</f>
        <v>0</v>
      </c>
      <c r="AU317" s="1433">
        <f ca="1">IF(B317&gt;=$J$5,0,(CONTADORES!I329-CONTADORES!I328))</f>
        <v>0</v>
      </c>
      <c r="AV317" s="1399">
        <f ca="1">IF(B317&gt;=$J$5,0,(CONTADORES!AV329-CONTADORES!AV328))</f>
        <v>0</v>
      </c>
      <c r="AW317" s="1433">
        <f ca="1">IF(B317&gt;=$J$5,0,(CONTADORES!N329-CONTADORES!N328)+(CONTADORES!AN329-CONTADORES!AN328))</f>
        <v>0</v>
      </c>
      <c r="AX317" s="1399">
        <f ca="1">IF(B317&gt;=$J$5,0,(CONTADORES!P329-CONTADORES!P328)+(CONTADORES!AL329-CONTADORES!AL328))</f>
        <v>0</v>
      </c>
      <c r="AY317" s="1399">
        <f ca="1">IF(B317&gt;=$J$5,0,(CONTADORES!AJ329-CONTADORES!AJ328))</f>
        <v>0</v>
      </c>
      <c r="AZ317" s="1399">
        <f ca="1">IF(B317&gt;=$J$5,0,(CONTADORES!R329-CONTADORES!R328))</f>
        <v>0</v>
      </c>
      <c r="BA317" s="1409">
        <f t="shared" ca="1" si="145"/>
        <v>0</v>
      </c>
      <c r="BB317" s="1399">
        <f ca="1">IF(B317&gt;=$J$5,0,(((CONTADORES!G329-CONTADORES!G328)+(CONTADORES!AR329-CONTADORES!AR328))))-AV317-BC317-BT317-BW317-BZ317-CE317-AR317</f>
        <v>0</v>
      </c>
      <c r="BC317" s="1397">
        <f ca="1">IF(B317&gt;=$J$5,0,(CONTADORES!AY329-CONTADORES!AY328)+(CONTADORES!BA329-CONTADORES!BA328)+(CONTADORES!BF329-CONTADORES!BF328))</f>
        <v>0</v>
      </c>
      <c r="BD317" s="1397">
        <f t="shared" ca="1" si="146"/>
        <v>0</v>
      </c>
      <c r="BE317" s="1398">
        <f ca="1">IF($B317&gt;=$J$5,0,CONTADORES!$BG329)</f>
        <v>0</v>
      </c>
      <c r="BF317" s="1397">
        <f ca="1">IF($B317&gt;=$J$5,0,CONTADORES!$BH329)</f>
        <v>0</v>
      </c>
      <c r="BG317" s="1397">
        <f ca="1">IF($B317&gt;=$J$5,0,CONTADORES!$BJ329)</f>
        <v>0</v>
      </c>
      <c r="BH317" s="1397">
        <f ca="1">IF(B317&gt;=$J$5,0,((CONTADORES!BK329-CONTADORES!BK328)/1000))</f>
        <v>0</v>
      </c>
      <c r="BI317" s="1397">
        <f ca="1">IF(C317&gt;=$J$5,0,((CONTADORES!BL329-CONTADORES!BL328)/1000))</f>
        <v>0</v>
      </c>
      <c r="BJ317" s="1397">
        <f ca="1">IF(C317&gt;=$J$5,0,((CONTADORES!BM329-CONTADORES!BM328)/1000))</f>
        <v>0</v>
      </c>
      <c r="BK317" s="1397">
        <f ca="1">IF(D317&gt;=$J$5,0,((CONTADORES!BN329-CONTADORES!BN328)/1000))</f>
        <v>0</v>
      </c>
      <c r="BL317" s="1399">
        <f t="shared" ca="1" si="147"/>
        <v>0</v>
      </c>
      <c r="BM317" s="1399">
        <f t="shared" ca="1" si="148"/>
        <v>0</v>
      </c>
      <c r="BN317" s="1399">
        <f ca="1">IF(B317&gt;=$J$5,0,CONTADORES!$BO329)</f>
        <v>0</v>
      </c>
      <c r="BO317" s="1397">
        <f ca="1">IF(W317&gt;=$J$5,0,CONTADORES!$BP329)</f>
        <v>0</v>
      </c>
      <c r="BP317" s="1397">
        <f ca="1">IF(W317&gt;=$J$5,0,CONTADORES!$BQ329)</f>
        <v>0</v>
      </c>
      <c r="BQ317" s="1397">
        <f ca="1">IF(B317&gt;=$J$5,0,(CONTADORES!AS329-CONTADORES!AS328))</f>
        <v>0</v>
      </c>
      <c r="BR317" s="1397">
        <f ca="1">IF(B317&gt;=$J$5,0,(CONTADORES!AT329-CONTADORES!AT328))</f>
        <v>0</v>
      </c>
      <c r="BS317" s="1397">
        <f ca="1">IF(B317&gt;=$J$5,0,CONTADORES!BR329-CONTADORES!BR328)/1000</f>
        <v>0</v>
      </c>
      <c r="BT317" s="1398">
        <f ca="1">IF(B317&gt;=$J$5,0,CONTADORES!BS329-CONTADORES!BS328)</f>
        <v>0</v>
      </c>
      <c r="BU317" s="1397">
        <f ca="1">IF(B317&gt;=$J$5,0,CONTADORES!BT329-CONTADORES!BT328)</f>
        <v>0</v>
      </c>
      <c r="BV317" s="1397">
        <f ca="1">IF(B317&gt;=$J$5,0,CONTADORES!BU329-CONTADORES!BU328)/1000</f>
        <v>0</v>
      </c>
      <c r="BW317" s="1397">
        <f ca="1">IF(B317&gt;=$J$5,0,CONTADORES!BV329-CONTADORES!BV328)/1000</f>
        <v>0</v>
      </c>
      <c r="BX317" s="1397">
        <f ca="1">IF(B317&gt;=$J$5,0,CONTADORES!BW329-CONTADORES!BW328)</f>
        <v>0</v>
      </c>
      <c r="BY317" s="1397">
        <f ca="1">IF(B317&gt;=$J$5,0,CONTADORES!BX329-CONTADORES!BX328)/1000</f>
        <v>0</v>
      </c>
      <c r="BZ317" s="1397">
        <f ca="1">IF(B317&gt;=$J$5,0,CONTADORES!BY329-CONTADORES!BY328)/1000</f>
        <v>0</v>
      </c>
      <c r="CA317" s="1397">
        <f ca="1">IF(B317&gt;=$J$5,0,CONTADORES!BZ329-CONTADORES!BZ328)</f>
        <v>0</v>
      </c>
      <c r="CB317" s="1397">
        <f ca="1">IF(B317&gt;=$J$5,0,(CONTADORES!CC329-CONTADORES!CC328)+(CONTADORES!CE329-CONTADORES!CE328))/1000</f>
        <v>0</v>
      </c>
      <c r="CC317" s="1397">
        <f ca="1">IF(B317&gt;=$J$5,0,(CONTADORES!CD329-CONTADORES!CD328)+(CONTADORES!CF329-CONTADORES!CF328))/1000</f>
        <v>0</v>
      </c>
      <c r="CD317" s="1397">
        <f ca="1">IF(B317&gt;=$J$5,0,CONTADORES!CA329-CONTADORES!CA328)</f>
        <v>0</v>
      </c>
      <c r="CE317" s="1397">
        <f ca="1">IF(B317&gt;=$J$5,0,CONTADORES!CB329-CONTADORES!CB328)</f>
        <v>0</v>
      </c>
      <c r="CF317" s="1397">
        <f t="shared" ca="1" si="149"/>
        <v>0</v>
      </c>
      <c r="CG317" s="1397">
        <f t="shared" ca="1" si="150"/>
        <v>0</v>
      </c>
      <c r="CH317" s="1397">
        <f t="shared" ca="1" si="151"/>
        <v>0</v>
      </c>
      <c r="CI317" s="1397">
        <f t="shared" ca="1" si="152"/>
        <v>0</v>
      </c>
      <c r="CJ317" s="1397">
        <f t="shared" ca="1" si="153"/>
        <v>0</v>
      </c>
      <c r="CK317" s="1397">
        <f t="shared" ca="1" si="154"/>
        <v>0</v>
      </c>
      <c r="CL317" s="1397">
        <f t="shared" ca="1" si="155"/>
        <v>0</v>
      </c>
      <c r="CM317" s="1397">
        <f t="shared" ca="1" si="156"/>
        <v>0</v>
      </c>
      <c r="CN317" s="1397">
        <f ca="1">IF(B317&gt;=$J$5,0,CONTADORES!CB329-CONTADORES!CB328)</f>
        <v>0</v>
      </c>
      <c r="CO317" s="1397">
        <f t="shared" ca="1" si="157"/>
        <v>0</v>
      </c>
      <c r="CP317" s="1397">
        <f t="shared" ca="1" si="158"/>
        <v>0</v>
      </c>
      <c r="CQ317" s="1397">
        <f t="shared" ca="1" si="159"/>
        <v>0</v>
      </c>
      <c r="CR317" s="1397">
        <f t="shared" ca="1" si="160"/>
        <v>0</v>
      </c>
      <c r="CS317" s="1403">
        <f ca="1">IF($B317&gt;=$J$5,0,CONTADORES!$BI329)</f>
        <v>0</v>
      </c>
      <c r="CT317" s="1369">
        <f>CONTADORES!E329</f>
        <v>0</v>
      </c>
      <c r="CU317" s="1369">
        <f>CONTADORES!CG329</f>
        <v>0</v>
      </c>
    </row>
    <row r="318" spans="2:99">
      <c r="B318" s="390">
        <v>45234</v>
      </c>
      <c r="C318" s="198">
        <f t="shared" ca="1" si="134"/>
        <v>0</v>
      </c>
      <c r="D318" s="196">
        <f ca="1">'CALCULO DE GAS'!P143</f>
        <v>0</v>
      </c>
      <c r="E318" s="196">
        <f ca="1">IF(B318&gt;=$J$5,0,(CONTADORES!$AD330-CONTADORES!$AD329)-$H318)</f>
        <v>0</v>
      </c>
      <c r="F318" s="198">
        <f t="shared" ca="1" si="164"/>
        <v>0</v>
      </c>
      <c r="G318" s="196">
        <f ca="1">IF(B318&gt;=$J$5,0,CONTADORES!$AF330-CONTADORES!$AF329)</f>
        <v>0</v>
      </c>
      <c r="H318" s="196">
        <f ca="1">IF(G318&gt;0,CONTADORES!$AE330-CONTADORES!$AE329,0)</f>
        <v>0</v>
      </c>
      <c r="I318" s="199">
        <f ca="1">IF(B318&gt;=$J$5,0,CONTADORES!$AB330-CONTADORES!$AB329)</f>
        <v>0</v>
      </c>
      <c r="J318" s="198">
        <f t="shared" ca="1" si="135"/>
        <v>0</v>
      </c>
      <c r="K318" s="196">
        <f ca="1">'CALCULO DE GAS'!Q143</f>
        <v>0</v>
      </c>
      <c r="L318" s="1396">
        <f ca="1">IF(B318&gt;=$J$5,0,(CONTADORES!$Y330-CONTADORES!$Y329)-$O318)</f>
        <v>0</v>
      </c>
      <c r="M318" s="1396">
        <f t="shared" ca="1" si="161"/>
        <v>0</v>
      </c>
      <c r="N318" s="1396">
        <f ca="1">IF(B318&gt;=$J$5,0,CONTADORES!$AA330-CONTADORES!$AA329)</f>
        <v>0</v>
      </c>
      <c r="O318" s="1396">
        <f ca="1">IF(N318&gt;0,CONTADORES!$Z330-CONTADORES!$Z329,0)</f>
        <v>0</v>
      </c>
      <c r="P318" s="202">
        <f ca="1">IF(B318&gt;=$J$5,0,CONTADORES!$W330-CONTADORES!$W329)</f>
        <v>0</v>
      </c>
      <c r="Q318" s="202">
        <f ca="1">IF(B318&gt;=$J$5,0,CONTADORES!$B330-CONTADORES!$B329)</f>
        <v>0</v>
      </c>
      <c r="R318" s="196">
        <f t="shared" ca="1" si="136"/>
        <v>0</v>
      </c>
      <c r="S318" s="11">
        <f ca="1">IF(B318&gt;=$J$5,0,CONTADORES!$D330-CONTADORES!$D329)</f>
        <v>0</v>
      </c>
      <c r="T318" s="198">
        <f ca="1">IF(B318&gt;=$J$5,0,CONTADORES!$BB330-CONTADORES!$BB329)</f>
        <v>0</v>
      </c>
      <c r="U318" s="196">
        <f t="shared" ca="1" si="162"/>
        <v>0</v>
      </c>
      <c r="V318" s="11">
        <f ca="1">IF(B318&gt;=$J$5,0,CONTADORES!$BD330-CONTADORES!$BD329)</f>
        <v>0</v>
      </c>
      <c r="W318" s="1397">
        <f t="shared" ca="1" si="137"/>
        <v>0</v>
      </c>
      <c r="X318" s="1397">
        <f t="shared" ca="1" si="138"/>
        <v>0</v>
      </c>
      <c r="Y318" s="1398">
        <f t="shared" ca="1" si="139"/>
        <v>0</v>
      </c>
      <c r="Z318" s="1398">
        <f t="shared" ca="1" si="140"/>
        <v>0</v>
      </c>
      <c r="AA318" s="1398">
        <f t="shared" ca="1" si="141"/>
        <v>0</v>
      </c>
      <c r="AB318" s="1398">
        <f t="shared" ca="1" si="142"/>
        <v>0</v>
      </c>
      <c r="AC318" s="1397">
        <f t="shared" ca="1" si="143"/>
        <v>0</v>
      </c>
      <c r="AD318" s="1407">
        <f ca="1">IF(B318&gt;=$J$5,0,CONTADORES!H330-CONTADORES!H329)</f>
        <v>0</v>
      </c>
      <c r="AE318" s="1397">
        <f ca="1">IF(B318&gt;=$J$5,0,CONTADORES!J330-CONTADORES!J329)</f>
        <v>0</v>
      </c>
      <c r="AF318" s="1397">
        <f ca="1">IF(B318&gt;=$J$5,0,CONTADORES!AU330-CONTADORES!AU329)</f>
        <v>0</v>
      </c>
      <c r="AG318" s="1397">
        <f ca="1">IF(B318&gt;=$J$5,0,CONTADORES!AW330-CONTADORES!AW329)</f>
        <v>0</v>
      </c>
      <c r="AH318" s="1398">
        <f ca="1">IF(B318&gt;=$J$5,0,(CONTADORES!AM330-CONTADORES!AM329)+(CONTADORES!M330-CONTADORES!M329))</f>
        <v>0</v>
      </c>
      <c r="AI318" s="1397">
        <f ca="1">IF(B318&gt;=$J$5,0,(CONTADORES!AK330-CONTADORES!AK329)+(CONTADORES!O330-CONTADORES!O329))</f>
        <v>0</v>
      </c>
      <c r="AJ318" s="1397">
        <f ca="1">IF(B318&gt;=$J$5,0,(CONTADORES!AI330-CONTADORES!AI329))</f>
        <v>0</v>
      </c>
      <c r="AK318" s="1397">
        <f ca="1">IF(B318&gt;=$J$5,0,(CONTADORES!Q330-CONTADORES!Q329))</f>
        <v>0</v>
      </c>
      <c r="AL318" s="1461">
        <f t="shared" ca="1" si="144"/>
        <v>0</v>
      </c>
      <c r="AM318" s="1397">
        <f ca="1">IF(B318&gt;=$J$5,0,(((CONTADORES!F330-CONTADORES!F329)+(CONTADORES!AQ330-CONTADORES!AQ329))))-BS318-AF318-AN318-BV318-BY318-CD318-CB318+T318</f>
        <v>0</v>
      </c>
      <c r="AN318" s="1397">
        <f ca="1">IF(B318&gt;=$J$5,0,(CONTADORES!AX330-CONTADORES!AX329)+(CONTADORES!AZ330-CONTADORES!AZ329)+(CONTADORES!BE330-CONTADORES!BE329))-CB318</f>
        <v>0</v>
      </c>
      <c r="AO318" s="1399">
        <f ca="1">IF(B318&gt;=$J$5,0,(CONTADORES!AC330-CONTADORES!AC329))</f>
        <v>0</v>
      </c>
      <c r="AP318" s="1433">
        <f ca="1">IF(B318&gt;=$J$5,0,(CONTADORES!X330-CONTADORES!X329))</f>
        <v>0</v>
      </c>
      <c r="AQ318" s="1399">
        <f ca="1">IF(B318&gt;=$J$5,0,(CONTADORES!C330-CONTADORES!C329))</f>
        <v>0</v>
      </c>
      <c r="AR318" s="1399">
        <f ca="1">IF(B318&gt;=$J$5,0,(CONTADORES!BC330-CONTADORES!BC329))</f>
        <v>0</v>
      </c>
      <c r="AS318" s="1397">
        <f ca="1">IF(B318&gt;=$J$5,0,CONTADORES!S330-CONTADORES!S329)</f>
        <v>0</v>
      </c>
      <c r="AT318" s="1397">
        <f ca="1">IF(B318&gt;=$J$5,0,(CONTADORES!U330-CONTADORES!U329)+(CONTADORES!AG330-CONTADORES!AG329))</f>
        <v>0</v>
      </c>
      <c r="AU318" s="1433">
        <f ca="1">IF(B318&gt;=$J$5,0,(CONTADORES!I330-CONTADORES!I329))</f>
        <v>0</v>
      </c>
      <c r="AV318" s="1399">
        <f ca="1">IF(B318&gt;=$J$5,0,(CONTADORES!AV330-CONTADORES!AV329))</f>
        <v>0</v>
      </c>
      <c r="AW318" s="1433">
        <f ca="1">IF(B318&gt;=$J$5,0,(CONTADORES!N330-CONTADORES!N329)+(CONTADORES!AN330-CONTADORES!AN329))</f>
        <v>0</v>
      </c>
      <c r="AX318" s="1399">
        <f ca="1">IF(B318&gt;=$J$5,0,(CONTADORES!P330-CONTADORES!P329)+(CONTADORES!AL330-CONTADORES!AL329))</f>
        <v>0</v>
      </c>
      <c r="AY318" s="1399">
        <f ca="1">IF(B318&gt;=$J$5,0,(CONTADORES!AJ330-CONTADORES!AJ329))</f>
        <v>0</v>
      </c>
      <c r="AZ318" s="1399">
        <f ca="1">IF(B318&gt;=$J$5,0,(CONTADORES!R330-CONTADORES!R329))</f>
        <v>0</v>
      </c>
      <c r="BA318" s="1409">
        <f t="shared" ca="1" si="145"/>
        <v>0</v>
      </c>
      <c r="BB318" s="1399">
        <f ca="1">IF(B318&gt;=$J$5,0,(((CONTADORES!G330-CONTADORES!G329)+(CONTADORES!AR330-CONTADORES!AR329))))-AV318-BC318-BT318-BW318-BZ318-CE318-AR318</f>
        <v>0</v>
      </c>
      <c r="BC318" s="1397">
        <f ca="1">IF(B318&gt;=$J$5,0,(CONTADORES!AY330-CONTADORES!AY329)+(CONTADORES!BA330-CONTADORES!BA329)+(CONTADORES!BF330-CONTADORES!BF329))</f>
        <v>0</v>
      </c>
      <c r="BD318" s="1397">
        <f t="shared" ca="1" si="146"/>
        <v>0</v>
      </c>
      <c r="BE318" s="1398">
        <f ca="1">IF($B318&gt;=$J$5,0,CONTADORES!$BG330)</f>
        <v>0</v>
      </c>
      <c r="BF318" s="1397">
        <f ca="1">IF($B318&gt;=$J$5,0,CONTADORES!$BH330)</f>
        <v>0</v>
      </c>
      <c r="BG318" s="1397">
        <f ca="1">IF($B318&gt;=$J$5,0,CONTADORES!$BJ330)</f>
        <v>0</v>
      </c>
      <c r="BH318" s="1397">
        <f ca="1">IF(B318&gt;=$J$5,0,((CONTADORES!BK330-CONTADORES!BK329)/1000))</f>
        <v>0</v>
      </c>
      <c r="BI318" s="1397">
        <f ca="1">IF(C318&gt;=$J$5,0,((CONTADORES!BL330-CONTADORES!BL329)/1000))</f>
        <v>0</v>
      </c>
      <c r="BJ318" s="1397">
        <f ca="1">IF(C318&gt;=$J$5,0,((CONTADORES!BM330-CONTADORES!BM329)/1000))</f>
        <v>0</v>
      </c>
      <c r="BK318" s="1397">
        <f ca="1">IF(D318&gt;=$J$5,0,((CONTADORES!BN330-CONTADORES!BN329)/1000))</f>
        <v>0</v>
      </c>
      <c r="BL318" s="1399">
        <f t="shared" ca="1" si="147"/>
        <v>0</v>
      </c>
      <c r="BM318" s="1399">
        <f t="shared" ca="1" si="148"/>
        <v>0</v>
      </c>
      <c r="BN318" s="1399">
        <f ca="1">IF(B318&gt;=$J$5,0,CONTADORES!$BO330)</f>
        <v>0</v>
      </c>
      <c r="BO318" s="1397">
        <f ca="1">IF(W318&gt;=$J$5,0,CONTADORES!$BP330)</f>
        <v>0</v>
      </c>
      <c r="BP318" s="1397">
        <f ca="1">IF(W318&gt;=$J$5,0,CONTADORES!$BQ330)</f>
        <v>0</v>
      </c>
      <c r="BQ318" s="1397">
        <f ca="1">IF(B318&gt;=$J$5,0,(CONTADORES!AS330-CONTADORES!AS329))</f>
        <v>0</v>
      </c>
      <c r="BR318" s="1397">
        <f ca="1">IF(B318&gt;=$J$5,0,(CONTADORES!AT330-CONTADORES!AT329))</f>
        <v>0</v>
      </c>
      <c r="BS318" s="1397">
        <f ca="1">IF(B318&gt;=$J$5,0,CONTADORES!BR330-CONTADORES!BR329)/1000</f>
        <v>0</v>
      </c>
      <c r="BT318" s="1398">
        <f ca="1">IF(B318&gt;=$J$5,0,CONTADORES!BS330-CONTADORES!BS329)</f>
        <v>0</v>
      </c>
      <c r="BU318" s="1397">
        <f ca="1">IF(B318&gt;=$J$5,0,CONTADORES!BT330-CONTADORES!BT329)</f>
        <v>0</v>
      </c>
      <c r="BV318" s="1397">
        <f ca="1">IF(B318&gt;=$J$5,0,CONTADORES!BU330-CONTADORES!BU329)/1000</f>
        <v>0</v>
      </c>
      <c r="BW318" s="1397">
        <f ca="1">IF(B318&gt;=$J$5,0,CONTADORES!BV330-CONTADORES!BV329)/1000</f>
        <v>0</v>
      </c>
      <c r="BX318" s="1397">
        <f ca="1">IF(B318&gt;=$J$5,0,CONTADORES!BW330-CONTADORES!BW329)</f>
        <v>0</v>
      </c>
      <c r="BY318" s="1397">
        <f ca="1">IF(B318&gt;=$J$5,0,CONTADORES!BX330-CONTADORES!BX329)/1000</f>
        <v>0</v>
      </c>
      <c r="BZ318" s="1397">
        <f ca="1">IF(B318&gt;=$J$5,0,CONTADORES!BY330-CONTADORES!BY329)/1000</f>
        <v>0</v>
      </c>
      <c r="CA318" s="1397">
        <f ca="1">IF(B318&gt;=$J$5,0,CONTADORES!BZ330-CONTADORES!BZ329)</f>
        <v>0</v>
      </c>
      <c r="CB318" s="1397">
        <f ca="1">IF(B318&gt;=$J$5,0,(CONTADORES!CC330-CONTADORES!CC329)+(CONTADORES!CE330-CONTADORES!CE329))/1000</f>
        <v>0</v>
      </c>
      <c r="CC318" s="1397">
        <f ca="1">IF(B318&gt;=$J$5,0,(CONTADORES!CD330-CONTADORES!CD329)+(CONTADORES!CF330-CONTADORES!CF329))/1000</f>
        <v>0</v>
      </c>
      <c r="CD318" s="1397">
        <f ca="1">IF(B318&gt;=$J$5,0,CONTADORES!CA330-CONTADORES!CA329)</f>
        <v>0</v>
      </c>
      <c r="CE318" s="1397">
        <f ca="1">IF(B318&gt;=$J$5,0,CONTADORES!CB330-CONTADORES!CB329)</f>
        <v>0</v>
      </c>
      <c r="CF318" s="1397">
        <f t="shared" ca="1" si="149"/>
        <v>0</v>
      </c>
      <c r="CG318" s="1397">
        <f t="shared" ca="1" si="150"/>
        <v>0</v>
      </c>
      <c r="CH318" s="1397">
        <f t="shared" ca="1" si="151"/>
        <v>0</v>
      </c>
      <c r="CI318" s="1397">
        <f t="shared" ca="1" si="152"/>
        <v>0</v>
      </c>
      <c r="CJ318" s="1397">
        <f t="shared" ca="1" si="153"/>
        <v>0</v>
      </c>
      <c r="CK318" s="1397">
        <f t="shared" ca="1" si="154"/>
        <v>0</v>
      </c>
      <c r="CL318" s="1397">
        <f t="shared" ca="1" si="155"/>
        <v>0</v>
      </c>
      <c r="CM318" s="1397">
        <f t="shared" ca="1" si="156"/>
        <v>0</v>
      </c>
      <c r="CN318" s="1397">
        <f ca="1">IF(B318&gt;=$J$5,0,CONTADORES!CB330-CONTADORES!CB329)</f>
        <v>0</v>
      </c>
      <c r="CO318" s="1397">
        <f t="shared" ca="1" si="157"/>
        <v>0</v>
      </c>
      <c r="CP318" s="1397">
        <f t="shared" ca="1" si="158"/>
        <v>0</v>
      </c>
      <c r="CQ318" s="1397">
        <f t="shared" ca="1" si="159"/>
        <v>0</v>
      </c>
      <c r="CR318" s="1397">
        <f t="shared" ca="1" si="160"/>
        <v>0</v>
      </c>
      <c r="CS318" s="1403">
        <f ca="1">IF($B318&gt;=$J$5,0,CONTADORES!$BI330)</f>
        <v>0</v>
      </c>
      <c r="CT318" s="1369">
        <f>CONTADORES!E330</f>
        <v>0</v>
      </c>
      <c r="CU318" s="1369">
        <f>CONTADORES!CG330</f>
        <v>0</v>
      </c>
    </row>
    <row r="319" spans="2:99">
      <c r="B319" s="390">
        <v>45235</v>
      </c>
      <c r="C319" s="198">
        <f t="shared" ca="1" si="134"/>
        <v>0</v>
      </c>
      <c r="D319" s="196">
        <f ca="1">'CALCULO DE GAS'!P144</f>
        <v>0</v>
      </c>
      <c r="E319" s="196">
        <f ca="1">IF(B319&gt;=$J$5,0,(CONTADORES!$AD331-CONTADORES!$AD330)-$H319)</f>
        <v>0</v>
      </c>
      <c r="F319" s="198">
        <f t="shared" ca="1" si="164"/>
        <v>0</v>
      </c>
      <c r="G319" s="196">
        <f ca="1">IF(B319&gt;=$J$5,0,CONTADORES!$AF331-CONTADORES!$AF330)</f>
        <v>0</v>
      </c>
      <c r="H319" s="196">
        <f ca="1">IF(G319&gt;0,CONTADORES!$AE331-CONTADORES!$AE330,0)</f>
        <v>0</v>
      </c>
      <c r="I319" s="199">
        <f ca="1">IF(B319&gt;=$J$5,0,CONTADORES!$AB331-CONTADORES!$AB330)</f>
        <v>0</v>
      </c>
      <c r="J319" s="198">
        <f t="shared" ca="1" si="135"/>
        <v>0</v>
      </c>
      <c r="K319" s="196">
        <f ca="1">'CALCULO DE GAS'!Q144</f>
        <v>0</v>
      </c>
      <c r="L319" s="1396">
        <f ca="1">IF(B319&gt;=$J$5,0,(CONTADORES!$Y331-CONTADORES!$Y330)-$O319)</f>
        <v>0</v>
      </c>
      <c r="M319" s="1396">
        <f t="shared" ca="1" si="161"/>
        <v>0</v>
      </c>
      <c r="N319" s="1396">
        <f ca="1">IF(B319&gt;=$J$5,0,CONTADORES!$AA331-CONTADORES!$AA330)</f>
        <v>0</v>
      </c>
      <c r="O319" s="1396">
        <f ca="1">IF(N319&gt;0,CONTADORES!$Z331-CONTADORES!$Z330,0)</f>
        <v>0</v>
      </c>
      <c r="P319" s="202">
        <f ca="1">IF(B319&gt;=$J$5,0,CONTADORES!$W331-CONTADORES!$W330)</f>
        <v>0</v>
      </c>
      <c r="Q319" s="202">
        <f ca="1">IF(B319&gt;=$J$5,0,CONTADORES!$B331-CONTADORES!$B330)</f>
        <v>0</v>
      </c>
      <c r="R319" s="196">
        <f t="shared" ca="1" si="136"/>
        <v>0</v>
      </c>
      <c r="S319" s="11">
        <f ca="1">IF(B319&gt;=$J$5,0,CONTADORES!$D331-CONTADORES!$D330)</f>
        <v>0</v>
      </c>
      <c r="T319" s="198">
        <f ca="1">IF(B319&gt;=$J$5,0,CONTADORES!$BB331-CONTADORES!$BB330)</f>
        <v>0</v>
      </c>
      <c r="U319" s="196">
        <f t="shared" ca="1" si="162"/>
        <v>0</v>
      </c>
      <c r="V319" s="11">
        <f ca="1">IF(B319&gt;=$J$5,0,CONTADORES!$BD331-CONTADORES!$BD330)</f>
        <v>0</v>
      </c>
      <c r="W319" s="1397">
        <f t="shared" ca="1" si="137"/>
        <v>0</v>
      </c>
      <c r="X319" s="1397">
        <f t="shared" ca="1" si="138"/>
        <v>0</v>
      </c>
      <c r="Y319" s="1398">
        <f t="shared" ca="1" si="139"/>
        <v>0</v>
      </c>
      <c r="Z319" s="1398">
        <f t="shared" ca="1" si="140"/>
        <v>0</v>
      </c>
      <c r="AA319" s="1398">
        <f t="shared" ca="1" si="141"/>
        <v>0</v>
      </c>
      <c r="AB319" s="1398">
        <f t="shared" ca="1" si="142"/>
        <v>0</v>
      </c>
      <c r="AC319" s="1397">
        <f t="shared" ca="1" si="143"/>
        <v>0</v>
      </c>
      <c r="AD319" s="1407">
        <f ca="1">IF(B319&gt;=$J$5,0,CONTADORES!H331-CONTADORES!H330)</f>
        <v>0</v>
      </c>
      <c r="AE319" s="1397">
        <f ca="1">IF(B319&gt;=$J$5,0,CONTADORES!J331-CONTADORES!J330)</f>
        <v>0</v>
      </c>
      <c r="AF319" s="1397">
        <f ca="1">IF(B319&gt;=$J$5,0,CONTADORES!AU331-CONTADORES!AU330)</f>
        <v>0</v>
      </c>
      <c r="AG319" s="1397">
        <f ca="1">IF(B319&gt;=$J$5,0,CONTADORES!AW331-CONTADORES!AW330)</f>
        <v>0</v>
      </c>
      <c r="AH319" s="1398">
        <f ca="1">IF(B319&gt;=$J$5,0,(CONTADORES!AM331-CONTADORES!AM330)+(CONTADORES!M331-CONTADORES!M330))</f>
        <v>0</v>
      </c>
      <c r="AI319" s="1397">
        <f ca="1">IF(B319&gt;=$J$5,0,(CONTADORES!AK331-CONTADORES!AK330)+(CONTADORES!O331-CONTADORES!O330))</f>
        <v>0</v>
      </c>
      <c r="AJ319" s="1397">
        <f ca="1">IF(B319&gt;=$J$5,0,(CONTADORES!AI331-CONTADORES!AI330))</f>
        <v>0</v>
      </c>
      <c r="AK319" s="1397">
        <f ca="1">IF(B319&gt;=$J$5,0,(CONTADORES!Q331-CONTADORES!Q330))</f>
        <v>0</v>
      </c>
      <c r="AL319" s="1461">
        <f t="shared" ca="1" si="144"/>
        <v>0</v>
      </c>
      <c r="AM319" s="1397">
        <f ca="1">IF(B319&gt;=$J$5,0,(((CONTADORES!F331-CONTADORES!F330)+(CONTADORES!AQ331-CONTADORES!AQ330))))-BS319-AF319-AN319-BV319-BY319-CD319-CB319+T319</f>
        <v>0</v>
      </c>
      <c r="AN319" s="1397">
        <f ca="1">IF(B319&gt;=$J$5,0,(CONTADORES!AX331-CONTADORES!AX330)+(CONTADORES!AZ331-CONTADORES!AZ330)+(CONTADORES!BE331-CONTADORES!BE330))-CB319</f>
        <v>0</v>
      </c>
      <c r="AO319" s="1399">
        <f ca="1">IF(B319&gt;=$J$5,0,(CONTADORES!AC331-CONTADORES!AC330))</f>
        <v>0</v>
      </c>
      <c r="AP319" s="1433">
        <f ca="1">IF(B319&gt;=$J$5,0,(CONTADORES!X331-CONTADORES!X330))</f>
        <v>0</v>
      </c>
      <c r="AQ319" s="1399">
        <f ca="1">IF(B319&gt;=$J$5,0,(CONTADORES!C331-CONTADORES!C330))</f>
        <v>0</v>
      </c>
      <c r="AR319" s="1399">
        <f ca="1">IF(B319&gt;=$J$5,0,(CONTADORES!BC331-CONTADORES!BC330))</f>
        <v>0</v>
      </c>
      <c r="AS319" s="1397">
        <f ca="1">IF(B319&gt;=$J$5,0,CONTADORES!S331-CONTADORES!S330)</f>
        <v>0</v>
      </c>
      <c r="AT319" s="1397">
        <f ca="1">IF(B319&gt;=$J$5,0,(CONTADORES!U331-CONTADORES!U330)+(CONTADORES!AG331-CONTADORES!AG330))</f>
        <v>0</v>
      </c>
      <c r="AU319" s="1433">
        <f ca="1">IF(B319&gt;=$J$5,0,(CONTADORES!I331-CONTADORES!I330))</f>
        <v>0</v>
      </c>
      <c r="AV319" s="1399">
        <f ca="1">IF(B319&gt;=$J$5,0,(CONTADORES!AV331-CONTADORES!AV330))</f>
        <v>0</v>
      </c>
      <c r="AW319" s="1433">
        <f ca="1">IF(B319&gt;=$J$5,0,(CONTADORES!N331-CONTADORES!N330)+(CONTADORES!AN331-CONTADORES!AN330))</f>
        <v>0</v>
      </c>
      <c r="AX319" s="1399">
        <f ca="1">IF(B319&gt;=$J$5,0,(CONTADORES!P331-CONTADORES!P330)+(CONTADORES!AL331-CONTADORES!AL330))</f>
        <v>0</v>
      </c>
      <c r="AY319" s="1399">
        <f ca="1">IF(B319&gt;=$J$5,0,(CONTADORES!AJ331-CONTADORES!AJ330))</f>
        <v>0</v>
      </c>
      <c r="AZ319" s="1399">
        <f ca="1">IF(B319&gt;=$J$5,0,(CONTADORES!R331-CONTADORES!R330))</f>
        <v>0</v>
      </c>
      <c r="BA319" s="1409">
        <f t="shared" ca="1" si="145"/>
        <v>0</v>
      </c>
      <c r="BB319" s="1399">
        <f ca="1">IF(B319&gt;=$J$5,0,(((CONTADORES!G331-CONTADORES!G330)+(CONTADORES!AR331-CONTADORES!AR330))))-AV319-BC319-BT319-BW319-BZ319-CE319-AR319</f>
        <v>0</v>
      </c>
      <c r="BC319" s="1397">
        <f ca="1">IF(B319&gt;=$J$5,0,(CONTADORES!AY331-CONTADORES!AY330)+(CONTADORES!BA331-CONTADORES!BA330)+(CONTADORES!BF331-CONTADORES!BF330))</f>
        <v>0</v>
      </c>
      <c r="BD319" s="1397">
        <f t="shared" ca="1" si="146"/>
        <v>0</v>
      </c>
      <c r="BE319" s="1398">
        <f ca="1">IF($B319&gt;=$J$5,0,CONTADORES!$BG331)</f>
        <v>0</v>
      </c>
      <c r="BF319" s="1397">
        <f ca="1">IF($B319&gt;=$J$5,0,CONTADORES!$BH331)</f>
        <v>0</v>
      </c>
      <c r="BG319" s="1397">
        <f ca="1">IF($B319&gt;=$J$5,0,CONTADORES!$BJ331)</f>
        <v>0</v>
      </c>
      <c r="BH319" s="1397">
        <f ca="1">IF(B319&gt;=$J$5,0,((CONTADORES!BK331-CONTADORES!BK330)/1000))</f>
        <v>0</v>
      </c>
      <c r="BI319" s="1397">
        <f ca="1">IF(C319&gt;=$J$5,0,((CONTADORES!BL331-CONTADORES!BL330)/1000))</f>
        <v>0</v>
      </c>
      <c r="BJ319" s="1397">
        <f ca="1">IF(C319&gt;=$J$5,0,((CONTADORES!BM331-CONTADORES!BM330)/1000))</f>
        <v>0</v>
      </c>
      <c r="BK319" s="1397">
        <f ca="1">IF(D319&gt;=$J$5,0,((CONTADORES!BN331-CONTADORES!BN330)/1000))</f>
        <v>0</v>
      </c>
      <c r="BL319" s="1399">
        <f t="shared" ca="1" si="147"/>
        <v>0</v>
      </c>
      <c r="BM319" s="1399">
        <f t="shared" ca="1" si="148"/>
        <v>0</v>
      </c>
      <c r="BN319" s="1399">
        <f ca="1">IF(B319&gt;=$J$5,0,CONTADORES!$BO331)</f>
        <v>0</v>
      </c>
      <c r="BO319" s="1397">
        <f ca="1">IF(W319&gt;=$J$5,0,CONTADORES!$BP331)</f>
        <v>0</v>
      </c>
      <c r="BP319" s="1397">
        <f ca="1">IF(W319&gt;=$J$5,0,CONTADORES!$BQ331)</f>
        <v>0</v>
      </c>
      <c r="BQ319" s="1397">
        <f ca="1">IF(B319&gt;=$J$5,0,(CONTADORES!AS331-CONTADORES!AS330))</f>
        <v>0</v>
      </c>
      <c r="BR319" s="1397">
        <f ca="1">IF(B319&gt;=$J$5,0,(CONTADORES!AT331-CONTADORES!AT330))</f>
        <v>0</v>
      </c>
      <c r="BS319" s="1397">
        <f ca="1">IF(B319&gt;=$J$5,0,CONTADORES!BR331-CONTADORES!BR330)/1000</f>
        <v>0</v>
      </c>
      <c r="BT319" s="1398">
        <f ca="1">IF(B319&gt;=$J$5,0,CONTADORES!BS331-CONTADORES!BS330)</f>
        <v>0</v>
      </c>
      <c r="BU319" s="1397">
        <f ca="1">IF(B319&gt;=$J$5,0,CONTADORES!BT331-CONTADORES!BT330)</f>
        <v>0</v>
      </c>
      <c r="BV319" s="1397">
        <f ca="1">IF(B319&gt;=$J$5,0,CONTADORES!BU331-CONTADORES!BU330)/1000</f>
        <v>0</v>
      </c>
      <c r="BW319" s="1397">
        <f ca="1">IF(B319&gt;=$J$5,0,CONTADORES!BV331-CONTADORES!BV330)/1000</f>
        <v>0</v>
      </c>
      <c r="BX319" s="1397">
        <f ca="1">IF(B319&gt;=$J$5,0,CONTADORES!BW331-CONTADORES!BW330)</f>
        <v>0</v>
      </c>
      <c r="BY319" s="1397">
        <f ca="1">IF(B319&gt;=$J$5,0,CONTADORES!BX331-CONTADORES!BX330)/1000</f>
        <v>0</v>
      </c>
      <c r="BZ319" s="1397">
        <f ca="1">IF(B319&gt;=$J$5,0,CONTADORES!BY331-CONTADORES!BY330)/1000</f>
        <v>0</v>
      </c>
      <c r="CA319" s="1397">
        <f ca="1">IF(B319&gt;=$J$5,0,CONTADORES!BZ331-CONTADORES!BZ330)</f>
        <v>0</v>
      </c>
      <c r="CB319" s="1397">
        <f ca="1">IF(B319&gt;=$J$5,0,(CONTADORES!CC331-CONTADORES!CC330)+(CONTADORES!CE331-CONTADORES!CE330))/1000</f>
        <v>0</v>
      </c>
      <c r="CC319" s="1397">
        <f ca="1">IF(B319&gt;=$J$5,0,(CONTADORES!CD331-CONTADORES!CD330)+(CONTADORES!CF331-CONTADORES!CF330))/1000</f>
        <v>0</v>
      </c>
      <c r="CD319" s="1397">
        <f ca="1">IF(B319&gt;=$J$5,0,CONTADORES!CA331-CONTADORES!CA330)</f>
        <v>0</v>
      </c>
      <c r="CE319" s="1397">
        <f ca="1">IF(B319&gt;=$J$5,0,CONTADORES!CB331-CONTADORES!CB330)</f>
        <v>0</v>
      </c>
      <c r="CF319" s="1397">
        <f t="shared" ca="1" si="149"/>
        <v>0</v>
      </c>
      <c r="CG319" s="1397">
        <f t="shared" ca="1" si="150"/>
        <v>0</v>
      </c>
      <c r="CH319" s="1397">
        <f t="shared" ca="1" si="151"/>
        <v>0</v>
      </c>
      <c r="CI319" s="1397">
        <f t="shared" ca="1" si="152"/>
        <v>0</v>
      </c>
      <c r="CJ319" s="1397">
        <f t="shared" ca="1" si="153"/>
        <v>0</v>
      </c>
      <c r="CK319" s="1397">
        <f t="shared" ca="1" si="154"/>
        <v>0</v>
      </c>
      <c r="CL319" s="1397">
        <f t="shared" ca="1" si="155"/>
        <v>0</v>
      </c>
      <c r="CM319" s="1397">
        <f t="shared" ca="1" si="156"/>
        <v>0</v>
      </c>
      <c r="CN319" s="1397">
        <f ca="1">IF(B319&gt;=$J$5,0,CONTADORES!CB331-CONTADORES!CB330)</f>
        <v>0</v>
      </c>
      <c r="CO319" s="1397">
        <f t="shared" ca="1" si="157"/>
        <v>0</v>
      </c>
      <c r="CP319" s="1397">
        <f t="shared" ca="1" si="158"/>
        <v>0</v>
      </c>
      <c r="CQ319" s="1397">
        <f t="shared" ca="1" si="159"/>
        <v>0</v>
      </c>
      <c r="CR319" s="1397">
        <f t="shared" ca="1" si="160"/>
        <v>0</v>
      </c>
      <c r="CS319" s="1403">
        <f ca="1">IF($B319&gt;=$J$5,0,CONTADORES!$BI331)</f>
        <v>0</v>
      </c>
      <c r="CT319" s="1369">
        <f>CONTADORES!E331</f>
        <v>0</v>
      </c>
      <c r="CU319" s="1369">
        <f>CONTADORES!CG331</f>
        <v>0</v>
      </c>
    </row>
    <row r="320" spans="2:99">
      <c r="B320" s="390">
        <v>45236</v>
      </c>
      <c r="C320" s="198">
        <f t="shared" ca="1" si="134"/>
        <v>0</v>
      </c>
      <c r="D320" s="196">
        <f ca="1">'CALCULO DE GAS'!P145</f>
        <v>0</v>
      </c>
      <c r="E320" s="196">
        <f ca="1">IF(B320&gt;=$J$5,0,(CONTADORES!$AD332-CONTADORES!$AD331)-$H320)</f>
        <v>0</v>
      </c>
      <c r="F320" s="198">
        <f t="shared" ca="1" si="164"/>
        <v>0</v>
      </c>
      <c r="G320" s="196">
        <f ca="1">IF(B320&gt;=$J$5,0,CONTADORES!$AF332-CONTADORES!$AF331)</f>
        <v>0</v>
      </c>
      <c r="H320" s="196">
        <f ca="1">IF(G320&gt;0,CONTADORES!$AE332-CONTADORES!$AE331,0)</f>
        <v>0</v>
      </c>
      <c r="I320" s="199">
        <f ca="1">IF(B320&gt;=$J$5,0,CONTADORES!$AB332-CONTADORES!$AB331)</f>
        <v>0</v>
      </c>
      <c r="J320" s="198">
        <f t="shared" ca="1" si="135"/>
        <v>0</v>
      </c>
      <c r="K320" s="196">
        <f ca="1">'CALCULO DE GAS'!Q145</f>
        <v>0</v>
      </c>
      <c r="L320" s="1396">
        <f ca="1">IF(B320&gt;=$J$5,0,(CONTADORES!$Y332-CONTADORES!$Y331)-$O320)</f>
        <v>0</v>
      </c>
      <c r="M320" s="1396">
        <f t="shared" ca="1" si="161"/>
        <v>0</v>
      </c>
      <c r="N320" s="1396">
        <f ca="1">IF(B320&gt;=$J$5,0,CONTADORES!$AA332-CONTADORES!$AA331)</f>
        <v>0</v>
      </c>
      <c r="O320" s="1396">
        <f ca="1">IF(N320&gt;0,CONTADORES!$Z332-CONTADORES!$Z331,0)</f>
        <v>0</v>
      </c>
      <c r="P320" s="202">
        <f ca="1">IF(B320&gt;=$J$5,0,CONTADORES!$W332-CONTADORES!$W331)</f>
        <v>0</v>
      </c>
      <c r="Q320" s="202">
        <f ca="1">IF(B320&gt;=$J$5,0,CONTADORES!$B332-CONTADORES!$B331)</f>
        <v>0</v>
      </c>
      <c r="R320" s="196">
        <f t="shared" ca="1" si="136"/>
        <v>0</v>
      </c>
      <c r="S320" s="11">
        <f ca="1">IF(B320&gt;=$J$5,0,CONTADORES!$D332-CONTADORES!$D331)</f>
        <v>0</v>
      </c>
      <c r="T320" s="198">
        <f ca="1">IF(B320&gt;=$J$5,0,CONTADORES!$BB332-CONTADORES!$BB331)</f>
        <v>0</v>
      </c>
      <c r="U320" s="196">
        <f t="shared" ca="1" si="162"/>
        <v>0</v>
      </c>
      <c r="V320" s="11">
        <f ca="1">IF(B320&gt;=$J$5,0,CONTADORES!$BD332-CONTADORES!$BD331)</f>
        <v>0</v>
      </c>
      <c r="W320" s="1397">
        <f t="shared" ca="1" si="137"/>
        <v>0</v>
      </c>
      <c r="X320" s="1397">
        <f t="shared" ca="1" si="138"/>
        <v>0</v>
      </c>
      <c r="Y320" s="1398">
        <f t="shared" ca="1" si="139"/>
        <v>0</v>
      </c>
      <c r="Z320" s="1398">
        <f t="shared" ca="1" si="140"/>
        <v>0</v>
      </c>
      <c r="AA320" s="1398">
        <f t="shared" ca="1" si="141"/>
        <v>0</v>
      </c>
      <c r="AB320" s="1398">
        <f t="shared" ca="1" si="142"/>
        <v>0</v>
      </c>
      <c r="AC320" s="1397">
        <f t="shared" ca="1" si="143"/>
        <v>0</v>
      </c>
      <c r="AD320" s="1407">
        <f ca="1">IF(B320&gt;=$J$5,0,CONTADORES!H332-CONTADORES!H331)</f>
        <v>0</v>
      </c>
      <c r="AE320" s="1397">
        <f ca="1">IF(B320&gt;=$J$5,0,CONTADORES!J332-CONTADORES!J331)</f>
        <v>0</v>
      </c>
      <c r="AF320" s="1397">
        <f ca="1">IF(B320&gt;=$J$5,0,CONTADORES!AU332-CONTADORES!AU331)</f>
        <v>0</v>
      </c>
      <c r="AG320" s="1397">
        <f ca="1">IF(B320&gt;=$J$5,0,CONTADORES!AW332-CONTADORES!AW331)</f>
        <v>0</v>
      </c>
      <c r="AH320" s="1398">
        <f ca="1">IF(B320&gt;=$J$5,0,(CONTADORES!AM332-CONTADORES!AM331)+(CONTADORES!M332-CONTADORES!M331))</f>
        <v>0</v>
      </c>
      <c r="AI320" s="1397">
        <f ca="1">IF(B320&gt;=$J$5,0,(CONTADORES!AK332-CONTADORES!AK331)+(CONTADORES!O332-CONTADORES!O331))</f>
        <v>0</v>
      </c>
      <c r="AJ320" s="1397">
        <f ca="1">IF(B320&gt;=$J$5,0,(CONTADORES!AI332-CONTADORES!AI331))</f>
        <v>0</v>
      </c>
      <c r="AK320" s="1397">
        <f ca="1">IF(B320&gt;=$J$5,0,(CONTADORES!Q332-CONTADORES!Q331))</f>
        <v>0</v>
      </c>
      <c r="AL320" s="1461">
        <f t="shared" ca="1" si="144"/>
        <v>0</v>
      </c>
      <c r="AM320" s="1397">
        <f ca="1">IF(B320&gt;=$J$5,0,(((CONTADORES!F332-CONTADORES!F331)+(CONTADORES!AQ332-CONTADORES!AQ331))))-BS320-AF320-AN320-BV320-BY320-CD320-CB320+T320</f>
        <v>0</v>
      </c>
      <c r="AN320" s="1397">
        <f ca="1">IF(B320&gt;=$J$5,0,(CONTADORES!AX332-CONTADORES!AX331)+(CONTADORES!AZ332-CONTADORES!AZ331)+(CONTADORES!BE332-CONTADORES!BE331))-CB320</f>
        <v>0</v>
      </c>
      <c r="AO320" s="1399">
        <f ca="1">IF(B320&gt;=$J$5,0,(CONTADORES!AC332-CONTADORES!AC331))</f>
        <v>0</v>
      </c>
      <c r="AP320" s="1433">
        <f ca="1">IF(B320&gt;=$J$5,0,(CONTADORES!X332-CONTADORES!X331))</f>
        <v>0</v>
      </c>
      <c r="AQ320" s="1399">
        <f ca="1">IF(B320&gt;=$J$5,0,(CONTADORES!C332-CONTADORES!C331))</f>
        <v>0</v>
      </c>
      <c r="AR320" s="1399">
        <f ca="1">IF(B320&gt;=$J$5,0,(CONTADORES!BC332-CONTADORES!BC331))</f>
        <v>0</v>
      </c>
      <c r="AS320" s="1397">
        <f ca="1">IF(B320&gt;=$J$5,0,CONTADORES!S332-CONTADORES!S331)</f>
        <v>0</v>
      </c>
      <c r="AT320" s="1397">
        <f ca="1">IF(B320&gt;=$J$5,0,(CONTADORES!U332-CONTADORES!U331)+(CONTADORES!AG332-CONTADORES!AG331))</f>
        <v>0</v>
      </c>
      <c r="AU320" s="1433">
        <f ca="1">IF(B320&gt;=$J$5,0,(CONTADORES!I332-CONTADORES!I331))</f>
        <v>0</v>
      </c>
      <c r="AV320" s="1399">
        <f ca="1">IF(B320&gt;=$J$5,0,(CONTADORES!AV332-CONTADORES!AV331))</f>
        <v>0</v>
      </c>
      <c r="AW320" s="1433">
        <f ca="1">IF(B320&gt;=$J$5,0,(CONTADORES!N332-CONTADORES!N331)+(CONTADORES!AN332-CONTADORES!AN331))</f>
        <v>0</v>
      </c>
      <c r="AX320" s="1399">
        <f ca="1">IF(B320&gt;=$J$5,0,(CONTADORES!P332-CONTADORES!P331)+(CONTADORES!AL332-CONTADORES!AL331))</f>
        <v>0</v>
      </c>
      <c r="AY320" s="1399">
        <f ca="1">IF(B320&gt;=$J$5,0,(CONTADORES!AJ332-CONTADORES!AJ331))</f>
        <v>0</v>
      </c>
      <c r="AZ320" s="1399">
        <f ca="1">IF(B320&gt;=$J$5,0,(CONTADORES!R332-CONTADORES!R331))</f>
        <v>0</v>
      </c>
      <c r="BA320" s="1409">
        <f t="shared" ca="1" si="145"/>
        <v>0</v>
      </c>
      <c r="BB320" s="1399">
        <f ca="1">IF(B320&gt;=$J$5,0,(((CONTADORES!G332-CONTADORES!G331)+(CONTADORES!AR332-CONTADORES!AR331))))-AV320-BC320-BT320-BW320-BZ320-CE320-AR320</f>
        <v>0</v>
      </c>
      <c r="BC320" s="1397">
        <f ca="1">IF(B320&gt;=$J$5,0,(CONTADORES!AY332-CONTADORES!AY331)+(CONTADORES!BA332-CONTADORES!BA331)+(CONTADORES!BF332-CONTADORES!BF331))</f>
        <v>0</v>
      </c>
      <c r="BD320" s="1397">
        <f t="shared" ca="1" si="146"/>
        <v>0</v>
      </c>
      <c r="BE320" s="1398">
        <f ca="1">IF($B320&gt;=$J$5,0,CONTADORES!$BG332)</f>
        <v>0</v>
      </c>
      <c r="BF320" s="1397">
        <f ca="1">IF($B320&gt;=$J$5,0,CONTADORES!$BH332)</f>
        <v>0</v>
      </c>
      <c r="BG320" s="1397">
        <f ca="1">IF($B320&gt;=$J$5,0,CONTADORES!$BJ332)</f>
        <v>0</v>
      </c>
      <c r="BH320" s="1397">
        <f ca="1">IF(B320&gt;=$J$5,0,((CONTADORES!BK332-CONTADORES!BK331)/1000))</f>
        <v>0</v>
      </c>
      <c r="BI320" s="1397">
        <f ca="1">IF(C320&gt;=$J$5,0,((CONTADORES!BL332-CONTADORES!BL331)/1000))</f>
        <v>0</v>
      </c>
      <c r="BJ320" s="1397">
        <f ca="1">IF(C320&gt;=$J$5,0,((CONTADORES!BM332-CONTADORES!BM331)/1000))</f>
        <v>0</v>
      </c>
      <c r="BK320" s="1397">
        <f ca="1">IF(D320&gt;=$J$5,0,((CONTADORES!BN332-CONTADORES!BN331)/1000))</f>
        <v>0</v>
      </c>
      <c r="BL320" s="1399">
        <f t="shared" ca="1" si="147"/>
        <v>0</v>
      </c>
      <c r="BM320" s="1399">
        <f t="shared" ca="1" si="148"/>
        <v>0</v>
      </c>
      <c r="BN320" s="1399">
        <f ca="1">IF(B320&gt;=$J$5,0,CONTADORES!$BO332)</f>
        <v>0</v>
      </c>
      <c r="BO320" s="1397">
        <f ca="1">IF(W320&gt;=$J$5,0,CONTADORES!$BP332)</f>
        <v>0</v>
      </c>
      <c r="BP320" s="1397">
        <f ca="1">IF(W320&gt;=$J$5,0,CONTADORES!$BQ332)</f>
        <v>0</v>
      </c>
      <c r="BQ320" s="1397">
        <f ca="1">IF(B320&gt;=$J$5,0,(CONTADORES!AS332-CONTADORES!AS331))</f>
        <v>0</v>
      </c>
      <c r="BR320" s="1397">
        <f ca="1">IF(B320&gt;=$J$5,0,(CONTADORES!AT332-CONTADORES!AT331))</f>
        <v>0</v>
      </c>
      <c r="BS320" s="1397">
        <f ca="1">IF(B320&gt;=$J$5,0,CONTADORES!BR332-CONTADORES!BR331)/1000</f>
        <v>0</v>
      </c>
      <c r="BT320" s="1398">
        <f ca="1">IF(B320&gt;=$J$5,0,CONTADORES!BS332-CONTADORES!BS331)</f>
        <v>0</v>
      </c>
      <c r="BU320" s="1397">
        <f ca="1">IF(B320&gt;=$J$5,0,CONTADORES!BT332-CONTADORES!BT331)</f>
        <v>0</v>
      </c>
      <c r="BV320" s="1397">
        <f ca="1">IF(B320&gt;=$J$5,0,CONTADORES!BU332-CONTADORES!BU331)/1000</f>
        <v>0</v>
      </c>
      <c r="BW320" s="1397">
        <f ca="1">IF(B320&gt;=$J$5,0,CONTADORES!BV332-CONTADORES!BV331)/1000</f>
        <v>0</v>
      </c>
      <c r="BX320" s="1397">
        <f ca="1">IF(B320&gt;=$J$5,0,CONTADORES!BW332-CONTADORES!BW331)</f>
        <v>0</v>
      </c>
      <c r="BY320" s="1397">
        <f ca="1">IF(B320&gt;=$J$5,0,CONTADORES!BX332-CONTADORES!BX331)/1000</f>
        <v>0</v>
      </c>
      <c r="BZ320" s="1397">
        <f ca="1">IF(B320&gt;=$J$5,0,CONTADORES!BY332-CONTADORES!BY331)/1000</f>
        <v>0</v>
      </c>
      <c r="CA320" s="1397">
        <f ca="1">IF(B320&gt;=$J$5,0,CONTADORES!BZ332-CONTADORES!BZ331)</f>
        <v>0</v>
      </c>
      <c r="CB320" s="1397">
        <f ca="1">IF(B320&gt;=$J$5,0,(CONTADORES!CC332-CONTADORES!CC331)+(CONTADORES!CE332-CONTADORES!CE331))/1000</f>
        <v>0</v>
      </c>
      <c r="CC320" s="1397">
        <f ca="1">IF(B320&gt;=$J$5,0,(CONTADORES!CD332-CONTADORES!CD331)+(CONTADORES!CF332-CONTADORES!CF331))/1000</f>
        <v>0</v>
      </c>
      <c r="CD320" s="1397">
        <f ca="1">IF(B320&gt;=$J$5,0,CONTADORES!CA332-CONTADORES!CA331)</f>
        <v>0</v>
      </c>
      <c r="CE320" s="1397">
        <f ca="1">IF(B320&gt;=$J$5,0,CONTADORES!CB332-CONTADORES!CB331)</f>
        <v>0</v>
      </c>
      <c r="CF320" s="1397">
        <f t="shared" ca="1" si="149"/>
        <v>0</v>
      </c>
      <c r="CG320" s="1397">
        <f t="shared" ca="1" si="150"/>
        <v>0</v>
      </c>
      <c r="CH320" s="1397">
        <f t="shared" ca="1" si="151"/>
        <v>0</v>
      </c>
      <c r="CI320" s="1397">
        <f t="shared" ca="1" si="152"/>
        <v>0</v>
      </c>
      <c r="CJ320" s="1397">
        <f t="shared" ca="1" si="153"/>
        <v>0</v>
      </c>
      <c r="CK320" s="1397">
        <f t="shared" ca="1" si="154"/>
        <v>0</v>
      </c>
      <c r="CL320" s="1397">
        <f t="shared" ca="1" si="155"/>
        <v>0</v>
      </c>
      <c r="CM320" s="1397">
        <f t="shared" ca="1" si="156"/>
        <v>0</v>
      </c>
      <c r="CN320" s="1397">
        <f ca="1">IF(B320&gt;=$J$5,0,CONTADORES!CB332-CONTADORES!CB331)</f>
        <v>0</v>
      </c>
      <c r="CO320" s="1397">
        <f t="shared" ca="1" si="157"/>
        <v>0</v>
      </c>
      <c r="CP320" s="1397">
        <f t="shared" ca="1" si="158"/>
        <v>0</v>
      </c>
      <c r="CQ320" s="1397">
        <f t="shared" ca="1" si="159"/>
        <v>0</v>
      </c>
      <c r="CR320" s="1397">
        <f t="shared" ca="1" si="160"/>
        <v>0</v>
      </c>
      <c r="CS320" s="1403">
        <f ca="1">IF($B320&gt;=$J$5,0,CONTADORES!$BI332)</f>
        <v>0</v>
      </c>
      <c r="CT320" s="1369">
        <f>CONTADORES!E332</f>
        <v>0</v>
      </c>
      <c r="CU320" s="1369">
        <f>CONTADORES!CG332</f>
        <v>0</v>
      </c>
    </row>
    <row r="321" spans="2:99">
      <c r="B321" s="390">
        <v>45237</v>
      </c>
      <c r="C321" s="198">
        <f t="shared" ca="1" si="134"/>
        <v>0</v>
      </c>
      <c r="D321" s="196">
        <f ca="1">'CALCULO DE GAS'!P146</f>
        <v>0</v>
      </c>
      <c r="E321" s="196">
        <f ca="1">IF(B321&gt;=$J$5,0,(CONTADORES!$AD333-CONTADORES!$AD332)-$H321)</f>
        <v>0</v>
      </c>
      <c r="F321" s="198">
        <f t="shared" ca="1" si="164"/>
        <v>0</v>
      </c>
      <c r="G321" s="196">
        <f ca="1">IF(B321&gt;=$J$5,0,CONTADORES!$AF333-CONTADORES!$AF332)</f>
        <v>0</v>
      </c>
      <c r="H321" s="196">
        <f ca="1">IF(G321&gt;0,CONTADORES!$AE333-CONTADORES!$AE332,0)</f>
        <v>0</v>
      </c>
      <c r="I321" s="199">
        <f ca="1">IF(B321&gt;=$J$5,0,CONTADORES!$AB333-CONTADORES!$AB332)</f>
        <v>0</v>
      </c>
      <c r="J321" s="198">
        <f t="shared" ca="1" si="135"/>
        <v>0</v>
      </c>
      <c r="K321" s="196">
        <f ca="1">'CALCULO DE GAS'!Q146</f>
        <v>0</v>
      </c>
      <c r="L321" s="1396">
        <f ca="1">IF(B321&gt;=$J$5,0,(CONTADORES!$Y333-CONTADORES!$Y332)-$O321)</f>
        <v>0</v>
      </c>
      <c r="M321" s="1396">
        <f t="shared" ca="1" si="161"/>
        <v>0</v>
      </c>
      <c r="N321" s="1396">
        <f ca="1">IF(B321&gt;=$J$5,0,CONTADORES!$AA333-CONTADORES!$AA332)</f>
        <v>0</v>
      </c>
      <c r="O321" s="1396">
        <f ca="1">IF(N321&gt;0,CONTADORES!$Z333-CONTADORES!$Z332,0)</f>
        <v>0</v>
      </c>
      <c r="P321" s="202">
        <f ca="1">IF(B321&gt;=$J$5,0,CONTADORES!$W333-CONTADORES!$W332)</f>
        <v>0</v>
      </c>
      <c r="Q321" s="202">
        <f ca="1">IF(B321&gt;=$J$5,0,CONTADORES!$B333-CONTADORES!$B332)</f>
        <v>0</v>
      </c>
      <c r="R321" s="196">
        <f t="shared" ca="1" si="136"/>
        <v>0</v>
      </c>
      <c r="S321" s="11">
        <f ca="1">IF(B321&gt;=$J$5,0,CONTADORES!$D333-CONTADORES!$D332)</f>
        <v>0</v>
      </c>
      <c r="T321" s="198">
        <f ca="1">IF(B321&gt;=$J$5,0,CONTADORES!$BB333-CONTADORES!$BB332)</f>
        <v>0</v>
      </c>
      <c r="U321" s="196">
        <f t="shared" ca="1" si="162"/>
        <v>0</v>
      </c>
      <c r="V321" s="11">
        <f ca="1">IF(B321&gt;=$J$5,0,CONTADORES!$BD333-CONTADORES!$BD332)</f>
        <v>0</v>
      </c>
      <c r="W321" s="1397">
        <f t="shared" ca="1" si="137"/>
        <v>0</v>
      </c>
      <c r="X321" s="1397">
        <f t="shared" ca="1" si="138"/>
        <v>0</v>
      </c>
      <c r="Y321" s="1398">
        <f t="shared" ca="1" si="139"/>
        <v>0</v>
      </c>
      <c r="Z321" s="1398">
        <f t="shared" ca="1" si="140"/>
        <v>0</v>
      </c>
      <c r="AA321" s="1398">
        <f t="shared" ca="1" si="141"/>
        <v>0</v>
      </c>
      <c r="AB321" s="1398">
        <f t="shared" ca="1" si="142"/>
        <v>0</v>
      </c>
      <c r="AC321" s="1397">
        <f t="shared" ca="1" si="143"/>
        <v>0</v>
      </c>
      <c r="AD321" s="1407">
        <f ca="1">IF(B321&gt;=$J$5,0,CONTADORES!H333-CONTADORES!H332)</f>
        <v>0</v>
      </c>
      <c r="AE321" s="1397">
        <f ca="1">IF(B321&gt;=$J$5,0,CONTADORES!J333-CONTADORES!J332)</f>
        <v>0</v>
      </c>
      <c r="AF321" s="1397">
        <f ca="1">IF(B321&gt;=$J$5,0,CONTADORES!AU333-CONTADORES!AU332)</f>
        <v>0</v>
      </c>
      <c r="AG321" s="1397">
        <f ca="1">IF(B321&gt;=$J$5,0,CONTADORES!AW333-CONTADORES!AW332)</f>
        <v>0</v>
      </c>
      <c r="AH321" s="1398">
        <f ca="1">IF(B321&gt;=$J$5,0,(CONTADORES!AM333-CONTADORES!AM332)+(CONTADORES!M333-CONTADORES!M332))</f>
        <v>0</v>
      </c>
      <c r="AI321" s="1397">
        <f ca="1">IF(B321&gt;=$J$5,0,(CONTADORES!AK333-CONTADORES!AK332)+(CONTADORES!O333-CONTADORES!O332))</f>
        <v>0</v>
      </c>
      <c r="AJ321" s="1397">
        <f ca="1">IF(B321&gt;=$J$5,0,(CONTADORES!AI333-CONTADORES!AI332))</f>
        <v>0</v>
      </c>
      <c r="AK321" s="1397">
        <f ca="1">IF(B321&gt;=$J$5,0,(CONTADORES!Q333-CONTADORES!Q332))</f>
        <v>0</v>
      </c>
      <c r="AL321" s="1461">
        <f t="shared" ca="1" si="144"/>
        <v>0</v>
      </c>
      <c r="AM321" s="1397">
        <f ca="1">IF(B321&gt;=$J$5,0,(((CONTADORES!F333-CONTADORES!F332)+(CONTADORES!AQ333-CONTADORES!AQ332))))-BS321-AF321-AN321-BV321-BY321-CD321-CB321+T321</f>
        <v>0</v>
      </c>
      <c r="AN321" s="1397">
        <f ca="1">IF(B321&gt;=$J$5,0,(CONTADORES!AX333-CONTADORES!AX332)+(CONTADORES!AZ333-CONTADORES!AZ332)+(CONTADORES!BE333-CONTADORES!BE332))-CB321</f>
        <v>0</v>
      </c>
      <c r="AO321" s="1399">
        <f ca="1">IF(B321&gt;=$J$5,0,(CONTADORES!AC333-CONTADORES!AC332))</f>
        <v>0</v>
      </c>
      <c r="AP321" s="1433">
        <f ca="1">IF(B321&gt;=$J$5,0,(CONTADORES!X333-CONTADORES!X332))</f>
        <v>0</v>
      </c>
      <c r="AQ321" s="1399">
        <f ca="1">IF(B321&gt;=$J$5,0,(CONTADORES!C333-CONTADORES!C332))</f>
        <v>0</v>
      </c>
      <c r="AR321" s="1399">
        <f ca="1">IF(B321&gt;=$J$5,0,(CONTADORES!BC333-CONTADORES!BC332))</f>
        <v>0</v>
      </c>
      <c r="AS321" s="1397">
        <f ca="1">IF(B321&gt;=$J$5,0,CONTADORES!S333-CONTADORES!S332)</f>
        <v>0</v>
      </c>
      <c r="AT321" s="1397">
        <f ca="1">IF(B321&gt;=$J$5,0,(CONTADORES!U333-CONTADORES!U332)+(CONTADORES!AG333-CONTADORES!AG332))</f>
        <v>0</v>
      </c>
      <c r="AU321" s="1433">
        <f ca="1">IF(B321&gt;=$J$5,0,(CONTADORES!I333-CONTADORES!I332))</f>
        <v>0</v>
      </c>
      <c r="AV321" s="1399">
        <f ca="1">IF(B321&gt;=$J$5,0,(CONTADORES!AV333-CONTADORES!AV332))</f>
        <v>0</v>
      </c>
      <c r="AW321" s="1433">
        <f ca="1">IF(B321&gt;=$J$5,0,(CONTADORES!N333-CONTADORES!N332)+(CONTADORES!AN333-CONTADORES!AN332))</f>
        <v>0</v>
      </c>
      <c r="AX321" s="1399">
        <f ca="1">IF(B321&gt;=$J$5,0,(CONTADORES!P333-CONTADORES!P332)+(CONTADORES!AL333-CONTADORES!AL332))</f>
        <v>0</v>
      </c>
      <c r="AY321" s="1399">
        <f ca="1">IF(B321&gt;=$J$5,0,(CONTADORES!AJ333-CONTADORES!AJ332))</f>
        <v>0</v>
      </c>
      <c r="AZ321" s="1399">
        <f ca="1">IF(B321&gt;=$J$5,0,(CONTADORES!R333-CONTADORES!R332))</f>
        <v>0</v>
      </c>
      <c r="BA321" s="1409">
        <f t="shared" ca="1" si="145"/>
        <v>0</v>
      </c>
      <c r="BB321" s="1399">
        <f ca="1">IF(B321&gt;=$J$5,0,(((CONTADORES!G333-CONTADORES!G332)+(CONTADORES!AR333-CONTADORES!AR332))))-AV321-BC321-BT321-BW321-BZ321-CE321-AR321</f>
        <v>0</v>
      </c>
      <c r="BC321" s="1397">
        <f ca="1">IF(B321&gt;=$J$5,0,(CONTADORES!AY333-CONTADORES!AY332)+(CONTADORES!BA333-CONTADORES!BA332)+(CONTADORES!BF333-CONTADORES!BF332))</f>
        <v>0</v>
      </c>
      <c r="BD321" s="1397">
        <f t="shared" ca="1" si="146"/>
        <v>0</v>
      </c>
      <c r="BE321" s="1398">
        <f ca="1">IF($B321&gt;=$J$5,0,CONTADORES!$BG333)</f>
        <v>0</v>
      </c>
      <c r="BF321" s="1397">
        <f ca="1">IF($B321&gt;=$J$5,0,CONTADORES!$BH333)</f>
        <v>0</v>
      </c>
      <c r="BG321" s="1397">
        <f ca="1">IF($B321&gt;=$J$5,0,CONTADORES!$BJ333)</f>
        <v>0</v>
      </c>
      <c r="BH321" s="1397">
        <f ca="1">IF(B321&gt;=$J$5,0,((CONTADORES!BK333-CONTADORES!BK332)/1000))</f>
        <v>0</v>
      </c>
      <c r="BI321" s="1397">
        <f ca="1">IF(C321&gt;=$J$5,0,((CONTADORES!BL333-CONTADORES!BL332)/1000))</f>
        <v>0</v>
      </c>
      <c r="BJ321" s="1397">
        <f ca="1">IF(C321&gt;=$J$5,0,((CONTADORES!BM333-CONTADORES!BM332)/1000))</f>
        <v>0</v>
      </c>
      <c r="BK321" s="1397">
        <f ca="1">IF(D321&gt;=$J$5,0,((CONTADORES!BN333-CONTADORES!BN332)/1000))</f>
        <v>0</v>
      </c>
      <c r="BL321" s="1399">
        <f t="shared" ca="1" si="147"/>
        <v>0</v>
      </c>
      <c r="BM321" s="1399">
        <f t="shared" ca="1" si="148"/>
        <v>0</v>
      </c>
      <c r="BN321" s="1399">
        <f ca="1">IF(B321&gt;=$J$5,0,CONTADORES!$BO333)</f>
        <v>0</v>
      </c>
      <c r="BO321" s="1397">
        <f ca="1">IF(W321&gt;=$J$5,0,CONTADORES!$BP333)</f>
        <v>0</v>
      </c>
      <c r="BP321" s="1397">
        <f ca="1">IF(W321&gt;=$J$5,0,CONTADORES!$BQ333)</f>
        <v>0</v>
      </c>
      <c r="BQ321" s="1397">
        <f ca="1">IF(B321&gt;=$J$5,0,(CONTADORES!AS333-CONTADORES!AS332))</f>
        <v>0</v>
      </c>
      <c r="BR321" s="1397">
        <f ca="1">IF(B321&gt;=$J$5,0,(CONTADORES!AT333-CONTADORES!AT332))</f>
        <v>0</v>
      </c>
      <c r="BS321" s="1397">
        <f ca="1">IF(B321&gt;=$J$5,0,CONTADORES!BR333-CONTADORES!BR332)/1000</f>
        <v>0</v>
      </c>
      <c r="BT321" s="1398">
        <f ca="1">IF(B321&gt;=$J$5,0,CONTADORES!BS333-CONTADORES!BS332)</f>
        <v>0</v>
      </c>
      <c r="BU321" s="1397">
        <f ca="1">IF(B321&gt;=$J$5,0,CONTADORES!BT333-CONTADORES!BT332)</f>
        <v>0</v>
      </c>
      <c r="BV321" s="1397">
        <f ca="1">IF(B321&gt;=$J$5,0,CONTADORES!BU333-CONTADORES!BU332)/1000</f>
        <v>0</v>
      </c>
      <c r="BW321" s="1397">
        <f ca="1">IF(B321&gt;=$J$5,0,CONTADORES!BV333-CONTADORES!BV332)/1000</f>
        <v>0</v>
      </c>
      <c r="BX321" s="1397">
        <f ca="1">IF(B321&gt;=$J$5,0,CONTADORES!BW333-CONTADORES!BW332)</f>
        <v>0</v>
      </c>
      <c r="BY321" s="1397">
        <f ca="1">IF(B321&gt;=$J$5,0,CONTADORES!BX333-CONTADORES!BX332)/1000</f>
        <v>0</v>
      </c>
      <c r="BZ321" s="1397">
        <f ca="1">IF(B321&gt;=$J$5,0,CONTADORES!BY333-CONTADORES!BY332)/1000</f>
        <v>0</v>
      </c>
      <c r="CA321" s="1397">
        <f ca="1">IF(B321&gt;=$J$5,0,CONTADORES!BZ333-CONTADORES!BZ332)</f>
        <v>0</v>
      </c>
      <c r="CB321" s="1397">
        <f ca="1">IF(B321&gt;=$J$5,0,(CONTADORES!CC333-CONTADORES!CC332)+(CONTADORES!CE333-CONTADORES!CE332))/1000</f>
        <v>0</v>
      </c>
      <c r="CC321" s="1397">
        <f ca="1">IF(B321&gt;=$J$5,0,(CONTADORES!CD333-CONTADORES!CD332)+(CONTADORES!CF333-CONTADORES!CF332))/1000</f>
        <v>0</v>
      </c>
      <c r="CD321" s="1397">
        <f ca="1">IF(B321&gt;=$J$5,0,CONTADORES!CA333-CONTADORES!CA332)</f>
        <v>0</v>
      </c>
      <c r="CE321" s="1397">
        <f ca="1">IF(B321&gt;=$J$5,0,CONTADORES!CB333-CONTADORES!CB332)</f>
        <v>0</v>
      </c>
      <c r="CF321" s="1397">
        <f t="shared" ca="1" si="149"/>
        <v>0</v>
      </c>
      <c r="CG321" s="1397">
        <f t="shared" ca="1" si="150"/>
        <v>0</v>
      </c>
      <c r="CH321" s="1397">
        <f t="shared" ca="1" si="151"/>
        <v>0</v>
      </c>
      <c r="CI321" s="1397">
        <f t="shared" ca="1" si="152"/>
        <v>0</v>
      </c>
      <c r="CJ321" s="1397">
        <f t="shared" ca="1" si="153"/>
        <v>0</v>
      </c>
      <c r="CK321" s="1397">
        <f t="shared" ca="1" si="154"/>
        <v>0</v>
      </c>
      <c r="CL321" s="1397">
        <f t="shared" ca="1" si="155"/>
        <v>0</v>
      </c>
      <c r="CM321" s="1397">
        <f t="shared" ca="1" si="156"/>
        <v>0</v>
      </c>
      <c r="CN321" s="1397">
        <f ca="1">IF(B321&gt;=$J$5,0,CONTADORES!CB333-CONTADORES!CB332)</f>
        <v>0</v>
      </c>
      <c r="CO321" s="1397">
        <f t="shared" ca="1" si="157"/>
        <v>0</v>
      </c>
      <c r="CP321" s="1397">
        <f t="shared" ca="1" si="158"/>
        <v>0</v>
      </c>
      <c r="CQ321" s="1397">
        <f t="shared" ca="1" si="159"/>
        <v>0</v>
      </c>
      <c r="CR321" s="1397">
        <f t="shared" ca="1" si="160"/>
        <v>0</v>
      </c>
      <c r="CS321" s="1403">
        <f ca="1">IF($B321&gt;=$J$5,0,CONTADORES!$BI333)</f>
        <v>0</v>
      </c>
      <c r="CT321" s="1369">
        <f>CONTADORES!E333</f>
        <v>0</v>
      </c>
      <c r="CU321" s="1369">
        <f>CONTADORES!CG333</f>
        <v>0</v>
      </c>
    </row>
    <row r="322" spans="2:99">
      <c r="B322" s="390">
        <v>45238</v>
      </c>
      <c r="C322" s="198">
        <f t="shared" ca="1" si="134"/>
        <v>0</v>
      </c>
      <c r="D322" s="196">
        <f ca="1">'CALCULO DE GAS'!P147</f>
        <v>0</v>
      </c>
      <c r="E322" s="196">
        <f ca="1">IF(B322&gt;=$J$5,0,(CONTADORES!$AD334-CONTADORES!$AD333)-$H322)</f>
        <v>0</v>
      </c>
      <c r="F322" s="198">
        <f t="shared" ca="1" si="164"/>
        <v>0</v>
      </c>
      <c r="G322" s="196">
        <f ca="1">IF(B322&gt;=$J$5,0,CONTADORES!$AF334-CONTADORES!$AF333)</f>
        <v>0</v>
      </c>
      <c r="H322" s="196">
        <f ca="1">IF(G322&gt;0,CONTADORES!$AE334-CONTADORES!$AE333,0)</f>
        <v>0</v>
      </c>
      <c r="I322" s="199">
        <f ca="1">IF(B322&gt;=$J$5,0,CONTADORES!$AB334-CONTADORES!$AB333)</f>
        <v>0</v>
      </c>
      <c r="J322" s="198">
        <f t="shared" ca="1" si="135"/>
        <v>0</v>
      </c>
      <c r="K322" s="196">
        <f ca="1">'CALCULO DE GAS'!Q147</f>
        <v>0</v>
      </c>
      <c r="L322" s="1396">
        <f ca="1">IF(B322&gt;=$J$5,0,(CONTADORES!$Y334-CONTADORES!$Y333)-$O322)</f>
        <v>0</v>
      </c>
      <c r="M322" s="1396">
        <f t="shared" ref="M322:M329" ca="1" si="165">IF(O322=0,0,"ERROR")</f>
        <v>0</v>
      </c>
      <c r="N322" s="1396">
        <f ca="1">IF(B322&gt;=$J$5,0,CONTADORES!$AA334-CONTADORES!$AA333)</f>
        <v>0</v>
      </c>
      <c r="O322" s="1396">
        <f ca="1">IF(N322&gt;0,CONTADORES!$Z334-CONTADORES!$Z333,0)</f>
        <v>0</v>
      </c>
      <c r="P322" s="202">
        <f ca="1">IF(B322&gt;=$J$5,0,CONTADORES!$W334-CONTADORES!$W333)</f>
        <v>0</v>
      </c>
      <c r="Q322" s="202">
        <f ca="1">IF(B322&gt;=$J$5,0,CONTADORES!$B334-CONTADORES!$B333)</f>
        <v>0</v>
      </c>
      <c r="R322" s="196">
        <f t="shared" ca="1" si="136"/>
        <v>0</v>
      </c>
      <c r="S322" s="11">
        <f ca="1">IF(B322&gt;=$J$5,0,CONTADORES!$D334-CONTADORES!$D333)</f>
        <v>0</v>
      </c>
      <c r="T322" s="198">
        <f ca="1">IF(B322&gt;=$J$5,0,CONTADORES!$BB334-CONTADORES!$BB333)</f>
        <v>0</v>
      </c>
      <c r="U322" s="196">
        <f t="shared" ca="1" si="162"/>
        <v>0</v>
      </c>
      <c r="V322" s="11">
        <f ca="1">IF(B322&gt;=$J$5,0,CONTADORES!$BD334-CONTADORES!$BD333)</f>
        <v>0</v>
      </c>
      <c r="W322" s="1397">
        <f t="shared" ca="1" si="137"/>
        <v>0</v>
      </c>
      <c r="X322" s="1397">
        <f t="shared" ca="1" si="138"/>
        <v>0</v>
      </c>
      <c r="Y322" s="1398">
        <f t="shared" ca="1" si="139"/>
        <v>0</v>
      </c>
      <c r="Z322" s="1398">
        <f t="shared" ca="1" si="140"/>
        <v>0</v>
      </c>
      <c r="AA322" s="1398">
        <f t="shared" ca="1" si="141"/>
        <v>0</v>
      </c>
      <c r="AB322" s="1398">
        <f t="shared" ca="1" si="142"/>
        <v>0</v>
      </c>
      <c r="AC322" s="1397">
        <f t="shared" ca="1" si="143"/>
        <v>0</v>
      </c>
      <c r="AD322" s="1407">
        <f ca="1">IF(B322&gt;=$J$5,0,CONTADORES!H334-CONTADORES!H333)</f>
        <v>0</v>
      </c>
      <c r="AE322" s="1397">
        <f ca="1">IF(B322&gt;=$J$5,0,CONTADORES!J334-CONTADORES!J333)</f>
        <v>0</v>
      </c>
      <c r="AF322" s="1397">
        <f ca="1">IF(B322&gt;=$J$5,0,CONTADORES!AU334-CONTADORES!AU333)</f>
        <v>0</v>
      </c>
      <c r="AG322" s="1397">
        <f ca="1">IF(B322&gt;=$J$5,0,CONTADORES!AW334-CONTADORES!AW333)</f>
        <v>0</v>
      </c>
      <c r="AH322" s="1398">
        <f ca="1">IF(B322&gt;=$J$5,0,(CONTADORES!AM334-CONTADORES!AM333)+(CONTADORES!M334-CONTADORES!M333))</f>
        <v>0</v>
      </c>
      <c r="AI322" s="1397">
        <f ca="1">IF(B322&gt;=$J$5,0,(CONTADORES!AK334-CONTADORES!AK333)+(CONTADORES!O334-CONTADORES!O333))</f>
        <v>0</v>
      </c>
      <c r="AJ322" s="1397">
        <f ca="1">IF(B322&gt;=$J$5,0,(CONTADORES!AI334-CONTADORES!AI333))</f>
        <v>0</v>
      </c>
      <c r="AK322" s="1397">
        <f ca="1">IF(B322&gt;=$J$5,0,(CONTADORES!Q334-CONTADORES!Q333))</f>
        <v>0</v>
      </c>
      <c r="AL322" s="1461">
        <f t="shared" ca="1" si="144"/>
        <v>0</v>
      </c>
      <c r="AM322" s="1397">
        <f ca="1">IF(B322&gt;=$J$5,0,(((CONTADORES!F334-CONTADORES!F333)+(CONTADORES!AQ334-CONTADORES!AQ333))))-BS322-AF322-AN322-BV322-BY322-CD322-CB322+T322</f>
        <v>0</v>
      </c>
      <c r="AN322" s="1397">
        <f ca="1">IF(B322&gt;=$J$5,0,(CONTADORES!AX334-CONTADORES!AX333)+(CONTADORES!AZ334-CONTADORES!AZ333)+(CONTADORES!BE334-CONTADORES!BE333))-CB322</f>
        <v>0</v>
      </c>
      <c r="AO322" s="1399">
        <f ca="1">IF(B322&gt;=$J$5,0,(CONTADORES!AC334-CONTADORES!AC333))</f>
        <v>0</v>
      </c>
      <c r="AP322" s="1433">
        <f ca="1">IF(B322&gt;=$J$5,0,(CONTADORES!X334-CONTADORES!X333))</f>
        <v>0</v>
      </c>
      <c r="AQ322" s="1399">
        <f ca="1">IF(B322&gt;=$J$5,0,(CONTADORES!C334-CONTADORES!C333))</f>
        <v>0</v>
      </c>
      <c r="AR322" s="1399">
        <f ca="1">IF(B322&gt;=$J$5,0,(CONTADORES!BC334-CONTADORES!BC333))</f>
        <v>0</v>
      </c>
      <c r="AS322" s="1397">
        <f ca="1">IF(B322&gt;=$J$5,0,CONTADORES!S334-CONTADORES!S333)</f>
        <v>0</v>
      </c>
      <c r="AT322" s="1397">
        <f ca="1">IF(B322&gt;=$J$5,0,(CONTADORES!U334-CONTADORES!U333)+(CONTADORES!AG334-CONTADORES!AG333))</f>
        <v>0</v>
      </c>
      <c r="AU322" s="1433">
        <f ca="1">IF(B322&gt;=$J$5,0,(CONTADORES!I334-CONTADORES!I333))</f>
        <v>0</v>
      </c>
      <c r="AV322" s="1399">
        <f ca="1">IF(B322&gt;=$J$5,0,(CONTADORES!AV334-CONTADORES!AV333))</f>
        <v>0</v>
      </c>
      <c r="AW322" s="1433">
        <f ca="1">IF(B322&gt;=$J$5,0,(CONTADORES!N334-CONTADORES!N333)+(CONTADORES!AN334-CONTADORES!AN333))</f>
        <v>0</v>
      </c>
      <c r="AX322" s="1399">
        <f ca="1">IF(B322&gt;=$J$5,0,(CONTADORES!P334-CONTADORES!P333)+(CONTADORES!AL334-CONTADORES!AL333))</f>
        <v>0</v>
      </c>
      <c r="AY322" s="1399">
        <f ca="1">IF(B322&gt;=$J$5,0,(CONTADORES!AJ334-CONTADORES!AJ333))</f>
        <v>0</v>
      </c>
      <c r="AZ322" s="1399">
        <f ca="1">IF(B322&gt;=$J$5,0,(CONTADORES!R334-CONTADORES!R333))</f>
        <v>0</v>
      </c>
      <c r="BA322" s="1409">
        <f t="shared" ca="1" si="145"/>
        <v>0</v>
      </c>
      <c r="BB322" s="1399">
        <f ca="1">IF(B322&gt;=$J$5,0,(((CONTADORES!G334-CONTADORES!G333)+(CONTADORES!AR334-CONTADORES!AR333))))-AV322-BC322-BT322-BW322-BZ322-CE322-AR322</f>
        <v>0</v>
      </c>
      <c r="BC322" s="1397">
        <f ca="1">IF(B322&gt;=$J$5,0,(CONTADORES!AY334-CONTADORES!AY333)+(CONTADORES!BA334-CONTADORES!BA333)+(CONTADORES!BF334-CONTADORES!BF333))</f>
        <v>0</v>
      </c>
      <c r="BD322" s="1397">
        <f t="shared" ca="1" si="146"/>
        <v>0</v>
      </c>
      <c r="BE322" s="1398">
        <f ca="1">IF($B322&gt;=$J$5,0,CONTADORES!$BG334)</f>
        <v>0</v>
      </c>
      <c r="BF322" s="1397">
        <f ca="1">IF($B322&gt;=$J$5,0,CONTADORES!$BH334)</f>
        <v>0</v>
      </c>
      <c r="BG322" s="1397">
        <f ca="1">IF($B322&gt;=$J$5,0,CONTADORES!$BJ334)</f>
        <v>0</v>
      </c>
      <c r="BH322" s="1397">
        <f ca="1">IF(B322&gt;=$J$5,0,((CONTADORES!BK334-CONTADORES!BK333)/1000))</f>
        <v>0</v>
      </c>
      <c r="BI322" s="1397">
        <f ca="1">IF(C322&gt;=$J$5,0,((CONTADORES!BL334-CONTADORES!BL333)/1000))</f>
        <v>0</v>
      </c>
      <c r="BJ322" s="1397">
        <f ca="1">IF(C322&gt;=$J$5,0,((CONTADORES!BM334-CONTADORES!BM333)/1000))</f>
        <v>0</v>
      </c>
      <c r="BK322" s="1397">
        <f ca="1">IF(D322&gt;=$J$5,0,((CONTADORES!BN334-CONTADORES!BN333)/1000))</f>
        <v>0</v>
      </c>
      <c r="BL322" s="1399">
        <f t="shared" ca="1" si="147"/>
        <v>0</v>
      </c>
      <c r="BM322" s="1399">
        <f t="shared" ca="1" si="148"/>
        <v>0</v>
      </c>
      <c r="BN322" s="1399">
        <f ca="1">IF(B322&gt;=$J$5,0,CONTADORES!$BO334)</f>
        <v>0</v>
      </c>
      <c r="BO322" s="1397">
        <f ca="1">IF(W322&gt;=$J$5,0,CONTADORES!$BP334)</f>
        <v>0</v>
      </c>
      <c r="BP322" s="1397">
        <f ca="1">IF(W322&gt;=$J$5,0,CONTADORES!$BQ334)</f>
        <v>0</v>
      </c>
      <c r="BQ322" s="1397">
        <f ca="1">IF(B322&gt;=$J$5,0,(CONTADORES!AS334-CONTADORES!AS333))</f>
        <v>0</v>
      </c>
      <c r="BR322" s="1397">
        <f ca="1">IF(B322&gt;=$J$5,0,(CONTADORES!AT334-CONTADORES!AT333))</f>
        <v>0</v>
      </c>
      <c r="BS322" s="1397">
        <f ca="1">IF(B322&gt;=$J$5,0,CONTADORES!BR334-CONTADORES!BR333)/1000</f>
        <v>0</v>
      </c>
      <c r="BT322" s="1398">
        <f ca="1">IF(B322&gt;=$J$5,0,CONTADORES!BS334-CONTADORES!BS333)</f>
        <v>0</v>
      </c>
      <c r="BU322" s="1397">
        <f ca="1">IF(B322&gt;=$J$5,0,CONTADORES!BT334-CONTADORES!BT333)</f>
        <v>0</v>
      </c>
      <c r="BV322" s="1397">
        <f ca="1">IF(B322&gt;=$J$5,0,CONTADORES!BU334-CONTADORES!BU333)/1000</f>
        <v>0</v>
      </c>
      <c r="BW322" s="1397">
        <f ca="1">IF(B322&gt;=$J$5,0,CONTADORES!BV334-CONTADORES!BV333)/1000</f>
        <v>0</v>
      </c>
      <c r="BX322" s="1397">
        <f ca="1">IF(B322&gt;=$J$5,0,CONTADORES!BW334-CONTADORES!BW333)</f>
        <v>0</v>
      </c>
      <c r="BY322" s="1397">
        <f ca="1">IF(B322&gt;=$J$5,0,CONTADORES!BX334-CONTADORES!BX333)/1000</f>
        <v>0</v>
      </c>
      <c r="BZ322" s="1397">
        <f ca="1">IF(B322&gt;=$J$5,0,CONTADORES!BY334-CONTADORES!BY333)/1000</f>
        <v>0</v>
      </c>
      <c r="CA322" s="1397">
        <f ca="1">IF(B322&gt;=$J$5,0,CONTADORES!BZ334-CONTADORES!BZ333)</f>
        <v>0</v>
      </c>
      <c r="CB322" s="1397">
        <f ca="1">IF(B322&gt;=$J$5,0,(CONTADORES!CC334-CONTADORES!CC333)+(CONTADORES!CE334-CONTADORES!CE333))/1000</f>
        <v>0</v>
      </c>
      <c r="CC322" s="1397">
        <f ca="1">IF(B322&gt;=$J$5,0,(CONTADORES!CD334-CONTADORES!CD333)+(CONTADORES!CF334-CONTADORES!CF333))/1000</f>
        <v>0</v>
      </c>
      <c r="CD322" s="1397">
        <f ca="1">IF(B322&gt;=$J$5,0,CONTADORES!CA334-CONTADORES!CA333)</f>
        <v>0</v>
      </c>
      <c r="CE322" s="1397">
        <f ca="1">IF(B322&gt;=$J$5,0,CONTADORES!CB334-CONTADORES!CB333)</f>
        <v>0</v>
      </c>
      <c r="CF322" s="1397">
        <f t="shared" ca="1" si="149"/>
        <v>0</v>
      </c>
      <c r="CG322" s="1397">
        <f t="shared" ca="1" si="150"/>
        <v>0</v>
      </c>
      <c r="CH322" s="1397">
        <f t="shared" ca="1" si="151"/>
        <v>0</v>
      </c>
      <c r="CI322" s="1397">
        <f t="shared" ca="1" si="152"/>
        <v>0</v>
      </c>
      <c r="CJ322" s="1397">
        <f t="shared" ca="1" si="153"/>
        <v>0</v>
      </c>
      <c r="CK322" s="1397">
        <f t="shared" ca="1" si="154"/>
        <v>0</v>
      </c>
      <c r="CL322" s="1397">
        <f t="shared" ca="1" si="155"/>
        <v>0</v>
      </c>
      <c r="CM322" s="1397">
        <f t="shared" ca="1" si="156"/>
        <v>0</v>
      </c>
      <c r="CN322" s="1397">
        <f ca="1">IF(B322&gt;=$J$5,0,CONTADORES!CB334-CONTADORES!CB333)</f>
        <v>0</v>
      </c>
      <c r="CO322" s="1397">
        <f t="shared" ca="1" si="157"/>
        <v>0</v>
      </c>
      <c r="CP322" s="1397">
        <f t="shared" ca="1" si="158"/>
        <v>0</v>
      </c>
      <c r="CQ322" s="1397">
        <f t="shared" ca="1" si="159"/>
        <v>0</v>
      </c>
      <c r="CR322" s="1397">
        <f t="shared" ca="1" si="160"/>
        <v>0</v>
      </c>
      <c r="CS322" s="1403">
        <f ca="1">IF($B322&gt;=$J$5,0,CONTADORES!$BI334)</f>
        <v>0</v>
      </c>
      <c r="CT322" s="1369">
        <f>CONTADORES!E334</f>
        <v>0</v>
      </c>
      <c r="CU322" s="1369">
        <f>CONTADORES!CG334</f>
        <v>0</v>
      </c>
    </row>
    <row r="323" spans="2:99">
      <c r="B323" s="390">
        <v>45239</v>
      </c>
      <c r="C323" s="198">
        <f t="shared" ca="1" si="134"/>
        <v>0</v>
      </c>
      <c r="D323" s="196">
        <f ca="1">'CALCULO DE GAS'!P148</f>
        <v>0</v>
      </c>
      <c r="E323" s="196">
        <f ca="1">IF(B323&gt;=$J$5,0,(CONTADORES!$AD335-CONTADORES!$AD334)-$H323)</f>
        <v>0</v>
      </c>
      <c r="F323" s="198">
        <f t="shared" ca="1" si="164"/>
        <v>0</v>
      </c>
      <c r="G323" s="196">
        <f ca="1">IF(B323&gt;=$J$5,0,CONTADORES!$AF335-CONTADORES!$AF334)</f>
        <v>0</v>
      </c>
      <c r="H323" s="196">
        <f ca="1">IF(G323&gt;0,CONTADORES!$AE335-CONTADORES!$AE334,0)</f>
        <v>0</v>
      </c>
      <c r="I323" s="199">
        <f ca="1">IF(B323&gt;=$J$5,0,CONTADORES!$AB335-CONTADORES!$AB334)</f>
        <v>0</v>
      </c>
      <c r="J323" s="198">
        <f t="shared" ca="1" si="135"/>
        <v>0</v>
      </c>
      <c r="K323" s="196">
        <f ca="1">'CALCULO DE GAS'!Q148</f>
        <v>0</v>
      </c>
      <c r="L323" s="1396">
        <f ca="1">IF(B323&gt;=$J$5,0,(CONTADORES!$Y335-CONTADORES!$Y334)-$O323)</f>
        <v>0</v>
      </c>
      <c r="M323" s="1396">
        <f t="shared" ca="1" si="165"/>
        <v>0</v>
      </c>
      <c r="N323" s="1396">
        <f ca="1">IF(B323&gt;=$J$5,0,CONTADORES!$AA335-CONTADORES!$AA334)</f>
        <v>0</v>
      </c>
      <c r="O323" s="1396">
        <f ca="1">IF(N323&gt;0,CONTADORES!$Z335-CONTADORES!$Z334,0)</f>
        <v>0</v>
      </c>
      <c r="P323" s="202">
        <f ca="1">IF(B323&gt;=$J$5,0,CONTADORES!$W335-CONTADORES!$W334)</f>
        <v>0</v>
      </c>
      <c r="Q323" s="202">
        <f ca="1">IF(B323&gt;=$J$5,0,CONTADORES!$B335-CONTADORES!$B334)</f>
        <v>0</v>
      </c>
      <c r="R323" s="196">
        <f t="shared" ca="1" si="136"/>
        <v>0</v>
      </c>
      <c r="S323" s="11">
        <f ca="1">IF(B323&gt;=$J$5,0,CONTADORES!$D335-CONTADORES!$D334)</f>
        <v>0</v>
      </c>
      <c r="T323" s="198">
        <f ca="1">IF(B323&gt;=$J$5,0,CONTADORES!$BB335-CONTADORES!$BB334)</f>
        <v>0</v>
      </c>
      <c r="U323" s="196">
        <f t="shared" ca="1" si="162"/>
        <v>0</v>
      </c>
      <c r="V323" s="11">
        <f ca="1">IF(B323&gt;=$J$5,0,CONTADORES!$BD335-CONTADORES!$BD334)</f>
        <v>0</v>
      </c>
      <c r="W323" s="1397">
        <f ca="1">C323+J323</f>
        <v>0</v>
      </c>
      <c r="X323" s="1397">
        <f t="shared" ca="1" si="138"/>
        <v>0</v>
      </c>
      <c r="Y323" s="1398">
        <f t="shared" ca="1" si="139"/>
        <v>0</v>
      </c>
      <c r="Z323" s="1398">
        <f t="shared" ca="1" si="140"/>
        <v>0</v>
      </c>
      <c r="AA323" s="1398">
        <f t="shared" ca="1" si="141"/>
        <v>0</v>
      </c>
      <c r="AB323" s="1398">
        <f t="shared" ca="1" si="142"/>
        <v>0</v>
      </c>
      <c r="AC323" s="1397">
        <f t="shared" ca="1" si="143"/>
        <v>0</v>
      </c>
      <c r="AD323" s="1407">
        <f ca="1">IF(B323&gt;=$J$5,0,CONTADORES!H335-CONTADORES!H334)</f>
        <v>0</v>
      </c>
      <c r="AE323" s="1397">
        <f ca="1">IF(B323&gt;=$J$5,0,CONTADORES!J335-CONTADORES!J334)</f>
        <v>0</v>
      </c>
      <c r="AF323" s="1397">
        <f ca="1">IF(B323&gt;=$J$5,0,CONTADORES!AU335-CONTADORES!AU334)</f>
        <v>0</v>
      </c>
      <c r="AG323" s="1397">
        <f ca="1">IF(B323&gt;=$J$5,0,CONTADORES!AW335-CONTADORES!AW334)</f>
        <v>0</v>
      </c>
      <c r="AH323" s="1398">
        <f ca="1">IF(B323&gt;=$J$5,0,(CONTADORES!AM335-CONTADORES!AM334)+(CONTADORES!M335-CONTADORES!M334))</f>
        <v>0</v>
      </c>
      <c r="AI323" s="1397">
        <f ca="1">IF(B323&gt;=$J$5,0,(CONTADORES!AK335-CONTADORES!AK334)+(CONTADORES!O335-CONTADORES!O334))</f>
        <v>0</v>
      </c>
      <c r="AJ323" s="1397">
        <f ca="1">IF(B323&gt;=$J$5,0,(CONTADORES!AI335-CONTADORES!AI334))</f>
        <v>0</v>
      </c>
      <c r="AK323" s="1397">
        <f ca="1">IF(B323&gt;=$J$5,0,(CONTADORES!Q335-CONTADORES!Q334))</f>
        <v>0</v>
      </c>
      <c r="AL323" s="1461">
        <f t="shared" ca="1" si="144"/>
        <v>0</v>
      </c>
      <c r="AM323" s="1397">
        <f ca="1">IF(B323&gt;=$J$5,0,(((CONTADORES!F335-CONTADORES!F334)+(CONTADORES!AQ335-CONTADORES!AQ334))))-BS323-AF323-AN323-BV323-BY323-CD323-CB323+T323</f>
        <v>0</v>
      </c>
      <c r="AN323" s="1397">
        <f ca="1">IF(B323&gt;=$J$5,0,(CONTADORES!AX335-CONTADORES!AX334)+(CONTADORES!AZ335-CONTADORES!AZ334)+(CONTADORES!BE335-CONTADORES!BE334))-CB323</f>
        <v>0</v>
      </c>
      <c r="AO323" s="1399">
        <f ca="1">IF(B323&gt;=$J$5,0,(CONTADORES!AC335-CONTADORES!AC334))</f>
        <v>0</v>
      </c>
      <c r="AP323" s="1433">
        <f ca="1">IF(B323&gt;=$J$5,0,(CONTADORES!X335-CONTADORES!X334))</f>
        <v>0</v>
      </c>
      <c r="AQ323" s="1399">
        <f ca="1">IF(B323&gt;=$J$5,0,(CONTADORES!C335-CONTADORES!C334))</f>
        <v>0</v>
      </c>
      <c r="AR323" s="1399">
        <f ca="1">IF(B323&gt;=$J$5,0,(CONTADORES!BC335-CONTADORES!BC334))</f>
        <v>0</v>
      </c>
      <c r="AS323" s="1397">
        <f ca="1">IF(B323&gt;=$J$5,0,CONTADORES!S335-CONTADORES!S334)</f>
        <v>0</v>
      </c>
      <c r="AT323" s="1397">
        <f ca="1">IF(B323&gt;=$J$5,0,(CONTADORES!U335-CONTADORES!U334)+(CONTADORES!AG335-CONTADORES!AG334))</f>
        <v>0</v>
      </c>
      <c r="AU323" s="1433">
        <f ca="1">IF(B323&gt;=$J$5,0,(CONTADORES!I335-CONTADORES!I334))</f>
        <v>0</v>
      </c>
      <c r="AV323" s="1399">
        <f ca="1">IF(B323&gt;=$J$5,0,(CONTADORES!AV335-CONTADORES!AV334))</f>
        <v>0</v>
      </c>
      <c r="AW323" s="1433">
        <f ca="1">IF(B323&gt;=$J$5,0,(CONTADORES!N335-CONTADORES!N334)+(CONTADORES!AN335-CONTADORES!AN334))</f>
        <v>0</v>
      </c>
      <c r="AX323" s="1399">
        <f ca="1">IF(B323&gt;=$J$5,0,(CONTADORES!P335-CONTADORES!P334)+(CONTADORES!AL335-CONTADORES!AL334))</f>
        <v>0</v>
      </c>
      <c r="AY323" s="1399">
        <f ca="1">IF(B323&gt;=$J$5,0,(CONTADORES!AJ335-CONTADORES!AJ334))</f>
        <v>0</v>
      </c>
      <c r="AZ323" s="1399">
        <f ca="1">IF(B323&gt;=$J$5,0,(CONTADORES!R335-CONTADORES!R334))</f>
        <v>0</v>
      </c>
      <c r="BA323" s="1409">
        <f t="shared" ca="1" si="145"/>
        <v>0</v>
      </c>
      <c r="BB323" s="1399">
        <f ca="1">IF(B323&gt;=$J$5,0,(((CONTADORES!G335-CONTADORES!G334)+(CONTADORES!AR335-CONTADORES!AR334))))-AV323-BC323-BT323-BW323-BZ323-CE323-AR323</f>
        <v>0</v>
      </c>
      <c r="BC323" s="1397">
        <f ca="1">IF(B323&gt;=$J$5,0,(CONTADORES!AY335-CONTADORES!AY334)+(CONTADORES!BA335-CONTADORES!BA334)+(CONTADORES!BF335-CONTADORES!BF334))</f>
        <v>0</v>
      </c>
      <c r="BD323" s="1397">
        <f t="shared" ca="1" si="146"/>
        <v>0</v>
      </c>
      <c r="BE323" s="1398">
        <f ca="1">IF($B323&gt;=$J$5,0,CONTADORES!$BG335)</f>
        <v>0</v>
      </c>
      <c r="BF323" s="1397">
        <f ca="1">IF($B323&gt;=$J$5,0,CONTADORES!$BH335)</f>
        <v>0</v>
      </c>
      <c r="BG323" s="1397">
        <f ca="1">IF($B323&gt;=$J$5,0,CONTADORES!$BJ335)</f>
        <v>0</v>
      </c>
      <c r="BH323" s="1397">
        <f ca="1">IF(B323&gt;=$J$5,0,((CONTADORES!BK335-CONTADORES!BK334)/1000))</f>
        <v>0</v>
      </c>
      <c r="BI323" s="1397">
        <f ca="1">IF(C323&gt;=$J$5,0,((CONTADORES!BL335-CONTADORES!BL334)/1000))</f>
        <v>0</v>
      </c>
      <c r="BJ323" s="1397">
        <f ca="1">IF(C323&gt;=$J$5,0,((CONTADORES!BM335-CONTADORES!BM334)/1000))</f>
        <v>0</v>
      </c>
      <c r="BK323" s="1397">
        <f ca="1">IF(D323&gt;=$J$5,0,((CONTADORES!BN335-CONTADORES!BN334)/1000))</f>
        <v>0</v>
      </c>
      <c r="BL323" s="1399">
        <f t="shared" ca="1" si="147"/>
        <v>0</v>
      </c>
      <c r="BM323" s="1399">
        <f t="shared" ca="1" si="148"/>
        <v>0</v>
      </c>
      <c r="BN323" s="1399">
        <f ca="1">IF(B323&gt;=$J$5,0,CONTADORES!$BO335)</f>
        <v>0</v>
      </c>
      <c r="BO323" s="1397">
        <f ca="1">IF(W323&gt;=$J$5,0,CONTADORES!$BP335)</f>
        <v>0</v>
      </c>
      <c r="BP323" s="1397">
        <f ca="1">IF(W323&gt;=$J$5,0,CONTADORES!$BQ335)</f>
        <v>0</v>
      </c>
      <c r="BQ323" s="1397">
        <f ca="1">IF(B323&gt;=$J$5,0,(CONTADORES!AS335-CONTADORES!AS334))</f>
        <v>0</v>
      </c>
      <c r="BR323" s="1397">
        <f ca="1">IF(B323&gt;=$J$5,0,(CONTADORES!AT335-CONTADORES!AT334))</f>
        <v>0</v>
      </c>
      <c r="BS323" s="1397">
        <f ca="1">IF(B323&gt;=$J$5,0,CONTADORES!BR335-CONTADORES!BR334)/1000</f>
        <v>0</v>
      </c>
      <c r="BT323" s="1398">
        <f ca="1">IF(B323&gt;=$J$5,0,CONTADORES!BS335-CONTADORES!BS334)</f>
        <v>0</v>
      </c>
      <c r="BU323" s="1397">
        <f ca="1">IF(B323&gt;=$J$5,0,CONTADORES!BT335-CONTADORES!BT334)</f>
        <v>0</v>
      </c>
      <c r="BV323" s="1397">
        <f ca="1">IF(B323&gt;=$J$5,0,CONTADORES!BU335-CONTADORES!BU334)/1000</f>
        <v>0</v>
      </c>
      <c r="BW323" s="1397">
        <f ca="1">IF(B323&gt;=$J$5,0,CONTADORES!BV335-CONTADORES!BV334)/1000</f>
        <v>0</v>
      </c>
      <c r="BX323" s="1397">
        <f ca="1">IF(B323&gt;=$J$5,0,CONTADORES!BW335-CONTADORES!BW334)</f>
        <v>0</v>
      </c>
      <c r="BY323" s="1397">
        <f ca="1">IF(B323&gt;=$J$5,0,CONTADORES!BX335-CONTADORES!BX334)/1000</f>
        <v>0</v>
      </c>
      <c r="BZ323" s="1397">
        <f ca="1">IF(B323&gt;=$J$5,0,CONTADORES!BY335-CONTADORES!BY334)/1000</f>
        <v>0</v>
      </c>
      <c r="CA323" s="1397">
        <f ca="1">IF(B323&gt;=$J$5,0,CONTADORES!BZ335-CONTADORES!BZ334)</f>
        <v>0</v>
      </c>
      <c r="CB323" s="1397">
        <f ca="1">IF(B323&gt;=$J$5,0,(CONTADORES!CC335-CONTADORES!CC334)+(CONTADORES!CE335-CONTADORES!CE334))/1000</f>
        <v>0</v>
      </c>
      <c r="CC323" s="1397">
        <f ca="1">IF(B323&gt;=$J$5,0,(CONTADORES!CD335-CONTADORES!CD334)+(CONTADORES!CF335-CONTADORES!CF334))/1000</f>
        <v>0</v>
      </c>
      <c r="CD323" s="1397">
        <f ca="1">IF(B323&gt;=$J$5,0,CONTADORES!CA335-CONTADORES!CA334)</f>
        <v>0</v>
      </c>
      <c r="CE323" s="1397">
        <f ca="1">IF(B323&gt;=$J$5,0,CONTADORES!CB335-CONTADORES!CB334)</f>
        <v>0</v>
      </c>
      <c r="CF323" s="1397">
        <f t="shared" ca="1" si="149"/>
        <v>0</v>
      </c>
      <c r="CG323" s="1397">
        <f t="shared" ca="1" si="150"/>
        <v>0</v>
      </c>
      <c r="CH323" s="1397">
        <f t="shared" ca="1" si="151"/>
        <v>0</v>
      </c>
      <c r="CI323" s="1397">
        <f t="shared" ca="1" si="152"/>
        <v>0</v>
      </c>
      <c r="CJ323" s="1397">
        <f t="shared" ca="1" si="153"/>
        <v>0</v>
      </c>
      <c r="CK323" s="1397">
        <f t="shared" ca="1" si="154"/>
        <v>0</v>
      </c>
      <c r="CL323" s="1397">
        <f t="shared" ca="1" si="155"/>
        <v>0</v>
      </c>
      <c r="CM323" s="1397">
        <f t="shared" ca="1" si="156"/>
        <v>0</v>
      </c>
      <c r="CN323" s="1397">
        <f ca="1">IF(B323&gt;=$J$5,0,CONTADORES!CB335-CONTADORES!CB334)</f>
        <v>0</v>
      </c>
      <c r="CO323" s="1397">
        <f t="shared" ca="1" si="157"/>
        <v>0</v>
      </c>
      <c r="CP323" s="1397">
        <f t="shared" ca="1" si="158"/>
        <v>0</v>
      </c>
      <c r="CQ323" s="1397">
        <f t="shared" ca="1" si="159"/>
        <v>0</v>
      </c>
      <c r="CR323" s="1397">
        <f t="shared" ca="1" si="160"/>
        <v>0</v>
      </c>
      <c r="CS323" s="1403">
        <f ca="1">IF($B323&gt;=$J$5,0,CONTADORES!$BI335)</f>
        <v>0</v>
      </c>
      <c r="CT323" s="1369">
        <f>CONTADORES!E335</f>
        <v>0</v>
      </c>
      <c r="CU323" s="1369">
        <f>CONTADORES!CG335</f>
        <v>0</v>
      </c>
    </row>
    <row r="324" spans="2:99">
      <c r="B324" s="390">
        <v>45240</v>
      </c>
      <c r="C324" s="198">
        <f t="shared" ca="1" si="134"/>
        <v>0</v>
      </c>
      <c r="D324" s="196">
        <f ca="1">'CALCULO DE GAS'!P149</f>
        <v>0</v>
      </c>
      <c r="E324" s="196">
        <f ca="1">IF(B324&gt;=$J$5,0,(CONTADORES!$AD336-CONTADORES!$AD335)-$H324)</f>
        <v>0</v>
      </c>
      <c r="F324" s="198">
        <f t="shared" ca="1" si="164"/>
        <v>0</v>
      </c>
      <c r="G324" s="196">
        <f ca="1">IF(B324&gt;=$J$5,0,CONTADORES!$AF336-CONTADORES!$AF335)</f>
        <v>0</v>
      </c>
      <c r="H324" s="196">
        <f ca="1">IF(G324&gt;0,CONTADORES!$AE336-CONTADORES!$AE335,0)</f>
        <v>0</v>
      </c>
      <c r="I324" s="199">
        <f ca="1">IF(B324&gt;=$J$5,0,CONTADORES!$AB336-CONTADORES!$AB335)</f>
        <v>0</v>
      </c>
      <c r="J324" s="198">
        <f t="shared" ca="1" si="135"/>
        <v>0</v>
      </c>
      <c r="K324" s="196">
        <f ca="1">'CALCULO DE GAS'!Q149</f>
        <v>0</v>
      </c>
      <c r="L324" s="1396">
        <f ca="1">IF(B324&gt;=$J$5,0,(CONTADORES!$Y336-CONTADORES!$Y335)-$O324)</f>
        <v>0</v>
      </c>
      <c r="M324" s="1396">
        <f t="shared" ca="1" si="165"/>
        <v>0</v>
      </c>
      <c r="N324" s="1396">
        <f ca="1">IF(B324&gt;=$J$5,0,CONTADORES!$AA336-CONTADORES!$AA335)</f>
        <v>0</v>
      </c>
      <c r="O324" s="1396">
        <f ca="1">IF(N324&gt;0,CONTADORES!$Z336-CONTADORES!$Z335,0)</f>
        <v>0</v>
      </c>
      <c r="P324" s="202">
        <f ca="1">IF(B324&gt;=$J$5,0,CONTADORES!$W336-CONTADORES!$W335)</f>
        <v>0</v>
      </c>
      <c r="Q324" s="202">
        <f ca="1">IF(B324&gt;=$J$5,0,CONTADORES!$B336-CONTADORES!$B335)</f>
        <v>0</v>
      </c>
      <c r="R324" s="196">
        <f t="shared" ca="1" si="136"/>
        <v>0</v>
      </c>
      <c r="S324" s="11">
        <f ca="1">IF(B324&gt;=$J$5,0,CONTADORES!$D336-CONTADORES!$D335)</f>
        <v>0</v>
      </c>
      <c r="T324" s="198">
        <f ca="1">IF(B324&gt;=$J$5,0,CONTADORES!$BB336-CONTADORES!$BB335)</f>
        <v>0</v>
      </c>
      <c r="U324" s="196">
        <f t="shared" ca="1" si="162"/>
        <v>0</v>
      </c>
      <c r="V324" s="11">
        <f ca="1">IF(B324&gt;=$J$5,0,CONTADORES!$BD336-CONTADORES!$BD335)</f>
        <v>0</v>
      </c>
      <c r="W324" s="1397">
        <f t="shared" ca="1" si="137"/>
        <v>0</v>
      </c>
      <c r="X324" s="1397">
        <f t="shared" ca="1" si="138"/>
        <v>0</v>
      </c>
      <c r="Y324" s="1398">
        <f t="shared" ca="1" si="139"/>
        <v>0</v>
      </c>
      <c r="Z324" s="1398">
        <f t="shared" ca="1" si="140"/>
        <v>0</v>
      </c>
      <c r="AA324" s="1398">
        <f t="shared" ca="1" si="141"/>
        <v>0</v>
      </c>
      <c r="AB324" s="1398">
        <f t="shared" ca="1" si="142"/>
        <v>0</v>
      </c>
      <c r="AC324" s="1397">
        <f t="shared" ca="1" si="143"/>
        <v>0</v>
      </c>
      <c r="AD324" s="1407">
        <f ca="1">IF(B324&gt;=$J$5,0,CONTADORES!H336-CONTADORES!H335)</f>
        <v>0</v>
      </c>
      <c r="AE324" s="1397">
        <f ca="1">IF(B324&gt;=$J$5,0,CONTADORES!J336-CONTADORES!J335)</f>
        <v>0</v>
      </c>
      <c r="AF324" s="1397">
        <f ca="1">IF(B324&gt;=$J$5,0,CONTADORES!AU336-CONTADORES!AU335)</f>
        <v>0</v>
      </c>
      <c r="AG324" s="1397">
        <f ca="1">IF(B324&gt;=$J$5,0,CONTADORES!AW336-CONTADORES!AW335)</f>
        <v>0</v>
      </c>
      <c r="AH324" s="1398">
        <f ca="1">IF(B324&gt;=$J$5,0,(CONTADORES!AM336-CONTADORES!AM335)+(CONTADORES!M336-CONTADORES!M335))</f>
        <v>0</v>
      </c>
      <c r="AI324" s="1397">
        <f ca="1">IF(B324&gt;=$J$5,0,(CONTADORES!AK336-CONTADORES!AK335)+(CONTADORES!O336-CONTADORES!O335))</f>
        <v>0</v>
      </c>
      <c r="AJ324" s="1397">
        <f ca="1">IF(B324&gt;=$J$5,0,(CONTADORES!AI336-CONTADORES!AI335))</f>
        <v>0</v>
      </c>
      <c r="AK324" s="1397">
        <f ca="1">IF(B324&gt;=$J$5,0,(CONTADORES!Q336-CONTADORES!Q335))</f>
        <v>0</v>
      </c>
      <c r="AL324" s="1461">
        <f t="shared" ca="1" si="144"/>
        <v>0</v>
      </c>
      <c r="AM324" s="1397">
        <f ca="1">IF(B324&gt;=$J$5,0,(((CONTADORES!F336-CONTADORES!F335)+(CONTADORES!AQ336-CONTADORES!AQ335))))-BS324-AF324-AN324-BV324-BY324-CD324-CB324+T324</f>
        <v>0</v>
      </c>
      <c r="AN324" s="1397">
        <f ca="1">IF(B324&gt;=$J$5,0,(CONTADORES!AX336-CONTADORES!AX335)+(CONTADORES!AZ336-CONTADORES!AZ335)+(CONTADORES!BE336-CONTADORES!BE335))-CB324</f>
        <v>0</v>
      </c>
      <c r="AO324" s="1399">
        <f ca="1">IF(B324&gt;=$J$5,0,(CONTADORES!AC336-CONTADORES!AC335))</f>
        <v>0</v>
      </c>
      <c r="AP324" s="1433">
        <f ca="1">IF(B324&gt;=$J$5,0,(CONTADORES!X336-CONTADORES!X335))</f>
        <v>0</v>
      </c>
      <c r="AQ324" s="1399">
        <f ca="1">IF(B324&gt;=$J$5,0,(CONTADORES!C336-CONTADORES!C335))</f>
        <v>0</v>
      </c>
      <c r="AR324" s="1399">
        <f ca="1">IF(B324&gt;=$J$5,0,(CONTADORES!BC336-CONTADORES!BC335))</f>
        <v>0</v>
      </c>
      <c r="AS324" s="1397">
        <f ca="1">IF(B324&gt;=$J$5,0,CONTADORES!S336-CONTADORES!S335)</f>
        <v>0</v>
      </c>
      <c r="AT324" s="1397">
        <f ca="1">IF(B324&gt;=$J$5,0,(CONTADORES!U336-CONTADORES!U335)+(CONTADORES!AG336-CONTADORES!AG335))</f>
        <v>0</v>
      </c>
      <c r="AU324" s="1433">
        <f ca="1">IF(B324&gt;=$J$5,0,(CONTADORES!I336-CONTADORES!I335))</f>
        <v>0</v>
      </c>
      <c r="AV324" s="1399">
        <f ca="1">IF(B324&gt;=$J$5,0,(CONTADORES!AV336-CONTADORES!AV335))</f>
        <v>0</v>
      </c>
      <c r="AW324" s="1433">
        <f ca="1">IF(B324&gt;=$J$5,0,(CONTADORES!N336-CONTADORES!N335)+(CONTADORES!AN336-CONTADORES!AN335))</f>
        <v>0</v>
      </c>
      <c r="AX324" s="1399">
        <f ca="1">IF(B324&gt;=$J$5,0,(CONTADORES!P336-CONTADORES!P335)+(CONTADORES!AL336-CONTADORES!AL335))</f>
        <v>0</v>
      </c>
      <c r="AY324" s="1399">
        <f ca="1">IF(B324&gt;=$J$5,0,(CONTADORES!AJ336-CONTADORES!AJ335))</f>
        <v>0</v>
      </c>
      <c r="AZ324" s="1399">
        <f ca="1">IF(B324&gt;=$J$5,0,(CONTADORES!R336-CONTADORES!R335))</f>
        <v>0</v>
      </c>
      <c r="BA324" s="1409">
        <f t="shared" ca="1" si="145"/>
        <v>0</v>
      </c>
      <c r="BB324" s="1399">
        <f ca="1">IF(B324&gt;=$J$5,0,(((CONTADORES!G336-CONTADORES!G335)+(CONTADORES!AR336-CONTADORES!AR335))))-AV324-BC324-BT324-BW324-BZ324-CE324-AR324</f>
        <v>0</v>
      </c>
      <c r="BC324" s="1397">
        <f ca="1">IF(B324&gt;=$J$5,0,(CONTADORES!AY336-CONTADORES!AY335)+(CONTADORES!BA336-CONTADORES!BA335)+(CONTADORES!BF336-CONTADORES!BF335))</f>
        <v>0</v>
      </c>
      <c r="BD324" s="1397">
        <f t="shared" ca="1" si="146"/>
        <v>0</v>
      </c>
      <c r="BE324" s="1398">
        <f ca="1">IF($B324&gt;=$J$5,0,CONTADORES!$BG336)</f>
        <v>0</v>
      </c>
      <c r="BF324" s="1397">
        <f ca="1">IF($B324&gt;=$J$5,0,CONTADORES!$BH336)</f>
        <v>0</v>
      </c>
      <c r="BG324" s="1397">
        <f ca="1">IF($B324&gt;=$J$5,0,CONTADORES!$BJ336)</f>
        <v>0</v>
      </c>
      <c r="BH324" s="1397">
        <f ca="1">IF(B324&gt;=$J$5,0,((CONTADORES!BK336-CONTADORES!BK335)/1000))</f>
        <v>0</v>
      </c>
      <c r="BI324" s="1397">
        <f ca="1">IF(C324&gt;=$J$5,0,((CONTADORES!BL336-CONTADORES!BL335)/1000))</f>
        <v>0</v>
      </c>
      <c r="BJ324" s="1397">
        <f ca="1">IF(C324&gt;=$J$5,0,((CONTADORES!BM336-CONTADORES!BM335)/1000))</f>
        <v>0</v>
      </c>
      <c r="BK324" s="1397">
        <f ca="1">IF(D324&gt;=$J$5,0,((CONTADORES!BN336-CONTADORES!BN335)/1000))</f>
        <v>0</v>
      </c>
      <c r="BL324" s="1399">
        <f t="shared" ca="1" si="147"/>
        <v>0</v>
      </c>
      <c r="BM324" s="1399">
        <f t="shared" ca="1" si="148"/>
        <v>0</v>
      </c>
      <c r="BN324" s="1399">
        <f ca="1">IF(B324&gt;=$J$5,0,CONTADORES!$BO336)</f>
        <v>0</v>
      </c>
      <c r="BO324" s="1397">
        <f ca="1">IF(W324&gt;=$J$5,0,CONTADORES!$BP336)</f>
        <v>0</v>
      </c>
      <c r="BP324" s="1397">
        <f ca="1">IF(W324&gt;=$J$5,0,CONTADORES!$BQ336)</f>
        <v>0</v>
      </c>
      <c r="BQ324" s="1397">
        <f ca="1">IF(B324&gt;=$J$5,0,(CONTADORES!AS336-CONTADORES!AS335))</f>
        <v>0</v>
      </c>
      <c r="BR324" s="1397">
        <f ca="1">IF(B324&gt;=$J$5,0,(CONTADORES!AT336-CONTADORES!AT335))</f>
        <v>0</v>
      </c>
      <c r="BS324" s="1397">
        <f ca="1">IF(B324&gt;=$J$5,0,CONTADORES!BR336-CONTADORES!BR335)/1000</f>
        <v>0</v>
      </c>
      <c r="BT324" s="1398">
        <f ca="1">IF(B324&gt;=$J$5,0,CONTADORES!BS336-CONTADORES!BS335)</f>
        <v>0</v>
      </c>
      <c r="BU324" s="1397">
        <f ca="1">IF(B324&gt;=$J$5,0,CONTADORES!BT336-CONTADORES!BT335)</f>
        <v>0</v>
      </c>
      <c r="BV324" s="1397">
        <f ca="1">IF(B324&gt;=$J$5,0,CONTADORES!BU336-CONTADORES!BU335)/1000</f>
        <v>0</v>
      </c>
      <c r="BW324" s="1397">
        <f ca="1">IF(B324&gt;=$J$5,0,CONTADORES!BV336-CONTADORES!BV335)/1000</f>
        <v>0</v>
      </c>
      <c r="BX324" s="1397">
        <f ca="1">IF(B324&gt;=$J$5,0,CONTADORES!BW336-CONTADORES!BW335)</f>
        <v>0</v>
      </c>
      <c r="BY324" s="1397">
        <f ca="1">IF(B324&gt;=$J$5,0,CONTADORES!BX336-CONTADORES!BX335)/1000</f>
        <v>0</v>
      </c>
      <c r="BZ324" s="1397">
        <f ca="1">IF(B324&gt;=$J$5,0,CONTADORES!BY336-CONTADORES!BY335)/1000</f>
        <v>0</v>
      </c>
      <c r="CA324" s="1397">
        <f ca="1">IF(B324&gt;=$J$5,0,CONTADORES!BZ336-CONTADORES!BZ335)</f>
        <v>0</v>
      </c>
      <c r="CB324" s="1397">
        <f ca="1">IF(B324&gt;=$J$5,0,(CONTADORES!CC336-CONTADORES!CC335)+(CONTADORES!CE336-CONTADORES!CE335))/1000</f>
        <v>0</v>
      </c>
      <c r="CC324" s="1397">
        <f ca="1">IF(B324&gt;=$J$5,0,(CONTADORES!CD336-CONTADORES!CD335)+(CONTADORES!CF336-CONTADORES!CF335))/1000</f>
        <v>0</v>
      </c>
      <c r="CD324" s="1397">
        <f ca="1">IF(B324&gt;=$J$5,0,CONTADORES!CA336-CONTADORES!CA335)</f>
        <v>0</v>
      </c>
      <c r="CE324" s="1397">
        <f ca="1">IF(B324&gt;=$J$5,0,CONTADORES!CB336-CONTADORES!CB335)</f>
        <v>0</v>
      </c>
      <c r="CF324" s="1397">
        <f t="shared" ca="1" si="149"/>
        <v>0</v>
      </c>
      <c r="CG324" s="1397">
        <f t="shared" ca="1" si="150"/>
        <v>0</v>
      </c>
      <c r="CH324" s="1397">
        <f t="shared" ca="1" si="151"/>
        <v>0</v>
      </c>
      <c r="CI324" s="1397">
        <f t="shared" ca="1" si="152"/>
        <v>0</v>
      </c>
      <c r="CJ324" s="1397">
        <f t="shared" ca="1" si="153"/>
        <v>0</v>
      </c>
      <c r="CK324" s="1397">
        <f t="shared" ca="1" si="154"/>
        <v>0</v>
      </c>
      <c r="CL324" s="1397">
        <f t="shared" ca="1" si="155"/>
        <v>0</v>
      </c>
      <c r="CM324" s="1397">
        <f t="shared" ca="1" si="156"/>
        <v>0</v>
      </c>
      <c r="CN324" s="1397">
        <f ca="1">IF(B324&gt;=$J$5,0,CONTADORES!CB336-CONTADORES!CB335)</f>
        <v>0</v>
      </c>
      <c r="CO324" s="1397">
        <f t="shared" ca="1" si="157"/>
        <v>0</v>
      </c>
      <c r="CP324" s="1397">
        <f t="shared" ca="1" si="158"/>
        <v>0</v>
      </c>
      <c r="CQ324" s="1397">
        <f t="shared" ca="1" si="159"/>
        <v>0</v>
      </c>
      <c r="CR324" s="1397">
        <f t="shared" ca="1" si="160"/>
        <v>0</v>
      </c>
      <c r="CS324" s="1403">
        <f ca="1">IF($B324&gt;=$J$5,0,CONTADORES!$BI336)</f>
        <v>0</v>
      </c>
      <c r="CT324" s="1369">
        <f>CONTADORES!E336</f>
        <v>0</v>
      </c>
      <c r="CU324" s="1369">
        <f>CONTADORES!CG336</f>
        <v>0</v>
      </c>
    </row>
    <row r="325" spans="2:99">
      <c r="B325" s="390">
        <v>45241</v>
      </c>
      <c r="C325" s="198">
        <f t="shared" ca="1" si="134"/>
        <v>0</v>
      </c>
      <c r="D325" s="196">
        <f ca="1">'CALCULO DE GAS'!P150</f>
        <v>0</v>
      </c>
      <c r="E325" s="196">
        <f ca="1">IF(B325&gt;=$J$5,0,(CONTADORES!$AD337-CONTADORES!$AD336)-$H325)</f>
        <v>0</v>
      </c>
      <c r="F325" s="198">
        <f t="shared" ca="1" si="164"/>
        <v>0</v>
      </c>
      <c r="G325" s="196">
        <f ca="1">IF(B325&gt;=$J$5,0,CONTADORES!$AF337-CONTADORES!$AF336)</f>
        <v>0</v>
      </c>
      <c r="H325" s="196">
        <f ca="1">IF(G325&gt;0,CONTADORES!$AE337-CONTADORES!$AE336,0)</f>
        <v>0</v>
      </c>
      <c r="I325" s="199">
        <f ca="1">IF(B325&gt;=$J$5,0,CONTADORES!$AB337-CONTADORES!$AB336)</f>
        <v>0</v>
      </c>
      <c r="J325" s="198">
        <f t="shared" ca="1" si="135"/>
        <v>0</v>
      </c>
      <c r="K325" s="196">
        <f ca="1">'CALCULO DE GAS'!Q150</f>
        <v>0</v>
      </c>
      <c r="L325" s="1396">
        <f ca="1">IF(B325&gt;=$J$5,0,(CONTADORES!$Y337-CONTADORES!$Y336)-$O325)</f>
        <v>0</v>
      </c>
      <c r="M325" s="1396">
        <f t="shared" ca="1" si="165"/>
        <v>0</v>
      </c>
      <c r="N325" s="1396">
        <f ca="1">IF(B325&gt;=$J$5,0,CONTADORES!$AA337-CONTADORES!$AA336)</f>
        <v>0</v>
      </c>
      <c r="O325" s="1396">
        <f ca="1">IF(N325&gt;0,CONTADORES!$Z337-CONTADORES!$Z336,0)</f>
        <v>0</v>
      </c>
      <c r="P325" s="202">
        <f ca="1">IF(B325&gt;=$J$5,0,CONTADORES!$W337-CONTADORES!$W336)</f>
        <v>0</v>
      </c>
      <c r="Q325" s="202">
        <f ca="1">IF(B325&gt;=$J$5,0,CONTADORES!$B337-CONTADORES!$B336)</f>
        <v>0</v>
      </c>
      <c r="R325" s="196">
        <f t="shared" ca="1" si="136"/>
        <v>0</v>
      </c>
      <c r="S325" s="11">
        <f ca="1">IF(B325&gt;=$J$5,0,CONTADORES!$D337-CONTADORES!$D336)</f>
        <v>0</v>
      </c>
      <c r="T325" s="198">
        <f ca="1">IF(B325&gt;=$J$5,0,CONTADORES!$BB337-CONTADORES!$BB336)</f>
        <v>0</v>
      </c>
      <c r="U325" s="196">
        <f t="shared" ca="1" si="162"/>
        <v>0</v>
      </c>
      <c r="V325" s="11">
        <f ca="1">IF(B325&gt;=$J$5,0,CONTADORES!$BD337-CONTADORES!$BD336)</f>
        <v>0</v>
      </c>
      <c r="W325" s="1397">
        <f t="shared" ca="1" si="137"/>
        <v>0</v>
      </c>
      <c r="X325" s="1397">
        <f t="shared" ca="1" si="138"/>
        <v>0</v>
      </c>
      <c r="Y325" s="1398">
        <f t="shared" ca="1" si="139"/>
        <v>0</v>
      </c>
      <c r="Z325" s="1398">
        <f t="shared" ca="1" si="140"/>
        <v>0</v>
      </c>
      <c r="AA325" s="1398">
        <f t="shared" ca="1" si="141"/>
        <v>0</v>
      </c>
      <c r="AB325" s="1398">
        <f t="shared" ca="1" si="142"/>
        <v>0</v>
      </c>
      <c r="AC325" s="1397">
        <f t="shared" ca="1" si="143"/>
        <v>0</v>
      </c>
      <c r="AD325" s="1407">
        <f ca="1">IF(B325&gt;=$J$5,0,CONTADORES!H337-CONTADORES!H336)</f>
        <v>0</v>
      </c>
      <c r="AE325" s="1397">
        <f ca="1">IF(B325&gt;=$J$5,0,CONTADORES!J337-CONTADORES!J336)</f>
        <v>0</v>
      </c>
      <c r="AF325" s="1397">
        <f ca="1">IF(B325&gt;=$J$5,0,CONTADORES!AU337-CONTADORES!AU336)</f>
        <v>0</v>
      </c>
      <c r="AG325" s="1397">
        <f ca="1">IF(B325&gt;=$J$5,0,CONTADORES!AW337-CONTADORES!AW336)</f>
        <v>0</v>
      </c>
      <c r="AH325" s="1398">
        <f ca="1">IF(B325&gt;=$J$5,0,(CONTADORES!AM337-CONTADORES!AM336)+(CONTADORES!M337-CONTADORES!M336))</f>
        <v>0</v>
      </c>
      <c r="AI325" s="1397">
        <f ca="1">IF(B325&gt;=$J$5,0,(CONTADORES!AK337-CONTADORES!AK336)+(CONTADORES!O337-CONTADORES!O336))</f>
        <v>0</v>
      </c>
      <c r="AJ325" s="1397">
        <f ca="1">IF(B325&gt;=$J$5,0,(CONTADORES!AI337-CONTADORES!AI336))</f>
        <v>0</v>
      </c>
      <c r="AK325" s="1397">
        <f ca="1">IF(B325&gt;=$J$5,0,(CONTADORES!Q337-CONTADORES!Q336))</f>
        <v>0</v>
      </c>
      <c r="AL325" s="1461">
        <f t="shared" ca="1" si="144"/>
        <v>0</v>
      </c>
      <c r="AM325" s="1397">
        <f ca="1">IF(B325&gt;=$J$5,0,(((CONTADORES!F337-CONTADORES!F336)+(CONTADORES!AQ337-CONTADORES!AQ336))))-BS325-AF325-AN325-BV325-BY325-CD325-CB325+T325</f>
        <v>0</v>
      </c>
      <c r="AN325" s="1397">
        <f ca="1">IF(B325&gt;=$J$5,0,(CONTADORES!AX337-CONTADORES!AX336)+(CONTADORES!AZ337-CONTADORES!AZ336)+(CONTADORES!BE337-CONTADORES!BE336))-CB325</f>
        <v>0</v>
      </c>
      <c r="AO325" s="1399">
        <f ca="1">IF(B325&gt;=$J$5,0,(CONTADORES!AC337-CONTADORES!AC336))</f>
        <v>0</v>
      </c>
      <c r="AP325" s="1433">
        <f ca="1">IF(B325&gt;=$J$5,0,(CONTADORES!X337-CONTADORES!X336))</f>
        <v>0</v>
      </c>
      <c r="AQ325" s="1399">
        <f ca="1">IF(B325&gt;=$J$5,0,(CONTADORES!C337-CONTADORES!C336))</f>
        <v>0</v>
      </c>
      <c r="AR325" s="1399">
        <f ca="1">IF(B325&gt;=$J$5,0,(CONTADORES!BC337-CONTADORES!BC336))</f>
        <v>0</v>
      </c>
      <c r="AS325" s="1397">
        <f ca="1">IF(B325&gt;=$J$5,0,CONTADORES!S337-CONTADORES!S336)</f>
        <v>0</v>
      </c>
      <c r="AT325" s="1397">
        <f ca="1">IF(B325&gt;=$J$5,0,(CONTADORES!U337-CONTADORES!U336)+(CONTADORES!AG337-CONTADORES!AG336))</f>
        <v>0</v>
      </c>
      <c r="AU325" s="1433">
        <f ca="1">IF(B325&gt;=$J$5,0,(CONTADORES!I337-CONTADORES!I336))</f>
        <v>0</v>
      </c>
      <c r="AV325" s="1399">
        <f ca="1">IF(B325&gt;=$J$5,0,(CONTADORES!AV337-CONTADORES!AV336))</f>
        <v>0</v>
      </c>
      <c r="AW325" s="1433">
        <f ca="1">IF(B325&gt;=$J$5,0,(CONTADORES!N337-CONTADORES!N336)+(CONTADORES!AN337-CONTADORES!AN336))</f>
        <v>0</v>
      </c>
      <c r="AX325" s="1399">
        <f ca="1">IF(B325&gt;=$J$5,0,(CONTADORES!P337-CONTADORES!P336)+(CONTADORES!AL337-CONTADORES!AL336))</f>
        <v>0</v>
      </c>
      <c r="AY325" s="1399">
        <f ca="1">IF(B325&gt;=$J$5,0,(CONTADORES!AJ337-CONTADORES!AJ336))</f>
        <v>0</v>
      </c>
      <c r="AZ325" s="1399">
        <f ca="1">IF(B325&gt;=$J$5,0,(CONTADORES!R337-CONTADORES!R336))</f>
        <v>0</v>
      </c>
      <c r="BA325" s="1409">
        <f t="shared" ca="1" si="145"/>
        <v>0</v>
      </c>
      <c r="BB325" s="1399">
        <f ca="1">IF(B325&gt;=$J$5,0,(((CONTADORES!G337-CONTADORES!G336)+(CONTADORES!AR337-CONTADORES!AR336))))-AV325-BC325-BT325-BW325-BZ325-CE325-AR325</f>
        <v>0</v>
      </c>
      <c r="BC325" s="1397">
        <f ca="1">IF(B325&gt;=$J$5,0,(CONTADORES!AY337-CONTADORES!AY336)+(CONTADORES!BA337-CONTADORES!BA336)+(CONTADORES!BF337-CONTADORES!BF336))</f>
        <v>0</v>
      </c>
      <c r="BD325" s="1397">
        <f t="shared" ca="1" si="146"/>
        <v>0</v>
      </c>
      <c r="BE325" s="1398">
        <f ca="1">IF($B325&gt;=$J$5,0,CONTADORES!$BG337)</f>
        <v>0</v>
      </c>
      <c r="BF325" s="1397">
        <f ca="1">IF($B325&gt;=$J$5,0,CONTADORES!$BH337)</f>
        <v>0</v>
      </c>
      <c r="BG325" s="1397">
        <f ca="1">IF($B325&gt;=$J$5,0,CONTADORES!$BJ337)</f>
        <v>0</v>
      </c>
      <c r="BH325" s="1397">
        <f ca="1">IF(B325&gt;=$J$5,0,((CONTADORES!BK337-CONTADORES!BK336)/1000))</f>
        <v>0</v>
      </c>
      <c r="BI325" s="1397">
        <f ca="1">IF(C325&gt;=$J$5,0,((CONTADORES!BL337-CONTADORES!BL336)/1000))</f>
        <v>0</v>
      </c>
      <c r="BJ325" s="1397">
        <f ca="1">IF(C325&gt;=$J$5,0,((CONTADORES!BM337-CONTADORES!BM336)/1000))</f>
        <v>0</v>
      </c>
      <c r="BK325" s="1397">
        <f ca="1">IF(D325&gt;=$J$5,0,((CONTADORES!BN337-CONTADORES!BN336)/1000))</f>
        <v>0</v>
      </c>
      <c r="BL325" s="1399">
        <f t="shared" ca="1" si="147"/>
        <v>0</v>
      </c>
      <c r="BM325" s="1399">
        <f t="shared" ca="1" si="148"/>
        <v>0</v>
      </c>
      <c r="BN325" s="1399">
        <f ca="1">IF(B325&gt;=$J$5,0,CONTADORES!$BO337)</f>
        <v>0</v>
      </c>
      <c r="BO325" s="1397">
        <f ca="1">IF(W325&gt;=$J$5,0,CONTADORES!$BP337)</f>
        <v>0</v>
      </c>
      <c r="BP325" s="1397">
        <f ca="1">IF(W325&gt;=$J$5,0,CONTADORES!$BQ337)</f>
        <v>0</v>
      </c>
      <c r="BQ325" s="1397">
        <f ca="1">IF(B325&gt;=$J$5,0,(CONTADORES!AS337-CONTADORES!AS336))</f>
        <v>0</v>
      </c>
      <c r="BR325" s="1397">
        <f ca="1">IF(B325&gt;=$J$5,0,(CONTADORES!AT337-CONTADORES!AT336))</f>
        <v>0</v>
      </c>
      <c r="BS325" s="1397">
        <f ca="1">IF(B325&gt;=$J$5,0,CONTADORES!BR337-CONTADORES!BR336)/1000</f>
        <v>0</v>
      </c>
      <c r="BT325" s="1398">
        <f ca="1">IF(B325&gt;=$J$5,0,CONTADORES!BS337-CONTADORES!BS336)</f>
        <v>0</v>
      </c>
      <c r="BU325" s="1397">
        <f ca="1">IF(B325&gt;=$J$5,0,CONTADORES!BT337-CONTADORES!BT336)</f>
        <v>0</v>
      </c>
      <c r="BV325" s="1397">
        <f ca="1">IF(B325&gt;=$J$5,0,CONTADORES!BU337-CONTADORES!BU336)/1000</f>
        <v>0</v>
      </c>
      <c r="BW325" s="1397">
        <f ca="1">IF(B325&gt;=$J$5,0,CONTADORES!BV337-CONTADORES!BV336)/1000</f>
        <v>0</v>
      </c>
      <c r="BX325" s="1397">
        <f ca="1">IF(B325&gt;=$J$5,0,CONTADORES!BW337-CONTADORES!BW336)</f>
        <v>0</v>
      </c>
      <c r="BY325" s="1397">
        <f ca="1">IF(B325&gt;=$J$5,0,CONTADORES!BX337-CONTADORES!BX336)/1000</f>
        <v>0</v>
      </c>
      <c r="BZ325" s="1397">
        <f ca="1">IF(B325&gt;=$J$5,0,CONTADORES!BY337-CONTADORES!BY336)/1000</f>
        <v>0</v>
      </c>
      <c r="CA325" s="1397">
        <f ca="1">IF(B325&gt;=$J$5,0,CONTADORES!BZ337-CONTADORES!BZ336)</f>
        <v>0</v>
      </c>
      <c r="CB325" s="1397">
        <f ca="1">IF(B325&gt;=$J$5,0,(CONTADORES!CC337-CONTADORES!CC336)+(CONTADORES!CE337-CONTADORES!CE336))/1000</f>
        <v>0</v>
      </c>
      <c r="CC325" s="1397">
        <f ca="1">IF(B325&gt;=$J$5,0,(CONTADORES!CD337-CONTADORES!CD336)+(CONTADORES!CF337-CONTADORES!CF336))/1000</f>
        <v>0</v>
      </c>
      <c r="CD325" s="1397">
        <f ca="1">IF(B325&gt;=$J$5,0,CONTADORES!CA337-CONTADORES!CA336)</f>
        <v>0</v>
      </c>
      <c r="CE325" s="1397">
        <f ca="1">IF(B325&gt;=$J$5,0,CONTADORES!CB337-CONTADORES!CB336)</f>
        <v>0</v>
      </c>
      <c r="CF325" s="1397">
        <f t="shared" ca="1" si="149"/>
        <v>0</v>
      </c>
      <c r="CG325" s="1397">
        <f t="shared" ca="1" si="150"/>
        <v>0</v>
      </c>
      <c r="CH325" s="1397">
        <f t="shared" ca="1" si="151"/>
        <v>0</v>
      </c>
      <c r="CI325" s="1397">
        <f t="shared" ca="1" si="152"/>
        <v>0</v>
      </c>
      <c r="CJ325" s="1397">
        <f t="shared" ca="1" si="153"/>
        <v>0</v>
      </c>
      <c r="CK325" s="1397">
        <f t="shared" ca="1" si="154"/>
        <v>0</v>
      </c>
      <c r="CL325" s="1397">
        <f t="shared" ca="1" si="155"/>
        <v>0</v>
      </c>
      <c r="CM325" s="1397">
        <f t="shared" ca="1" si="156"/>
        <v>0</v>
      </c>
      <c r="CN325" s="1397">
        <f ca="1">IF(B325&gt;=$J$5,0,CONTADORES!CB337-CONTADORES!CB336)</f>
        <v>0</v>
      </c>
      <c r="CO325" s="1397">
        <f t="shared" ca="1" si="157"/>
        <v>0</v>
      </c>
      <c r="CP325" s="1397">
        <f t="shared" ca="1" si="158"/>
        <v>0</v>
      </c>
      <c r="CQ325" s="1397">
        <f t="shared" ca="1" si="159"/>
        <v>0</v>
      </c>
      <c r="CR325" s="1397">
        <f t="shared" ca="1" si="160"/>
        <v>0</v>
      </c>
      <c r="CS325" s="1403">
        <f ca="1">IF($B325&gt;=$J$5,0,CONTADORES!$BI337)</f>
        <v>0</v>
      </c>
      <c r="CT325" s="1369">
        <f>CONTADORES!E337</f>
        <v>0</v>
      </c>
      <c r="CU325" s="1369">
        <f>CONTADORES!CG337</f>
        <v>0</v>
      </c>
    </row>
    <row r="326" spans="2:99">
      <c r="B326" s="390">
        <v>45242</v>
      </c>
      <c r="C326" s="198">
        <f t="shared" ca="1" si="134"/>
        <v>0</v>
      </c>
      <c r="D326" s="196">
        <f ca="1">'CALCULO DE GAS'!P151</f>
        <v>0</v>
      </c>
      <c r="E326" s="196">
        <f ca="1">IF(B326&gt;=$J$5,0,(CONTADORES!$AD338-CONTADORES!$AD337)-$H326)</f>
        <v>0</v>
      </c>
      <c r="F326" s="198">
        <f t="shared" ca="1" si="164"/>
        <v>0</v>
      </c>
      <c r="G326" s="196">
        <f ca="1">IF(B326&gt;=$J$5,0,CONTADORES!$AF338-CONTADORES!$AF337)</f>
        <v>0</v>
      </c>
      <c r="H326" s="196">
        <f ca="1">IF(G326&gt;0,CONTADORES!$AE338-CONTADORES!$AE337,0)</f>
        <v>0</v>
      </c>
      <c r="I326" s="199">
        <f ca="1">IF(B326&gt;=$J$5,0,CONTADORES!$AB338-CONTADORES!$AB337)</f>
        <v>0</v>
      </c>
      <c r="J326" s="198">
        <f t="shared" ca="1" si="135"/>
        <v>0</v>
      </c>
      <c r="K326" s="196">
        <f ca="1">'CALCULO DE GAS'!Q151</f>
        <v>0</v>
      </c>
      <c r="L326" s="1396">
        <f ca="1">IF(B326&gt;=$J$5,0,(CONTADORES!$Y338-CONTADORES!$Y337)-$O326)</f>
        <v>0</v>
      </c>
      <c r="M326" s="1396">
        <f t="shared" ca="1" si="165"/>
        <v>0</v>
      </c>
      <c r="N326" s="1396">
        <f ca="1">IF(B326&gt;=$J$5,0,CONTADORES!$AA338-CONTADORES!$AA337)</f>
        <v>0</v>
      </c>
      <c r="O326" s="1396">
        <f ca="1">IF(N326&gt;0,CONTADORES!$Z338-CONTADORES!$Z337,0)</f>
        <v>0</v>
      </c>
      <c r="P326" s="202">
        <f ca="1">IF(B326&gt;=$J$5,0,CONTADORES!$W338-CONTADORES!$W337)</f>
        <v>0</v>
      </c>
      <c r="Q326" s="202">
        <f ca="1">IF(B326&gt;=$J$5,0,CONTADORES!$B338-CONTADORES!$B337)</f>
        <v>0</v>
      </c>
      <c r="R326" s="196">
        <f t="shared" ca="1" si="136"/>
        <v>0</v>
      </c>
      <c r="S326" s="11">
        <f ca="1">IF(B326&gt;=$J$5,0,CONTADORES!$D338-CONTADORES!$D337)</f>
        <v>0</v>
      </c>
      <c r="T326" s="198">
        <f ca="1">IF(B326&gt;=$J$5,0,CONTADORES!$BB338-CONTADORES!$BB337)</f>
        <v>0</v>
      </c>
      <c r="U326" s="196">
        <f t="shared" ca="1" si="162"/>
        <v>0</v>
      </c>
      <c r="V326" s="11">
        <f ca="1">IF(B326&gt;=$J$5,0,CONTADORES!$BD338-CONTADORES!$BD337)</f>
        <v>0</v>
      </c>
      <c r="W326" s="1397">
        <f t="shared" ca="1" si="137"/>
        <v>0</v>
      </c>
      <c r="X326" s="1397">
        <f t="shared" ca="1" si="138"/>
        <v>0</v>
      </c>
      <c r="Y326" s="1398">
        <f t="shared" ca="1" si="139"/>
        <v>0</v>
      </c>
      <c r="Z326" s="1398">
        <f t="shared" ca="1" si="140"/>
        <v>0</v>
      </c>
      <c r="AA326" s="1398">
        <f t="shared" ca="1" si="141"/>
        <v>0</v>
      </c>
      <c r="AB326" s="1398">
        <f t="shared" ca="1" si="142"/>
        <v>0</v>
      </c>
      <c r="AC326" s="1397">
        <f t="shared" ca="1" si="143"/>
        <v>0</v>
      </c>
      <c r="AD326" s="1407">
        <f ca="1">IF(B326&gt;=$J$5,0,CONTADORES!H338-CONTADORES!H337)</f>
        <v>0</v>
      </c>
      <c r="AE326" s="1397">
        <f ca="1">IF(B326&gt;=$J$5,0,CONTADORES!J338-CONTADORES!J337)</f>
        <v>0</v>
      </c>
      <c r="AF326" s="1397">
        <f ca="1">IF(B326&gt;=$J$5,0,CONTADORES!AU338-CONTADORES!AU337)</f>
        <v>0</v>
      </c>
      <c r="AG326" s="1397">
        <f ca="1">IF(B326&gt;=$J$5,0,CONTADORES!AW338-CONTADORES!AW337)</f>
        <v>0</v>
      </c>
      <c r="AH326" s="1398">
        <f ca="1">IF(B326&gt;=$J$5,0,(CONTADORES!AM338-CONTADORES!AM337)+(CONTADORES!M338-CONTADORES!M337))</f>
        <v>0</v>
      </c>
      <c r="AI326" s="1397">
        <f ca="1">IF(B326&gt;=$J$5,0,(CONTADORES!AK338-CONTADORES!AK337)+(CONTADORES!O338-CONTADORES!O337))</f>
        <v>0</v>
      </c>
      <c r="AJ326" s="1397">
        <f ca="1">IF(B326&gt;=$J$5,0,(CONTADORES!AI338-CONTADORES!AI337))</f>
        <v>0</v>
      </c>
      <c r="AK326" s="1397">
        <f ca="1">IF(B326&gt;=$J$5,0,(CONTADORES!Q338-CONTADORES!Q337))</f>
        <v>0</v>
      </c>
      <c r="AL326" s="1461">
        <f t="shared" ca="1" si="144"/>
        <v>0</v>
      </c>
      <c r="AM326" s="1397">
        <f ca="1">IF(B326&gt;=$J$5,0,(((CONTADORES!F338-CONTADORES!F337)+(CONTADORES!AQ338-CONTADORES!AQ337))))-BS326-AF326-AN326-BV326-BY326-CD326-CB326+T326</f>
        <v>0</v>
      </c>
      <c r="AN326" s="1397">
        <f ca="1">IF(B326&gt;=$J$5,0,(CONTADORES!AX338-CONTADORES!AX337)+(CONTADORES!AZ338-CONTADORES!AZ337)+(CONTADORES!BE338-CONTADORES!BE337))-CB326</f>
        <v>0</v>
      </c>
      <c r="AO326" s="1399">
        <f ca="1">IF(B326&gt;=$J$5,0,(CONTADORES!AC338-CONTADORES!AC337))</f>
        <v>0</v>
      </c>
      <c r="AP326" s="1433">
        <f ca="1">IF(B326&gt;=$J$5,0,(CONTADORES!X338-CONTADORES!X337))</f>
        <v>0</v>
      </c>
      <c r="AQ326" s="1399">
        <f ca="1">IF(B326&gt;=$J$5,0,(CONTADORES!C338-CONTADORES!C337))</f>
        <v>0</v>
      </c>
      <c r="AR326" s="1399">
        <f ca="1">IF(B326&gt;=$J$5,0,(CONTADORES!BC338-CONTADORES!BC337))</f>
        <v>0</v>
      </c>
      <c r="AS326" s="1397">
        <f ca="1">IF(B326&gt;=$J$5,0,CONTADORES!S338-CONTADORES!S337)</f>
        <v>0</v>
      </c>
      <c r="AT326" s="1397">
        <f ca="1">IF(B326&gt;=$J$5,0,(CONTADORES!U338-CONTADORES!U337)+(CONTADORES!AG338-CONTADORES!AG337))</f>
        <v>0</v>
      </c>
      <c r="AU326" s="1433">
        <f ca="1">IF(B326&gt;=$J$5,0,(CONTADORES!I338-CONTADORES!I337))</f>
        <v>0</v>
      </c>
      <c r="AV326" s="1399">
        <f ca="1">IF(B326&gt;=$J$5,0,(CONTADORES!AV338-CONTADORES!AV337))</f>
        <v>0</v>
      </c>
      <c r="AW326" s="1433">
        <f ca="1">IF(B326&gt;=$J$5,0,(CONTADORES!N338-CONTADORES!N337)+(CONTADORES!AN338-CONTADORES!AN337))</f>
        <v>0</v>
      </c>
      <c r="AX326" s="1399">
        <f ca="1">IF(B326&gt;=$J$5,0,(CONTADORES!P338-CONTADORES!P337)+(CONTADORES!AL338-CONTADORES!AL337))</f>
        <v>0</v>
      </c>
      <c r="AY326" s="1399">
        <f ca="1">IF(B326&gt;=$J$5,0,(CONTADORES!AJ338-CONTADORES!AJ337))</f>
        <v>0</v>
      </c>
      <c r="AZ326" s="1399">
        <f ca="1">IF(B326&gt;=$J$5,0,(CONTADORES!R338-CONTADORES!R337))</f>
        <v>0</v>
      </c>
      <c r="BA326" s="1409">
        <f t="shared" ca="1" si="145"/>
        <v>0</v>
      </c>
      <c r="BB326" s="1399">
        <f ca="1">IF(B326&gt;=$J$5,0,(((CONTADORES!G338-CONTADORES!G337)+(CONTADORES!AR338-CONTADORES!AR337))))-AV326-BC326-BT326-BW326-BZ326-CE326-AR326</f>
        <v>0</v>
      </c>
      <c r="BC326" s="1397">
        <f ca="1">IF(B326&gt;=$J$5,0,(CONTADORES!AY338-CONTADORES!AY337)+(CONTADORES!BA338-CONTADORES!BA337)+(CONTADORES!BF338-CONTADORES!BF337))</f>
        <v>0</v>
      </c>
      <c r="BD326" s="1397">
        <f t="shared" ca="1" si="146"/>
        <v>0</v>
      </c>
      <c r="BE326" s="1398">
        <f ca="1">IF($B326&gt;=$J$5,0,CONTADORES!$BG338)</f>
        <v>0</v>
      </c>
      <c r="BF326" s="1397">
        <f ca="1">IF($B326&gt;=$J$5,0,CONTADORES!$BH338)</f>
        <v>0</v>
      </c>
      <c r="BG326" s="1397">
        <f ca="1">IF($B326&gt;=$J$5,0,CONTADORES!$BJ338)</f>
        <v>0</v>
      </c>
      <c r="BH326" s="1397">
        <f ca="1">IF(B326&gt;=$J$5,0,((CONTADORES!BK338-CONTADORES!BK337)/1000))</f>
        <v>0</v>
      </c>
      <c r="BI326" s="1397">
        <f ca="1">IF(C326&gt;=$J$5,0,((CONTADORES!BL338-CONTADORES!BL337)/1000))</f>
        <v>0</v>
      </c>
      <c r="BJ326" s="1397">
        <f ca="1">IF(C326&gt;=$J$5,0,((CONTADORES!BM338-CONTADORES!BM337)/1000))</f>
        <v>0</v>
      </c>
      <c r="BK326" s="1397">
        <f ca="1">IF(D326&gt;=$J$5,0,((CONTADORES!BN338-CONTADORES!BN337)/1000))</f>
        <v>0</v>
      </c>
      <c r="BL326" s="1399">
        <f t="shared" ca="1" si="147"/>
        <v>0</v>
      </c>
      <c r="BM326" s="1399">
        <f t="shared" ca="1" si="148"/>
        <v>0</v>
      </c>
      <c r="BN326" s="1399">
        <f ca="1">IF(B326&gt;=$J$5,0,CONTADORES!$BO338)</f>
        <v>0</v>
      </c>
      <c r="BO326" s="1397">
        <f ca="1">IF(W326&gt;=$J$5,0,CONTADORES!$BP338)</f>
        <v>0</v>
      </c>
      <c r="BP326" s="1397">
        <f ca="1">IF(W326&gt;=$J$5,0,CONTADORES!$BQ338)</f>
        <v>0</v>
      </c>
      <c r="BQ326" s="1397">
        <f ca="1">IF(B326&gt;=$J$5,0,(CONTADORES!AS338-CONTADORES!AS337))</f>
        <v>0</v>
      </c>
      <c r="BR326" s="1397">
        <f ca="1">IF(B326&gt;=$J$5,0,(CONTADORES!AT338-CONTADORES!AT337))</f>
        <v>0</v>
      </c>
      <c r="BS326" s="1397">
        <f ca="1">IF(B326&gt;=$J$5,0,CONTADORES!BR338-CONTADORES!BR337)/1000</f>
        <v>0</v>
      </c>
      <c r="BT326" s="1398">
        <f ca="1">IF(B326&gt;=$J$5,0,CONTADORES!BS338-CONTADORES!BS337)</f>
        <v>0</v>
      </c>
      <c r="BU326" s="1397">
        <f ca="1">IF(B326&gt;=$J$5,0,CONTADORES!BT338-CONTADORES!BT337)</f>
        <v>0</v>
      </c>
      <c r="BV326" s="1397">
        <f ca="1">IF(B326&gt;=$J$5,0,CONTADORES!BU338-CONTADORES!BU337)/1000</f>
        <v>0</v>
      </c>
      <c r="BW326" s="1397">
        <f ca="1">IF(B326&gt;=$J$5,0,CONTADORES!BV338-CONTADORES!BV337)/1000</f>
        <v>0</v>
      </c>
      <c r="BX326" s="1397">
        <f ca="1">IF(B326&gt;=$J$5,0,CONTADORES!BW338-CONTADORES!BW337)</f>
        <v>0</v>
      </c>
      <c r="BY326" s="1397">
        <f ca="1">IF(B326&gt;=$J$5,0,CONTADORES!BX338-CONTADORES!BX337)/1000</f>
        <v>0</v>
      </c>
      <c r="BZ326" s="1397">
        <f ca="1">IF(B326&gt;=$J$5,0,CONTADORES!BY338-CONTADORES!BY337)/1000</f>
        <v>0</v>
      </c>
      <c r="CA326" s="1397">
        <f ca="1">IF(B326&gt;=$J$5,0,CONTADORES!BZ338-CONTADORES!BZ337)</f>
        <v>0</v>
      </c>
      <c r="CB326" s="1397">
        <f ca="1">IF(B326&gt;=$J$5,0,(CONTADORES!CC338-CONTADORES!CC337)+(CONTADORES!CE338-CONTADORES!CE337))/1000</f>
        <v>0</v>
      </c>
      <c r="CC326" s="1397">
        <f ca="1">IF(B326&gt;=$J$5,0,(CONTADORES!CD338-CONTADORES!CD337)+(CONTADORES!CF338-CONTADORES!CF337))/1000</f>
        <v>0</v>
      </c>
      <c r="CD326" s="1397">
        <f ca="1">IF(B326&gt;=$J$5,0,CONTADORES!CA338-CONTADORES!CA337)</f>
        <v>0</v>
      </c>
      <c r="CE326" s="1397">
        <f ca="1">IF(B326&gt;=$J$5,0,CONTADORES!CB338-CONTADORES!CB337)</f>
        <v>0</v>
      </c>
      <c r="CF326" s="1397">
        <f t="shared" ca="1" si="149"/>
        <v>0</v>
      </c>
      <c r="CG326" s="1397">
        <f t="shared" ca="1" si="150"/>
        <v>0</v>
      </c>
      <c r="CH326" s="1397">
        <f t="shared" ca="1" si="151"/>
        <v>0</v>
      </c>
      <c r="CI326" s="1397">
        <f t="shared" ca="1" si="152"/>
        <v>0</v>
      </c>
      <c r="CJ326" s="1397">
        <f t="shared" ca="1" si="153"/>
        <v>0</v>
      </c>
      <c r="CK326" s="1397">
        <f t="shared" ca="1" si="154"/>
        <v>0</v>
      </c>
      <c r="CL326" s="1397">
        <f t="shared" ca="1" si="155"/>
        <v>0</v>
      </c>
      <c r="CM326" s="1397">
        <f t="shared" ca="1" si="156"/>
        <v>0</v>
      </c>
      <c r="CN326" s="1397">
        <f ca="1">IF(B326&gt;=$J$5,0,CONTADORES!CB338-CONTADORES!CB337)</f>
        <v>0</v>
      </c>
      <c r="CO326" s="1397">
        <f t="shared" ca="1" si="157"/>
        <v>0</v>
      </c>
      <c r="CP326" s="1397">
        <f t="shared" ca="1" si="158"/>
        <v>0</v>
      </c>
      <c r="CQ326" s="1397">
        <f t="shared" ca="1" si="159"/>
        <v>0</v>
      </c>
      <c r="CR326" s="1397">
        <f t="shared" ca="1" si="160"/>
        <v>0</v>
      </c>
      <c r="CS326" s="1403">
        <f ca="1">IF($B326&gt;=$J$5,0,CONTADORES!$BI338)</f>
        <v>0</v>
      </c>
      <c r="CT326" s="1369">
        <f>CONTADORES!E338</f>
        <v>0</v>
      </c>
      <c r="CU326" s="1369">
        <f>CONTADORES!CG338</f>
        <v>0</v>
      </c>
    </row>
    <row r="327" spans="2:99">
      <c r="B327" s="390">
        <v>45243</v>
      </c>
      <c r="C327" s="198">
        <f t="shared" ca="1" si="134"/>
        <v>0</v>
      </c>
      <c r="D327" s="196">
        <f ca="1">'CALCULO DE GAS'!P152</f>
        <v>0</v>
      </c>
      <c r="E327" s="196">
        <f ca="1">IF(B327&gt;=$J$5,0,(CONTADORES!$AD339-CONTADORES!$AD338)-$H327)</f>
        <v>0</v>
      </c>
      <c r="F327" s="198">
        <f t="shared" ca="1" si="164"/>
        <v>0</v>
      </c>
      <c r="G327" s="196">
        <f ca="1">IF(B327&gt;=$J$5,0,CONTADORES!$AF339-CONTADORES!$AF338)</f>
        <v>0</v>
      </c>
      <c r="H327" s="196">
        <f ca="1">IF(G327&gt;0,CONTADORES!$AE339-CONTADORES!$AE338,0)</f>
        <v>0</v>
      </c>
      <c r="I327" s="199">
        <f ca="1">IF(B327&gt;=$J$5,0,CONTADORES!$AB339-CONTADORES!$AB338)</f>
        <v>0</v>
      </c>
      <c r="J327" s="198">
        <f t="shared" ca="1" si="135"/>
        <v>0</v>
      </c>
      <c r="K327" s="196">
        <f ca="1">'CALCULO DE GAS'!Q152</f>
        <v>0</v>
      </c>
      <c r="L327" s="1396">
        <f ca="1">IF(B327&gt;=$J$5,0,(CONTADORES!$Y339-CONTADORES!$Y338)-$O327)</f>
        <v>0</v>
      </c>
      <c r="M327" s="1396">
        <f t="shared" ca="1" si="165"/>
        <v>0</v>
      </c>
      <c r="N327" s="1396">
        <f ca="1">IF(B327&gt;=$J$5,0,CONTADORES!$AA339-CONTADORES!$AA338)</f>
        <v>0</v>
      </c>
      <c r="O327" s="1396">
        <f ca="1">IF(N327&gt;0,CONTADORES!$Z339-CONTADORES!$Z338,0)</f>
        <v>0</v>
      </c>
      <c r="P327" s="202">
        <f ca="1">IF(B327&gt;=$J$5,0,CONTADORES!$W339-CONTADORES!$W338)</f>
        <v>0</v>
      </c>
      <c r="Q327" s="202">
        <f ca="1">IF(B327&gt;=$J$5,0,CONTADORES!$B339-CONTADORES!$B338)</f>
        <v>0</v>
      </c>
      <c r="R327" s="196">
        <f t="shared" ca="1" si="136"/>
        <v>0</v>
      </c>
      <c r="S327" s="11">
        <f ca="1">IF(B327&gt;=$J$5,0,CONTADORES!$D339-CONTADORES!$D338)</f>
        <v>0</v>
      </c>
      <c r="T327" s="198">
        <f ca="1">IF(B327&gt;=$J$5,0,CONTADORES!$BB339-CONTADORES!$BB338)</f>
        <v>0</v>
      </c>
      <c r="U327" s="196">
        <f t="shared" ca="1" si="162"/>
        <v>0</v>
      </c>
      <c r="V327" s="11">
        <f ca="1">IF(B327&gt;=$J$5,0,CONTADORES!$BD339-CONTADORES!$BD338)</f>
        <v>0</v>
      </c>
      <c r="W327" s="1397">
        <f t="shared" ca="1" si="137"/>
        <v>0</v>
      </c>
      <c r="X327" s="1397">
        <f t="shared" ca="1" si="138"/>
        <v>0</v>
      </c>
      <c r="Y327" s="1398">
        <f t="shared" ca="1" si="139"/>
        <v>0</v>
      </c>
      <c r="Z327" s="1398">
        <f t="shared" ca="1" si="140"/>
        <v>0</v>
      </c>
      <c r="AA327" s="1398">
        <f t="shared" ca="1" si="141"/>
        <v>0</v>
      </c>
      <c r="AB327" s="1398">
        <f t="shared" ca="1" si="142"/>
        <v>0</v>
      </c>
      <c r="AC327" s="1397">
        <f t="shared" ca="1" si="143"/>
        <v>0</v>
      </c>
      <c r="AD327" s="1407">
        <f ca="1">IF(B327&gt;=$J$5,0,CONTADORES!H339-CONTADORES!H338)</f>
        <v>0</v>
      </c>
      <c r="AE327" s="1397">
        <f ca="1">IF(B327&gt;=$J$5,0,CONTADORES!J339-CONTADORES!J338)</f>
        <v>0</v>
      </c>
      <c r="AF327" s="1397">
        <f ca="1">IF(B327&gt;=$J$5,0,CONTADORES!AU339-CONTADORES!AU338)</f>
        <v>0</v>
      </c>
      <c r="AG327" s="1397">
        <f ca="1">IF(B327&gt;=$J$5,0,CONTADORES!AW339-CONTADORES!AW338)</f>
        <v>0</v>
      </c>
      <c r="AH327" s="1398">
        <f ca="1">IF(B327&gt;=$J$5,0,(CONTADORES!AM339-CONTADORES!AM338)+(CONTADORES!M339-CONTADORES!M338))</f>
        <v>0</v>
      </c>
      <c r="AI327" s="1397">
        <f ca="1">IF(B327&gt;=$J$5,0,(CONTADORES!AK339-CONTADORES!AK338)+(CONTADORES!O339-CONTADORES!O338))</f>
        <v>0</v>
      </c>
      <c r="AJ327" s="1397">
        <f ca="1">IF(B327&gt;=$J$5,0,(CONTADORES!AI339-CONTADORES!AI338))</f>
        <v>0</v>
      </c>
      <c r="AK327" s="1397">
        <f ca="1">IF(B327&gt;=$J$5,0,(CONTADORES!Q339-CONTADORES!Q338))</f>
        <v>0</v>
      </c>
      <c r="AL327" s="1461">
        <f t="shared" ca="1" si="144"/>
        <v>0</v>
      </c>
      <c r="AM327" s="1397">
        <f ca="1">IF(B327&gt;=$J$5,0,(((CONTADORES!F339-CONTADORES!F338)+(CONTADORES!AQ339-CONTADORES!AQ338))))-BS327-AF327-AN327-BV327-BY327-CD327-CB327+T327</f>
        <v>0</v>
      </c>
      <c r="AN327" s="1397">
        <f ca="1">IF(B327&gt;=$J$5,0,(CONTADORES!AX339-CONTADORES!AX338)+(CONTADORES!AZ339-CONTADORES!AZ338)+(CONTADORES!BE339-CONTADORES!BE338))-CB327</f>
        <v>0</v>
      </c>
      <c r="AO327" s="1399">
        <f ca="1">IF(B327&gt;=$J$5,0,(CONTADORES!AC339-CONTADORES!AC338))</f>
        <v>0</v>
      </c>
      <c r="AP327" s="1433">
        <f ca="1">IF(B327&gt;=$J$5,0,(CONTADORES!X339-CONTADORES!X338))</f>
        <v>0</v>
      </c>
      <c r="AQ327" s="1399">
        <f ca="1">IF(B327&gt;=$J$5,0,(CONTADORES!C339-CONTADORES!C338))</f>
        <v>0</v>
      </c>
      <c r="AR327" s="1399">
        <f ca="1">IF(B327&gt;=$J$5,0,(CONTADORES!BC339-CONTADORES!BC338))</f>
        <v>0</v>
      </c>
      <c r="AS327" s="1397">
        <f ca="1">IF(B327&gt;=$J$5,0,CONTADORES!S339-CONTADORES!S338)</f>
        <v>0</v>
      </c>
      <c r="AT327" s="1397">
        <f ca="1">IF(B327&gt;=$J$5,0,(CONTADORES!U339-CONTADORES!U338)+(CONTADORES!AG339-CONTADORES!AG338))</f>
        <v>0</v>
      </c>
      <c r="AU327" s="1433">
        <f ca="1">IF(B327&gt;=$J$5,0,(CONTADORES!I339-CONTADORES!I338))</f>
        <v>0</v>
      </c>
      <c r="AV327" s="1399">
        <f ca="1">IF(B327&gt;=$J$5,0,(CONTADORES!AV339-CONTADORES!AV338))</f>
        <v>0</v>
      </c>
      <c r="AW327" s="1433">
        <f ca="1">IF(B327&gt;=$J$5,0,(CONTADORES!N339-CONTADORES!N338)+(CONTADORES!AN339-CONTADORES!AN338))</f>
        <v>0</v>
      </c>
      <c r="AX327" s="1399">
        <f ca="1">IF(B327&gt;=$J$5,0,(CONTADORES!P339-CONTADORES!P338)+(CONTADORES!AL339-CONTADORES!AL338))</f>
        <v>0</v>
      </c>
      <c r="AY327" s="1399">
        <f ca="1">IF(B327&gt;=$J$5,0,(CONTADORES!AJ339-CONTADORES!AJ338))</f>
        <v>0</v>
      </c>
      <c r="AZ327" s="1399">
        <f ca="1">IF(B327&gt;=$J$5,0,(CONTADORES!R339-CONTADORES!R338))</f>
        <v>0</v>
      </c>
      <c r="BA327" s="1409">
        <f t="shared" ca="1" si="145"/>
        <v>0</v>
      </c>
      <c r="BB327" s="1399">
        <f ca="1">IF(B327&gt;=$J$5,0,(((CONTADORES!G339-CONTADORES!G338)+(CONTADORES!AR339-CONTADORES!AR338))))-AV327-BC327-BT327-BW327-BZ327-CE327-AR327</f>
        <v>0</v>
      </c>
      <c r="BC327" s="1397">
        <f ca="1">IF(B327&gt;=$J$5,0,(CONTADORES!AY339-CONTADORES!AY338)+(CONTADORES!BA339-CONTADORES!BA338)+(CONTADORES!BF339-CONTADORES!BF338))</f>
        <v>0</v>
      </c>
      <c r="BD327" s="1397">
        <f t="shared" ca="1" si="146"/>
        <v>0</v>
      </c>
      <c r="BE327" s="1398">
        <f ca="1">IF($B327&gt;=$J$5,0,CONTADORES!$BG339)</f>
        <v>0</v>
      </c>
      <c r="BF327" s="1397">
        <f ca="1">IF($B327&gt;=$J$5,0,CONTADORES!$BH339)</f>
        <v>0</v>
      </c>
      <c r="BG327" s="1397">
        <f ca="1">IF($B327&gt;=$J$5,0,CONTADORES!$BJ339)</f>
        <v>0</v>
      </c>
      <c r="BH327" s="1397">
        <f ca="1">IF(B327&gt;=$J$5,0,((CONTADORES!BK339-CONTADORES!BK338)/1000))</f>
        <v>0</v>
      </c>
      <c r="BI327" s="1397">
        <f ca="1">IF(C327&gt;=$J$5,0,((CONTADORES!BL339-CONTADORES!BL338)/1000))</f>
        <v>0</v>
      </c>
      <c r="BJ327" s="1397">
        <f ca="1">IF(C327&gt;=$J$5,0,((CONTADORES!BM339-CONTADORES!BM338)/1000))</f>
        <v>0</v>
      </c>
      <c r="BK327" s="1397">
        <f ca="1">IF(D327&gt;=$J$5,0,((CONTADORES!BN339-CONTADORES!BN338)/1000))</f>
        <v>0</v>
      </c>
      <c r="BL327" s="1399">
        <f t="shared" ca="1" si="147"/>
        <v>0</v>
      </c>
      <c r="BM327" s="1399">
        <f t="shared" ca="1" si="148"/>
        <v>0</v>
      </c>
      <c r="BN327" s="1399">
        <f ca="1">IF(B327&gt;=$J$5,0,CONTADORES!$BO339)</f>
        <v>0</v>
      </c>
      <c r="BO327" s="1397">
        <f ca="1">IF(W327&gt;=$J$5,0,CONTADORES!$BP339)</f>
        <v>0</v>
      </c>
      <c r="BP327" s="1397">
        <f ca="1">IF(W327&gt;=$J$5,0,CONTADORES!$BQ339)</f>
        <v>0</v>
      </c>
      <c r="BQ327" s="1397">
        <f ca="1">IF(B327&gt;=$J$5,0,(CONTADORES!AS339-CONTADORES!AS338))</f>
        <v>0</v>
      </c>
      <c r="BR327" s="1397">
        <f ca="1">IF(B327&gt;=$J$5,0,(CONTADORES!AT339-CONTADORES!AT338))</f>
        <v>0</v>
      </c>
      <c r="BS327" s="1397">
        <f ca="1">IF(B327&gt;=$J$5,0,CONTADORES!BR339-CONTADORES!BR338)/1000</f>
        <v>0</v>
      </c>
      <c r="BT327" s="1398">
        <f ca="1">IF(B327&gt;=$J$5,0,CONTADORES!BS339-CONTADORES!BS338)</f>
        <v>0</v>
      </c>
      <c r="BU327" s="1397">
        <f ca="1">IF(B327&gt;=$J$5,0,CONTADORES!BT339-CONTADORES!BT338)</f>
        <v>0</v>
      </c>
      <c r="BV327" s="1397">
        <f ca="1">IF(B327&gt;=$J$5,0,CONTADORES!BU339-CONTADORES!BU338)/1000</f>
        <v>0</v>
      </c>
      <c r="BW327" s="1397">
        <f ca="1">IF(B327&gt;=$J$5,0,CONTADORES!BV339-CONTADORES!BV338)/1000</f>
        <v>0</v>
      </c>
      <c r="BX327" s="1397">
        <f ca="1">IF(B327&gt;=$J$5,0,CONTADORES!BW339-CONTADORES!BW338)</f>
        <v>0</v>
      </c>
      <c r="BY327" s="1397">
        <f ca="1">IF(B327&gt;=$J$5,0,CONTADORES!BX339-CONTADORES!BX338)/1000</f>
        <v>0</v>
      </c>
      <c r="BZ327" s="1397">
        <f ca="1">IF(B327&gt;=$J$5,0,CONTADORES!BY339-CONTADORES!BY338)/1000</f>
        <v>0</v>
      </c>
      <c r="CA327" s="1397">
        <f ca="1">IF(B327&gt;=$J$5,0,CONTADORES!BZ339-CONTADORES!BZ338)</f>
        <v>0</v>
      </c>
      <c r="CB327" s="1397">
        <f ca="1">IF(B327&gt;=$J$5,0,(CONTADORES!CC339-CONTADORES!CC338)+(CONTADORES!CE339-CONTADORES!CE338))/1000</f>
        <v>0</v>
      </c>
      <c r="CC327" s="1397">
        <f ca="1">IF(B327&gt;=$J$5,0,(CONTADORES!CD339-CONTADORES!CD338)+(CONTADORES!CF339-CONTADORES!CF338))/1000</f>
        <v>0</v>
      </c>
      <c r="CD327" s="1397">
        <f ca="1">IF(B327&gt;=$J$5,0,CONTADORES!CA339-CONTADORES!CA338)</f>
        <v>0</v>
      </c>
      <c r="CE327" s="1397">
        <f ca="1">IF(B327&gt;=$J$5,0,CONTADORES!CB339-CONTADORES!CB338)</f>
        <v>0</v>
      </c>
      <c r="CF327" s="1397">
        <f t="shared" ca="1" si="149"/>
        <v>0</v>
      </c>
      <c r="CG327" s="1397">
        <f t="shared" ca="1" si="150"/>
        <v>0</v>
      </c>
      <c r="CH327" s="1397">
        <f t="shared" ca="1" si="151"/>
        <v>0</v>
      </c>
      <c r="CI327" s="1397">
        <f t="shared" ca="1" si="152"/>
        <v>0</v>
      </c>
      <c r="CJ327" s="1397">
        <f t="shared" ca="1" si="153"/>
        <v>0</v>
      </c>
      <c r="CK327" s="1397">
        <f t="shared" ca="1" si="154"/>
        <v>0</v>
      </c>
      <c r="CL327" s="1397">
        <f t="shared" ca="1" si="155"/>
        <v>0</v>
      </c>
      <c r="CM327" s="1397">
        <f t="shared" ca="1" si="156"/>
        <v>0</v>
      </c>
      <c r="CN327" s="1397">
        <f ca="1">IF(B327&gt;=$J$5,0,CONTADORES!CB339-CONTADORES!CB338)</f>
        <v>0</v>
      </c>
      <c r="CO327" s="1397">
        <f t="shared" ca="1" si="157"/>
        <v>0</v>
      </c>
      <c r="CP327" s="1397">
        <f t="shared" ca="1" si="158"/>
        <v>0</v>
      </c>
      <c r="CQ327" s="1397">
        <f t="shared" ca="1" si="159"/>
        <v>0</v>
      </c>
      <c r="CR327" s="1397">
        <f t="shared" ca="1" si="160"/>
        <v>0</v>
      </c>
      <c r="CS327" s="1403">
        <f ca="1">IF($B327&gt;=$J$5,0,CONTADORES!$BI339)</f>
        <v>0</v>
      </c>
      <c r="CT327" s="1369">
        <f>CONTADORES!E339</f>
        <v>0</v>
      </c>
      <c r="CU327" s="1369">
        <f>CONTADORES!CG339</f>
        <v>0</v>
      </c>
    </row>
    <row r="328" spans="2:99">
      <c r="B328" s="390">
        <v>45244</v>
      </c>
      <c r="C328" s="198">
        <f t="shared" ca="1" si="134"/>
        <v>0</v>
      </c>
      <c r="D328" s="196">
        <f ca="1">'CALCULO DE GAS'!P153</f>
        <v>0</v>
      </c>
      <c r="E328" s="196">
        <f ca="1">IF(B328&gt;=$J$5,0,(CONTADORES!$AD340-CONTADORES!$AD339)-$H328)</f>
        <v>0</v>
      </c>
      <c r="F328" s="198">
        <f t="shared" ca="1" si="164"/>
        <v>0</v>
      </c>
      <c r="G328" s="196">
        <f ca="1">IF(B328&gt;=$J$5,0,CONTADORES!$AF340-CONTADORES!$AF339)</f>
        <v>0</v>
      </c>
      <c r="H328" s="196">
        <f ca="1">IF(G328&gt;0,CONTADORES!$AE340-CONTADORES!$AE339,0)</f>
        <v>0</v>
      </c>
      <c r="I328" s="199">
        <f ca="1">IF(B328&gt;=$J$5,0,CONTADORES!$AB340-CONTADORES!$AB339)</f>
        <v>0</v>
      </c>
      <c r="J328" s="198">
        <f t="shared" ca="1" si="135"/>
        <v>0</v>
      </c>
      <c r="K328" s="196">
        <f ca="1">'CALCULO DE GAS'!Q153</f>
        <v>0</v>
      </c>
      <c r="L328" s="1396">
        <f ca="1">IF(B328&gt;=$J$5,0,(CONTADORES!$Y340-CONTADORES!$Y339)-$O328)</f>
        <v>0</v>
      </c>
      <c r="M328" s="1396">
        <f t="shared" ca="1" si="165"/>
        <v>0</v>
      </c>
      <c r="N328" s="1396">
        <f ca="1">IF(B328&gt;=$J$5,0,CONTADORES!$AA340-CONTADORES!$AA339)</f>
        <v>0</v>
      </c>
      <c r="O328" s="1396">
        <f ca="1">IF(N328&gt;0,CONTADORES!$Z340-CONTADORES!$Z339,0)</f>
        <v>0</v>
      </c>
      <c r="P328" s="202">
        <f ca="1">IF(B328&gt;=$J$5,0,CONTADORES!$W340-CONTADORES!$W339)</f>
        <v>0</v>
      </c>
      <c r="Q328" s="202">
        <f ca="1">IF(B328&gt;=$J$5,0,CONTADORES!$B340-CONTADORES!$B339)</f>
        <v>0</v>
      </c>
      <c r="R328" s="196">
        <f t="shared" ca="1" si="136"/>
        <v>0</v>
      </c>
      <c r="S328" s="11">
        <f ca="1">IF(B328&gt;=$J$5,0,CONTADORES!$D340-CONTADORES!$D339)</f>
        <v>0</v>
      </c>
      <c r="T328" s="198">
        <f ca="1">IF(B328&gt;=$J$5,0,CONTADORES!$BB340-CONTADORES!$BB339)</f>
        <v>0</v>
      </c>
      <c r="U328" s="196">
        <f t="shared" ca="1" si="162"/>
        <v>0</v>
      </c>
      <c r="V328" s="11">
        <f ca="1">IF(B328&gt;=$J$5,0,CONTADORES!$BD340-CONTADORES!$BD339)</f>
        <v>0</v>
      </c>
      <c r="W328" s="1397">
        <f t="shared" ca="1" si="137"/>
        <v>0</v>
      </c>
      <c r="X328" s="1397">
        <f t="shared" ca="1" si="138"/>
        <v>0</v>
      </c>
      <c r="Y328" s="1398">
        <f t="shared" ca="1" si="139"/>
        <v>0</v>
      </c>
      <c r="Z328" s="1398">
        <f t="shared" ca="1" si="140"/>
        <v>0</v>
      </c>
      <c r="AA328" s="1398">
        <f t="shared" ca="1" si="141"/>
        <v>0</v>
      </c>
      <c r="AB328" s="1398">
        <f t="shared" ca="1" si="142"/>
        <v>0</v>
      </c>
      <c r="AC328" s="1397">
        <f t="shared" ca="1" si="143"/>
        <v>0</v>
      </c>
      <c r="AD328" s="1407">
        <f ca="1">IF(B328&gt;=$J$5,0,CONTADORES!H340-CONTADORES!H339)</f>
        <v>0</v>
      </c>
      <c r="AE328" s="1397">
        <f ca="1">IF(B328&gt;=$J$5,0,CONTADORES!J340-CONTADORES!J339)</f>
        <v>0</v>
      </c>
      <c r="AF328" s="1397">
        <f ca="1">IF(B328&gt;=$J$5,0,CONTADORES!AU340-CONTADORES!AU339)</f>
        <v>0</v>
      </c>
      <c r="AG328" s="1397">
        <f ca="1">IF(B328&gt;=$J$5,0,CONTADORES!AW340-CONTADORES!AW339)</f>
        <v>0</v>
      </c>
      <c r="AH328" s="1398">
        <f ca="1">IF(B328&gt;=$J$5,0,(CONTADORES!AM340-CONTADORES!AM339)+(CONTADORES!M340-CONTADORES!M339))</f>
        <v>0</v>
      </c>
      <c r="AI328" s="1397">
        <f ca="1">IF(B328&gt;=$J$5,0,(CONTADORES!AK340-CONTADORES!AK339)+(CONTADORES!O340-CONTADORES!O339))</f>
        <v>0</v>
      </c>
      <c r="AJ328" s="1397">
        <f ca="1">IF(B328&gt;=$J$5,0,(CONTADORES!AI340-CONTADORES!AI339))</f>
        <v>0</v>
      </c>
      <c r="AK328" s="1397">
        <f ca="1">IF(B328&gt;=$J$5,0,(CONTADORES!Q340-CONTADORES!Q339))</f>
        <v>0</v>
      </c>
      <c r="AL328" s="1461">
        <f t="shared" ca="1" si="144"/>
        <v>0</v>
      </c>
      <c r="AM328" s="1397">
        <f ca="1">IF(B328&gt;=$J$5,0,(((CONTADORES!F340-CONTADORES!F339)+(CONTADORES!AQ340-CONTADORES!AQ339))))-BS328-AF328-AN328-BV328-BY328-CD328-CB328+T328</f>
        <v>0</v>
      </c>
      <c r="AN328" s="1397">
        <f ca="1">IF(B328&gt;=$J$5,0,(CONTADORES!AX340-CONTADORES!AX339)+(CONTADORES!AZ340-CONTADORES!AZ339)+(CONTADORES!BE340-CONTADORES!BE339))-CB328</f>
        <v>0</v>
      </c>
      <c r="AO328" s="1399">
        <f ca="1">IF(B328&gt;=$J$5,0,(CONTADORES!AC340-CONTADORES!AC339))</f>
        <v>0</v>
      </c>
      <c r="AP328" s="1433">
        <f ca="1">IF(B328&gt;=$J$5,0,(CONTADORES!X340-CONTADORES!X339))</f>
        <v>0</v>
      </c>
      <c r="AQ328" s="1399">
        <f ca="1">IF(B328&gt;=$J$5,0,(CONTADORES!C340-CONTADORES!C339))</f>
        <v>0</v>
      </c>
      <c r="AR328" s="1399">
        <f ca="1">IF(B328&gt;=$J$5,0,(CONTADORES!BC340-CONTADORES!BC339))</f>
        <v>0</v>
      </c>
      <c r="AS328" s="1397">
        <f ca="1">IF(B328&gt;=$J$5,0,CONTADORES!S340-CONTADORES!S339)</f>
        <v>0</v>
      </c>
      <c r="AT328" s="1397">
        <f ca="1">IF(B328&gt;=$J$5,0,(CONTADORES!U340-CONTADORES!U339)+(CONTADORES!AG340-CONTADORES!AG339))</f>
        <v>0</v>
      </c>
      <c r="AU328" s="1433">
        <f ca="1">IF(B328&gt;=$J$5,0,(CONTADORES!I340-CONTADORES!I339))</f>
        <v>0</v>
      </c>
      <c r="AV328" s="1399">
        <f ca="1">IF(B328&gt;=$J$5,0,(CONTADORES!AV340-CONTADORES!AV339))</f>
        <v>0</v>
      </c>
      <c r="AW328" s="1433">
        <f ca="1">IF(B328&gt;=$J$5,0,(CONTADORES!N340-CONTADORES!N339)+(CONTADORES!AN340-CONTADORES!AN339))</f>
        <v>0</v>
      </c>
      <c r="AX328" s="1399">
        <f ca="1">IF(B328&gt;=$J$5,0,(CONTADORES!P340-CONTADORES!P339)+(CONTADORES!AL340-CONTADORES!AL339))</f>
        <v>0</v>
      </c>
      <c r="AY328" s="1399">
        <f ca="1">IF(B328&gt;=$J$5,0,(CONTADORES!AJ340-CONTADORES!AJ339))</f>
        <v>0</v>
      </c>
      <c r="AZ328" s="1399">
        <f ca="1">IF(B328&gt;=$J$5,0,(CONTADORES!R340-CONTADORES!R339))</f>
        <v>0</v>
      </c>
      <c r="BA328" s="1409">
        <f t="shared" ca="1" si="145"/>
        <v>0</v>
      </c>
      <c r="BB328" s="1399">
        <f ca="1">IF(B328&gt;=$J$5,0,(((CONTADORES!G340-CONTADORES!G339)+(CONTADORES!AR340-CONTADORES!AR339))))-AV328-BC328-BT328-BW328-BZ328-CE328-AR328</f>
        <v>0</v>
      </c>
      <c r="BC328" s="1397">
        <f ca="1">IF(B328&gt;=$J$5,0,(CONTADORES!AY340-CONTADORES!AY339)+(CONTADORES!BA340-CONTADORES!BA339)+(CONTADORES!BF340-CONTADORES!BF339))</f>
        <v>0</v>
      </c>
      <c r="BD328" s="1397">
        <f t="shared" ca="1" si="146"/>
        <v>0</v>
      </c>
      <c r="BE328" s="1398">
        <f ca="1">IF($B328&gt;=$J$5,0,CONTADORES!$BG340)</f>
        <v>0</v>
      </c>
      <c r="BF328" s="1397">
        <f ca="1">IF($B328&gt;=$J$5,0,CONTADORES!$BH340)</f>
        <v>0</v>
      </c>
      <c r="BG328" s="1397">
        <f ca="1">IF($B328&gt;=$J$5,0,CONTADORES!$BJ340)</f>
        <v>0</v>
      </c>
      <c r="BH328" s="1397">
        <f ca="1">IF(B328&gt;=$J$5,0,((CONTADORES!BK340-CONTADORES!BK339)/1000))</f>
        <v>0</v>
      </c>
      <c r="BI328" s="1397">
        <f ca="1">IF(C328&gt;=$J$5,0,((CONTADORES!BL340-CONTADORES!BL339)/1000))</f>
        <v>0</v>
      </c>
      <c r="BJ328" s="1397">
        <f ca="1">IF(C328&gt;=$J$5,0,((CONTADORES!BM340-CONTADORES!BM339)/1000))</f>
        <v>0</v>
      </c>
      <c r="BK328" s="1397">
        <f ca="1">IF(D328&gt;=$J$5,0,((CONTADORES!BN340-CONTADORES!BN339)/1000))</f>
        <v>0</v>
      </c>
      <c r="BL328" s="1399">
        <f t="shared" ca="1" si="147"/>
        <v>0</v>
      </c>
      <c r="BM328" s="1399">
        <f t="shared" ca="1" si="148"/>
        <v>0</v>
      </c>
      <c r="BN328" s="1399">
        <f ca="1">IF(B328&gt;=$J$5,0,CONTADORES!$BO340)</f>
        <v>0</v>
      </c>
      <c r="BO328" s="1397">
        <f ca="1">IF(W328&gt;=$J$5,0,CONTADORES!$BP340)</f>
        <v>0</v>
      </c>
      <c r="BP328" s="1397">
        <f ca="1">IF(W328&gt;=$J$5,0,CONTADORES!$BQ340)</f>
        <v>0</v>
      </c>
      <c r="BQ328" s="1397">
        <f ca="1">IF(B328&gt;=$J$5,0,(CONTADORES!AS340-CONTADORES!AS339))</f>
        <v>0</v>
      </c>
      <c r="BR328" s="1397">
        <f ca="1">IF(B328&gt;=$J$5,0,(CONTADORES!AT340-CONTADORES!AT339))</f>
        <v>0</v>
      </c>
      <c r="BS328" s="1397">
        <f ca="1">IF(B328&gt;=$J$5,0,CONTADORES!BR340-CONTADORES!BR339)/1000</f>
        <v>0</v>
      </c>
      <c r="BT328" s="1398">
        <f ca="1">IF(B328&gt;=$J$5,0,CONTADORES!BS340-CONTADORES!BS339)</f>
        <v>0</v>
      </c>
      <c r="BU328" s="1397">
        <f ca="1">IF(B328&gt;=$J$5,0,CONTADORES!BT340-CONTADORES!BT339)</f>
        <v>0</v>
      </c>
      <c r="BV328" s="1397">
        <f ca="1">IF(B328&gt;=$J$5,0,CONTADORES!BU340-CONTADORES!BU339)/1000</f>
        <v>0</v>
      </c>
      <c r="BW328" s="1397">
        <f ca="1">IF(B328&gt;=$J$5,0,CONTADORES!BV340-CONTADORES!BV339)/1000</f>
        <v>0</v>
      </c>
      <c r="BX328" s="1397">
        <f ca="1">IF(B328&gt;=$J$5,0,CONTADORES!BW340-CONTADORES!BW339)</f>
        <v>0</v>
      </c>
      <c r="BY328" s="1397">
        <f ca="1">IF(B328&gt;=$J$5,0,CONTADORES!BX340-CONTADORES!BX339)/1000</f>
        <v>0</v>
      </c>
      <c r="BZ328" s="1397">
        <f ca="1">IF(B328&gt;=$J$5,0,CONTADORES!BY340-CONTADORES!BY339)/1000</f>
        <v>0</v>
      </c>
      <c r="CA328" s="1397">
        <f ca="1">IF(B328&gt;=$J$5,0,CONTADORES!BZ340-CONTADORES!BZ339)</f>
        <v>0</v>
      </c>
      <c r="CB328" s="1397">
        <f ca="1">IF(B328&gt;=$J$5,0,(CONTADORES!CC340-CONTADORES!CC339)+(CONTADORES!CE340-CONTADORES!CE339))/1000</f>
        <v>0</v>
      </c>
      <c r="CC328" s="1397">
        <f ca="1">IF(B328&gt;=$J$5,0,(CONTADORES!CD340-CONTADORES!CD339)+(CONTADORES!CF340-CONTADORES!CF339))/1000</f>
        <v>0</v>
      </c>
      <c r="CD328" s="1397">
        <f ca="1">IF(B328&gt;=$J$5,0,CONTADORES!CA340-CONTADORES!CA339)</f>
        <v>0</v>
      </c>
      <c r="CE328" s="1397">
        <f ca="1">IF(B328&gt;=$J$5,0,CONTADORES!CB340-CONTADORES!CB339)</f>
        <v>0</v>
      </c>
      <c r="CF328" s="1397">
        <f t="shared" ca="1" si="149"/>
        <v>0</v>
      </c>
      <c r="CG328" s="1397">
        <f t="shared" ca="1" si="150"/>
        <v>0</v>
      </c>
      <c r="CH328" s="1397">
        <f t="shared" ca="1" si="151"/>
        <v>0</v>
      </c>
      <c r="CI328" s="1397">
        <f t="shared" ca="1" si="152"/>
        <v>0</v>
      </c>
      <c r="CJ328" s="1397">
        <f t="shared" ca="1" si="153"/>
        <v>0</v>
      </c>
      <c r="CK328" s="1397">
        <f t="shared" ca="1" si="154"/>
        <v>0</v>
      </c>
      <c r="CL328" s="1397">
        <f t="shared" ca="1" si="155"/>
        <v>0</v>
      </c>
      <c r="CM328" s="1397">
        <f t="shared" ca="1" si="156"/>
        <v>0</v>
      </c>
      <c r="CN328" s="1397">
        <f ca="1">IF(B328&gt;=$J$5,0,CONTADORES!CB340-CONTADORES!CB339)</f>
        <v>0</v>
      </c>
      <c r="CO328" s="1397">
        <f t="shared" ca="1" si="157"/>
        <v>0</v>
      </c>
      <c r="CP328" s="1397">
        <f t="shared" ca="1" si="158"/>
        <v>0</v>
      </c>
      <c r="CQ328" s="1397">
        <f t="shared" ca="1" si="159"/>
        <v>0</v>
      </c>
      <c r="CR328" s="1397">
        <f t="shared" ca="1" si="160"/>
        <v>0</v>
      </c>
      <c r="CS328" s="1403">
        <f ca="1">IF($B328&gt;=$J$5,0,CONTADORES!$BI340)</f>
        <v>0</v>
      </c>
      <c r="CT328" s="1369">
        <f>CONTADORES!E340</f>
        <v>0</v>
      </c>
      <c r="CU328" s="1369">
        <f>CONTADORES!CG340</f>
        <v>0</v>
      </c>
    </row>
    <row r="329" spans="2:99">
      <c r="B329" s="390">
        <v>45245</v>
      </c>
      <c r="C329" s="198">
        <f t="shared" ca="1" si="134"/>
        <v>0</v>
      </c>
      <c r="D329" s="196">
        <f ca="1">'CALCULO DE GAS'!P154</f>
        <v>0</v>
      </c>
      <c r="E329" s="196">
        <f ca="1">IF(B329&gt;=$J$5,0,(CONTADORES!$AD341-CONTADORES!$AD340)-$H329)</f>
        <v>0</v>
      </c>
      <c r="F329" s="198">
        <f t="shared" ca="1" si="164"/>
        <v>0</v>
      </c>
      <c r="G329" s="196">
        <f ca="1">IF(B329&gt;=$J$5,0,CONTADORES!$AF341-CONTADORES!$AF340)</f>
        <v>0</v>
      </c>
      <c r="H329" s="196">
        <f ca="1">IF(G329&gt;0,CONTADORES!$AE341-CONTADORES!$AE340,0)</f>
        <v>0</v>
      </c>
      <c r="I329" s="199">
        <f ca="1">IF(B329&gt;=$J$5,0,CONTADORES!$AB341-CONTADORES!$AB340)</f>
        <v>0</v>
      </c>
      <c r="J329" s="198">
        <f t="shared" ca="1" si="135"/>
        <v>0</v>
      </c>
      <c r="K329" s="196">
        <f ca="1">'CALCULO DE GAS'!Q154</f>
        <v>0</v>
      </c>
      <c r="L329" s="1396">
        <f ca="1">IF(B329&gt;=$J$5,0,(CONTADORES!$Y341-CONTADORES!$Y340)-$O329)</f>
        <v>0</v>
      </c>
      <c r="M329" s="1396">
        <f t="shared" ca="1" si="165"/>
        <v>0</v>
      </c>
      <c r="N329" s="1396">
        <f ca="1">IF(B329&gt;=$J$5,0,CONTADORES!$AA341-CONTADORES!$AA340)</f>
        <v>0</v>
      </c>
      <c r="O329" s="1396">
        <f ca="1">IF(N329&gt;0,CONTADORES!$Z341-CONTADORES!$Z340,0)</f>
        <v>0</v>
      </c>
      <c r="P329" s="202">
        <f ca="1">IF(B329&gt;=$J$5,0,CONTADORES!$W341-CONTADORES!$W340)</f>
        <v>0</v>
      </c>
      <c r="Q329" s="202">
        <f ca="1">IF(B329&gt;=$J$5,0,CONTADORES!$B341-CONTADORES!$B340)</f>
        <v>0</v>
      </c>
      <c r="R329" s="196">
        <f t="shared" ca="1" si="136"/>
        <v>0</v>
      </c>
      <c r="S329" s="11">
        <f ca="1">IF(B329&gt;=$J$5,0,CONTADORES!$D341-CONTADORES!$D340)</f>
        <v>0</v>
      </c>
      <c r="T329" s="198">
        <f ca="1">IF(B329&gt;=$J$5,0,CONTADORES!$BB341-CONTADORES!$BB340)</f>
        <v>0</v>
      </c>
      <c r="U329" s="196">
        <f t="shared" ca="1" si="162"/>
        <v>0</v>
      </c>
      <c r="V329" s="11">
        <f ca="1">IF(B329&gt;=$J$5,0,CONTADORES!$BD341-CONTADORES!$BD340)</f>
        <v>0</v>
      </c>
      <c r="W329" s="1397">
        <f t="shared" ca="1" si="137"/>
        <v>0</v>
      </c>
      <c r="X329" s="1397">
        <f t="shared" ca="1" si="138"/>
        <v>0</v>
      </c>
      <c r="Y329" s="1398">
        <f t="shared" ca="1" si="139"/>
        <v>0</v>
      </c>
      <c r="Z329" s="1398">
        <f t="shared" ca="1" si="140"/>
        <v>0</v>
      </c>
      <c r="AA329" s="1398">
        <f t="shared" ca="1" si="141"/>
        <v>0</v>
      </c>
      <c r="AB329" s="1398">
        <f t="shared" ca="1" si="142"/>
        <v>0</v>
      </c>
      <c r="AC329" s="1397">
        <f t="shared" ca="1" si="143"/>
        <v>0</v>
      </c>
      <c r="AD329" s="1407">
        <f ca="1">IF(B329&gt;=$J$5,0,CONTADORES!H341-CONTADORES!H340)</f>
        <v>0</v>
      </c>
      <c r="AE329" s="1397">
        <f ca="1">IF(B329&gt;=$J$5,0,CONTADORES!J341-CONTADORES!J340)</f>
        <v>0</v>
      </c>
      <c r="AF329" s="1397">
        <f ca="1">IF(B329&gt;=$J$5,0,CONTADORES!AU341-CONTADORES!AU340)</f>
        <v>0</v>
      </c>
      <c r="AG329" s="1397">
        <f ca="1">IF(B329&gt;=$J$5,0,CONTADORES!AW341-CONTADORES!AW340)</f>
        <v>0</v>
      </c>
      <c r="AH329" s="1398">
        <f ca="1">IF(B329&gt;=$J$5,0,(CONTADORES!AM341-CONTADORES!AM340)+(CONTADORES!M341-CONTADORES!M340))</f>
        <v>0</v>
      </c>
      <c r="AI329" s="1397">
        <f ca="1">IF(B329&gt;=$J$5,0,(CONTADORES!AK341-CONTADORES!AK340)+(CONTADORES!O341-CONTADORES!O340))</f>
        <v>0</v>
      </c>
      <c r="AJ329" s="1397">
        <f ca="1">IF(B329&gt;=$J$5,0,(CONTADORES!AI341-CONTADORES!AI340))</f>
        <v>0</v>
      </c>
      <c r="AK329" s="1397">
        <f ca="1">IF(B329&gt;=$J$5,0,(CONTADORES!Q341-CONTADORES!Q340))</f>
        <v>0</v>
      </c>
      <c r="AL329" s="1461">
        <f t="shared" ca="1" si="144"/>
        <v>0</v>
      </c>
      <c r="AM329" s="1397">
        <f ca="1">IF(B329&gt;=$J$5,0,(((CONTADORES!F341-CONTADORES!F340)+(CONTADORES!AQ341-CONTADORES!AQ340))))-BS329-AF329-AN329-BV329-BY329-CD329-CB329+T329</f>
        <v>0</v>
      </c>
      <c r="AN329" s="1397">
        <f ca="1">IF(B329&gt;=$J$5,0,(CONTADORES!AX341-CONTADORES!AX340)+(CONTADORES!AZ341-CONTADORES!AZ340)+(CONTADORES!BE341-CONTADORES!BE340))-CB329</f>
        <v>0</v>
      </c>
      <c r="AO329" s="1399">
        <f ca="1">IF(B329&gt;=$J$5,0,(CONTADORES!AC341-CONTADORES!AC340))</f>
        <v>0</v>
      </c>
      <c r="AP329" s="1433">
        <f ca="1">IF(B329&gt;=$J$5,0,(CONTADORES!X341-CONTADORES!X340))</f>
        <v>0</v>
      </c>
      <c r="AQ329" s="1399">
        <f ca="1">IF(B329&gt;=$J$5,0,(CONTADORES!C341-CONTADORES!C340))</f>
        <v>0</v>
      </c>
      <c r="AR329" s="1399">
        <f ca="1">IF(B329&gt;=$J$5,0,(CONTADORES!BC341-CONTADORES!BC340))</f>
        <v>0</v>
      </c>
      <c r="AS329" s="1397">
        <f ca="1">IF(B329&gt;=$J$5,0,CONTADORES!S341-CONTADORES!S340)</f>
        <v>0</v>
      </c>
      <c r="AT329" s="1397">
        <f ca="1">IF(B329&gt;=$J$5,0,(CONTADORES!U341-CONTADORES!U340)+(CONTADORES!AG341-CONTADORES!AG340))</f>
        <v>0</v>
      </c>
      <c r="AU329" s="1433">
        <f ca="1">IF(B329&gt;=$J$5,0,(CONTADORES!I341-CONTADORES!I340))</f>
        <v>0</v>
      </c>
      <c r="AV329" s="1399">
        <f ca="1">IF(B329&gt;=$J$5,0,(CONTADORES!AV341-CONTADORES!AV340))</f>
        <v>0</v>
      </c>
      <c r="AW329" s="1433">
        <f ca="1">IF(B329&gt;=$J$5,0,(CONTADORES!N341-CONTADORES!N340)+(CONTADORES!AN341-CONTADORES!AN340))</f>
        <v>0</v>
      </c>
      <c r="AX329" s="1399">
        <f ca="1">IF(B329&gt;=$J$5,0,(CONTADORES!P341-CONTADORES!P340)+(CONTADORES!AL341-CONTADORES!AL340))</f>
        <v>0</v>
      </c>
      <c r="AY329" s="1399">
        <f ca="1">IF(B329&gt;=$J$5,0,(CONTADORES!AJ341-CONTADORES!AJ340))</f>
        <v>0</v>
      </c>
      <c r="AZ329" s="1399">
        <f ca="1">IF(B329&gt;=$J$5,0,(CONTADORES!R341-CONTADORES!R340))</f>
        <v>0</v>
      </c>
      <c r="BA329" s="1409">
        <f t="shared" ca="1" si="145"/>
        <v>0</v>
      </c>
      <c r="BB329" s="1399">
        <f ca="1">IF(B329&gt;=$J$5,0,(((CONTADORES!G341-CONTADORES!G340)+(CONTADORES!AR341-CONTADORES!AR340))))-AV329-BC329-BT329-BW329-BZ329-CE329-AR329</f>
        <v>0</v>
      </c>
      <c r="BC329" s="1397">
        <f ca="1">IF(B329&gt;=$J$5,0,(CONTADORES!AY341-CONTADORES!AY340)+(CONTADORES!BA341-CONTADORES!BA340)+(CONTADORES!BF341-CONTADORES!BF340))</f>
        <v>0</v>
      </c>
      <c r="BD329" s="1397">
        <f t="shared" ca="1" si="146"/>
        <v>0</v>
      </c>
      <c r="BE329" s="1398">
        <f ca="1">IF($B329&gt;=$J$5,0,CONTADORES!$BG341)</f>
        <v>0</v>
      </c>
      <c r="BF329" s="1397">
        <f ca="1">IF($B329&gt;=$J$5,0,CONTADORES!$BH341)</f>
        <v>0</v>
      </c>
      <c r="BG329" s="1397">
        <f ca="1">IF($B329&gt;=$J$5,0,CONTADORES!$BJ341)</f>
        <v>0</v>
      </c>
      <c r="BH329" s="1397">
        <f ca="1">IF(B329&gt;=$J$5,0,((CONTADORES!BK341-CONTADORES!BK340)/1000))</f>
        <v>0</v>
      </c>
      <c r="BI329" s="1397">
        <f ca="1">IF(C329&gt;=$J$5,0,((CONTADORES!BL341-CONTADORES!BL340)/1000))</f>
        <v>0</v>
      </c>
      <c r="BJ329" s="1397">
        <f ca="1">IF(C329&gt;=$J$5,0,((CONTADORES!BM341-CONTADORES!BM340)/1000))</f>
        <v>0</v>
      </c>
      <c r="BK329" s="1397">
        <f ca="1">IF(D329&gt;=$J$5,0,((CONTADORES!BN341-CONTADORES!BN340)/1000))</f>
        <v>0</v>
      </c>
      <c r="BL329" s="1399">
        <f t="shared" ca="1" si="147"/>
        <v>0</v>
      </c>
      <c r="BM329" s="1399">
        <f t="shared" ca="1" si="148"/>
        <v>0</v>
      </c>
      <c r="BN329" s="1399">
        <f ca="1">IF(B329&gt;=$J$5,0,CONTADORES!$BO341)</f>
        <v>0</v>
      </c>
      <c r="BO329" s="1397">
        <f ca="1">IF(W329&gt;=$J$5,0,CONTADORES!$BP341)</f>
        <v>0</v>
      </c>
      <c r="BP329" s="1397">
        <f ca="1">IF(W329&gt;=$J$5,0,CONTADORES!$BQ341)</f>
        <v>0</v>
      </c>
      <c r="BQ329" s="1397">
        <f ca="1">IF(B329&gt;=$J$5,0,(CONTADORES!AS341-CONTADORES!AS340))</f>
        <v>0</v>
      </c>
      <c r="BR329" s="1397">
        <f ca="1">IF(B329&gt;=$J$5,0,(CONTADORES!AT341-CONTADORES!AT340))</f>
        <v>0</v>
      </c>
      <c r="BS329" s="1397">
        <f ca="1">IF(B329&gt;=$J$5,0,CONTADORES!BR341-CONTADORES!BR340)/1000</f>
        <v>0</v>
      </c>
      <c r="BT329" s="1398">
        <f ca="1">IF(B329&gt;=$J$5,0,CONTADORES!BS341-CONTADORES!BS340)</f>
        <v>0</v>
      </c>
      <c r="BU329" s="1397">
        <f ca="1">IF(B329&gt;=$J$5,0,CONTADORES!BT341-CONTADORES!BT340)</f>
        <v>0</v>
      </c>
      <c r="BV329" s="1397">
        <f ca="1">IF(B329&gt;=$J$5,0,CONTADORES!BU341-CONTADORES!BU340)/1000</f>
        <v>0</v>
      </c>
      <c r="BW329" s="1397">
        <f ca="1">IF(B329&gt;=$J$5,0,CONTADORES!BV341-CONTADORES!BV340)/1000</f>
        <v>0</v>
      </c>
      <c r="BX329" s="1397">
        <f ca="1">IF(B329&gt;=$J$5,0,CONTADORES!BW341-CONTADORES!BW340)</f>
        <v>0</v>
      </c>
      <c r="BY329" s="1397">
        <f ca="1">IF(B329&gt;=$J$5,0,CONTADORES!BX341-CONTADORES!BX340)/1000</f>
        <v>0</v>
      </c>
      <c r="BZ329" s="1397">
        <f ca="1">IF(B329&gt;=$J$5,0,CONTADORES!BY341-CONTADORES!BY340)/1000</f>
        <v>0</v>
      </c>
      <c r="CA329" s="1397">
        <f ca="1">IF(B329&gt;=$J$5,0,CONTADORES!BZ341-CONTADORES!BZ340)</f>
        <v>0</v>
      </c>
      <c r="CB329" s="1397">
        <f ca="1">IF(B329&gt;=$J$5,0,(CONTADORES!CC341-CONTADORES!CC340)+(CONTADORES!CE341-CONTADORES!CE340))/1000</f>
        <v>0</v>
      </c>
      <c r="CC329" s="1397">
        <f ca="1">IF(B329&gt;=$J$5,0,(CONTADORES!CD341-CONTADORES!CD340)+(CONTADORES!CF341-CONTADORES!CF340))/1000</f>
        <v>0</v>
      </c>
      <c r="CD329" s="1397">
        <f ca="1">IF(B329&gt;=$J$5,0,CONTADORES!CA341-CONTADORES!CA340)</f>
        <v>0</v>
      </c>
      <c r="CE329" s="1397">
        <f ca="1">IF(B329&gt;=$J$5,0,CONTADORES!CB341-CONTADORES!CB340)</f>
        <v>0</v>
      </c>
      <c r="CF329" s="1397">
        <f t="shared" ca="1" si="149"/>
        <v>0</v>
      </c>
      <c r="CG329" s="1397">
        <f t="shared" ca="1" si="150"/>
        <v>0</v>
      </c>
      <c r="CH329" s="1397">
        <f t="shared" ca="1" si="151"/>
        <v>0</v>
      </c>
      <c r="CI329" s="1397">
        <f t="shared" ca="1" si="152"/>
        <v>0</v>
      </c>
      <c r="CJ329" s="1397">
        <f t="shared" ca="1" si="153"/>
        <v>0</v>
      </c>
      <c r="CK329" s="1397">
        <f t="shared" ca="1" si="154"/>
        <v>0</v>
      </c>
      <c r="CL329" s="1397">
        <f t="shared" ca="1" si="155"/>
        <v>0</v>
      </c>
      <c r="CM329" s="1397">
        <f t="shared" ca="1" si="156"/>
        <v>0</v>
      </c>
      <c r="CN329" s="1397">
        <f ca="1">IF(B329&gt;=$J$5,0,CONTADORES!CB341-CONTADORES!CB340)</f>
        <v>0</v>
      </c>
      <c r="CO329" s="1397">
        <f t="shared" ca="1" si="157"/>
        <v>0</v>
      </c>
      <c r="CP329" s="1397">
        <f t="shared" ca="1" si="158"/>
        <v>0</v>
      </c>
      <c r="CQ329" s="1397">
        <f t="shared" ca="1" si="159"/>
        <v>0</v>
      </c>
      <c r="CR329" s="1397">
        <f t="shared" ca="1" si="160"/>
        <v>0</v>
      </c>
      <c r="CS329" s="1403">
        <f ca="1">IF($B329&gt;=$J$5,0,CONTADORES!$BI341)</f>
        <v>0</v>
      </c>
      <c r="CT329" s="1369">
        <f>CONTADORES!E341</f>
        <v>0</v>
      </c>
      <c r="CU329" s="1369">
        <f>CONTADORES!CG341</f>
        <v>0</v>
      </c>
    </row>
    <row r="330" spans="2:99">
      <c r="B330" s="390">
        <v>45246</v>
      </c>
      <c r="C330" s="198">
        <f t="shared" ca="1" si="134"/>
        <v>0</v>
      </c>
      <c r="D330" s="196">
        <f ca="1">'CALCULO DE GAS'!P155</f>
        <v>0</v>
      </c>
      <c r="E330" s="196">
        <f ca="1">IF(B330&gt;=$J$5,0,(CONTADORES!$AD342-CONTADORES!$AD341)-$H330)</f>
        <v>0</v>
      </c>
      <c r="F330" s="198">
        <f t="shared" ca="1" si="164"/>
        <v>0</v>
      </c>
      <c r="G330" s="196">
        <f ca="1">IF(B330&gt;=$J$5,0,CONTADORES!$AF342-CONTADORES!$AF341)</f>
        <v>0</v>
      </c>
      <c r="H330" s="196">
        <f ca="1">IF(G330&gt;0,CONTADORES!$AE342-CONTADORES!$AE341,0)</f>
        <v>0</v>
      </c>
      <c r="I330" s="199">
        <f ca="1">IF(B330&gt;=$J$5,0,CONTADORES!$AB342-CONTADORES!$AB341)</f>
        <v>0</v>
      </c>
      <c r="J330" s="198">
        <f t="shared" ca="1" si="135"/>
        <v>0</v>
      </c>
      <c r="K330" s="196">
        <f ca="1">'CALCULO DE GAS'!Q155</f>
        <v>0</v>
      </c>
      <c r="L330" s="1396">
        <f ca="1">IF(B330&gt;=$J$5,0,(CONTADORES!$Y342-CONTADORES!$Y341)-$O330)</f>
        <v>0</v>
      </c>
      <c r="M330" s="1396">
        <v>0</v>
      </c>
      <c r="N330" s="1396">
        <f ca="1">IF(B330&gt;=$J$5,0,CONTADORES!$AA342-CONTADORES!$AA341)</f>
        <v>0</v>
      </c>
      <c r="O330" s="1396">
        <f ca="1">IF(N330&gt;0,CONTADORES!$Z342-CONTADORES!$Z341,0)</f>
        <v>0</v>
      </c>
      <c r="P330" s="202">
        <f ca="1">IF(B330&gt;=$J$5,0,CONTADORES!$W342-CONTADORES!$W341)</f>
        <v>0</v>
      </c>
      <c r="Q330" s="202">
        <f ca="1">IF(B330&gt;=$J$5,0,CONTADORES!$B342-CONTADORES!$B341)</f>
        <v>0</v>
      </c>
      <c r="R330" s="196">
        <f t="shared" ca="1" si="136"/>
        <v>0</v>
      </c>
      <c r="S330" s="11">
        <f ca="1">IF(B330&gt;=$J$5,0,CONTADORES!$D342-CONTADORES!$D341)</f>
        <v>0</v>
      </c>
      <c r="T330" s="198">
        <f ca="1">IF(B330&gt;=$J$5,0,CONTADORES!$BB342-CONTADORES!$BB341)</f>
        <v>0</v>
      </c>
      <c r="U330" s="196">
        <f t="shared" ca="1" si="162"/>
        <v>0</v>
      </c>
      <c r="V330" s="11">
        <f ca="1">IF(B330&gt;=$J$5,0,CONTADORES!$BD342-CONTADORES!$BD341)</f>
        <v>0</v>
      </c>
      <c r="W330" s="1397">
        <f t="shared" ca="1" si="137"/>
        <v>0</v>
      </c>
      <c r="X330" s="1397">
        <f t="shared" ca="1" si="138"/>
        <v>0</v>
      </c>
      <c r="Y330" s="1398">
        <f t="shared" ca="1" si="139"/>
        <v>0</v>
      </c>
      <c r="Z330" s="1398">
        <f t="shared" ca="1" si="140"/>
        <v>0</v>
      </c>
      <c r="AA330" s="1398">
        <f t="shared" ca="1" si="141"/>
        <v>0</v>
      </c>
      <c r="AB330" s="1398">
        <f t="shared" ca="1" si="142"/>
        <v>0</v>
      </c>
      <c r="AC330" s="1397">
        <f t="shared" ca="1" si="143"/>
        <v>0</v>
      </c>
      <c r="AD330" s="1407">
        <f ca="1">IF(B330&gt;=$J$5,0,CONTADORES!H342-CONTADORES!H341)</f>
        <v>0</v>
      </c>
      <c r="AE330" s="1397">
        <f ca="1">IF(B330&gt;=$J$5,0,CONTADORES!J342-CONTADORES!J341)</f>
        <v>0</v>
      </c>
      <c r="AF330" s="1397">
        <f ca="1">IF(B330&gt;=$J$5,0,CONTADORES!AU342-CONTADORES!AU341)</f>
        <v>0</v>
      </c>
      <c r="AG330" s="1397">
        <f ca="1">IF(B330&gt;=$J$5,0,CONTADORES!AW342-CONTADORES!AW341)</f>
        <v>0</v>
      </c>
      <c r="AH330" s="1398">
        <f ca="1">IF(B330&gt;=$J$5,0,(CONTADORES!AM342-CONTADORES!AM341)+(CONTADORES!M342-CONTADORES!M341))</f>
        <v>0</v>
      </c>
      <c r="AI330" s="1397">
        <f ca="1">IF(B330&gt;=$J$5,0,(CONTADORES!AK342-CONTADORES!AK341)+(CONTADORES!O342-CONTADORES!O341))</f>
        <v>0</v>
      </c>
      <c r="AJ330" s="1397">
        <f ca="1">IF(B330&gt;=$J$5,0,(CONTADORES!AI342-CONTADORES!AI341))</f>
        <v>0</v>
      </c>
      <c r="AK330" s="1397">
        <f ca="1">IF(B330&gt;=$J$5,0,(CONTADORES!Q342-CONTADORES!Q341))</f>
        <v>0</v>
      </c>
      <c r="AL330" s="1461">
        <f t="shared" ca="1" si="144"/>
        <v>0</v>
      </c>
      <c r="AM330" s="1397">
        <f ca="1">IF(B330&gt;=$J$5,0,(((CONTADORES!F342-CONTADORES!F341)+(CONTADORES!AQ342-CONTADORES!AQ341))))-BS330-AF330-AN330-BV330-BY330-CD330-CB330+T330</f>
        <v>0</v>
      </c>
      <c r="AN330" s="1397">
        <f ca="1">IF(B330&gt;=$J$5,0,(CONTADORES!AX342-CONTADORES!AX341)+(CONTADORES!AZ342-CONTADORES!AZ341)+(CONTADORES!BE342-CONTADORES!BE341))-CB330</f>
        <v>0</v>
      </c>
      <c r="AO330" s="1399">
        <f ca="1">IF(B330&gt;=$J$5,0,(CONTADORES!AC342-CONTADORES!AC341))</f>
        <v>0</v>
      </c>
      <c r="AP330" s="1433">
        <f ca="1">IF(B330&gt;=$J$5,0,(CONTADORES!X342-CONTADORES!X341))</f>
        <v>0</v>
      </c>
      <c r="AQ330" s="1399">
        <f ca="1">IF(B330&gt;=$J$5,0,(CONTADORES!C342-CONTADORES!C341))</f>
        <v>0</v>
      </c>
      <c r="AR330" s="1399">
        <f ca="1">IF(B330&gt;=$J$5,0,(CONTADORES!BC342-CONTADORES!BC341))</f>
        <v>0</v>
      </c>
      <c r="AS330" s="1397">
        <f ca="1">IF(B330&gt;=$J$5,0,CONTADORES!S342-CONTADORES!S341)</f>
        <v>0</v>
      </c>
      <c r="AT330" s="1397">
        <f ca="1">IF(B330&gt;=$J$5,0,(CONTADORES!U342-CONTADORES!U341)+(CONTADORES!AG342-CONTADORES!AG341))</f>
        <v>0</v>
      </c>
      <c r="AU330" s="1433">
        <f ca="1">IF(B330&gt;=$J$5,0,(CONTADORES!I342-CONTADORES!I341))</f>
        <v>0</v>
      </c>
      <c r="AV330" s="1399">
        <f ca="1">IF(B330&gt;=$J$5,0,(CONTADORES!AV342-CONTADORES!AV341))</f>
        <v>0</v>
      </c>
      <c r="AW330" s="1433">
        <f ca="1">IF(B330&gt;=$J$5,0,(CONTADORES!N342-CONTADORES!N341)+(CONTADORES!AN342-CONTADORES!AN341))</f>
        <v>0</v>
      </c>
      <c r="AX330" s="1399">
        <f ca="1">IF(B330&gt;=$J$5,0,(CONTADORES!P342-CONTADORES!P341)+(CONTADORES!AL342-CONTADORES!AL341))</f>
        <v>0</v>
      </c>
      <c r="AY330" s="1399">
        <f ca="1">IF(B330&gt;=$J$5,0,(CONTADORES!AJ342-CONTADORES!AJ341))</f>
        <v>0</v>
      </c>
      <c r="AZ330" s="1399">
        <f ca="1">IF(B330&gt;=$J$5,0,(CONTADORES!R342-CONTADORES!R341))</f>
        <v>0</v>
      </c>
      <c r="BA330" s="1409">
        <f t="shared" ca="1" si="145"/>
        <v>0</v>
      </c>
      <c r="BB330" s="1399">
        <f ca="1">IF(B330&gt;=$J$5,0,(((CONTADORES!G342-CONTADORES!G341)+(CONTADORES!AR342-CONTADORES!AR341))))-AV330-BC330-BT330-BW330-BZ330-CE330-AR330</f>
        <v>0</v>
      </c>
      <c r="BC330" s="1397">
        <f ca="1">IF(B330&gt;=$J$5,0,(CONTADORES!AY342-CONTADORES!AY341)+(CONTADORES!BA342-CONTADORES!BA341)+(CONTADORES!BF342-CONTADORES!BF341))</f>
        <v>0</v>
      </c>
      <c r="BD330" s="1397">
        <f t="shared" ca="1" si="146"/>
        <v>0</v>
      </c>
      <c r="BE330" s="1398">
        <f ca="1">IF($B330&gt;=$J$5,0,CONTADORES!$BG342)</f>
        <v>0</v>
      </c>
      <c r="BF330" s="1397">
        <f ca="1">IF($B330&gt;=$J$5,0,CONTADORES!$BH342)</f>
        <v>0</v>
      </c>
      <c r="BG330" s="1397">
        <f ca="1">IF($B330&gt;=$J$5,0,CONTADORES!$BJ342)</f>
        <v>0</v>
      </c>
      <c r="BH330" s="1397">
        <f ca="1">IF(B330&gt;=$J$5,0,((CONTADORES!BK342-CONTADORES!BK341)/1000))</f>
        <v>0</v>
      </c>
      <c r="BI330" s="1397">
        <f ca="1">IF(C330&gt;=$J$5,0,((CONTADORES!BL342-CONTADORES!BL341)/1000))</f>
        <v>0</v>
      </c>
      <c r="BJ330" s="1397">
        <f ca="1">IF(C330&gt;=$J$5,0,((CONTADORES!BM342-CONTADORES!BM341)/1000))</f>
        <v>0</v>
      </c>
      <c r="BK330" s="1397">
        <f ca="1">IF(D330&gt;=$J$5,0,((CONTADORES!BN342-CONTADORES!BN341)/1000))</f>
        <v>0</v>
      </c>
      <c r="BL330" s="1399">
        <f t="shared" ca="1" si="147"/>
        <v>0</v>
      </c>
      <c r="BM330" s="1399">
        <f t="shared" ca="1" si="148"/>
        <v>0</v>
      </c>
      <c r="BN330" s="1399">
        <f ca="1">IF(B330&gt;=$J$5,0,CONTADORES!$BO342)</f>
        <v>0</v>
      </c>
      <c r="BO330" s="1397">
        <f ca="1">IF(W330&gt;=$J$5,0,CONTADORES!$BP342)</f>
        <v>0</v>
      </c>
      <c r="BP330" s="1397">
        <f ca="1">IF(W330&gt;=$J$5,0,CONTADORES!$BQ342)</f>
        <v>0</v>
      </c>
      <c r="BQ330" s="1397">
        <f ca="1">IF(B330&gt;=$J$5,0,(CONTADORES!AS342-CONTADORES!AS341))</f>
        <v>0</v>
      </c>
      <c r="BR330" s="1397">
        <f ca="1">IF(B330&gt;=$J$5,0,(CONTADORES!AT342-CONTADORES!AT341))</f>
        <v>0</v>
      </c>
      <c r="BS330" s="1397">
        <f ca="1">IF(B330&gt;=$J$5,0,CONTADORES!BR342-CONTADORES!BR341)/1000</f>
        <v>0</v>
      </c>
      <c r="BT330" s="1398">
        <f ca="1">IF(B330&gt;=$J$5,0,CONTADORES!BS342-CONTADORES!BS341)</f>
        <v>0</v>
      </c>
      <c r="BU330" s="1397">
        <f ca="1">IF(B330&gt;=$J$5,0,CONTADORES!BT342-CONTADORES!BT341)</f>
        <v>0</v>
      </c>
      <c r="BV330" s="1397">
        <f ca="1">IF(B330&gt;=$J$5,0,CONTADORES!BU342-CONTADORES!BU341)/1000</f>
        <v>0</v>
      </c>
      <c r="BW330" s="1397">
        <f ca="1">IF(B330&gt;=$J$5,0,CONTADORES!BV342-CONTADORES!BV341)/1000</f>
        <v>0</v>
      </c>
      <c r="BX330" s="1397">
        <f ca="1">IF(B330&gt;=$J$5,0,CONTADORES!BW342-CONTADORES!BW341)</f>
        <v>0</v>
      </c>
      <c r="BY330" s="1397">
        <f ca="1">IF(B330&gt;=$J$5,0,CONTADORES!BX342-CONTADORES!BX341)/1000</f>
        <v>0</v>
      </c>
      <c r="BZ330" s="1397">
        <f ca="1">IF(B330&gt;=$J$5,0,CONTADORES!BY342-CONTADORES!BY341)/1000</f>
        <v>0</v>
      </c>
      <c r="CA330" s="1397">
        <f ca="1">IF(B330&gt;=$J$5,0,CONTADORES!BZ342-CONTADORES!BZ341)</f>
        <v>0</v>
      </c>
      <c r="CB330" s="1397">
        <f ca="1">IF(B330&gt;=$J$5,0,(CONTADORES!CC342-CONTADORES!CC341)+(CONTADORES!CE342-CONTADORES!CE341))/1000</f>
        <v>0</v>
      </c>
      <c r="CC330" s="1397">
        <f ca="1">IF(B330&gt;=$J$5,0,(CONTADORES!CD342-CONTADORES!CD341)+(CONTADORES!CF342-CONTADORES!CF341))/1000</f>
        <v>0</v>
      </c>
      <c r="CD330" s="1397">
        <f ca="1">IF(B330&gt;=$J$5,0,CONTADORES!CA342-CONTADORES!CA341)</f>
        <v>0</v>
      </c>
      <c r="CE330" s="1397">
        <f ca="1">IF(B330&gt;=$J$5,0,CONTADORES!CB342-CONTADORES!CB341)</f>
        <v>0</v>
      </c>
      <c r="CF330" s="1397">
        <f t="shared" ca="1" si="149"/>
        <v>0</v>
      </c>
      <c r="CG330" s="1397">
        <f t="shared" ca="1" si="150"/>
        <v>0</v>
      </c>
      <c r="CH330" s="1397">
        <f t="shared" ca="1" si="151"/>
        <v>0</v>
      </c>
      <c r="CI330" s="1397">
        <f t="shared" ca="1" si="152"/>
        <v>0</v>
      </c>
      <c r="CJ330" s="1397">
        <f t="shared" ca="1" si="153"/>
        <v>0</v>
      </c>
      <c r="CK330" s="1397">
        <f t="shared" ca="1" si="154"/>
        <v>0</v>
      </c>
      <c r="CL330" s="1397">
        <f t="shared" ca="1" si="155"/>
        <v>0</v>
      </c>
      <c r="CM330" s="1397">
        <f t="shared" ca="1" si="156"/>
        <v>0</v>
      </c>
      <c r="CN330" s="1397">
        <f ca="1">IF(B330&gt;=$J$5,0,CONTADORES!CB342-CONTADORES!CB341)</f>
        <v>0</v>
      </c>
      <c r="CO330" s="1397">
        <f t="shared" ca="1" si="157"/>
        <v>0</v>
      </c>
      <c r="CP330" s="1397">
        <f t="shared" ca="1" si="158"/>
        <v>0</v>
      </c>
      <c r="CQ330" s="1397">
        <f t="shared" ca="1" si="159"/>
        <v>0</v>
      </c>
      <c r="CR330" s="1397">
        <f t="shared" ca="1" si="160"/>
        <v>0</v>
      </c>
      <c r="CS330" s="1403">
        <f ca="1">IF($B330&gt;=$J$5,0,CONTADORES!$BI342)</f>
        <v>0</v>
      </c>
      <c r="CT330" s="1369">
        <f>CONTADORES!E342</f>
        <v>0</v>
      </c>
      <c r="CU330" s="1369">
        <f>CONTADORES!CG342</f>
        <v>0</v>
      </c>
    </row>
    <row r="331" spans="2:99">
      <c r="B331" s="390">
        <v>45247</v>
      </c>
      <c r="C331" s="198">
        <f t="shared" ref="C331:C375" ca="1" si="166">I331-F331</f>
        <v>0</v>
      </c>
      <c r="D331" s="196">
        <f ca="1">'CALCULO DE GAS'!P156</f>
        <v>0</v>
      </c>
      <c r="E331" s="196">
        <f ca="1">IF(B331&gt;=$J$5,0,(CONTADORES!$AD343-CONTADORES!$AD342)-$H331)</f>
        <v>0</v>
      </c>
      <c r="F331" s="198">
        <f t="shared" ca="1" si="164"/>
        <v>0</v>
      </c>
      <c r="G331" s="196">
        <f ca="1">IF(B331&gt;=$J$5,0,CONTADORES!$AF343-CONTADORES!$AF342)</f>
        <v>0</v>
      </c>
      <c r="H331" s="196">
        <f ca="1">IF(G331&gt;0,CONTADORES!$AE343-CONTADORES!$AE342,0)</f>
        <v>0</v>
      </c>
      <c r="I331" s="199">
        <f ca="1">IF(B331&gt;=$J$5,0,CONTADORES!$AB343-CONTADORES!$AB342)</f>
        <v>0</v>
      </c>
      <c r="J331" s="198">
        <f t="shared" ref="J331:J375" ca="1" si="167">P331-M331</f>
        <v>0</v>
      </c>
      <c r="K331" s="196">
        <f ca="1">'CALCULO DE GAS'!Q156</f>
        <v>0</v>
      </c>
      <c r="L331" s="1396">
        <f ca="1">IF(B331&gt;=$J$5,0,(CONTADORES!$Y343-CONTADORES!$Y342)-$O331)</f>
        <v>0</v>
      </c>
      <c r="M331" s="1396">
        <f t="shared" ref="M331:M344" ca="1" si="168">IF(O331=0,0,"ERROR")</f>
        <v>0</v>
      </c>
      <c r="N331" s="1396">
        <f ca="1">IF(B331&gt;=$J$5,0,CONTADORES!$AA343-CONTADORES!$AA342)</f>
        <v>0</v>
      </c>
      <c r="O331" s="1396">
        <f ca="1">IF(N331&gt;0,CONTADORES!$Z343-CONTADORES!$Z342,0)</f>
        <v>0</v>
      </c>
      <c r="P331" s="202">
        <f ca="1">IF(B331&gt;=$J$5,0,CONTADORES!$W343-CONTADORES!$W342)</f>
        <v>0</v>
      </c>
      <c r="Q331" s="202">
        <f ca="1">IF(B331&gt;=$J$5,0,CONTADORES!$B343-CONTADORES!$B342)</f>
        <v>0</v>
      </c>
      <c r="R331" s="196">
        <f t="shared" ref="R331:R375" ca="1" si="169">$Q331*120</f>
        <v>0</v>
      </c>
      <c r="S331" s="11">
        <f ca="1">IF(B331&gt;=$J$5,0,CONTADORES!$D343-CONTADORES!$D342)</f>
        <v>0</v>
      </c>
      <c r="T331" s="198">
        <f ca="1">IF(B331&gt;=$J$5,0,CONTADORES!$BB343-CONTADORES!$BB342)</f>
        <v>0</v>
      </c>
      <c r="U331" s="196">
        <f t="shared" ca="1" si="162"/>
        <v>0</v>
      </c>
      <c r="V331" s="11">
        <f ca="1">IF(B331&gt;=$J$5,0,CONTADORES!$BD343-CONTADORES!$BD342)</f>
        <v>0</v>
      </c>
      <c r="W331" s="1397">
        <f t="shared" ref="W331:W375" ca="1" si="170">C331+J331</f>
        <v>0</v>
      </c>
      <c r="X331" s="1397">
        <f t="shared" ref="X331:X375" ca="1" si="171">F331+M331+Q331+T331</f>
        <v>0</v>
      </c>
      <c r="Y331" s="1398">
        <f t="shared" ref="Y331:Y375" ca="1" si="172">W331+X331</f>
        <v>0</v>
      </c>
      <c r="Z331" s="1398">
        <f t="shared" ref="Z331:Z375" ca="1" si="173">D331+K331</f>
        <v>0</v>
      </c>
      <c r="AA331" s="1398">
        <f t="shared" ref="AA331:AA375" ca="1" si="174">G331+N331+R331+U331</f>
        <v>0</v>
      </c>
      <c r="AB331" s="1398">
        <f t="shared" ref="AB331:AB375" ca="1" si="175">E331+L331</f>
        <v>0</v>
      </c>
      <c r="AC331" s="1397">
        <f t="shared" ref="AC331:AC375" ca="1" si="176">H331+O331+S331+V331</f>
        <v>0</v>
      </c>
      <c r="AD331" s="1407">
        <f ca="1">IF(B331&gt;=$J$5,0,CONTADORES!H343-CONTADORES!H342)</f>
        <v>0</v>
      </c>
      <c r="AE331" s="1397">
        <f ca="1">IF(B331&gt;=$J$5,0,CONTADORES!J343-CONTADORES!J342)</f>
        <v>0</v>
      </c>
      <c r="AF331" s="1397">
        <f ca="1">IF(B331&gt;=$J$5,0,CONTADORES!AU343-CONTADORES!AU342)</f>
        <v>0</v>
      </c>
      <c r="AG331" s="1397">
        <f ca="1">IF(B331&gt;=$J$5,0,CONTADORES!AW343-CONTADORES!AW342)</f>
        <v>0</v>
      </c>
      <c r="AH331" s="1398">
        <f ca="1">IF(B331&gt;=$J$5,0,(CONTADORES!AM343-CONTADORES!AM342)+(CONTADORES!M343-CONTADORES!M342))</f>
        <v>0</v>
      </c>
      <c r="AI331" s="1397">
        <f ca="1">IF(B331&gt;=$J$5,0,(CONTADORES!AK343-CONTADORES!AK342)+(CONTADORES!O343-CONTADORES!O342))</f>
        <v>0</v>
      </c>
      <c r="AJ331" s="1397">
        <f ca="1">IF(B331&gt;=$J$5,0,(CONTADORES!AI343-CONTADORES!AI342))</f>
        <v>0</v>
      </c>
      <c r="AK331" s="1397">
        <f ca="1">IF(B331&gt;=$J$5,0,(CONTADORES!Q343-CONTADORES!Q342))</f>
        <v>0</v>
      </c>
      <c r="AL331" s="1461">
        <f t="shared" ref="AL331:AL375" ca="1" si="177">Y331-(AD331+AF331+AH331+AI331+AJ331+AK331+CJ331+CK331+BS331+BV331+BY331+CF331+CL331)</f>
        <v>0</v>
      </c>
      <c r="AM331" s="1397">
        <f ca="1">IF(B331&gt;=$J$5,0,(((CONTADORES!F343-CONTADORES!F342)+(CONTADORES!AQ343-CONTADORES!AQ342))))-BS331-AF331-AN331-BV331-BY331-CD331-CB331+T331</f>
        <v>0</v>
      </c>
      <c r="AN331" s="1397">
        <f ca="1">IF(B331&gt;=$J$5,0,(CONTADORES!AX343-CONTADORES!AX342)+(CONTADORES!AZ343-CONTADORES!AZ342)+(CONTADORES!BE343-CONTADORES!BE342))-CB331</f>
        <v>0</v>
      </c>
      <c r="AO331" s="1399">
        <f ca="1">IF(B331&gt;=$J$5,0,(CONTADORES!AC343-CONTADORES!AC342))</f>
        <v>0</v>
      </c>
      <c r="AP331" s="1433">
        <f ca="1">IF(B331&gt;=$J$5,0,(CONTADORES!X343-CONTADORES!X342))</f>
        <v>0</v>
      </c>
      <c r="AQ331" s="1399">
        <f ca="1">IF(B331&gt;=$J$5,0,(CONTADORES!C343-CONTADORES!C342))</f>
        <v>0</v>
      </c>
      <c r="AR331" s="1399">
        <f ca="1">IF(B331&gt;=$J$5,0,(CONTADORES!BC343-CONTADORES!BC342))</f>
        <v>0</v>
      </c>
      <c r="AS331" s="1397">
        <f ca="1">IF(B331&gt;=$J$5,0,CONTADORES!S343-CONTADORES!S342)</f>
        <v>0</v>
      </c>
      <c r="AT331" s="1397">
        <f ca="1">IF(B331&gt;=$J$5,0,(CONTADORES!U343-CONTADORES!U342)+(CONTADORES!AG343-CONTADORES!AG342))</f>
        <v>0</v>
      </c>
      <c r="AU331" s="1433">
        <f ca="1">IF(B331&gt;=$J$5,0,(CONTADORES!I343-CONTADORES!I342))</f>
        <v>0</v>
      </c>
      <c r="AV331" s="1399">
        <f ca="1">IF(B331&gt;=$J$5,0,(CONTADORES!AV343-CONTADORES!AV342))</f>
        <v>0</v>
      </c>
      <c r="AW331" s="1433">
        <f ca="1">IF(B331&gt;=$J$5,0,(CONTADORES!N343-CONTADORES!N342)+(CONTADORES!AN343-CONTADORES!AN342))</f>
        <v>0</v>
      </c>
      <c r="AX331" s="1399">
        <f ca="1">IF(B331&gt;=$J$5,0,(CONTADORES!P343-CONTADORES!P342)+(CONTADORES!AL343-CONTADORES!AL342))</f>
        <v>0</v>
      </c>
      <c r="AY331" s="1399">
        <f ca="1">IF(B331&gt;=$J$5,0,(CONTADORES!AJ343-CONTADORES!AJ342))</f>
        <v>0</v>
      </c>
      <c r="AZ331" s="1399">
        <f ca="1">IF(B331&gt;=$J$5,0,(CONTADORES!R343-CONTADORES!R342))</f>
        <v>0</v>
      </c>
      <c r="BA331" s="1409">
        <f t="shared" ref="BA331:BA375" ca="1" si="178">BD331-(AU331+AV331+AW331+AX331+AY331+AZ331+BT331+BW331+BZ331+CG331+CO331+CQ331+CR331)</f>
        <v>0</v>
      </c>
      <c r="BB331" s="1399">
        <f ca="1">IF(B331&gt;=$J$5,0,(((CONTADORES!G343-CONTADORES!G342)+(CONTADORES!AR343-CONTADORES!AR342))))-AV331-BC331-BT331-BW331-BZ331-CE331-AR331</f>
        <v>0</v>
      </c>
      <c r="BC331" s="1397">
        <f ca="1">IF(B331&gt;=$J$5,0,(CONTADORES!AY343-CONTADORES!AY342)+(CONTADORES!BA343-CONTADORES!BA342)+(CONTADORES!BF343-CONTADORES!BF342))</f>
        <v>0</v>
      </c>
      <c r="BD331" s="1397">
        <f t="shared" ref="BD331:BD375" ca="1" si="179">SUM(AO331:AR331)</f>
        <v>0</v>
      </c>
      <c r="BE331" s="1398">
        <f ca="1">IF($B331&gt;=$J$5,0,CONTADORES!$BG343)</f>
        <v>0</v>
      </c>
      <c r="BF331" s="1397">
        <f ca="1">IF($B331&gt;=$J$5,0,CONTADORES!$BH343)</f>
        <v>0</v>
      </c>
      <c r="BG331" s="1397">
        <f ca="1">IF($B331&gt;=$J$5,0,CONTADORES!$BJ343)</f>
        <v>0</v>
      </c>
      <c r="BH331" s="1397">
        <f ca="1">IF(B331&gt;=$J$5,0,((CONTADORES!BK343-CONTADORES!BK342)/1000))</f>
        <v>0</v>
      </c>
      <c r="BI331" s="1397">
        <f ca="1">IF(C331&gt;=$J$5,0,((CONTADORES!BL343-CONTADORES!BL342)/1000))</f>
        <v>0</v>
      </c>
      <c r="BJ331" s="1397">
        <f ca="1">IF(C331&gt;=$J$5,0,((CONTADORES!BM343-CONTADORES!BM342)/1000))</f>
        <v>0</v>
      </c>
      <c r="BK331" s="1397">
        <f ca="1">IF(D331&gt;=$J$5,0,((CONTADORES!BN343-CONTADORES!BN342)/1000))</f>
        <v>0</v>
      </c>
      <c r="BL331" s="1399">
        <f ca="1">BH331+BJ331</f>
        <v>0</v>
      </c>
      <c r="BM331" s="1399">
        <f t="shared" ref="BM331:BM375" ca="1" si="180">BI331+BK331</f>
        <v>0</v>
      </c>
      <c r="BN331" s="1399">
        <f ca="1">IF(B331&gt;=$J$5,0,CONTADORES!$BO343)</f>
        <v>0</v>
      </c>
      <c r="BO331" s="1397">
        <f ca="1">IF(W331&gt;=$J$5,0,CONTADORES!$BP343)</f>
        <v>0</v>
      </c>
      <c r="BP331" s="1397">
        <f ca="1">IF(W331&gt;=$J$5,0,CONTADORES!$BQ343)</f>
        <v>0</v>
      </c>
      <c r="BQ331" s="1397">
        <f ca="1">IF(B331&gt;=$J$5,0,(CONTADORES!AS343-CONTADORES!AS342))</f>
        <v>0</v>
      </c>
      <c r="BR331" s="1397">
        <f ca="1">IF(B331&gt;=$J$5,0,(CONTADORES!AT343-CONTADORES!AT342))</f>
        <v>0</v>
      </c>
      <c r="BS331" s="1397">
        <f ca="1">IF(B331&gt;=$J$5,0,CONTADORES!BR343-CONTADORES!BR342)/1000</f>
        <v>0</v>
      </c>
      <c r="BT331" s="1398">
        <f ca="1">IF(B331&gt;=$J$5,0,CONTADORES!BS343-CONTADORES!BS342)</f>
        <v>0</v>
      </c>
      <c r="BU331" s="1397">
        <f ca="1">IF(B331&gt;=$J$5,0,CONTADORES!BT343-CONTADORES!BT342)</f>
        <v>0</v>
      </c>
      <c r="BV331" s="1397">
        <f ca="1">IF(B331&gt;=$J$5,0,CONTADORES!BU343-CONTADORES!BU342)/1000</f>
        <v>0</v>
      </c>
      <c r="BW331" s="1397">
        <f ca="1">IF(B331&gt;=$J$5,0,CONTADORES!BV343-CONTADORES!BV342)/1000</f>
        <v>0</v>
      </c>
      <c r="BX331" s="1397">
        <f ca="1">IF(B331&gt;=$J$5,0,CONTADORES!BW343-CONTADORES!BW342)</f>
        <v>0</v>
      </c>
      <c r="BY331" s="1397">
        <f ca="1">IF(B331&gt;=$J$5,0,CONTADORES!BX343-CONTADORES!BX342)/1000</f>
        <v>0</v>
      </c>
      <c r="BZ331" s="1397">
        <f ca="1">IF(B331&gt;=$J$5,0,CONTADORES!BY343-CONTADORES!BY342)/1000</f>
        <v>0</v>
      </c>
      <c r="CA331" s="1397">
        <f ca="1">IF(B331&gt;=$J$5,0,CONTADORES!BZ343-CONTADORES!BZ342)</f>
        <v>0</v>
      </c>
      <c r="CB331" s="1397">
        <f ca="1">IF(B331&gt;=$J$5,0,(CONTADORES!CC343-CONTADORES!CC342)+(CONTADORES!CE343-CONTADORES!CE342))/1000</f>
        <v>0</v>
      </c>
      <c r="CC331" s="1397">
        <f ca="1">IF(B331&gt;=$J$5,0,(CONTADORES!CD343-CONTADORES!CD342)+(CONTADORES!CF343-CONTADORES!CF342))/1000</f>
        <v>0</v>
      </c>
      <c r="CD331" s="1397">
        <f ca="1">IF(B331&gt;=$J$5,0,CONTADORES!CA343-CONTADORES!CA342)</f>
        <v>0</v>
      </c>
      <c r="CE331" s="1397">
        <f ca="1">IF(B331&gt;=$J$5,0,CONTADORES!CB343-CONTADORES!CB342)</f>
        <v>0</v>
      </c>
      <c r="CF331" s="1397">
        <f t="shared" ref="CF331:CF375" ca="1" si="181">CD331+CH331</f>
        <v>0</v>
      </c>
      <c r="CG331" s="1397">
        <f t="shared" ref="CG331:CG375" ca="1" si="182">CN331+CM331</f>
        <v>0</v>
      </c>
      <c r="CH331" s="1397">
        <f t="shared" ref="CH331:CH375" ca="1" si="183">(AM331*0.5)</f>
        <v>0</v>
      </c>
      <c r="CI331" s="1397">
        <f t="shared" ref="CI331:CI375" ca="1" si="184">(AN331*0.4)</f>
        <v>0</v>
      </c>
      <c r="CJ331" s="1397">
        <f t="shared" ref="CJ331:CJ375" ca="1" si="185">AM331-CH331</f>
        <v>0</v>
      </c>
      <c r="CK331" s="1397">
        <f t="shared" ref="CK331:CK375" ca="1" si="186">AN331-CI331</f>
        <v>0</v>
      </c>
      <c r="CL331" s="1397">
        <f t="shared" ref="CL331:CL375" ca="1" si="187">CB331+CI331</f>
        <v>0</v>
      </c>
      <c r="CM331" s="1397">
        <f t="shared" ref="CM331:CM375" ca="1" si="188">(BB331*0.5)</f>
        <v>0</v>
      </c>
      <c r="CN331" s="1397">
        <f ca="1">IF(B331&gt;=$J$5,0,CONTADORES!CB343-CONTADORES!CB342)</f>
        <v>0</v>
      </c>
      <c r="CO331" s="1397">
        <f t="shared" ref="CO331:CO375" ca="1" si="189">BB331-CM331</f>
        <v>0</v>
      </c>
      <c r="CP331" s="1397">
        <f t="shared" ref="CP331:CP375" ca="1" si="190">BC331*0.5</f>
        <v>0</v>
      </c>
      <c r="CQ331" s="1397">
        <f t="shared" ref="CQ331:CQ375" ca="1" si="191">BC331-CP331</f>
        <v>0</v>
      </c>
      <c r="CR331" s="1397">
        <f t="shared" ref="CR331:CR375" ca="1" si="192">CC331+CP331</f>
        <v>0</v>
      </c>
      <c r="CS331" s="1403">
        <f ca="1">IF($B331&gt;=$J$5,0,CONTADORES!$BI343)</f>
        <v>0</v>
      </c>
      <c r="CT331" s="1369">
        <f>CONTADORES!E343</f>
        <v>0</v>
      </c>
      <c r="CU331" s="1369">
        <f>CONTADORES!CG343</f>
        <v>0</v>
      </c>
    </row>
    <row r="332" spans="2:99">
      <c r="B332" s="390">
        <v>45248</v>
      </c>
      <c r="C332" s="198">
        <f t="shared" ca="1" si="166"/>
        <v>0</v>
      </c>
      <c r="D332" s="196">
        <f ca="1">'CALCULO DE GAS'!P157</f>
        <v>0</v>
      </c>
      <c r="E332" s="196">
        <f ca="1">IF(B332&gt;=$J$5,0,(CONTADORES!$AD344-CONTADORES!$AD343)-$H332)</f>
        <v>0</v>
      </c>
      <c r="F332" s="198">
        <f t="shared" ca="1" si="164"/>
        <v>0</v>
      </c>
      <c r="G332" s="196">
        <f ca="1">IF(B332&gt;=$J$5,0,CONTADORES!$AF344-CONTADORES!$AF343)</f>
        <v>0</v>
      </c>
      <c r="H332" s="196">
        <f ca="1">IF(G332&gt;0,CONTADORES!$AE344-CONTADORES!$AE343,0)</f>
        <v>0</v>
      </c>
      <c r="I332" s="199">
        <f ca="1">IF(B332&gt;=$J$5,0,CONTADORES!$AB344-CONTADORES!$AB343)</f>
        <v>0</v>
      </c>
      <c r="J332" s="198">
        <f ca="1">P332-M332</f>
        <v>0</v>
      </c>
      <c r="K332" s="196">
        <f ca="1">'CALCULO DE GAS'!Q157</f>
        <v>0</v>
      </c>
      <c r="L332" s="1396">
        <f ca="1">IF(B332&gt;=$J$5,0,(CONTADORES!$Y344-CONTADORES!$Y343)-$O332)</f>
        <v>0</v>
      </c>
      <c r="M332" s="1396">
        <f t="shared" ca="1" si="168"/>
        <v>0</v>
      </c>
      <c r="N332" s="1396">
        <f ca="1">IF(B332&gt;=$J$5,0,CONTADORES!$AA344-CONTADORES!$AA343)</f>
        <v>0</v>
      </c>
      <c r="O332" s="1396">
        <f ca="1">IF(N332&gt;0,CONTADORES!$Z344-CONTADORES!$Z343,0)</f>
        <v>0</v>
      </c>
      <c r="P332" s="202">
        <f ca="1">IF(B332&gt;=$J$5,0,CONTADORES!$W344-CONTADORES!$W343)</f>
        <v>0</v>
      </c>
      <c r="Q332" s="202">
        <f ca="1">IF(B332&gt;=$J$5,0,CONTADORES!$B344-CONTADORES!$B343)</f>
        <v>0</v>
      </c>
      <c r="R332" s="196">
        <f t="shared" ca="1" si="169"/>
        <v>0</v>
      </c>
      <c r="S332" s="11">
        <f ca="1">IF(B332&gt;=$J$5,0,CONTADORES!$D344-CONTADORES!$D343)</f>
        <v>0</v>
      </c>
      <c r="T332" s="198">
        <f ca="1">IF(B332&gt;=$J$5,0,CONTADORES!$BB344-CONTADORES!$BB343)</f>
        <v>0</v>
      </c>
      <c r="U332" s="196">
        <f t="shared" ca="1" si="162"/>
        <v>0</v>
      </c>
      <c r="V332" s="11">
        <f ca="1">IF(B332&gt;=$J$5,0,CONTADORES!$BD344-CONTADORES!$BD343)</f>
        <v>0</v>
      </c>
      <c r="W332" s="1397">
        <f t="shared" ca="1" si="170"/>
        <v>0</v>
      </c>
      <c r="X332" s="1397">
        <f t="shared" ca="1" si="171"/>
        <v>0</v>
      </c>
      <c r="Y332" s="1398">
        <f t="shared" ca="1" si="172"/>
        <v>0</v>
      </c>
      <c r="Z332" s="1398">
        <f t="shared" ca="1" si="173"/>
        <v>0</v>
      </c>
      <c r="AA332" s="1398">
        <f t="shared" ca="1" si="174"/>
        <v>0</v>
      </c>
      <c r="AB332" s="1398">
        <f t="shared" ca="1" si="175"/>
        <v>0</v>
      </c>
      <c r="AC332" s="1397">
        <f t="shared" ca="1" si="176"/>
        <v>0</v>
      </c>
      <c r="AD332" s="1407">
        <f ca="1">IF(B332&gt;=$J$5,0,CONTADORES!H344-CONTADORES!H343)</f>
        <v>0</v>
      </c>
      <c r="AE332" s="1397">
        <f ca="1">IF(B332&gt;=$J$5,0,CONTADORES!J344-CONTADORES!J343)</f>
        <v>0</v>
      </c>
      <c r="AF332" s="1397">
        <f ca="1">IF(B332&gt;=$J$5,0,CONTADORES!AU344-CONTADORES!AU343)</f>
        <v>0</v>
      </c>
      <c r="AG332" s="1397">
        <f ca="1">IF(B332&gt;=$J$5,0,CONTADORES!AW344-CONTADORES!AW343)</f>
        <v>0</v>
      </c>
      <c r="AH332" s="1398">
        <f ca="1">IF(B332&gt;=$J$5,0,(CONTADORES!AM344-CONTADORES!AM343)+(CONTADORES!M344-CONTADORES!M343))</f>
        <v>0</v>
      </c>
      <c r="AI332" s="1397">
        <f ca="1">IF(B332&gt;=$J$5,0,(CONTADORES!AK344-CONTADORES!AK343)+(CONTADORES!O344-CONTADORES!O343))</f>
        <v>0</v>
      </c>
      <c r="AJ332" s="1397">
        <f ca="1">IF(B332&gt;=$J$5,0,(CONTADORES!AI344-CONTADORES!AI343))</f>
        <v>0</v>
      </c>
      <c r="AK332" s="1397">
        <f ca="1">IF(B332&gt;=$J$5,0,(CONTADORES!Q344-CONTADORES!Q343))</f>
        <v>0</v>
      </c>
      <c r="AL332" s="1461">
        <f t="shared" ca="1" si="177"/>
        <v>0</v>
      </c>
      <c r="AM332" s="1397">
        <f ca="1">IF(B332&gt;=$J$5,0,(((CONTADORES!F344-CONTADORES!F343)+(CONTADORES!AQ344-CONTADORES!AQ343))))-BS332-AF332-AN332-BV332-BY332-CD332-CB332+T332</f>
        <v>0</v>
      </c>
      <c r="AN332" s="1397">
        <f ca="1">IF(B332&gt;=$J$5,0,(CONTADORES!AX344-CONTADORES!AX343)+(CONTADORES!AZ344-CONTADORES!AZ343)+(CONTADORES!BE344-CONTADORES!BE343))-CB332</f>
        <v>0</v>
      </c>
      <c r="AO332" s="1399">
        <f ca="1">IF(B332&gt;=$J$5,0,(CONTADORES!AC344-CONTADORES!AC343))</f>
        <v>0</v>
      </c>
      <c r="AP332" s="1433">
        <f ca="1">IF(B332&gt;=$J$5,0,(CONTADORES!X344-CONTADORES!X343))</f>
        <v>0</v>
      </c>
      <c r="AQ332" s="1399">
        <f ca="1">IF(B332&gt;=$J$5,0,(CONTADORES!C344-CONTADORES!C343))</f>
        <v>0</v>
      </c>
      <c r="AR332" s="1399">
        <f ca="1">IF(B332&gt;=$J$5,0,(CONTADORES!BC344-CONTADORES!BC343))</f>
        <v>0</v>
      </c>
      <c r="AS332" s="1397">
        <f ca="1">IF(B332&gt;=$J$5,0,CONTADORES!S344-CONTADORES!S343)</f>
        <v>0</v>
      </c>
      <c r="AT332" s="1397">
        <f ca="1">IF(B332&gt;=$J$5,0,(CONTADORES!U344-CONTADORES!U343)+(CONTADORES!AG344-CONTADORES!AG343))</f>
        <v>0</v>
      </c>
      <c r="AU332" s="1433">
        <f ca="1">IF(B332&gt;=$J$5,0,(CONTADORES!I344-CONTADORES!I343))</f>
        <v>0</v>
      </c>
      <c r="AV332" s="1399">
        <f ca="1">IF(B332&gt;=$J$5,0,(CONTADORES!AV344-CONTADORES!AV343))</f>
        <v>0</v>
      </c>
      <c r="AW332" s="1433">
        <f ca="1">IF(B332&gt;=$J$5,0,(CONTADORES!N344-CONTADORES!N343)+(CONTADORES!AN344-CONTADORES!AN343))</f>
        <v>0</v>
      </c>
      <c r="AX332" s="1399">
        <f ca="1">IF(B332&gt;=$J$5,0,(CONTADORES!P344-CONTADORES!P343)+(CONTADORES!AL344-CONTADORES!AL343))</f>
        <v>0</v>
      </c>
      <c r="AY332" s="1399">
        <f ca="1">IF(B332&gt;=$J$5,0,(CONTADORES!AJ344-CONTADORES!AJ343))</f>
        <v>0</v>
      </c>
      <c r="AZ332" s="1399">
        <f ca="1">IF(B332&gt;=$J$5,0,(CONTADORES!R344-CONTADORES!R343))</f>
        <v>0</v>
      </c>
      <c r="BA332" s="1409">
        <f t="shared" ca="1" si="178"/>
        <v>0</v>
      </c>
      <c r="BB332" s="1399">
        <f ca="1">IF(B332&gt;=$J$5,0,(((CONTADORES!G344-CONTADORES!G343)+(CONTADORES!AR344-CONTADORES!AR343))))-AV332-BC332-BT332-BW332-BZ332-CE332-AR332</f>
        <v>0</v>
      </c>
      <c r="BC332" s="1397">
        <f ca="1">IF(B332&gt;=$J$5,0,(CONTADORES!AY344-CONTADORES!AY343)+(CONTADORES!BA344-CONTADORES!BA343)+(CONTADORES!BF344-CONTADORES!BF343))</f>
        <v>0</v>
      </c>
      <c r="BD332" s="1397">
        <f t="shared" ca="1" si="179"/>
        <v>0</v>
      </c>
      <c r="BE332" s="1398">
        <f ca="1">IF($B332&gt;=$J$5,0,CONTADORES!$BG344)</f>
        <v>0</v>
      </c>
      <c r="BF332" s="1397">
        <f ca="1">IF($B332&gt;=$J$5,0,CONTADORES!$BH344)</f>
        <v>0</v>
      </c>
      <c r="BG332" s="1397">
        <f ca="1">IF($B332&gt;=$J$5,0,CONTADORES!$BJ344)</f>
        <v>0</v>
      </c>
      <c r="BH332" s="1397">
        <f ca="1">IF(B332&gt;=$J$5,0,((CONTADORES!BK344-CONTADORES!BK343)/1000))</f>
        <v>0</v>
      </c>
      <c r="BI332" s="1397">
        <f ca="1">IF(C332&gt;=$J$5,0,((CONTADORES!BL344-CONTADORES!BL343)/1000))</f>
        <v>0</v>
      </c>
      <c r="BJ332" s="1397">
        <f ca="1">IF(C332&gt;=$J$5,0,((CONTADORES!BM344-CONTADORES!BM343)/1000))</f>
        <v>0</v>
      </c>
      <c r="BK332" s="1397">
        <f ca="1">IF(D332&gt;=$J$5,0,((CONTADORES!BN344-CONTADORES!BN343)/1000))</f>
        <v>0</v>
      </c>
      <c r="BL332" s="1399">
        <f t="shared" ref="BL332:BL335" ca="1" si="193">BH332+BJ332</f>
        <v>0</v>
      </c>
      <c r="BM332" s="1399">
        <f t="shared" ca="1" si="180"/>
        <v>0</v>
      </c>
      <c r="BN332" s="1399">
        <f ca="1">IF(B332&gt;=$J$5,0,CONTADORES!$BO344)</f>
        <v>0</v>
      </c>
      <c r="BO332" s="1397">
        <f ca="1">IF(W332&gt;=$J$5,0,CONTADORES!$BP344)</f>
        <v>0</v>
      </c>
      <c r="BP332" s="1397">
        <f ca="1">IF(W332&gt;=$J$5,0,CONTADORES!$BQ344)</f>
        <v>0</v>
      </c>
      <c r="BQ332" s="1397">
        <f ca="1">IF(B332&gt;=$J$5,0,(CONTADORES!AS344-CONTADORES!AS343))</f>
        <v>0</v>
      </c>
      <c r="BR332" s="1397">
        <f ca="1">IF(B332&gt;=$J$5,0,(CONTADORES!AT344-CONTADORES!AT343))</f>
        <v>0</v>
      </c>
      <c r="BS332" s="1397">
        <f ca="1">IF(B332&gt;=$J$5,0,CONTADORES!BR344-CONTADORES!BR343)/1000</f>
        <v>0</v>
      </c>
      <c r="BT332" s="1398">
        <f ca="1">IF(B332&gt;=$J$5,0,CONTADORES!BS344-CONTADORES!BS343)</f>
        <v>0</v>
      </c>
      <c r="BU332" s="1397">
        <f ca="1">IF(B332&gt;=$J$5,0,CONTADORES!BT344-CONTADORES!BT343)</f>
        <v>0</v>
      </c>
      <c r="BV332" s="1397">
        <f ca="1">IF(B332&gt;=$J$5,0,CONTADORES!BU344-CONTADORES!BU343)/1000</f>
        <v>0</v>
      </c>
      <c r="BW332" s="1397">
        <f ca="1">IF(B332&gt;=$J$5,0,CONTADORES!BV344-CONTADORES!BV343)/1000</f>
        <v>0</v>
      </c>
      <c r="BX332" s="1397">
        <f ca="1">IF(B332&gt;=$J$5,0,CONTADORES!BW344-CONTADORES!BW343)</f>
        <v>0</v>
      </c>
      <c r="BY332" s="1397">
        <f ca="1">IF(B332&gt;=$J$5,0,CONTADORES!BX344-CONTADORES!BX343)/1000</f>
        <v>0</v>
      </c>
      <c r="BZ332" s="1397">
        <f ca="1">IF(B332&gt;=$J$5,0,CONTADORES!BY344-CONTADORES!BY343)/1000</f>
        <v>0</v>
      </c>
      <c r="CA332" s="1397">
        <f ca="1">IF(B332&gt;=$J$5,0,CONTADORES!BZ344-CONTADORES!BZ343)</f>
        <v>0</v>
      </c>
      <c r="CB332" s="1397">
        <f ca="1">IF(B332&gt;=$J$5,0,(CONTADORES!CC344-CONTADORES!CC343)+(CONTADORES!CE344-CONTADORES!CE343))/1000</f>
        <v>0</v>
      </c>
      <c r="CC332" s="1397">
        <f ca="1">IF(B332&gt;=$J$5,0,(CONTADORES!CD344-CONTADORES!CD343)+(CONTADORES!CF344-CONTADORES!CF343))/1000</f>
        <v>0</v>
      </c>
      <c r="CD332" s="1397">
        <f ca="1">IF(B332&gt;=$J$5,0,CONTADORES!CA344-CONTADORES!CA343)</f>
        <v>0</v>
      </c>
      <c r="CE332" s="1397">
        <f ca="1">IF(B332&gt;=$J$5,0,CONTADORES!CB344-CONTADORES!CB343)</f>
        <v>0</v>
      </c>
      <c r="CF332" s="1397">
        <f t="shared" ca="1" si="181"/>
        <v>0</v>
      </c>
      <c r="CG332" s="1397">
        <f t="shared" ca="1" si="182"/>
        <v>0</v>
      </c>
      <c r="CH332" s="1397">
        <f t="shared" ca="1" si="183"/>
        <v>0</v>
      </c>
      <c r="CI332" s="1397">
        <f t="shared" ca="1" si="184"/>
        <v>0</v>
      </c>
      <c r="CJ332" s="1397">
        <f t="shared" ca="1" si="185"/>
        <v>0</v>
      </c>
      <c r="CK332" s="1397">
        <f t="shared" ca="1" si="186"/>
        <v>0</v>
      </c>
      <c r="CL332" s="1397">
        <f t="shared" ca="1" si="187"/>
        <v>0</v>
      </c>
      <c r="CM332" s="1397">
        <f t="shared" ca="1" si="188"/>
        <v>0</v>
      </c>
      <c r="CN332" s="1397">
        <f ca="1">IF(B332&gt;=$J$5,0,CONTADORES!CB344-CONTADORES!CB343)</f>
        <v>0</v>
      </c>
      <c r="CO332" s="1397">
        <f t="shared" ca="1" si="189"/>
        <v>0</v>
      </c>
      <c r="CP332" s="1397">
        <f t="shared" ca="1" si="190"/>
        <v>0</v>
      </c>
      <c r="CQ332" s="1397">
        <f t="shared" ca="1" si="191"/>
        <v>0</v>
      </c>
      <c r="CR332" s="1397">
        <f t="shared" ca="1" si="192"/>
        <v>0</v>
      </c>
      <c r="CS332" s="1403">
        <f ca="1">IF($B332&gt;=$J$5,0,CONTADORES!$BI344)</f>
        <v>0</v>
      </c>
      <c r="CT332" s="1369">
        <f>CONTADORES!E344</f>
        <v>0</v>
      </c>
      <c r="CU332" s="1369">
        <f>CONTADORES!CG344</f>
        <v>0</v>
      </c>
    </row>
    <row r="333" spans="2:99">
      <c r="B333" s="390">
        <v>45249</v>
      </c>
      <c r="C333" s="198">
        <f t="shared" ca="1" si="166"/>
        <v>0</v>
      </c>
      <c r="D333" s="196">
        <f ca="1">'CALCULO DE GAS'!P158</f>
        <v>0</v>
      </c>
      <c r="E333" s="196">
        <f ca="1">IF(B333&gt;=$J$5,0,(CONTADORES!$AD345-CONTADORES!$AD344)-$H333)</f>
        <v>0</v>
      </c>
      <c r="F333" s="198">
        <f t="shared" ca="1" si="164"/>
        <v>0</v>
      </c>
      <c r="G333" s="196">
        <f ca="1">IF(B333&gt;=$J$5,0,CONTADORES!$AF345-CONTADORES!$AF344)</f>
        <v>0</v>
      </c>
      <c r="H333" s="196">
        <f ca="1">IF(G333&gt;0,CONTADORES!$AE345-CONTADORES!$AE344,0)</f>
        <v>0</v>
      </c>
      <c r="I333" s="199">
        <f ca="1">IF(B333&gt;=$J$5,0,CONTADORES!$AB345-CONTADORES!$AB344)</f>
        <v>0</v>
      </c>
      <c r="J333" s="198">
        <f t="shared" ca="1" si="167"/>
        <v>0</v>
      </c>
      <c r="K333" s="196">
        <f ca="1">'CALCULO DE GAS'!Q158</f>
        <v>0</v>
      </c>
      <c r="L333" s="1396">
        <f ca="1">IF(B333&gt;=$J$5,0,(CONTADORES!$Y345-CONTADORES!$Y344)-$O333)</f>
        <v>0</v>
      </c>
      <c r="M333" s="1396">
        <f t="shared" ca="1" si="168"/>
        <v>0</v>
      </c>
      <c r="N333" s="1396">
        <f ca="1">IF(B333&gt;=$J$5,0,CONTADORES!$AA345-CONTADORES!$AA344)</f>
        <v>0</v>
      </c>
      <c r="O333" s="1396">
        <f ca="1">IF(N333&gt;0,CONTADORES!$Z345-CONTADORES!$Z344,0)</f>
        <v>0</v>
      </c>
      <c r="P333" s="202">
        <f ca="1">IF(B333&gt;=$J$5,0,CONTADORES!$W345-CONTADORES!$W344)</f>
        <v>0</v>
      </c>
      <c r="Q333" s="202">
        <f ca="1">IF(B333&gt;=$J$5,0,CONTADORES!$B345-CONTADORES!$B344)</f>
        <v>0</v>
      </c>
      <c r="R333" s="196">
        <f t="shared" ca="1" si="169"/>
        <v>0</v>
      </c>
      <c r="S333" s="11">
        <f ca="1">IF(B333&gt;=$J$5,0,CONTADORES!$D345-CONTADORES!$D344)</f>
        <v>0</v>
      </c>
      <c r="T333" s="198">
        <f ca="1">IF(B333&gt;=$J$5,0,CONTADORES!$BB345-CONTADORES!$BB344)</f>
        <v>0</v>
      </c>
      <c r="U333" s="196">
        <f t="shared" ca="1" si="162"/>
        <v>0</v>
      </c>
      <c r="V333" s="11">
        <f ca="1">IF(B333&gt;=$J$5,0,CONTADORES!$BD345-CONTADORES!$BD344)</f>
        <v>0</v>
      </c>
      <c r="W333" s="1397">
        <f t="shared" ca="1" si="170"/>
        <v>0</v>
      </c>
      <c r="X333" s="1397">
        <f t="shared" ca="1" si="171"/>
        <v>0</v>
      </c>
      <c r="Y333" s="1398">
        <f t="shared" ca="1" si="172"/>
        <v>0</v>
      </c>
      <c r="Z333" s="1398">
        <f t="shared" ca="1" si="173"/>
        <v>0</v>
      </c>
      <c r="AA333" s="1398">
        <f t="shared" ca="1" si="174"/>
        <v>0</v>
      </c>
      <c r="AB333" s="1398">
        <f t="shared" ca="1" si="175"/>
        <v>0</v>
      </c>
      <c r="AC333" s="1397">
        <f t="shared" ca="1" si="176"/>
        <v>0</v>
      </c>
      <c r="AD333" s="1407">
        <f ca="1">IF(B333&gt;=$J$5,0,CONTADORES!H345-CONTADORES!H344)</f>
        <v>0</v>
      </c>
      <c r="AE333" s="1397">
        <f ca="1">IF(B333&gt;=$J$5,0,CONTADORES!J345-CONTADORES!J344)</f>
        <v>0</v>
      </c>
      <c r="AF333" s="1397">
        <f ca="1">IF(B333&gt;=$J$5,0,CONTADORES!AU345-CONTADORES!AU344)</f>
        <v>0</v>
      </c>
      <c r="AG333" s="1397">
        <f ca="1">IF(B333&gt;=$J$5,0,CONTADORES!AW345-CONTADORES!AW344)</f>
        <v>0</v>
      </c>
      <c r="AH333" s="1398">
        <f ca="1">IF(B333&gt;=$J$5,0,(CONTADORES!AM345-CONTADORES!AM344)+(CONTADORES!M345-CONTADORES!M344))</f>
        <v>0</v>
      </c>
      <c r="AI333" s="1397">
        <f ca="1">IF(B333&gt;=$J$5,0,(CONTADORES!AK345-CONTADORES!AK344)+(CONTADORES!O345-CONTADORES!O344))</f>
        <v>0</v>
      </c>
      <c r="AJ333" s="1397">
        <f ca="1">IF(B333&gt;=$J$5,0,(CONTADORES!AI345-CONTADORES!AI344))</f>
        <v>0</v>
      </c>
      <c r="AK333" s="1397">
        <f ca="1">IF(B333&gt;=$J$5,0,(CONTADORES!Q345-CONTADORES!Q344))</f>
        <v>0</v>
      </c>
      <c r="AL333" s="1461">
        <f t="shared" ca="1" si="177"/>
        <v>0</v>
      </c>
      <c r="AM333" s="1397">
        <f ca="1">IF(B333&gt;=$J$5,0,(((CONTADORES!F345-CONTADORES!F344)+(CONTADORES!AQ345-CONTADORES!AQ344))))-BS333-AF333-AN333-BV333-BY333-CD333-CB333+T333</f>
        <v>0</v>
      </c>
      <c r="AN333" s="1397">
        <f ca="1">IF(B333&gt;=$J$5,0,(CONTADORES!AX345-CONTADORES!AX344)+(CONTADORES!AZ345-CONTADORES!AZ344)+(CONTADORES!BE345-CONTADORES!BE344))-CB333</f>
        <v>0</v>
      </c>
      <c r="AO333" s="1399">
        <f ca="1">IF(B333&gt;=$J$5,0,(CONTADORES!AC345-CONTADORES!AC344))</f>
        <v>0</v>
      </c>
      <c r="AP333" s="1433">
        <f ca="1">IF(B333&gt;=$J$5,0,(CONTADORES!X345-CONTADORES!X344))</f>
        <v>0</v>
      </c>
      <c r="AQ333" s="1399">
        <f ca="1">IF(B333&gt;=$J$5,0,(CONTADORES!C345-CONTADORES!C344))</f>
        <v>0</v>
      </c>
      <c r="AR333" s="1399">
        <f ca="1">IF(B333&gt;=$J$5,0,(CONTADORES!BC345-CONTADORES!BC344))</f>
        <v>0</v>
      </c>
      <c r="AS333" s="1397">
        <f ca="1">IF(B333&gt;=$J$5,0,CONTADORES!S345-CONTADORES!S344)</f>
        <v>0</v>
      </c>
      <c r="AT333" s="1397">
        <f ca="1">IF(B333&gt;=$J$5,0,(CONTADORES!U345-CONTADORES!U344)+(CONTADORES!AG345-CONTADORES!AG344))</f>
        <v>0</v>
      </c>
      <c r="AU333" s="1433">
        <f ca="1">IF(B333&gt;=$J$5,0,(CONTADORES!I345-CONTADORES!I344))</f>
        <v>0</v>
      </c>
      <c r="AV333" s="1399">
        <f ca="1">IF(B333&gt;=$J$5,0,(CONTADORES!AV345-CONTADORES!AV344))</f>
        <v>0</v>
      </c>
      <c r="AW333" s="1433">
        <f ca="1">IF(B333&gt;=$J$5,0,(CONTADORES!N345-CONTADORES!N344)+(CONTADORES!AN345-CONTADORES!AN344))</f>
        <v>0</v>
      </c>
      <c r="AX333" s="1399">
        <f ca="1">IF(B333&gt;=$J$5,0,(CONTADORES!P345-CONTADORES!P344)+(CONTADORES!AL345-CONTADORES!AL344))</f>
        <v>0</v>
      </c>
      <c r="AY333" s="1399">
        <f ca="1">IF(B333&gt;=$J$5,0,(CONTADORES!AJ345-CONTADORES!AJ344))</f>
        <v>0</v>
      </c>
      <c r="AZ333" s="1399">
        <f ca="1">IF(B333&gt;=$J$5,0,(CONTADORES!R345-CONTADORES!R344))</f>
        <v>0</v>
      </c>
      <c r="BA333" s="1409">
        <f t="shared" ca="1" si="178"/>
        <v>0</v>
      </c>
      <c r="BB333" s="1399">
        <f ca="1">IF(B333&gt;=$J$5,0,(((CONTADORES!G345-CONTADORES!G344)+(CONTADORES!AR345-CONTADORES!AR344))))-AV333-BC333-BT333-BW333-BZ333-CE333-AR333</f>
        <v>0</v>
      </c>
      <c r="BC333" s="1397">
        <f ca="1">IF(B333&gt;=$J$5,0,(CONTADORES!AY345-CONTADORES!AY344)+(CONTADORES!BA345-CONTADORES!BA344)+(CONTADORES!BF345-CONTADORES!BF344))</f>
        <v>0</v>
      </c>
      <c r="BD333" s="1397">
        <f t="shared" ca="1" si="179"/>
        <v>0</v>
      </c>
      <c r="BE333" s="1398">
        <f ca="1">IF($B333&gt;=$J$5,0,CONTADORES!$BG345)</f>
        <v>0</v>
      </c>
      <c r="BF333" s="1397">
        <f ca="1">IF($B333&gt;=$J$5,0,CONTADORES!$BH345)</f>
        <v>0</v>
      </c>
      <c r="BG333" s="1397">
        <f ca="1">IF($B333&gt;=$J$5,0,CONTADORES!$BJ345)</f>
        <v>0</v>
      </c>
      <c r="BH333" s="1397">
        <f ca="1">IF(B333&gt;=$J$5,0,((CONTADORES!BK345-CONTADORES!BK344)/1000))</f>
        <v>0</v>
      </c>
      <c r="BI333" s="1397">
        <f ca="1">IF(C333&gt;=$J$5,0,((CONTADORES!BL345-CONTADORES!BL344)/1000))</f>
        <v>0</v>
      </c>
      <c r="BJ333" s="1397">
        <f ca="1">IF(C333&gt;=$J$5,0,((CONTADORES!BM345-CONTADORES!BM344)/1000))</f>
        <v>0</v>
      </c>
      <c r="BK333" s="1397">
        <f ca="1">IF(D333&gt;=$J$5,0,((CONTADORES!BN345-CONTADORES!BN344)/1000))</f>
        <v>0</v>
      </c>
      <c r="BL333" s="1399">
        <f t="shared" ca="1" si="193"/>
        <v>0</v>
      </c>
      <c r="BM333" s="1399">
        <f t="shared" ca="1" si="180"/>
        <v>0</v>
      </c>
      <c r="BN333" s="1399">
        <f ca="1">IF(B333&gt;=$J$5,0,CONTADORES!$BO345)</f>
        <v>0</v>
      </c>
      <c r="BO333" s="1397">
        <f ca="1">IF(W333&gt;=$J$5,0,CONTADORES!$BP345)</f>
        <v>0</v>
      </c>
      <c r="BP333" s="1397">
        <f ca="1">IF(W333&gt;=$J$5,0,CONTADORES!$BQ345)</f>
        <v>0</v>
      </c>
      <c r="BQ333" s="1397">
        <f ca="1">IF(B333&gt;=$J$5,0,(CONTADORES!AS345-CONTADORES!AS344))</f>
        <v>0</v>
      </c>
      <c r="BR333" s="1397">
        <f ca="1">IF(B333&gt;=$J$5,0,(CONTADORES!AT345-CONTADORES!AT344))</f>
        <v>0</v>
      </c>
      <c r="BS333" s="1397">
        <f ca="1">IF(B333&gt;=$J$5,0,CONTADORES!BR345-CONTADORES!BR344)/1000</f>
        <v>0</v>
      </c>
      <c r="BT333" s="1398">
        <f ca="1">IF(B333&gt;=$J$5,0,CONTADORES!BS345-CONTADORES!BS344)</f>
        <v>0</v>
      </c>
      <c r="BU333" s="1397">
        <f ca="1">IF(B333&gt;=$J$5,0,CONTADORES!BT345-CONTADORES!BT344)</f>
        <v>0</v>
      </c>
      <c r="BV333" s="1397">
        <f ca="1">IF(B333&gt;=$J$5,0,CONTADORES!BU345-CONTADORES!BU344)/1000</f>
        <v>0</v>
      </c>
      <c r="BW333" s="1397">
        <f ca="1">IF(B333&gt;=$J$5,0,CONTADORES!BV345-CONTADORES!BV344)/1000</f>
        <v>0</v>
      </c>
      <c r="BX333" s="1397">
        <f ca="1">IF(B333&gt;=$J$5,0,CONTADORES!BW345-CONTADORES!BW344)</f>
        <v>0</v>
      </c>
      <c r="BY333" s="1397">
        <f ca="1">IF(B333&gt;=$J$5,0,CONTADORES!BX345-CONTADORES!BX344)/1000</f>
        <v>0</v>
      </c>
      <c r="BZ333" s="1397">
        <f ca="1">IF(B333&gt;=$J$5,0,CONTADORES!BY345-CONTADORES!BY344)/1000</f>
        <v>0</v>
      </c>
      <c r="CA333" s="1397">
        <f ca="1">IF(B333&gt;=$J$5,0,CONTADORES!BZ345-CONTADORES!BZ344)</f>
        <v>0</v>
      </c>
      <c r="CB333" s="1397">
        <f ca="1">IF(B333&gt;=$J$5,0,(CONTADORES!CC345-CONTADORES!CC344)+(CONTADORES!CE345-CONTADORES!CE344))/1000</f>
        <v>0</v>
      </c>
      <c r="CC333" s="1397">
        <f ca="1">IF(B333&gt;=$J$5,0,(CONTADORES!CD345-CONTADORES!CD344)+(CONTADORES!CF345-CONTADORES!CF344))/1000</f>
        <v>0</v>
      </c>
      <c r="CD333" s="1397">
        <f ca="1">IF(B333&gt;=$J$5,0,CONTADORES!CA345-CONTADORES!CA344)</f>
        <v>0</v>
      </c>
      <c r="CE333" s="1397">
        <f ca="1">IF(B333&gt;=$J$5,0,CONTADORES!CB345-CONTADORES!CB344)</f>
        <v>0</v>
      </c>
      <c r="CF333" s="1397">
        <f t="shared" ca="1" si="181"/>
        <v>0</v>
      </c>
      <c r="CG333" s="1397">
        <f t="shared" ca="1" si="182"/>
        <v>0</v>
      </c>
      <c r="CH333" s="1397">
        <f t="shared" ca="1" si="183"/>
        <v>0</v>
      </c>
      <c r="CI333" s="1397">
        <f t="shared" ca="1" si="184"/>
        <v>0</v>
      </c>
      <c r="CJ333" s="1397">
        <f t="shared" ca="1" si="185"/>
        <v>0</v>
      </c>
      <c r="CK333" s="1397">
        <f t="shared" ca="1" si="186"/>
        <v>0</v>
      </c>
      <c r="CL333" s="1397">
        <f t="shared" ca="1" si="187"/>
        <v>0</v>
      </c>
      <c r="CM333" s="1397">
        <f t="shared" ca="1" si="188"/>
        <v>0</v>
      </c>
      <c r="CN333" s="1397">
        <f ca="1">IF(B333&gt;=$J$5,0,CONTADORES!CB345-CONTADORES!CB344)</f>
        <v>0</v>
      </c>
      <c r="CO333" s="1397">
        <f t="shared" ca="1" si="189"/>
        <v>0</v>
      </c>
      <c r="CP333" s="1397">
        <f t="shared" ca="1" si="190"/>
        <v>0</v>
      </c>
      <c r="CQ333" s="1397">
        <f t="shared" ca="1" si="191"/>
        <v>0</v>
      </c>
      <c r="CR333" s="1397">
        <f t="shared" ca="1" si="192"/>
        <v>0</v>
      </c>
      <c r="CS333" s="1403">
        <f ca="1">IF($B333&gt;=$J$5,0,CONTADORES!$BI345)</f>
        <v>0</v>
      </c>
      <c r="CT333" s="1369">
        <f>CONTADORES!E345</f>
        <v>0</v>
      </c>
      <c r="CU333" s="1369">
        <f>CONTADORES!CG345</f>
        <v>0</v>
      </c>
    </row>
    <row r="334" spans="2:99">
      <c r="B334" s="390">
        <v>45250</v>
      </c>
      <c r="C334" s="198">
        <f t="shared" ca="1" si="166"/>
        <v>0</v>
      </c>
      <c r="D334" s="196">
        <f ca="1">'CALCULO DE GAS'!P159</f>
        <v>0</v>
      </c>
      <c r="E334" s="196">
        <f ca="1">IF(B334&gt;=$J$5,0,(CONTADORES!$AD346-CONTADORES!$AD345)-$H334)</f>
        <v>0</v>
      </c>
      <c r="F334" s="198">
        <f t="shared" ca="1" si="164"/>
        <v>0</v>
      </c>
      <c r="G334" s="196">
        <f ca="1">IF(B334&gt;=$J$5,0,CONTADORES!$AF346-CONTADORES!$AF345)</f>
        <v>0</v>
      </c>
      <c r="H334" s="196">
        <f ca="1">IF(G334&gt;0,CONTADORES!$AE346-CONTADORES!$AE345,0)</f>
        <v>0</v>
      </c>
      <c r="I334" s="199">
        <f ca="1">IF(B334&gt;=$J$5,0,CONTADORES!$AB346-CONTADORES!$AB345)</f>
        <v>0</v>
      </c>
      <c r="J334" s="198">
        <f t="shared" ca="1" si="167"/>
        <v>0</v>
      </c>
      <c r="K334" s="196">
        <f ca="1">'CALCULO DE GAS'!Q159</f>
        <v>0</v>
      </c>
      <c r="L334" s="1396">
        <f ca="1">IF(B334&gt;=$J$5,0,(CONTADORES!$Y346-CONTADORES!$Y345)-$O334)</f>
        <v>0</v>
      </c>
      <c r="M334" s="1396">
        <f t="shared" ca="1" si="168"/>
        <v>0</v>
      </c>
      <c r="N334" s="1396">
        <f ca="1">IF(B334&gt;=$J$5,0,CONTADORES!$AA346-CONTADORES!$AA345)</f>
        <v>0</v>
      </c>
      <c r="O334" s="1396">
        <f ca="1">IF(N334&gt;0,CONTADORES!$Z346-CONTADORES!$Z345,0)</f>
        <v>0</v>
      </c>
      <c r="P334" s="202">
        <f ca="1">IF(B334&gt;=$J$5,0,CONTADORES!$W346-CONTADORES!$W345)</f>
        <v>0</v>
      </c>
      <c r="Q334" s="202">
        <f ca="1">IF(B334&gt;=$J$5,0,CONTADORES!$B346-CONTADORES!$B345)</f>
        <v>0</v>
      </c>
      <c r="R334" s="196">
        <f t="shared" ca="1" si="169"/>
        <v>0</v>
      </c>
      <c r="S334" s="11">
        <f ca="1">IF(B334&gt;=$J$5,0,CONTADORES!$D346-CONTADORES!$D345)</f>
        <v>0</v>
      </c>
      <c r="T334" s="198">
        <f ca="1">IF(B334&gt;=$J$5,0,CONTADORES!$BB346-CONTADORES!$BB345)</f>
        <v>0</v>
      </c>
      <c r="U334" s="196">
        <f t="shared" ca="1" si="162"/>
        <v>0</v>
      </c>
      <c r="V334" s="11">
        <f ca="1">IF(B334&gt;=$J$5,0,CONTADORES!$BD346-CONTADORES!$BD345)</f>
        <v>0</v>
      </c>
      <c r="W334" s="1397">
        <f t="shared" ca="1" si="170"/>
        <v>0</v>
      </c>
      <c r="X334" s="1397">
        <f t="shared" ca="1" si="171"/>
        <v>0</v>
      </c>
      <c r="Y334" s="1398">
        <f t="shared" ca="1" si="172"/>
        <v>0</v>
      </c>
      <c r="Z334" s="1398">
        <f t="shared" ca="1" si="173"/>
        <v>0</v>
      </c>
      <c r="AA334" s="1398">
        <f t="shared" ca="1" si="174"/>
        <v>0</v>
      </c>
      <c r="AB334" s="1398">
        <f t="shared" ca="1" si="175"/>
        <v>0</v>
      </c>
      <c r="AC334" s="1397">
        <f t="shared" ca="1" si="176"/>
        <v>0</v>
      </c>
      <c r="AD334" s="1407">
        <f ca="1">IF(B334&gt;=$J$5,0,CONTADORES!H346-CONTADORES!H345)</f>
        <v>0</v>
      </c>
      <c r="AE334" s="1397">
        <f ca="1">IF(B334&gt;=$J$5,0,CONTADORES!J346-CONTADORES!J345)</f>
        <v>0</v>
      </c>
      <c r="AF334" s="1397">
        <f ca="1">IF(B334&gt;=$J$5,0,CONTADORES!AU346-CONTADORES!AU345)</f>
        <v>0</v>
      </c>
      <c r="AG334" s="1397">
        <f ca="1">IF(B334&gt;=$J$5,0,CONTADORES!AW346-CONTADORES!AW345)</f>
        <v>0</v>
      </c>
      <c r="AH334" s="1398">
        <f ca="1">IF(B334&gt;=$J$5,0,(CONTADORES!AM346-CONTADORES!AM345)+(CONTADORES!M346-CONTADORES!M345))</f>
        <v>0</v>
      </c>
      <c r="AI334" s="1397">
        <f ca="1">IF(B334&gt;=$J$5,0,(CONTADORES!AK346-CONTADORES!AK345)+(CONTADORES!O346-CONTADORES!O345))</f>
        <v>0</v>
      </c>
      <c r="AJ334" s="1397">
        <f ca="1">IF(B334&gt;=$J$5,0,(CONTADORES!AI346-CONTADORES!AI345))</f>
        <v>0</v>
      </c>
      <c r="AK334" s="1397">
        <f ca="1">IF(B334&gt;=$J$5,0,(CONTADORES!Q346-CONTADORES!Q345))</f>
        <v>0</v>
      </c>
      <c r="AL334" s="1461">
        <f t="shared" ca="1" si="177"/>
        <v>0</v>
      </c>
      <c r="AM334" s="1397">
        <f ca="1">IF(B334&gt;=$J$5,0,(((CONTADORES!F346-CONTADORES!F345)+(CONTADORES!AQ346-CONTADORES!AQ345))))-BS334-AF334-AN334-BV334-BY334-CD334-CB334+T334</f>
        <v>0</v>
      </c>
      <c r="AN334" s="1397">
        <f ca="1">IF(B334&gt;=$J$5,0,(CONTADORES!AX346-CONTADORES!AX345)+(CONTADORES!AZ346-CONTADORES!AZ345)+(CONTADORES!BE346-CONTADORES!BE345))-CB334</f>
        <v>0</v>
      </c>
      <c r="AO334" s="1399">
        <f ca="1">IF(B334&gt;=$J$5,0,(CONTADORES!AC346-CONTADORES!AC345))</f>
        <v>0</v>
      </c>
      <c r="AP334" s="1433">
        <f ca="1">IF(B334&gt;=$J$5,0,(CONTADORES!X346-CONTADORES!X345))</f>
        <v>0</v>
      </c>
      <c r="AQ334" s="1399">
        <f ca="1">IF(B334&gt;=$J$5,0,(CONTADORES!C346-CONTADORES!C345))</f>
        <v>0</v>
      </c>
      <c r="AR334" s="1399">
        <f ca="1">IF(B334&gt;=$J$5,0,(CONTADORES!BC346-CONTADORES!BC345))</f>
        <v>0</v>
      </c>
      <c r="AS334" s="1397">
        <f ca="1">IF(B334&gt;=$J$5,0,CONTADORES!S346-CONTADORES!S345)</f>
        <v>0</v>
      </c>
      <c r="AT334" s="1397">
        <f ca="1">IF(B334&gt;=$J$5,0,(CONTADORES!U346-CONTADORES!U345)+(CONTADORES!AG346-CONTADORES!AG345))</f>
        <v>0</v>
      </c>
      <c r="AU334" s="1433">
        <f ca="1">IF(B334&gt;=$J$5,0,(CONTADORES!I346-CONTADORES!I345))</f>
        <v>0</v>
      </c>
      <c r="AV334" s="1399">
        <f ca="1">IF(B334&gt;=$J$5,0,(CONTADORES!AV346-CONTADORES!AV345))</f>
        <v>0</v>
      </c>
      <c r="AW334" s="1433">
        <f ca="1">IF(B334&gt;=$J$5,0,(CONTADORES!N346-CONTADORES!N345)+(CONTADORES!AN346-CONTADORES!AN345))</f>
        <v>0</v>
      </c>
      <c r="AX334" s="1399">
        <f ca="1">IF(B334&gt;=$J$5,0,(CONTADORES!P346-CONTADORES!P345)+(CONTADORES!AL346-CONTADORES!AL345))</f>
        <v>0</v>
      </c>
      <c r="AY334" s="1399">
        <f ca="1">IF(B334&gt;=$J$5,0,(CONTADORES!AJ346-CONTADORES!AJ345))</f>
        <v>0</v>
      </c>
      <c r="AZ334" s="1399">
        <f ca="1">IF(B334&gt;=$J$5,0,(CONTADORES!R346-CONTADORES!R345))</f>
        <v>0</v>
      </c>
      <c r="BA334" s="1409">
        <f t="shared" ca="1" si="178"/>
        <v>0</v>
      </c>
      <c r="BB334" s="1399">
        <f ca="1">IF(B334&gt;=$J$5,0,(((CONTADORES!G346-CONTADORES!G345)+(CONTADORES!AR346-CONTADORES!AR345))))-AV334-BC334-BT334-BW334-BZ334-CE334-AR334</f>
        <v>0</v>
      </c>
      <c r="BC334" s="1397">
        <f ca="1">IF(B334&gt;=$J$5,0,(CONTADORES!AY346-CONTADORES!AY345)+(CONTADORES!BA346-CONTADORES!BA345)+(CONTADORES!BF346-CONTADORES!BF345))</f>
        <v>0</v>
      </c>
      <c r="BD334" s="1397">
        <f t="shared" ca="1" si="179"/>
        <v>0</v>
      </c>
      <c r="BE334" s="1398">
        <f ca="1">IF($B334&gt;=$J$5,0,CONTADORES!$BG346)</f>
        <v>0</v>
      </c>
      <c r="BF334" s="1397">
        <f ca="1">IF($B334&gt;=$J$5,0,CONTADORES!$BH346)</f>
        <v>0</v>
      </c>
      <c r="BG334" s="1397">
        <f ca="1">IF($B334&gt;=$J$5,0,CONTADORES!$BJ346)</f>
        <v>0</v>
      </c>
      <c r="BH334" s="1397">
        <f ca="1">IF(B334&gt;=$J$5,0,((CONTADORES!BK346-CONTADORES!BK345)/1000))</f>
        <v>0</v>
      </c>
      <c r="BI334" s="1397">
        <f ca="1">IF(C334&gt;=$J$5,0,((CONTADORES!BL346-CONTADORES!BL345)/1000))</f>
        <v>0</v>
      </c>
      <c r="BJ334" s="1397">
        <f ca="1">IF(C334&gt;=$J$5,0,((CONTADORES!BM346-CONTADORES!BM345)/1000))</f>
        <v>0</v>
      </c>
      <c r="BK334" s="1397">
        <f ca="1">IF(D334&gt;=$J$5,0,((CONTADORES!BN346-CONTADORES!BN345)/1000))</f>
        <v>0</v>
      </c>
      <c r="BL334" s="1399">
        <f t="shared" ca="1" si="193"/>
        <v>0</v>
      </c>
      <c r="BM334" s="1399">
        <f t="shared" ca="1" si="180"/>
        <v>0</v>
      </c>
      <c r="BN334" s="1399">
        <f ca="1">IF(B334&gt;=$J$5,0,CONTADORES!$BO346)</f>
        <v>0</v>
      </c>
      <c r="BO334" s="1397">
        <f ca="1">IF(W334&gt;=$J$5,0,CONTADORES!$BP346)</f>
        <v>0</v>
      </c>
      <c r="BP334" s="1397">
        <f ca="1">IF(W334&gt;=$J$5,0,CONTADORES!$BQ346)</f>
        <v>0</v>
      </c>
      <c r="BQ334" s="1397">
        <f ca="1">IF(B334&gt;=$J$5,0,(CONTADORES!AS346-CONTADORES!AS345))</f>
        <v>0</v>
      </c>
      <c r="BR334" s="1397">
        <f ca="1">IF(B334&gt;=$J$5,0,(CONTADORES!AT346-CONTADORES!AT345))</f>
        <v>0</v>
      </c>
      <c r="BS334" s="1397">
        <f ca="1">IF(B334&gt;=$J$5,0,CONTADORES!BR346-CONTADORES!BR345)/1000</f>
        <v>0</v>
      </c>
      <c r="BT334" s="1398">
        <f ca="1">IF(B334&gt;=$J$5,0,CONTADORES!BS346-CONTADORES!BS345)</f>
        <v>0</v>
      </c>
      <c r="BU334" s="1397">
        <f ca="1">IF(B334&gt;=$J$5,0,CONTADORES!BT346-CONTADORES!BT345)</f>
        <v>0</v>
      </c>
      <c r="BV334" s="1397">
        <f ca="1">IF(B334&gt;=$J$5,0,CONTADORES!BU346-CONTADORES!BU345)/1000</f>
        <v>0</v>
      </c>
      <c r="BW334" s="1397">
        <f ca="1">IF(B334&gt;=$J$5,0,CONTADORES!BV346-CONTADORES!BV345)/1000</f>
        <v>0</v>
      </c>
      <c r="BX334" s="1397">
        <f ca="1">IF(B334&gt;=$J$5,0,CONTADORES!BW346-CONTADORES!BW345)</f>
        <v>0</v>
      </c>
      <c r="BY334" s="1397">
        <f ca="1">IF(B334&gt;=$J$5,0,CONTADORES!BX346-CONTADORES!BX345)/1000</f>
        <v>0</v>
      </c>
      <c r="BZ334" s="1397">
        <f ca="1">IF(B334&gt;=$J$5,0,CONTADORES!BY346-CONTADORES!BY345)/1000</f>
        <v>0</v>
      </c>
      <c r="CA334" s="1397">
        <f ca="1">IF(B334&gt;=$J$5,0,CONTADORES!BZ346-CONTADORES!BZ345)</f>
        <v>0</v>
      </c>
      <c r="CB334" s="1397">
        <f ca="1">IF(B334&gt;=$J$5,0,(CONTADORES!CC346-CONTADORES!CC345)+(CONTADORES!CE346-CONTADORES!CE345))/1000</f>
        <v>0</v>
      </c>
      <c r="CC334" s="1397">
        <f ca="1">IF(B334&gt;=$J$5,0,(CONTADORES!CD346-CONTADORES!CD345)+(CONTADORES!CF346-CONTADORES!CF345))/1000</f>
        <v>0</v>
      </c>
      <c r="CD334" s="1397">
        <f ca="1">IF(B334&gt;=$J$5,0,CONTADORES!CA346-CONTADORES!CA345)</f>
        <v>0</v>
      </c>
      <c r="CE334" s="1397">
        <f ca="1">IF(B334&gt;=$J$5,0,CONTADORES!CB346-CONTADORES!CB345)</f>
        <v>0</v>
      </c>
      <c r="CF334" s="1397">
        <f t="shared" ca="1" si="181"/>
        <v>0</v>
      </c>
      <c r="CG334" s="1397">
        <f t="shared" ca="1" si="182"/>
        <v>0</v>
      </c>
      <c r="CH334" s="1397">
        <f t="shared" ca="1" si="183"/>
        <v>0</v>
      </c>
      <c r="CI334" s="1397">
        <f t="shared" ca="1" si="184"/>
        <v>0</v>
      </c>
      <c r="CJ334" s="1397">
        <f t="shared" ca="1" si="185"/>
        <v>0</v>
      </c>
      <c r="CK334" s="1397">
        <f t="shared" ca="1" si="186"/>
        <v>0</v>
      </c>
      <c r="CL334" s="1397">
        <f t="shared" ca="1" si="187"/>
        <v>0</v>
      </c>
      <c r="CM334" s="1397">
        <f t="shared" ca="1" si="188"/>
        <v>0</v>
      </c>
      <c r="CN334" s="1397">
        <f ca="1">IF(B334&gt;=$J$5,0,CONTADORES!CB346-CONTADORES!CB345)</f>
        <v>0</v>
      </c>
      <c r="CO334" s="1397">
        <f t="shared" ca="1" si="189"/>
        <v>0</v>
      </c>
      <c r="CP334" s="1397">
        <f t="shared" ca="1" si="190"/>
        <v>0</v>
      </c>
      <c r="CQ334" s="1397">
        <f t="shared" ca="1" si="191"/>
        <v>0</v>
      </c>
      <c r="CR334" s="1397">
        <f t="shared" ca="1" si="192"/>
        <v>0</v>
      </c>
      <c r="CS334" s="1403">
        <f ca="1">IF($B334&gt;=$J$5,0,CONTADORES!$BI346)</f>
        <v>0</v>
      </c>
      <c r="CT334" s="1369">
        <f>CONTADORES!E346</f>
        <v>0</v>
      </c>
      <c r="CU334" s="1369">
        <f>CONTADORES!CG346</f>
        <v>0</v>
      </c>
    </row>
    <row r="335" spans="2:99">
      <c r="B335" s="390">
        <v>45251</v>
      </c>
      <c r="C335" s="198">
        <f t="shared" ca="1" si="166"/>
        <v>0</v>
      </c>
      <c r="D335" s="196">
        <f ca="1">'CALCULO DE GAS'!P160</f>
        <v>0</v>
      </c>
      <c r="E335" s="196">
        <f ca="1">IF(B335&gt;=$J$5,0,(CONTADORES!$AD347-CONTADORES!$AD346)-$H335)</f>
        <v>0</v>
      </c>
      <c r="F335" s="198">
        <f t="shared" ca="1" si="164"/>
        <v>0</v>
      </c>
      <c r="G335" s="196">
        <f ca="1">IF(B335&gt;=$J$5,0,CONTADORES!$AF347-CONTADORES!$AF346)</f>
        <v>0</v>
      </c>
      <c r="H335" s="196">
        <f ca="1">IF(G335&gt;0,CONTADORES!$AE347-CONTADORES!$AE346,0)</f>
        <v>0</v>
      </c>
      <c r="I335" s="199">
        <f ca="1">IF(B335&gt;=$J$5,0,CONTADORES!$AB347-CONTADORES!$AB346)</f>
        <v>0</v>
      </c>
      <c r="J335" s="198">
        <f t="shared" ca="1" si="167"/>
        <v>0</v>
      </c>
      <c r="K335" s="196">
        <f ca="1">'CALCULO DE GAS'!Q160</f>
        <v>0</v>
      </c>
      <c r="L335" s="1396">
        <f ca="1">IF(B335&gt;=$J$5,0,(CONTADORES!$Y347-CONTADORES!$Y346)-$O335)</f>
        <v>0</v>
      </c>
      <c r="M335" s="1396">
        <f t="shared" ca="1" si="168"/>
        <v>0</v>
      </c>
      <c r="N335" s="1396">
        <f ca="1">IF(B335&gt;=$J$5,0,CONTADORES!$AA347-CONTADORES!$AA346)</f>
        <v>0</v>
      </c>
      <c r="O335" s="1396">
        <f ca="1">IF(N335&gt;0,CONTADORES!$Z347-CONTADORES!$Z346,0)</f>
        <v>0</v>
      </c>
      <c r="P335" s="202">
        <f ca="1">IF(B335&gt;=$J$5,0,CONTADORES!$W347-CONTADORES!$W346)</f>
        <v>0</v>
      </c>
      <c r="Q335" s="202">
        <f ca="1">IF(B335&gt;=$J$5,0,CONTADORES!$B347-CONTADORES!$B346)</f>
        <v>0</v>
      </c>
      <c r="R335" s="196">
        <f t="shared" ca="1" si="169"/>
        <v>0</v>
      </c>
      <c r="S335" s="11">
        <f ca="1">IF(B335&gt;=$J$5,0,CONTADORES!$D347-CONTADORES!$D346)</f>
        <v>0</v>
      </c>
      <c r="T335" s="198">
        <f ca="1">IF(B335&gt;=$J$5,0,CONTADORES!$BB347-CONTADORES!$BB346)</f>
        <v>0</v>
      </c>
      <c r="U335" s="196">
        <f t="shared" ca="1" si="162"/>
        <v>0</v>
      </c>
      <c r="V335" s="11">
        <f ca="1">IF(B335&gt;=$J$5,0,CONTADORES!$BD347-CONTADORES!$BD346)</f>
        <v>0</v>
      </c>
      <c r="W335" s="1397">
        <f t="shared" ca="1" si="170"/>
        <v>0</v>
      </c>
      <c r="X335" s="1397">
        <f t="shared" ca="1" si="171"/>
        <v>0</v>
      </c>
      <c r="Y335" s="1398">
        <f t="shared" ca="1" si="172"/>
        <v>0</v>
      </c>
      <c r="Z335" s="1398">
        <f t="shared" ca="1" si="173"/>
        <v>0</v>
      </c>
      <c r="AA335" s="1398">
        <f t="shared" ca="1" si="174"/>
        <v>0</v>
      </c>
      <c r="AB335" s="1398">
        <f t="shared" ca="1" si="175"/>
        <v>0</v>
      </c>
      <c r="AC335" s="1397">
        <f t="shared" ca="1" si="176"/>
        <v>0</v>
      </c>
      <c r="AD335" s="1407">
        <f ca="1">IF(B335&gt;=$J$5,0,CONTADORES!H347-CONTADORES!H346)</f>
        <v>0</v>
      </c>
      <c r="AE335" s="1397">
        <f ca="1">IF(B335&gt;=$J$5,0,CONTADORES!J347-CONTADORES!J346)</f>
        <v>0</v>
      </c>
      <c r="AF335" s="1397">
        <f ca="1">IF(B335&gt;=$J$5,0,CONTADORES!AU347-CONTADORES!AU346)</f>
        <v>0</v>
      </c>
      <c r="AG335" s="1397">
        <f ca="1">IF(B335&gt;=$J$5,0,CONTADORES!AW347-CONTADORES!AW346)</f>
        <v>0</v>
      </c>
      <c r="AH335" s="1398">
        <f ca="1">IF(B335&gt;=$J$5,0,(CONTADORES!AM347-CONTADORES!AM346)+(CONTADORES!M347-CONTADORES!M346))</f>
        <v>0</v>
      </c>
      <c r="AI335" s="1397">
        <f ca="1">IF(B335&gt;=$J$5,0,(CONTADORES!AK347-CONTADORES!AK346)+(CONTADORES!O347-CONTADORES!O346))</f>
        <v>0</v>
      </c>
      <c r="AJ335" s="1397">
        <f ca="1">IF(B335&gt;=$J$5,0,(CONTADORES!AI347-CONTADORES!AI346))</f>
        <v>0</v>
      </c>
      <c r="AK335" s="1397">
        <f ca="1">IF(B335&gt;=$J$5,0,(CONTADORES!Q347-CONTADORES!Q346))</f>
        <v>0</v>
      </c>
      <c r="AL335" s="1461">
        <f t="shared" ca="1" si="177"/>
        <v>0</v>
      </c>
      <c r="AM335" s="1397">
        <f ca="1">IF(B335&gt;=$J$5,0,(((CONTADORES!F347-CONTADORES!F346)+(CONTADORES!AQ347-CONTADORES!AQ346))))-BS335-AF335-AN335-BV335-BY335-CD335-CB335+T335</f>
        <v>0</v>
      </c>
      <c r="AN335" s="1397">
        <f ca="1">IF(B335&gt;=$J$5,0,(CONTADORES!AX347-CONTADORES!AX346)+(CONTADORES!AZ347-CONTADORES!AZ346)+(CONTADORES!BE347-CONTADORES!BE346))-CB335</f>
        <v>0</v>
      </c>
      <c r="AO335" s="1399">
        <f ca="1">IF(B335&gt;=$J$5,0,(CONTADORES!AC347-CONTADORES!AC346))</f>
        <v>0</v>
      </c>
      <c r="AP335" s="1433">
        <f ca="1">IF(B335&gt;=$J$5,0,(CONTADORES!X347-CONTADORES!X346))</f>
        <v>0</v>
      </c>
      <c r="AQ335" s="1399">
        <f ca="1">IF(B335&gt;=$J$5,0,(CONTADORES!C347-CONTADORES!C346))</f>
        <v>0</v>
      </c>
      <c r="AR335" s="1399">
        <f ca="1">IF(B335&gt;=$J$5,0,(CONTADORES!BC347-CONTADORES!BC346))</f>
        <v>0</v>
      </c>
      <c r="AS335" s="1397">
        <f ca="1">IF(B335&gt;=$J$5,0,CONTADORES!S347-CONTADORES!S346)</f>
        <v>0</v>
      </c>
      <c r="AT335" s="1397">
        <f ca="1">IF(B335&gt;=$J$5,0,(CONTADORES!U347-CONTADORES!U346)+(CONTADORES!AG347-CONTADORES!AG346))</f>
        <v>0</v>
      </c>
      <c r="AU335" s="1433">
        <f ca="1">IF(B335&gt;=$J$5,0,(CONTADORES!I347-CONTADORES!I346))</f>
        <v>0</v>
      </c>
      <c r="AV335" s="1399">
        <f ca="1">IF(B335&gt;=$J$5,0,(CONTADORES!AV347-CONTADORES!AV346))</f>
        <v>0</v>
      </c>
      <c r="AW335" s="1433">
        <f ca="1">IF(B335&gt;=$J$5,0,(CONTADORES!N347-CONTADORES!N346)+(CONTADORES!AN347-CONTADORES!AN346))</f>
        <v>0</v>
      </c>
      <c r="AX335" s="1399">
        <f ca="1">IF(B335&gt;=$J$5,0,(CONTADORES!P347-CONTADORES!P346)+(CONTADORES!AL347-CONTADORES!AL346))</f>
        <v>0</v>
      </c>
      <c r="AY335" s="1399">
        <f ca="1">IF(B335&gt;=$J$5,0,(CONTADORES!AJ347-CONTADORES!AJ346))</f>
        <v>0</v>
      </c>
      <c r="AZ335" s="1399">
        <f ca="1">IF(B335&gt;=$J$5,0,(CONTADORES!R347-CONTADORES!R346))</f>
        <v>0</v>
      </c>
      <c r="BA335" s="1409">
        <f t="shared" ca="1" si="178"/>
        <v>0</v>
      </c>
      <c r="BB335" s="1399">
        <f ca="1">IF(B335&gt;=$J$5,0,(((CONTADORES!G347-CONTADORES!G346)+(CONTADORES!AR347-CONTADORES!AR346))))-AV335-BC335-BT335-BW335-BZ335-CE335-AR335</f>
        <v>0</v>
      </c>
      <c r="BC335" s="1397">
        <f ca="1">IF(B335&gt;=$J$5,0,(CONTADORES!AY347-CONTADORES!AY346)+(CONTADORES!BA347-CONTADORES!BA346)+(CONTADORES!BF347-CONTADORES!BF346))</f>
        <v>0</v>
      </c>
      <c r="BD335" s="1397">
        <f t="shared" ca="1" si="179"/>
        <v>0</v>
      </c>
      <c r="BE335" s="1398">
        <f ca="1">IF($B335&gt;=$J$5,0,CONTADORES!$BG347)</f>
        <v>0</v>
      </c>
      <c r="BF335" s="1397">
        <f ca="1">IF($B335&gt;=$J$5,0,CONTADORES!$BH347)</f>
        <v>0</v>
      </c>
      <c r="BG335" s="1397">
        <f ca="1">IF($B335&gt;=$J$5,0,CONTADORES!$BJ347)</f>
        <v>0</v>
      </c>
      <c r="BH335" s="1397">
        <f ca="1">IF(B335&gt;=$J$5,0,((CONTADORES!BK347-CONTADORES!BK346)/1000))</f>
        <v>0</v>
      </c>
      <c r="BI335" s="1397">
        <f ca="1">IF(C335&gt;=$J$5,0,((CONTADORES!BL347-CONTADORES!BL346)/1000))</f>
        <v>0</v>
      </c>
      <c r="BJ335" s="1397">
        <f ca="1">IF(C335&gt;=$J$5,0,((CONTADORES!BM347-CONTADORES!BM346)/1000))</f>
        <v>0</v>
      </c>
      <c r="BK335" s="1397">
        <f ca="1">IF(D335&gt;=$J$5,0,((CONTADORES!BN347-CONTADORES!BN346)/1000))</f>
        <v>0</v>
      </c>
      <c r="BL335" s="1399">
        <f t="shared" ca="1" si="193"/>
        <v>0</v>
      </c>
      <c r="BM335" s="1399">
        <f t="shared" ca="1" si="180"/>
        <v>0</v>
      </c>
      <c r="BN335" s="1399">
        <f ca="1">IF(B335&gt;=$J$5,0,CONTADORES!$BO347)</f>
        <v>0</v>
      </c>
      <c r="BO335" s="1397">
        <f ca="1">IF(W335&gt;=$J$5,0,CONTADORES!$BP347)</f>
        <v>0</v>
      </c>
      <c r="BP335" s="1397">
        <f ca="1">IF(W335&gt;=$J$5,0,CONTADORES!$BQ347)</f>
        <v>0</v>
      </c>
      <c r="BQ335" s="1397">
        <f ca="1">IF(B335&gt;=$J$5,0,(CONTADORES!AS347-CONTADORES!AS346))</f>
        <v>0</v>
      </c>
      <c r="BR335" s="1397">
        <f ca="1">IF(B335&gt;=$J$5,0,(CONTADORES!AT347-CONTADORES!AT346))</f>
        <v>0</v>
      </c>
      <c r="BS335" s="1397">
        <f ca="1">IF(B335&gt;=$J$5,0,CONTADORES!BR347-CONTADORES!BR346)/1000</f>
        <v>0</v>
      </c>
      <c r="BT335" s="1398">
        <f ca="1">IF(B335&gt;=$J$5,0,CONTADORES!BS347-CONTADORES!BS346)</f>
        <v>0</v>
      </c>
      <c r="BU335" s="1397">
        <f ca="1">IF(B335&gt;=$J$5,0,CONTADORES!BT347-CONTADORES!BT346)</f>
        <v>0</v>
      </c>
      <c r="BV335" s="1397">
        <f ca="1">IF(B335&gt;=$J$5,0,CONTADORES!BU347-CONTADORES!BU346)/1000</f>
        <v>0</v>
      </c>
      <c r="BW335" s="1397">
        <f ca="1">IF(B335&gt;=$J$5,0,CONTADORES!BV347-CONTADORES!BV346)/1000</f>
        <v>0</v>
      </c>
      <c r="BX335" s="1397">
        <f ca="1">IF(B335&gt;=$J$5,0,CONTADORES!BW347-CONTADORES!BW346)</f>
        <v>0</v>
      </c>
      <c r="BY335" s="1397">
        <f ca="1">IF(B335&gt;=$J$5,0,CONTADORES!BX347-CONTADORES!BX346)/1000</f>
        <v>0</v>
      </c>
      <c r="BZ335" s="1397">
        <f ca="1">IF(B335&gt;=$J$5,0,CONTADORES!BY347-CONTADORES!BY346)/1000</f>
        <v>0</v>
      </c>
      <c r="CA335" s="1397">
        <f ca="1">IF(B335&gt;=$J$5,0,CONTADORES!BZ347-CONTADORES!BZ346)</f>
        <v>0</v>
      </c>
      <c r="CB335" s="1397">
        <f ca="1">IF(B335&gt;=$J$5,0,(CONTADORES!CC347-CONTADORES!CC346)+(CONTADORES!CE347-CONTADORES!CE346))/1000</f>
        <v>0</v>
      </c>
      <c r="CC335" s="1397">
        <f ca="1">IF(B335&gt;=$J$5,0,(CONTADORES!CD347-CONTADORES!CD346)+(CONTADORES!CF347-CONTADORES!CF346))/1000</f>
        <v>0</v>
      </c>
      <c r="CD335" s="1397">
        <f ca="1">IF(B335&gt;=$J$5,0,CONTADORES!CA347-CONTADORES!CA346)</f>
        <v>0</v>
      </c>
      <c r="CE335" s="1397">
        <f ca="1">IF(B335&gt;=$J$5,0,CONTADORES!CB347-CONTADORES!CB346)</f>
        <v>0</v>
      </c>
      <c r="CF335" s="1397">
        <f t="shared" ca="1" si="181"/>
        <v>0</v>
      </c>
      <c r="CG335" s="1397">
        <f t="shared" ca="1" si="182"/>
        <v>0</v>
      </c>
      <c r="CH335" s="1397">
        <f t="shared" ca="1" si="183"/>
        <v>0</v>
      </c>
      <c r="CI335" s="1397">
        <f t="shared" ca="1" si="184"/>
        <v>0</v>
      </c>
      <c r="CJ335" s="1397">
        <f t="shared" ca="1" si="185"/>
        <v>0</v>
      </c>
      <c r="CK335" s="1397">
        <f t="shared" ca="1" si="186"/>
        <v>0</v>
      </c>
      <c r="CL335" s="1397">
        <f t="shared" ca="1" si="187"/>
        <v>0</v>
      </c>
      <c r="CM335" s="1397">
        <f t="shared" ca="1" si="188"/>
        <v>0</v>
      </c>
      <c r="CN335" s="1397">
        <f ca="1">IF(B335&gt;=$J$5,0,CONTADORES!CB347-CONTADORES!CB346)</f>
        <v>0</v>
      </c>
      <c r="CO335" s="1397">
        <f t="shared" ca="1" si="189"/>
        <v>0</v>
      </c>
      <c r="CP335" s="1397">
        <f t="shared" ca="1" si="190"/>
        <v>0</v>
      </c>
      <c r="CQ335" s="1397">
        <f t="shared" ca="1" si="191"/>
        <v>0</v>
      </c>
      <c r="CR335" s="1397">
        <f t="shared" ca="1" si="192"/>
        <v>0</v>
      </c>
      <c r="CS335" s="1403">
        <f ca="1">IF($B335&gt;=$J$5,0,CONTADORES!$BI347)</f>
        <v>0</v>
      </c>
      <c r="CT335" s="1369">
        <f>CONTADORES!E347</f>
        <v>0</v>
      </c>
      <c r="CU335" s="1369">
        <f>CONTADORES!CG347</f>
        <v>0</v>
      </c>
    </row>
    <row r="336" spans="2:99">
      <c r="B336" s="390">
        <v>45252</v>
      </c>
      <c r="C336" s="198">
        <f t="shared" ca="1" si="166"/>
        <v>0</v>
      </c>
      <c r="D336" s="196">
        <f ca="1">'CALCULO DE GAS'!P161</f>
        <v>0</v>
      </c>
      <c r="E336" s="196">
        <f ca="1">IF(B336&gt;=$J$5,0,(CONTADORES!$AD348-CONTADORES!$AD347)-$H336)</f>
        <v>0</v>
      </c>
      <c r="F336" s="198">
        <f t="shared" ca="1" si="164"/>
        <v>0</v>
      </c>
      <c r="G336" s="196">
        <f ca="1">IF(B336&gt;=$J$5,0,CONTADORES!$AF348-CONTADORES!$AF347)</f>
        <v>0</v>
      </c>
      <c r="H336" s="196">
        <f ca="1">IF(G336&gt;0,CONTADORES!$AE348-CONTADORES!$AE347,0)</f>
        <v>0</v>
      </c>
      <c r="I336" s="199">
        <f ca="1">IF(B336&gt;=$J$5,0,CONTADORES!$AB348-CONTADORES!$AB347)</f>
        <v>0</v>
      </c>
      <c r="J336" s="198">
        <f t="shared" ca="1" si="167"/>
        <v>0</v>
      </c>
      <c r="K336" s="196">
        <f ca="1">'CALCULO DE GAS'!Q161</f>
        <v>0</v>
      </c>
      <c r="L336" s="1396">
        <f ca="1">IF(B336&gt;=$J$5,0,(CONTADORES!$Y348-CONTADORES!$Y347)-$O336)</f>
        <v>0</v>
      </c>
      <c r="M336" s="1396">
        <f t="shared" ca="1" si="168"/>
        <v>0</v>
      </c>
      <c r="N336" s="1396">
        <f ca="1">IF(B336&gt;=$J$5,0,CONTADORES!$AA348-CONTADORES!$AA347)</f>
        <v>0</v>
      </c>
      <c r="O336" s="1396">
        <f ca="1">IF(N336&gt;0,CONTADORES!$Z348-CONTADORES!$Z347,0)</f>
        <v>0</v>
      </c>
      <c r="P336" s="202">
        <f ca="1">IF(B336&gt;=$J$5,0,CONTADORES!$W348-CONTADORES!$W347)</f>
        <v>0</v>
      </c>
      <c r="Q336" s="202">
        <f ca="1">IF(B336&gt;=$J$5,0,CONTADORES!$B348-CONTADORES!$B347)</f>
        <v>0</v>
      </c>
      <c r="R336" s="196">
        <f t="shared" ca="1" si="169"/>
        <v>0</v>
      </c>
      <c r="S336" s="11">
        <f ca="1">IF(B336&gt;=$J$5,0,CONTADORES!$D348-CONTADORES!$D347)</f>
        <v>0</v>
      </c>
      <c r="T336" s="198">
        <f ca="1">IF(B336&gt;=$J$5,0,CONTADORES!$BB348-CONTADORES!$BB347)</f>
        <v>0</v>
      </c>
      <c r="U336" s="196">
        <f t="shared" ca="1" si="162"/>
        <v>0</v>
      </c>
      <c r="V336" s="11">
        <f ca="1">IF(B336&gt;=$J$5,0,CONTADORES!$BD348-CONTADORES!$BD347)</f>
        <v>0</v>
      </c>
      <c r="W336" s="1397">
        <f t="shared" ca="1" si="170"/>
        <v>0</v>
      </c>
      <c r="X336" s="1397">
        <f t="shared" ca="1" si="171"/>
        <v>0</v>
      </c>
      <c r="Y336" s="1398">
        <f t="shared" ca="1" si="172"/>
        <v>0</v>
      </c>
      <c r="Z336" s="1398">
        <f t="shared" ca="1" si="173"/>
        <v>0</v>
      </c>
      <c r="AA336" s="1398">
        <f t="shared" ca="1" si="174"/>
        <v>0</v>
      </c>
      <c r="AB336" s="1398">
        <f t="shared" ca="1" si="175"/>
        <v>0</v>
      </c>
      <c r="AC336" s="1397">
        <f t="shared" ca="1" si="176"/>
        <v>0</v>
      </c>
      <c r="AD336" s="1407">
        <f ca="1">IF(B336&gt;=$J$5,0,CONTADORES!H348-CONTADORES!H347)</f>
        <v>0</v>
      </c>
      <c r="AE336" s="1397">
        <f ca="1">IF(B336&gt;=$J$5,0,CONTADORES!J348-CONTADORES!J347)</f>
        <v>0</v>
      </c>
      <c r="AF336" s="1397">
        <f ca="1">IF(B336&gt;=$J$5,0,CONTADORES!AU348-CONTADORES!AU347)</f>
        <v>0</v>
      </c>
      <c r="AG336" s="1397">
        <f ca="1">IF(B336&gt;=$J$5,0,CONTADORES!AW348-CONTADORES!AW347)</f>
        <v>0</v>
      </c>
      <c r="AH336" s="1398">
        <f ca="1">IF(B336&gt;=$J$5,0,(CONTADORES!AM348-CONTADORES!AM347)+(CONTADORES!M348-CONTADORES!M347))</f>
        <v>0</v>
      </c>
      <c r="AI336" s="1397">
        <f ca="1">IF(B336&gt;=$J$5,0,(CONTADORES!AK348-CONTADORES!AK347)+(CONTADORES!O348-CONTADORES!O347))</f>
        <v>0</v>
      </c>
      <c r="AJ336" s="1397">
        <f ca="1">IF(B336&gt;=$J$5,0,(CONTADORES!AI348-CONTADORES!AI347))</f>
        <v>0</v>
      </c>
      <c r="AK336" s="1397">
        <f ca="1">IF(B336&gt;=$J$5,0,(CONTADORES!Q348-CONTADORES!Q347))</f>
        <v>0</v>
      </c>
      <c r="AL336" s="1461">
        <f t="shared" ca="1" si="177"/>
        <v>0</v>
      </c>
      <c r="AM336" s="1397">
        <f ca="1">IF(B336&gt;=$J$5,0,(((CONTADORES!F348-CONTADORES!F347)+(CONTADORES!AQ348-CONTADORES!AQ347))))-BS336-AF336-AN336-BV336-BY336-CD336-CB336+T336</f>
        <v>0</v>
      </c>
      <c r="AN336" s="1397">
        <f ca="1">IF(B336&gt;=$J$5,0,(CONTADORES!AX348-CONTADORES!AX347)+(CONTADORES!AZ348-CONTADORES!AZ347)+(CONTADORES!BE348-CONTADORES!BE347))-CB336</f>
        <v>0</v>
      </c>
      <c r="AO336" s="1399">
        <f ca="1">IF(B336&gt;=$J$5,0,(CONTADORES!AC348-CONTADORES!AC347))</f>
        <v>0</v>
      </c>
      <c r="AP336" s="1433">
        <f ca="1">IF(B336&gt;=$J$5,0,(CONTADORES!X348-CONTADORES!X347))</f>
        <v>0</v>
      </c>
      <c r="AQ336" s="1399">
        <f ca="1">IF(B336&gt;=$J$5,0,(CONTADORES!C348-CONTADORES!C347))</f>
        <v>0</v>
      </c>
      <c r="AR336" s="1399">
        <f ca="1">IF(B336&gt;=$J$5,0,(CONTADORES!BC348-CONTADORES!BC347))</f>
        <v>0</v>
      </c>
      <c r="AS336" s="1397">
        <f ca="1">IF(B336&gt;=$J$5,0,CONTADORES!S348-CONTADORES!S347)</f>
        <v>0</v>
      </c>
      <c r="AT336" s="1397">
        <f ca="1">IF(B336&gt;=$J$5,0,(CONTADORES!U348-CONTADORES!U347)+(CONTADORES!AG348-CONTADORES!AG347))</f>
        <v>0</v>
      </c>
      <c r="AU336" s="1433">
        <f ca="1">IF(B336&gt;=$J$5,0,(CONTADORES!I348-CONTADORES!I347))</f>
        <v>0</v>
      </c>
      <c r="AV336" s="1399">
        <f ca="1">IF(B336&gt;=$J$5,0,(CONTADORES!AV348-CONTADORES!AV347))</f>
        <v>0</v>
      </c>
      <c r="AW336" s="1433">
        <f ca="1">IF(B336&gt;=$J$5,0,(CONTADORES!N348-CONTADORES!N347)+(CONTADORES!AN348-CONTADORES!AN347))</f>
        <v>0</v>
      </c>
      <c r="AX336" s="1399">
        <f ca="1">IF(B336&gt;=$J$5,0,(CONTADORES!P348-CONTADORES!P347)+(CONTADORES!AL348-CONTADORES!AL347))</f>
        <v>0</v>
      </c>
      <c r="AY336" s="1399">
        <f ca="1">IF(B336&gt;=$J$5,0,(CONTADORES!AJ348-CONTADORES!AJ347))</f>
        <v>0</v>
      </c>
      <c r="AZ336" s="1399">
        <f ca="1">IF(B336&gt;=$J$5,0,(CONTADORES!R348-CONTADORES!R347))</f>
        <v>0</v>
      </c>
      <c r="BA336" s="1409">
        <f t="shared" ca="1" si="178"/>
        <v>0</v>
      </c>
      <c r="BB336" s="1399">
        <f ca="1">IF(B336&gt;=$J$5,0,(((CONTADORES!G348-CONTADORES!G347)+(CONTADORES!AR348-CONTADORES!AR347))))-AV336-BC336-BT336-BW336-BZ336-CE336-AR336</f>
        <v>0</v>
      </c>
      <c r="BC336" s="1397">
        <f ca="1">IF(B336&gt;=$J$5,0,(CONTADORES!AY348-CONTADORES!AY347)+(CONTADORES!BA348-CONTADORES!BA347)+(CONTADORES!BF348-CONTADORES!BF347))</f>
        <v>0</v>
      </c>
      <c r="BD336" s="1397">
        <f t="shared" ca="1" si="179"/>
        <v>0</v>
      </c>
      <c r="BE336" s="1398">
        <f ca="1">IF($B336&gt;=$J$5,0,CONTADORES!$BG348)</f>
        <v>0</v>
      </c>
      <c r="BF336" s="1397">
        <f ca="1">IF($B336&gt;=$J$5,0,CONTADORES!$BH348)</f>
        <v>0</v>
      </c>
      <c r="BG336" s="1397">
        <f ca="1">IF($B336&gt;=$J$5,0,CONTADORES!$BJ348)</f>
        <v>0</v>
      </c>
      <c r="BH336" s="1397">
        <f ca="1">IF(B336&gt;=$J$5,0,((CONTADORES!BK348-CONTADORES!BK347)/1000))</f>
        <v>0</v>
      </c>
      <c r="BI336" s="1397">
        <f ca="1">IF(C336&gt;=$J$5,0,((CONTADORES!BL348-CONTADORES!BL347)/1000))</f>
        <v>0</v>
      </c>
      <c r="BJ336" s="1397">
        <f ca="1">IF(C336&gt;=$J$5,0,((CONTADORES!BM348-CONTADORES!BM347)/1000))</f>
        <v>0</v>
      </c>
      <c r="BK336" s="1397">
        <f ca="1">IF(D336&gt;=$J$5,0,((CONTADORES!BN348-CONTADORES!BN347)/1000))</f>
        <v>0</v>
      </c>
      <c r="BL336" s="1399">
        <f t="shared" ref="BL336:BL375" ca="1" si="194">BH336+BJ336</f>
        <v>0</v>
      </c>
      <c r="BM336" s="1399">
        <f t="shared" ca="1" si="180"/>
        <v>0</v>
      </c>
      <c r="BN336" s="1399">
        <f ca="1">IF(B336&gt;=$J$5,0,CONTADORES!$BO348)</f>
        <v>0</v>
      </c>
      <c r="BO336" s="1397">
        <f ca="1">IF(W336&gt;=$J$5,0,CONTADORES!$BP348)</f>
        <v>0</v>
      </c>
      <c r="BP336" s="1397">
        <f ca="1">IF(W336&gt;=$J$5,0,CONTADORES!$BQ348)</f>
        <v>0</v>
      </c>
      <c r="BQ336" s="1397">
        <f ca="1">IF(B336&gt;=$J$5,0,(CONTADORES!AS348-CONTADORES!AS347))</f>
        <v>0</v>
      </c>
      <c r="BR336" s="1397">
        <f ca="1">IF(B336&gt;=$J$5,0,(CONTADORES!AT348-CONTADORES!AT347))</f>
        <v>0</v>
      </c>
      <c r="BS336" s="1397">
        <f ca="1">IF(B336&gt;=$J$5,0,CONTADORES!BR348-CONTADORES!BR347)/1000</f>
        <v>0</v>
      </c>
      <c r="BT336" s="1398">
        <f ca="1">IF(B336&gt;=$J$5,0,CONTADORES!BS348-CONTADORES!BS347)</f>
        <v>0</v>
      </c>
      <c r="BU336" s="1397">
        <f ca="1">IF(B336&gt;=$J$5,0,CONTADORES!BT348-CONTADORES!BT347)</f>
        <v>0</v>
      </c>
      <c r="BV336" s="1397">
        <f ca="1">IF(B336&gt;=$J$5,0,CONTADORES!BU348-CONTADORES!BU347)/1000</f>
        <v>0</v>
      </c>
      <c r="BW336" s="1397">
        <f ca="1">IF(B336&gt;=$J$5,0,CONTADORES!BV348-CONTADORES!BV347)/1000</f>
        <v>0</v>
      </c>
      <c r="BX336" s="1397">
        <f ca="1">IF(B336&gt;=$J$5,0,CONTADORES!BW348-CONTADORES!BW347)</f>
        <v>0</v>
      </c>
      <c r="BY336" s="1397">
        <f ca="1">IF(B336&gt;=$J$5,0,CONTADORES!BX348-CONTADORES!BX347)/1000</f>
        <v>0</v>
      </c>
      <c r="BZ336" s="1397">
        <f ca="1">IF(B336&gt;=$J$5,0,CONTADORES!BY348-CONTADORES!BY347)/1000</f>
        <v>0</v>
      </c>
      <c r="CA336" s="1397">
        <f ca="1">IF(B336&gt;=$J$5,0,CONTADORES!BZ348-CONTADORES!BZ347)</f>
        <v>0</v>
      </c>
      <c r="CB336" s="1397">
        <f ca="1">IF(B336&gt;=$J$5,0,(CONTADORES!CC348-CONTADORES!CC347)+(CONTADORES!CE348-CONTADORES!CE347))/1000</f>
        <v>0</v>
      </c>
      <c r="CC336" s="1397">
        <f ca="1">IF(B336&gt;=$J$5,0,(CONTADORES!CD348-CONTADORES!CD347)+(CONTADORES!CF348-CONTADORES!CF347))/1000</f>
        <v>0</v>
      </c>
      <c r="CD336" s="1397">
        <f ca="1">IF(B336&gt;=$J$5,0,CONTADORES!CA348-CONTADORES!CA347)</f>
        <v>0</v>
      </c>
      <c r="CE336" s="1397">
        <f ca="1">IF(B336&gt;=$J$5,0,CONTADORES!CB348-CONTADORES!CB347)</f>
        <v>0</v>
      </c>
      <c r="CF336" s="1397">
        <f t="shared" ca="1" si="181"/>
        <v>0</v>
      </c>
      <c r="CG336" s="1397">
        <f t="shared" ca="1" si="182"/>
        <v>0</v>
      </c>
      <c r="CH336" s="1397">
        <f t="shared" ca="1" si="183"/>
        <v>0</v>
      </c>
      <c r="CI336" s="1397">
        <f t="shared" ca="1" si="184"/>
        <v>0</v>
      </c>
      <c r="CJ336" s="1397">
        <f t="shared" ca="1" si="185"/>
        <v>0</v>
      </c>
      <c r="CK336" s="1397">
        <f t="shared" ca="1" si="186"/>
        <v>0</v>
      </c>
      <c r="CL336" s="1397">
        <f t="shared" ca="1" si="187"/>
        <v>0</v>
      </c>
      <c r="CM336" s="1397">
        <f t="shared" ca="1" si="188"/>
        <v>0</v>
      </c>
      <c r="CN336" s="1397">
        <f ca="1">IF(B336&gt;=$J$5,0,CONTADORES!CB348-CONTADORES!CB347)</f>
        <v>0</v>
      </c>
      <c r="CO336" s="1397">
        <f t="shared" ca="1" si="189"/>
        <v>0</v>
      </c>
      <c r="CP336" s="1397">
        <f t="shared" ca="1" si="190"/>
        <v>0</v>
      </c>
      <c r="CQ336" s="1397">
        <f t="shared" ca="1" si="191"/>
        <v>0</v>
      </c>
      <c r="CR336" s="1397">
        <f t="shared" ca="1" si="192"/>
        <v>0</v>
      </c>
      <c r="CS336" s="1403">
        <f ca="1">IF($B336&gt;=$J$5,0,CONTADORES!$BI348)</f>
        <v>0</v>
      </c>
      <c r="CT336" s="1369">
        <f>CONTADORES!E348</f>
        <v>0</v>
      </c>
      <c r="CU336" s="1369">
        <f>CONTADORES!CG348</f>
        <v>0</v>
      </c>
    </row>
    <row r="337" spans="2:99">
      <c r="B337" s="390">
        <v>45253</v>
      </c>
      <c r="C337" s="198">
        <f t="shared" ca="1" si="166"/>
        <v>0</v>
      </c>
      <c r="D337" s="196">
        <f ca="1">'CALCULO DE GAS'!P162</f>
        <v>0</v>
      </c>
      <c r="E337" s="196">
        <f ca="1">IF(B337&gt;=$J$5,0,(CONTADORES!$AD349-CONTADORES!$AD348)-$H337)</f>
        <v>0</v>
      </c>
      <c r="F337" s="198">
        <f t="shared" ca="1" si="164"/>
        <v>0</v>
      </c>
      <c r="G337" s="196">
        <f ca="1">IF(B337&gt;=$J$5,0,CONTADORES!$AF349-CONTADORES!$AF348)</f>
        <v>0</v>
      </c>
      <c r="H337" s="196">
        <f ca="1">IF(G337&gt;0,CONTADORES!$AE349-CONTADORES!$AE348,0)</f>
        <v>0</v>
      </c>
      <c r="I337" s="199">
        <f ca="1">IF(B337&gt;=$J$5,0,CONTADORES!$AB349-CONTADORES!$AB348)</f>
        <v>0</v>
      </c>
      <c r="J337" s="198">
        <f t="shared" ca="1" si="167"/>
        <v>0</v>
      </c>
      <c r="K337" s="196">
        <f ca="1">'CALCULO DE GAS'!Q162</f>
        <v>0</v>
      </c>
      <c r="L337" s="1396">
        <f ca="1">IF(B337&gt;=$J$5,0,(CONTADORES!$Y349-CONTADORES!$Y348)-$O337)</f>
        <v>0</v>
      </c>
      <c r="M337" s="1396">
        <f t="shared" ca="1" si="168"/>
        <v>0</v>
      </c>
      <c r="N337" s="1396">
        <f ca="1">IF(B337&gt;=$J$5,0,CONTADORES!$AA349-CONTADORES!$AA348)</f>
        <v>0</v>
      </c>
      <c r="O337" s="1396">
        <f ca="1">IF(N337&gt;0,CONTADORES!$Z349-CONTADORES!$Z348,0)</f>
        <v>0</v>
      </c>
      <c r="P337" s="202">
        <f ca="1">IF(B337&gt;=$J$5,0,CONTADORES!$W349-CONTADORES!$W348)</f>
        <v>0</v>
      </c>
      <c r="Q337" s="202">
        <f ca="1">IF(B337&gt;=$J$5,0,CONTADORES!$B349-CONTADORES!$B348)</f>
        <v>0</v>
      </c>
      <c r="R337" s="196">
        <f t="shared" ca="1" si="169"/>
        <v>0</v>
      </c>
      <c r="S337" s="11">
        <f ca="1">IF(B337&gt;=$J$5,0,CONTADORES!$D349-CONTADORES!$D348)</f>
        <v>0</v>
      </c>
      <c r="T337" s="198">
        <f ca="1">IF(B337&gt;=$J$5,0,CONTADORES!$BB349-CONTADORES!$BB348)</f>
        <v>0</v>
      </c>
      <c r="U337" s="196">
        <f t="shared" ca="1" si="162"/>
        <v>0</v>
      </c>
      <c r="V337" s="11">
        <f ca="1">IF(B337&gt;=$J$5,0,CONTADORES!$BD349-CONTADORES!$BD348)</f>
        <v>0</v>
      </c>
      <c r="W337" s="1397">
        <f t="shared" ca="1" si="170"/>
        <v>0</v>
      </c>
      <c r="X337" s="1397">
        <f t="shared" ca="1" si="171"/>
        <v>0</v>
      </c>
      <c r="Y337" s="1398">
        <f t="shared" ca="1" si="172"/>
        <v>0</v>
      </c>
      <c r="Z337" s="1398">
        <f t="shared" ca="1" si="173"/>
        <v>0</v>
      </c>
      <c r="AA337" s="1398">
        <f t="shared" ca="1" si="174"/>
        <v>0</v>
      </c>
      <c r="AB337" s="1398">
        <f t="shared" ca="1" si="175"/>
        <v>0</v>
      </c>
      <c r="AC337" s="1397">
        <f t="shared" ca="1" si="176"/>
        <v>0</v>
      </c>
      <c r="AD337" s="1407">
        <f ca="1">IF(B337&gt;=$J$5,0,CONTADORES!H349-CONTADORES!H348)</f>
        <v>0</v>
      </c>
      <c r="AE337" s="1397">
        <f ca="1">IF(B337&gt;=$J$5,0,CONTADORES!J349-CONTADORES!J348)</f>
        <v>0</v>
      </c>
      <c r="AF337" s="1397">
        <f ca="1">IF(B337&gt;=$J$5,0,CONTADORES!AU349-CONTADORES!AU348)</f>
        <v>0</v>
      </c>
      <c r="AG337" s="1397">
        <f ca="1">IF(B337&gt;=$J$5,0,CONTADORES!AW349-CONTADORES!AW348)</f>
        <v>0</v>
      </c>
      <c r="AH337" s="1398">
        <f ca="1">IF(B337&gt;=$J$5,0,(CONTADORES!AM349-CONTADORES!AM348)+(CONTADORES!M349-CONTADORES!M348))</f>
        <v>0</v>
      </c>
      <c r="AI337" s="1397">
        <f ca="1">IF(B337&gt;=$J$5,0,(CONTADORES!AK349-CONTADORES!AK348)+(CONTADORES!O349-CONTADORES!O348))</f>
        <v>0</v>
      </c>
      <c r="AJ337" s="1397">
        <f ca="1">IF(B337&gt;=$J$5,0,(CONTADORES!AI349-CONTADORES!AI348))</f>
        <v>0</v>
      </c>
      <c r="AK337" s="1397">
        <f ca="1">IF(B337&gt;=$J$5,0,(CONTADORES!Q349-CONTADORES!Q348))</f>
        <v>0</v>
      </c>
      <c r="AL337" s="1461">
        <f t="shared" ca="1" si="177"/>
        <v>0</v>
      </c>
      <c r="AM337" s="1397">
        <f ca="1">IF(B337&gt;=$J$5,0,(((CONTADORES!F349-CONTADORES!F348)+(CONTADORES!AQ349-CONTADORES!AQ348))))-BS337-AF337-AN337-BV337-BY337-CD337-CB337+T337</f>
        <v>0</v>
      </c>
      <c r="AN337" s="1397">
        <f ca="1">IF(B337&gt;=$J$5,0,(CONTADORES!AX349-CONTADORES!AX348)+(CONTADORES!AZ349-CONTADORES!AZ348)+(CONTADORES!BE349-CONTADORES!BE348))-CB337</f>
        <v>0</v>
      </c>
      <c r="AO337" s="1399">
        <f ca="1">IF(B337&gt;=$J$5,0,(CONTADORES!AC349-CONTADORES!AC348))</f>
        <v>0</v>
      </c>
      <c r="AP337" s="1433">
        <f ca="1">IF(B337&gt;=$J$5,0,(CONTADORES!X349-CONTADORES!X348))</f>
        <v>0</v>
      </c>
      <c r="AQ337" s="1399">
        <f ca="1">IF(B337&gt;=$J$5,0,(CONTADORES!C349-CONTADORES!C348))</f>
        <v>0</v>
      </c>
      <c r="AR337" s="1399">
        <f ca="1">IF(B337&gt;=$J$5,0,(CONTADORES!BC349-CONTADORES!BC348))</f>
        <v>0</v>
      </c>
      <c r="AS337" s="1397">
        <f ca="1">IF(B337&gt;=$J$5,0,CONTADORES!S349-CONTADORES!S348)</f>
        <v>0</v>
      </c>
      <c r="AT337" s="1397">
        <f ca="1">IF(B337&gt;=$J$5,0,(CONTADORES!U349-CONTADORES!U348)+(CONTADORES!AG349-CONTADORES!AG348))</f>
        <v>0</v>
      </c>
      <c r="AU337" s="1433">
        <f ca="1">IF(B337&gt;=$J$5,0,(CONTADORES!I349-CONTADORES!I348))</f>
        <v>0</v>
      </c>
      <c r="AV337" s="1399">
        <f ca="1">IF(B337&gt;=$J$5,0,(CONTADORES!AV349-CONTADORES!AV348))</f>
        <v>0</v>
      </c>
      <c r="AW337" s="1433">
        <f ca="1">IF(B337&gt;=$J$5,0,(CONTADORES!N349-CONTADORES!N348)+(CONTADORES!AN349-CONTADORES!AN348))</f>
        <v>0</v>
      </c>
      <c r="AX337" s="1399">
        <f ca="1">IF(B337&gt;=$J$5,0,(CONTADORES!P349-CONTADORES!P348)+(CONTADORES!AL349-CONTADORES!AL348))</f>
        <v>0</v>
      </c>
      <c r="AY337" s="1399">
        <f ca="1">IF(B337&gt;=$J$5,0,(CONTADORES!AJ349-CONTADORES!AJ348))</f>
        <v>0</v>
      </c>
      <c r="AZ337" s="1399">
        <f ca="1">IF(B337&gt;=$J$5,0,(CONTADORES!R349-CONTADORES!R348))</f>
        <v>0</v>
      </c>
      <c r="BA337" s="1409">
        <f t="shared" ca="1" si="178"/>
        <v>0</v>
      </c>
      <c r="BB337" s="1399">
        <f ca="1">IF(B337&gt;=$J$5,0,(((CONTADORES!G349-CONTADORES!G348)+(CONTADORES!AR349-CONTADORES!AR348))))-AV337-BC337-BT337-BW337-BZ337-CE337-AR337</f>
        <v>0</v>
      </c>
      <c r="BC337" s="1397">
        <f ca="1">IF(B337&gt;=$J$5,0,(CONTADORES!AY349-CONTADORES!AY348)+(CONTADORES!BA349-CONTADORES!BA348)+(CONTADORES!BF349-CONTADORES!BF348))</f>
        <v>0</v>
      </c>
      <c r="BD337" s="1397">
        <f t="shared" ca="1" si="179"/>
        <v>0</v>
      </c>
      <c r="BE337" s="1398">
        <f ca="1">IF($B337&gt;=$J$5,0,CONTADORES!$BG349)</f>
        <v>0</v>
      </c>
      <c r="BF337" s="1397">
        <f ca="1">IF($B337&gt;=$J$5,0,CONTADORES!$BH349)</f>
        <v>0</v>
      </c>
      <c r="BG337" s="1397">
        <f ca="1">IF($B337&gt;=$J$5,0,CONTADORES!$BJ349)</f>
        <v>0</v>
      </c>
      <c r="BH337" s="1397">
        <f ca="1">IF(B337&gt;=$J$5,0,((CONTADORES!BK349-CONTADORES!BK348)/1000))</f>
        <v>0</v>
      </c>
      <c r="BI337" s="1397">
        <f ca="1">IF(C337&gt;=$J$5,0,((CONTADORES!BL349-CONTADORES!BL348)/1000))</f>
        <v>0</v>
      </c>
      <c r="BJ337" s="1397">
        <f ca="1">IF(C337&gt;=$J$5,0,((CONTADORES!BM349-CONTADORES!BM348)/1000))</f>
        <v>0</v>
      </c>
      <c r="BK337" s="1397">
        <f ca="1">IF(D337&gt;=$J$5,0,((CONTADORES!BN349-CONTADORES!BN348)/1000))</f>
        <v>0</v>
      </c>
      <c r="BL337" s="1399">
        <f t="shared" ca="1" si="194"/>
        <v>0</v>
      </c>
      <c r="BM337" s="1399">
        <f t="shared" ca="1" si="180"/>
        <v>0</v>
      </c>
      <c r="BN337" s="1399">
        <f ca="1">IF(B337&gt;=$J$5,0,CONTADORES!$BO349)</f>
        <v>0</v>
      </c>
      <c r="BO337" s="1397">
        <f ca="1">IF(W337&gt;=$J$5,0,CONTADORES!$BP349)</f>
        <v>0</v>
      </c>
      <c r="BP337" s="1397">
        <f ca="1">IF(W337&gt;=$J$5,0,CONTADORES!$BQ349)</f>
        <v>0</v>
      </c>
      <c r="BQ337" s="1397">
        <f ca="1">IF(B337&gt;=$J$5,0,(CONTADORES!AS349-CONTADORES!AS348))</f>
        <v>0</v>
      </c>
      <c r="BR337" s="1397">
        <f ca="1">IF(B337&gt;=$J$5,0,(CONTADORES!AT349-CONTADORES!AT348))</f>
        <v>0</v>
      </c>
      <c r="BS337" s="1397">
        <f ca="1">IF(B337&gt;=$J$5,0,CONTADORES!BR349-CONTADORES!BR348)/1000</f>
        <v>0</v>
      </c>
      <c r="BT337" s="1398">
        <f ca="1">IF(B337&gt;=$J$5,0,CONTADORES!BS349-CONTADORES!BS348)</f>
        <v>0</v>
      </c>
      <c r="BU337" s="1397">
        <f ca="1">IF(B337&gt;=$J$5,0,CONTADORES!BT349-CONTADORES!BT348)</f>
        <v>0</v>
      </c>
      <c r="BV337" s="1397">
        <f ca="1">IF(B337&gt;=$J$5,0,CONTADORES!BU349-CONTADORES!BU348)/1000</f>
        <v>0</v>
      </c>
      <c r="BW337" s="1397">
        <f ca="1">IF(B337&gt;=$J$5,0,CONTADORES!BV349-CONTADORES!BV348)/1000</f>
        <v>0</v>
      </c>
      <c r="BX337" s="1397">
        <f ca="1">IF(B337&gt;=$J$5,0,CONTADORES!BW349-CONTADORES!BW348)</f>
        <v>0</v>
      </c>
      <c r="BY337" s="1397">
        <f ca="1">IF(B337&gt;=$J$5,0,CONTADORES!BX349-CONTADORES!BX348)/1000</f>
        <v>0</v>
      </c>
      <c r="BZ337" s="1397">
        <f ca="1">IF(B337&gt;=$J$5,0,CONTADORES!BY349-CONTADORES!BY348)/1000</f>
        <v>0</v>
      </c>
      <c r="CA337" s="1397">
        <f ca="1">IF(B337&gt;=$J$5,0,CONTADORES!BZ349-CONTADORES!BZ348)</f>
        <v>0</v>
      </c>
      <c r="CB337" s="1397">
        <f ca="1">IF(B337&gt;=$J$5,0,(CONTADORES!CC349-CONTADORES!CC348)+(CONTADORES!CE349-CONTADORES!CE348))/1000</f>
        <v>0</v>
      </c>
      <c r="CC337" s="1397">
        <f ca="1">IF(B337&gt;=$J$5,0,(CONTADORES!CD349-CONTADORES!CD348)+(CONTADORES!CF349-CONTADORES!CF348))/1000</f>
        <v>0</v>
      </c>
      <c r="CD337" s="1397">
        <f ca="1">IF(B337&gt;=$J$5,0,CONTADORES!CA349-CONTADORES!CA348)</f>
        <v>0</v>
      </c>
      <c r="CE337" s="1397">
        <f ca="1">IF(B337&gt;=$J$5,0,CONTADORES!CB349-CONTADORES!CB348)</f>
        <v>0</v>
      </c>
      <c r="CF337" s="1397">
        <f t="shared" ca="1" si="181"/>
        <v>0</v>
      </c>
      <c r="CG337" s="1397">
        <f t="shared" ca="1" si="182"/>
        <v>0</v>
      </c>
      <c r="CH337" s="1397">
        <f t="shared" ca="1" si="183"/>
        <v>0</v>
      </c>
      <c r="CI337" s="1397">
        <f t="shared" ca="1" si="184"/>
        <v>0</v>
      </c>
      <c r="CJ337" s="1397">
        <f t="shared" ca="1" si="185"/>
        <v>0</v>
      </c>
      <c r="CK337" s="1397">
        <f t="shared" ca="1" si="186"/>
        <v>0</v>
      </c>
      <c r="CL337" s="1397">
        <f t="shared" ca="1" si="187"/>
        <v>0</v>
      </c>
      <c r="CM337" s="1397">
        <f t="shared" ca="1" si="188"/>
        <v>0</v>
      </c>
      <c r="CN337" s="1397">
        <f ca="1">IF(B337&gt;=$J$5,0,CONTADORES!CB349-CONTADORES!CB348)</f>
        <v>0</v>
      </c>
      <c r="CO337" s="1397">
        <f t="shared" ca="1" si="189"/>
        <v>0</v>
      </c>
      <c r="CP337" s="1397">
        <f t="shared" ca="1" si="190"/>
        <v>0</v>
      </c>
      <c r="CQ337" s="1397">
        <f t="shared" ca="1" si="191"/>
        <v>0</v>
      </c>
      <c r="CR337" s="1397">
        <f t="shared" ca="1" si="192"/>
        <v>0</v>
      </c>
      <c r="CS337" s="1403">
        <f ca="1">IF($B337&gt;=$J$5,0,CONTADORES!$BI349)</f>
        <v>0</v>
      </c>
      <c r="CT337" s="1369">
        <f>CONTADORES!E349</f>
        <v>0</v>
      </c>
      <c r="CU337" s="1369">
        <f>CONTADORES!CG349</f>
        <v>0</v>
      </c>
    </row>
    <row r="338" spans="2:99">
      <c r="B338" s="390">
        <v>45254</v>
      </c>
      <c r="C338" s="198">
        <f t="shared" ca="1" si="166"/>
        <v>0</v>
      </c>
      <c r="D338" s="196">
        <f ca="1">'CALCULO DE GAS'!P163</f>
        <v>0</v>
      </c>
      <c r="E338" s="196">
        <f ca="1">IF(B338&gt;=$J$5,0,(CONTADORES!$AD350-CONTADORES!$AD349)-$H338)</f>
        <v>0</v>
      </c>
      <c r="F338" s="198">
        <f t="shared" ca="1" si="164"/>
        <v>0</v>
      </c>
      <c r="G338" s="196">
        <f ca="1">IF(B338&gt;=$J$5,0,CONTADORES!$AF350-CONTADORES!$AF349)</f>
        <v>0</v>
      </c>
      <c r="H338" s="196">
        <f ca="1">IF(G338&gt;0,CONTADORES!$AE350-CONTADORES!$AE349,0)</f>
        <v>0</v>
      </c>
      <c r="I338" s="199">
        <f ca="1">IF(B338&gt;=$J$5,0,CONTADORES!$AB350-CONTADORES!$AB349)</f>
        <v>0</v>
      </c>
      <c r="J338" s="198">
        <f t="shared" ca="1" si="167"/>
        <v>0</v>
      </c>
      <c r="K338" s="196">
        <f ca="1">'CALCULO DE GAS'!Q163</f>
        <v>0</v>
      </c>
      <c r="L338" s="1396">
        <f ca="1">IF(B338&gt;=$J$5,0,(CONTADORES!$Y350-CONTADORES!$Y349)-$O338)</f>
        <v>0</v>
      </c>
      <c r="M338" s="1396">
        <f t="shared" ca="1" si="168"/>
        <v>0</v>
      </c>
      <c r="N338" s="1396">
        <f ca="1">IF(B338&gt;=$J$5,0,CONTADORES!$AA350-CONTADORES!$AA349)</f>
        <v>0</v>
      </c>
      <c r="O338" s="1396">
        <f ca="1">IF(N338&gt;0,CONTADORES!$Z350-CONTADORES!$Z349,0)</f>
        <v>0</v>
      </c>
      <c r="P338" s="202">
        <f ca="1">IF(B338&gt;=$J$5,0,CONTADORES!$W350-CONTADORES!$W349)</f>
        <v>0</v>
      </c>
      <c r="Q338" s="202">
        <f ca="1">IF(B338&gt;=$J$5,0,CONTADORES!$B350-CONTADORES!$B349)</f>
        <v>0</v>
      </c>
      <c r="R338" s="196">
        <f t="shared" ca="1" si="169"/>
        <v>0</v>
      </c>
      <c r="S338" s="11">
        <f ca="1">IF(B338&gt;=$J$5,0,CONTADORES!$D350-CONTADORES!$D349)</f>
        <v>0</v>
      </c>
      <c r="T338" s="198">
        <f ca="1">IF(B338&gt;=$J$5,0,CONTADORES!$BB350-CONTADORES!$BB349)</f>
        <v>0</v>
      </c>
      <c r="U338" s="196">
        <f t="shared" ca="1" si="162"/>
        <v>0</v>
      </c>
      <c r="V338" s="11">
        <f ca="1">IF(B338&gt;=$J$5,0,CONTADORES!$BD350-CONTADORES!$BD349)</f>
        <v>0</v>
      </c>
      <c r="W338" s="1397">
        <f t="shared" ca="1" si="170"/>
        <v>0</v>
      </c>
      <c r="X338" s="1397">
        <f t="shared" ca="1" si="171"/>
        <v>0</v>
      </c>
      <c r="Y338" s="1398">
        <f t="shared" ca="1" si="172"/>
        <v>0</v>
      </c>
      <c r="Z338" s="1398">
        <f t="shared" ca="1" si="173"/>
        <v>0</v>
      </c>
      <c r="AA338" s="1398">
        <f t="shared" ca="1" si="174"/>
        <v>0</v>
      </c>
      <c r="AB338" s="1398">
        <f t="shared" ca="1" si="175"/>
        <v>0</v>
      </c>
      <c r="AC338" s="1397">
        <f t="shared" ca="1" si="176"/>
        <v>0</v>
      </c>
      <c r="AD338" s="1407">
        <f ca="1">IF(B338&gt;=$J$5,0,CONTADORES!H350-CONTADORES!H349)</f>
        <v>0</v>
      </c>
      <c r="AE338" s="1397">
        <f ca="1">IF(B338&gt;=$J$5,0,CONTADORES!J350-CONTADORES!J349)</f>
        <v>0</v>
      </c>
      <c r="AF338" s="1397">
        <f ca="1">IF(B338&gt;=$J$5,0,CONTADORES!AU350-CONTADORES!AU349)</f>
        <v>0</v>
      </c>
      <c r="AG338" s="1397">
        <f ca="1">IF(B338&gt;=$J$5,0,CONTADORES!AW350-CONTADORES!AW349)</f>
        <v>0</v>
      </c>
      <c r="AH338" s="1398">
        <f ca="1">IF(B338&gt;=$J$5,0,(CONTADORES!AM350-CONTADORES!AM349)+(CONTADORES!M350-CONTADORES!M349))</f>
        <v>0</v>
      </c>
      <c r="AI338" s="1397">
        <f ca="1">IF(B338&gt;=$J$5,0,(CONTADORES!AK350-CONTADORES!AK349)+(CONTADORES!O350-CONTADORES!O349))</f>
        <v>0</v>
      </c>
      <c r="AJ338" s="1397">
        <f ca="1">IF(B338&gt;=$J$5,0,(CONTADORES!AI350-CONTADORES!AI349))</f>
        <v>0</v>
      </c>
      <c r="AK338" s="1397">
        <f ca="1">IF(B338&gt;=$J$5,0,(CONTADORES!Q350-CONTADORES!Q349))</f>
        <v>0</v>
      </c>
      <c r="AL338" s="1461">
        <f t="shared" ca="1" si="177"/>
        <v>0</v>
      </c>
      <c r="AM338" s="1397">
        <f ca="1">IF(B338&gt;=$J$5,0,(((CONTADORES!F350-CONTADORES!F349)+(CONTADORES!AQ350-CONTADORES!AQ349))))-BS338-AF338-AN338-BV338-BY338-CD338-CB338+T338</f>
        <v>0</v>
      </c>
      <c r="AN338" s="1397">
        <f ca="1">IF(B338&gt;=$J$5,0,(CONTADORES!AX350-CONTADORES!AX349)+(CONTADORES!AZ350-CONTADORES!AZ349)+(CONTADORES!BE350-CONTADORES!BE349))-CB338</f>
        <v>0</v>
      </c>
      <c r="AO338" s="1399">
        <f ca="1">IF(B338&gt;=$J$5,0,(CONTADORES!AC350-CONTADORES!AC349))</f>
        <v>0</v>
      </c>
      <c r="AP338" s="1433">
        <f ca="1">IF(B338&gt;=$J$5,0,(CONTADORES!X350-CONTADORES!X349))</f>
        <v>0</v>
      </c>
      <c r="AQ338" s="1399">
        <f ca="1">IF(B338&gt;=$J$5,0,(CONTADORES!C350-CONTADORES!C349))</f>
        <v>0</v>
      </c>
      <c r="AR338" s="1399">
        <f ca="1">IF(B338&gt;=$J$5,0,(CONTADORES!BC350-CONTADORES!BC349))</f>
        <v>0</v>
      </c>
      <c r="AS338" s="1397">
        <f ca="1">IF(B338&gt;=$J$5,0,CONTADORES!S350-CONTADORES!S349)</f>
        <v>0</v>
      </c>
      <c r="AT338" s="1397">
        <f ca="1">IF(B338&gt;=$J$5,0,(CONTADORES!U350-CONTADORES!U349)+(CONTADORES!AG350-CONTADORES!AG349))</f>
        <v>0</v>
      </c>
      <c r="AU338" s="1433">
        <f ca="1">IF(B338&gt;=$J$5,0,(CONTADORES!I350-CONTADORES!I349))</f>
        <v>0</v>
      </c>
      <c r="AV338" s="1399">
        <f ca="1">IF(B338&gt;=$J$5,0,(CONTADORES!AV350-CONTADORES!AV349))</f>
        <v>0</v>
      </c>
      <c r="AW338" s="1433">
        <f ca="1">IF(B338&gt;=$J$5,0,(CONTADORES!N350-CONTADORES!N349)+(CONTADORES!AN350-CONTADORES!AN349))</f>
        <v>0</v>
      </c>
      <c r="AX338" s="1399">
        <f ca="1">IF(B338&gt;=$J$5,0,(CONTADORES!P350-CONTADORES!P349)+(CONTADORES!AL350-CONTADORES!AL349))</f>
        <v>0</v>
      </c>
      <c r="AY338" s="1399">
        <f ca="1">IF(B338&gt;=$J$5,0,(CONTADORES!AJ350-CONTADORES!AJ349))</f>
        <v>0</v>
      </c>
      <c r="AZ338" s="1399">
        <f ca="1">IF(B338&gt;=$J$5,0,(CONTADORES!R350-CONTADORES!R349))</f>
        <v>0</v>
      </c>
      <c r="BA338" s="1409">
        <f t="shared" ca="1" si="178"/>
        <v>0</v>
      </c>
      <c r="BB338" s="1399">
        <f ca="1">IF(B338&gt;=$J$5,0,(((CONTADORES!G350-CONTADORES!G349)+(CONTADORES!AR350-CONTADORES!AR349))))-AV338-BC338-BT338-BW338-BZ338-CE338-AR338</f>
        <v>0</v>
      </c>
      <c r="BC338" s="1397">
        <f ca="1">IF(B338&gt;=$J$5,0,(CONTADORES!AY350-CONTADORES!AY349)+(CONTADORES!BA350-CONTADORES!BA349)+(CONTADORES!BF350-CONTADORES!BF349))</f>
        <v>0</v>
      </c>
      <c r="BD338" s="1397">
        <f t="shared" ca="1" si="179"/>
        <v>0</v>
      </c>
      <c r="BE338" s="1398">
        <f ca="1">IF($B338&gt;=$J$5,0,CONTADORES!$BG350)</f>
        <v>0</v>
      </c>
      <c r="BF338" s="1397">
        <f ca="1">IF($B338&gt;=$J$5,0,CONTADORES!$BH350)</f>
        <v>0</v>
      </c>
      <c r="BG338" s="1397">
        <f ca="1">IF($B338&gt;=$J$5,0,CONTADORES!$BJ350)</f>
        <v>0</v>
      </c>
      <c r="BH338" s="1397">
        <f ca="1">IF(B338&gt;=$J$5,0,((CONTADORES!BK350-CONTADORES!BK349)/1000))</f>
        <v>0</v>
      </c>
      <c r="BI338" s="1397">
        <f ca="1">IF(C338&gt;=$J$5,0,((CONTADORES!BL350-CONTADORES!BL349)/1000))</f>
        <v>0</v>
      </c>
      <c r="BJ338" s="1397">
        <f ca="1">IF(C338&gt;=$J$5,0,((CONTADORES!BM350-CONTADORES!BM349)/1000))</f>
        <v>0</v>
      </c>
      <c r="BK338" s="1397">
        <f ca="1">IF(D338&gt;=$J$5,0,((CONTADORES!BN350-CONTADORES!BN349)/1000))</f>
        <v>0</v>
      </c>
      <c r="BL338" s="1399">
        <f t="shared" ca="1" si="194"/>
        <v>0</v>
      </c>
      <c r="BM338" s="1399">
        <f t="shared" ca="1" si="180"/>
        <v>0</v>
      </c>
      <c r="BN338" s="1399">
        <f ca="1">IF(B338&gt;=$J$5,0,CONTADORES!$BO350)</f>
        <v>0</v>
      </c>
      <c r="BO338" s="1397">
        <f ca="1">IF(W338&gt;=$J$5,0,CONTADORES!$BP350)</f>
        <v>0</v>
      </c>
      <c r="BP338" s="1397">
        <f ca="1">IF(W338&gt;=$J$5,0,CONTADORES!$BQ350)</f>
        <v>0</v>
      </c>
      <c r="BQ338" s="1397">
        <f ca="1">IF(B338&gt;=$J$5,0,(CONTADORES!AS350-CONTADORES!AS349))</f>
        <v>0</v>
      </c>
      <c r="BR338" s="1397">
        <f ca="1">IF(B338&gt;=$J$5,0,(CONTADORES!AT350-CONTADORES!AT349))</f>
        <v>0</v>
      </c>
      <c r="BS338" s="1397">
        <f ca="1">IF(B338&gt;=$J$5,0,CONTADORES!BR350-CONTADORES!BR349)/1000</f>
        <v>0</v>
      </c>
      <c r="BT338" s="1398">
        <f ca="1">IF(B338&gt;=$J$5,0,CONTADORES!BS350-CONTADORES!BS349)</f>
        <v>0</v>
      </c>
      <c r="BU338" s="1397">
        <f ca="1">IF(B338&gt;=$J$5,0,CONTADORES!BT350-CONTADORES!BT349)</f>
        <v>0</v>
      </c>
      <c r="BV338" s="1397">
        <f ca="1">IF(B338&gt;=$J$5,0,CONTADORES!BU350-CONTADORES!BU349)/1000</f>
        <v>0</v>
      </c>
      <c r="BW338" s="1397">
        <f ca="1">IF(B338&gt;=$J$5,0,CONTADORES!BV350-CONTADORES!BV349)/1000</f>
        <v>0</v>
      </c>
      <c r="BX338" s="1397">
        <f ca="1">IF(B338&gt;=$J$5,0,CONTADORES!BW350-CONTADORES!BW349)</f>
        <v>0</v>
      </c>
      <c r="BY338" s="1397">
        <f ca="1">IF(B338&gt;=$J$5,0,CONTADORES!BX350-CONTADORES!BX349)/1000</f>
        <v>0</v>
      </c>
      <c r="BZ338" s="1397">
        <f ca="1">IF(B338&gt;=$J$5,0,CONTADORES!BY350-CONTADORES!BY349)/1000</f>
        <v>0</v>
      </c>
      <c r="CA338" s="1397">
        <f ca="1">IF(B338&gt;=$J$5,0,CONTADORES!BZ350-CONTADORES!BZ349)</f>
        <v>0</v>
      </c>
      <c r="CB338" s="1397">
        <f ca="1">IF(B338&gt;=$J$5,0,(CONTADORES!CC350-CONTADORES!CC349)+(CONTADORES!CE350-CONTADORES!CE349))/1000</f>
        <v>0</v>
      </c>
      <c r="CC338" s="1397">
        <f ca="1">IF(B338&gt;=$J$5,0,(CONTADORES!CD350-CONTADORES!CD349)+(CONTADORES!CF350-CONTADORES!CF349))/1000</f>
        <v>0</v>
      </c>
      <c r="CD338" s="1397">
        <f ca="1">IF(B338&gt;=$J$5,0,CONTADORES!CA350-CONTADORES!CA349)</f>
        <v>0</v>
      </c>
      <c r="CE338" s="1397">
        <f ca="1">IF(B338&gt;=$J$5,0,CONTADORES!CB350-CONTADORES!CB349)</f>
        <v>0</v>
      </c>
      <c r="CF338" s="1397">
        <f t="shared" ca="1" si="181"/>
        <v>0</v>
      </c>
      <c r="CG338" s="1397">
        <f t="shared" ca="1" si="182"/>
        <v>0</v>
      </c>
      <c r="CH338" s="1397">
        <f t="shared" ca="1" si="183"/>
        <v>0</v>
      </c>
      <c r="CI338" s="1397">
        <f t="shared" ca="1" si="184"/>
        <v>0</v>
      </c>
      <c r="CJ338" s="1397">
        <f t="shared" ca="1" si="185"/>
        <v>0</v>
      </c>
      <c r="CK338" s="1397">
        <f t="shared" ca="1" si="186"/>
        <v>0</v>
      </c>
      <c r="CL338" s="1397">
        <f t="shared" ca="1" si="187"/>
        <v>0</v>
      </c>
      <c r="CM338" s="1397">
        <f t="shared" ca="1" si="188"/>
        <v>0</v>
      </c>
      <c r="CN338" s="1397">
        <f ca="1">IF(B338&gt;=$J$5,0,CONTADORES!CB350-CONTADORES!CB349)</f>
        <v>0</v>
      </c>
      <c r="CO338" s="1397">
        <f t="shared" ca="1" si="189"/>
        <v>0</v>
      </c>
      <c r="CP338" s="1397">
        <f t="shared" ca="1" si="190"/>
        <v>0</v>
      </c>
      <c r="CQ338" s="1397">
        <f t="shared" ca="1" si="191"/>
        <v>0</v>
      </c>
      <c r="CR338" s="1397">
        <f t="shared" ca="1" si="192"/>
        <v>0</v>
      </c>
      <c r="CS338" s="1403">
        <f ca="1">IF($B338&gt;=$J$5,0,CONTADORES!$BI350)</f>
        <v>0</v>
      </c>
      <c r="CT338" s="1369">
        <f>CONTADORES!E350</f>
        <v>0</v>
      </c>
      <c r="CU338" s="1369">
        <f>CONTADORES!CG350</f>
        <v>0</v>
      </c>
    </row>
    <row r="339" spans="2:99">
      <c r="B339" s="390">
        <v>45255</v>
      </c>
      <c r="C339" s="198">
        <f t="shared" ca="1" si="166"/>
        <v>0</v>
      </c>
      <c r="D339" s="196">
        <f ca="1">'CALCULO DE GAS'!P164</f>
        <v>0</v>
      </c>
      <c r="E339" s="196">
        <f ca="1">IF(B339&gt;=$J$5,0,(CONTADORES!$AD351-CONTADORES!$AD350)-$H339)</f>
        <v>0</v>
      </c>
      <c r="F339" s="198">
        <f t="shared" ca="1" si="164"/>
        <v>0</v>
      </c>
      <c r="G339" s="196">
        <f ca="1">IF(B339&gt;=$J$5,0,CONTADORES!$AF351-CONTADORES!$AF350)</f>
        <v>0</v>
      </c>
      <c r="H339" s="196">
        <f ca="1">IF(G339&gt;0,CONTADORES!$AE351-CONTADORES!$AE350,0)</f>
        <v>0</v>
      </c>
      <c r="I339" s="199">
        <f ca="1">IF(B339&gt;=$J$5,0,CONTADORES!$AB351-CONTADORES!$AB350)</f>
        <v>0</v>
      </c>
      <c r="J339" s="198">
        <f t="shared" ca="1" si="167"/>
        <v>0</v>
      </c>
      <c r="K339" s="196">
        <f ca="1">'CALCULO DE GAS'!Q164</f>
        <v>0</v>
      </c>
      <c r="L339" s="1396">
        <f ca="1">IF(B339&gt;=$J$5,0,(CONTADORES!$Y351-CONTADORES!$Y350)-$O339)</f>
        <v>0</v>
      </c>
      <c r="M339" s="1396">
        <f t="shared" ca="1" si="168"/>
        <v>0</v>
      </c>
      <c r="N339" s="1396">
        <f ca="1">IF(B339&gt;=$J$5,0,CONTADORES!$AA351-CONTADORES!$AA350)</f>
        <v>0</v>
      </c>
      <c r="O339" s="1396">
        <f ca="1">IF(N339&gt;0,CONTADORES!$Z351-CONTADORES!$Z350,0)</f>
        <v>0</v>
      </c>
      <c r="P339" s="202">
        <f ca="1">IF(B339&gt;=$J$5,0,CONTADORES!$W351-CONTADORES!$W350)</f>
        <v>0</v>
      </c>
      <c r="Q339" s="202">
        <f ca="1">IF(B339&gt;=$J$5,0,CONTADORES!$B351-CONTADORES!$B350)</f>
        <v>0</v>
      </c>
      <c r="R339" s="196">
        <f t="shared" ca="1" si="169"/>
        <v>0</v>
      </c>
      <c r="S339" s="11">
        <f ca="1">IF(B339&gt;=$J$5,0,CONTADORES!$D351-CONTADORES!$D350)</f>
        <v>0</v>
      </c>
      <c r="T339" s="198">
        <f ca="1">IF(B339&gt;=$J$5,0,CONTADORES!$BB351-CONTADORES!$BB350)</f>
        <v>0</v>
      </c>
      <c r="U339" s="196">
        <f t="shared" ca="1" si="162"/>
        <v>0</v>
      </c>
      <c r="V339" s="11">
        <f ca="1">IF(B339&gt;=$J$5,0,CONTADORES!$BD351-CONTADORES!$BD350)</f>
        <v>0</v>
      </c>
      <c r="W339" s="1397">
        <f t="shared" ca="1" si="170"/>
        <v>0</v>
      </c>
      <c r="X339" s="1397">
        <f t="shared" ca="1" si="171"/>
        <v>0</v>
      </c>
      <c r="Y339" s="1398">
        <f t="shared" ca="1" si="172"/>
        <v>0</v>
      </c>
      <c r="Z339" s="1398">
        <f t="shared" ca="1" si="173"/>
        <v>0</v>
      </c>
      <c r="AA339" s="1398">
        <f t="shared" ca="1" si="174"/>
        <v>0</v>
      </c>
      <c r="AB339" s="1398">
        <f t="shared" ca="1" si="175"/>
        <v>0</v>
      </c>
      <c r="AC339" s="1397">
        <f t="shared" ca="1" si="176"/>
        <v>0</v>
      </c>
      <c r="AD339" s="1407">
        <f ca="1">IF(B339&gt;=$J$5,0,CONTADORES!H351-CONTADORES!H350)</f>
        <v>0</v>
      </c>
      <c r="AE339" s="1397">
        <f ca="1">IF(B339&gt;=$J$5,0,CONTADORES!J351-CONTADORES!J350)</f>
        <v>0</v>
      </c>
      <c r="AF339" s="1397">
        <f ca="1">IF(B339&gt;=$J$5,0,CONTADORES!AU351-CONTADORES!AU350)</f>
        <v>0</v>
      </c>
      <c r="AG339" s="1397">
        <f ca="1">IF(B339&gt;=$J$5,0,CONTADORES!AW351-CONTADORES!AW350)</f>
        <v>0</v>
      </c>
      <c r="AH339" s="1398">
        <f ca="1">IF(B339&gt;=$J$5,0,(CONTADORES!AM351-CONTADORES!AM350)+(CONTADORES!M351-CONTADORES!M350))</f>
        <v>0</v>
      </c>
      <c r="AI339" s="1397">
        <f ca="1">IF(B339&gt;=$J$5,0,(CONTADORES!AK351-CONTADORES!AK350)+(CONTADORES!O351-CONTADORES!O350))</f>
        <v>0</v>
      </c>
      <c r="AJ339" s="1397">
        <f ca="1">IF(B339&gt;=$J$5,0,(CONTADORES!AI351-CONTADORES!AI350))</f>
        <v>0</v>
      </c>
      <c r="AK339" s="1397">
        <f ca="1">IF(B339&gt;=$J$5,0,(CONTADORES!Q351-CONTADORES!Q350))</f>
        <v>0</v>
      </c>
      <c r="AL339" s="1461">
        <f t="shared" ca="1" si="177"/>
        <v>0</v>
      </c>
      <c r="AM339" s="1397">
        <f ca="1">IF(B339&gt;=$J$5,0,(((CONTADORES!F351-CONTADORES!F350)+(CONTADORES!AQ351-CONTADORES!AQ350))))-BS339-AF339-AN339-BV339-BY339-CD339-CB339+T339</f>
        <v>0</v>
      </c>
      <c r="AN339" s="1397">
        <f ca="1">IF(B339&gt;=$J$5,0,(CONTADORES!AX351-CONTADORES!AX350)+(CONTADORES!AZ351-CONTADORES!AZ350)+(CONTADORES!BE351-CONTADORES!BE350))-CB339</f>
        <v>0</v>
      </c>
      <c r="AO339" s="1399">
        <f ca="1">IF(B339&gt;=$J$5,0,(CONTADORES!AC351-CONTADORES!AC350))</f>
        <v>0</v>
      </c>
      <c r="AP339" s="1433">
        <f ca="1">IF(B339&gt;=$J$5,0,(CONTADORES!X351-CONTADORES!X350))</f>
        <v>0</v>
      </c>
      <c r="AQ339" s="1399">
        <f ca="1">IF(B339&gt;=$J$5,0,(CONTADORES!C351-CONTADORES!C350))</f>
        <v>0</v>
      </c>
      <c r="AR339" s="1399">
        <f ca="1">IF(B339&gt;=$J$5,0,(CONTADORES!BC351-CONTADORES!BC350))</f>
        <v>0</v>
      </c>
      <c r="AS339" s="1397">
        <f ca="1">IF(B339&gt;=$J$5,0,CONTADORES!S351-CONTADORES!S350)</f>
        <v>0</v>
      </c>
      <c r="AT339" s="1397">
        <f ca="1">IF(B339&gt;=$J$5,0,(CONTADORES!U351-CONTADORES!U350)+(CONTADORES!AG351-CONTADORES!AG350))</f>
        <v>0</v>
      </c>
      <c r="AU339" s="1433">
        <f ca="1">IF(B339&gt;=$J$5,0,(CONTADORES!I351-CONTADORES!I350))</f>
        <v>0</v>
      </c>
      <c r="AV339" s="1399">
        <f ca="1">IF(B339&gt;=$J$5,0,(CONTADORES!AV351-CONTADORES!AV350))</f>
        <v>0</v>
      </c>
      <c r="AW339" s="1433">
        <f ca="1">IF(B339&gt;=$J$5,0,(CONTADORES!N351-CONTADORES!N350)+(CONTADORES!AN351-CONTADORES!AN350))</f>
        <v>0</v>
      </c>
      <c r="AX339" s="1399">
        <f ca="1">IF(B339&gt;=$J$5,0,(CONTADORES!P351-CONTADORES!P350)+(CONTADORES!AL351-CONTADORES!AL350))</f>
        <v>0</v>
      </c>
      <c r="AY339" s="1399">
        <f ca="1">IF(B339&gt;=$J$5,0,(CONTADORES!AJ351-CONTADORES!AJ350))</f>
        <v>0</v>
      </c>
      <c r="AZ339" s="1399">
        <f ca="1">IF(B339&gt;=$J$5,0,(CONTADORES!R351-CONTADORES!R350))</f>
        <v>0</v>
      </c>
      <c r="BA339" s="1409">
        <f t="shared" ca="1" si="178"/>
        <v>0</v>
      </c>
      <c r="BB339" s="1399">
        <f ca="1">IF(B339&gt;=$J$5,0,(((CONTADORES!G351-CONTADORES!G350)+(CONTADORES!AR351-CONTADORES!AR350))))-AV339-BC339-BT339-BW339-BZ339-CE339-AR339</f>
        <v>0</v>
      </c>
      <c r="BC339" s="1397">
        <f ca="1">IF(B339&gt;=$J$5,0,(CONTADORES!AY351-CONTADORES!AY350)+(CONTADORES!BA351-CONTADORES!BA350)+(CONTADORES!BF351-CONTADORES!BF350))</f>
        <v>0</v>
      </c>
      <c r="BD339" s="1397">
        <f t="shared" ca="1" si="179"/>
        <v>0</v>
      </c>
      <c r="BE339" s="1398">
        <f ca="1">IF($B339&gt;=$J$5,0,CONTADORES!$BG351)</f>
        <v>0</v>
      </c>
      <c r="BF339" s="1397">
        <f ca="1">IF($B339&gt;=$J$5,0,CONTADORES!$BH351)</f>
        <v>0</v>
      </c>
      <c r="BG339" s="1397">
        <f ca="1">IF($B339&gt;=$J$5,0,CONTADORES!$BJ351)</f>
        <v>0</v>
      </c>
      <c r="BH339" s="1397">
        <f ca="1">IF(B339&gt;=$J$5,0,((CONTADORES!BK351-CONTADORES!BK350)/1000))</f>
        <v>0</v>
      </c>
      <c r="BI339" s="1397">
        <f ca="1">IF(C339&gt;=$J$5,0,((CONTADORES!BL351-CONTADORES!BL350)/1000))</f>
        <v>0</v>
      </c>
      <c r="BJ339" s="1397">
        <f ca="1">IF(C339&gt;=$J$5,0,((CONTADORES!BM351-CONTADORES!BM350)/1000))</f>
        <v>0</v>
      </c>
      <c r="BK339" s="1397">
        <f ca="1">IF(D339&gt;=$J$5,0,((CONTADORES!BN351-CONTADORES!BN350)/1000))</f>
        <v>0</v>
      </c>
      <c r="BL339" s="1399">
        <f t="shared" ca="1" si="194"/>
        <v>0</v>
      </c>
      <c r="BM339" s="1399">
        <f t="shared" ca="1" si="180"/>
        <v>0</v>
      </c>
      <c r="BN339" s="1399">
        <f ca="1">IF(B339&gt;=$J$5,0,CONTADORES!$BO351)</f>
        <v>0</v>
      </c>
      <c r="BO339" s="1397">
        <f ca="1">IF(W339&gt;=$J$5,0,CONTADORES!$BP351)</f>
        <v>0</v>
      </c>
      <c r="BP339" s="1397">
        <f ca="1">IF(W339&gt;=$J$5,0,CONTADORES!$BQ351)</f>
        <v>0</v>
      </c>
      <c r="BQ339" s="1397">
        <f ca="1">IF(B339&gt;=$J$5,0,(CONTADORES!AS351-CONTADORES!AS350))</f>
        <v>0</v>
      </c>
      <c r="BR339" s="1397">
        <f ca="1">IF(B339&gt;=$J$5,0,(CONTADORES!AT351-CONTADORES!AT350))</f>
        <v>0</v>
      </c>
      <c r="BS339" s="1397">
        <f ca="1">IF(B339&gt;=$J$5,0,CONTADORES!BR351-CONTADORES!BR350)/1000</f>
        <v>0</v>
      </c>
      <c r="BT339" s="1398">
        <f ca="1">IF(B339&gt;=$J$5,0,CONTADORES!BS351-CONTADORES!BS350)</f>
        <v>0</v>
      </c>
      <c r="BU339" s="1397">
        <f ca="1">IF(B339&gt;=$J$5,0,CONTADORES!BT351-CONTADORES!BT350)</f>
        <v>0</v>
      </c>
      <c r="BV339" s="1397">
        <f ca="1">IF(B339&gt;=$J$5,0,CONTADORES!BU351-CONTADORES!BU350)/1000</f>
        <v>0</v>
      </c>
      <c r="BW339" s="1397">
        <f ca="1">IF(B339&gt;=$J$5,0,CONTADORES!BV351-CONTADORES!BV350)/1000</f>
        <v>0</v>
      </c>
      <c r="BX339" s="1397">
        <f ca="1">IF(B339&gt;=$J$5,0,CONTADORES!BW351-CONTADORES!BW350)</f>
        <v>0</v>
      </c>
      <c r="BY339" s="1397">
        <f ca="1">IF(B339&gt;=$J$5,0,CONTADORES!BX351-CONTADORES!BX350)/1000</f>
        <v>0</v>
      </c>
      <c r="BZ339" s="1397">
        <f ca="1">IF(B339&gt;=$J$5,0,CONTADORES!BY351-CONTADORES!BY350)/1000</f>
        <v>0</v>
      </c>
      <c r="CA339" s="1397">
        <f ca="1">IF(B339&gt;=$J$5,0,CONTADORES!BZ351-CONTADORES!BZ350)</f>
        <v>0</v>
      </c>
      <c r="CB339" s="1397">
        <f ca="1">IF(B339&gt;=$J$5,0,(CONTADORES!CC351-CONTADORES!CC350)+(CONTADORES!CE351-CONTADORES!CE350))/1000</f>
        <v>0</v>
      </c>
      <c r="CC339" s="1397">
        <f ca="1">IF(B339&gt;=$J$5,0,(CONTADORES!CD351-CONTADORES!CD350)+(CONTADORES!CF351-CONTADORES!CF350))/1000</f>
        <v>0</v>
      </c>
      <c r="CD339" s="1397">
        <f ca="1">IF(B339&gt;=$J$5,0,CONTADORES!CA351-CONTADORES!CA350)</f>
        <v>0</v>
      </c>
      <c r="CE339" s="1397">
        <f ca="1">IF(B339&gt;=$J$5,0,CONTADORES!CB351-CONTADORES!CB350)</f>
        <v>0</v>
      </c>
      <c r="CF339" s="1397">
        <f t="shared" ca="1" si="181"/>
        <v>0</v>
      </c>
      <c r="CG339" s="1397">
        <f t="shared" ca="1" si="182"/>
        <v>0</v>
      </c>
      <c r="CH339" s="1397">
        <f t="shared" ca="1" si="183"/>
        <v>0</v>
      </c>
      <c r="CI339" s="1397">
        <f t="shared" ca="1" si="184"/>
        <v>0</v>
      </c>
      <c r="CJ339" s="1397">
        <f t="shared" ca="1" si="185"/>
        <v>0</v>
      </c>
      <c r="CK339" s="1397">
        <f t="shared" ca="1" si="186"/>
        <v>0</v>
      </c>
      <c r="CL339" s="1397">
        <f t="shared" ca="1" si="187"/>
        <v>0</v>
      </c>
      <c r="CM339" s="1397">
        <f t="shared" ca="1" si="188"/>
        <v>0</v>
      </c>
      <c r="CN339" s="1397">
        <f ca="1">IF(B339&gt;=$J$5,0,CONTADORES!CB351-CONTADORES!CB350)</f>
        <v>0</v>
      </c>
      <c r="CO339" s="1397">
        <f t="shared" ca="1" si="189"/>
        <v>0</v>
      </c>
      <c r="CP339" s="1397">
        <f t="shared" ca="1" si="190"/>
        <v>0</v>
      </c>
      <c r="CQ339" s="1397">
        <f t="shared" ca="1" si="191"/>
        <v>0</v>
      </c>
      <c r="CR339" s="1397">
        <f t="shared" ca="1" si="192"/>
        <v>0</v>
      </c>
      <c r="CS339" s="1403">
        <f ca="1">IF($B339&gt;=$J$5,0,CONTADORES!$BI351)</f>
        <v>0</v>
      </c>
      <c r="CT339" s="1369">
        <f>CONTADORES!E351</f>
        <v>0</v>
      </c>
      <c r="CU339" s="1369">
        <f>CONTADORES!CG351</f>
        <v>0</v>
      </c>
    </row>
    <row r="340" spans="2:99">
      <c r="B340" s="390">
        <v>45256</v>
      </c>
      <c r="C340" s="198">
        <f t="shared" ca="1" si="166"/>
        <v>0</v>
      </c>
      <c r="D340" s="196">
        <f ca="1">'CALCULO DE GAS'!P165</f>
        <v>0</v>
      </c>
      <c r="E340" s="196">
        <f ca="1">IF(B340&gt;=$J$5,0,(CONTADORES!$AD352-CONTADORES!$AD351)-$H340)</f>
        <v>0</v>
      </c>
      <c r="F340" s="198">
        <f t="shared" ca="1" si="164"/>
        <v>0</v>
      </c>
      <c r="G340" s="196">
        <f ca="1">IF(B340&gt;=$J$5,0,CONTADORES!$AF352-CONTADORES!$AF351)</f>
        <v>0</v>
      </c>
      <c r="H340" s="196">
        <f ca="1">IF(G340&gt;0,CONTADORES!$AE352-CONTADORES!$AE351,0)</f>
        <v>0</v>
      </c>
      <c r="I340" s="199">
        <f ca="1">IF(B340&gt;=$J$5,0,CONTADORES!$AB352-CONTADORES!$AB351)</f>
        <v>0</v>
      </c>
      <c r="J340" s="198">
        <f t="shared" ca="1" si="167"/>
        <v>0</v>
      </c>
      <c r="K340" s="196">
        <f ca="1">'CALCULO DE GAS'!Q165</f>
        <v>0</v>
      </c>
      <c r="L340" s="1396">
        <f ca="1">IF(B340&gt;=$J$5,0,(CONTADORES!$Y352-CONTADORES!$Y351)-$O340)</f>
        <v>0</v>
      </c>
      <c r="M340" s="1396">
        <f t="shared" ca="1" si="168"/>
        <v>0</v>
      </c>
      <c r="N340" s="1396">
        <f ca="1">IF(B340&gt;=$J$5,0,CONTADORES!$AA352-CONTADORES!$AA351)</f>
        <v>0</v>
      </c>
      <c r="O340" s="1396">
        <f ca="1">IF(N340&gt;0,CONTADORES!$Z352-CONTADORES!$Z351,0)</f>
        <v>0</v>
      </c>
      <c r="P340" s="202">
        <f ca="1">IF(B340&gt;=$J$5,0,CONTADORES!$W352-CONTADORES!$W351)</f>
        <v>0</v>
      </c>
      <c r="Q340" s="202">
        <f ca="1">IF(B340&gt;=$J$5,0,CONTADORES!$B352-CONTADORES!$B351)</f>
        <v>0</v>
      </c>
      <c r="R340" s="196">
        <f t="shared" ca="1" si="169"/>
        <v>0</v>
      </c>
      <c r="S340" s="11">
        <f ca="1">IF(B340&gt;=$J$5,0,CONTADORES!$D352-CONTADORES!$D351)</f>
        <v>0</v>
      </c>
      <c r="T340" s="198">
        <f ca="1">IF(B340&gt;=$J$5,0,CONTADORES!$BB352-CONTADORES!$BB351)</f>
        <v>0</v>
      </c>
      <c r="U340" s="196">
        <f t="shared" ca="1" si="162"/>
        <v>0</v>
      </c>
      <c r="V340" s="11">
        <f ca="1">IF(B340&gt;=$J$5,0,CONTADORES!$BD352-CONTADORES!$BD351)</f>
        <v>0</v>
      </c>
      <c r="W340" s="1397">
        <f t="shared" ca="1" si="170"/>
        <v>0</v>
      </c>
      <c r="X340" s="1397">
        <f t="shared" ca="1" si="171"/>
        <v>0</v>
      </c>
      <c r="Y340" s="1398">
        <f t="shared" ca="1" si="172"/>
        <v>0</v>
      </c>
      <c r="Z340" s="1398">
        <f t="shared" ca="1" si="173"/>
        <v>0</v>
      </c>
      <c r="AA340" s="1398">
        <f t="shared" ca="1" si="174"/>
        <v>0</v>
      </c>
      <c r="AB340" s="1398">
        <f t="shared" ca="1" si="175"/>
        <v>0</v>
      </c>
      <c r="AC340" s="1397">
        <f t="shared" ca="1" si="176"/>
        <v>0</v>
      </c>
      <c r="AD340" s="1407">
        <f ca="1">IF(B340&gt;=$J$5,0,CONTADORES!H352-CONTADORES!H351)</f>
        <v>0</v>
      </c>
      <c r="AE340" s="1397">
        <f ca="1">IF(B340&gt;=$J$5,0,CONTADORES!J352-CONTADORES!J351)</f>
        <v>0</v>
      </c>
      <c r="AF340" s="1397">
        <f ca="1">IF(B340&gt;=$J$5,0,CONTADORES!AU352-CONTADORES!AU351)</f>
        <v>0</v>
      </c>
      <c r="AG340" s="1397">
        <f ca="1">IF(B340&gt;=$J$5,0,CONTADORES!AW352-CONTADORES!AW351)</f>
        <v>0</v>
      </c>
      <c r="AH340" s="1398">
        <f ca="1">IF(B340&gt;=$J$5,0,(CONTADORES!AM352-CONTADORES!AM351)+(CONTADORES!M352-CONTADORES!M351))</f>
        <v>0</v>
      </c>
      <c r="AI340" s="1397">
        <f ca="1">IF(B340&gt;=$J$5,0,(CONTADORES!AK352-CONTADORES!AK351)+(CONTADORES!O352-CONTADORES!O351))</f>
        <v>0</v>
      </c>
      <c r="AJ340" s="1397">
        <f ca="1">IF(B340&gt;=$J$5,0,(CONTADORES!AI352-CONTADORES!AI351))</f>
        <v>0</v>
      </c>
      <c r="AK340" s="1397">
        <f ca="1">IF(B340&gt;=$J$5,0,(CONTADORES!Q352-CONTADORES!Q351))</f>
        <v>0</v>
      </c>
      <c r="AL340" s="1461">
        <f t="shared" ca="1" si="177"/>
        <v>0</v>
      </c>
      <c r="AM340" s="1397">
        <f ca="1">IF(B340&gt;=$J$5,0,(((CONTADORES!F352-CONTADORES!F351)+(CONTADORES!AQ352-CONTADORES!AQ351))))-BS340-AF340-AN340-BV340-BY340-CD340-CB340+T340</f>
        <v>0</v>
      </c>
      <c r="AN340" s="1397">
        <f ca="1">IF(B340&gt;=$J$5,0,(CONTADORES!AX352-CONTADORES!AX351)+(CONTADORES!AZ352-CONTADORES!AZ351)+(CONTADORES!BE352-CONTADORES!BE351))-CB340</f>
        <v>0</v>
      </c>
      <c r="AO340" s="1399">
        <f ca="1">IF(B340&gt;=$J$5,0,(CONTADORES!AC352-CONTADORES!AC351))</f>
        <v>0</v>
      </c>
      <c r="AP340" s="1433">
        <f ca="1">IF(B340&gt;=$J$5,0,(CONTADORES!X352-CONTADORES!X351))</f>
        <v>0</v>
      </c>
      <c r="AQ340" s="1399">
        <f ca="1">IF(B340&gt;=$J$5,0,(CONTADORES!C352-CONTADORES!C351))</f>
        <v>0</v>
      </c>
      <c r="AR340" s="1399">
        <f ca="1">IF(B340&gt;=$J$5,0,(CONTADORES!BC352-CONTADORES!BC351))</f>
        <v>0</v>
      </c>
      <c r="AS340" s="1397">
        <f ca="1">IF(B340&gt;=$J$5,0,CONTADORES!S352-CONTADORES!S351)</f>
        <v>0</v>
      </c>
      <c r="AT340" s="1397">
        <f ca="1">IF(B340&gt;=$J$5,0,(CONTADORES!U352-CONTADORES!U351)+(CONTADORES!AG352-CONTADORES!AG351))</f>
        <v>0</v>
      </c>
      <c r="AU340" s="1433">
        <f ca="1">IF(B340&gt;=$J$5,0,(CONTADORES!I352-CONTADORES!I351))</f>
        <v>0</v>
      </c>
      <c r="AV340" s="1399">
        <f ca="1">IF(B340&gt;=$J$5,0,(CONTADORES!AV352-CONTADORES!AV351))</f>
        <v>0</v>
      </c>
      <c r="AW340" s="1433">
        <f ca="1">IF(B340&gt;=$J$5,0,(CONTADORES!N352-CONTADORES!N351)+(CONTADORES!AN352-CONTADORES!AN351))</f>
        <v>0</v>
      </c>
      <c r="AX340" s="1399">
        <f ca="1">IF(B340&gt;=$J$5,0,(CONTADORES!P352-CONTADORES!P351)+(CONTADORES!AL352-CONTADORES!AL351))</f>
        <v>0</v>
      </c>
      <c r="AY340" s="1399">
        <f ca="1">IF(B340&gt;=$J$5,0,(CONTADORES!AJ352-CONTADORES!AJ351))</f>
        <v>0</v>
      </c>
      <c r="AZ340" s="1399">
        <f ca="1">IF(B340&gt;=$J$5,0,(CONTADORES!R352-CONTADORES!R351))</f>
        <v>0</v>
      </c>
      <c r="BA340" s="1409">
        <f t="shared" ca="1" si="178"/>
        <v>0</v>
      </c>
      <c r="BB340" s="1399">
        <f ca="1">IF(B340&gt;=$J$5,0,(((CONTADORES!G352-CONTADORES!G351)+(CONTADORES!AR352-CONTADORES!AR351))))-AV340-BC340-BT340-BW340-BZ340-CE340-AR340</f>
        <v>0</v>
      </c>
      <c r="BC340" s="1397">
        <f ca="1">IF(B340&gt;=$J$5,0,(CONTADORES!AY352-CONTADORES!AY351)+(CONTADORES!BA352-CONTADORES!BA351)+(CONTADORES!BF352-CONTADORES!BF351))</f>
        <v>0</v>
      </c>
      <c r="BD340" s="1397">
        <f t="shared" ca="1" si="179"/>
        <v>0</v>
      </c>
      <c r="BE340" s="1398">
        <f ca="1">IF($B340&gt;=$J$5,0,CONTADORES!$BG352)</f>
        <v>0</v>
      </c>
      <c r="BF340" s="1397">
        <f ca="1">IF($B340&gt;=$J$5,0,CONTADORES!$BH352)</f>
        <v>0</v>
      </c>
      <c r="BG340" s="1397">
        <f ca="1">IF($B340&gt;=$J$5,0,CONTADORES!$BJ352)</f>
        <v>0</v>
      </c>
      <c r="BH340" s="1397">
        <f ca="1">IF(B340&gt;=$J$5,0,((CONTADORES!BK352-CONTADORES!BK351)/1000))</f>
        <v>0</v>
      </c>
      <c r="BI340" s="1397">
        <f ca="1">IF(C340&gt;=$J$5,0,((CONTADORES!BL352-CONTADORES!BL351)/1000))</f>
        <v>0</v>
      </c>
      <c r="BJ340" s="1397">
        <f ca="1">IF(C340&gt;=$J$5,0,((CONTADORES!BM352-CONTADORES!BM351)/1000))</f>
        <v>0</v>
      </c>
      <c r="BK340" s="1397">
        <f ca="1">IF(D340&gt;=$J$5,0,((CONTADORES!BN352-CONTADORES!BN351)/1000))</f>
        <v>0</v>
      </c>
      <c r="BL340" s="1399">
        <f t="shared" ca="1" si="194"/>
        <v>0</v>
      </c>
      <c r="BM340" s="1399">
        <f t="shared" ca="1" si="180"/>
        <v>0</v>
      </c>
      <c r="BN340" s="1399">
        <f ca="1">IF(B340&gt;=$J$5,0,CONTADORES!$BO352)</f>
        <v>0</v>
      </c>
      <c r="BO340" s="1397">
        <f ca="1">IF(W340&gt;=$J$5,0,CONTADORES!$BP352)</f>
        <v>0</v>
      </c>
      <c r="BP340" s="1397">
        <f ca="1">IF(W340&gt;=$J$5,0,CONTADORES!$BQ352)</f>
        <v>0</v>
      </c>
      <c r="BQ340" s="1397">
        <f ca="1">IF(B340&gt;=$J$5,0,(CONTADORES!AS352-CONTADORES!AS351))</f>
        <v>0</v>
      </c>
      <c r="BR340" s="1397">
        <f ca="1">IF(B340&gt;=$J$5,0,(CONTADORES!AT352-CONTADORES!AT351))</f>
        <v>0</v>
      </c>
      <c r="BS340" s="1397">
        <f ca="1">IF(B340&gt;=$J$5,0,CONTADORES!BR352-CONTADORES!BR351)/1000</f>
        <v>0</v>
      </c>
      <c r="BT340" s="1398">
        <f ca="1">IF(B340&gt;=$J$5,0,CONTADORES!BS352-CONTADORES!BS351)</f>
        <v>0</v>
      </c>
      <c r="BU340" s="1397">
        <f ca="1">IF(B340&gt;=$J$5,0,CONTADORES!BT352-CONTADORES!BT351)</f>
        <v>0</v>
      </c>
      <c r="BV340" s="1397">
        <f ca="1">IF(B340&gt;=$J$5,0,CONTADORES!BU352-CONTADORES!BU351)/1000</f>
        <v>0</v>
      </c>
      <c r="BW340" s="1397">
        <f ca="1">IF(B340&gt;=$J$5,0,CONTADORES!BV352-CONTADORES!BV351)/1000</f>
        <v>0</v>
      </c>
      <c r="BX340" s="1397">
        <f ca="1">IF(B340&gt;=$J$5,0,CONTADORES!BW352-CONTADORES!BW351)</f>
        <v>0</v>
      </c>
      <c r="BY340" s="1397">
        <f ca="1">IF(B340&gt;=$J$5,0,CONTADORES!BX352-CONTADORES!BX351)/1000</f>
        <v>0</v>
      </c>
      <c r="BZ340" s="1397">
        <f ca="1">IF(B340&gt;=$J$5,0,CONTADORES!BY352-CONTADORES!BY351)/1000</f>
        <v>0</v>
      </c>
      <c r="CA340" s="1397">
        <f ca="1">IF(B340&gt;=$J$5,0,CONTADORES!BZ352-CONTADORES!BZ351)</f>
        <v>0</v>
      </c>
      <c r="CB340" s="1397">
        <f ca="1">IF(B340&gt;=$J$5,0,(CONTADORES!CC352-CONTADORES!CC351)+(CONTADORES!CE352-CONTADORES!CE351))/1000</f>
        <v>0</v>
      </c>
      <c r="CC340" s="1397">
        <f ca="1">IF(B340&gt;=$J$5,0,(CONTADORES!CD352-CONTADORES!CD351)+(CONTADORES!CF352-CONTADORES!CF351))/1000</f>
        <v>0</v>
      </c>
      <c r="CD340" s="1397">
        <f ca="1">IF(B340&gt;=$J$5,0,CONTADORES!CA352-CONTADORES!CA351)</f>
        <v>0</v>
      </c>
      <c r="CE340" s="1397">
        <f ca="1">IF(B340&gt;=$J$5,0,CONTADORES!CB352-CONTADORES!CB351)</f>
        <v>0</v>
      </c>
      <c r="CF340" s="1397">
        <f t="shared" ca="1" si="181"/>
        <v>0</v>
      </c>
      <c r="CG340" s="1397">
        <f t="shared" ca="1" si="182"/>
        <v>0</v>
      </c>
      <c r="CH340" s="1397">
        <f t="shared" ca="1" si="183"/>
        <v>0</v>
      </c>
      <c r="CI340" s="1397">
        <f t="shared" ca="1" si="184"/>
        <v>0</v>
      </c>
      <c r="CJ340" s="1397">
        <f t="shared" ca="1" si="185"/>
        <v>0</v>
      </c>
      <c r="CK340" s="1397">
        <f t="shared" ca="1" si="186"/>
        <v>0</v>
      </c>
      <c r="CL340" s="1397">
        <f t="shared" ca="1" si="187"/>
        <v>0</v>
      </c>
      <c r="CM340" s="1397">
        <f t="shared" ca="1" si="188"/>
        <v>0</v>
      </c>
      <c r="CN340" s="1397">
        <f ca="1">IF(B340&gt;=$J$5,0,CONTADORES!CB352-CONTADORES!CB351)</f>
        <v>0</v>
      </c>
      <c r="CO340" s="1397">
        <f t="shared" ca="1" si="189"/>
        <v>0</v>
      </c>
      <c r="CP340" s="1397">
        <f t="shared" ca="1" si="190"/>
        <v>0</v>
      </c>
      <c r="CQ340" s="1397">
        <f t="shared" ca="1" si="191"/>
        <v>0</v>
      </c>
      <c r="CR340" s="1397">
        <f t="shared" ca="1" si="192"/>
        <v>0</v>
      </c>
      <c r="CS340" s="1403">
        <f ca="1">IF($B340&gt;=$J$5,0,CONTADORES!$BI352)</f>
        <v>0</v>
      </c>
      <c r="CT340" s="1369">
        <f>CONTADORES!E352</f>
        <v>0</v>
      </c>
      <c r="CU340" s="1369">
        <f>CONTADORES!CG352</f>
        <v>0</v>
      </c>
    </row>
    <row r="341" spans="2:99">
      <c r="B341" s="390">
        <v>45257</v>
      </c>
      <c r="C341" s="198">
        <f t="shared" ca="1" si="166"/>
        <v>0</v>
      </c>
      <c r="D341" s="196">
        <f ca="1">'CALCULO DE GAS'!P166</f>
        <v>0</v>
      </c>
      <c r="E341" s="196">
        <f ca="1">IF(B341&gt;=$J$5,0,(CONTADORES!$AD353-CONTADORES!$AD352)-$H341)</f>
        <v>0</v>
      </c>
      <c r="F341" s="198">
        <f t="shared" ca="1" si="164"/>
        <v>0</v>
      </c>
      <c r="G341" s="196">
        <f ca="1">IF(B341&gt;=$J$5,0,CONTADORES!$AF353-CONTADORES!$AF352)</f>
        <v>0</v>
      </c>
      <c r="H341" s="196">
        <f ca="1">IF(G341&gt;0,CONTADORES!$AE353-CONTADORES!$AE352,0)</f>
        <v>0</v>
      </c>
      <c r="I341" s="199">
        <f ca="1">IF(B341&gt;=$J$5,0,CONTADORES!$AB353-CONTADORES!$AB352)</f>
        <v>0</v>
      </c>
      <c r="J341" s="198">
        <f t="shared" ca="1" si="167"/>
        <v>0</v>
      </c>
      <c r="K341" s="196">
        <f ca="1">'CALCULO DE GAS'!Q166</f>
        <v>0</v>
      </c>
      <c r="L341" s="1396">
        <f ca="1">IF(B341&gt;=$J$5,0,(CONTADORES!$Y353-CONTADORES!$Y352)-$O341)</f>
        <v>0</v>
      </c>
      <c r="M341" s="1396">
        <f t="shared" ca="1" si="168"/>
        <v>0</v>
      </c>
      <c r="N341" s="1396">
        <f ca="1">IF(B341&gt;=$J$5,0,CONTADORES!$AA353-CONTADORES!$AA352)</f>
        <v>0</v>
      </c>
      <c r="O341" s="1396">
        <f ca="1">IF(N341&gt;0,CONTADORES!$Z353-CONTADORES!$Z352,0)</f>
        <v>0</v>
      </c>
      <c r="P341" s="202">
        <f ca="1">IF(B341&gt;=$J$5,0,CONTADORES!$W353-CONTADORES!$W352)</f>
        <v>0</v>
      </c>
      <c r="Q341" s="202">
        <f ca="1">IF(B341&gt;=$J$5,0,CONTADORES!$B353-CONTADORES!$B352)</f>
        <v>0</v>
      </c>
      <c r="R341" s="196">
        <f t="shared" ca="1" si="169"/>
        <v>0</v>
      </c>
      <c r="S341" s="11">
        <f ca="1">IF(B341&gt;=$J$5,0,CONTADORES!$D353-CONTADORES!$D352)</f>
        <v>0</v>
      </c>
      <c r="T341" s="198">
        <f ca="1">IF(B341&gt;=$J$5,0,CONTADORES!$BB353-CONTADORES!$BB352)</f>
        <v>0</v>
      </c>
      <c r="U341" s="196">
        <f t="shared" ca="1" si="162"/>
        <v>0</v>
      </c>
      <c r="V341" s="11">
        <f ca="1">IF(B341&gt;=$J$5,0,CONTADORES!$BD353-CONTADORES!$BD352)</f>
        <v>0</v>
      </c>
      <c r="W341" s="1397">
        <f t="shared" ca="1" si="170"/>
        <v>0</v>
      </c>
      <c r="X341" s="1397">
        <f t="shared" ca="1" si="171"/>
        <v>0</v>
      </c>
      <c r="Y341" s="1398">
        <f t="shared" ca="1" si="172"/>
        <v>0</v>
      </c>
      <c r="Z341" s="1398">
        <f t="shared" ca="1" si="173"/>
        <v>0</v>
      </c>
      <c r="AA341" s="1398">
        <f t="shared" ca="1" si="174"/>
        <v>0</v>
      </c>
      <c r="AB341" s="1398">
        <f t="shared" ca="1" si="175"/>
        <v>0</v>
      </c>
      <c r="AC341" s="1397">
        <f t="shared" ca="1" si="176"/>
        <v>0</v>
      </c>
      <c r="AD341" s="1407">
        <f ca="1">IF(B341&gt;=$J$5,0,CONTADORES!H353-CONTADORES!H352)</f>
        <v>0</v>
      </c>
      <c r="AE341" s="1397">
        <f ca="1">IF(B341&gt;=$J$5,0,CONTADORES!J353-CONTADORES!J352)</f>
        <v>0</v>
      </c>
      <c r="AF341" s="1397">
        <f ca="1">IF(B341&gt;=$J$5,0,CONTADORES!AU353-CONTADORES!AU352)</f>
        <v>0</v>
      </c>
      <c r="AG341" s="1397">
        <f ca="1">IF(B341&gt;=$J$5,0,CONTADORES!AW353-CONTADORES!AW352)</f>
        <v>0</v>
      </c>
      <c r="AH341" s="1398">
        <f ca="1">IF(B341&gt;=$J$5,0,(CONTADORES!AM353-CONTADORES!AM352)+(CONTADORES!M353-CONTADORES!M352))</f>
        <v>0</v>
      </c>
      <c r="AI341" s="1397">
        <f ca="1">IF(B341&gt;=$J$5,0,(CONTADORES!AK353-CONTADORES!AK352)+(CONTADORES!O353-CONTADORES!O352))</f>
        <v>0</v>
      </c>
      <c r="AJ341" s="1397">
        <f ca="1">IF(B341&gt;=$J$5,0,(CONTADORES!AI353-CONTADORES!AI352))</f>
        <v>0</v>
      </c>
      <c r="AK341" s="1397">
        <f ca="1">IF(B341&gt;=$J$5,0,(CONTADORES!Q353-CONTADORES!Q352))</f>
        <v>0</v>
      </c>
      <c r="AL341" s="1461">
        <f t="shared" ca="1" si="177"/>
        <v>0</v>
      </c>
      <c r="AM341" s="1397">
        <f ca="1">IF(B341&gt;=$J$5,0,(((CONTADORES!F353-CONTADORES!F352)+(CONTADORES!AQ353-CONTADORES!AQ352))))-BS341-AF341-AN341-BV341-BY341-CD341-CB341+T341</f>
        <v>0</v>
      </c>
      <c r="AN341" s="1397">
        <f ca="1">IF(B341&gt;=$J$5,0,(CONTADORES!AX353-CONTADORES!AX352)+(CONTADORES!AZ353-CONTADORES!AZ352)+(CONTADORES!BE353-CONTADORES!BE352))-CB341</f>
        <v>0</v>
      </c>
      <c r="AO341" s="1399">
        <f ca="1">IF(B341&gt;=$J$5,0,(CONTADORES!AC353-CONTADORES!AC352))</f>
        <v>0</v>
      </c>
      <c r="AP341" s="1433">
        <f ca="1">IF(B341&gt;=$J$5,0,(CONTADORES!X353-CONTADORES!X352))</f>
        <v>0</v>
      </c>
      <c r="AQ341" s="1399">
        <f ca="1">IF(B341&gt;=$J$5,0,(CONTADORES!C353-CONTADORES!C352))</f>
        <v>0</v>
      </c>
      <c r="AR341" s="1399">
        <f ca="1">IF(B341&gt;=$J$5,0,(CONTADORES!BC353-CONTADORES!BC352))</f>
        <v>0</v>
      </c>
      <c r="AS341" s="1397">
        <f ca="1">IF(B341&gt;=$J$5,0,CONTADORES!S353-CONTADORES!S352)</f>
        <v>0</v>
      </c>
      <c r="AT341" s="1397">
        <f ca="1">IF(B341&gt;=$J$5,0,(CONTADORES!U353-CONTADORES!U352)+(CONTADORES!AG353-CONTADORES!AG352))</f>
        <v>0</v>
      </c>
      <c r="AU341" s="1433">
        <f ca="1">IF(B341&gt;=$J$5,0,(CONTADORES!I353-CONTADORES!I352))</f>
        <v>0</v>
      </c>
      <c r="AV341" s="1399">
        <f ca="1">IF(B341&gt;=$J$5,0,(CONTADORES!AV353-CONTADORES!AV352))</f>
        <v>0</v>
      </c>
      <c r="AW341" s="1433">
        <f ca="1">IF(B341&gt;=$J$5,0,(CONTADORES!N353-CONTADORES!N352)+(CONTADORES!AN353-CONTADORES!AN352))</f>
        <v>0</v>
      </c>
      <c r="AX341" s="1399">
        <f ca="1">IF(B341&gt;=$J$5,0,(CONTADORES!P353-CONTADORES!P352)+(CONTADORES!AL353-CONTADORES!AL352))</f>
        <v>0</v>
      </c>
      <c r="AY341" s="1399">
        <f ca="1">IF(B341&gt;=$J$5,0,(CONTADORES!AJ353-CONTADORES!AJ352))</f>
        <v>0</v>
      </c>
      <c r="AZ341" s="1399">
        <f ca="1">IF(B341&gt;=$J$5,0,(CONTADORES!R353-CONTADORES!R352))</f>
        <v>0</v>
      </c>
      <c r="BA341" s="1409">
        <f t="shared" ca="1" si="178"/>
        <v>0</v>
      </c>
      <c r="BB341" s="1399">
        <f ca="1">IF(B341&gt;=$J$5,0,(((CONTADORES!G353-CONTADORES!G352)+(CONTADORES!AR353-CONTADORES!AR352))))-AV341-BC341-BT341-BW341-BZ341-CE341-AR341</f>
        <v>0</v>
      </c>
      <c r="BC341" s="1397">
        <f ca="1">IF(B341&gt;=$J$5,0,(CONTADORES!AY353-CONTADORES!AY352)+(CONTADORES!BA353-CONTADORES!BA352)+(CONTADORES!BF353-CONTADORES!BF352))</f>
        <v>0</v>
      </c>
      <c r="BD341" s="1397">
        <f t="shared" ca="1" si="179"/>
        <v>0</v>
      </c>
      <c r="BE341" s="1398">
        <f ca="1">IF($B341&gt;=$J$5,0,CONTADORES!$BG353)</f>
        <v>0</v>
      </c>
      <c r="BF341" s="1397">
        <f ca="1">IF($B341&gt;=$J$5,0,CONTADORES!$BH353)</f>
        <v>0</v>
      </c>
      <c r="BG341" s="1397">
        <f ca="1">IF($B341&gt;=$J$5,0,CONTADORES!$BJ353)</f>
        <v>0</v>
      </c>
      <c r="BH341" s="1397">
        <f ca="1">IF(B341&gt;=$J$5,0,((CONTADORES!BK353-CONTADORES!BK352)/1000))</f>
        <v>0</v>
      </c>
      <c r="BI341" s="1397">
        <f ca="1">IF(C341&gt;=$J$5,0,((CONTADORES!BL353-CONTADORES!BL352)/1000))</f>
        <v>0</v>
      </c>
      <c r="BJ341" s="1397">
        <f ca="1">IF(C341&gt;=$J$5,0,((CONTADORES!BM353-CONTADORES!BM352)/1000))</f>
        <v>0</v>
      </c>
      <c r="BK341" s="1397">
        <f ca="1">IF(D341&gt;=$J$5,0,((CONTADORES!BN353-CONTADORES!BN352)/1000))</f>
        <v>0</v>
      </c>
      <c r="BL341" s="1399">
        <f t="shared" ca="1" si="194"/>
        <v>0</v>
      </c>
      <c r="BM341" s="1399">
        <f t="shared" ca="1" si="180"/>
        <v>0</v>
      </c>
      <c r="BN341" s="1399">
        <f ca="1">IF(B341&gt;=$J$5,0,CONTADORES!$BO353)</f>
        <v>0</v>
      </c>
      <c r="BO341" s="1397">
        <f ca="1">IF(W341&gt;=$J$5,0,CONTADORES!$BP353)</f>
        <v>0</v>
      </c>
      <c r="BP341" s="1397">
        <f ca="1">IF(W341&gt;=$J$5,0,CONTADORES!$BQ353)</f>
        <v>0</v>
      </c>
      <c r="BQ341" s="1397">
        <f ca="1">IF(B341&gt;=$J$5,0,(CONTADORES!AS353-CONTADORES!AS352))</f>
        <v>0</v>
      </c>
      <c r="BR341" s="1397">
        <f ca="1">IF(B341&gt;=$J$5,0,(CONTADORES!AT353-CONTADORES!AT352))</f>
        <v>0</v>
      </c>
      <c r="BS341" s="1397">
        <f ca="1">IF(B341&gt;=$J$5,0,CONTADORES!BR353-CONTADORES!BR352)/1000</f>
        <v>0</v>
      </c>
      <c r="BT341" s="1398">
        <f ca="1">IF(B341&gt;=$J$5,0,CONTADORES!BS353-CONTADORES!BS352)</f>
        <v>0</v>
      </c>
      <c r="BU341" s="1397">
        <f ca="1">IF(B341&gt;=$J$5,0,CONTADORES!BT353-CONTADORES!BT352)</f>
        <v>0</v>
      </c>
      <c r="BV341" s="1397">
        <f ca="1">IF(B341&gt;=$J$5,0,CONTADORES!BU353-CONTADORES!BU352)/1000</f>
        <v>0</v>
      </c>
      <c r="BW341" s="1397">
        <f ca="1">IF(B341&gt;=$J$5,0,CONTADORES!BV353-CONTADORES!BV352)/1000</f>
        <v>0</v>
      </c>
      <c r="BX341" s="1397">
        <f ca="1">IF(B341&gt;=$J$5,0,CONTADORES!BW353-CONTADORES!BW352)</f>
        <v>0</v>
      </c>
      <c r="BY341" s="1397">
        <f ca="1">IF(B341&gt;=$J$5,0,CONTADORES!BX353-CONTADORES!BX352)/1000</f>
        <v>0</v>
      </c>
      <c r="BZ341" s="1397">
        <f ca="1">IF(B341&gt;=$J$5,0,CONTADORES!BY353-CONTADORES!BY352)/1000</f>
        <v>0</v>
      </c>
      <c r="CA341" s="1397">
        <f ca="1">IF(B341&gt;=$J$5,0,CONTADORES!BZ353-CONTADORES!BZ352)</f>
        <v>0</v>
      </c>
      <c r="CB341" s="1397">
        <f ca="1">IF(B341&gt;=$J$5,0,(CONTADORES!CC353-CONTADORES!CC352)+(CONTADORES!CE353-CONTADORES!CE352))/1000</f>
        <v>0</v>
      </c>
      <c r="CC341" s="1397">
        <f ca="1">IF(B341&gt;=$J$5,0,(CONTADORES!CD353-CONTADORES!CD352)+(CONTADORES!CF353-CONTADORES!CF352))/1000</f>
        <v>0</v>
      </c>
      <c r="CD341" s="1397">
        <f ca="1">IF(B341&gt;=$J$5,0,CONTADORES!CA353-CONTADORES!CA352)</f>
        <v>0</v>
      </c>
      <c r="CE341" s="1397">
        <f ca="1">IF(B341&gt;=$J$5,0,CONTADORES!CB353-CONTADORES!CB352)</f>
        <v>0</v>
      </c>
      <c r="CF341" s="1397">
        <f t="shared" ca="1" si="181"/>
        <v>0</v>
      </c>
      <c r="CG341" s="1397">
        <f t="shared" ca="1" si="182"/>
        <v>0</v>
      </c>
      <c r="CH341" s="1397">
        <f t="shared" ca="1" si="183"/>
        <v>0</v>
      </c>
      <c r="CI341" s="1397">
        <f t="shared" ca="1" si="184"/>
        <v>0</v>
      </c>
      <c r="CJ341" s="1397">
        <f t="shared" ca="1" si="185"/>
        <v>0</v>
      </c>
      <c r="CK341" s="1397">
        <f t="shared" ca="1" si="186"/>
        <v>0</v>
      </c>
      <c r="CL341" s="1397">
        <f t="shared" ca="1" si="187"/>
        <v>0</v>
      </c>
      <c r="CM341" s="1397">
        <f t="shared" ca="1" si="188"/>
        <v>0</v>
      </c>
      <c r="CN341" s="1397">
        <f ca="1">IF(B341&gt;=$J$5,0,CONTADORES!CB353-CONTADORES!CB352)</f>
        <v>0</v>
      </c>
      <c r="CO341" s="1397">
        <f t="shared" ca="1" si="189"/>
        <v>0</v>
      </c>
      <c r="CP341" s="1397">
        <f t="shared" ca="1" si="190"/>
        <v>0</v>
      </c>
      <c r="CQ341" s="1397">
        <f t="shared" ca="1" si="191"/>
        <v>0</v>
      </c>
      <c r="CR341" s="1397">
        <f t="shared" ca="1" si="192"/>
        <v>0</v>
      </c>
      <c r="CS341" s="1403">
        <f ca="1">IF($B341&gt;=$J$5,0,CONTADORES!$BI353)</f>
        <v>0</v>
      </c>
      <c r="CT341" s="1369">
        <f>CONTADORES!E353</f>
        <v>0</v>
      </c>
      <c r="CU341" s="1369">
        <f>CONTADORES!CG353</f>
        <v>0</v>
      </c>
    </row>
    <row r="342" spans="2:99">
      <c r="B342" s="390">
        <v>45258</v>
      </c>
      <c r="C342" s="198">
        <f t="shared" ca="1" si="166"/>
        <v>0</v>
      </c>
      <c r="D342" s="196">
        <f ca="1">'CALCULO DE GAS'!P167</f>
        <v>0</v>
      </c>
      <c r="E342" s="196">
        <f ca="1">IF(B342&gt;=$J$5,0,(CONTADORES!$AD354-CONTADORES!$AD353)-$H342)</f>
        <v>0</v>
      </c>
      <c r="F342" s="198">
        <f t="shared" ca="1" si="164"/>
        <v>0</v>
      </c>
      <c r="G342" s="196">
        <f ca="1">IF(B342&gt;=$J$5,0,CONTADORES!$AF354-CONTADORES!$AF353)</f>
        <v>0</v>
      </c>
      <c r="H342" s="196">
        <f ca="1">IF(G342&gt;0,CONTADORES!$AE354-CONTADORES!$AE353,0)</f>
        <v>0</v>
      </c>
      <c r="I342" s="199">
        <f ca="1">IF(B342&gt;=$J$5,0,CONTADORES!$AB354-CONTADORES!$AB353)</f>
        <v>0</v>
      </c>
      <c r="J342" s="198">
        <f t="shared" ca="1" si="167"/>
        <v>0</v>
      </c>
      <c r="K342" s="196">
        <f ca="1">'CALCULO DE GAS'!Q167</f>
        <v>0</v>
      </c>
      <c r="L342" s="1396">
        <f ca="1">IF(B342&gt;=$J$5,0,(CONTADORES!$Y354-CONTADORES!$Y353)-$O342)</f>
        <v>0</v>
      </c>
      <c r="M342" s="1396">
        <f t="shared" ca="1" si="168"/>
        <v>0</v>
      </c>
      <c r="N342" s="1396">
        <f ca="1">IF(B342&gt;=$J$5,0,CONTADORES!$AA354-CONTADORES!$AA353)</f>
        <v>0</v>
      </c>
      <c r="O342" s="1396">
        <f ca="1">IF(N342&gt;0,CONTADORES!$Z354-CONTADORES!$Z353,0)</f>
        <v>0</v>
      </c>
      <c r="P342" s="202">
        <f ca="1">IF(B342&gt;=$J$5,0,CONTADORES!$W354-CONTADORES!$W353)</f>
        <v>0</v>
      </c>
      <c r="Q342" s="202">
        <f ca="1">IF(B342&gt;=$J$5,0,CONTADORES!$B354-CONTADORES!$B353)</f>
        <v>0</v>
      </c>
      <c r="R342" s="196">
        <f t="shared" ca="1" si="169"/>
        <v>0</v>
      </c>
      <c r="S342" s="11">
        <f ca="1">IF(B342&gt;=$J$5,0,CONTADORES!$D354-CONTADORES!$D353)</f>
        <v>0</v>
      </c>
      <c r="T342" s="198">
        <f ca="1">IF(B342&gt;=$J$5,0,CONTADORES!$BB354-CONTADORES!$BB353)</f>
        <v>0</v>
      </c>
      <c r="U342" s="196">
        <f t="shared" ca="1" si="162"/>
        <v>0</v>
      </c>
      <c r="V342" s="11">
        <f ca="1">IF(B342&gt;=$J$5,0,CONTADORES!$BD354-CONTADORES!$BD353)</f>
        <v>0</v>
      </c>
      <c r="W342" s="1397">
        <f t="shared" ca="1" si="170"/>
        <v>0</v>
      </c>
      <c r="X342" s="1397">
        <f t="shared" ca="1" si="171"/>
        <v>0</v>
      </c>
      <c r="Y342" s="1398">
        <f t="shared" ca="1" si="172"/>
        <v>0</v>
      </c>
      <c r="Z342" s="1398">
        <f t="shared" ca="1" si="173"/>
        <v>0</v>
      </c>
      <c r="AA342" s="1398">
        <f t="shared" ca="1" si="174"/>
        <v>0</v>
      </c>
      <c r="AB342" s="1398">
        <f t="shared" ca="1" si="175"/>
        <v>0</v>
      </c>
      <c r="AC342" s="1397">
        <f t="shared" ca="1" si="176"/>
        <v>0</v>
      </c>
      <c r="AD342" s="1407">
        <f ca="1">IF(B342&gt;=$J$5,0,CONTADORES!H354-CONTADORES!H353)</f>
        <v>0</v>
      </c>
      <c r="AE342" s="1397">
        <f ca="1">IF(B342&gt;=$J$5,0,CONTADORES!J354-CONTADORES!J353)</f>
        <v>0</v>
      </c>
      <c r="AF342" s="1397">
        <f ca="1">IF(B342&gt;=$J$5,0,CONTADORES!AU354-CONTADORES!AU353)</f>
        <v>0</v>
      </c>
      <c r="AG342" s="1397">
        <f ca="1">IF(B342&gt;=$J$5,0,CONTADORES!AW354-CONTADORES!AW353)</f>
        <v>0</v>
      </c>
      <c r="AH342" s="1398">
        <f ca="1">IF(B342&gt;=$J$5,0,(CONTADORES!AM354-CONTADORES!AM353)+(CONTADORES!M354-CONTADORES!M353))</f>
        <v>0</v>
      </c>
      <c r="AI342" s="1397">
        <f ca="1">IF(B342&gt;=$J$5,0,(CONTADORES!AK354-CONTADORES!AK353)+(CONTADORES!O354-CONTADORES!O353))</f>
        <v>0</v>
      </c>
      <c r="AJ342" s="1397">
        <f ca="1">IF(B342&gt;=$J$5,0,(CONTADORES!AI354-CONTADORES!AI353))</f>
        <v>0</v>
      </c>
      <c r="AK342" s="1397">
        <f ca="1">IF(B342&gt;=$J$5,0,(CONTADORES!Q354-CONTADORES!Q353))</f>
        <v>0</v>
      </c>
      <c r="AL342" s="1461">
        <f t="shared" ca="1" si="177"/>
        <v>0</v>
      </c>
      <c r="AM342" s="1397">
        <f ca="1">IF(B342&gt;=$J$5,0,(((CONTADORES!F354-CONTADORES!F353)+(CONTADORES!AQ354-CONTADORES!AQ353))))-BS342-AF342-AN342-BV342-BY342-CD342-CB342+T342</f>
        <v>0</v>
      </c>
      <c r="AN342" s="1397">
        <f ca="1">IF(B342&gt;=$J$5,0,(CONTADORES!AX354-CONTADORES!AX353)+(CONTADORES!AZ354-CONTADORES!AZ353)+(CONTADORES!BE354-CONTADORES!BE353))-CB342</f>
        <v>0</v>
      </c>
      <c r="AO342" s="1399">
        <f ca="1">IF(B342&gt;=$J$5,0,(CONTADORES!AC354-CONTADORES!AC353))</f>
        <v>0</v>
      </c>
      <c r="AP342" s="1433">
        <f ca="1">IF(B342&gt;=$J$5,0,(CONTADORES!X354-CONTADORES!X353))</f>
        <v>0</v>
      </c>
      <c r="AQ342" s="1399">
        <f ca="1">IF(B342&gt;=$J$5,0,(CONTADORES!C354-CONTADORES!C353))</f>
        <v>0</v>
      </c>
      <c r="AR342" s="1399">
        <f ca="1">IF(B342&gt;=$J$5,0,(CONTADORES!BC354-CONTADORES!BC353))</f>
        <v>0</v>
      </c>
      <c r="AS342" s="1397">
        <f ca="1">IF(B342&gt;=$J$5,0,CONTADORES!S354-CONTADORES!S353)</f>
        <v>0</v>
      </c>
      <c r="AT342" s="1397">
        <f ca="1">IF(B342&gt;=$J$5,0,(CONTADORES!U354-CONTADORES!U353)+(CONTADORES!AG354-CONTADORES!AG353))</f>
        <v>0</v>
      </c>
      <c r="AU342" s="1433">
        <f ca="1">IF(B342&gt;=$J$5,0,(CONTADORES!I354-CONTADORES!I353))</f>
        <v>0</v>
      </c>
      <c r="AV342" s="1399">
        <f ca="1">IF(B342&gt;=$J$5,0,(CONTADORES!AV354-CONTADORES!AV353))</f>
        <v>0</v>
      </c>
      <c r="AW342" s="1433">
        <f ca="1">IF(B342&gt;=$J$5,0,(CONTADORES!N354-CONTADORES!N353)+(CONTADORES!AN354-CONTADORES!AN353))</f>
        <v>0</v>
      </c>
      <c r="AX342" s="1399">
        <f ca="1">IF(B342&gt;=$J$5,0,(CONTADORES!P354-CONTADORES!P353)+(CONTADORES!AL354-CONTADORES!AL353))</f>
        <v>0</v>
      </c>
      <c r="AY342" s="1399">
        <f ca="1">IF(B342&gt;=$J$5,0,(CONTADORES!AJ354-CONTADORES!AJ353))</f>
        <v>0</v>
      </c>
      <c r="AZ342" s="1399">
        <f ca="1">IF(B342&gt;=$J$5,0,(CONTADORES!R354-CONTADORES!R353))</f>
        <v>0</v>
      </c>
      <c r="BA342" s="1409">
        <f t="shared" ca="1" si="178"/>
        <v>0</v>
      </c>
      <c r="BB342" s="1399">
        <f ca="1">IF(B342&gt;=$J$5,0,(((CONTADORES!G354-CONTADORES!G353)+(CONTADORES!AR354-CONTADORES!AR353))))-AV342-BC342-BT342-BW342-BZ342-CE342-AR342</f>
        <v>0</v>
      </c>
      <c r="BC342" s="1397">
        <f ca="1">IF(B342&gt;=$J$5,0,(CONTADORES!AY354-CONTADORES!AY353)+(CONTADORES!BA354-CONTADORES!BA353)+(CONTADORES!BF354-CONTADORES!BF353))</f>
        <v>0</v>
      </c>
      <c r="BD342" s="1397">
        <f t="shared" ca="1" si="179"/>
        <v>0</v>
      </c>
      <c r="BE342" s="1398">
        <f ca="1">IF($B342&gt;=$J$5,0,CONTADORES!$BG354)</f>
        <v>0</v>
      </c>
      <c r="BF342" s="1397">
        <f ca="1">IF($B342&gt;=$J$5,0,CONTADORES!$BH354)</f>
        <v>0</v>
      </c>
      <c r="BG342" s="1397">
        <f ca="1">IF($B342&gt;=$J$5,0,CONTADORES!$BJ354)</f>
        <v>0</v>
      </c>
      <c r="BH342" s="1397">
        <f ca="1">IF(B342&gt;=$J$5,0,((CONTADORES!BK354-CONTADORES!BK353)/1000))</f>
        <v>0</v>
      </c>
      <c r="BI342" s="1397">
        <f ca="1">IF(C342&gt;=$J$5,0,((CONTADORES!BL354-CONTADORES!BL353)/1000))</f>
        <v>0</v>
      </c>
      <c r="BJ342" s="1397">
        <f ca="1">IF(C342&gt;=$J$5,0,((CONTADORES!BM354-CONTADORES!BM353)/1000))</f>
        <v>0</v>
      </c>
      <c r="BK342" s="1397">
        <f ca="1">IF(D342&gt;=$J$5,0,((CONTADORES!BN354-CONTADORES!BN353)/1000))</f>
        <v>0</v>
      </c>
      <c r="BL342" s="1399">
        <f t="shared" ca="1" si="194"/>
        <v>0</v>
      </c>
      <c r="BM342" s="1399">
        <f t="shared" ca="1" si="180"/>
        <v>0</v>
      </c>
      <c r="BN342" s="1399">
        <f ca="1">IF(B342&gt;=$J$5,0,CONTADORES!$BO354)</f>
        <v>0</v>
      </c>
      <c r="BO342" s="1397">
        <f ca="1">IF(W342&gt;=$J$5,0,CONTADORES!$BP354)</f>
        <v>0</v>
      </c>
      <c r="BP342" s="1397">
        <f ca="1">IF(W342&gt;=$J$5,0,CONTADORES!$BQ354)</f>
        <v>0</v>
      </c>
      <c r="BQ342" s="1397">
        <f ca="1">IF(B342&gt;=$J$5,0,(CONTADORES!AS354-CONTADORES!AS353))</f>
        <v>0</v>
      </c>
      <c r="BR342" s="1397">
        <f ca="1">IF(B342&gt;=$J$5,0,(CONTADORES!AT354-CONTADORES!AT353))</f>
        <v>0</v>
      </c>
      <c r="BS342" s="1397">
        <f ca="1">IF(B342&gt;=$J$5,0,CONTADORES!BR354-CONTADORES!BR353)/1000</f>
        <v>0</v>
      </c>
      <c r="BT342" s="1398">
        <f ca="1">IF(B342&gt;=$J$5,0,CONTADORES!BS354-CONTADORES!BS353)</f>
        <v>0</v>
      </c>
      <c r="BU342" s="1397">
        <f ca="1">IF(B342&gt;=$J$5,0,CONTADORES!BT354-CONTADORES!BT353)</f>
        <v>0</v>
      </c>
      <c r="BV342" s="1397">
        <f ca="1">IF(B342&gt;=$J$5,0,CONTADORES!BU354-CONTADORES!BU353)/1000</f>
        <v>0</v>
      </c>
      <c r="BW342" s="1397">
        <f ca="1">IF(B342&gt;=$J$5,0,CONTADORES!BV354-CONTADORES!BV353)/1000</f>
        <v>0</v>
      </c>
      <c r="BX342" s="1397">
        <f ca="1">IF(B342&gt;=$J$5,0,CONTADORES!BW354-CONTADORES!BW353)</f>
        <v>0</v>
      </c>
      <c r="BY342" s="1397">
        <f ca="1">IF(B342&gt;=$J$5,0,CONTADORES!BX354-CONTADORES!BX353)/1000</f>
        <v>0</v>
      </c>
      <c r="BZ342" s="1397">
        <f ca="1">IF(B342&gt;=$J$5,0,CONTADORES!BY354-CONTADORES!BY353)/1000</f>
        <v>0</v>
      </c>
      <c r="CA342" s="1397">
        <f ca="1">IF(B342&gt;=$J$5,0,CONTADORES!BZ354-CONTADORES!BZ353)</f>
        <v>0</v>
      </c>
      <c r="CB342" s="1397">
        <f ca="1">IF(B342&gt;=$J$5,0,(CONTADORES!CC354-CONTADORES!CC353)+(CONTADORES!CE354-CONTADORES!CE353))/1000</f>
        <v>0</v>
      </c>
      <c r="CC342" s="1397">
        <f ca="1">IF(B342&gt;=$J$5,0,(CONTADORES!CD354-CONTADORES!CD353)+(CONTADORES!CF354-CONTADORES!CF353))/1000</f>
        <v>0</v>
      </c>
      <c r="CD342" s="1397">
        <f ca="1">IF(B342&gt;=$J$5,0,CONTADORES!CA354-CONTADORES!CA353)</f>
        <v>0</v>
      </c>
      <c r="CE342" s="1397">
        <f ca="1">IF(B342&gt;=$J$5,0,CONTADORES!CB354-CONTADORES!CB353)</f>
        <v>0</v>
      </c>
      <c r="CF342" s="1397">
        <f t="shared" ca="1" si="181"/>
        <v>0</v>
      </c>
      <c r="CG342" s="1397">
        <f t="shared" ca="1" si="182"/>
        <v>0</v>
      </c>
      <c r="CH342" s="1397">
        <f t="shared" ca="1" si="183"/>
        <v>0</v>
      </c>
      <c r="CI342" s="1397">
        <f t="shared" ca="1" si="184"/>
        <v>0</v>
      </c>
      <c r="CJ342" s="1397">
        <f t="shared" ca="1" si="185"/>
        <v>0</v>
      </c>
      <c r="CK342" s="1397">
        <f t="shared" ca="1" si="186"/>
        <v>0</v>
      </c>
      <c r="CL342" s="1397">
        <f t="shared" ca="1" si="187"/>
        <v>0</v>
      </c>
      <c r="CM342" s="1397">
        <f t="shared" ca="1" si="188"/>
        <v>0</v>
      </c>
      <c r="CN342" s="1397">
        <f ca="1">IF(B342&gt;=$J$5,0,CONTADORES!CB354-CONTADORES!CB353)</f>
        <v>0</v>
      </c>
      <c r="CO342" s="1397">
        <f t="shared" ca="1" si="189"/>
        <v>0</v>
      </c>
      <c r="CP342" s="1397">
        <f t="shared" ca="1" si="190"/>
        <v>0</v>
      </c>
      <c r="CQ342" s="1397">
        <f t="shared" ca="1" si="191"/>
        <v>0</v>
      </c>
      <c r="CR342" s="1397">
        <f t="shared" ca="1" si="192"/>
        <v>0</v>
      </c>
      <c r="CS342" s="1403">
        <f ca="1">IF($B342&gt;=$J$5,0,CONTADORES!$BI354)</f>
        <v>0</v>
      </c>
      <c r="CT342" s="1369">
        <f>CONTADORES!E354</f>
        <v>0</v>
      </c>
      <c r="CU342" s="1369">
        <f>CONTADORES!CG354</f>
        <v>0</v>
      </c>
    </row>
    <row r="343" spans="2:99">
      <c r="B343" s="390">
        <v>45259</v>
      </c>
      <c r="C343" s="198">
        <f t="shared" ca="1" si="166"/>
        <v>0</v>
      </c>
      <c r="D343" s="196">
        <f ca="1">'CALCULO DE GAS'!P168</f>
        <v>0</v>
      </c>
      <c r="E343" s="196">
        <f ca="1">IF(B343&gt;=$J$5,0,(CONTADORES!$AD355-CONTADORES!$AD354)-$H343)</f>
        <v>0</v>
      </c>
      <c r="F343" s="198">
        <f t="shared" ca="1" si="164"/>
        <v>0</v>
      </c>
      <c r="G343" s="196">
        <f ca="1">IF(B343&gt;=$J$5,0,CONTADORES!$AF355-CONTADORES!$AF354)</f>
        <v>0</v>
      </c>
      <c r="H343" s="196">
        <f ca="1">IF(G343&gt;0,CONTADORES!$AE355-CONTADORES!$AE354,0)</f>
        <v>0</v>
      </c>
      <c r="I343" s="199">
        <f ca="1">IF(B343&gt;=$J$5,0,CONTADORES!$AB355-CONTADORES!$AB354)</f>
        <v>0</v>
      </c>
      <c r="J343" s="198">
        <f t="shared" ca="1" si="167"/>
        <v>0</v>
      </c>
      <c r="K343" s="196">
        <f ca="1">'CALCULO DE GAS'!Q168</f>
        <v>0</v>
      </c>
      <c r="L343" s="1396">
        <f ca="1">IF(B343&gt;=$J$5,0,(CONTADORES!$Y355-CONTADORES!$Y354)-$O343)</f>
        <v>0</v>
      </c>
      <c r="M343" s="1396">
        <f t="shared" ca="1" si="168"/>
        <v>0</v>
      </c>
      <c r="N343" s="1396">
        <f ca="1">IF(B343&gt;=$J$5,0,CONTADORES!$AA355-CONTADORES!$AA354)</f>
        <v>0</v>
      </c>
      <c r="O343" s="1396">
        <f ca="1">IF(N343&gt;0,CONTADORES!$Z355-CONTADORES!$Z354,0)</f>
        <v>0</v>
      </c>
      <c r="P343" s="202">
        <f ca="1">IF(B343&gt;=$J$5,0,CONTADORES!$W355-CONTADORES!$W354)</f>
        <v>0</v>
      </c>
      <c r="Q343" s="202">
        <f ca="1">IF(B343&gt;=$J$5,0,CONTADORES!$B355-CONTADORES!$B354)</f>
        <v>0</v>
      </c>
      <c r="R343" s="196">
        <f t="shared" ca="1" si="169"/>
        <v>0</v>
      </c>
      <c r="S343" s="11">
        <f ca="1">IF(B343&gt;=$J$5,0,CONTADORES!$D355-CONTADORES!$D354)</f>
        <v>0</v>
      </c>
      <c r="T343" s="198">
        <f ca="1">IF(B343&gt;=$J$5,0,CONTADORES!$BB355-CONTADORES!$BB354)</f>
        <v>0</v>
      </c>
      <c r="U343" s="196">
        <f t="shared" ca="1" si="162"/>
        <v>0</v>
      </c>
      <c r="V343" s="11">
        <f ca="1">IF(B343&gt;=$J$5,0,CONTADORES!$BD355-CONTADORES!$BD354)</f>
        <v>0</v>
      </c>
      <c r="W343" s="1397">
        <f t="shared" ca="1" si="170"/>
        <v>0</v>
      </c>
      <c r="X343" s="1397">
        <f t="shared" ca="1" si="171"/>
        <v>0</v>
      </c>
      <c r="Y343" s="1398">
        <f t="shared" ca="1" si="172"/>
        <v>0</v>
      </c>
      <c r="Z343" s="1398">
        <f t="shared" ca="1" si="173"/>
        <v>0</v>
      </c>
      <c r="AA343" s="1398">
        <f t="shared" ca="1" si="174"/>
        <v>0</v>
      </c>
      <c r="AB343" s="1398">
        <f t="shared" ca="1" si="175"/>
        <v>0</v>
      </c>
      <c r="AC343" s="1397">
        <f t="shared" ca="1" si="176"/>
        <v>0</v>
      </c>
      <c r="AD343" s="1407">
        <f ca="1">IF(B343&gt;=$J$5,0,CONTADORES!H355-CONTADORES!H354)</f>
        <v>0</v>
      </c>
      <c r="AE343" s="1397">
        <f ca="1">IF(B343&gt;=$J$5,0,CONTADORES!J355-CONTADORES!J354)</f>
        <v>0</v>
      </c>
      <c r="AF343" s="1397">
        <f ca="1">IF(B343&gt;=$J$5,0,CONTADORES!AU355-CONTADORES!AU354)</f>
        <v>0</v>
      </c>
      <c r="AG343" s="1397">
        <f ca="1">IF(B343&gt;=$J$5,0,CONTADORES!AW355-CONTADORES!AW354)</f>
        <v>0</v>
      </c>
      <c r="AH343" s="1398">
        <f ca="1">IF(B343&gt;=$J$5,0,(CONTADORES!AM355-CONTADORES!AM354)+(CONTADORES!M355-CONTADORES!M354))</f>
        <v>0</v>
      </c>
      <c r="AI343" s="1397">
        <f ca="1">IF(B343&gt;=$J$5,0,(CONTADORES!AK355-CONTADORES!AK354)+(CONTADORES!O355-CONTADORES!O354))</f>
        <v>0</v>
      </c>
      <c r="AJ343" s="1397">
        <f ca="1">IF(B343&gt;=$J$5,0,(CONTADORES!AI355-CONTADORES!AI354))</f>
        <v>0</v>
      </c>
      <c r="AK343" s="1397">
        <f ca="1">IF(B343&gt;=$J$5,0,(CONTADORES!Q355-CONTADORES!Q354))</f>
        <v>0</v>
      </c>
      <c r="AL343" s="1461">
        <f t="shared" ca="1" si="177"/>
        <v>0</v>
      </c>
      <c r="AM343" s="1397">
        <f ca="1">IF(B343&gt;=$J$5,0,(((CONTADORES!F355-CONTADORES!F354)+(CONTADORES!AQ355-CONTADORES!AQ354))))-BS343-AF343-AN343-BV343-BY343-CD343-CB343+T343</f>
        <v>0</v>
      </c>
      <c r="AN343" s="1397">
        <f ca="1">IF(B343&gt;=$J$5,0,(CONTADORES!AX355-CONTADORES!AX354)+(CONTADORES!AZ355-CONTADORES!AZ354)+(CONTADORES!BE355-CONTADORES!BE354))-CB343</f>
        <v>0</v>
      </c>
      <c r="AO343" s="1399">
        <f ca="1">IF(B343&gt;=$J$5,0,(CONTADORES!AC355-CONTADORES!AC354))</f>
        <v>0</v>
      </c>
      <c r="AP343" s="1433">
        <f ca="1">IF(B343&gt;=$J$5,0,(CONTADORES!X355-CONTADORES!X354))</f>
        <v>0</v>
      </c>
      <c r="AQ343" s="1399">
        <f ca="1">IF(B343&gt;=$J$5,0,(CONTADORES!C355-CONTADORES!C354))</f>
        <v>0</v>
      </c>
      <c r="AR343" s="1399">
        <f ca="1">IF(B343&gt;=$J$5,0,(CONTADORES!BC355-CONTADORES!BC354))</f>
        <v>0</v>
      </c>
      <c r="AS343" s="1397">
        <f ca="1">IF(B343&gt;=$J$5,0,CONTADORES!S355-CONTADORES!S354)</f>
        <v>0</v>
      </c>
      <c r="AT343" s="1397">
        <f ca="1">IF(B343&gt;=$J$5,0,(CONTADORES!U355-CONTADORES!U354)+(CONTADORES!AG355-CONTADORES!AG354))</f>
        <v>0</v>
      </c>
      <c r="AU343" s="1433">
        <f ca="1">IF(B343&gt;=$J$5,0,(CONTADORES!I355-CONTADORES!I354))</f>
        <v>0</v>
      </c>
      <c r="AV343" s="1399">
        <f ca="1">IF(B343&gt;=$J$5,0,(CONTADORES!AV355-CONTADORES!AV354))</f>
        <v>0</v>
      </c>
      <c r="AW343" s="1433">
        <f ca="1">IF(B343&gt;=$J$5,0,(CONTADORES!N355-CONTADORES!N354)+(CONTADORES!AN355-CONTADORES!AN354))</f>
        <v>0</v>
      </c>
      <c r="AX343" s="1399">
        <f ca="1">IF(B343&gt;=$J$5,0,(CONTADORES!P355-CONTADORES!P354)+(CONTADORES!AL355-CONTADORES!AL354))</f>
        <v>0</v>
      </c>
      <c r="AY343" s="1399">
        <f ca="1">IF(B343&gt;=$J$5,0,(CONTADORES!AJ355-CONTADORES!AJ354))</f>
        <v>0</v>
      </c>
      <c r="AZ343" s="1399">
        <f ca="1">IF(B343&gt;=$J$5,0,(CONTADORES!R355-CONTADORES!R354))</f>
        <v>0</v>
      </c>
      <c r="BA343" s="1409">
        <f t="shared" ca="1" si="178"/>
        <v>0</v>
      </c>
      <c r="BB343" s="1399">
        <f ca="1">IF(B343&gt;=$J$5,0,(((CONTADORES!G355-CONTADORES!G354)+(CONTADORES!AR355-CONTADORES!AR354))))-AV343-BC343-BT343-BW343-BZ343-CE343-AR343</f>
        <v>0</v>
      </c>
      <c r="BC343" s="1397">
        <f ca="1">IF(B343&gt;=$J$5,0,(CONTADORES!AY355-CONTADORES!AY354)+(CONTADORES!BA355-CONTADORES!BA354)+(CONTADORES!BF355-CONTADORES!BF354))</f>
        <v>0</v>
      </c>
      <c r="BD343" s="1397">
        <f t="shared" ca="1" si="179"/>
        <v>0</v>
      </c>
      <c r="BE343" s="1398">
        <f ca="1">IF($B343&gt;=$J$5,0,CONTADORES!$BG355)</f>
        <v>0</v>
      </c>
      <c r="BF343" s="1397">
        <f ca="1">IF($B343&gt;=$J$5,0,CONTADORES!$BH355)</f>
        <v>0</v>
      </c>
      <c r="BG343" s="1397">
        <f ca="1">IF($B343&gt;=$J$5,0,CONTADORES!$BJ355)</f>
        <v>0</v>
      </c>
      <c r="BH343" s="1397">
        <f ca="1">IF(B343&gt;=$J$5,0,((CONTADORES!BK355-CONTADORES!BK354)/1000))</f>
        <v>0</v>
      </c>
      <c r="BI343" s="1397">
        <f ca="1">IF(C343&gt;=$J$5,0,((CONTADORES!BL355-CONTADORES!BL354)/1000))</f>
        <v>0</v>
      </c>
      <c r="BJ343" s="1397">
        <f ca="1">IF(C343&gt;=$J$5,0,((CONTADORES!BM355-CONTADORES!BM354)/1000))</f>
        <v>0</v>
      </c>
      <c r="BK343" s="1397">
        <f ca="1">IF(D343&gt;=$J$5,0,((CONTADORES!BN355-CONTADORES!BN354)/1000))</f>
        <v>0</v>
      </c>
      <c r="BL343" s="1399">
        <f t="shared" ca="1" si="194"/>
        <v>0</v>
      </c>
      <c r="BM343" s="1399">
        <f t="shared" ca="1" si="180"/>
        <v>0</v>
      </c>
      <c r="BN343" s="1399">
        <f ca="1">IF(B343&gt;=$J$5,0,CONTADORES!$BO355)</f>
        <v>0</v>
      </c>
      <c r="BO343" s="1397">
        <f ca="1">IF(W343&gt;=$J$5,0,CONTADORES!$BP355)</f>
        <v>0</v>
      </c>
      <c r="BP343" s="1397">
        <f ca="1">IF(W343&gt;=$J$5,0,CONTADORES!$BQ355)</f>
        <v>0</v>
      </c>
      <c r="BQ343" s="1397">
        <f ca="1">IF(B343&gt;=$J$5,0,(CONTADORES!AS355-CONTADORES!AS354))</f>
        <v>0</v>
      </c>
      <c r="BR343" s="1397">
        <f ca="1">IF(B343&gt;=$J$5,0,(CONTADORES!AT355-CONTADORES!AT354))</f>
        <v>0</v>
      </c>
      <c r="BS343" s="1397">
        <f ca="1">IF(B343&gt;=$J$5,0,CONTADORES!BR355-CONTADORES!BR354)/1000</f>
        <v>0</v>
      </c>
      <c r="BT343" s="1398">
        <f ca="1">IF(B343&gt;=$J$5,0,CONTADORES!BS355-CONTADORES!BS354)</f>
        <v>0</v>
      </c>
      <c r="BU343" s="1397">
        <f ca="1">IF(B343&gt;=$J$5,0,CONTADORES!BT355-CONTADORES!BT354)</f>
        <v>0</v>
      </c>
      <c r="BV343" s="1397">
        <f ca="1">IF(B343&gt;=$J$5,0,CONTADORES!BU355-CONTADORES!BU354)/1000</f>
        <v>0</v>
      </c>
      <c r="BW343" s="1397">
        <f ca="1">IF(B343&gt;=$J$5,0,CONTADORES!BV355-CONTADORES!BV354)/1000</f>
        <v>0</v>
      </c>
      <c r="BX343" s="1397">
        <f ca="1">IF(B343&gt;=$J$5,0,CONTADORES!BW355-CONTADORES!BW354)</f>
        <v>0</v>
      </c>
      <c r="BY343" s="1397">
        <f ca="1">IF(B343&gt;=$J$5,0,CONTADORES!BX355-CONTADORES!BX354)/1000</f>
        <v>0</v>
      </c>
      <c r="BZ343" s="1397">
        <f ca="1">IF(B343&gt;=$J$5,0,CONTADORES!BY355-CONTADORES!BY354)/1000</f>
        <v>0</v>
      </c>
      <c r="CA343" s="1397">
        <f ca="1">IF(B343&gt;=$J$5,0,CONTADORES!BZ355-CONTADORES!BZ354)</f>
        <v>0</v>
      </c>
      <c r="CB343" s="1397">
        <f ca="1">IF(B343&gt;=$J$5,0,(CONTADORES!CC355-CONTADORES!CC354)+(CONTADORES!CE355-CONTADORES!CE354))/1000</f>
        <v>0</v>
      </c>
      <c r="CC343" s="1397">
        <f ca="1">IF(B343&gt;=$J$5,0,(CONTADORES!CD355-CONTADORES!CD354)+(CONTADORES!CF355-CONTADORES!CF354))/1000</f>
        <v>0</v>
      </c>
      <c r="CD343" s="1397">
        <f ca="1">IF(B343&gt;=$J$5,0,CONTADORES!CA355-CONTADORES!CA354)</f>
        <v>0</v>
      </c>
      <c r="CE343" s="1397">
        <f ca="1">IF(B343&gt;=$J$5,0,CONTADORES!CB355-CONTADORES!CB354)</f>
        <v>0</v>
      </c>
      <c r="CF343" s="1397">
        <f t="shared" ca="1" si="181"/>
        <v>0</v>
      </c>
      <c r="CG343" s="1397">
        <f t="shared" ca="1" si="182"/>
        <v>0</v>
      </c>
      <c r="CH343" s="1397">
        <f t="shared" ca="1" si="183"/>
        <v>0</v>
      </c>
      <c r="CI343" s="1397">
        <f t="shared" ca="1" si="184"/>
        <v>0</v>
      </c>
      <c r="CJ343" s="1397">
        <f t="shared" ca="1" si="185"/>
        <v>0</v>
      </c>
      <c r="CK343" s="1397">
        <f t="shared" ca="1" si="186"/>
        <v>0</v>
      </c>
      <c r="CL343" s="1397">
        <f t="shared" ca="1" si="187"/>
        <v>0</v>
      </c>
      <c r="CM343" s="1397">
        <f t="shared" ca="1" si="188"/>
        <v>0</v>
      </c>
      <c r="CN343" s="1409">
        <f ca="1">IF(B343&gt;=$J$5,0,CONTADORES!CB355-CONTADORES!CB354)</f>
        <v>0</v>
      </c>
      <c r="CO343" s="1438">
        <f t="shared" ca="1" si="189"/>
        <v>0</v>
      </c>
      <c r="CP343" s="1438">
        <f t="shared" ca="1" si="190"/>
        <v>0</v>
      </c>
      <c r="CQ343" s="1438">
        <f t="shared" ca="1" si="191"/>
        <v>0</v>
      </c>
      <c r="CR343" s="1438">
        <f t="shared" ca="1" si="192"/>
        <v>0</v>
      </c>
      <c r="CS343" s="1439">
        <f ca="1">IF($B343&gt;=$J$5,0,CONTADORES!$BI355)</f>
        <v>0</v>
      </c>
      <c r="CT343" s="1334">
        <f>CONTADORES!E355</f>
        <v>0</v>
      </c>
      <c r="CU343" s="1334">
        <f>CONTADORES!CG355</f>
        <v>0</v>
      </c>
    </row>
    <row r="344" spans="2:99" ht="15" thickBot="1">
      <c r="B344" s="1043">
        <v>45260</v>
      </c>
      <c r="C344" s="200">
        <f t="shared" ca="1" si="166"/>
        <v>0</v>
      </c>
      <c r="D344" s="197">
        <f ca="1">'CALCULO DE GAS'!P169</f>
        <v>0</v>
      </c>
      <c r="E344" s="197">
        <f ca="1">IF(B344&gt;=$J$5,0,(CONTADORES!$AD356-CONTADORES!$AD355)-$H344)</f>
        <v>0</v>
      </c>
      <c r="F344" s="200">
        <f t="shared" ca="1" si="164"/>
        <v>0</v>
      </c>
      <c r="G344" s="197">
        <f ca="1">IF(B344&gt;=$J$5,0,CONTADORES!$AF356-CONTADORES!$AF355)</f>
        <v>0</v>
      </c>
      <c r="H344" s="197">
        <f ca="1">IF(G344&gt;0,CONTADORES!$AE356-CONTADORES!$AE355,0)</f>
        <v>0</v>
      </c>
      <c r="I344" s="201">
        <f ca="1">IF(B344&gt;=$J$5,0,CONTADORES!$AB356-CONTADORES!$AB355)</f>
        <v>0</v>
      </c>
      <c r="J344" s="200">
        <f t="shared" ca="1" si="167"/>
        <v>0</v>
      </c>
      <c r="K344" s="197">
        <f ca="1">'CALCULO DE GAS'!Q169</f>
        <v>0</v>
      </c>
      <c r="L344" s="1424">
        <f ca="1">IF(B344&gt;=$J$5,0,(CONTADORES!$Y356-CONTADORES!$Y355)-$O344)</f>
        <v>0</v>
      </c>
      <c r="M344" s="1424">
        <f t="shared" ca="1" si="168"/>
        <v>0</v>
      </c>
      <c r="N344" s="1424">
        <f ca="1">IF(B344&gt;=$J$5,0,CONTADORES!$AA356-CONTADORES!$AA355)</f>
        <v>0</v>
      </c>
      <c r="O344" s="1424">
        <f ca="1">IF(N344&gt;0,CONTADORES!$Z356-CONTADORES!$Z355,0)</f>
        <v>0</v>
      </c>
      <c r="P344" s="203">
        <f ca="1">IF(B344&gt;=$J$5,0,CONTADORES!$W356-CONTADORES!$W355)</f>
        <v>0</v>
      </c>
      <c r="Q344" s="203">
        <f ca="1">IF(B344&gt;=$J$5,0,CONTADORES!$B356-CONTADORES!$B355)</f>
        <v>0</v>
      </c>
      <c r="R344" s="197">
        <f t="shared" ca="1" si="169"/>
        <v>0</v>
      </c>
      <c r="S344" s="64">
        <f ca="1">IF(B344&gt;=$J$5,0,CONTADORES!$D356-CONTADORES!$D355)</f>
        <v>0</v>
      </c>
      <c r="T344" s="200">
        <f ca="1">IF(B344&gt;=$J$5,0,CONTADORES!$BB356-CONTADORES!$BB355)</f>
        <v>0</v>
      </c>
      <c r="U344" s="197">
        <f t="shared" ca="1" si="162"/>
        <v>0</v>
      </c>
      <c r="V344" s="64">
        <f ca="1">IF(B344&gt;=$J$5,0,CONTADORES!$BD356-CONTADORES!$BD355)</f>
        <v>0</v>
      </c>
      <c r="W344" s="1425">
        <f t="shared" ca="1" si="170"/>
        <v>0</v>
      </c>
      <c r="X344" s="1425">
        <f t="shared" ca="1" si="171"/>
        <v>0</v>
      </c>
      <c r="Y344" s="1426">
        <f t="shared" ca="1" si="172"/>
        <v>0</v>
      </c>
      <c r="Z344" s="1426">
        <f t="shared" ca="1" si="173"/>
        <v>0</v>
      </c>
      <c r="AA344" s="1426">
        <f t="shared" ca="1" si="174"/>
        <v>0</v>
      </c>
      <c r="AB344" s="1426">
        <f t="shared" ca="1" si="175"/>
        <v>0</v>
      </c>
      <c r="AC344" s="1426">
        <f t="shared" ca="1" si="176"/>
        <v>0</v>
      </c>
      <c r="AD344" s="1472">
        <f ca="1">IF(B344&gt;=$J$5,0,CONTADORES!H356-CONTADORES!H355)</f>
        <v>0</v>
      </c>
      <c r="AE344" s="1425">
        <f ca="1">IF(B344&gt;=$J$5,0,CONTADORES!J356-CONTADORES!J355)</f>
        <v>0</v>
      </c>
      <c r="AF344" s="1425">
        <f ca="1">IF(B344&gt;=$J$5,0,CONTADORES!AU356-CONTADORES!AU355)</f>
        <v>0</v>
      </c>
      <c r="AG344" s="1425">
        <f ca="1">IF(B344&gt;=$J$5,0,CONTADORES!AW356-CONTADORES!AW355)</f>
        <v>0</v>
      </c>
      <c r="AH344" s="1426">
        <f ca="1">IF(B344&gt;=$J$5,0,(CONTADORES!AM356-CONTADORES!AM355)+(CONTADORES!M356-CONTADORES!M355))</f>
        <v>0</v>
      </c>
      <c r="AI344" s="1425">
        <f ca="1">IF(B344&gt;=$J$5,0,(CONTADORES!AK356-CONTADORES!AK355)+(CONTADORES!O356-CONTADORES!O355))</f>
        <v>0</v>
      </c>
      <c r="AJ344" s="1425">
        <f ca="1">IF(B344&gt;=$J$5,0,(CONTADORES!AI356-CONTADORES!AI355))</f>
        <v>0</v>
      </c>
      <c r="AK344" s="1425">
        <f ca="1">IF(B344&gt;=$J$5,0,(CONTADORES!Q356-CONTADORES!Q355))</f>
        <v>0</v>
      </c>
      <c r="AL344" s="1426">
        <f t="shared" ca="1" si="177"/>
        <v>0</v>
      </c>
      <c r="AM344" s="1426">
        <f ca="1">IF(B344&gt;=$J$5,0,(((CONTADORES!F356-CONTADORES!F355)+(CONTADORES!AQ356-CONTADORES!AQ355))))-BS344-AF344-AN344-BV344-BY344-CD344-CB344+T344</f>
        <v>0</v>
      </c>
      <c r="AN344" s="1425">
        <f ca="1">IF(B344&gt;=$J$5,0,(CONTADORES!AX356-CONTADORES!AX355)+(CONTADORES!AZ356-CONTADORES!AZ355)+(CONTADORES!BE356-CONTADORES!BE355))-CB344</f>
        <v>0</v>
      </c>
      <c r="AO344" s="61">
        <f ca="1">IF(B344&gt;=$J$5,0,(CONTADORES!AC356-CONTADORES!AC355))</f>
        <v>0</v>
      </c>
      <c r="AP344" s="61">
        <f ca="1">IF(B344&gt;=$J$5,0,(CONTADORES!X356-CONTADORES!X355))</f>
        <v>0</v>
      </c>
      <c r="AQ344" s="1427">
        <f ca="1">IF(B344&gt;=$J$5,0,(CONTADORES!C356-CONTADORES!C355))</f>
        <v>0</v>
      </c>
      <c r="AR344" s="1427">
        <f ca="1">IF(B344&gt;=$J$5,0,(CONTADORES!BC356-CONTADORES!BC355))</f>
        <v>0</v>
      </c>
      <c r="AS344" s="1425">
        <f ca="1">IF(B344&gt;=$J$5,0,CONTADORES!S356-CONTADORES!S355)</f>
        <v>0</v>
      </c>
      <c r="AT344" s="1425">
        <f ca="1">IF(B344&gt;=$J$5,0,(CONTADORES!U356-CONTADORES!U355)+(CONTADORES!AG356-CONTADORES!AG355))</f>
        <v>0</v>
      </c>
      <c r="AU344" s="61">
        <f ca="1">IF(B344&gt;=$J$5,0,(CONTADORES!I356-CONTADORES!I355))</f>
        <v>0</v>
      </c>
      <c r="AV344" s="1427">
        <f ca="1">IF(B344&gt;=$J$5,0,(CONTADORES!AV356-CONTADORES!AV355))</f>
        <v>0</v>
      </c>
      <c r="AW344" s="61">
        <f ca="1">IF(B344&gt;=$J$5,0,(CONTADORES!N356-CONTADORES!N355)+(CONTADORES!AN356-CONTADORES!AN355))</f>
        <v>0</v>
      </c>
      <c r="AX344" s="1427">
        <f ca="1">IF(B344&gt;=$J$5,0,(CONTADORES!P356-CONTADORES!P355)+(CONTADORES!AL356-CONTADORES!AL355))</f>
        <v>0</v>
      </c>
      <c r="AY344" s="1427">
        <f ca="1">IF(B344&gt;=$J$5,0,(CONTADORES!AJ356-CONTADORES!AJ355))</f>
        <v>0</v>
      </c>
      <c r="AZ344" s="1427">
        <f ca="1">IF(B344&gt;=$J$5,0,(CONTADORES!R356-CONTADORES!R355))</f>
        <v>0</v>
      </c>
      <c r="BA344" s="1426">
        <f t="shared" ca="1" si="178"/>
        <v>0</v>
      </c>
      <c r="BB344" s="1427">
        <f ca="1">IF(B344&gt;=$J$5,0,(((CONTADORES!G356-CONTADORES!G355)+(CONTADORES!AR356-CONTADORES!AR355))))-AV344-BC344-BT344-BW344-BZ344-CE344-AR344</f>
        <v>0</v>
      </c>
      <c r="BC344" s="1425">
        <f ca="1">IF(B344&gt;=$J$5,0,(CONTADORES!AY356-CONTADORES!AY355)+(CONTADORES!BA356-CONTADORES!BA355)+(CONTADORES!BF356-CONTADORES!BF355))</f>
        <v>0</v>
      </c>
      <c r="BD344" s="1425">
        <f t="shared" ca="1" si="179"/>
        <v>0</v>
      </c>
      <c r="BE344" s="1426">
        <f ca="1">IF($B344&gt;=$J$5,0,CONTADORES!$BG356)</f>
        <v>0</v>
      </c>
      <c r="BF344" s="1425">
        <f ca="1">IF($B344&gt;=$J$5,0,CONTADORES!$BH356)</f>
        <v>0</v>
      </c>
      <c r="BG344" s="1425">
        <f ca="1">IF($B344&gt;=$J$5,0,CONTADORES!$BJ356)</f>
        <v>0</v>
      </c>
      <c r="BH344" s="1426">
        <f ca="1">IF(B344&gt;=$J$5,0,((CONTADORES!BK356-CONTADORES!BK355)/1000))</f>
        <v>0</v>
      </c>
      <c r="BI344" s="1425">
        <f ca="1">IF(C344&gt;=$J$5,0,((CONTADORES!BL356-CONTADORES!BL355)/1000))</f>
        <v>0</v>
      </c>
      <c r="BJ344" s="1425">
        <f ca="1">IF(C344&gt;=$J$5,0,((CONTADORES!BM356-CONTADORES!BM355)/1000))</f>
        <v>0</v>
      </c>
      <c r="BK344" s="1425">
        <f ca="1">IF(D344&gt;=$J$5,0,((CONTADORES!BN356-CONTADORES!BN355)/1000))</f>
        <v>0</v>
      </c>
      <c r="BL344" s="61">
        <f t="shared" ca="1" si="194"/>
        <v>0</v>
      </c>
      <c r="BM344" s="1427">
        <f t="shared" ca="1" si="180"/>
        <v>0</v>
      </c>
      <c r="BN344" s="1427">
        <f ca="1">IF(B344&gt;=$J$5,0,CONTADORES!$BO356)</f>
        <v>0</v>
      </c>
      <c r="BO344" s="1425">
        <f ca="1">IF(W344&gt;=$J$5,0,CONTADORES!$BP356)</f>
        <v>0</v>
      </c>
      <c r="BP344" s="1425">
        <f ca="1">IF(W344&gt;=$J$5,0,CONTADORES!$BQ356)</f>
        <v>0</v>
      </c>
      <c r="BQ344" s="1425">
        <f ca="1">IF(B344&gt;=$J$5,0,(CONTADORES!AS356-CONTADORES!AS355))</f>
        <v>0</v>
      </c>
      <c r="BR344" s="1425">
        <f ca="1">IF(B344&gt;=$J$5,0,(CONTADORES!AT356-CONTADORES!AT355))</f>
        <v>0</v>
      </c>
      <c r="BS344" s="1425">
        <f ca="1">IF(B344&gt;=$J$5,0,CONTADORES!BR356-CONTADORES!BR355)/1000</f>
        <v>0</v>
      </c>
      <c r="BT344" s="1426">
        <f ca="1">IF(B344&gt;=$J$5,0,CONTADORES!BS356-CONTADORES!BS355)</f>
        <v>0</v>
      </c>
      <c r="BU344" s="1425">
        <f ca="1">IF(B344&gt;=$J$5,0,CONTADORES!BT356-CONTADORES!BT355)</f>
        <v>0</v>
      </c>
      <c r="BV344" s="1425">
        <f ca="1">IF(B344&gt;=$J$5,0,CONTADORES!BU356-CONTADORES!BU355)/1000</f>
        <v>0</v>
      </c>
      <c r="BW344" s="1425">
        <f ca="1">IF(B344&gt;=$J$5,0,CONTADORES!BV356-CONTADORES!BV355)/1000</f>
        <v>0</v>
      </c>
      <c r="BX344" s="1425">
        <f ca="1">IF(B344&gt;=$J$5,0,CONTADORES!BW356-CONTADORES!BW355)</f>
        <v>0</v>
      </c>
      <c r="BY344" s="1425">
        <f ca="1">IF(B344&gt;=$J$5,0,CONTADORES!BX356-CONTADORES!BX355)/1000</f>
        <v>0</v>
      </c>
      <c r="BZ344" s="1425">
        <f ca="1">IF(B344&gt;=$J$5,0,CONTADORES!BY356-CONTADORES!BY355)/1000</f>
        <v>0</v>
      </c>
      <c r="CA344" s="1425">
        <f ca="1">IF(B344&gt;=$J$5,0,CONTADORES!BZ356-CONTADORES!BZ355)</f>
        <v>0</v>
      </c>
      <c r="CB344" s="1426">
        <f ca="1">IF(B344&gt;=$J$5,0,(CONTADORES!CC356-CONTADORES!CC355)+(CONTADORES!CE356-CONTADORES!CE355))/1000</f>
        <v>0</v>
      </c>
      <c r="CC344" s="1425">
        <f ca="1">IF(B344&gt;=$J$5,0,(CONTADORES!CD356-CONTADORES!CD355)+(CONTADORES!CF356-CONTADORES!CF355))/1000</f>
        <v>0</v>
      </c>
      <c r="CD344" s="1425">
        <f ca="1">IF(B344&gt;=$J$5,0,CONTADORES!CA356-CONTADORES!CA355)</f>
        <v>0</v>
      </c>
      <c r="CE344" s="1425">
        <f ca="1">IF(B344&gt;=$J$5,0,CONTADORES!CB356-CONTADORES!CB355)</f>
        <v>0</v>
      </c>
      <c r="CF344" s="1425">
        <f t="shared" ca="1" si="181"/>
        <v>0</v>
      </c>
      <c r="CG344" s="1426">
        <f t="shared" ca="1" si="182"/>
        <v>0</v>
      </c>
      <c r="CH344" s="1425">
        <f t="shared" ca="1" si="183"/>
        <v>0</v>
      </c>
      <c r="CI344" s="1425">
        <f t="shared" ca="1" si="184"/>
        <v>0</v>
      </c>
      <c r="CJ344" s="1425">
        <f t="shared" ca="1" si="185"/>
        <v>0</v>
      </c>
      <c r="CK344" s="1425">
        <f t="shared" ca="1" si="186"/>
        <v>0</v>
      </c>
      <c r="CL344" s="1425">
        <f t="shared" ca="1" si="187"/>
        <v>0</v>
      </c>
      <c r="CM344" s="1425">
        <f t="shared" ca="1" si="188"/>
        <v>0</v>
      </c>
      <c r="CN344" s="1457">
        <f ca="1">IF(B344&gt;=$J$5,0,CONTADORES!CB356-CONTADORES!CB355)</f>
        <v>0</v>
      </c>
      <c r="CO344" s="1425">
        <f t="shared" ca="1" si="189"/>
        <v>0</v>
      </c>
      <c r="CP344" s="1425">
        <f t="shared" ca="1" si="190"/>
        <v>0</v>
      </c>
      <c r="CQ344" s="1425">
        <f t="shared" ca="1" si="191"/>
        <v>0</v>
      </c>
      <c r="CR344" s="1425">
        <f t="shared" ca="1" si="192"/>
        <v>0</v>
      </c>
      <c r="CS344" s="1507">
        <f ca="1">IF($B344&gt;=$J$5,0,CONTADORES!$BI356)</f>
        <v>0</v>
      </c>
      <c r="CT344" s="1431">
        <f>CONTADORES!E356</f>
        <v>0</v>
      </c>
      <c r="CU344" s="1431">
        <f>CONTADORES!CG356</f>
        <v>0</v>
      </c>
    </row>
    <row r="345" spans="2:99">
      <c r="B345" s="390">
        <v>45261</v>
      </c>
      <c r="C345" s="198">
        <f t="shared" ca="1" si="166"/>
        <v>0</v>
      </c>
      <c r="D345" s="196">
        <f ca="1">'CALCULO DE GAS'!P174</f>
        <v>0</v>
      </c>
      <c r="E345" s="196">
        <f ca="1">IF(B345&gt;=$J$5,0,(CONTADORES!$AD359-CONTADORES!$AD358)-$H345)</f>
        <v>0</v>
      </c>
      <c r="F345" s="198">
        <f t="shared" ref="F345:F375" ca="1" si="195">IF(H345=0,0,"DIGITAR MANUALMENTE")</f>
        <v>0</v>
      </c>
      <c r="G345" s="196">
        <f ca="1">IF(B345&gt;=$J$5,0,CONTADORES!$AF359-CONTADORES!$AF358)</f>
        <v>0</v>
      </c>
      <c r="H345" s="196">
        <f ca="1">IF(G345&gt;0,CONTADORES!$AE359-CONTADORES!$AE358,0)</f>
        <v>0</v>
      </c>
      <c r="I345" s="199">
        <f ca="1">IF(B345&gt;=$J$5,0,CONTADORES!$AB359-CONTADORES!$AB358)</f>
        <v>0</v>
      </c>
      <c r="J345" s="198">
        <f t="shared" ca="1" si="167"/>
        <v>0</v>
      </c>
      <c r="K345" s="196">
        <f ca="1">'CALCULO DE GAS'!Q174</f>
        <v>0</v>
      </c>
      <c r="L345" s="1413">
        <f ca="1">IF(B345&gt;=$J$5,0,(CONTADORES!$Y359-CONTADORES!$Y358)-$O345)</f>
        <v>0</v>
      </c>
      <c r="M345" s="1396">
        <f t="shared" ref="M345:M369" ca="1" si="196">IF(O345=0,0,"DIGITAR MANUALMENTE")</f>
        <v>0</v>
      </c>
      <c r="N345" s="1396">
        <f ca="1">IF(B345&gt;=$J$5,0,CONTADORES!$AA359-CONTADORES!$AA358)</f>
        <v>0</v>
      </c>
      <c r="O345" s="1396">
        <f ca="1">IF(N345&gt;0,CONTADORES!$Z359-CONTADORES!$Z358,0)</f>
        <v>0</v>
      </c>
      <c r="P345" s="202">
        <f ca="1">IF(B345&gt;=$J$5,0,CONTADORES!$W359-CONTADORES!$W358)</f>
        <v>0</v>
      </c>
      <c r="Q345" s="202">
        <f ca="1">IF(B345&gt;=$J$5,0,CONTADORES!$B359-CONTADORES!$B358)</f>
        <v>0</v>
      </c>
      <c r="R345" s="196">
        <f t="shared" ca="1" si="169"/>
        <v>0</v>
      </c>
      <c r="S345" s="11">
        <f ca="1">IF(B345&gt;=$J$5,0,CONTADORES!$D359-CONTADORES!$D358)</f>
        <v>0</v>
      </c>
      <c r="T345" s="198">
        <f ca="1">IF(B345&gt;=$J$5,0,CONTADORES!$BB359-CONTADORES!$BB358)</f>
        <v>0</v>
      </c>
      <c r="U345" s="196">
        <f t="shared" ca="1" si="162"/>
        <v>0</v>
      </c>
      <c r="V345" s="11">
        <f ca="1">IF(B345&gt;=$J$5,0,CONTADORES!$BD359-CONTADORES!$BD358)</f>
        <v>0</v>
      </c>
      <c r="W345" s="1397">
        <f t="shared" ca="1" si="170"/>
        <v>0</v>
      </c>
      <c r="X345" s="1397">
        <f t="shared" ca="1" si="171"/>
        <v>0</v>
      </c>
      <c r="Y345" s="1398">
        <f t="shared" ca="1" si="172"/>
        <v>0</v>
      </c>
      <c r="Z345" s="1398">
        <f t="shared" ca="1" si="173"/>
        <v>0</v>
      </c>
      <c r="AA345" s="1398">
        <f t="shared" ca="1" si="174"/>
        <v>0</v>
      </c>
      <c r="AB345" s="1398">
        <f t="shared" ca="1" si="175"/>
        <v>0</v>
      </c>
      <c r="AC345" s="1397">
        <f t="shared" ca="1" si="176"/>
        <v>0</v>
      </c>
      <c r="AD345" s="1397">
        <f ca="1">IF(B345&gt;=$J$5,0,CONTADORES!H359-CONTADORES!H358)</f>
        <v>0</v>
      </c>
      <c r="AE345" s="1397">
        <f ca="1">IF(B345&gt;=$J$5,0,CONTADORES!J359-CONTADORES!J358)</f>
        <v>0</v>
      </c>
      <c r="AF345" s="1397">
        <f ca="1">IF(B345&gt;=$J$5,0,CONTADORES!AU359-CONTADORES!AU358)</f>
        <v>0</v>
      </c>
      <c r="AG345" s="1397">
        <f ca="1">IF(B345&gt;=$J$5,0,CONTADORES!AW359-CONTADORES!AW358)</f>
        <v>0</v>
      </c>
      <c r="AH345" s="1398">
        <f ca="1">IF(B345&gt;=$J$5,0,(CONTADORES!AM359-CONTADORES!AM358)+(CONTADORES!M359-CONTADORES!M358))</f>
        <v>0</v>
      </c>
      <c r="AI345" s="1397">
        <f ca="1">IF(B345&gt;=$J$5,0,(CONTADORES!AK359-CONTADORES!AK358)+(CONTADORES!O359-CONTADORES!O358))</f>
        <v>0</v>
      </c>
      <c r="AJ345" s="1397">
        <f ca="1">IF(B345&gt;=$J$5,0,(CONTADORES!AI359-CONTADORES!AI358))</f>
        <v>0</v>
      </c>
      <c r="AK345" s="1397">
        <f ca="1">IF(B345&gt;=$J$5,0,(CONTADORES!Q359-CONTADORES!Q358))</f>
        <v>0</v>
      </c>
      <c r="AL345" s="1450">
        <f t="shared" ca="1" si="177"/>
        <v>0</v>
      </c>
      <c r="AM345" s="1397">
        <f ca="1">IF(B345&gt;=$J$5,0,(((CONTADORES!F359-CONTADORES!F358)+(CONTADORES!AQ359-CONTADORES!AQ358))))-BS345-AF345-AN345-BV345-BY345-CD345-CB345+T345</f>
        <v>0</v>
      </c>
      <c r="AN345" s="1402">
        <f ca="1">IF(B345&gt;=$J$5,0,(CONTADORES!AX359-CONTADORES!AX358)+(CONTADORES!AZ359-CONTADORES!AZ358)+(CONTADORES!BE359-CONTADORES!BE358))-CB345</f>
        <v>0</v>
      </c>
      <c r="AO345" s="1399">
        <f ca="1">IF(B345&gt;=$J$5,0,(CONTADORES!AC359-CONTADORES!AC358))</f>
        <v>0</v>
      </c>
      <c r="AP345" s="1433">
        <f ca="1">IF(B345&gt;=$J$5,0,(CONTADORES!X359-CONTADORES!X358))</f>
        <v>0</v>
      </c>
      <c r="AQ345" s="1399">
        <f ca="1">IF(B345&gt;=$J$5,0,(CONTADORES!C359-CONTADORES!C358))</f>
        <v>0</v>
      </c>
      <c r="AR345" s="1399">
        <f ca="1">IF(B345&gt;=$J$5,0,(CONTADORES!BC359-CONTADORES!BC358))</f>
        <v>0</v>
      </c>
      <c r="AS345" s="1397">
        <f ca="1">IF(B345&gt;=$J$5,0,CONTADORES!S359-CONTADORES!S358)</f>
        <v>0</v>
      </c>
      <c r="AT345" s="1397">
        <f ca="1">IF(B345&gt;=$J$5,0,(CONTADORES!U359-CONTADORES!U358)+(CONTADORES!AG359-CONTADORES!AG358))</f>
        <v>0</v>
      </c>
      <c r="AU345" s="1433">
        <f ca="1">IF(B345&gt;=$J$5,0,(CONTADORES!I359-CONTADORES!I358))</f>
        <v>0</v>
      </c>
      <c r="AV345" s="1399">
        <f ca="1">IF(B345&gt;=$J$5,0,(CONTADORES!AV359-CONTADORES!AV358))</f>
        <v>0</v>
      </c>
      <c r="AW345" s="1399">
        <f ca="1">IF(B345&gt;=$J$5,0,(CONTADORES!N359-CONTADORES!N358)+(CONTADORES!AN359-CONTADORES!AN358))</f>
        <v>0</v>
      </c>
      <c r="AX345" s="1399">
        <f ca="1">IF(B345&gt;=$J$5,0,(CONTADORES!P359-CONTADORES!P358)+(CONTADORES!AL359-CONTADORES!AL358))</f>
        <v>0</v>
      </c>
      <c r="AY345" s="1399">
        <f ca="1">IF(B345&gt;=$J$5,0,(CONTADORES!AJ359-CONTADORES!AJ358))</f>
        <v>0</v>
      </c>
      <c r="AZ345" s="1399">
        <f ca="1">IF(B345&gt;=$J$5,0,(CONTADORES!R359-CONTADORES!R358))</f>
        <v>0</v>
      </c>
      <c r="BA345" s="1398">
        <f t="shared" ca="1" si="178"/>
        <v>0</v>
      </c>
      <c r="BB345" s="1417">
        <f ca="1">IF(B345&gt;=$J$5,0,(((CONTADORES!G359-CONTADORES!G358)+(CONTADORES!AR359-CONTADORES!AR358))))-AV345-BC345-BT345-BW345-BZ345-CE345-AR345</f>
        <v>0</v>
      </c>
      <c r="BC345" s="1397">
        <f ca="1">IF(B345&gt;=$J$5,0,(CONTADORES!AY359-CONTADORES!AY358)+(CONTADORES!BA359-CONTADORES!BA358)+(CONTADORES!BF359-CONTADORES!BF358))</f>
        <v>0</v>
      </c>
      <c r="BD345" s="1397">
        <f t="shared" ca="1" si="179"/>
        <v>0</v>
      </c>
      <c r="BE345" s="1398">
        <f ca="1">IF($B345&gt;=$J$5,0,CONTADORES!$BG359)</f>
        <v>0</v>
      </c>
      <c r="BF345" s="1397">
        <f ca="1">IF($B345&gt;=$J$5,0,CONTADORES!$BH359)</f>
        <v>0</v>
      </c>
      <c r="BG345" s="1397">
        <f ca="1">IF($B345&gt;=$J$5,0,CONTADORES!$BJ359)</f>
        <v>0</v>
      </c>
      <c r="BH345" s="1397">
        <f ca="1">IF(B345&gt;=$J$5,0,((CONTADORES!BK359-CONTADORES!BK358)/1000))</f>
        <v>0</v>
      </c>
      <c r="BI345" s="1397">
        <f ca="1">IF(C345&gt;=$J$5,0,((CONTADORES!BL359-CONTADORES!BL358)/1000))</f>
        <v>0</v>
      </c>
      <c r="BJ345" s="1397">
        <f ca="1">IF(C345&gt;=$J$5,0,((CONTADORES!BM359-CONTADORES!BM358)/1000))</f>
        <v>0</v>
      </c>
      <c r="BK345" s="1397">
        <f ca="1">IF(D345&gt;=$J$5,0,((CONTADORES!BN359-CONTADORES!BN358)/1000))</f>
        <v>0</v>
      </c>
      <c r="BL345" s="1399">
        <f t="shared" ca="1" si="194"/>
        <v>0</v>
      </c>
      <c r="BM345" s="1399">
        <f t="shared" ca="1" si="180"/>
        <v>0</v>
      </c>
      <c r="BN345" s="1398">
        <f ca="1">IF(B345&gt;=$J$5,0,CONTADORES!$BO359)</f>
        <v>0</v>
      </c>
      <c r="BO345" s="1397">
        <f ca="1">IF(W345&gt;=$J$5,0,CONTADORES!$BP359)</f>
        <v>0</v>
      </c>
      <c r="BP345" s="1397">
        <f ca="1">IF(W345&gt;=$J$5,0,CONTADORES!$BQ359)</f>
        <v>0</v>
      </c>
      <c r="BQ345" s="1397">
        <f ca="1">IF(B345&gt;=$J$5,0,(CONTADORES!AS359-CONTADORES!AS358))</f>
        <v>0</v>
      </c>
      <c r="BR345" s="1397">
        <f ca="1">IF(B345&gt;=$J$5,0,(CONTADORES!AT359-CONTADORES!AT358))</f>
        <v>0</v>
      </c>
      <c r="BS345" s="1397">
        <f ca="1">IF(B345&gt;=$J$5,0,CONTADORES!BR359-CONTADORES!BR358)/1000</f>
        <v>0</v>
      </c>
      <c r="BT345" s="1397">
        <f ca="1">IF(B345&gt;=$J$5,0,CONTADORES!BS359-CONTADORES!BS358)</f>
        <v>0</v>
      </c>
      <c r="BU345" s="1397">
        <f ca="1">IF(B345&gt;=$J$5,0,CONTADORES!BT359-CONTADORES!BT358)</f>
        <v>0</v>
      </c>
      <c r="BV345" s="1397">
        <f ca="1">IF(B345&gt;=$J$5,0,CONTADORES!BU359-CONTADORES!BU358)/1000</f>
        <v>0</v>
      </c>
      <c r="BW345" s="1397">
        <f ca="1">IF(B345&gt;=$J$5,0,CONTADORES!BV359-CONTADORES!BV358)/1000</f>
        <v>0</v>
      </c>
      <c r="BX345" s="1397">
        <f ca="1">IF(B345&gt;=$J$5,0,CONTADORES!BW359-CONTADORES!BW358)</f>
        <v>0</v>
      </c>
      <c r="BY345" s="1397">
        <f ca="1">IF(B345&gt;=$J$5,0,CONTADORES!BX359-CONTADORES!BX358)/1000</f>
        <v>0</v>
      </c>
      <c r="BZ345" s="1397">
        <f ca="1">IF(B345&gt;=$J$5,0,CONTADORES!BY359-CONTADORES!BY358)/1000</f>
        <v>0</v>
      </c>
      <c r="CA345" s="1397">
        <f ca="1">IF(B345&gt;=$J$5,0,CONTADORES!BZ359-CONTADORES!BZ358)</f>
        <v>0</v>
      </c>
      <c r="CB345" s="1397">
        <f ca="1">IF(B345&gt;=$J$5,0,(CONTADORES!CC359-CONTADORES!CC358)+(CONTADORES!CE359-CONTADORES!CE358))/1000</f>
        <v>0</v>
      </c>
      <c r="CC345" s="1397">
        <f ca="1">IF(B345&gt;=$J$5,0,(CONTADORES!CD359-CONTADORES!CD358)+(CONTADORES!CF359-CONTADORES!CF358))/1000</f>
        <v>0</v>
      </c>
      <c r="CD345" s="1397">
        <f ca="1">IF(B345&gt;=$J$5,0,CONTADORES!CA359-CONTADORES!CA358)</f>
        <v>0</v>
      </c>
      <c r="CE345" s="1397">
        <f ca="1">IF(B345&gt;=$J$5,0,CONTADORES!CB359-CONTADORES!CB358)</f>
        <v>0</v>
      </c>
      <c r="CF345" s="1397">
        <f t="shared" ca="1" si="181"/>
        <v>0</v>
      </c>
      <c r="CG345" s="1397">
        <f t="shared" ca="1" si="182"/>
        <v>0</v>
      </c>
      <c r="CH345" s="1397">
        <f t="shared" ca="1" si="183"/>
        <v>0</v>
      </c>
      <c r="CI345" s="1397">
        <f t="shared" ca="1" si="184"/>
        <v>0</v>
      </c>
      <c r="CJ345" s="1397">
        <f t="shared" ca="1" si="185"/>
        <v>0</v>
      </c>
      <c r="CK345" s="1397">
        <f t="shared" ca="1" si="186"/>
        <v>0</v>
      </c>
      <c r="CL345" s="1397">
        <f t="shared" ca="1" si="187"/>
        <v>0</v>
      </c>
      <c r="CM345" s="1397">
        <f t="shared" ca="1" si="188"/>
        <v>0</v>
      </c>
      <c r="CN345" s="1397">
        <f ca="1">IF(B345&gt;=$J$5,0,CONTADORES!CB359-CONTADORES!CB358)</f>
        <v>0</v>
      </c>
      <c r="CO345" s="1397">
        <f t="shared" ca="1" si="189"/>
        <v>0</v>
      </c>
      <c r="CP345" s="1397">
        <f t="shared" ca="1" si="190"/>
        <v>0</v>
      </c>
      <c r="CQ345" s="1397">
        <f t="shared" ca="1" si="191"/>
        <v>0</v>
      </c>
      <c r="CR345" s="1397">
        <f t="shared" ca="1" si="192"/>
        <v>0</v>
      </c>
      <c r="CS345" s="1403">
        <f ca="1">IF($B345&gt;=$J$5,0,CONTADORES!$BI359)</f>
        <v>0</v>
      </c>
      <c r="CT345" s="1369">
        <f>CONTADORES!E359</f>
        <v>0</v>
      </c>
      <c r="CU345" s="1369">
        <f>CONTADORES!CG359</f>
        <v>0</v>
      </c>
    </row>
    <row r="346" spans="2:99">
      <c r="B346" s="390">
        <v>45262</v>
      </c>
      <c r="C346" s="198">
        <f t="shared" ca="1" si="166"/>
        <v>0</v>
      </c>
      <c r="D346" s="196">
        <f ca="1">'CALCULO DE GAS'!P175</f>
        <v>0</v>
      </c>
      <c r="E346" s="196">
        <f ca="1">IF(B346&gt;=$J$5,0,(CONTADORES!$AD360-CONTADORES!$AD359)-$H346)</f>
        <v>0</v>
      </c>
      <c r="F346" s="198">
        <f t="shared" ca="1" si="195"/>
        <v>0</v>
      </c>
      <c r="G346" s="196">
        <f ca="1">IF(B346&gt;=$J$5,0,CONTADORES!$AF360-CONTADORES!$AF359)</f>
        <v>0</v>
      </c>
      <c r="H346" s="196">
        <f ca="1">IF(G346&gt;0,CONTADORES!$AE360-CONTADORES!$AE359,0)</f>
        <v>0</v>
      </c>
      <c r="I346" s="199">
        <f ca="1">IF(B346&gt;=$J$5,0,CONTADORES!$AB360-CONTADORES!$AB359)</f>
        <v>0</v>
      </c>
      <c r="J346" s="198">
        <f t="shared" ca="1" si="167"/>
        <v>0</v>
      </c>
      <c r="K346" s="196">
        <f ca="1">'CALCULO DE GAS'!Q175</f>
        <v>0</v>
      </c>
      <c r="L346" s="1413">
        <f ca="1">IF(B346&gt;=$J$5,0,(CONTADORES!$Y360-CONTADORES!$Y359)-$O346)</f>
        <v>0</v>
      </c>
      <c r="M346" s="1396">
        <f t="shared" ca="1" si="196"/>
        <v>0</v>
      </c>
      <c r="N346" s="1396">
        <f ca="1">IF(B346&gt;=$J$5,0,CONTADORES!$AA360-CONTADORES!$AA359)</f>
        <v>0</v>
      </c>
      <c r="O346" s="1396">
        <f ca="1">IF(N346&gt;0,CONTADORES!$Z360-CONTADORES!$Z359,0)</f>
        <v>0</v>
      </c>
      <c r="P346" s="202">
        <f ca="1">IF(B346&gt;=$J$5,0,CONTADORES!$W360-CONTADORES!$W359)</f>
        <v>0</v>
      </c>
      <c r="Q346" s="202">
        <f ca="1">IF(B346&gt;=$J$5,0,CONTADORES!$B360-CONTADORES!$B359)</f>
        <v>0</v>
      </c>
      <c r="R346" s="196">
        <f t="shared" ca="1" si="169"/>
        <v>0</v>
      </c>
      <c r="S346" s="11">
        <f ca="1">IF(B346&gt;=$J$5,0,CONTADORES!$D360-CONTADORES!$D359)</f>
        <v>0</v>
      </c>
      <c r="T346" s="198">
        <f ca="1">IF(B346&gt;=$J$5,0,CONTADORES!$BB360-CONTADORES!$BB359)</f>
        <v>0</v>
      </c>
      <c r="U346" s="196">
        <f t="shared" ca="1" si="162"/>
        <v>0</v>
      </c>
      <c r="V346" s="11">
        <f ca="1">IF(B346&gt;=$J$5,0,CONTADORES!$BD360-CONTADORES!$BD359)</f>
        <v>0</v>
      </c>
      <c r="W346" s="1397">
        <f t="shared" ca="1" si="170"/>
        <v>0</v>
      </c>
      <c r="X346" s="1397">
        <f t="shared" ca="1" si="171"/>
        <v>0</v>
      </c>
      <c r="Y346" s="1398">
        <f t="shared" ca="1" si="172"/>
        <v>0</v>
      </c>
      <c r="Z346" s="1398">
        <f t="shared" ca="1" si="173"/>
        <v>0</v>
      </c>
      <c r="AA346" s="1398">
        <f t="shared" ca="1" si="174"/>
        <v>0</v>
      </c>
      <c r="AB346" s="1398">
        <f t="shared" ca="1" si="175"/>
        <v>0</v>
      </c>
      <c r="AC346" s="1397">
        <f t="shared" ca="1" si="176"/>
        <v>0</v>
      </c>
      <c r="AD346" s="1397">
        <f ca="1">IF(B346&gt;=$J$5,0,CONTADORES!H360-CONTADORES!H359)</f>
        <v>0</v>
      </c>
      <c r="AE346" s="1397">
        <f ca="1">IF(B346&gt;=$J$5,0,CONTADORES!J360-CONTADORES!J359)</f>
        <v>0</v>
      </c>
      <c r="AF346" s="1397">
        <f ca="1">IF(B346&gt;=$J$5,0,CONTADORES!AU360-CONTADORES!AU359)</f>
        <v>0</v>
      </c>
      <c r="AG346" s="1397">
        <f ca="1">IF(B346&gt;=$J$5,0,CONTADORES!AW360-CONTADORES!AW359)</f>
        <v>0</v>
      </c>
      <c r="AH346" s="1398">
        <f ca="1">IF(B346&gt;=$J$5,0,(CONTADORES!AM360-CONTADORES!AM359)+(CONTADORES!M360-CONTADORES!M359))</f>
        <v>0</v>
      </c>
      <c r="AI346" s="1397">
        <f ca="1">IF(B346&gt;=$J$5,0,(CONTADORES!AK360-CONTADORES!AK359)+(CONTADORES!O360-CONTADORES!O359))</f>
        <v>0</v>
      </c>
      <c r="AJ346" s="1397">
        <f ca="1">IF(B346&gt;=$J$5,0,(CONTADORES!AI360-CONTADORES!AI359))</f>
        <v>0</v>
      </c>
      <c r="AK346" s="1397">
        <f ca="1">IF(B346&gt;=$J$5,0,(CONTADORES!Q360-CONTADORES!Q359))</f>
        <v>0</v>
      </c>
      <c r="AL346" s="1461">
        <f t="shared" ca="1" si="177"/>
        <v>0</v>
      </c>
      <c r="AM346" s="1397">
        <f ca="1">IF(B346&gt;=$J$5,0,(((CONTADORES!F360-CONTADORES!F359)+(CONTADORES!AQ360-CONTADORES!AQ359))))-BS346-AF346-AN346-BV346-BY346-CD346-CB346+T346</f>
        <v>0</v>
      </c>
      <c r="AN346" s="1402">
        <f ca="1">IF(B346&gt;=$J$5,0,(CONTADORES!AX360-CONTADORES!AX359)+(CONTADORES!AZ360-CONTADORES!AZ359)+(CONTADORES!BE360-CONTADORES!BE359))-CB346</f>
        <v>0</v>
      </c>
      <c r="AO346" s="1399">
        <f ca="1">IF(B346&gt;=$J$5,0,(CONTADORES!AC360-CONTADORES!AC359))</f>
        <v>0</v>
      </c>
      <c r="AP346" s="1433">
        <f ca="1">IF(B346&gt;=$J$5,0,(CONTADORES!X360-CONTADORES!X359))</f>
        <v>0</v>
      </c>
      <c r="AQ346" s="1404">
        <f ca="1">IF(B346&gt;=$J$5,0,(CONTADORES!C360-CONTADORES!C359))</f>
        <v>0</v>
      </c>
      <c r="AR346" s="1399">
        <f ca="1">IF(B346&gt;=$J$5,0,(CONTADORES!BC360-CONTADORES!BC359))</f>
        <v>0</v>
      </c>
      <c r="AS346" s="1397">
        <f ca="1">IF(B346&gt;=$J$5,0,CONTADORES!S360-CONTADORES!S359)</f>
        <v>0</v>
      </c>
      <c r="AT346" s="1397">
        <f ca="1">IF(B346&gt;=$J$5,0,(CONTADORES!U360-CONTADORES!U359)+(CONTADORES!AG360-CONTADORES!AG359))</f>
        <v>0</v>
      </c>
      <c r="AU346" s="1433">
        <f ca="1">IF(B346&gt;=$J$5,0,(CONTADORES!I360-CONTADORES!I359))</f>
        <v>0</v>
      </c>
      <c r="AV346" s="1399">
        <f ca="1">IF(B346&gt;=$J$5,0,(CONTADORES!AV360-CONTADORES!AV359))</f>
        <v>0</v>
      </c>
      <c r="AW346" s="1399">
        <f ca="1">IF(B346&gt;=$J$5,0,(CONTADORES!N360-CONTADORES!N359)+(CONTADORES!AN360-CONTADORES!AN359))</f>
        <v>0</v>
      </c>
      <c r="AX346" s="1399">
        <f ca="1">IF(B346&gt;=$J$5,0,(CONTADORES!P360-CONTADORES!P359)+(CONTADORES!AL360-CONTADORES!AL359))</f>
        <v>0</v>
      </c>
      <c r="AY346" s="1399">
        <f ca="1">IF(B346&gt;=$J$5,0,(CONTADORES!AJ360-CONTADORES!AJ359))</f>
        <v>0</v>
      </c>
      <c r="AZ346" s="1399">
        <f ca="1">IF(B346&gt;=$J$5,0,(CONTADORES!R360-CONTADORES!R359))</f>
        <v>0</v>
      </c>
      <c r="BA346" s="1409">
        <f t="shared" ca="1" si="178"/>
        <v>0</v>
      </c>
      <c r="BB346" s="1417">
        <f ca="1">IF(B346&gt;=$J$5,0,(((CONTADORES!G360-CONTADORES!G359)+(CONTADORES!AR360-CONTADORES!AR359))))-AV346-BC346-BT346-BW346-BZ346-CE346-AR346</f>
        <v>0</v>
      </c>
      <c r="BC346" s="1397">
        <f ca="1">IF(B346&gt;=$J$5,0,(CONTADORES!AY360-CONTADORES!AY359)+(CONTADORES!BA360-CONTADORES!BA359)+(CONTADORES!BF360-CONTADORES!BF359))</f>
        <v>0</v>
      </c>
      <c r="BD346" s="1397">
        <f t="shared" ca="1" si="179"/>
        <v>0</v>
      </c>
      <c r="BE346" s="1398">
        <f ca="1">IF($B346&gt;=$J$5,0,CONTADORES!$BG360)</f>
        <v>0</v>
      </c>
      <c r="BF346" s="1397">
        <f ca="1">IF($B346&gt;=$J$5,0,CONTADORES!$BH360)</f>
        <v>0</v>
      </c>
      <c r="BG346" s="1397">
        <f ca="1">IF($B346&gt;=$J$5,0,CONTADORES!$BJ360)</f>
        <v>0</v>
      </c>
      <c r="BH346" s="1397">
        <f ca="1">IF(B346&gt;=$J$5,0,((CONTADORES!BK360-CONTADORES!BK359)/1000))</f>
        <v>0</v>
      </c>
      <c r="BI346" s="1397">
        <f ca="1">IF(C346&gt;=$J$5,0,((CONTADORES!BL360-CONTADORES!BL359)/1000))</f>
        <v>0</v>
      </c>
      <c r="BJ346" s="1397">
        <f ca="1">IF(C346&gt;=$J$5,0,((CONTADORES!BM360-CONTADORES!BM359)/1000))</f>
        <v>0</v>
      </c>
      <c r="BK346" s="1397">
        <f ca="1">IF(D346&gt;=$J$5,0,((CONTADORES!BN360-CONTADORES!BN359)/1000))</f>
        <v>0</v>
      </c>
      <c r="BL346" s="1399">
        <f t="shared" ca="1" si="194"/>
        <v>0</v>
      </c>
      <c r="BM346" s="1399">
        <f t="shared" ca="1" si="180"/>
        <v>0</v>
      </c>
      <c r="BN346" s="1398">
        <f ca="1">IF(B346&gt;=$J$5,0,CONTADORES!$BO360)</f>
        <v>0</v>
      </c>
      <c r="BO346" s="1397">
        <f ca="1">IF(W346&gt;=$J$5,0,CONTADORES!$BP360)</f>
        <v>0</v>
      </c>
      <c r="BP346" s="1397">
        <f ca="1">IF(W346&gt;=$J$5,0,CONTADORES!$BQ360)</f>
        <v>0</v>
      </c>
      <c r="BQ346" s="1397">
        <f ca="1">IF(B346&gt;=$J$5,0,(CONTADORES!AS360-CONTADORES!AS359))</f>
        <v>0</v>
      </c>
      <c r="BR346" s="1397">
        <f ca="1">IF(B346&gt;=$J$5,0,(CONTADORES!AT360-CONTADORES!AT359))</f>
        <v>0</v>
      </c>
      <c r="BS346" s="1397">
        <f ca="1">IF(B346&gt;=$J$5,0,CONTADORES!BR360-CONTADORES!BR359)/1000</f>
        <v>0</v>
      </c>
      <c r="BT346" s="1397">
        <f ca="1">IF(B346&gt;=$J$5,0,CONTADORES!BS360-CONTADORES!BS359)</f>
        <v>0</v>
      </c>
      <c r="BU346" s="1397">
        <f ca="1">IF(B346&gt;=$J$5,0,CONTADORES!BT360-CONTADORES!BT359)</f>
        <v>0</v>
      </c>
      <c r="BV346" s="1397">
        <f ca="1">IF(B346&gt;=$J$5,0,CONTADORES!BU360-CONTADORES!BU359)/1000</f>
        <v>0</v>
      </c>
      <c r="BW346" s="1397">
        <f ca="1">IF(B346&gt;=$J$5,0,CONTADORES!BV360-CONTADORES!BV359)/1000</f>
        <v>0</v>
      </c>
      <c r="BX346" s="1397">
        <f ca="1">IF(B346&gt;=$J$5,0,CONTADORES!BW360-CONTADORES!BW359)</f>
        <v>0</v>
      </c>
      <c r="BY346" s="1397">
        <f ca="1">IF(B346&gt;=$J$5,0,CONTADORES!BX360-CONTADORES!BX359)/1000</f>
        <v>0</v>
      </c>
      <c r="BZ346" s="1397">
        <f ca="1">IF(B346&gt;=$J$5,0,CONTADORES!BY360-CONTADORES!BY359)/1000</f>
        <v>0</v>
      </c>
      <c r="CA346" s="1397">
        <f ca="1">IF(B346&gt;=$J$5,0,CONTADORES!BZ360-CONTADORES!BZ359)</f>
        <v>0</v>
      </c>
      <c r="CB346" s="1397">
        <f ca="1">IF(B346&gt;=$J$5,0,(CONTADORES!CC360-CONTADORES!CC359)+(CONTADORES!CE360-CONTADORES!CE359))/1000</f>
        <v>0</v>
      </c>
      <c r="CC346" s="1397">
        <f ca="1">IF(B346&gt;=$J$5,0,(CONTADORES!CD360-CONTADORES!CD359)+(CONTADORES!CF360-CONTADORES!CF359))/1000</f>
        <v>0</v>
      </c>
      <c r="CD346" s="1397">
        <f ca="1">IF(B346&gt;=$J$5,0,CONTADORES!CA360-CONTADORES!CA359)</f>
        <v>0</v>
      </c>
      <c r="CE346" s="1397">
        <f ca="1">IF(B346&gt;=$J$5,0,CONTADORES!CB360-CONTADORES!CB359)</f>
        <v>0</v>
      </c>
      <c r="CF346" s="1397">
        <f t="shared" ca="1" si="181"/>
        <v>0</v>
      </c>
      <c r="CG346" s="1397">
        <f t="shared" ca="1" si="182"/>
        <v>0</v>
      </c>
      <c r="CH346" s="1397">
        <f t="shared" ca="1" si="183"/>
        <v>0</v>
      </c>
      <c r="CI346" s="1397">
        <f t="shared" ca="1" si="184"/>
        <v>0</v>
      </c>
      <c r="CJ346" s="1397">
        <f t="shared" ca="1" si="185"/>
        <v>0</v>
      </c>
      <c r="CK346" s="1397">
        <f t="shared" ca="1" si="186"/>
        <v>0</v>
      </c>
      <c r="CL346" s="1397">
        <f t="shared" ca="1" si="187"/>
        <v>0</v>
      </c>
      <c r="CM346" s="1397">
        <f t="shared" ca="1" si="188"/>
        <v>0</v>
      </c>
      <c r="CN346" s="1397">
        <f ca="1">IF(B346&gt;=$J$5,0,CONTADORES!CB360-CONTADORES!CB359)</f>
        <v>0</v>
      </c>
      <c r="CO346" s="1397">
        <f t="shared" ca="1" si="189"/>
        <v>0</v>
      </c>
      <c r="CP346" s="1397">
        <f t="shared" ca="1" si="190"/>
        <v>0</v>
      </c>
      <c r="CQ346" s="1397">
        <f t="shared" ca="1" si="191"/>
        <v>0</v>
      </c>
      <c r="CR346" s="1397">
        <f t="shared" ca="1" si="192"/>
        <v>0</v>
      </c>
      <c r="CS346" s="1403">
        <f ca="1">IF($B346&gt;=$J$5,0,CONTADORES!$BI360)</f>
        <v>0</v>
      </c>
      <c r="CT346" s="1369">
        <f>CONTADORES!E360</f>
        <v>0</v>
      </c>
      <c r="CU346" s="1369">
        <f>CONTADORES!CG360</f>
        <v>0</v>
      </c>
    </row>
    <row r="347" spans="2:99">
      <c r="B347" s="390">
        <v>45263</v>
      </c>
      <c r="C347" s="198">
        <f t="shared" ca="1" si="166"/>
        <v>0</v>
      </c>
      <c r="D347" s="196">
        <f ca="1">'CALCULO DE GAS'!P176</f>
        <v>0</v>
      </c>
      <c r="E347" s="196">
        <f ca="1">IF(B347&gt;=$J$5,0,(CONTADORES!$AD361-CONTADORES!$AD360)-$H347)</f>
        <v>0</v>
      </c>
      <c r="F347" s="198">
        <f t="shared" ca="1" si="195"/>
        <v>0</v>
      </c>
      <c r="G347" s="196">
        <f ca="1">IF(B347&gt;=$J$5,0,CONTADORES!$AF361-CONTADORES!$AF360)</f>
        <v>0</v>
      </c>
      <c r="H347" s="196">
        <f ca="1">IF(G347&gt;0,CONTADORES!$AE361-CONTADORES!$AE360,0)</f>
        <v>0</v>
      </c>
      <c r="I347" s="199">
        <f ca="1">IF(B347&gt;=$J$5,0,CONTADORES!$AB361-CONTADORES!$AB360)</f>
        <v>0</v>
      </c>
      <c r="J347" s="198">
        <f t="shared" ca="1" si="167"/>
        <v>0</v>
      </c>
      <c r="K347" s="196">
        <f ca="1">'CALCULO DE GAS'!Q176</f>
        <v>0</v>
      </c>
      <c r="L347" s="1413">
        <f ca="1">IF(B347&gt;=$J$5,0,(CONTADORES!$Y361-CONTADORES!$Y360)-$O347)</f>
        <v>0</v>
      </c>
      <c r="M347" s="1396">
        <f t="shared" ca="1" si="196"/>
        <v>0</v>
      </c>
      <c r="N347" s="1396">
        <f ca="1">IF(B347&gt;=$J$5,0,CONTADORES!$AA361-CONTADORES!$AA360)</f>
        <v>0</v>
      </c>
      <c r="O347" s="1396">
        <f ca="1">IF(N347&gt;0,CONTADORES!$Z361-CONTADORES!$Z360,0)</f>
        <v>0</v>
      </c>
      <c r="P347" s="202">
        <f ca="1">IF(B347&gt;=$J$5,0,CONTADORES!$W361-CONTADORES!$W360)</f>
        <v>0</v>
      </c>
      <c r="Q347" s="202">
        <f ca="1">IF(B347&gt;=$J$5,0,CONTADORES!$B361-CONTADORES!$B360)</f>
        <v>0</v>
      </c>
      <c r="R347" s="196">
        <f t="shared" ca="1" si="169"/>
        <v>0</v>
      </c>
      <c r="S347" s="11">
        <f ca="1">IF(B347&gt;=$J$5,0,CONTADORES!$D361-CONTADORES!$D360)</f>
        <v>0</v>
      </c>
      <c r="T347" s="198">
        <f ca="1">IF(B347&gt;=$J$5,0,CONTADORES!$BB361-CONTADORES!$BB360)</f>
        <v>0</v>
      </c>
      <c r="U347" s="196">
        <f t="shared" ca="1" si="162"/>
        <v>0</v>
      </c>
      <c r="V347" s="11">
        <f ca="1">IF(B347&gt;=$J$5,0,CONTADORES!$BD361-CONTADORES!$BD360)</f>
        <v>0</v>
      </c>
      <c r="W347" s="1397">
        <f t="shared" ca="1" si="170"/>
        <v>0</v>
      </c>
      <c r="X347" s="1397">
        <f t="shared" ca="1" si="171"/>
        <v>0</v>
      </c>
      <c r="Y347" s="1398">
        <f t="shared" ca="1" si="172"/>
        <v>0</v>
      </c>
      <c r="Z347" s="1398">
        <f t="shared" ca="1" si="173"/>
        <v>0</v>
      </c>
      <c r="AA347" s="1398">
        <f t="shared" ca="1" si="174"/>
        <v>0</v>
      </c>
      <c r="AB347" s="1398">
        <f t="shared" ca="1" si="175"/>
        <v>0</v>
      </c>
      <c r="AC347" s="1397">
        <f t="shared" ca="1" si="176"/>
        <v>0</v>
      </c>
      <c r="AD347" s="1397">
        <f ca="1">IF(B347&gt;=$J$5,0,CONTADORES!H361-CONTADORES!H360)</f>
        <v>0</v>
      </c>
      <c r="AE347" s="1397">
        <f ca="1">IF(B347&gt;=$J$5,0,CONTADORES!J361-CONTADORES!J360)</f>
        <v>0</v>
      </c>
      <c r="AF347" s="1397">
        <f ca="1">IF(B347&gt;=$J$5,0,CONTADORES!AU361-CONTADORES!AU360)</f>
        <v>0</v>
      </c>
      <c r="AG347" s="1397">
        <f ca="1">IF(B347&gt;=$J$5,0,CONTADORES!AW361-CONTADORES!AW360)</f>
        <v>0</v>
      </c>
      <c r="AH347" s="1398">
        <f ca="1">IF(B347&gt;=$J$5,0,(CONTADORES!AM361-CONTADORES!AM360)+(CONTADORES!M361-CONTADORES!M360))</f>
        <v>0</v>
      </c>
      <c r="AI347" s="1397">
        <f ca="1">IF(B347&gt;=$J$5,0,(CONTADORES!AK361-CONTADORES!AK360)+(CONTADORES!O361-CONTADORES!O360))</f>
        <v>0</v>
      </c>
      <c r="AJ347" s="1397">
        <f ca="1">IF(B347&gt;=$J$5,0,(CONTADORES!AI361-CONTADORES!AI360))</f>
        <v>0</v>
      </c>
      <c r="AK347" s="1397">
        <f ca="1">IF(B347&gt;=$J$5,0,(CONTADORES!Q361-CONTADORES!Q360))</f>
        <v>0</v>
      </c>
      <c r="AL347" s="1461">
        <f t="shared" ca="1" si="177"/>
        <v>0</v>
      </c>
      <c r="AM347" s="1397">
        <f ca="1">IF(B347&gt;=$J$5,0,(((CONTADORES!F361-CONTADORES!F360)+(CONTADORES!AQ361-CONTADORES!AQ360))))-BS347-AF347-AN347-BV347-BY347-CD347-CB347+T347</f>
        <v>0</v>
      </c>
      <c r="AN347" s="1402">
        <f ca="1">IF(B347&gt;=$J$5,0,(CONTADORES!AX361-CONTADORES!AX360)+(CONTADORES!AZ361-CONTADORES!AZ360)+(CONTADORES!BE361-CONTADORES!BE360))-CB347</f>
        <v>0</v>
      </c>
      <c r="AO347" s="1399">
        <f ca="1">IF(B347&gt;=$J$5,0,(CONTADORES!AC361-CONTADORES!AC360))</f>
        <v>0</v>
      </c>
      <c r="AP347" s="1433">
        <f ca="1">IF(B347&gt;=$J$5,0,(CONTADORES!X361-CONTADORES!X360))</f>
        <v>0</v>
      </c>
      <c r="AQ347" s="1404">
        <f ca="1">IF(B347&gt;=$J$5,0,(CONTADORES!C361-CONTADORES!C360))</f>
        <v>0</v>
      </c>
      <c r="AR347" s="1399">
        <f ca="1">IF(B347&gt;=$J$5,0,(CONTADORES!BC361-CONTADORES!BC360))</f>
        <v>0</v>
      </c>
      <c r="AS347" s="1397">
        <f ca="1">IF(B347&gt;=$J$5,0,CONTADORES!S361-CONTADORES!S360)</f>
        <v>0</v>
      </c>
      <c r="AT347" s="1397">
        <f ca="1">IF(B347&gt;=$J$5,0,(CONTADORES!U361-CONTADORES!U360)+(CONTADORES!AG361-CONTADORES!AG360))</f>
        <v>0</v>
      </c>
      <c r="AU347" s="1433">
        <f ca="1">IF(B347&gt;=$J$5,0,(CONTADORES!I361-CONTADORES!I360))</f>
        <v>0</v>
      </c>
      <c r="AV347" s="1399">
        <f ca="1">IF(B347&gt;=$J$5,0,(CONTADORES!AV361-CONTADORES!AV360))</f>
        <v>0</v>
      </c>
      <c r="AW347" s="1399">
        <f ca="1">IF(B347&gt;=$J$5,0,(CONTADORES!N361-CONTADORES!N360)+(CONTADORES!AN361-CONTADORES!AN360))</f>
        <v>0</v>
      </c>
      <c r="AX347" s="1399">
        <f ca="1">IF(B347&gt;=$J$5,0,(CONTADORES!P361-CONTADORES!P360)+(CONTADORES!AL361-CONTADORES!AL360))</f>
        <v>0</v>
      </c>
      <c r="AY347" s="1399">
        <f ca="1">IF(B347&gt;=$J$5,0,(CONTADORES!AJ361-CONTADORES!AJ360))</f>
        <v>0</v>
      </c>
      <c r="AZ347" s="1399">
        <f ca="1">IF(B347&gt;=$J$5,0,(CONTADORES!R361-CONTADORES!R360))</f>
        <v>0</v>
      </c>
      <c r="BA347" s="1409">
        <f t="shared" ca="1" si="178"/>
        <v>0</v>
      </c>
      <c r="BB347" s="1417">
        <f ca="1">IF(B347&gt;=$J$5,0,(((CONTADORES!G361-CONTADORES!G360)+(CONTADORES!AR361-CONTADORES!AR360))))-AV347-BC347-BT347-BW347-BZ347-CE347-AR347</f>
        <v>0</v>
      </c>
      <c r="BC347" s="1397">
        <f ca="1">IF(B347&gt;=$J$5,0,(CONTADORES!AY361-CONTADORES!AY360)+(CONTADORES!BA361-CONTADORES!BA360)+(CONTADORES!BF361-CONTADORES!BF360))</f>
        <v>0</v>
      </c>
      <c r="BD347" s="1397">
        <f t="shared" ca="1" si="179"/>
        <v>0</v>
      </c>
      <c r="BE347" s="1398">
        <f ca="1">IF($B347&gt;=$J$5,0,CONTADORES!$BG361)</f>
        <v>0</v>
      </c>
      <c r="BF347" s="1397">
        <f ca="1">IF($B347&gt;=$J$5,0,CONTADORES!$BH361)</f>
        <v>0</v>
      </c>
      <c r="BG347" s="1397">
        <f ca="1">IF($B347&gt;=$J$5,0,CONTADORES!$BJ361)</f>
        <v>0</v>
      </c>
      <c r="BH347" s="1397">
        <f ca="1">IF(B347&gt;=$J$5,0,((CONTADORES!BK361-CONTADORES!BK360)/1000))</f>
        <v>0</v>
      </c>
      <c r="BI347" s="1397">
        <f ca="1">IF(C347&gt;=$J$5,0,((CONTADORES!BL361-CONTADORES!BL360)/1000))</f>
        <v>0</v>
      </c>
      <c r="BJ347" s="1397">
        <f ca="1">IF(C347&gt;=$J$5,0,((CONTADORES!BM361-CONTADORES!BM360)/1000))</f>
        <v>0</v>
      </c>
      <c r="BK347" s="1397">
        <f ca="1">IF(D347&gt;=$J$5,0,((CONTADORES!BN361-CONTADORES!BN360)/1000))</f>
        <v>0</v>
      </c>
      <c r="BL347" s="1399">
        <f t="shared" ca="1" si="194"/>
        <v>0</v>
      </c>
      <c r="BM347" s="1399">
        <f t="shared" ca="1" si="180"/>
        <v>0</v>
      </c>
      <c r="BN347" s="1398">
        <f ca="1">IF(B347&gt;=$J$5,0,CONTADORES!$BO361)</f>
        <v>0</v>
      </c>
      <c r="BO347" s="1397">
        <f ca="1">IF(W347&gt;=$J$5,0,CONTADORES!$BP361)</f>
        <v>0</v>
      </c>
      <c r="BP347" s="1397">
        <f ca="1">IF(W347&gt;=$J$5,0,CONTADORES!$BQ361)</f>
        <v>0</v>
      </c>
      <c r="BQ347" s="1397">
        <f ca="1">IF(B347&gt;=$J$5,0,(CONTADORES!AS361-CONTADORES!AS360))</f>
        <v>0</v>
      </c>
      <c r="BR347" s="1397">
        <f ca="1">IF(B347&gt;=$J$5,0,(CONTADORES!AT361-CONTADORES!AT360))</f>
        <v>0</v>
      </c>
      <c r="BS347" s="1397">
        <f ca="1">IF(B347&gt;=$J$5,0,CONTADORES!BR361-CONTADORES!BR360)/1000</f>
        <v>0</v>
      </c>
      <c r="BT347" s="1397">
        <f ca="1">IF(B347&gt;=$J$5,0,CONTADORES!BS361-CONTADORES!BS360)</f>
        <v>0</v>
      </c>
      <c r="BU347" s="1397">
        <f ca="1">IF(B347&gt;=$J$5,0,CONTADORES!BT361-CONTADORES!BT360)</f>
        <v>0</v>
      </c>
      <c r="BV347" s="1397">
        <f ca="1">IF(B347&gt;=$J$5,0,CONTADORES!BU361-CONTADORES!BU360)/1000</f>
        <v>0</v>
      </c>
      <c r="BW347" s="1397">
        <f ca="1">IF(B347&gt;=$J$5,0,CONTADORES!BV361-CONTADORES!BV360)/1000</f>
        <v>0</v>
      </c>
      <c r="BX347" s="1397">
        <f ca="1">IF(B347&gt;=$J$5,0,CONTADORES!BW361-CONTADORES!BW360)</f>
        <v>0</v>
      </c>
      <c r="BY347" s="1397">
        <f ca="1">IF(B347&gt;=$J$5,0,CONTADORES!BX361-CONTADORES!BX360)/1000</f>
        <v>0</v>
      </c>
      <c r="BZ347" s="1397">
        <f ca="1">IF(B347&gt;=$J$5,0,CONTADORES!BY361-CONTADORES!BY360)/1000</f>
        <v>0</v>
      </c>
      <c r="CA347" s="1397">
        <f ca="1">IF(B347&gt;=$J$5,0,CONTADORES!BZ361-CONTADORES!BZ360)</f>
        <v>0</v>
      </c>
      <c r="CB347" s="1397">
        <f ca="1">IF(B347&gt;=$J$5,0,(CONTADORES!CC361-CONTADORES!CC360)+(CONTADORES!CE361-CONTADORES!CE360))/1000</f>
        <v>0</v>
      </c>
      <c r="CC347" s="1397">
        <f ca="1">IF(B347&gt;=$J$5,0,(CONTADORES!CD361-CONTADORES!CD360)+(CONTADORES!CF361-CONTADORES!CF360))/1000</f>
        <v>0</v>
      </c>
      <c r="CD347" s="1397">
        <f ca="1">IF(B347&gt;=$J$5,0,CONTADORES!CA361-CONTADORES!CA360)</f>
        <v>0</v>
      </c>
      <c r="CE347" s="1397">
        <f ca="1">IF(B347&gt;=$J$5,0,CONTADORES!CB361-CONTADORES!CB360)</f>
        <v>0</v>
      </c>
      <c r="CF347" s="1397">
        <f t="shared" ca="1" si="181"/>
        <v>0</v>
      </c>
      <c r="CG347" s="1397">
        <f t="shared" ca="1" si="182"/>
        <v>0</v>
      </c>
      <c r="CH347" s="1397">
        <f t="shared" ca="1" si="183"/>
        <v>0</v>
      </c>
      <c r="CI347" s="1397">
        <f t="shared" ca="1" si="184"/>
        <v>0</v>
      </c>
      <c r="CJ347" s="1397">
        <f t="shared" ca="1" si="185"/>
        <v>0</v>
      </c>
      <c r="CK347" s="1397">
        <f t="shared" ca="1" si="186"/>
        <v>0</v>
      </c>
      <c r="CL347" s="1397">
        <f t="shared" ca="1" si="187"/>
        <v>0</v>
      </c>
      <c r="CM347" s="1397">
        <f t="shared" ca="1" si="188"/>
        <v>0</v>
      </c>
      <c r="CN347" s="1397">
        <f ca="1">IF(B347&gt;=$J$5,0,CONTADORES!CB361-CONTADORES!CB360)</f>
        <v>0</v>
      </c>
      <c r="CO347" s="1397">
        <f t="shared" ca="1" si="189"/>
        <v>0</v>
      </c>
      <c r="CP347" s="1397">
        <f t="shared" ca="1" si="190"/>
        <v>0</v>
      </c>
      <c r="CQ347" s="1397">
        <f t="shared" ca="1" si="191"/>
        <v>0</v>
      </c>
      <c r="CR347" s="1397">
        <f t="shared" ca="1" si="192"/>
        <v>0</v>
      </c>
      <c r="CS347" s="1403">
        <f ca="1">IF($B347&gt;=$J$5,0,CONTADORES!$BI361)</f>
        <v>0</v>
      </c>
      <c r="CT347" s="1369">
        <f>CONTADORES!E361</f>
        <v>0</v>
      </c>
      <c r="CU347" s="1369">
        <f>CONTADORES!CG361</f>
        <v>0</v>
      </c>
    </row>
    <row r="348" spans="2:99">
      <c r="B348" s="390">
        <v>45264</v>
      </c>
      <c r="C348" s="198">
        <f t="shared" ca="1" si="166"/>
        <v>0</v>
      </c>
      <c r="D348" s="196">
        <f ca="1">'CALCULO DE GAS'!P177</f>
        <v>0</v>
      </c>
      <c r="E348" s="196">
        <f ca="1">IF(B348&gt;=$J$5,0,(CONTADORES!$AD362-CONTADORES!$AD361)-$H348)</f>
        <v>0</v>
      </c>
      <c r="F348" s="198">
        <f t="shared" ca="1" si="195"/>
        <v>0</v>
      </c>
      <c r="G348" s="196">
        <f ca="1">IF(B348&gt;=$J$5,0,CONTADORES!$AF362-CONTADORES!$AF361)</f>
        <v>0</v>
      </c>
      <c r="H348" s="196">
        <f ca="1">IF(G348&gt;0,CONTADORES!$AE362-CONTADORES!$AE361,0)</f>
        <v>0</v>
      </c>
      <c r="I348" s="199">
        <f ca="1">IF(B348&gt;=$J$5,0,CONTADORES!$AB362-CONTADORES!$AB361)</f>
        <v>0</v>
      </c>
      <c r="J348" s="198">
        <f t="shared" ca="1" si="167"/>
        <v>0</v>
      </c>
      <c r="K348" s="196">
        <f ca="1">'CALCULO DE GAS'!Q177</f>
        <v>0</v>
      </c>
      <c r="L348" s="1413">
        <f ca="1">IF(B348&gt;=$J$5,0,(CONTADORES!$Y362-CONTADORES!$Y361)-$O348)</f>
        <v>0</v>
      </c>
      <c r="M348" s="1396">
        <f t="shared" ca="1" si="196"/>
        <v>0</v>
      </c>
      <c r="N348" s="1396">
        <f ca="1">IF(B348&gt;=$J$5,0,CONTADORES!$AA362-CONTADORES!$AA361)</f>
        <v>0</v>
      </c>
      <c r="O348" s="1396">
        <f ca="1">IF(N348&gt;0,CONTADORES!$Z362-CONTADORES!$Z361,0)</f>
        <v>0</v>
      </c>
      <c r="P348" s="202">
        <f ca="1">IF(B348&gt;=$J$5,0,CONTADORES!$W362-CONTADORES!$W361)</f>
        <v>0</v>
      </c>
      <c r="Q348" s="202">
        <f ca="1">IF(B348&gt;=$J$5,0,CONTADORES!$B362-CONTADORES!$B361)</f>
        <v>0</v>
      </c>
      <c r="R348" s="196">
        <f t="shared" ca="1" si="169"/>
        <v>0</v>
      </c>
      <c r="S348" s="11">
        <f ca="1">IF(B348&gt;=$J$5,0,CONTADORES!$D362-CONTADORES!$D361)</f>
        <v>0</v>
      </c>
      <c r="T348" s="198">
        <f ca="1">IF(B348&gt;=$J$5,0,CONTADORES!$BB362-CONTADORES!$BB361)</f>
        <v>0</v>
      </c>
      <c r="U348" s="196">
        <f t="shared" ca="1" si="162"/>
        <v>0</v>
      </c>
      <c r="V348" s="11">
        <f ca="1">IF(B348&gt;=$J$5,0,CONTADORES!$BD362-CONTADORES!$BD361)</f>
        <v>0</v>
      </c>
      <c r="W348" s="1397">
        <f t="shared" ca="1" si="170"/>
        <v>0</v>
      </c>
      <c r="X348" s="1397">
        <f t="shared" ca="1" si="171"/>
        <v>0</v>
      </c>
      <c r="Y348" s="1398">
        <f t="shared" ca="1" si="172"/>
        <v>0</v>
      </c>
      <c r="Z348" s="1398">
        <f t="shared" ca="1" si="173"/>
        <v>0</v>
      </c>
      <c r="AA348" s="1398">
        <f t="shared" ca="1" si="174"/>
        <v>0</v>
      </c>
      <c r="AB348" s="1398">
        <f t="shared" ca="1" si="175"/>
        <v>0</v>
      </c>
      <c r="AC348" s="1397">
        <f t="shared" ca="1" si="176"/>
        <v>0</v>
      </c>
      <c r="AD348" s="1397">
        <f ca="1">IF(B348&gt;=$J$5,0,CONTADORES!H362-CONTADORES!H361)</f>
        <v>0</v>
      </c>
      <c r="AE348" s="1397">
        <f ca="1">IF(B348&gt;=$J$5,0,CONTADORES!J362-CONTADORES!J361)</f>
        <v>0</v>
      </c>
      <c r="AF348" s="1397">
        <f ca="1">IF(B348&gt;=$J$5,0,CONTADORES!AU362-CONTADORES!AU361)</f>
        <v>0</v>
      </c>
      <c r="AG348" s="1397">
        <f ca="1">IF(B348&gt;=$J$5,0,CONTADORES!AW362-CONTADORES!AW361)</f>
        <v>0</v>
      </c>
      <c r="AH348" s="1398">
        <f ca="1">IF(B348&gt;=$J$5,0,(CONTADORES!AM362-CONTADORES!AM361)+(CONTADORES!M362-CONTADORES!M361))</f>
        <v>0</v>
      </c>
      <c r="AI348" s="1397">
        <f ca="1">IF(B348&gt;=$J$5,0,(CONTADORES!AK362-CONTADORES!AK361)+(CONTADORES!O362-CONTADORES!O361))</f>
        <v>0</v>
      </c>
      <c r="AJ348" s="1397">
        <f ca="1">IF(B348&gt;=$J$5,0,(CONTADORES!AI362-CONTADORES!AI361))</f>
        <v>0</v>
      </c>
      <c r="AK348" s="1397">
        <f ca="1">IF(B348&gt;=$J$5,0,(CONTADORES!Q362-CONTADORES!Q361))</f>
        <v>0</v>
      </c>
      <c r="AL348" s="1461">
        <f t="shared" ca="1" si="177"/>
        <v>0</v>
      </c>
      <c r="AM348" s="1397">
        <f ca="1">IF(B348&gt;=$J$5,0,(((CONTADORES!F362-CONTADORES!F361)+(CONTADORES!AQ362-CONTADORES!AQ361))))-BS348-AF348-AN348-BV348-BY348-CD348-CB348+T348</f>
        <v>0</v>
      </c>
      <c r="AN348" s="1402">
        <f ca="1">IF(B348&gt;=$J$5,0,(CONTADORES!AX362-CONTADORES!AX361)+(CONTADORES!AZ362-CONTADORES!AZ361)+(CONTADORES!BE362-CONTADORES!BE361))-CB348</f>
        <v>0</v>
      </c>
      <c r="AO348" s="1399">
        <f ca="1">IF(B348&gt;=$J$5,0,(CONTADORES!AC362-CONTADORES!AC361))</f>
        <v>0</v>
      </c>
      <c r="AP348" s="1433">
        <f ca="1">IF(B348&gt;=$J$5,0,(CONTADORES!X362-CONTADORES!X361))</f>
        <v>0</v>
      </c>
      <c r="AQ348" s="1404">
        <f ca="1">IF(B348&gt;=$J$5,0,(CONTADORES!C362-CONTADORES!C361))</f>
        <v>0</v>
      </c>
      <c r="AR348" s="1399">
        <f ca="1">IF(B348&gt;=$J$5,0,(CONTADORES!BC362-CONTADORES!BC361))</f>
        <v>0</v>
      </c>
      <c r="AS348" s="1397">
        <f ca="1">IF(B348&gt;=$J$5,0,CONTADORES!S362-CONTADORES!S361)</f>
        <v>0</v>
      </c>
      <c r="AT348" s="1397">
        <f ca="1">IF(B348&gt;=$J$5,0,(CONTADORES!U362-CONTADORES!U361)+(CONTADORES!AG362-CONTADORES!AG361))</f>
        <v>0</v>
      </c>
      <c r="AU348" s="1433">
        <f ca="1">IF(B348&gt;=$J$5,0,(CONTADORES!I362-CONTADORES!I361))</f>
        <v>0</v>
      </c>
      <c r="AV348" s="1399">
        <f ca="1">IF(B348&gt;=$J$5,0,(CONTADORES!AV362-CONTADORES!AV361))</f>
        <v>0</v>
      </c>
      <c r="AW348" s="1399">
        <f ca="1">IF(B348&gt;=$J$5,0,(CONTADORES!N362-CONTADORES!N361)+(CONTADORES!AN362-CONTADORES!AN361))</f>
        <v>0</v>
      </c>
      <c r="AX348" s="1399">
        <f ca="1">IF(B348&gt;=$J$5,0,(CONTADORES!P362-CONTADORES!P361)+(CONTADORES!AL362-CONTADORES!AL361))</f>
        <v>0</v>
      </c>
      <c r="AY348" s="1399">
        <f ca="1">IF(B348&gt;=$J$5,0,(CONTADORES!AJ362-CONTADORES!AJ361))</f>
        <v>0</v>
      </c>
      <c r="AZ348" s="1399">
        <f ca="1">IF(B348&gt;=$J$5,0,(CONTADORES!R362-CONTADORES!R361))</f>
        <v>0</v>
      </c>
      <c r="BA348" s="1409">
        <f t="shared" ca="1" si="178"/>
        <v>0</v>
      </c>
      <c r="BB348" s="1417">
        <f ca="1">IF(B348&gt;=$J$5,0,(((CONTADORES!G362-CONTADORES!G361)+(CONTADORES!AR362-CONTADORES!AR361))))-AV348-BC348-BT348-BW348-BZ348-CE348-AR348</f>
        <v>0</v>
      </c>
      <c r="BC348" s="1397">
        <f ca="1">IF(B348&gt;=$J$5,0,(CONTADORES!AY362-CONTADORES!AY361)+(CONTADORES!BA362-CONTADORES!BA361)+(CONTADORES!BF362-CONTADORES!BF361))</f>
        <v>0</v>
      </c>
      <c r="BD348" s="1397">
        <f t="shared" ca="1" si="179"/>
        <v>0</v>
      </c>
      <c r="BE348" s="1398">
        <f ca="1">IF($B348&gt;=$J$5,0,CONTADORES!$BG362)</f>
        <v>0</v>
      </c>
      <c r="BF348" s="1397">
        <f ca="1">IF($B348&gt;=$J$5,0,CONTADORES!$BH362)</f>
        <v>0</v>
      </c>
      <c r="BG348" s="1397">
        <f ca="1">IF($B348&gt;=$J$5,0,CONTADORES!$BJ362)</f>
        <v>0</v>
      </c>
      <c r="BH348" s="1397">
        <f ca="1">IF(B348&gt;=$J$5,0,((CONTADORES!BK362-CONTADORES!BK361)/1000))</f>
        <v>0</v>
      </c>
      <c r="BI348" s="1397">
        <f ca="1">IF(C348&gt;=$J$5,0,((CONTADORES!BL362-CONTADORES!BL361)/1000))</f>
        <v>0</v>
      </c>
      <c r="BJ348" s="1397">
        <f ca="1">IF(C348&gt;=$J$5,0,((CONTADORES!BM362-CONTADORES!BM361)/1000))</f>
        <v>0</v>
      </c>
      <c r="BK348" s="1397">
        <f ca="1">IF(D348&gt;=$J$5,0,((CONTADORES!BN362-CONTADORES!BN361)/1000))</f>
        <v>0</v>
      </c>
      <c r="BL348" s="1399">
        <f t="shared" ca="1" si="194"/>
        <v>0</v>
      </c>
      <c r="BM348" s="1399">
        <f t="shared" ca="1" si="180"/>
        <v>0</v>
      </c>
      <c r="BN348" s="1398">
        <f ca="1">IF(B348&gt;=$J$5,0,CONTADORES!$BO362)</f>
        <v>0</v>
      </c>
      <c r="BO348" s="1397">
        <f ca="1">IF(W348&gt;=$J$5,0,CONTADORES!$BP362)</f>
        <v>0</v>
      </c>
      <c r="BP348" s="1397">
        <f ca="1">IF(W348&gt;=$J$5,0,CONTADORES!$BQ362)</f>
        <v>0</v>
      </c>
      <c r="BQ348" s="1397">
        <f ca="1">IF(B348&gt;=$J$5,0,(CONTADORES!AS362-CONTADORES!AS361))</f>
        <v>0</v>
      </c>
      <c r="BR348" s="1397">
        <f ca="1">IF(B348&gt;=$J$5,0,(CONTADORES!AT362-CONTADORES!AT361))</f>
        <v>0</v>
      </c>
      <c r="BS348" s="1397">
        <f ca="1">IF(B348&gt;=$J$5,0,CONTADORES!BR362-CONTADORES!BR361)/1000</f>
        <v>0</v>
      </c>
      <c r="BT348" s="1397">
        <f ca="1">IF(B348&gt;=$J$5,0,CONTADORES!BS362-CONTADORES!BS361)</f>
        <v>0</v>
      </c>
      <c r="BU348" s="1397">
        <f ca="1">IF(B348&gt;=$J$5,0,CONTADORES!BT362-CONTADORES!BT361)</f>
        <v>0</v>
      </c>
      <c r="BV348" s="1397">
        <f ca="1">IF(B348&gt;=$J$5,0,CONTADORES!BU362-CONTADORES!BU361)/1000</f>
        <v>0</v>
      </c>
      <c r="BW348" s="1397">
        <f ca="1">IF(B348&gt;=$J$5,0,CONTADORES!BV362-CONTADORES!BV361)/1000</f>
        <v>0</v>
      </c>
      <c r="BX348" s="1397">
        <f ca="1">IF(B348&gt;=$J$5,0,CONTADORES!BW362-CONTADORES!BW361)</f>
        <v>0</v>
      </c>
      <c r="BY348" s="1397">
        <f ca="1">IF(B348&gt;=$J$5,0,CONTADORES!BX362-CONTADORES!BX361)/1000</f>
        <v>0</v>
      </c>
      <c r="BZ348" s="1397">
        <f ca="1">IF(B348&gt;=$J$5,0,CONTADORES!BY362-CONTADORES!BY361)/1000</f>
        <v>0</v>
      </c>
      <c r="CA348" s="1397">
        <f ca="1">IF(B348&gt;=$J$5,0,CONTADORES!BZ362-CONTADORES!BZ361)</f>
        <v>0</v>
      </c>
      <c r="CB348" s="1397">
        <f ca="1">IF(B348&gt;=$J$5,0,(CONTADORES!CC362-CONTADORES!CC361)+(CONTADORES!CE362-CONTADORES!CE361))/1000</f>
        <v>0</v>
      </c>
      <c r="CC348" s="1397">
        <f ca="1">IF(B348&gt;=$J$5,0,(CONTADORES!CD362-CONTADORES!CD361)+(CONTADORES!CF362-CONTADORES!CF361))/1000</f>
        <v>0</v>
      </c>
      <c r="CD348" s="1397">
        <f ca="1">IF(B348&gt;=$J$5,0,CONTADORES!CA362-CONTADORES!CA361)</f>
        <v>0</v>
      </c>
      <c r="CE348" s="1397">
        <f ca="1">IF(B348&gt;=$J$5,0,CONTADORES!CB362-CONTADORES!CB361)</f>
        <v>0</v>
      </c>
      <c r="CF348" s="1397">
        <f t="shared" ca="1" si="181"/>
        <v>0</v>
      </c>
      <c r="CG348" s="1397">
        <f t="shared" ca="1" si="182"/>
        <v>0</v>
      </c>
      <c r="CH348" s="1397">
        <f t="shared" ca="1" si="183"/>
        <v>0</v>
      </c>
      <c r="CI348" s="1397">
        <f t="shared" ca="1" si="184"/>
        <v>0</v>
      </c>
      <c r="CJ348" s="1397">
        <f t="shared" ca="1" si="185"/>
        <v>0</v>
      </c>
      <c r="CK348" s="1397">
        <f t="shared" ca="1" si="186"/>
        <v>0</v>
      </c>
      <c r="CL348" s="1397">
        <f t="shared" ca="1" si="187"/>
        <v>0</v>
      </c>
      <c r="CM348" s="1397">
        <f t="shared" ca="1" si="188"/>
        <v>0</v>
      </c>
      <c r="CN348" s="1397">
        <f ca="1">IF(B348&gt;=$J$5,0,CONTADORES!CB362-CONTADORES!CB361)</f>
        <v>0</v>
      </c>
      <c r="CO348" s="1397">
        <f t="shared" ca="1" si="189"/>
        <v>0</v>
      </c>
      <c r="CP348" s="1397">
        <f t="shared" ca="1" si="190"/>
        <v>0</v>
      </c>
      <c r="CQ348" s="1397">
        <f t="shared" ca="1" si="191"/>
        <v>0</v>
      </c>
      <c r="CR348" s="1397">
        <f t="shared" ca="1" si="192"/>
        <v>0</v>
      </c>
      <c r="CS348" s="1403">
        <f ca="1">IF($B348&gt;=$J$5,0,CONTADORES!$BI362)</f>
        <v>0</v>
      </c>
      <c r="CT348" s="1369">
        <f>CONTADORES!E362</f>
        <v>0</v>
      </c>
      <c r="CU348" s="1369">
        <f>CONTADORES!CG362</f>
        <v>0</v>
      </c>
    </row>
    <row r="349" spans="2:99">
      <c r="B349" s="390">
        <v>45265</v>
      </c>
      <c r="C349" s="198">
        <f t="shared" ca="1" si="166"/>
        <v>0</v>
      </c>
      <c r="D349" s="196">
        <f ca="1">'CALCULO DE GAS'!P178</f>
        <v>0</v>
      </c>
      <c r="E349" s="196">
        <f ca="1">IF(B349&gt;=$J$5,0,(CONTADORES!$AD363-CONTADORES!$AD362)-$H349)</f>
        <v>0</v>
      </c>
      <c r="F349" s="198">
        <f t="shared" ca="1" si="195"/>
        <v>0</v>
      </c>
      <c r="G349" s="196">
        <f ca="1">IF(B349&gt;=$J$5,0,CONTADORES!$AF363-CONTADORES!$AF362)</f>
        <v>0</v>
      </c>
      <c r="H349" s="196">
        <f ca="1">IF(G349&gt;0,CONTADORES!$AE363-CONTADORES!$AE362,0)</f>
        <v>0</v>
      </c>
      <c r="I349" s="199">
        <f ca="1">IF(B349&gt;=$J$5,0,CONTADORES!$AB363-CONTADORES!$AB362)</f>
        <v>0</v>
      </c>
      <c r="J349" s="198">
        <f t="shared" ca="1" si="167"/>
        <v>0</v>
      </c>
      <c r="K349" s="196">
        <f ca="1">'CALCULO DE GAS'!Q178</f>
        <v>0</v>
      </c>
      <c r="L349" s="1413">
        <f ca="1">IF(B349&gt;=$J$5,0,(CONTADORES!$Y363-CONTADORES!$Y362)-$O349)</f>
        <v>0</v>
      </c>
      <c r="M349" s="1396">
        <f t="shared" ca="1" si="196"/>
        <v>0</v>
      </c>
      <c r="N349" s="1396">
        <f ca="1">IF(B349&gt;=$J$5,0,CONTADORES!$AA363-CONTADORES!$AA362)</f>
        <v>0</v>
      </c>
      <c r="O349" s="1396">
        <f ca="1">IF(N349&gt;0,CONTADORES!$Z363-CONTADORES!$Z362,0)</f>
        <v>0</v>
      </c>
      <c r="P349" s="202">
        <f ca="1">IF(B349&gt;=$J$5,0,CONTADORES!$W363-CONTADORES!$W362)</f>
        <v>0</v>
      </c>
      <c r="Q349" s="202">
        <f ca="1">IF(B349&gt;=$J$5,0,CONTADORES!$B363-CONTADORES!$B362)</f>
        <v>0</v>
      </c>
      <c r="R349" s="196">
        <f t="shared" ca="1" si="169"/>
        <v>0</v>
      </c>
      <c r="S349" s="11">
        <f ca="1">IF(B349&gt;=$J$5,0,CONTADORES!$D363-CONTADORES!$D362)</f>
        <v>0</v>
      </c>
      <c r="T349" s="198">
        <f ca="1">IF(B349&gt;=$J$5,0,CONTADORES!$BB363-CONTADORES!$BB362)</f>
        <v>0</v>
      </c>
      <c r="U349" s="196">
        <f t="shared" ca="1" si="162"/>
        <v>0</v>
      </c>
      <c r="V349" s="11">
        <f ca="1">IF(B349&gt;=$J$5,0,CONTADORES!$BD363-CONTADORES!$BD362)</f>
        <v>0</v>
      </c>
      <c r="W349" s="1397">
        <f t="shared" ca="1" si="170"/>
        <v>0</v>
      </c>
      <c r="X349" s="1397">
        <f t="shared" ca="1" si="171"/>
        <v>0</v>
      </c>
      <c r="Y349" s="1398">
        <f t="shared" ca="1" si="172"/>
        <v>0</v>
      </c>
      <c r="Z349" s="1398">
        <f t="shared" ca="1" si="173"/>
        <v>0</v>
      </c>
      <c r="AA349" s="1398">
        <f t="shared" ca="1" si="174"/>
        <v>0</v>
      </c>
      <c r="AB349" s="1398">
        <f t="shared" ca="1" si="175"/>
        <v>0</v>
      </c>
      <c r="AC349" s="1397">
        <f t="shared" ca="1" si="176"/>
        <v>0</v>
      </c>
      <c r="AD349" s="1397">
        <f ca="1">IF(B349&gt;=$J$5,0,CONTADORES!H363-CONTADORES!H362)</f>
        <v>0</v>
      </c>
      <c r="AE349" s="1397">
        <f ca="1">IF(B349&gt;=$J$5,0,CONTADORES!J363-CONTADORES!J362)</f>
        <v>0</v>
      </c>
      <c r="AF349" s="1397">
        <f ca="1">IF(B349&gt;=$J$5,0,CONTADORES!AU363-CONTADORES!AU362)</f>
        <v>0</v>
      </c>
      <c r="AG349" s="1397">
        <f ca="1">IF(B349&gt;=$J$5,0,CONTADORES!AW363-CONTADORES!AW362)</f>
        <v>0</v>
      </c>
      <c r="AH349" s="1398">
        <f ca="1">IF(B349&gt;=$J$5,0,(CONTADORES!AM363-CONTADORES!AM362)+(CONTADORES!M363-CONTADORES!M362))</f>
        <v>0</v>
      </c>
      <c r="AI349" s="1397">
        <f ca="1">IF(B349&gt;=$J$5,0,(CONTADORES!AK363-CONTADORES!AK362)+(CONTADORES!O363-CONTADORES!O362))</f>
        <v>0</v>
      </c>
      <c r="AJ349" s="1397">
        <f ca="1">IF(B349&gt;=$J$5,0,(CONTADORES!AI363-CONTADORES!AI362))</f>
        <v>0</v>
      </c>
      <c r="AK349" s="1397">
        <f ca="1">IF(B349&gt;=$J$5,0,(CONTADORES!Q363-CONTADORES!Q362))</f>
        <v>0</v>
      </c>
      <c r="AL349" s="1461">
        <f t="shared" ca="1" si="177"/>
        <v>0</v>
      </c>
      <c r="AM349" s="1397">
        <f ca="1">IF(B349&gt;=$J$5,0,(((CONTADORES!F363-CONTADORES!F362)+(CONTADORES!AQ363-CONTADORES!AQ362))))-BS349-AF349-AN349-BV349-BY349-CD349-CB349+T349</f>
        <v>0</v>
      </c>
      <c r="AN349" s="1402">
        <f ca="1">IF(B349&gt;=$J$5,0,(CONTADORES!AX363-CONTADORES!AX362)+(CONTADORES!AZ363-CONTADORES!AZ362)+(CONTADORES!BE363-CONTADORES!BE362))-CB349</f>
        <v>0</v>
      </c>
      <c r="AO349" s="1399">
        <f ca="1">IF(B349&gt;=$J$5,0,(CONTADORES!AC363-CONTADORES!AC362))</f>
        <v>0</v>
      </c>
      <c r="AP349" s="1433">
        <f ca="1">IF(B349&gt;=$J$5,0,(CONTADORES!X363-CONTADORES!X362))</f>
        <v>0</v>
      </c>
      <c r="AQ349" s="1404">
        <f ca="1">IF(B349&gt;=$J$5,0,(CONTADORES!C363-CONTADORES!C362))</f>
        <v>0</v>
      </c>
      <c r="AR349" s="1399">
        <f ca="1">IF(B349&gt;=$J$5,0,(CONTADORES!BC363-CONTADORES!BC362))</f>
        <v>0</v>
      </c>
      <c r="AS349" s="1397">
        <f ca="1">IF(B349&gt;=$J$5,0,CONTADORES!S363-CONTADORES!S362)</f>
        <v>0</v>
      </c>
      <c r="AT349" s="1397">
        <f ca="1">IF(B349&gt;=$J$5,0,(CONTADORES!U363-CONTADORES!U362)+(CONTADORES!AG363-CONTADORES!AG362))</f>
        <v>0</v>
      </c>
      <c r="AU349" s="1433">
        <f ca="1">IF(B349&gt;=$J$5,0,(CONTADORES!I363-CONTADORES!I362))</f>
        <v>0</v>
      </c>
      <c r="AV349" s="1399">
        <f ca="1">IF(B349&gt;=$J$5,0,(CONTADORES!AV363-CONTADORES!AV362))</f>
        <v>0</v>
      </c>
      <c r="AW349" s="1399">
        <f ca="1">IF(B349&gt;=$J$5,0,(CONTADORES!N363-CONTADORES!N362)+(CONTADORES!AN363-CONTADORES!AN362))</f>
        <v>0</v>
      </c>
      <c r="AX349" s="1399">
        <f ca="1">IF(B349&gt;=$J$5,0,(CONTADORES!P363-CONTADORES!P362)+(CONTADORES!AL363-CONTADORES!AL362))</f>
        <v>0</v>
      </c>
      <c r="AY349" s="1399">
        <f ca="1">IF(B349&gt;=$J$5,0,(CONTADORES!AJ363-CONTADORES!AJ362))</f>
        <v>0</v>
      </c>
      <c r="AZ349" s="1399">
        <f ca="1">IF(B349&gt;=$J$5,0,(CONTADORES!R363-CONTADORES!R362))</f>
        <v>0</v>
      </c>
      <c r="BA349" s="1409">
        <f t="shared" ca="1" si="178"/>
        <v>0</v>
      </c>
      <c r="BB349" s="1417">
        <f ca="1">IF(B349&gt;=$J$5,0,(((CONTADORES!G363-CONTADORES!G362)+(CONTADORES!AR363-CONTADORES!AR362))))-AV349-BC349-BT349-BW349-BZ349-CE349-AR349</f>
        <v>0</v>
      </c>
      <c r="BC349" s="1397">
        <f ca="1">IF(B349&gt;=$J$5,0,(CONTADORES!AY363-CONTADORES!AY362)+(CONTADORES!BA363-CONTADORES!BA362)+(CONTADORES!BF363-CONTADORES!BF362))</f>
        <v>0</v>
      </c>
      <c r="BD349" s="1397">
        <f t="shared" ca="1" si="179"/>
        <v>0</v>
      </c>
      <c r="BE349" s="1398">
        <f ca="1">IF($B349&gt;=$J$5,0,CONTADORES!$BG363)</f>
        <v>0</v>
      </c>
      <c r="BF349" s="1397">
        <f ca="1">IF($B349&gt;=$J$5,0,CONTADORES!$BH363)</f>
        <v>0</v>
      </c>
      <c r="BG349" s="1397">
        <f ca="1">IF($B349&gt;=$J$5,0,CONTADORES!$BJ363)</f>
        <v>0</v>
      </c>
      <c r="BH349" s="1397">
        <f ca="1">IF(B349&gt;=$J$5,0,((CONTADORES!BK363-CONTADORES!BK362)/1000))</f>
        <v>0</v>
      </c>
      <c r="BI349" s="1397">
        <f ca="1">IF(C349&gt;=$J$5,0,((CONTADORES!BL363-CONTADORES!BL362)/1000))</f>
        <v>0</v>
      </c>
      <c r="BJ349" s="1397">
        <f ca="1">IF(C349&gt;=$J$5,0,((CONTADORES!BM363-CONTADORES!BM362)/1000))</f>
        <v>0</v>
      </c>
      <c r="BK349" s="1397">
        <f ca="1">IF(D349&gt;=$J$5,0,((CONTADORES!BN363-CONTADORES!BN362)/1000))</f>
        <v>0</v>
      </c>
      <c r="BL349" s="1399">
        <f t="shared" ca="1" si="194"/>
        <v>0</v>
      </c>
      <c r="BM349" s="1399">
        <f t="shared" ca="1" si="180"/>
        <v>0</v>
      </c>
      <c r="BN349" s="1398">
        <f ca="1">IF(B349&gt;=$J$5,0,CONTADORES!$BO363)</f>
        <v>0</v>
      </c>
      <c r="BO349" s="1397">
        <f ca="1">IF(W349&gt;=$J$5,0,CONTADORES!$BP363)</f>
        <v>0</v>
      </c>
      <c r="BP349" s="1397">
        <f ca="1">IF(W349&gt;=$J$5,0,CONTADORES!$BQ363)</f>
        <v>0</v>
      </c>
      <c r="BQ349" s="1397">
        <f ca="1">IF(B349&gt;=$J$5,0,(CONTADORES!AS363-CONTADORES!AS362))</f>
        <v>0</v>
      </c>
      <c r="BR349" s="1397">
        <f ca="1">IF(B349&gt;=$J$5,0,(CONTADORES!AT363-CONTADORES!AT362))</f>
        <v>0</v>
      </c>
      <c r="BS349" s="1397">
        <f ca="1">IF(B349&gt;=$J$5,0,CONTADORES!BR363-CONTADORES!BR362)/1000</f>
        <v>0</v>
      </c>
      <c r="BT349" s="1397">
        <f ca="1">IF(B349&gt;=$J$5,0,CONTADORES!BS363-CONTADORES!BS362)</f>
        <v>0</v>
      </c>
      <c r="BU349" s="1397">
        <f ca="1">IF(B349&gt;=$J$5,0,CONTADORES!BT363-CONTADORES!BT362)</f>
        <v>0</v>
      </c>
      <c r="BV349" s="1397">
        <f ca="1">IF(B349&gt;=$J$5,0,CONTADORES!BU363-CONTADORES!BU362)/1000</f>
        <v>0</v>
      </c>
      <c r="BW349" s="1397">
        <f ca="1">IF(B349&gt;=$J$5,0,CONTADORES!BV363-CONTADORES!BV362)/1000</f>
        <v>0</v>
      </c>
      <c r="BX349" s="1397">
        <f ca="1">IF(B349&gt;=$J$5,0,CONTADORES!BW363-CONTADORES!BW362)</f>
        <v>0</v>
      </c>
      <c r="BY349" s="1397">
        <f ca="1">IF(B349&gt;=$J$5,0,CONTADORES!BX363-CONTADORES!BX362)/1000</f>
        <v>0</v>
      </c>
      <c r="BZ349" s="1397">
        <f ca="1">IF(B349&gt;=$J$5,0,CONTADORES!BY363-CONTADORES!BY362)/1000</f>
        <v>0</v>
      </c>
      <c r="CA349" s="1397">
        <f ca="1">IF(B349&gt;=$J$5,0,CONTADORES!BZ363-CONTADORES!BZ362)</f>
        <v>0</v>
      </c>
      <c r="CB349" s="1397">
        <f ca="1">IF(B349&gt;=$J$5,0,(CONTADORES!CC363-CONTADORES!CC362)+(CONTADORES!CE363-CONTADORES!CE362))/1000</f>
        <v>0</v>
      </c>
      <c r="CC349" s="1397">
        <f ca="1">IF(B349&gt;=$J$5,0,(CONTADORES!CD363-CONTADORES!CD362)+(CONTADORES!CF363-CONTADORES!CF362))/1000</f>
        <v>0</v>
      </c>
      <c r="CD349" s="1397">
        <f ca="1">IF(B349&gt;=$J$5,0,CONTADORES!CA363-CONTADORES!CA362)</f>
        <v>0</v>
      </c>
      <c r="CE349" s="1397">
        <f ca="1">IF(B349&gt;=$J$5,0,CONTADORES!CB363-CONTADORES!CB362)</f>
        <v>0</v>
      </c>
      <c r="CF349" s="1397">
        <f t="shared" ca="1" si="181"/>
        <v>0</v>
      </c>
      <c r="CG349" s="1397">
        <f t="shared" ca="1" si="182"/>
        <v>0</v>
      </c>
      <c r="CH349" s="1397">
        <f ca="1">(AM349*0.5)</f>
        <v>0</v>
      </c>
      <c r="CI349" s="1397">
        <f t="shared" ca="1" si="184"/>
        <v>0</v>
      </c>
      <c r="CJ349" s="1397">
        <f t="shared" ca="1" si="185"/>
        <v>0</v>
      </c>
      <c r="CK349" s="1397">
        <f t="shared" ca="1" si="186"/>
        <v>0</v>
      </c>
      <c r="CL349" s="1397">
        <f t="shared" ca="1" si="187"/>
        <v>0</v>
      </c>
      <c r="CM349" s="1397">
        <f t="shared" ca="1" si="188"/>
        <v>0</v>
      </c>
      <c r="CN349" s="1397">
        <f ca="1">IF(B349&gt;=$J$5,0,CONTADORES!CB363-CONTADORES!CB362)</f>
        <v>0</v>
      </c>
      <c r="CO349" s="1397">
        <f t="shared" ca="1" si="189"/>
        <v>0</v>
      </c>
      <c r="CP349" s="1397">
        <f t="shared" ca="1" si="190"/>
        <v>0</v>
      </c>
      <c r="CQ349" s="1397">
        <f t="shared" ca="1" si="191"/>
        <v>0</v>
      </c>
      <c r="CR349" s="1397">
        <f t="shared" ca="1" si="192"/>
        <v>0</v>
      </c>
      <c r="CS349" s="1403">
        <f ca="1">IF($B349&gt;=$J$5,0,CONTADORES!$BI363)</f>
        <v>0</v>
      </c>
      <c r="CT349" s="1369">
        <f>CONTADORES!E363</f>
        <v>0</v>
      </c>
      <c r="CU349" s="1369">
        <f>CONTADORES!CG363</f>
        <v>0</v>
      </c>
    </row>
    <row r="350" spans="2:99">
      <c r="B350" s="390">
        <v>45266</v>
      </c>
      <c r="C350" s="198">
        <f t="shared" ca="1" si="166"/>
        <v>0</v>
      </c>
      <c r="D350" s="196">
        <f ca="1">'CALCULO DE GAS'!P179</f>
        <v>0</v>
      </c>
      <c r="E350" s="196">
        <f ca="1">IF(B350&gt;=$J$5,0,(CONTADORES!$AD364-CONTADORES!$AD363)-$H350)</f>
        <v>0</v>
      </c>
      <c r="F350" s="198">
        <f t="shared" ca="1" si="195"/>
        <v>0</v>
      </c>
      <c r="G350" s="196">
        <f ca="1">IF(B350&gt;=$J$5,0,CONTADORES!$AF364-CONTADORES!$AF363)</f>
        <v>0</v>
      </c>
      <c r="H350" s="196">
        <f ca="1">IF(G350&gt;0,CONTADORES!$AE364-CONTADORES!$AE363,0)</f>
        <v>0</v>
      </c>
      <c r="I350" s="199">
        <f ca="1">IF(B350&gt;=$J$5,0,CONTADORES!$AB364-CONTADORES!$AB363)</f>
        <v>0</v>
      </c>
      <c r="J350" s="198">
        <f t="shared" ca="1" si="167"/>
        <v>0</v>
      </c>
      <c r="K350" s="196">
        <f ca="1">'CALCULO DE GAS'!Q179</f>
        <v>0</v>
      </c>
      <c r="L350" s="1413">
        <f ca="1">IF(B350&gt;=$J$5,0,(CONTADORES!$Y364-CONTADORES!$Y363)-$O350)</f>
        <v>0</v>
      </c>
      <c r="M350" s="1396">
        <f t="shared" ca="1" si="196"/>
        <v>0</v>
      </c>
      <c r="N350" s="1396">
        <f ca="1">IF(B350&gt;=$J$5,0,CONTADORES!$AA364-CONTADORES!$AA363)</f>
        <v>0</v>
      </c>
      <c r="O350" s="1396">
        <f ca="1">IF(N350&gt;0,CONTADORES!$Z364-CONTADORES!$Z363,0)</f>
        <v>0</v>
      </c>
      <c r="P350" s="202">
        <f ca="1">IF(B350&gt;=$J$5,0,CONTADORES!$W364-CONTADORES!$W363)</f>
        <v>0</v>
      </c>
      <c r="Q350" s="202">
        <f ca="1">IF(B350&gt;=$J$5,0,CONTADORES!$B364-CONTADORES!$B363)</f>
        <v>0</v>
      </c>
      <c r="R350" s="196">
        <f t="shared" ca="1" si="169"/>
        <v>0</v>
      </c>
      <c r="S350" s="11">
        <f ca="1">IF(B350&gt;=$J$5,0,CONTADORES!$D364-CONTADORES!$D363)</f>
        <v>0</v>
      </c>
      <c r="T350" s="198">
        <f ca="1">IF(B350&gt;=$J$5,0,CONTADORES!$BB364-CONTADORES!$BB363)</f>
        <v>0</v>
      </c>
      <c r="U350" s="196">
        <f t="shared" ca="1" si="162"/>
        <v>0</v>
      </c>
      <c r="V350" s="11">
        <f ca="1">IF(B350&gt;=$J$5,0,CONTADORES!$BD364-CONTADORES!$BD363)</f>
        <v>0</v>
      </c>
      <c r="W350" s="1397">
        <f t="shared" ca="1" si="170"/>
        <v>0</v>
      </c>
      <c r="X350" s="1397">
        <f t="shared" ca="1" si="171"/>
        <v>0</v>
      </c>
      <c r="Y350" s="1398">
        <f t="shared" ca="1" si="172"/>
        <v>0</v>
      </c>
      <c r="Z350" s="1398">
        <f t="shared" ca="1" si="173"/>
        <v>0</v>
      </c>
      <c r="AA350" s="1398">
        <f t="shared" ca="1" si="174"/>
        <v>0</v>
      </c>
      <c r="AB350" s="1398">
        <f t="shared" ca="1" si="175"/>
        <v>0</v>
      </c>
      <c r="AC350" s="1397">
        <f t="shared" ca="1" si="176"/>
        <v>0</v>
      </c>
      <c r="AD350" s="1397">
        <f ca="1">IF(B350&gt;=$J$5,0,CONTADORES!H364-CONTADORES!H363)</f>
        <v>0</v>
      </c>
      <c r="AE350" s="1397">
        <f ca="1">IF(B350&gt;=$J$5,0,CONTADORES!J364-CONTADORES!J363)</f>
        <v>0</v>
      </c>
      <c r="AF350" s="1397">
        <f ca="1">IF(B350&gt;=$J$5,0,CONTADORES!AU364-CONTADORES!AU363)</f>
        <v>0</v>
      </c>
      <c r="AG350" s="1397">
        <f ca="1">IF(B350&gt;=$J$5,0,CONTADORES!AW364-CONTADORES!AW363)</f>
        <v>0</v>
      </c>
      <c r="AH350" s="1398">
        <f ca="1">IF(B350&gt;=$J$5,0,(CONTADORES!AM364-CONTADORES!AM363)+(CONTADORES!M364-CONTADORES!M363))</f>
        <v>0</v>
      </c>
      <c r="AI350" s="1397">
        <f ca="1">IF(B350&gt;=$J$5,0,(CONTADORES!AK364-CONTADORES!AK363)+(CONTADORES!O364-CONTADORES!O363))</f>
        <v>0</v>
      </c>
      <c r="AJ350" s="1397">
        <f ca="1">IF(B350&gt;=$J$5,0,(CONTADORES!AI364-CONTADORES!AI363))</f>
        <v>0</v>
      </c>
      <c r="AK350" s="1397">
        <f ca="1">IF(B350&gt;=$J$5,0,(CONTADORES!Q364-CONTADORES!Q363))</f>
        <v>0</v>
      </c>
      <c r="AL350" s="1461">
        <f t="shared" ca="1" si="177"/>
        <v>0</v>
      </c>
      <c r="AM350" s="1397">
        <f ca="1">IF(B350&gt;=$J$5,0,(((CONTADORES!F364-CONTADORES!F363)+(CONTADORES!AQ364-CONTADORES!AQ363))))-BS350-AF350-AN350-BV350-BY350-CD350-CB350+T350</f>
        <v>0</v>
      </c>
      <c r="AN350" s="1402">
        <f ca="1">IF(B350&gt;=$J$5,0,(CONTADORES!AX364-CONTADORES!AX363)+(CONTADORES!AZ364-CONTADORES!AZ363)+(CONTADORES!BE364-CONTADORES!BE363))-CB350</f>
        <v>0</v>
      </c>
      <c r="AO350" s="1399">
        <f ca="1">IF(B350&gt;=$J$5,0,(CONTADORES!AC364-CONTADORES!AC363))</f>
        <v>0</v>
      </c>
      <c r="AP350" s="1433">
        <f ca="1">IF(B350&gt;=$J$5,0,(CONTADORES!X364-CONTADORES!X363))</f>
        <v>0</v>
      </c>
      <c r="AQ350" s="1404">
        <f ca="1">IF(B350&gt;=$J$5,0,(CONTADORES!C364-CONTADORES!C363))</f>
        <v>0</v>
      </c>
      <c r="AR350" s="1399">
        <f ca="1">IF(B350&gt;=$J$5,0,(CONTADORES!BC364-CONTADORES!BC363))</f>
        <v>0</v>
      </c>
      <c r="AS350" s="1397">
        <f ca="1">IF(B350&gt;=$J$5,0,CONTADORES!S364-CONTADORES!S363)</f>
        <v>0</v>
      </c>
      <c r="AT350" s="1397">
        <f ca="1">IF(B350&gt;=$J$5,0,(CONTADORES!U364-CONTADORES!U363)+(CONTADORES!AG364-CONTADORES!AG363))</f>
        <v>0</v>
      </c>
      <c r="AU350" s="1433">
        <f ca="1">IF(B350&gt;=$J$5,0,(CONTADORES!I364-CONTADORES!I363))</f>
        <v>0</v>
      </c>
      <c r="AV350" s="1399">
        <f ca="1">IF(B350&gt;=$J$5,0,(CONTADORES!AV364-CONTADORES!AV363))</f>
        <v>0</v>
      </c>
      <c r="AW350" s="1399">
        <f ca="1">IF(B350&gt;=$J$5,0,(CONTADORES!N364-CONTADORES!N363)+(CONTADORES!AN364-CONTADORES!AN363))</f>
        <v>0</v>
      </c>
      <c r="AX350" s="1399">
        <f ca="1">IF(B350&gt;=$J$5,0,(CONTADORES!P364-CONTADORES!P363)+(CONTADORES!AL364-CONTADORES!AL363))</f>
        <v>0</v>
      </c>
      <c r="AY350" s="1399">
        <f ca="1">IF(B350&gt;=$J$5,0,(CONTADORES!AJ364-CONTADORES!AJ363))</f>
        <v>0</v>
      </c>
      <c r="AZ350" s="1399">
        <f ca="1">IF(B350&gt;=$J$5,0,(CONTADORES!R364-CONTADORES!R363))</f>
        <v>0</v>
      </c>
      <c r="BA350" s="1409">
        <f t="shared" ca="1" si="178"/>
        <v>0</v>
      </c>
      <c r="BB350" s="1417">
        <f ca="1">IF(B350&gt;=$J$5,0,(((CONTADORES!G364-CONTADORES!G363)+(CONTADORES!AR364-CONTADORES!AR363))))-AV350-BC350-BT350-BW350-BZ350-CE350-AR350</f>
        <v>0</v>
      </c>
      <c r="BC350" s="1397">
        <f ca="1">IF(B350&gt;=$J$5,0,(CONTADORES!AY364-CONTADORES!AY363)+(CONTADORES!BA364-CONTADORES!BA363)+(CONTADORES!BF364-CONTADORES!BF363))</f>
        <v>0</v>
      </c>
      <c r="BD350" s="1397">
        <f t="shared" ca="1" si="179"/>
        <v>0</v>
      </c>
      <c r="BE350" s="1398">
        <f ca="1">IF($B350&gt;=$J$5,0,CONTADORES!$BG364)</f>
        <v>0</v>
      </c>
      <c r="BF350" s="1397">
        <f ca="1">IF($B350&gt;=$J$5,0,CONTADORES!$BH364)</f>
        <v>0</v>
      </c>
      <c r="BG350" s="1397">
        <f ca="1">IF($B350&gt;=$J$5,0,CONTADORES!$BJ364)</f>
        <v>0</v>
      </c>
      <c r="BH350" s="1397">
        <f ca="1">IF(B350&gt;=$J$5,0,((CONTADORES!BK364-CONTADORES!BK363)/1000))</f>
        <v>0</v>
      </c>
      <c r="BI350" s="1397">
        <f ca="1">IF(C350&gt;=$J$5,0,((CONTADORES!BL364-CONTADORES!BL363)/1000))</f>
        <v>0</v>
      </c>
      <c r="BJ350" s="1397">
        <f ca="1">IF(C350&gt;=$J$5,0,((CONTADORES!BM364-CONTADORES!BM363)/1000))</f>
        <v>0</v>
      </c>
      <c r="BK350" s="1397">
        <f ca="1">IF(D350&gt;=$J$5,0,((CONTADORES!BN364-CONTADORES!BN363)/1000))</f>
        <v>0</v>
      </c>
      <c r="BL350" s="1399">
        <f t="shared" ca="1" si="194"/>
        <v>0</v>
      </c>
      <c r="BM350" s="1399">
        <f t="shared" ca="1" si="180"/>
        <v>0</v>
      </c>
      <c r="BN350" s="1398">
        <f ca="1">IF(B350&gt;=$J$5,0,CONTADORES!$BO364)</f>
        <v>0</v>
      </c>
      <c r="BO350" s="1397">
        <f ca="1">IF(W350&gt;=$J$5,0,CONTADORES!$BP364)</f>
        <v>0</v>
      </c>
      <c r="BP350" s="1397">
        <f ca="1">IF(W350&gt;=$J$5,0,CONTADORES!$BQ364)</f>
        <v>0</v>
      </c>
      <c r="BQ350" s="1397">
        <f ca="1">IF(B350&gt;=$J$5,0,(CONTADORES!AS364-CONTADORES!AS363))</f>
        <v>0</v>
      </c>
      <c r="BR350" s="1397">
        <f ca="1">IF(B350&gt;=$J$5,0,(CONTADORES!AT364-CONTADORES!AT363))</f>
        <v>0</v>
      </c>
      <c r="BS350" s="1397">
        <f ca="1">IF(B350&gt;=$J$5,0,CONTADORES!BR364-CONTADORES!BR363)/1000</f>
        <v>0</v>
      </c>
      <c r="BT350" s="1397">
        <f ca="1">IF(B350&gt;=$J$5,0,CONTADORES!BS364-CONTADORES!BS363)</f>
        <v>0</v>
      </c>
      <c r="BU350" s="1397">
        <f ca="1">IF(B350&gt;=$J$5,0,CONTADORES!BT364-CONTADORES!BT363)</f>
        <v>0</v>
      </c>
      <c r="BV350" s="1397">
        <f ca="1">IF(B350&gt;=$J$5,0,CONTADORES!BU364-CONTADORES!BU363)/1000</f>
        <v>0</v>
      </c>
      <c r="BW350" s="1397">
        <f ca="1">IF(B350&gt;=$J$5,0,CONTADORES!BV364-CONTADORES!BV363)/1000</f>
        <v>0</v>
      </c>
      <c r="BX350" s="1397">
        <f ca="1">IF(B350&gt;=$J$5,0,CONTADORES!BW364-CONTADORES!BW363)</f>
        <v>0</v>
      </c>
      <c r="BY350" s="1397">
        <f ca="1">IF(B350&gt;=$J$5,0,CONTADORES!BX364-CONTADORES!BX363)/1000</f>
        <v>0</v>
      </c>
      <c r="BZ350" s="1397">
        <f ca="1">IF(B350&gt;=$J$5,0,CONTADORES!BY364-CONTADORES!BY363)/1000</f>
        <v>0</v>
      </c>
      <c r="CA350" s="1397">
        <f ca="1">IF(B350&gt;=$J$5,0,CONTADORES!BZ364-CONTADORES!BZ363)</f>
        <v>0</v>
      </c>
      <c r="CB350" s="1397">
        <f ca="1">IF(B350&gt;=$J$5,0,(CONTADORES!CC364-CONTADORES!CC363)+(CONTADORES!CE364-CONTADORES!CE363))/1000</f>
        <v>0</v>
      </c>
      <c r="CC350" s="1397">
        <f ca="1">IF(B350&gt;=$J$5,0,(CONTADORES!CD364-CONTADORES!CD363)+(CONTADORES!CF364-CONTADORES!CF363))/1000</f>
        <v>0</v>
      </c>
      <c r="CD350" s="1397">
        <f ca="1">IF(B350&gt;=$J$5,0,CONTADORES!CA364-CONTADORES!CA363)</f>
        <v>0</v>
      </c>
      <c r="CE350" s="1397">
        <f ca="1">IF(B350&gt;=$J$5,0,CONTADORES!CB364-CONTADORES!CB363)</f>
        <v>0</v>
      </c>
      <c r="CF350" s="1397">
        <f t="shared" ca="1" si="181"/>
        <v>0</v>
      </c>
      <c r="CG350" s="1397">
        <f t="shared" ca="1" si="182"/>
        <v>0</v>
      </c>
      <c r="CH350" s="1397">
        <f t="shared" ca="1" si="183"/>
        <v>0</v>
      </c>
      <c r="CI350" s="1397">
        <f t="shared" ca="1" si="184"/>
        <v>0</v>
      </c>
      <c r="CJ350" s="1397">
        <f t="shared" ca="1" si="185"/>
        <v>0</v>
      </c>
      <c r="CK350" s="1397">
        <f t="shared" ca="1" si="186"/>
        <v>0</v>
      </c>
      <c r="CL350" s="1397">
        <f t="shared" ca="1" si="187"/>
        <v>0</v>
      </c>
      <c r="CM350" s="1397">
        <f t="shared" ca="1" si="188"/>
        <v>0</v>
      </c>
      <c r="CN350" s="1397">
        <f ca="1">IF(B350&gt;=$J$5,0,CONTADORES!CB364-CONTADORES!CB363)</f>
        <v>0</v>
      </c>
      <c r="CO350" s="1397">
        <f t="shared" ca="1" si="189"/>
        <v>0</v>
      </c>
      <c r="CP350" s="1397">
        <f t="shared" ca="1" si="190"/>
        <v>0</v>
      </c>
      <c r="CQ350" s="1397">
        <f t="shared" ca="1" si="191"/>
        <v>0</v>
      </c>
      <c r="CR350" s="1397">
        <f t="shared" ca="1" si="192"/>
        <v>0</v>
      </c>
      <c r="CS350" s="1403">
        <f ca="1">IF($B350&gt;=$J$5,0,CONTADORES!$BI364)</f>
        <v>0</v>
      </c>
      <c r="CT350" s="1369">
        <f>CONTADORES!E364</f>
        <v>0</v>
      </c>
      <c r="CU350" s="1369">
        <f>CONTADORES!CG364</f>
        <v>0</v>
      </c>
    </row>
    <row r="351" spans="2:99">
      <c r="B351" s="390">
        <v>45267</v>
      </c>
      <c r="C351" s="198">
        <f t="shared" ca="1" si="166"/>
        <v>0</v>
      </c>
      <c r="D351" s="196">
        <f ca="1">'CALCULO DE GAS'!P180</f>
        <v>0</v>
      </c>
      <c r="E351" s="196">
        <f ca="1">IF(B351&gt;=$J$5,0,(CONTADORES!$AD365-CONTADORES!$AD364)-$H351)</f>
        <v>0</v>
      </c>
      <c r="F351" s="198">
        <f t="shared" ca="1" si="195"/>
        <v>0</v>
      </c>
      <c r="G351" s="196">
        <f ca="1">IF(B351&gt;=$J$5,0,CONTADORES!$AF365-CONTADORES!$AF364)</f>
        <v>0</v>
      </c>
      <c r="H351" s="196">
        <f ca="1">IF(G351&gt;0,CONTADORES!$AE365-CONTADORES!$AE364,0)</f>
        <v>0</v>
      </c>
      <c r="I351" s="199">
        <f ca="1">IF(B351&gt;=$J$5,0,CONTADORES!$AB365-CONTADORES!$AB364)</f>
        <v>0</v>
      </c>
      <c r="J351" s="198">
        <f t="shared" ca="1" si="167"/>
        <v>0</v>
      </c>
      <c r="K351" s="196">
        <f ca="1">'CALCULO DE GAS'!Q180</f>
        <v>0</v>
      </c>
      <c r="L351" s="1413">
        <f ca="1">IF(B351&gt;=$J$5,0,(CONTADORES!$Y365-CONTADORES!$Y364)-$O351)</f>
        <v>0</v>
      </c>
      <c r="M351" s="1396">
        <f t="shared" ca="1" si="196"/>
        <v>0</v>
      </c>
      <c r="N351" s="1396">
        <f ca="1">IF(B351&gt;=$J$5,0,CONTADORES!$AA365-CONTADORES!$AA364)</f>
        <v>0</v>
      </c>
      <c r="O351" s="1396">
        <f ca="1">IF(N351&gt;0,CONTADORES!$Z365-CONTADORES!$Z364,0)</f>
        <v>0</v>
      </c>
      <c r="P351" s="202">
        <f ca="1">IF(B351&gt;=$J$5,0,CONTADORES!$W365-CONTADORES!$W364)</f>
        <v>0</v>
      </c>
      <c r="Q351" s="202">
        <f ca="1">IF(B351&gt;=$J$5,0,CONTADORES!$B365-CONTADORES!$B364)</f>
        <v>0</v>
      </c>
      <c r="R351" s="196">
        <f t="shared" ca="1" si="169"/>
        <v>0</v>
      </c>
      <c r="S351" s="11">
        <f ca="1">IF(B351&gt;=$J$5,0,CONTADORES!$D365-CONTADORES!$D364)</f>
        <v>0</v>
      </c>
      <c r="T351" s="198">
        <f ca="1">IF(B351&gt;=$J$5,0,CONTADORES!$BB365-CONTADORES!$BB364)</f>
        <v>0</v>
      </c>
      <c r="U351" s="196">
        <f t="shared" ca="1" si="162"/>
        <v>0</v>
      </c>
      <c r="V351" s="11">
        <f ca="1">IF(B351&gt;=$J$5,0,CONTADORES!$BD365-CONTADORES!$BD364)</f>
        <v>0</v>
      </c>
      <c r="W351" s="1397">
        <f t="shared" ca="1" si="170"/>
        <v>0</v>
      </c>
      <c r="X351" s="1397">
        <f t="shared" ca="1" si="171"/>
        <v>0</v>
      </c>
      <c r="Y351" s="1398">
        <f t="shared" ca="1" si="172"/>
        <v>0</v>
      </c>
      <c r="Z351" s="1398">
        <f t="shared" ca="1" si="173"/>
        <v>0</v>
      </c>
      <c r="AA351" s="1398">
        <f t="shared" ca="1" si="174"/>
        <v>0</v>
      </c>
      <c r="AB351" s="1398">
        <f t="shared" ca="1" si="175"/>
        <v>0</v>
      </c>
      <c r="AC351" s="1397">
        <f t="shared" ca="1" si="176"/>
        <v>0</v>
      </c>
      <c r="AD351" s="1397">
        <f ca="1">IF(B351&gt;=$J$5,0,CONTADORES!H365-CONTADORES!H364)</f>
        <v>0</v>
      </c>
      <c r="AE351" s="1397">
        <f ca="1">IF(B351&gt;=$J$5,0,CONTADORES!J365-CONTADORES!J364)</f>
        <v>0</v>
      </c>
      <c r="AF351" s="1397">
        <f ca="1">IF(B351&gt;=$J$5,0,CONTADORES!AU365-CONTADORES!AU364)</f>
        <v>0</v>
      </c>
      <c r="AG351" s="1397">
        <f ca="1">IF(B351&gt;=$J$5,0,CONTADORES!AW365-CONTADORES!AW364)</f>
        <v>0</v>
      </c>
      <c r="AH351" s="1398">
        <f ca="1">IF(B351&gt;=$J$5,0,(CONTADORES!AM365-CONTADORES!AM364)+(CONTADORES!M365-CONTADORES!M364))</f>
        <v>0</v>
      </c>
      <c r="AI351" s="1397">
        <f ca="1">IF(B351&gt;=$J$5,0,(CONTADORES!AK365-CONTADORES!AK364)+(CONTADORES!O365-CONTADORES!O364))</f>
        <v>0</v>
      </c>
      <c r="AJ351" s="1397">
        <f ca="1">IF(B351&gt;=$J$5,0,(CONTADORES!AI365-CONTADORES!AI364))</f>
        <v>0</v>
      </c>
      <c r="AK351" s="1397">
        <f ca="1">IF(B351&gt;=$J$5,0,(CONTADORES!Q365-CONTADORES!Q364))</f>
        <v>0</v>
      </c>
      <c r="AL351" s="1461">
        <f t="shared" ca="1" si="177"/>
        <v>0</v>
      </c>
      <c r="AM351" s="1397">
        <f ca="1">IF(B351&gt;=$J$5,0,(((CONTADORES!F365-CONTADORES!F364)+(CONTADORES!AQ365-CONTADORES!AQ364))))-BS351-AF351-AN351-BV351-BY351-CD351-CB351+T351</f>
        <v>0</v>
      </c>
      <c r="AN351" s="1402">
        <f ca="1">IF(B351&gt;=$J$5,0,(CONTADORES!AX365-CONTADORES!AX364)+(CONTADORES!AZ365-CONTADORES!AZ364)+(CONTADORES!BE365-CONTADORES!BE364))-CB351</f>
        <v>0</v>
      </c>
      <c r="AO351" s="1399">
        <f ca="1">IF(B351&gt;=$J$5,0,(CONTADORES!AC365-CONTADORES!AC364))</f>
        <v>0</v>
      </c>
      <c r="AP351" s="1433">
        <f ca="1">IF(B351&gt;=$J$5,0,(CONTADORES!X365-CONTADORES!X364))</f>
        <v>0</v>
      </c>
      <c r="AQ351" s="1404">
        <f ca="1">IF(B351&gt;=$J$5,0,(CONTADORES!C365-CONTADORES!C364))</f>
        <v>0</v>
      </c>
      <c r="AR351" s="1399">
        <f ca="1">IF(B351&gt;=$J$5,0,(CONTADORES!BC365-CONTADORES!BC364))</f>
        <v>0</v>
      </c>
      <c r="AS351" s="1397">
        <f ca="1">IF(B351&gt;=$J$5,0,CONTADORES!S365-CONTADORES!S364)</f>
        <v>0</v>
      </c>
      <c r="AT351" s="1397">
        <f ca="1">IF(B351&gt;=$J$5,0,(CONTADORES!U365-CONTADORES!U364)+(CONTADORES!AG365-CONTADORES!AG364))</f>
        <v>0</v>
      </c>
      <c r="AU351" s="1433">
        <f ca="1">IF(B351&gt;=$J$5,0,(CONTADORES!I365-CONTADORES!I364))</f>
        <v>0</v>
      </c>
      <c r="AV351" s="1399">
        <f ca="1">IF(B351&gt;=$J$5,0,(CONTADORES!AV365-CONTADORES!AV364))</f>
        <v>0</v>
      </c>
      <c r="AW351" s="1399">
        <f ca="1">IF(B351&gt;=$J$5,0,(CONTADORES!N365-CONTADORES!N364)+(CONTADORES!AN365-CONTADORES!AN364))</f>
        <v>0</v>
      </c>
      <c r="AX351" s="1399">
        <f ca="1">IF(B351&gt;=$J$5,0,(CONTADORES!P365-CONTADORES!P364)+(CONTADORES!AL365-CONTADORES!AL364))</f>
        <v>0</v>
      </c>
      <c r="AY351" s="1399">
        <f ca="1">IF(B351&gt;=$J$5,0,(CONTADORES!AJ365-CONTADORES!AJ364))</f>
        <v>0</v>
      </c>
      <c r="AZ351" s="1399">
        <f ca="1">IF(B351&gt;=$J$5,0,(CONTADORES!R365-CONTADORES!R364))</f>
        <v>0</v>
      </c>
      <c r="BA351" s="1409">
        <f t="shared" ca="1" si="178"/>
        <v>0</v>
      </c>
      <c r="BB351" s="1417">
        <f ca="1">IF(B351&gt;=$J$5,0,(((CONTADORES!G365-CONTADORES!G364)+(CONTADORES!AR365-CONTADORES!AR364))))-AV351-BC351-BT351-BW351-BZ351-CE351-AR351</f>
        <v>0</v>
      </c>
      <c r="BC351" s="1397">
        <f ca="1">IF(B351&gt;=$J$5,0,(CONTADORES!AY365-CONTADORES!AY364)+(CONTADORES!BA365-CONTADORES!BA364)+(CONTADORES!BF365-CONTADORES!BF364))</f>
        <v>0</v>
      </c>
      <c r="BD351" s="1397">
        <f t="shared" ca="1" si="179"/>
        <v>0</v>
      </c>
      <c r="BE351" s="1398">
        <f ca="1">IF($B351&gt;=$J$5,0,CONTADORES!$BG365)</f>
        <v>0</v>
      </c>
      <c r="BF351" s="1397">
        <f ca="1">IF($B351&gt;=$J$5,0,CONTADORES!$BH365)</f>
        <v>0</v>
      </c>
      <c r="BG351" s="1397">
        <f ca="1">IF($B351&gt;=$J$5,0,CONTADORES!$BJ365)</f>
        <v>0</v>
      </c>
      <c r="BH351" s="1397">
        <f ca="1">IF(B351&gt;=$J$5,0,((CONTADORES!BK365-CONTADORES!BK364)/1000))</f>
        <v>0</v>
      </c>
      <c r="BI351" s="1397">
        <f ca="1">IF(C351&gt;=$J$5,0,((CONTADORES!BL365-CONTADORES!BL364)/1000))</f>
        <v>0</v>
      </c>
      <c r="BJ351" s="1397">
        <f ca="1">IF(C351&gt;=$J$5,0,((CONTADORES!BM365-CONTADORES!BM364)/1000))</f>
        <v>0</v>
      </c>
      <c r="BK351" s="1397">
        <f ca="1">IF(D351&gt;=$J$5,0,((CONTADORES!BN365-CONTADORES!BN364)/1000))</f>
        <v>0</v>
      </c>
      <c r="BL351" s="1399">
        <f t="shared" ca="1" si="194"/>
        <v>0</v>
      </c>
      <c r="BM351" s="1399">
        <f t="shared" ca="1" si="180"/>
        <v>0</v>
      </c>
      <c r="BN351" s="1398">
        <f ca="1">IF(B351&gt;=$J$5,0,CONTADORES!$BO365)</f>
        <v>0</v>
      </c>
      <c r="BO351" s="1397">
        <f ca="1">IF(W351&gt;=$J$5,0,CONTADORES!$BP365)</f>
        <v>0</v>
      </c>
      <c r="BP351" s="1397">
        <f ca="1">IF(W351&gt;=$J$5,0,CONTADORES!$BQ365)</f>
        <v>0</v>
      </c>
      <c r="BQ351" s="1397">
        <f ca="1">IF(B351&gt;=$J$5,0,(CONTADORES!AS365-CONTADORES!AS364))</f>
        <v>0</v>
      </c>
      <c r="BR351" s="1397">
        <f ca="1">IF(B351&gt;=$J$5,0,(CONTADORES!AT365-CONTADORES!AT364))</f>
        <v>0</v>
      </c>
      <c r="BS351" s="1397">
        <f ca="1">IF(B351&gt;=$J$5,0,CONTADORES!BR365-CONTADORES!BR364)/1000</f>
        <v>0</v>
      </c>
      <c r="BT351" s="1397">
        <f ca="1">IF(B351&gt;=$J$5,0,CONTADORES!BS365-CONTADORES!BS364)</f>
        <v>0</v>
      </c>
      <c r="BU351" s="1397">
        <f ca="1">IF(B351&gt;=$J$5,0,CONTADORES!BT365-CONTADORES!BT364)</f>
        <v>0</v>
      </c>
      <c r="BV351" s="1397">
        <f ca="1">IF(B351&gt;=$J$5,0,CONTADORES!BU365-CONTADORES!BU364)/1000</f>
        <v>0</v>
      </c>
      <c r="BW351" s="1397">
        <f ca="1">IF(B351&gt;=$J$5,0,CONTADORES!BV365-CONTADORES!BV364)/1000</f>
        <v>0</v>
      </c>
      <c r="BX351" s="1397">
        <f ca="1">IF(B351&gt;=$J$5,0,CONTADORES!BW365-CONTADORES!BW364)</f>
        <v>0</v>
      </c>
      <c r="BY351" s="1397">
        <f ca="1">IF(B351&gt;=$J$5,0,CONTADORES!BX365-CONTADORES!BX364)/1000</f>
        <v>0</v>
      </c>
      <c r="BZ351" s="1397">
        <f ca="1">IF(B351&gt;=$J$5,0,CONTADORES!BY365-CONTADORES!BY364)/1000</f>
        <v>0</v>
      </c>
      <c r="CA351" s="1397">
        <f ca="1">IF(B351&gt;=$J$5,0,CONTADORES!BZ365-CONTADORES!BZ364)</f>
        <v>0</v>
      </c>
      <c r="CB351" s="1397">
        <f ca="1">IF(B351&gt;=$J$5,0,(CONTADORES!CC365-CONTADORES!CC364)+(CONTADORES!CE365-CONTADORES!CE364))/1000</f>
        <v>0</v>
      </c>
      <c r="CC351" s="1397">
        <f ca="1">IF(B351&gt;=$J$5,0,(CONTADORES!CD365-CONTADORES!CD364)+(CONTADORES!CF365-CONTADORES!CF364))/1000</f>
        <v>0</v>
      </c>
      <c r="CD351" s="1397">
        <f ca="1">IF(B351&gt;=$J$5,0,CONTADORES!CA365-CONTADORES!CA364)</f>
        <v>0</v>
      </c>
      <c r="CE351" s="1397">
        <f ca="1">IF(B351&gt;=$J$5,0,CONTADORES!CB365-CONTADORES!CB364)</f>
        <v>0</v>
      </c>
      <c r="CF351" s="1397">
        <f t="shared" ca="1" si="181"/>
        <v>0</v>
      </c>
      <c r="CG351" s="1397">
        <f t="shared" ca="1" si="182"/>
        <v>0</v>
      </c>
      <c r="CH351" s="1397">
        <f t="shared" ca="1" si="183"/>
        <v>0</v>
      </c>
      <c r="CI351" s="1397">
        <f t="shared" ca="1" si="184"/>
        <v>0</v>
      </c>
      <c r="CJ351" s="1397">
        <f t="shared" ca="1" si="185"/>
        <v>0</v>
      </c>
      <c r="CK351" s="1397">
        <f t="shared" ca="1" si="186"/>
        <v>0</v>
      </c>
      <c r="CL351" s="1397">
        <f t="shared" ca="1" si="187"/>
        <v>0</v>
      </c>
      <c r="CM351" s="1397">
        <f t="shared" ca="1" si="188"/>
        <v>0</v>
      </c>
      <c r="CN351" s="1397">
        <f ca="1">IF(B351&gt;=$J$5,0,CONTADORES!CB365-CONTADORES!CB364)</f>
        <v>0</v>
      </c>
      <c r="CO351" s="1397">
        <f t="shared" ca="1" si="189"/>
        <v>0</v>
      </c>
      <c r="CP351" s="1397">
        <f t="shared" ca="1" si="190"/>
        <v>0</v>
      </c>
      <c r="CQ351" s="1397">
        <f t="shared" ca="1" si="191"/>
        <v>0</v>
      </c>
      <c r="CR351" s="1397">
        <f t="shared" ca="1" si="192"/>
        <v>0</v>
      </c>
      <c r="CS351" s="1403">
        <f ca="1">IF($B351&gt;=$J$5,0,CONTADORES!$BI365)</f>
        <v>0</v>
      </c>
      <c r="CT351" s="1369">
        <f>CONTADORES!E365</f>
        <v>0</v>
      </c>
      <c r="CU351" s="1369">
        <f>CONTADORES!CG365</f>
        <v>0</v>
      </c>
    </row>
    <row r="352" spans="2:99">
      <c r="B352" s="390">
        <v>45268</v>
      </c>
      <c r="C352" s="198">
        <f t="shared" ca="1" si="166"/>
        <v>0</v>
      </c>
      <c r="D352" s="196">
        <f ca="1">'CALCULO DE GAS'!P181</f>
        <v>0</v>
      </c>
      <c r="E352" s="196">
        <f ca="1">IF(B352&gt;=$J$5,0,(CONTADORES!$AD366-CONTADORES!$AD365)-$H352)</f>
        <v>0</v>
      </c>
      <c r="F352" s="198">
        <f t="shared" ca="1" si="195"/>
        <v>0</v>
      </c>
      <c r="G352" s="196">
        <f ca="1">IF(B352&gt;=$J$5,0,CONTADORES!$AF366-CONTADORES!$AF365)</f>
        <v>0</v>
      </c>
      <c r="H352" s="196">
        <f ca="1">IF(G352&gt;0,CONTADORES!$AE366-CONTADORES!$AE365,0)</f>
        <v>0</v>
      </c>
      <c r="I352" s="199">
        <f ca="1">IF(B352&gt;=$J$5,0,CONTADORES!$AB366-CONTADORES!$AB365)</f>
        <v>0</v>
      </c>
      <c r="J352" s="198">
        <f t="shared" ca="1" si="167"/>
        <v>0</v>
      </c>
      <c r="K352" s="196">
        <f ca="1">'CALCULO DE GAS'!Q181</f>
        <v>0</v>
      </c>
      <c r="L352" s="1413">
        <f ca="1">IF(B352&gt;=$J$5,0,(CONTADORES!$Y366-CONTADORES!$Y365)-$O352)</f>
        <v>0</v>
      </c>
      <c r="M352" s="1396">
        <f t="shared" ca="1" si="196"/>
        <v>0</v>
      </c>
      <c r="N352" s="1396">
        <f ca="1">IF(B352&gt;=$J$5,0,CONTADORES!$AA366-CONTADORES!$AA365)</f>
        <v>0</v>
      </c>
      <c r="O352" s="1396">
        <f ca="1">IF(N352&gt;0,CONTADORES!$Z366-CONTADORES!$Z365,0)</f>
        <v>0</v>
      </c>
      <c r="P352" s="202">
        <f ca="1">IF(B352&gt;=$J$5,0,CONTADORES!$W366-CONTADORES!$W365)</f>
        <v>0</v>
      </c>
      <c r="Q352" s="202">
        <f ca="1">IF(B352&gt;=$J$5,0,CONTADORES!$B366-CONTADORES!$B365)</f>
        <v>0</v>
      </c>
      <c r="R352" s="196">
        <f t="shared" ca="1" si="169"/>
        <v>0</v>
      </c>
      <c r="S352" s="11">
        <f ca="1">IF(B352&gt;=$J$5,0,CONTADORES!$D366-CONTADORES!$D365)</f>
        <v>0</v>
      </c>
      <c r="T352" s="198">
        <f ca="1">IF(B352&gt;=$J$5,0,CONTADORES!$BB366-CONTADORES!$BB365)</f>
        <v>0</v>
      </c>
      <c r="U352" s="196">
        <f t="shared" ca="1" si="162"/>
        <v>0</v>
      </c>
      <c r="V352" s="11">
        <f ca="1">IF(B352&gt;=$J$5,0,CONTADORES!$BD366-CONTADORES!$BD365)</f>
        <v>0</v>
      </c>
      <c r="W352" s="1397">
        <f t="shared" ca="1" si="170"/>
        <v>0</v>
      </c>
      <c r="X352" s="1397">
        <f t="shared" ca="1" si="171"/>
        <v>0</v>
      </c>
      <c r="Y352" s="1398">
        <f t="shared" ca="1" si="172"/>
        <v>0</v>
      </c>
      <c r="Z352" s="1398">
        <f t="shared" ca="1" si="173"/>
        <v>0</v>
      </c>
      <c r="AA352" s="1398">
        <f t="shared" ca="1" si="174"/>
        <v>0</v>
      </c>
      <c r="AB352" s="1398">
        <f t="shared" ca="1" si="175"/>
        <v>0</v>
      </c>
      <c r="AC352" s="1397">
        <f t="shared" ca="1" si="176"/>
        <v>0</v>
      </c>
      <c r="AD352" s="1397">
        <f ca="1">IF(B352&gt;=$J$5,0,CONTADORES!H366-CONTADORES!H365)</f>
        <v>0</v>
      </c>
      <c r="AE352" s="1397">
        <f ca="1">IF(B352&gt;=$J$5,0,CONTADORES!J366-CONTADORES!J365)</f>
        <v>0</v>
      </c>
      <c r="AF352" s="1397">
        <f ca="1">IF(B352&gt;=$J$5,0,CONTADORES!AU366-CONTADORES!AU365)</f>
        <v>0</v>
      </c>
      <c r="AG352" s="1397">
        <f ca="1">IF(B352&gt;=$J$5,0,CONTADORES!AW366-CONTADORES!AW365)</f>
        <v>0</v>
      </c>
      <c r="AH352" s="1398">
        <f ca="1">IF(B352&gt;=$J$5,0,(CONTADORES!AM366-CONTADORES!AM365)+(CONTADORES!M366-CONTADORES!M365))</f>
        <v>0</v>
      </c>
      <c r="AI352" s="1397">
        <f ca="1">IF(B352&gt;=$J$5,0,(CONTADORES!AK366-CONTADORES!AK365)+(CONTADORES!O366-CONTADORES!O365))</f>
        <v>0</v>
      </c>
      <c r="AJ352" s="1397">
        <f ca="1">IF(B352&gt;=$J$5,0,(CONTADORES!AI366-CONTADORES!AI365))</f>
        <v>0</v>
      </c>
      <c r="AK352" s="1397">
        <f ca="1">IF(B352&gt;=$J$5,0,(CONTADORES!Q366-CONTADORES!Q365))</f>
        <v>0</v>
      </c>
      <c r="AL352" s="1461">
        <f t="shared" ca="1" si="177"/>
        <v>0</v>
      </c>
      <c r="AM352" s="1397">
        <f ca="1">IF(B352&gt;=$J$5,0,(((CONTADORES!F366-CONTADORES!F365)+(CONTADORES!AQ366-CONTADORES!AQ365))))-BS352-AF352-AN352-BV352-BY352-CD352-CB352+T352</f>
        <v>0</v>
      </c>
      <c r="AN352" s="1402">
        <f ca="1">IF(B352&gt;=$J$5,0,(CONTADORES!AX366-CONTADORES!AX365)+(CONTADORES!AZ366-CONTADORES!AZ365)+(CONTADORES!BE366-CONTADORES!BE365))-CB352</f>
        <v>0</v>
      </c>
      <c r="AO352" s="1399">
        <f ca="1">IF(B352&gt;=$J$5,0,(CONTADORES!AC366-CONTADORES!AC365))</f>
        <v>0</v>
      </c>
      <c r="AP352" s="1433">
        <f ca="1">IF(B352&gt;=$J$5,0,(CONTADORES!X366-CONTADORES!X365))</f>
        <v>0</v>
      </c>
      <c r="AQ352" s="1404">
        <f ca="1">IF(B352&gt;=$J$5,0,(CONTADORES!C366-CONTADORES!C365))</f>
        <v>0</v>
      </c>
      <c r="AR352" s="1399">
        <f ca="1">IF(B352&gt;=$J$5,0,(CONTADORES!BC366-CONTADORES!BC365))</f>
        <v>0</v>
      </c>
      <c r="AS352" s="1397">
        <f ca="1">IF(B352&gt;=$J$5,0,CONTADORES!S366-CONTADORES!S365)</f>
        <v>0</v>
      </c>
      <c r="AT352" s="1397">
        <f ca="1">IF(B352&gt;=$J$5,0,(CONTADORES!U366-CONTADORES!U365)+(CONTADORES!AG366-CONTADORES!AG365))</f>
        <v>0</v>
      </c>
      <c r="AU352" s="1433">
        <f ca="1">IF(B352&gt;=$J$5,0,(CONTADORES!I366-CONTADORES!I365))</f>
        <v>0</v>
      </c>
      <c r="AV352" s="1399">
        <f ca="1">IF(B352&gt;=$J$5,0,(CONTADORES!AV366-CONTADORES!AV365))</f>
        <v>0</v>
      </c>
      <c r="AW352" s="1399">
        <f ca="1">IF(B352&gt;=$J$5,0,(CONTADORES!N366-CONTADORES!N365)+(CONTADORES!AN366-CONTADORES!AN365))</f>
        <v>0</v>
      </c>
      <c r="AX352" s="1399">
        <f ca="1">IF(B352&gt;=$J$5,0,(CONTADORES!P366-CONTADORES!P365)+(CONTADORES!AL366-CONTADORES!AL365))</f>
        <v>0</v>
      </c>
      <c r="AY352" s="1399">
        <f ca="1">IF(B352&gt;=$J$5,0,(CONTADORES!AJ366-CONTADORES!AJ365))</f>
        <v>0</v>
      </c>
      <c r="AZ352" s="1399">
        <f ca="1">IF(B352&gt;=$J$5,0,(CONTADORES!R366-CONTADORES!R365))</f>
        <v>0</v>
      </c>
      <c r="BA352" s="1409">
        <f t="shared" ca="1" si="178"/>
        <v>0</v>
      </c>
      <c r="BB352" s="1417">
        <f ca="1">IF(B352&gt;=$J$5,0,(((CONTADORES!G366-CONTADORES!G365)+(CONTADORES!AR366-CONTADORES!AR365))))-AV352-BC352-BT352-BW352-BZ352-CE352-AR352</f>
        <v>0</v>
      </c>
      <c r="BC352" s="1397">
        <f ca="1">IF(B352&gt;=$J$5,0,(CONTADORES!AY366-CONTADORES!AY365)+(CONTADORES!BA366-CONTADORES!BA365)+(CONTADORES!BF366-CONTADORES!BF365))</f>
        <v>0</v>
      </c>
      <c r="BD352" s="1397">
        <f t="shared" ca="1" si="179"/>
        <v>0</v>
      </c>
      <c r="BE352" s="1398">
        <f ca="1">IF($B352&gt;=$J$5,0,CONTADORES!$BG366)</f>
        <v>0</v>
      </c>
      <c r="BF352" s="1397">
        <f ca="1">IF($B352&gt;=$J$5,0,CONTADORES!$BH366)</f>
        <v>0</v>
      </c>
      <c r="BG352" s="1397">
        <f ca="1">IF($B352&gt;=$J$5,0,CONTADORES!$BJ366)</f>
        <v>0</v>
      </c>
      <c r="BH352" s="1397">
        <f ca="1">IF(B352&gt;=$J$5,0,((CONTADORES!BK366-CONTADORES!BK365)/1000))</f>
        <v>0</v>
      </c>
      <c r="BI352" s="1397">
        <f ca="1">IF(C352&gt;=$J$5,0,((CONTADORES!BL366-CONTADORES!BL365)/1000))</f>
        <v>0</v>
      </c>
      <c r="BJ352" s="1397">
        <f ca="1">IF(C352&gt;=$J$5,0,((CONTADORES!BM366-CONTADORES!BM365)/1000))</f>
        <v>0</v>
      </c>
      <c r="BK352" s="1397">
        <f ca="1">IF(D352&gt;=$J$5,0,((CONTADORES!BN366-CONTADORES!BN365)/1000))</f>
        <v>0</v>
      </c>
      <c r="BL352" s="1399">
        <f t="shared" ca="1" si="194"/>
        <v>0</v>
      </c>
      <c r="BM352" s="1399">
        <f t="shared" ca="1" si="180"/>
        <v>0</v>
      </c>
      <c r="BN352" s="1398">
        <f ca="1">IF(B352&gt;=$J$5,0,CONTADORES!$BO366)</f>
        <v>0</v>
      </c>
      <c r="BO352" s="1397">
        <f ca="1">IF(W352&gt;=$J$5,0,CONTADORES!$BP366)</f>
        <v>0</v>
      </c>
      <c r="BP352" s="1397">
        <f ca="1">IF(W352&gt;=$J$5,0,CONTADORES!$BQ366)</f>
        <v>0</v>
      </c>
      <c r="BQ352" s="1397">
        <f ca="1">IF(B352&gt;=$J$5,0,(CONTADORES!AS366-CONTADORES!AS365))</f>
        <v>0</v>
      </c>
      <c r="BR352" s="1397">
        <f ca="1">IF(B352&gt;=$J$5,0,(CONTADORES!AT366-CONTADORES!AT365))</f>
        <v>0</v>
      </c>
      <c r="BS352" s="1397">
        <f ca="1">IF(B352&gt;=$J$5,0,CONTADORES!BR366-CONTADORES!BR365)/1000</f>
        <v>0</v>
      </c>
      <c r="BT352" s="1397">
        <f ca="1">IF(B352&gt;=$J$5,0,CONTADORES!BS366-CONTADORES!BS365)</f>
        <v>0</v>
      </c>
      <c r="BU352" s="1397">
        <f ca="1">IF(B352&gt;=$J$5,0,CONTADORES!BT366-CONTADORES!BT365)</f>
        <v>0</v>
      </c>
      <c r="BV352" s="1397">
        <f ca="1">IF(B352&gt;=$J$5,0,CONTADORES!BU366-CONTADORES!BU365)/1000</f>
        <v>0</v>
      </c>
      <c r="BW352" s="1397">
        <f ca="1">IF(B352&gt;=$J$5,0,CONTADORES!BV366-CONTADORES!BV365)/1000</f>
        <v>0</v>
      </c>
      <c r="BX352" s="1397">
        <f ca="1">IF(B352&gt;=$J$5,0,CONTADORES!BW366-CONTADORES!BW365)</f>
        <v>0</v>
      </c>
      <c r="BY352" s="1397">
        <f ca="1">IF(B352&gt;=$J$5,0,CONTADORES!BX366-CONTADORES!BX365)/1000</f>
        <v>0</v>
      </c>
      <c r="BZ352" s="1397">
        <f ca="1">IF(B352&gt;=$J$5,0,CONTADORES!BY366-CONTADORES!BY365)/1000</f>
        <v>0</v>
      </c>
      <c r="CA352" s="1397">
        <f ca="1">IF(B352&gt;=$J$5,0,CONTADORES!BZ366-CONTADORES!BZ365)</f>
        <v>0</v>
      </c>
      <c r="CB352" s="1397">
        <f ca="1">IF(B352&gt;=$J$5,0,(CONTADORES!CC366-CONTADORES!CC365)+(CONTADORES!CE366-CONTADORES!CE365))/1000</f>
        <v>0</v>
      </c>
      <c r="CC352" s="1397">
        <f ca="1">IF(B352&gt;=$J$5,0,(CONTADORES!CD366-CONTADORES!CD365)+(CONTADORES!CF366-CONTADORES!CF365))/1000</f>
        <v>0</v>
      </c>
      <c r="CD352" s="1397">
        <f ca="1">IF(B352&gt;=$J$5,0,CONTADORES!CA366-CONTADORES!CA365)</f>
        <v>0</v>
      </c>
      <c r="CE352" s="1397">
        <f ca="1">IF(B352&gt;=$J$5,0,CONTADORES!CB366-CONTADORES!CB365)</f>
        <v>0</v>
      </c>
      <c r="CF352" s="1397">
        <f t="shared" ca="1" si="181"/>
        <v>0</v>
      </c>
      <c r="CG352" s="1397">
        <f t="shared" ca="1" si="182"/>
        <v>0</v>
      </c>
      <c r="CH352" s="1397">
        <f t="shared" ca="1" si="183"/>
        <v>0</v>
      </c>
      <c r="CI352" s="1397">
        <f t="shared" ca="1" si="184"/>
        <v>0</v>
      </c>
      <c r="CJ352" s="1397">
        <f t="shared" ca="1" si="185"/>
        <v>0</v>
      </c>
      <c r="CK352" s="1397">
        <f t="shared" ca="1" si="186"/>
        <v>0</v>
      </c>
      <c r="CL352" s="1397">
        <f t="shared" ca="1" si="187"/>
        <v>0</v>
      </c>
      <c r="CM352" s="1397">
        <f t="shared" ca="1" si="188"/>
        <v>0</v>
      </c>
      <c r="CN352" s="1397">
        <f ca="1">IF(B352&gt;=$J$5,0,CONTADORES!CB366-CONTADORES!CB365)</f>
        <v>0</v>
      </c>
      <c r="CO352" s="1397">
        <f t="shared" ca="1" si="189"/>
        <v>0</v>
      </c>
      <c r="CP352" s="1397">
        <f t="shared" ca="1" si="190"/>
        <v>0</v>
      </c>
      <c r="CQ352" s="1397">
        <f t="shared" ca="1" si="191"/>
        <v>0</v>
      </c>
      <c r="CR352" s="1397">
        <f t="shared" ca="1" si="192"/>
        <v>0</v>
      </c>
      <c r="CS352" s="1403">
        <f ca="1">IF($B352&gt;=$J$5,0,CONTADORES!$BI366)</f>
        <v>0</v>
      </c>
      <c r="CT352" s="1369">
        <f>CONTADORES!E366</f>
        <v>0</v>
      </c>
      <c r="CU352" s="1369">
        <f>CONTADORES!CG366</f>
        <v>0</v>
      </c>
    </row>
    <row r="353" spans="2:99">
      <c r="B353" s="390">
        <v>45269</v>
      </c>
      <c r="C353" s="198">
        <f t="shared" ca="1" si="166"/>
        <v>0</v>
      </c>
      <c r="D353" s="196">
        <f ca="1">'CALCULO DE GAS'!P182</f>
        <v>0</v>
      </c>
      <c r="E353" s="196">
        <f ca="1">IF(B353&gt;=$J$5,0,(CONTADORES!$AD367-CONTADORES!$AD366)-$H353)</f>
        <v>0</v>
      </c>
      <c r="F353" s="198">
        <f t="shared" ca="1" si="195"/>
        <v>0</v>
      </c>
      <c r="G353" s="196">
        <f ca="1">IF(B353&gt;=$J$5,0,CONTADORES!$AF367-CONTADORES!$AF366)</f>
        <v>0</v>
      </c>
      <c r="H353" s="196">
        <f ca="1">IF(G353&gt;0,CONTADORES!$AE367-CONTADORES!$AE366,0)</f>
        <v>0</v>
      </c>
      <c r="I353" s="199">
        <f ca="1">IF(B353&gt;=$J$5,0,CONTADORES!$AB367-CONTADORES!$AB366)</f>
        <v>0</v>
      </c>
      <c r="J353" s="198">
        <f t="shared" ca="1" si="167"/>
        <v>0</v>
      </c>
      <c r="K353" s="196">
        <f ca="1">'CALCULO DE GAS'!Q182</f>
        <v>0</v>
      </c>
      <c r="L353" s="1413">
        <f ca="1">IF(B353&gt;=$J$5,0,(CONTADORES!$Y367-CONTADORES!$Y366)-$O353)</f>
        <v>0</v>
      </c>
      <c r="M353" s="1396">
        <f t="shared" ca="1" si="196"/>
        <v>0</v>
      </c>
      <c r="N353" s="1396">
        <f ca="1">IF(B353&gt;=$J$5,0,CONTADORES!$AA367-CONTADORES!$AA366)</f>
        <v>0</v>
      </c>
      <c r="O353" s="1396">
        <f ca="1">IF(N353&gt;0,CONTADORES!$Z367-CONTADORES!$Z366,0)</f>
        <v>0</v>
      </c>
      <c r="P353" s="202">
        <f ca="1">IF(B353&gt;=$J$5,0,CONTADORES!$W367-CONTADORES!$W366)</f>
        <v>0</v>
      </c>
      <c r="Q353" s="202">
        <f ca="1">IF(B353&gt;=$J$5,0,CONTADORES!$B367-CONTADORES!$B366)</f>
        <v>0</v>
      </c>
      <c r="R353" s="196">
        <f t="shared" ca="1" si="169"/>
        <v>0</v>
      </c>
      <c r="S353" s="11">
        <f ca="1">IF(B353&gt;=$J$5,0,CONTADORES!$D367-CONTADORES!$D366)</f>
        <v>0</v>
      </c>
      <c r="T353" s="198">
        <f ca="1">IF(B353&gt;=$J$5,0,CONTADORES!$BB367-CONTADORES!$BB366)</f>
        <v>0</v>
      </c>
      <c r="U353" s="196">
        <f t="shared" ca="1" si="162"/>
        <v>0</v>
      </c>
      <c r="V353" s="11">
        <f ca="1">IF(B353&gt;=$J$5,0,CONTADORES!$BD367-CONTADORES!$BD366)</f>
        <v>0</v>
      </c>
      <c r="W353" s="1397">
        <f t="shared" ca="1" si="170"/>
        <v>0</v>
      </c>
      <c r="X353" s="1397">
        <f t="shared" ca="1" si="171"/>
        <v>0</v>
      </c>
      <c r="Y353" s="1398">
        <f t="shared" ca="1" si="172"/>
        <v>0</v>
      </c>
      <c r="Z353" s="1398">
        <f t="shared" ca="1" si="173"/>
        <v>0</v>
      </c>
      <c r="AA353" s="1398">
        <f t="shared" ca="1" si="174"/>
        <v>0</v>
      </c>
      <c r="AB353" s="1398">
        <f t="shared" ca="1" si="175"/>
        <v>0</v>
      </c>
      <c r="AC353" s="1397">
        <f t="shared" ca="1" si="176"/>
        <v>0</v>
      </c>
      <c r="AD353" s="1397">
        <f ca="1">IF(B353&gt;=$J$5,0,CONTADORES!H367-CONTADORES!H366)</f>
        <v>0</v>
      </c>
      <c r="AE353" s="1397">
        <f ca="1">IF(B353&gt;=$J$5,0,CONTADORES!J367-CONTADORES!J366)</f>
        <v>0</v>
      </c>
      <c r="AF353" s="1397">
        <f ca="1">IF(B353&gt;=$J$5,0,CONTADORES!AU367-CONTADORES!AU366)</f>
        <v>0</v>
      </c>
      <c r="AG353" s="1397">
        <f ca="1">IF(B353&gt;=$J$5,0,CONTADORES!AW367-CONTADORES!AW366)</f>
        <v>0</v>
      </c>
      <c r="AH353" s="1398">
        <f ca="1">IF(B353&gt;=$J$5,0,(CONTADORES!AM367-CONTADORES!AM366)+(CONTADORES!M367-CONTADORES!M366))</f>
        <v>0</v>
      </c>
      <c r="AI353" s="1397">
        <f ca="1">IF(B353&gt;=$J$5,0,(CONTADORES!AK367-CONTADORES!AK366)+(CONTADORES!O367-CONTADORES!O366))</f>
        <v>0</v>
      </c>
      <c r="AJ353" s="1397">
        <f ca="1">IF(B353&gt;=$J$5,0,(CONTADORES!AI367-CONTADORES!AI366))</f>
        <v>0</v>
      </c>
      <c r="AK353" s="1397">
        <f ca="1">IF(B353&gt;=$J$5,0,(CONTADORES!Q367-CONTADORES!Q366))</f>
        <v>0</v>
      </c>
      <c r="AL353" s="1461">
        <f t="shared" ca="1" si="177"/>
        <v>0</v>
      </c>
      <c r="AM353" s="1397">
        <f ca="1">IF(B353&gt;=$J$5,0,(((CONTADORES!F367-CONTADORES!F366)+(CONTADORES!AQ367-CONTADORES!AQ366))))-BS353-AF353-AN353-BV353-BY353-CD353-CB353+T353</f>
        <v>0</v>
      </c>
      <c r="AN353" s="1402">
        <f ca="1">IF(B353&gt;=$J$5,0,(CONTADORES!AX367-CONTADORES!AX366)+(CONTADORES!AZ367-CONTADORES!AZ366)+(CONTADORES!BE367-CONTADORES!BE366))-CB353</f>
        <v>0</v>
      </c>
      <c r="AO353" s="1399">
        <f ca="1">IF(B353&gt;=$J$5,0,(CONTADORES!AC367-CONTADORES!AC366))</f>
        <v>0</v>
      </c>
      <c r="AP353" s="1433">
        <f ca="1">IF(B353&gt;=$J$5,0,(CONTADORES!X367-CONTADORES!X366))</f>
        <v>0</v>
      </c>
      <c r="AQ353" s="1404">
        <f ca="1">IF(B353&gt;=$J$5,0,(CONTADORES!C367-CONTADORES!C366))</f>
        <v>0</v>
      </c>
      <c r="AR353" s="1399">
        <f ca="1">IF(B353&gt;=$J$5,0,(CONTADORES!BC367-CONTADORES!BC366))</f>
        <v>0</v>
      </c>
      <c r="AS353" s="1397">
        <f ca="1">IF(B353&gt;=$J$5,0,CONTADORES!S367-CONTADORES!S366)</f>
        <v>0</v>
      </c>
      <c r="AT353" s="1397">
        <f ca="1">IF(B353&gt;=$J$5,0,(CONTADORES!U367-CONTADORES!U366)+(CONTADORES!AG367-CONTADORES!AG366))</f>
        <v>0</v>
      </c>
      <c r="AU353" s="1433">
        <f ca="1">IF(B353&gt;=$J$5,0,(CONTADORES!I367-CONTADORES!I366))</f>
        <v>0</v>
      </c>
      <c r="AV353" s="1399">
        <f ca="1">IF(B353&gt;=$J$5,0,(CONTADORES!AV367-CONTADORES!AV366))</f>
        <v>0</v>
      </c>
      <c r="AW353" s="1399">
        <f ca="1">IF(B353&gt;=$J$5,0,(CONTADORES!N367-CONTADORES!N366)+(CONTADORES!AN367-CONTADORES!AN366))</f>
        <v>0</v>
      </c>
      <c r="AX353" s="1399">
        <f ca="1">IF(B353&gt;=$J$5,0,(CONTADORES!P367-CONTADORES!P366)+(CONTADORES!AL367-CONTADORES!AL366))</f>
        <v>0</v>
      </c>
      <c r="AY353" s="1399">
        <f ca="1">IF(B353&gt;=$J$5,0,(CONTADORES!AJ367-CONTADORES!AJ366))</f>
        <v>0</v>
      </c>
      <c r="AZ353" s="1399">
        <f ca="1">IF(B353&gt;=$J$5,0,(CONTADORES!R367-CONTADORES!R366))</f>
        <v>0</v>
      </c>
      <c r="BA353" s="1409">
        <f t="shared" ca="1" si="178"/>
        <v>0</v>
      </c>
      <c r="BB353" s="1417">
        <f ca="1">IF(B353&gt;=$J$5,0,(((CONTADORES!G367-CONTADORES!G366)+(CONTADORES!AR367-CONTADORES!AR366))))-AV353-BC353-BT353-BW353-BZ353-CE353-AR353</f>
        <v>0</v>
      </c>
      <c r="BC353" s="1397">
        <f ca="1">IF(B353&gt;=$J$5,0,(CONTADORES!AY367-CONTADORES!AY366)+(CONTADORES!BA367-CONTADORES!BA366)+(CONTADORES!BF367-CONTADORES!BF366))</f>
        <v>0</v>
      </c>
      <c r="BD353" s="1397">
        <f t="shared" ca="1" si="179"/>
        <v>0</v>
      </c>
      <c r="BE353" s="1398">
        <f ca="1">IF($B353&gt;=$J$5,0,CONTADORES!$BG367)</f>
        <v>0</v>
      </c>
      <c r="BF353" s="1397">
        <f ca="1">IF($B353&gt;=$J$5,0,CONTADORES!$BH367)</f>
        <v>0</v>
      </c>
      <c r="BG353" s="1397">
        <f ca="1">IF($B353&gt;=$J$5,0,CONTADORES!$BJ367)</f>
        <v>0</v>
      </c>
      <c r="BH353" s="1397">
        <f ca="1">IF(B353&gt;=$J$5,0,((CONTADORES!BK367-CONTADORES!BK366)/1000))</f>
        <v>0</v>
      </c>
      <c r="BI353" s="1397">
        <f ca="1">IF(C353&gt;=$J$5,0,((CONTADORES!BL367-CONTADORES!BL366)/1000))</f>
        <v>0</v>
      </c>
      <c r="BJ353" s="1397">
        <f ca="1">IF(C353&gt;=$J$5,0,((CONTADORES!BM367-CONTADORES!BM366)/1000))</f>
        <v>0</v>
      </c>
      <c r="BK353" s="1397">
        <f ca="1">IF(D353&gt;=$J$5,0,((CONTADORES!BN367-CONTADORES!BN366)/1000))</f>
        <v>0</v>
      </c>
      <c r="BL353" s="1399">
        <f t="shared" ca="1" si="194"/>
        <v>0</v>
      </c>
      <c r="BM353" s="1399">
        <f t="shared" ca="1" si="180"/>
        <v>0</v>
      </c>
      <c r="BN353" s="1398">
        <f ca="1">IF(B353&gt;=$J$5,0,CONTADORES!$BO367)</f>
        <v>0</v>
      </c>
      <c r="BO353" s="1397">
        <f ca="1">IF(W353&gt;=$J$5,0,CONTADORES!$BP367)</f>
        <v>0</v>
      </c>
      <c r="BP353" s="1397">
        <f ca="1">IF(W353&gt;=$J$5,0,CONTADORES!$BQ367)</f>
        <v>0</v>
      </c>
      <c r="BQ353" s="1397">
        <f ca="1">IF(B353&gt;=$J$5,0,(CONTADORES!AS367-CONTADORES!AS366))</f>
        <v>0</v>
      </c>
      <c r="BR353" s="1397">
        <f ca="1">IF(B353&gt;=$J$5,0,(CONTADORES!AT367-CONTADORES!AT366))</f>
        <v>0</v>
      </c>
      <c r="BS353" s="1397">
        <f ca="1">IF(B353&gt;=$J$5,0,CONTADORES!BR367-CONTADORES!BR366)/1000</f>
        <v>0</v>
      </c>
      <c r="BT353" s="1397">
        <f ca="1">IF(B353&gt;=$J$5,0,CONTADORES!BS367-CONTADORES!BS366)</f>
        <v>0</v>
      </c>
      <c r="BU353" s="1397">
        <f ca="1">IF(B353&gt;=$J$5,0,CONTADORES!BT367-CONTADORES!BT366)</f>
        <v>0</v>
      </c>
      <c r="BV353" s="1397">
        <f ca="1">IF(B353&gt;=$J$5,0,CONTADORES!BU367-CONTADORES!BU366)/1000</f>
        <v>0</v>
      </c>
      <c r="BW353" s="1397">
        <f ca="1">IF(B353&gt;=$J$5,0,CONTADORES!BV367-CONTADORES!BV366)/1000</f>
        <v>0</v>
      </c>
      <c r="BX353" s="1397">
        <f ca="1">IF(B353&gt;=$J$5,0,CONTADORES!BW367-CONTADORES!BW366)</f>
        <v>0</v>
      </c>
      <c r="BY353" s="1397">
        <f ca="1">IF(B353&gt;=$J$5,0,CONTADORES!BX367-CONTADORES!BX366)/1000</f>
        <v>0</v>
      </c>
      <c r="BZ353" s="1397">
        <f ca="1">IF(B353&gt;=$J$5,0,CONTADORES!BY367-CONTADORES!BY366)/1000</f>
        <v>0</v>
      </c>
      <c r="CA353" s="1397">
        <f ca="1">IF(B353&gt;=$J$5,0,CONTADORES!BZ367-CONTADORES!BZ366)</f>
        <v>0</v>
      </c>
      <c r="CB353" s="1397">
        <f ca="1">IF(B353&gt;=$J$5,0,(CONTADORES!CC367-CONTADORES!CC366)+(CONTADORES!CE367-CONTADORES!CE366))/1000</f>
        <v>0</v>
      </c>
      <c r="CC353" s="1397">
        <f ca="1">IF(B353&gt;=$J$5,0,(CONTADORES!CD367-CONTADORES!CD366)+(CONTADORES!CF367-CONTADORES!CF366))/1000</f>
        <v>0</v>
      </c>
      <c r="CD353" s="1397">
        <f ca="1">IF(B353&gt;=$J$5,0,CONTADORES!CA367-CONTADORES!CA366)</f>
        <v>0</v>
      </c>
      <c r="CE353" s="1397">
        <f ca="1">IF(B353&gt;=$J$5,0,CONTADORES!CB367-CONTADORES!CB366)</f>
        <v>0</v>
      </c>
      <c r="CF353" s="1397">
        <f t="shared" ca="1" si="181"/>
        <v>0</v>
      </c>
      <c r="CG353" s="1397">
        <f t="shared" ca="1" si="182"/>
        <v>0</v>
      </c>
      <c r="CH353" s="1397">
        <f t="shared" ca="1" si="183"/>
        <v>0</v>
      </c>
      <c r="CI353" s="1397">
        <f t="shared" ca="1" si="184"/>
        <v>0</v>
      </c>
      <c r="CJ353" s="1397">
        <f t="shared" ca="1" si="185"/>
        <v>0</v>
      </c>
      <c r="CK353" s="1397">
        <f t="shared" ca="1" si="186"/>
        <v>0</v>
      </c>
      <c r="CL353" s="1397">
        <f t="shared" ca="1" si="187"/>
        <v>0</v>
      </c>
      <c r="CM353" s="1397">
        <f t="shared" ca="1" si="188"/>
        <v>0</v>
      </c>
      <c r="CN353" s="1397">
        <f ca="1">IF(B353&gt;=$J$5,0,CONTADORES!CB367-CONTADORES!CB366)</f>
        <v>0</v>
      </c>
      <c r="CO353" s="1397">
        <f t="shared" ca="1" si="189"/>
        <v>0</v>
      </c>
      <c r="CP353" s="1397">
        <f t="shared" ca="1" si="190"/>
        <v>0</v>
      </c>
      <c r="CQ353" s="1397">
        <f t="shared" ca="1" si="191"/>
        <v>0</v>
      </c>
      <c r="CR353" s="1397">
        <f t="shared" ca="1" si="192"/>
        <v>0</v>
      </c>
      <c r="CS353" s="1403">
        <f ca="1">IF($B353&gt;=$J$5,0,CONTADORES!$BI367)</f>
        <v>0</v>
      </c>
      <c r="CT353" s="1369">
        <f>CONTADORES!E367</f>
        <v>0</v>
      </c>
      <c r="CU353" s="1369">
        <f>CONTADORES!CG367</f>
        <v>0</v>
      </c>
    </row>
    <row r="354" spans="2:99">
      <c r="B354" s="390">
        <v>45270</v>
      </c>
      <c r="C354" s="198">
        <f t="shared" ca="1" si="166"/>
        <v>0</v>
      </c>
      <c r="D354" s="196">
        <f ca="1">'CALCULO DE GAS'!P183</f>
        <v>0</v>
      </c>
      <c r="E354" s="196">
        <f ca="1">IF(B354&gt;=$J$5,0,(CONTADORES!$AD368-CONTADORES!$AD367)-$H354)</f>
        <v>0</v>
      </c>
      <c r="F354" s="198">
        <f t="shared" ca="1" si="195"/>
        <v>0</v>
      </c>
      <c r="G354" s="196">
        <f ca="1">IF(B354&gt;=$J$5,0,CONTADORES!$AF368-CONTADORES!$AF367)</f>
        <v>0</v>
      </c>
      <c r="H354" s="196">
        <f ca="1">IF(G354&gt;0,CONTADORES!$AE368-CONTADORES!$AE367,0)</f>
        <v>0</v>
      </c>
      <c r="I354" s="199">
        <f ca="1">IF(B354&gt;=$J$5,0,CONTADORES!$AB368-CONTADORES!$AB367)</f>
        <v>0</v>
      </c>
      <c r="J354" s="198">
        <f t="shared" ca="1" si="167"/>
        <v>0</v>
      </c>
      <c r="K354" s="196">
        <f ca="1">'CALCULO DE GAS'!Q183</f>
        <v>0</v>
      </c>
      <c r="L354" s="1413">
        <f ca="1">IF(B354&gt;=$J$5,0,(CONTADORES!$Y368-CONTADORES!$Y367)-$O354)</f>
        <v>0</v>
      </c>
      <c r="M354" s="1396">
        <f t="shared" ca="1" si="196"/>
        <v>0</v>
      </c>
      <c r="N354" s="1396">
        <f ca="1">IF(B354&gt;=$J$5,0,CONTADORES!$AA368-CONTADORES!$AA367)</f>
        <v>0</v>
      </c>
      <c r="O354" s="1396">
        <f ca="1">IF(N354&gt;0,CONTADORES!$Z368-CONTADORES!$Z367,0)</f>
        <v>0</v>
      </c>
      <c r="P354" s="202">
        <f ca="1">IF(B354&gt;=$J$5,0,CONTADORES!$W368-CONTADORES!$W367)</f>
        <v>0</v>
      </c>
      <c r="Q354" s="202">
        <f ca="1">IF(B354&gt;=$J$5,0,CONTADORES!$B368-CONTADORES!$B367)</f>
        <v>0</v>
      </c>
      <c r="R354" s="196">
        <f t="shared" ca="1" si="169"/>
        <v>0</v>
      </c>
      <c r="S354" s="11">
        <f ca="1">IF(B354&gt;=$J$5,0,CONTADORES!$D368-CONTADORES!$D367)</f>
        <v>0</v>
      </c>
      <c r="T354" s="198">
        <f ca="1">IF(B354&gt;=$J$5,0,CONTADORES!$BB368-CONTADORES!$BB367)</f>
        <v>0</v>
      </c>
      <c r="U354" s="196">
        <f t="shared" ca="1" si="162"/>
        <v>0</v>
      </c>
      <c r="V354" s="11">
        <f ca="1">IF(B354&gt;=$J$5,0,CONTADORES!$BD368-CONTADORES!$BD367)</f>
        <v>0</v>
      </c>
      <c r="W354" s="1397">
        <f t="shared" ca="1" si="170"/>
        <v>0</v>
      </c>
      <c r="X354" s="1397">
        <f t="shared" ca="1" si="171"/>
        <v>0</v>
      </c>
      <c r="Y354" s="1398">
        <f t="shared" ca="1" si="172"/>
        <v>0</v>
      </c>
      <c r="Z354" s="1398">
        <f t="shared" ca="1" si="173"/>
        <v>0</v>
      </c>
      <c r="AA354" s="1398">
        <f t="shared" ca="1" si="174"/>
        <v>0</v>
      </c>
      <c r="AB354" s="1398">
        <f t="shared" ca="1" si="175"/>
        <v>0</v>
      </c>
      <c r="AC354" s="1397">
        <f t="shared" ca="1" si="176"/>
        <v>0</v>
      </c>
      <c r="AD354" s="1397">
        <f ca="1">IF(B354&gt;=$J$5,0,CONTADORES!H368-CONTADORES!H367)</f>
        <v>0</v>
      </c>
      <c r="AE354" s="1397">
        <f ca="1">IF(B354&gt;=$J$5,0,CONTADORES!J368-CONTADORES!J367)</f>
        <v>0</v>
      </c>
      <c r="AF354" s="1397">
        <f ca="1">IF(B354&gt;=$J$5,0,CONTADORES!AU368-CONTADORES!AU367)</f>
        <v>0</v>
      </c>
      <c r="AG354" s="1397">
        <f ca="1">IF(B354&gt;=$J$5,0,CONTADORES!AW368-CONTADORES!AW367)</f>
        <v>0</v>
      </c>
      <c r="AH354" s="1398">
        <f ca="1">IF(B354&gt;=$J$5,0,(CONTADORES!AM368-CONTADORES!AM367)+(CONTADORES!M368-CONTADORES!M367))</f>
        <v>0</v>
      </c>
      <c r="AI354" s="1397">
        <f ca="1">IF(B354&gt;=$J$5,0,(CONTADORES!AK368-CONTADORES!AK367)+(CONTADORES!O368-CONTADORES!O367))</f>
        <v>0</v>
      </c>
      <c r="AJ354" s="1397">
        <f ca="1">IF(B354&gt;=$J$5,0,(CONTADORES!AI368-CONTADORES!AI367))</f>
        <v>0</v>
      </c>
      <c r="AK354" s="1397">
        <f ca="1">IF(B354&gt;=$J$5,0,(CONTADORES!Q368-CONTADORES!Q367))</f>
        <v>0</v>
      </c>
      <c r="AL354" s="1461">
        <f t="shared" ca="1" si="177"/>
        <v>0</v>
      </c>
      <c r="AM354" s="1397">
        <f ca="1">IF(B354&gt;=$J$5,0,(((CONTADORES!F368-CONTADORES!F367)+(CONTADORES!AQ368-CONTADORES!AQ367))))-BS354-AF354-AN354-BV354-BY354-CD354-CB354+T354</f>
        <v>0</v>
      </c>
      <c r="AN354" s="1402">
        <f ca="1">IF(B354&gt;=$J$5,0,(CONTADORES!AX368-CONTADORES!AX367)+(CONTADORES!AZ368-CONTADORES!AZ367)+(CONTADORES!BE368-CONTADORES!BE367))-CB354</f>
        <v>0</v>
      </c>
      <c r="AO354" s="1399">
        <f ca="1">IF(B354&gt;=$J$5,0,(CONTADORES!AC368-CONTADORES!AC367))</f>
        <v>0</v>
      </c>
      <c r="AP354" s="1433">
        <f ca="1">IF(B354&gt;=$J$5,0,(CONTADORES!X368-CONTADORES!X367))</f>
        <v>0</v>
      </c>
      <c r="AQ354" s="1404">
        <f ca="1">IF(B354&gt;=$J$5,0,(CONTADORES!C368-CONTADORES!C367))</f>
        <v>0</v>
      </c>
      <c r="AR354" s="1399">
        <f ca="1">IF(B354&gt;=$J$5,0,(CONTADORES!BC368-CONTADORES!BC367))</f>
        <v>0</v>
      </c>
      <c r="AS354" s="1397">
        <f ca="1">IF(B354&gt;=$J$5,0,CONTADORES!S368-CONTADORES!S367)</f>
        <v>0</v>
      </c>
      <c r="AT354" s="1397">
        <f ca="1">IF(B354&gt;=$J$5,0,(CONTADORES!U368-CONTADORES!U367)+(CONTADORES!AG368-CONTADORES!AG367))</f>
        <v>0</v>
      </c>
      <c r="AU354" s="1433">
        <f ca="1">IF(B354&gt;=$J$5,0,(CONTADORES!I368-CONTADORES!I367))</f>
        <v>0</v>
      </c>
      <c r="AV354" s="1399">
        <f ca="1">IF(B354&gt;=$J$5,0,(CONTADORES!AV368-CONTADORES!AV367))</f>
        <v>0</v>
      </c>
      <c r="AW354" s="1399">
        <f ca="1">IF(B354&gt;=$J$5,0,(CONTADORES!N368-CONTADORES!N367)+(CONTADORES!AN368-CONTADORES!AN367))</f>
        <v>0</v>
      </c>
      <c r="AX354" s="1399">
        <f ca="1">IF(B354&gt;=$J$5,0,(CONTADORES!P368-CONTADORES!P367)+(CONTADORES!AL368-CONTADORES!AL367))</f>
        <v>0</v>
      </c>
      <c r="AY354" s="1399">
        <f ca="1">IF(B354&gt;=$J$5,0,(CONTADORES!AJ368-CONTADORES!AJ367))</f>
        <v>0</v>
      </c>
      <c r="AZ354" s="1399">
        <f ca="1">IF(B354&gt;=$J$5,0,(CONTADORES!R368-CONTADORES!R367))</f>
        <v>0</v>
      </c>
      <c r="BA354" s="1409">
        <f t="shared" ca="1" si="178"/>
        <v>0</v>
      </c>
      <c r="BB354" s="1417">
        <f ca="1">IF(B354&gt;=$J$5,0,(((CONTADORES!G368-CONTADORES!G367)+(CONTADORES!AR368-CONTADORES!AR367))))-AV354-BC354-BT354-BW354-BZ354-CE354-AR354</f>
        <v>0</v>
      </c>
      <c r="BC354" s="1397">
        <f ca="1">IF(B354&gt;=$J$5,0,(CONTADORES!AY368-CONTADORES!AY367)+(CONTADORES!BA368-CONTADORES!BA367)+(CONTADORES!BF368-CONTADORES!BF367))</f>
        <v>0</v>
      </c>
      <c r="BD354" s="1397">
        <f t="shared" ca="1" si="179"/>
        <v>0</v>
      </c>
      <c r="BE354" s="1398">
        <f ca="1">IF($B354&gt;=$J$5,0,CONTADORES!$BG368)</f>
        <v>0</v>
      </c>
      <c r="BF354" s="1397">
        <f ca="1">IF($B354&gt;=$J$5,0,CONTADORES!$BH368)</f>
        <v>0</v>
      </c>
      <c r="BG354" s="1397">
        <f ca="1">IF($B354&gt;=$J$5,0,CONTADORES!$BJ368)</f>
        <v>0</v>
      </c>
      <c r="BH354" s="1397">
        <f ca="1">IF(B354&gt;=$J$5,0,((CONTADORES!BK368-CONTADORES!BK367)/1000))</f>
        <v>0</v>
      </c>
      <c r="BI354" s="1397">
        <f ca="1">IF(C354&gt;=$J$5,0,((CONTADORES!BL368-CONTADORES!BL367)/1000))</f>
        <v>0</v>
      </c>
      <c r="BJ354" s="1397">
        <f ca="1">IF(C354&gt;=$J$5,0,((CONTADORES!BM368-CONTADORES!BM367)/1000))</f>
        <v>0</v>
      </c>
      <c r="BK354" s="1397">
        <f ca="1">IF(D354&gt;=$J$5,0,((CONTADORES!BN368-CONTADORES!BN367)/1000))</f>
        <v>0</v>
      </c>
      <c r="BL354" s="1399">
        <f t="shared" ca="1" si="194"/>
        <v>0</v>
      </c>
      <c r="BM354" s="1399">
        <f t="shared" ca="1" si="180"/>
        <v>0</v>
      </c>
      <c r="BN354" s="1398">
        <f ca="1">IF(B354&gt;=$J$5,0,CONTADORES!$BO368)</f>
        <v>0</v>
      </c>
      <c r="BO354" s="1397">
        <f ca="1">IF(W354&gt;=$J$5,0,CONTADORES!$BP368)</f>
        <v>0</v>
      </c>
      <c r="BP354" s="1397">
        <f ca="1">IF(W354&gt;=$J$5,0,CONTADORES!$BQ368)</f>
        <v>0</v>
      </c>
      <c r="BQ354" s="1397">
        <f ca="1">IF(B354&gt;=$J$5,0,(CONTADORES!AS368-CONTADORES!AS367))</f>
        <v>0</v>
      </c>
      <c r="BR354" s="1397">
        <f ca="1">IF(B354&gt;=$J$5,0,(CONTADORES!AT368-CONTADORES!AT367))</f>
        <v>0</v>
      </c>
      <c r="BS354" s="1397">
        <f ca="1">IF(B354&gt;=$J$5,0,CONTADORES!BR368-CONTADORES!BR367)/1000</f>
        <v>0</v>
      </c>
      <c r="BT354" s="1397">
        <f ca="1">IF(B354&gt;=$J$5,0,CONTADORES!BS368-CONTADORES!BS367)</f>
        <v>0</v>
      </c>
      <c r="BU354" s="1397">
        <f ca="1">IF(B354&gt;=$J$5,0,CONTADORES!BT368-CONTADORES!BT367)</f>
        <v>0</v>
      </c>
      <c r="BV354" s="1397">
        <f ca="1">IF(B354&gt;=$J$5,0,CONTADORES!BU368-CONTADORES!BU367)/1000</f>
        <v>0</v>
      </c>
      <c r="BW354" s="1397">
        <f ca="1">IF(B354&gt;=$J$5,0,CONTADORES!BV368-CONTADORES!BV367)/1000</f>
        <v>0</v>
      </c>
      <c r="BX354" s="1397">
        <f ca="1">IF(B354&gt;=$J$5,0,CONTADORES!BW368-CONTADORES!BW367)</f>
        <v>0</v>
      </c>
      <c r="BY354" s="1397">
        <f ca="1">IF(B354&gt;=$J$5,0,CONTADORES!BX368-CONTADORES!BX367)/1000</f>
        <v>0</v>
      </c>
      <c r="BZ354" s="1397">
        <f ca="1">IF(B354&gt;=$J$5,0,CONTADORES!BY368-CONTADORES!BY367)/1000</f>
        <v>0</v>
      </c>
      <c r="CA354" s="1397">
        <f ca="1">IF(B354&gt;=$J$5,0,CONTADORES!BZ368-CONTADORES!BZ367)</f>
        <v>0</v>
      </c>
      <c r="CB354" s="1397">
        <f ca="1">IF(B354&gt;=$J$5,0,(CONTADORES!CC368-CONTADORES!CC367)+(CONTADORES!CE368-CONTADORES!CE367))/1000</f>
        <v>0</v>
      </c>
      <c r="CC354" s="1397">
        <f ca="1">IF(B354&gt;=$J$5,0,(CONTADORES!CD368-CONTADORES!CD367)+(CONTADORES!CF368-CONTADORES!CF367))/1000</f>
        <v>0</v>
      </c>
      <c r="CD354" s="1397">
        <f ca="1">IF(B354&gt;=$J$5,0,CONTADORES!CA368-CONTADORES!CA367)</f>
        <v>0</v>
      </c>
      <c r="CE354" s="1397">
        <f ca="1">IF(B354&gt;=$J$5,0,CONTADORES!CB368-CONTADORES!CB367)</f>
        <v>0</v>
      </c>
      <c r="CF354" s="1397">
        <f t="shared" ca="1" si="181"/>
        <v>0</v>
      </c>
      <c r="CG354" s="1397">
        <f t="shared" ca="1" si="182"/>
        <v>0</v>
      </c>
      <c r="CH354" s="1397">
        <f t="shared" ca="1" si="183"/>
        <v>0</v>
      </c>
      <c r="CI354" s="1397">
        <f t="shared" ca="1" si="184"/>
        <v>0</v>
      </c>
      <c r="CJ354" s="1397">
        <f t="shared" ca="1" si="185"/>
        <v>0</v>
      </c>
      <c r="CK354" s="1397">
        <f t="shared" ca="1" si="186"/>
        <v>0</v>
      </c>
      <c r="CL354" s="1397">
        <f t="shared" ca="1" si="187"/>
        <v>0</v>
      </c>
      <c r="CM354" s="1397">
        <f t="shared" ca="1" si="188"/>
        <v>0</v>
      </c>
      <c r="CN354" s="1397">
        <f ca="1">IF(B354&gt;=$J$5,0,CONTADORES!CB368-CONTADORES!CB367)</f>
        <v>0</v>
      </c>
      <c r="CO354" s="1397">
        <f t="shared" ca="1" si="189"/>
        <v>0</v>
      </c>
      <c r="CP354" s="1397">
        <f t="shared" ca="1" si="190"/>
        <v>0</v>
      </c>
      <c r="CQ354" s="1397">
        <f t="shared" ca="1" si="191"/>
        <v>0</v>
      </c>
      <c r="CR354" s="1397">
        <f t="shared" ca="1" si="192"/>
        <v>0</v>
      </c>
      <c r="CS354" s="1403">
        <f ca="1">IF($B354&gt;=$J$5,0,CONTADORES!$BI368)</f>
        <v>0</v>
      </c>
      <c r="CT354" s="1369">
        <f>CONTADORES!E368</f>
        <v>0</v>
      </c>
      <c r="CU354" s="1369">
        <f>CONTADORES!CG368</f>
        <v>0</v>
      </c>
    </row>
    <row r="355" spans="2:99">
      <c r="B355" s="390">
        <v>45271</v>
      </c>
      <c r="C355" s="198">
        <f t="shared" ca="1" si="166"/>
        <v>0</v>
      </c>
      <c r="D355" s="196">
        <f ca="1">'CALCULO DE GAS'!P184</f>
        <v>0</v>
      </c>
      <c r="E355" s="196">
        <f ca="1">IF(B355&gt;=$J$5,0,(CONTADORES!$AD369-CONTADORES!$AD368)-$H355)</f>
        <v>0</v>
      </c>
      <c r="F355" s="198">
        <f t="shared" ca="1" si="195"/>
        <v>0</v>
      </c>
      <c r="G355" s="196">
        <f ca="1">IF(B355&gt;=$J$5,0,CONTADORES!$AF369-CONTADORES!$AF368)</f>
        <v>0</v>
      </c>
      <c r="H355" s="196">
        <f ca="1">IF(G355&gt;0,CONTADORES!$AE369-CONTADORES!$AE368,0)</f>
        <v>0</v>
      </c>
      <c r="I355" s="199">
        <f ca="1">IF(B355&gt;=$J$5,0,CONTADORES!$AB369-CONTADORES!$AB368)</f>
        <v>0</v>
      </c>
      <c r="J355" s="198">
        <f t="shared" ca="1" si="167"/>
        <v>0</v>
      </c>
      <c r="K355" s="196">
        <f ca="1">'CALCULO DE GAS'!Q184</f>
        <v>0</v>
      </c>
      <c r="L355" s="1413">
        <f ca="1">IF(B355&gt;=$J$5,0,(CONTADORES!$Y369-CONTADORES!$Y368)-$O355)</f>
        <v>0</v>
      </c>
      <c r="M355" s="1396">
        <f t="shared" ca="1" si="196"/>
        <v>0</v>
      </c>
      <c r="N355" s="1396">
        <f ca="1">IF(B355&gt;=$J$5,0,CONTADORES!$AA369-CONTADORES!$AA368)</f>
        <v>0</v>
      </c>
      <c r="O355" s="1396">
        <f ca="1">IF(N355&gt;0,CONTADORES!$Z369-CONTADORES!$Z368,0)</f>
        <v>0</v>
      </c>
      <c r="P355" s="202">
        <f ca="1">IF(B355&gt;=$J$5,0,CONTADORES!$W369-CONTADORES!$W368)</f>
        <v>0</v>
      </c>
      <c r="Q355" s="202">
        <f ca="1">IF(B355&gt;=$J$5,0,CONTADORES!$B369-CONTADORES!$B368)</f>
        <v>0</v>
      </c>
      <c r="R355" s="196">
        <f t="shared" ca="1" si="169"/>
        <v>0</v>
      </c>
      <c r="S355" s="11">
        <f ca="1">IF(B355&gt;=$J$5,0,CONTADORES!$D369-CONTADORES!$D368)</f>
        <v>0</v>
      </c>
      <c r="T355" s="198">
        <f ca="1">IF(B355&gt;=$J$5,0,CONTADORES!$BB369-CONTADORES!$BB368)</f>
        <v>0</v>
      </c>
      <c r="U355" s="196">
        <f t="shared" ca="1" si="162"/>
        <v>0</v>
      </c>
      <c r="V355" s="11">
        <f ca="1">IF(B355&gt;=$J$5,0,CONTADORES!$BD369-CONTADORES!$BD368)</f>
        <v>0</v>
      </c>
      <c r="W355" s="1397">
        <f t="shared" ca="1" si="170"/>
        <v>0</v>
      </c>
      <c r="X355" s="1397">
        <f t="shared" ca="1" si="171"/>
        <v>0</v>
      </c>
      <c r="Y355" s="1398">
        <f t="shared" ca="1" si="172"/>
        <v>0</v>
      </c>
      <c r="Z355" s="1398">
        <f t="shared" ca="1" si="173"/>
        <v>0</v>
      </c>
      <c r="AA355" s="1398">
        <f t="shared" ca="1" si="174"/>
        <v>0</v>
      </c>
      <c r="AB355" s="1398">
        <f t="shared" ca="1" si="175"/>
        <v>0</v>
      </c>
      <c r="AC355" s="1397">
        <f t="shared" ca="1" si="176"/>
        <v>0</v>
      </c>
      <c r="AD355" s="1397">
        <f ca="1">IF(B355&gt;=$J$5,0,CONTADORES!H369-CONTADORES!H368)</f>
        <v>0</v>
      </c>
      <c r="AE355" s="1397">
        <f ca="1">IF(B355&gt;=$J$5,0,CONTADORES!J369-CONTADORES!J368)</f>
        <v>0</v>
      </c>
      <c r="AF355" s="1397">
        <f ca="1">IF(B355&gt;=$J$5,0,CONTADORES!AU369-CONTADORES!AU368)</f>
        <v>0</v>
      </c>
      <c r="AG355" s="1397">
        <f ca="1">IF(B355&gt;=$J$5,0,CONTADORES!AW369-CONTADORES!AW368)</f>
        <v>0</v>
      </c>
      <c r="AH355" s="1398">
        <f ca="1">IF(B355&gt;=$J$5,0,(CONTADORES!AM369-CONTADORES!AM368)+(CONTADORES!M369-CONTADORES!M368))</f>
        <v>0</v>
      </c>
      <c r="AI355" s="1397">
        <f ca="1">IF(B355&gt;=$J$5,0,(CONTADORES!AK369-CONTADORES!AK368)+(CONTADORES!O369-CONTADORES!O368))</f>
        <v>0</v>
      </c>
      <c r="AJ355" s="1397">
        <f ca="1">IF(B355&gt;=$J$5,0,(CONTADORES!AI369-CONTADORES!AI368))</f>
        <v>0</v>
      </c>
      <c r="AK355" s="1397">
        <f ca="1">IF(B355&gt;=$J$5,0,(CONTADORES!Q369-CONTADORES!Q368))</f>
        <v>0</v>
      </c>
      <c r="AL355" s="1461">
        <f t="shared" ca="1" si="177"/>
        <v>0</v>
      </c>
      <c r="AM355" s="1397">
        <f ca="1">IF(B355&gt;=$J$5,0,(((CONTADORES!F369-CONTADORES!F368)+(CONTADORES!AQ369-CONTADORES!AQ368))))-BS355-AF355-AN355-BV355-BY355-CD355-CB355+T355</f>
        <v>0</v>
      </c>
      <c r="AN355" s="1402">
        <f ca="1">IF(B355&gt;=$J$5,0,(CONTADORES!AX369-CONTADORES!AX368)+(CONTADORES!AZ369-CONTADORES!AZ368)+(CONTADORES!BE369-CONTADORES!BE368))-CB355</f>
        <v>0</v>
      </c>
      <c r="AO355" s="1399">
        <f ca="1">IF(B355&gt;=$J$5,0,(CONTADORES!AC369-CONTADORES!AC368))</f>
        <v>0</v>
      </c>
      <c r="AP355" s="1433">
        <f ca="1">IF(B355&gt;=$J$5,0,(CONTADORES!X369-CONTADORES!X368))</f>
        <v>0</v>
      </c>
      <c r="AQ355" s="1404">
        <f ca="1">IF(B355&gt;=$J$5,0,(CONTADORES!C369-CONTADORES!C368))</f>
        <v>0</v>
      </c>
      <c r="AR355" s="1399">
        <f ca="1">IF(B355&gt;=$J$5,0,(CONTADORES!BC369-CONTADORES!BC368))</f>
        <v>0</v>
      </c>
      <c r="AS355" s="1397">
        <f ca="1">IF(B355&gt;=$J$5,0,CONTADORES!S369-CONTADORES!S368)</f>
        <v>0</v>
      </c>
      <c r="AT355" s="1397">
        <f ca="1">IF(B355&gt;=$J$5,0,(CONTADORES!U369-CONTADORES!U368)+(CONTADORES!AG369-CONTADORES!AG368))</f>
        <v>0</v>
      </c>
      <c r="AU355" s="1433">
        <f ca="1">IF(B355&gt;=$J$5,0,(CONTADORES!I369-CONTADORES!I368))</f>
        <v>0</v>
      </c>
      <c r="AV355" s="1399">
        <f ca="1">IF(B355&gt;=$J$5,0,(CONTADORES!AV369-CONTADORES!AV368))</f>
        <v>0</v>
      </c>
      <c r="AW355" s="1399">
        <f ca="1">IF(B355&gt;=$J$5,0,(CONTADORES!N369-CONTADORES!N368)+(CONTADORES!AN369-CONTADORES!AN368))</f>
        <v>0</v>
      </c>
      <c r="AX355" s="1399">
        <f ca="1">IF(B355&gt;=$J$5,0,(CONTADORES!P369-CONTADORES!P368)+(CONTADORES!AL369-CONTADORES!AL368))</f>
        <v>0</v>
      </c>
      <c r="AY355" s="1399">
        <f ca="1">IF(B355&gt;=$J$5,0,(CONTADORES!AJ369-CONTADORES!AJ368))</f>
        <v>0</v>
      </c>
      <c r="AZ355" s="1399">
        <f ca="1">IF(B355&gt;=$J$5,0,(CONTADORES!R369-CONTADORES!R368))</f>
        <v>0</v>
      </c>
      <c r="BA355" s="1409">
        <f t="shared" ca="1" si="178"/>
        <v>0</v>
      </c>
      <c r="BB355" s="1417">
        <f ca="1">IF(B355&gt;=$J$5,0,(((CONTADORES!G369-CONTADORES!G368)+(CONTADORES!AR369-CONTADORES!AR368))))-AV355-BC355-BT355-BW355-BZ355-CE355-AR355</f>
        <v>0</v>
      </c>
      <c r="BC355" s="1397">
        <f ca="1">IF(B355&gt;=$J$5,0,(CONTADORES!AY369-CONTADORES!AY368)+(CONTADORES!BA369-CONTADORES!BA368)+(CONTADORES!BF369-CONTADORES!BF368))</f>
        <v>0</v>
      </c>
      <c r="BD355" s="1397">
        <f t="shared" ca="1" si="179"/>
        <v>0</v>
      </c>
      <c r="BE355" s="1398">
        <f ca="1">IF($B355&gt;=$J$5,0,CONTADORES!$BG369)</f>
        <v>0</v>
      </c>
      <c r="BF355" s="1397">
        <f ca="1">IF($B355&gt;=$J$5,0,CONTADORES!$BH369)</f>
        <v>0</v>
      </c>
      <c r="BG355" s="1397">
        <f ca="1">IF($B355&gt;=$J$5,0,CONTADORES!$BJ369)</f>
        <v>0</v>
      </c>
      <c r="BH355" s="1397">
        <f ca="1">IF(B355&gt;=$J$5,0,((CONTADORES!BK369-CONTADORES!BK368)/1000))</f>
        <v>0</v>
      </c>
      <c r="BI355" s="1397">
        <f ca="1">IF(C355&gt;=$J$5,0,((CONTADORES!BL369-CONTADORES!BL368)/1000))</f>
        <v>0</v>
      </c>
      <c r="BJ355" s="1397">
        <f ca="1">IF(C355&gt;=$J$5,0,((CONTADORES!BM369-CONTADORES!BM368)/1000))</f>
        <v>0</v>
      </c>
      <c r="BK355" s="1397">
        <f ca="1">IF(D355&gt;=$J$5,0,((CONTADORES!BN369-CONTADORES!BN368)/1000))</f>
        <v>0</v>
      </c>
      <c r="BL355" s="1399">
        <f t="shared" ca="1" si="194"/>
        <v>0</v>
      </c>
      <c r="BM355" s="1399">
        <f t="shared" ca="1" si="180"/>
        <v>0</v>
      </c>
      <c r="BN355" s="1398">
        <f ca="1">IF(B355&gt;=$J$5,0,CONTADORES!$BO369)</f>
        <v>0</v>
      </c>
      <c r="BO355" s="1397">
        <f ca="1">IF(W355&gt;=$J$5,0,CONTADORES!$BP369)</f>
        <v>0</v>
      </c>
      <c r="BP355" s="1397">
        <f ca="1">IF(W355&gt;=$J$5,0,CONTADORES!$BQ369)</f>
        <v>0</v>
      </c>
      <c r="BQ355" s="1397">
        <f ca="1">IF(B355&gt;=$J$5,0,(CONTADORES!AS369-CONTADORES!AS368))</f>
        <v>0</v>
      </c>
      <c r="BR355" s="1397">
        <f ca="1">IF(B355&gt;=$J$5,0,(CONTADORES!AT369-CONTADORES!AT368))</f>
        <v>0</v>
      </c>
      <c r="BS355" s="1397">
        <f ca="1">IF(B355&gt;=$J$5,0,CONTADORES!BR369-CONTADORES!BR368)/1000</f>
        <v>0</v>
      </c>
      <c r="BT355" s="1397">
        <f ca="1">IF(B355&gt;=$J$5,0,CONTADORES!BS369-CONTADORES!BS368)</f>
        <v>0</v>
      </c>
      <c r="BU355" s="1397">
        <f ca="1">IF(B355&gt;=$J$5,0,CONTADORES!BT369-CONTADORES!BT368)</f>
        <v>0</v>
      </c>
      <c r="BV355" s="1397">
        <f ca="1">IF(B355&gt;=$J$5,0,CONTADORES!BU369-CONTADORES!BU368)/1000</f>
        <v>0</v>
      </c>
      <c r="BW355" s="1397">
        <f ca="1">IF(B355&gt;=$J$5,0,CONTADORES!BV369-CONTADORES!BV368)/1000</f>
        <v>0</v>
      </c>
      <c r="BX355" s="1397">
        <f ca="1">IF(B355&gt;=$J$5,0,CONTADORES!BW369-CONTADORES!BW368)</f>
        <v>0</v>
      </c>
      <c r="BY355" s="1397">
        <f ca="1">IF(B355&gt;=$J$5,0,CONTADORES!BX369-CONTADORES!BX368)/1000</f>
        <v>0</v>
      </c>
      <c r="BZ355" s="1397">
        <f ca="1">IF(B355&gt;=$J$5,0,CONTADORES!BY369-CONTADORES!BY368)/1000</f>
        <v>0</v>
      </c>
      <c r="CA355" s="1397">
        <f ca="1">IF(B355&gt;=$J$5,0,CONTADORES!BZ369-CONTADORES!BZ368)</f>
        <v>0</v>
      </c>
      <c r="CB355" s="1397">
        <f ca="1">IF(B355&gt;=$J$5,0,(CONTADORES!CC369-CONTADORES!CC368)+(CONTADORES!CE369-CONTADORES!CE368))/1000</f>
        <v>0</v>
      </c>
      <c r="CC355" s="1397">
        <f ca="1">IF(B355&gt;=$J$5,0,(CONTADORES!CD369-CONTADORES!CD368)+(CONTADORES!CF369-CONTADORES!CF368))/1000</f>
        <v>0</v>
      </c>
      <c r="CD355" s="1397">
        <f ca="1">IF(B355&gt;=$J$5,0,CONTADORES!CA369-CONTADORES!CA368)</f>
        <v>0</v>
      </c>
      <c r="CE355" s="1397">
        <f ca="1">IF(B355&gt;=$J$5,0,CONTADORES!CB369-CONTADORES!CB368)</f>
        <v>0</v>
      </c>
      <c r="CF355" s="1397">
        <f t="shared" ca="1" si="181"/>
        <v>0</v>
      </c>
      <c r="CG355" s="1397">
        <f t="shared" ca="1" si="182"/>
        <v>0</v>
      </c>
      <c r="CH355" s="1397">
        <f t="shared" ca="1" si="183"/>
        <v>0</v>
      </c>
      <c r="CI355" s="1397">
        <f t="shared" ca="1" si="184"/>
        <v>0</v>
      </c>
      <c r="CJ355" s="1397">
        <f t="shared" ca="1" si="185"/>
        <v>0</v>
      </c>
      <c r="CK355" s="1397">
        <f t="shared" ca="1" si="186"/>
        <v>0</v>
      </c>
      <c r="CL355" s="1397">
        <f t="shared" ca="1" si="187"/>
        <v>0</v>
      </c>
      <c r="CM355" s="1397">
        <f t="shared" ca="1" si="188"/>
        <v>0</v>
      </c>
      <c r="CN355" s="1397">
        <f ca="1">IF(B355&gt;=$J$5,0,CONTADORES!CB369-CONTADORES!CB368)</f>
        <v>0</v>
      </c>
      <c r="CO355" s="1397">
        <f t="shared" ca="1" si="189"/>
        <v>0</v>
      </c>
      <c r="CP355" s="1397">
        <f t="shared" ca="1" si="190"/>
        <v>0</v>
      </c>
      <c r="CQ355" s="1397">
        <f t="shared" ca="1" si="191"/>
        <v>0</v>
      </c>
      <c r="CR355" s="1397">
        <f t="shared" ca="1" si="192"/>
        <v>0</v>
      </c>
      <c r="CS355" s="1403">
        <f ca="1">IF($B355&gt;=$J$5,0,CONTADORES!$BI369)</f>
        <v>0</v>
      </c>
      <c r="CT355" s="1369">
        <f>CONTADORES!E369</f>
        <v>0</v>
      </c>
      <c r="CU355" s="1369">
        <f>CONTADORES!CG369</f>
        <v>0</v>
      </c>
    </row>
    <row r="356" spans="2:99">
      <c r="B356" s="390">
        <v>45272</v>
      </c>
      <c r="C356" s="198">
        <f t="shared" ca="1" si="166"/>
        <v>0</v>
      </c>
      <c r="D356" s="196">
        <f ca="1">'CALCULO DE GAS'!P185</f>
        <v>0</v>
      </c>
      <c r="E356" s="196">
        <f ca="1">IF(B356&gt;=$J$5,0,(CONTADORES!$AD370-CONTADORES!$AD369)-$H356)</f>
        <v>0</v>
      </c>
      <c r="F356" s="198">
        <f t="shared" ca="1" si="195"/>
        <v>0</v>
      </c>
      <c r="G356" s="196">
        <f ca="1">IF(B356&gt;=$J$5,0,CONTADORES!$AF370-CONTADORES!$AF369)</f>
        <v>0</v>
      </c>
      <c r="H356" s="196">
        <f ca="1">IF(G356&gt;0,CONTADORES!$AE370-CONTADORES!$AE369,0)</f>
        <v>0</v>
      </c>
      <c r="I356" s="199">
        <f ca="1">IF(B356&gt;=$J$5,0,CONTADORES!$AB370-CONTADORES!$AB369)</f>
        <v>0</v>
      </c>
      <c r="J356" s="198">
        <f t="shared" ca="1" si="167"/>
        <v>0</v>
      </c>
      <c r="K356" s="196">
        <f ca="1">'CALCULO DE GAS'!Q185</f>
        <v>0</v>
      </c>
      <c r="L356" s="1413">
        <f ca="1">IF(B356&gt;=$J$5,0,(CONTADORES!$Y370-CONTADORES!$Y369)-$O356)</f>
        <v>0</v>
      </c>
      <c r="M356" s="1396">
        <f t="shared" ca="1" si="196"/>
        <v>0</v>
      </c>
      <c r="N356" s="1396">
        <f ca="1">IF(B356&gt;=$J$5,0,CONTADORES!$AA370-CONTADORES!$AA369)</f>
        <v>0</v>
      </c>
      <c r="O356" s="1396">
        <f ca="1">IF(N356&gt;0,CONTADORES!$Z370-CONTADORES!$Z369,0)</f>
        <v>0</v>
      </c>
      <c r="P356" s="202">
        <f ca="1">IF(B356&gt;=$J$5,0,CONTADORES!$W370-CONTADORES!$W369)</f>
        <v>0</v>
      </c>
      <c r="Q356" s="202">
        <f ca="1">IF(B356&gt;=$J$5,0,CONTADORES!$B370-CONTADORES!$B369)</f>
        <v>0</v>
      </c>
      <c r="R356" s="196">
        <f t="shared" ca="1" si="169"/>
        <v>0</v>
      </c>
      <c r="S356" s="11">
        <f ca="1">IF(B356&gt;=$J$5,0,CONTADORES!$D370-CONTADORES!$D369)</f>
        <v>0</v>
      </c>
      <c r="T356" s="198">
        <f ca="1">IF(B356&gt;=$J$5,0,CONTADORES!$BB370-CONTADORES!$BB369)</f>
        <v>0</v>
      </c>
      <c r="U356" s="196">
        <f t="shared" ca="1" si="162"/>
        <v>0</v>
      </c>
      <c r="V356" s="11">
        <f ca="1">IF(B356&gt;=$J$5,0,CONTADORES!$BD370-CONTADORES!$BD369)</f>
        <v>0</v>
      </c>
      <c r="W356" s="1397">
        <f t="shared" ca="1" si="170"/>
        <v>0</v>
      </c>
      <c r="X356" s="1397">
        <f t="shared" ca="1" si="171"/>
        <v>0</v>
      </c>
      <c r="Y356" s="1398">
        <f t="shared" ca="1" si="172"/>
        <v>0</v>
      </c>
      <c r="Z356" s="1398">
        <f t="shared" ca="1" si="173"/>
        <v>0</v>
      </c>
      <c r="AA356" s="1398">
        <f t="shared" ca="1" si="174"/>
        <v>0</v>
      </c>
      <c r="AB356" s="1398">
        <f t="shared" ca="1" si="175"/>
        <v>0</v>
      </c>
      <c r="AC356" s="1397">
        <f t="shared" ca="1" si="176"/>
        <v>0</v>
      </c>
      <c r="AD356" s="1397">
        <f ca="1">IF(B356&gt;=$J$5,0,CONTADORES!H370-CONTADORES!H369)</f>
        <v>0</v>
      </c>
      <c r="AE356" s="1397">
        <f ca="1">IF(B356&gt;=$J$5,0,CONTADORES!J370-CONTADORES!J369)</f>
        <v>0</v>
      </c>
      <c r="AF356" s="1397">
        <f ca="1">IF(B356&gt;=$J$5,0,CONTADORES!AU370-CONTADORES!AU369)</f>
        <v>0</v>
      </c>
      <c r="AG356" s="1397">
        <f ca="1">IF(B356&gt;=$J$5,0,CONTADORES!AW370-CONTADORES!AW369)</f>
        <v>0</v>
      </c>
      <c r="AH356" s="1398">
        <f ca="1">IF(B356&gt;=$J$5,0,(CONTADORES!AM370-CONTADORES!AM369)+(CONTADORES!M370-CONTADORES!M369))</f>
        <v>0</v>
      </c>
      <c r="AI356" s="1397">
        <f ca="1">IF(B356&gt;=$J$5,0,(CONTADORES!AK370-CONTADORES!AK369)+(CONTADORES!O370-CONTADORES!O369))</f>
        <v>0</v>
      </c>
      <c r="AJ356" s="1397">
        <f ca="1">IF(B356&gt;=$J$5,0,(CONTADORES!AI370-CONTADORES!AI369))</f>
        <v>0</v>
      </c>
      <c r="AK356" s="1397">
        <f ca="1">IF(B356&gt;=$J$5,0,(CONTADORES!Q370-CONTADORES!Q369))</f>
        <v>0</v>
      </c>
      <c r="AL356" s="1461">
        <f t="shared" ca="1" si="177"/>
        <v>0</v>
      </c>
      <c r="AM356" s="1397">
        <f ca="1">IF(B356&gt;=$J$5,0,(((CONTADORES!F370-CONTADORES!F369)+(CONTADORES!AQ370-CONTADORES!AQ369))))-BS356-AF356-AN356-BV356-BY356-CD356-CB356+T356</f>
        <v>0</v>
      </c>
      <c r="AN356" s="1402">
        <f ca="1">IF(B356&gt;=$J$5,0,(CONTADORES!AX370-CONTADORES!AX369)+(CONTADORES!AZ370-CONTADORES!AZ369)+(CONTADORES!BE370-CONTADORES!BE369))-CB356</f>
        <v>0</v>
      </c>
      <c r="AO356" s="1399">
        <f ca="1">IF(B356&gt;=$J$5,0,(CONTADORES!AC370-CONTADORES!AC369))</f>
        <v>0</v>
      </c>
      <c r="AP356" s="1433">
        <f ca="1">IF(B356&gt;=$J$5,0,(CONTADORES!X370-CONTADORES!X369))</f>
        <v>0</v>
      </c>
      <c r="AQ356" s="1404">
        <f ca="1">IF(B356&gt;=$J$5,0,(CONTADORES!C370-CONTADORES!C369))</f>
        <v>0</v>
      </c>
      <c r="AR356" s="1399">
        <f ca="1">IF(B356&gt;=$J$5,0,(CONTADORES!BC370-CONTADORES!BC369))</f>
        <v>0</v>
      </c>
      <c r="AS356" s="1397">
        <f ca="1">IF(B356&gt;=$J$5,0,CONTADORES!S370-CONTADORES!S369)</f>
        <v>0</v>
      </c>
      <c r="AT356" s="1397">
        <f ca="1">IF(B356&gt;=$J$5,0,(CONTADORES!U370-CONTADORES!U369)+(CONTADORES!AG370-CONTADORES!AG369))</f>
        <v>0</v>
      </c>
      <c r="AU356" s="1433">
        <f ca="1">IF(B356&gt;=$J$5,0,(CONTADORES!I370-CONTADORES!I369))</f>
        <v>0</v>
      </c>
      <c r="AV356" s="1399">
        <f ca="1">IF(B356&gt;=$J$5,0,(CONTADORES!AV370-CONTADORES!AV369))</f>
        <v>0</v>
      </c>
      <c r="AW356" s="1399">
        <f ca="1">IF(B356&gt;=$J$5,0,(CONTADORES!N370-CONTADORES!N369)+(CONTADORES!AN370-CONTADORES!AN369))</f>
        <v>0</v>
      </c>
      <c r="AX356" s="1399">
        <f ca="1">IF(B356&gt;=$J$5,0,(CONTADORES!P370-CONTADORES!P369)+(CONTADORES!AL370-CONTADORES!AL369))</f>
        <v>0</v>
      </c>
      <c r="AY356" s="1399">
        <f ca="1">IF(B356&gt;=$J$5,0,(CONTADORES!AJ370-CONTADORES!AJ369))</f>
        <v>0</v>
      </c>
      <c r="AZ356" s="1399">
        <f ca="1">IF(B356&gt;=$J$5,0,(CONTADORES!R370-CONTADORES!R369))</f>
        <v>0</v>
      </c>
      <c r="BA356" s="1409">
        <f t="shared" ca="1" si="178"/>
        <v>0</v>
      </c>
      <c r="BB356" s="1417">
        <f ca="1">IF(B356&gt;=$J$5,0,(((CONTADORES!G370-CONTADORES!G369)+(CONTADORES!AR370-CONTADORES!AR369))))-AV356-BC356-BT356-BW356-BZ356-CE356-AR356</f>
        <v>0</v>
      </c>
      <c r="BC356" s="1397">
        <f ca="1">IF(B356&gt;=$J$5,0,(CONTADORES!AY370-CONTADORES!AY369)+(CONTADORES!BA370-CONTADORES!BA369)+(CONTADORES!BF370-CONTADORES!BF369))</f>
        <v>0</v>
      </c>
      <c r="BD356" s="1397">
        <f t="shared" ca="1" si="179"/>
        <v>0</v>
      </c>
      <c r="BE356" s="1398">
        <f ca="1">IF($B356&gt;=$J$5,0,CONTADORES!$BG370)</f>
        <v>0</v>
      </c>
      <c r="BF356" s="1397">
        <f ca="1">IF($B356&gt;=$J$5,0,CONTADORES!$BH370)</f>
        <v>0</v>
      </c>
      <c r="BG356" s="1397">
        <f ca="1">IF($B356&gt;=$J$5,0,CONTADORES!$BJ370)</f>
        <v>0</v>
      </c>
      <c r="BH356" s="1397">
        <f ca="1">IF(B356&gt;=$J$5,0,((CONTADORES!BK370-CONTADORES!BK369)/1000))</f>
        <v>0</v>
      </c>
      <c r="BI356" s="1397">
        <f ca="1">IF(C356&gt;=$J$5,0,((CONTADORES!BL370-CONTADORES!BL369)/1000))</f>
        <v>0</v>
      </c>
      <c r="BJ356" s="1397">
        <f ca="1">IF(C356&gt;=$J$5,0,((CONTADORES!BM370-CONTADORES!BM369)/1000))</f>
        <v>0</v>
      </c>
      <c r="BK356" s="1397">
        <f ca="1">IF(D356&gt;=$J$5,0,((CONTADORES!BN370-CONTADORES!BN369)/1000))</f>
        <v>0</v>
      </c>
      <c r="BL356" s="1399">
        <f t="shared" ca="1" si="194"/>
        <v>0</v>
      </c>
      <c r="BM356" s="1399">
        <f t="shared" ca="1" si="180"/>
        <v>0</v>
      </c>
      <c r="BN356" s="1398">
        <f ca="1">IF(B356&gt;=$J$5,0,CONTADORES!$BO370)</f>
        <v>0</v>
      </c>
      <c r="BO356" s="1397">
        <f ca="1">IF(W356&gt;=$J$5,0,CONTADORES!$BP370)</f>
        <v>0</v>
      </c>
      <c r="BP356" s="1397">
        <f ca="1">IF(W356&gt;=$J$5,0,CONTADORES!$BQ370)</f>
        <v>0</v>
      </c>
      <c r="BQ356" s="1397">
        <f ca="1">IF(B356&gt;=$J$5,0,(CONTADORES!AS370-CONTADORES!AS369))</f>
        <v>0</v>
      </c>
      <c r="BR356" s="1397">
        <f ca="1">IF(B356&gt;=$J$5,0,(CONTADORES!AT370-CONTADORES!AT369))</f>
        <v>0</v>
      </c>
      <c r="BS356" s="1397">
        <f ca="1">IF(B356&gt;=$J$5,0,CONTADORES!BR370-CONTADORES!BR369)/1000</f>
        <v>0</v>
      </c>
      <c r="BT356" s="1397">
        <f ca="1">IF(B356&gt;=$J$5,0,CONTADORES!BS370-CONTADORES!BS369)</f>
        <v>0</v>
      </c>
      <c r="BU356" s="1397">
        <f ca="1">IF(B356&gt;=$J$5,0,CONTADORES!BT370-CONTADORES!BT369)</f>
        <v>0</v>
      </c>
      <c r="BV356" s="1397">
        <f ca="1">IF(B356&gt;=$J$5,0,CONTADORES!BU370-CONTADORES!BU369)/1000</f>
        <v>0</v>
      </c>
      <c r="BW356" s="1397">
        <f ca="1">IF(B356&gt;=$J$5,0,CONTADORES!BV370-CONTADORES!BV369)/1000</f>
        <v>0</v>
      </c>
      <c r="BX356" s="1397">
        <f ca="1">IF(B356&gt;=$J$5,0,CONTADORES!BW370-CONTADORES!BW369)</f>
        <v>0</v>
      </c>
      <c r="BY356" s="1397">
        <f ca="1">IF(B356&gt;=$J$5,0,CONTADORES!BX370-CONTADORES!BX369)/1000</f>
        <v>0</v>
      </c>
      <c r="BZ356" s="1397">
        <f ca="1">IF(B356&gt;=$J$5,0,CONTADORES!BY370-CONTADORES!BY369)/1000</f>
        <v>0</v>
      </c>
      <c r="CA356" s="1397">
        <f ca="1">IF(B356&gt;=$J$5,0,CONTADORES!BZ370-CONTADORES!BZ369)</f>
        <v>0</v>
      </c>
      <c r="CB356" s="1397">
        <f ca="1">IF(B356&gt;=$J$5,0,(CONTADORES!CC370-CONTADORES!CC369)+(CONTADORES!CE370-CONTADORES!CE369))/1000</f>
        <v>0</v>
      </c>
      <c r="CC356" s="1397">
        <f ca="1">IF(B356&gt;=$J$5,0,(CONTADORES!CD370-CONTADORES!CD369)+(CONTADORES!CF370-CONTADORES!CF369))/1000</f>
        <v>0</v>
      </c>
      <c r="CD356" s="1397">
        <f ca="1">IF(B356&gt;=$J$5,0,CONTADORES!CA370-CONTADORES!CA369)</f>
        <v>0</v>
      </c>
      <c r="CE356" s="1397">
        <f ca="1">IF(B356&gt;=$J$5,0,CONTADORES!CB370-CONTADORES!CB369)</f>
        <v>0</v>
      </c>
      <c r="CF356" s="1397">
        <f t="shared" ca="1" si="181"/>
        <v>0</v>
      </c>
      <c r="CG356" s="1397">
        <f t="shared" ca="1" si="182"/>
        <v>0</v>
      </c>
      <c r="CH356" s="1397">
        <f t="shared" ca="1" si="183"/>
        <v>0</v>
      </c>
      <c r="CI356" s="1397">
        <f t="shared" ca="1" si="184"/>
        <v>0</v>
      </c>
      <c r="CJ356" s="1397">
        <f t="shared" ca="1" si="185"/>
        <v>0</v>
      </c>
      <c r="CK356" s="1397">
        <f t="shared" ca="1" si="186"/>
        <v>0</v>
      </c>
      <c r="CL356" s="1397">
        <f t="shared" ca="1" si="187"/>
        <v>0</v>
      </c>
      <c r="CM356" s="1397">
        <f t="shared" ca="1" si="188"/>
        <v>0</v>
      </c>
      <c r="CN356" s="1397">
        <f ca="1">IF(B356&gt;=$J$5,0,CONTADORES!CB370-CONTADORES!CB369)</f>
        <v>0</v>
      </c>
      <c r="CO356" s="1397">
        <f t="shared" ca="1" si="189"/>
        <v>0</v>
      </c>
      <c r="CP356" s="1397">
        <f t="shared" ca="1" si="190"/>
        <v>0</v>
      </c>
      <c r="CQ356" s="1397">
        <f t="shared" ca="1" si="191"/>
        <v>0</v>
      </c>
      <c r="CR356" s="1397">
        <f t="shared" ca="1" si="192"/>
        <v>0</v>
      </c>
      <c r="CS356" s="1403">
        <f ca="1">IF($B356&gt;=$J$5,0,CONTADORES!$BI370)</f>
        <v>0</v>
      </c>
      <c r="CT356" s="1369">
        <f>CONTADORES!E370</f>
        <v>0</v>
      </c>
      <c r="CU356" s="1369">
        <f>CONTADORES!CG370</f>
        <v>0</v>
      </c>
    </row>
    <row r="357" spans="2:99">
      <c r="B357" s="390">
        <v>45273</v>
      </c>
      <c r="C357" s="198">
        <f t="shared" ca="1" si="166"/>
        <v>0</v>
      </c>
      <c r="D357" s="196">
        <f ca="1">'CALCULO DE GAS'!P186</f>
        <v>0</v>
      </c>
      <c r="E357" s="196">
        <f ca="1">IF(B357&gt;=$J$5,0,(CONTADORES!$AD371-CONTADORES!$AD370)-$H357)</f>
        <v>0</v>
      </c>
      <c r="F357" s="198">
        <f t="shared" ca="1" si="195"/>
        <v>0</v>
      </c>
      <c r="G357" s="196">
        <f ca="1">IF(B357&gt;=$J$5,0,CONTADORES!$AF371-CONTADORES!$AF370)</f>
        <v>0</v>
      </c>
      <c r="H357" s="196">
        <f ca="1">IF(G357&gt;0,CONTADORES!$AE371-CONTADORES!$AE370,0)</f>
        <v>0</v>
      </c>
      <c r="I357" s="199">
        <f ca="1">IF(B357&gt;=$J$5,0,CONTADORES!$AB371-CONTADORES!$AB370)</f>
        <v>0</v>
      </c>
      <c r="J357" s="198">
        <f t="shared" ca="1" si="167"/>
        <v>0</v>
      </c>
      <c r="K357" s="196">
        <f ca="1">'CALCULO DE GAS'!Q186</f>
        <v>0</v>
      </c>
      <c r="L357" s="1413">
        <f ca="1">IF(B357&gt;=$J$5,0,(CONTADORES!$Y371-CONTADORES!$Y370)-$O357)</f>
        <v>0</v>
      </c>
      <c r="M357" s="1396">
        <f t="shared" ca="1" si="196"/>
        <v>0</v>
      </c>
      <c r="N357" s="1396">
        <f ca="1">IF(B357&gt;=$J$5,0,CONTADORES!$AA371-CONTADORES!$AA370)</f>
        <v>0</v>
      </c>
      <c r="O357" s="1396">
        <f ca="1">IF(N357&gt;0,CONTADORES!$Z371-CONTADORES!$Z370,0)</f>
        <v>0</v>
      </c>
      <c r="P357" s="202">
        <f ca="1">IF(B357&gt;=$J$5,0,CONTADORES!$W371-CONTADORES!$W370)</f>
        <v>0</v>
      </c>
      <c r="Q357" s="202">
        <f ca="1">IF(B357&gt;=$J$5,0,CONTADORES!$B371-CONTADORES!$B370)</f>
        <v>0</v>
      </c>
      <c r="R357" s="196">
        <f t="shared" ca="1" si="169"/>
        <v>0</v>
      </c>
      <c r="S357" s="11">
        <f ca="1">IF(B357&gt;=$J$5,0,CONTADORES!$D371-CONTADORES!$D370)</f>
        <v>0</v>
      </c>
      <c r="T357" s="198">
        <f ca="1">IF(B357&gt;=$J$5,0,CONTADORES!$BB371-CONTADORES!$BB370)</f>
        <v>0</v>
      </c>
      <c r="U357" s="196">
        <f t="shared" ref="U357:U375" ca="1" si="197">$T357*120</f>
        <v>0</v>
      </c>
      <c r="V357" s="11">
        <f ca="1">IF(B357&gt;=$J$5,0,CONTADORES!$BD371-CONTADORES!$BD370)</f>
        <v>0</v>
      </c>
      <c r="W357" s="1397">
        <f t="shared" ca="1" si="170"/>
        <v>0</v>
      </c>
      <c r="X357" s="1397">
        <f t="shared" ca="1" si="171"/>
        <v>0</v>
      </c>
      <c r="Y357" s="1398">
        <f t="shared" ca="1" si="172"/>
        <v>0</v>
      </c>
      <c r="Z357" s="1398">
        <f t="shared" ca="1" si="173"/>
        <v>0</v>
      </c>
      <c r="AA357" s="1398">
        <f t="shared" ca="1" si="174"/>
        <v>0</v>
      </c>
      <c r="AB357" s="1398">
        <f t="shared" ca="1" si="175"/>
        <v>0</v>
      </c>
      <c r="AC357" s="1397">
        <f t="shared" ca="1" si="176"/>
        <v>0</v>
      </c>
      <c r="AD357" s="1397">
        <f ca="1">IF(B357&gt;=$J$5,0,CONTADORES!H371-CONTADORES!H370)</f>
        <v>0</v>
      </c>
      <c r="AE357" s="1397">
        <f ca="1">IF(B357&gt;=$J$5,0,CONTADORES!J371-CONTADORES!J370)</f>
        <v>0</v>
      </c>
      <c r="AF357" s="1397">
        <f ca="1">IF(B357&gt;=$J$5,0,CONTADORES!AU371-CONTADORES!AU370)</f>
        <v>0</v>
      </c>
      <c r="AG357" s="1397">
        <f ca="1">IF(B357&gt;=$J$5,0,CONTADORES!AW371-CONTADORES!AW370)</f>
        <v>0</v>
      </c>
      <c r="AH357" s="1398">
        <f ca="1">IF(B357&gt;=$J$5,0,(CONTADORES!AM371-CONTADORES!AM370)+(CONTADORES!M371-CONTADORES!M370))</f>
        <v>0</v>
      </c>
      <c r="AI357" s="1397">
        <f ca="1">IF(B357&gt;=$J$5,0,(CONTADORES!AK371-CONTADORES!AK370)+(CONTADORES!O371-CONTADORES!O370))</f>
        <v>0</v>
      </c>
      <c r="AJ357" s="1397">
        <f ca="1">IF(B357&gt;=$J$5,0,(CONTADORES!AI371-CONTADORES!AI370))</f>
        <v>0</v>
      </c>
      <c r="AK357" s="1397">
        <f ca="1">IF(B357&gt;=$J$5,0,(CONTADORES!Q371-CONTADORES!Q370))</f>
        <v>0</v>
      </c>
      <c r="AL357" s="1461">
        <f t="shared" ca="1" si="177"/>
        <v>0</v>
      </c>
      <c r="AM357" s="1397">
        <f ca="1">IF(B357&gt;=$J$5,0,(((CONTADORES!F371-CONTADORES!F370)+(CONTADORES!AQ371-CONTADORES!AQ370))))-BS357-AF357-AN357-BV357-BY357-CD357-CB357+T357</f>
        <v>0</v>
      </c>
      <c r="AN357" s="1402">
        <f ca="1">IF(B357&gt;=$J$5,0,(CONTADORES!AX371-CONTADORES!AX370)+(CONTADORES!AZ371-CONTADORES!AZ370)+(CONTADORES!BE371-CONTADORES!BE370))-CB357</f>
        <v>0</v>
      </c>
      <c r="AO357" s="1399">
        <f ca="1">IF(B357&gt;=$J$5,0,(CONTADORES!AC371-CONTADORES!AC370))</f>
        <v>0</v>
      </c>
      <c r="AP357" s="1433">
        <f ca="1">IF(B357&gt;=$J$5,0,(CONTADORES!X371-CONTADORES!X370))</f>
        <v>0</v>
      </c>
      <c r="AQ357" s="1404">
        <f ca="1">IF(B357&gt;=$J$5,0,(CONTADORES!C371-CONTADORES!C370))</f>
        <v>0</v>
      </c>
      <c r="AR357" s="1399">
        <f ca="1">IF(B357&gt;=$J$5,0,(CONTADORES!BC371-CONTADORES!BC370))</f>
        <v>0</v>
      </c>
      <c r="AS357" s="1397">
        <f ca="1">IF(B357&gt;=$J$5,0,CONTADORES!S371-CONTADORES!S370)</f>
        <v>0</v>
      </c>
      <c r="AT357" s="1397">
        <f ca="1">IF(B357&gt;=$J$5,0,(CONTADORES!U371-CONTADORES!U370)+(CONTADORES!AG371-CONTADORES!AG370))</f>
        <v>0</v>
      </c>
      <c r="AU357" s="1433">
        <f ca="1">IF(B357&gt;=$J$5,0,(CONTADORES!I371-CONTADORES!I370))</f>
        <v>0</v>
      </c>
      <c r="AV357" s="1399">
        <f ca="1">IF(B357&gt;=$J$5,0,(CONTADORES!AV371-CONTADORES!AV370))</f>
        <v>0</v>
      </c>
      <c r="AW357" s="1399">
        <f ca="1">IF(B357&gt;=$J$5,0,(CONTADORES!N371-CONTADORES!N370)+(CONTADORES!AN371-CONTADORES!AN370))</f>
        <v>0</v>
      </c>
      <c r="AX357" s="1399">
        <f ca="1">IF(B357&gt;=$J$5,0,(CONTADORES!P371-CONTADORES!P370)+(CONTADORES!AL371-CONTADORES!AL370))</f>
        <v>0</v>
      </c>
      <c r="AY357" s="1399">
        <f ca="1">IF(B357&gt;=$J$5,0,(CONTADORES!AJ371-CONTADORES!AJ370))</f>
        <v>0</v>
      </c>
      <c r="AZ357" s="1399">
        <f ca="1">IF(B357&gt;=$J$5,0,(CONTADORES!R371-CONTADORES!R370))</f>
        <v>0</v>
      </c>
      <c r="BA357" s="1409">
        <f t="shared" ca="1" si="178"/>
        <v>0</v>
      </c>
      <c r="BB357" s="1417">
        <f ca="1">IF(B357&gt;=$J$5,0,(((CONTADORES!G371-CONTADORES!G370)+(CONTADORES!AR371-CONTADORES!AR370))))-AV357-BC357-BT357-BW357-BZ357-CE357-AR357</f>
        <v>0</v>
      </c>
      <c r="BC357" s="1397">
        <f ca="1">IF(B357&gt;=$J$5,0,(CONTADORES!AY371-CONTADORES!AY370)+(CONTADORES!BA371-CONTADORES!BA370)+(CONTADORES!BF371-CONTADORES!BF370))</f>
        <v>0</v>
      </c>
      <c r="BD357" s="1397">
        <f t="shared" ca="1" si="179"/>
        <v>0</v>
      </c>
      <c r="BE357" s="1398">
        <f ca="1">IF($B357&gt;=$J$5,0,CONTADORES!$BG371)</f>
        <v>0</v>
      </c>
      <c r="BF357" s="1397">
        <f ca="1">IF($B357&gt;=$J$5,0,CONTADORES!$BH371)</f>
        <v>0</v>
      </c>
      <c r="BG357" s="1397">
        <f ca="1">IF($B357&gt;=$J$5,0,CONTADORES!$BJ371)</f>
        <v>0</v>
      </c>
      <c r="BH357" s="1397">
        <f ca="1">IF(B357&gt;=$J$5,0,((CONTADORES!BK371-CONTADORES!BK370)/1000))</f>
        <v>0</v>
      </c>
      <c r="BI357" s="1397">
        <f ca="1">IF(C357&gt;=$J$5,0,((CONTADORES!BL371-CONTADORES!BL370)/1000))</f>
        <v>0</v>
      </c>
      <c r="BJ357" s="1397">
        <f ca="1">IF(C357&gt;=$J$5,0,((CONTADORES!BM371-CONTADORES!BM370)/1000))</f>
        <v>0</v>
      </c>
      <c r="BK357" s="1397">
        <f ca="1">IF(D357&gt;=$J$5,0,((CONTADORES!BN371-CONTADORES!BN370)/1000))</f>
        <v>0</v>
      </c>
      <c r="BL357" s="1399">
        <f t="shared" ca="1" si="194"/>
        <v>0</v>
      </c>
      <c r="BM357" s="1399">
        <f t="shared" ca="1" si="180"/>
        <v>0</v>
      </c>
      <c r="BN357" s="1398">
        <f ca="1">IF(B357&gt;=$J$5,0,CONTADORES!$BO371)</f>
        <v>0</v>
      </c>
      <c r="BO357" s="1397">
        <f ca="1">IF(W357&gt;=$J$5,0,CONTADORES!$BP371)</f>
        <v>0</v>
      </c>
      <c r="BP357" s="1397">
        <f ca="1">IF(W357&gt;=$J$5,0,CONTADORES!$BQ371)</f>
        <v>0</v>
      </c>
      <c r="BQ357" s="1397">
        <f ca="1">IF(B357&gt;=$J$5,0,(CONTADORES!AS371-CONTADORES!AS370))</f>
        <v>0</v>
      </c>
      <c r="BR357" s="1397">
        <f ca="1">IF(B357&gt;=$J$5,0,(CONTADORES!AT371-CONTADORES!AT370))</f>
        <v>0</v>
      </c>
      <c r="BS357" s="1397">
        <f ca="1">IF(B357&gt;=$J$5,0,CONTADORES!BR371-CONTADORES!BR370)/1000</f>
        <v>0</v>
      </c>
      <c r="BT357" s="1397">
        <f ca="1">IF(B357&gt;=$J$5,0,CONTADORES!BS371-CONTADORES!BS370)</f>
        <v>0</v>
      </c>
      <c r="BU357" s="1397">
        <f ca="1">IF(B357&gt;=$J$5,0,CONTADORES!BT371-CONTADORES!BT370)</f>
        <v>0</v>
      </c>
      <c r="BV357" s="1397">
        <f ca="1">IF(B357&gt;=$J$5,0,CONTADORES!BU371-CONTADORES!BU370)/1000</f>
        <v>0</v>
      </c>
      <c r="BW357" s="1397">
        <f ca="1">IF(B357&gt;=$J$5,0,CONTADORES!BV371-CONTADORES!BV370)/1000</f>
        <v>0</v>
      </c>
      <c r="BX357" s="1397">
        <f ca="1">IF(B357&gt;=$J$5,0,CONTADORES!BW371-CONTADORES!BW370)</f>
        <v>0</v>
      </c>
      <c r="BY357" s="1397">
        <f ca="1">IF(B357&gt;=$J$5,0,CONTADORES!BX371-CONTADORES!BX370)/1000</f>
        <v>0</v>
      </c>
      <c r="BZ357" s="1397">
        <f ca="1">IF(B357&gt;=$J$5,0,CONTADORES!BY371-CONTADORES!BY370)/1000</f>
        <v>0</v>
      </c>
      <c r="CA357" s="1397">
        <f ca="1">IF(B357&gt;=$J$5,0,CONTADORES!BZ371-CONTADORES!BZ370)</f>
        <v>0</v>
      </c>
      <c r="CB357" s="1397">
        <f ca="1">IF(B357&gt;=$J$5,0,(CONTADORES!CC371-CONTADORES!CC370)+(CONTADORES!CE371-CONTADORES!CE370))/1000</f>
        <v>0</v>
      </c>
      <c r="CC357" s="1397">
        <f ca="1">IF(B357&gt;=$J$5,0,(CONTADORES!CD371-CONTADORES!CD370)+(CONTADORES!CF371-CONTADORES!CF370))/1000</f>
        <v>0</v>
      </c>
      <c r="CD357" s="1397">
        <f ca="1">IF(B357&gt;=$J$5,0,CONTADORES!CA371-CONTADORES!CA370)</f>
        <v>0</v>
      </c>
      <c r="CE357" s="1397">
        <f ca="1">IF(B357&gt;=$J$5,0,CONTADORES!CB371-CONTADORES!CB370)</f>
        <v>0</v>
      </c>
      <c r="CF357" s="1397">
        <f t="shared" ca="1" si="181"/>
        <v>0</v>
      </c>
      <c r="CG357" s="1397">
        <f t="shared" ca="1" si="182"/>
        <v>0</v>
      </c>
      <c r="CH357" s="1397">
        <f t="shared" ca="1" si="183"/>
        <v>0</v>
      </c>
      <c r="CI357" s="1397">
        <f t="shared" ca="1" si="184"/>
        <v>0</v>
      </c>
      <c r="CJ357" s="1397">
        <f t="shared" ca="1" si="185"/>
        <v>0</v>
      </c>
      <c r="CK357" s="1397">
        <f t="shared" ca="1" si="186"/>
        <v>0</v>
      </c>
      <c r="CL357" s="1397">
        <f t="shared" ca="1" si="187"/>
        <v>0</v>
      </c>
      <c r="CM357" s="1397">
        <f t="shared" ca="1" si="188"/>
        <v>0</v>
      </c>
      <c r="CN357" s="1397">
        <f ca="1">IF(B357&gt;=$J$5,0,CONTADORES!CB371-CONTADORES!CB370)</f>
        <v>0</v>
      </c>
      <c r="CO357" s="1397">
        <f t="shared" ca="1" si="189"/>
        <v>0</v>
      </c>
      <c r="CP357" s="1397">
        <f t="shared" ca="1" si="190"/>
        <v>0</v>
      </c>
      <c r="CQ357" s="1397">
        <f t="shared" ca="1" si="191"/>
        <v>0</v>
      </c>
      <c r="CR357" s="1397">
        <f t="shared" ca="1" si="192"/>
        <v>0</v>
      </c>
      <c r="CS357" s="1403">
        <f ca="1">IF($B357&gt;=$J$5,0,CONTADORES!$BI371)</f>
        <v>0</v>
      </c>
      <c r="CT357" s="1369">
        <f>CONTADORES!E371</f>
        <v>0</v>
      </c>
      <c r="CU357" s="1369">
        <f>CONTADORES!CG371</f>
        <v>0</v>
      </c>
    </row>
    <row r="358" spans="2:99">
      <c r="B358" s="390">
        <v>45274</v>
      </c>
      <c r="C358" s="198">
        <f t="shared" ca="1" si="166"/>
        <v>0</v>
      </c>
      <c r="D358" s="196">
        <f ca="1">'CALCULO DE GAS'!P187</f>
        <v>0</v>
      </c>
      <c r="E358" s="196">
        <f ca="1">IF(B358&gt;=$J$5,0,(CONTADORES!$AD372-CONTADORES!$AD371)-$H358)</f>
        <v>0</v>
      </c>
      <c r="F358" s="198">
        <f t="shared" ca="1" si="195"/>
        <v>0</v>
      </c>
      <c r="G358" s="196">
        <f ca="1">IF(B358&gt;=$J$5,0,CONTADORES!$AF372-CONTADORES!$AF371)</f>
        <v>0</v>
      </c>
      <c r="H358" s="196">
        <f ca="1">IF(G358&gt;0,CONTADORES!$AE372-CONTADORES!$AE371,0)</f>
        <v>0</v>
      </c>
      <c r="I358" s="199">
        <f ca="1">IF(B358&gt;=$J$5,0,CONTADORES!$AB372-CONTADORES!$AB371)</f>
        <v>0</v>
      </c>
      <c r="J358" s="198">
        <f t="shared" ca="1" si="167"/>
        <v>0</v>
      </c>
      <c r="K358" s="196">
        <f ca="1">'CALCULO DE GAS'!Q187</f>
        <v>0</v>
      </c>
      <c r="L358" s="1413">
        <f ca="1">IF(B358&gt;=$J$5,0,(CONTADORES!$Y372-CONTADORES!$Y371)-$O358)</f>
        <v>0</v>
      </c>
      <c r="M358" s="1396">
        <f t="shared" ca="1" si="196"/>
        <v>0</v>
      </c>
      <c r="N358" s="1396">
        <f ca="1">IF(B358&gt;=$J$5,0,CONTADORES!$AA372-CONTADORES!$AA371)</f>
        <v>0</v>
      </c>
      <c r="O358" s="1396">
        <f ca="1">IF(N358&gt;0,CONTADORES!$Z372-CONTADORES!$Z371,0)</f>
        <v>0</v>
      </c>
      <c r="P358" s="202">
        <f ca="1">IF(B358&gt;=$J$5,0,CONTADORES!$W372-CONTADORES!$W371)</f>
        <v>0</v>
      </c>
      <c r="Q358" s="202">
        <f ca="1">IF(B358&gt;=$J$5,0,CONTADORES!$B372-CONTADORES!$B371)</f>
        <v>0</v>
      </c>
      <c r="R358" s="196">
        <f t="shared" ca="1" si="169"/>
        <v>0</v>
      </c>
      <c r="S358" s="11">
        <f ca="1">IF(B358&gt;=$J$5,0,CONTADORES!$D372-CONTADORES!$D371)</f>
        <v>0</v>
      </c>
      <c r="T358" s="198">
        <f ca="1">IF(B358&gt;=$J$5,0,CONTADORES!$BB372-CONTADORES!$BB371)</f>
        <v>0</v>
      </c>
      <c r="U358" s="196">
        <f t="shared" ca="1" si="197"/>
        <v>0</v>
      </c>
      <c r="V358" s="11">
        <f ca="1">IF(B358&gt;=$J$5,0,CONTADORES!$BD372-CONTADORES!$BD371)</f>
        <v>0</v>
      </c>
      <c r="W358" s="1397">
        <f t="shared" ca="1" si="170"/>
        <v>0</v>
      </c>
      <c r="X358" s="1397">
        <f t="shared" ca="1" si="171"/>
        <v>0</v>
      </c>
      <c r="Y358" s="1398">
        <f t="shared" ca="1" si="172"/>
        <v>0</v>
      </c>
      <c r="Z358" s="1398">
        <f t="shared" ca="1" si="173"/>
        <v>0</v>
      </c>
      <c r="AA358" s="1398">
        <f t="shared" ca="1" si="174"/>
        <v>0</v>
      </c>
      <c r="AB358" s="1398">
        <f t="shared" ca="1" si="175"/>
        <v>0</v>
      </c>
      <c r="AC358" s="1397">
        <f t="shared" ca="1" si="176"/>
        <v>0</v>
      </c>
      <c r="AD358" s="1397">
        <f ca="1">IF(B358&gt;=$J$5,0,CONTADORES!H372-CONTADORES!H371)</f>
        <v>0</v>
      </c>
      <c r="AE358" s="1397">
        <f ca="1">IF(B358&gt;=$J$5,0,CONTADORES!J372-CONTADORES!J371)</f>
        <v>0</v>
      </c>
      <c r="AF358" s="1397">
        <f ca="1">IF(B358&gt;=$J$5,0,CONTADORES!AU372-CONTADORES!AU371)</f>
        <v>0</v>
      </c>
      <c r="AG358" s="1397">
        <f ca="1">IF(B358&gt;=$J$5,0,CONTADORES!AW372-CONTADORES!AW371)</f>
        <v>0</v>
      </c>
      <c r="AH358" s="1398">
        <f ca="1">IF(B358&gt;=$J$5,0,(CONTADORES!AM372-CONTADORES!AM371)+(CONTADORES!M372-CONTADORES!M371))</f>
        <v>0</v>
      </c>
      <c r="AI358" s="1397">
        <f ca="1">IF(B358&gt;=$J$5,0,(CONTADORES!AK372-CONTADORES!AK371)+(CONTADORES!O372-CONTADORES!O371))</f>
        <v>0</v>
      </c>
      <c r="AJ358" s="1397">
        <f ca="1">IF(B358&gt;=$J$5,0,(CONTADORES!AI372-CONTADORES!AI371))</f>
        <v>0</v>
      </c>
      <c r="AK358" s="1397">
        <f ca="1">IF(B358&gt;=$J$5,0,(CONTADORES!Q372-CONTADORES!Q371))</f>
        <v>0</v>
      </c>
      <c r="AL358" s="1461">
        <f t="shared" ca="1" si="177"/>
        <v>0</v>
      </c>
      <c r="AM358" s="1397">
        <f ca="1">IF(B358&gt;=$J$5,0,(((CONTADORES!F372-CONTADORES!F371)+(CONTADORES!AQ372-CONTADORES!AQ371))))-BS358-AF358-AN358-BV358-BY358-CD358-CB358+T358</f>
        <v>0</v>
      </c>
      <c r="AN358" s="1402">
        <f ca="1">IF(B358&gt;=$J$5,0,(CONTADORES!AX372-CONTADORES!AX371)+(CONTADORES!AZ372-CONTADORES!AZ371)+(CONTADORES!BE372-CONTADORES!BE371))-CB358</f>
        <v>0</v>
      </c>
      <c r="AO358" s="1399">
        <f ca="1">IF(B358&gt;=$J$5,0,(CONTADORES!AC372-CONTADORES!AC371))</f>
        <v>0</v>
      </c>
      <c r="AP358" s="1433">
        <f ca="1">IF(B358&gt;=$J$5,0,(CONTADORES!X372-CONTADORES!X371))</f>
        <v>0</v>
      </c>
      <c r="AQ358" s="1404">
        <f ca="1">IF(B358&gt;=$J$5,0,(CONTADORES!C372-CONTADORES!C371))</f>
        <v>0</v>
      </c>
      <c r="AR358" s="1399">
        <f ca="1">IF(B358&gt;=$J$5,0,(CONTADORES!BC372-CONTADORES!BC371))</f>
        <v>0</v>
      </c>
      <c r="AS358" s="1397">
        <f ca="1">IF(B358&gt;=$J$5,0,CONTADORES!S372-CONTADORES!S371)</f>
        <v>0</v>
      </c>
      <c r="AT358" s="1397">
        <f ca="1">IF(B358&gt;=$J$5,0,(CONTADORES!U372-CONTADORES!U371)+(CONTADORES!AG372-CONTADORES!AG371))</f>
        <v>0</v>
      </c>
      <c r="AU358" s="1433">
        <f ca="1">IF(B358&gt;=$J$5,0,(CONTADORES!I372-CONTADORES!I371))</f>
        <v>0</v>
      </c>
      <c r="AV358" s="1399">
        <f ca="1">IF(B358&gt;=$J$5,0,(CONTADORES!AV372-CONTADORES!AV371))</f>
        <v>0</v>
      </c>
      <c r="AW358" s="1399">
        <f ca="1">IF(B358&gt;=$J$5,0,(CONTADORES!N372-CONTADORES!N371)+(CONTADORES!AN372-CONTADORES!AN371))</f>
        <v>0</v>
      </c>
      <c r="AX358" s="1399">
        <f ca="1">IF(B358&gt;=$J$5,0,(CONTADORES!P372-CONTADORES!P371)+(CONTADORES!AL372-CONTADORES!AL371))</f>
        <v>0</v>
      </c>
      <c r="AY358" s="1399">
        <f ca="1">IF(B358&gt;=$J$5,0,(CONTADORES!AJ372-CONTADORES!AJ371))</f>
        <v>0</v>
      </c>
      <c r="AZ358" s="1399">
        <f ca="1">IF(B358&gt;=$J$5,0,(CONTADORES!R372-CONTADORES!R371))</f>
        <v>0</v>
      </c>
      <c r="BA358" s="1409">
        <f t="shared" ca="1" si="178"/>
        <v>0</v>
      </c>
      <c r="BB358" s="1417">
        <f ca="1">IF(B358&gt;=$J$5,0,(((CONTADORES!G372-CONTADORES!G371)+(CONTADORES!AR372-CONTADORES!AR371))))-AV358-BC358-BT358-BW358-BZ358-CE358-AR358</f>
        <v>0</v>
      </c>
      <c r="BC358" s="1397">
        <f ca="1">IF(B358&gt;=$J$5,0,(CONTADORES!AY372-CONTADORES!AY371)+(CONTADORES!BA372-CONTADORES!BA371)+(CONTADORES!BF372-CONTADORES!BF371))</f>
        <v>0</v>
      </c>
      <c r="BD358" s="1397">
        <f t="shared" ca="1" si="179"/>
        <v>0</v>
      </c>
      <c r="BE358" s="1398">
        <f ca="1">IF($B358&gt;=$J$5,0,CONTADORES!$BG372)</f>
        <v>0</v>
      </c>
      <c r="BF358" s="1397">
        <f ca="1">IF($B358&gt;=$J$5,0,CONTADORES!$BH372)</f>
        <v>0</v>
      </c>
      <c r="BG358" s="1397">
        <f ca="1">IF($B358&gt;=$J$5,0,CONTADORES!$BJ372)</f>
        <v>0</v>
      </c>
      <c r="BH358" s="1397">
        <f ca="1">IF(B358&gt;=$J$5,0,((CONTADORES!BK372-CONTADORES!BK371)/1000))</f>
        <v>0</v>
      </c>
      <c r="BI358" s="1397">
        <f ca="1">IF(C358&gt;=$J$5,0,((CONTADORES!BL372-CONTADORES!BL371)/1000))</f>
        <v>0</v>
      </c>
      <c r="BJ358" s="1397">
        <f ca="1">IF(C358&gt;=$J$5,0,((CONTADORES!BM372-CONTADORES!BM371)/1000))</f>
        <v>0</v>
      </c>
      <c r="BK358" s="1397">
        <f ca="1">IF(D358&gt;=$J$5,0,((CONTADORES!BN372-CONTADORES!BN371)/1000))</f>
        <v>0</v>
      </c>
      <c r="BL358" s="1399">
        <f t="shared" ca="1" si="194"/>
        <v>0</v>
      </c>
      <c r="BM358" s="1399">
        <f t="shared" ca="1" si="180"/>
        <v>0</v>
      </c>
      <c r="BN358" s="1398">
        <f ca="1">IF(B358&gt;=$J$5,0,CONTADORES!$BO372)</f>
        <v>0</v>
      </c>
      <c r="BO358" s="1397">
        <f ca="1">IF(W358&gt;=$J$5,0,CONTADORES!$BP372)</f>
        <v>0</v>
      </c>
      <c r="BP358" s="1397">
        <f ca="1">IF(W358&gt;=$J$5,0,CONTADORES!$BQ372)</f>
        <v>0</v>
      </c>
      <c r="BQ358" s="1397">
        <f ca="1">IF(B358&gt;=$J$5,0,(CONTADORES!AS372-CONTADORES!AS371))</f>
        <v>0</v>
      </c>
      <c r="BR358" s="1397">
        <f ca="1">IF(B358&gt;=$J$5,0,(CONTADORES!AT372-CONTADORES!AT371))</f>
        <v>0</v>
      </c>
      <c r="BS358" s="1397">
        <f ca="1">IF(B358&gt;=$J$5,0,CONTADORES!BR372-CONTADORES!BR371)/1000</f>
        <v>0</v>
      </c>
      <c r="BT358" s="1397">
        <f ca="1">IF(B358&gt;=$J$5,0,CONTADORES!BS372-CONTADORES!BS371)</f>
        <v>0</v>
      </c>
      <c r="BU358" s="1397">
        <f ca="1">IF(B358&gt;=$J$5,0,CONTADORES!BT372-CONTADORES!BT371)</f>
        <v>0</v>
      </c>
      <c r="BV358" s="1397">
        <f ca="1">IF(B358&gt;=$J$5,0,CONTADORES!BU372-CONTADORES!BU371)/1000</f>
        <v>0</v>
      </c>
      <c r="BW358" s="1397">
        <f ca="1">IF(B358&gt;=$J$5,0,CONTADORES!BV372-CONTADORES!BV371)/1000</f>
        <v>0</v>
      </c>
      <c r="BX358" s="1397">
        <f ca="1">IF(B358&gt;=$J$5,0,CONTADORES!BW372-CONTADORES!BW371)</f>
        <v>0</v>
      </c>
      <c r="BY358" s="1397">
        <f ca="1">IF(B358&gt;=$J$5,0,CONTADORES!BX372-CONTADORES!BX371)/1000</f>
        <v>0</v>
      </c>
      <c r="BZ358" s="1397">
        <f ca="1">IF(B358&gt;=$J$5,0,CONTADORES!BY372-CONTADORES!BY371)/1000</f>
        <v>0</v>
      </c>
      <c r="CA358" s="1397">
        <f ca="1">IF(B358&gt;=$J$5,0,CONTADORES!BZ372-CONTADORES!BZ371)</f>
        <v>0</v>
      </c>
      <c r="CB358" s="1397">
        <f ca="1">IF(B358&gt;=$J$5,0,(CONTADORES!CC372-CONTADORES!CC371)+(CONTADORES!CE372-CONTADORES!CE371))/1000</f>
        <v>0</v>
      </c>
      <c r="CC358" s="1397">
        <f ca="1">IF(B358&gt;=$J$5,0,(CONTADORES!CD372-CONTADORES!CD371)+(CONTADORES!CF372-CONTADORES!CF371))/1000</f>
        <v>0</v>
      </c>
      <c r="CD358" s="1397">
        <f ca="1">IF(B358&gt;=$J$5,0,CONTADORES!CA372-CONTADORES!CA371)</f>
        <v>0</v>
      </c>
      <c r="CE358" s="1397">
        <f ca="1">IF(B358&gt;=$J$5,0,CONTADORES!CB372-CONTADORES!CB371)</f>
        <v>0</v>
      </c>
      <c r="CF358" s="1397">
        <f t="shared" ca="1" si="181"/>
        <v>0</v>
      </c>
      <c r="CG358" s="1397">
        <f t="shared" ca="1" si="182"/>
        <v>0</v>
      </c>
      <c r="CH358" s="1397">
        <f t="shared" ca="1" si="183"/>
        <v>0</v>
      </c>
      <c r="CI358" s="1397">
        <f t="shared" ca="1" si="184"/>
        <v>0</v>
      </c>
      <c r="CJ358" s="1397">
        <f t="shared" ca="1" si="185"/>
        <v>0</v>
      </c>
      <c r="CK358" s="1397">
        <f t="shared" ca="1" si="186"/>
        <v>0</v>
      </c>
      <c r="CL358" s="1397">
        <f t="shared" ca="1" si="187"/>
        <v>0</v>
      </c>
      <c r="CM358" s="1397">
        <f t="shared" ca="1" si="188"/>
        <v>0</v>
      </c>
      <c r="CN358" s="1397">
        <f ca="1">IF(B358&gt;=$J$5,0,CONTADORES!CB372-CONTADORES!CB371)</f>
        <v>0</v>
      </c>
      <c r="CO358" s="1397">
        <f t="shared" ca="1" si="189"/>
        <v>0</v>
      </c>
      <c r="CP358" s="1397">
        <f t="shared" ca="1" si="190"/>
        <v>0</v>
      </c>
      <c r="CQ358" s="1397">
        <f t="shared" ca="1" si="191"/>
        <v>0</v>
      </c>
      <c r="CR358" s="1397">
        <f t="shared" ca="1" si="192"/>
        <v>0</v>
      </c>
      <c r="CS358" s="1403">
        <f ca="1">IF($B358&gt;=$J$5,0,CONTADORES!$BI372)</f>
        <v>0</v>
      </c>
      <c r="CT358" s="1369">
        <f>CONTADORES!E372</f>
        <v>0</v>
      </c>
      <c r="CU358" s="1369">
        <f>CONTADORES!CG372</f>
        <v>0</v>
      </c>
    </row>
    <row r="359" spans="2:99">
      <c r="B359" s="390">
        <v>45275</v>
      </c>
      <c r="C359" s="198">
        <f t="shared" ca="1" si="166"/>
        <v>0</v>
      </c>
      <c r="D359" s="196">
        <f ca="1">'CALCULO DE GAS'!P188</f>
        <v>0</v>
      </c>
      <c r="E359" s="196">
        <f ca="1">IF(B359&gt;=$J$5,0,(CONTADORES!$AD373-CONTADORES!$AD372)-$H359)</f>
        <v>0</v>
      </c>
      <c r="F359" s="198">
        <f t="shared" ca="1" si="195"/>
        <v>0</v>
      </c>
      <c r="G359" s="196">
        <f ca="1">IF(B359&gt;=$J$5,0,CONTADORES!$AF373-CONTADORES!$AF372)</f>
        <v>0</v>
      </c>
      <c r="H359" s="196">
        <f ca="1">IF(G359&gt;0,CONTADORES!$AE373-CONTADORES!$AE372,0)</f>
        <v>0</v>
      </c>
      <c r="I359" s="199">
        <f ca="1">IF(B359&gt;=$J$5,0,CONTADORES!$AB373-CONTADORES!$AB372)</f>
        <v>0</v>
      </c>
      <c r="J359" s="198">
        <f t="shared" ca="1" si="167"/>
        <v>0</v>
      </c>
      <c r="K359" s="196">
        <f ca="1">'CALCULO DE GAS'!Q188</f>
        <v>0</v>
      </c>
      <c r="L359" s="1413">
        <f ca="1">IF(B359&gt;=$J$5,0,(CONTADORES!$Y373-CONTADORES!$Y372)-$O359)</f>
        <v>0</v>
      </c>
      <c r="M359" s="1396">
        <f t="shared" ca="1" si="196"/>
        <v>0</v>
      </c>
      <c r="N359" s="1396">
        <f ca="1">IF(B359&gt;=$J$5,0,CONTADORES!$AA373-CONTADORES!$AA372)</f>
        <v>0</v>
      </c>
      <c r="O359" s="1396">
        <f ca="1">IF(N359&gt;0,CONTADORES!$Z373-CONTADORES!$Z372,0)</f>
        <v>0</v>
      </c>
      <c r="P359" s="202">
        <f ca="1">IF(B359&gt;=$J$5,0,CONTADORES!$W373-CONTADORES!$W372)</f>
        <v>0</v>
      </c>
      <c r="Q359" s="202">
        <f ca="1">IF(B359&gt;=$J$5,0,CONTADORES!$B373-CONTADORES!$B372)</f>
        <v>0</v>
      </c>
      <c r="R359" s="196">
        <f t="shared" ca="1" si="169"/>
        <v>0</v>
      </c>
      <c r="S359" s="11">
        <f ca="1">IF(B359&gt;=$J$5,0,CONTADORES!$D373-CONTADORES!$D372)</f>
        <v>0</v>
      </c>
      <c r="T359" s="198">
        <f ca="1">IF(B359&gt;=$J$5,0,CONTADORES!$BB373-CONTADORES!$BB372)</f>
        <v>0</v>
      </c>
      <c r="U359" s="196">
        <f t="shared" ca="1" si="197"/>
        <v>0</v>
      </c>
      <c r="V359" s="11">
        <f ca="1">IF(B359&gt;=$J$5,0,CONTADORES!$BD373-CONTADORES!$BD372)</f>
        <v>0</v>
      </c>
      <c r="W359" s="1397">
        <f t="shared" ca="1" si="170"/>
        <v>0</v>
      </c>
      <c r="X359" s="1397">
        <f t="shared" ca="1" si="171"/>
        <v>0</v>
      </c>
      <c r="Y359" s="1398">
        <f t="shared" ca="1" si="172"/>
        <v>0</v>
      </c>
      <c r="Z359" s="1398">
        <f t="shared" ca="1" si="173"/>
        <v>0</v>
      </c>
      <c r="AA359" s="1398">
        <f t="shared" ca="1" si="174"/>
        <v>0</v>
      </c>
      <c r="AB359" s="1398">
        <f t="shared" ca="1" si="175"/>
        <v>0</v>
      </c>
      <c r="AC359" s="1397">
        <f t="shared" ca="1" si="176"/>
        <v>0</v>
      </c>
      <c r="AD359" s="1397">
        <f ca="1">IF(B359&gt;=$J$5,0,CONTADORES!H373-CONTADORES!H372)</f>
        <v>0</v>
      </c>
      <c r="AE359" s="1397">
        <f ca="1">IF(B359&gt;=$J$5,0,CONTADORES!J373-CONTADORES!J372)</f>
        <v>0</v>
      </c>
      <c r="AF359" s="1397">
        <f ca="1">IF(B359&gt;=$J$5,0,CONTADORES!AU373-CONTADORES!AU372)</f>
        <v>0</v>
      </c>
      <c r="AG359" s="1397">
        <f ca="1">IF(B359&gt;=$J$5,0,CONTADORES!AW373-CONTADORES!AW372)</f>
        <v>0</v>
      </c>
      <c r="AH359" s="1398">
        <f ca="1">IF(B359&gt;=$J$5,0,(CONTADORES!AM373-CONTADORES!AM372)+(CONTADORES!M373-CONTADORES!M372))</f>
        <v>0</v>
      </c>
      <c r="AI359" s="1397">
        <f ca="1">IF(B359&gt;=$J$5,0,(CONTADORES!AK373-CONTADORES!AK372)+(CONTADORES!O373-CONTADORES!O372))</f>
        <v>0</v>
      </c>
      <c r="AJ359" s="1397">
        <f ca="1">IF(B359&gt;=$J$5,0,(CONTADORES!AI373-CONTADORES!AI372))</f>
        <v>0</v>
      </c>
      <c r="AK359" s="1397">
        <f ca="1">IF(B359&gt;=$J$5,0,(CONTADORES!Q373-CONTADORES!Q372))</f>
        <v>0</v>
      </c>
      <c r="AL359" s="1461">
        <f t="shared" ca="1" si="177"/>
        <v>0</v>
      </c>
      <c r="AM359" s="1397">
        <f ca="1">IF(B359&gt;=$J$5,0,(((CONTADORES!F373-CONTADORES!F372)+(CONTADORES!AQ373-CONTADORES!AQ372))))-BS359-AF359-AN359-BV359-BY359-CD359-CB359+T359</f>
        <v>0</v>
      </c>
      <c r="AN359" s="1402">
        <f ca="1">IF(B359&gt;=$J$5,0,(CONTADORES!AX373-CONTADORES!AX372)+(CONTADORES!AZ373-CONTADORES!AZ372)+(CONTADORES!BE373-CONTADORES!BE372))-CB359</f>
        <v>0</v>
      </c>
      <c r="AO359" s="1399">
        <f ca="1">IF(B359&gt;=$J$5,0,(CONTADORES!AC373-CONTADORES!AC372))</f>
        <v>0</v>
      </c>
      <c r="AP359" s="1433">
        <f ca="1">IF(B359&gt;=$J$5,0,(CONTADORES!X373-CONTADORES!X372))</f>
        <v>0</v>
      </c>
      <c r="AQ359" s="1404">
        <f ca="1">IF(B359&gt;=$J$5,0,(CONTADORES!C373-CONTADORES!C372))</f>
        <v>0</v>
      </c>
      <c r="AR359" s="1399">
        <f ca="1">IF(B359&gt;=$J$5,0,(CONTADORES!BC373-CONTADORES!BC372))</f>
        <v>0</v>
      </c>
      <c r="AS359" s="1397">
        <f ca="1">IF(B359&gt;=$J$5,0,CONTADORES!S373-CONTADORES!S372)</f>
        <v>0</v>
      </c>
      <c r="AT359" s="1397">
        <f ca="1">IF(B359&gt;=$J$5,0,(CONTADORES!U373-CONTADORES!U372)+(CONTADORES!AG373-CONTADORES!AG372))</f>
        <v>0</v>
      </c>
      <c r="AU359" s="1433">
        <f ca="1">IF(B359&gt;=$J$5,0,(CONTADORES!I373-CONTADORES!I372))</f>
        <v>0</v>
      </c>
      <c r="AV359" s="1399">
        <f ca="1">IF(B359&gt;=$J$5,0,(CONTADORES!AV373-CONTADORES!AV372))</f>
        <v>0</v>
      </c>
      <c r="AW359" s="1399">
        <f ca="1">IF(B359&gt;=$J$5,0,(CONTADORES!N373-CONTADORES!N372)+(CONTADORES!AN373-CONTADORES!AN372))</f>
        <v>0</v>
      </c>
      <c r="AX359" s="1399">
        <f ca="1">IF(B359&gt;=$J$5,0,(CONTADORES!P373-CONTADORES!P372)+(CONTADORES!AL373-CONTADORES!AL372))</f>
        <v>0</v>
      </c>
      <c r="AY359" s="1399">
        <f ca="1">IF(B359&gt;=$J$5,0,(CONTADORES!AJ373-CONTADORES!AJ372))</f>
        <v>0</v>
      </c>
      <c r="AZ359" s="1399">
        <f ca="1">IF(B359&gt;=$J$5,0,(CONTADORES!R373-CONTADORES!R372))</f>
        <v>0</v>
      </c>
      <c r="BA359" s="1409">
        <f t="shared" ca="1" si="178"/>
        <v>0</v>
      </c>
      <c r="BB359" s="1417">
        <f ca="1">IF(B359&gt;=$J$5,0,(((CONTADORES!G373-CONTADORES!G372)+(CONTADORES!AR373-CONTADORES!AR372))))-AV359-BC359-BT359-BW359-BZ359-CE359-AR359</f>
        <v>0</v>
      </c>
      <c r="BC359" s="1397">
        <f ca="1">IF(B359&gt;=$J$5,0,(CONTADORES!AY373-CONTADORES!AY372)+(CONTADORES!BA373-CONTADORES!BA372)+(CONTADORES!BF373-CONTADORES!BF372))</f>
        <v>0</v>
      </c>
      <c r="BD359" s="1397">
        <f t="shared" ca="1" si="179"/>
        <v>0</v>
      </c>
      <c r="BE359" s="1398">
        <f ca="1">IF($B359&gt;=$J$5,0,CONTADORES!$BG373)</f>
        <v>0</v>
      </c>
      <c r="BF359" s="1397">
        <f ca="1">IF($B359&gt;=$J$5,0,CONTADORES!$BH373)</f>
        <v>0</v>
      </c>
      <c r="BG359" s="1397">
        <f ca="1">IF($B359&gt;=$J$5,0,CONTADORES!$BJ373)</f>
        <v>0</v>
      </c>
      <c r="BH359" s="1397">
        <f ca="1">IF(B359&gt;=$J$5,0,((CONTADORES!BK373-CONTADORES!BK372)/1000))</f>
        <v>0</v>
      </c>
      <c r="BI359" s="1397">
        <f ca="1">IF(C359&gt;=$J$5,0,((CONTADORES!BL373-CONTADORES!BL372)/1000))</f>
        <v>0</v>
      </c>
      <c r="BJ359" s="1397">
        <f ca="1">IF(C359&gt;=$J$5,0,((CONTADORES!BM373-CONTADORES!BM372)/1000))</f>
        <v>0</v>
      </c>
      <c r="BK359" s="1397">
        <f ca="1">IF(D359&gt;=$J$5,0,((CONTADORES!BN373-CONTADORES!BN372)/1000))</f>
        <v>0</v>
      </c>
      <c r="BL359" s="1399">
        <f t="shared" ca="1" si="194"/>
        <v>0</v>
      </c>
      <c r="BM359" s="1399">
        <f t="shared" ca="1" si="180"/>
        <v>0</v>
      </c>
      <c r="BN359" s="1398">
        <f ca="1">IF(B359&gt;=$J$5,0,CONTADORES!$BO373)</f>
        <v>0</v>
      </c>
      <c r="BO359" s="1397">
        <f ca="1">IF(W359&gt;=$J$5,0,CONTADORES!$BP373)</f>
        <v>0</v>
      </c>
      <c r="BP359" s="1397">
        <f ca="1">IF(W359&gt;=$J$5,0,CONTADORES!$BQ373)</f>
        <v>0</v>
      </c>
      <c r="BQ359" s="1397">
        <f ca="1">IF(B359&gt;=$J$5,0,(CONTADORES!AS373-CONTADORES!AS372))</f>
        <v>0</v>
      </c>
      <c r="BR359" s="1397">
        <f ca="1">IF(B359&gt;=$J$5,0,(CONTADORES!AT373-CONTADORES!AT372))</f>
        <v>0</v>
      </c>
      <c r="BS359" s="1397">
        <f ca="1">IF(B359&gt;=$J$5,0,CONTADORES!BR373-CONTADORES!BR372)/1000</f>
        <v>0</v>
      </c>
      <c r="BT359" s="1397">
        <f ca="1">IF(B359&gt;=$J$5,0,CONTADORES!BS373-CONTADORES!BS372)</f>
        <v>0</v>
      </c>
      <c r="BU359" s="1397">
        <f ca="1">IF(B359&gt;=$J$5,0,CONTADORES!BT373-CONTADORES!BT372)</f>
        <v>0</v>
      </c>
      <c r="BV359" s="1397">
        <f ca="1">IF(B359&gt;=$J$5,0,CONTADORES!BU373-CONTADORES!BU372)/1000</f>
        <v>0</v>
      </c>
      <c r="BW359" s="1397">
        <f ca="1">IF(B359&gt;=$J$5,0,CONTADORES!BV373-CONTADORES!BV372)/1000</f>
        <v>0</v>
      </c>
      <c r="BX359" s="1397">
        <f ca="1">IF(B359&gt;=$J$5,0,CONTADORES!BW373-CONTADORES!BW372)</f>
        <v>0</v>
      </c>
      <c r="BY359" s="1397">
        <f ca="1">IF(B359&gt;=$J$5,0,CONTADORES!BX373-CONTADORES!BX372)/1000</f>
        <v>0</v>
      </c>
      <c r="BZ359" s="1397">
        <f ca="1">IF(B359&gt;=$J$5,0,CONTADORES!BY373-CONTADORES!BY372)/1000</f>
        <v>0</v>
      </c>
      <c r="CA359" s="1397">
        <f ca="1">IF(B359&gt;=$J$5,0,CONTADORES!BZ373-CONTADORES!BZ372)</f>
        <v>0</v>
      </c>
      <c r="CB359" s="1397">
        <f ca="1">IF(B359&gt;=$J$5,0,(CONTADORES!CC373-CONTADORES!CC372)+(CONTADORES!CE373-CONTADORES!CE372))/1000</f>
        <v>0</v>
      </c>
      <c r="CC359" s="1397">
        <f ca="1">IF(B359&gt;=$J$5,0,(CONTADORES!CD373-CONTADORES!CD372)+(CONTADORES!CF373-CONTADORES!CF372))/1000</f>
        <v>0</v>
      </c>
      <c r="CD359" s="1397">
        <f ca="1">IF(B359&gt;=$J$5,0,CONTADORES!CA373-CONTADORES!CA372)</f>
        <v>0</v>
      </c>
      <c r="CE359" s="1397">
        <f ca="1">IF(B359&gt;=$J$5,0,CONTADORES!CB373-CONTADORES!CB372)</f>
        <v>0</v>
      </c>
      <c r="CF359" s="1397">
        <f t="shared" ca="1" si="181"/>
        <v>0</v>
      </c>
      <c r="CG359" s="1397">
        <f t="shared" ca="1" si="182"/>
        <v>0</v>
      </c>
      <c r="CH359" s="1397">
        <f t="shared" ca="1" si="183"/>
        <v>0</v>
      </c>
      <c r="CI359" s="1397">
        <f t="shared" ca="1" si="184"/>
        <v>0</v>
      </c>
      <c r="CJ359" s="1397">
        <f t="shared" ca="1" si="185"/>
        <v>0</v>
      </c>
      <c r="CK359" s="1397">
        <f t="shared" ca="1" si="186"/>
        <v>0</v>
      </c>
      <c r="CL359" s="1397">
        <f t="shared" ca="1" si="187"/>
        <v>0</v>
      </c>
      <c r="CM359" s="1397">
        <f t="shared" ca="1" si="188"/>
        <v>0</v>
      </c>
      <c r="CN359" s="1397">
        <f ca="1">IF(B359&gt;=$J$5,0,CONTADORES!CB373-CONTADORES!CB372)</f>
        <v>0</v>
      </c>
      <c r="CO359" s="1397">
        <f t="shared" ca="1" si="189"/>
        <v>0</v>
      </c>
      <c r="CP359" s="1397">
        <f t="shared" ca="1" si="190"/>
        <v>0</v>
      </c>
      <c r="CQ359" s="1397">
        <f t="shared" ca="1" si="191"/>
        <v>0</v>
      </c>
      <c r="CR359" s="1397">
        <f t="shared" ca="1" si="192"/>
        <v>0</v>
      </c>
      <c r="CS359" s="1403">
        <f ca="1">IF($B359&gt;=$J$5,0,CONTADORES!$BI373)</f>
        <v>0</v>
      </c>
      <c r="CT359" s="1369">
        <f>CONTADORES!E373</f>
        <v>0</v>
      </c>
      <c r="CU359" s="1369">
        <f>CONTADORES!CG373</f>
        <v>0</v>
      </c>
    </row>
    <row r="360" spans="2:99">
      <c r="B360" s="390">
        <v>45276</v>
      </c>
      <c r="C360" s="198">
        <f t="shared" ca="1" si="166"/>
        <v>0</v>
      </c>
      <c r="D360" s="196">
        <f ca="1">'CALCULO DE GAS'!P189</f>
        <v>0</v>
      </c>
      <c r="E360" s="196">
        <f ca="1">IF(B360&gt;=$J$5,0,(CONTADORES!$AD374-CONTADORES!$AD373)-$H360)</f>
        <v>0</v>
      </c>
      <c r="F360" s="198">
        <f t="shared" ca="1" si="195"/>
        <v>0</v>
      </c>
      <c r="G360" s="196">
        <f ca="1">IF(B360&gt;=$J$5,0,CONTADORES!$AF374-CONTADORES!$AF373)</f>
        <v>0</v>
      </c>
      <c r="H360" s="196">
        <f ca="1">IF(G360&gt;0,CONTADORES!$AE374-CONTADORES!$AE373,0)</f>
        <v>0</v>
      </c>
      <c r="I360" s="199">
        <f ca="1">IF(B360&gt;=$J$5,0,CONTADORES!$AB374-CONTADORES!$AB373)</f>
        <v>0</v>
      </c>
      <c r="J360" s="198">
        <f t="shared" ca="1" si="167"/>
        <v>0</v>
      </c>
      <c r="K360" s="196">
        <f ca="1">'CALCULO DE GAS'!Q189</f>
        <v>0</v>
      </c>
      <c r="L360" s="1413">
        <f ca="1">IF(B360&gt;=$J$5,0,(CONTADORES!$Y374-CONTADORES!$Y373)-$O360)</f>
        <v>0</v>
      </c>
      <c r="M360" s="1396">
        <f t="shared" ca="1" si="196"/>
        <v>0</v>
      </c>
      <c r="N360" s="1396">
        <f ca="1">IF(B360&gt;=$J$5,0,CONTADORES!$AA374-CONTADORES!$AA373)</f>
        <v>0</v>
      </c>
      <c r="O360" s="1396">
        <f ca="1">IF(N360&gt;0,CONTADORES!$Z374-CONTADORES!$Z373,0)</f>
        <v>0</v>
      </c>
      <c r="P360" s="202">
        <f ca="1">IF(B360&gt;=$J$5,0,CONTADORES!$W374-CONTADORES!$W373)</f>
        <v>0</v>
      </c>
      <c r="Q360" s="202">
        <f ca="1">IF(B360&gt;=$J$5,0,CONTADORES!$B374-CONTADORES!$B373)</f>
        <v>0</v>
      </c>
      <c r="R360" s="196">
        <f t="shared" ca="1" si="169"/>
        <v>0</v>
      </c>
      <c r="S360" s="11">
        <f ca="1">IF(B360&gt;=$J$5,0,CONTADORES!$D374-CONTADORES!$D373)</f>
        <v>0</v>
      </c>
      <c r="T360" s="198">
        <f ca="1">IF(B360&gt;=$J$5,0,CONTADORES!$BB374-CONTADORES!$BB373)</f>
        <v>0</v>
      </c>
      <c r="U360" s="196">
        <f t="shared" ca="1" si="197"/>
        <v>0</v>
      </c>
      <c r="V360" s="11">
        <f ca="1">IF(B360&gt;=$J$5,0,CONTADORES!$BD374-CONTADORES!$BD373)</f>
        <v>0</v>
      </c>
      <c r="W360" s="1397">
        <f t="shared" ca="1" si="170"/>
        <v>0</v>
      </c>
      <c r="X360" s="1397">
        <f t="shared" ca="1" si="171"/>
        <v>0</v>
      </c>
      <c r="Y360" s="1398">
        <f t="shared" ca="1" si="172"/>
        <v>0</v>
      </c>
      <c r="Z360" s="1398">
        <f t="shared" ca="1" si="173"/>
        <v>0</v>
      </c>
      <c r="AA360" s="1398">
        <f t="shared" ca="1" si="174"/>
        <v>0</v>
      </c>
      <c r="AB360" s="1398">
        <f t="shared" ca="1" si="175"/>
        <v>0</v>
      </c>
      <c r="AC360" s="1397">
        <f t="shared" ca="1" si="176"/>
        <v>0</v>
      </c>
      <c r="AD360" s="1397">
        <f ca="1">IF(B360&gt;=$J$5,0,CONTADORES!H374-CONTADORES!H373)</f>
        <v>0</v>
      </c>
      <c r="AE360" s="1397">
        <f ca="1">IF(B360&gt;=$J$5,0,CONTADORES!J374-CONTADORES!J373)</f>
        <v>0</v>
      </c>
      <c r="AF360" s="1397">
        <f ca="1">IF(B360&gt;=$J$5,0,CONTADORES!AU374-CONTADORES!AU373)</f>
        <v>0</v>
      </c>
      <c r="AG360" s="1397">
        <f ca="1">IF(B360&gt;=$J$5,0,CONTADORES!AW374-CONTADORES!AW373)</f>
        <v>0</v>
      </c>
      <c r="AH360" s="1398">
        <f ca="1">IF(B360&gt;=$J$5,0,(CONTADORES!AM374-CONTADORES!AM373)+(CONTADORES!M374-CONTADORES!M373))</f>
        <v>0</v>
      </c>
      <c r="AI360" s="1397">
        <f ca="1">IF(B360&gt;=$J$5,0,(CONTADORES!AK374-CONTADORES!AK373)+(CONTADORES!O374-CONTADORES!O373))</f>
        <v>0</v>
      </c>
      <c r="AJ360" s="1397">
        <f ca="1">IF(B360&gt;=$J$5,0,(CONTADORES!AI374-CONTADORES!AI373))</f>
        <v>0</v>
      </c>
      <c r="AK360" s="1397">
        <f ca="1">IF(B360&gt;=$J$5,0,(CONTADORES!Q374-CONTADORES!Q373))</f>
        <v>0</v>
      </c>
      <c r="AL360" s="1461">
        <f t="shared" ca="1" si="177"/>
        <v>0</v>
      </c>
      <c r="AM360" s="1397">
        <f ca="1">IF(B360&gt;=$J$5,0,(((CONTADORES!F374-CONTADORES!F373)+(CONTADORES!AQ374-CONTADORES!AQ373))))-BS360-AF360-AN360-BV360-BY360-CD360-CB360+T360</f>
        <v>0</v>
      </c>
      <c r="AN360" s="1402">
        <f ca="1">IF(B360&gt;=$J$5,0,(CONTADORES!AX374-CONTADORES!AX373)+(CONTADORES!AZ374-CONTADORES!AZ373)+(CONTADORES!BE374-CONTADORES!BE373))-CB360</f>
        <v>0</v>
      </c>
      <c r="AO360" s="1399">
        <f ca="1">IF(B360&gt;=$J$5,0,(CONTADORES!AC374-CONTADORES!AC373))</f>
        <v>0</v>
      </c>
      <c r="AP360" s="1433">
        <f ca="1">IF(B360&gt;=$J$5,0,(CONTADORES!X374-CONTADORES!X373))</f>
        <v>0</v>
      </c>
      <c r="AQ360" s="1404">
        <f ca="1">IF(B360&gt;=$J$5,0,(CONTADORES!C374-CONTADORES!C373))</f>
        <v>0</v>
      </c>
      <c r="AR360" s="1399">
        <f ca="1">IF(B360&gt;=$J$5,0,(CONTADORES!BC374-CONTADORES!BC373))</f>
        <v>0</v>
      </c>
      <c r="AS360" s="1397">
        <f ca="1">IF(B360&gt;=$J$5,0,CONTADORES!S374-CONTADORES!S373)</f>
        <v>0</v>
      </c>
      <c r="AT360" s="1397">
        <f ca="1">IF(B360&gt;=$J$5,0,(CONTADORES!U374-CONTADORES!U373)+(CONTADORES!AG374-CONTADORES!AG373))</f>
        <v>0</v>
      </c>
      <c r="AU360" s="1433">
        <f ca="1">IF(B360&gt;=$J$5,0,(CONTADORES!I374-CONTADORES!I373))</f>
        <v>0</v>
      </c>
      <c r="AV360" s="1399">
        <f ca="1">IF(B360&gt;=$J$5,0,(CONTADORES!AV374-CONTADORES!AV373))</f>
        <v>0</v>
      </c>
      <c r="AW360" s="1399">
        <f ca="1">IF(B360&gt;=$J$5,0,(CONTADORES!N374-CONTADORES!N373)+(CONTADORES!AN374-CONTADORES!AN373))</f>
        <v>0</v>
      </c>
      <c r="AX360" s="1399">
        <f ca="1">IF(B360&gt;=$J$5,0,(CONTADORES!P374-CONTADORES!P373)+(CONTADORES!AL374-CONTADORES!AL373))</f>
        <v>0</v>
      </c>
      <c r="AY360" s="1399">
        <f ca="1">IF(B360&gt;=$J$5,0,(CONTADORES!AJ374-CONTADORES!AJ373))</f>
        <v>0</v>
      </c>
      <c r="AZ360" s="1399">
        <f ca="1">IF(B360&gt;=$J$5,0,(CONTADORES!R374-CONTADORES!R373))</f>
        <v>0</v>
      </c>
      <c r="BA360" s="1409">
        <f t="shared" ca="1" si="178"/>
        <v>0</v>
      </c>
      <c r="BB360" s="1417">
        <f ca="1">IF(B360&gt;=$J$5,0,(((CONTADORES!G374-CONTADORES!G373)+(CONTADORES!AR374-CONTADORES!AR373))))-AV360-BC360-BT360-BW360-BZ360-CE360-AR360</f>
        <v>0</v>
      </c>
      <c r="BC360" s="1397">
        <f ca="1">IF(B360&gt;=$J$5,0,(CONTADORES!AY374-CONTADORES!AY373)+(CONTADORES!BA374-CONTADORES!BA373)+(CONTADORES!BF374-CONTADORES!BF373))</f>
        <v>0</v>
      </c>
      <c r="BD360" s="1397">
        <f t="shared" ca="1" si="179"/>
        <v>0</v>
      </c>
      <c r="BE360" s="1398">
        <f ca="1">IF($B360&gt;=$J$5,0,CONTADORES!$BG374)</f>
        <v>0</v>
      </c>
      <c r="BF360" s="1397">
        <f ca="1">IF($B360&gt;=$J$5,0,CONTADORES!$BH374)</f>
        <v>0</v>
      </c>
      <c r="BG360" s="1397">
        <f ca="1">IF($B360&gt;=$J$5,0,CONTADORES!$BJ374)</f>
        <v>0</v>
      </c>
      <c r="BH360" s="1397">
        <f ca="1">IF(B360&gt;=$J$5,0,((CONTADORES!BK374-CONTADORES!BK373)/1000))</f>
        <v>0</v>
      </c>
      <c r="BI360" s="1397">
        <f ca="1">IF(C360&gt;=$J$5,0,((CONTADORES!BL374-CONTADORES!BL373)/1000))</f>
        <v>0</v>
      </c>
      <c r="BJ360" s="1397">
        <f ca="1">IF(C360&gt;=$J$5,0,((CONTADORES!BM374-CONTADORES!BM373)/1000))</f>
        <v>0</v>
      </c>
      <c r="BK360" s="1397">
        <f ca="1">IF(D360&gt;=$J$5,0,((CONTADORES!BN374-CONTADORES!BN373)/1000))</f>
        <v>0</v>
      </c>
      <c r="BL360" s="1399">
        <f t="shared" ca="1" si="194"/>
        <v>0</v>
      </c>
      <c r="BM360" s="1399">
        <f t="shared" ca="1" si="180"/>
        <v>0</v>
      </c>
      <c r="BN360" s="1398">
        <f ca="1">IF(B360&gt;=$J$5,0,CONTADORES!$BO374)</f>
        <v>0</v>
      </c>
      <c r="BO360" s="1397">
        <f ca="1">IF(W360&gt;=$J$5,0,CONTADORES!$BP374)</f>
        <v>0</v>
      </c>
      <c r="BP360" s="1397">
        <f ca="1">IF(W360&gt;=$J$5,0,CONTADORES!$BQ374)</f>
        <v>0</v>
      </c>
      <c r="BQ360" s="1397">
        <f ca="1">IF(B360&gt;=$J$5,0,(CONTADORES!AS374-CONTADORES!AS373))</f>
        <v>0</v>
      </c>
      <c r="BR360" s="1397">
        <f ca="1">IF(B360&gt;=$J$5,0,(CONTADORES!AT374-CONTADORES!AT373))</f>
        <v>0</v>
      </c>
      <c r="BS360" s="1397">
        <f ca="1">IF(B360&gt;=$J$5,0,CONTADORES!BR374-CONTADORES!BR373)/1000</f>
        <v>0</v>
      </c>
      <c r="BT360" s="1397">
        <f ca="1">IF(B360&gt;=$J$5,0,CONTADORES!BS374-CONTADORES!BS373)</f>
        <v>0</v>
      </c>
      <c r="BU360" s="1397">
        <f ca="1">IF(B360&gt;=$J$5,0,CONTADORES!BT374-CONTADORES!BT373)</f>
        <v>0</v>
      </c>
      <c r="BV360" s="1397">
        <f ca="1">IF(B360&gt;=$J$5,0,CONTADORES!BU374-CONTADORES!BU373)/1000</f>
        <v>0</v>
      </c>
      <c r="BW360" s="1397">
        <f ca="1">IF(B360&gt;=$J$5,0,CONTADORES!BV374-CONTADORES!BV373)/1000</f>
        <v>0</v>
      </c>
      <c r="BX360" s="1397">
        <f ca="1">IF(B360&gt;=$J$5,0,CONTADORES!BW374-CONTADORES!BW373)</f>
        <v>0</v>
      </c>
      <c r="BY360" s="1397">
        <f ca="1">IF(B360&gt;=$J$5,0,CONTADORES!BX374-CONTADORES!BX373)/1000</f>
        <v>0</v>
      </c>
      <c r="BZ360" s="1397">
        <f ca="1">IF(B360&gt;=$J$5,0,CONTADORES!BY374-CONTADORES!BY373)/1000</f>
        <v>0</v>
      </c>
      <c r="CA360" s="1397">
        <f ca="1">IF(B360&gt;=$J$5,0,CONTADORES!BZ374-CONTADORES!BZ373)</f>
        <v>0</v>
      </c>
      <c r="CB360" s="1397">
        <f ca="1">IF(B360&gt;=$J$5,0,(CONTADORES!CC374-CONTADORES!CC373)+(CONTADORES!CE374-CONTADORES!CE373))/1000</f>
        <v>0</v>
      </c>
      <c r="CC360" s="1397">
        <f ca="1">IF(B360&gt;=$J$5,0,(CONTADORES!CD374-CONTADORES!CD373)+(CONTADORES!CF374-CONTADORES!CF373))/1000</f>
        <v>0</v>
      </c>
      <c r="CD360" s="1397">
        <f ca="1">IF(B360&gt;=$J$5,0,CONTADORES!CA374-CONTADORES!CA373)</f>
        <v>0</v>
      </c>
      <c r="CE360" s="1397">
        <f ca="1">IF(B360&gt;=$J$5,0,CONTADORES!CB374-CONTADORES!CB373)</f>
        <v>0</v>
      </c>
      <c r="CF360" s="1397">
        <f t="shared" ca="1" si="181"/>
        <v>0</v>
      </c>
      <c r="CG360" s="1397">
        <f t="shared" ca="1" si="182"/>
        <v>0</v>
      </c>
      <c r="CH360" s="1397">
        <f t="shared" ca="1" si="183"/>
        <v>0</v>
      </c>
      <c r="CI360" s="1397">
        <f t="shared" ca="1" si="184"/>
        <v>0</v>
      </c>
      <c r="CJ360" s="1397">
        <f t="shared" ca="1" si="185"/>
        <v>0</v>
      </c>
      <c r="CK360" s="1397">
        <f t="shared" ca="1" si="186"/>
        <v>0</v>
      </c>
      <c r="CL360" s="1397">
        <f t="shared" ca="1" si="187"/>
        <v>0</v>
      </c>
      <c r="CM360" s="1397">
        <f t="shared" ca="1" si="188"/>
        <v>0</v>
      </c>
      <c r="CN360" s="1397">
        <f ca="1">IF(B360&gt;=$J$5,0,CONTADORES!CB374-CONTADORES!CB373)</f>
        <v>0</v>
      </c>
      <c r="CO360" s="1397">
        <f t="shared" ca="1" si="189"/>
        <v>0</v>
      </c>
      <c r="CP360" s="1397">
        <f t="shared" ca="1" si="190"/>
        <v>0</v>
      </c>
      <c r="CQ360" s="1397">
        <f t="shared" ca="1" si="191"/>
        <v>0</v>
      </c>
      <c r="CR360" s="1397">
        <f t="shared" ca="1" si="192"/>
        <v>0</v>
      </c>
      <c r="CS360" s="1403">
        <f ca="1">IF($B360&gt;=$J$5,0,CONTADORES!$BI374)</f>
        <v>0</v>
      </c>
      <c r="CT360" s="1369">
        <f>CONTADORES!E374</f>
        <v>0</v>
      </c>
      <c r="CU360" s="1369">
        <f>CONTADORES!CG374</f>
        <v>0</v>
      </c>
    </row>
    <row r="361" spans="2:99">
      <c r="B361" s="390">
        <v>45277</v>
      </c>
      <c r="C361" s="198">
        <f t="shared" ca="1" si="166"/>
        <v>0</v>
      </c>
      <c r="D361" s="196">
        <f ca="1">'CALCULO DE GAS'!P190</f>
        <v>0</v>
      </c>
      <c r="E361" s="196">
        <f ca="1">IF(B361&gt;=$J$5,0,(CONTADORES!$AD375-CONTADORES!$AD374)-$H361)</f>
        <v>0</v>
      </c>
      <c r="F361" s="198">
        <f t="shared" ca="1" si="195"/>
        <v>0</v>
      </c>
      <c r="G361" s="196">
        <f ca="1">IF(B361&gt;=$J$5,0,CONTADORES!$AF375-CONTADORES!$AF374)</f>
        <v>0</v>
      </c>
      <c r="H361" s="196">
        <f ca="1">IF(G361&gt;0,CONTADORES!$AE375-CONTADORES!$AE374,0)</f>
        <v>0</v>
      </c>
      <c r="I361" s="199">
        <f ca="1">IF(B361&gt;=$J$5,0,CONTADORES!$AB375-CONTADORES!$AB374)</f>
        <v>0</v>
      </c>
      <c r="J361" s="198">
        <f t="shared" ca="1" si="167"/>
        <v>0</v>
      </c>
      <c r="K361" s="196">
        <f ca="1">'CALCULO DE GAS'!Q190</f>
        <v>0</v>
      </c>
      <c r="L361" s="1413">
        <f ca="1">IF(B361&gt;=$J$5,0,(CONTADORES!$Y375-CONTADORES!$Y374)-$O361)</f>
        <v>0</v>
      </c>
      <c r="M361" s="1396">
        <f t="shared" ca="1" si="196"/>
        <v>0</v>
      </c>
      <c r="N361" s="1396">
        <f ca="1">IF(B361&gt;=$J$5,0,CONTADORES!$AA375-CONTADORES!$AA374)</f>
        <v>0</v>
      </c>
      <c r="O361" s="1396">
        <f ca="1">IF(N361&gt;0,CONTADORES!$Z375-CONTADORES!$Z374,0)</f>
        <v>0</v>
      </c>
      <c r="P361" s="202">
        <f ca="1">IF(B361&gt;=$J$5,0,CONTADORES!$W375-CONTADORES!$W374)</f>
        <v>0</v>
      </c>
      <c r="Q361" s="202">
        <f ca="1">IF(B361&gt;=$J$5,0,CONTADORES!$B375-CONTADORES!$B374)</f>
        <v>0</v>
      </c>
      <c r="R361" s="196">
        <f t="shared" ca="1" si="169"/>
        <v>0</v>
      </c>
      <c r="S361" s="11">
        <f ca="1">IF(B361&gt;=$J$5,0,CONTADORES!$D375-CONTADORES!$D374)</f>
        <v>0</v>
      </c>
      <c r="T361" s="198">
        <f ca="1">IF(B361&gt;=$J$5,0,CONTADORES!$BB375-CONTADORES!$BB374)</f>
        <v>0</v>
      </c>
      <c r="U361" s="196">
        <f t="shared" ca="1" si="197"/>
        <v>0</v>
      </c>
      <c r="V361" s="11">
        <f ca="1">IF(B361&gt;=$J$5,0,CONTADORES!$BD375-CONTADORES!$BD374)</f>
        <v>0</v>
      </c>
      <c r="W361" s="1397">
        <f t="shared" ca="1" si="170"/>
        <v>0</v>
      </c>
      <c r="X361" s="1397">
        <f t="shared" ca="1" si="171"/>
        <v>0</v>
      </c>
      <c r="Y361" s="1398">
        <f t="shared" ca="1" si="172"/>
        <v>0</v>
      </c>
      <c r="Z361" s="1398">
        <f t="shared" ca="1" si="173"/>
        <v>0</v>
      </c>
      <c r="AA361" s="1398">
        <f t="shared" ca="1" si="174"/>
        <v>0</v>
      </c>
      <c r="AB361" s="1398">
        <f t="shared" ca="1" si="175"/>
        <v>0</v>
      </c>
      <c r="AC361" s="1397">
        <f t="shared" ca="1" si="176"/>
        <v>0</v>
      </c>
      <c r="AD361" s="1397">
        <f ca="1">IF(B361&gt;=$J$5,0,CONTADORES!H375-CONTADORES!H374)</f>
        <v>0</v>
      </c>
      <c r="AE361" s="1397">
        <f ca="1">IF(B361&gt;=$J$5,0,CONTADORES!J375-CONTADORES!J374)</f>
        <v>0</v>
      </c>
      <c r="AF361" s="1397">
        <f ca="1">IF(B361&gt;=$J$5,0,CONTADORES!AU375-CONTADORES!AU374)</f>
        <v>0</v>
      </c>
      <c r="AG361" s="1397">
        <f ca="1">IF(B361&gt;=$J$5,0,CONTADORES!AW375-CONTADORES!AW374)</f>
        <v>0</v>
      </c>
      <c r="AH361" s="1398">
        <f ca="1">IF(B361&gt;=$J$5,0,(CONTADORES!AM375-CONTADORES!AM374)+(CONTADORES!M375-CONTADORES!M374))</f>
        <v>0</v>
      </c>
      <c r="AI361" s="1397">
        <f ca="1">IF(B361&gt;=$J$5,0,(CONTADORES!AK375-CONTADORES!AK374)+(CONTADORES!O375-CONTADORES!O374))</f>
        <v>0</v>
      </c>
      <c r="AJ361" s="1397">
        <f ca="1">IF(B361&gt;=$J$5,0,(CONTADORES!AI375-CONTADORES!AI374))</f>
        <v>0</v>
      </c>
      <c r="AK361" s="1397">
        <f ca="1">IF(B361&gt;=$J$5,0,(CONTADORES!Q375-CONTADORES!Q374))</f>
        <v>0</v>
      </c>
      <c r="AL361" s="1461">
        <f t="shared" ca="1" si="177"/>
        <v>0</v>
      </c>
      <c r="AM361" s="1397">
        <f ca="1">IF(B361&gt;=$J$5,0,(((CONTADORES!F375-CONTADORES!F374)+(CONTADORES!AQ375-CONTADORES!AQ374))))-BS361-AF361-AN361-BV361-BY361-CD361-CB361+T361</f>
        <v>0</v>
      </c>
      <c r="AN361" s="1402">
        <f ca="1">IF(B361&gt;=$J$5,0,(CONTADORES!AX375-CONTADORES!AX374)+(CONTADORES!AZ375-CONTADORES!AZ374)+(CONTADORES!BE375-CONTADORES!BE374))-CB361</f>
        <v>0</v>
      </c>
      <c r="AO361" s="1399">
        <f ca="1">IF(B361&gt;=$J$5,0,(CONTADORES!AC375-CONTADORES!AC374))</f>
        <v>0</v>
      </c>
      <c r="AP361" s="1433">
        <f ca="1">IF(B361&gt;=$J$5,0,(CONTADORES!X375-CONTADORES!X374))</f>
        <v>0</v>
      </c>
      <c r="AQ361" s="1404">
        <f ca="1">IF(B361&gt;=$J$5,0,(CONTADORES!C375-CONTADORES!C374))</f>
        <v>0</v>
      </c>
      <c r="AR361" s="1399">
        <f ca="1">IF(B361&gt;=$J$5,0,(CONTADORES!BC375-CONTADORES!BC374))</f>
        <v>0</v>
      </c>
      <c r="AS361" s="1397">
        <f ca="1">IF(B361&gt;=$J$5,0,CONTADORES!S375-CONTADORES!S374)</f>
        <v>0</v>
      </c>
      <c r="AT361" s="1397">
        <f ca="1">IF(B361&gt;=$J$5,0,(CONTADORES!U375-CONTADORES!U374)+(CONTADORES!AG375-CONTADORES!AG374))</f>
        <v>0</v>
      </c>
      <c r="AU361" s="1433">
        <f ca="1">IF(B361&gt;=$J$5,0,(CONTADORES!I375-CONTADORES!I374))</f>
        <v>0</v>
      </c>
      <c r="AV361" s="1399">
        <f ca="1">IF(B361&gt;=$J$5,0,(CONTADORES!AV375-CONTADORES!AV374))</f>
        <v>0</v>
      </c>
      <c r="AW361" s="1399">
        <f ca="1">IF(B361&gt;=$J$5,0,(CONTADORES!N375-CONTADORES!N374)+(CONTADORES!AN375-CONTADORES!AN374))</f>
        <v>0</v>
      </c>
      <c r="AX361" s="1399">
        <f ca="1">IF(B361&gt;=$J$5,0,(CONTADORES!P375-CONTADORES!P374)+(CONTADORES!AL375-CONTADORES!AL374))</f>
        <v>0</v>
      </c>
      <c r="AY361" s="1399">
        <f ca="1">IF(B361&gt;=$J$5,0,(CONTADORES!AJ375-CONTADORES!AJ374))</f>
        <v>0</v>
      </c>
      <c r="AZ361" s="1399">
        <f ca="1">IF(B361&gt;=$J$5,0,(CONTADORES!R375-CONTADORES!R374))</f>
        <v>0</v>
      </c>
      <c r="BA361" s="1409">
        <f t="shared" ca="1" si="178"/>
        <v>0</v>
      </c>
      <c r="BB361" s="1417">
        <f ca="1">IF(B361&gt;=$J$5,0,(((CONTADORES!G375-CONTADORES!G374)+(CONTADORES!AR375-CONTADORES!AR374))))-AV361-BC361-BT361-BW361-BZ361-CE361-AR361</f>
        <v>0</v>
      </c>
      <c r="BC361" s="1397">
        <f ca="1">IF(B361&gt;=$J$5,0,(CONTADORES!AY375-CONTADORES!AY374)+(CONTADORES!BA375-CONTADORES!BA374)+(CONTADORES!BF375-CONTADORES!BF374))</f>
        <v>0</v>
      </c>
      <c r="BD361" s="1397">
        <f t="shared" ca="1" si="179"/>
        <v>0</v>
      </c>
      <c r="BE361" s="1398">
        <f ca="1">IF($B361&gt;=$J$5,0,CONTADORES!$BG375)</f>
        <v>0</v>
      </c>
      <c r="BF361" s="1397">
        <f ca="1">IF($B361&gt;=$J$5,0,CONTADORES!$BH375)</f>
        <v>0</v>
      </c>
      <c r="BG361" s="1397">
        <f ca="1">IF($B361&gt;=$J$5,0,CONTADORES!$BJ375)</f>
        <v>0</v>
      </c>
      <c r="BH361" s="1397">
        <f ca="1">IF(B361&gt;=$J$5,0,((CONTADORES!BK375-CONTADORES!BK374)/1000))</f>
        <v>0</v>
      </c>
      <c r="BI361" s="1397">
        <f ca="1">IF(C361&gt;=$J$5,0,((CONTADORES!BL375-CONTADORES!BL374)/1000))</f>
        <v>0</v>
      </c>
      <c r="BJ361" s="1397">
        <f ca="1">IF(C361&gt;=$J$5,0,((CONTADORES!BM375-CONTADORES!BM374)/1000))</f>
        <v>0</v>
      </c>
      <c r="BK361" s="1397">
        <f ca="1">IF(D361&gt;=$J$5,0,((CONTADORES!BN375-CONTADORES!BN374)/1000))</f>
        <v>0</v>
      </c>
      <c r="BL361" s="1399">
        <f t="shared" ca="1" si="194"/>
        <v>0</v>
      </c>
      <c r="BM361" s="1399">
        <f t="shared" ca="1" si="180"/>
        <v>0</v>
      </c>
      <c r="BN361" s="1398">
        <f ca="1">IF(B361&gt;=$J$5,0,CONTADORES!$BO375)</f>
        <v>0</v>
      </c>
      <c r="BO361" s="1397">
        <f ca="1">IF(W361&gt;=$J$5,0,CONTADORES!$BP375)</f>
        <v>0</v>
      </c>
      <c r="BP361" s="1397">
        <f ca="1">IF(W361&gt;=$J$5,0,CONTADORES!$BQ375)</f>
        <v>0</v>
      </c>
      <c r="BQ361" s="1397">
        <f ca="1">IF(B361&gt;=$J$5,0,(CONTADORES!AS375-CONTADORES!AS374))</f>
        <v>0</v>
      </c>
      <c r="BR361" s="1397">
        <f ca="1">IF(B361&gt;=$J$5,0,(CONTADORES!AT375-CONTADORES!AT374))</f>
        <v>0</v>
      </c>
      <c r="BS361" s="1397">
        <f ca="1">IF(B361&gt;=$J$5,0,CONTADORES!BR375-CONTADORES!BR374)/1000</f>
        <v>0</v>
      </c>
      <c r="BT361" s="1397">
        <f ca="1">IF(B361&gt;=$J$5,0,CONTADORES!BS375-CONTADORES!BS374)</f>
        <v>0</v>
      </c>
      <c r="BU361" s="1397">
        <f ca="1">IF(B361&gt;=$J$5,0,CONTADORES!BT375-CONTADORES!BT374)</f>
        <v>0</v>
      </c>
      <c r="BV361" s="1397">
        <f ca="1">IF(B361&gt;=$J$5,0,CONTADORES!BU375-CONTADORES!BU374)/1000</f>
        <v>0</v>
      </c>
      <c r="BW361" s="1397">
        <f ca="1">IF(B361&gt;=$J$5,0,CONTADORES!BV375-CONTADORES!BV374)/1000</f>
        <v>0</v>
      </c>
      <c r="BX361" s="1397">
        <f ca="1">IF(B361&gt;=$J$5,0,CONTADORES!BW375-CONTADORES!BW374)</f>
        <v>0</v>
      </c>
      <c r="BY361" s="1397">
        <f ca="1">IF(B361&gt;=$J$5,0,CONTADORES!BX375-CONTADORES!BX374)/1000</f>
        <v>0</v>
      </c>
      <c r="BZ361" s="1397">
        <f ca="1">IF(B361&gt;=$J$5,0,CONTADORES!BY375-CONTADORES!BY374)/1000</f>
        <v>0</v>
      </c>
      <c r="CA361" s="1397">
        <f ca="1">IF(B361&gt;=$J$5,0,CONTADORES!BZ375-CONTADORES!BZ374)</f>
        <v>0</v>
      </c>
      <c r="CB361" s="1397">
        <f ca="1">IF(B361&gt;=$J$5,0,(CONTADORES!CC375-CONTADORES!CC374)+(CONTADORES!CE375-CONTADORES!CE374))/1000</f>
        <v>0</v>
      </c>
      <c r="CC361" s="1397">
        <f ca="1">IF(B361&gt;=$J$5,0,(CONTADORES!CD375-CONTADORES!CD374)+(CONTADORES!CF375-CONTADORES!CF374))/1000</f>
        <v>0</v>
      </c>
      <c r="CD361" s="1397">
        <f ca="1">IF(B361&gt;=$J$5,0,CONTADORES!CA375-CONTADORES!CA374)</f>
        <v>0</v>
      </c>
      <c r="CE361" s="1397">
        <f ca="1">IF(B361&gt;=$J$5,0,CONTADORES!CB375-CONTADORES!CB374)</f>
        <v>0</v>
      </c>
      <c r="CF361" s="1397">
        <f t="shared" ca="1" si="181"/>
        <v>0</v>
      </c>
      <c r="CG361" s="1397">
        <f t="shared" ca="1" si="182"/>
        <v>0</v>
      </c>
      <c r="CH361" s="1397">
        <f t="shared" ca="1" si="183"/>
        <v>0</v>
      </c>
      <c r="CI361" s="1397">
        <f t="shared" ca="1" si="184"/>
        <v>0</v>
      </c>
      <c r="CJ361" s="1397">
        <f t="shared" ca="1" si="185"/>
        <v>0</v>
      </c>
      <c r="CK361" s="1397">
        <f t="shared" ca="1" si="186"/>
        <v>0</v>
      </c>
      <c r="CL361" s="1397">
        <f t="shared" ca="1" si="187"/>
        <v>0</v>
      </c>
      <c r="CM361" s="1397">
        <f t="shared" ca="1" si="188"/>
        <v>0</v>
      </c>
      <c r="CN361" s="1397">
        <f ca="1">IF(B361&gt;=$J$5,0,CONTADORES!CB375-CONTADORES!CB374)</f>
        <v>0</v>
      </c>
      <c r="CO361" s="1397">
        <f t="shared" ca="1" si="189"/>
        <v>0</v>
      </c>
      <c r="CP361" s="1397">
        <f t="shared" ca="1" si="190"/>
        <v>0</v>
      </c>
      <c r="CQ361" s="1397">
        <f t="shared" ca="1" si="191"/>
        <v>0</v>
      </c>
      <c r="CR361" s="1397">
        <f t="shared" ca="1" si="192"/>
        <v>0</v>
      </c>
      <c r="CS361" s="1403">
        <f ca="1">IF($B361&gt;=$J$5,0,CONTADORES!$BI375)</f>
        <v>0</v>
      </c>
      <c r="CT361" s="1369">
        <f>CONTADORES!E375</f>
        <v>0</v>
      </c>
      <c r="CU361" s="1369">
        <f>CONTADORES!CG375</f>
        <v>0</v>
      </c>
    </row>
    <row r="362" spans="2:99">
      <c r="B362" s="390">
        <v>45278</v>
      </c>
      <c r="C362" s="198">
        <f t="shared" ca="1" si="166"/>
        <v>0</v>
      </c>
      <c r="D362" s="196">
        <f ca="1">'CALCULO DE GAS'!P191</f>
        <v>0</v>
      </c>
      <c r="E362" s="196">
        <f ca="1">IF(B362&gt;=$J$5,0,(CONTADORES!$AD376-CONTADORES!$AD375)-$H362)</f>
        <v>0</v>
      </c>
      <c r="F362" s="198">
        <f t="shared" ca="1" si="195"/>
        <v>0</v>
      </c>
      <c r="G362" s="196">
        <f ca="1">IF(B362&gt;=$J$5,0,CONTADORES!$AF376-CONTADORES!$AF375)</f>
        <v>0</v>
      </c>
      <c r="H362" s="196">
        <f ca="1">IF(G362&gt;0,CONTADORES!$AE376-CONTADORES!$AE375,0)</f>
        <v>0</v>
      </c>
      <c r="I362" s="199">
        <f ca="1">IF(B362&gt;=$J$5,0,CONTADORES!$AB376-CONTADORES!$AB375)</f>
        <v>0</v>
      </c>
      <c r="J362" s="198">
        <f t="shared" ca="1" si="167"/>
        <v>0</v>
      </c>
      <c r="K362" s="196">
        <f ca="1">'CALCULO DE GAS'!Q191</f>
        <v>0</v>
      </c>
      <c r="L362" s="1413">
        <f ca="1">IF(B362&gt;=$J$5,0,(CONTADORES!$Y376-CONTADORES!$Y375)-$O362)</f>
        <v>0</v>
      </c>
      <c r="M362" s="1396">
        <f t="shared" ca="1" si="196"/>
        <v>0</v>
      </c>
      <c r="N362" s="1396">
        <f ca="1">IF(B362&gt;=$J$5,0,CONTADORES!$AA376-CONTADORES!$AA375)</f>
        <v>0</v>
      </c>
      <c r="O362" s="1396">
        <f ca="1">IF(N362&gt;0,CONTADORES!$Z376-CONTADORES!$Z375,0)</f>
        <v>0</v>
      </c>
      <c r="P362" s="202">
        <f ca="1">IF(B362&gt;=$J$5,0,CONTADORES!$W376-CONTADORES!$W375)</f>
        <v>0</v>
      </c>
      <c r="Q362" s="202">
        <f ca="1">IF(B362&gt;=$J$5,0,CONTADORES!$B376-CONTADORES!$B375)</f>
        <v>0</v>
      </c>
      <c r="R362" s="196">
        <f t="shared" ca="1" si="169"/>
        <v>0</v>
      </c>
      <c r="S362" s="11">
        <f ca="1">IF(B362&gt;=$J$5,0,CONTADORES!$D376-CONTADORES!$D375)</f>
        <v>0</v>
      </c>
      <c r="T362" s="198">
        <f ca="1">IF(B362&gt;=$J$5,0,CONTADORES!$BB376-CONTADORES!$BB375)</f>
        <v>0</v>
      </c>
      <c r="U362" s="196">
        <f t="shared" ca="1" si="197"/>
        <v>0</v>
      </c>
      <c r="V362" s="11">
        <f ca="1">IF(B362&gt;=$J$5,0,CONTADORES!$BD376-CONTADORES!$BD375)</f>
        <v>0</v>
      </c>
      <c r="W362" s="1397">
        <f t="shared" ca="1" si="170"/>
        <v>0</v>
      </c>
      <c r="X362" s="1397">
        <f t="shared" ca="1" si="171"/>
        <v>0</v>
      </c>
      <c r="Y362" s="1398">
        <f t="shared" ca="1" si="172"/>
        <v>0</v>
      </c>
      <c r="Z362" s="1398">
        <f t="shared" ca="1" si="173"/>
        <v>0</v>
      </c>
      <c r="AA362" s="1398">
        <f t="shared" ca="1" si="174"/>
        <v>0</v>
      </c>
      <c r="AB362" s="1398">
        <f t="shared" ca="1" si="175"/>
        <v>0</v>
      </c>
      <c r="AC362" s="1397">
        <f t="shared" ca="1" si="176"/>
        <v>0</v>
      </c>
      <c r="AD362" s="1397">
        <f ca="1">IF(B362&gt;=$J$5,0,CONTADORES!H376-CONTADORES!H375)</f>
        <v>0</v>
      </c>
      <c r="AE362" s="1397">
        <f ca="1">IF(B362&gt;=$J$5,0,CONTADORES!J376-CONTADORES!J375)</f>
        <v>0</v>
      </c>
      <c r="AF362" s="1397">
        <f ca="1">IF(B362&gt;=$J$5,0,CONTADORES!AU376-CONTADORES!AU375)</f>
        <v>0</v>
      </c>
      <c r="AG362" s="1397">
        <f ca="1">IF(B362&gt;=$J$5,0,CONTADORES!AW376-CONTADORES!AW375)</f>
        <v>0</v>
      </c>
      <c r="AH362" s="1398">
        <f ca="1">IF(B362&gt;=$J$5,0,(CONTADORES!AM376-CONTADORES!AM375)+(CONTADORES!M376-CONTADORES!M375))</f>
        <v>0</v>
      </c>
      <c r="AI362" s="1397">
        <f ca="1">IF(B362&gt;=$J$5,0,(CONTADORES!AK376-CONTADORES!AK375)+(CONTADORES!O376-CONTADORES!O375))</f>
        <v>0</v>
      </c>
      <c r="AJ362" s="1397">
        <f ca="1">IF(B362&gt;=$J$5,0,(CONTADORES!AI376-CONTADORES!AI375))</f>
        <v>0</v>
      </c>
      <c r="AK362" s="1397">
        <f ca="1">IF(B362&gt;=$J$5,0,(CONTADORES!Q376-CONTADORES!Q375))</f>
        <v>0</v>
      </c>
      <c r="AL362" s="1461">
        <f t="shared" ca="1" si="177"/>
        <v>0</v>
      </c>
      <c r="AM362" s="1397">
        <f ca="1">IF(B362&gt;=$J$5,0,(((CONTADORES!F376-CONTADORES!F375)+(CONTADORES!AQ376-CONTADORES!AQ375))))-BS362-AF362-AN362-BV362-BY362-CD362-CB362+T362</f>
        <v>0</v>
      </c>
      <c r="AN362" s="1402">
        <f ca="1">IF(B362&gt;=$J$5,0,(CONTADORES!AX376-CONTADORES!AX375)+(CONTADORES!AZ376-CONTADORES!AZ375)+(CONTADORES!BE376-CONTADORES!BE375))-CB362</f>
        <v>0</v>
      </c>
      <c r="AO362" s="1399">
        <f ca="1">IF(B362&gt;=$J$5,0,(CONTADORES!AC376-CONTADORES!AC375))</f>
        <v>0</v>
      </c>
      <c r="AP362" s="1433">
        <f ca="1">IF(B362&gt;=$J$5,0,(CONTADORES!X376-CONTADORES!X375))</f>
        <v>0</v>
      </c>
      <c r="AQ362" s="1404">
        <f ca="1">IF(B362&gt;=$J$5,0,(CONTADORES!C376-CONTADORES!C375))</f>
        <v>0</v>
      </c>
      <c r="AR362" s="1399">
        <f ca="1">IF(B362&gt;=$J$5,0,(CONTADORES!BC376-CONTADORES!BC375))</f>
        <v>0</v>
      </c>
      <c r="AS362" s="1397">
        <f ca="1">IF(B362&gt;=$J$5,0,CONTADORES!S376-CONTADORES!S375)</f>
        <v>0</v>
      </c>
      <c r="AT362" s="1397">
        <f ca="1">IF(B362&gt;=$J$5,0,(CONTADORES!U376-CONTADORES!U375)+(CONTADORES!AG376-CONTADORES!AG375))</f>
        <v>0</v>
      </c>
      <c r="AU362" s="1433">
        <f ca="1">IF(B362&gt;=$J$5,0,(CONTADORES!I376-CONTADORES!I375))</f>
        <v>0</v>
      </c>
      <c r="AV362" s="1399">
        <f ca="1">IF(B362&gt;=$J$5,0,(CONTADORES!AV376-CONTADORES!AV375))</f>
        <v>0</v>
      </c>
      <c r="AW362" s="1399">
        <f ca="1">IF(B362&gt;=$J$5,0,(CONTADORES!N376-CONTADORES!N375)+(CONTADORES!AN376-CONTADORES!AN375))</f>
        <v>0</v>
      </c>
      <c r="AX362" s="1399">
        <f ca="1">IF(B362&gt;=$J$5,0,(CONTADORES!P376-CONTADORES!P375)+(CONTADORES!AL376-CONTADORES!AL375))</f>
        <v>0</v>
      </c>
      <c r="AY362" s="1399">
        <f ca="1">IF(B362&gt;=$J$5,0,(CONTADORES!AJ376-CONTADORES!AJ375))</f>
        <v>0</v>
      </c>
      <c r="AZ362" s="1399">
        <f ca="1">IF(B362&gt;=$J$5,0,(CONTADORES!R376-CONTADORES!R375))</f>
        <v>0</v>
      </c>
      <c r="BA362" s="1409">
        <f t="shared" ca="1" si="178"/>
        <v>0</v>
      </c>
      <c r="BB362" s="1417">
        <f ca="1">IF(B362&gt;=$J$5,0,(((CONTADORES!G376-CONTADORES!G375)+(CONTADORES!AR376-CONTADORES!AR375))))-AV362-BC362-BT362-BW362-BZ362-CE362-AR362</f>
        <v>0</v>
      </c>
      <c r="BC362" s="1397">
        <f ca="1">IF(B362&gt;=$J$5,0,(CONTADORES!AY376-CONTADORES!AY375)+(CONTADORES!BA376-CONTADORES!BA375)+(CONTADORES!BF376-CONTADORES!BF375))</f>
        <v>0</v>
      </c>
      <c r="BD362" s="1397">
        <f t="shared" ca="1" si="179"/>
        <v>0</v>
      </c>
      <c r="BE362" s="1398">
        <f ca="1">IF($B362&gt;=$J$5,0,CONTADORES!$BG376)</f>
        <v>0</v>
      </c>
      <c r="BF362" s="1397">
        <f ca="1">IF($B362&gt;=$J$5,0,CONTADORES!$BH376)</f>
        <v>0</v>
      </c>
      <c r="BG362" s="1397">
        <f ca="1">IF($B362&gt;=$J$5,0,CONTADORES!$BJ376)</f>
        <v>0</v>
      </c>
      <c r="BH362" s="1397">
        <f ca="1">IF(B362&gt;=$J$5,0,((CONTADORES!BK376-CONTADORES!BK375)/1000))</f>
        <v>0</v>
      </c>
      <c r="BI362" s="1397">
        <f ca="1">IF(C362&gt;=$J$5,0,((CONTADORES!BL376-CONTADORES!BL375)/1000))</f>
        <v>0</v>
      </c>
      <c r="BJ362" s="1397">
        <f ca="1">IF(C362&gt;=$J$5,0,((CONTADORES!BM376-CONTADORES!BM375)/1000))</f>
        <v>0</v>
      </c>
      <c r="BK362" s="1397">
        <f ca="1">IF(D362&gt;=$J$5,0,((CONTADORES!BN376-CONTADORES!BN375)/1000))</f>
        <v>0</v>
      </c>
      <c r="BL362" s="1399">
        <f t="shared" ca="1" si="194"/>
        <v>0</v>
      </c>
      <c r="BM362" s="1399">
        <f t="shared" ca="1" si="180"/>
        <v>0</v>
      </c>
      <c r="BN362" s="1398">
        <f ca="1">IF(B362&gt;=$J$5,0,CONTADORES!$BO376)</f>
        <v>0</v>
      </c>
      <c r="BO362" s="1397">
        <f ca="1">IF(W362&gt;=$J$5,0,CONTADORES!$BP376)</f>
        <v>0</v>
      </c>
      <c r="BP362" s="1397">
        <f ca="1">IF(W362&gt;=$J$5,0,CONTADORES!$BQ376)</f>
        <v>0</v>
      </c>
      <c r="BQ362" s="1397">
        <f ca="1">IF(B362&gt;=$J$5,0,(CONTADORES!AS376-CONTADORES!AS375))</f>
        <v>0</v>
      </c>
      <c r="BR362" s="1397">
        <f ca="1">IF(B362&gt;=$J$5,0,(CONTADORES!AT376-CONTADORES!AT375))</f>
        <v>0</v>
      </c>
      <c r="BS362" s="1397">
        <f ca="1">IF(B362&gt;=$J$5,0,CONTADORES!BR376-CONTADORES!BR375)/1000</f>
        <v>0</v>
      </c>
      <c r="BT362" s="1397">
        <f ca="1">IF(B362&gt;=$J$5,0,CONTADORES!BS376-CONTADORES!BS375)</f>
        <v>0</v>
      </c>
      <c r="BU362" s="1397">
        <f ca="1">IF(B362&gt;=$J$5,0,CONTADORES!BT376-CONTADORES!BT375)</f>
        <v>0</v>
      </c>
      <c r="BV362" s="1397">
        <f ca="1">IF(B362&gt;=$J$5,0,CONTADORES!BU376-CONTADORES!BU375)/1000</f>
        <v>0</v>
      </c>
      <c r="BW362" s="1397">
        <f ca="1">IF(B362&gt;=$J$5,0,CONTADORES!BV376-CONTADORES!BV375)/1000</f>
        <v>0</v>
      </c>
      <c r="BX362" s="1397">
        <f ca="1">IF(B362&gt;=$J$5,0,CONTADORES!BW376-CONTADORES!BW375)</f>
        <v>0</v>
      </c>
      <c r="BY362" s="1397">
        <f ca="1">IF(B362&gt;=$J$5,0,CONTADORES!BX376-CONTADORES!BX375)/1000</f>
        <v>0</v>
      </c>
      <c r="BZ362" s="1397">
        <f ca="1">IF(B362&gt;=$J$5,0,CONTADORES!BY376-CONTADORES!BY375)/1000</f>
        <v>0</v>
      </c>
      <c r="CA362" s="1397">
        <f ca="1">IF(B362&gt;=$J$5,0,CONTADORES!BZ376-CONTADORES!BZ375)</f>
        <v>0</v>
      </c>
      <c r="CB362" s="1397">
        <f ca="1">IF(B362&gt;=$J$5,0,(CONTADORES!CC376-CONTADORES!CC375)+(CONTADORES!CE376-CONTADORES!CE375))/1000</f>
        <v>0</v>
      </c>
      <c r="CC362" s="1397">
        <f ca="1">IF(B362&gt;=$J$5,0,(CONTADORES!CD376-CONTADORES!CD375)+(CONTADORES!CF376-CONTADORES!CF375))/1000</f>
        <v>0</v>
      </c>
      <c r="CD362" s="1397">
        <f ca="1">IF(B362&gt;=$J$5,0,CONTADORES!CA376-CONTADORES!CA375)</f>
        <v>0</v>
      </c>
      <c r="CE362" s="1397">
        <f ca="1">IF(B362&gt;=$J$5,0,CONTADORES!CB376-CONTADORES!CB375)</f>
        <v>0</v>
      </c>
      <c r="CF362" s="1397">
        <f t="shared" ca="1" si="181"/>
        <v>0</v>
      </c>
      <c r="CG362" s="1397">
        <f t="shared" ca="1" si="182"/>
        <v>0</v>
      </c>
      <c r="CH362" s="1397">
        <f t="shared" ca="1" si="183"/>
        <v>0</v>
      </c>
      <c r="CI362" s="1397">
        <f t="shared" ca="1" si="184"/>
        <v>0</v>
      </c>
      <c r="CJ362" s="1397">
        <f t="shared" ca="1" si="185"/>
        <v>0</v>
      </c>
      <c r="CK362" s="1397">
        <f t="shared" ca="1" si="186"/>
        <v>0</v>
      </c>
      <c r="CL362" s="1397">
        <f t="shared" ca="1" si="187"/>
        <v>0</v>
      </c>
      <c r="CM362" s="1397">
        <f t="shared" ca="1" si="188"/>
        <v>0</v>
      </c>
      <c r="CN362" s="1397">
        <f ca="1">IF(B362&gt;=$J$5,0,CONTADORES!CB376-CONTADORES!CB375)</f>
        <v>0</v>
      </c>
      <c r="CO362" s="1397">
        <f t="shared" ca="1" si="189"/>
        <v>0</v>
      </c>
      <c r="CP362" s="1397">
        <f t="shared" ca="1" si="190"/>
        <v>0</v>
      </c>
      <c r="CQ362" s="1397">
        <f t="shared" ca="1" si="191"/>
        <v>0</v>
      </c>
      <c r="CR362" s="1397">
        <f t="shared" ca="1" si="192"/>
        <v>0</v>
      </c>
      <c r="CS362" s="1403">
        <f ca="1">IF($B362&gt;=$J$5,0,CONTADORES!$BI376)</f>
        <v>0</v>
      </c>
      <c r="CT362" s="1369">
        <f>CONTADORES!E376</f>
        <v>0</v>
      </c>
      <c r="CU362" s="1369">
        <f>CONTADORES!CG376</f>
        <v>0</v>
      </c>
    </row>
    <row r="363" spans="2:99">
      <c r="B363" s="390">
        <v>45279</v>
      </c>
      <c r="C363" s="198">
        <f t="shared" ca="1" si="166"/>
        <v>0</v>
      </c>
      <c r="D363" s="196">
        <f ca="1">'CALCULO DE GAS'!P192</f>
        <v>0</v>
      </c>
      <c r="E363" s="196">
        <f ca="1">IF(B363&gt;=$J$5,0,(CONTADORES!$AD377-CONTADORES!$AD376)-$H363)</f>
        <v>0</v>
      </c>
      <c r="F363" s="198">
        <f t="shared" ca="1" si="195"/>
        <v>0</v>
      </c>
      <c r="G363" s="196">
        <f ca="1">IF(B363&gt;=$J$5,0,CONTADORES!$AF377-CONTADORES!$AF376)</f>
        <v>0</v>
      </c>
      <c r="H363" s="196">
        <f ca="1">IF(G363&gt;0,CONTADORES!$AE377-CONTADORES!$AE376,0)</f>
        <v>0</v>
      </c>
      <c r="I363" s="199">
        <f ca="1">IF(B363&gt;=$J$5,0,CONTADORES!$AB377-CONTADORES!$AB376)</f>
        <v>0</v>
      </c>
      <c r="J363" s="198">
        <f t="shared" ca="1" si="167"/>
        <v>0</v>
      </c>
      <c r="K363" s="196">
        <f ca="1">'CALCULO DE GAS'!Q192</f>
        <v>0</v>
      </c>
      <c r="L363" s="1413">
        <f ca="1">IF(B363&gt;=$J$5,0,(CONTADORES!$Y377-CONTADORES!$Y376)-$O363)</f>
        <v>0</v>
      </c>
      <c r="M363" s="1396">
        <f t="shared" ca="1" si="196"/>
        <v>0</v>
      </c>
      <c r="N363" s="1396">
        <f ca="1">IF(B363&gt;=$J$5,0,CONTADORES!$AA377-CONTADORES!$AA376)</f>
        <v>0</v>
      </c>
      <c r="O363" s="1396">
        <f ca="1">IF(N363&gt;0,CONTADORES!$Z377-CONTADORES!$Z376,0)</f>
        <v>0</v>
      </c>
      <c r="P363" s="202">
        <f ca="1">IF(B363&gt;=$J$5,0,CONTADORES!$W377-CONTADORES!$W376)</f>
        <v>0</v>
      </c>
      <c r="Q363" s="202">
        <f ca="1">IF(B363&gt;=$J$5,0,CONTADORES!$B377-CONTADORES!$B376)</f>
        <v>0</v>
      </c>
      <c r="R363" s="196">
        <f t="shared" ca="1" si="169"/>
        <v>0</v>
      </c>
      <c r="S363" s="11">
        <f ca="1">IF(B363&gt;=$J$5,0,CONTADORES!$D377-CONTADORES!$D376)</f>
        <v>0</v>
      </c>
      <c r="T363" s="198">
        <f ca="1">IF(B363&gt;=$J$5,0,CONTADORES!$BB377-CONTADORES!$BB376)</f>
        <v>0</v>
      </c>
      <c r="U363" s="196">
        <f t="shared" ca="1" si="197"/>
        <v>0</v>
      </c>
      <c r="V363" s="11">
        <f ca="1">IF(B363&gt;=$J$5,0,CONTADORES!$BD377-CONTADORES!$BD376)</f>
        <v>0</v>
      </c>
      <c r="W363" s="1397">
        <f t="shared" ca="1" si="170"/>
        <v>0</v>
      </c>
      <c r="X363" s="1397">
        <f t="shared" ca="1" si="171"/>
        <v>0</v>
      </c>
      <c r="Y363" s="1398">
        <f t="shared" ca="1" si="172"/>
        <v>0</v>
      </c>
      <c r="Z363" s="1398">
        <f t="shared" ca="1" si="173"/>
        <v>0</v>
      </c>
      <c r="AA363" s="1398">
        <f t="shared" ca="1" si="174"/>
        <v>0</v>
      </c>
      <c r="AB363" s="1398">
        <f t="shared" ca="1" si="175"/>
        <v>0</v>
      </c>
      <c r="AC363" s="1397">
        <f t="shared" ca="1" si="176"/>
        <v>0</v>
      </c>
      <c r="AD363" s="1397">
        <f ca="1">IF(B363&gt;=$J$5,0,CONTADORES!H377-CONTADORES!H376)</f>
        <v>0</v>
      </c>
      <c r="AE363" s="1397">
        <f ca="1">IF(B363&gt;=$J$5,0,CONTADORES!J377-CONTADORES!J376)</f>
        <v>0</v>
      </c>
      <c r="AF363" s="1397">
        <f ca="1">IF(B363&gt;=$J$5,0,CONTADORES!AU377-CONTADORES!AU376)</f>
        <v>0</v>
      </c>
      <c r="AG363" s="1397">
        <f ca="1">IF(B363&gt;=$J$5,0,CONTADORES!AW377-CONTADORES!AW376)</f>
        <v>0</v>
      </c>
      <c r="AH363" s="1398">
        <f ca="1">IF(B363&gt;=$J$5,0,(CONTADORES!AM377-CONTADORES!AM376)+(CONTADORES!M377-CONTADORES!M376))</f>
        <v>0</v>
      </c>
      <c r="AI363" s="1397">
        <f ca="1">IF(B363&gt;=$J$5,0,(CONTADORES!AK377-CONTADORES!AK376)+(CONTADORES!O377-CONTADORES!O376))</f>
        <v>0</v>
      </c>
      <c r="AJ363" s="1397">
        <f ca="1">IF(B363&gt;=$J$5,0,(CONTADORES!AI377-CONTADORES!AI376))</f>
        <v>0</v>
      </c>
      <c r="AK363" s="1397">
        <f ca="1">IF(B363&gt;=$J$5,0,(CONTADORES!Q377-CONTADORES!Q376))</f>
        <v>0</v>
      </c>
      <c r="AL363" s="1461">
        <f t="shared" ca="1" si="177"/>
        <v>0</v>
      </c>
      <c r="AM363" s="1397">
        <f ca="1">IF(B363&gt;=$J$5,0,(((CONTADORES!F377-CONTADORES!F376)+(CONTADORES!AQ377-CONTADORES!AQ376))))-BS363-AF363-AN363-BV363-BY363-CD363-CB363+T363</f>
        <v>0</v>
      </c>
      <c r="AN363" s="1402">
        <f ca="1">IF(B363&gt;=$J$5,0,(CONTADORES!AX377-CONTADORES!AX376)+(CONTADORES!AZ377-CONTADORES!AZ376)+(CONTADORES!BE377-CONTADORES!BE376))-CB363</f>
        <v>0</v>
      </c>
      <c r="AO363" s="1399">
        <f ca="1">IF(B363&gt;=$J$5,0,(CONTADORES!AC377-CONTADORES!AC376))</f>
        <v>0</v>
      </c>
      <c r="AP363" s="1433">
        <f ca="1">IF(B363&gt;=$J$5,0,(CONTADORES!X377-CONTADORES!X376))</f>
        <v>0</v>
      </c>
      <c r="AQ363" s="1404">
        <f ca="1">IF(B363&gt;=$J$5,0,(CONTADORES!C377-CONTADORES!C376))</f>
        <v>0</v>
      </c>
      <c r="AR363" s="1399">
        <f ca="1">IF(B363&gt;=$J$5,0,(CONTADORES!BC377-CONTADORES!BC376))</f>
        <v>0</v>
      </c>
      <c r="AS363" s="1397">
        <f ca="1">IF(B363&gt;=$J$5,0,CONTADORES!S377-CONTADORES!S376)</f>
        <v>0</v>
      </c>
      <c r="AT363" s="1397">
        <f ca="1">IF(B363&gt;=$J$5,0,(CONTADORES!U377-CONTADORES!U376)+(CONTADORES!AG377-CONTADORES!AG376))</f>
        <v>0</v>
      </c>
      <c r="AU363" s="1433">
        <f ca="1">IF(B363&gt;=$J$5,0,(CONTADORES!I377-CONTADORES!I376))</f>
        <v>0</v>
      </c>
      <c r="AV363" s="1399">
        <f ca="1">IF(B363&gt;=$J$5,0,(CONTADORES!AV377-CONTADORES!AV376))</f>
        <v>0</v>
      </c>
      <c r="AW363" s="1399">
        <f ca="1">IF(B363&gt;=$J$5,0,(CONTADORES!N377-CONTADORES!N376)+(CONTADORES!AN377-CONTADORES!AN376))</f>
        <v>0</v>
      </c>
      <c r="AX363" s="1399">
        <f ca="1">IF(B363&gt;=$J$5,0,(CONTADORES!P377-CONTADORES!P376)+(CONTADORES!AL377-CONTADORES!AL376))</f>
        <v>0</v>
      </c>
      <c r="AY363" s="1399">
        <f ca="1">IF(B363&gt;=$J$5,0,(CONTADORES!AJ377-CONTADORES!AJ376))</f>
        <v>0</v>
      </c>
      <c r="AZ363" s="1399">
        <f ca="1">IF(B363&gt;=$J$5,0,(CONTADORES!R377-CONTADORES!R376))</f>
        <v>0</v>
      </c>
      <c r="BA363" s="1409">
        <f t="shared" ca="1" si="178"/>
        <v>0</v>
      </c>
      <c r="BB363" s="1417">
        <f ca="1">IF(B363&gt;=$J$5,0,(((CONTADORES!G377-CONTADORES!G376)+(CONTADORES!AR377-CONTADORES!AR376))))-AV363-BC363-BT363-BW363-BZ363-CE363-AR363</f>
        <v>0</v>
      </c>
      <c r="BC363" s="1397">
        <f ca="1">IF(B363&gt;=$J$5,0,(CONTADORES!AY377-CONTADORES!AY376)+(CONTADORES!BA377-CONTADORES!BA376)+(CONTADORES!BF377-CONTADORES!BF376))</f>
        <v>0</v>
      </c>
      <c r="BD363" s="1397">
        <f t="shared" ca="1" si="179"/>
        <v>0</v>
      </c>
      <c r="BE363" s="1398">
        <f ca="1">IF($B363&gt;=$J$5,0,CONTADORES!$BG377)</f>
        <v>0</v>
      </c>
      <c r="BF363" s="1397">
        <f ca="1">IF($B363&gt;=$J$5,0,CONTADORES!$BH377)</f>
        <v>0</v>
      </c>
      <c r="BG363" s="1397">
        <f ca="1">IF($B363&gt;=$J$5,0,CONTADORES!$BJ377)</f>
        <v>0</v>
      </c>
      <c r="BH363" s="1397">
        <f ca="1">IF(B363&gt;=$J$5,0,((CONTADORES!BK377-CONTADORES!BK376)/1000))</f>
        <v>0</v>
      </c>
      <c r="BI363" s="1397">
        <f ca="1">IF(C363&gt;=$J$5,0,((CONTADORES!BL377-CONTADORES!BL376)/1000))</f>
        <v>0</v>
      </c>
      <c r="BJ363" s="1397">
        <f ca="1">IF(C363&gt;=$J$5,0,((CONTADORES!BM377-CONTADORES!BM376)/1000))</f>
        <v>0</v>
      </c>
      <c r="BK363" s="1397">
        <f ca="1">IF(D363&gt;=$J$5,0,((CONTADORES!BN377-CONTADORES!BN376)/1000))</f>
        <v>0</v>
      </c>
      <c r="BL363" s="1399">
        <f t="shared" ca="1" si="194"/>
        <v>0</v>
      </c>
      <c r="BM363" s="1399">
        <f t="shared" ca="1" si="180"/>
        <v>0</v>
      </c>
      <c r="BN363" s="1398">
        <f ca="1">IF(B363&gt;=$J$5,0,CONTADORES!$BO377)</f>
        <v>0</v>
      </c>
      <c r="BO363" s="1397">
        <f ca="1">IF(W363&gt;=$J$5,0,CONTADORES!$BP377)</f>
        <v>0</v>
      </c>
      <c r="BP363" s="1397">
        <f ca="1">IF(W363&gt;=$J$5,0,CONTADORES!$BQ377)</f>
        <v>0</v>
      </c>
      <c r="BQ363" s="1397">
        <f ca="1">IF(B363&gt;=$J$5,0,(CONTADORES!AS377-CONTADORES!AS376))</f>
        <v>0</v>
      </c>
      <c r="BR363" s="1397">
        <f ca="1">IF(B363&gt;=$J$5,0,(CONTADORES!AT377-CONTADORES!AT376))</f>
        <v>0</v>
      </c>
      <c r="BS363" s="1397">
        <f ca="1">IF(B363&gt;=$J$5,0,CONTADORES!BR377-CONTADORES!BR376)/1000</f>
        <v>0</v>
      </c>
      <c r="BT363" s="1397">
        <f ca="1">IF(B363&gt;=$J$5,0,CONTADORES!BS377-CONTADORES!BS376)</f>
        <v>0</v>
      </c>
      <c r="BU363" s="1397">
        <f ca="1">IF(B363&gt;=$J$5,0,CONTADORES!BT377-CONTADORES!BT376)</f>
        <v>0</v>
      </c>
      <c r="BV363" s="1397">
        <f ca="1">IF(B363&gt;=$J$5,0,CONTADORES!BU377-CONTADORES!BU376)/1000</f>
        <v>0</v>
      </c>
      <c r="BW363" s="1397">
        <f ca="1">IF(B363&gt;=$J$5,0,CONTADORES!BV377-CONTADORES!BV376)/1000</f>
        <v>0</v>
      </c>
      <c r="BX363" s="1397">
        <f ca="1">IF(B363&gt;=$J$5,0,CONTADORES!BW377-CONTADORES!BW376)</f>
        <v>0</v>
      </c>
      <c r="BY363" s="1397">
        <f ca="1">IF(B363&gt;=$J$5,0,CONTADORES!BX377-CONTADORES!BX376)/1000</f>
        <v>0</v>
      </c>
      <c r="BZ363" s="1397">
        <f ca="1">IF(B363&gt;=$J$5,0,CONTADORES!BY377-CONTADORES!BY376)/1000</f>
        <v>0</v>
      </c>
      <c r="CA363" s="1397">
        <f ca="1">IF(B363&gt;=$J$5,0,CONTADORES!BZ377-CONTADORES!BZ376)</f>
        <v>0</v>
      </c>
      <c r="CB363" s="1397">
        <f ca="1">IF(B363&gt;=$J$5,0,(CONTADORES!CC377-CONTADORES!CC376)+(CONTADORES!CE377-CONTADORES!CE376))/1000</f>
        <v>0</v>
      </c>
      <c r="CC363" s="1397">
        <f ca="1">IF(B363&gt;=$J$5,0,(CONTADORES!CD377-CONTADORES!CD376)+(CONTADORES!CF377-CONTADORES!CF376))/1000</f>
        <v>0</v>
      </c>
      <c r="CD363" s="1397">
        <f ca="1">IF(B363&gt;=$J$5,0,CONTADORES!CA377-CONTADORES!CA376)</f>
        <v>0</v>
      </c>
      <c r="CE363" s="1397">
        <f ca="1">IF(B363&gt;=$J$5,0,CONTADORES!CB377-CONTADORES!CB376)</f>
        <v>0</v>
      </c>
      <c r="CF363" s="1397">
        <f t="shared" ca="1" si="181"/>
        <v>0</v>
      </c>
      <c r="CG363" s="1397">
        <f t="shared" ca="1" si="182"/>
        <v>0</v>
      </c>
      <c r="CH363" s="1397">
        <f t="shared" ca="1" si="183"/>
        <v>0</v>
      </c>
      <c r="CI363" s="1397">
        <f t="shared" ca="1" si="184"/>
        <v>0</v>
      </c>
      <c r="CJ363" s="1397">
        <f t="shared" ca="1" si="185"/>
        <v>0</v>
      </c>
      <c r="CK363" s="1397">
        <f t="shared" ca="1" si="186"/>
        <v>0</v>
      </c>
      <c r="CL363" s="1397">
        <f t="shared" ca="1" si="187"/>
        <v>0</v>
      </c>
      <c r="CM363" s="1397">
        <f t="shared" ca="1" si="188"/>
        <v>0</v>
      </c>
      <c r="CN363" s="1397">
        <f ca="1">IF(B363&gt;=$J$5,0,CONTADORES!CB377-CONTADORES!CB376)</f>
        <v>0</v>
      </c>
      <c r="CO363" s="1397">
        <f t="shared" ca="1" si="189"/>
        <v>0</v>
      </c>
      <c r="CP363" s="1397">
        <f t="shared" ca="1" si="190"/>
        <v>0</v>
      </c>
      <c r="CQ363" s="1397">
        <f t="shared" ca="1" si="191"/>
        <v>0</v>
      </c>
      <c r="CR363" s="1397">
        <f t="shared" ca="1" si="192"/>
        <v>0</v>
      </c>
      <c r="CS363" s="1403">
        <f ca="1">IF($B363&gt;=$J$5,0,CONTADORES!$BI377)</f>
        <v>0</v>
      </c>
      <c r="CT363" s="1369">
        <f>CONTADORES!E377</f>
        <v>0</v>
      </c>
      <c r="CU363" s="1369">
        <f>CONTADORES!CG377</f>
        <v>0</v>
      </c>
    </row>
    <row r="364" spans="2:99">
      <c r="B364" s="390">
        <v>45280</v>
      </c>
      <c r="C364" s="198">
        <f t="shared" ca="1" si="166"/>
        <v>0</v>
      </c>
      <c r="D364" s="196">
        <f ca="1">'CALCULO DE GAS'!P193</f>
        <v>0</v>
      </c>
      <c r="E364" s="196">
        <f ca="1">IF(B364&gt;=$J$5,0,(CONTADORES!$AD378-CONTADORES!$AD377)-$H364)</f>
        <v>0</v>
      </c>
      <c r="F364" s="198">
        <f t="shared" ca="1" si="195"/>
        <v>0</v>
      </c>
      <c r="G364" s="196">
        <f ca="1">IF(B364&gt;=$J$5,0,CONTADORES!$AF378-CONTADORES!$AF377)</f>
        <v>0</v>
      </c>
      <c r="H364" s="196">
        <f ca="1">IF(G364&gt;0,CONTADORES!$AE378-CONTADORES!$AE377,0)</f>
        <v>0</v>
      </c>
      <c r="I364" s="199">
        <f ca="1">IF(B364&gt;=$J$5,0,CONTADORES!$AB378-CONTADORES!$AB377)</f>
        <v>0</v>
      </c>
      <c r="J364" s="198">
        <f t="shared" ca="1" si="167"/>
        <v>0</v>
      </c>
      <c r="K364" s="196">
        <f ca="1">'CALCULO DE GAS'!Q193</f>
        <v>0</v>
      </c>
      <c r="L364" s="1413">
        <f ca="1">IF(B364&gt;=$J$5,0,(CONTADORES!$Y378-CONTADORES!$Y377)-$O364)</f>
        <v>0</v>
      </c>
      <c r="M364" s="1396">
        <f t="shared" ca="1" si="196"/>
        <v>0</v>
      </c>
      <c r="N364" s="1396">
        <f ca="1">IF(B364&gt;=$J$5,0,CONTADORES!$AA378-CONTADORES!$AA377)</f>
        <v>0</v>
      </c>
      <c r="O364" s="1396">
        <f ca="1">IF(N364&gt;0,CONTADORES!$Z378-CONTADORES!$Z377,0)</f>
        <v>0</v>
      </c>
      <c r="P364" s="202">
        <f ca="1">IF(B364&gt;=$J$5,0,CONTADORES!$W378-CONTADORES!$W377)</f>
        <v>0</v>
      </c>
      <c r="Q364" s="202">
        <f ca="1">IF(B364&gt;=$J$5,0,CONTADORES!$B378-CONTADORES!$B377)</f>
        <v>0</v>
      </c>
      <c r="R364" s="196">
        <f t="shared" ca="1" si="169"/>
        <v>0</v>
      </c>
      <c r="S364" s="11">
        <f ca="1">IF(B364&gt;=$J$5,0,CONTADORES!$D378-CONTADORES!$D377)</f>
        <v>0</v>
      </c>
      <c r="T364" s="198">
        <f ca="1">IF(B364&gt;=$J$5,0,CONTADORES!$BB378-CONTADORES!$BB377)</f>
        <v>0</v>
      </c>
      <c r="U364" s="196">
        <f t="shared" ca="1" si="197"/>
        <v>0</v>
      </c>
      <c r="V364" s="11">
        <f ca="1">IF(B364&gt;=$J$5,0,CONTADORES!$BD378-CONTADORES!$BD377)</f>
        <v>0</v>
      </c>
      <c r="W364" s="1397">
        <f t="shared" ca="1" si="170"/>
        <v>0</v>
      </c>
      <c r="X364" s="1397">
        <f t="shared" ca="1" si="171"/>
        <v>0</v>
      </c>
      <c r="Y364" s="1398">
        <f t="shared" ca="1" si="172"/>
        <v>0</v>
      </c>
      <c r="Z364" s="1398">
        <f t="shared" ca="1" si="173"/>
        <v>0</v>
      </c>
      <c r="AA364" s="1398">
        <f t="shared" ca="1" si="174"/>
        <v>0</v>
      </c>
      <c r="AB364" s="1398">
        <f t="shared" ca="1" si="175"/>
        <v>0</v>
      </c>
      <c r="AC364" s="1397">
        <f t="shared" ca="1" si="176"/>
        <v>0</v>
      </c>
      <c r="AD364" s="1397">
        <f ca="1">IF(B364&gt;=$J$5,0,CONTADORES!H378-CONTADORES!H377)</f>
        <v>0</v>
      </c>
      <c r="AE364" s="1397">
        <f ca="1">IF(B364&gt;=$J$5,0,CONTADORES!J378-CONTADORES!J377)</f>
        <v>0</v>
      </c>
      <c r="AF364" s="1397">
        <f ca="1">IF(B364&gt;=$J$5,0,CONTADORES!AU378-CONTADORES!AU377)</f>
        <v>0</v>
      </c>
      <c r="AG364" s="1397">
        <f ca="1">IF(B364&gt;=$J$5,0,CONTADORES!AW378-CONTADORES!AW377)</f>
        <v>0</v>
      </c>
      <c r="AH364" s="1398">
        <f ca="1">IF(B364&gt;=$J$5,0,(CONTADORES!AM378-CONTADORES!AM377)+(CONTADORES!M378-CONTADORES!M377))</f>
        <v>0</v>
      </c>
      <c r="AI364" s="1397">
        <f ca="1">IF(B364&gt;=$J$5,0,(CONTADORES!AK378-CONTADORES!AK377)+(CONTADORES!O378-CONTADORES!O377))</f>
        <v>0</v>
      </c>
      <c r="AJ364" s="1397">
        <f ca="1">IF(B364&gt;=$J$5,0,(CONTADORES!AI378-CONTADORES!AI377))</f>
        <v>0</v>
      </c>
      <c r="AK364" s="1397">
        <f ca="1">IF(B364&gt;=$J$5,0,(CONTADORES!Q378-CONTADORES!Q377))</f>
        <v>0</v>
      </c>
      <c r="AL364" s="1461">
        <f t="shared" ca="1" si="177"/>
        <v>0</v>
      </c>
      <c r="AM364" s="1397">
        <f ca="1">IF(B364&gt;=$J$5,0,(((CONTADORES!F378-CONTADORES!F377)+(CONTADORES!AQ378-CONTADORES!AQ377))))-BS364-AF364-AN364-BV364-BY364-CD364-CB364+T364</f>
        <v>0</v>
      </c>
      <c r="AN364" s="1402">
        <f ca="1">IF(B364&gt;=$J$5,0,(CONTADORES!AX378-CONTADORES!AX377)+(CONTADORES!AZ378-CONTADORES!AZ377)+(CONTADORES!BE378-CONTADORES!BE377))-CB364</f>
        <v>0</v>
      </c>
      <c r="AO364" s="1399">
        <f ca="1">IF(B364&gt;=$J$5,0,(CONTADORES!AC378-CONTADORES!AC377))</f>
        <v>0</v>
      </c>
      <c r="AP364" s="1433">
        <f ca="1">IF(B364&gt;=$J$5,0,(CONTADORES!X378-CONTADORES!X377))</f>
        <v>0</v>
      </c>
      <c r="AQ364" s="1404">
        <f ca="1">IF(B364&gt;=$J$5,0,(CONTADORES!C378-CONTADORES!C377))</f>
        <v>0</v>
      </c>
      <c r="AR364" s="1399">
        <f ca="1">IF(B364&gt;=$J$5,0,(CONTADORES!BC378-CONTADORES!BC377))</f>
        <v>0</v>
      </c>
      <c r="AS364" s="1397">
        <f ca="1">IF(B364&gt;=$J$5,0,CONTADORES!S378-CONTADORES!S377)</f>
        <v>0</v>
      </c>
      <c r="AT364" s="1397">
        <f ca="1">IF(B364&gt;=$J$5,0,(CONTADORES!U378-CONTADORES!U377)+(CONTADORES!AG378-CONTADORES!AG377))</f>
        <v>0</v>
      </c>
      <c r="AU364" s="1433">
        <f ca="1">IF(B364&gt;=$J$5,0,(CONTADORES!I378-CONTADORES!I377))</f>
        <v>0</v>
      </c>
      <c r="AV364" s="1399">
        <f ca="1">IF(B364&gt;=$J$5,0,(CONTADORES!AV378-CONTADORES!AV377))</f>
        <v>0</v>
      </c>
      <c r="AW364" s="1399">
        <f ca="1">IF(B364&gt;=$J$5,0,(CONTADORES!N378-CONTADORES!N377)+(CONTADORES!AN378-CONTADORES!AN377))</f>
        <v>0</v>
      </c>
      <c r="AX364" s="1399">
        <f ca="1">IF(B364&gt;=$J$5,0,(CONTADORES!P378-CONTADORES!P377)+(CONTADORES!AL378-CONTADORES!AL377))</f>
        <v>0</v>
      </c>
      <c r="AY364" s="1399">
        <f ca="1">IF(B364&gt;=$J$5,0,(CONTADORES!AJ378-CONTADORES!AJ377))</f>
        <v>0</v>
      </c>
      <c r="AZ364" s="1399">
        <f ca="1">IF(B364&gt;=$J$5,0,(CONTADORES!R378-CONTADORES!R377))</f>
        <v>0</v>
      </c>
      <c r="BA364" s="1409">
        <f t="shared" ca="1" si="178"/>
        <v>0</v>
      </c>
      <c r="BB364" s="1417">
        <f ca="1">IF(B364&gt;=$J$5,0,(((CONTADORES!G378-CONTADORES!G377)+(CONTADORES!AR378-CONTADORES!AR377))))-AV364-BC364-BT364-BW364-BZ364-CE364-AR364</f>
        <v>0</v>
      </c>
      <c r="BC364" s="1397">
        <f ca="1">IF(B364&gt;=$J$5,0,(CONTADORES!AY378-CONTADORES!AY377)+(CONTADORES!BA378-CONTADORES!BA377)+(CONTADORES!BF378-CONTADORES!BF377))</f>
        <v>0</v>
      </c>
      <c r="BD364" s="1397">
        <f t="shared" ca="1" si="179"/>
        <v>0</v>
      </c>
      <c r="BE364" s="1398">
        <f ca="1">IF($B364&gt;=$J$5,0,CONTADORES!$BG378)</f>
        <v>0</v>
      </c>
      <c r="BF364" s="1397">
        <f ca="1">IF($B364&gt;=$J$5,0,CONTADORES!$BH378)</f>
        <v>0</v>
      </c>
      <c r="BG364" s="1397">
        <f ca="1">IF($B364&gt;=$J$5,0,CONTADORES!$BJ378)</f>
        <v>0</v>
      </c>
      <c r="BH364" s="1397">
        <f ca="1">IF(B364&gt;=$J$5,0,((CONTADORES!BK378-CONTADORES!BK377)/1000))</f>
        <v>0</v>
      </c>
      <c r="BI364" s="1397">
        <f ca="1">IF(C364&gt;=$J$5,0,((CONTADORES!BL378-CONTADORES!BL377)/1000))</f>
        <v>0</v>
      </c>
      <c r="BJ364" s="1397">
        <f ca="1">IF(C364&gt;=$J$5,0,((CONTADORES!BM378-CONTADORES!BM377)/1000))</f>
        <v>0</v>
      </c>
      <c r="BK364" s="1397">
        <f ca="1">IF(D364&gt;=$J$5,0,((CONTADORES!BN378-CONTADORES!BN377)/1000))</f>
        <v>0</v>
      </c>
      <c r="BL364" s="1399">
        <f t="shared" ca="1" si="194"/>
        <v>0</v>
      </c>
      <c r="BM364" s="1399">
        <f t="shared" ca="1" si="180"/>
        <v>0</v>
      </c>
      <c r="BN364" s="1398">
        <f ca="1">IF(B364&gt;=$J$5,0,CONTADORES!$BO378)</f>
        <v>0</v>
      </c>
      <c r="BO364" s="1397">
        <f ca="1">IF(W364&gt;=$J$5,0,CONTADORES!$BP378)</f>
        <v>0</v>
      </c>
      <c r="BP364" s="1397">
        <f ca="1">IF(W364&gt;=$J$5,0,CONTADORES!$BQ378)</f>
        <v>0</v>
      </c>
      <c r="BQ364" s="1397">
        <f ca="1">IF(B364&gt;=$J$5,0,(CONTADORES!AS378-CONTADORES!AS377))</f>
        <v>0</v>
      </c>
      <c r="BR364" s="1397">
        <f ca="1">IF(B364&gt;=$J$5,0,(CONTADORES!AT378-CONTADORES!AT377))</f>
        <v>0</v>
      </c>
      <c r="BS364" s="1397">
        <f ca="1">IF(B364&gt;=$J$5,0,CONTADORES!BR378-CONTADORES!BR377)/1000</f>
        <v>0</v>
      </c>
      <c r="BT364" s="1397">
        <f ca="1">IF(B364&gt;=$J$5,0,CONTADORES!BS378-CONTADORES!BS377)</f>
        <v>0</v>
      </c>
      <c r="BU364" s="1397">
        <f ca="1">IF(B364&gt;=$J$5,0,CONTADORES!BT378-CONTADORES!BT377)</f>
        <v>0</v>
      </c>
      <c r="BV364" s="1397">
        <f ca="1">IF(B364&gt;=$J$5,0,CONTADORES!BU378-CONTADORES!BU377)/1000</f>
        <v>0</v>
      </c>
      <c r="BW364" s="1397">
        <f ca="1">IF(B364&gt;=$J$5,0,CONTADORES!BV378-CONTADORES!BV377)/1000</f>
        <v>0</v>
      </c>
      <c r="BX364" s="1397">
        <f ca="1">IF(B364&gt;=$J$5,0,CONTADORES!BW378-CONTADORES!BW377)</f>
        <v>0</v>
      </c>
      <c r="BY364" s="1397">
        <f ca="1">IF(B364&gt;=$J$5,0,CONTADORES!BX378-CONTADORES!BX377)/1000</f>
        <v>0</v>
      </c>
      <c r="BZ364" s="1397">
        <f ca="1">IF(B364&gt;=$J$5,0,CONTADORES!BY378-CONTADORES!BY377)/1000</f>
        <v>0</v>
      </c>
      <c r="CA364" s="1397">
        <f ca="1">IF(B364&gt;=$J$5,0,CONTADORES!BZ378-CONTADORES!BZ377)</f>
        <v>0</v>
      </c>
      <c r="CB364" s="1397">
        <f ca="1">IF(B364&gt;=$J$5,0,(CONTADORES!CC378-CONTADORES!CC377)+(CONTADORES!CE378-CONTADORES!CE377))/1000</f>
        <v>0</v>
      </c>
      <c r="CC364" s="1397">
        <f ca="1">IF(B364&gt;=$J$5,0,(CONTADORES!CD378-CONTADORES!CD377)+(CONTADORES!CF378-CONTADORES!CF377))/1000</f>
        <v>0</v>
      </c>
      <c r="CD364" s="1397">
        <f ca="1">IF(B364&gt;=$J$5,0,CONTADORES!CA378-CONTADORES!CA377)</f>
        <v>0</v>
      </c>
      <c r="CE364" s="1397">
        <f ca="1">IF(B364&gt;=$J$5,0,CONTADORES!CB378-CONTADORES!CB377)</f>
        <v>0</v>
      </c>
      <c r="CF364" s="1397">
        <f t="shared" ca="1" si="181"/>
        <v>0</v>
      </c>
      <c r="CG364" s="1397">
        <f t="shared" ca="1" si="182"/>
        <v>0</v>
      </c>
      <c r="CH364" s="1397">
        <f t="shared" ca="1" si="183"/>
        <v>0</v>
      </c>
      <c r="CI364" s="1397">
        <f t="shared" ca="1" si="184"/>
        <v>0</v>
      </c>
      <c r="CJ364" s="1397">
        <f t="shared" ca="1" si="185"/>
        <v>0</v>
      </c>
      <c r="CK364" s="1397">
        <f t="shared" ca="1" si="186"/>
        <v>0</v>
      </c>
      <c r="CL364" s="1397">
        <f t="shared" ca="1" si="187"/>
        <v>0</v>
      </c>
      <c r="CM364" s="1397">
        <f t="shared" ca="1" si="188"/>
        <v>0</v>
      </c>
      <c r="CN364" s="1397">
        <f ca="1">IF(B364&gt;=$J$5,0,CONTADORES!CB378-CONTADORES!CB377)</f>
        <v>0</v>
      </c>
      <c r="CO364" s="1397">
        <f t="shared" ca="1" si="189"/>
        <v>0</v>
      </c>
      <c r="CP364" s="1397">
        <f t="shared" ca="1" si="190"/>
        <v>0</v>
      </c>
      <c r="CQ364" s="1397">
        <f t="shared" ca="1" si="191"/>
        <v>0</v>
      </c>
      <c r="CR364" s="1397">
        <f t="shared" ca="1" si="192"/>
        <v>0</v>
      </c>
      <c r="CS364" s="1403">
        <f ca="1">IF($B364&gt;=$J$5,0,CONTADORES!$BI378)</f>
        <v>0</v>
      </c>
      <c r="CT364" s="1369">
        <f>CONTADORES!E378</f>
        <v>0</v>
      </c>
      <c r="CU364" s="1369">
        <f>CONTADORES!CG378</f>
        <v>0</v>
      </c>
    </row>
    <row r="365" spans="2:99">
      <c r="B365" s="390">
        <v>45281</v>
      </c>
      <c r="C365" s="198">
        <f t="shared" ca="1" si="166"/>
        <v>0</v>
      </c>
      <c r="D365" s="196">
        <f ca="1">'CALCULO DE GAS'!P194</f>
        <v>0</v>
      </c>
      <c r="E365" s="196">
        <f ca="1">IF(B365&gt;=$J$5,0,(CONTADORES!$AD379-CONTADORES!$AD378)-$H365)</f>
        <v>0</v>
      </c>
      <c r="F365" s="198">
        <f t="shared" ca="1" si="195"/>
        <v>0</v>
      </c>
      <c r="G365" s="196">
        <f ca="1">IF(B365&gt;=$J$5,0,CONTADORES!$AF379-CONTADORES!$AF378)</f>
        <v>0</v>
      </c>
      <c r="H365" s="196">
        <f ca="1">IF(G365&gt;0,CONTADORES!$AE379-CONTADORES!$AE378,0)</f>
        <v>0</v>
      </c>
      <c r="I365" s="199">
        <f ca="1">IF(B365&gt;=$J$5,0,CONTADORES!$AB379-CONTADORES!$AB378)</f>
        <v>0</v>
      </c>
      <c r="J365" s="198">
        <f t="shared" ca="1" si="167"/>
        <v>0</v>
      </c>
      <c r="K365" s="196">
        <f ca="1">'CALCULO DE GAS'!Q194</f>
        <v>0</v>
      </c>
      <c r="L365" s="1413">
        <f ca="1">IF(B365&gt;=$J$5,0,(CONTADORES!$Y379-CONTADORES!$Y378)-$O365)</f>
        <v>0</v>
      </c>
      <c r="M365" s="1396">
        <f t="shared" ca="1" si="196"/>
        <v>0</v>
      </c>
      <c r="N365" s="1396">
        <f ca="1">IF(B365&gt;=$J$5,0,CONTADORES!$AA379-CONTADORES!$AA378)</f>
        <v>0</v>
      </c>
      <c r="O365" s="1396">
        <f ca="1">IF(N365&gt;0,CONTADORES!$Z379-CONTADORES!$Z378,0)</f>
        <v>0</v>
      </c>
      <c r="P365" s="202">
        <f ca="1">IF(B365&gt;=$J$5,0,CONTADORES!$W379-CONTADORES!$W378)</f>
        <v>0</v>
      </c>
      <c r="Q365" s="202">
        <f ca="1">IF(B365&gt;=$J$5,0,CONTADORES!$B379-CONTADORES!$B378)</f>
        <v>0</v>
      </c>
      <c r="R365" s="196">
        <f t="shared" ca="1" si="169"/>
        <v>0</v>
      </c>
      <c r="S365" s="11">
        <f ca="1">IF(B365&gt;=$J$5,0,CONTADORES!$D379-CONTADORES!$D378)</f>
        <v>0</v>
      </c>
      <c r="T365" s="198">
        <f ca="1">IF(B365&gt;=$J$5,0,CONTADORES!$BB379-CONTADORES!$BB378)</f>
        <v>0</v>
      </c>
      <c r="U365" s="196">
        <f t="shared" ca="1" si="197"/>
        <v>0</v>
      </c>
      <c r="V365" s="11">
        <f ca="1">IF(B365&gt;=$J$5,0,CONTADORES!$BD379-CONTADORES!$BD378)</f>
        <v>0</v>
      </c>
      <c r="W365" s="1397">
        <f t="shared" ca="1" si="170"/>
        <v>0</v>
      </c>
      <c r="X365" s="1397">
        <f t="shared" ca="1" si="171"/>
        <v>0</v>
      </c>
      <c r="Y365" s="1398">
        <f t="shared" ca="1" si="172"/>
        <v>0</v>
      </c>
      <c r="Z365" s="1398">
        <f t="shared" ca="1" si="173"/>
        <v>0</v>
      </c>
      <c r="AA365" s="1398">
        <f t="shared" ca="1" si="174"/>
        <v>0</v>
      </c>
      <c r="AB365" s="1398">
        <f t="shared" ca="1" si="175"/>
        <v>0</v>
      </c>
      <c r="AC365" s="1397">
        <f t="shared" ca="1" si="176"/>
        <v>0</v>
      </c>
      <c r="AD365" s="1397">
        <f ca="1">IF(B365&gt;=$J$5,0,CONTADORES!H379-CONTADORES!H378)</f>
        <v>0</v>
      </c>
      <c r="AE365" s="1397">
        <f ca="1">IF(B365&gt;=$J$5,0,CONTADORES!J379-CONTADORES!J378)</f>
        <v>0</v>
      </c>
      <c r="AF365" s="1397">
        <f ca="1">IF(B365&gt;=$J$5,0,CONTADORES!AU379-CONTADORES!AU378)</f>
        <v>0</v>
      </c>
      <c r="AG365" s="1397">
        <f ca="1">IF(B365&gt;=$J$5,0,CONTADORES!AW379-CONTADORES!AW378)</f>
        <v>0</v>
      </c>
      <c r="AH365" s="1398">
        <f ca="1">IF(B365&gt;=$J$5,0,(CONTADORES!AM379-CONTADORES!AM378)+(CONTADORES!M379-CONTADORES!M378))</f>
        <v>0</v>
      </c>
      <c r="AI365" s="1397">
        <f ca="1">IF(B365&gt;=$J$5,0,(CONTADORES!AK379-CONTADORES!AK378)+(CONTADORES!O379-CONTADORES!O378))</f>
        <v>0</v>
      </c>
      <c r="AJ365" s="1397">
        <f ca="1">IF(B365&gt;=$J$5,0,(CONTADORES!AI379-CONTADORES!AI378))</f>
        <v>0</v>
      </c>
      <c r="AK365" s="1397">
        <f ca="1">IF(B365&gt;=$J$5,0,(CONTADORES!Q379-CONTADORES!Q378))</f>
        <v>0</v>
      </c>
      <c r="AL365" s="1461">
        <f t="shared" ca="1" si="177"/>
        <v>0</v>
      </c>
      <c r="AM365" s="1397">
        <f ca="1">IF(B365&gt;=$J$5,0,(((CONTADORES!F379-CONTADORES!F378)+(CONTADORES!AQ379-CONTADORES!AQ378))))-BS365-AF365-AN365-BV365-BY365-CD365-CB365+T365</f>
        <v>0</v>
      </c>
      <c r="AN365" s="1402">
        <f ca="1">IF(B365&gt;=$J$5,0,(CONTADORES!AX379-CONTADORES!AX378)+(CONTADORES!AZ379-CONTADORES!AZ378)+(CONTADORES!BE379-CONTADORES!BE378))-CB365</f>
        <v>0</v>
      </c>
      <c r="AO365" s="1399">
        <f ca="1">IF(B365&gt;=$J$5,0,(CONTADORES!AC379-CONTADORES!AC378))</f>
        <v>0</v>
      </c>
      <c r="AP365" s="1433">
        <f ca="1">IF(B365&gt;=$J$5,0,(CONTADORES!X379-CONTADORES!X378))</f>
        <v>0</v>
      </c>
      <c r="AQ365" s="1404">
        <f ca="1">IF(B365&gt;=$J$5,0,(CONTADORES!C379-CONTADORES!C378))</f>
        <v>0</v>
      </c>
      <c r="AR365" s="1399">
        <f ca="1">IF(B365&gt;=$J$5,0,(CONTADORES!BC379-CONTADORES!BC378))</f>
        <v>0</v>
      </c>
      <c r="AS365" s="1397">
        <f ca="1">IF(B365&gt;=$J$5,0,CONTADORES!S379-CONTADORES!S378)</f>
        <v>0</v>
      </c>
      <c r="AT365" s="1397">
        <f ca="1">IF(B365&gt;=$J$5,0,(CONTADORES!U379-CONTADORES!U378)+(CONTADORES!AG379-CONTADORES!AG378))</f>
        <v>0</v>
      </c>
      <c r="AU365" s="1433">
        <f ca="1">IF(B365&gt;=$J$5,0,(CONTADORES!I379-CONTADORES!I378))</f>
        <v>0</v>
      </c>
      <c r="AV365" s="1399">
        <f ca="1">IF(B365&gt;=$J$5,0,(CONTADORES!AV379-CONTADORES!AV378))</f>
        <v>0</v>
      </c>
      <c r="AW365" s="1399">
        <f ca="1">IF(B365&gt;=$J$5,0,(CONTADORES!N379-CONTADORES!N378)+(CONTADORES!AN379-CONTADORES!AN378))</f>
        <v>0</v>
      </c>
      <c r="AX365" s="1399">
        <f ca="1">IF(B365&gt;=$J$5,0,(CONTADORES!P379-CONTADORES!P378)+(CONTADORES!AL379-CONTADORES!AL378))</f>
        <v>0</v>
      </c>
      <c r="AY365" s="1399">
        <f ca="1">IF(B365&gt;=$J$5,0,(CONTADORES!AJ379-CONTADORES!AJ378))</f>
        <v>0</v>
      </c>
      <c r="AZ365" s="1399">
        <f ca="1">IF(B365&gt;=$J$5,0,(CONTADORES!R379-CONTADORES!R378))</f>
        <v>0</v>
      </c>
      <c r="BA365" s="1409">
        <f t="shared" ca="1" si="178"/>
        <v>0</v>
      </c>
      <c r="BB365" s="1417">
        <f ca="1">IF(B365&gt;=$J$5,0,(((CONTADORES!G379-CONTADORES!G378)+(CONTADORES!AR379-CONTADORES!AR378))))-AV365-BC365-BT365-BW365-BZ365-CE365-AR365</f>
        <v>0</v>
      </c>
      <c r="BC365" s="1397">
        <f ca="1">IF(B365&gt;=$J$5,0,(CONTADORES!AY379-CONTADORES!AY378)+(CONTADORES!BA379-CONTADORES!BA378)+(CONTADORES!BF379-CONTADORES!BF378))</f>
        <v>0</v>
      </c>
      <c r="BD365" s="1397">
        <f t="shared" ca="1" si="179"/>
        <v>0</v>
      </c>
      <c r="BE365" s="1398">
        <f ca="1">IF($B365&gt;=$J$5,0,CONTADORES!$BG379)</f>
        <v>0</v>
      </c>
      <c r="BF365" s="1397">
        <f ca="1">IF($B365&gt;=$J$5,0,CONTADORES!$BH379)</f>
        <v>0</v>
      </c>
      <c r="BG365" s="1397">
        <f ca="1">IF($B365&gt;=$J$5,0,CONTADORES!$BJ379)</f>
        <v>0</v>
      </c>
      <c r="BH365" s="1397">
        <f ca="1">IF(B365&gt;=$J$5,0,((CONTADORES!BK379-CONTADORES!BK378)/1000))</f>
        <v>0</v>
      </c>
      <c r="BI365" s="1397">
        <f ca="1">IF(C365&gt;=$J$5,0,((CONTADORES!BL379-CONTADORES!BL378)/1000))</f>
        <v>0</v>
      </c>
      <c r="BJ365" s="1397">
        <f ca="1">IF(C365&gt;=$J$5,0,((CONTADORES!BM379-CONTADORES!BM378)/1000))</f>
        <v>0</v>
      </c>
      <c r="BK365" s="1397">
        <f ca="1">IF(D365&gt;=$J$5,0,((CONTADORES!BN379-CONTADORES!BN378)/1000))</f>
        <v>0</v>
      </c>
      <c r="BL365" s="1399">
        <f t="shared" ca="1" si="194"/>
        <v>0</v>
      </c>
      <c r="BM365" s="1399">
        <f t="shared" ca="1" si="180"/>
        <v>0</v>
      </c>
      <c r="BN365" s="1398">
        <f ca="1">IF(B365&gt;=$J$5,0,CONTADORES!$BO379)</f>
        <v>0</v>
      </c>
      <c r="BO365" s="1397">
        <f ca="1">IF(W365&gt;=$J$5,0,CONTADORES!$BP379)</f>
        <v>0</v>
      </c>
      <c r="BP365" s="1397">
        <f ca="1">IF(W365&gt;=$J$5,0,CONTADORES!$BQ379)</f>
        <v>0</v>
      </c>
      <c r="BQ365" s="1397">
        <f ca="1">IF(B365&gt;=$J$5,0,(CONTADORES!AS379-CONTADORES!AS378))</f>
        <v>0</v>
      </c>
      <c r="BR365" s="1397">
        <f ca="1">IF(B365&gt;=$J$5,0,(CONTADORES!AT379-CONTADORES!AT378))</f>
        <v>0</v>
      </c>
      <c r="BS365" s="1397">
        <f ca="1">IF(B365&gt;=$J$5,0,CONTADORES!BR379-CONTADORES!BR378)/1000</f>
        <v>0</v>
      </c>
      <c r="BT365" s="1397">
        <f ca="1">IF(B365&gt;=$J$5,0,CONTADORES!BS379-CONTADORES!BS378)</f>
        <v>0</v>
      </c>
      <c r="BU365" s="1397">
        <f ca="1">IF(B365&gt;=$J$5,0,CONTADORES!BT379-CONTADORES!BT378)</f>
        <v>0</v>
      </c>
      <c r="BV365" s="1397">
        <f ca="1">IF(B365&gt;=$J$5,0,CONTADORES!BU379-CONTADORES!BU378)/1000</f>
        <v>0</v>
      </c>
      <c r="BW365" s="1397">
        <f ca="1">IF(B365&gt;=$J$5,0,CONTADORES!BV379-CONTADORES!BV378)/1000</f>
        <v>0</v>
      </c>
      <c r="BX365" s="1397">
        <f ca="1">IF(B365&gt;=$J$5,0,CONTADORES!BW379-CONTADORES!BW378)</f>
        <v>0</v>
      </c>
      <c r="BY365" s="1397">
        <f ca="1">IF(B365&gt;=$J$5,0,CONTADORES!BX379-CONTADORES!BX378)/1000</f>
        <v>0</v>
      </c>
      <c r="BZ365" s="1397">
        <f ca="1">IF(B365&gt;=$J$5,0,CONTADORES!BY379-CONTADORES!BY378)/1000</f>
        <v>0</v>
      </c>
      <c r="CA365" s="1397">
        <f ca="1">IF(B365&gt;=$J$5,0,CONTADORES!BZ379-CONTADORES!BZ378)</f>
        <v>0</v>
      </c>
      <c r="CB365" s="1397">
        <f ca="1">IF(B365&gt;=$J$5,0,(CONTADORES!CC379-CONTADORES!CC378)+(CONTADORES!CE379-CONTADORES!CE378))/1000</f>
        <v>0</v>
      </c>
      <c r="CC365" s="1397">
        <f ca="1">IF(B365&gt;=$J$5,0,(CONTADORES!CD379-CONTADORES!CD378)+(CONTADORES!CF379-CONTADORES!CF378))/1000</f>
        <v>0</v>
      </c>
      <c r="CD365" s="1397">
        <f ca="1">IF(B365&gt;=$J$5,0,CONTADORES!CA379-CONTADORES!CA378)</f>
        <v>0</v>
      </c>
      <c r="CE365" s="1397">
        <f ca="1">IF(B365&gt;=$J$5,0,CONTADORES!CB379-CONTADORES!CB378)</f>
        <v>0</v>
      </c>
      <c r="CF365" s="1397">
        <f t="shared" ca="1" si="181"/>
        <v>0</v>
      </c>
      <c r="CG365" s="1397">
        <f t="shared" ca="1" si="182"/>
        <v>0</v>
      </c>
      <c r="CH365" s="1397">
        <f t="shared" ca="1" si="183"/>
        <v>0</v>
      </c>
      <c r="CI365" s="1397">
        <f t="shared" ca="1" si="184"/>
        <v>0</v>
      </c>
      <c r="CJ365" s="1397">
        <f t="shared" ca="1" si="185"/>
        <v>0</v>
      </c>
      <c r="CK365" s="1397">
        <f t="shared" ca="1" si="186"/>
        <v>0</v>
      </c>
      <c r="CL365" s="1397">
        <f t="shared" ca="1" si="187"/>
        <v>0</v>
      </c>
      <c r="CM365" s="1397">
        <f t="shared" ca="1" si="188"/>
        <v>0</v>
      </c>
      <c r="CN365" s="1397">
        <f ca="1">IF(B365&gt;=$J$5,0,CONTADORES!CB379-CONTADORES!CB378)</f>
        <v>0</v>
      </c>
      <c r="CO365" s="1397">
        <f t="shared" ca="1" si="189"/>
        <v>0</v>
      </c>
      <c r="CP365" s="1397">
        <f t="shared" ca="1" si="190"/>
        <v>0</v>
      </c>
      <c r="CQ365" s="1397">
        <f t="shared" ca="1" si="191"/>
        <v>0</v>
      </c>
      <c r="CR365" s="1397">
        <f t="shared" ca="1" si="192"/>
        <v>0</v>
      </c>
      <c r="CS365" s="1403">
        <f ca="1">IF($B365&gt;=$J$5,0,CONTADORES!$BI379)</f>
        <v>0</v>
      </c>
      <c r="CT365" s="1369">
        <f>CONTADORES!E379</f>
        <v>0</v>
      </c>
      <c r="CU365" s="1369">
        <f>CONTADORES!CG379</f>
        <v>0</v>
      </c>
    </row>
    <row r="366" spans="2:99">
      <c r="B366" s="390">
        <v>45282</v>
      </c>
      <c r="C366" s="198">
        <f t="shared" ca="1" si="166"/>
        <v>0</v>
      </c>
      <c r="D366" s="196">
        <f ca="1">'CALCULO DE GAS'!P195</f>
        <v>0</v>
      </c>
      <c r="E366" s="196">
        <f ca="1">IF(B366&gt;=$J$5,0,(CONTADORES!$AD380-CONTADORES!$AD379)-$H366)</f>
        <v>0</v>
      </c>
      <c r="F366" s="198">
        <f t="shared" ca="1" si="195"/>
        <v>0</v>
      </c>
      <c r="G366" s="196">
        <f ca="1">IF(B366&gt;=$J$5,0,CONTADORES!$AF380-CONTADORES!$AF379)</f>
        <v>0</v>
      </c>
      <c r="H366" s="196">
        <f ca="1">IF(G366&gt;0,CONTADORES!$AE380-CONTADORES!$AE379,0)</f>
        <v>0</v>
      </c>
      <c r="I366" s="199">
        <f ca="1">IF(B366&gt;=$J$5,0,CONTADORES!$AB380-CONTADORES!$AB379)</f>
        <v>0</v>
      </c>
      <c r="J366" s="198">
        <f t="shared" ca="1" si="167"/>
        <v>0</v>
      </c>
      <c r="K366" s="196">
        <f ca="1">'CALCULO DE GAS'!Q195</f>
        <v>0</v>
      </c>
      <c r="L366" s="1413">
        <f ca="1">IF(B366&gt;=$J$5,0,(CONTADORES!$Y380-CONTADORES!$Y379)-$O366)</f>
        <v>0</v>
      </c>
      <c r="M366" s="1396">
        <f t="shared" ca="1" si="196"/>
        <v>0</v>
      </c>
      <c r="N366" s="1396">
        <f ca="1">IF(B366&gt;=$J$5,0,CONTADORES!$AA380-CONTADORES!$AA379)</f>
        <v>0</v>
      </c>
      <c r="O366" s="1396">
        <f ca="1">IF(N366&gt;0,CONTADORES!$Z380-CONTADORES!$Z379,0)</f>
        <v>0</v>
      </c>
      <c r="P366" s="202">
        <f ca="1">IF(B366&gt;=$J$5,0,CONTADORES!$W380-CONTADORES!$W379)</f>
        <v>0</v>
      </c>
      <c r="Q366" s="202">
        <f ca="1">IF(B366&gt;=$J$5,0,CONTADORES!$B380-CONTADORES!$B379)</f>
        <v>0</v>
      </c>
      <c r="R366" s="196">
        <f t="shared" ca="1" si="169"/>
        <v>0</v>
      </c>
      <c r="S366" s="11">
        <f ca="1">IF(B366&gt;=$J$5,0,CONTADORES!$D380-CONTADORES!$D379)</f>
        <v>0</v>
      </c>
      <c r="T366" s="198">
        <f ca="1">IF(B366&gt;=$J$5,0,CONTADORES!$BB380-CONTADORES!$BB379)</f>
        <v>0</v>
      </c>
      <c r="U366" s="196">
        <f t="shared" ca="1" si="197"/>
        <v>0</v>
      </c>
      <c r="V366" s="11">
        <f ca="1">IF(B366&gt;=$J$5,0,CONTADORES!$BD380-CONTADORES!$BD379)</f>
        <v>0</v>
      </c>
      <c r="W366" s="1397">
        <f t="shared" ca="1" si="170"/>
        <v>0</v>
      </c>
      <c r="X366" s="1397">
        <f t="shared" ca="1" si="171"/>
        <v>0</v>
      </c>
      <c r="Y366" s="1398">
        <f t="shared" ca="1" si="172"/>
        <v>0</v>
      </c>
      <c r="Z366" s="1398">
        <f t="shared" ca="1" si="173"/>
        <v>0</v>
      </c>
      <c r="AA366" s="1398">
        <f t="shared" ca="1" si="174"/>
        <v>0</v>
      </c>
      <c r="AB366" s="1398">
        <f t="shared" ca="1" si="175"/>
        <v>0</v>
      </c>
      <c r="AC366" s="1397">
        <f t="shared" ca="1" si="176"/>
        <v>0</v>
      </c>
      <c r="AD366" s="1397">
        <f ca="1">IF(B366&gt;=$J$5,0,CONTADORES!H380-CONTADORES!H379)</f>
        <v>0</v>
      </c>
      <c r="AE366" s="1397">
        <f ca="1">IF(B366&gt;=$J$5,0,CONTADORES!J380-CONTADORES!J379)</f>
        <v>0</v>
      </c>
      <c r="AF366" s="1397">
        <f ca="1">IF(B366&gt;=$J$5,0,CONTADORES!AU380-CONTADORES!AU379)</f>
        <v>0</v>
      </c>
      <c r="AG366" s="1397">
        <f ca="1">IF(B366&gt;=$J$5,0,CONTADORES!AW380-CONTADORES!AW379)</f>
        <v>0</v>
      </c>
      <c r="AH366" s="1398">
        <f ca="1">IF(B366&gt;=$J$5,0,(CONTADORES!AM380-CONTADORES!AM379)+(CONTADORES!M380-CONTADORES!M379))</f>
        <v>0</v>
      </c>
      <c r="AI366" s="1397">
        <f ca="1">IF(B366&gt;=$J$5,0,(CONTADORES!AK380-CONTADORES!AK379)+(CONTADORES!O380-CONTADORES!O379))</f>
        <v>0</v>
      </c>
      <c r="AJ366" s="1397">
        <f ca="1">IF(B366&gt;=$J$5,0,(CONTADORES!AI380-CONTADORES!AI379))</f>
        <v>0</v>
      </c>
      <c r="AK366" s="1397">
        <f ca="1">IF(B366&gt;=$J$5,0,(CONTADORES!Q380-CONTADORES!Q379))</f>
        <v>0</v>
      </c>
      <c r="AL366" s="1461">
        <f t="shared" ca="1" si="177"/>
        <v>0</v>
      </c>
      <c r="AM366" s="1397">
        <f ca="1">IF(B366&gt;=$J$5,0,(((CONTADORES!F380-CONTADORES!F379)+(CONTADORES!AQ380-CONTADORES!AQ379))))-BS366-AF366-AN366-BV366-BY366-CD366-CB366+T366</f>
        <v>0</v>
      </c>
      <c r="AN366" s="1402">
        <f ca="1">IF(B366&gt;=$J$5,0,(CONTADORES!AX380-CONTADORES!AX379)+(CONTADORES!AZ380-CONTADORES!AZ379)+(CONTADORES!BE380-CONTADORES!BE379))-CB366</f>
        <v>0</v>
      </c>
      <c r="AO366" s="1399">
        <f ca="1">IF(B366&gt;=$J$5,0,(CONTADORES!AC380-CONTADORES!AC379))</f>
        <v>0</v>
      </c>
      <c r="AP366" s="1433">
        <f ca="1">IF(B366&gt;=$J$5,0,(CONTADORES!X380-CONTADORES!X379))</f>
        <v>0</v>
      </c>
      <c r="AQ366" s="1404">
        <f ca="1">IF(B366&gt;=$J$5,0,(CONTADORES!C380-CONTADORES!C379))</f>
        <v>0</v>
      </c>
      <c r="AR366" s="1399">
        <f ca="1">IF(B366&gt;=$J$5,0,(CONTADORES!BC380-CONTADORES!BC379))</f>
        <v>0</v>
      </c>
      <c r="AS366" s="1397">
        <f ca="1">IF(B366&gt;=$J$5,0,CONTADORES!S380-CONTADORES!S379)</f>
        <v>0</v>
      </c>
      <c r="AT366" s="1397">
        <f ca="1">IF(B366&gt;=$J$5,0,(CONTADORES!U380-CONTADORES!U379)+(CONTADORES!AG380-CONTADORES!AG379))</f>
        <v>0</v>
      </c>
      <c r="AU366" s="1433">
        <f ca="1">IF(B366&gt;=$J$5,0,(CONTADORES!I380-CONTADORES!I379))</f>
        <v>0</v>
      </c>
      <c r="AV366" s="1399">
        <f ca="1">IF(B366&gt;=$J$5,0,(CONTADORES!AV380-CONTADORES!AV379))</f>
        <v>0</v>
      </c>
      <c r="AW366" s="1399">
        <f ca="1">IF(B366&gt;=$J$5,0,(CONTADORES!N380-CONTADORES!N379)+(CONTADORES!AN380-CONTADORES!AN379))</f>
        <v>0</v>
      </c>
      <c r="AX366" s="1399">
        <f ca="1">IF(B366&gt;=$J$5,0,(CONTADORES!P380-CONTADORES!P379)+(CONTADORES!AL380-CONTADORES!AL379))</f>
        <v>0</v>
      </c>
      <c r="AY366" s="1399">
        <f ca="1">IF(B366&gt;=$J$5,0,(CONTADORES!AJ380-CONTADORES!AJ379))</f>
        <v>0</v>
      </c>
      <c r="AZ366" s="1399">
        <f ca="1">IF(B366&gt;=$J$5,0,(CONTADORES!R380-CONTADORES!R379))</f>
        <v>0</v>
      </c>
      <c r="BA366" s="1409">
        <f t="shared" ca="1" si="178"/>
        <v>0</v>
      </c>
      <c r="BB366" s="1417">
        <f ca="1">IF(B366&gt;=$J$5,0,(((CONTADORES!G380-CONTADORES!G379)+(CONTADORES!AR380-CONTADORES!AR379))))-AV366-BC366-BT366-BW366-BZ366-CE366-AR366</f>
        <v>0</v>
      </c>
      <c r="BC366" s="1397">
        <f ca="1">IF(B366&gt;=$J$5,0,(CONTADORES!AY380-CONTADORES!AY379)+(CONTADORES!BA380-CONTADORES!BA379)+(CONTADORES!BF380-CONTADORES!BF379))</f>
        <v>0</v>
      </c>
      <c r="BD366" s="1397">
        <f t="shared" ca="1" si="179"/>
        <v>0</v>
      </c>
      <c r="BE366" s="1398">
        <f ca="1">IF($B366&gt;=$J$5,0,CONTADORES!$BG380)</f>
        <v>0</v>
      </c>
      <c r="BF366" s="1397">
        <f ca="1">IF($B366&gt;=$J$5,0,CONTADORES!$BH380)</f>
        <v>0</v>
      </c>
      <c r="BG366" s="1397">
        <f ca="1">IF($B366&gt;=$J$5,0,CONTADORES!$BJ380)</f>
        <v>0</v>
      </c>
      <c r="BH366" s="1397">
        <f ca="1">IF(B366&gt;=$J$5,0,((CONTADORES!BK380-CONTADORES!BK379)/1000))</f>
        <v>0</v>
      </c>
      <c r="BI366" s="1397">
        <f ca="1">IF(C366&gt;=$J$5,0,((CONTADORES!BL380-CONTADORES!BL379)/1000))</f>
        <v>0</v>
      </c>
      <c r="BJ366" s="1397">
        <f ca="1">IF(C366&gt;=$J$5,0,((CONTADORES!BM380-CONTADORES!BM379)/1000))</f>
        <v>0</v>
      </c>
      <c r="BK366" s="1397">
        <f ca="1">IF(D366&gt;=$J$5,0,((CONTADORES!BN380-CONTADORES!BN379)/1000))</f>
        <v>0</v>
      </c>
      <c r="BL366" s="1399">
        <f t="shared" ca="1" si="194"/>
        <v>0</v>
      </c>
      <c r="BM366" s="1399">
        <f t="shared" ca="1" si="180"/>
        <v>0</v>
      </c>
      <c r="BN366" s="1398">
        <f ca="1">IF(B366&gt;=$J$5,0,CONTADORES!$BO380)</f>
        <v>0</v>
      </c>
      <c r="BO366" s="1397">
        <f ca="1">IF(W366&gt;=$J$5,0,CONTADORES!$BP380)</f>
        <v>0</v>
      </c>
      <c r="BP366" s="1397">
        <f ca="1">IF(W366&gt;=$J$5,0,CONTADORES!$BQ380)</f>
        <v>0</v>
      </c>
      <c r="BQ366" s="1397">
        <f ca="1">IF(B366&gt;=$J$5,0,(CONTADORES!AS380-CONTADORES!AS379))</f>
        <v>0</v>
      </c>
      <c r="BR366" s="1397">
        <f ca="1">IF(B366&gt;=$J$5,0,(CONTADORES!AT380-CONTADORES!AT379))</f>
        <v>0</v>
      </c>
      <c r="BS366" s="1397">
        <f ca="1">IF(B366&gt;=$J$5,0,CONTADORES!BR380-CONTADORES!BR379)/1000</f>
        <v>0</v>
      </c>
      <c r="BT366" s="1397">
        <f ca="1">IF(B366&gt;=$J$5,0,CONTADORES!BS380-CONTADORES!BS379)</f>
        <v>0</v>
      </c>
      <c r="BU366" s="1397">
        <f ca="1">IF(B366&gt;=$J$5,0,CONTADORES!BT380-CONTADORES!BT379)</f>
        <v>0</v>
      </c>
      <c r="BV366" s="1397">
        <f ca="1">IF(B366&gt;=$J$5,0,CONTADORES!BU380-CONTADORES!BU379)/1000</f>
        <v>0</v>
      </c>
      <c r="BW366" s="1397">
        <f ca="1">IF(B366&gt;=$J$5,0,CONTADORES!BV380-CONTADORES!BV379)/1000</f>
        <v>0</v>
      </c>
      <c r="BX366" s="1397">
        <f ca="1">IF(B366&gt;=$J$5,0,CONTADORES!BW380-CONTADORES!BW379)</f>
        <v>0</v>
      </c>
      <c r="BY366" s="1397">
        <f ca="1">IF(B366&gt;=$J$5,0,CONTADORES!BX380-CONTADORES!BX379)/1000</f>
        <v>0</v>
      </c>
      <c r="BZ366" s="1397">
        <f ca="1">IF(B366&gt;=$J$5,0,CONTADORES!BY380-CONTADORES!BY379)/1000</f>
        <v>0</v>
      </c>
      <c r="CA366" s="1397">
        <f ca="1">IF(B366&gt;=$J$5,0,CONTADORES!BZ380-CONTADORES!BZ379)</f>
        <v>0</v>
      </c>
      <c r="CB366" s="1397">
        <f ca="1">IF(B366&gt;=$J$5,0,(CONTADORES!CC380-CONTADORES!CC379)+(CONTADORES!CE380-CONTADORES!CE379))/1000</f>
        <v>0</v>
      </c>
      <c r="CC366" s="1397">
        <f ca="1">IF(B366&gt;=$J$5,0,(CONTADORES!CD380-CONTADORES!CD379)+(CONTADORES!CF380-CONTADORES!CF379))/1000</f>
        <v>0</v>
      </c>
      <c r="CD366" s="1397">
        <f ca="1">IF(B366&gt;=$J$5,0,CONTADORES!CA380-CONTADORES!CA379)</f>
        <v>0</v>
      </c>
      <c r="CE366" s="1397">
        <f ca="1">IF(B366&gt;=$J$5,0,CONTADORES!CB380-CONTADORES!CB379)</f>
        <v>0</v>
      </c>
      <c r="CF366" s="1397">
        <f t="shared" ca="1" si="181"/>
        <v>0</v>
      </c>
      <c r="CG366" s="1397">
        <f t="shared" ca="1" si="182"/>
        <v>0</v>
      </c>
      <c r="CH366" s="1397">
        <f t="shared" ca="1" si="183"/>
        <v>0</v>
      </c>
      <c r="CI366" s="1397">
        <f t="shared" ca="1" si="184"/>
        <v>0</v>
      </c>
      <c r="CJ366" s="1397">
        <f t="shared" ca="1" si="185"/>
        <v>0</v>
      </c>
      <c r="CK366" s="1397">
        <f t="shared" ca="1" si="186"/>
        <v>0</v>
      </c>
      <c r="CL366" s="1397">
        <f t="shared" ca="1" si="187"/>
        <v>0</v>
      </c>
      <c r="CM366" s="1397">
        <f t="shared" ca="1" si="188"/>
        <v>0</v>
      </c>
      <c r="CN366" s="1397">
        <f ca="1">IF(B366&gt;=$J$5,0,CONTADORES!CB380-CONTADORES!CB379)</f>
        <v>0</v>
      </c>
      <c r="CO366" s="1397">
        <f t="shared" ca="1" si="189"/>
        <v>0</v>
      </c>
      <c r="CP366" s="1397">
        <f t="shared" ca="1" si="190"/>
        <v>0</v>
      </c>
      <c r="CQ366" s="1397">
        <f t="shared" ca="1" si="191"/>
        <v>0</v>
      </c>
      <c r="CR366" s="1397">
        <f t="shared" ca="1" si="192"/>
        <v>0</v>
      </c>
      <c r="CS366" s="1403">
        <f ca="1">IF($B366&gt;=$J$5,0,CONTADORES!$BI380)</f>
        <v>0</v>
      </c>
      <c r="CT366" s="1369">
        <f>CONTADORES!E380</f>
        <v>0</v>
      </c>
      <c r="CU366" s="1369">
        <f>CONTADORES!CG380</f>
        <v>0</v>
      </c>
    </row>
    <row r="367" spans="2:99">
      <c r="B367" s="390">
        <v>45283</v>
      </c>
      <c r="C367" s="198">
        <f t="shared" ca="1" si="166"/>
        <v>0</v>
      </c>
      <c r="D367" s="196">
        <f ca="1">'CALCULO DE GAS'!P196</f>
        <v>0</v>
      </c>
      <c r="E367" s="196">
        <f ca="1">IF(B367&gt;=$J$5,0,(CONTADORES!$AD381-CONTADORES!$AD380)-$H367)</f>
        <v>0</v>
      </c>
      <c r="F367" s="198">
        <f t="shared" ca="1" si="195"/>
        <v>0</v>
      </c>
      <c r="G367" s="196">
        <f ca="1">IF(B367&gt;=$J$5,0,CONTADORES!$AF381-CONTADORES!$AF380)</f>
        <v>0</v>
      </c>
      <c r="H367" s="196">
        <f ca="1">IF(G367&gt;0,CONTADORES!$AE381-CONTADORES!$AE380,0)</f>
        <v>0</v>
      </c>
      <c r="I367" s="199">
        <f ca="1">IF(B367&gt;=$J$5,0,CONTADORES!$AB381-CONTADORES!$AB380)</f>
        <v>0</v>
      </c>
      <c r="J367" s="198">
        <f t="shared" ca="1" si="167"/>
        <v>0</v>
      </c>
      <c r="K367" s="196">
        <f ca="1">'CALCULO DE GAS'!Q196</f>
        <v>0</v>
      </c>
      <c r="L367" s="1413">
        <f ca="1">IF(B367&gt;=$J$5,0,(CONTADORES!$Y381-CONTADORES!$Y380)-$O367)</f>
        <v>0</v>
      </c>
      <c r="M367" s="1396">
        <f t="shared" ca="1" si="196"/>
        <v>0</v>
      </c>
      <c r="N367" s="1396">
        <f ca="1">IF(B367&gt;=$J$5,0,CONTADORES!$AA381-CONTADORES!$AA380)</f>
        <v>0</v>
      </c>
      <c r="O367" s="1396">
        <f ca="1">IF(N367&gt;0,CONTADORES!$Z381-CONTADORES!$Z380,0)</f>
        <v>0</v>
      </c>
      <c r="P367" s="202">
        <f ca="1">IF(B367&gt;=$J$5,0,CONTADORES!$W381-CONTADORES!$W380)</f>
        <v>0</v>
      </c>
      <c r="Q367" s="202">
        <f ca="1">IF(B367&gt;=$J$5,0,CONTADORES!$B381-CONTADORES!$B380)</f>
        <v>0</v>
      </c>
      <c r="R367" s="196">
        <f t="shared" ca="1" si="169"/>
        <v>0</v>
      </c>
      <c r="S367" s="11">
        <f ca="1">IF(B367&gt;=$J$5,0,CONTADORES!$D381-CONTADORES!$D380)</f>
        <v>0</v>
      </c>
      <c r="T367" s="198">
        <f ca="1">IF(B367&gt;=$J$5,0,CONTADORES!$BB381-CONTADORES!$BB380)</f>
        <v>0</v>
      </c>
      <c r="U367" s="196">
        <f t="shared" ca="1" si="197"/>
        <v>0</v>
      </c>
      <c r="V367" s="11">
        <f ca="1">IF(B367&gt;=$J$5,0,CONTADORES!$BD381-CONTADORES!$BD380)</f>
        <v>0</v>
      </c>
      <c r="W367" s="1397">
        <f t="shared" ca="1" si="170"/>
        <v>0</v>
      </c>
      <c r="X367" s="1397">
        <f t="shared" ca="1" si="171"/>
        <v>0</v>
      </c>
      <c r="Y367" s="1398">
        <f t="shared" ca="1" si="172"/>
        <v>0</v>
      </c>
      <c r="Z367" s="1398">
        <f t="shared" ca="1" si="173"/>
        <v>0</v>
      </c>
      <c r="AA367" s="1398">
        <f t="shared" ca="1" si="174"/>
        <v>0</v>
      </c>
      <c r="AB367" s="1398">
        <f t="shared" ca="1" si="175"/>
        <v>0</v>
      </c>
      <c r="AC367" s="1397">
        <f t="shared" ca="1" si="176"/>
        <v>0</v>
      </c>
      <c r="AD367" s="1397">
        <f ca="1">IF(B367&gt;=$J$5,0,CONTADORES!H381-CONTADORES!H380)</f>
        <v>0</v>
      </c>
      <c r="AE367" s="1397">
        <f ca="1">IF(B367&gt;=$J$5,0,CONTADORES!J381-CONTADORES!J380)</f>
        <v>0</v>
      </c>
      <c r="AF367" s="1397">
        <f ca="1">IF(B367&gt;=$J$5,0,CONTADORES!AU381-CONTADORES!AU380)</f>
        <v>0</v>
      </c>
      <c r="AG367" s="1397">
        <f ca="1">IF(B367&gt;=$J$5,0,CONTADORES!AW381-CONTADORES!AW380)</f>
        <v>0</v>
      </c>
      <c r="AH367" s="1398">
        <f ca="1">IF(B367&gt;=$J$5,0,(CONTADORES!AM381-CONTADORES!AM380)+(CONTADORES!M381-CONTADORES!M380))</f>
        <v>0</v>
      </c>
      <c r="AI367" s="1397">
        <f ca="1">IF(B367&gt;=$J$5,0,(CONTADORES!AK381-CONTADORES!AK380)+(CONTADORES!O381-CONTADORES!O380))</f>
        <v>0</v>
      </c>
      <c r="AJ367" s="1397">
        <f ca="1">IF(B367&gt;=$J$5,0,(CONTADORES!AI381-CONTADORES!AI380))</f>
        <v>0</v>
      </c>
      <c r="AK367" s="1397">
        <f ca="1">IF(B367&gt;=$J$5,0,(CONTADORES!Q381-CONTADORES!Q380))</f>
        <v>0</v>
      </c>
      <c r="AL367" s="1461">
        <f t="shared" ca="1" si="177"/>
        <v>0</v>
      </c>
      <c r="AM367" s="1397">
        <f ca="1">IF(B367&gt;=$J$5,0,(((CONTADORES!F381-CONTADORES!F380)+(CONTADORES!AQ381-CONTADORES!AQ380))))-BS367-AF367-AN367-BV367-BY367-CD367-CB367+T367</f>
        <v>0</v>
      </c>
      <c r="AN367" s="1402">
        <f ca="1">IF(B367&gt;=$J$5,0,(CONTADORES!AX381-CONTADORES!AX380)+(CONTADORES!AZ381-CONTADORES!AZ380)+(CONTADORES!BE381-CONTADORES!BE380))-CB367</f>
        <v>0</v>
      </c>
      <c r="AO367" s="1399">
        <f ca="1">IF(B367&gt;=$J$5,0,(CONTADORES!AC381-CONTADORES!AC380))</f>
        <v>0</v>
      </c>
      <c r="AP367" s="1433">
        <f ca="1">IF(B367&gt;=$J$5,0,(CONTADORES!X381-CONTADORES!X380))</f>
        <v>0</v>
      </c>
      <c r="AQ367" s="1404">
        <f ca="1">IF(B367&gt;=$J$5,0,(CONTADORES!C381-CONTADORES!C380))</f>
        <v>0</v>
      </c>
      <c r="AR367" s="1399">
        <f ca="1">IF(B367&gt;=$J$5,0,(CONTADORES!BC381-CONTADORES!BC380))</f>
        <v>0</v>
      </c>
      <c r="AS367" s="1397">
        <f ca="1">IF(B367&gt;=$J$5,0,CONTADORES!S381-CONTADORES!S380)</f>
        <v>0</v>
      </c>
      <c r="AT367" s="1397">
        <f ca="1">IF(B367&gt;=$J$5,0,(CONTADORES!U381-CONTADORES!U380)+(CONTADORES!AG381-CONTADORES!AG380))</f>
        <v>0</v>
      </c>
      <c r="AU367" s="1433">
        <f ca="1">IF(B367&gt;=$J$5,0,(CONTADORES!I381-CONTADORES!I380))</f>
        <v>0</v>
      </c>
      <c r="AV367" s="1399">
        <f ca="1">IF(B367&gt;=$J$5,0,(CONTADORES!AV381-CONTADORES!AV380))</f>
        <v>0</v>
      </c>
      <c r="AW367" s="1399">
        <f ca="1">IF(B367&gt;=$J$5,0,(CONTADORES!N381-CONTADORES!N380)+(CONTADORES!AN381-CONTADORES!AN380))</f>
        <v>0</v>
      </c>
      <c r="AX367" s="1399">
        <f ca="1">IF(B367&gt;=$J$5,0,(CONTADORES!P381-CONTADORES!P380)+(CONTADORES!AL381-CONTADORES!AL380))</f>
        <v>0</v>
      </c>
      <c r="AY367" s="1399">
        <f ca="1">IF(B367&gt;=$J$5,0,(CONTADORES!AJ381-CONTADORES!AJ380))</f>
        <v>0</v>
      </c>
      <c r="AZ367" s="1399">
        <f ca="1">IF(B367&gt;=$J$5,0,(CONTADORES!R381-CONTADORES!R380))</f>
        <v>0</v>
      </c>
      <c r="BA367" s="1409">
        <f t="shared" ca="1" si="178"/>
        <v>0</v>
      </c>
      <c r="BB367" s="1417">
        <f ca="1">IF(B367&gt;=$J$5,0,(((CONTADORES!G381-CONTADORES!G380)+(CONTADORES!AR381-CONTADORES!AR380))))-AV367-BC367-BT367-BW367-BZ367-CE367-AR367</f>
        <v>0</v>
      </c>
      <c r="BC367" s="1397">
        <f ca="1">IF(B367&gt;=$J$5,0,(CONTADORES!AY381-CONTADORES!AY380)+(CONTADORES!BA381-CONTADORES!BA380)+(CONTADORES!BF381-CONTADORES!BF380))</f>
        <v>0</v>
      </c>
      <c r="BD367" s="1397">
        <f t="shared" ca="1" si="179"/>
        <v>0</v>
      </c>
      <c r="BE367" s="1398">
        <f ca="1">IF($B367&gt;=$J$5,0,CONTADORES!$BG381)</f>
        <v>0</v>
      </c>
      <c r="BF367" s="1397">
        <f ca="1">IF($B367&gt;=$J$5,0,CONTADORES!$BH381)</f>
        <v>0</v>
      </c>
      <c r="BG367" s="1397">
        <f ca="1">IF($B367&gt;=$J$5,0,CONTADORES!$BJ381)</f>
        <v>0</v>
      </c>
      <c r="BH367" s="1397">
        <f ca="1">IF(B367&gt;=$J$5,0,((CONTADORES!BK381-CONTADORES!BK380)/1000))</f>
        <v>0</v>
      </c>
      <c r="BI367" s="1397">
        <f ca="1">IF(C367&gt;=$J$5,0,((CONTADORES!BL381-CONTADORES!BL380)/1000))</f>
        <v>0</v>
      </c>
      <c r="BJ367" s="1397">
        <f ca="1">IF(C367&gt;=$J$5,0,((CONTADORES!BM381-CONTADORES!BM380)/1000))</f>
        <v>0</v>
      </c>
      <c r="BK367" s="1397">
        <f ca="1">IF(D367&gt;=$J$5,0,((CONTADORES!BN381-CONTADORES!BN380)/1000))</f>
        <v>0</v>
      </c>
      <c r="BL367" s="1399">
        <f t="shared" ca="1" si="194"/>
        <v>0</v>
      </c>
      <c r="BM367" s="1399">
        <f t="shared" ca="1" si="180"/>
        <v>0</v>
      </c>
      <c r="BN367" s="1398">
        <f ca="1">IF(B367&gt;=$J$5,0,CONTADORES!$BO381)</f>
        <v>0</v>
      </c>
      <c r="BO367" s="1397">
        <f ca="1">IF(W367&gt;=$J$5,0,CONTADORES!$BP381)</f>
        <v>0</v>
      </c>
      <c r="BP367" s="1397">
        <f ca="1">IF(W367&gt;=$J$5,0,CONTADORES!$BQ381)</f>
        <v>0</v>
      </c>
      <c r="BQ367" s="1397">
        <f ca="1">IF(B367&gt;=$J$5,0,(CONTADORES!AS381-CONTADORES!AS380))</f>
        <v>0</v>
      </c>
      <c r="BR367" s="1397">
        <f ca="1">IF(B367&gt;=$J$5,0,(CONTADORES!AT381-CONTADORES!AT380))</f>
        <v>0</v>
      </c>
      <c r="BS367" s="1397">
        <f ca="1">IF(B367&gt;=$J$5,0,CONTADORES!BR381-CONTADORES!BR380)/1000</f>
        <v>0</v>
      </c>
      <c r="BT367" s="1397">
        <f ca="1">IF(B367&gt;=$J$5,0,CONTADORES!BS381-CONTADORES!BS380)</f>
        <v>0</v>
      </c>
      <c r="BU367" s="1397">
        <f ca="1">IF(B367&gt;=$J$5,0,CONTADORES!BT381-CONTADORES!BT380)</f>
        <v>0</v>
      </c>
      <c r="BV367" s="1397">
        <f ca="1">IF(B367&gt;=$J$5,0,CONTADORES!BU381-CONTADORES!BU380)/1000</f>
        <v>0</v>
      </c>
      <c r="BW367" s="1397">
        <f ca="1">IF(B367&gt;=$J$5,0,CONTADORES!BV381-CONTADORES!BV380)/1000</f>
        <v>0</v>
      </c>
      <c r="BX367" s="1397">
        <f ca="1">IF(B367&gt;=$J$5,0,CONTADORES!BW381-CONTADORES!BW380)</f>
        <v>0</v>
      </c>
      <c r="BY367" s="1397">
        <f ca="1">IF(B367&gt;=$J$5,0,CONTADORES!BX381-CONTADORES!BX380)/1000</f>
        <v>0</v>
      </c>
      <c r="BZ367" s="1397">
        <f ca="1">IF(B367&gt;=$J$5,0,CONTADORES!BY381-CONTADORES!BY380)/1000</f>
        <v>0</v>
      </c>
      <c r="CA367" s="1397">
        <f ca="1">IF(B367&gt;=$J$5,0,CONTADORES!BZ381-CONTADORES!BZ380)</f>
        <v>0</v>
      </c>
      <c r="CB367" s="1397">
        <f ca="1">IF(B367&gt;=$J$5,0,(CONTADORES!CC381-CONTADORES!CC380)+(CONTADORES!CE381-CONTADORES!CE380))/1000</f>
        <v>0</v>
      </c>
      <c r="CC367" s="1397">
        <f ca="1">IF(B367&gt;=$J$5,0,(CONTADORES!CD381-CONTADORES!CD380)+(CONTADORES!CF381-CONTADORES!CF380))/1000</f>
        <v>0</v>
      </c>
      <c r="CD367" s="1397">
        <f ca="1">IF(B367&gt;=$J$5,0,CONTADORES!CA381-CONTADORES!CA380)</f>
        <v>0</v>
      </c>
      <c r="CE367" s="1397">
        <f ca="1">IF(B367&gt;=$J$5,0,CONTADORES!CB381-CONTADORES!CB380)</f>
        <v>0</v>
      </c>
      <c r="CF367" s="1397">
        <f t="shared" ca="1" si="181"/>
        <v>0</v>
      </c>
      <c r="CG367" s="1397">
        <f t="shared" ca="1" si="182"/>
        <v>0</v>
      </c>
      <c r="CH367" s="1397">
        <f t="shared" ca="1" si="183"/>
        <v>0</v>
      </c>
      <c r="CI367" s="1397">
        <f t="shared" ca="1" si="184"/>
        <v>0</v>
      </c>
      <c r="CJ367" s="1397">
        <f t="shared" ca="1" si="185"/>
        <v>0</v>
      </c>
      <c r="CK367" s="1397">
        <f t="shared" ca="1" si="186"/>
        <v>0</v>
      </c>
      <c r="CL367" s="1397">
        <f t="shared" ca="1" si="187"/>
        <v>0</v>
      </c>
      <c r="CM367" s="1397">
        <f t="shared" ca="1" si="188"/>
        <v>0</v>
      </c>
      <c r="CN367" s="1397">
        <f ca="1">IF(B367&gt;=$J$5,0,CONTADORES!CB381-CONTADORES!CB380)</f>
        <v>0</v>
      </c>
      <c r="CO367" s="1397">
        <f t="shared" ca="1" si="189"/>
        <v>0</v>
      </c>
      <c r="CP367" s="1397">
        <f t="shared" ca="1" si="190"/>
        <v>0</v>
      </c>
      <c r="CQ367" s="1397">
        <f t="shared" ca="1" si="191"/>
        <v>0</v>
      </c>
      <c r="CR367" s="1397">
        <f t="shared" ca="1" si="192"/>
        <v>0</v>
      </c>
      <c r="CS367" s="1403">
        <f ca="1">IF($B367&gt;=$J$5,0,CONTADORES!$BI381)</f>
        <v>0</v>
      </c>
      <c r="CT367" s="1369">
        <f>CONTADORES!E381</f>
        <v>0</v>
      </c>
      <c r="CU367" s="1369">
        <f>CONTADORES!CG381</f>
        <v>0</v>
      </c>
    </row>
    <row r="368" spans="2:99">
      <c r="B368" s="390">
        <v>45284</v>
      </c>
      <c r="C368" s="198">
        <f t="shared" ca="1" si="166"/>
        <v>0</v>
      </c>
      <c r="D368" s="196">
        <f ca="1">'CALCULO DE GAS'!P197</f>
        <v>0</v>
      </c>
      <c r="E368" s="196">
        <f ca="1">IF(B368&gt;=$J$5,0,(CONTADORES!$AD382-CONTADORES!$AD381)-$H368)</f>
        <v>0</v>
      </c>
      <c r="F368" s="198">
        <f t="shared" ca="1" si="195"/>
        <v>0</v>
      </c>
      <c r="G368" s="196">
        <f ca="1">IF(B368&gt;=$J$5,0,CONTADORES!$AF382-CONTADORES!$AF381)</f>
        <v>0</v>
      </c>
      <c r="H368" s="196">
        <f ca="1">IF(G368&gt;0,CONTADORES!$AE382-CONTADORES!$AE381,0)</f>
        <v>0</v>
      </c>
      <c r="I368" s="199">
        <f ca="1">IF(B368&gt;=$J$5,0,CONTADORES!$AB382-CONTADORES!$AB381)</f>
        <v>0</v>
      </c>
      <c r="J368" s="198">
        <f t="shared" ca="1" si="167"/>
        <v>0</v>
      </c>
      <c r="K368" s="196">
        <f ca="1">'CALCULO DE GAS'!Q197</f>
        <v>0</v>
      </c>
      <c r="L368" s="1413">
        <f ca="1">IF(B368&gt;=$J$5,0,(CONTADORES!$Y382-CONTADORES!$Y381)-$O368)</f>
        <v>0</v>
      </c>
      <c r="M368" s="1396">
        <f t="shared" ca="1" si="196"/>
        <v>0</v>
      </c>
      <c r="N368" s="1396">
        <f ca="1">IF(B368&gt;=$J$5,0,CONTADORES!$AA382-CONTADORES!$AA381)</f>
        <v>0</v>
      </c>
      <c r="O368" s="1396">
        <f ca="1">IF(N368&gt;0,CONTADORES!$Z382-CONTADORES!$Z381,0)</f>
        <v>0</v>
      </c>
      <c r="P368" s="202">
        <f ca="1">IF(B368&gt;=$J$5,0,CONTADORES!$W382-CONTADORES!$W381)</f>
        <v>0</v>
      </c>
      <c r="Q368" s="202">
        <f ca="1">IF(B368&gt;=$J$5,0,CONTADORES!$B382-CONTADORES!$B381)</f>
        <v>0</v>
      </c>
      <c r="R368" s="196">
        <f t="shared" ca="1" si="169"/>
        <v>0</v>
      </c>
      <c r="S368" s="11">
        <f ca="1">IF(B368&gt;=$J$5,0,CONTADORES!$D382-CONTADORES!$D381)</f>
        <v>0</v>
      </c>
      <c r="T368" s="198">
        <f ca="1">IF(B368&gt;=$J$5,0,CONTADORES!$BB382-CONTADORES!$BB381)</f>
        <v>0</v>
      </c>
      <c r="U368" s="196">
        <f t="shared" ca="1" si="197"/>
        <v>0</v>
      </c>
      <c r="V368" s="11">
        <f ca="1">IF(B368&gt;=$J$5,0,CONTADORES!$BD382-CONTADORES!$BD381)</f>
        <v>0</v>
      </c>
      <c r="W368" s="1397">
        <f t="shared" ca="1" si="170"/>
        <v>0</v>
      </c>
      <c r="X368" s="1397">
        <f t="shared" ca="1" si="171"/>
        <v>0</v>
      </c>
      <c r="Y368" s="1398">
        <f t="shared" ca="1" si="172"/>
        <v>0</v>
      </c>
      <c r="Z368" s="1398">
        <f t="shared" ca="1" si="173"/>
        <v>0</v>
      </c>
      <c r="AA368" s="1398">
        <f t="shared" ca="1" si="174"/>
        <v>0</v>
      </c>
      <c r="AB368" s="1398">
        <f t="shared" ca="1" si="175"/>
        <v>0</v>
      </c>
      <c r="AC368" s="1397">
        <f t="shared" ca="1" si="176"/>
        <v>0</v>
      </c>
      <c r="AD368" s="1397">
        <f ca="1">IF(B368&gt;=$J$5,0,CONTADORES!H382-CONTADORES!H381)</f>
        <v>0</v>
      </c>
      <c r="AE368" s="1397">
        <f ca="1">IF(B368&gt;=$J$5,0,CONTADORES!J382-CONTADORES!J381)</f>
        <v>0</v>
      </c>
      <c r="AF368" s="1397">
        <f ca="1">IF(B368&gt;=$J$5,0,CONTADORES!AU382-CONTADORES!AU381)</f>
        <v>0</v>
      </c>
      <c r="AG368" s="1397">
        <f ca="1">IF(B368&gt;=$J$5,0,CONTADORES!AW382-CONTADORES!AW381)</f>
        <v>0</v>
      </c>
      <c r="AH368" s="1398">
        <f ca="1">IF(B368&gt;=$J$5,0,(CONTADORES!AM382-CONTADORES!AM381)+(CONTADORES!M382-CONTADORES!M381))</f>
        <v>0</v>
      </c>
      <c r="AI368" s="1397">
        <f ca="1">IF(B368&gt;=$J$5,0,(CONTADORES!AK382-CONTADORES!AK381)+(CONTADORES!O382-CONTADORES!O381))</f>
        <v>0</v>
      </c>
      <c r="AJ368" s="1397">
        <f ca="1">IF(B368&gt;=$J$5,0,(CONTADORES!AI382-CONTADORES!AI381))</f>
        <v>0</v>
      </c>
      <c r="AK368" s="1397">
        <f ca="1">IF(B368&gt;=$J$5,0,(CONTADORES!Q382-CONTADORES!Q381))</f>
        <v>0</v>
      </c>
      <c r="AL368" s="1461">
        <f t="shared" ca="1" si="177"/>
        <v>0</v>
      </c>
      <c r="AM368" s="1397">
        <f ca="1">IF(B368&gt;=$J$5,0,(((CONTADORES!F382-CONTADORES!F381)+(CONTADORES!AQ382-CONTADORES!AQ381))))-BS368-AF368-AN368-BV368-BY368-CD368-CB368+T368</f>
        <v>0</v>
      </c>
      <c r="AN368" s="1402">
        <f ca="1">IF(B368&gt;=$J$5,0,(CONTADORES!AX382-CONTADORES!AX381)+(CONTADORES!AZ382-CONTADORES!AZ381)+(CONTADORES!BE382-CONTADORES!BE381))-CB368</f>
        <v>0</v>
      </c>
      <c r="AO368" s="1399">
        <f ca="1">IF(B368&gt;=$J$5,0,(CONTADORES!AC382-CONTADORES!AC381))</f>
        <v>0</v>
      </c>
      <c r="AP368" s="1433">
        <f ca="1">IF(B368&gt;=$J$5,0,(CONTADORES!X382-CONTADORES!X381))</f>
        <v>0</v>
      </c>
      <c r="AQ368" s="1404">
        <f ca="1">IF(B368&gt;=$J$5,0,(CONTADORES!C382-CONTADORES!C381))</f>
        <v>0</v>
      </c>
      <c r="AR368" s="1399">
        <f ca="1">IF(B368&gt;=$J$5,0,(CONTADORES!BC382-CONTADORES!BC381))</f>
        <v>0</v>
      </c>
      <c r="AS368" s="1397">
        <f ca="1">IF(B368&gt;=$J$5,0,CONTADORES!S382-CONTADORES!S381)</f>
        <v>0</v>
      </c>
      <c r="AT368" s="1397">
        <f ca="1">IF(B368&gt;=$J$5,0,(CONTADORES!U382-CONTADORES!U381)+(CONTADORES!AG382-CONTADORES!AG381))</f>
        <v>0</v>
      </c>
      <c r="AU368" s="1433">
        <f ca="1">IF(B368&gt;=$J$5,0,(CONTADORES!I382-CONTADORES!I381))</f>
        <v>0</v>
      </c>
      <c r="AV368" s="1399">
        <f ca="1">IF(B368&gt;=$J$5,0,(CONTADORES!AV382-CONTADORES!AV381))</f>
        <v>0</v>
      </c>
      <c r="AW368" s="1399">
        <f ca="1">IF(B368&gt;=$J$5,0,(CONTADORES!N382-CONTADORES!N381)+(CONTADORES!AN382-CONTADORES!AN381))</f>
        <v>0</v>
      </c>
      <c r="AX368" s="1399">
        <f ca="1">IF(B368&gt;=$J$5,0,(CONTADORES!P382-CONTADORES!P381)+(CONTADORES!AL382-CONTADORES!AL381))</f>
        <v>0</v>
      </c>
      <c r="AY368" s="1399">
        <f ca="1">IF(B368&gt;=$J$5,0,(CONTADORES!AJ382-CONTADORES!AJ381))</f>
        <v>0</v>
      </c>
      <c r="AZ368" s="1399">
        <f ca="1">IF(B368&gt;=$J$5,0,(CONTADORES!R382-CONTADORES!R381))</f>
        <v>0</v>
      </c>
      <c r="BA368" s="1409">
        <f t="shared" ca="1" si="178"/>
        <v>0</v>
      </c>
      <c r="BB368" s="1417">
        <f ca="1">IF(B368&gt;=$J$5,0,(((CONTADORES!G382-CONTADORES!G381)+(CONTADORES!AR382-CONTADORES!AR381))))-AV368-BC368-BT368-BW368-BZ368-CE368-AR368</f>
        <v>0</v>
      </c>
      <c r="BC368" s="1397">
        <f ca="1">IF(B368&gt;=$J$5,0,(CONTADORES!AY382-CONTADORES!AY381)+(CONTADORES!BA382-CONTADORES!BA381)+(CONTADORES!BF382-CONTADORES!BF381))</f>
        <v>0</v>
      </c>
      <c r="BD368" s="1397">
        <f t="shared" ca="1" si="179"/>
        <v>0</v>
      </c>
      <c r="BE368" s="1398">
        <f ca="1">IF($B368&gt;=$J$5,0,CONTADORES!$BG382)</f>
        <v>0</v>
      </c>
      <c r="BF368" s="1397">
        <f ca="1">IF($B368&gt;=$J$5,0,CONTADORES!$BH382)</f>
        <v>0</v>
      </c>
      <c r="BG368" s="1397">
        <f ca="1">IF($B368&gt;=$J$5,0,CONTADORES!$BJ382)</f>
        <v>0</v>
      </c>
      <c r="BH368" s="1397">
        <f ca="1">IF(B368&gt;=$J$5,0,((CONTADORES!BK382-CONTADORES!BK381)/1000))</f>
        <v>0</v>
      </c>
      <c r="BI368" s="1397">
        <f ca="1">IF(C368&gt;=$J$5,0,((CONTADORES!BL382-CONTADORES!BL381)/1000))</f>
        <v>0</v>
      </c>
      <c r="BJ368" s="1397">
        <f ca="1">IF(C368&gt;=$J$5,0,((CONTADORES!BM382-CONTADORES!BM381)/1000))</f>
        <v>0</v>
      </c>
      <c r="BK368" s="1397">
        <f ca="1">IF(D368&gt;=$J$5,0,((CONTADORES!BN382-CONTADORES!BN381)/1000))</f>
        <v>0</v>
      </c>
      <c r="BL368" s="1399">
        <f t="shared" ca="1" si="194"/>
        <v>0</v>
      </c>
      <c r="BM368" s="1399">
        <f t="shared" ca="1" si="180"/>
        <v>0</v>
      </c>
      <c r="BN368" s="1398">
        <f ca="1">IF(B368&gt;=$J$5,0,CONTADORES!$BO382)</f>
        <v>0</v>
      </c>
      <c r="BO368" s="1397">
        <f ca="1">IF(W368&gt;=$J$5,0,CONTADORES!$BP382)</f>
        <v>0</v>
      </c>
      <c r="BP368" s="1397">
        <f ca="1">IF(W368&gt;=$J$5,0,CONTADORES!$BQ382)</f>
        <v>0</v>
      </c>
      <c r="BQ368" s="1397">
        <f ca="1">IF(B368&gt;=$J$5,0,(CONTADORES!AS382-CONTADORES!AS381))</f>
        <v>0</v>
      </c>
      <c r="BR368" s="1397">
        <f ca="1">IF(B368&gt;=$J$5,0,(CONTADORES!AT382-CONTADORES!AT381))</f>
        <v>0</v>
      </c>
      <c r="BS368" s="1397">
        <f ca="1">IF(B368&gt;=$J$5,0,CONTADORES!BR382-CONTADORES!BR381)/1000</f>
        <v>0</v>
      </c>
      <c r="BT368" s="1397">
        <f ca="1">IF(B368&gt;=$J$5,0,CONTADORES!BS382-CONTADORES!BS381)</f>
        <v>0</v>
      </c>
      <c r="BU368" s="1397">
        <f ca="1">IF(B368&gt;=$J$5,0,CONTADORES!BT382-CONTADORES!BT381)</f>
        <v>0</v>
      </c>
      <c r="BV368" s="1397">
        <f ca="1">IF(B368&gt;=$J$5,0,CONTADORES!BU382-CONTADORES!BU381)/1000</f>
        <v>0</v>
      </c>
      <c r="BW368" s="1397">
        <f ca="1">IF(B368&gt;=$J$5,0,CONTADORES!BV382-CONTADORES!BV381)/1000</f>
        <v>0</v>
      </c>
      <c r="BX368" s="1397">
        <f ca="1">IF(B368&gt;=$J$5,0,CONTADORES!BW382-CONTADORES!BW381)</f>
        <v>0</v>
      </c>
      <c r="BY368" s="1397">
        <f ca="1">IF(B368&gt;=$J$5,0,CONTADORES!BX382-CONTADORES!BX381)/1000</f>
        <v>0</v>
      </c>
      <c r="BZ368" s="1397">
        <f ca="1">IF(B368&gt;=$J$5,0,CONTADORES!BY382-CONTADORES!BY381)/1000</f>
        <v>0</v>
      </c>
      <c r="CA368" s="1397">
        <f ca="1">IF(B368&gt;=$J$5,0,CONTADORES!BZ382-CONTADORES!BZ381)</f>
        <v>0</v>
      </c>
      <c r="CB368" s="1397">
        <f ca="1">IF(B368&gt;=$J$5,0,(CONTADORES!CC382-CONTADORES!CC381)+(CONTADORES!CE382-CONTADORES!CE381))/1000</f>
        <v>0</v>
      </c>
      <c r="CC368" s="1397">
        <f ca="1">IF(B368&gt;=$J$5,0,(CONTADORES!CD382-CONTADORES!CD381)+(CONTADORES!CF382-CONTADORES!CF381))/1000</f>
        <v>0</v>
      </c>
      <c r="CD368" s="1397">
        <f ca="1">IF(B368&gt;=$J$5,0,CONTADORES!CA382-CONTADORES!CA381)</f>
        <v>0</v>
      </c>
      <c r="CE368" s="1397">
        <f ca="1">IF(B368&gt;=$J$5,0,CONTADORES!CB382-CONTADORES!CB381)</f>
        <v>0</v>
      </c>
      <c r="CF368" s="1397">
        <f t="shared" ca="1" si="181"/>
        <v>0</v>
      </c>
      <c r="CG368" s="1397">
        <f t="shared" ca="1" si="182"/>
        <v>0</v>
      </c>
      <c r="CH368" s="1397">
        <f t="shared" ca="1" si="183"/>
        <v>0</v>
      </c>
      <c r="CI368" s="1397">
        <f t="shared" ca="1" si="184"/>
        <v>0</v>
      </c>
      <c r="CJ368" s="1397">
        <f t="shared" ca="1" si="185"/>
        <v>0</v>
      </c>
      <c r="CK368" s="1397">
        <f t="shared" ca="1" si="186"/>
        <v>0</v>
      </c>
      <c r="CL368" s="1397">
        <f t="shared" ca="1" si="187"/>
        <v>0</v>
      </c>
      <c r="CM368" s="1397">
        <f t="shared" ca="1" si="188"/>
        <v>0</v>
      </c>
      <c r="CN368" s="1397">
        <f ca="1">IF(B368&gt;=$J$5,0,CONTADORES!CB382-CONTADORES!CB381)</f>
        <v>0</v>
      </c>
      <c r="CO368" s="1397">
        <f t="shared" ca="1" si="189"/>
        <v>0</v>
      </c>
      <c r="CP368" s="1397">
        <f t="shared" ca="1" si="190"/>
        <v>0</v>
      </c>
      <c r="CQ368" s="1397">
        <f t="shared" ca="1" si="191"/>
        <v>0</v>
      </c>
      <c r="CR368" s="1397">
        <f t="shared" ca="1" si="192"/>
        <v>0</v>
      </c>
      <c r="CS368" s="1403">
        <f ca="1">IF($B368&gt;=$J$5,0,CONTADORES!$BI382)</f>
        <v>0</v>
      </c>
      <c r="CT368" s="1369">
        <f>CONTADORES!E382</f>
        <v>0</v>
      </c>
      <c r="CU368" s="1369">
        <f>CONTADORES!CG382</f>
        <v>0</v>
      </c>
    </row>
    <row r="369" spans="2:99">
      <c r="B369" s="390">
        <v>45285</v>
      </c>
      <c r="C369" s="198">
        <f t="shared" ca="1" si="166"/>
        <v>0</v>
      </c>
      <c r="D369" s="196">
        <f ca="1">'CALCULO DE GAS'!P198</f>
        <v>0</v>
      </c>
      <c r="E369" s="196">
        <f ca="1">IF(B369&gt;=$J$5,0,(CONTADORES!$AD383-CONTADORES!$AD382)-$H369)</f>
        <v>0</v>
      </c>
      <c r="F369" s="198">
        <f t="shared" ca="1" si="195"/>
        <v>0</v>
      </c>
      <c r="G369" s="196">
        <f ca="1">IF(B369&gt;=$J$5,0,CONTADORES!$AF383-CONTADORES!$AF382)</f>
        <v>0</v>
      </c>
      <c r="H369" s="196">
        <f ca="1">IF(G369&gt;0,CONTADORES!$AE383-CONTADORES!$AE382,0)</f>
        <v>0</v>
      </c>
      <c r="I369" s="199">
        <f ca="1">IF(B369&gt;=$J$5,0,CONTADORES!$AB383-CONTADORES!$AB382)</f>
        <v>0</v>
      </c>
      <c r="J369" s="198">
        <f t="shared" ca="1" si="167"/>
        <v>0</v>
      </c>
      <c r="K369" s="196">
        <f ca="1">'CALCULO DE GAS'!Q198</f>
        <v>0</v>
      </c>
      <c r="L369" s="1413">
        <f ca="1">IF(B369&gt;=$J$5,0,(CONTADORES!$Y383-CONTADORES!$Y382)-$O369)</f>
        <v>0</v>
      </c>
      <c r="M369" s="1396">
        <f t="shared" ca="1" si="196"/>
        <v>0</v>
      </c>
      <c r="N369" s="1396">
        <f ca="1">IF(B369&gt;=$J$5,0,CONTADORES!$AA383-CONTADORES!$AA382)</f>
        <v>0</v>
      </c>
      <c r="O369" s="1396">
        <f ca="1">IF(N369&gt;0,CONTADORES!$Z383-CONTADORES!$Z382,0)</f>
        <v>0</v>
      </c>
      <c r="P369" s="202">
        <f ca="1">IF(B369&gt;=$J$5,0,CONTADORES!$W383-CONTADORES!$W382)</f>
        <v>0</v>
      </c>
      <c r="Q369" s="202">
        <f ca="1">IF(B369&gt;=$J$5,0,CONTADORES!$B383-CONTADORES!$B382)</f>
        <v>0</v>
      </c>
      <c r="R369" s="196">
        <f t="shared" ca="1" si="169"/>
        <v>0</v>
      </c>
      <c r="S369" s="11">
        <f ca="1">IF(B369&gt;=$J$5,0,CONTADORES!$D383-CONTADORES!$D382)</f>
        <v>0</v>
      </c>
      <c r="T369" s="198">
        <f ca="1">IF(B369&gt;=$J$5,0,CONTADORES!$BB383-CONTADORES!$BB382)</f>
        <v>0</v>
      </c>
      <c r="U369" s="196">
        <f t="shared" ca="1" si="197"/>
        <v>0</v>
      </c>
      <c r="V369" s="11">
        <f ca="1">IF(B369&gt;=$J$5,0,CONTADORES!$BD383-CONTADORES!$BD382)</f>
        <v>0</v>
      </c>
      <c r="W369" s="1397">
        <f t="shared" ca="1" si="170"/>
        <v>0</v>
      </c>
      <c r="X369" s="1397">
        <f t="shared" ca="1" si="171"/>
        <v>0</v>
      </c>
      <c r="Y369" s="1398">
        <f t="shared" ca="1" si="172"/>
        <v>0</v>
      </c>
      <c r="Z369" s="1398">
        <f t="shared" ca="1" si="173"/>
        <v>0</v>
      </c>
      <c r="AA369" s="1398">
        <f t="shared" ca="1" si="174"/>
        <v>0</v>
      </c>
      <c r="AB369" s="1398">
        <f t="shared" ca="1" si="175"/>
        <v>0</v>
      </c>
      <c r="AC369" s="1397">
        <f t="shared" ca="1" si="176"/>
        <v>0</v>
      </c>
      <c r="AD369" s="1397">
        <f ca="1">IF(B369&gt;=$J$5,0,CONTADORES!H383-CONTADORES!H382)</f>
        <v>0</v>
      </c>
      <c r="AE369" s="1397">
        <f ca="1">IF(B369&gt;=$J$5,0,CONTADORES!J383-CONTADORES!J382)</f>
        <v>0</v>
      </c>
      <c r="AF369" s="1397">
        <f ca="1">IF(B369&gt;=$J$5,0,CONTADORES!AU383-CONTADORES!AU382)</f>
        <v>0</v>
      </c>
      <c r="AG369" s="1397">
        <f ca="1">IF(B369&gt;=$J$5,0,CONTADORES!AW383-CONTADORES!AW382)</f>
        <v>0</v>
      </c>
      <c r="AH369" s="1398">
        <f ca="1">IF(B369&gt;=$J$5,0,(CONTADORES!AM383-CONTADORES!AM382)+(CONTADORES!M383-CONTADORES!M382))</f>
        <v>0</v>
      </c>
      <c r="AI369" s="1397">
        <f ca="1">IF(B369&gt;=$J$5,0,(CONTADORES!AK383-CONTADORES!AK382)+(CONTADORES!O383-CONTADORES!O382))</f>
        <v>0</v>
      </c>
      <c r="AJ369" s="1397">
        <f ca="1">IF(B369&gt;=$J$5,0,(CONTADORES!AI383-CONTADORES!AI382))</f>
        <v>0</v>
      </c>
      <c r="AK369" s="1397">
        <f ca="1">IF(B369&gt;=$J$5,0,(CONTADORES!Q383-CONTADORES!Q382))</f>
        <v>0</v>
      </c>
      <c r="AL369" s="1461">
        <f t="shared" ca="1" si="177"/>
        <v>0</v>
      </c>
      <c r="AM369" s="1397">
        <f ca="1">IF(B369&gt;=$J$5,0,(((CONTADORES!F383-CONTADORES!F382)+(CONTADORES!AQ383-CONTADORES!AQ382))))-BS369-AF369-AN369-BV369-BY369-CD369-CB369+T369</f>
        <v>0</v>
      </c>
      <c r="AN369" s="1402">
        <f ca="1">IF(B369&gt;=$J$5,0,(CONTADORES!AX383-CONTADORES!AX382)+(CONTADORES!AZ383-CONTADORES!AZ382)+(CONTADORES!BE383-CONTADORES!BE382))-CB369</f>
        <v>0</v>
      </c>
      <c r="AO369" s="1399">
        <f ca="1">IF(B369&gt;=$J$5,0,(CONTADORES!AC383-CONTADORES!AC382))</f>
        <v>0</v>
      </c>
      <c r="AP369" s="1433">
        <f ca="1">IF(B369&gt;=$J$5,0,(CONTADORES!X383-CONTADORES!X382))</f>
        <v>0</v>
      </c>
      <c r="AQ369" s="1404">
        <f ca="1">IF(B369&gt;=$J$5,0,(CONTADORES!C383-CONTADORES!C382))</f>
        <v>0</v>
      </c>
      <c r="AR369" s="1399">
        <f ca="1">IF(B369&gt;=$J$5,0,(CONTADORES!BC383-CONTADORES!BC382))</f>
        <v>0</v>
      </c>
      <c r="AS369" s="1397">
        <f ca="1">IF(B369&gt;=$J$5,0,CONTADORES!S383-CONTADORES!S382)</f>
        <v>0</v>
      </c>
      <c r="AT369" s="1397">
        <f ca="1">IF(B369&gt;=$J$5,0,(CONTADORES!U383-CONTADORES!U382)+(CONTADORES!AG383-CONTADORES!AG382))</f>
        <v>0</v>
      </c>
      <c r="AU369" s="1433">
        <f ca="1">IF(B369&gt;=$J$5,0,(CONTADORES!I383-CONTADORES!I382))</f>
        <v>0</v>
      </c>
      <c r="AV369" s="1399">
        <f ca="1">IF(B369&gt;=$J$5,0,(CONTADORES!AV383-CONTADORES!AV382))</f>
        <v>0</v>
      </c>
      <c r="AW369" s="1399">
        <f ca="1">IF(B369&gt;=$J$5,0,(CONTADORES!N383-CONTADORES!N382)+(CONTADORES!AN383-CONTADORES!AN382))</f>
        <v>0</v>
      </c>
      <c r="AX369" s="1399">
        <f ca="1">IF(B369&gt;=$J$5,0,(CONTADORES!P383-CONTADORES!P382)+(CONTADORES!AL383-CONTADORES!AL382))</f>
        <v>0</v>
      </c>
      <c r="AY369" s="1399">
        <f ca="1">IF(B369&gt;=$J$5,0,(CONTADORES!AJ383-CONTADORES!AJ382))</f>
        <v>0</v>
      </c>
      <c r="AZ369" s="1399">
        <f ca="1">IF(B369&gt;=$J$5,0,(CONTADORES!R383-CONTADORES!R382))</f>
        <v>0</v>
      </c>
      <c r="BA369" s="1409">
        <f t="shared" ca="1" si="178"/>
        <v>0</v>
      </c>
      <c r="BB369" s="1417">
        <f ca="1">IF(B369&gt;=$J$5,0,(((CONTADORES!G383-CONTADORES!G382)+(CONTADORES!AR383-CONTADORES!AR382))))-AV369-BC369-BT369-BW369-BZ369-CE369-AR369</f>
        <v>0</v>
      </c>
      <c r="BC369" s="1397">
        <f ca="1">IF(B369&gt;=$J$5,0,(CONTADORES!AY383-CONTADORES!AY382)+(CONTADORES!BA383-CONTADORES!BA382)+(CONTADORES!BF383-CONTADORES!BF382))</f>
        <v>0</v>
      </c>
      <c r="BD369" s="1397">
        <f t="shared" ca="1" si="179"/>
        <v>0</v>
      </c>
      <c r="BE369" s="1398">
        <f ca="1">IF($B369&gt;=$J$5,0,CONTADORES!$BG383)</f>
        <v>0</v>
      </c>
      <c r="BF369" s="1397">
        <f ca="1">IF($B369&gt;=$J$5,0,CONTADORES!$BH383)</f>
        <v>0</v>
      </c>
      <c r="BG369" s="1397">
        <f ca="1">IF($B369&gt;=$J$5,0,CONTADORES!$BJ383)</f>
        <v>0</v>
      </c>
      <c r="BH369" s="1397">
        <f ca="1">IF(B369&gt;=$J$5,0,((CONTADORES!BK383-CONTADORES!BK382)/1000))</f>
        <v>0</v>
      </c>
      <c r="BI369" s="1397">
        <f ca="1">IF(C369&gt;=$J$5,0,((CONTADORES!BL383-CONTADORES!BL382)/1000))</f>
        <v>0</v>
      </c>
      <c r="BJ369" s="1397">
        <f ca="1">IF(C369&gt;=$J$5,0,((CONTADORES!BM383-CONTADORES!BM382)/1000))</f>
        <v>0</v>
      </c>
      <c r="BK369" s="1397">
        <f ca="1">IF(D369&gt;=$J$5,0,((CONTADORES!BN383-CONTADORES!BN382)/1000))</f>
        <v>0</v>
      </c>
      <c r="BL369" s="1399">
        <f t="shared" ca="1" si="194"/>
        <v>0</v>
      </c>
      <c r="BM369" s="1399">
        <f t="shared" ca="1" si="180"/>
        <v>0</v>
      </c>
      <c r="BN369" s="1398">
        <f ca="1">IF(B369&gt;=$J$5,0,CONTADORES!$BO383)</f>
        <v>0</v>
      </c>
      <c r="BO369" s="1397">
        <f ca="1">IF(W369&gt;=$J$5,0,CONTADORES!$BP383)</f>
        <v>0</v>
      </c>
      <c r="BP369" s="1397">
        <f ca="1">IF(W369&gt;=$J$5,0,CONTADORES!$BQ383)</f>
        <v>0</v>
      </c>
      <c r="BQ369" s="1397">
        <f ca="1">IF(B369&gt;=$J$5,0,(CONTADORES!AS383-CONTADORES!AS382))</f>
        <v>0</v>
      </c>
      <c r="BR369" s="1397">
        <f ca="1">IF(B369&gt;=$J$5,0,(CONTADORES!AT383-CONTADORES!AT382))</f>
        <v>0</v>
      </c>
      <c r="BS369" s="1397">
        <f ca="1">IF(B369&gt;=$J$5,0,CONTADORES!BR383-CONTADORES!BR382)/1000</f>
        <v>0</v>
      </c>
      <c r="BT369" s="1397">
        <f ca="1">IF(B369&gt;=$J$5,0,CONTADORES!BS383-CONTADORES!BS382)</f>
        <v>0</v>
      </c>
      <c r="BU369" s="1397">
        <f ca="1">IF(B369&gt;=$J$5,0,CONTADORES!BT383-CONTADORES!BT382)</f>
        <v>0</v>
      </c>
      <c r="BV369" s="1397">
        <f ca="1">IF(B369&gt;=$J$5,0,CONTADORES!BU383-CONTADORES!BU382)/1000</f>
        <v>0</v>
      </c>
      <c r="BW369" s="1397">
        <f ca="1">IF(B369&gt;=$J$5,0,CONTADORES!BV383-CONTADORES!BV382)/1000</f>
        <v>0</v>
      </c>
      <c r="BX369" s="1397">
        <f ca="1">IF(B369&gt;=$J$5,0,CONTADORES!BW383-CONTADORES!BW382)</f>
        <v>0</v>
      </c>
      <c r="BY369" s="1397">
        <f ca="1">IF(B369&gt;=$J$5,0,CONTADORES!BX383-CONTADORES!BX382)/1000</f>
        <v>0</v>
      </c>
      <c r="BZ369" s="1397">
        <f ca="1">IF(B369&gt;=$J$5,0,CONTADORES!BY383-CONTADORES!BY382)/1000</f>
        <v>0</v>
      </c>
      <c r="CA369" s="1397">
        <f ca="1">IF(B369&gt;=$J$5,0,CONTADORES!BZ383-CONTADORES!BZ382)</f>
        <v>0</v>
      </c>
      <c r="CB369" s="1397">
        <f ca="1">IF(B369&gt;=$J$5,0,(CONTADORES!CC383-CONTADORES!CC382)+(CONTADORES!CE383-CONTADORES!CE382))/1000</f>
        <v>0</v>
      </c>
      <c r="CC369" s="1397">
        <f ca="1">IF(B369&gt;=$J$5,0,(CONTADORES!CD383-CONTADORES!CD382)+(CONTADORES!CF383-CONTADORES!CF382))/1000</f>
        <v>0</v>
      </c>
      <c r="CD369" s="1397">
        <f ca="1">IF(B369&gt;=$J$5,0,CONTADORES!CA383-CONTADORES!CA382)</f>
        <v>0</v>
      </c>
      <c r="CE369" s="1397">
        <f ca="1">IF(B369&gt;=$J$5,0,CONTADORES!CB383-CONTADORES!CB382)</f>
        <v>0</v>
      </c>
      <c r="CF369" s="1397">
        <f t="shared" ca="1" si="181"/>
        <v>0</v>
      </c>
      <c r="CG369" s="1397">
        <f t="shared" ca="1" si="182"/>
        <v>0</v>
      </c>
      <c r="CH369" s="1397">
        <f t="shared" ca="1" si="183"/>
        <v>0</v>
      </c>
      <c r="CI369" s="1397">
        <f t="shared" ca="1" si="184"/>
        <v>0</v>
      </c>
      <c r="CJ369" s="1397">
        <f t="shared" ca="1" si="185"/>
        <v>0</v>
      </c>
      <c r="CK369" s="1397">
        <f t="shared" ca="1" si="186"/>
        <v>0</v>
      </c>
      <c r="CL369" s="1397">
        <f t="shared" ca="1" si="187"/>
        <v>0</v>
      </c>
      <c r="CM369" s="1397">
        <f t="shared" ca="1" si="188"/>
        <v>0</v>
      </c>
      <c r="CN369" s="1397">
        <f ca="1">IF(B369&gt;=$J$5,0,CONTADORES!CB383-CONTADORES!CB382)</f>
        <v>0</v>
      </c>
      <c r="CO369" s="1397">
        <f t="shared" ca="1" si="189"/>
        <v>0</v>
      </c>
      <c r="CP369" s="1397">
        <f t="shared" ca="1" si="190"/>
        <v>0</v>
      </c>
      <c r="CQ369" s="1397">
        <f t="shared" ca="1" si="191"/>
        <v>0</v>
      </c>
      <c r="CR369" s="1397">
        <f t="shared" ca="1" si="192"/>
        <v>0</v>
      </c>
      <c r="CS369" s="1403">
        <f ca="1">IF($B369&gt;=$J$5,0,CONTADORES!$BI383)</f>
        <v>0</v>
      </c>
      <c r="CT369" s="1369">
        <f>CONTADORES!E383</f>
        <v>0</v>
      </c>
      <c r="CU369" s="1369">
        <f>CONTADORES!CG383</f>
        <v>0</v>
      </c>
    </row>
    <row r="370" spans="2:99">
      <c r="B370" s="390">
        <v>45286</v>
      </c>
      <c r="C370" s="198">
        <f t="shared" ca="1" si="166"/>
        <v>0</v>
      </c>
      <c r="D370" s="196">
        <f ca="1">'CALCULO DE GAS'!P199</f>
        <v>0</v>
      </c>
      <c r="E370" s="196">
        <f ca="1">IF(B370&gt;=$J$5,0,(CONTADORES!$AD384-CONTADORES!$AD383)-$H370)</f>
        <v>0</v>
      </c>
      <c r="F370" s="198">
        <f t="shared" ca="1" si="195"/>
        <v>0</v>
      </c>
      <c r="G370" s="196">
        <f ca="1">IF(B370&gt;=$J$5,0,CONTADORES!$AF384-CONTADORES!$AF383)</f>
        <v>0</v>
      </c>
      <c r="H370" s="196">
        <f ca="1">IF(G370&gt;0,CONTADORES!$AE384-CONTADORES!$AE383,0)</f>
        <v>0</v>
      </c>
      <c r="I370" s="199">
        <f ca="1">IF(B370&gt;=$J$5,0,CONTADORES!$AB384-CONTADORES!$AB383)</f>
        <v>0</v>
      </c>
      <c r="J370" s="198">
        <f t="shared" ca="1" si="167"/>
        <v>0</v>
      </c>
      <c r="K370" s="196">
        <f ca="1">'CALCULO DE GAS'!Q199</f>
        <v>0</v>
      </c>
      <c r="L370" s="1413">
        <f ca="1">IF(B370&gt;=$J$5,0,(CONTADORES!$Y384-CONTADORES!$Y383)-$O370)</f>
        <v>0</v>
      </c>
      <c r="M370" s="1396">
        <v>0</v>
      </c>
      <c r="N370" s="1396">
        <f ca="1">IF(B370&gt;=$J$5,0,CONTADORES!$AA384-CONTADORES!$AA383)</f>
        <v>0</v>
      </c>
      <c r="O370" s="1396">
        <f ca="1">IF(N370&gt;0,CONTADORES!$Z384-CONTADORES!$Z383,0)</f>
        <v>0</v>
      </c>
      <c r="P370" s="202">
        <f ca="1">IF(B370&gt;=$J$5,0,CONTADORES!$W384-CONTADORES!$W383)</f>
        <v>0</v>
      </c>
      <c r="Q370" s="202">
        <f ca="1">IF(B370&gt;=$J$5,0,CONTADORES!$B384-CONTADORES!$B383)</f>
        <v>0</v>
      </c>
      <c r="R370" s="196">
        <f t="shared" ca="1" si="169"/>
        <v>0</v>
      </c>
      <c r="S370" s="11">
        <f ca="1">IF(B370&gt;=$J$5,0,CONTADORES!$D384-CONTADORES!$D383)</f>
        <v>0</v>
      </c>
      <c r="T370" s="198">
        <f ca="1">IF(B370&gt;=$J$5,0,CONTADORES!$BB384-CONTADORES!$BB383)</f>
        <v>0</v>
      </c>
      <c r="U370" s="196">
        <f t="shared" ca="1" si="197"/>
        <v>0</v>
      </c>
      <c r="V370" s="11">
        <f ca="1">IF(B370&gt;=$J$5,0,CONTADORES!$BD384-CONTADORES!$BD383)</f>
        <v>0</v>
      </c>
      <c r="W370" s="1397">
        <f t="shared" ca="1" si="170"/>
        <v>0</v>
      </c>
      <c r="X370" s="1397">
        <f t="shared" ca="1" si="171"/>
        <v>0</v>
      </c>
      <c r="Y370" s="1398">
        <f t="shared" ca="1" si="172"/>
        <v>0</v>
      </c>
      <c r="Z370" s="1398">
        <f t="shared" ca="1" si="173"/>
        <v>0</v>
      </c>
      <c r="AA370" s="1398">
        <f t="shared" ca="1" si="174"/>
        <v>0</v>
      </c>
      <c r="AB370" s="1398">
        <f t="shared" ca="1" si="175"/>
        <v>0</v>
      </c>
      <c r="AC370" s="1397">
        <f t="shared" ca="1" si="176"/>
        <v>0</v>
      </c>
      <c r="AD370" s="1397">
        <f ca="1">IF(B370&gt;=$J$5,0,CONTADORES!H384-CONTADORES!H383)</f>
        <v>0</v>
      </c>
      <c r="AE370" s="1397">
        <f ca="1">IF(B370&gt;=$J$5,0,CONTADORES!J384-CONTADORES!J383)</f>
        <v>0</v>
      </c>
      <c r="AF370" s="1397">
        <f ca="1">IF(B370&gt;=$J$5,0,CONTADORES!AU384-CONTADORES!AU383)</f>
        <v>0</v>
      </c>
      <c r="AG370" s="1397">
        <f ca="1">IF(B370&gt;=$J$5,0,CONTADORES!AW384-CONTADORES!AW383)</f>
        <v>0</v>
      </c>
      <c r="AH370" s="1398">
        <f ca="1">IF(B370&gt;=$J$5,0,(CONTADORES!AM384-CONTADORES!AM383)+(CONTADORES!M384-CONTADORES!M383))</f>
        <v>0</v>
      </c>
      <c r="AI370" s="1397">
        <f ca="1">IF(B370&gt;=$J$5,0,(CONTADORES!AK384-CONTADORES!AK383)+(CONTADORES!O384-CONTADORES!O383))</f>
        <v>0</v>
      </c>
      <c r="AJ370" s="1397">
        <f ca="1">IF(B370&gt;=$J$5,0,(CONTADORES!AI384-CONTADORES!AI383))</f>
        <v>0</v>
      </c>
      <c r="AK370" s="1397">
        <f ca="1">IF(B370&gt;=$J$5,0,(CONTADORES!Q384-CONTADORES!Q383))</f>
        <v>0</v>
      </c>
      <c r="AL370" s="1461">
        <f t="shared" ca="1" si="177"/>
        <v>0</v>
      </c>
      <c r="AM370" s="1397">
        <f ca="1">IF(B370&gt;=$J$5,0,(((CONTADORES!F384-CONTADORES!F383)+(CONTADORES!AQ384-CONTADORES!AQ383))))-BS370-AF370-AN370-BV370-BY370-CD370-CB370+T370</f>
        <v>0</v>
      </c>
      <c r="AN370" s="1402">
        <f ca="1">IF(B370&gt;=$J$5,0,(CONTADORES!AX384-CONTADORES!AX383)+(CONTADORES!AZ384-CONTADORES!AZ383)+(CONTADORES!BE384-CONTADORES!BE383))-CB370</f>
        <v>0</v>
      </c>
      <c r="AO370" s="1399">
        <f ca="1">IF(B370&gt;=$J$5,0,(CONTADORES!AC384-CONTADORES!AC383))</f>
        <v>0</v>
      </c>
      <c r="AP370" s="1433">
        <f ca="1">IF(B370&gt;=$J$5,0,(CONTADORES!X384-CONTADORES!X383))</f>
        <v>0</v>
      </c>
      <c r="AQ370" s="1404">
        <f ca="1">IF(B370&gt;=$J$5,0,(CONTADORES!C384-CONTADORES!C383))</f>
        <v>0</v>
      </c>
      <c r="AR370" s="1399">
        <f ca="1">IF(B370&gt;=$J$5,0,(CONTADORES!BC384-CONTADORES!BC383))</f>
        <v>0</v>
      </c>
      <c r="AS370" s="1397">
        <f ca="1">IF(B370&gt;=$J$5,0,CONTADORES!S384-CONTADORES!S383)</f>
        <v>0</v>
      </c>
      <c r="AT370" s="1397">
        <f ca="1">IF(B370&gt;=$J$5,0,(CONTADORES!U384-CONTADORES!U383)+(CONTADORES!AG384-CONTADORES!AG383))</f>
        <v>0</v>
      </c>
      <c r="AU370" s="1433">
        <f ca="1">IF(B370&gt;=$J$5,0,(CONTADORES!I384-CONTADORES!I383))</f>
        <v>0</v>
      </c>
      <c r="AV370" s="1399">
        <f ca="1">IF(B370&gt;=$J$5,0,(CONTADORES!AV384-CONTADORES!AV383))</f>
        <v>0</v>
      </c>
      <c r="AW370" s="1399">
        <f ca="1">IF(B370&gt;=$J$5,0,(CONTADORES!N384-CONTADORES!N383)+(CONTADORES!AN384-CONTADORES!AN383))</f>
        <v>0</v>
      </c>
      <c r="AX370" s="1399">
        <f ca="1">IF(B370&gt;=$J$5,0,(CONTADORES!P384-CONTADORES!P383)+(CONTADORES!AL384-CONTADORES!AL383))</f>
        <v>0</v>
      </c>
      <c r="AY370" s="1399">
        <f ca="1">IF(B370&gt;=$J$5,0,(CONTADORES!AJ384-CONTADORES!AJ383))</f>
        <v>0</v>
      </c>
      <c r="AZ370" s="1399">
        <f ca="1">IF(B370&gt;=$J$5,0,(CONTADORES!R384-CONTADORES!R383))</f>
        <v>0</v>
      </c>
      <c r="BA370" s="1409">
        <f t="shared" ca="1" si="178"/>
        <v>0</v>
      </c>
      <c r="BB370" s="1417">
        <f ca="1">IF(B370&gt;=$J$5,0,(((CONTADORES!G384-CONTADORES!G383)+(CONTADORES!AR384-CONTADORES!AR383))))-AV370-BC370-BT370-BW370-BZ370-CE370-AR370</f>
        <v>0</v>
      </c>
      <c r="BC370" s="1397">
        <f ca="1">IF(B370&gt;=$J$5,0,(CONTADORES!AY384-CONTADORES!AY383)+(CONTADORES!BA384-CONTADORES!BA383)+(CONTADORES!BF384-CONTADORES!BF383))</f>
        <v>0</v>
      </c>
      <c r="BD370" s="1397">
        <f t="shared" ca="1" si="179"/>
        <v>0</v>
      </c>
      <c r="BE370" s="1398">
        <f ca="1">IF($B370&gt;=$J$5,0,CONTADORES!$BG384)</f>
        <v>0</v>
      </c>
      <c r="BF370" s="1397">
        <f ca="1">IF($B370&gt;=$J$5,0,CONTADORES!$BH384)</f>
        <v>0</v>
      </c>
      <c r="BG370" s="1397">
        <f ca="1">IF($B370&gt;=$J$5,0,CONTADORES!$BJ384)</f>
        <v>0</v>
      </c>
      <c r="BH370" s="1397">
        <f ca="1">IF(B370&gt;=$J$5,0,((CONTADORES!BK384-CONTADORES!BK383)/1000))</f>
        <v>0</v>
      </c>
      <c r="BI370" s="1397">
        <f ca="1">IF(C370&gt;=$J$5,0,((CONTADORES!BL384-CONTADORES!BL383)/1000))</f>
        <v>0</v>
      </c>
      <c r="BJ370" s="1397">
        <f ca="1">IF(C370&gt;=$J$5,0,((CONTADORES!BM384-CONTADORES!BM383)/1000))</f>
        <v>0</v>
      </c>
      <c r="BK370" s="1397">
        <f ca="1">IF(D370&gt;=$J$5,0,((CONTADORES!BN384-CONTADORES!BN383)/1000))</f>
        <v>0</v>
      </c>
      <c r="BL370" s="1399">
        <f t="shared" ca="1" si="194"/>
        <v>0</v>
      </c>
      <c r="BM370" s="1399">
        <f t="shared" ca="1" si="180"/>
        <v>0</v>
      </c>
      <c r="BN370" s="1398">
        <f ca="1">IF(B370&gt;=$J$5,0,CONTADORES!$BO384)</f>
        <v>0</v>
      </c>
      <c r="BO370" s="1397">
        <f ca="1">IF(W370&gt;=$J$5,0,CONTADORES!$BP384)</f>
        <v>0</v>
      </c>
      <c r="BP370" s="1397">
        <f ca="1">IF(W370&gt;=$J$5,0,CONTADORES!$BQ384)</f>
        <v>0</v>
      </c>
      <c r="BQ370" s="1397">
        <f ca="1">IF(B370&gt;=$J$5,0,(CONTADORES!AS384-CONTADORES!AS383))</f>
        <v>0</v>
      </c>
      <c r="BR370" s="1397">
        <f ca="1">IF(B370&gt;=$J$5,0,(CONTADORES!AT384-CONTADORES!AT383))</f>
        <v>0</v>
      </c>
      <c r="BS370" s="1397">
        <f ca="1">IF(B370&gt;=$J$5,0,CONTADORES!BR384-CONTADORES!BR383)/1000</f>
        <v>0</v>
      </c>
      <c r="BT370" s="1397">
        <f ca="1">IF(B370&gt;=$J$5,0,CONTADORES!BS384-CONTADORES!BS383)</f>
        <v>0</v>
      </c>
      <c r="BU370" s="1397">
        <f ca="1">IF(B370&gt;=$J$5,0,CONTADORES!BT384-CONTADORES!BT383)</f>
        <v>0</v>
      </c>
      <c r="BV370" s="1397">
        <f ca="1">IF(B370&gt;=$J$5,0,CONTADORES!BU384-CONTADORES!BU383)/1000</f>
        <v>0</v>
      </c>
      <c r="BW370" s="1397">
        <f ca="1">IF(B370&gt;=$J$5,0,CONTADORES!BV384-CONTADORES!BV383)/1000</f>
        <v>0</v>
      </c>
      <c r="BX370" s="1397">
        <f ca="1">IF(B370&gt;=$J$5,0,CONTADORES!BW384-CONTADORES!BW383)</f>
        <v>0</v>
      </c>
      <c r="BY370" s="1397">
        <f ca="1">IF(B370&gt;=$J$5,0,CONTADORES!BX384-CONTADORES!BX383)/1000</f>
        <v>0</v>
      </c>
      <c r="BZ370" s="1397">
        <f ca="1">IF(B370&gt;=$J$5,0,CONTADORES!BY384-CONTADORES!BY383)/1000</f>
        <v>0</v>
      </c>
      <c r="CA370" s="1397">
        <f ca="1">IF(B370&gt;=$J$5,0,CONTADORES!BZ384-CONTADORES!BZ383)</f>
        <v>0</v>
      </c>
      <c r="CB370" s="1397">
        <f ca="1">IF(B370&gt;=$J$5,0,(CONTADORES!CC384-CONTADORES!CC383)+(CONTADORES!CE384-CONTADORES!CE383))/1000</f>
        <v>0</v>
      </c>
      <c r="CC370" s="1397">
        <f ca="1">IF(B370&gt;=$J$5,0,(CONTADORES!CD384-CONTADORES!CD383)+(CONTADORES!CF384-CONTADORES!CF383))/1000</f>
        <v>0</v>
      </c>
      <c r="CD370" s="1397">
        <f ca="1">IF(B370&gt;=$J$5,0,CONTADORES!CA384-CONTADORES!CA383)</f>
        <v>0</v>
      </c>
      <c r="CE370" s="1397">
        <f ca="1">IF(B370&gt;=$J$5,0,CONTADORES!CB384-CONTADORES!CB383)</f>
        <v>0</v>
      </c>
      <c r="CF370" s="1397">
        <f t="shared" ca="1" si="181"/>
        <v>0</v>
      </c>
      <c r="CG370" s="1397">
        <f t="shared" ca="1" si="182"/>
        <v>0</v>
      </c>
      <c r="CH370" s="1397">
        <f t="shared" ca="1" si="183"/>
        <v>0</v>
      </c>
      <c r="CI370" s="1397">
        <f t="shared" ca="1" si="184"/>
        <v>0</v>
      </c>
      <c r="CJ370" s="1397">
        <f t="shared" ca="1" si="185"/>
        <v>0</v>
      </c>
      <c r="CK370" s="1397">
        <f t="shared" ca="1" si="186"/>
        <v>0</v>
      </c>
      <c r="CL370" s="1397">
        <f t="shared" ca="1" si="187"/>
        <v>0</v>
      </c>
      <c r="CM370" s="1397">
        <f t="shared" ca="1" si="188"/>
        <v>0</v>
      </c>
      <c r="CN370" s="1397">
        <f ca="1">IF(B370&gt;=$J$5,0,CONTADORES!CB384-CONTADORES!CB383)</f>
        <v>0</v>
      </c>
      <c r="CO370" s="1397">
        <f t="shared" ca="1" si="189"/>
        <v>0</v>
      </c>
      <c r="CP370" s="1397">
        <f t="shared" ca="1" si="190"/>
        <v>0</v>
      </c>
      <c r="CQ370" s="1397">
        <f t="shared" ca="1" si="191"/>
        <v>0</v>
      </c>
      <c r="CR370" s="1397">
        <f t="shared" ca="1" si="192"/>
        <v>0</v>
      </c>
      <c r="CS370" s="1403">
        <f ca="1">IF($B370&gt;=$J$5,0,CONTADORES!$BI384)</f>
        <v>0</v>
      </c>
      <c r="CT370" s="1369">
        <f>CONTADORES!E384</f>
        <v>0</v>
      </c>
      <c r="CU370" s="1369">
        <f>CONTADORES!CG384</f>
        <v>0</v>
      </c>
    </row>
    <row r="371" spans="2:99">
      <c r="B371" s="390">
        <v>45287</v>
      </c>
      <c r="C371" s="198">
        <f t="shared" ca="1" si="166"/>
        <v>0</v>
      </c>
      <c r="D371" s="196">
        <f ca="1">'CALCULO DE GAS'!P200</f>
        <v>0</v>
      </c>
      <c r="E371" s="196">
        <f ca="1">IF(B371&gt;=$J$5,0,(CONTADORES!$AD385-CONTADORES!$AD384)-$H371)</f>
        <v>0</v>
      </c>
      <c r="F371" s="198">
        <f t="shared" ca="1" si="195"/>
        <v>0</v>
      </c>
      <c r="G371" s="196">
        <f ca="1">IF(B371&gt;=$J$5,0,CONTADORES!$AF385-CONTADORES!$AF384)</f>
        <v>0</v>
      </c>
      <c r="H371" s="196">
        <f ca="1">IF(G371&gt;0,CONTADORES!$AE385-CONTADORES!$AE384,0)</f>
        <v>0</v>
      </c>
      <c r="I371" s="199">
        <f ca="1">IF(B371&gt;=$J$5,0,CONTADORES!$AB385-CONTADORES!$AB384)</f>
        <v>0</v>
      </c>
      <c r="J371" s="198">
        <f t="shared" ca="1" si="167"/>
        <v>0</v>
      </c>
      <c r="K371" s="196">
        <f ca="1">'CALCULO DE GAS'!Q200</f>
        <v>0</v>
      </c>
      <c r="L371" s="1413">
        <f ca="1">IF(B371&gt;=$J$5,0,(CONTADORES!$Y385-CONTADORES!$Y384)-$O371)</f>
        <v>0</v>
      </c>
      <c r="M371" s="1396">
        <f ca="1">IF(O371=0,0,"DIGITAR MANUALMENTE")</f>
        <v>0</v>
      </c>
      <c r="N371" s="1396">
        <f ca="1">IF(B371&gt;=$J$5,0,CONTADORES!$AA385-CONTADORES!$AA384)</f>
        <v>0</v>
      </c>
      <c r="O371" s="1396">
        <f ca="1">IF(N371&gt;0,CONTADORES!$Z385-CONTADORES!$Z384,0)</f>
        <v>0</v>
      </c>
      <c r="P371" s="202">
        <f ca="1">IF(B371&gt;=$J$5,0,CONTADORES!$W385-CONTADORES!$W384)</f>
        <v>0</v>
      </c>
      <c r="Q371" s="202">
        <f ca="1">IF(B371&gt;=$J$5,0,CONTADORES!$B385-CONTADORES!$B384)</f>
        <v>0</v>
      </c>
      <c r="R371" s="196">
        <f t="shared" ca="1" si="169"/>
        <v>0</v>
      </c>
      <c r="S371" s="11">
        <f ca="1">IF(B371&gt;=$J$5,0,CONTADORES!$D385-CONTADORES!$D384)</f>
        <v>0</v>
      </c>
      <c r="T371" s="198">
        <f ca="1">IF(B371&gt;=$J$5,0,CONTADORES!$BB385-CONTADORES!$BB384)</f>
        <v>0</v>
      </c>
      <c r="U371" s="196">
        <f t="shared" ca="1" si="197"/>
        <v>0</v>
      </c>
      <c r="V371" s="11">
        <f ca="1">IF(B371&gt;=$J$5,0,CONTADORES!$BD385-CONTADORES!$BD384)</f>
        <v>0</v>
      </c>
      <c r="W371" s="1397">
        <f t="shared" ca="1" si="170"/>
        <v>0</v>
      </c>
      <c r="X371" s="1397">
        <f t="shared" ca="1" si="171"/>
        <v>0</v>
      </c>
      <c r="Y371" s="1398">
        <f t="shared" ca="1" si="172"/>
        <v>0</v>
      </c>
      <c r="Z371" s="1398">
        <f t="shared" ca="1" si="173"/>
        <v>0</v>
      </c>
      <c r="AA371" s="1398">
        <f t="shared" ca="1" si="174"/>
        <v>0</v>
      </c>
      <c r="AB371" s="1398">
        <f t="shared" ca="1" si="175"/>
        <v>0</v>
      </c>
      <c r="AC371" s="1397">
        <f t="shared" ca="1" si="176"/>
        <v>0</v>
      </c>
      <c r="AD371" s="1397">
        <f ca="1">IF(B371&gt;=$J$5,0,CONTADORES!H385-CONTADORES!H384)</f>
        <v>0</v>
      </c>
      <c r="AE371" s="1397">
        <f ca="1">IF(B371&gt;=$J$5,0,CONTADORES!J385-CONTADORES!J384)</f>
        <v>0</v>
      </c>
      <c r="AF371" s="1397">
        <f ca="1">IF(B371&gt;=$J$5,0,CONTADORES!AU385-CONTADORES!AU384)</f>
        <v>0</v>
      </c>
      <c r="AG371" s="1397">
        <f ca="1">IF(B371&gt;=$J$5,0,CONTADORES!AW385-CONTADORES!AW384)</f>
        <v>0</v>
      </c>
      <c r="AH371" s="1398">
        <f ca="1">IF(B371&gt;=$J$5,0,(CONTADORES!AM385-CONTADORES!AM384)+(CONTADORES!M385-CONTADORES!M384))</f>
        <v>0</v>
      </c>
      <c r="AI371" s="1397">
        <f ca="1">IF(B371&gt;=$J$5,0,(CONTADORES!AK385-CONTADORES!AK384)+(CONTADORES!O385-CONTADORES!O384))</f>
        <v>0</v>
      </c>
      <c r="AJ371" s="1397">
        <f ca="1">IF(B371&gt;=$J$5,0,(CONTADORES!AI385-CONTADORES!AI384))</f>
        <v>0</v>
      </c>
      <c r="AK371" s="1397">
        <f ca="1">IF(B371&gt;=$J$5,0,(CONTADORES!Q385-CONTADORES!Q384))</f>
        <v>0</v>
      </c>
      <c r="AL371" s="1461">
        <f t="shared" ca="1" si="177"/>
        <v>0</v>
      </c>
      <c r="AM371" s="1397">
        <f ca="1">IF(B371&gt;=$J$5,0,(((CONTADORES!F385-CONTADORES!F384)+(CONTADORES!AQ385-CONTADORES!AQ384))))-BS371-AF371-AN371-BV371-BY371-CD371-CB371+T371</f>
        <v>0</v>
      </c>
      <c r="AN371" s="1402">
        <f ca="1">IF(B371&gt;=$J$5,0,(CONTADORES!AX385-CONTADORES!AX384)+(CONTADORES!AZ385-CONTADORES!AZ384)+(CONTADORES!BE385-CONTADORES!BE384))-CB371</f>
        <v>0</v>
      </c>
      <c r="AO371" s="1399">
        <f ca="1">IF(B371&gt;=$J$5,0,(CONTADORES!AC385-CONTADORES!AC384))</f>
        <v>0</v>
      </c>
      <c r="AP371" s="1433">
        <f ca="1">IF(B371&gt;=$J$5,0,(CONTADORES!X385-CONTADORES!X384))</f>
        <v>0</v>
      </c>
      <c r="AQ371" s="1404">
        <f ca="1">IF(B371&gt;=$J$5,0,(CONTADORES!C385-CONTADORES!C384))</f>
        <v>0</v>
      </c>
      <c r="AR371" s="1399">
        <f ca="1">IF(B371&gt;=$J$5,0,(CONTADORES!BC385-CONTADORES!BC384))</f>
        <v>0</v>
      </c>
      <c r="AS371" s="1397">
        <f ca="1">IF(B371&gt;=$J$5,0,CONTADORES!S385-CONTADORES!S384)</f>
        <v>0</v>
      </c>
      <c r="AT371" s="1397">
        <f ca="1">IF(B371&gt;=$J$5,0,(CONTADORES!U385-CONTADORES!U384)+(CONTADORES!AG385-CONTADORES!AG384))</f>
        <v>0</v>
      </c>
      <c r="AU371" s="1433">
        <f ca="1">IF(B371&gt;=$J$5,0,(CONTADORES!I385-CONTADORES!I384))</f>
        <v>0</v>
      </c>
      <c r="AV371" s="1399">
        <f ca="1">IF(B371&gt;=$J$5,0,(CONTADORES!AV385-CONTADORES!AV384))</f>
        <v>0</v>
      </c>
      <c r="AW371" s="1399">
        <f ca="1">IF(B371&gt;=$J$5,0,(CONTADORES!N385-CONTADORES!N384)+(CONTADORES!AN385-CONTADORES!AN384))</f>
        <v>0</v>
      </c>
      <c r="AX371" s="1399">
        <f ca="1">IF(B371&gt;=$J$5,0,(CONTADORES!P385-CONTADORES!P384)+(CONTADORES!AL385-CONTADORES!AL384))</f>
        <v>0</v>
      </c>
      <c r="AY371" s="1399">
        <f ca="1">IF(B371&gt;=$J$5,0,(CONTADORES!AJ385-CONTADORES!AJ384))</f>
        <v>0</v>
      </c>
      <c r="AZ371" s="1399">
        <f ca="1">IF(B371&gt;=$J$5,0,(CONTADORES!R385-CONTADORES!R384))</f>
        <v>0</v>
      </c>
      <c r="BA371" s="1409">
        <f t="shared" ca="1" si="178"/>
        <v>0</v>
      </c>
      <c r="BB371" s="1417">
        <f ca="1">IF(B371&gt;=$J$5,0,(((CONTADORES!G385-CONTADORES!G384)+(CONTADORES!AR385-CONTADORES!AR384))))-AV371-BC371-BT371-BW371-BZ371-CE371-AR371</f>
        <v>0</v>
      </c>
      <c r="BC371" s="1397">
        <f ca="1">IF(B371&gt;=$J$5,0,(CONTADORES!AY385-CONTADORES!AY384)+(CONTADORES!BA385-CONTADORES!BA384)+(CONTADORES!BF385-CONTADORES!BF384))</f>
        <v>0</v>
      </c>
      <c r="BD371" s="1397">
        <f t="shared" ca="1" si="179"/>
        <v>0</v>
      </c>
      <c r="BE371" s="1398">
        <f ca="1">IF($B371&gt;=$J$5,0,CONTADORES!$BG385)</f>
        <v>0</v>
      </c>
      <c r="BF371" s="1397">
        <f ca="1">IF($B371&gt;=$J$5,0,CONTADORES!$BH385)</f>
        <v>0</v>
      </c>
      <c r="BG371" s="1397">
        <f ca="1">IF($B371&gt;=$J$5,0,CONTADORES!$BJ385)</f>
        <v>0</v>
      </c>
      <c r="BH371" s="1397">
        <f ca="1">IF(B371&gt;=$J$5,0,((CONTADORES!BK385-CONTADORES!BK384)/1000))</f>
        <v>0</v>
      </c>
      <c r="BI371" s="1397">
        <f ca="1">IF(C371&gt;=$J$5,0,((CONTADORES!BL385-CONTADORES!BL384)/1000))</f>
        <v>0</v>
      </c>
      <c r="BJ371" s="1397">
        <f ca="1">IF(C371&gt;=$J$5,0,((CONTADORES!BM385-CONTADORES!BM384)/1000))</f>
        <v>0</v>
      </c>
      <c r="BK371" s="1397">
        <f ca="1">IF(D371&gt;=$J$5,0,((CONTADORES!BN385-CONTADORES!BN384)/1000))</f>
        <v>0</v>
      </c>
      <c r="BL371" s="1399">
        <f t="shared" ca="1" si="194"/>
        <v>0</v>
      </c>
      <c r="BM371" s="1399">
        <f t="shared" ca="1" si="180"/>
        <v>0</v>
      </c>
      <c r="BN371" s="1398">
        <f ca="1">IF(B371&gt;=$J$5,0,CONTADORES!$BO385)</f>
        <v>0</v>
      </c>
      <c r="BO371" s="1397">
        <f ca="1">IF(W371&gt;=$J$5,0,CONTADORES!$BP385)</f>
        <v>0</v>
      </c>
      <c r="BP371" s="1397">
        <f ca="1">IF(W371&gt;=$J$5,0,CONTADORES!$BQ385)</f>
        <v>0</v>
      </c>
      <c r="BQ371" s="1397">
        <f ca="1">IF(B371&gt;=$J$5,0,(CONTADORES!AS385-CONTADORES!AS384))</f>
        <v>0</v>
      </c>
      <c r="BR371" s="1397">
        <f ca="1">IF(B371&gt;=$J$5,0,(CONTADORES!AT385-CONTADORES!AT384))</f>
        <v>0</v>
      </c>
      <c r="BS371" s="1397">
        <f ca="1">IF(B371&gt;=$J$5,0,CONTADORES!BR385-CONTADORES!BR384)/1000</f>
        <v>0</v>
      </c>
      <c r="BT371" s="1397">
        <f ca="1">IF(B371&gt;=$J$5,0,CONTADORES!BS385-CONTADORES!BS384)</f>
        <v>0</v>
      </c>
      <c r="BU371" s="1397">
        <f ca="1">IF(B371&gt;=$J$5,0,CONTADORES!BT385-CONTADORES!BT384)</f>
        <v>0</v>
      </c>
      <c r="BV371" s="1397">
        <f ca="1">IF(B371&gt;=$J$5,0,CONTADORES!BU385-CONTADORES!BU384)/1000</f>
        <v>0</v>
      </c>
      <c r="BW371" s="1397">
        <f ca="1">IF(B371&gt;=$J$5,0,CONTADORES!BV385-CONTADORES!BV384)/1000</f>
        <v>0</v>
      </c>
      <c r="BX371" s="1397">
        <f ca="1">IF(B371&gt;=$J$5,0,CONTADORES!BW385-CONTADORES!BW384)</f>
        <v>0</v>
      </c>
      <c r="BY371" s="1397">
        <f ca="1">IF(B371&gt;=$J$5,0,CONTADORES!BX385-CONTADORES!BX384)/1000</f>
        <v>0</v>
      </c>
      <c r="BZ371" s="1397">
        <f ca="1">IF(B371&gt;=$J$5,0,CONTADORES!BY385-CONTADORES!BY384)/1000</f>
        <v>0</v>
      </c>
      <c r="CA371" s="1397">
        <f ca="1">IF(B371&gt;=$J$5,0,CONTADORES!BZ385-CONTADORES!BZ384)</f>
        <v>0</v>
      </c>
      <c r="CB371" s="1397">
        <f ca="1">IF(B371&gt;=$J$5,0,(CONTADORES!CC385-CONTADORES!CC384)+(CONTADORES!CE385-CONTADORES!CE384))/1000</f>
        <v>0</v>
      </c>
      <c r="CC371" s="1397">
        <f ca="1">IF(B371&gt;=$J$5,0,(CONTADORES!CD385-CONTADORES!CD384)+(CONTADORES!CF385-CONTADORES!CF384))/1000</f>
        <v>0</v>
      </c>
      <c r="CD371" s="1397">
        <f ca="1">IF(B371&gt;=$J$5,0,CONTADORES!CA385-CONTADORES!CA384)</f>
        <v>0</v>
      </c>
      <c r="CE371" s="1397">
        <f ca="1">IF(B371&gt;=$J$5,0,CONTADORES!CB385-CONTADORES!CB384)</f>
        <v>0</v>
      </c>
      <c r="CF371" s="1397">
        <f t="shared" ca="1" si="181"/>
        <v>0</v>
      </c>
      <c r="CG371" s="1397">
        <f t="shared" ca="1" si="182"/>
        <v>0</v>
      </c>
      <c r="CH371" s="1397">
        <f t="shared" ca="1" si="183"/>
        <v>0</v>
      </c>
      <c r="CI371" s="1397">
        <f t="shared" ca="1" si="184"/>
        <v>0</v>
      </c>
      <c r="CJ371" s="1397">
        <f t="shared" ca="1" si="185"/>
        <v>0</v>
      </c>
      <c r="CK371" s="1397">
        <f t="shared" ca="1" si="186"/>
        <v>0</v>
      </c>
      <c r="CL371" s="1397">
        <f t="shared" ca="1" si="187"/>
        <v>0</v>
      </c>
      <c r="CM371" s="1397">
        <f t="shared" ca="1" si="188"/>
        <v>0</v>
      </c>
      <c r="CN371" s="1397">
        <f ca="1">IF(B371&gt;=$J$5,0,CONTADORES!CB385-CONTADORES!CB384)</f>
        <v>0</v>
      </c>
      <c r="CO371" s="1397">
        <f t="shared" ca="1" si="189"/>
        <v>0</v>
      </c>
      <c r="CP371" s="1397">
        <f t="shared" ca="1" si="190"/>
        <v>0</v>
      </c>
      <c r="CQ371" s="1397">
        <f t="shared" ca="1" si="191"/>
        <v>0</v>
      </c>
      <c r="CR371" s="1397">
        <f t="shared" ca="1" si="192"/>
        <v>0</v>
      </c>
      <c r="CS371" s="1403">
        <f ca="1">IF($B371&gt;=$J$5,0,CONTADORES!$BI385)</f>
        <v>0</v>
      </c>
      <c r="CT371" s="1369">
        <f>CONTADORES!E385</f>
        <v>0</v>
      </c>
      <c r="CU371" s="1369">
        <f>CONTADORES!CG385</f>
        <v>0</v>
      </c>
    </row>
    <row r="372" spans="2:99">
      <c r="B372" s="390">
        <v>45288</v>
      </c>
      <c r="C372" s="198">
        <f t="shared" ca="1" si="166"/>
        <v>0</v>
      </c>
      <c r="D372" s="196">
        <f ca="1">'CALCULO DE GAS'!P201</f>
        <v>0</v>
      </c>
      <c r="E372" s="196">
        <f ca="1">IF(B372&gt;=$J$5,0,(CONTADORES!$AD386-CONTADORES!$AD385)-$H372)</f>
        <v>0</v>
      </c>
      <c r="F372" s="198">
        <f t="shared" ca="1" si="195"/>
        <v>0</v>
      </c>
      <c r="G372" s="196">
        <f ca="1">IF(B372&gt;=$J$5,0,CONTADORES!$AF386-CONTADORES!$AF385)</f>
        <v>0</v>
      </c>
      <c r="H372" s="196">
        <f ca="1">IF(G372&gt;0,CONTADORES!$AE386-CONTADORES!$AE385,0)</f>
        <v>0</v>
      </c>
      <c r="I372" s="199">
        <f ca="1">IF(B372&gt;=$J$5,0,CONTADORES!$AB386-CONTADORES!$AB385)</f>
        <v>0</v>
      </c>
      <c r="J372" s="198">
        <f t="shared" ca="1" si="167"/>
        <v>0</v>
      </c>
      <c r="K372" s="196">
        <f ca="1">'CALCULO DE GAS'!Q201</f>
        <v>0</v>
      </c>
      <c r="L372" s="1413">
        <f ca="1">IF(B372&gt;=$J$5,0,(CONTADORES!$Y386-CONTADORES!$Y385)-$O372)</f>
        <v>0</v>
      </c>
      <c r="M372" s="1396">
        <f ca="1">IF(O372=0,0,"DIGITAR MANUALMENTE")</f>
        <v>0</v>
      </c>
      <c r="N372" s="1396">
        <f ca="1">IF(B372&gt;=$J$5,0,CONTADORES!$AA386-CONTADORES!$AA385)</f>
        <v>0</v>
      </c>
      <c r="O372" s="1396">
        <f ca="1">IF(N372&gt;0,CONTADORES!$Z386-CONTADORES!$Z385,0)</f>
        <v>0</v>
      </c>
      <c r="P372" s="202">
        <f ca="1">IF(B372&gt;=$J$5,0,CONTADORES!$W386-CONTADORES!$W385)</f>
        <v>0</v>
      </c>
      <c r="Q372" s="202">
        <f ca="1">IF(B372&gt;=$J$5,0,CONTADORES!$B386-CONTADORES!$B385)</f>
        <v>0</v>
      </c>
      <c r="R372" s="196">
        <f t="shared" ca="1" si="169"/>
        <v>0</v>
      </c>
      <c r="S372" s="11">
        <f ca="1">IF(B372&gt;=$J$5,0,CONTADORES!$D386-CONTADORES!$D385)</f>
        <v>0</v>
      </c>
      <c r="T372" s="198">
        <f ca="1">IF(B372&gt;=$J$5,0,CONTADORES!$BB386-CONTADORES!$BB385)</f>
        <v>0</v>
      </c>
      <c r="U372" s="196">
        <f t="shared" ca="1" si="197"/>
        <v>0</v>
      </c>
      <c r="V372" s="11">
        <f ca="1">IF(B372&gt;=$J$5,0,CONTADORES!$BD386-CONTADORES!$BD385)</f>
        <v>0</v>
      </c>
      <c r="W372" s="1397">
        <f t="shared" ca="1" si="170"/>
        <v>0</v>
      </c>
      <c r="X372" s="1397">
        <f t="shared" ca="1" si="171"/>
        <v>0</v>
      </c>
      <c r="Y372" s="1398">
        <f t="shared" ca="1" si="172"/>
        <v>0</v>
      </c>
      <c r="Z372" s="1398">
        <f t="shared" ca="1" si="173"/>
        <v>0</v>
      </c>
      <c r="AA372" s="1398">
        <f t="shared" ca="1" si="174"/>
        <v>0</v>
      </c>
      <c r="AB372" s="1398">
        <f t="shared" ca="1" si="175"/>
        <v>0</v>
      </c>
      <c r="AC372" s="1397">
        <f t="shared" ca="1" si="176"/>
        <v>0</v>
      </c>
      <c r="AD372" s="1397">
        <f ca="1">IF(B372&gt;=$J$5,0,CONTADORES!H386-CONTADORES!H385)</f>
        <v>0</v>
      </c>
      <c r="AE372" s="1397">
        <f ca="1">IF(B372&gt;=$J$5,0,CONTADORES!J386-CONTADORES!J385)</f>
        <v>0</v>
      </c>
      <c r="AF372" s="1397">
        <f ca="1">IF(B372&gt;=$J$5,0,CONTADORES!AU386-CONTADORES!AU385)</f>
        <v>0</v>
      </c>
      <c r="AG372" s="1397">
        <f ca="1">IF(B372&gt;=$J$5,0,CONTADORES!AW386-CONTADORES!AW385)</f>
        <v>0</v>
      </c>
      <c r="AH372" s="1398">
        <f ca="1">IF(B372&gt;=$J$5,0,(CONTADORES!AM386-CONTADORES!AM385)+(CONTADORES!M386-CONTADORES!M385))</f>
        <v>0</v>
      </c>
      <c r="AI372" s="1397">
        <f ca="1">IF(B372&gt;=$J$5,0,(CONTADORES!AK386-CONTADORES!AK385)+(CONTADORES!O386-CONTADORES!O385))</f>
        <v>0</v>
      </c>
      <c r="AJ372" s="1397">
        <f ca="1">IF(B372&gt;=$J$5,0,(CONTADORES!AI386-CONTADORES!AI385))</f>
        <v>0</v>
      </c>
      <c r="AK372" s="1397">
        <f ca="1">IF(B372&gt;=$J$5,0,(CONTADORES!Q386-CONTADORES!Q385))</f>
        <v>0</v>
      </c>
      <c r="AL372" s="1461">
        <f t="shared" ca="1" si="177"/>
        <v>0</v>
      </c>
      <c r="AM372" s="1397">
        <f ca="1">IF(B372&gt;=$J$5,0,(((CONTADORES!F386-CONTADORES!F385)+(CONTADORES!AQ386-CONTADORES!AQ385))))-BS372-AF372-AN372-BV372-BY372-CD372-CB372+T372</f>
        <v>0</v>
      </c>
      <c r="AN372" s="1402">
        <f ca="1">IF(B372&gt;=$J$5,0,(CONTADORES!AX386-CONTADORES!AX385)+(CONTADORES!AZ386-CONTADORES!AZ385)+(CONTADORES!BE386-CONTADORES!BE385))-CB372</f>
        <v>0</v>
      </c>
      <c r="AO372" s="1399">
        <f ca="1">IF(B372&gt;=$J$5,0,(CONTADORES!AC386-CONTADORES!AC385))</f>
        <v>0</v>
      </c>
      <c r="AP372" s="1433">
        <f ca="1">IF(B372&gt;=$J$5,0,(CONTADORES!X386-CONTADORES!X385))</f>
        <v>0</v>
      </c>
      <c r="AQ372" s="1404">
        <f ca="1">IF(B372&gt;=$J$5,0,(CONTADORES!C386-CONTADORES!C385))</f>
        <v>0</v>
      </c>
      <c r="AR372" s="1399">
        <f ca="1">IF(B372&gt;=$J$5,0,(CONTADORES!BC386-CONTADORES!BC385))</f>
        <v>0</v>
      </c>
      <c r="AS372" s="1397">
        <f ca="1">IF(B372&gt;=$J$5,0,CONTADORES!S386-CONTADORES!S385)</f>
        <v>0</v>
      </c>
      <c r="AT372" s="1397">
        <f ca="1">IF(B372&gt;=$J$5,0,(CONTADORES!U386-CONTADORES!U385)+(CONTADORES!AG386-CONTADORES!AG385))</f>
        <v>0</v>
      </c>
      <c r="AU372" s="1433">
        <f ca="1">IF(B372&gt;=$J$5,0,(CONTADORES!I386-CONTADORES!I385))</f>
        <v>0</v>
      </c>
      <c r="AV372" s="1399">
        <f ca="1">IF(B372&gt;=$J$5,0,(CONTADORES!AV386-CONTADORES!AV385))</f>
        <v>0</v>
      </c>
      <c r="AW372" s="1399">
        <f ca="1">IF(B372&gt;=$J$5,0,(CONTADORES!N386-CONTADORES!N385)+(CONTADORES!AN386-CONTADORES!AN385))</f>
        <v>0</v>
      </c>
      <c r="AX372" s="1399">
        <f ca="1">IF(B372&gt;=$J$5,0,(CONTADORES!P386-CONTADORES!P385)+(CONTADORES!AL386-CONTADORES!AL385))</f>
        <v>0</v>
      </c>
      <c r="AY372" s="1399">
        <f ca="1">IF(B372&gt;=$J$5,0,(CONTADORES!AJ386-CONTADORES!AJ385))</f>
        <v>0</v>
      </c>
      <c r="AZ372" s="1399">
        <f ca="1">IF(B372&gt;=$J$5,0,(CONTADORES!R386-CONTADORES!R385))</f>
        <v>0</v>
      </c>
      <c r="BA372" s="1409">
        <f t="shared" ca="1" si="178"/>
        <v>0</v>
      </c>
      <c r="BB372" s="1417">
        <f ca="1">IF(B372&gt;=$J$5,0,(((CONTADORES!G386-CONTADORES!G385)+(CONTADORES!AR386-CONTADORES!AR385))))-AV372-BC372-BT372-BW372-BZ372-CE372-AR372</f>
        <v>0</v>
      </c>
      <c r="BC372" s="1397">
        <f ca="1">IF(B372&gt;=$J$5,0,(CONTADORES!AY386-CONTADORES!AY385)+(CONTADORES!BA386-CONTADORES!BA385)+(CONTADORES!BF386-CONTADORES!BF385))</f>
        <v>0</v>
      </c>
      <c r="BD372" s="1397">
        <f t="shared" ca="1" si="179"/>
        <v>0</v>
      </c>
      <c r="BE372" s="1398">
        <f ca="1">IF($B372&gt;=$J$5,0,CONTADORES!$BG386)</f>
        <v>0</v>
      </c>
      <c r="BF372" s="1397">
        <f ca="1">IF($B372&gt;=$J$5,0,CONTADORES!$BH386)</f>
        <v>0</v>
      </c>
      <c r="BG372" s="1397">
        <f ca="1">IF($B372&gt;=$J$5,0,CONTADORES!$BJ386)</f>
        <v>0</v>
      </c>
      <c r="BH372" s="1397">
        <f ca="1">IF(B372&gt;=$J$5,0,((CONTADORES!BK386-CONTADORES!BK385)/1000))</f>
        <v>0</v>
      </c>
      <c r="BI372" s="1397">
        <f ca="1">IF(C372&gt;=$J$5,0,((CONTADORES!BL386-CONTADORES!BL385)/1000))</f>
        <v>0</v>
      </c>
      <c r="BJ372" s="1397">
        <f ca="1">IF(C372&gt;=$J$5,0,((CONTADORES!BM386-CONTADORES!BM385)/1000))</f>
        <v>0</v>
      </c>
      <c r="BK372" s="1397">
        <f ca="1">IF(D372&gt;=$J$5,0,((CONTADORES!BN386-CONTADORES!BN385)/1000))</f>
        <v>0</v>
      </c>
      <c r="BL372" s="1399">
        <f t="shared" ca="1" si="194"/>
        <v>0</v>
      </c>
      <c r="BM372" s="1399">
        <f t="shared" ca="1" si="180"/>
        <v>0</v>
      </c>
      <c r="BN372" s="1398">
        <f ca="1">IF(B372&gt;=$J$5,0,CONTADORES!$BO386)</f>
        <v>0</v>
      </c>
      <c r="BO372" s="1397">
        <f ca="1">IF(W372&gt;=$J$5,0,CONTADORES!$BP386)</f>
        <v>0</v>
      </c>
      <c r="BP372" s="1397">
        <f ca="1">IF(W372&gt;=$J$5,0,CONTADORES!$BQ386)</f>
        <v>0</v>
      </c>
      <c r="BQ372" s="1397">
        <f ca="1">IF(B372&gt;=$J$5,0,(CONTADORES!AS386-CONTADORES!AS385))</f>
        <v>0</v>
      </c>
      <c r="BR372" s="1397">
        <f ca="1">IF(B372&gt;=$J$5,0,(CONTADORES!AT386-CONTADORES!AT385))</f>
        <v>0</v>
      </c>
      <c r="BS372" s="1397">
        <f ca="1">IF(B372&gt;=$J$5,0,CONTADORES!BR386-CONTADORES!BR385)/1000</f>
        <v>0</v>
      </c>
      <c r="BT372" s="1397">
        <f ca="1">IF(B372&gt;=$J$5,0,CONTADORES!BS386-CONTADORES!BS385)</f>
        <v>0</v>
      </c>
      <c r="BU372" s="1397">
        <f ca="1">IF(B372&gt;=$J$5,0,CONTADORES!BT386-CONTADORES!BT385)</f>
        <v>0</v>
      </c>
      <c r="BV372" s="1397">
        <f ca="1">IF(B372&gt;=$J$5,0,CONTADORES!BU386-CONTADORES!BU385)/1000</f>
        <v>0</v>
      </c>
      <c r="BW372" s="1397">
        <f ca="1">IF(B372&gt;=$J$5,0,CONTADORES!BV386-CONTADORES!BV385)/1000</f>
        <v>0</v>
      </c>
      <c r="BX372" s="1397">
        <f ca="1">IF(B372&gt;=$J$5,0,CONTADORES!BW386-CONTADORES!BW385)</f>
        <v>0</v>
      </c>
      <c r="BY372" s="1397">
        <f ca="1">IF(B372&gt;=$J$5,0,CONTADORES!BX386-CONTADORES!BX385)/1000</f>
        <v>0</v>
      </c>
      <c r="BZ372" s="1397">
        <f ca="1">IF(B372&gt;=$J$5,0,CONTADORES!BY386-CONTADORES!BY385)/1000</f>
        <v>0</v>
      </c>
      <c r="CA372" s="1397">
        <f ca="1">IF(B372&gt;=$J$5,0,CONTADORES!BZ386-CONTADORES!BZ385)</f>
        <v>0</v>
      </c>
      <c r="CB372" s="1397">
        <f ca="1">IF(B372&gt;=$J$5,0,(CONTADORES!CC386-CONTADORES!CC385)+(CONTADORES!CE386-CONTADORES!CE385))/1000</f>
        <v>0</v>
      </c>
      <c r="CC372" s="1397">
        <f ca="1">IF(B372&gt;=$J$5,0,(CONTADORES!CD386-CONTADORES!CD385)+(CONTADORES!CF386-CONTADORES!CF385))/1000</f>
        <v>0</v>
      </c>
      <c r="CD372" s="1397">
        <f ca="1">IF(B372&gt;=$J$5,0,CONTADORES!CA386-CONTADORES!CA385)</f>
        <v>0</v>
      </c>
      <c r="CE372" s="1397">
        <f ca="1">IF(B372&gt;=$J$5,0,CONTADORES!CB386-CONTADORES!CB385)</f>
        <v>0</v>
      </c>
      <c r="CF372" s="1397">
        <f t="shared" ca="1" si="181"/>
        <v>0</v>
      </c>
      <c r="CG372" s="1397">
        <f t="shared" ca="1" si="182"/>
        <v>0</v>
      </c>
      <c r="CH372" s="1397">
        <f t="shared" ca="1" si="183"/>
        <v>0</v>
      </c>
      <c r="CI372" s="1397">
        <f t="shared" ca="1" si="184"/>
        <v>0</v>
      </c>
      <c r="CJ372" s="1397">
        <f t="shared" ca="1" si="185"/>
        <v>0</v>
      </c>
      <c r="CK372" s="1397">
        <f t="shared" ca="1" si="186"/>
        <v>0</v>
      </c>
      <c r="CL372" s="1397">
        <f t="shared" ca="1" si="187"/>
        <v>0</v>
      </c>
      <c r="CM372" s="1397">
        <f t="shared" ca="1" si="188"/>
        <v>0</v>
      </c>
      <c r="CN372" s="1397">
        <f ca="1">IF(B372&gt;=$J$5,0,CONTADORES!CB386-CONTADORES!CB385)</f>
        <v>0</v>
      </c>
      <c r="CO372" s="1397">
        <f t="shared" ca="1" si="189"/>
        <v>0</v>
      </c>
      <c r="CP372" s="1397">
        <f t="shared" ca="1" si="190"/>
        <v>0</v>
      </c>
      <c r="CQ372" s="1397">
        <f t="shared" ca="1" si="191"/>
        <v>0</v>
      </c>
      <c r="CR372" s="1397">
        <f t="shared" ca="1" si="192"/>
        <v>0</v>
      </c>
      <c r="CS372" s="1403">
        <f ca="1">IF($B372&gt;=$J$5,0,CONTADORES!$BI386)</f>
        <v>0</v>
      </c>
      <c r="CT372" s="1369">
        <f>CONTADORES!E386</f>
        <v>0</v>
      </c>
      <c r="CU372" s="1369">
        <f>CONTADORES!CG386</f>
        <v>0</v>
      </c>
    </row>
    <row r="373" spans="2:99">
      <c r="B373" s="390">
        <v>45289</v>
      </c>
      <c r="C373" s="198">
        <f t="shared" ca="1" si="166"/>
        <v>0</v>
      </c>
      <c r="D373" s="196">
        <f ca="1">'CALCULO DE GAS'!P202</f>
        <v>0</v>
      </c>
      <c r="E373" s="196">
        <f ca="1">IF(B373&gt;=$J$5,0,(CONTADORES!$AD387-CONTADORES!$AD386)-$H373)</f>
        <v>0</v>
      </c>
      <c r="F373" s="198">
        <f t="shared" ca="1" si="195"/>
        <v>0</v>
      </c>
      <c r="G373" s="196">
        <f ca="1">IF(B373&gt;=$J$5,0,CONTADORES!$AF387-CONTADORES!$AF386)</f>
        <v>0</v>
      </c>
      <c r="H373" s="196">
        <f ca="1">IF(G373&gt;0,CONTADORES!$AE387-CONTADORES!$AE386,0)</f>
        <v>0</v>
      </c>
      <c r="I373" s="199">
        <f ca="1">IF(B373&gt;=$J$5,0,CONTADORES!$AB387-CONTADORES!$AB386)</f>
        <v>0</v>
      </c>
      <c r="J373" s="198">
        <f t="shared" ca="1" si="167"/>
        <v>0</v>
      </c>
      <c r="K373" s="196">
        <f ca="1">'CALCULO DE GAS'!Q202</f>
        <v>0</v>
      </c>
      <c r="L373" s="1413">
        <f ca="1">IF(B373&gt;=$J$5,0,(CONTADORES!$Y387-CONTADORES!$Y386)-$O373)</f>
        <v>0</v>
      </c>
      <c r="M373" s="1396">
        <f ca="1">IF(O373=0,0,"DIGITAR MANUALMENTE")</f>
        <v>0</v>
      </c>
      <c r="N373" s="1396">
        <f ca="1">IF(B373&gt;=$J$5,0,CONTADORES!$AA387-CONTADORES!$AA386)</f>
        <v>0</v>
      </c>
      <c r="O373" s="1396">
        <f ca="1">IF(N373&gt;0,CONTADORES!$Z387-CONTADORES!$Z386,0)</f>
        <v>0</v>
      </c>
      <c r="P373" s="202">
        <f ca="1">IF(B373&gt;=$J$5,0,CONTADORES!$W387-CONTADORES!$W386)</f>
        <v>0</v>
      </c>
      <c r="Q373" s="202">
        <f ca="1">IF(B373&gt;=$J$5,0,CONTADORES!$B387-CONTADORES!$B386)</f>
        <v>0</v>
      </c>
      <c r="R373" s="196">
        <f t="shared" ca="1" si="169"/>
        <v>0</v>
      </c>
      <c r="S373" s="11">
        <f ca="1">IF(B373&gt;=$J$5,0,CONTADORES!$D387-CONTADORES!$D386)</f>
        <v>0</v>
      </c>
      <c r="T373" s="198">
        <f ca="1">IF(B373&gt;=$J$5,0,CONTADORES!$BB387-CONTADORES!$BB386)</f>
        <v>0</v>
      </c>
      <c r="U373" s="196">
        <f t="shared" ca="1" si="197"/>
        <v>0</v>
      </c>
      <c r="V373" s="11">
        <f ca="1">IF(B373&gt;=$J$5,0,CONTADORES!$BD387-CONTADORES!$BD386)</f>
        <v>0</v>
      </c>
      <c r="W373" s="1397">
        <f t="shared" ca="1" si="170"/>
        <v>0</v>
      </c>
      <c r="X373" s="1397">
        <f t="shared" ca="1" si="171"/>
        <v>0</v>
      </c>
      <c r="Y373" s="1398">
        <f t="shared" ca="1" si="172"/>
        <v>0</v>
      </c>
      <c r="Z373" s="1398">
        <f t="shared" ca="1" si="173"/>
        <v>0</v>
      </c>
      <c r="AA373" s="1398">
        <f t="shared" ca="1" si="174"/>
        <v>0</v>
      </c>
      <c r="AB373" s="1398">
        <f t="shared" ca="1" si="175"/>
        <v>0</v>
      </c>
      <c r="AC373" s="1397">
        <f t="shared" ca="1" si="176"/>
        <v>0</v>
      </c>
      <c r="AD373" s="1397">
        <f ca="1">IF(B373&gt;=$J$5,0,CONTADORES!H387-CONTADORES!H386)</f>
        <v>0</v>
      </c>
      <c r="AE373" s="1397">
        <f ca="1">IF(B373&gt;=$J$5,0,CONTADORES!J387-CONTADORES!J386)</f>
        <v>0</v>
      </c>
      <c r="AF373" s="1397">
        <f ca="1">IF(B373&gt;=$J$5,0,CONTADORES!AU387-CONTADORES!AU386)</f>
        <v>0</v>
      </c>
      <c r="AG373" s="1397">
        <f ca="1">IF(B373&gt;=$J$5,0,CONTADORES!AW387-CONTADORES!AW386)</f>
        <v>0</v>
      </c>
      <c r="AH373" s="1398">
        <f ca="1">IF(B373&gt;=$J$5,0,(CONTADORES!AM387-CONTADORES!AM386)+(CONTADORES!M387-CONTADORES!M386))</f>
        <v>0</v>
      </c>
      <c r="AI373" s="1397">
        <f ca="1">IF(B373&gt;=$J$5,0,(CONTADORES!AK387-CONTADORES!AK386)+(CONTADORES!O387-CONTADORES!O386))</f>
        <v>0</v>
      </c>
      <c r="AJ373" s="1397">
        <f ca="1">IF(B373&gt;=$J$5,0,(CONTADORES!AI387-CONTADORES!AI386))</f>
        <v>0</v>
      </c>
      <c r="AK373" s="1397">
        <f ca="1">IF(B373&gt;=$J$5,0,(CONTADORES!Q387-CONTADORES!Q386))</f>
        <v>0</v>
      </c>
      <c r="AL373" s="1461">
        <f t="shared" ca="1" si="177"/>
        <v>0</v>
      </c>
      <c r="AM373" s="1397">
        <f ca="1">IF(B373&gt;=$J$5,0,(((CONTADORES!F387-CONTADORES!F386)+(CONTADORES!AQ387-CONTADORES!AQ386))))-BS373-AF373-AN373-BV373-BY373-CD373-CB373+T373</f>
        <v>0</v>
      </c>
      <c r="AN373" s="1402">
        <f ca="1">IF(B373&gt;=$J$5,0,(CONTADORES!AX387-CONTADORES!AX386)+(CONTADORES!AZ387-CONTADORES!AZ386)+(CONTADORES!BE387-CONTADORES!BE386))-CB373</f>
        <v>0</v>
      </c>
      <c r="AO373" s="1399">
        <f ca="1">IF(B373&gt;=$J$5,0,(CONTADORES!AC387-CONTADORES!AC386))</f>
        <v>0</v>
      </c>
      <c r="AP373" s="1433">
        <f ca="1">IF(B373&gt;=$J$5,0,(CONTADORES!X387-CONTADORES!X386))</f>
        <v>0</v>
      </c>
      <c r="AQ373" s="1404">
        <f ca="1">IF(B373&gt;=$J$5,0,(CONTADORES!C387-CONTADORES!C386))</f>
        <v>0</v>
      </c>
      <c r="AR373" s="1399">
        <f ca="1">IF(B373&gt;=$J$5,0,(CONTADORES!BC387-CONTADORES!BC386))</f>
        <v>0</v>
      </c>
      <c r="AS373" s="1397">
        <f ca="1">IF(B373&gt;=$J$5,0,CONTADORES!S387-CONTADORES!S386)</f>
        <v>0</v>
      </c>
      <c r="AT373" s="1397">
        <f ca="1">IF(B373&gt;=$J$5,0,(CONTADORES!U387-CONTADORES!U386)+(CONTADORES!AG387-CONTADORES!AG386))</f>
        <v>0</v>
      </c>
      <c r="AU373" s="1433">
        <f ca="1">IF(B373&gt;=$J$5,0,(CONTADORES!I387-CONTADORES!I386))</f>
        <v>0</v>
      </c>
      <c r="AV373" s="1399">
        <f ca="1">IF(B373&gt;=$J$5,0,(CONTADORES!AV387-CONTADORES!AV386))</f>
        <v>0</v>
      </c>
      <c r="AW373" s="1399">
        <f ca="1">IF(B373&gt;=$J$5,0,(CONTADORES!N387-CONTADORES!N386)+(CONTADORES!AN387-CONTADORES!AN386))</f>
        <v>0</v>
      </c>
      <c r="AX373" s="1399">
        <f ca="1">IF(B373&gt;=$J$5,0,(CONTADORES!P387-CONTADORES!P386)+(CONTADORES!AL387-CONTADORES!AL386))</f>
        <v>0</v>
      </c>
      <c r="AY373" s="1399">
        <f ca="1">IF(B373&gt;=$J$5,0,(CONTADORES!AJ387-CONTADORES!AJ386))</f>
        <v>0</v>
      </c>
      <c r="AZ373" s="1399">
        <f ca="1">IF(B373&gt;=$J$5,0,(CONTADORES!R387-CONTADORES!R386))</f>
        <v>0</v>
      </c>
      <c r="BA373" s="1409">
        <f t="shared" ca="1" si="178"/>
        <v>0</v>
      </c>
      <c r="BB373" s="1417">
        <f ca="1">IF(B373&gt;=$J$5,0,(((CONTADORES!G387-CONTADORES!G386)+(CONTADORES!AR387-CONTADORES!AR386))))-AV373-BC373-BT373-BW373-BZ373-CE373-AR373</f>
        <v>0</v>
      </c>
      <c r="BC373" s="1397">
        <f ca="1">IF(B373&gt;=$J$5,0,(CONTADORES!AY387-CONTADORES!AY386)+(CONTADORES!BA387-CONTADORES!BA386)+(CONTADORES!BF387-CONTADORES!BF386))</f>
        <v>0</v>
      </c>
      <c r="BD373" s="1397">
        <f t="shared" ca="1" si="179"/>
        <v>0</v>
      </c>
      <c r="BE373" s="1398">
        <f ca="1">IF($B373&gt;=$J$5,0,CONTADORES!$BG387)</f>
        <v>0</v>
      </c>
      <c r="BF373" s="1397">
        <f ca="1">IF($B373&gt;=$J$5,0,CONTADORES!$BH387)</f>
        <v>0</v>
      </c>
      <c r="BG373" s="1397">
        <f ca="1">IF($B373&gt;=$J$5,0,CONTADORES!$BJ387)</f>
        <v>0</v>
      </c>
      <c r="BH373" s="1397">
        <f ca="1">IF(B373&gt;=$J$5,0,((CONTADORES!BK387-CONTADORES!BK386)/1000))</f>
        <v>0</v>
      </c>
      <c r="BI373" s="1397">
        <f ca="1">IF(C373&gt;=$J$5,0,((CONTADORES!BL387-CONTADORES!BL386)/1000))</f>
        <v>0</v>
      </c>
      <c r="BJ373" s="1397">
        <f ca="1">IF(C373&gt;=$J$5,0,((CONTADORES!BM387-CONTADORES!BM386)/1000))</f>
        <v>0</v>
      </c>
      <c r="BK373" s="1397">
        <f ca="1">IF(D373&gt;=$J$5,0,((CONTADORES!BN387-CONTADORES!BN386)/1000))</f>
        <v>0</v>
      </c>
      <c r="BL373" s="1399">
        <f t="shared" ca="1" si="194"/>
        <v>0</v>
      </c>
      <c r="BM373" s="1399">
        <f t="shared" ca="1" si="180"/>
        <v>0</v>
      </c>
      <c r="BN373" s="1398">
        <f ca="1">IF(B373&gt;=$J$5,0,CONTADORES!$BO387)</f>
        <v>0</v>
      </c>
      <c r="BO373" s="1397">
        <f ca="1">IF(W373&gt;=$J$5,0,CONTADORES!$BP387)</f>
        <v>0</v>
      </c>
      <c r="BP373" s="1397">
        <f ca="1">IF(W373&gt;=$J$5,0,CONTADORES!$BQ387)</f>
        <v>0</v>
      </c>
      <c r="BQ373" s="1397">
        <f ca="1">IF(B373&gt;=$J$5,0,(CONTADORES!AS387-CONTADORES!AS386))</f>
        <v>0</v>
      </c>
      <c r="BR373" s="1397">
        <f ca="1">IF(B373&gt;=$J$5,0,(CONTADORES!AT387-CONTADORES!AT386))</f>
        <v>0</v>
      </c>
      <c r="BS373" s="1397">
        <f ca="1">IF(B373&gt;=$J$5,0,CONTADORES!BR387-CONTADORES!BR386)/1000</f>
        <v>0</v>
      </c>
      <c r="BT373" s="1397">
        <f ca="1">IF(B373&gt;=$J$5,0,CONTADORES!BS387-CONTADORES!BS386)</f>
        <v>0</v>
      </c>
      <c r="BU373" s="1397">
        <f ca="1">IF(B373&gt;=$J$5,0,CONTADORES!BT387-CONTADORES!BT386)</f>
        <v>0</v>
      </c>
      <c r="BV373" s="1397">
        <f ca="1">IF(B373&gt;=$J$5,0,CONTADORES!BU387-CONTADORES!BU386)/1000</f>
        <v>0</v>
      </c>
      <c r="BW373" s="1397">
        <f ca="1">IF(B373&gt;=$J$5,0,CONTADORES!BV387-CONTADORES!BV386)/1000</f>
        <v>0</v>
      </c>
      <c r="BX373" s="1397">
        <f ca="1">IF(B373&gt;=$J$5,0,CONTADORES!BW387-CONTADORES!BW386)</f>
        <v>0</v>
      </c>
      <c r="BY373" s="1397">
        <f ca="1">IF(B373&gt;=$J$5,0,CONTADORES!BX387-CONTADORES!BX386)/1000</f>
        <v>0</v>
      </c>
      <c r="BZ373" s="1397">
        <f ca="1">IF(B373&gt;=$J$5,0,CONTADORES!BY387-CONTADORES!BY386)/1000</f>
        <v>0</v>
      </c>
      <c r="CA373" s="1397">
        <f ca="1">IF(B373&gt;=$J$5,0,CONTADORES!BZ387-CONTADORES!BZ386)</f>
        <v>0</v>
      </c>
      <c r="CB373" s="1397">
        <f ca="1">IF(B373&gt;=$J$5,0,(CONTADORES!CC387-CONTADORES!CC386)+(CONTADORES!CE387-CONTADORES!CE386))/1000</f>
        <v>0</v>
      </c>
      <c r="CC373" s="1397">
        <f ca="1">IF(B373&gt;=$J$5,0,(CONTADORES!CD387-CONTADORES!CD386)+(CONTADORES!CF387-CONTADORES!CF386))/1000</f>
        <v>0</v>
      </c>
      <c r="CD373" s="1397">
        <f ca="1">IF(B373&gt;=$J$5,0,CONTADORES!CA387-CONTADORES!CA386)</f>
        <v>0</v>
      </c>
      <c r="CE373" s="1397">
        <f ca="1">IF(B373&gt;=$J$5,0,CONTADORES!CB387-CONTADORES!CB386)</f>
        <v>0</v>
      </c>
      <c r="CF373" s="1397">
        <f t="shared" ca="1" si="181"/>
        <v>0</v>
      </c>
      <c r="CG373" s="1397">
        <f t="shared" ca="1" si="182"/>
        <v>0</v>
      </c>
      <c r="CH373" s="1397">
        <f t="shared" ca="1" si="183"/>
        <v>0</v>
      </c>
      <c r="CI373" s="1397">
        <f t="shared" ca="1" si="184"/>
        <v>0</v>
      </c>
      <c r="CJ373" s="1397">
        <f t="shared" ca="1" si="185"/>
        <v>0</v>
      </c>
      <c r="CK373" s="1397">
        <f t="shared" ca="1" si="186"/>
        <v>0</v>
      </c>
      <c r="CL373" s="1397">
        <f t="shared" ca="1" si="187"/>
        <v>0</v>
      </c>
      <c r="CM373" s="1397">
        <f t="shared" ca="1" si="188"/>
        <v>0</v>
      </c>
      <c r="CN373" s="1397">
        <f ca="1">IF(B373&gt;=$J$5,0,CONTADORES!CB387-CONTADORES!CB386)</f>
        <v>0</v>
      </c>
      <c r="CO373" s="1397">
        <f t="shared" ca="1" si="189"/>
        <v>0</v>
      </c>
      <c r="CP373" s="1397">
        <f t="shared" ca="1" si="190"/>
        <v>0</v>
      </c>
      <c r="CQ373" s="1397">
        <f t="shared" ca="1" si="191"/>
        <v>0</v>
      </c>
      <c r="CR373" s="1397">
        <f t="shared" ca="1" si="192"/>
        <v>0</v>
      </c>
      <c r="CS373" s="1403">
        <f ca="1">IF($B373&gt;=$J$5,0,CONTADORES!$BI387)</f>
        <v>0</v>
      </c>
      <c r="CT373" s="1369">
        <f>CONTADORES!E387</f>
        <v>0</v>
      </c>
      <c r="CU373" s="1369">
        <f>CONTADORES!CG387</f>
        <v>0</v>
      </c>
    </row>
    <row r="374" spans="2:99">
      <c r="B374" s="390">
        <v>45290</v>
      </c>
      <c r="C374" s="198">
        <f t="shared" ca="1" si="166"/>
        <v>0</v>
      </c>
      <c r="D374" s="196">
        <f ca="1">'CALCULO DE GAS'!P203</f>
        <v>0</v>
      </c>
      <c r="E374" s="196">
        <f ca="1">IF(B374&gt;=$J$5,0,(CONTADORES!$AD388-CONTADORES!$AD387)-$H374)</f>
        <v>0</v>
      </c>
      <c r="F374" s="198">
        <f t="shared" ca="1" si="195"/>
        <v>0</v>
      </c>
      <c r="G374" s="196">
        <f ca="1">IF(B374&gt;=$J$5,0,CONTADORES!$AF388-CONTADORES!$AF387)</f>
        <v>0</v>
      </c>
      <c r="H374" s="196">
        <f ca="1">IF(G374&gt;0,CONTADORES!$AE388-CONTADORES!$AE387,0)</f>
        <v>0</v>
      </c>
      <c r="I374" s="199">
        <f ca="1">IF(B374&gt;=$J$5,0,CONTADORES!$AB388-CONTADORES!$AB387)</f>
        <v>0</v>
      </c>
      <c r="J374" s="198">
        <f t="shared" ca="1" si="167"/>
        <v>0</v>
      </c>
      <c r="K374" s="196">
        <f ca="1">'CALCULO DE GAS'!Q203</f>
        <v>0</v>
      </c>
      <c r="L374" s="1413">
        <f ca="1">IF(B374&gt;=$J$5,0,(CONTADORES!$Y388-CONTADORES!$Y387)-$O374)</f>
        <v>0</v>
      </c>
      <c r="M374" s="1396">
        <f ca="1">IF(O374=0,0,"DIGITAR MANUALMENTE")</f>
        <v>0</v>
      </c>
      <c r="N374" s="1396">
        <f ca="1">IF(B374&gt;=$J$5,0,CONTADORES!$AA388-CONTADORES!$AA387)</f>
        <v>0</v>
      </c>
      <c r="O374" s="1396">
        <f ca="1">IF(N374&gt;0,CONTADORES!$Z388-CONTADORES!$Z387,0)</f>
        <v>0</v>
      </c>
      <c r="P374" s="202">
        <f ca="1">IF(B374&gt;=$J$5,0,CONTADORES!$W388-CONTADORES!$W387)</f>
        <v>0</v>
      </c>
      <c r="Q374" s="202">
        <f ca="1">IF(B374&gt;=$J$5,0,CONTADORES!$B388-CONTADORES!$B387)</f>
        <v>0</v>
      </c>
      <c r="R374" s="196">
        <f t="shared" ca="1" si="169"/>
        <v>0</v>
      </c>
      <c r="S374" s="11">
        <f ca="1">IF(B374&gt;=$J$5,0,CONTADORES!$D388-CONTADORES!$D387)</f>
        <v>0</v>
      </c>
      <c r="T374" s="198">
        <f ca="1">IF(B374&gt;=$J$5,0,CONTADORES!$BB388-CONTADORES!$BB387)</f>
        <v>0</v>
      </c>
      <c r="U374" s="196">
        <f t="shared" ca="1" si="197"/>
        <v>0</v>
      </c>
      <c r="V374" s="11">
        <f ca="1">IF(B374&gt;=$J$5,0,CONTADORES!$BD388-CONTADORES!$BD387)</f>
        <v>0</v>
      </c>
      <c r="W374" s="1397">
        <f t="shared" ca="1" si="170"/>
        <v>0</v>
      </c>
      <c r="X374" s="1397">
        <f t="shared" ca="1" si="171"/>
        <v>0</v>
      </c>
      <c r="Y374" s="1398">
        <f t="shared" ca="1" si="172"/>
        <v>0</v>
      </c>
      <c r="Z374" s="1398">
        <f t="shared" ca="1" si="173"/>
        <v>0</v>
      </c>
      <c r="AA374" s="1398">
        <f t="shared" ca="1" si="174"/>
        <v>0</v>
      </c>
      <c r="AB374" s="1398">
        <f t="shared" ca="1" si="175"/>
        <v>0</v>
      </c>
      <c r="AC374" s="1397">
        <f t="shared" ca="1" si="176"/>
        <v>0</v>
      </c>
      <c r="AD374" s="1397">
        <f ca="1">IF(B374&gt;=$J$5,0,CONTADORES!H388-CONTADORES!H387)</f>
        <v>0</v>
      </c>
      <c r="AE374" s="1397">
        <f ca="1">IF(B374&gt;=$J$5,0,CONTADORES!J388-CONTADORES!J387)</f>
        <v>0</v>
      </c>
      <c r="AF374" s="1397">
        <f ca="1">IF(B374&gt;=$J$5,0,CONTADORES!AU388-CONTADORES!AU387)</f>
        <v>0</v>
      </c>
      <c r="AG374" s="1397">
        <f ca="1">IF(B374&gt;=$J$5,0,CONTADORES!AW388-CONTADORES!AW387)</f>
        <v>0</v>
      </c>
      <c r="AH374" s="1398">
        <f ca="1">IF(B374&gt;=$J$5,0,(CONTADORES!AM388-CONTADORES!AM387)+(CONTADORES!M388-CONTADORES!M387))</f>
        <v>0</v>
      </c>
      <c r="AI374" s="1397">
        <f ca="1">IF(B374&gt;=$J$5,0,(CONTADORES!AK388-CONTADORES!AK387)+(CONTADORES!O388-CONTADORES!O387))</f>
        <v>0</v>
      </c>
      <c r="AJ374" s="1397">
        <f ca="1">IF(B374&gt;=$J$5,0,(CONTADORES!AI388-CONTADORES!AI387))</f>
        <v>0</v>
      </c>
      <c r="AK374" s="1397">
        <f ca="1">IF(B374&gt;=$J$5,0,(CONTADORES!Q388-CONTADORES!Q387))</f>
        <v>0</v>
      </c>
      <c r="AL374" s="1461">
        <f t="shared" ca="1" si="177"/>
        <v>0</v>
      </c>
      <c r="AM374" s="1397">
        <f ca="1">IF(B374&gt;=$J$5,0,(((CONTADORES!F388-CONTADORES!F387)+(CONTADORES!AQ388-CONTADORES!AQ387))))-BS374-AF374-AN374-BV374-BY374-CD374-CB374+T374</f>
        <v>0</v>
      </c>
      <c r="AN374" s="1402">
        <f ca="1">IF(B374&gt;=$J$5,0,(CONTADORES!AX388-CONTADORES!AX387)+(CONTADORES!AZ388-CONTADORES!AZ387)+(CONTADORES!BE388-CONTADORES!BE387))-CB374</f>
        <v>0</v>
      </c>
      <c r="AO374" s="1399">
        <f ca="1">IF(B374&gt;=$J$5,0,(CONTADORES!AC388-CONTADORES!AC387))</f>
        <v>0</v>
      </c>
      <c r="AP374" s="1433">
        <f ca="1">IF(B374&gt;=$J$5,0,(CONTADORES!X388-CONTADORES!X387))</f>
        <v>0</v>
      </c>
      <c r="AQ374" s="1404">
        <f ca="1">IF(B374&gt;=$J$5,0,(CONTADORES!C388-CONTADORES!C387))</f>
        <v>0</v>
      </c>
      <c r="AR374" s="1399">
        <f ca="1">IF(B374&gt;=$J$5,0,(CONTADORES!BC388-CONTADORES!BC387))</f>
        <v>0</v>
      </c>
      <c r="AS374" s="1397">
        <f ca="1">IF(B374&gt;=$J$5,0,CONTADORES!S388-CONTADORES!S387)</f>
        <v>0</v>
      </c>
      <c r="AT374" s="1397">
        <f ca="1">IF(B374&gt;=$J$5,0,(CONTADORES!U388-CONTADORES!U387)+(CONTADORES!AG388-CONTADORES!AG387))</f>
        <v>0</v>
      </c>
      <c r="AU374" s="1433">
        <f ca="1">IF(B374&gt;=$J$5,0,(CONTADORES!I388-CONTADORES!I387))</f>
        <v>0</v>
      </c>
      <c r="AV374" s="1399">
        <f ca="1">IF(B374&gt;=$J$5,0,(CONTADORES!AV388-CONTADORES!AV387))</f>
        <v>0</v>
      </c>
      <c r="AW374" s="1399">
        <f ca="1">IF(B374&gt;=$J$5,0,(CONTADORES!N388-CONTADORES!N387)+(CONTADORES!AN388-CONTADORES!AN387))</f>
        <v>0</v>
      </c>
      <c r="AX374" s="1399">
        <f ca="1">IF(B374&gt;=$J$5,0,(CONTADORES!P388-CONTADORES!P387)+(CONTADORES!AL388-CONTADORES!AL387))</f>
        <v>0</v>
      </c>
      <c r="AY374" s="1399">
        <f ca="1">IF(B374&gt;=$J$5,0,(CONTADORES!AJ388-CONTADORES!AJ387))</f>
        <v>0</v>
      </c>
      <c r="AZ374" s="1399">
        <f ca="1">IF(B374&gt;=$J$5,0,(CONTADORES!R388-CONTADORES!R387))</f>
        <v>0</v>
      </c>
      <c r="BA374" s="1409">
        <f t="shared" ca="1" si="178"/>
        <v>0</v>
      </c>
      <c r="BB374" s="1417">
        <f ca="1">IF(B374&gt;=$J$5,0,(((CONTADORES!G388-CONTADORES!G387)+(CONTADORES!AR388-CONTADORES!AR387))))-AV374-BC374-BT374-BW374-BZ374-CE374-AR374</f>
        <v>0</v>
      </c>
      <c r="BC374" s="1397">
        <f ca="1">IF(B374&gt;=$J$5,0,(CONTADORES!AY388-CONTADORES!AY387)+(CONTADORES!BA388-CONTADORES!BA387)+(CONTADORES!BF388-CONTADORES!BF387))</f>
        <v>0</v>
      </c>
      <c r="BD374" s="1397">
        <f t="shared" ca="1" si="179"/>
        <v>0</v>
      </c>
      <c r="BE374" s="1398">
        <f ca="1">IF($B374&gt;=$J$5,0,CONTADORES!$BG388)</f>
        <v>0</v>
      </c>
      <c r="BF374" s="1397">
        <f ca="1">IF($B374&gt;=$J$5,0,CONTADORES!$BH388)</f>
        <v>0</v>
      </c>
      <c r="BG374" s="1397">
        <f ca="1">IF($B374&gt;=$J$5,0,CONTADORES!$BJ388)</f>
        <v>0</v>
      </c>
      <c r="BH374" s="1397">
        <f ca="1">IF(B374&gt;=$J$5,0,((CONTADORES!BK388-CONTADORES!BK387)/1000))</f>
        <v>0</v>
      </c>
      <c r="BI374" s="1397">
        <f ca="1">IF(C374&gt;=$J$5,0,((CONTADORES!BL388-CONTADORES!BL387)/1000))</f>
        <v>0</v>
      </c>
      <c r="BJ374" s="1397">
        <f ca="1">IF(C374&gt;=$J$5,0,((CONTADORES!BM388-CONTADORES!BM387)/1000))</f>
        <v>0</v>
      </c>
      <c r="BK374" s="1397">
        <f ca="1">IF(D374&gt;=$J$5,0,((CONTADORES!BN388-CONTADORES!BN387)/1000))</f>
        <v>0</v>
      </c>
      <c r="BL374" s="1399">
        <f t="shared" ca="1" si="194"/>
        <v>0</v>
      </c>
      <c r="BM374" s="1399">
        <f t="shared" ca="1" si="180"/>
        <v>0</v>
      </c>
      <c r="BN374" s="1398">
        <f ca="1">IF(B374&gt;=$J$5,0,CONTADORES!$BO388)</f>
        <v>0</v>
      </c>
      <c r="BO374" s="1397">
        <f ca="1">IF(W374&gt;=$J$5,0,CONTADORES!$BP388)</f>
        <v>0</v>
      </c>
      <c r="BP374" s="1397">
        <f ca="1">IF(W374&gt;=$J$5,0,CONTADORES!$BQ388)</f>
        <v>0</v>
      </c>
      <c r="BQ374" s="1397">
        <f ca="1">IF(B374&gt;=$J$5,0,(CONTADORES!AS388-CONTADORES!AS387))</f>
        <v>0</v>
      </c>
      <c r="BR374" s="1397">
        <f ca="1">IF(B374&gt;=$J$5,0,(CONTADORES!AT388-CONTADORES!AT387))</f>
        <v>0</v>
      </c>
      <c r="BS374" s="1397">
        <f ca="1">IF(B374&gt;=$J$5,0,CONTADORES!BR388-CONTADORES!BR387)/1000</f>
        <v>0</v>
      </c>
      <c r="BT374" s="1397">
        <f ca="1">IF(B374&gt;=$J$5,0,CONTADORES!BS388-CONTADORES!BS387)</f>
        <v>0</v>
      </c>
      <c r="BU374" s="1397">
        <f ca="1">IF(B374&gt;=$J$5,0,CONTADORES!BT388-CONTADORES!BT387)</f>
        <v>0</v>
      </c>
      <c r="BV374" s="1397">
        <f ca="1">IF(B374&gt;=$J$5,0,CONTADORES!BU388-CONTADORES!BU387)/1000</f>
        <v>0</v>
      </c>
      <c r="BW374" s="1397">
        <f ca="1">IF(B374&gt;=$J$5,0,CONTADORES!BV388-CONTADORES!BV387)/1000</f>
        <v>0</v>
      </c>
      <c r="BX374" s="1397">
        <f ca="1">IF(B374&gt;=$J$5,0,CONTADORES!BW388-CONTADORES!BW387)</f>
        <v>0</v>
      </c>
      <c r="BY374" s="1397">
        <f ca="1">IF(B374&gt;=$J$5,0,CONTADORES!BX388-CONTADORES!BX387)/1000</f>
        <v>0</v>
      </c>
      <c r="BZ374" s="1397">
        <f ca="1">IF(B374&gt;=$J$5,0,CONTADORES!BY388-CONTADORES!BY387)/1000</f>
        <v>0</v>
      </c>
      <c r="CA374" s="1397">
        <f ca="1">IF(B374&gt;=$J$5,0,CONTADORES!BZ388-CONTADORES!BZ387)</f>
        <v>0</v>
      </c>
      <c r="CB374" s="1397">
        <f ca="1">IF(B374&gt;=$J$5,0,(CONTADORES!CC388-CONTADORES!CC387)+(CONTADORES!CE388-CONTADORES!CE387))/1000</f>
        <v>0</v>
      </c>
      <c r="CC374" s="1397">
        <f ca="1">IF(B374&gt;=$J$5,0,(CONTADORES!CD388-CONTADORES!CD387)+(CONTADORES!CF388-CONTADORES!CF387))/1000</f>
        <v>0</v>
      </c>
      <c r="CD374" s="1397">
        <f ca="1">IF(B374&gt;=$J$5,0,CONTADORES!CA388-CONTADORES!CA387)</f>
        <v>0</v>
      </c>
      <c r="CE374" s="1397">
        <f ca="1">IF(B374&gt;=$J$5,0,CONTADORES!CB388-CONTADORES!CB387)</f>
        <v>0</v>
      </c>
      <c r="CF374" s="1397">
        <f t="shared" ca="1" si="181"/>
        <v>0</v>
      </c>
      <c r="CG374" s="1397">
        <f t="shared" ca="1" si="182"/>
        <v>0</v>
      </c>
      <c r="CH374" s="1397">
        <f t="shared" ca="1" si="183"/>
        <v>0</v>
      </c>
      <c r="CI374" s="1397">
        <f t="shared" ca="1" si="184"/>
        <v>0</v>
      </c>
      <c r="CJ374" s="1397">
        <f t="shared" ca="1" si="185"/>
        <v>0</v>
      </c>
      <c r="CK374" s="1397">
        <f t="shared" ca="1" si="186"/>
        <v>0</v>
      </c>
      <c r="CL374" s="1397">
        <f t="shared" ca="1" si="187"/>
        <v>0</v>
      </c>
      <c r="CM374" s="1397">
        <f t="shared" ca="1" si="188"/>
        <v>0</v>
      </c>
      <c r="CN374" s="1397">
        <f ca="1">IF(B374&gt;=$J$5,0,CONTADORES!CB388-CONTADORES!CB387)</f>
        <v>0</v>
      </c>
      <c r="CO374" s="1397">
        <f t="shared" ca="1" si="189"/>
        <v>0</v>
      </c>
      <c r="CP374" s="1397">
        <f t="shared" ca="1" si="190"/>
        <v>0</v>
      </c>
      <c r="CQ374" s="1397">
        <f t="shared" ca="1" si="191"/>
        <v>0</v>
      </c>
      <c r="CR374" s="1397">
        <f t="shared" ca="1" si="192"/>
        <v>0</v>
      </c>
      <c r="CS374" s="1403">
        <f ca="1">IF($B374&gt;=$J$5,0,CONTADORES!$BI388)</f>
        <v>0</v>
      </c>
      <c r="CT374" s="1369">
        <f>CONTADORES!E388</f>
        <v>0</v>
      </c>
      <c r="CU374" s="1369">
        <f>CONTADORES!CG388</f>
        <v>0</v>
      </c>
    </row>
    <row r="375" spans="2:99" ht="15" thickBot="1">
      <c r="B375" s="1042">
        <v>45291</v>
      </c>
      <c r="C375" s="205">
        <f t="shared" ca="1" si="166"/>
        <v>0</v>
      </c>
      <c r="D375" s="322">
        <f ca="1">'CALCULO DE GAS'!P204</f>
        <v>0</v>
      </c>
      <c r="E375" s="322">
        <f ca="1">IF(B375&gt;=$J$5,0,(CONTADORES!$AD389-CONTADORES!$AD388)-$H375)</f>
        <v>0</v>
      </c>
      <c r="F375" s="695">
        <f t="shared" ca="1" si="195"/>
        <v>0</v>
      </c>
      <c r="G375" s="322">
        <f ca="1">IF(B375&gt;=$J$5,0,CONTADORES!$AF389-CONTADORES!$AF388)</f>
        <v>0</v>
      </c>
      <c r="H375" s="322">
        <f ca="1">IF(G375&gt;0,CONTADORES!$AE389-CONTADORES!$AE388,0)</f>
        <v>0</v>
      </c>
      <c r="I375" s="207">
        <f ca="1">IF(B375&gt;=$J$5,0,CONTADORES!$AB389-CONTADORES!$AB388)</f>
        <v>0</v>
      </c>
      <c r="J375" s="322">
        <f t="shared" ca="1" si="167"/>
        <v>0</v>
      </c>
      <c r="K375" s="322">
        <f ca="1">'CALCULO DE GAS'!Q204</f>
        <v>0</v>
      </c>
      <c r="L375" s="1729">
        <f ca="1">IF(B375&gt;=$J$5,0,(CONTADORES!$Y389-CONTADORES!$Y388)-$O375)</f>
        <v>0</v>
      </c>
      <c r="M375" s="1479">
        <f ca="1">IF(O375=0,0,"DIGITAR MANUALMENTE")</f>
        <v>0</v>
      </c>
      <c r="N375" s="1479">
        <f ca="1">IF(B375&gt;=$J$5,0,CONTADORES!$AA389-CONTADORES!$AA388)</f>
        <v>0</v>
      </c>
      <c r="O375" s="1479">
        <f ca="1">IF(N375&gt;0,CONTADORES!$Z389-CONTADORES!$Z388,0)</f>
        <v>0</v>
      </c>
      <c r="P375" s="205">
        <f ca="1">IF(B375&gt;=$J$5,0,CONTADORES!$W389-CONTADORES!$W388)</f>
        <v>0</v>
      </c>
      <c r="Q375" s="205">
        <f ca="1">IF(B375&gt;=$J$5,0,CONTADORES!$B389-CONTADORES!$B388)</f>
        <v>0</v>
      </c>
      <c r="R375" s="322">
        <f t="shared" ca="1" si="169"/>
        <v>0</v>
      </c>
      <c r="S375" s="168">
        <f ca="1">IF(B375&gt;=$J$5,0,CONTADORES!$D389-CONTADORES!$D388)</f>
        <v>0</v>
      </c>
      <c r="T375" s="695">
        <f ca="1">IF(B375&gt;=$J$5,0,CONTADORES!$BB389-CONTADORES!$BB388)</f>
        <v>0</v>
      </c>
      <c r="U375" s="322">
        <f t="shared" ca="1" si="197"/>
        <v>0</v>
      </c>
      <c r="V375" s="168">
        <f ca="1">IF(B375&gt;=$J$5,0,CONTADORES!$BD389-CONTADORES!$BD388)</f>
        <v>0</v>
      </c>
      <c r="W375" s="1480">
        <f t="shared" ca="1" si="170"/>
        <v>0</v>
      </c>
      <c r="X375" s="1480">
        <f t="shared" ca="1" si="171"/>
        <v>0</v>
      </c>
      <c r="Y375" s="1480">
        <f t="shared" ca="1" si="172"/>
        <v>0</v>
      </c>
      <c r="Z375" s="1480">
        <f t="shared" ca="1" si="173"/>
        <v>0</v>
      </c>
      <c r="AA375" s="1480">
        <f t="shared" ca="1" si="174"/>
        <v>0</v>
      </c>
      <c r="AB375" s="1480">
        <f t="shared" ca="1" si="175"/>
        <v>0</v>
      </c>
      <c r="AC375" s="1480">
        <f t="shared" ca="1" si="176"/>
        <v>0</v>
      </c>
      <c r="AD375" s="1481">
        <f ca="1">IF(B375&gt;=$J$5,0,CONTADORES!H389-CONTADORES!H388)</f>
        <v>0</v>
      </c>
      <c r="AE375" s="1481">
        <f ca="1">IF(B375&gt;=$J$5,0,CONTADORES!J389-CONTADORES!J388)</f>
        <v>0</v>
      </c>
      <c r="AF375" s="1481">
        <f ca="1">IF(B375&gt;=$J$5,0,CONTADORES!AU389-CONTADORES!AU388)</f>
        <v>0</v>
      </c>
      <c r="AG375" s="1481">
        <f ca="1">IF(B375&gt;=$J$5,0,CONTADORES!AW389-CONTADORES!AW388)</f>
        <v>0</v>
      </c>
      <c r="AH375" s="1480">
        <f ca="1">IF(B375&gt;=$J$5,0,(CONTADORES!AM389-CONTADORES!AM388)+(CONTADORES!M389-CONTADORES!M388))</f>
        <v>0</v>
      </c>
      <c r="AI375" s="1481">
        <f ca="1">IF(B375&gt;=$J$5,0,(CONTADORES!AK389-CONTADORES!AK388)+(CONTADORES!O389-CONTADORES!O388))</f>
        <v>0</v>
      </c>
      <c r="AJ375" s="1481">
        <f ca="1">IF(B375&gt;=$J$5,0,(CONTADORES!AI389-CONTADORES!AI388))</f>
        <v>0</v>
      </c>
      <c r="AK375" s="1481">
        <f ca="1">IF(B375&gt;=$J$5,0,(CONTADORES!Q389-CONTADORES!Q388))</f>
        <v>0</v>
      </c>
      <c r="AL375" s="1741">
        <f t="shared" ca="1" si="177"/>
        <v>0</v>
      </c>
      <c r="AM375" s="1741">
        <f ca="1">IF(B375&gt;=$J$5,0,(((CONTADORES!F389-CONTADORES!F388)+(CONTADORES!AQ389-CONTADORES!AQ388))))-BS375-AF375-AN375-BV375-BY375-CD375-CB375+T375</f>
        <v>0</v>
      </c>
      <c r="AN375" s="1488">
        <f ca="1">IF(B375&gt;=$J$5,0,(CONTADORES!AX389-CONTADORES!AX388)+(CONTADORES!AZ389-CONTADORES!AZ388)+(CONTADORES!BE389-CONTADORES!BE388))-CB375</f>
        <v>0</v>
      </c>
      <c r="AO375" s="1483">
        <f ca="1">IF(B375&gt;=$J$5,0,(CONTADORES!AC389-CONTADORES!AC388))</f>
        <v>0</v>
      </c>
      <c r="AP375" s="167">
        <f ca="1">IF(B375&gt;=$J$5,0,(CONTADORES!X389-CONTADORES!X388))</f>
        <v>0</v>
      </c>
      <c r="AQ375" s="1482">
        <f ca="1">IF(B375&gt;=$J$5,0,(CONTADORES!C389-CONTADORES!C388))</f>
        <v>0</v>
      </c>
      <c r="AR375" s="1483">
        <f ca="1">IF(B375&gt;=$J$5,0,(CONTADORES!BC389-CONTADORES!BC388))</f>
        <v>0</v>
      </c>
      <c r="AS375" s="1481">
        <f ca="1">IF(B375&gt;=$J$5,0,CONTADORES!S389-CONTADORES!S388)</f>
        <v>0</v>
      </c>
      <c r="AT375" s="1481">
        <f ca="1">IF(B375&gt;=$J$5,0,(CONTADORES!U389-CONTADORES!U388)+(CONTADORES!AG389-CONTADORES!AG388))</f>
        <v>0</v>
      </c>
      <c r="AU375" s="167">
        <f ca="1">IF(B375&gt;=$J$5,0,(CONTADORES!I389-CONTADORES!I388))</f>
        <v>0</v>
      </c>
      <c r="AV375" s="1483">
        <f ca="1">IF(B375&gt;=$J$5,0,(CONTADORES!AV389-CONTADORES!AV388))</f>
        <v>0</v>
      </c>
      <c r="AW375" s="1483">
        <f ca="1">IF(B375&gt;=$J$5,0,(CONTADORES!N389-CONTADORES!N388)+(CONTADORES!AN389-CONTADORES!AN388))</f>
        <v>0</v>
      </c>
      <c r="AX375" s="1483">
        <f ca="1">IF(B375&gt;=$J$5,0,(CONTADORES!P389-CONTADORES!P388)+(CONTADORES!AL389-CONTADORES!AL388))</f>
        <v>0</v>
      </c>
      <c r="AY375" s="1483">
        <f ca="1">IF(B375&gt;=$J$5,0,(CONTADORES!AJ389-CONTADORES!AJ388))</f>
        <v>0</v>
      </c>
      <c r="AZ375" s="1483">
        <f ca="1">IF(B375&gt;=$J$5,0,(CONTADORES!R389-CONTADORES!R388))</f>
        <v>0</v>
      </c>
      <c r="BA375" s="1480">
        <f t="shared" ca="1" si="178"/>
        <v>0</v>
      </c>
      <c r="BB375" s="1730">
        <f ca="1">IF(B375&gt;=$J$5,0,(((CONTADORES!G389-CONTADORES!G388)+(CONTADORES!AR389-CONTADORES!AR388))))-AV375-BC375-BT375-BW375-BZ375-CE375-AR375</f>
        <v>0</v>
      </c>
      <c r="BC375" s="1481">
        <f ca="1">IF(B375&gt;=$J$5,0,(CONTADORES!AY389-CONTADORES!AY388)+(CONTADORES!BA389-CONTADORES!BA388)+(CONTADORES!BF389-CONTADORES!BF388))</f>
        <v>0</v>
      </c>
      <c r="BD375" s="1481">
        <f t="shared" ca="1" si="179"/>
        <v>0</v>
      </c>
      <c r="BE375" s="1480">
        <f ca="1">IF($B375&gt;=$J$5,0,CONTADORES!$BG389)</f>
        <v>0</v>
      </c>
      <c r="BF375" s="1481">
        <f ca="1">IF($B375&gt;=$J$5,0,CONTADORES!$BH389)</f>
        <v>0</v>
      </c>
      <c r="BG375" s="1481">
        <f ca="1">IF($B375&gt;=$J$5,0,CONTADORES!$BJ389)</f>
        <v>0</v>
      </c>
      <c r="BH375" s="1481">
        <f ca="1">IF(B375&gt;=$J$5,0,((CONTADORES!BK389-CONTADORES!BK388)/1000))</f>
        <v>0</v>
      </c>
      <c r="BI375" s="1481">
        <f ca="1">IF(C375&gt;=$J$5,0,((CONTADORES!BL389-CONTADORES!BL388)/1000))</f>
        <v>0</v>
      </c>
      <c r="BJ375" s="1481">
        <f ca="1">IF(C375&gt;=$J$5,0,((CONTADORES!BM389-CONTADORES!BM388)/1000))</f>
        <v>0</v>
      </c>
      <c r="BK375" s="1481">
        <f ca="1">IF(D375&gt;=$J$5,0,((CONTADORES!BN389-CONTADORES!BN388)/1000))</f>
        <v>0</v>
      </c>
      <c r="BL375" s="1483">
        <f t="shared" ca="1" si="194"/>
        <v>0</v>
      </c>
      <c r="BM375" s="1483">
        <f t="shared" ca="1" si="180"/>
        <v>0</v>
      </c>
      <c r="BN375" s="1480">
        <f ca="1">IF(B375&gt;=$J$5,0,CONTADORES!$BO389)</f>
        <v>0</v>
      </c>
      <c r="BO375" s="1481">
        <f ca="1">IF(W375&gt;=$J$5,0,CONTADORES!$BP389)</f>
        <v>0</v>
      </c>
      <c r="BP375" s="1481">
        <f ca="1">IF(W375&gt;=$J$5,0,CONTADORES!$BQ389)</f>
        <v>0</v>
      </c>
      <c r="BQ375" s="1481">
        <f ca="1">IF(B375&gt;=$J$5,0,(CONTADORES!AS389-CONTADORES!AS388))</f>
        <v>0</v>
      </c>
      <c r="BR375" s="1481">
        <f ca="1">IF(B375&gt;=$J$5,0,(CONTADORES!AT389-CONTADORES!AT388))</f>
        <v>0</v>
      </c>
      <c r="BS375" s="1481">
        <f ca="1">IF(B375&gt;=$J$5,0,CONTADORES!BR389-CONTADORES!BR388)/1000</f>
        <v>0</v>
      </c>
      <c r="BT375" s="1481">
        <f ca="1">IF(B375&gt;=$J$5,0,CONTADORES!BS389-CONTADORES!BS388)</f>
        <v>0</v>
      </c>
      <c r="BU375" s="1481">
        <f ca="1">IF(B375&gt;=$J$5,0,CONTADORES!BT389-CONTADORES!BT388)</f>
        <v>0</v>
      </c>
      <c r="BV375" s="1481">
        <f ca="1">IF(B375&gt;=$J$5,0,CONTADORES!BU389-CONTADORES!BU388)/1000</f>
        <v>0</v>
      </c>
      <c r="BW375" s="1481">
        <f ca="1">IF(B375&gt;=$J$5,0,CONTADORES!BV389-CONTADORES!BV388)/1000</f>
        <v>0</v>
      </c>
      <c r="BX375" s="1481">
        <f ca="1">IF(B375&gt;=$J$5,0,CONTADORES!BW389-CONTADORES!BW388)</f>
        <v>0</v>
      </c>
      <c r="BY375" s="1481">
        <f ca="1">IF(B375&gt;=$J$5,0,CONTADORES!BX389-CONTADORES!BX388)/1000</f>
        <v>0</v>
      </c>
      <c r="BZ375" s="1480">
        <f ca="1">IF(B375&gt;=$J$5,0,CONTADORES!BY389-CONTADORES!BY388)/1000</f>
        <v>0</v>
      </c>
      <c r="CA375" s="1481">
        <f ca="1">IF(B375&gt;=$J$5,0,CONTADORES!BZ389-CONTADORES!BZ388)</f>
        <v>0</v>
      </c>
      <c r="CB375" s="1481">
        <f ca="1">IF(B375&gt;=$J$5,0,(CONTADORES!CC389-CONTADORES!CC388)+(CONTADORES!CE389-CONTADORES!CE388))/1000</f>
        <v>0</v>
      </c>
      <c r="CC375" s="1481">
        <f ca="1">IF(B375&gt;=$J$5,0,(CONTADORES!CD389-CONTADORES!CD388)+(CONTADORES!CF389-CONTADORES!CF388))/1000</f>
        <v>0</v>
      </c>
      <c r="CD375" s="1481">
        <f ca="1">IF(B375&gt;=$J$5,0,CONTADORES!CA389-CONTADORES!CA388)</f>
        <v>0</v>
      </c>
      <c r="CE375" s="1481">
        <f ca="1">IF(B375&gt;=$J$5,0,CONTADORES!CB389-CONTADORES!CB388)</f>
        <v>0</v>
      </c>
      <c r="CF375" s="1741">
        <f t="shared" ca="1" si="181"/>
        <v>0</v>
      </c>
      <c r="CG375" s="1488">
        <f t="shared" ca="1" si="182"/>
        <v>0</v>
      </c>
      <c r="CH375" s="1488">
        <f t="shared" ca="1" si="183"/>
        <v>0</v>
      </c>
      <c r="CI375" s="1488">
        <f t="shared" ca="1" si="184"/>
        <v>0</v>
      </c>
      <c r="CJ375" s="1488">
        <f t="shared" ca="1" si="185"/>
        <v>0</v>
      </c>
      <c r="CK375" s="1481">
        <f t="shared" ca="1" si="186"/>
        <v>0</v>
      </c>
      <c r="CL375" s="1481">
        <f t="shared" ca="1" si="187"/>
        <v>0</v>
      </c>
      <c r="CM375" s="1481">
        <f t="shared" ca="1" si="188"/>
        <v>0</v>
      </c>
      <c r="CN375" s="1481">
        <f ca="1">IF(B375&gt;=$J$5,0,CONTADORES!CB389-CONTADORES!CB388)</f>
        <v>0</v>
      </c>
      <c r="CO375" s="1481">
        <f t="shared" ca="1" si="189"/>
        <v>0</v>
      </c>
      <c r="CP375" s="1481">
        <f t="shared" ca="1" si="190"/>
        <v>0</v>
      </c>
      <c r="CQ375" s="1481">
        <f t="shared" ca="1" si="191"/>
        <v>0</v>
      </c>
      <c r="CR375" s="1481">
        <f t="shared" ca="1" si="192"/>
        <v>0</v>
      </c>
      <c r="CS375" s="1489">
        <f ca="1">IF($B375&gt;=$J$5,0,CONTADORES!$BI389)</f>
        <v>0</v>
      </c>
      <c r="CT375" s="1336">
        <f>CONTADORES!E389</f>
        <v>0</v>
      </c>
      <c r="CU375" s="1336">
        <f>CONTADORES!CG389</f>
        <v>0</v>
      </c>
    </row>
    <row r="376" spans="2:99" ht="15" thickTop="1">
      <c r="B376" s="722" t="s">
        <v>176</v>
      </c>
      <c r="C376" s="1398">
        <f t="shared" ref="C376:Q376" ca="1" si="198">SUMIF(C11:C41,"&gt;0")</f>
        <v>5613.8399999999674</v>
      </c>
      <c r="D376" s="1398">
        <f t="shared" ca="1" si="198"/>
        <v>111.44138153932562</v>
      </c>
      <c r="E376" s="1398">
        <f ca="1">SUMIF(E11:E41,"&gt;0")</f>
        <v>744</v>
      </c>
      <c r="F376" s="1398">
        <f t="shared" ca="1" si="198"/>
        <v>0</v>
      </c>
      <c r="G376" s="1398">
        <f t="shared" ca="1" si="198"/>
        <v>0</v>
      </c>
      <c r="H376" s="1398">
        <f t="shared" ca="1" si="198"/>
        <v>0</v>
      </c>
      <c r="I376" s="199">
        <f t="shared" ca="1" si="198"/>
        <v>5613.8399999999674</v>
      </c>
      <c r="J376" s="1398">
        <f t="shared" ca="1" si="198"/>
        <v>7936.4000000000015</v>
      </c>
      <c r="K376" s="1398">
        <f t="shared" ca="1" si="198"/>
        <v>128.66486019101129</v>
      </c>
      <c r="L376" s="1398">
        <f t="shared" ca="1" si="198"/>
        <v>744</v>
      </c>
      <c r="M376" s="1398">
        <f t="shared" ca="1" si="198"/>
        <v>0</v>
      </c>
      <c r="N376" s="1398">
        <f t="shared" ca="1" si="198"/>
        <v>0</v>
      </c>
      <c r="O376" s="1398">
        <f t="shared" ca="1" si="198"/>
        <v>0</v>
      </c>
      <c r="P376" s="202">
        <f t="shared" ca="1" si="198"/>
        <v>7936.4000000000015</v>
      </c>
      <c r="Q376" s="1398">
        <f t="shared" ca="1" si="198"/>
        <v>1.8299999999999272</v>
      </c>
      <c r="R376" s="1398">
        <f t="shared" ref="R376:AC376" ca="1" si="199">SUMIF(R11:R41,"&gt;0")</f>
        <v>219.59999999999127</v>
      </c>
      <c r="S376" s="1433">
        <f t="shared" ca="1" si="199"/>
        <v>4.5</v>
      </c>
      <c r="T376" s="1398">
        <f t="shared" ca="1" si="199"/>
        <v>2.5570000000000164</v>
      </c>
      <c r="U376" s="1398">
        <f t="shared" ca="1" si="199"/>
        <v>306.84000000000196</v>
      </c>
      <c r="V376" s="1398">
        <f t="shared" ca="1" si="199"/>
        <v>8.2000000000000455</v>
      </c>
      <c r="W376" s="1398">
        <f t="shared" ca="1" si="199"/>
        <v>13550.239999999969</v>
      </c>
      <c r="X376" s="1398">
        <f t="shared" ca="1" si="199"/>
        <v>4.3869999999999436</v>
      </c>
      <c r="Y376" s="1398">
        <f t="shared" ca="1" si="199"/>
        <v>13554.626999999968</v>
      </c>
      <c r="Z376" s="1398">
        <f t="shared" ca="1" si="199"/>
        <v>240.10624173033685</v>
      </c>
      <c r="AA376" s="1398">
        <f t="shared" ca="1" si="199"/>
        <v>526.43999999999323</v>
      </c>
      <c r="AB376" s="1398">
        <f t="shared" ca="1" si="199"/>
        <v>1488</v>
      </c>
      <c r="AC376" s="1398">
        <f t="shared" ca="1" si="199"/>
        <v>12.700000000000045</v>
      </c>
      <c r="AD376" s="1398">
        <f t="shared" ref="AD376:AK376" ca="1" si="200">SUMIF(AD11:AD41,"&gt;0")</f>
        <v>5119.0999999999767</v>
      </c>
      <c r="AE376" s="1398">
        <f t="shared" ca="1" si="200"/>
        <v>738.29999999998836</v>
      </c>
      <c r="AF376" s="1398">
        <f t="shared" ca="1" si="200"/>
        <v>4240</v>
      </c>
      <c r="AG376" s="1398">
        <f t="shared" ca="1" si="200"/>
        <v>730.19999999999709</v>
      </c>
      <c r="AH376" s="1398">
        <f t="shared" ca="1" si="200"/>
        <v>320.69999999999709</v>
      </c>
      <c r="AI376" s="1398">
        <f t="shared" ca="1" si="200"/>
        <v>1265.5800000000017</v>
      </c>
      <c r="AJ376" s="1398">
        <f t="shared" ca="1" si="200"/>
        <v>257.33999999999651</v>
      </c>
      <c r="AK376" s="1398">
        <f t="shared" ca="1" si="200"/>
        <v>470.33999999999651</v>
      </c>
      <c r="AL376" s="1398">
        <f ca="1">SUMIF(AL11:AL41,"&lt;50")</f>
        <v>1030.8669999999649</v>
      </c>
      <c r="AM376" s="1398">
        <f t="shared" ref="AM376:AZ376" ca="1" si="201">SUMIF(AM11:AM41,"&gt;0")</f>
        <v>276.9375000000353</v>
      </c>
      <c r="AN376" s="1398">
        <f t="shared" ca="1" si="201"/>
        <v>87.141999999999967</v>
      </c>
      <c r="AO376" s="1398">
        <f t="shared" ca="1" si="201"/>
        <v>2797.0299999999697</v>
      </c>
      <c r="AP376" s="1398">
        <f t="shared" ca="1" si="201"/>
        <v>4111.8</v>
      </c>
      <c r="AQ376" s="1398">
        <f t="shared" ca="1" si="201"/>
        <v>0.74600000000009459</v>
      </c>
      <c r="AR376" s="1398">
        <f t="shared" ca="1" si="201"/>
        <v>1.0579999999999927</v>
      </c>
      <c r="AS376" s="1398">
        <f t="shared" ca="1" si="201"/>
        <v>537.52999999999884</v>
      </c>
      <c r="AT376" s="1398">
        <f t="shared" ca="1" si="201"/>
        <v>65.590000000003783</v>
      </c>
      <c r="AU376" s="1398">
        <f t="shared" si="201"/>
        <v>2592</v>
      </c>
      <c r="AV376" s="1398">
        <f t="shared" si="201"/>
        <v>1846.1000000000058</v>
      </c>
      <c r="AW376" s="1398">
        <f t="shared" ca="1" si="201"/>
        <v>124.79999999999927</v>
      </c>
      <c r="AX376" s="1398">
        <f t="shared" ca="1" si="201"/>
        <v>995.33000000000175</v>
      </c>
      <c r="AY376" s="1398">
        <f t="shared" ca="1" si="201"/>
        <v>203.33000000000175</v>
      </c>
      <c r="AZ376" s="1398">
        <f t="shared" ca="1" si="201"/>
        <v>389.67999999999302</v>
      </c>
      <c r="BA376" s="1398">
        <f ca="1">SUMIF(BA11:BA41,"&lt;900")</f>
        <v>388.17199999996774</v>
      </c>
      <c r="BB376" s="1398">
        <f t="shared" ref="BB376:BR376" ca="1" si="202">SUMIF(BB11:BB41,"&gt;0")</f>
        <v>149.67200000000054</v>
      </c>
      <c r="BC376" s="1398">
        <f t="shared" ca="1" si="202"/>
        <v>29.088000000000036</v>
      </c>
      <c r="BD376" s="1398">
        <f t="shared" ca="1" si="202"/>
        <v>6910.6339999999691</v>
      </c>
      <c r="BE376" s="1398">
        <f t="shared" ca="1" si="202"/>
        <v>210973.73000000004</v>
      </c>
      <c r="BF376" s="1398">
        <f t="shared" ca="1" si="202"/>
        <v>972070.6684210524</v>
      </c>
      <c r="BG376" s="1398">
        <f t="shared" ca="1" si="202"/>
        <v>239044.45066626102</v>
      </c>
      <c r="BH376" s="1398">
        <f t="shared" ca="1" si="202"/>
        <v>44.068000000000005</v>
      </c>
      <c r="BI376" s="1398">
        <f t="shared" ca="1" si="202"/>
        <v>43.314</v>
      </c>
      <c r="BJ376" s="1398">
        <f t="shared" ca="1" si="202"/>
        <v>0</v>
      </c>
      <c r="BK376" s="1398">
        <f t="shared" ca="1" si="202"/>
        <v>0</v>
      </c>
      <c r="BL376" s="1398">
        <f t="shared" ca="1" si="202"/>
        <v>44.068000000000005</v>
      </c>
      <c r="BM376" s="1398">
        <f t="shared" ca="1" si="202"/>
        <v>43.314</v>
      </c>
      <c r="BN376" s="1398">
        <f t="shared" ca="1" si="202"/>
        <v>4190.1563555274442</v>
      </c>
      <c r="BO376" s="1398">
        <f t="shared" ca="1" si="202"/>
        <v>1401.4204018287664</v>
      </c>
      <c r="BP376" s="1398">
        <f t="shared" ca="1" si="202"/>
        <v>19915.570520802285</v>
      </c>
      <c r="BQ376" s="1398">
        <f t="shared" ca="1" si="202"/>
        <v>158.40000000000146</v>
      </c>
      <c r="BR376" s="1398">
        <f t="shared" ca="1" si="202"/>
        <v>0</v>
      </c>
      <c r="BS376" s="1398">
        <f t="shared" ref="BS376:CU376" ca="1" si="203">SUMIF(BS11:BS41,"&gt;0")</f>
        <v>27.678500000000003</v>
      </c>
      <c r="BT376" s="1398">
        <f t="shared" ca="1" si="203"/>
        <v>9</v>
      </c>
      <c r="BU376" s="1398">
        <f t="shared" ca="1" si="203"/>
        <v>192.80000000000291</v>
      </c>
      <c r="BV376" s="1398">
        <f t="shared" ca="1" si="203"/>
        <v>99.45</v>
      </c>
      <c r="BW376" s="1398">
        <f t="shared" ca="1" si="203"/>
        <v>13.477000000000002</v>
      </c>
      <c r="BX376" s="1398">
        <f t="shared" ca="1" si="203"/>
        <v>533.19999999999709</v>
      </c>
      <c r="BY376" s="1398">
        <f t="shared" ca="1" si="203"/>
        <v>104.214</v>
      </c>
      <c r="BZ376" s="1398">
        <f t="shared" ca="1" si="203"/>
        <v>1.5829999999999997</v>
      </c>
      <c r="CA376" s="1398">
        <f t="shared" ca="1" si="203"/>
        <v>723.39999999999964</v>
      </c>
      <c r="CB376" s="1398">
        <f t="shared" ca="1" si="203"/>
        <v>45.567999999999998</v>
      </c>
      <c r="CC376" s="1398">
        <f t="shared" ca="1" si="203"/>
        <v>28.121999999999993</v>
      </c>
      <c r="CD376" s="1398">
        <f t="shared" ca="1" si="203"/>
        <v>209.71000000000004</v>
      </c>
      <c r="CE376" s="1398">
        <f t="shared" ca="1" si="203"/>
        <v>140.27999999999975</v>
      </c>
      <c r="CF376" s="1398">
        <f t="shared" ca="1" si="203"/>
        <v>348.17875000001771</v>
      </c>
      <c r="CG376" s="1398">
        <f t="shared" ca="1" si="203"/>
        <v>215.11600000000007</v>
      </c>
      <c r="CH376" s="1398">
        <f t="shared" ca="1" si="203"/>
        <v>138.46875000001765</v>
      </c>
      <c r="CI376" s="1398">
        <f t="shared" ca="1" si="203"/>
        <v>34.8568</v>
      </c>
      <c r="CJ376" s="1398">
        <f t="shared" ca="1" si="203"/>
        <v>138.46875000001765</v>
      </c>
      <c r="CK376" s="1398">
        <f t="shared" ca="1" si="203"/>
        <v>52.285199999999989</v>
      </c>
      <c r="CL376" s="1398">
        <f t="shared" ca="1" si="203"/>
        <v>80.424799999999991</v>
      </c>
      <c r="CM376" s="1398">
        <f t="shared" ca="1" si="203"/>
        <v>74.836000000000269</v>
      </c>
      <c r="CN376" s="1398">
        <f t="shared" ca="1" si="203"/>
        <v>140.27999999999975</v>
      </c>
      <c r="CO376" s="1398">
        <f t="shared" ca="1" si="203"/>
        <v>74.836000000000269</v>
      </c>
      <c r="CP376" s="1398">
        <f t="shared" ca="1" si="203"/>
        <v>14.544000000000018</v>
      </c>
      <c r="CQ376" s="1398">
        <f t="shared" ca="1" si="203"/>
        <v>14.544000000000018</v>
      </c>
      <c r="CR376" s="1398">
        <f t="shared" ca="1" si="203"/>
        <v>42.666000000000018</v>
      </c>
      <c r="CS376" s="1398">
        <f t="shared" ca="1" si="203"/>
        <v>311604.19063616818</v>
      </c>
      <c r="CT376" s="1398">
        <f t="shared" si="203"/>
        <v>6.5</v>
      </c>
      <c r="CU376" s="1398">
        <f t="shared" si="203"/>
        <v>4.4000000000000004</v>
      </c>
    </row>
    <row r="377" spans="2:99">
      <c r="B377" s="722" t="s">
        <v>177</v>
      </c>
      <c r="C377" s="1409">
        <f t="shared" ref="C377:Q377" ca="1" si="204">SUMIF(C42:C69,"&gt;0")</f>
        <v>8128.1600000000326</v>
      </c>
      <c r="D377" s="1409">
        <f t="shared" ca="1" si="204"/>
        <v>135.61939776059879</v>
      </c>
      <c r="E377" s="1409">
        <f t="shared" ca="1" si="204"/>
        <v>672</v>
      </c>
      <c r="F377" s="1409">
        <f t="shared" ca="1" si="204"/>
        <v>0</v>
      </c>
      <c r="G377" s="1409">
        <f t="shared" ca="1" si="204"/>
        <v>0</v>
      </c>
      <c r="H377" s="1409">
        <f t="shared" ca="1" si="204"/>
        <v>0</v>
      </c>
      <c r="I377" s="199">
        <f t="shared" ca="1" si="204"/>
        <v>8128.1600000000326</v>
      </c>
      <c r="J377" s="1409">
        <f t="shared" ca="1" si="204"/>
        <v>4107.4799999999996</v>
      </c>
      <c r="K377" s="1409">
        <f t="shared" ca="1" si="204"/>
        <v>102.83230648877804</v>
      </c>
      <c r="L377" s="1409">
        <f t="shared" ca="1" si="204"/>
        <v>668.79999999998836</v>
      </c>
      <c r="M377" s="1409">
        <f t="shared" ca="1" si="204"/>
        <v>0.5</v>
      </c>
      <c r="N377" s="1409">
        <f t="shared" ca="1" si="204"/>
        <v>0</v>
      </c>
      <c r="O377" s="1409">
        <f t="shared" ca="1" si="204"/>
        <v>0</v>
      </c>
      <c r="P377" s="199">
        <f t="shared" ca="1" si="204"/>
        <v>4107.9799999999996</v>
      </c>
      <c r="Q377" s="1409">
        <f t="shared" ca="1" si="204"/>
        <v>1.15300000000002</v>
      </c>
      <c r="R377" s="1409">
        <f t="shared" ref="R377:W377" ca="1" si="205">SUMIF(R42:R69,"&gt;0")</f>
        <v>138.3600000000024</v>
      </c>
      <c r="S377" s="1437">
        <f t="shared" ca="1" si="205"/>
        <v>3.1000000000003638</v>
      </c>
      <c r="T377" s="1409">
        <f t="shared" ca="1" si="205"/>
        <v>3.4409999999999172</v>
      </c>
      <c r="U377" s="1409">
        <f t="shared" ca="1" si="205"/>
        <v>412.91999999999007</v>
      </c>
      <c r="V377" s="1409">
        <f t="shared" ca="1" si="205"/>
        <v>4.2999999999999545</v>
      </c>
      <c r="W377" s="1409">
        <f t="shared" ca="1" si="205"/>
        <v>12235.640000000032</v>
      </c>
      <c r="X377" s="1409">
        <f t="shared" ref="X377:AC377" ca="1" si="206">SUMIF(X42:X69,"&gt;0")</f>
        <v>5.0939999999999372</v>
      </c>
      <c r="Y377" s="1441">
        <f t="shared" ca="1" si="206"/>
        <v>12240.734000000031</v>
      </c>
      <c r="Z377" s="1409">
        <f t="shared" ca="1" si="206"/>
        <v>238.4517042493768</v>
      </c>
      <c r="AA377" s="1409">
        <f t="shared" ca="1" si="206"/>
        <v>551.27999999999247</v>
      </c>
      <c r="AB377" s="1409">
        <f t="shared" ca="1" si="206"/>
        <v>1340.7999999999884</v>
      </c>
      <c r="AC377" s="1409">
        <f t="shared" ca="1" si="206"/>
        <v>7.4000000000003183</v>
      </c>
      <c r="AD377" s="1409">
        <f t="shared" ref="AD377:AK377" ca="1" si="207">SUMIF(AD42:AD69,"&gt;0")</f>
        <v>4449.0999999999767</v>
      </c>
      <c r="AE377" s="1409">
        <f t="shared" ca="1" si="207"/>
        <v>654.79999999998836</v>
      </c>
      <c r="AF377" s="1409">
        <f t="shared" ca="1" si="207"/>
        <v>4044</v>
      </c>
      <c r="AG377" s="1409">
        <f t="shared" ca="1" si="207"/>
        <v>666.80000000000291</v>
      </c>
      <c r="AH377" s="1409">
        <f t="shared" ca="1" si="207"/>
        <v>280.5</v>
      </c>
      <c r="AI377" s="1409">
        <f t="shared" ca="1" si="207"/>
        <v>1097.3600000000079</v>
      </c>
      <c r="AJ377" s="1409">
        <f t="shared" ca="1" si="207"/>
        <v>247.08999999999651</v>
      </c>
      <c r="AK377" s="1409">
        <f t="shared" ca="1" si="207"/>
        <v>413.5</v>
      </c>
      <c r="AL377" s="1409">
        <f ca="1">SUMIF(AL42:AL69,"&lt;50")</f>
        <v>928.88400000008437</v>
      </c>
      <c r="AM377" s="1409">
        <f t="shared" ref="AM377:AZ377" ca="1" si="208">SUMIF(AM42:AM69,"&gt;0")</f>
        <v>264.84499999996621</v>
      </c>
      <c r="AN377" s="1409">
        <f t="shared" ca="1" si="208"/>
        <v>86.488000000000483</v>
      </c>
      <c r="AO377" s="1409">
        <f t="shared" ca="1" si="208"/>
        <v>4099.9000000000233</v>
      </c>
      <c r="AP377" s="1409">
        <f t="shared" ca="1" si="208"/>
        <v>2143.3099999999995</v>
      </c>
      <c r="AQ377" s="1409">
        <f t="shared" ca="1" si="208"/>
        <v>0.39299999999991542</v>
      </c>
      <c r="AR377" s="1409">
        <f t="shared" ca="1" si="208"/>
        <v>1.3290000000000077</v>
      </c>
      <c r="AS377" s="1409">
        <f t="shared" ca="1" si="208"/>
        <v>477.5</v>
      </c>
      <c r="AT377" s="1409">
        <f t="shared" ca="1" si="208"/>
        <v>62.099999999998545</v>
      </c>
      <c r="AU377" s="1409">
        <f t="shared" si="208"/>
        <v>2279.7000000000116</v>
      </c>
      <c r="AV377" s="1409">
        <f t="shared" si="208"/>
        <v>1754.8999999999942</v>
      </c>
      <c r="AW377" s="1409">
        <f t="shared" ca="1" si="208"/>
        <v>109.10000000000127</v>
      </c>
      <c r="AX377" s="1409">
        <f t="shared" ca="1" si="208"/>
        <v>866.90999999999622</v>
      </c>
      <c r="AY377" s="1409">
        <f t="shared" ca="1" si="208"/>
        <v>192.86999999999534</v>
      </c>
      <c r="AZ377" s="1409">
        <f t="shared" ca="1" si="208"/>
        <v>344.97000000000116</v>
      </c>
      <c r="BA377" s="1409">
        <f ca="1">SUMIF(BA42:BA69,"&lt;900")</f>
        <v>334.91300000003446</v>
      </c>
      <c r="BB377" s="1409">
        <f t="shared" ref="BB377:BR377" ca="1" si="209">SUMIF(BB42:BB69,"&gt;0")</f>
        <v>169.82199999998835</v>
      </c>
      <c r="BC377" s="1409">
        <f t="shared" ca="1" si="209"/>
        <v>31.499999999999684</v>
      </c>
      <c r="BD377" s="1409">
        <f t="shared" ca="1" si="209"/>
        <v>6244.9320000000225</v>
      </c>
      <c r="BE377" s="1409">
        <f t="shared" ca="1" si="209"/>
        <v>190805.96044302545</v>
      </c>
      <c r="BF377" s="1409">
        <f t="shared" ca="1" si="209"/>
        <v>913592.11023598502</v>
      </c>
      <c r="BG377" s="1409">
        <f t="shared" ca="1" si="209"/>
        <v>159864.55000000002</v>
      </c>
      <c r="BH377" s="1409">
        <f t="shared" ca="1" si="209"/>
        <v>41.089000000000006</v>
      </c>
      <c r="BI377" s="1409">
        <f t="shared" ca="1" si="209"/>
        <v>40.512</v>
      </c>
      <c r="BJ377" s="1409">
        <f t="shared" ca="1" si="209"/>
        <v>7.6999999999999999E-2</v>
      </c>
      <c r="BK377" s="1409">
        <f t="shared" ca="1" si="209"/>
        <v>8.2000000000000003E-2</v>
      </c>
      <c r="BL377" s="1409">
        <f t="shared" ca="1" si="209"/>
        <v>41.166000000000004</v>
      </c>
      <c r="BM377" s="1409">
        <f t="shared" ca="1" si="209"/>
        <v>40.594000000000001</v>
      </c>
      <c r="BN377" s="1409">
        <f t="shared" ca="1" si="209"/>
        <v>3651.5380655372296</v>
      </c>
      <c r="BO377" s="1409">
        <f t="shared" ca="1" si="209"/>
        <v>1217.874538105063</v>
      </c>
      <c r="BP377" s="1409">
        <f t="shared" ca="1" si="209"/>
        <v>17766.739434772586</v>
      </c>
      <c r="BQ377" s="1398">
        <f t="shared" ca="1" si="209"/>
        <v>137.47699999999895</v>
      </c>
      <c r="BR377" s="1398">
        <f t="shared" ca="1" si="209"/>
        <v>0</v>
      </c>
      <c r="BS377" s="1398">
        <f t="shared" ref="BS377:CU377" ca="1" si="210">SUMIF(BS42:BS69,"&gt;0")</f>
        <v>8.5009999999999994</v>
      </c>
      <c r="BT377" s="1398">
        <f t="shared" ca="1" si="210"/>
        <v>3</v>
      </c>
      <c r="BU377" s="1398">
        <f t="shared" ca="1" si="210"/>
        <v>97.340000000000146</v>
      </c>
      <c r="BV377" s="1398">
        <f t="shared" ca="1" si="210"/>
        <v>132.35500000000002</v>
      </c>
      <c r="BW377" s="1398">
        <f t="shared" ca="1" si="210"/>
        <v>13.357999999999999</v>
      </c>
      <c r="BX377" s="1398">
        <f t="shared" ca="1" si="210"/>
        <v>663.20000000000073</v>
      </c>
      <c r="BY377" s="1398">
        <f t="shared" ca="1" si="210"/>
        <v>73.858999999999995</v>
      </c>
      <c r="BZ377" s="1398">
        <f t="shared" ca="1" si="210"/>
        <v>0.82900000000000007</v>
      </c>
      <c r="CA377" s="1398">
        <f t="shared" ca="1" si="210"/>
        <v>513.20000000000073</v>
      </c>
      <c r="CB377" s="1398">
        <f t="shared" ca="1" si="210"/>
        <v>35.091999999999999</v>
      </c>
      <c r="CC377" s="1398">
        <f t="shared" ca="1" si="210"/>
        <v>20.269000000000002</v>
      </c>
      <c r="CD377" s="1398">
        <f t="shared" ca="1" si="210"/>
        <v>179.15999999999985</v>
      </c>
      <c r="CE377" s="1398">
        <f t="shared" ca="1" si="210"/>
        <v>123.38000000000011</v>
      </c>
      <c r="CF377" s="1398">
        <f t="shared" ca="1" si="210"/>
        <v>311.58249999998293</v>
      </c>
      <c r="CG377" s="1398">
        <f t="shared" ca="1" si="210"/>
        <v>208.29099999999428</v>
      </c>
      <c r="CH377" s="1398">
        <f t="shared" ca="1" si="210"/>
        <v>132.4224999999831</v>
      </c>
      <c r="CI377" s="1398">
        <f t="shared" ca="1" si="210"/>
        <v>34.595200000000197</v>
      </c>
      <c r="CJ377" s="1398">
        <f t="shared" ca="1" si="210"/>
        <v>132.4224999999831</v>
      </c>
      <c r="CK377" s="1398">
        <f t="shared" ca="1" si="210"/>
        <v>51.892800000000285</v>
      </c>
      <c r="CL377" s="1398">
        <f t="shared" ca="1" si="210"/>
        <v>69.687200000000203</v>
      </c>
      <c r="CM377" s="1398">
        <f t="shared" ca="1" si="210"/>
        <v>84.910999999994175</v>
      </c>
      <c r="CN377" s="1398">
        <f t="shared" ca="1" si="210"/>
        <v>123.38000000000011</v>
      </c>
      <c r="CO377" s="1398">
        <f t="shared" ca="1" si="210"/>
        <v>84.910999999994175</v>
      </c>
      <c r="CP377" s="1398">
        <f t="shared" ca="1" si="210"/>
        <v>15.749999999999842</v>
      </c>
      <c r="CQ377" s="1398">
        <f t="shared" ca="1" si="210"/>
        <v>15.749999999999842</v>
      </c>
      <c r="CR377" s="1398">
        <f t="shared" ca="1" si="210"/>
        <v>35.724499999999928</v>
      </c>
      <c r="CS377" s="1398">
        <f t="shared" ca="1" si="210"/>
        <v>263712.17570082948</v>
      </c>
      <c r="CT377" s="1398">
        <f t="shared" si="210"/>
        <v>1.3</v>
      </c>
      <c r="CU377" s="1398">
        <f t="shared" si="210"/>
        <v>4.3</v>
      </c>
    </row>
    <row r="378" spans="2:99">
      <c r="B378" s="163" t="s">
        <v>178</v>
      </c>
      <c r="C378" s="1409">
        <f t="shared" ref="C378:Q378" ca="1" si="211">SUMIF(C70:C100,"&gt;0")</f>
        <v>9022.8399999999674</v>
      </c>
      <c r="D378" s="1409">
        <f t="shared" ca="1" si="211"/>
        <v>150.34417391895238</v>
      </c>
      <c r="E378" s="1409">
        <f t="shared" ca="1" si="211"/>
        <v>744</v>
      </c>
      <c r="F378" s="1409">
        <f t="shared" ca="1" si="211"/>
        <v>0</v>
      </c>
      <c r="G378" s="1409">
        <f t="shared" ca="1" si="211"/>
        <v>0</v>
      </c>
      <c r="H378" s="1409">
        <f t="shared" ca="1" si="211"/>
        <v>0</v>
      </c>
      <c r="I378" s="199">
        <f t="shared" ca="1" si="211"/>
        <v>9022.8399999999674</v>
      </c>
      <c r="J378" s="1409">
        <f t="shared" ca="1" si="211"/>
        <v>4705.4199999999983</v>
      </c>
      <c r="K378" s="1409">
        <f t="shared" ca="1" si="211"/>
        <v>115.13728264713214</v>
      </c>
      <c r="L378" s="1409">
        <f t="shared" ca="1" si="211"/>
        <v>744</v>
      </c>
      <c r="M378" s="1409">
        <f t="shared" ca="1" si="211"/>
        <v>0</v>
      </c>
      <c r="N378" s="1409">
        <f t="shared" ca="1" si="211"/>
        <v>0</v>
      </c>
      <c r="O378" s="1409">
        <f t="shared" ca="1" si="211"/>
        <v>0</v>
      </c>
      <c r="P378" s="199">
        <f t="shared" ca="1" si="211"/>
        <v>4705.4199999999983</v>
      </c>
      <c r="Q378" s="1409">
        <f t="shared" ca="1" si="211"/>
        <v>0.64599999999995816</v>
      </c>
      <c r="R378" s="1409">
        <f t="shared" ref="R378:W378" ca="1" si="212">SUMIF(R70:R100,"&gt;0")</f>
        <v>77.51999999999498</v>
      </c>
      <c r="S378" s="1437">
        <f t="shared" ca="1" si="212"/>
        <v>3.3999999999996362</v>
      </c>
      <c r="T378" s="1409">
        <f t="shared" ca="1" si="212"/>
        <v>1.0579999999999927</v>
      </c>
      <c r="U378" s="1409">
        <f t="shared" ca="1" si="212"/>
        <v>126.95999999999913</v>
      </c>
      <c r="V378" s="1409">
        <f t="shared" ca="1" si="212"/>
        <v>1.7000000000000455</v>
      </c>
      <c r="W378" s="1409">
        <f t="shared" ca="1" si="212"/>
        <v>13728.259999999966</v>
      </c>
      <c r="X378" s="1409">
        <f t="shared" ref="X378:AC378" ca="1" si="213">SUMIF(X70:X100,"&gt;0")</f>
        <v>1.7039999999999509</v>
      </c>
      <c r="Y378" s="1409">
        <f t="shared" ca="1" si="213"/>
        <v>13729.963999999965</v>
      </c>
      <c r="Z378" s="1409">
        <f t="shared" ca="1" si="213"/>
        <v>265.48145656608455</v>
      </c>
      <c r="AA378" s="1409">
        <f t="shared" ca="1" si="213"/>
        <v>204.47999999999411</v>
      </c>
      <c r="AB378" s="1409">
        <f t="shared" ca="1" si="213"/>
        <v>1488</v>
      </c>
      <c r="AC378" s="1409">
        <f t="shared" ca="1" si="213"/>
        <v>5.0999999999996817</v>
      </c>
      <c r="AD378" s="1409">
        <f t="shared" ref="AD378:AK378" ca="1" si="214">SUMIF(AD70:AD100,"&gt;0")</f>
        <v>5082.4000000000233</v>
      </c>
      <c r="AE378" s="1409">
        <f t="shared" ca="1" si="214"/>
        <v>741.80000000001746</v>
      </c>
      <c r="AF378" s="1409">
        <f t="shared" ca="1" si="214"/>
        <v>4448</v>
      </c>
      <c r="AG378" s="1409">
        <f t="shared" ca="1" si="214"/>
        <v>743</v>
      </c>
      <c r="AH378" s="1409">
        <f t="shared" ca="1" si="214"/>
        <v>300.79999999999927</v>
      </c>
      <c r="AI378" s="1409">
        <f t="shared" ca="1" si="214"/>
        <v>1212.5399999999936</v>
      </c>
      <c r="AJ378" s="1409">
        <f t="shared" ca="1" si="214"/>
        <v>237.61000000000058</v>
      </c>
      <c r="AK378" s="1409">
        <f t="shared" ca="1" si="214"/>
        <v>455.60000000000582</v>
      </c>
      <c r="AL378" s="1409">
        <f ca="1">SUMIF(AL70:AL100,"&lt;50")</f>
        <v>1083.1139999999343</v>
      </c>
      <c r="AM378" s="1409">
        <f t="shared" ref="AM378:AZ378" ca="1" si="215">SUMIF(AM70:AM100,"&gt;0")</f>
        <v>311.30750000000984</v>
      </c>
      <c r="AN378" s="1409">
        <f t="shared" ca="1" si="215"/>
        <v>82.56799999999977</v>
      </c>
      <c r="AO378" s="1409">
        <f t="shared" ca="1" si="215"/>
        <v>4590.2999999999884</v>
      </c>
      <c r="AP378" s="1409">
        <f t="shared" ca="1" si="215"/>
        <v>2416.7900000000009</v>
      </c>
      <c r="AQ378" s="1409">
        <f t="shared" ca="1" si="215"/>
        <v>0.19500000000005002</v>
      </c>
      <c r="AR378" s="1409">
        <f t="shared" ca="1" si="215"/>
        <v>0.40100000000001046</v>
      </c>
      <c r="AS378" s="1409">
        <f t="shared" ca="1" si="215"/>
        <v>511</v>
      </c>
      <c r="AT378" s="1409">
        <f t="shared" ca="1" si="215"/>
        <v>71.000000000001478</v>
      </c>
      <c r="AU378" s="1409">
        <f t="shared" si="215"/>
        <v>2593</v>
      </c>
      <c r="AV378" s="1409">
        <f t="shared" si="215"/>
        <v>1940.1000000000058</v>
      </c>
      <c r="AW378" s="1409">
        <f t="shared" ca="1" si="215"/>
        <v>113.19999999999709</v>
      </c>
      <c r="AX378" s="1409">
        <f t="shared" ca="1" si="215"/>
        <v>978.58999999999651</v>
      </c>
      <c r="AY378" s="1409">
        <f t="shared" ca="1" si="215"/>
        <v>183.13000000000466</v>
      </c>
      <c r="AZ378" s="1409">
        <f t="shared" ca="1" si="215"/>
        <v>384.83000000000175</v>
      </c>
      <c r="BA378" s="1409">
        <f ca="1">SUMIF(BA70:BA100,"&lt;900")</f>
        <v>371.66299999998301</v>
      </c>
      <c r="BB378" s="1409">
        <f t="shared" ref="BB378:BR378" ca="1" si="216">SUMIF(BB70:BB100,"&gt;0")</f>
        <v>209.43900000000025</v>
      </c>
      <c r="BC378" s="1409">
        <f t="shared" ca="1" si="216"/>
        <v>40.057000000000251</v>
      </c>
      <c r="BD378" s="1409">
        <f t="shared" ca="1" si="216"/>
        <v>7007.6859999999897</v>
      </c>
      <c r="BE378" s="1409">
        <f t="shared" ca="1" si="216"/>
        <v>197530.02000000002</v>
      </c>
      <c r="BF378" s="1409">
        <f t="shared" ca="1" si="216"/>
        <v>1057734.7621958121</v>
      </c>
      <c r="BG378" s="1409">
        <f t="shared" ca="1" si="216"/>
        <v>170537.80000000002</v>
      </c>
      <c r="BH378" s="1409">
        <f t="shared" ca="1" si="216"/>
        <v>43.686999999999998</v>
      </c>
      <c r="BI378" s="1409">
        <f t="shared" ca="1" si="216"/>
        <v>43.953999999999986</v>
      </c>
      <c r="BJ378" s="1409">
        <f t="shared" ca="1" si="216"/>
        <v>0</v>
      </c>
      <c r="BK378" s="1409">
        <f t="shared" ca="1" si="216"/>
        <v>0</v>
      </c>
      <c r="BL378" s="1409">
        <f t="shared" ca="1" si="216"/>
        <v>43.686999999999998</v>
      </c>
      <c r="BM378" s="1409">
        <f t="shared" ca="1" si="216"/>
        <v>43.953999999999986</v>
      </c>
      <c r="BN378" s="1409">
        <f t="shared" ca="1" si="216"/>
        <v>4041.9256044007893</v>
      </c>
      <c r="BO378" s="1409">
        <f t="shared" ca="1" si="216"/>
        <v>1404.350942925355</v>
      </c>
      <c r="BP378" s="1409">
        <f t="shared" ca="1" si="216"/>
        <v>20388.048258572882</v>
      </c>
      <c r="BQ378" s="1398">
        <f t="shared" ca="1" si="216"/>
        <v>149.82300000000396</v>
      </c>
      <c r="BR378" s="1398">
        <f t="shared" ca="1" si="216"/>
        <v>0</v>
      </c>
      <c r="BS378" s="1398">
        <f t="shared" ref="BS378:CU378" ca="1" si="217">SUMIF(BS70:BS100,"&gt;0")</f>
        <v>44.788499999999999</v>
      </c>
      <c r="BT378" s="1398">
        <f t="shared" ca="1" si="217"/>
        <v>20</v>
      </c>
      <c r="BU378" s="1398">
        <f t="shared" ca="1" si="217"/>
        <v>466.7599999999984</v>
      </c>
      <c r="BV378" s="1398">
        <f t="shared" ca="1" si="217"/>
        <v>115.02900000000001</v>
      </c>
      <c r="BW378" s="1398">
        <f t="shared" ca="1" si="217"/>
        <v>2.0369999999999999</v>
      </c>
      <c r="BX378" s="1398">
        <f t="shared" ca="1" si="217"/>
        <v>621.10000000000218</v>
      </c>
      <c r="BY378" s="1398">
        <f t="shared" ca="1" si="217"/>
        <v>97.714999999999989</v>
      </c>
      <c r="BZ378" s="1398">
        <f t="shared" ca="1" si="217"/>
        <v>3.4469999999999996</v>
      </c>
      <c r="CA378" s="1398">
        <f t="shared" ca="1" si="217"/>
        <v>396.89999999999782</v>
      </c>
      <c r="CB378" s="1398">
        <f t="shared" ca="1" si="217"/>
        <v>44.951999999999998</v>
      </c>
      <c r="CC378" s="1398">
        <f t="shared" ca="1" si="217"/>
        <v>25.572999999999993</v>
      </c>
      <c r="CD378" s="1398">
        <f t="shared" ca="1" si="217"/>
        <v>213.53999999999905</v>
      </c>
      <c r="CE378" s="1398">
        <f t="shared" ca="1" si="217"/>
        <v>142.61999999999989</v>
      </c>
      <c r="CF378" s="1398">
        <f t="shared" ca="1" si="217"/>
        <v>369.19375000000406</v>
      </c>
      <c r="CG378" s="1398">
        <f t="shared" ca="1" si="217"/>
        <v>247.33950000000002</v>
      </c>
      <c r="CH378" s="1398">
        <f t="shared" ca="1" si="217"/>
        <v>155.65375000000492</v>
      </c>
      <c r="CI378" s="1398">
        <f t="shared" ca="1" si="217"/>
        <v>33.027199999999908</v>
      </c>
      <c r="CJ378" s="1398">
        <f t="shared" ca="1" si="217"/>
        <v>155.65375000000492</v>
      </c>
      <c r="CK378" s="1398">
        <f t="shared" ca="1" si="217"/>
        <v>49.540799999999869</v>
      </c>
      <c r="CL378" s="1398">
        <f t="shared" ca="1" si="217"/>
        <v>77.979199999999921</v>
      </c>
      <c r="CM378" s="1398">
        <f t="shared" ca="1" si="217"/>
        <v>104.71950000000012</v>
      </c>
      <c r="CN378" s="1398">
        <f t="shared" ca="1" si="217"/>
        <v>142.61999999999989</v>
      </c>
      <c r="CO378" s="1398">
        <f t="shared" ca="1" si="217"/>
        <v>104.71950000000012</v>
      </c>
      <c r="CP378" s="1398">
        <f t="shared" ca="1" si="217"/>
        <v>20.028500000000125</v>
      </c>
      <c r="CQ378" s="1398">
        <f t="shared" ca="1" si="217"/>
        <v>20.028500000000125</v>
      </c>
      <c r="CR378" s="1398">
        <f t="shared" ca="1" si="217"/>
        <v>45.601500000000122</v>
      </c>
      <c r="CS378" s="1398">
        <f t="shared" ca="1" si="217"/>
        <v>306019.0381201054</v>
      </c>
      <c r="CT378" s="1398">
        <f t="shared" si="217"/>
        <v>1.5</v>
      </c>
      <c r="CU378" s="1398">
        <f t="shared" si="217"/>
        <v>1.7000000000000002</v>
      </c>
    </row>
    <row r="379" spans="2:99">
      <c r="B379" s="163" t="s">
        <v>179</v>
      </c>
      <c r="C379" s="1409">
        <f t="shared" ref="C379:Q379" ca="1" si="218">SUMIF(C101:C130,"&gt;0")</f>
        <v>9357.1500000000233</v>
      </c>
      <c r="D379" s="1409">
        <f t="shared" ca="1" si="218"/>
        <v>154.463473048483</v>
      </c>
      <c r="E379" s="1409">
        <f t="shared" ca="1" si="218"/>
        <v>718</v>
      </c>
      <c r="F379" s="1409">
        <f t="shared" ca="1" si="218"/>
        <v>0</v>
      </c>
      <c r="G379" s="1409">
        <f t="shared" ca="1" si="218"/>
        <v>0</v>
      </c>
      <c r="H379" s="1409">
        <f t="shared" ca="1" si="218"/>
        <v>0</v>
      </c>
      <c r="I379" s="199">
        <f t="shared" ca="1" si="218"/>
        <v>9357.1500000000233</v>
      </c>
      <c r="J379" s="1409">
        <f t="shared" ca="1" si="218"/>
        <v>3766.1000000000022</v>
      </c>
      <c r="K379" s="1409">
        <f t="shared" ca="1" si="218"/>
        <v>100.07923481234741</v>
      </c>
      <c r="L379" s="1409">
        <f t="shared" ca="1" si="218"/>
        <v>631.89999999999418</v>
      </c>
      <c r="M379" s="1409">
        <f t="shared" ca="1" si="218"/>
        <v>0</v>
      </c>
      <c r="N379" s="1409">
        <f t="shared" ca="1" si="218"/>
        <v>0</v>
      </c>
      <c r="O379" s="1409">
        <f t="shared" ca="1" si="218"/>
        <v>0</v>
      </c>
      <c r="P379" s="199">
        <f t="shared" ca="1" si="218"/>
        <v>3766.1000000000022</v>
      </c>
      <c r="Q379" s="1409">
        <f t="shared" ca="1" si="218"/>
        <v>5.1920000000000073</v>
      </c>
      <c r="R379" s="1409">
        <f t="shared" ref="R379:X379" ca="1" si="219">SUMIF(R101:R130,"&gt;0")</f>
        <v>623.04000000000087</v>
      </c>
      <c r="S379" s="1437">
        <f t="shared" ca="1" si="219"/>
        <v>7.6000000000003638</v>
      </c>
      <c r="T379" s="1409">
        <f t="shared" ca="1" si="219"/>
        <v>26.50100000000009</v>
      </c>
      <c r="U379" s="1409">
        <f t="shared" ca="1" si="219"/>
        <v>3180.1200000000108</v>
      </c>
      <c r="V379" s="1409">
        <f t="shared" ca="1" si="219"/>
        <v>30.200000000000045</v>
      </c>
      <c r="W379" s="1409">
        <f t="shared" ca="1" si="219"/>
        <v>13123.250000000025</v>
      </c>
      <c r="X379" s="1409">
        <f t="shared" ca="1" si="219"/>
        <v>31.693000000000097</v>
      </c>
      <c r="Y379" s="1441">
        <f ca="1">SUMIF(Y101:Y130,"&gt;0")</f>
        <v>13154.943000000025</v>
      </c>
      <c r="Z379" s="1409">
        <f ca="1">SUMIF(Z101:Z130,"&gt;0")</f>
        <v>254.54270786083043</v>
      </c>
      <c r="AA379" s="1409">
        <f ca="1">SUMIF(AA101:AA130,"&gt;0")</f>
        <v>3803.1600000000117</v>
      </c>
      <c r="AB379" s="1409">
        <f ca="1">SUMIF(AB101:AB130,"&gt;0")</f>
        <v>1349.8999999999942</v>
      </c>
      <c r="AC379" s="1409">
        <f ca="1">SUMIF(AC101:AC130,"&gt;0")</f>
        <v>37.800000000000409</v>
      </c>
      <c r="AD379" s="1409">
        <f t="shared" ref="AD379:AK379" ca="1" si="220">SUMIF(AD101:AD130,"&gt;0")</f>
        <v>4906.9500000000698</v>
      </c>
      <c r="AE379" s="1409">
        <f t="shared" ca="1" si="220"/>
        <v>713.89999999999418</v>
      </c>
      <c r="AF379" s="1409">
        <f t="shared" ca="1" si="220"/>
        <v>4297.2000000000116</v>
      </c>
      <c r="AG379" s="1409">
        <f t="shared" ca="1" si="220"/>
        <v>680.40000000000873</v>
      </c>
      <c r="AH379" s="1409">
        <f t="shared" ca="1" si="220"/>
        <v>314.19999999999891</v>
      </c>
      <c r="AI379" s="1409">
        <f t="shared" ca="1" si="220"/>
        <v>1161.3899999999994</v>
      </c>
      <c r="AJ379" s="1409">
        <f t="shared" ca="1" si="220"/>
        <v>211.93000000000757</v>
      </c>
      <c r="AK379" s="1409">
        <f t="shared" ca="1" si="220"/>
        <v>421.5</v>
      </c>
      <c r="AL379" s="1409">
        <f ca="1">SUMIF(AL101:AL130,"&lt;50")</f>
        <v>1024.5729999999701</v>
      </c>
      <c r="AM379" s="1409">
        <f t="shared" ref="AM379:AZ379" ca="1" si="221">SUMIF(AM101:AM130,"&gt;0")</f>
        <v>251.22449999996763</v>
      </c>
      <c r="AN379" s="1409">
        <f t="shared" ca="1" si="221"/>
        <v>98.091000000000065</v>
      </c>
      <c r="AO379" s="1409">
        <f t="shared" ca="1" si="221"/>
        <v>4815.3800000000047</v>
      </c>
      <c r="AP379" s="1409">
        <f t="shared" ca="1" si="221"/>
        <v>1913.9600000000009</v>
      </c>
      <c r="AQ379" s="1409">
        <f t="shared" ca="1" si="221"/>
        <v>2.8450000000000273</v>
      </c>
      <c r="AR379" s="1409">
        <f t="shared" ca="1" si="221"/>
        <v>10.230999999999995</v>
      </c>
      <c r="AS379" s="1409">
        <f t="shared" ca="1" si="221"/>
        <v>442.10999999998603</v>
      </c>
      <c r="AT379" s="1409">
        <f t="shared" ca="1" si="221"/>
        <v>71.069999999999709</v>
      </c>
      <c r="AU379" s="1409">
        <f t="shared" ca="1" si="221"/>
        <v>2481.6600000000326</v>
      </c>
      <c r="AV379" s="1409">
        <f t="shared" si="221"/>
        <v>1861.2900000000081</v>
      </c>
      <c r="AW379" s="1409">
        <f t="shared" ca="1" si="221"/>
        <v>121.5</v>
      </c>
      <c r="AX379" s="1409">
        <f t="shared" ca="1" si="221"/>
        <v>953.65000000000873</v>
      </c>
      <c r="AY379" s="1409">
        <f t="shared" ca="1" si="221"/>
        <v>161.02999999999884</v>
      </c>
      <c r="AZ379" s="1409">
        <f t="shared" ca="1" si="221"/>
        <v>331.5</v>
      </c>
      <c r="BA379" s="1409">
        <f ca="1">SUMIF(BA101:BA130,"&lt;900")</f>
        <v>354.19099999995416</v>
      </c>
      <c r="BB379" s="1409">
        <f t="shared" ref="BB379:BR379" ca="1" si="222">SUMIF(BB101:BB130,"&gt;0")</f>
        <v>240.16500000000337</v>
      </c>
      <c r="BC379" s="1409">
        <f t="shared" ca="1" si="222"/>
        <v>29.04499999999998</v>
      </c>
      <c r="BD379" s="1409">
        <f t="shared" ca="1" si="222"/>
        <v>6742.4160000000047</v>
      </c>
      <c r="BE379" s="1409">
        <f t="shared" ca="1" si="222"/>
        <v>178308.26</v>
      </c>
      <c r="BF379" s="1409">
        <f t="shared" ca="1" si="222"/>
        <v>953634.37719298247</v>
      </c>
      <c r="BG379" s="1409">
        <f t="shared" ca="1" si="222"/>
        <v>169017.87000000002</v>
      </c>
      <c r="BH379" s="1409">
        <f t="shared" ca="1" si="222"/>
        <v>30.923999999999999</v>
      </c>
      <c r="BI379" s="1409">
        <f t="shared" ca="1" si="222"/>
        <v>29.318000000000001</v>
      </c>
      <c r="BJ379" s="1409">
        <f t="shared" ca="1" si="222"/>
        <v>0.81399999999999995</v>
      </c>
      <c r="BK379" s="1409">
        <f t="shared" ca="1" si="222"/>
        <v>0.45600000000000002</v>
      </c>
      <c r="BL379" s="1409">
        <f t="shared" ca="1" si="222"/>
        <v>31.738</v>
      </c>
      <c r="BM379" s="1409">
        <f t="shared" ca="1" si="222"/>
        <v>29.774000000000004</v>
      </c>
      <c r="BN379" s="1409">
        <f t="shared" ca="1" si="222"/>
        <v>3791.1975397083856</v>
      </c>
      <c r="BO379" s="1409">
        <f t="shared" ca="1" si="222"/>
        <v>1311.0573140366089</v>
      </c>
      <c r="BP379" s="1409">
        <f t="shared" ca="1" si="222"/>
        <v>19289.726675933543</v>
      </c>
      <c r="BQ379" s="1398">
        <f t="shared" ca="1" si="222"/>
        <v>140.40000000000146</v>
      </c>
      <c r="BR379" s="1398">
        <f t="shared" ca="1" si="222"/>
        <v>0</v>
      </c>
      <c r="BS379" s="1398">
        <f t="shared" ref="BS379:CU379" ca="1" si="223">SUMIF(BS101:BS130,"&gt;0")</f>
        <v>67.921499999999995</v>
      </c>
      <c r="BT379" s="1398">
        <f t="shared" ca="1" si="223"/>
        <v>30</v>
      </c>
      <c r="BU379" s="1398">
        <f t="shared" ca="1" si="223"/>
        <v>653.65000000000146</v>
      </c>
      <c r="BV379" s="1398">
        <f t="shared" ca="1" si="223"/>
        <v>15.508999999999999</v>
      </c>
      <c r="BW379" s="1398">
        <f t="shared" ca="1" si="223"/>
        <v>0.21100000000000002</v>
      </c>
      <c r="BX379" s="1398">
        <f t="shared" ca="1" si="223"/>
        <v>64.299999999999272</v>
      </c>
      <c r="BY379" s="1398">
        <f t="shared" ca="1" si="223"/>
        <v>136.77500000000003</v>
      </c>
      <c r="BZ379" s="1398">
        <f t="shared" ca="1" si="223"/>
        <v>20.439000000000007</v>
      </c>
      <c r="CA379" s="1398">
        <f t="shared" ca="1" si="223"/>
        <v>710.22000000000116</v>
      </c>
      <c r="CB379" s="1398">
        <f t="shared" ca="1" si="223"/>
        <v>42.579000000000001</v>
      </c>
      <c r="CC379" s="1398">
        <f t="shared" ca="1" si="223"/>
        <v>23.784999999999997</v>
      </c>
      <c r="CD379" s="1398">
        <f t="shared" ca="1" si="223"/>
        <v>205.10000000000036</v>
      </c>
      <c r="CE379" s="1398">
        <f t="shared" ca="1" si="223"/>
        <v>133.94999999999982</v>
      </c>
      <c r="CF379" s="1398">
        <f t="shared" ca="1" si="223"/>
        <v>330.71224999998418</v>
      </c>
      <c r="CG379" s="1398">
        <f t="shared" ca="1" si="223"/>
        <v>254.03250000000142</v>
      </c>
      <c r="CH379" s="1398">
        <f t="shared" ca="1" si="223"/>
        <v>125.61224999998382</v>
      </c>
      <c r="CI379" s="1398">
        <f t="shared" ca="1" si="223"/>
        <v>39.236400000000032</v>
      </c>
      <c r="CJ379" s="1398">
        <f t="shared" ca="1" si="223"/>
        <v>125.61224999998382</v>
      </c>
      <c r="CK379" s="1398">
        <f t="shared" ca="1" si="223"/>
        <v>58.854600000000026</v>
      </c>
      <c r="CL379" s="1398">
        <f t="shared" ca="1" si="223"/>
        <v>81.815400000000039</v>
      </c>
      <c r="CM379" s="1398">
        <f t="shared" ca="1" si="223"/>
        <v>120.08250000000169</v>
      </c>
      <c r="CN379" s="1398">
        <f t="shared" ca="1" si="223"/>
        <v>133.94999999999982</v>
      </c>
      <c r="CO379" s="1398">
        <f t="shared" ca="1" si="223"/>
        <v>120.08250000000169</v>
      </c>
      <c r="CP379" s="1398">
        <f t="shared" ca="1" si="223"/>
        <v>14.52249999999999</v>
      </c>
      <c r="CQ379" s="1398">
        <f t="shared" ca="1" si="223"/>
        <v>14.52249999999999</v>
      </c>
      <c r="CR379" s="1398">
        <f t="shared" ca="1" si="223"/>
        <v>38.307499999999983</v>
      </c>
      <c r="CS379" s="1398">
        <f t="shared" ca="1" si="223"/>
        <v>275158.24263386859</v>
      </c>
      <c r="CT379" s="1398">
        <f t="shared" si="223"/>
        <v>5.3000000000000007</v>
      </c>
      <c r="CU379" s="1398">
        <f t="shared" si="223"/>
        <v>4.8</v>
      </c>
    </row>
    <row r="380" spans="2:99" s="1410" customFormat="1">
      <c r="B380" s="1484" t="s">
        <v>180</v>
      </c>
      <c r="C380" s="1441">
        <f t="shared" ref="C380:Q380" ca="1" si="224">SUMIF(C131:C161,"&gt;0")</f>
        <v>6850.8499999999767</v>
      </c>
      <c r="D380" s="1441">
        <f t="shared" ca="1" si="224"/>
        <v>139.16309963284951</v>
      </c>
      <c r="E380" s="1441">
        <f t="shared" ca="1" si="224"/>
        <v>725.19999999998254</v>
      </c>
      <c r="F380" s="1441">
        <f t="shared" ca="1" si="224"/>
        <v>0</v>
      </c>
      <c r="G380" s="1441">
        <f t="shared" ca="1" si="224"/>
        <v>0</v>
      </c>
      <c r="H380" s="1441">
        <f t="shared" ca="1" si="224"/>
        <v>0</v>
      </c>
      <c r="I380" s="199">
        <f t="shared" ca="1" si="224"/>
        <v>6850.8499999999767</v>
      </c>
      <c r="J380" s="1441">
        <f t="shared" ca="1" si="224"/>
        <v>6271.0999999999985</v>
      </c>
      <c r="K380" s="1441">
        <f t="shared" ca="1" si="224"/>
        <v>134.2026791999287</v>
      </c>
      <c r="L380" s="1441">
        <f t="shared" ca="1" si="224"/>
        <v>744</v>
      </c>
      <c r="M380" s="1441">
        <f t="shared" ca="1" si="224"/>
        <v>0</v>
      </c>
      <c r="N380" s="1441">
        <f t="shared" ca="1" si="224"/>
        <v>0</v>
      </c>
      <c r="O380" s="1441">
        <f t="shared" ca="1" si="224"/>
        <v>0</v>
      </c>
      <c r="P380" s="199">
        <f t="shared" ca="1" si="224"/>
        <v>6271.0999999999985</v>
      </c>
      <c r="Q380" s="1441">
        <f t="shared" ca="1" si="224"/>
        <v>1.4770000000000891</v>
      </c>
      <c r="R380" s="1441">
        <f t="shared" ref="R380:AC380" ca="1" si="225">SUMIF(R131:R161,"&gt;0")</f>
        <v>177.2400000000107</v>
      </c>
      <c r="S380" s="1440">
        <f t="shared" ca="1" si="225"/>
        <v>2.8000000000001819</v>
      </c>
      <c r="T380" s="1441">
        <f t="shared" ca="1" si="225"/>
        <v>2.8199999999999363</v>
      </c>
      <c r="U380" s="1441">
        <f t="shared" ca="1" si="225"/>
        <v>338.39999999999236</v>
      </c>
      <c r="V380" s="1441">
        <f t="shared" ca="1" si="225"/>
        <v>3.5</v>
      </c>
      <c r="W380" s="1441">
        <f t="shared" ca="1" si="225"/>
        <v>13121.949999999975</v>
      </c>
      <c r="X380" s="1441">
        <f t="shared" ca="1" si="225"/>
        <v>4.2970000000000255</v>
      </c>
      <c r="Y380" s="1441">
        <f t="shared" ca="1" si="225"/>
        <v>13126.246999999976</v>
      </c>
      <c r="Z380" s="1441">
        <f t="shared" ca="1" si="225"/>
        <v>273.36577883277818</v>
      </c>
      <c r="AA380" s="1441">
        <f t="shared" ca="1" si="225"/>
        <v>515.64000000000306</v>
      </c>
      <c r="AB380" s="1441">
        <f t="shared" ca="1" si="225"/>
        <v>1469.1999999999825</v>
      </c>
      <c r="AC380" s="1441">
        <f t="shared" ca="1" si="225"/>
        <v>6.3000000000001819</v>
      </c>
      <c r="AD380" s="1441">
        <f t="shared" ref="AD380:AK380" ca="1" si="226">SUMIF(AD131:AD161,"&gt;0")</f>
        <v>4462.7</v>
      </c>
      <c r="AE380" s="1441">
        <f t="shared" ca="1" si="226"/>
        <v>639.5</v>
      </c>
      <c r="AF380" s="1409">
        <f t="shared" ca="1" si="226"/>
        <v>4650.7999999999884</v>
      </c>
      <c r="AG380" s="1441">
        <f t="shared" ca="1" si="226"/>
        <v>743.99999999998545</v>
      </c>
      <c r="AH380" s="1441">
        <f t="shared" ca="1" si="226"/>
        <v>340.70000000000437</v>
      </c>
      <c r="AI380" s="1441">
        <f t="shared" ca="1" si="226"/>
        <v>1128.5100000000093</v>
      </c>
      <c r="AJ380" s="1441">
        <f t="shared" ca="1" si="226"/>
        <v>206.06999999999243</v>
      </c>
      <c r="AK380" s="1441">
        <f t="shared" ca="1" si="226"/>
        <v>394.5</v>
      </c>
      <c r="AL380" s="1441">
        <f ca="1">SUMIF(AL131:AL161,"&lt;50")</f>
        <v>1060.5669999999473</v>
      </c>
      <c r="AM380" s="1409">
        <f t="shared" ref="AM380:AZ380" ca="1" si="227">SUMIF(AM131:AM161,"&gt;0")</f>
        <v>283.9545000000341</v>
      </c>
      <c r="AN380" s="1441">
        <f t="shared" ca="1" si="227"/>
        <v>99.264000000000195</v>
      </c>
      <c r="AO380" s="1441">
        <f t="shared" ca="1" si="227"/>
        <v>3382.6199999999953</v>
      </c>
      <c r="AP380" s="1441">
        <f t="shared" ca="1" si="227"/>
        <v>3176.9399999999987</v>
      </c>
      <c r="AQ380" s="1441">
        <f t="shared" ca="1" si="227"/>
        <v>0.7419999999999618</v>
      </c>
      <c r="AR380" s="1441">
        <f t="shared" ca="1" si="227"/>
        <v>1.0790000000000077</v>
      </c>
      <c r="AS380" s="1441">
        <f t="shared" ca="1" si="227"/>
        <v>450.39000000001397</v>
      </c>
      <c r="AT380" s="1441">
        <f t="shared" ca="1" si="227"/>
        <v>79.299999999997453</v>
      </c>
      <c r="AU380" s="1441">
        <f t="shared" ca="1" si="227"/>
        <v>2224.4</v>
      </c>
      <c r="AV380" s="1441">
        <f t="shared" ca="1" si="227"/>
        <v>2015.7099999999919</v>
      </c>
      <c r="AW380" s="1441">
        <f t="shared" ca="1" si="227"/>
        <v>131.20000000000255</v>
      </c>
      <c r="AX380" s="1441">
        <f t="shared" ca="1" si="227"/>
        <v>957.04999999999563</v>
      </c>
      <c r="AY380" s="1441">
        <f t="shared" ca="1" si="227"/>
        <v>155.7699999999968</v>
      </c>
      <c r="AZ380" s="1441">
        <f t="shared" ca="1" si="227"/>
        <v>310.69999999999709</v>
      </c>
      <c r="BA380" s="1441">
        <f ca="1">SUMIF(BA131:BA161,"&lt;900")</f>
        <v>180.0370000000126</v>
      </c>
      <c r="BB380" s="1441">
        <f t="shared" ref="BB380:BR380" ca="1" si="228">SUMIF(BB131:BB161,"&gt;0")</f>
        <v>305.69899999999711</v>
      </c>
      <c r="BC380" s="1441">
        <f t="shared" ca="1" si="228"/>
        <v>67.069999999999737</v>
      </c>
      <c r="BD380" s="1441">
        <f t="shared" ca="1" si="228"/>
        <v>6561.3809999999939</v>
      </c>
      <c r="BE380" s="1441">
        <f t="shared" ca="1" si="228"/>
        <v>182219.67999999996</v>
      </c>
      <c r="BF380" s="1441">
        <f t="shared" ca="1" si="228"/>
        <v>930329.45087719301</v>
      </c>
      <c r="BG380" s="1441">
        <f t="shared" ca="1" si="228"/>
        <v>183486.08000000002</v>
      </c>
      <c r="BH380" s="1441">
        <f t="shared" ca="1" si="228"/>
        <v>23.412000000000006</v>
      </c>
      <c r="BI380" s="1441">
        <f t="shared" ca="1" si="228"/>
        <v>21.667999999999999</v>
      </c>
      <c r="BJ380" s="1441">
        <f t="shared" ca="1" si="228"/>
        <v>1.3379999999999999</v>
      </c>
      <c r="BK380" s="1441">
        <f t="shared" ca="1" si="228"/>
        <v>0.81600000000000006</v>
      </c>
      <c r="BL380" s="1441">
        <f t="shared" ca="1" si="228"/>
        <v>24.750000000000004</v>
      </c>
      <c r="BM380" s="1441">
        <f t="shared" ca="1" si="228"/>
        <v>22.483999999999998</v>
      </c>
      <c r="BN380" s="1441">
        <f t="shared" ca="1" si="228"/>
        <v>3651.7331415088697</v>
      </c>
      <c r="BO380" s="1441">
        <f t="shared" ca="1" si="228"/>
        <v>1245.7637221154312</v>
      </c>
      <c r="BP380" s="1441">
        <f t="shared" ca="1" si="228"/>
        <v>18543.684235429446</v>
      </c>
      <c r="BQ380" s="1407">
        <f t="shared" ca="1" si="228"/>
        <v>158.69999999999709</v>
      </c>
      <c r="BR380" s="1407">
        <f t="shared" ca="1" si="228"/>
        <v>0</v>
      </c>
      <c r="BS380" s="1398">
        <f t="shared" ref="BS380:CU380" ca="1" si="229">SUMIF(BS131:BS161,"&gt;0")</f>
        <v>53.210499999999996</v>
      </c>
      <c r="BT380" s="1407">
        <f t="shared" ca="1" si="229"/>
        <v>23</v>
      </c>
      <c r="BU380" s="1407">
        <f t="shared" ca="1" si="229"/>
        <v>510.14999999999782</v>
      </c>
      <c r="BV380" s="1398">
        <f t="shared" ca="1" si="229"/>
        <v>85.939999999999984</v>
      </c>
      <c r="BW380" s="1407">
        <f t="shared" ca="1" si="229"/>
        <v>8.1749999999999989</v>
      </c>
      <c r="BX380" s="1407">
        <f t="shared" ca="1" si="229"/>
        <v>472</v>
      </c>
      <c r="BY380" s="1398">
        <f t="shared" ca="1" si="229"/>
        <v>95.945000000000007</v>
      </c>
      <c r="BZ380" s="1407">
        <f t="shared" ca="1" si="229"/>
        <v>9.509999999999998</v>
      </c>
      <c r="CA380" s="1407">
        <f t="shared" ca="1" si="229"/>
        <v>506.58000000000175</v>
      </c>
      <c r="CB380" s="1398">
        <f t="shared" ca="1" si="229"/>
        <v>44.586000000000006</v>
      </c>
      <c r="CC380" s="1407">
        <f t="shared" ca="1" si="229"/>
        <v>26.409999999999997</v>
      </c>
      <c r="CD380" s="1398">
        <f t="shared" ca="1" si="229"/>
        <v>219.5</v>
      </c>
      <c r="CE380" s="1407">
        <f t="shared" ca="1" si="229"/>
        <v>146.65000000000055</v>
      </c>
      <c r="CF380" s="1407">
        <f t="shared" ca="1" si="229"/>
        <v>361.47725000001702</v>
      </c>
      <c r="CG380" s="1407">
        <f t="shared" ca="1" si="229"/>
        <v>299.4994999999991</v>
      </c>
      <c r="CH380" s="1407">
        <f t="shared" ca="1" si="229"/>
        <v>141.97725000001705</v>
      </c>
      <c r="CI380" s="1407">
        <f t="shared" ca="1" si="229"/>
        <v>39.705600000000089</v>
      </c>
      <c r="CJ380" s="1407">
        <f t="shared" ca="1" si="229"/>
        <v>141.97725000001705</v>
      </c>
      <c r="CK380" s="1407">
        <f t="shared" ca="1" si="229"/>
        <v>59.558400000000113</v>
      </c>
      <c r="CL380" s="1407">
        <f t="shared" ca="1" si="229"/>
        <v>84.291600000000074</v>
      </c>
      <c r="CM380" s="1407">
        <f t="shared" ca="1" si="229"/>
        <v>152.84949999999856</v>
      </c>
      <c r="CN380" s="1407">
        <f t="shared" ca="1" si="229"/>
        <v>146.65000000000055</v>
      </c>
      <c r="CO380" s="1407">
        <f t="shared" ca="1" si="229"/>
        <v>152.84949999999856</v>
      </c>
      <c r="CP380" s="1407">
        <f t="shared" ca="1" si="229"/>
        <v>33.534999999999869</v>
      </c>
      <c r="CQ380" s="1407">
        <f t="shared" ca="1" si="229"/>
        <v>33.534999999999869</v>
      </c>
      <c r="CR380" s="1407">
        <f t="shared" ca="1" si="229"/>
        <v>59.944999999999879</v>
      </c>
      <c r="CS380" s="1407">
        <f t="shared" ca="1" si="229"/>
        <v>251569.96379734785</v>
      </c>
      <c r="CT380" s="1407">
        <f t="shared" si="229"/>
        <v>2.9000000000000004</v>
      </c>
      <c r="CU380" s="1407">
        <f t="shared" si="229"/>
        <v>4.28</v>
      </c>
    </row>
    <row r="381" spans="2:99">
      <c r="B381" s="163" t="s">
        <v>182</v>
      </c>
      <c r="C381" s="1409">
        <f t="shared" ref="C381:Q381" ca="1" si="230">SUMIF(C162:C191,"&gt;0")</f>
        <v>1176</v>
      </c>
      <c r="D381" s="1409">
        <f t="shared" ca="1" si="230"/>
        <v>19.101107073745005</v>
      </c>
      <c r="E381" s="1409">
        <f t="shared" ca="1" si="230"/>
        <v>96</v>
      </c>
      <c r="F381" s="1409">
        <f t="shared" ca="1" si="230"/>
        <v>0</v>
      </c>
      <c r="G381" s="1409">
        <f t="shared" ca="1" si="230"/>
        <v>0</v>
      </c>
      <c r="H381" s="1409">
        <f t="shared" ca="1" si="230"/>
        <v>0</v>
      </c>
      <c r="I381" s="199">
        <f t="shared" ca="1" si="230"/>
        <v>1176</v>
      </c>
      <c r="J381" s="1409">
        <f t="shared" ca="1" si="230"/>
        <v>596</v>
      </c>
      <c r="K381" s="1409">
        <f t="shared" ca="1" si="230"/>
        <v>14.467033328742783</v>
      </c>
      <c r="L381" s="1409">
        <f t="shared" ca="1" si="230"/>
        <v>96</v>
      </c>
      <c r="M381" s="1409">
        <f t="shared" ca="1" si="230"/>
        <v>0</v>
      </c>
      <c r="N381" s="1409">
        <f t="shared" ca="1" si="230"/>
        <v>0</v>
      </c>
      <c r="O381" s="1409">
        <f t="shared" ca="1" si="230"/>
        <v>0</v>
      </c>
      <c r="P381" s="199">
        <f t="shared" ca="1" si="230"/>
        <v>596</v>
      </c>
      <c r="Q381" s="1409">
        <f t="shared" ca="1" si="230"/>
        <v>0</v>
      </c>
      <c r="R381" s="1409">
        <f t="shared" ref="R381:AC381" ca="1" si="231">SUMIF(R162:R191,"&gt;0")</f>
        <v>0</v>
      </c>
      <c r="S381" s="1437">
        <f t="shared" ca="1" si="231"/>
        <v>0</v>
      </c>
      <c r="T381" s="1409">
        <f t="shared" ca="1" si="231"/>
        <v>0</v>
      </c>
      <c r="U381" s="1409">
        <f t="shared" ca="1" si="231"/>
        <v>0</v>
      </c>
      <c r="V381" s="1409">
        <f t="shared" ca="1" si="231"/>
        <v>0</v>
      </c>
      <c r="W381" s="1409">
        <f t="shared" ca="1" si="231"/>
        <v>1772</v>
      </c>
      <c r="X381" s="1409">
        <f t="shared" ca="1" si="231"/>
        <v>0</v>
      </c>
      <c r="Y381" s="1441">
        <f t="shared" ca="1" si="231"/>
        <v>1772</v>
      </c>
      <c r="Z381" s="1409">
        <f t="shared" ca="1" si="231"/>
        <v>33.568140402487799</v>
      </c>
      <c r="AA381" s="1409">
        <f t="shared" ca="1" si="231"/>
        <v>0</v>
      </c>
      <c r="AB381" s="1409">
        <f t="shared" ca="1" si="231"/>
        <v>192</v>
      </c>
      <c r="AC381" s="1409">
        <f t="shared" ca="1" si="231"/>
        <v>0</v>
      </c>
      <c r="AD381" s="1409">
        <f t="shared" ref="AD381:AK381" ca="1" si="232">SUMIF(AD162:AD191,"&gt;0")</f>
        <v>664</v>
      </c>
      <c r="AE381" s="1409">
        <f t="shared" ca="1" si="232"/>
        <v>96</v>
      </c>
      <c r="AF381" s="1409">
        <f t="shared" ca="1" si="232"/>
        <v>589</v>
      </c>
      <c r="AG381" s="1409">
        <f t="shared" ca="1" si="232"/>
        <v>96</v>
      </c>
      <c r="AH381" s="1409">
        <f t="shared" ca="1" si="232"/>
        <v>42.799999999997453</v>
      </c>
      <c r="AI381" s="1409">
        <f t="shared" ca="1" si="232"/>
        <v>144.59999999999127</v>
      </c>
      <c r="AJ381" s="1409">
        <f t="shared" ca="1" si="232"/>
        <v>24.100000000005821</v>
      </c>
      <c r="AK381" s="1409">
        <f t="shared" ca="1" si="232"/>
        <v>51.899999999994179</v>
      </c>
      <c r="AL381" s="1409">
        <f ca="1">SUMIF(AL162:AL191,"&lt;50")</f>
        <v>-686.20899999998642</v>
      </c>
      <c r="AM381" s="1409">
        <f t="shared" ref="AM381:AZ381" ca="1" si="233">SUMIF(AM162:AM191,"&gt;0")</f>
        <v>3162.4439999999981</v>
      </c>
      <c r="AN381" s="1409">
        <f t="shared" ca="1" si="233"/>
        <v>18.528000000000379</v>
      </c>
      <c r="AO381" s="1409">
        <f t="shared" ca="1" si="233"/>
        <v>587</v>
      </c>
      <c r="AP381" s="1409">
        <f t="shared" ca="1" si="233"/>
        <v>299</v>
      </c>
      <c r="AQ381" s="1409">
        <f t="shared" ca="1" si="233"/>
        <v>0</v>
      </c>
      <c r="AR381" s="1409">
        <f t="shared" ca="1" si="233"/>
        <v>0</v>
      </c>
      <c r="AS381" s="1409">
        <f t="shared" ca="1" si="233"/>
        <v>59.100000000005821</v>
      </c>
      <c r="AT381" s="1409">
        <f t="shared" ca="1" si="233"/>
        <v>12.899999999999636</v>
      </c>
      <c r="AU381" s="1409">
        <f t="shared" ca="1" si="233"/>
        <v>330</v>
      </c>
      <c r="AV381" s="1409">
        <f t="shared" ca="1" si="233"/>
        <v>256</v>
      </c>
      <c r="AW381" s="1409">
        <f t="shared" ca="1" si="233"/>
        <v>16.5</v>
      </c>
      <c r="AX381" s="1409">
        <f t="shared" ca="1" si="233"/>
        <v>122.80000000000291</v>
      </c>
      <c r="AY381" s="1409">
        <f t="shared" ca="1" si="233"/>
        <v>18.200000000004366</v>
      </c>
      <c r="AZ381" s="1409">
        <f t="shared" ca="1" si="233"/>
        <v>41</v>
      </c>
      <c r="BA381" s="1409">
        <f ca="1">SUMIF(BA162:BA191,"&lt;900")</f>
        <v>183.57099999999383</v>
      </c>
      <c r="BB381" s="1409">
        <f t="shared" ref="BB381:BR381" ca="1" si="234">SUMIF(BB162:BB191,"&gt;0")</f>
        <v>144.40499999999943</v>
      </c>
      <c r="BC381" s="1409">
        <f t="shared" ca="1" si="234"/>
        <v>11.840000000000174</v>
      </c>
      <c r="BD381" s="1409">
        <f t="shared" ca="1" si="234"/>
        <v>886</v>
      </c>
      <c r="BE381" s="1409">
        <f t="shared" ca="1" si="234"/>
        <v>16698.28</v>
      </c>
      <c r="BF381" s="1409">
        <f t="shared" ca="1" si="234"/>
        <v>91045.840350877101</v>
      </c>
      <c r="BG381" s="1409">
        <f t="shared" ca="1" si="234"/>
        <v>20379.810000000001</v>
      </c>
      <c r="BH381" s="1409">
        <f t="shared" ca="1" si="234"/>
        <v>0</v>
      </c>
      <c r="BI381" s="1409">
        <f t="shared" ca="1" si="234"/>
        <v>0</v>
      </c>
      <c r="BJ381" s="1409">
        <f t="shared" ca="1" si="234"/>
        <v>0</v>
      </c>
      <c r="BK381" s="1409">
        <f t="shared" ca="1" si="234"/>
        <v>0</v>
      </c>
      <c r="BL381" s="1409">
        <f t="shared" ca="1" si="234"/>
        <v>0</v>
      </c>
      <c r="BM381" s="1409">
        <f t="shared" ca="1" si="234"/>
        <v>0</v>
      </c>
      <c r="BN381" s="1409">
        <f t="shared" ca="1" si="234"/>
        <v>0</v>
      </c>
      <c r="BO381" s="1409">
        <f t="shared" ca="1" si="234"/>
        <v>0</v>
      </c>
      <c r="BP381" s="1409">
        <f t="shared" ca="1" si="234"/>
        <v>0</v>
      </c>
      <c r="BQ381" s="1398">
        <f t="shared" ca="1" si="234"/>
        <v>21</v>
      </c>
      <c r="BR381" s="1398">
        <f t="shared" ca="1" si="234"/>
        <v>0</v>
      </c>
      <c r="BS381" s="1398">
        <f t="shared" ref="BS381:CU381" ca="1" si="235">SUMIF(BS162:BS191,"&gt;0")</f>
        <v>8.9</v>
      </c>
      <c r="BT381" s="1398">
        <f t="shared" ca="1" si="235"/>
        <v>4</v>
      </c>
      <c r="BU381" s="1398">
        <f t="shared" ca="1" si="235"/>
        <v>95.200000000000728</v>
      </c>
      <c r="BV381" s="1398">
        <f t="shared" ca="1" si="235"/>
        <v>18.643999999999998</v>
      </c>
      <c r="BW381" s="1398">
        <f t="shared" ca="1" si="235"/>
        <v>3.0720000000000001</v>
      </c>
      <c r="BX381" s="1398">
        <f t="shared" ca="1" si="235"/>
        <v>95.599999999998545</v>
      </c>
      <c r="BY381" s="1398">
        <f t="shared" ca="1" si="235"/>
        <v>0</v>
      </c>
      <c r="BZ381" s="1398">
        <f t="shared" ca="1" si="235"/>
        <v>0</v>
      </c>
      <c r="CA381" s="1398">
        <f t="shared" ca="1" si="235"/>
        <v>0</v>
      </c>
      <c r="CB381" s="1398">
        <f t="shared" ca="1" si="235"/>
        <v>5.6520000000000001</v>
      </c>
      <c r="CC381" s="1398">
        <f t="shared" ca="1" si="235"/>
        <v>3.1319999999999997</v>
      </c>
      <c r="CD381" s="1398">
        <f t="shared" ca="1" si="235"/>
        <v>25.399999999999636</v>
      </c>
      <c r="CE381" s="1398">
        <f t="shared" ca="1" si="235"/>
        <v>17.799999999999272</v>
      </c>
      <c r="CF381" s="1398">
        <f t="shared" ca="1" si="235"/>
        <v>1606.6219999999987</v>
      </c>
      <c r="CG381" s="1398">
        <f t="shared" ca="1" si="235"/>
        <v>90.002499999998989</v>
      </c>
      <c r="CH381" s="1398">
        <f t="shared" ca="1" si="235"/>
        <v>1581.2219999999991</v>
      </c>
      <c r="CI381" s="1398">
        <f t="shared" ca="1" si="235"/>
        <v>7.4112000000001519</v>
      </c>
      <c r="CJ381" s="1398">
        <f t="shared" ca="1" si="235"/>
        <v>1581.2219999999991</v>
      </c>
      <c r="CK381" s="1398">
        <f t="shared" ca="1" si="235"/>
        <v>11.116800000000225</v>
      </c>
      <c r="CL381" s="1398">
        <f t="shared" ca="1" si="235"/>
        <v>13.063200000000151</v>
      </c>
      <c r="CM381" s="1398">
        <f t="shared" ca="1" si="235"/>
        <v>72.202499999999716</v>
      </c>
      <c r="CN381" s="1398">
        <f t="shared" ca="1" si="235"/>
        <v>17.799999999999272</v>
      </c>
      <c r="CO381" s="1398">
        <f t="shared" ca="1" si="235"/>
        <v>72.202499999999716</v>
      </c>
      <c r="CP381" s="1398">
        <f t="shared" ca="1" si="235"/>
        <v>5.920000000000087</v>
      </c>
      <c r="CQ381" s="1398">
        <f t="shared" ca="1" si="235"/>
        <v>5.920000000000087</v>
      </c>
      <c r="CR381" s="1398">
        <f t="shared" ca="1" si="235"/>
        <v>9.0520000000000884</v>
      </c>
      <c r="CS381" s="1398">
        <f t="shared" ca="1" si="235"/>
        <v>22832.66293409936</v>
      </c>
      <c r="CT381" s="1398">
        <f t="shared" si="235"/>
        <v>0</v>
      </c>
      <c r="CU381" s="1398">
        <f t="shared" si="235"/>
        <v>0</v>
      </c>
    </row>
    <row r="382" spans="2:99">
      <c r="B382" s="163" t="s">
        <v>183</v>
      </c>
      <c r="C382" s="1409">
        <f t="shared" ref="C382:Q382" ca="1" si="236">SUMIF(C192:C222,"&gt;0")</f>
        <v>0</v>
      </c>
      <c r="D382" s="1409">
        <f t="shared" ca="1" si="236"/>
        <v>0</v>
      </c>
      <c r="E382" s="1409">
        <f t="shared" ca="1" si="236"/>
        <v>0</v>
      </c>
      <c r="F382" s="1409">
        <f t="shared" ca="1" si="236"/>
        <v>0</v>
      </c>
      <c r="G382" s="1409">
        <f t="shared" ca="1" si="236"/>
        <v>0</v>
      </c>
      <c r="H382" s="1409">
        <f t="shared" ca="1" si="236"/>
        <v>0</v>
      </c>
      <c r="I382" s="199">
        <f t="shared" ca="1" si="236"/>
        <v>0</v>
      </c>
      <c r="J382" s="1409">
        <f t="shared" ca="1" si="236"/>
        <v>0</v>
      </c>
      <c r="K382" s="1409">
        <f t="shared" ca="1" si="236"/>
        <v>0</v>
      </c>
      <c r="L382" s="1409">
        <f t="shared" ca="1" si="236"/>
        <v>0</v>
      </c>
      <c r="M382" s="1409">
        <f t="shared" ca="1" si="236"/>
        <v>0</v>
      </c>
      <c r="N382" s="1409">
        <f t="shared" ca="1" si="236"/>
        <v>0</v>
      </c>
      <c r="O382" s="1409">
        <f t="shared" ca="1" si="236"/>
        <v>0</v>
      </c>
      <c r="P382" s="199">
        <f t="shared" ca="1" si="236"/>
        <v>0</v>
      </c>
      <c r="Q382" s="1409">
        <f t="shared" ca="1" si="236"/>
        <v>0</v>
      </c>
      <c r="R382" s="1409">
        <f t="shared" ref="R382:AC382" ca="1" si="237">SUMIF(R192:R222,"&gt;0")</f>
        <v>0</v>
      </c>
      <c r="S382" s="1437">
        <f t="shared" ca="1" si="237"/>
        <v>0</v>
      </c>
      <c r="T382" s="1409">
        <f t="shared" ca="1" si="237"/>
        <v>0</v>
      </c>
      <c r="U382" s="1409">
        <f t="shared" ca="1" si="237"/>
        <v>0</v>
      </c>
      <c r="V382" s="1409">
        <f t="shared" ca="1" si="237"/>
        <v>0</v>
      </c>
      <c r="W382" s="1409">
        <f t="shared" ca="1" si="237"/>
        <v>0</v>
      </c>
      <c r="X382" s="1409">
        <f t="shared" ca="1" si="237"/>
        <v>0</v>
      </c>
      <c r="Y382" s="1409">
        <f t="shared" ca="1" si="237"/>
        <v>0</v>
      </c>
      <c r="Z382" s="1409">
        <f t="shared" ca="1" si="237"/>
        <v>0</v>
      </c>
      <c r="AA382" s="1409">
        <f t="shared" ca="1" si="237"/>
        <v>0</v>
      </c>
      <c r="AB382" s="1409">
        <f t="shared" ca="1" si="237"/>
        <v>0</v>
      </c>
      <c r="AC382" s="1409">
        <f t="shared" ca="1" si="237"/>
        <v>0</v>
      </c>
      <c r="AD382" s="1409">
        <f t="shared" ref="AD382:AK382" ca="1" si="238">SUMIF(AD192:AD222,"&gt;0")</f>
        <v>0</v>
      </c>
      <c r="AE382" s="1409">
        <f t="shared" ca="1" si="238"/>
        <v>0</v>
      </c>
      <c r="AF382" s="1409">
        <f t="shared" ca="1" si="238"/>
        <v>0</v>
      </c>
      <c r="AG382" s="1409">
        <f t="shared" ca="1" si="238"/>
        <v>0</v>
      </c>
      <c r="AH382" s="1409">
        <f t="shared" ca="1" si="238"/>
        <v>0</v>
      </c>
      <c r="AI382" s="1409">
        <f t="shared" ca="1" si="238"/>
        <v>0</v>
      </c>
      <c r="AJ382" s="1409">
        <f t="shared" ca="1" si="238"/>
        <v>0</v>
      </c>
      <c r="AK382" s="1409">
        <f t="shared" ca="1" si="238"/>
        <v>0</v>
      </c>
      <c r="AL382" s="1409">
        <f ca="1">SUMIF(AL192:AL222,"&lt;50")</f>
        <v>0</v>
      </c>
      <c r="AM382" s="1409">
        <f t="shared" ref="AM382:AZ382" ca="1" si="239">SUMIF(AM192:AM222,"&gt;0")</f>
        <v>0</v>
      </c>
      <c r="AN382" s="1409">
        <f t="shared" ca="1" si="239"/>
        <v>0</v>
      </c>
      <c r="AO382" s="1409">
        <f t="shared" si="239"/>
        <v>0</v>
      </c>
      <c r="AP382" s="1409">
        <f t="shared" si="239"/>
        <v>0</v>
      </c>
      <c r="AQ382" s="1409">
        <f t="shared" ca="1" si="239"/>
        <v>0</v>
      </c>
      <c r="AR382" s="1409">
        <f t="shared" ca="1" si="239"/>
        <v>0</v>
      </c>
      <c r="AS382" s="1409">
        <f t="shared" ca="1" si="239"/>
        <v>0</v>
      </c>
      <c r="AT382" s="1409">
        <f t="shared" ca="1" si="239"/>
        <v>0</v>
      </c>
      <c r="AU382" s="1409">
        <f t="shared" si="239"/>
        <v>0</v>
      </c>
      <c r="AV382" s="1409">
        <f t="shared" si="239"/>
        <v>0</v>
      </c>
      <c r="AW382" s="1409">
        <f t="shared" ca="1" si="239"/>
        <v>0</v>
      </c>
      <c r="AX382" s="1409">
        <f t="shared" ca="1" si="239"/>
        <v>0</v>
      </c>
      <c r="AY382" s="1409">
        <f t="shared" ca="1" si="239"/>
        <v>0</v>
      </c>
      <c r="AZ382" s="1409">
        <f t="shared" ca="1" si="239"/>
        <v>0</v>
      </c>
      <c r="BA382" s="1409">
        <f ca="1">SUMIF(BA192:BA222,"&lt;900")</f>
        <v>0</v>
      </c>
      <c r="BB382" s="1409">
        <f t="shared" ref="BB382:BR382" ca="1" si="240">SUMIF(BB192:BB222,"&gt;0")</f>
        <v>0</v>
      </c>
      <c r="BC382" s="1409">
        <f t="shared" ca="1" si="240"/>
        <v>0</v>
      </c>
      <c r="BD382" s="1409">
        <f t="shared" ca="1" si="240"/>
        <v>0</v>
      </c>
      <c r="BE382" s="1409">
        <f t="shared" ca="1" si="240"/>
        <v>0</v>
      </c>
      <c r="BF382" s="1409">
        <f t="shared" ca="1" si="240"/>
        <v>0</v>
      </c>
      <c r="BG382" s="1409">
        <f t="shared" ca="1" si="240"/>
        <v>0</v>
      </c>
      <c r="BH382" s="1409">
        <f t="shared" ca="1" si="240"/>
        <v>0</v>
      </c>
      <c r="BI382" s="1409">
        <f t="shared" ca="1" si="240"/>
        <v>0</v>
      </c>
      <c r="BJ382" s="1409">
        <f t="shared" ca="1" si="240"/>
        <v>0</v>
      </c>
      <c r="BK382" s="1409">
        <f t="shared" ca="1" si="240"/>
        <v>0</v>
      </c>
      <c r="BL382" s="1409">
        <f t="shared" ca="1" si="240"/>
        <v>0</v>
      </c>
      <c r="BM382" s="1409">
        <f t="shared" ca="1" si="240"/>
        <v>0</v>
      </c>
      <c r="BN382" s="1409">
        <f t="shared" ca="1" si="240"/>
        <v>0</v>
      </c>
      <c r="BO382" s="1409">
        <f t="shared" ca="1" si="240"/>
        <v>0</v>
      </c>
      <c r="BP382" s="1409">
        <f t="shared" ca="1" si="240"/>
        <v>0</v>
      </c>
      <c r="BQ382" s="1398">
        <f t="shared" ca="1" si="240"/>
        <v>0</v>
      </c>
      <c r="BR382" s="1398">
        <f t="shared" ca="1" si="240"/>
        <v>0</v>
      </c>
      <c r="BS382" s="1398">
        <f t="shared" ref="BS382:CU382" ca="1" si="241">SUMIF(BS192:BS222,"&gt;0")</f>
        <v>0</v>
      </c>
      <c r="BT382" s="1398">
        <f t="shared" ca="1" si="241"/>
        <v>0</v>
      </c>
      <c r="BU382" s="1398">
        <f t="shared" ca="1" si="241"/>
        <v>0</v>
      </c>
      <c r="BV382" s="1398">
        <f t="shared" ca="1" si="241"/>
        <v>0</v>
      </c>
      <c r="BW382" s="1398">
        <f t="shared" ca="1" si="241"/>
        <v>0</v>
      </c>
      <c r="BX382" s="1398">
        <f t="shared" ca="1" si="241"/>
        <v>0</v>
      </c>
      <c r="BY382" s="1398">
        <f t="shared" ca="1" si="241"/>
        <v>0</v>
      </c>
      <c r="BZ382" s="1398">
        <f t="shared" ca="1" si="241"/>
        <v>0</v>
      </c>
      <c r="CA382" s="1398">
        <f t="shared" ca="1" si="241"/>
        <v>0</v>
      </c>
      <c r="CB382" s="1398">
        <f t="shared" ca="1" si="241"/>
        <v>0</v>
      </c>
      <c r="CC382" s="1398">
        <f t="shared" ca="1" si="241"/>
        <v>0</v>
      </c>
      <c r="CD382" s="1398">
        <f t="shared" ca="1" si="241"/>
        <v>0</v>
      </c>
      <c r="CE382" s="1398">
        <f t="shared" ca="1" si="241"/>
        <v>0</v>
      </c>
      <c r="CF382" s="1398">
        <f t="shared" ca="1" si="241"/>
        <v>0</v>
      </c>
      <c r="CG382" s="1398">
        <f t="shared" ca="1" si="241"/>
        <v>0</v>
      </c>
      <c r="CH382" s="1398">
        <f t="shared" ca="1" si="241"/>
        <v>0</v>
      </c>
      <c r="CI382" s="1398">
        <f t="shared" ca="1" si="241"/>
        <v>0</v>
      </c>
      <c r="CJ382" s="1398">
        <f t="shared" ca="1" si="241"/>
        <v>0</v>
      </c>
      <c r="CK382" s="1398">
        <f t="shared" ca="1" si="241"/>
        <v>0</v>
      </c>
      <c r="CL382" s="1398">
        <f t="shared" ca="1" si="241"/>
        <v>0</v>
      </c>
      <c r="CM382" s="1398">
        <f t="shared" ca="1" si="241"/>
        <v>0</v>
      </c>
      <c r="CN382" s="1398">
        <f t="shared" ca="1" si="241"/>
        <v>0</v>
      </c>
      <c r="CO382" s="1398">
        <f t="shared" ca="1" si="241"/>
        <v>0</v>
      </c>
      <c r="CP382" s="1398">
        <f t="shared" ca="1" si="241"/>
        <v>0</v>
      </c>
      <c r="CQ382" s="1398">
        <f t="shared" ca="1" si="241"/>
        <v>0</v>
      </c>
      <c r="CR382" s="1398">
        <f t="shared" ca="1" si="241"/>
        <v>0</v>
      </c>
      <c r="CS382" s="1398">
        <f t="shared" ca="1" si="241"/>
        <v>0</v>
      </c>
      <c r="CT382" s="1398">
        <f t="shared" si="241"/>
        <v>0</v>
      </c>
      <c r="CU382" s="1398">
        <f t="shared" si="241"/>
        <v>0</v>
      </c>
    </row>
    <row r="383" spans="2:99">
      <c r="B383" s="163" t="s">
        <v>184</v>
      </c>
      <c r="C383" s="1409">
        <f t="shared" ref="C383:Q383" ca="1" si="242">SUMIF(C223:C253,"&gt;0")</f>
        <v>0</v>
      </c>
      <c r="D383" s="1409">
        <f t="shared" ca="1" si="242"/>
        <v>0</v>
      </c>
      <c r="E383" s="1409">
        <f t="shared" ca="1" si="242"/>
        <v>0</v>
      </c>
      <c r="F383" s="1409">
        <f t="shared" ca="1" si="242"/>
        <v>0</v>
      </c>
      <c r="G383" s="1409">
        <f t="shared" ca="1" si="242"/>
        <v>0</v>
      </c>
      <c r="H383" s="1409">
        <f t="shared" ca="1" si="242"/>
        <v>0</v>
      </c>
      <c r="I383" s="199">
        <f t="shared" ca="1" si="242"/>
        <v>0</v>
      </c>
      <c r="J383" s="1409">
        <f t="shared" ca="1" si="242"/>
        <v>0</v>
      </c>
      <c r="K383" s="1409">
        <f t="shared" ca="1" si="242"/>
        <v>0</v>
      </c>
      <c r="L383" s="1409">
        <f t="shared" ca="1" si="242"/>
        <v>0</v>
      </c>
      <c r="M383" s="1409">
        <f t="shared" ca="1" si="242"/>
        <v>0</v>
      </c>
      <c r="N383" s="1409">
        <f t="shared" ca="1" si="242"/>
        <v>0</v>
      </c>
      <c r="O383" s="1409">
        <f t="shared" ca="1" si="242"/>
        <v>0</v>
      </c>
      <c r="P383" s="199">
        <f t="shared" ca="1" si="242"/>
        <v>0</v>
      </c>
      <c r="Q383" s="1409">
        <f t="shared" ca="1" si="242"/>
        <v>0</v>
      </c>
      <c r="R383" s="1409">
        <f t="shared" ref="R383:AC383" ca="1" si="243">SUMIF(R223:R253,"&gt;0")</f>
        <v>0</v>
      </c>
      <c r="S383" s="1437">
        <f t="shared" ca="1" si="243"/>
        <v>0</v>
      </c>
      <c r="T383" s="1409">
        <f t="shared" ca="1" si="243"/>
        <v>0</v>
      </c>
      <c r="U383" s="1409">
        <f t="shared" ca="1" si="243"/>
        <v>0</v>
      </c>
      <c r="V383" s="1409">
        <f t="shared" ca="1" si="243"/>
        <v>0</v>
      </c>
      <c r="W383" s="1409">
        <f t="shared" ca="1" si="243"/>
        <v>0</v>
      </c>
      <c r="X383" s="1409">
        <f t="shared" ca="1" si="243"/>
        <v>0</v>
      </c>
      <c r="Y383" s="1409">
        <f t="shared" ca="1" si="243"/>
        <v>0</v>
      </c>
      <c r="Z383" s="1409">
        <f t="shared" ca="1" si="243"/>
        <v>0</v>
      </c>
      <c r="AA383" s="1409">
        <f t="shared" ca="1" si="243"/>
        <v>0</v>
      </c>
      <c r="AB383" s="1409">
        <f t="shared" ca="1" si="243"/>
        <v>0</v>
      </c>
      <c r="AC383" s="1409">
        <f t="shared" ca="1" si="243"/>
        <v>0</v>
      </c>
      <c r="AD383" s="1409">
        <f t="shared" ref="AD383:AK383" ca="1" si="244">SUMIF(AD223:AD253,"&gt;0")</f>
        <v>0</v>
      </c>
      <c r="AE383" s="1409">
        <f t="shared" ca="1" si="244"/>
        <v>0</v>
      </c>
      <c r="AF383" s="1409">
        <f t="shared" ca="1" si="244"/>
        <v>0</v>
      </c>
      <c r="AG383" s="1409">
        <f t="shared" ca="1" si="244"/>
        <v>0</v>
      </c>
      <c r="AH383" s="1409">
        <f t="shared" ca="1" si="244"/>
        <v>0</v>
      </c>
      <c r="AI383" s="1409">
        <f t="shared" ca="1" si="244"/>
        <v>0</v>
      </c>
      <c r="AJ383" s="1409">
        <f t="shared" ca="1" si="244"/>
        <v>0</v>
      </c>
      <c r="AK383" s="1409">
        <f t="shared" ca="1" si="244"/>
        <v>0</v>
      </c>
      <c r="AL383" s="1409">
        <f ca="1">SUMIF(AL223:AL253,"&lt;50")</f>
        <v>0</v>
      </c>
      <c r="AM383" s="1409">
        <f t="shared" ref="AM383:AZ383" ca="1" si="245">SUMIF(AM223:AM253,"&gt;0")</f>
        <v>0</v>
      </c>
      <c r="AN383" s="1409">
        <f t="shared" ca="1" si="245"/>
        <v>0</v>
      </c>
      <c r="AO383" s="1409">
        <f t="shared" si="245"/>
        <v>0</v>
      </c>
      <c r="AP383" s="1409">
        <f t="shared" si="245"/>
        <v>0</v>
      </c>
      <c r="AQ383" s="1409">
        <f t="shared" si="245"/>
        <v>0</v>
      </c>
      <c r="AR383" s="1409">
        <f t="shared" ca="1" si="245"/>
        <v>0</v>
      </c>
      <c r="AS383" s="1409">
        <f t="shared" ca="1" si="245"/>
        <v>0</v>
      </c>
      <c r="AT383" s="1409">
        <f t="shared" ca="1" si="245"/>
        <v>0</v>
      </c>
      <c r="AU383" s="1409">
        <f t="shared" si="245"/>
        <v>0</v>
      </c>
      <c r="AV383" s="1409">
        <f t="shared" si="245"/>
        <v>0</v>
      </c>
      <c r="AW383" s="1409">
        <f t="shared" ca="1" si="245"/>
        <v>0</v>
      </c>
      <c r="AX383" s="1409">
        <f t="shared" ca="1" si="245"/>
        <v>0</v>
      </c>
      <c r="AY383" s="1409">
        <f t="shared" ca="1" si="245"/>
        <v>0</v>
      </c>
      <c r="AZ383" s="1409">
        <f t="shared" ca="1" si="245"/>
        <v>0</v>
      </c>
      <c r="BA383" s="1409">
        <f ca="1">SUMIF(BA223:BA253,"&lt;900")</f>
        <v>0</v>
      </c>
      <c r="BB383" s="1409">
        <f t="shared" ref="BB383:BR383" ca="1" si="246">SUMIF(BB223:BB253,"&gt;0")</f>
        <v>0</v>
      </c>
      <c r="BC383" s="1409">
        <f t="shared" ca="1" si="246"/>
        <v>0</v>
      </c>
      <c r="BD383" s="1409">
        <f t="shared" ca="1" si="246"/>
        <v>0</v>
      </c>
      <c r="BE383" s="1409">
        <f t="shared" ca="1" si="246"/>
        <v>0</v>
      </c>
      <c r="BF383" s="1409">
        <f t="shared" ca="1" si="246"/>
        <v>0</v>
      </c>
      <c r="BG383" s="1409">
        <f t="shared" ca="1" si="246"/>
        <v>0</v>
      </c>
      <c r="BH383" s="1409">
        <f t="shared" ca="1" si="246"/>
        <v>0</v>
      </c>
      <c r="BI383" s="1409">
        <f t="shared" ca="1" si="246"/>
        <v>0</v>
      </c>
      <c r="BJ383" s="1409">
        <f t="shared" ca="1" si="246"/>
        <v>0</v>
      </c>
      <c r="BK383" s="1409">
        <f t="shared" ca="1" si="246"/>
        <v>0</v>
      </c>
      <c r="BL383" s="1409">
        <f t="shared" ca="1" si="246"/>
        <v>0</v>
      </c>
      <c r="BM383" s="1409">
        <f t="shared" ca="1" si="246"/>
        <v>0</v>
      </c>
      <c r="BN383" s="1409">
        <f t="shared" ca="1" si="246"/>
        <v>0</v>
      </c>
      <c r="BO383" s="1409">
        <f t="shared" ca="1" si="246"/>
        <v>0</v>
      </c>
      <c r="BP383" s="1409">
        <f t="shared" ca="1" si="246"/>
        <v>0</v>
      </c>
      <c r="BQ383" s="1398">
        <f t="shared" ca="1" si="246"/>
        <v>0</v>
      </c>
      <c r="BR383" s="1398">
        <f t="shared" ca="1" si="246"/>
        <v>0</v>
      </c>
      <c r="BS383" s="1398">
        <f t="shared" ref="BS383:CU383" ca="1" si="247">SUMIF(BS223:BS253,"&gt;0")</f>
        <v>0</v>
      </c>
      <c r="BT383" s="1398">
        <f t="shared" ca="1" si="247"/>
        <v>0</v>
      </c>
      <c r="BU383" s="1398">
        <f t="shared" ca="1" si="247"/>
        <v>0</v>
      </c>
      <c r="BV383" s="1398">
        <f t="shared" ca="1" si="247"/>
        <v>0</v>
      </c>
      <c r="BW383" s="1398">
        <f t="shared" ca="1" si="247"/>
        <v>0</v>
      </c>
      <c r="BX383" s="1398">
        <f t="shared" ca="1" si="247"/>
        <v>0</v>
      </c>
      <c r="BY383" s="1398">
        <f t="shared" ca="1" si="247"/>
        <v>0</v>
      </c>
      <c r="BZ383" s="1398">
        <f t="shared" ca="1" si="247"/>
        <v>0</v>
      </c>
      <c r="CA383" s="1398">
        <f t="shared" ca="1" si="247"/>
        <v>0</v>
      </c>
      <c r="CB383" s="1398">
        <f t="shared" ca="1" si="247"/>
        <v>0</v>
      </c>
      <c r="CC383" s="1398">
        <f t="shared" ca="1" si="247"/>
        <v>0</v>
      </c>
      <c r="CD383" s="1398">
        <f t="shared" ca="1" si="247"/>
        <v>0</v>
      </c>
      <c r="CE383" s="1398">
        <f t="shared" ca="1" si="247"/>
        <v>0</v>
      </c>
      <c r="CF383" s="1398">
        <f t="shared" ca="1" si="247"/>
        <v>0</v>
      </c>
      <c r="CG383" s="1398">
        <f t="shared" ca="1" si="247"/>
        <v>0</v>
      </c>
      <c r="CH383" s="1398">
        <f t="shared" ca="1" si="247"/>
        <v>0</v>
      </c>
      <c r="CI383" s="1398">
        <f t="shared" ca="1" si="247"/>
        <v>0</v>
      </c>
      <c r="CJ383" s="1398">
        <f t="shared" ca="1" si="247"/>
        <v>0</v>
      </c>
      <c r="CK383" s="1398">
        <f t="shared" ca="1" si="247"/>
        <v>0</v>
      </c>
      <c r="CL383" s="1398">
        <f t="shared" ca="1" si="247"/>
        <v>0</v>
      </c>
      <c r="CM383" s="1398">
        <f t="shared" ca="1" si="247"/>
        <v>0</v>
      </c>
      <c r="CN383" s="1398">
        <f t="shared" ca="1" si="247"/>
        <v>0</v>
      </c>
      <c r="CO383" s="1398">
        <f t="shared" ca="1" si="247"/>
        <v>0</v>
      </c>
      <c r="CP383" s="1398">
        <f t="shared" ca="1" si="247"/>
        <v>0</v>
      </c>
      <c r="CQ383" s="1398">
        <f t="shared" ca="1" si="247"/>
        <v>0</v>
      </c>
      <c r="CR383" s="1398">
        <f t="shared" ca="1" si="247"/>
        <v>0</v>
      </c>
      <c r="CS383" s="1398">
        <f t="shared" ca="1" si="247"/>
        <v>0</v>
      </c>
      <c r="CT383" s="1398">
        <f t="shared" si="247"/>
        <v>0</v>
      </c>
      <c r="CU383" s="1398">
        <f t="shared" si="247"/>
        <v>0</v>
      </c>
    </row>
    <row r="384" spans="2:99">
      <c r="B384" s="163" t="s">
        <v>185</v>
      </c>
      <c r="C384" s="1409">
        <f t="shared" ref="C384:Q384" ca="1" si="248">SUMIF(C254:C283,"&gt;0")</f>
        <v>0</v>
      </c>
      <c r="D384" s="1409">
        <f t="shared" ca="1" si="248"/>
        <v>0</v>
      </c>
      <c r="E384" s="1409">
        <f t="shared" ca="1" si="248"/>
        <v>0</v>
      </c>
      <c r="F384" s="1409">
        <f t="shared" ca="1" si="248"/>
        <v>0</v>
      </c>
      <c r="G384" s="1409">
        <f t="shared" ca="1" si="248"/>
        <v>0</v>
      </c>
      <c r="H384" s="1409">
        <f t="shared" ca="1" si="248"/>
        <v>0</v>
      </c>
      <c r="I384" s="199">
        <f t="shared" ca="1" si="248"/>
        <v>0</v>
      </c>
      <c r="J384" s="1409">
        <f t="shared" ca="1" si="248"/>
        <v>0</v>
      </c>
      <c r="K384" s="1409">
        <f t="shared" ca="1" si="248"/>
        <v>0</v>
      </c>
      <c r="L384" s="1409">
        <f t="shared" ca="1" si="248"/>
        <v>0</v>
      </c>
      <c r="M384" s="1409">
        <f t="shared" ca="1" si="248"/>
        <v>1E-3</v>
      </c>
      <c r="N384" s="1409">
        <f t="shared" ca="1" si="248"/>
        <v>0</v>
      </c>
      <c r="O384" s="1409">
        <f t="shared" ca="1" si="248"/>
        <v>0</v>
      </c>
      <c r="P384" s="199">
        <f t="shared" ca="1" si="248"/>
        <v>0</v>
      </c>
      <c r="Q384" s="1409">
        <f t="shared" ca="1" si="248"/>
        <v>0</v>
      </c>
      <c r="R384" s="1409">
        <f t="shared" ref="R384:AC384" ca="1" si="249">SUMIF(R254:R283,"&gt;0")</f>
        <v>0</v>
      </c>
      <c r="S384" s="1437">
        <f t="shared" ca="1" si="249"/>
        <v>0</v>
      </c>
      <c r="T384" s="1409">
        <f t="shared" ca="1" si="249"/>
        <v>0</v>
      </c>
      <c r="U384" s="1409">
        <f t="shared" ca="1" si="249"/>
        <v>0</v>
      </c>
      <c r="V384" s="1409">
        <f t="shared" ca="1" si="249"/>
        <v>0</v>
      </c>
      <c r="W384" s="1409">
        <f t="shared" ca="1" si="249"/>
        <v>0</v>
      </c>
      <c r="X384" s="1409">
        <f t="shared" ca="1" si="249"/>
        <v>1E-3</v>
      </c>
      <c r="Y384" s="1441">
        <f t="shared" ca="1" si="249"/>
        <v>0</v>
      </c>
      <c r="Z384" s="1409">
        <f t="shared" ca="1" si="249"/>
        <v>0</v>
      </c>
      <c r="AA384" s="1409">
        <f t="shared" ca="1" si="249"/>
        <v>0</v>
      </c>
      <c r="AB384" s="1409">
        <f t="shared" ca="1" si="249"/>
        <v>0</v>
      </c>
      <c r="AC384" s="1409">
        <f t="shared" ca="1" si="249"/>
        <v>0</v>
      </c>
      <c r="AD384" s="1409">
        <f t="shared" ref="AD384:AK384" ca="1" si="250">SUMIF(AD254:AD283,"&gt;0")</f>
        <v>0</v>
      </c>
      <c r="AE384" s="1409">
        <f t="shared" ca="1" si="250"/>
        <v>0</v>
      </c>
      <c r="AF384" s="1409">
        <f t="shared" ca="1" si="250"/>
        <v>0</v>
      </c>
      <c r="AG384" s="1409">
        <f t="shared" ca="1" si="250"/>
        <v>0</v>
      </c>
      <c r="AH384" s="1409">
        <f t="shared" ca="1" si="250"/>
        <v>0</v>
      </c>
      <c r="AI384" s="1409">
        <f t="shared" ca="1" si="250"/>
        <v>0</v>
      </c>
      <c r="AJ384" s="1409">
        <f t="shared" ca="1" si="250"/>
        <v>0</v>
      </c>
      <c r="AK384" s="1409">
        <f t="shared" ca="1" si="250"/>
        <v>0</v>
      </c>
      <c r="AL384" s="1409">
        <f ca="1">SUMIF(AL254:AL283,"&lt;50")</f>
        <v>0</v>
      </c>
      <c r="AM384" s="1409">
        <f t="shared" ref="AM384:AZ384" ca="1" si="251">SUMIF(AM254:AM283,"&gt;0")</f>
        <v>0</v>
      </c>
      <c r="AN384" s="1409">
        <f t="shared" ca="1" si="251"/>
        <v>0</v>
      </c>
      <c r="AO384" s="1409">
        <f t="shared" si="251"/>
        <v>0</v>
      </c>
      <c r="AP384" s="1409">
        <f t="shared" si="251"/>
        <v>0</v>
      </c>
      <c r="AQ384" s="1409">
        <f t="shared" si="251"/>
        <v>0</v>
      </c>
      <c r="AR384" s="1409">
        <f t="shared" si="251"/>
        <v>0</v>
      </c>
      <c r="AS384" s="1409">
        <f t="shared" ca="1" si="251"/>
        <v>0</v>
      </c>
      <c r="AT384" s="1409">
        <f t="shared" ca="1" si="251"/>
        <v>0</v>
      </c>
      <c r="AU384" s="1409">
        <f t="shared" si="251"/>
        <v>0</v>
      </c>
      <c r="AV384" s="1409">
        <f t="shared" si="251"/>
        <v>0</v>
      </c>
      <c r="AW384" s="1409">
        <f t="shared" ca="1" si="251"/>
        <v>0</v>
      </c>
      <c r="AX384" s="1409">
        <f t="shared" ca="1" si="251"/>
        <v>0</v>
      </c>
      <c r="AY384" s="1409">
        <f t="shared" ca="1" si="251"/>
        <v>0</v>
      </c>
      <c r="AZ384" s="1409">
        <f t="shared" ca="1" si="251"/>
        <v>0</v>
      </c>
      <c r="BA384" s="1409">
        <f ca="1">SUMIF(BA254:BA283,"&lt;900")</f>
        <v>0</v>
      </c>
      <c r="BB384" s="1409">
        <f t="shared" ref="BB384:BR384" ca="1" si="252">SUMIF(BB254:BB283,"&gt;0")</f>
        <v>0</v>
      </c>
      <c r="BC384" s="1409">
        <f t="shared" ca="1" si="252"/>
        <v>0</v>
      </c>
      <c r="BD384" s="1409">
        <f t="shared" si="252"/>
        <v>0</v>
      </c>
      <c r="BE384" s="1409">
        <f t="shared" ca="1" si="252"/>
        <v>0</v>
      </c>
      <c r="BF384" s="1409">
        <f t="shared" ca="1" si="252"/>
        <v>0</v>
      </c>
      <c r="BG384" s="1409">
        <f t="shared" ca="1" si="252"/>
        <v>0</v>
      </c>
      <c r="BH384" s="1409">
        <f t="shared" ca="1" si="252"/>
        <v>0</v>
      </c>
      <c r="BI384" s="1409">
        <f t="shared" ca="1" si="252"/>
        <v>0</v>
      </c>
      <c r="BJ384" s="1409">
        <f t="shared" ca="1" si="252"/>
        <v>0</v>
      </c>
      <c r="BK384" s="1409">
        <f t="shared" ca="1" si="252"/>
        <v>0</v>
      </c>
      <c r="BL384" s="1409">
        <f t="shared" ca="1" si="252"/>
        <v>0</v>
      </c>
      <c r="BM384" s="1409">
        <f t="shared" ca="1" si="252"/>
        <v>0</v>
      </c>
      <c r="BN384" s="1409">
        <f t="shared" ca="1" si="252"/>
        <v>0</v>
      </c>
      <c r="BO384" s="1409">
        <f t="shared" ca="1" si="252"/>
        <v>0</v>
      </c>
      <c r="BP384" s="1409">
        <f t="shared" ca="1" si="252"/>
        <v>0</v>
      </c>
      <c r="BQ384" s="1398">
        <f t="shared" ca="1" si="252"/>
        <v>0</v>
      </c>
      <c r="BR384" s="1398">
        <f t="shared" ca="1" si="252"/>
        <v>0</v>
      </c>
      <c r="BS384" s="1398">
        <f t="shared" ref="BS384:CU384" ca="1" si="253">SUMIF(BS254:BS283,"&gt;0")</f>
        <v>0</v>
      </c>
      <c r="BT384" s="1398">
        <f t="shared" ca="1" si="253"/>
        <v>0</v>
      </c>
      <c r="BU384" s="1398">
        <f t="shared" ca="1" si="253"/>
        <v>0</v>
      </c>
      <c r="BV384" s="1398">
        <f t="shared" ca="1" si="253"/>
        <v>0</v>
      </c>
      <c r="BW384" s="1398">
        <f t="shared" ca="1" si="253"/>
        <v>0</v>
      </c>
      <c r="BX384" s="1398">
        <f t="shared" ca="1" si="253"/>
        <v>0</v>
      </c>
      <c r="BY384" s="1398">
        <f t="shared" ca="1" si="253"/>
        <v>0</v>
      </c>
      <c r="BZ384" s="1398">
        <f t="shared" ca="1" si="253"/>
        <v>0</v>
      </c>
      <c r="CA384" s="1398">
        <f t="shared" ca="1" si="253"/>
        <v>0</v>
      </c>
      <c r="CB384" s="1398">
        <f t="shared" ca="1" si="253"/>
        <v>0</v>
      </c>
      <c r="CC384" s="1398">
        <f t="shared" ca="1" si="253"/>
        <v>0</v>
      </c>
      <c r="CD384" s="1398">
        <f t="shared" ca="1" si="253"/>
        <v>0</v>
      </c>
      <c r="CE384" s="1398">
        <f t="shared" ca="1" si="253"/>
        <v>0</v>
      </c>
      <c r="CF384" s="1398">
        <f t="shared" ca="1" si="253"/>
        <v>0</v>
      </c>
      <c r="CG384" s="1398">
        <f t="shared" ca="1" si="253"/>
        <v>0</v>
      </c>
      <c r="CH384" s="1398">
        <f t="shared" ca="1" si="253"/>
        <v>0</v>
      </c>
      <c r="CI384" s="1398">
        <f t="shared" ca="1" si="253"/>
        <v>0</v>
      </c>
      <c r="CJ384" s="1398">
        <f t="shared" ca="1" si="253"/>
        <v>0</v>
      </c>
      <c r="CK384" s="1398">
        <f t="shared" ca="1" si="253"/>
        <v>0</v>
      </c>
      <c r="CL384" s="1398">
        <f t="shared" ca="1" si="253"/>
        <v>0</v>
      </c>
      <c r="CM384" s="1398">
        <f t="shared" ca="1" si="253"/>
        <v>0</v>
      </c>
      <c r="CN384" s="1398">
        <f t="shared" ca="1" si="253"/>
        <v>0</v>
      </c>
      <c r="CO384" s="1398">
        <f t="shared" ca="1" si="253"/>
        <v>0</v>
      </c>
      <c r="CP384" s="1398">
        <f t="shared" ca="1" si="253"/>
        <v>0</v>
      </c>
      <c r="CQ384" s="1398">
        <f t="shared" ca="1" si="253"/>
        <v>0</v>
      </c>
      <c r="CR384" s="1398">
        <f t="shared" ca="1" si="253"/>
        <v>0</v>
      </c>
      <c r="CS384" s="1398">
        <f t="shared" ca="1" si="253"/>
        <v>0</v>
      </c>
      <c r="CT384" s="1398">
        <f t="shared" si="253"/>
        <v>0</v>
      </c>
      <c r="CU384" s="1398">
        <f t="shared" si="253"/>
        <v>0</v>
      </c>
    </row>
    <row r="385" spans="2:99">
      <c r="B385" s="163" t="s">
        <v>186</v>
      </c>
      <c r="C385" s="1409">
        <f t="shared" ref="C385:Q385" ca="1" si="254">SUMIF(C284:C314,"&gt;0")</f>
        <v>0</v>
      </c>
      <c r="D385" s="1409">
        <f t="shared" ca="1" si="254"/>
        <v>0</v>
      </c>
      <c r="E385" s="1409">
        <f t="shared" ca="1" si="254"/>
        <v>0</v>
      </c>
      <c r="F385" s="1409">
        <f t="shared" ca="1" si="254"/>
        <v>0</v>
      </c>
      <c r="G385" s="1409">
        <f t="shared" ca="1" si="254"/>
        <v>0</v>
      </c>
      <c r="H385" s="1409">
        <f t="shared" ca="1" si="254"/>
        <v>0</v>
      </c>
      <c r="I385" s="199">
        <f t="shared" ca="1" si="254"/>
        <v>0</v>
      </c>
      <c r="J385" s="1409">
        <f t="shared" ca="1" si="254"/>
        <v>0</v>
      </c>
      <c r="K385" s="1409">
        <f t="shared" ca="1" si="254"/>
        <v>0</v>
      </c>
      <c r="L385" s="1409">
        <f t="shared" ca="1" si="254"/>
        <v>0</v>
      </c>
      <c r="M385" s="1409">
        <f t="shared" ca="1" si="254"/>
        <v>0</v>
      </c>
      <c r="N385" s="1409">
        <f t="shared" ca="1" si="254"/>
        <v>0</v>
      </c>
      <c r="O385" s="1409">
        <f t="shared" ca="1" si="254"/>
        <v>0</v>
      </c>
      <c r="P385" s="199">
        <f t="shared" ca="1" si="254"/>
        <v>0</v>
      </c>
      <c r="Q385" s="1409">
        <f t="shared" ca="1" si="254"/>
        <v>0</v>
      </c>
      <c r="R385" s="1409">
        <f t="shared" ref="R385:AC385" ca="1" si="255">SUMIF(R284:R314,"&gt;0")</f>
        <v>0</v>
      </c>
      <c r="S385" s="1437">
        <f t="shared" ca="1" si="255"/>
        <v>0</v>
      </c>
      <c r="T385" s="1409">
        <f t="shared" ca="1" si="255"/>
        <v>0</v>
      </c>
      <c r="U385" s="1409">
        <f t="shared" ca="1" si="255"/>
        <v>0</v>
      </c>
      <c r="V385" s="1409">
        <f t="shared" ca="1" si="255"/>
        <v>0</v>
      </c>
      <c r="W385" s="1409">
        <f t="shared" ca="1" si="255"/>
        <v>0</v>
      </c>
      <c r="X385" s="1409">
        <f t="shared" ca="1" si="255"/>
        <v>0</v>
      </c>
      <c r="Y385" s="1437">
        <f t="shared" ca="1" si="255"/>
        <v>0</v>
      </c>
      <c r="Z385" s="1409">
        <f t="shared" ca="1" si="255"/>
        <v>0</v>
      </c>
      <c r="AA385" s="1409">
        <f t="shared" ca="1" si="255"/>
        <v>0</v>
      </c>
      <c r="AB385" s="1409">
        <f t="shared" ca="1" si="255"/>
        <v>0</v>
      </c>
      <c r="AC385" s="1409">
        <f t="shared" ca="1" si="255"/>
        <v>0</v>
      </c>
      <c r="AD385" s="1409">
        <f t="shared" ref="AD385:AK385" ca="1" si="256">SUMIF(AD284:AD314,"&gt;0")</f>
        <v>0</v>
      </c>
      <c r="AE385" s="1409">
        <f t="shared" ca="1" si="256"/>
        <v>0</v>
      </c>
      <c r="AF385" s="1409">
        <f t="shared" ca="1" si="256"/>
        <v>0</v>
      </c>
      <c r="AG385" s="1409">
        <f t="shared" ca="1" si="256"/>
        <v>0</v>
      </c>
      <c r="AH385" s="1409">
        <f t="shared" ca="1" si="256"/>
        <v>0</v>
      </c>
      <c r="AI385" s="1409">
        <f t="shared" ca="1" si="256"/>
        <v>0</v>
      </c>
      <c r="AJ385" s="1409">
        <f t="shared" ca="1" si="256"/>
        <v>0</v>
      </c>
      <c r="AK385" s="1409">
        <f t="shared" ca="1" si="256"/>
        <v>0</v>
      </c>
      <c r="AL385" s="1409">
        <f ca="1">SUMIF(AL284:AL314,"&lt;50")</f>
        <v>0</v>
      </c>
      <c r="AM385" s="1409">
        <f t="shared" ref="AM385:AZ385" ca="1" si="257">SUMIF(AM284:AM314,"&gt;0")</f>
        <v>0</v>
      </c>
      <c r="AN385" s="1409">
        <f t="shared" ca="1" si="257"/>
        <v>0</v>
      </c>
      <c r="AO385" s="1409">
        <f t="shared" ca="1" si="257"/>
        <v>0</v>
      </c>
      <c r="AP385" s="1409">
        <f t="shared" ca="1" si="257"/>
        <v>0</v>
      </c>
      <c r="AQ385" s="1409">
        <f t="shared" ca="1" si="257"/>
        <v>0</v>
      </c>
      <c r="AR385" s="1409">
        <f t="shared" ca="1" si="257"/>
        <v>0</v>
      </c>
      <c r="AS385" s="1409">
        <f t="shared" ca="1" si="257"/>
        <v>0</v>
      </c>
      <c r="AT385" s="1409">
        <f t="shared" ca="1" si="257"/>
        <v>0</v>
      </c>
      <c r="AU385" s="1409">
        <f t="shared" ca="1" si="257"/>
        <v>0</v>
      </c>
      <c r="AV385" s="1409">
        <f t="shared" ca="1" si="257"/>
        <v>0</v>
      </c>
      <c r="AW385" s="1409">
        <f t="shared" ca="1" si="257"/>
        <v>0</v>
      </c>
      <c r="AX385" s="1409">
        <f t="shared" ca="1" si="257"/>
        <v>0</v>
      </c>
      <c r="AY385" s="1409">
        <f t="shared" ca="1" si="257"/>
        <v>0</v>
      </c>
      <c r="AZ385" s="1409">
        <f t="shared" ca="1" si="257"/>
        <v>0</v>
      </c>
      <c r="BA385" s="1409">
        <f ca="1">SUMIF(BA284:BA314,"&lt;900")</f>
        <v>0</v>
      </c>
      <c r="BB385" s="1409">
        <f t="shared" ref="BB385:BR385" ca="1" si="258">SUMIF(BB284:BB314,"&gt;0")</f>
        <v>0</v>
      </c>
      <c r="BC385" s="1409">
        <f t="shared" ca="1" si="258"/>
        <v>0</v>
      </c>
      <c r="BD385" s="1409">
        <f t="shared" ca="1" si="258"/>
        <v>0</v>
      </c>
      <c r="BE385" s="1409">
        <f t="shared" ca="1" si="258"/>
        <v>0</v>
      </c>
      <c r="BF385" s="1409">
        <f t="shared" ca="1" si="258"/>
        <v>0</v>
      </c>
      <c r="BG385" s="1409">
        <f t="shared" ca="1" si="258"/>
        <v>0</v>
      </c>
      <c r="BH385" s="1409">
        <f t="shared" ca="1" si="258"/>
        <v>0</v>
      </c>
      <c r="BI385" s="1409">
        <f t="shared" ca="1" si="258"/>
        <v>0</v>
      </c>
      <c r="BJ385" s="1409">
        <f t="shared" ca="1" si="258"/>
        <v>0</v>
      </c>
      <c r="BK385" s="1409">
        <f t="shared" ca="1" si="258"/>
        <v>0</v>
      </c>
      <c r="BL385" s="1409">
        <f t="shared" ca="1" si="258"/>
        <v>0</v>
      </c>
      <c r="BM385" s="1409">
        <f t="shared" ca="1" si="258"/>
        <v>0</v>
      </c>
      <c r="BN385" s="1409">
        <f t="shared" ca="1" si="258"/>
        <v>0</v>
      </c>
      <c r="BO385" s="1409">
        <f t="shared" ca="1" si="258"/>
        <v>0</v>
      </c>
      <c r="BP385" s="1409">
        <f t="shared" ca="1" si="258"/>
        <v>0</v>
      </c>
      <c r="BQ385" s="1398">
        <f t="shared" ca="1" si="258"/>
        <v>0</v>
      </c>
      <c r="BR385" s="1398">
        <f t="shared" ca="1" si="258"/>
        <v>0</v>
      </c>
      <c r="BS385" s="1398">
        <f t="shared" ref="BS385:CU385" ca="1" si="259">SUMIF(BS284:BS314,"&gt;0")</f>
        <v>0</v>
      </c>
      <c r="BT385" s="1398">
        <f t="shared" ca="1" si="259"/>
        <v>0</v>
      </c>
      <c r="BU385" s="1398">
        <f t="shared" ca="1" si="259"/>
        <v>0</v>
      </c>
      <c r="BV385" s="1398">
        <f t="shared" ca="1" si="259"/>
        <v>0</v>
      </c>
      <c r="BW385" s="1398">
        <f t="shared" ca="1" si="259"/>
        <v>0</v>
      </c>
      <c r="BX385" s="1398">
        <f t="shared" ca="1" si="259"/>
        <v>0</v>
      </c>
      <c r="BY385" s="1398">
        <f t="shared" ca="1" si="259"/>
        <v>0</v>
      </c>
      <c r="BZ385" s="1398">
        <f t="shared" ca="1" si="259"/>
        <v>0</v>
      </c>
      <c r="CA385" s="1398">
        <f t="shared" ca="1" si="259"/>
        <v>0</v>
      </c>
      <c r="CB385" s="1398">
        <f t="shared" ca="1" si="259"/>
        <v>0</v>
      </c>
      <c r="CC385" s="1398">
        <f t="shared" ca="1" si="259"/>
        <v>0</v>
      </c>
      <c r="CD385" s="1398">
        <f t="shared" ca="1" si="259"/>
        <v>0</v>
      </c>
      <c r="CE385" s="1398">
        <f t="shared" ca="1" si="259"/>
        <v>0</v>
      </c>
      <c r="CF385" s="1398">
        <f t="shared" ca="1" si="259"/>
        <v>0</v>
      </c>
      <c r="CG385" s="1398">
        <f t="shared" ca="1" si="259"/>
        <v>0</v>
      </c>
      <c r="CH385" s="1398">
        <f t="shared" ca="1" si="259"/>
        <v>0</v>
      </c>
      <c r="CI385" s="1398">
        <f t="shared" ca="1" si="259"/>
        <v>0</v>
      </c>
      <c r="CJ385" s="1398">
        <f t="shared" ca="1" si="259"/>
        <v>0</v>
      </c>
      <c r="CK385" s="1398">
        <f t="shared" ca="1" si="259"/>
        <v>0</v>
      </c>
      <c r="CL385" s="1398">
        <f t="shared" ca="1" si="259"/>
        <v>0</v>
      </c>
      <c r="CM385" s="1398">
        <f t="shared" ca="1" si="259"/>
        <v>0</v>
      </c>
      <c r="CN385" s="1398">
        <f t="shared" ca="1" si="259"/>
        <v>0</v>
      </c>
      <c r="CO385" s="1398">
        <f t="shared" ca="1" si="259"/>
        <v>0</v>
      </c>
      <c r="CP385" s="1398">
        <f t="shared" ca="1" si="259"/>
        <v>0</v>
      </c>
      <c r="CQ385" s="1398">
        <f t="shared" ca="1" si="259"/>
        <v>0</v>
      </c>
      <c r="CR385" s="1398">
        <f t="shared" ca="1" si="259"/>
        <v>0</v>
      </c>
      <c r="CS385" s="1398">
        <f t="shared" ca="1" si="259"/>
        <v>0</v>
      </c>
      <c r="CT385" s="1398">
        <f t="shared" si="259"/>
        <v>0</v>
      </c>
      <c r="CU385" s="1398">
        <f t="shared" si="259"/>
        <v>0</v>
      </c>
    </row>
    <row r="386" spans="2:99">
      <c r="B386" s="163" t="s">
        <v>187</v>
      </c>
      <c r="C386" s="1409">
        <f t="shared" ref="C386:Q386" ca="1" si="260">SUMIF(C315:C344,"&gt;0")</f>
        <v>0</v>
      </c>
      <c r="D386" s="1409">
        <f t="shared" ca="1" si="260"/>
        <v>0</v>
      </c>
      <c r="E386" s="1409">
        <f t="shared" ca="1" si="260"/>
        <v>0</v>
      </c>
      <c r="F386" s="1409">
        <f t="shared" ca="1" si="260"/>
        <v>0</v>
      </c>
      <c r="G386" s="1409">
        <f t="shared" ca="1" si="260"/>
        <v>0</v>
      </c>
      <c r="H386" s="1409">
        <f t="shared" ca="1" si="260"/>
        <v>0</v>
      </c>
      <c r="I386" s="199">
        <f t="shared" ca="1" si="260"/>
        <v>0</v>
      </c>
      <c r="J386" s="1409">
        <f t="shared" ca="1" si="260"/>
        <v>0</v>
      </c>
      <c r="K386" s="1409">
        <f t="shared" ca="1" si="260"/>
        <v>0</v>
      </c>
      <c r="L386" s="1409">
        <f t="shared" ca="1" si="260"/>
        <v>0</v>
      </c>
      <c r="M386" s="1409">
        <f t="shared" ca="1" si="260"/>
        <v>0</v>
      </c>
      <c r="N386" s="1409">
        <f t="shared" ca="1" si="260"/>
        <v>0</v>
      </c>
      <c r="O386" s="1409">
        <f t="shared" ca="1" si="260"/>
        <v>0</v>
      </c>
      <c r="P386" s="199">
        <f t="shared" ca="1" si="260"/>
        <v>0</v>
      </c>
      <c r="Q386" s="1409">
        <f t="shared" ca="1" si="260"/>
        <v>0</v>
      </c>
      <c r="R386" s="1409">
        <f t="shared" ref="R386:AC386" ca="1" si="261">SUMIF(R315:R344,"&gt;0")</f>
        <v>0</v>
      </c>
      <c r="S386" s="1437">
        <f t="shared" ca="1" si="261"/>
        <v>0</v>
      </c>
      <c r="T386" s="1409">
        <f t="shared" ca="1" si="261"/>
        <v>0</v>
      </c>
      <c r="U386" s="1409">
        <f t="shared" ca="1" si="261"/>
        <v>0</v>
      </c>
      <c r="V386" s="1409">
        <f t="shared" ca="1" si="261"/>
        <v>0</v>
      </c>
      <c r="W386" s="1409">
        <f t="shared" ca="1" si="261"/>
        <v>0</v>
      </c>
      <c r="X386" s="1409">
        <f t="shared" ca="1" si="261"/>
        <v>0</v>
      </c>
      <c r="Y386" s="1441">
        <f ca="1">SUMIF(Y315:Y344,"&gt;0")</f>
        <v>0</v>
      </c>
      <c r="Z386" s="1409">
        <f t="shared" ca="1" si="261"/>
        <v>0</v>
      </c>
      <c r="AA386" s="1409">
        <f t="shared" ca="1" si="261"/>
        <v>0</v>
      </c>
      <c r="AB386" s="1409">
        <f t="shared" ca="1" si="261"/>
        <v>0</v>
      </c>
      <c r="AC386" s="1409">
        <f t="shared" ca="1" si="261"/>
        <v>0</v>
      </c>
      <c r="AD386" s="1409">
        <f t="shared" ref="AD386:AK386" ca="1" si="262">SUMIF(AD315:AD344,"&gt;0")</f>
        <v>0</v>
      </c>
      <c r="AE386" s="1409">
        <f t="shared" ca="1" si="262"/>
        <v>0</v>
      </c>
      <c r="AF386" s="1409">
        <f t="shared" ca="1" si="262"/>
        <v>0</v>
      </c>
      <c r="AG386" s="1409">
        <f t="shared" ca="1" si="262"/>
        <v>0</v>
      </c>
      <c r="AH386" s="1409">
        <f t="shared" ca="1" si="262"/>
        <v>0</v>
      </c>
      <c r="AI386" s="1409">
        <f t="shared" ca="1" si="262"/>
        <v>0</v>
      </c>
      <c r="AJ386" s="1409">
        <f t="shared" ca="1" si="262"/>
        <v>0</v>
      </c>
      <c r="AK386" s="1409">
        <f t="shared" ca="1" si="262"/>
        <v>0</v>
      </c>
      <c r="AL386" s="1409">
        <f ca="1">SUMIF(AL315:AL344,"&lt;50")</f>
        <v>0</v>
      </c>
      <c r="AM386" s="1409">
        <f t="shared" ref="AM386:AZ386" ca="1" si="263">SUMIF(AM315:AM344,"&gt;0")</f>
        <v>0</v>
      </c>
      <c r="AN386" s="1409">
        <f ca="1">SUMIF(AN315:AN344,"&gt;0")</f>
        <v>0</v>
      </c>
      <c r="AO386" s="1409">
        <f t="shared" ca="1" si="263"/>
        <v>0</v>
      </c>
      <c r="AP386" s="1409">
        <f t="shared" ca="1" si="263"/>
        <v>0</v>
      </c>
      <c r="AQ386" s="1409">
        <f t="shared" ca="1" si="263"/>
        <v>0</v>
      </c>
      <c r="AR386" s="1409">
        <f t="shared" ca="1" si="263"/>
        <v>0</v>
      </c>
      <c r="AS386" s="1409">
        <f t="shared" ca="1" si="263"/>
        <v>0</v>
      </c>
      <c r="AT386" s="1409">
        <f t="shared" ca="1" si="263"/>
        <v>0</v>
      </c>
      <c r="AU386" s="1409">
        <f t="shared" ca="1" si="263"/>
        <v>0</v>
      </c>
      <c r="AV386" s="1409">
        <f t="shared" ca="1" si="263"/>
        <v>0</v>
      </c>
      <c r="AW386" s="1409">
        <f t="shared" ca="1" si="263"/>
        <v>0</v>
      </c>
      <c r="AX386" s="1409">
        <f t="shared" ca="1" si="263"/>
        <v>0</v>
      </c>
      <c r="AY386" s="1409">
        <f t="shared" ca="1" si="263"/>
        <v>0</v>
      </c>
      <c r="AZ386" s="1409">
        <f t="shared" ca="1" si="263"/>
        <v>0</v>
      </c>
      <c r="BA386" s="1409">
        <f ca="1">SUMIF(BA315:BA344,"&lt;900")</f>
        <v>0</v>
      </c>
      <c r="BB386" s="1409">
        <f t="shared" ref="BB386:BR386" ca="1" si="264">SUMIF(BB315:BB344,"&gt;0")</f>
        <v>0</v>
      </c>
      <c r="BC386" s="1409">
        <f t="shared" ca="1" si="264"/>
        <v>0</v>
      </c>
      <c r="BD386" s="1409">
        <f t="shared" ca="1" si="264"/>
        <v>0</v>
      </c>
      <c r="BE386" s="1409">
        <f t="shared" ca="1" si="264"/>
        <v>0</v>
      </c>
      <c r="BF386" s="1409">
        <f t="shared" ca="1" si="264"/>
        <v>0</v>
      </c>
      <c r="BG386" s="1409">
        <f t="shared" ca="1" si="264"/>
        <v>0</v>
      </c>
      <c r="BH386" s="1409">
        <f t="shared" ca="1" si="264"/>
        <v>0</v>
      </c>
      <c r="BI386" s="1409">
        <f t="shared" ca="1" si="264"/>
        <v>0</v>
      </c>
      <c r="BJ386" s="1409">
        <f t="shared" ca="1" si="264"/>
        <v>0</v>
      </c>
      <c r="BK386" s="1409">
        <f t="shared" ca="1" si="264"/>
        <v>0</v>
      </c>
      <c r="BL386" s="1409">
        <f t="shared" ca="1" si="264"/>
        <v>0</v>
      </c>
      <c r="BM386" s="1409">
        <f t="shared" ca="1" si="264"/>
        <v>0</v>
      </c>
      <c r="BN386" s="1409">
        <f t="shared" ca="1" si="264"/>
        <v>0</v>
      </c>
      <c r="BO386" s="1409">
        <f t="shared" ca="1" si="264"/>
        <v>0</v>
      </c>
      <c r="BP386" s="1409">
        <f t="shared" ca="1" si="264"/>
        <v>0</v>
      </c>
      <c r="BQ386" s="1398">
        <f t="shared" ca="1" si="264"/>
        <v>0</v>
      </c>
      <c r="BR386" s="1398">
        <f t="shared" ca="1" si="264"/>
        <v>0</v>
      </c>
      <c r="BS386" s="1398">
        <f t="shared" ref="BS386:CU386" ca="1" si="265">SUMIF(BS315:BS344,"&gt;0")</f>
        <v>0</v>
      </c>
      <c r="BT386" s="1398">
        <f t="shared" ca="1" si="265"/>
        <v>0</v>
      </c>
      <c r="BU386" s="1398">
        <f t="shared" ca="1" si="265"/>
        <v>0</v>
      </c>
      <c r="BV386" s="1398">
        <f t="shared" ca="1" si="265"/>
        <v>0</v>
      </c>
      <c r="BW386" s="1398">
        <f t="shared" ca="1" si="265"/>
        <v>0</v>
      </c>
      <c r="BX386" s="1398">
        <f t="shared" ca="1" si="265"/>
        <v>0</v>
      </c>
      <c r="BY386" s="1398">
        <f t="shared" ca="1" si="265"/>
        <v>0</v>
      </c>
      <c r="BZ386" s="1398">
        <f t="shared" ca="1" si="265"/>
        <v>0</v>
      </c>
      <c r="CA386" s="1398">
        <f t="shared" ca="1" si="265"/>
        <v>0</v>
      </c>
      <c r="CB386" s="1398">
        <f t="shared" ca="1" si="265"/>
        <v>0</v>
      </c>
      <c r="CC386" s="1398">
        <f t="shared" ca="1" si="265"/>
        <v>0</v>
      </c>
      <c r="CD386" s="1398">
        <f t="shared" ca="1" si="265"/>
        <v>0</v>
      </c>
      <c r="CE386" s="1398">
        <f t="shared" ca="1" si="265"/>
        <v>0</v>
      </c>
      <c r="CF386" s="1398">
        <f t="shared" ca="1" si="265"/>
        <v>0</v>
      </c>
      <c r="CG386" s="1398">
        <f t="shared" ca="1" si="265"/>
        <v>0</v>
      </c>
      <c r="CH386" s="1398">
        <f t="shared" ca="1" si="265"/>
        <v>0</v>
      </c>
      <c r="CI386" s="1398">
        <f t="shared" ca="1" si="265"/>
        <v>0</v>
      </c>
      <c r="CJ386" s="1398">
        <f t="shared" ca="1" si="265"/>
        <v>0</v>
      </c>
      <c r="CK386" s="1398">
        <f t="shared" ca="1" si="265"/>
        <v>0</v>
      </c>
      <c r="CL386" s="1398">
        <f t="shared" ca="1" si="265"/>
        <v>0</v>
      </c>
      <c r="CM386" s="1398">
        <f t="shared" ca="1" si="265"/>
        <v>0</v>
      </c>
      <c r="CN386" s="1398">
        <f t="shared" ca="1" si="265"/>
        <v>0</v>
      </c>
      <c r="CO386" s="1398">
        <f t="shared" ca="1" si="265"/>
        <v>0</v>
      </c>
      <c r="CP386" s="1398">
        <f t="shared" ca="1" si="265"/>
        <v>0</v>
      </c>
      <c r="CQ386" s="1398">
        <f t="shared" ca="1" si="265"/>
        <v>0</v>
      </c>
      <c r="CR386" s="1398">
        <f t="shared" ca="1" si="265"/>
        <v>0</v>
      </c>
      <c r="CS386" s="1398">
        <f t="shared" ca="1" si="265"/>
        <v>0</v>
      </c>
      <c r="CT386" s="1398">
        <f t="shared" si="265"/>
        <v>0</v>
      </c>
      <c r="CU386" s="1398">
        <f t="shared" si="265"/>
        <v>0</v>
      </c>
    </row>
    <row r="387" spans="2:99" ht="15" thickBot="1">
      <c r="B387" s="164" t="s">
        <v>188</v>
      </c>
      <c r="C387" s="1409">
        <f t="shared" ref="C387:Q387" ca="1" si="266">SUMIF(C345:C375,"&gt;0")</f>
        <v>0</v>
      </c>
      <c r="D387" s="1409">
        <f t="shared" ca="1" si="266"/>
        <v>0</v>
      </c>
      <c r="E387" s="1409">
        <f t="shared" ca="1" si="266"/>
        <v>0</v>
      </c>
      <c r="F387" s="1409">
        <f t="shared" ca="1" si="266"/>
        <v>0</v>
      </c>
      <c r="G387" s="1409">
        <f t="shared" ca="1" si="266"/>
        <v>0</v>
      </c>
      <c r="H387" s="1409">
        <f t="shared" ca="1" si="266"/>
        <v>0</v>
      </c>
      <c r="I387" s="199">
        <f t="shared" ca="1" si="266"/>
        <v>0</v>
      </c>
      <c r="J387" s="1409">
        <f t="shared" ca="1" si="266"/>
        <v>0</v>
      </c>
      <c r="K387" s="1409">
        <f t="shared" ca="1" si="266"/>
        <v>0</v>
      </c>
      <c r="L387" s="1409">
        <f t="shared" ca="1" si="266"/>
        <v>0</v>
      </c>
      <c r="M387" s="1409">
        <f t="shared" ca="1" si="266"/>
        <v>0</v>
      </c>
      <c r="N387" s="1409">
        <f t="shared" ca="1" si="266"/>
        <v>0</v>
      </c>
      <c r="O387" s="1409">
        <f t="shared" ca="1" si="266"/>
        <v>0</v>
      </c>
      <c r="P387" s="199">
        <f t="shared" ca="1" si="266"/>
        <v>0</v>
      </c>
      <c r="Q387" s="1409">
        <f t="shared" ca="1" si="266"/>
        <v>0</v>
      </c>
      <c r="R387" s="1409">
        <f t="shared" ref="R387:AC387" ca="1" si="267">SUMIF(R345:R375,"&gt;0")</f>
        <v>0</v>
      </c>
      <c r="S387" s="1437">
        <f t="shared" ca="1" si="267"/>
        <v>0</v>
      </c>
      <c r="T387" s="1409">
        <f t="shared" ca="1" si="267"/>
        <v>0</v>
      </c>
      <c r="U387" s="1409">
        <f t="shared" ca="1" si="267"/>
        <v>0</v>
      </c>
      <c r="V387" s="1409">
        <f t="shared" ca="1" si="267"/>
        <v>0</v>
      </c>
      <c r="W387" s="1441">
        <f t="shared" ca="1" si="267"/>
        <v>0</v>
      </c>
      <c r="X387" s="1409">
        <f t="shared" ca="1" si="267"/>
        <v>0</v>
      </c>
      <c r="Y387" s="1409">
        <f t="shared" ca="1" si="267"/>
        <v>0</v>
      </c>
      <c r="Z387" s="1409">
        <f t="shared" ca="1" si="267"/>
        <v>0</v>
      </c>
      <c r="AA387" s="1409">
        <f t="shared" ca="1" si="267"/>
        <v>0</v>
      </c>
      <c r="AB387" s="1409">
        <f t="shared" ca="1" si="267"/>
        <v>0</v>
      </c>
      <c r="AC387" s="1409">
        <f t="shared" ca="1" si="267"/>
        <v>0</v>
      </c>
      <c r="AD387" s="1409">
        <f t="shared" ref="AD387:AK387" ca="1" si="268">SUMIF(AD345:AD375,"&gt;0")</f>
        <v>0</v>
      </c>
      <c r="AE387" s="1409">
        <f t="shared" ca="1" si="268"/>
        <v>0</v>
      </c>
      <c r="AF387" s="1409">
        <f t="shared" ca="1" si="268"/>
        <v>0</v>
      </c>
      <c r="AG387" s="1409">
        <f t="shared" ca="1" si="268"/>
        <v>0</v>
      </c>
      <c r="AH387" s="1409">
        <f t="shared" ca="1" si="268"/>
        <v>0</v>
      </c>
      <c r="AI387" s="1409">
        <f t="shared" ca="1" si="268"/>
        <v>0</v>
      </c>
      <c r="AJ387" s="1409">
        <f t="shared" ca="1" si="268"/>
        <v>0</v>
      </c>
      <c r="AK387" s="1409">
        <f t="shared" ca="1" si="268"/>
        <v>0</v>
      </c>
      <c r="AL387" s="1409">
        <f ca="1">SUMIF(AL345:AL375,"&lt;50")</f>
        <v>0</v>
      </c>
      <c r="AM387" s="1426">
        <f ca="1">SUMIF(AM345:AM375,"&gt;0")</f>
        <v>0</v>
      </c>
      <c r="AN387" s="1409">
        <f ca="1">SUMIF(AN345:AN375,"&gt;0")</f>
        <v>0</v>
      </c>
      <c r="AO387" s="1409">
        <f t="shared" ref="AO387:AZ387" ca="1" si="269">SUMIF(AO344:AO375,"&gt;0")</f>
        <v>0</v>
      </c>
      <c r="AP387" s="1409">
        <f t="shared" ca="1" si="269"/>
        <v>0</v>
      </c>
      <c r="AQ387" s="1409">
        <f t="shared" ca="1" si="269"/>
        <v>0</v>
      </c>
      <c r="AR387" s="1409">
        <f t="shared" ca="1" si="269"/>
        <v>0</v>
      </c>
      <c r="AS387" s="1409">
        <f t="shared" ca="1" si="269"/>
        <v>0</v>
      </c>
      <c r="AT387" s="1409">
        <f t="shared" ca="1" si="269"/>
        <v>0</v>
      </c>
      <c r="AU387" s="1409">
        <f t="shared" ca="1" si="269"/>
        <v>0</v>
      </c>
      <c r="AV387" s="1409">
        <f t="shared" ca="1" si="269"/>
        <v>0</v>
      </c>
      <c r="AW387" s="1409">
        <f t="shared" ca="1" si="269"/>
        <v>0</v>
      </c>
      <c r="AX387" s="1409">
        <f t="shared" ca="1" si="269"/>
        <v>0</v>
      </c>
      <c r="AY387" s="1409">
        <f t="shared" ca="1" si="269"/>
        <v>0</v>
      </c>
      <c r="AZ387" s="1409">
        <f t="shared" ca="1" si="269"/>
        <v>0</v>
      </c>
      <c r="BA387" s="1409">
        <f ca="1">SUMIF(BA345:BA375,"&lt;900")</f>
        <v>0</v>
      </c>
      <c r="BB387" s="1409">
        <f ca="1">SUMIF(BB345:BB375,"&gt;0")</f>
        <v>0</v>
      </c>
      <c r="BC387" s="1409">
        <f ca="1">SUMIF(BC345:BC375,"&gt;0")</f>
        <v>0</v>
      </c>
      <c r="BD387" s="1409">
        <f t="shared" ref="BD387:BP387" ca="1" si="270">SUMIF(BD344:BD375,"&gt;0")</f>
        <v>0</v>
      </c>
      <c r="BE387" s="1409">
        <f t="shared" ca="1" si="270"/>
        <v>0</v>
      </c>
      <c r="BF387" s="1409">
        <f t="shared" ca="1" si="270"/>
        <v>0</v>
      </c>
      <c r="BG387" s="1409">
        <f t="shared" ca="1" si="270"/>
        <v>0</v>
      </c>
      <c r="BH387" s="1409">
        <f t="shared" ca="1" si="270"/>
        <v>0</v>
      </c>
      <c r="BI387" s="1409">
        <f t="shared" ca="1" si="270"/>
        <v>0</v>
      </c>
      <c r="BJ387" s="1409">
        <f t="shared" ca="1" si="270"/>
        <v>0</v>
      </c>
      <c r="BK387" s="1409">
        <f t="shared" ca="1" si="270"/>
        <v>0</v>
      </c>
      <c r="BL387" s="1409">
        <f t="shared" ca="1" si="270"/>
        <v>0</v>
      </c>
      <c r="BM387" s="1409">
        <f t="shared" ca="1" si="270"/>
        <v>0</v>
      </c>
      <c r="BN387" s="1409">
        <f t="shared" ca="1" si="270"/>
        <v>0</v>
      </c>
      <c r="BO387" s="1409">
        <f t="shared" ca="1" si="270"/>
        <v>0</v>
      </c>
      <c r="BP387" s="1409">
        <f t="shared" ca="1" si="270"/>
        <v>0</v>
      </c>
      <c r="BQ387" s="1398">
        <f t="shared" ref="BQ387:CU387" ca="1" si="271">SUMIF(BQ345:BQ375,"&gt;0")</f>
        <v>0</v>
      </c>
      <c r="BR387" s="1398">
        <f t="shared" ca="1" si="271"/>
        <v>0</v>
      </c>
      <c r="BS387" s="1398">
        <f t="shared" ca="1" si="271"/>
        <v>0</v>
      </c>
      <c r="BT387" s="1398">
        <f t="shared" ca="1" si="271"/>
        <v>0</v>
      </c>
      <c r="BU387" s="1398">
        <f t="shared" ca="1" si="271"/>
        <v>0</v>
      </c>
      <c r="BV387" s="1398">
        <f t="shared" ca="1" si="271"/>
        <v>0</v>
      </c>
      <c r="BW387" s="1398">
        <f t="shared" ca="1" si="271"/>
        <v>0</v>
      </c>
      <c r="BX387" s="1398">
        <f t="shared" ca="1" si="271"/>
        <v>0</v>
      </c>
      <c r="BY387" s="1398">
        <f t="shared" ca="1" si="271"/>
        <v>0</v>
      </c>
      <c r="BZ387" s="1398">
        <f t="shared" ca="1" si="271"/>
        <v>0</v>
      </c>
      <c r="CA387" s="1398">
        <f t="shared" ca="1" si="271"/>
        <v>0</v>
      </c>
      <c r="CB387" s="1398">
        <f t="shared" ca="1" si="271"/>
        <v>0</v>
      </c>
      <c r="CC387" s="1398">
        <f t="shared" ca="1" si="271"/>
        <v>0</v>
      </c>
      <c r="CD387" s="1398">
        <f t="shared" ca="1" si="271"/>
        <v>0</v>
      </c>
      <c r="CE387" s="1398">
        <f t="shared" ca="1" si="271"/>
        <v>0</v>
      </c>
      <c r="CF387" s="1398">
        <f t="shared" ca="1" si="271"/>
        <v>0</v>
      </c>
      <c r="CG387" s="1398">
        <f t="shared" ca="1" si="271"/>
        <v>0</v>
      </c>
      <c r="CH387" s="1398">
        <f t="shared" ca="1" si="271"/>
        <v>0</v>
      </c>
      <c r="CI387" s="1398">
        <f t="shared" ca="1" si="271"/>
        <v>0</v>
      </c>
      <c r="CJ387" s="1398">
        <f t="shared" ca="1" si="271"/>
        <v>0</v>
      </c>
      <c r="CK387" s="1398">
        <f t="shared" ca="1" si="271"/>
        <v>0</v>
      </c>
      <c r="CL387" s="1398">
        <f t="shared" ca="1" si="271"/>
        <v>0</v>
      </c>
      <c r="CM387" s="1398">
        <f t="shared" ca="1" si="271"/>
        <v>0</v>
      </c>
      <c r="CN387" s="1398">
        <f t="shared" ca="1" si="271"/>
        <v>0</v>
      </c>
      <c r="CO387" s="1398">
        <f t="shared" ca="1" si="271"/>
        <v>0</v>
      </c>
      <c r="CP387" s="1398">
        <f t="shared" ca="1" si="271"/>
        <v>0</v>
      </c>
      <c r="CQ387" s="1398">
        <f t="shared" ca="1" si="271"/>
        <v>0</v>
      </c>
      <c r="CR387" s="1398">
        <f t="shared" ca="1" si="271"/>
        <v>0</v>
      </c>
      <c r="CS387" s="1398">
        <f t="shared" ca="1" si="271"/>
        <v>0</v>
      </c>
      <c r="CT387" s="1398">
        <f t="shared" si="271"/>
        <v>0</v>
      </c>
      <c r="CU387" s="1398">
        <f t="shared" si="271"/>
        <v>0</v>
      </c>
    </row>
    <row r="388" spans="2:99" ht="15" thickBot="1">
      <c r="B388" s="12" t="s">
        <v>230</v>
      </c>
      <c r="C388" s="210">
        <f ca="1">SUM(C376:C387)</f>
        <v>40148.839999999967</v>
      </c>
      <c r="D388" s="210">
        <f t="shared" ref="D388:AC388" ca="1" si="272">SUM(D376:D387)</f>
        <v>710.13263297395429</v>
      </c>
      <c r="E388" s="210">
        <f t="shared" ca="1" si="272"/>
        <v>3699.1999999999825</v>
      </c>
      <c r="F388" s="210">
        <f t="shared" ca="1" si="272"/>
        <v>0</v>
      </c>
      <c r="G388" s="210">
        <f t="shared" ca="1" si="272"/>
        <v>0</v>
      </c>
      <c r="H388" s="210">
        <f t="shared" ca="1" si="272"/>
        <v>0</v>
      </c>
      <c r="I388" s="210">
        <f ca="1">SUM(I376:I387)</f>
        <v>40148.839999999967</v>
      </c>
      <c r="J388" s="210">
        <f t="shared" ca="1" si="272"/>
        <v>27382.5</v>
      </c>
      <c r="K388" s="210">
        <f t="shared" ca="1" si="272"/>
        <v>595.38339666794036</v>
      </c>
      <c r="L388" s="210">
        <f t="shared" ca="1" si="272"/>
        <v>3628.6999999999825</v>
      </c>
      <c r="M388" s="210">
        <f t="shared" ca="1" si="272"/>
        <v>0.501</v>
      </c>
      <c r="N388" s="210">
        <f t="shared" ca="1" si="272"/>
        <v>0</v>
      </c>
      <c r="O388" s="210">
        <f t="shared" ca="1" si="272"/>
        <v>0</v>
      </c>
      <c r="P388" s="210">
        <f t="shared" ca="1" si="272"/>
        <v>27383</v>
      </c>
      <c r="Q388" s="210">
        <f t="shared" ca="1" si="272"/>
        <v>10.298000000000002</v>
      </c>
      <c r="R388" s="210">
        <f t="shared" ca="1" si="272"/>
        <v>1235.7600000000002</v>
      </c>
      <c r="S388" s="210">
        <f t="shared" ca="1" si="272"/>
        <v>21.400000000000546</v>
      </c>
      <c r="T388" s="210">
        <f t="shared" ca="1" si="272"/>
        <v>36.376999999999953</v>
      </c>
      <c r="U388" s="210">
        <f t="shared" ca="1" si="272"/>
        <v>4365.2399999999943</v>
      </c>
      <c r="V388" s="210">
        <f t="shared" ca="1" si="272"/>
        <v>47.900000000000091</v>
      </c>
      <c r="W388" s="1490">
        <f t="shared" ca="1" si="272"/>
        <v>67531.339999999967</v>
      </c>
      <c r="X388" s="210">
        <f t="shared" ca="1" si="272"/>
        <v>47.175999999999952</v>
      </c>
      <c r="Y388" s="210">
        <f t="shared" ca="1" si="272"/>
        <v>67578.514999999956</v>
      </c>
      <c r="Z388" s="210">
        <f t="shared" ca="1" si="272"/>
        <v>1305.5160296418946</v>
      </c>
      <c r="AA388" s="210">
        <f t="shared" ca="1" si="272"/>
        <v>5600.9999999999945</v>
      </c>
      <c r="AB388" s="210">
        <f t="shared" ca="1" si="272"/>
        <v>7327.8999999999651</v>
      </c>
      <c r="AC388" s="210">
        <f t="shared" ca="1" si="272"/>
        <v>69.300000000000637</v>
      </c>
      <c r="AD388" s="210">
        <f t="shared" ref="AD388:BG388" ca="1" si="273">SUM(AD376:AD387)</f>
        <v>24684.250000000047</v>
      </c>
      <c r="AE388" s="210">
        <f t="shared" ca="1" si="273"/>
        <v>3584.2999999999884</v>
      </c>
      <c r="AF388" s="210">
        <f t="shared" ca="1" si="273"/>
        <v>22269</v>
      </c>
      <c r="AG388" s="210">
        <f t="shared" ca="1" si="273"/>
        <v>3660.3999999999942</v>
      </c>
      <c r="AH388" s="210">
        <f t="shared" ca="1" si="273"/>
        <v>1599.6999999999971</v>
      </c>
      <c r="AI388" s="210">
        <f t="shared" ca="1" si="273"/>
        <v>6009.9800000000032</v>
      </c>
      <c r="AJ388" s="210">
        <f t="shared" ca="1" si="273"/>
        <v>1184.1399999999994</v>
      </c>
      <c r="AK388" s="210">
        <f t="shared" ca="1" si="273"/>
        <v>2207.3399999999965</v>
      </c>
      <c r="AL388" s="210">
        <f t="shared" ca="1" si="273"/>
        <v>4441.7959999999148</v>
      </c>
      <c r="AM388" s="210">
        <f t="shared" ca="1" si="273"/>
        <v>4550.7130000000116</v>
      </c>
      <c r="AN388" s="210">
        <f t="shared" ca="1" si="273"/>
        <v>472.08100000000081</v>
      </c>
      <c r="AO388" s="210">
        <f t="shared" ca="1" si="273"/>
        <v>20272.229999999981</v>
      </c>
      <c r="AP388" s="210">
        <f t="shared" ca="1" si="273"/>
        <v>14061.800000000001</v>
      </c>
      <c r="AQ388" s="210">
        <f t="shared" ca="1" si="273"/>
        <v>4.9210000000000491</v>
      </c>
      <c r="AR388" s="210">
        <f t="shared" ca="1" si="273"/>
        <v>14.098000000000013</v>
      </c>
      <c r="AS388" s="1485">
        <f t="shared" ca="1" si="273"/>
        <v>2477.6300000000047</v>
      </c>
      <c r="AT388" s="1486">
        <f t="shared" ca="1" si="273"/>
        <v>361.9600000000006</v>
      </c>
      <c r="AU388" s="1486">
        <f t="shared" ca="1" si="273"/>
        <v>12500.760000000044</v>
      </c>
      <c r="AV388" s="1486">
        <f t="shared" ca="1" si="273"/>
        <v>9674.1000000000058</v>
      </c>
      <c r="AW388" s="1486">
        <f t="shared" ca="1" si="273"/>
        <v>616.30000000000018</v>
      </c>
      <c r="AX388" s="1486">
        <f t="shared" ca="1" si="273"/>
        <v>4874.3300000000017</v>
      </c>
      <c r="AY388" s="1486">
        <f t="shared" ca="1" si="273"/>
        <v>914.33000000000175</v>
      </c>
      <c r="AZ388" s="1486">
        <f t="shared" ca="1" si="273"/>
        <v>1802.679999999993</v>
      </c>
      <c r="BA388" s="1486">
        <f t="shared" ca="1" si="273"/>
        <v>1812.5469999999457</v>
      </c>
      <c r="BB388" s="1486">
        <f t="shared" ca="1" si="273"/>
        <v>1219.2019999999891</v>
      </c>
      <c r="BC388" s="1486">
        <f t="shared" ca="1" si="273"/>
        <v>208.59999999999988</v>
      </c>
      <c r="BD388" s="1486">
        <f t="shared" ca="1" si="273"/>
        <v>34353.048999999985</v>
      </c>
      <c r="BE388" s="1486">
        <f t="shared" ca="1" si="273"/>
        <v>976535.93044302543</v>
      </c>
      <c r="BF388" s="1486">
        <f t="shared" ca="1" si="273"/>
        <v>4918407.2092739027</v>
      </c>
      <c r="BG388" s="1486">
        <f t="shared" ca="1" si="273"/>
        <v>942330.56066626124</v>
      </c>
      <c r="BH388" s="1486">
        <f t="shared" ref="BH388:BZ388" ca="1" si="274">SUM(BH376:BH387)</f>
        <v>183.18</v>
      </c>
      <c r="BI388" s="1486">
        <f t="shared" ca="1" si="274"/>
        <v>178.76599999999999</v>
      </c>
      <c r="BJ388" s="1486">
        <f t="shared" ca="1" si="274"/>
        <v>2.2289999999999996</v>
      </c>
      <c r="BK388" s="1486">
        <f t="shared" ca="1" si="274"/>
        <v>1.3540000000000001</v>
      </c>
      <c r="BL388" s="1486">
        <f t="shared" ca="1" si="274"/>
        <v>185.40899999999999</v>
      </c>
      <c r="BM388" s="1486">
        <f t="shared" ca="1" si="274"/>
        <v>180.12</v>
      </c>
      <c r="BN388" s="1486">
        <f t="shared" ca="1" si="274"/>
        <v>19326.550706682719</v>
      </c>
      <c r="BO388" s="1486">
        <f t="shared" ca="1" si="274"/>
        <v>6580.4669190112245</v>
      </c>
      <c r="BP388" s="1486">
        <f t="shared" ca="1" si="274"/>
        <v>95903.769125510749</v>
      </c>
      <c r="BQ388" s="1486">
        <f t="shared" ca="1" si="274"/>
        <v>765.80000000000291</v>
      </c>
      <c r="BR388" s="1486">
        <f t="shared" ca="1" si="274"/>
        <v>0</v>
      </c>
      <c r="BS388" s="1486">
        <f t="shared" ca="1" si="274"/>
        <v>211</v>
      </c>
      <c r="BT388" s="1486">
        <f t="shared" ca="1" si="274"/>
        <v>89</v>
      </c>
      <c r="BU388" s="1486">
        <f t="shared" ca="1" si="274"/>
        <v>2015.9000000000015</v>
      </c>
      <c r="BV388" s="1486">
        <f t="shared" ca="1" si="274"/>
        <v>466.92700000000002</v>
      </c>
      <c r="BW388" s="1486">
        <f t="shared" ca="1" si="274"/>
        <v>40.33</v>
      </c>
      <c r="BX388" s="1486">
        <f t="shared" ca="1" si="274"/>
        <v>2449.3999999999978</v>
      </c>
      <c r="BY388" s="1486">
        <f t="shared" ca="1" si="274"/>
        <v>508.50799999999998</v>
      </c>
      <c r="BZ388" s="1486">
        <f t="shared" ca="1" si="274"/>
        <v>35.808000000000007</v>
      </c>
      <c r="CA388" s="1486">
        <f t="shared" ref="CA388:CU388" ca="1" si="275">SUM(CA376:CA387)</f>
        <v>2850.3000000000011</v>
      </c>
      <c r="CB388" s="1486">
        <f t="shared" ca="1" si="275"/>
        <v>218.429</v>
      </c>
      <c r="CC388" s="1486">
        <f t="shared" ca="1" si="275"/>
        <v>127.29099999999998</v>
      </c>
      <c r="CD388" s="1486">
        <f t="shared" ca="1" si="275"/>
        <v>1052.4099999999989</v>
      </c>
      <c r="CE388" s="1486">
        <f t="shared" ca="1" si="275"/>
        <v>704.67999999999938</v>
      </c>
      <c r="CF388" s="1486">
        <f t="shared" ca="1" si="275"/>
        <v>3327.7665000000043</v>
      </c>
      <c r="CG388" s="1486">
        <f t="shared" ca="1" si="275"/>
        <v>1314.2809999999938</v>
      </c>
      <c r="CH388" s="1486">
        <f t="shared" ca="1" si="275"/>
        <v>2275.3565000000058</v>
      </c>
      <c r="CI388" s="1486">
        <f t="shared" ca="1" si="275"/>
        <v>188.83240000000038</v>
      </c>
      <c r="CJ388" s="1486">
        <f t="shared" ca="1" si="275"/>
        <v>2275.3565000000058</v>
      </c>
      <c r="CK388" s="1486">
        <f t="shared" ca="1" si="275"/>
        <v>283.24860000000052</v>
      </c>
      <c r="CL388" s="1486">
        <f t="shared" ca="1" si="275"/>
        <v>407.26140000000038</v>
      </c>
      <c r="CM388" s="1486">
        <f t="shared" ca="1" si="275"/>
        <v>609.60099999999454</v>
      </c>
      <c r="CN388" s="1486">
        <f t="shared" ca="1" si="275"/>
        <v>704.67999999999938</v>
      </c>
      <c r="CO388" s="1486">
        <f t="shared" ca="1" si="275"/>
        <v>609.60099999999454</v>
      </c>
      <c r="CP388" s="1486">
        <f t="shared" ca="1" si="275"/>
        <v>104.29999999999994</v>
      </c>
      <c r="CQ388" s="1486">
        <f t="shared" ca="1" si="275"/>
        <v>104.29999999999994</v>
      </c>
      <c r="CR388" s="1486">
        <f t="shared" ca="1" si="275"/>
        <v>231.29650000000001</v>
      </c>
      <c r="CS388" s="1486">
        <f t="shared" ca="1" si="275"/>
        <v>1430896.2738224186</v>
      </c>
      <c r="CT388" s="1486">
        <f t="shared" si="275"/>
        <v>17.5</v>
      </c>
      <c r="CU388" s="1486">
        <f t="shared" si="275"/>
        <v>19.48</v>
      </c>
    </row>
    <row r="389" spans="2:99">
      <c r="BE389" s="1383"/>
    </row>
    <row r="391" spans="2:99" hidden="1">
      <c r="I391" s="1383">
        <f ca="1">SUM(I376:I387)</f>
        <v>40148.839999999967</v>
      </c>
    </row>
    <row r="392" spans="2:99" hidden="1">
      <c r="C392" s="1">
        <v>6388.8000000000466</v>
      </c>
      <c r="E392" s="209">
        <f>SUMIF(B192:B222,"k6",E192:E222)</f>
        <v>0</v>
      </c>
      <c r="F392" s="1">
        <f ca="1">SUM(F$11:F43)</f>
        <v>0</v>
      </c>
      <c r="G392" s="1">
        <v>7</v>
      </c>
      <c r="J392" s="1383">
        <f ca="1">SUM(J$11:J41)</f>
        <v>7936.4000000000015</v>
      </c>
      <c r="K392" s="1383">
        <f t="shared" ref="K392:K403" ca="1" si="276">SUM(K388)</f>
        <v>595.38339666794036</v>
      </c>
      <c r="AM392" s="1383"/>
    </row>
    <row r="393" spans="2:99" hidden="1">
      <c r="C393" s="1">
        <v>6495.2999999999884</v>
      </c>
      <c r="E393" s="1">
        <f>SUMIF(B192:B222,"="&amp;DATE(28,7,2016),E192:E222)</f>
        <v>0</v>
      </c>
      <c r="F393" s="1">
        <f ca="1">SUM(F$42:F71)</f>
        <v>0</v>
      </c>
      <c r="J393" s="1383">
        <f ca="1">SUM(J$42:J69)</f>
        <v>4107.4799999999996</v>
      </c>
      <c r="K393" s="1383">
        <f t="shared" si="276"/>
        <v>0</v>
      </c>
    </row>
    <row r="394" spans="2:99" hidden="1">
      <c r="C394" s="1">
        <v>6690.2</v>
      </c>
      <c r="E394" s="1487">
        <f ca="1">SUMIF(B192:B222,"&gt;="&amp;DATE(2016,7,27),E192:E222)-SUMIF(B192:B222,"&gt;"&amp;DATE(2016,7,1),E192:E222)</f>
        <v>0</v>
      </c>
      <c r="F394" s="1">
        <f ca="1">SUM(F$70:F102)</f>
        <v>0</v>
      </c>
      <c r="J394" s="1383">
        <f ca="1">SUM(J$70:J100)</f>
        <v>4705.4199999999983</v>
      </c>
      <c r="K394" s="1383">
        <f t="shared" si="276"/>
        <v>0</v>
      </c>
    </row>
    <row r="395" spans="2:99" hidden="1">
      <c r="C395" s="1">
        <v>5635.4</v>
      </c>
      <c r="E395" s="1487">
        <f ca="1">SUMIF(B192:B222,"&gt;="&amp;DATE(2016,7,27),E192:E222)-SUMIF(B192:B222,"&gt;"&amp;DATE(2016,7,1),E192:E222)</f>
        <v>0</v>
      </c>
      <c r="F395" s="1">
        <f ca="1">SUM(F$101:F132)</f>
        <v>0</v>
      </c>
      <c r="J395" s="1383">
        <f ca="1">SUM(J$101:J130)</f>
        <v>3766.1000000000022</v>
      </c>
      <c r="K395" s="1383">
        <f t="shared" si="276"/>
        <v>0</v>
      </c>
    </row>
    <row r="396" spans="2:99" hidden="1">
      <c r="C396" s="1">
        <v>5198.1000000000004</v>
      </c>
      <c r="E396" s="1">
        <f>SUMIF(B192:B222,"&lt;K6",B192:E222)</f>
        <v>0</v>
      </c>
      <c r="F396" s="1">
        <f ca="1">SUM(F$131:F163)</f>
        <v>0</v>
      </c>
      <c r="J396" s="1383">
        <f ca="1">SUM(J$131:J161)</f>
        <v>6271.0999999999985</v>
      </c>
      <c r="K396" s="1383">
        <f t="shared" ca="1" si="276"/>
        <v>595.38339666794036</v>
      </c>
    </row>
    <row r="397" spans="2:99" hidden="1">
      <c r="C397" s="1">
        <v>5099.2999999999993</v>
      </c>
      <c r="E397" s="1" t="e">
        <f ca="1">SUMA.SI($E$192:$E$222&gt;"0",$E$192:$E$222)</f>
        <v>#NAME?</v>
      </c>
      <c r="F397" s="1">
        <f ca="1">SUM(F$162:F193)</f>
        <v>0</v>
      </c>
      <c r="J397" s="1383">
        <f ca="1">SUM(J$162:J191)</f>
        <v>-40738</v>
      </c>
      <c r="K397" s="1383">
        <f t="shared" si="276"/>
        <v>0</v>
      </c>
    </row>
    <row r="398" spans="2:99" hidden="1">
      <c r="E398" s="1" t="e">
        <f>SUM((MONTH(B192:B222)=7)*(E192:E218))</f>
        <v>#VALUE!</v>
      </c>
      <c r="F398" s="1">
        <f ca="1">SUM(F$192:F224)</f>
        <v>0</v>
      </c>
      <c r="J398" s="1383">
        <f ca="1">SUM(J$192:J222)</f>
        <v>0</v>
      </c>
      <c r="K398" s="1383">
        <f t="shared" si="276"/>
        <v>0</v>
      </c>
    </row>
    <row r="399" spans="2:99" hidden="1">
      <c r="E399" s="1">
        <f ca="1">SUMIF(E192:E222,"&gt;0")</f>
        <v>0</v>
      </c>
      <c r="F399" s="1">
        <f ca="1">SUM(F$223:F255)</f>
        <v>0</v>
      </c>
      <c r="J399" s="1">
        <f ca="1">SUM(J$223:J255)</f>
        <v>0</v>
      </c>
      <c r="K399" s="1383">
        <f t="shared" si="276"/>
        <v>0</v>
      </c>
    </row>
    <row r="400" spans="2:99" hidden="1">
      <c r="F400" s="1">
        <f ca="1">SUM(F$254:F285)</f>
        <v>0</v>
      </c>
      <c r="J400" s="1">
        <f ca="1">SUM(J$254:J285)</f>
        <v>-1E-3</v>
      </c>
      <c r="K400" s="1383">
        <f t="shared" ca="1" si="276"/>
        <v>595.38339666794036</v>
      </c>
    </row>
    <row r="401" spans="6:11" hidden="1">
      <c r="F401" s="1">
        <f ca="1">SUM(F$284:F316)</f>
        <v>0</v>
      </c>
      <c r="J401" s="1">
        <f ca="1">SUM(J$284:J316)</f>
        <v>0</v>
      </c>
      <c r="K401" s="1383">
        <f t="shared" si="276"/>
        <v>0</v>
      </c>
    </row>
    <row r="402" spans="6:11" hidden="1">
      <c r="F402" s="1">
        <f ca="1">SUM(F$315:F346)</f>
        <v>0</v>
      </c>
      <c r="J402" s="1">
        <f ca="1">SUM(J$315:J346)</f>
        <v>0</v>
      </c>
      <c r="K402" s="1383">
        <f t="shared" si="276"/>
        <v>0</v>
      </c>
    </row>
    <row r="403" spans="6:11" hidden="1">
      <c r="F403" s="1">
        <f ca="1">SUM(F$345:F377)</f>
        <v>0</v>
      </c>
      <c r="J403" s="1">
        <f ca="1">SUM(J$345:J377)</f>
        <v>12043.880000000001</v>
      </c>
      <c r="K403" s="1383">
        <f t="shared" si="276"/>
        <v>0</v>
      </c>
    </row>
  </sheetData>
  <mergeCells count="23">
    <mergeCell ref="CD9:CE9"/>
    <mergeCell ref="CF9:CG9"/>
    <mergeCell ref="AD9:AE9"/>
    <mergeCell ref="AF9:AG9"/>
    <mergeCell ref="BS9:BU9"/>
    <mergeCell ref="BV9:BX9"/>
    <mergeCell ref="BY9:CA9"/>
    <mergeCell ref="CB9:CC9"/>
    <mergeCell ref="W9:Y9"/>
    <mergeCell ref="B7:AN7"/>
    <mergeCell ref="B8:B10"/>
    <mergeCell ref="C8:I8"/>
    <mergeCell ref="J8:P8"/>
    <mergeCell ref="Q8:S8"/>
    <mergeCell ref="T8:V8"/>
    <mergeCell ref="W8:AC8"/>
    <mergeCell ref="AD8:AN8"/>
    <mergeCell ref="C9:E9"/>
    <mergeCell ref="F9:H9"/>
    <mergeCell ref="J9:L9"/>
    <mergeCell ref="M9:O9"/>
    <mergeCell ref="Q9:S9"/>
    <mergeCell ref="T9:V9"/>
  </mergeCells>
  <pageMargins left="0.70866141732283472" right="0.70866141732283472" top="0.74803149606299213" bottom="0.74803149606299213" header="0.31496062992125984" footer="0.31496062992125984"/>
  <pageSetup scale="80" fitToWidth="0" fitToHeight="0" orientation="portrait" r:id="rId1"/>
  <ignoredErrors>
    <ignoredError sqref="H314:Q314 AL376:AL387 BA376:BA387 G344"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7">
    <tabColor rgb="FF92D050"/>
  </sheetPr>
  <dimension ref="A1:AL50"/>
  <sheetViews>
    <sheetView showGridLines="0" zoomScale="60" zoomScaleNormal="60" workbookViewId="0">
      <selection activeCell="F5" sqref="F5:I5"/>
    </sheetView>
  </sheetViews>
  <sheetFormatPr baseColWidth="10" defaultColWidth="11.5546875" defaultRowHeight="14.4"/>
  <cols>
    <col min="1" max="1" width="1.21875" customWidth="1"/>
    <col min="2" max="18" width="10" customWidth="1"/>
    <col min="19" max="19" width="11.21875" bestFit="1" customWidth="1"/>
    <col min="20" max="20" width="10.109375" customWidth="1"/>
    <col min="21" max="27" width="10" customWidth="1"/>
    <col min="28" max="28" width="1.77734375" customWidth="1"/>
    <col min="29" max="29" width="11.5546875" style="1759"/>
    <col min="30" max="30" width="11.5546875" style="1757"/>
    <col min="31" max="31" width="23.5546875" style="387" bestFit="1" customWidth="1"/>
    <col min="32" max="32" width="23.5546875" style="387" customWidth="1"/>
    <col min="33" max="33" width="24.5546875" style="387" bestFit="1" customWidth="1"/>
    <col min="34" max="34" width="13.5546875" customWidth="1"/>
    <col min="35" max="35" width="22.21875" bestFit="1" customWidth="1"/>
    <col min="38" max="38" width="11.5546875" style="387"/>
  </cols>
  <sheetData>
    <row r="1" spans="1:38" ht="9.75" customHeight="1" thickTop="1">
      <c r="A1" s="614"/>
      <c r="B1" s="685"/>
      <c r="C1" s="685"/>
      <c r="D1" s="685"/>
      <c r="E1" s="685"/>
      <c r="F1" s="685"/>
      <c r="G1" s="685"/>
      <c r="H1" s="685"/>
      <c r="I1" s="685"/>
      <c r="J1" s="685"/>
      <c r="K1" s="685"/>
      <c r="L1" s="685"/>
      <c r="M1" s="685"/>
      <c r="N1" s="685"/>
      <c r="O1" s="685"/>
      <c r="P1" s="685"/>
      <c r="Q1" s="685"/>
      <c r="R1" s="685"/>
      <c r="S1" s="685"/>
      <c r="T1" s="685"/>
      <c r="U1" s="685"/>
      <c r="V1" s="685"/>
      <c r="W1" s="685"/>
      <c r="X1" s="685"/>
      <c r="Y1" s="685"/>
      <c r="Z1" s="685"/>
      <c r="AA1" s="685"/>
      <c r="AB1" s="632"/>
    </row>
    <row r="2" spans="1:38" ht="67.5" customHeight="1">
      <c r="A2" s="606"/>
      <c r="B2" s="1832"/>
      <c r="C2" s="1833"/>
      <c r="D2" s="1833"/>
      <c r="E2" s="1833"/>
      <c r="F2" s="1833"/>
      <c r="G2" s="1834"/>
      <c r="H2" s="1835" t="s">
        <v>1380</v>
      </c>
      <c r="I2" s="1836"/>
      <c r="J2" s="1836"/>
      <c r="K2" s="1836"/>
      <c r="L2" s="1836"/>
      <c r="M2" s="1837"/>
      <c r="N2" s="1836"/>
      <c r="O2" s="1836"/>
      <c r="P2" s="1836"/>
      <c r="Q2" s="1836"/>
      <c r="R2" s="1836"/>
      <c r="S2" s="1836"/>
      <c r="T2" s="1836"/>
      <c r="U2" s="1836"/>
      <c r="V2" s="1838"/>
      <c r="W2" s="1832"/>
      <c r="X2" s="1833"/>
      <c r="Y2" s="1833"/>
      <c r="Z2" s="1833"/>
      <c r="AA2" s="1834"/>
      <c r="AB2" s="607"/>
      <c r="AH2" s="387"/>
      <c r="AI2" s="387"/>
    </row>
    <row r="3" spans="1:38" ht="43.5" customHeight="1">
      <c r="A3" s="606"/>
      <c r="B3" s="997"/>
      <c r="C3" s="998" t="str">
        <f>TEXT(D5,"MMM")</f>
        <v>jun</v>
      </c>
      <c r="D3" s="999"/>
      <c r="E3" s="997"/>
      <c r="F3" s="997"/>
      <c r="G3" s="997"/>
      <c r="H3" s="997"/>
      <c r="I3" s="997"/>
      <c r="J3" s="997"/>
      <c r="K3" s="997"/>
      <c r="L3" s="997"/>
      <c r="M3" s="997"/>
      <c r="N3" s="997"/>
      <c r="O3" s="997"/>
      <c r="P3" s="997"/>
      <c r="Q3" s="997"/>
      <c r="R3" s="1000"/>
      <c r="S3" s="1001">
        <f ca="1">TODAY( )-1</f>
        <v>45125</v>
      </c>
      <c r="T3" s="997"/>
      <c r="U3" s="997"/>
      <c r="V3" s="997"/>
      <c r="W3" s="997"/>
      <c r="X3" s="997"/>
      <c r="Y3" s="997"/>
      <c r="Z3" s="997"/>
      <c r="AA3" s="1000">
        <f>1000/5.7</f>
        <v>175.43859649122805</v>
      </c>
      <c r="AB3" s="607"/>
      <c r="AE3" s="387" t="s">
        <v>836</v>
      </c>
      <c r="AF3" s="387" t="s">
        <v>1188</v>
      </c>
      <c r="AH3" s="387"/>
      <c r="AI3" s="1339"/>
    </row>
    <row r="4" spans="1:38" ht="16.5" customHeight="1">
      <c r="A4" s="606"/>
      <c r="B4" s="1002" t="s">
        <v>807</v>
      </c>
      <c r="C4" s="970" t="s">
        <v>132</v>
      </c>
      <c r="D4" s="1002" t="s">
        <v>230</v>
      </c>
      <c r="E4" s="1842" t="s">
        <v>837</v>
      </c>
      <c r="F4" s="1843"/>
      <c r="G4" s="1843"/>
      <c r="H4" s="1843"/>
      <c r="I4" s="1843"/>
      <c r="J4" s="1841"/>
      <c r="K4" s="1839" t="s">
        <v>838</v>
      </c>
      <c r="L4" s="1840"/>
      <c r="M4" s="1843"/>
      <c r="N4" s="1840"/>
      <c r="O4" s="1840"/>
      <c r="P4" s="1840"/>
      <c r="Q4" s="1840"/>
      <c r="R4" s="1840"/>
      <c r="S4" s="1841"/>
      <c r="T4" s="1839" t="s">
        <v>947</v>
      </c>
      <c r="U4" s="1840"/>
      <c r="V4" s="1840"/>
      <c r="W4" s="1840"/>
      <c r="X4" s="1840"/>
      <c r="Y4" s="1840"/>
      <c r="Z4" s="1840"/>
      <c r="AA4" s="1841"/>
      <c r="AB4" s="607"/>
      <c r="AE4" s="387" t="s">
        <v>809</v>
      </c>
      <c r="AF4" s="387" t="s">
        <v>1325</v>
      </c>
      <c r="AG4" s="387" t="s">
        <v>1356</v>
      </c>
      <c r="AH4" s="387"/>
      <c r="AI4" s="387"/>
    </row>
    <row r="5" spans="1:38" ht="16.5" customHeight="1">
      <c r="A5" s="606"/>
      <c r="B5" s="1854">
        <f>INICIO!C7</f>
        <v>4</v>
      </c>
      <c r="C5" s="1856">
        <f>INICIO!C6</f>
        <v>6</v>
      </c>
      <c r="D5" s="1858">
        <f>INICIO!C8</f>
        <v>45081</v>
      </c>
      <c r="E5" s="1361" t="s">
        <v>1379</v>
      </c>
      <c r="F5" s="1852" t="s">
        <v>1324</v>
      </c>
      <c r="G5" s="1852"/>
      <c r="H5" s="1852"/>
      <c r="I5" s="1853"/>
      <c r="J5" s="1358" t="s">
        <v>1378</v>
      </c>
      <c r="K5" s="970" t="s">
        <v>1379</v>
      </c>
      <c r="L5" s="1860" t="s">
        <v>1189</v>
      </c>
      <c r="M5" s="1852"/>
      <c r="N5" s="1852"/>
      <c r="O5" s="1852"/>
      <c r="P5" s="1852"/>
      <c r="Q5" s="1852"/>
      <c r="R5" s="1861"/>
      <c r="S5" s="969" t="s">
        <v>1378</v>
      </c>
      <c r="T5" s="1343" t="s">
        <v>808</v>
      </c>
      <c r="U5" s="1849" t="s">
        <v>1356</v>
      </c>
      <c r="V5" s="1850"/>
      <c r="W5" s="1850"/>
      <c r="X5" s="1850"/>
      <c r="Y5" s="1850"/>
      <c r="Z5" s="1851"/>
      <c r="AA5" s="1340" t="s">
        <v>1378</v>
      </c>
      <c r="AB5" s="607"/>
      <c r="AE5" s="387" t="s">
        <v>839</v>
      </c>
      <c r="AF5" s="387" t="s">
        <v>1189</v>
      </c>
      <c r="AG5" s="387" t="s">
        <v>1365</v>
      </c>
      <c r="AH5" s="387"/>
      <c r="AI5" s="387"/>
      <c r="AL5" s="387" t="s">
        <v>1190</v>
      </c>
    </row>
    <row r="6" spans="1:38" ht="16.5" customHeight="1">
      <c r="A6" s="606"/>
      <c r="B6" s="1855"/>
      <c r="C6" s="1857"/>
      <c r="D6" s="1859"/>
      <c r="E6" s="1362">
        <v>31049</v>
      </c>
      <c r="F6" s="1360" t="s">
        <v>810</v>
      </c>
      <c r="G6" s="1865" t="s">
        <v>1141</v>
      </c>
      <c r="H6" s="1866"/>
      <c r="I6" s="1867"/>
      <c r="J6" s="1359">
        <v>212018</v>
      </c>
      <c r="K6" s="1005">
        <v>51853</v>
      </c>
      <c r="L6" s="1006" t="s">
        <v>810</v>
      </c>
      <c r="M6" s="1862" t="s">
        <v>1061</v>
      </c>
      <c r="N6" s="1863"/>
      <c r="O6" s="1863"/>
      <c r="P6" s="1863"/>
      <c r="Q6" s="1863"/>
      <c r="R6" s="1864"/>
      <c r="S6" s="1004">
        <v>212024</v>
      </c>
      <c r="T6" s="1344">
        <v>46256</v>
      </c>
      <c r="U6" s="1003" t="s">
        <v>810</v>
      </c>
      <c r="V6" s="1868" t="s">
        <v>1142</v>
      </c>
      <c r="W6" s="1866"/>
      <c r="X6" s="1866"/>
      <c r="Y6" s="1866"/>
      <c r="Z6" s="1869"/>
      <c r="AA6" s="1341">
        <v>212036</v>
      </c>
      <c r="AB6" s="607"/>
      <c r="AE6" s="387" t="s">
        <v>1186</v>
      </c>
      <c r="AF6" s="387" t="s">
        <v>1187</v>
      </c>
      <c r="AG6" s="387" t="s">
        <v>952</v>
      </c>
      <c r="AH6" s="387"/>
      <c r="AI6" s="387"/>
      <c r="AL6" s="387" t="s">
        <v>1325</v>
      </c>
    </row>
    <row r="7" spans="1:38" ht="30" customHeight="1">
      <c r="A7" s="606"/>
      <c r="B7" s="1847" t="s">
        <v>817</v>
      </c>
      <c r="C7" s="1847"/>
      <c r="D7" s="1847"/>
      <c r="E7" s="1847"/>
      <c r="F7" s="1847"/>
      <c r="G7" s="1847"/>
      <c r="H7" s="1847"/>
      <c r="I7" s="1847"/>
      <c r="J7" s="1847"/>
      <c r="K7" s="1847"/>
      <c r="L7" s="1847"/>
      <c r="M7" s="1848"/>
      <c r="N7" s="1847"/>
      <c r="O7" s="1847"/>
      <c r="P7" s="1847"/>
      <c r="Q7" s="1847"/>
      <c r="R7" s="1847"/>
      <c r="S7" s="1847"/>
      <c r="T7" s="1847"/>
      <c r="U7" s="1847"/>
      <c r="V7" s="1847"/>
      <c r="W7" s="1847"/>
      <c r="X7" s="1847"/>
      <c r="Y7" s="1847"/>
      <c r="Z7" s="1847"/>
      <c r="AA7" s="1847"/>
      <c r="AB7" s="607"/>
      <c r="AE7" s="387" t="s">
        <v>1324</v>
      </c>
      <c r="AF7" s="387" t="s">
        <v>1325</v>
      </c>
      <c r="AG7" s="387" t="s">
        <v>1515</v>
      </c>
      <c r="AH7" s="387"/>
      <c r="AI7" s="387"/>
      <c r="AL7" s="387" t="s">
        <v>1187</v>
      </c>
    </row>
    <row r="8" spans="1:38" ht="30" customHeight="1">
      <c r="A8" s="606"/>
      <c r="B8" s="1007"/>
      <c r="C8" s="1844" t="s">
        <v>840</v>
      </c>
      <c r="D8" s="1845"/>
      <c r="E8" s="1845"/>
      <c r="F8" s="1845"/>
      <c r="G8" s="1845"/>
      <c r="H8" s="1845"/>
      <c r="I8" s="1845"/>
      <c r="J8" s="1846"/>
      <c r="K8" s="1842" t="s">
        <v>841</v>
      </c>
      <c r="L8" s="1843"/>
      <c r="M8" s="1843"/>
      <c r="N8" s="1843"/>
      <c r="O8" s="1843"/>
      <c r="P8" s="1843"/>
      <c r="Q8" s="1843"/>
      <c r="R8" s="1843"/>
      <c r="S8" s="1843"/>
      <c r="T8" s="1844" t="s">
        <v>907</v>
      </c>
      <c r="U8" s="1845"/>
      <c r="V8" s="1845"/>
      <c r="W8" s="1845"/>
      <c r="X8" s="1845"/>
      <c r="Y8" s="1845"/>
      <c r="Z8" s="1845"/>
      <c r="AA8" s="1846"/>
      <c r="AB8" s="607"/>
      <c r="AG8" s="1233" t="s">
        <v>1459</v>
      </c>
      <c r="AH8" s="387"/>
      <c r="AI8" s="387"/>
      <c r="AL8" s="387" t="s">
        <v>1189</v>
      </c>
    </row>
    <row r="9" spans="1:38" ht="31.5" customHeight="1">
      <c r="A9" s="606"/>
      <c r="B9" s="1893" t="s">
        <v>400</v>
      </c>
      <c r="C9" s="1844" t="s">
        <v>818</v>
      </c>
      <c r="D9" s="1845"/>
      <c r="E9" s="1845"/>
      <c r="F9" s="1873"/>
      <c r="G9" s="1874" t="s">
        <v>819</v>
      </c>
      <c r="H9" s="1845"/>
      <c r="I9" s="1845"/>
      <c r="J9" s="1846"/>
      <c r="K9" s="1842" t="s">
        <v>818</v>
      </c>
      <c r="L9" s="1843"/>
      <c r="M9" s="1843"/>
      <c r="N9" s="1843"/>
      <c r="O9" s="1896"/>
      <c r="P9" s="1874" t="s">
        <v>819</v>
      </c>
      <c r="Q9" s="1843"/>
      <c r="R9" s="1843"/>
      <c r="S9" s="1843"/>
      <c r="T9" s="1844" t="s">
        <v>818</v>
      </c>
      <c r="U9" s="1845"/>
      <c r="V9" s="1845"/>
      <c r="W9" s="1873"/>
      <c r="X9" s="1874" t="s">
        <v>819</v>
      </c>
      <c r="Y9" s="1845"/>
      <c r="Z9" s="1845"/>
      <c r="AA9" s="1846"/>
      <c r="AB9" s="607"/>
      <c r="AG9" s="387" t="s">
        <v>1509</v>
      </c>
      <c r="AH9" s="387"/>
      <c r="AI9" s="387"/>
    </row>
    <row r="10" spans="1:38" ht="45" customHeight="1">
      <c r="A10" s="606"/>
      <c r="B10" s="1894"/>
      <c r="C10" s="1870" t="s">
        <v>820</v>
      </c>
      <c r="D10" s="1871"/>
      <c r="E10" s="1872"/>
      <c r="F10" s="684" t="s">
        <v>824</v>
      </c>
      <c r="G10" s="689" t="s">
        <v>866</v>
      </c>
      <c r="H10" s="689" t="s">
        <v>827</v>
      </c>
      <c r="I10" s="689" t="s">
        <v>821</v>
      </c>
      <c r="J10" s="697" t="s">
        <v>828</v>
      </c>
      <c r="K10" s="1897" t="s">
        <v>820</v>
      </c>
      <c r="L10" s="1898"/>
      <c r="M10" s="1898"/>
      <c r="N10" s="1899"/>
      <c r="O10" s="1342" t="s">
        <v>824</v>
      </c>
      <c r="P10" s="689" t="s">
        <v>866</v>
      </c>
      <c r="Q10" s="689" t="s">
        <v>827</v>
      </c>
      <c r="R10" s="689" t="s">
        <v>821</v>
      </c>
      <c r="S10" s="1345" t="s">
        <v>828</v>
      </c>
      <c r="T10" s="1870" t="s">
        <v>820</v>
      </c>
      <c r="U10" s="1871"/>
      <c r="V10" s="1872"/>
      <c r="W10" s="684" t="s">
        <v>824</v>
      </c>
      <c r="X10" s="689" t="s">
        <v>866</v>
      </c>
      <c r="Y10" s="689" t="s">
        <v>827</v>
      </c>
      <c r="Z10" s="689" t="s">
        <v>821</v>
      </c>
      <c r="AA10" s="697" t="s">
        <v>828</v>
      </c>
      <c r="AB10" s="607"/>
    </row>
    <row r="11" spans="1:38" ht="32.25" customHeight="1">
      <c r="A11" s="606"/>
      <c r="B11" s="1895"/>
      <c r="C11" s="698" t="s">
        <v>958</v>
      </c>
      <c r="D11" s="690" t="s">
        <v>959</v>
      </c>
      <c r="E11" s="690" t="s">
        <v>867</v>
      </c>
      <c r="F11" s="684" t="s">
        <v>829</v>
      </c>
      <c r="G11" s="689" t="s">
        <v>374</v>
      </c>
      <c r="H11" s="689" t="s">
        <v>581</v>
      </c>
      <c r="I11" s="689" t="s">
        <v>868</v>
      </c>
      <c r="J11" s="697" t="s">
        <v>583</v>
      </c>
      <c r="K11" s="698" t="s">
        <v>822</v>
      </c>
      <c r="L11" s="690" t="s">
        <v>8</v>
      </c>
      <c r="M11" s="690" t="s">
        <v>1239</v>
      </c>
      <c r="N11" s="690" t="s">
        <v>823</v>
      </c>
      <c r="O11" s="1342" t="s">
        <v>829</v>
      </c>
      <c r="P11" s="689" t="s">
        <v>374</v>
      </c>
      <c r="Q11" s="689" t="s">
        <v>581</v>
      </c>
      <c r="R11" s="689" t="s">
        <v>868</v>
      </c>
      <c r="S11" s="1345" t="s">
        <v>583</v>
      </c>
      <c r="T11" s="698" t="s">
        <v>822</v>
      </c>
      <c r="U11" s="690" t="s">
        <v>8</v>
      </c>
      <c r="V11" s="690" t="s">
        <v>909</v>
      </c>
      <c r="W11" s="684" t="s">
        <v>829</v>
      </c>
      <c r="X11" s="689" t="s">
        <v>374</v>
      </c>
      <c r="Y11" s="689" t="s">
        <v>581</v>
      </c>
      <c r="Z11" s="689" t="s">
        <v>868</v>
      </c>
      <c r="AA11" s="697" t="s">
        <v>583</v>
      </c>
      <c r="AB11" s="607"/>
    </row>
    <row r="12" spans="1:38" ht="17.100000000000001" customHeight="1">
      <c r="A12" s="606"/>
      <c r="B12" s="1008">
        <f>INICIO!D12</f>
        <v>45078</v>
      </c>
      <c r="C12" s="1009">
        <f>IF(INICIO!$C$7&gt;DAY($B12)-1,(VLOOKUP($B12,'[4]PRODUCCION VS ENERGIA'!$B$12:$I$42,2))," ")</f>
        <v>1759</v>
      </c>
      <c r="D12" s="1010">
        <f>IF(INICIO!$C$7&gt;DAY($B12)-1,(VLOOKUP($B12,'[4]PRODUCCION VS ENERGIA'!$B$12:$I$42,3))," ")</f>
        <v>27296</v>
      </c>
      <c r="E12" s="1014">
        <f>IF(AND($C12=" ",$D12=" ")," ",(C12+D12))</f>
        <v>29055</v>
      </c>
      <c r="F12" s="1010">
        <f>IF(INICIO!$C$7&gt;DAY($B12)-1,(VLOOKUP($B12,'[4]PRODUCCION VS ENERGIA'!$B$12:$I$42,5))," ")</f>
        <v>10497</v>
      </c>
      <c r="G12" s="1014">
        <f>IF(INICIO!$C$7&gt;DAY($B12)-1,(VLOOKUP($B12,'[4]PRODUCCION VS ENERGIA'!$B$12:$I$42,6))," ")</f>
        <v>395</v>
      </c>
      <c r="H12" s="1014">
        <f>IF(G12=" "," ",G12/24)</f>
        <v>16.458333333333332</v>
      </c>
      <c r="I12" s="1014">
        <f>IF(INICIO!$C$7&gt;DAY($B12)-1,(VLOOKUP($B12,'[4]PRODUCCION VS ENERGIA'!$B$12:$I$42,8))," ")</f>
        <v>152</v>
      </c>
      <c r="J12" s="1015">
        <f>IF(I12=" "," ",I12/24)</f>
        <v>6.333333333333333</v>
      </c>
      <c r="K12" s="1013">
        <f ca="1">IF(INICIO!$C$7&gt;DAY($B12)-1,(VLOOKUP($B12,DATOSAÑO!$B$11:$BG$375,57))," ")</f>
        <v>30333.952631578901</v>
      </c>
      <c r="L12" s="1014">
        <f ca="1">IF(INICIO!$C$7&gt;DAY($B12)-1,(VLOOKUP($B12,DATOSAÑO!$B$11:$BG$375,58))," ")</f>
        <v>6702.79</v>
      </c>
      <c r="M12" s="1014">
        <f ca="1">IF(INICIO!$C$7&gt;DAY($B12)-1,(VLOOKUP($B12,DATOSAÑO!$B$11:$CT$375,96))," ")</f>
        <v>4292.71940284834</v>
      </c>
      <c r="N12" s="1014">
        <f ca="1">IF(AND($K12=" ",$L12=" ")," ",(L12+K12+M12))</f>
        <v>41329.462034427241</v>
      </c>
      <c r="O12" s="1014">
        <f ca="1">IF(INICIO!$C$7&gt;DAY($B12)-1,(VLOOKUP($B12,DATOSAÑO!$B$11:$BG$375,58))," ")</f>
        <v>6702.79</v>
      </c>
      <c r="P12" s="1014">
        <f ca="1">IF(INICIO!$C$7&gt;DAY($B12)-1,(VLOOKUP($B12,DATOSAÑO!$B$11:$BG$375,24))," ")</f>
        <v>444</v>
      </c>
      <c r="Q12" s="1014">
        <f ca="1">IF(INICIO!$C$7&gt;DAY($B12)-1,(P12/24)," ")</f>
        <v>18.5</v>
      </c>
      <c r="R12" s="1014">
        <f ca="1">IF(INICIO!$C$7&gt;DAY($B12)-1,(VLOOKUP($B12,DATOSAÑO!$B$11:$BG$375,55))," ")</f>
        <v>221</v>
      </c>
      <c r="S12" s="1346">
        <f ca="1">IF(INICIO!$C$7&gt;DAY($B12)-1,(R12/24)," ")</f>
        <v>9.2083333333333339</v>
      </c>
      <c r="T12" s="1013">
        <f ca="1">IF(INICIO!$C$7&gt;DAY($B12)-1,(VLOOKUP($B12,DATOSAÑO!$B$11:$BP$375,65))," ")</f>
        <v>0</v>
      </c>
      <c r="U12" s="1016">
        <f ca="1">IF(INICIO!$C$7&gt;DAY($B12)-1,((VLOOKUP($B12,DATOSAÑO!$B$11:$BP$375,66))*$AA$3)," ")</f>
        <v>0</v>
      </c>
      <c r="V12" s="1014">
        <f ca="1">IF(AND($T12=" ",$U12=" ")," ",(U12+T12))</f>
        <v>0</v>
      </c>
      <c r="W12" s="1014">
        <f ca="1">IF(INICIO!$C$7&gt;DAY($B12)-1,(VLOOKUP($B12,DATOSAÑO!$B$11:$BP$375,67))," ")</f>
        <v>0</v>
      </c>
      <c r="X12" s="1014">
        <f ca="1">IF(INICIO!$C$7&gt;DAY($B12)-1,(VLOOKUP($B12,DATOSAÑO!$B$11:$BP$375,59))+(VLOOKUP($B12,DATOSAÑO!$B$11:$BP$375,61))," ")</f>
        <v>0</v>
      </c>
      <c r="Y12" s="1014">
        <f ca="1">IF(INICIO!$C$7&gt;DAY($B12)-1,(X12/24)," ")</f>
        <v>0</v>
      </c>
      <c r="Z12" s="1014">
        <f ca="1">IF(INICIO!$C$7&gt;DAY($B12)-1,(VLOOKUP($B12,DATOSAÑO!$B$11:$BI$375,60))+(VLOOKUP($B12,DATOSAÑO!$B$11:$BK$375,62))," ")</f>
        <v>0</v>
      </c>
      <c r="AA12" s="1015">
        <f ca="1">IF(INICIO!$C$7&gt;DAY($B12)-1,(Z12/24)," ")</f>
        <v>0</v>
      </c>
      <c r="AB12" s="607"/>
    </row>
    <row r="13" spans="1:38" ht="17.100000000000001" customHeight="1">
      <c r="A13" s="606"/>
      <c r="B13" s="1008">
        <f>B12+1</f>
        <v>45079</v>
      </c>
      <c r="C13" s="1009">
        <f>IF(INICIO!$C$7&gt;DAY($B13)-1,(VLOOKUP($B13,'[4]PRODUCCION VS ENERGIA'!$B$12:$I$42,2))," ")</f>
        <v>2247</v>
      </c>
      <c r="D13" s="1010">
        <f>IF(INICIO!$C$7&gt;DAY($B13)-1,(VLOOKUP($B13,'[4]PRODUCCION VS ENERGIA'!$B$12:$I$42,3))," ")</f>
        <v>30000</v>
      </c>
      <c r="E13" s="1011">
        <f t="shared" ref="E13:E31" si="0">IF(AND($C13=" ",$D13=" ")," ",(C13+D13))</f>
        <v>32247</v>
      </c>
      <c r="F13" s="1010">
        <f>IF(INICIO!$C$7&gt;DAY($B13)-1,(VLOOKUP($B13,'[4]PRODUCCION VS ENERGIA'!$B$12:$I$42,5))," ")</f>
        <v>9725</v>
      </c>
      <c r="G13" s="1014">
        <f>IF(INICIO!$C$7&gt;DAY($B13)-1,(VLOOKUP($B13,'[4]PRODUCCION VS ENERGIA'!$B$12:$I$42,6))," ")</f>
        <v>438</v>
      </c>
      <c r="H13" s="1014">
        <f t="shared" ref="H13:H42" si="1">IF(G13=" "," ",G13/24)</f>
        <v>18.25</v>
      </c>
      <c r="I13" s="1014">
        <f>IF(INICIO!$C$7&gt;DAY($B13)-1,(VLOOKUP($B13,'[4]PRODUCCION VS ENERGIA'!$B$12:$I$42,8))," ")</f>
        <v>177</v>
      </c>
      <c r="J13" s="1015">
        <f t="shared" ref="J13:J42" si="2">IF(I13=" "," ",I13/24)</f>
        <v>7.375</v>
      </c>
      <c r="K13" s="1013">
        <f ca="1">IF(INICIO!$C$7&gt;DAY($B13)-1,(VLOOKUP($B13,DATOSAÑO!$B$11:$BG$375,57))," ")</f>
        <v>30951.3438596491</v>
      </c>
      <c r="L13" s="1014">
        <f ca="1">IF(INICIO!$C$7&gt;DAY($B13)-1,(VLOOKUP($B13,DATOSAÑO!$B$11:$BG$375,58))," ")</f>
        <v>6801.68</v>
      </c>
      <c r="M13" s="1014">
        <f ca="1">IF(INICIO!$C$7&gt;DAY($B13)-1,(VLOOKUP($B13,DATOSAÑO!$B$11:$CT$375,96))," ")</f>
        <v>8880.9331418286893</v>
      </c>
      <c r="N13" s="1014">
        <f t="shared" ref="N13:N42" ca="1" si="3">IF(AND($K13=" ",$L13=" ")," ",(L13+K13+M13))</f>
        <v>46633.957001477786</v>
      </c>
      <c r="O13" s="1014">
        <f ca="1">IF(INICIO!$C$7&gt;DAY($B13)-1,(VLOOKUP($B13,DATOSAÑO!$B$11:$BG$375,58))," ")</f>
        <v>6801.68</v>
      </c>
      <c r="P13" s="1014">
        <f ca="1">IF(INICIO!$C$7&gt;DAY($B13)-1,(VLOOKUP($B13,DATOSAÑO!$B$11:$BG$375,24))," ")</f>
        <v>442</v>
      </c>
      <c r="Q13" s="1014">
        <f ca="1">IF(INICIO!$C$7&gt;DAY($B13)-1,(P13/24)," ")</f>
        <v>18.416666666666668</v>
      </c>
      <c r="R13" s="1014">
        <f ca="1">IF(INICIO!$C$7&gt;DAY($B13)-1,(VLOOKUP($B13,DATOSAÑO!$B$11:$BG$375,55))," ")</f>
        <v>219</v>
      </c>
      <c r="S13" s="1346">
        <f ca="1">IF(INICIO!$C$7&gt;DAY($B13)-1,(R13/24)," ")</f>
        <v>9.125</v>
      </c>
      <c r="T13" s="1013">
        <f ca="1">IF(INICIO!$C$7&gt;DAY($B13)-1,(VLOOKUP($B13,DATOSAÑO!$B$11:$BP$375,65))," ")</f>
        <v>0</v>
      </c>
      <c r="U13" s="1016">
        <f ca="1">IF(INICIO!$C$7&gt;DAY($B13)-1,((VLOOKUP($B13,DATOSAÑO!$B$11:$BP$375,66))*$AA$3)," ")</f>
        <v>0</v>
      </c>
      <c r="V13" s="1014">
        <f t="shared" ref="V13:V19" ca="1" si="4">IF(AND($T13=" ",$U13=" ")," ",(U13+T13))</f>
        <v>0</v>
      </c>
      <c r="W13" s="1014">
        <f ca="1">IF(INICIO!$C$7&gt;DAY($B13)-1,(VLOOKUP($B13,DATOSAÑO!$B$11:$BP$375,67))," ")</f>
        <v>0</v>
      </c>
      <c r="X13" s="1014">
        <f ca="1">IF(INICIO!$C$7&gt;DAY($B13)-1,(VLOOKUP($B13,DATOSAÑO!$B$11:$BP$375,59))+(VLOOKUP($B13,DATOSAÑO!$B$11:$BP$375,61))," ")</f>
        <v>0</v>
      </c>
      <c r="Y13" s="1014">
        <f ca="1">IF(INICIO!$C$7&gt;DAY($B13)-1,(X13/24)," ")</f>
        <v>0</v>
      </c>
      <c r="Z13" s="1014">
        <f ca="1">IF(INICIO!$C$7&gt;DAY($B13)-1,(VLOOKUP($B13,DATOSAÑO!$B$11:$BI$375,60))+(VLOOKUP($B13,DATOSAÑO!$B$11:$BK$375,62))," ")</f>
        <v>0</v>
      </c>
      <c r="AA13" s="1015">
        <f ca="1">IF(INICIO!$C$7&gt;DAY($B13)-1,(Z13/24)," ")</f>
        <v>0</v>
      </c>
      <c r="AB13" s="607"/>
    </row>
    <row r="14" spans="1:38" ht="17.100000000000001" customHeight="1">
      <c r="A14" s="606"/>
      <c r="B14" s="1008">
        <f t="shared" ref="B14:B38" si="5">B13+1</f>
        <v>45080</v>
      </c>
      <c r="C14" s="1009">
        <f>IF(INICIO!$C$7&gt;DAY($B14)-1,(VLOOKUP($B14,'[4]PRODUCCION VS ENERGIA'!$B$12:$I$42,2))," ")</f>
        <v>1655</v>
      </c>
      <c r="D14" s="1010">
        <f>IF(INICIO!$C$7&gt;DAY($B14)-1,(VLOOKUP($B14,'[4]PRODUCCION VS ENERGIA'!$B$12:$I$42,3))," ")</f>
        <v>28894</v>
      </c>
      <c r="E14" s="1011">
        <f t="shared" si="0"/>
        <v>30549</v>
      </c>
      <c r="F14" s="1010">
        <f>IF(INICIO!$C$7&gt;DAY($B14)-1,(VLOOKUP($B14,'[4]PRODUCCION VS ENERGIA'!$B$12:$I$42,5))," ")</f>
        <v>12306</v>
      </c>
      <c r="G14" s="1014">
        <f>IF(INICIO!$C$7&gt;DAY($B14)-1,(VLOOKUP($B14,'[4]PRODUCCION VS ENERGIA'!$B$12:$I$42,6))," ")</f>
        <v>459.29599999999999</v>
      </c>
      <c r="H14" s="1014">
        <f t="shared" si="1"/>
        <v>19.137333333333334</v>
      </c>
      <c r="I14" s="1014">
        <f>IF(INICIO!$C$7&gt;DAY($B14)-1,(VLOOKUP($B14,'[4]PRODUCCION VS ENERGIA'!$B$12:$I$42,8))," ")</f>
        <v>202.06379999999999</v>
      </c>
      <c r="J14" s="1015">
        <f t="shared" si="2"/>
        <v>8.4193249999999988</v>
      </c>
      <c r="K14" s="1013">
        <f ca="1">IF(INICIO!$C$7&gt;DAY($B14)-1,(VLOOKUP($B14,DATOSAÑO!$B$11:$BG$375,57))," ")</f>
        <v>29760.5438596491</v>
      </c>
      <c r="L14" s="1014">
        <f ca="1">IF(INICIO!$C$7&gt;DAY($B14)-1,(VLOOKUP($B14,DATOSAÑO!$B$11:$BG$375,58))," ")</f>
        <v>6875.34</v>
      </c>
      <c r="M14" s="1014">
        <f ca="1">IF(INICIO!$C$7&gt;DAY($B14)-1,(VLOOKUP($B14,DATOSAÑO!$B$11:$CT$375,96))," ")</f>
        <v>9659.0103894223303</v>
      </c>
      <c r="N14" s="1014">
        <f t="shared" ca="1" si="3"/>
        <v>46294.894249071425</v>
      </c>
      <c r="O14" s="1014">
        <f ca="1">IF(INICIO!$C$7&gt;DAY($B14)-1,(VLOOKUP($B14,DATOSAÑO!$B$11:$BG$375,58))," ")</f>
        <v>6875.34</v>
      </c>
      <c r="P14" s="1014">
        <f ca="1">IF(INICIO!$C$7&gt;DAY($B14)-1,(VLOOKUP($B14,DATOSAÑO!$B$11:$BG$375,24))," ")</f>
        <v>438</v>
      </c>
      <c r="Q14" s="1014">
        <f ca="1">IF(INICIO!$C$7&gt;DAY($B14)-1,(P14/24)," ")</f>
        <v>18.25</v>
      </c>
      <c r="R14" s="1014">
        <f ca="1">IF(INICIO!$C$7&gt;DAY($B14)-1,(VLOOKUP($B14,DATOSAÑO!$B$11:$BG$375,55))," ")</f>
        <v>220</v>
      </c>
      <c r="S14" s="1346">
        <f ca="1">IF(INICIO!$C$7&gt;DAY($B14)-1,(R14/24)," ")</f>
        <v>9.1666666666666661</v>
      </c>
      <c r="T14" s="1013">
        <f ca="1">IF(INICIO!$C$7&gt;DAY($B14)-1,(VLOOKUP($B14,DATOSAÑO!$B$11:$BP$375,65))," ")</f>
        <v>0</v>
      </c>
      <c r="U14" s="1016">
        <f ca="1">IF(INICIO!$C$7&gt;DAY($B14)-1,((VLOOKUP($B14,DATOSAÑO!$B$11:$BP$375,66))*$AA$3)," ")</f>
        <v>0</v>
      </c>
      <c r="V14" s="1014">
        <f t="shared" ca="1" si="4"/>
        <v>0</v>
      </c>
      <c r="W14" s="1014">
        <f ca="1">IF(INICIO!$C$7&gt;DAY($B14)-1,(VLOOKUP($B14,DATOSAÑO!$B$11:$BP$375,67))," ")</f>
        <v>0</v>
      </c>
      <c r="X14" s="1014">
        <f ca="1">IF(INICIO!$C$7&gt;DAY($B14)-1,(VLOOKUP($B14,DATOSAÑO!$B$11:$BP$375,59))+(VLOOKUP($B14,DATOSAÑO!$B$11:$BP$375,61))," ")</f>
        <v>0</v>
      </c>
      <c r="Y14" s="1014">
        <f ca="1">IF(INICIO!$C$7&gt;DAY($B14)-1,(X14/24)," ")</f>
        <v>0</v>
      </c>
      <c r="Z14" s="1014">
        <f ca="1">IF(INICIO!$C$7&gt;DAY($B14)-1,(VLOOKUP($B14,DATOSAÑO!$B$11:$BI$375,60))+(VLOOKUP($B14,DATOSAÑO!$B$11:$BK$375,62))," ")</f>
        <v>0</v>
      </c>
      <c r="AA14" s="1015">
        <f ca="1">IF(INICIO!$C$7&gt;DAY($B14)-1,(Z14/24)," ")</f>
        <v>0</v>
      </c>
      <c r="AB14" s="607"/>
    </row>
    <row r="15" spans="1:38" ht="17.100000000000001" customHeight="1">
      <c r="A15" s="606"/>
      <c r="B15" s="1008">
        <f t="shared" si="5"/>
        <v>45081</v>
      </c>
      <c r="C15" s="1009">
        <f>IF(INICIO!$C$7&gt;DAY($B15)-1,(VLOOKUP($B15,'[4]PRODUCCION VS ENERGIA'!$B$12:$I$42,2))," ")</f>
        <v>0</v>
      </c>
      <c r="D15" s="1010">
        <f>IF(INICIO!$C$7&gt;DAY($B15)-1,(VLOOKUP($B15,'[4]PRODUCCION VS ENERGIA'!$B$12:$I$42,3))," ")</f>
        <v>0</v>
      </c>
      <c r="E15" s="1011">
        <f t="shared" si="0"/>
        <v>0</v>
      </c>
      <c r="F15" s="1010">
        <f>IF(INICIO!$C$7&gt;DAY($B15)-1,(VLOOKUP($B15,'[4]PRODUCCION VS ENERGIA'!$B$12:$I$42,5))," ")</f>
        <v>0</v>
      </c>
      <c r="G15" s="1014">
        <f>IF(INICIO!$C$7&gt;DAY($B15)-1,(VLOOKUP($B15,'[4]PRODUCCION VS ENERGIA'!$B$12:$I$42,6))," ")</f>
        <v>399</v>
      </c>
      <c r="H15" s="1014">
        <f t="shared" si="1"/>
        <v>16.625</v>
      </c>
      <c r="I15" s="1014">
        <f>IF(INICIO!$C$7&gt;DAY($B15)-1,(VLOOKUP($B15,'[4]PRODUCCION VS ENERGIA'!$B$12:$I$42,8))," ")</f>
        <v>156</v>
      </c>
      <c r="J15" s="1015">
        <f t="shared" si="2"/>
        <v>6.5</v>
      </c>
      <c r="K15" s="1013">
        <f ca="1">IF(INICIO!$C$7&gt;DAY($B15)-1,(VLOOKUP($B15,DATOSAÑO!$B$11:$BG$375,57))," ")</f>
        <v>0</v>
      </c>
      <c r="L15" s="1014">
        <f ca="1">IF(INICIO!$C$7&gt;DAY($B15)-1,(VLOOKUP($B15,DATOSAÑO!$B$11:$BG$375,58))," ")</f>
        <v>0</v>
      </c>
      <c r="M15" s="1014">
        <f ca="1">IF(INICIO!$C$7&gt;DAY($B15)-1,(VLOOKUP($B15,DATOSAÑO!$B$11:$CT$375,96))," ")</f>
        <v>0</v>
      </c>
      <c r="N15" s="1014">
        <f t="shared" ca="1" si="3"/>
        <v>0</v>
      </c>
      <c r="O15" s="1014">
        <f ca="1">IF(INICIO!$C$7&gt;DAY($B15)-1,(VLOOKUP($B15,DATOSAÑO!$B$11:$BG$375,58))," ")</f>
        <v>0</v>
      </c>
      <c r="P15" s="1014">
        <f ca="1">IF(INICIO!$C$7&gt;DAY($B15)-1,(VLOOKUP($B15,DATOSAÑO!$B$11:$BG$375,24))," ")</f>
        <v>448</v>
      </c>
      <c r="Q15" s="1014">
        <f ca="1">IF(INICIO!$C$7&gt;DAY($B15)-1,(P15/24)," ")</f>
        <v>18.666666666666668</v>
      </c>
      <c r="R15" s="1014">
        <f ca="1">IF(INICIO!$C$7&gt;DAY($B15)-1,(VLOOKUP($B15,DATOSAÑO!$B$11:$BG$375,55))," ")</f>
        <v>226</v>
      </c>
      <c r="S15" s="1346">
        <f ca="1">IF(INICIO!$C$7&gt;DAY($B15)-1,(R15/24)," ")</f>
        <v>9.4166666666666661</v>
      </c>
      <c r="T15" s="1013">
        <f ca="1">IF(INICIO!$C$7&gt;DAY($B15)-1,(VLOOKUP($B15,DATOSAÑO!$B$11:$BP$375,65))," ")</f>
        <v>0</v>
      </c>
      <c r="U15" s="1016">
        <f ca="1">IF(INICIO!$C$7&gt;DAY($B15)-1,((VLOOKUP($B15,DATOSAÑO!$B$11:$BP$375,66))*$AA$3)," ")</f>
        <v>0</v>
      </c>
      <c r="V15" s="1014">
        <f t="shared" ca="1" si="4"/>
        <v>0</v>
      </c>
      <c r="W15" s="1014">
        <f ca="1">IF(INICIO!$C$7&gt;DAY($B15)-1,(VLOOKUP($B15,DATOSAÑO!$B$11:$BP$375,67))," ")</f>
        <v>0</v>
      </c>
      <c r="X15" s="1014">
        <f ca="1">IF(INICIO!$C$7&gt;DAY($B15)-1,(VLOOKUP($B15,DATOSAÑO!$B$11:$BP$375,59))+(VLOOKUP($B15,DATOSAÑO!$B$11:$BP$375,61))," ")</f>
        <v>0</v>
      </c>
      <c r="Y15" s="1014">
        <f ca="1">IF(INICIO!$C$7&gt;DAY($B15)-1,(X15/24)," ")</f>
        <v>0</v>
      </c>
      <c r="Z15" s="1014">
        <f ca="1">IF(INICIO!$C$7&gt;DAY($B15)-1,(VLOOKUP($B15,DATOSAÑO!$B$11:$BI$375,60))+(VLOOKUP($B15,DATOSAÑO!$B$11:$BK$375,62))," ")</f>
        <v>0</v>
      </c>
      <c r="AA15" s="1015">
        <f ca="1">IF(INICIO!$C$7&gt;DAY($B15)-1,(Z15/24)," ")</f>
        <v>0</v>
      </c>
      <c r="AB15" s="607"/>
    </row>
    <row r="16" spans="1:38" ht="17.100000000000001" customHeight="1">
      <c r="A16" s="606"/>
      <c r="B16" s="1008">
        <f t="shared" si="5"/>
        <v>45082</v>
      </c>
      <c r="C16" s="1009" t="str">
        <f>IF(INICIO!$C$7&gt;DAY($B16)-1,(VLOOKUP($B16,'[4]PRODUCCION VS ENERGIA'!$B$12:$I$42,2))," ")</f>
        <v xml:space="preserve"> </v>
      </c>
      <c r="D16" s="1010" t="str">
        <f>IF(INICIO!$C$7&gt;DAY($B16)-1,(VLOOKUP($B16,'[4]PRODUCCION VS ENERGIA'!$B$12:$I$42,3))," ")</f>
        <v xml:space="preserve"> </v>
      </c>
      <c r="E16" s="1011" t="str">
        <f t="shared" si="0"/>
        <v xml:space="preserve"> </v>
      </c>
      <c r="F16" s="1010" t="str">
        <f>IF(INICIO!$C$7&gt;DAY($B16)-1,(VLOOKUP($B16,'[4]PRODUCCION VS ENERGIA'!$B$12:$I$42,5))," ")</f>
        <v xml:space="preserve"> </v>
      </c>
      <c r="G16" s="1014" t="str">
        <f>IF(INICIO!$C$7&gt;DAY($B16)-1,(VLOOKUP($B16,'[4]PRODUCCION VS ENERGIA'!$B$12:$I$42,6))," ")</f>
        <v xml:space="preserve"> </v>
      </c>
      <c r="H16" s="1014" t="str">
        <f t="shared" si="1"/>
        <v xml:space="preserve"> </v>
      </c>
      <c r="I16" s="1014" t="str">
        <f>IF(INICIO!$C$7&gt;DAY($B16)-1,(VLOOKUP($B16,'[4]PRODUCCION VS ENERGIA'!$B$12:$I$42,8))," ")</f>
        <v xml:space="preserve"> </v>
      </c>
      <c r="J16" s="1015" t="str">
        <f t="shared" si="2"/>
        <v xml:space="preserve"> </v>
      </c>
      <c r="K16" s="1013" t="str">
        <f>IF(INICIO!$C$7&gt;DAY($B16)-1,(VLOOKUP($B16,DATOSAÑO!$B$11:$BG$375,57))," ")</f>
        <v xml:space="preserve"> </v>
      </c>
      <c r="L16" s="1014" t="str">
        <f>IF(INICIO!$C$7&gt;DAY($B16)-1,(VLOOKUP($B16,DATOSAÑO!$B$11:$BG$375,58))," ")</f>
        <v xml:space="preserve"> </v>
      </c>
      <c r="M16" s="1014" t="str">
        <f>IF(INICIO!$C$7&gt;DAY($B16)-1,(VLOOKUP($B16,DATOSAÑO!$B$11:$CT$375,96))," ")</f>
        <v xml:space="preserve"> </v>
      </c>
      <c r="N16" s="1014" t="str">
        <f t="shared" si="3"/>
        <v xml:space="preserve"> </v>
      </c>
      <c r="O16" s="1014" t="str">
        <f>IF(INICIO!$C$7&gt;DAY($B16)-1,(VLOOKUP($B16,DATOSAÑO!$B$11:$BG$375,58))," ")</f>
        <v xml:space="preserve"> </v>
      </c>
      <c r="P16" s="1014" t="str">
        <f>IF(INICIO!$C$7&gt;DAY($B16)-1,(VLOOKUP($B16,DATOSAÑO!$B$11:$BG$375,24))," ")</f>
        <v xml:space="preserve"> </v>
      </c>
      <c r="Q16" s="1014" t="str">
        <f>IF(INICIO!$C$7&gt;DAY($B16)-1,(P16/24)," ")</f>
        <v xml:space="preserve"> </v>
      </c>
      <c r="R16" s="1014" t="str">
        <f>IF(INICIO!$C$7&gt;DAY($B16)-1,(VLOOKUP($B16,DATOSAÑO!$B$11:$BG$375,55))," ")</f>
        <v xml:space="preserve"> </v>
      </c>
      <c r="S16" s="1346" t="str">
        <f>IF(INICIO!$C$7&gt;DAY($B16)-1,(R16/24)," ")</f>
        <v xml:space="preserve"> </v>
      </c>
      <c r="T16" s="1013" t="str">
        <f>IF(INICIO!$C$7&gt;DAY($B16)-1,(VLOOKUP($B16,DATOSAÑO!$B$11:$BP$375,65))," ")</f>
        <v xml:space="preserve"> </v>
      </c>
      <c r="U16" s="1016" t="str">
        <f>IF(INICIO!$C$7&gt;DAY($B16)-1,((VLOOKUP($B16,DATOSAÑO!$B$11:$BP$375,66))*$AA$3)," ")</f>
        <v xml:space="preserve"> </v>
      </c>
      <c r="V16" s="1014" t="str">
        <f t="shared" si="4"/>
        <v xml:space="preserve"> </v>
      </c>
      <c r="W16" s="1014" t="str">
        <f>IF(INICIO!$C$7&gt;DAY($B16)-1,(VLOOKUP($B16,DATOSAÑO!$B$11:$BP$375,67))," ")</f>
        <v xml:space="preserve"> </v>
      </c>
      <c r="X16" s="1014" t="str">
        <f>IF(INICIO!$C$7&gt;DAY($B16)-1,(VLOOKUP($B16,DATOSAÑO!$B$11:$BP$375,59))+(VLOOKUP($B16,DATOSAÑO!$B$11:$BP$375,61))," ")</f>
        <v xml:space="preserve"> </v>
      </c>
      <c r="Y16" s="1014" t="str">
        <f>IF(INICIO!$C$7&gt;DAY($B16)-1,(X16/24)," ")</f>
        <v xml:space="preserve"> </v>
      </c>
      <c r="Z16" s="1014" t="str">
        <f>IF(INICIO!$C$7&gt;DAY($B16)-1,(VLOOKUP($B16,DATOSAÑO!$B$11:$BI$375,60))+(VLOOKUP($B16,DATOSAÑO!$B$11:$BK$375,62))," ")</f>
        <v xml:space="preserve"> </v>
      </c>
      <c r="AA16" s="1015" t="str">
        <f>IF(INICIO!$C$7&gt;DAY($B16)-1,(Z16/24)," ")</f>
        <v xml:space="preserve"> </v>
      </c>
      <c r="AB16" s="607"/>
    </row>
    <row r="17" spans="1:38" ht="17.100000000000001" customHeight="1">
      <c r="A17" s="606"/>
      <c r="B17" s="1008">
        <f t="shared" si="5"/>
        <v>45083</v>
      </c>
      <c r="C17" s="1009" t="str">
        <f>IF(INICIO!$C$7&gt;DAY($B17)-1,(VLOOKUP($B17,'[4]PRODUCCION VS ENERGIA'!$B$12:$I$42,2))," ")</f>
        <v xml:space="preserve"> </v>
      </c>
      <c r="D17" s="1010" t="str">
        <f>IF(INICIO!$C$7&gt;DAY($B17)-1,(VLOOKUP($B17,'[4]PRODUCCION VS ENERGIA'!$B$12:$I$42,3))," ")</f>
        <v xml:space="preserve"> </v>
      </c>
      <c r="E17" s="1011" t="str">
        <f t="shared" si="0"/>
        <v xml:space="preserve"> </v>
      </c>
      <c r="F17" s="1010" t="str">
        <f>IF(INICIO!$C$7&gt;DAY($B17)-1,(VLOOKUP($B17,'[4]PRODUCCION VS ENERGIA'!$B$12:$I$42,5))," ")</f>
        <v xml:space="preserve"> </v>
      </c>
      <c r="G17" s="1014" t="str">
        <f>IF(INICIO!$C$7&gt;DAY($B17)-1,(VLOOKUP($B17,'[4]PRODUCCION VS ENERGIA'!$B$12:$I$42,6))," ")</f>
        <v xml:space="preserve"> </v>
      </c>
      <c r="H17" s="1014" t="str">
        <f t="shared" si="1"/>
        <v xml:space="preserve"> </v>
      </c>
      <c r="I17" s="1014" t="str">
        <f>IF(INICIO!$C$7&gt;DAY($B17)-1,(VLOOKUP($B17,'[4]PRODUCCION VS ENERGIA'!$B$12:$I$42,8))," ")</f>
        <v xml:space="preserve"> </v>
      </c>
      <c r="J17" s="1015" t="str">
        <f t="shared" si="2"/>
        <v xml:space="preserve"> </v>
      </c>
      <c r="K17" s="1013" t="str">
        <f>IF(INICIO!$C$7&gt;DAY($B17)-1,(VLOOKUP($B17,DATOSAÑO!$B$11:$BG$375,57))," ")</f>
        <v xml:space="preserve"> </v>
      </c>
      <c r="L17" s="1014" t="str">
        <f>IF(INICIO!$C$7&gt;DAY($B17)-1,(VLOOKUP($B17,DATOSAÑO!$B$11:$BG$375,58))," ")</f>
        <v xml:space="preserve"> </v>
      </c>
      <c r="M17" s="1014" t="str">
        <f>IF(INICIO!$C$7&gt;DAY($B17)-1,(VLOOKUP($B17,DATOSAÑO!$B$11:$CT$375,96))," ")</f>
        <v xml:space="preserve"> </v>
      </c>
      <c r="N17" s="1014" t="str">
        <f t="shared" si="3"/>
        <v xml:space="preserve"> </v>
      </c>
      <c r="O17" s="1014" t="str">
        <f>IF(INICIO!$C$7&gt;DAY($B17)-1,(VLOOKUP($B17,DATOSAÑO!$B$11:$BG$375,58))," ")</f>
        <v xml:space="preserve"> </v>
      </c>
      <c r="P17" s="1014" t="str">
        <f>IF(INICIO!$C$7&gt;DAY($B17)-1,(VLOOKUP($B17,DATOSAÑO!$B$11:$BG$375,24))," ")</f>
        <v xml:space="preserve"> </v>
      </c>
      <c r="Q17" s="1014" t="str">
        <f>IF(INICIO!$C$7&gt;DAY($B17)-1,(P17/24)," ")</f>
        <v xml:space="preserve"> </v>
      </c>
      <c r="R17" s="1014" t="str">
        <f>IF(INICIO!$C$7&gt;DAY($B17)-1,(VLOOKUP($B17,DATOSAÑO!$B$11:$BG$375,55))," ")</f>
        <v xml:space="preserve"> </v>
      </c>
      <c r="S17" s="1346" t="str">
        <f>IF(INICIO!$C$7&gt;DAY($B17)-1,(R17/24)," ")</f>
        <v xml:space="preserve"> </v>
      </c>
      <c r="T17" s="1013" t="str">
        <f>IF(INICIO!$C$7&gt;DAY($B17)-1,(VLOOKUP($B17,DATOSAÑO!$B$11:$BP$375,65))," ")</f>
        <v xml:space="preserve"> </v>
      </c>
      <c r="U17" s="1016" t="str">
        <f>IF(INICIO!$C$7&gt;DAY($B17)-1,((VLOOKUP($B17,DATOSAÑO!$B$11:$BP$375,66))*$AA$3)," ")</f>
        <v xml:space="preserve"> </v>
      </c>
      <c r="V17" s="1014" t="str">
        <f t="shared" si="4"/>
        <v xml:space="preserve"> </v>
      </c>
      <c r="W17" s="1014" t="str">
        <f>IF(INICIO!$C$7&gt;DAY($B17)-1,(VLOOKUP($B17,DATOSAÑO!$B$11:$BP$375,67))," ")</f>
        <v xml:space="preserve"> </v>
      </c>
      <c r="X17" s="1014" t="str">
        <f>IF(INICIO!$C$7&gt;DAY($B17)-1,(VLOOKUP($B17,DATOSAÑO!$B$11:$BP$375,59))+(VLOOKUP($B17,DATOSAÑO!$B$11:$BP$375,61))," ")</f>
        <v xml:space="preserve"> </v>
      </c>
      <c r="Y17" s="1014" t="str">
        <f>IF(INICIO!$C$7&gt;DAY($B17)-1,(X17/24)," ")</f>
        <v xml:space="preserve"> </v>
      </c>
      <c r="Z17" s="1014" t="str">
        <f>IF(INICIO!$C$7&gt;DAY($B17)-1,(VLOOKUP($B17,DATOSAÑO!$B$11:$BI$375,60))+(VLOOKUP($B17,DATOSAÑO!$B$11:$BK$375,62))," ")</f>
        <v xml:space="preserve"> </v>
      </c>
      <c r="AA17" s="1015" t="str">
        <f>IF(INICIO!$C$7&gt;DAY($B17)-1,(Z17/24)," ")</f>
        <v xml:space="preserve"> </v>
      </c>
      <c r="AB17" s="607"/>
    </row>
    <row r="18" spans="1:38" ht="17.100000000000001" customHeight="1">
      <c r="A18" s="606"/>
      <c r="B18" s="1008">
        <f t="shared" si="5"/>
        <v>45084</v>
      </c>
      <c r="C18" s="1009" t="str">
        <f>IF(INICIO!$C$7&gt;DAY($B18)-1,(VLOOKUP($B18,'[4]PRODUCCION VS ENERGIA'!$B$12:$I$42,2))," ")</f>
        <v xml:space="preserve"> </v>
      </c>
      <c r="D18" s="1010" t="str">
        <f>IF(INICIO!$C$7&gt;DAY($B18)-1,(VLOOKUP($B18,'[4]PRODUCCION VS ENERGIA'!$B$12:$I$42,3))," ")</f>
        <v xml:space="preserve"> </v>
      </c>
      <c r="E18" s="1011" t="str">
        <f t="shared" si="0"/>
        <v xml:space="preserve"> </v>
      </c>
      <c r="F18" s="1010" t="str">
        <f>IF(INICIO!$C$7&gt;DAY($B18)-1,(VLOOKUP($B18,'[4]PRODUCCION VS ENERGIA'!$B$12:$I$42,5))," ")</f>
        <v xml:space="preserve"> </v>
      </c>
      <c r="G18" s="1014" t="str">
        <f>IF(INICIO!$C$7&gt;DAY($B18)-1,(VLOOKUP($B18,'[4]PRODUCCION VS ENERGIA'!$B$12:$I$42,6))," ")</f>
        <v xml:space="preserve"> </v>
      </c>
      <c r="H18" s="1014" t="str">
        <f t="shared" si="1"/>
        <v xml:space="preserve"> </v>
      </c>
      <c r="I18" s="1014" t="str">
        <f>IF(INICIO!$C$7&gt;DAY($B18)-1,(VLOOKUP($B18,'[4]PRODUCCION VS ENERGIA'!$B$12:$I$42,8))," ")</f>
        <v xml:space="preserve"> </v>
      </c>
      <c r="J18" s="1015" t="str">
        <f t="shared" si="2"/>
        <v xml:space="preserve"> </v>
      </c>
      <c r="K18" s="1013" t="str">
        <f>IF(INICIO!$C$7&gt;DAY($B18)-1,(VLOOKUP($B18,DATOSAÑO!$B$11:$BG$375,57))," ")</f>
        <v xml:space="preserve"> </v>
      </c>
      <c r="L18" s="1014" t="str">
        <f>IF(INICIO!$C$7&gt;DAY($B18)-1,(VLOOKUP($B18,DATOSAÑO!$B$11:$BG$375,58))," ")</f>
        <v xml:space="preserve"> </v>
      </c>
      <c r="M18" s="1014" t="str">
        <f>IF(INICIO!$C$7&gt;DAY($B18)-1,(VLOOKUP($B18,DATOSAÑO!$B$11:$CT$375,96))," ")</f>
        <v xml:space="preserve"> </v>
      </c>
      <c r="N18" s="1014" t="str">
        <f t="shared" si="3"/>
        <v xml:space="preserve"> </v>
      </c>
      <c r="O18" s="1014" t="str">
        <f>IF(INICIO!$C$7&gt;DAY($B18)-1,(VLOOKUP($B18,DATOSAÑO!$B$11:$BG$375,58))," ")</f>
        <v xml:space="preserve"> </v>
      </c>
      <c r="P18" s="1014" t="str">
        <f>IF(INICIO!$C$7&gt;DAY($B18)-1,(VLOOKUP($B18,DATOSAÑO!$B$11:$BG$375,24))," ")</f>
        <v xml:space="preserve"> </v>
      </c>
      <c r="Q18" s="1014" t="str">
        <f>IF(INICIO!$C$7&gt;DAY($B18)-1,(P18/24)," ")</f>
        <v xml:space="preserve"> </v>
      </c>
      <c r="R18" s="1014" t="str">
        <f>IF(INICIO!$C$7&gt;DAY($B18)-1,(VLOOKUP($B18,DATOSAÑO!$B$11:$BG$375,55))," ")</f>
        <v xml:space="preserve"> </v>
      </c>
      <c r="S18" s="1346" t="str">
        <f>IF(INICIO!$C$7&gt;DAY($B18)-1,(R18/24)," ")</f>
        <v xml:space="preserve"> </v>
      </c>
      <c r="T18" s="1013" t="str">
        <f>IF(INICIO!$C$7&gt;DAY($B18)-1,(VLOOKUP($B18,DATOSAÑO!$B$11:$BP$375,65))," ")</f>
        <v xml:space="preserve"> </v>
      </c>
      <c r="U18" s="1016" t="str">
        <f>IF(INICIO!$C$7&gt;DAY($B18)-1,((VLOOKUP($B18,DATOSAÑO!$B$11:$BP$375,66))*$AA$3)," ")</f>
        <v xml:space="preserve"> </v>
      </c>
      <c r="V18" s="1014" t="str">
        <f t="shared" si="4"/>
        <v xml:space="preserve"> </v>
      </c>
      <c r="W18" s="1014" t="str">
        <f>IF(INICIO!$C$7&gt;DAY($B18)-1,(VLOOKUP($B18,DATOSAÑO!$B$11:$BP$375,67))," ")</f>
        <v xml:space="preserve"> </v>
      </c>
      <c r="X18" s="1014" t="str">
        <f>IF(INICIO!$C$7&gt;DAY($B18)-1,(VLOOKUP($B18,DATOSAÑO!$B$11:$BP$375,59))+(VLOOKUP($B18,DATOSAÑO!$B$11:$BP$375,61))," ")</f>
        <v xml:space="preserve"> </v>
      </c>
      <c r="Y18" s="1014" t="str">
        <f>IF(INICIO!$C$7&gt;DAY($B18)-1,(X18/24)," ")</f>
        <v xml:space="preserve"> </v>
      </c>
      <c r="Z18" s="1014" t="str">
        <f>IF(INICIO!$C$7&gt;DAY($B18)-1,(VLOOKUP($B18,DATOSAÑO!$B$11:$BI$375,60))+(VLOOKUP($B18,DATOSAÑO!$B$11:$BK$375,62))," ")</f>
        <v xml:space="preserve"> </v>
      </c>
      <c r="AA18" s="1015" t="str">
        <f>IF(INICIO!$C$7&gt;DAY($B18)-1,(Z18/24)," ")</f>
        <v xml:space="preserve"> </v>
      </c>
      <c r="AB18" s="607"/>
    </row>
    <row r="19" spans="1:38" ht="17.100000000000001" customHeight="1">
      <c r="A19" s="606"/>
      <c r="B19" s="1008">
        <f t="shared" si="5"/>
        <v>45085</v>
      </c>
      <c r="C19" s="1009" t="str">
        <f>IF(INICIO!$C$7&gt;DAY($B19)-1,(VLOOKUP($B19,'[4]PRODUCCION VS ENERGIA'!$B$12:$I$42,2))," ")</f>
        <v xml:space="preserve"> </v>
      </c>
      <c r="D19" s="1010" t="str">
        <f>IF(INICIO!$C$7&gt;DAY($B19)-1,(VLOOKUP($B19,'[4]PRODUCCION VS ENERGIA'!$B$12:$I$42,3))," ")</f>
        <v xml:space="preserve"> </v>
      </c>
      <c r="E19" s="1011" t="str">
        <f t="shared" si="0"/>
        <v xml:space="preserve"> </v>
      </c>
      <c r="F19" s="1010" t="str">
        <f>IF(INICIO!$C$7&gt;DAY($B19)-1,(VLOOKUP($B19,'[4]PRODUCCION VS ENERGIA'!$B$12:$I$42,5))," ")</f>
        <v xml:space="preserve"> </v>
      </c>
      <c r="G19" s="1014" t="str">
        <f>IF(INICIO!$C$7&gt;DAY($B19)-1,(VLOOKUP($B19,'[4]PRODUCCION VS ENERGIA'!$B$12:$I$42,6))," ")</f>
        <v xml:space="preserve"> </v>
      </c>
      <c r="H19" s="1014" t="str">
        <f t="shared" si="1"/>
        <v xml:space="preserve"> </v>
      </c>
      <c r="I19" s="1014" t="str">
        <f>IF(INICIO!$C$7&gt;DAY($B19)-1,(VLOOKUP($B19,'[4]PRODUCCION VS ENERGIA'!$B$12:$I$42,8))," ")</f>
        <v xml:space="preserve"> </v>
      </c>
      <c r="J19" s="1015" t="str">
        <f t="shared" si="2"/>
        <v xml:space="preserve"> </v>
      </c>
      <c r="K19" s="1013" t="str">
        <f>IF(INICIO!$C$7&gt;DAY($B19)-1,(VLOOKUP($B19,DATOSAÑO!$B$11:$BG$375,57))," ")</f>
        <v xml:space="preserve"> </v>
      </c>
      <c r="L19" s="1014" t="str">
        <f>IF(INICIO!$C$7&gt;DAY($B19)-1,(VLOOKUP($B19,DATOSAÑO!$B$11:$BG$375,58))," ")</f>
        <v xml:space="preserve"> </v>
      </c>
      <c r="M19" s="1014" t="str">
        <f>IF(INICIO!$C$7&gt;DAY($B19)-1,(VLOOKUP($B19,DATOSAÑO!$B$11:$CT$375,96))," ")</f>
        <v xml:space="preserve"> </v>
      </c>
      <c r="N19" s="1014" t="str">
        <f t="shared" si="3"/>
        <v xml:space="preserve"> </v>
      </c>
      <c r="O19" s="1014" t="str">
        <f>IF(INICIO!$C$7&gt;DAY($B19)-1,(VLOOKUP($B19,DATOSAÑO!$B$11:$BG$375,58))," ")</f>
        <v xml:space="preserve"> </v>
      </c>
      <c r="P19" s="1014" t="str">
        <f>IF(INICIO!$C$7&gt;DAY($B19)-1,(VLOOKUP($B19,DATOSAÑO!$B$11:$BG$375,24))," ")</f>
        <v xml:space="preserve"> </v>
      </c>
      <c r="Q19" s="1014" t="str">
        <f>IF(INICIO!$C$7&gt;DAY($B19)-1,(P19/24)," ")</f>
        <v xml:space="preserve"> </v>
      </c>
      <c r="R19" s="1014" t="str">
        <f>IF(INICIO!$C$7&gt;DAY($B19)-1,(VLOOKUP($B19,DATOSAÑO!$B$11:$BG$375,55))," ")</f>
        <v xml:space="preserve"> </v>
      </c>
      <c r="S19" s="1346" t="str">
        <f>IF(INICIO!$C$7&gt;DAY($B19)-1,(R19/24)," ")</f>
        <v xml:space="preserve"> </v>
      </c>
      <c r="T19" s="1013" t="str">
        <f>IF(INICIO!$C$7&gt;DAY($B19)-1,(VLOOKUP($B19,DATOSAÑO!$B$11:$BP$375,65))," ")</f>
        <v xml:space="preserve"> </v>
      </c>
      <c r="U19" s="1016" t="str">
        <f>IF(INICIO!$C$7&gt;DAY($B19)-1,((VLOOKUP($B19,DATOSAÑO!$B$11:$BP$375,66))*$AA$3)," ")</f>
        <v xml:space="preserve"> </v>
      </c>
      <c r="V19" s="1014" t="str">
        <f t="shared" si="4"/>
        <v xml:space="preserve"> </v>
      </c>
      <c r="W19" s="1014" t="str">
        <f>IF(INICIO!$C$7&gt;DAY($B19)-1,(VLOOKUP($B19,DATOSAÑO!$B$11:$BP$375,67))," ")</f>
        <v xml:space="preserve"> </v>
      </c>
      <c r="X19" s="1014" t="str">
        <f>IF(INICIO!$C$7&gt;DAY($B19)-1,(VLOOKUP($B19,DATOSAÑO!$B$11:$BP$375,59))+(VLOOKUP($B19,DATOSAÑO!$B$11:$BP$375,61))," ")</f>
        <v xml:space="preserve"> </v>
      </c>
      <c r="Y19" s="1014" t="str">
        <f>IF(INICIO!$C$7&gt;DAY($B19)-1,(X19/24)," ")</f>
        <v xml:space="preserve"> </v>
      </c>
      <c r="Z19" s="1014" t="str">
        <f>IF(INICIO!$C$7&gt;DAY($B19)-1,(VLOOKUP($B19,DATOSAÑO!$B$11:$BI$375,60))+(VLOOKUP($B19,DATOSAÑO!$B$11:$BK$375,62))," ")</f>
        <v xml:space="preserve"> </v>
      </c>
      <c r="AA19" s="1015" t="str">
        <f>IF(INICIO!$C$7&gt;DAY($B19)-1,(Z19/24)," ")</f>
        <v xml:space="preserve"> </v>
      </c>
      <c r="AB19" s="607"/>
    </row>
    <row r="20" spans="1:38" ht="17.100000000000001" customHeight="1">
      <c r="A20" s="606"/>
      <c r="B20" s="1008">
        <f t="shared" si="5"/>
        <v>45086</v>
      </c>
      <c r="C20" s="1009" t="str">
        <f>IF(INICIO!$C$7&gt;DAY($B20)-1,(VLOOKUP($B20,'[4]PRODUCCION VS ENERGIA'!$B$12:$I$42,2))," ")</f>
        <v xml:space="preserve"> </v>
      </c>
      <c r="D20" s="1010" t="str">
        <f>IF(INICIO!$C$7&gt;DAY($B20)-1,(VLOOKUP($B20,'[4]PRODUCCION VS ENERGIA'!$B$12:$I$42,3))," ")</f>
        <v xml:space="preserve"> </v>
      </c>
      <c r="E20" s="1011" t="str">
        <f t="shared" si="0"/>
        <v xml:space="preserve"> </v>
      </c>
      <c r="F20" s="1010" t="str">
        <f>IF(INICIO!$C$7&gt;DAY($B20)-1,(VLOOKUP($B20,'[4]PRODUCCION VS ENERGIA'!$B$12:$I$42,5))," ")</f>
        <v xml:space="preserve"> </v>
      </c>
      <c r="G20" s="1014" t="str">
        <f>IF(INICIO!$C$7&gt;DAY($B20)-1,(VLOOKUP($B20,'[4]PRODUCCION VS ENERGIA'!$B$12:$I$42,6))," ")</f>
        <v xml:space="preserve"> </v>
      </c>
      <c r="H20" s="1014" t="str">
        <f t="shared" si="1"/>
        <v xml:space="preserve"> </v>
      </c>
      <c r="I20" s="1014" t="str">
        <f>IF(INICIO!$C$7&gt;DAY($B20)-1,(VLOOKUP($B20,'[4]PRODUCCION VS ENERGIA'!$B$12:$I$42,8))," ")</f>
        <v xml:space="preserve"> </v>
      </c>
      <c r="J20" s="1015" t="str">
        <f t="shared" si="2"/>
        <v xml:space="preserve"> </v>
      </c>
      <c r="K20" s="1013" t="str">
        <f>IF(INICIO!$C$7&gt;DAY($B20)-1,(VLOOKUP($B20,DATOSAÑO!$B$11:$BG$375,57))," ")</f>
        <v xml:space="preserve"> </v>
      </c>
      <c r="L20" s="1014" t="str">
        <f>IF(INICIO!$C$7&gt;DAY($B20)-1,(VLOOKUP($B20,DATOSAÑO!$B$11:$BG$375,58))," ")</f>
        <v xml:space="preserve"> </v>
      </c>
      <c r="M20" s="1014" t="str">
        <f>IF(INICIO!$C$7&gt;DAY($B20)-1,(VLOOKUP($B20,DATOSAÑO!$B$11:$CT$375,96))," ")</f>
        <v xml:space="preserve"> </v>
      </c>
      <c r="N20" s="1014" t="str">
        <f t="shared" si="3"/>
        <v xml:space="preserve"> </v>
      </c>
      <c r="O20" s="1014" t="str">
        <f>IF(INICIO!$C$7&gt;DAY($B20)-1,(VLOOKUP($B20,DATOSAÑO!$B$11:$BG$375,58))," ")</f>
        <v xml:space="preserve"> </v>
      </c>
      <c r="P20" s="1014" t="str">
        <f>IF(INICIO!$C$7&gt;DAY($B20)-1,(VLOOKUP($B20,DATOSAÑO!$B$11:$BG$375,24))," ")</f>
        <v xml:space="preserve"> </v>
      </c>
      <c r="Q20" s="1014" t="str">
        <f>IF(INICIO!$C$7&gt;DAY($B20)-1,(P20/24)," ")</f>
        <v xml:space="preserve"> </v>
      </c>
      <c r="R20" s="1014" t="str">
        <f>IF(INICIO!$C$7&gt;DAY($B20)-1,(VLOOKUP($B20,DATOSAÑO!$B$11:$BG$375,55))," ")</f>
        <v xml:space="preserve"> </v>
      </c>
      <c r="S20" s="1346" t="str">
        <f>IF(INICIO!$C$7&gt;DAY($B20)-1,(R20/24)," ")</f>
        <v xml:space="preserve"> </v>
      </c>
      <c r="T20" s="1013" t="str">
        <f>IF(INICIO!$C$7&gt;DAY($B20)-1,(VLOOKUP($B20,DATOSAÑO!$B$11:$BP$375,65))," ")</f>
        <v xml:space="preserve"> </v>
      </c>
      <c r="U20" s="1016" t="str">
        <f>IF(INICIO!$C$7&gt;DAY($B20)-1,((VLOOKUP($B20,DATOSAÑO!$B$11:$BP$375,66))*$AA$3)," ")</f>
        <v xml:space="preserve"> </v>
      </c>
      <c r="V20" s="1014" t="str">
        <f t="shared" ref="V20:V29" si="6">IF(AND($T20=" ",$U20=" ")," ",(U20+T20))</f>
        <v xml:space="preserve"> </v>
      </c>
      <c r="W20" s="1014" t="str">
        <f>IF(INICIO!$C$7&gt;DAY($B20)-1,(VLOOKUP($B20,DATOSAÑO!$B$11:$BP$375,67))," ")</f>
        <v xml:space="preserve"> </v>
      </c>
      <c r="X20" s="1014" t="str">
        <f>IF(INICIO!$C$7&gt;DAY($B20)-1,(VLOOKUP($B20,DATOSAÑO!$B$11:$BP$375,59))+(VLOOKUP($B20,DATOSAÑO!$B$11:$BP$375,61))," ")</f>
        <v xml:space="preserve"> </v>
      </c>
      <c r="Y20" s="1014" t="str">
        <f>IF(INICIO!$C$7&gt;DAY($B20)-1,(X20/24)," ")</f>
        <v xml:space="preserve"> </v>
      </c>
      <c r="Z20" s="1014" t="str">
        <f>IF(INICIO!$C$7&gt;DAY($B20)-1,(VLOOKUP($B20,DATOSAÑO!$B$11:$BI$375,60))+(VLOOKUP($B20,DATOSAÑO!$B$11:$BK$375,62))," ")</f>
        <v xml:space="preserve"> </v>
      </c>
      <c r="AA20" s="1015" t="str">
        <f>IF(INICIO!$C$7&gt;DAY($B20)-1,(Z20/24)," ")</f>
        <v xml:space="preserve"> </v>
      </c>
      <c r="AB20" s="607"/>
    </row>
    <row r="21" spans="1:38" ht="17.100000000000001" customHeight="1">
      <c r="A21" s="606"/>
      <c r="B21" s="1008">
        <f t="shared" si="5"/>
        <v>45087</v>
      </c>
      <c r="C21" s="1009" t="str">
        <f>IF(INICIO!$C$7&gt;DAY($B21)-1,(VLOOKUP($B21,'[4]PRODUCCION VS ENERGIA'!$B$12:$I$42,2))," ")</f>
        <v xml:space="preserve"> </v>
      </c>
      <c r="D21" s="1010" t="str">
        <f>IF(INICIO!$C$7&gt;DAY($B21)-1,(VLOOKUP($B21,'[4]PRODUCCION VS ENERGIA'!$B$12:$I$42,3))," ")</f>
        <v xml:space="preserve"> </v>
      </c>
      <c r="E21" s="1014" t="str">
        <f t="shared" si="0"/>
        <v xml:space="preserve"> </v>
      </c>
      <c r="F21" s="1010" t="str">
        <f>IF(INICIO!$C$7&gt;DAY($B21)-1,(VLOOKUP($B21,'[4]PRODUCCION VS ENERGIA'!$B$12:$I$42,5))," ")</f>
        <v xml:space="preserve"> </v>
      </c>
      <c r="G21" s="1014" t="str">
        <f>IF(INICIO!$C$7&gt;DAY($B21)-1,(VLOOKUP($B21,'[4]PRODUCCION VS ENERGIA'!$B$12:$I$42,6))," ")</f>
        <v xml:space="preserve"> </v>
      </c>
      <c r="H21" s="1014" t="str">
        <f t="shared" si="1"/>
        <v xml:space="preserve"> </v>
      </c>
      <c r="I21" s="1014" t="str">
        <f>IF(INICIO!$C$7&gt;DAY($B21)-1,(VLOOKUP($B21,'[4]PRODUCCION VS ENERGIA'!$B$12:$I$42,8))," ")</f>
        <v xml:space="preserve"> </v>
      </c>
      <c r="J21" s="1015" t="str">
        <f t="shared" si="2"/>
        <v xml:space="preserve"> </v>
      </c>
      <c r="K21" s="1013" t="str">
        <f>IF(INICIO!$C$7&gt;DAY($B21)-1,(VLOOKUP($B21,DATOSAÑO!$B$11:$BG$375,57))," ")</f>
        <v xml:space="preserve"> </v>
      </c>
      <c r="L21" s="1014" t="str">
        <f>IF(INICIO!$C$7&gt;DAY($B21)-1,(VLOOKUP($B21,DATOSAÑO!$B$11:$BG$375,58))," ")</f>
        <v xml:space="preserve"> </v>
      </c>
      <c r="M21" s="1014" t="str">
        <f>IF(INICIO!$C$7&gt;DAY($B21)-1,(VLOOKUP($B21,DATOSAÑO!$B$11:$CT$375,96))," ")</f>
        <v xml:space="preserve"> </v>
      </c>
      <c r="N21" s="1014" t="str">
        <f t="shared" si="3"/>
        <v xml:space="preserve"> </v>
      </c>
      <c r="O21" s="1014" t="str">
        <f>IF(INICIO!$C$7&gt;DAY($B21)-1,(VLOOKUP($B21,DATOSAÑO!$B$11:$BG$375,58))," ")</f>
        <v xml:space="preserve"> </v>
      </c>
      <c r="P21" s="1014" t="str">
        <f>IF(INICIO!$C$7&gt;DAY($B21)-1,(VLOOKUP($B21,DATOSAÑO!$B$11:$BG$375,24))," ")</f>
        <v xml:space="preserve"> </v>
      </c>
      <c r="Q21" s="1014" t="str">
        <f>IF(INICIO!$C$7&gt;DAY($B21)-1,(P21/24)," ")</f>
        <v xml:space="preserve"> </v>
      </c>
      <c r="R21" s="1014" t="str">
        <f>IF(INICIO!$C$7&gt;DAY($B21)-1,(VLOOKUP($B21,DATOSAÑO!$B$11:$BG$375,55))," ")</f>
        <v xml:space="preserve"> </v>
      </c>
      <c r="S21" s="1346" t="str">
        <f>IF(INICIO!$C$7&gt;DAY($B21)-1,(R21/24)," ")</f>
        <v xml:space="preserve"> </v>
      </c>
      <c r="T21" s="1013" t="str">
        <f>IF(INICIO!$C$7&gt;DAY($B21)-1,(VLOOKUP($B21,DATOSAÑO!$B$11:$BP$375,65))," ")</f>
        <v xml:space="preserve"> </v>
      </c>
      <c r="U21" s="1016" t="str">
        <f>IF(INICIO!$C$7&gt;DAY($B21)-1,((VLOOKUP($B21,DATOSAÑO!$B$11:$BP$375,66))*$AA$3)," ")</f>
        <v xml:space="preserve"> </v>
      </c>
      <c r="V21" s="1014" t="str">
        <f t="shared" si="6"/>
        <v xml:space="preserve"> </v>
      </c>
      <c r="W21" s="1014" t="str">
        <f>IF(INICIO!$C$7&gt;DAY($B21)-1,(VLOOKUP($B21,DATOSAÑO!$B$11:$BP$375,67))," ")</f>
        <v xml:space="preserve"> </v>
      </c>
      <c r="X21" s="1014" t="str">
        <f>IF(INICIO!$C$7&gt;DAY($B21)-1,(VLOOKUP($B21,DATOSAÑO!$B$11:$BP$375,59))+(VLOOKUP($B21,DATOSAÑO!$B$11:$BP$375,61))," ")</f>
        <v xml:space="preserve"> </v>
      </c>
      <c r="Y21" s="1014" t="str">
        <f>IF(INICIO!$C$7&gt;DAY($B21)-1,(X21/24)," ")</f>
        <v xml:space="preserve"> </v>
      </c>
      <c r="Z21" s="1014" t="str">
        <f>IF(INICIO!$C$7&gt;DAY($B21)-1,(VLOOKUP($B21,DATOSAÑO!$B$11:$BI$375,60))+(VLOOKUP($B21,DATOSAÑO!$B$11:$BK$375,62))," ")</f>
        <v xml:space="preserve"> </v>
      </c>
      <c r="AA21" s="1015" t="str">
        <f>IF(INICIO!$C$7&gt;DAY($B21)-1,(Z21/24)," ")</f>
        <v xml:space="preserve"> </v>
      </c>
      <c r="AB21" s="607"/>
    </row>
    <row r="22" spans="1:38" ht="17.100000000000001" customHeight="1">
      <c r="A22" s="606"/>
      <c r="B22" s="1008">
        <f t="shared" si="5"/>
        <v>45088</v>
      </c>
      <c r="C22" s="1009" t="str">
        <f>IF(INICIO!$C$7&gt;DAY($B22)-1,(VLOOKUP($B22,'[4]PRODUCCION VS ENERGIA'!$B$12:$I$42,2))," ")</f>
        <v xml:space="preserve"> </v>
      </c>
      <c r="D22" s="1010" t="str">
        <f>IF(INICIO!$C$7&gt;DAY($B22)-1,(VLOOKUP($B22,'[4]PRODUCCION VS ENERGIA'!$B$12:$I$42,3))," ")</f>
        <v xml:space="preserve"> </v>
      </c>
      <c r="E22" s="1014" t="str">
        <f t="shared" si="0"/>
        <v xml:space="preserve"> </v>
      </c>
      <c r="F22" s="1010" t="str">
        <f>IF(INICIO!$C$7&gt;DAY($B22)-1,(VLOOKUP($B22,'[4]PRODUCCION VS ENERGIA'!$B$12:$I$42,5))," ")</f>
        <v xml:space="preserve"> </v>
      </c>
      <c r="G22" s="1014" t="str">
        <f>IF(INICIO!$C$7&gt;DAY($B22)-1,(VLOOKUP($B22,'[4]PRODUCCION VS ENERGIA'!$B$12:$I$42,6))," ")</f>
        <v xml:space="preserve"> </v>
      </c>
      <c r="H22" s="1014" t="str">
        <f t="shared" si="1"/>
        <v xml:space="preserve"> </v>
      </c>
      <c r="I22" s="1014" t="str">
        <f>IF(INICIO!$C$7&gt;DAY($B22)-1,(VLOOKUP($B22,'[4]PRODUCCION VS ENERGIA'!$B$12:$I$42,8))," ")</f>
        <v xml:space="preserve"> </v>
      </c>
      <c r="J22" s="1015" t="str">
        <f t="shared" si="2"/>
        <v xml:space="preserve"> </v>
      </c>
      <c r="K22" s="1013" t="str">
        <f>IF(INICIO!$C$7&gt;DAY($B22)-1,(VLOOKUP($B22,DATOSAÑO!$B$11:$BG$375,57))," ")</f>
        <v xml:space="preserve"> </v>
      </c>
      <c r="L22" s="1014" t="str">
        <f>IF(INICIO!$C$7&gt;DAY($B22)-1,(VLOOKUP($B22,DATOSAÑO!$B$11:$BG$375,58))," ")</f>
        <v xml:space="preserve"> </v>
      </c>
      <c r="M22" s="1014" t="str">
        <f>IF(INICIO!$C$7&gt;DAY($B22)-1,(VLOOKUP($B22,DATOSAÑO!$B$11:$CT$375,96))," ")</f>
        <v xml:space="preserve"> </v>
      </c>
      <c r="N22" s="1014" t="str">
        <f t="shared" si="3"/>
        <v xml:space="preserve"> </v>
      </c>
      <c r="O22" s="1014" t="str">
        <f>IF(INICIO!$C$7&gt;DAY($B22)-1,(VLOOKUP($B22,DATOSAÑO!$B$11:$BG$375,58))," ")</f>
        <v xml:space="preserve"> </v>
      </c>
      <c r="P22" s="1014" t="str">
        <f>IF(INICIO!$C$7&gt;DAY($B22)-1,(VLOOKUP($B22,DATOSAÑO!$B$11:$BG$375,24))," ")</f>
        <v xml:space="preserve"> </v>
      </c>
      <c r="Q22" s="1014" t="str">
        <f>IF(INICIO!$C$7&gt;DAY($B22)-1,(P22/24)," ")</f>
        <v xml:space="preserve"> </v>
      </c>
      <c r="R22" s="1014" t="str">
        <f>IF(INICIO!$C$7&gt;DAY($B22)-1,(VLOOKUP($B22,DATOSAÑO!$B$11:$BG$375,55))," ")</f>
        <v xml:space="preserve"> </v>
      </c>
      <c r="S22" s="1346" t="str">
        <f>IF(INICIO!$C$7&gt;DAY($B22)-1,(R22/24)," ")</f>
        <v xml:space="preserve"> </v>
      </c>
      <c r="T22" s="1013" t="str">
        <f>IF(INICIO!$C$7&gt;DAY($B22)-1,(VLOOKUP($B22,DATOSAÑO!$B$11:$BP$375,65))," ")</f>
        <v xml:space="preserve"> </v>
      </c>
      <c r="U22" s="1016" t="str">
        <f>IF(INICIO!$C$7&gt;DAY($B22)-1,((VLOOKUP($B22,DATOSAÑO!$B$11:$BP$375,66))*$AA$3)," ")</f>
        <v xml:space="preserve"> </v>
      </c>
      <c r="V22" s="1014" t="str">
        <f t="shared" si="6"/>
        <v xml:space="preserve"> </v>
      </c>
      <c r="W22" s="1014" t="str">
        <f>IF(INICIO!$C$7&gt;DAY($B22)-1,(VLOOKUP($B22,DATOSAÑO!$B$11:$BP$375,67))," ")</f>
        <v xml:space="preserve"> </v>
      </c>
      <c r="X22" s="1014" t="str">
        <f>IF(INICIO!$C$7&gt;DAY($B22)-1,(VLOOKUP($B22,DATOSAÑO!$B$11:$BP$375,59))+(VLOOKUP($B22,DATOSAÑO!$B$11:$BP$375,61))," ")</f>
        <v xml:space="preserve"> </v>
      </c>
      <c r="Y22" s="1014" t="str">
        <f>IF(INICIO!$C$7&gt;DAY($B22)-1,(X22/24)," ")</f>
        <v xml:space="preserve"> </v>
      </c>
      <c r="Z22" s="1014" t="str">
        <f>IF(INICIO!$C$7&gt;DAY($B22)-1,(VLOOKUP($B22,DATOSAÑO!$B$11:$BI$375,60))+(VLOOKUP($B22,DATOSAÑO!$B$11:$BK$375,62))," ")</f>
        <v xml:space="preserve"> </v>
      </c>
      <c r="AA22" s="1015" t="str">
        <f>IF(INICIO!$C$7&gt;DAY($B22)-1,(Z22/24)," ")</f>
        <v xml:space="preserve"> </v>
      </c>
      <c r="AB22" s="607"/>
    </row>
    <row r="23" spans="1:38" ht="17.100000000000001" customHeight="1">
      <c r="A23" s="606"/>
      <c r="B23" s="1008">
        <f t="shared" si="5"/>
        <v>45089</v>
      </c>
      <c r="C23" s="1009" t="str">
        <f>IF(INICIO!$C$7&gt;DAY($B23)-1,(VLOOKUP($B23,'[4]PRODUCCION VS ENERGIA'!$B$12:$I$42,2))," ")</f>
        <v xml:space="preserve"> </v>
      </c>
      <c r="D23" s="1010" t="str">
        <f>IF(INICIO!$C$7&gt;DAY($B23)-1,(VLOOKUP($B23,'[4]PRODUCCION VS ENERGIA'!$B$12:$I$42,3))," ")</f>
        <v xml:space="preserve"> </v>
      </c>
      <c r="E23" s="1011" t="str">
        <f t="shared" si="0"/>
        <v xml:space="preserve"> </v>
      </c>
      <c r="F23" s="1010" t="str">
        <f>IF(INICIO!$C$7&gt;DAY($B23)-1,(VLOOKUP($B23,'[4]PRODUCCION VS ENERGIA'!$B$12:$I$42,5))," ")</f>
        <v xml:space="preserve"> </v>
      </c>
      <c r="G23" s="1011" t="str">
        <f>IF(INICIO!$C$7&gt;DAY($B23)-1,(VLOOKUP($B23,'[4]PRODUCCION VS ENERGIA'!$B$12:$I$42,6))," ")</f>
        <v xml:space="preserve"> </v>
      </c>
      <c r="H23" s="1011" t="str">
        <f t="shared" si="1"/>
        <v xml:space="preserve"> </v>
      </c>
      <c r="I23" s="1011" t="str">
        <f>IF(INICIO!$C$7&gt;DAY($B23)-1,(VLOOKUP($B23,'[4]PRODUCCION VS ENERGIA'!$B$12:$I$42,8))," ")</f>
        <v xml:space="preserve"> </v>
      </c>
      <c r="J23" s="1012" t="str">
        <f t="shared" si="2"/>
        <v xml:space="preserve"> </v>
      </c>
      <c r="K23" s="1013" t="str">
        <f>IF(INICIO!$C$7&gt;DAY($B23)-1,(VLOOKUP($B23,DATOSAÑO!$B$11:$BG$375,57))," ")</f>
        <v xml:space="preserve"> </v>
      </c>
      <c r="L23" s="1014" t="str">
        <f>IF(INICIO!$C$7&gt;DAY($B23)-1,(VLOOKUP($B23,DATOSAÑO!$B$11:$BG$375,58))," ")</f>
        <v xml:space="preserve"> </v>
      </c>
      <c r="M23" s="1014" t="str">
        <f>IF(INICIO!$C$7&gt;DAY($B23)-1,(VLOOKUP($B23,DATOSAÑO!$B$11:$CT$375,96))," ")</f>
        <v xml:space="preserve"> </v>
      </c>
      <c r="N23" s="1014" t="str">
        <f t="shared" si="3"/>
        <v xml:space="preserve"> </v>
      </c>
      <c r="O23" s="1014" t="str">
        <f>IF(INICIO!$C$7&gt;DAY($B23)-1,(VLOOKUP($B23,DATOSAÑO!$B$11:$BG$375,58))," ")</f>
        <v xml:space="preserve"> </v>
      </c>
      <c r="P23" s="1014" t="str">
        <f>IF(INICIO!$C$7&gt;DAY($B23)-1,(VLOOKUP($B23,DATOSAÑO!$B$11:$BG$375,24))," ")</f>
        <v xml:space="preserve"> </v>
      </c>
      <c r="Q23" s="1014" t="str">
        <f>IF(INICIO!$C$7&gt;DAY($B23)-1,(P23/24)," ")</f>
        <v xml:space="preserve"> </v>
      </c>
      <c r="R23" s="1014" t="str">
        <f>IF(INICIO!$C$7&gt;DAY($B23)-1,(VLOOKUP($B23,DATOSAÑO!$B$11:$BG$375,55))," ")</f>
        <v xml:space="preserve"> </v>
      </c>
      <c r="S23" s="1346" t="str">
        <f>IF(INICIO!$C$7&gt;DAY($B23)-1,(R23/24)," ")</f>
        <v xml:space="preserve"> </v>
      </c>
      <c r="T23" s="1013" t="str">
        <f>IF(INICIO!$C$7&gt;DAY($B23)-1,(VLOOKUP($B23,DATOSAÑO!$B$11:$BP$375,65))," ")</f>
        <v xml:space="preserve"> </v>
      </c>
      <c r="U23" s="1016" t="str">
        <f>IF(INICIO!$C$7&gt;DAY($B23)-1,((VLOOKUP($B23,DATOSAÑO!$B$11:$BP$375,66))*$AA$3)," ")</f>
        <v xml:space="preserve"> </v>
      </c>
      <c r="V23" s="1014" t="str">
        <f t="shared" si="6"/>
        <v xml:space="preserve"> </v>
      </c>
      <c r="W23" s="1014" t="str">
        <f>IF(INICIO!$C$7&gt;DAY($B23)-1,(VLOOKUP($B23,DATOSAÑO!$B$11:$BP$375,67))," ")</f>
        <v xml:space="preserve"> </v>
      </c>
      <c r="X23" s="1014" t="str">
        <f>IF(INICIO!$C$7&gt;DAY($B23)-1,(VLOOKUP($B23,DATOSAÑO!$B$11:$BP$375,59))+(VLOOKUP($B23,DATOSAÑO!$B$11:$BP$375,61))," ")</f>
        <v xml:space="preserve"> </v>
      </c>
      <c r="Y23" s="1014" t="str">
        <f>IF(INICIO!$C$7&gt;DAY($B23)-1,(X23/24)," ")</f>
        <v xml:space="preserve"> </v>
      </c>
      <c r="Z23" s="1014" t="str">
        <f>IF(INICIO!$C$7&gt;DAY($B23)-1,(VLOOKUP($B23,DATOSAÑO!$B$11:$BI$375,60))+(VLOOKUP($B23,DATOSAÑO!$B$11:$BK$375,62))," ")</f>
        <v xml:space="preserve"> </v>
      </c>
      <c r="AA23" s="1015" t="str">
        <f>IF(INICIO!$C$7&gt;DAY($B23)-1,(Z23/24)," ")</f>
        <v xml:space="preserve"> </v>
      </c>
      <c r="AB23" s="607"/>
    </row>
    <row r="24" spans="1:38" ht="17.100000000000001" customHeight="1">
      <c r="A24" s="606"/>
      <c r="B24" s="1008">
        <f t="shared" si="5"/>
        <v>45090</v>
      </c>
      <c r="C24" s="1009" t="str">
        <f>IF(INICIO!$C$7&gt;DAY($B24)-1,(VLOOKUP($B24,'[4]PRODUCCION VS ENERGIA'!$B$12:$I$42,2))," ")</f>
        <v xml:space="preserve"> </v>
      </c>
      <c r="D24" s="1010" t="str">
        <f>IF(INICIO!$C$7&gt;DAY($B24)-1,(VLOOKUP($B24,'[4]PRODUCCION VS ENERGIA'!$B$12:$I$42,3))," ")</f>
        <v xml:space="preserve"> </v>
      </c>
      <c r="E24" s="1014" t="str">
        <f t="shared" si="0"/>
        <v xml:space="preserve"> </v>
      </c>
      <c r="F24" s="1010" t="str">
        <f>IF(INICIO!$C$7&gt;DAY($B24)-1,(VLOOKUP($B24,'[4]PRODUCCION VS ENERGIA'!$B$12:$I$42,5))," ")</f>
        <v xml:space="preserve"> </v>
      </c>
      <c r="G24" s="1014" t="str">
        <f>IF(INICIO!$C$7&gt;DAY($B24)-1,(VLOOKUP($B24,'[4]PRODUCCION VS ENERGIA'!$B$12:$I$42,6))," ")</f>
        <v xml:space="preserve"> </v>
      </c>
      <c r="H24" s="1014" t="str">
        <f t="shared" si="1"/>
        <v xml:space="preserve"> </v>
      </c>
      <c r="I24" s="1014" t="str">
        <f>IF(INICIO!$C$7&gt;DAY($B24)-1,(VLOOKUP($B24,'[4]PRODUCCION VS ENERGIA'!$B$12:$I$42,8))," ")</f>
        <v xml:space="preserve"> </v>
      </c>
      <c r="J24" s="1015" t="str">
        <f t="shared" si="2"/>
        <v xml:space="preserve"> </v>
      </c>
      <c r="K24" s="1013" t="str">
        <f>IF(INICIO!$C$7&gt;DAY($B24)-1,(VLOOKUP($B24,DATOSAÑO!$B$11:$BG$375,57))," ")</f>
        <v xml:space="preserve"> </v>
      </c>
      <c r="L24" s="1014" t="str">
        <f>IF(INICIO!$C$7&gt;DAY($B24)-1,(VLOOKUP($B24,DATOSAÑO!$B$11:$BG$375,58))," ")</f>
        <v xml:space="preserve"> </v>
      </c>
      <c r="M24" s="1014" t="str">
        <f>IF(INICIO!$C$7&gt;DAY($B24)-1,(VLOOKUP($B24,DATOSAÑO!$B$11:$CT$375,96))," ")</f>
        <v xml:space="preserve"> </v>
      </c>
      <c r="N24" s="1014" t="str">
        <f t="shared" si="3"/>
        <v xml:space="preserve"> </v>
      </c>
      <c r="O24" s="1014" t="str">
        <f>IF(INICIO!$C$7&gt;DAY($B24)-1,(VLOOKUP($B24,DATOSAÑO!$B$11:$BG$375,58))," ")</f>
        <v xml:space="preserve"> </v>
      </c>
      <c r="P24" s="1014" t="str">
        <f>IF(INICIO!$C$7&gt;DAY($B24)-1,(VLOOKUP($B24,DATOSAÑO!$B$11:$BG$375,24))," ")</f>
        <v xml:space="preserve"> </v>
      </c>
      <c r="Q24" s="1014" t="str">
        <f>IF(INICIO!$C$7&gt;DAY($B24)-1,(P24/24)," ")</f>
        <v xml:space="preserve"> </v>
      </c>
      <c r="R24" s="1014" t="str">
        <f>IF(INICIO!$C$7&gt;DAY($B24)-1,(VLOOKUP($B24,DATOSAÑO!$B$11:$BG$375,55))," ")</f>
        <v xml:space="preserve"> </v>
      </c>
      <c r="S24" s="1346" t="str">
        <f>IF(INICIO!$C$7&gt;DAY($B24)-1,(R24/24)," ")</f>
        <v xml:space="preserve"> </v>
      </c>
      <c r="T24" s="1013" t="str">
        <f>IF(INICIO!$C$7&gt;DAY($B24)-1,(VLOOKUP($B24,DATOSAÑO!$B$11:$BP$375,65))," ")</f>
        <v xml:space="preserve"> </v>
      </c>
      <c r="U24" s="1016" t="str">
        <f>IF(INICIO!$C$7&gt;DAY($B24)-1,((VLOOKUP($B24,DATOSAÑO!$B$11:$BP$375,66))*$AA$3)," ")</f>
        <v xml:space="preserve"> </v>
      </c>
      <c r="V24" s="1014" t="str">
        <f t="shared" si="6"/>
        <v xml:space="preserve"> </v>
      </c>
      <c r="W24" s="1014" t="str">
        <f>IF(INICIO!$C$7&gt;DAY($B24)-1,(VLOOKUP($B24,DATOSAÑO!$B$11:$BP$375,67))," ")</f>
        <v xml:space="preserve"> </v>
      </c>
      <c r="X24" s="1014" t="str">
        <f>IF(INICIO!$C$7&gt;DAY($B24)-1,(VLOOKUP($B24,DATOSAÑO!$B$11:$BP$375,59))+(VLOOKUP($B24,DATOSAÑO!$B$11:$BP$375,61))," ")</f>
        <v xml:space="preserve"> </v>
      </c>
      <c r="Y24" s="1014" t="str">
        <f>IF(INICIO!$C$7&gt;DAY($B24)-1,(X24/24)," ")</f>
        <v xml:space="preserve"> </v>
      </c>
      <c r="Z24" s="1014" t="str">
        <f>IF(INICIO!$C$7&gt;DAY($B24)-1,(VLOOKUP($B24,DATOSAÑO!$B$11:$BI$375,60))+(VLOOKUP($B24,DATOSAÑO!$B$11:$BK$375,62))," ")</f>
        <v xml:space="preserve"> </v>
      </c>
      <c r="AA24" s="1015" t="str">
        <f>IF(INICIO!$C$7&gt;DAY($B24)-1,(Z24/24)," ")</f>
        <v xml:space="preserve"> </v>
      </c>
      <c r="AB24" s="607"/>
    </row>
    <row r="25" spans="1:38" ht="17.100000000000001" customHeight="1">
      <c r="A25" s="606"/>
      <c r="B25" s="1008">
        <f t="shared" si="5"/>
        <v>45091</v>
      </c>
      <c r="C25" s="1009" t="str">
        <f>IF(INICIO!$C$7&gt;DAY($B25)-1,(VLOOKUP($B25,'[4]PRODUCCION VS ENERGIA'!$B$12:$I$42,2))," ")</f>
        <v xml:space="preserve"> </v>
      </c>
      <c r="D25" s="1010" t="str">
        <f>IF(INICIO!$C$7&gt;DAY($B25)-1,(VLOOKUP($B25,'[4]PRODUCCION VS ENERGIA'!$B$12:$I$42,3))," ")</f>
        <v xml:space="preserve"> </v>
      </c>
      <c r="E25" s="1014" t="str">
        <f t="shared" si="0"/>
        <v xml:space="preserve"> </v>
      </c>
      <c r="F25" s="1010" t="str">
        <f>IF(INICIO!$C$7&gt;DAY($B25)-1,(VLOOKUP($B25,'[4]PRODUCCION VS ENERGIA'!$B$12:$I$42,5))," ")</f>
        <v xml:space="preserve"> </v>
      </c>
      <c r="G25" s="1014" t="str">
        <f>IF(INICIO!$C$7&gt;DAY($B25)-1,(VLOOKUP($B25,'[4]PRODUCCION VS ENERGIA'!$B$12:$I$42,6))," ")</f>
        <v xml:space="preserve"> </v>
      </c>
      <c r="H25" s="1014" t="str">
        <f t="shared" si="1"/>
        <v xml:space="preserve"> </v>
      </c>
      <c r="I25" s="1014" t="str">
        <f>IF(INICIO!$C$7&gt;DAY($B25)-1,(VLOOKUP($B25,'[4]PRODUCCION VS ENERGIA'!$B$12:$I$42,8))," ")</f>
        <v xml:space="preserve"> </v>
      </c>
      <c r="J25" s="1015" t="str">
        <f t="shared" si="2"/>
        <v xml:space="preserve"> </v>
      </c>
      <c r="K25" s="1013" t="str">
        <f>IF(INICIO!$C$7&gt;DAY($B25)-1,(VLOOKUP($B25,DATOSAÑO!$B$11:$BG$375,57))," ")</f>
        <v xml:space="preserve"> </v>
      </c>
      <c r="L25" s="1014" t="str">
        <f>IF(INICIO!$C$7&gt;DAY($B25)-1,(VLOOKUP($B25,DATOSAÑO!$B$11:$BG$375,58))," ")</f>
        <v xml:space="preserve"> </v>
      </c>
      <c r="M25" s="1014" t="str">
        <f>IF(INICIO!$C$7&gt;DAY($B25)-1,(VLOOKUP($B25,DATOSAÑO!$B$11:$CT$375,96))," ")</f>
        <v xml:space="preserve"> </v>
      </c>
      <c r="N25" s="1014" t="str">
        <f t="shared" si="3"/>
        <v xml:space="preserve"> </v>
      </c>
      <c r="O25" s="1014" t="str">
        <f>IF(INICIO!$C$7&gt;DAY($B25)-1,(VLOOKUP($B25,DATOSAÑO!$B$11:$BG$375,58))," ")</f>
        <v xml:space="preserve"> </v>
      </c>
      <c r="P25" s="1014" t="str">
        <f>IF(INICIO!$C$7&gt;DAY($B25)-1,(VLOOKUP($B25,DATOSAÑO!$B$11:$BG$375,24))," ")</f>
        <v xml:space="preserve"> </v>
      </c>
      <c r="Q25" s="1014" t="str">
        <f>IF(INICIO!$C$7&gt;DAY($B25)-1,(P25/24)," ")</f>
        <v xml:space="preserve"> </v>
      </c>
      <c r="R25" s="1014" t="str">
        <f>IF(INICIO!$C$7&gt;DAY($B25)-1,(VLOOKUP($B25,DATOSAÑO!$B$11:$BG$375,55))," ")</f>
        <v xml:space="preserve"> </v>
      </c>
      <c r="S25" s="1346" t="str">
        <f>IF(INICIO!$C$7&gt;DAY($B25)-1,(R25/24)," ")</f>
        <v xml:space="preserve"> </v>
      </c>
      <c r="T25" s="1013" t="str">
        <f>IF(INICIO!$C$7&gt;DAY($B25)-1,(VLOOKUP($B25,DATOSAÑO!$B$11:$BP$375,65))," ")</f>
        <v xml:space="preserve"> </v>
      </c>
      <c r="U25" s="1016" t="str">
        <f>IF(INICIO!$C$7&gt;DAY($B25)-1,((VLOOKUP($B25,DATOSAÑO!$B$11:$BP$375,66))*$AA$3)," ")</f>
        <v xml:space="preserve"> </v>
      </c>
      <c r="V25" s="1014" t="str">
        <f t="shared" si="6"/>
        <v xml:space="preserve"> </v>
      </c>
      <c r="W25" s="1014" t="str">
        <f>IF(INICIO!$C$7&gt;DAY($B25)-1,(VLOOKUP($B25,DATOSAÑO!$B$11:$BP$375,67))," ")</f>
        <v xml:space="preserve"> </v>
      </c>
      <c r="X25" s="1014" t="str">
        <f>IF(INICIO!$C$7&gt;DAY($B25)-1,(VLOOKUP($B25,DATOSAÑO!$B$11:$BP$375,59))+(VLOOKUP($B25,DATOSAÑO!$B$11:$BP$375,61))," ")</f>
        <v xml:space="preserve"> </v>
      </c>
      <c r="Y25" s="1014" t="str">
        <f>IF(INICIO!$C$7&gt;DAY($B25)-1,(X25/24)," ")</f>
        <v xml:space="preserve"> </v>
      </c>
      <c r="Z25" s="1014" t="str">
        <f>IF(INICIO!$C$7&gt;DAY($B25)-1,(VLOOKUP($B25,DATOSAÑO!$B$11:$BI$375,60))+(VLOOKUP($B25,DATOSAÑO!$B$11:$BK$375,62))," ")</f>
        <v xml:space="preserve"> </v>
      </c>
      <c r="AA25" s="1015" t="str">
        <f>IF(INICIO!$C$7&gt;DAY($B25)-1,(Z25/24)," ")</f>
        <v xml:space="preserve"> </v>
      </c>
      <c r="AB25" s="607"/>
    </row>
    <row r="26" spans="1:38" s="88" customFormat="1" ht="16.95" customHeight="1">
      <c r="A26" s="1726"/>
      <c r="B26" s="1008">
        <f t="shared" si="5"/>
        <v>45092</v>
      </c>
      <c r="C26" s="1009" t="str">
        <f>IF(INICIO!$C$7&gt;DAY($B26)-1,(VLOOKUP($B26,'[4]PRODUCCION VS ENERGIA'!$B$12:$I$42,2))," ")</f>
        <v xml:space="preserve"> </v>
      </c>
      <c r="D26" s="1010" t="str">
        <f>IF(INICIO!$C$7&gt;DAY($B26)-1,(VLOOKUP($B26,'[4]PRODUCCION VS ENERGIA'!$B$12:$I$42,3))," ")</f>
        <v xml:space="preserve"> </v>
      </c>
      <c r="E26" s="1014" t="str">
        <f t="shared" si="0"/>
        <v xml:space="preserve"> </v>
      </c>
      <c r="F26" s="1010" t="str">
        <f>IF(INICIO!$C$7&gt;DAY($B26)-1,(VLOOKUP($B26,'[4]PRODUCCION VS ENERGIA'!$B$12:$I$42,5))," ")</f>
        <v xml:space="preserve"> </v>
      </c>
      <c r="G26" s="1014" t="str">
        <f>IF(INICIO!$C$7&gt;DAY($B26)-1,(VLOOKUP($B26,'[4]PRODUCCION VS ENERGIA'!$B$12:$I$42,6))," ")</f>
        <v xml:space="preserve"> </v>
      </c>
      <c r="H26" s="1014" t="str">
        <f t="shared" si="1"/>
        <v xml:space="preserve"> </v>
      </c>
      <c r="I26" s="1014" t="str">
        <f>IF(INICIO!$C$7&gt;DAY($B26)-1,(VLOOKUP($B26,'[4]PRODUCCION VS ENERGIA'!$B$12:$I$42,8))," ")</f>
        <v xml:space="preserve"> </v>
      </c>
      <c r="J26" s="1015" t="str">
        <f t="shared" si="2"/>
        <v xml:space="preserve"> </v>
      </c>
      <c r="K26" s="1013" t="str">
        <f>IF(INICIO!$C$7&gt;DAY($B26)-1,(VLOOKUP($B26,DATOSAÑO!$B$11:$BG$375,57))," ")</f>
        <v xml:space="preserve"> </v>
      </c>
      <c r="L26" s="1014" t="str">
        <f>IF(INICIO!$C$7&gt;DAY($B26)-1,(VLOOKUP($B26,DATOSAÑO!$B$11:$BG$375,58))," ")</f>
        <v xml:space="preserve"> </v>
      </c>
      <c r="M26" s="1014" t="str">
        <f>IF(INICIO!$C$7&gt;DAY($B26)-1,(VLOOKUP($B26,DATOSAÑO!$B$11:$CT$375,96))," ")</f>
        <v xml:space="preserve"> </v>
      </c>
      <c r="N26" s="1014" t="str">
        <f t="shared" si="3"/>
        <v xml:space="preserve"> </v>
      </c>
      <c r="O26" s="1014" t="str">
        <f>IF(INICIO!$C$7&gt;DAY($B26)-1,(VLOOKUP($B26,DATOSAÑO!$B$11:$BG$375,58))," ")</f>
        <v xml:space="preserve"> </v>
      </c>
      <c r="P26" s="1014" t="str">
        <f>IF(INICIO!$C$7&gt;DAY($B26)-1,(VLOOKUP($B26,DATOSAÑO!$B$11:$BG$375,24))," ")</f>
        <v xml:space="preserve"> </v>
      </c>
      <c r="Q26" s="1014" t="str">
        <f>IF(INICIO!$C$7&gt;DAY($B26)-1,(P26/24)," ")</f>
        <v xml:space="preserve"> </v>
      </c>
      <c r="R26" s="1014" t="str">
        <f>IF(INICIO!$C$7&gt;DAY($B26)-1,(VLOOKUP($B26,DATOSAÑO!$B$11:$BG$375,55))," ")</f>
        <v xml:space="preserve"> </v>
      </c>
      <c r="S26" s="1346" t="str">
        <f>IF(INICIO!$C$7&gt;DAY($B26)-1,(R26/24)," ")</f>
        <v xml:space="preserve"> </v>
      </c>
      <c r="T26" s="1013" t="str">
        <f>IF(INICIO!$C$7&gt;DAY($B26)-1,(VLOOKUP($B26,DATOSAÑO!$B$11:$BP$375,65))," ")</f>
        <v xml:space="preserve"> </v>
      </c>
      <c r="U26" s="1016" t="str">
        <f>IF(INICIO!$C$7&gt;DAY($B26)-1,((VLOOKUP($B26,DATOSAÑO!$B$11:$BP$375,66))*$AA$3)," ")</f>
        <v xml:space="preserve"> </v>
      </c>
      <c r="V26" s="1014" t="str">
        <f t="shared" si="6"/>
        <v xml:space="preserve"> </v>
      </c>
      <c r="W26" s="1014" t="str">
        <f>IF(INICIO!$C$7&gt;DAY($B26)-1,(VLOOKUP($B26,DATOSAÑO!$B$11:$BP$375,67))," ")</f>
        <v xml:space="preserve"> </v>
      </c>
      <c r="X26" s="1014" t="str">
        <f>IF(INICIO!$C$7&gt;DAY($B26)-1,(VLOOKUP($B26,DATOSAÑO!$B$11:$BP$375,59))+(VLOOKUP($B26,DATOSAÑO!$B$11:$BP$375,61))," ")</f>
        <v xml:space="preserve"> </v>
      </c>
      <c r="Y26" s="1014" t="str">
        <f>IF(INICIO!$C$7&gt;DAY($B26)-1,(X26/24)," ")</f>
        <v xml:space="preserve"> </v>
      </c>
      <c r="Z26" s="1014" t="str">
        <f>IF(INICIO!$C$7&gt;DAY($B26)-1,(VLOOKUP($B26,DATOSAÑO!$B$11:$BI$375,60))+(VLOOKUP($B26,DATOSAÑO!$B$11:$BK$375,62))," ")</f>
        <v xml:space="preserve"> </v>
      </c>
      <c r="AA26" s="1015" t="str">
        <f>IF(INICIO!$C$7&gt;DAY($B26)-1,(Z26/24)," ")</f>
        <v xml:space="preserve"> </v>
      </c>
      <c r="AB26" s="1727"/>
      <c r="AC26" s="1760"/>
      <c r="AD26" s="1758"/>
      <c r="AE26" s="1761"/>
      <c r="AF26" s="1761"/>
      <c r="AG26" s="1761"/>
      <c r="AL26" s="1761"/>
    </row>
    <row r="27" spans="1:38" s="88" customFormat="1" ht="16.95" customHeight="1">
      <c r="A27" s="1726"/>
      <c r="B27" s="1008">
        <f t="shared" si="5"/>
        <v>45093</v>
      </c>
      <c r="C27" s="1009" t="str">
        <f>IF(INICIO!$C$7&gt;DAY($B27)-1,(VLOOKUP($B27,'[4]PRODUCCION VS ENERGIA'!$B$12:$I$42,2))," ")</f>
        <v xml:space="preserve"> </v>
      </c>
      <c r="D27" s="1010" t="str">
        <f>IF(INICIO!$C$7&gt;DAY($B27)-1,(VLOOKUP($B27,'[4]PRODUCCION VS ENERGIA'!$B$12:$I$42,3))," ")</f>
        <v xml:space="preserve"> </v>
      </c>
      <c r="E27" s="1014" t="str">
        <f t="shared" si="0"/>
        <v xml:space="preserve"> </v>
      </c>
      <c r="F27" s="1010" t="str">
        <f>IF(INICIO!$C$7&gt;DAY($B27)-1,(VLOOKUP($B27,'[4]PRODUCCION VS ENERGIA'!$B$12:$I$42,5))," ")</f>
        <v xml:space="preserve"> </v>
      </c>
      <c r="G27" s="1014" t="str">
        <f>IF(INICIO!$C$7&gt;DAY($B27)-1,(VLOOKUP($B27,'[4]PRODUCCION VS ENERGIA'!$B$12:$I$42,6))," ")</f>
        <v xml:space="preserve"> </v>
      </c>
      <c r="H27" s="1014" t="str">
        <f t="shared" si="1"/>
        <v xml:space="preserve"> </v>
      </c>
      <c r="I27" s="1014" t="str">
        <f>IF(INICIO!$C$7&gt;DAY($B27)-1,(VLOOKUP($B27,'[4]PRODUCCION VS ENERGIA'!$B$12:$I$42,8))," ")</f>
        <v xml:space="preserve"> </v>
      </c>
      <c r="J27" s="1015" t="str">
        <f t="shared" si="2"/>
        <v xml:space="preserve"> </v>
      </c>
      <c r="K27" s="1013" t="str">
        <f>IF(INICIO!$C$7&gt;DAY($B27)-1,(VLOOKUP($B27,DATOSAÑO!$B$11:$BG$375,57))," ")</f>
        <v xml:space="preserve"> </v>
      </c>
      <c r="L27" s="1014" t="str">
        <f>IF(INICIO!$C$7&gt;DAY($B27)-1,(VLOOKUP($B27,DATOSAÑO!$B$11:$BG$375,58))," ")</f>
        <v xml:space="preserve"> </v>
      </c>
      <c r="M27" s="1014" t="str">
        <f>IF(INICIO!$C$7&gt;DAY($B27)-1,(VLOOKUP($B27,DATOSAÑO!$B$11:$CT$375,96))," ")</f>
        <v xml:space="preserve"> </v>
      </c>
      <c r="N27" s="1014" t="str">
        <f t="shared" si="3"/>
        <v xml:space="preserve"> </v>
      </c>
      <c r="O27" s="1014" t="str">
        <f>IF(INICIO!$C$7&gt;DAY($B27)-1,(VLOOKUP($B27,DATOSAÑO!$B$11:$BG$375,58))," ")</f>
        <v xml:space="preserve"> </v>
      </c>
      <c r="P27" s="1014" t="str">
        <f>IF(INICIO!$C$7&gt;DAY($B27)-1,(VLOOKUP($B27,DATOSAÑO!$B$11:$BG$375,24))," ")</f>
        <v xml:space="preserve"> </v>
      </c>
      <c r="Q27" s="1014" t="str">
        <f>IF(INICIO!$C$7&gt;DAY($B27)-1,(P27/24)," ")</f>
        <v xml:space="preserve"> </v>
      </c>
      <c r="R27" s="1014" t="str">
        <f>IF(INICIO!$C$7&gt;DAY($B27)-1,(VLOOKUP($B27,DATOSAÑO!$B$11:$BG$375,55))," ")</f>
        <v xml:space="preserve"> </v>
      </c>
      <c r="S27" s="1346" t="str">
        <f>IF(INICIO!$C$7&gt;DAY($B27)-1,(R27/24)," ")</f>
        <v xml:space="preserve"> </v>
      </c>
      <c r="T27" s="1013" t="str">
        <f>IF(INICIO!$C$7&gt;DAY($B27)-1,(VLOOKUP($B27,DATOSAÑO!$B$11:$BP$375,65))," ")</f>
        <v xml:space="preserve"> </v>
      </c>
      <c r="U27" s="1016" t="str">
        <f>IF(INICIO!$C$7&gt;DAY($B27)-1,((VLOOKUP($B27,DATOSAÑO!$B$11:$BP$375,66))*$AA$3)," ")</f>
        <v xml:space="preserve"> </v>
      </c>
      <c r="V27" s="1014" t="str">
        <f t="shared" si="6"/>
        <v xml:space="preserve"> </v>
      </c>
      <c r="W27" s="1014" t="str">
        <f>IF(INICIO!$C$7&gt;DAY($B27)-1,(VLOOKUP($B27,DATOSAÑO!$B$11:$BP$375,67))," ")</f>
        <v xml:space="preserve"> </v>
      </c>
      <c r="X27" s="1014" t="str">
        <f>IF(INICIO!$C$7&gt;DAY($B27)-1,(VLOOKUP($B27,DATOSAÑO!$B$11:$BP$375,59))+(VLOOKUP($B27,DATOSAÑO!$B$11:$BP$375,61))," ")</f>
        <v xml:space="preserve"> </v>
      </c>
      <c r="Y27" s="1014" t="str">
        <f>IF(INICIO!$C$7&gt;DAY($B27)-1,(X27/24)," ")</f>
        <v xml:space="preserve"> </v>
      </c>
      <c r="Z27" s="1014" t="str">
        <f>IF(INICIO!$C$7&gt;DAY($B27)-1,(VLOOKUP($B27,DATOSAÑO!$B$11:$BI$375,60))+(VLOOKUP($B27,DATOSAÑO!$B$11:$BK$375,62))," ")</f>
        <v xml:space="preserve"> </v>
      </c>
      <c r="AA27" s="1015" t="str">
        <f>IF(INICIO!$C$7&gt;DAY($B27)-1,(Z27/24)," ")</f>
        <v xml:space="preserve"> </v>
      </c>
      <c r="AB27" s="1727"/>
      <c r="AC27" s="1760"/>
      <c r="AD27" s="1758"/>
      <c r="AE27" s="1761"/>
      <c r="AF27" s="1761"/>
      <c r="AG27" s="1761"/>
      <c r="AL27" s="1761"/>
    </row>
    <row r="28" spans="1:38" ht="17.100000000000001" customHeight="1">
      <c r="A28" s="606"/>
      <c r="B28" s="1008">
        <f t="shared" si="5"/>
        <v>45094</v>
      </c>
      <c r="C28" s="1009" t="str">
        <f>IF(INICIO!$C$7&gt;DAY($B28)-1,(VLOOKUP($B28,'[4]PRODUCCION VS ENERGIA'!$B$12:$I$42,2))," ")</f>
        <v xml:space="preserve"> </v>
      </c>
      <c r="D28" s="1010" t="str">
        <f>IF(INICIO!$C$7&gt;DAY($B28)-1,(VLOOKUP($B28,'[4]PRODUCCION VS ENERGIA'!$B$12:$I$42,3))," ")</f>
        <v xml:space="preserve"> </v>
      </c>
      <c r="E28" s="1011" t="str">
        <f t="shared" si="0"/>
        <v xml:space="preserve"> </v>
      </c>
      <c r="F28" s="1010" t="str">
        <f>IF(INICIO!$C$7&gt;DAY($B28)-1,(VLOOKUP($B28,'[4]PRODUCCION VS ENERGIA'!$B$12:$I$42,5))," ")</f>
        <v xml:space="preserve"> </v>
      </c>
      <c r="G28" s="1011" t="str">
        <f>IF(INICIO!$C$7&gt;DAY($B28)-1,(VLOOKUP($B28,'[4]PRODUCCION VS ENERGIA'!$B$12:$I$42,6))," ")</f>
        <v xml:space="preserve"> </v>
      </c>
      <c r="H28" s="1011" t="str">
        <f t="shared" si="1"/>
        <v xml:space="preserve"> </v>
      </c>
      <c r="I28" s="1011" t="str">
        <f>IF(INICIO!$C$7&gt;DAY($B28)-1,(VLOOKUP($B28,'[4]PRODUCCION VS ENERGIA'!$B$12:$I$42,8))," ")</f>
        <v xml:space="preserve"> </v>
      </c>
      <c r="J28" s="1012" t="str">
        <f t="shared" si="2"/>
        <v xml:space="preserve"> </v>
      </c>
      <c r="K28" s="1013" t="str">
        <f>IF(INICIO!$C$7&gt;DAY($B28)-1,(VLOOKUP($B28,DATOSAÑO!$B$11:$BG$375,57))," ")</f>
        <v xml:space="preserve"> </v>
      </c>
      <c r="L28" s="1014" t="str">
        <f>IF(INICIO!$C$7&gt;DAY($B28)-1,(VLOOKUP($B28,DATOSAÑO!$B$11:$BG$375,58))," ")</f>
        <v xml:space="preserve"> </v>
      </c>
      <c r="M28" s="1014" t="str">
        <f>IF(INICIO!$C$7&gt;DAY($B28)-1,(VLOOKUP($B28,DATOSAÑO!$B$11:$CT$375,96))," ")</f>
        <v xml:space="preserve"> </v>
      </c>
      <c r="N28" s="1014" t="str">
        <f t="shared" si="3"/>
        <v xml:space="preserve"> </v>
      </c>
      <c r="O28" s="1014" t="str">
        <f>IF(INICIO!$C$7&gt;DAY($B28)-1,(VLOOKUP($B28,DATOSAÑO!$B$11:$BG$375,58))," ")</f>
        <v xml:space="preserve"> </v>
      </c>
      <c r="P28" s="1014" t="str">
        <f>IF(INICIO!$C$7&gt;DAY($B28)-1,(VLOOKUP($B28,DATOSAÑO!$B$11:$BG$375,24))," ")</f>
        <v xml:space="preserve"> </v>
      </c>
      <c r="Q28" s="1014" t="str">
        <f>IF(INICIO!$C$7&gt;DAY($B28)-1,(P28/24)," ")</f>
        <v xml:space="preserve"> </v>
      </c>
      <c r="R28" s="1014" t="str">
        <f>IF(INICIO!$C$7&gt;DAY($B28)-1,(VLOOKUP($B28,DATOSAÑO!$B$11:$BG$375,55))," ")</f>
        <v xml:space="preserve"> </v>
      </c>
      <c r="S28" s="1346" t="str">
        <f>IF(INICIO!$C$7&gt;DAY($B28)-1,(R28/24)," ")</f>
        <v xml:space="preserve"> </v>
      </c>
      <c r="T28" s="1013" t="str">
        <f>IF(INICIO!$C$7&gt;DAY($B28)-1,(VLOOKUP($B28,DATOSAÑO!$B$11:$BP$375,65))," ")</f>
        <v xml:space="preserve"> </v>
      </c>
      <c r="U28" s="1016" t="str">
        <f>IF(INICIO!$C$7&gt;DAY($B28)-1,((VLOOKUP($B28,DATOSAÑO!$B$11:$BP$375,66))*$AA$3)," ")</f>
        <v xml:space="preserve"> </v>
      </c>
      <c r="V28" s="1014" t="str">
        <f t="shared" si="6"/>
        <v xml:space="preserve"> </v>
      </c>
      <c r="W28" s="1014" t="str">
        <f>IF(INICIO!$C$7&gt;DAY($B28)-1,(VLOOKUP($B28,DATOSAÑO!$B$11:$BP$375,67))," ")</f>
        <v xml:space="preserve"> </v>
      </c>
      <c r="X28" s="1014" t="str">
        <f>IF(INICIO!$C$7&gt;DAY($B28)-1,(VLOOKUP($B28,DATOSAÑO!$B$11:$BP$375,59))+(VLOOKUP($B28,DATOSAÑO!$B$11:$BP$375,61))," ")</f>
        <v xml:space="preserve"> </v>
      </c>
      <c r="Y28" s="1014" t="str">
        <f>IF(INICIO!$C$7&gt;DAY($B28)-1,(X28/24)," ")</f>
        <v xml:space="preserve"> </v>
      </c>
      <c r="Z28" s="1014" t="str">
        <f>IF(INICIO!$C$7&gt;DAY($B28)-1,(VLOOKUP($B28,DATOSAÑO!$B$11:$BI$375,60))+(VLOOKUP($B28,DATOSAÑO!$B$11:$BK$375,62))," ")</f>
        <v xml:space="preserve"> </v>
      </c>
      <c r="AA28" s="1015" t="str">
        <f>IF(INICIO!$C$7&gt;DAY($B28)-1,(Z28/24)," ")</f>
        <v xml:space="preserve"> </v>
      </c>
      <c r="AB28" s="607"/>
    </row>
    <row r="29" spans="1:38" ht="17.100000000000001" customHeight="1">
      <c r="A29" s="606"/>
      <c r="B29" s="1008">
        <f t="shared" si="5"/>
        <v>45095</v>
      </c>
      <c r="C29" s="1009" t="str">
        <f>IF(INICIO!$C$7&gt;DAY($B29)-1,(VLOOKUP($B29,'[4]PRODUCCION VS ENERGIA'!$B$12:$I$42,2))," ")</f>
        <v xml:space="preserve"> </v>
      </c>
      <c r="D29" s="1010" t="str">
        <f>IF(INICIO!$C$7&gt;DAY($B29)-1,(VLOOKUP($B29,'[4]PRODUCCION VS ENERGIA'!$B$12:$I$42,3))," ")</f>
        <v xml:space="preserve"> </v>
      </c>
      <c r="E29" s="1011" t="str">
        <f t="shared" si="0"/>
        <v xml:space="preserve"> </v>
      </c>
      <c r="F29" s="1010" t="str">
        <f>IF(INICIO!$C$7&gt;DAY($B29)-1,(VLOOKUP($B29,'[4]PRODUCCION VS ENERGIA'!$B$12:$I$42,5))," ")</f>
        <v xml:space="preserve"> </v>
      </c>
      <c r="G29" s="1011" t="str">
        <f>IF(INICIO!$C$7&gt;DAY($B29)-1,(VLOOKUP($B29,'[4]PRODUCCION VS ENERGIA'!$B$12:$I$42,6))," ")</f>
        <v xml:space="preserve"> </v>
      </c>
      <c r="H29" s="1011" t="str">
        <f t="shared" si="1"/>
        <v xml:space="preserve"> </v>
      </c>
      <c r="I29" s="1011" t="str">
        <f>IF(INICIO!$C$7&gt;DAY($B29)-1,(VLOOKUP($B29,'[4]PRODUCCION VS ENERGIA'!$B$12:$I$42,8))," ")</f>
        <v xml:space="preserve"> </v>
      </c>
      <c r="J29" s="1012" t="str">
        <f t="shared" si="2"/>
        <v xml:space="preserve"> </v>
      </c>
      <c r="K29" s="1013" t="str">
        <f>IF(INICIO!$C$7&gt;DAY($B29)-1,(VLOOKUP($B29,DATOSAÑO!$B$11:$BG$375,57))," ")</f>
        <v xml:space="preserve"> </v>
      </c>
      <c r="L29" s="1014" t="str">
        <f>IF(INICIO!$C$7&gt;DAY($B29)-1,(VLOOKUP($B29,DATOSAÑO!$B$11:$BG$375,58))," ")</f>
        <v xml:space="preserve"> </v>
      </c>
      <c r="M29" s="1014" t="str">
        <f>IF(INICIO!$C$7&gt;DAY($B29)-1,(VLOOKUP($B29,DATOSAÑO!$B$11:$CT$375,96))," ")</f>
        <v xml:space="preserve"> </v>
      </c>
      <c r="N29" s="1014" t="str">
        <f t="shared" si="3"/>
        <v xml:space="preserve"> </v>
      </c>
      <c r="O29" s="1014" t="str">
        <f>IF(INICIO!$C$7&gt;DAY($B29)-1,(VLOOKUP($B29,DATOSAÑO!$B$11:$BG$375,58))," ")</f>
        <v xml:space="preserve"> </v>
      </c>
      <c r="P29" s="1014" t="str">
        <f>IF(INICIO!$C$7&gt;DAY($B29)-1,(VLOOKUP($B29,DATOSAÑO!$B$11:$BG$375,24))," ")</f>
        <v xml:space="preserve"> </v>
      </c>
      <c r="Q29" s="1014" t="str">
        <f>IF(INICIO!$C$7&gt;DAY($B29)-1,(P29/24)," ")</f>
        <v xml:space="preserve"> </v>
      </c>
      <c r="R29" s="1014" t="str">
        <f>IF(INICIO!$C$7&gt;DAY($B29)-1,(VLOOKUP($B29,DATOSAÑO!$B$11:$BG$375,55))," ")</f>
        <v xml:space="preserve"> </v>
      </c>
      <c r="S29" s="1346" t="str">
        <f>IF(INICIO!$C$7&gt;DAY($B29)-1,(R29/24)," ")</f>
        <v xml:space="preserve"> </v>
      </c>
      <c r="T29" s="1013" t="str">
        <f>IF(INICIO!$C$7&gt;DAY($B29)-1,(VLOOKUP($B29,DATOSAÑO!$B$11:$BP$375,65))," ")</f>
        <v xml:space="preserve"> </v>
      </c>
      <c r="U29" s="1016" t="str">
        <f>IF(INICIO!$C$7&gt;DAY($B29)-1,((VLOOKUP($B29,DATOSAÑO!$B$11:$BP$375,66))*$AA$3)," ")</f>
        <v xml:space="preserve"> </v>
      </c>
      <c r="V29" s="1014" t="str">
        <f t="shared" si="6"/>
        <v xml:space="preserve"> </v>
      </c>
      <c r="W29" s="1014" t="str">
        <f>IF(INICIO!$C$7&gt;DAY($B29)-1,(VLOOKUP($B29,DATOSAÑO!$B$11:$BP$375,67))," ")</f>
        <v xml:space="preserve"> </v>
      </c>
      <c r="X29" s="1014" t="str">
        <f>IF(INICIO!$C$7&gt;DAY($B29)-1,(VLOOKUP($B29,DATOSAÑO!$B$11:$BP$375,59))+(VLOOKUP($B29,DATOSAÑO!$B$11:$BP$375,61))," ")</f>
        <v xml:space="preserve"> </v>
      </c>
      <c r="Y29" s="1014" t="str">
        <f>IF(INICIO!$C$7&gt;DAY($B29)-1,(X29/24)," ")</f>
        <v xml:space="preserve"> </v>
      </c>
      <c r="Z29" s="1014" t="str">
        <f>IF(INICIO!$C$7&gt;DAY($B29)-1,(VLOOKUP($B29,DATOSAÑO!$B$11:$BI$375,60))+(VLOOKUP($B29,DATOSAÑO!$B$11:$BK$375,62))," ")</f>
        <v xml:space="preserve"> </v>
      </c>
      <c r="AA29" s="1015" t="str">
        <f>IF(INICIO!$C$7&gt;DAY($B29)-1,(Z29/24)," ")</f>
        <v xml:space="preserve"> </v>
      </c>
      <c r="AB29" s="607"/>
    </row>
    <row r="30" spans="1:38" ht="17.100000000000001" customHeight="1">
      <c r="A30" s="606"/>
      <c r="B30" s="1008">
        <f t="shared" si="5"/>
        <v>45096</v>
      </c>
      <c r="C30" s="1009" t="str">
        <f>IF(INICIO!$C$7&gt;DAY($B30)-1,(VLOOKUP($B30,'[4]PRODUCCION VS ENERGIA'!$B$12:$I$42,2))," ")</f>
        <v xml:space="preserve"> </v>
      </c>
      <c r="D30" s="1010" t="str">
        <f>IF(INICIO!$C$7&gt;DAY($B30)-1,(VLOOKUP($B30,'[4]PRODUCCION VS ENERGIA'!$B$12:$I$42,3))," ")</f>
        <v xml:space="preserve"> </v>
      </c>
      <c r="E30" s="1011" t="str">
        <f t="shared" si="0"/>
        <v xml:space="preserve"> </v>
      </c>
      <c r="F30" s="1010" t="str">
        <f>IF(INICIO!$C$7&gt;DAY($B30)-1,(VLOOKUP($B30,'[4]PRODUCCION VS ENERGIA'!$B$12:$I$42,5))," ")</f>
        <v xml:space="preserve"> </v>
      </c>
      <c r="G30" s="1011" t="str">
        <f>IF(INICIO!$C$7&gt;DAY($B30)-1,(VLOOKUP($B30,'[4]PRODUCCION VS ENERGIA'!$B$12:$I$42,6))," ")</f>
        <v xml:space="preserve"> </v>
      </c>
      <c r="H30" s="1011" t="str">
        <f t="shared" si="1"/>
        <v xml:space="preserve"> </v>
      </c>
      <c r="I30" s="1011" t="str">
        <f>IF(INICIO!$C$7&gt;DAY($B30)-1,(VLOOKUP($B30,'[4]PRODUCCION VS ENERGIA'!$B$12:$I$42,8))," ")</f>
        <v xml:space="preserve"> </v>
      </c>
      <c r="J30" s="1012" t="str">
        <f t="shared" si="2"/>
        <v xml:space="preserve"> </v>
      </c>
      <c r="K30" s="1013" t="str">
        <f>IF(INICIO!$C$7&gt;DAY($B30)-1,(VLOOKUP($B30,DATOSAÑO!$B$11:$BG$375,57))," ")</f>
        <v xml:space="preserve"> </v>
      </c>
      <c r="L30" s="1014" t="str">
        <f>IF(INICIO!$C$7&gt;DAY($B30)-1,(VLOOKUP($B30,DATOSAÑO!$B$11:$BG$375,58))," ")</f>
        <v xml:space="preserve"> </v>
      </c>
      <c r="M30" s="1014" t="str">
        <f>IF(INICIO!$C$7&gt;DAY($B30)-1,(VLOOKUP($B30,DATOSAÑO!$B$11:$CT$375,96))," ")</f>
        <v xml:space="preserve"> </v>
      </c>
      <c r="N30" s="1014" t="str">
        <f t="shared" si="3"/>
        <v xml:space="preserve"> </v>
      </c>
      <c r="O30" s="1014" t="str">
        <f>IF(INICIO!$C$7&gt;DAY($B30)-1,(VLOOKUP($B30,DATOSAÑO!$B$11:$BG$375,58))," ")</f>
        <v xml:space="preserve"> </v>
      </c>
      <c r="P30" s="1014" t="str">
        <f>IF(INICIO!$C$7&gt;DAY($B30)-1,(VLOOKUP($B30,DATOSAÑO!$B$11:$BG$375,24))," ")</f>
        <v xml:space="preserve"> </v>
      </c>
      <c r="Q30" s="1014" t="str">
        <f>IF(INICIO!$C$7&gt;DAY($B30)-1,(P30/24)," ")</f>
        <v xml:space="preserve"> </v>
      </c>
      <c r="R30" s="1014" t="str">
        <f>IF(INICIO!$C$7&gt;DAY($B30)-1,(VLOOKUP($B30,DATOSAÑO!$B$11:$BG$375,55))," ")</f>
        <v xml:space="preserve"> </v>
      </c>
      <c r="S30" s="1346" t="str">
        <f>IF(INICIO!$C$7&gt;DAY($B30)-1,(R30/24)," ")</f>
        <v xml:space="preserve"> </v>
      </c>
      <c r="T30" s="1013" t="str">
        <f>IF(INICIO!$C$7&gt;DAY($B30)-1,(VLOOKUP($B30,DATOSAÑO!$B$11:$BP$375,65))," ")</f>
        <v xml:space="preserve"> </v>
      </c>
      <c r="U30" s="1016" t="str">
        <f>IF(INICIO!$C$7&gt;DAY($B30)-1,((VLOOKUP($B30,DATOSAÑO!$B$11:$BP$375,66))*$AA$3)," ")</f>
        <v xml:space="preserve"> </v>
      </c>
      <c r="V30" s="1014" t="str">
        <f t="shared" ref="V30:V42" si="7">IF(AND($T30=" ",$U30=" ")," ",(U30+T30))</f>
        <v xml:space="preserve"> </v>
      </c>
      <c r="W30" s="1014" t="str">
        <f>IF(INICIO!$C$7&gt;DAY($B30)-1,(VLOOKUP($B30,DATOSAÑO!$B$11:$BP$375,67))," ")</f>
        <v xml:space="preserve"> </v>
      </c>
      <c r="X30" s="1014" t="str">
        <f>IF(INICIO!$C$7&gt;DAY($B30)-1,(VLOOKUP($B30,DATOSAÑO!$B$11:$BP$375,59))+(VLOOKUP($B30,DATOSAÑO!$B$11:$BP$375,61))," ")</f>
        <v xml:space="preserve"> </v>
      </c>
      <c r="Y30" s="1014" t="str">
        <f>IF(INICIO!$C$7&gt;DAY($B30)-1,(X30/24)," ")</f>
        <v xml:space="preserve"> </v>
      </c>
      <c r="Z30" s="1014" t="str">
        <f>IF(INICIO!$C$7&gt;DAY($B30)-1,(VLOOKUP($B30,DATOSAÑO!$B$11:$BI$375,60))+(VLOOKUP($B30,DATOSAÑO!$B$11:$BK$375,62))," ")</f>
        <v xml:space="preserve"> </v>
      </c>
      <c r="AA30" s="1015" t="str">
        <f>IF(INICIO!$C$7&gt;DAY($B30)-1,(Z30/24)," ")</f>
        <v xml:space="preserve"> </v>
      </c>
      <c r="AB30" s="607"/>
    </row>
    <row r="31" spans="1:38" ht="17.100000000000001" customHeight="1">
      <c r="A31" s="606"/>
      <c r="B31" s="1008">
        <f t="shared" si="5"/>
        <v>45097</v>
      </c>
      <c r="C31" s="1009" t="str">
        <f>IF(INICIO!$C$7&gt;DAY($B31)-1,(VLOOKUP($B31,'[4]PRODUCCION VS ENERGIA'!$B$12:$I$42,2))," ")</f>
        <v xml:space="preserve"> </v>
      </c>
      <c r="D31" s="1010" t="str">
        <f>IF(INICIO!$C$7&gt;DAY($B31)-1,(VLOOKUP($B31,'[4]PRODUCCION VS ENERGIA'!$B$12:$I$42,3))," ")</f>
        <v xml:space="preserve"> </v>
      </c>
      <c r="E31" s="1011" t="str">
        <f t="shared" si="0"/>
        <v xml:space="preserve"> </v>
      </c>
      <c r="F31" s="1010" t="str">
        <f>IF(INICIO!$C$7&gt;DAY($B31)-1,(VLOOKUP($B31,'[4]PRODUCCION VS ENERGIA'!$B$12:$I$42,5))," ")</f>
        <v xml:space="preserve"> </v>
      </c>
      <c r="G31" s="1011" t="str">
        <f>IF(INICIO!$C$7&gt;DAY($B31)-1,(VLOOKUP($B31,'[4]PRODUCCION VS ENERGIA'!$B$12:$I$42,6))," ")</f>
        <v xml:space="preserve"> </v>
      </c>
      <c r="H31" s="1011" t="str">
        <f t="shared" si="1"/>
        <v xml:space="preserve"> </v>
      </c>
      <c r="I31" s="1011" t="str">
        <f>IF(INICIO!$C$7&gt;DAY($B31)-1,(VLOOKUP($B31,'[4]PRODUCCION VS ENERGIA'!$B$12:$I$42,8))," ")</f>
        <v xml:space="preserve"> </v>
      </c>
      <c r="J31" s="1012" t="str">
        <f t="shared" si="2"/>
        <v xml:space="preserve"> </v>
      </c>
      <c r="K31" s="1013" t="str">
        <f>IF(INICIO!$C$7&gt;DAY($B31)-1,(VLOOKUP($B31,DATOSAÑO!$B$11:$BG$375,57))," ")</f>
        <v xml:space="preserve"> </v>
      </c>
      <c r="L31" s="1014" t="str">
        <f>IF(INICIO!$C$7&gt;DAY($B31)-1,(VLOOKUP($B31,DATOSAÑO!$B$11:$BG$375,58))," ")</f>
        <v xml:space="preserve"> </v>
      </c>
      <c r="M31" s="1014" t="str">
        <f>IF(INICIO!$C$7&gt;DAY($B31)-1,(VLOOKUP($B31,DATOSAÑO!$B$11:$CT$375,96))," ")</f>
        <v xml:space="preserve"> </v>
      </c>
      <c r="N31" s="1014" t="str">
        <f t="shared" si="3"/>
        <v xml:space="preserve"> </v>
      </c>
      <c r="O31" s="1014" t="str">
        <f>IF(INICIO!$C$7&gt;DAY($B31)-1,(VLOOKUP($B31,DATOSAÑO!$B$11:$BG$375,58))," ")</f>
        <v xml:space="preserve"> </v>
      </c>
      <c r="P31" s="1014" t="str">
        <f>IF(INICIO!$C$7&gt;DAY($B31)-1,(VLOOKUP($B31,DATOSAÑO!$B$11:$BG$375,24))," ")</f>
        <v xml:space="preserve"> </v>
      </c>
      <c r="Q31" s="1014" t="str">
        <f>IF(INICIO!$C$7&gt;DAY($B31)-1,(P31/24)," ")</f>
        <v xml:space="preserve"> </v>
      </c>
      <c r="R31" s="1014" t="str">
        <f>IF(INICIO!$C$7&gt;DAY($B31)-1,(VLOOKUP($B31,DATOSAÑO!$B$11:$BG$375,55))," ")</f>
        <v xml:space="preserve"> </v>
      </c>
      <c r="S31" s="1346" t="str">
        <f>IF(INICIO!$C$7&gt;DAY($B31)-1,(R31/24)," ")</f>
        <v xml:space="preserve"> </v>
      </c>
      <c r="T31" s="1013" t="str">
        <f>IF(INICIO!$C$7&gt;DAY($B31)-1,(VLOOKUP($B31,DATOSAÑO!$B$11:$BP$375,65))," ")</f>
        <v xml:space="preserve"> </v>
      </c>
      <c r="U31" s="1016" t="str">
        <f>IF(INICIO!$C$7&gt;DAY($B31)-1,((VLOOKUP($B31,DATOSAÑO!$B$11:$BP$375,66))*$AA$3)," ")</f>
        <v xml:space="preserve"> </v>
      </c>
      <c r="V31" s="1014" t="str">
        <f t="shared" si="7"/>
        <v xml:space="preserve"> </v>
      </c>
      <c r="W31" s="1014" t="str">
        <f>IF(INICIO!$C$7&gt;DAY($B31)-1,(VLOOKUP($B31,DATOSAÑO!$B$11:$BP$375,67))," ")</f>
        <v xml:space="preserve"> </v>
      </c>
      <c r="X31" s="1014" t="str">
        <f>IF(INICIO!$C$7&gt;DAY($B31)-1,(VLOOKUP($B31,DATOSAÑO!$B$11:$BP$375,59))+(VLOOKUP($B31,DATOSAÑO!$B$11:$BP$375,61))," ")</f>
        <v xml:space="preserve"> </v>
      </c>
      <c r="Y31" s="1014" t="str">
        <f>IF(INICIO!$C$7&gt;DAY($B31)-1,(X31/24)," ")</f>
        <v xml:space="preserve"> </v>
      </c>
      <c r="Z31" s="1014" t="str">
        <f>IF(INICIO!$C$7&gt;DAY($B31)-1,(VLOOKUP($B31,DATOSAÑO!$B$11:$BI$375,60))+(VLOOKUP($B31,DATOSAÑO!$B$11:$BK$375,62))," ")</f>
        <v xml:space="preserve"> </v>
      </c>
      <c r="AA31" s="1015" t="str">
        <f>IF(INICIO!$C$7&gt;DAY($B31)-1,(Z31/24)," ")</f>
        <v xml:space="preserve"> </v>
      </c>
      <c r="AB31" s="607"/>
    </row>
    <row r="32" spans="1:38" ht="17.100000000000001" customHeight="1">
      <c r="A32" s="606"/>
      <c r="B32" s="1008">
        <f t="shared" si="5"/>
        <v>45098</v>
      </c>
      <c r="C32" s="1009" t="str">
        <f>IF(INICIO!$C$7&gt;DAY($B32)-1,(VLOOKUP($B32,'[4]PRODUCCION VS ENERGIA'!$B$12:$I$42,2))," ")</f>
        <v xml:space="preserve"> </v>
      </c>
      <c r="D32" s="1010" t="str">
        <f>IF(INICIO!$C$7&gt;DAY($B32)-1,(VLOOKUP($B32,'[4]PRODUCCION VS ENERGIA'!$B$12:$I$42,3))," ")</f>
        <v xml:space="preserve"> </v>
      </c>
      <c r="E32" s="1011" t="str">
        <f t="shared" ref="E32:E42" si="8">IF(AND($C32=" ",$D32=" ")," ",(C32+D32))</f>
        <v xml:space="preserve"> </v>
      </c>
      <c r="F32" s="1010" t="str">
        <f>IF(INICIO!$C$7&gt;DAY($B32)-1,(VLOOKUP($B32,'[4]PRODUCCION VS ENERGIA'!$B$12:$I$42,5))," ")</f>
        <v xml:space="preserve"> </v>
      </c>
      <c r="G32" s="1011" t="str">
        <f>IF(INICIO!$C$7&gt;DAY($B32)-1,(VLOOKUP($B32,'[4]PRODUCCION VS ENERGIA'!$B$12:$I$42,6))," ")</f>
        <v xml:space="preserve"> </v>
      </c>
      <c r="H32" s="1011" t="str">
        <f t="shared" si="1"/>
        <v xml:space="preserve"> </v>
      </c>
      <c r="I32" s="1011" t="str">
        <f>IF(INICIO!$C$7&gt;DAY($B32)-1,(VLOOKUP($B32,'[4]PRODUCCION VS ENERGIA'!$B$12:$I$42,8))," ")</f>
        <v xml:space="preserve"> </v>
      </c>
      <c r="J32" s="1012" t="str">
        <f t="shared" si="2"/>
        <v xml:space="preserve"> </v>
      </c>
      <c r="K32" s="1013" t="str">
        <f>IF(INICIO!$C$7&gt;DAY($B32)-1,(VLOOKUP($B32,DATOSAÑO!$B$11:$BG$375,57))," ")</f>
        <v xml:space="preserve"> </v>
      </c>
      <c r="L32" s="1014" t="str">
        <f>IF(INICIO!$C$7&gt;DAY($B32)-1,(VLOOKUP($B32,DATOSAÑO!$B$11:$BG$375,58))," ")</f>
        <v xml:space="preserve"> </v>
      </c>
      <c r="M32" s="1014" t="str">
        <f>IF(INICIO!$C$7&gt;DAY($B32)-1,(VLOOKUP($B32,DATOSAÑO!$B$11:$CT$375,96))," ")</f>
        <v xml:space="preserve"> </v>
      </c>
      <c r="N32" s="1014" t="str">
        <f t="shared" si="3"/>
        <v xml:space="preserve"> </v>
      </c>
      <c r="O32" s="1014" t="str">
        <f>IF(INICIO!$C$7&gt;DAY($B32)-1,(VLOOKUP($B32,DATOSAÑO!$B$11:$BG$375,58))," ")</f>
        <v xml:space="preserve"> </v>
      </c>
      <c r="P32" s="1014" t="str">
        <f>IF(INICIO!$C$7&gt;DAY($B32)-1,(VLOOKUP($B32,DATOSAÑO!$B$11:$BG$375,24))," ")</f>
        <v xml:space="preserve"> </v>
      </c>
      <c r="Q32" s="1014" t="str">
        <f>IF(INICIO!$C$7&gt;DAY($B32)-1,(P32/24)," ")</f>
        <v xml:space="preserve"> </v>
      </c>
      <c r="R32" s="1014" t="str">
        <f>IF(INICIO!$C$7&gt;DAY($B32)-1,(VLOOKUP($B32,DATOSAÑO!$B$11:$BG$375,55))," ")</f>
        <v xml:space="preserve"> </v>
      </c>
      <c r="S32" s="1346" t="str">
        <f>IF(INICIO!$C$7&gt;DAY($B32)-1,(R32/24)," ")</f>
        <v xml:space="preserve"> </v>
      </c>
      <c r="T32" s="1013" t="str">
        <f>IF(INICIO!$C$7&gt;DAY($B32)-1,(VLOOKUP($B32,DATOSAÑO!$B$11:$BP$375,65))," ")</f>
        <v xml:space="preserve"> </v>
      </c>
      <c r="U32" s="1016" t="str">
        <f>IF(INICIO!$C$7&gt;DAY($B32)-1,((VLOOKUP($B32,DATOSAÑO!$B$11:$BP$375,66))*$AA$3)," ")</f>
        <v xml:space="preserve"> </v>
      </c>
      <c r="V32" s="1014" t="str">
        <f t="shared" si="7"/>
        <v xml:space="preserve"> </v>
      </c>
      <c r="W32" s="1014" t="str">
        <f>IF(INICIO!$C$7&gt;DAY($B32)-1,(VLOOKUP($B32,DATOSAÑO!$B$11:$BP$375,67))," ")</f>
        <v xml:space="preserve"> </v>
      </c>
      <c r="X32" s="1014" t="str">
        <f>IF(INICIO!$C$7&gt;DAY($B32)-1,(VLOOKUP($B32,DATOSAÑO!$B$11:$BP$375,59))+(VLOOKUP($B32,DATOSAÑO!$B$11:$BP$375,61))," ")</f>
        <v xml:space="preserve"> </v>
      </c>
      <c r="Y32" s="1014" t="str">
        <f>IF(INICIO!$C$7&gt;DAY($B32)-1,(X32/24)," ")</f>
        <v xml:space="preserve"> </v>
      </c>
      <c r="Z32" s="1014" t="str">
        <f>IF(INICIO!$C$7&gt;DAY($B32)-1,(VLOOKUP($B32,DATOSAÑO!$B$11:$BI$375,60))+(VLOOKUP($B32,DATOSAÑO!$B$11:$BK$375,62))," ")</f>
        <v xml:space="preserve"> </v>
      </c>
      <c r="AA32" s="1015" t="str">
        <f>IF(INICIO!$C$7&gt;DAY($B32)-1,(Z32/24)," ")</f>
        <v xml:space="preserve"> </v>
      </c>
      <c r="AB32" s="607"/>
    </row>
    <row r="33" spans="1:28" ht="17.100000000000001" customHeight="1">
      <c r="A33" s="606"/>
      <c r="B33" s="1008">
        <f t="shared" si="5"/>
        <v>45099</v>
      </c>
      <c r="C33" s="1009" t="str">
        <f>IF(INICIO!$C$7&gt;DAY($B33)-1,(VLOOKUP($B33,'[4]PRODUCCION VS ENERGIA'!$B$12:$I$42,2))," ")</f>
        <v xml:space="preserve"> </v>
      </c>
      <c r="D33" s="1010" t="str">
        <f>IF(INICIO!$C$7&gt;DAY($B33)-1,(VLOOKUP($B33,'[4]PRODUCCION VS ENERGIA'!$B$12:$I$42,3))," ")</f>
        <v xml:space="preserve"> </v>
      </c>
      <c r="E33" s="1011" t="str">
        <f t="shared" si="8"/>
        <v xml:space="preserve"> </v>
      </c>
      <c r="F33" s="1010" t="str">
        <f>IF(INICIO!$C$7&gt;DAY($B33)-1,(VLOOKUP($B33,'[4]PRODUCCION VS ENERGIA'!$B$12:$I$42,5))," ")</f>
        <v xml:space="preserve"> </v>
      </c>
      <c r="G33" s="1011" t="str">
        <f>IF(INICIO!$C$7&gt;DAY($B33)-1,(VLOOKUP($B33,'[4]PRODUCCION VS ENERGIA'!$B$12:$I$42,6))," ")</f>
        <v xml:space="preserve"> </v>
      </c>
      <c r="H33" s="1011" t="str">
        <f t="shared" si="1"/>
        <v xml:space="preserve"> </v>
      </c>
      <c r="I33" s="1011" t="str">
        <f>IF(INICIO!$C$7&gt;DAY($B33)-1,(VLOOKUP($B33,'[4]PRODUCCION VS ENERGIA'!$B$12:$I$42,8))," ")</f>
        <v xml:space="preserve"> </v>
      </c>
      <c r="J33" s="1012" t="str">
        <f t="shared" si="2"/>
        <v xml:space="preserve"> </v>
      </c>
      <c r="K33" s="1013" t="str">
        <f>IF(INICIO!$C$7&gt;DAY($B33)-1,(VLOOKUP($B33,DATOSAÑO!$B$11:$BG$375,57))," ")</f>
        <v xml:space="preserve"> </v>
      </c>
      <c r="L33" s="1014" t="str">
        <f>IF(INICIO!$C$7&gt;DAY($B33)-1,(VLOOKUP($B33,DATOSAÑO!$B$11:$BG$375,58))," ")</f>
        <v xml:space="preserve"> </v>
      </c>
      <c r="M33" s="1014" t="str">
        <f>IF(INICIO!$C$7&gt;DAY($B33)-1,(VLOOKUP($B33,DATOSAÑO!$B$11:$CT$375,96))," ")</f>
        <v xml:space="preserve"> </v>
      </c>
      <c r="N33" s="1014" t="str">
        <f t="shared" si="3"/>
        <v xml:space="preserve"> </v>
      </c>
      <c r="O33" s="1014" t="str">
        <f>IF(INICIO!$C$7&gt;DAY($B33)-1,(VLOOKUP($B33,DATOSAÑO!$B$11:$BG$375,58))," ")</f>
        <v xml:space="preserve"> </v>
      </c>
      <c r="P33" s="1014" t="str">
        <f>IF(INICIO!$C$7&gt;DAY($B33)-1,(VLOOKUP($B33,DATOSAÑO!$B$11:$BG$375,24))," ")</f>
        <v xml:space="preserve"> </v>
      </c>
      <c r="Q33" s="1014" t="str">
        <f>IF(INICIO!$C$7&gt;DAY($B33)-1,(P33/24)," ")</f>
        <v xml:space="preserve"> </v>
      </c>
      <c r="R33" s="1014" t="str">
        <f>IF(INICIO!$C$7&gt;DAY($B33)-1,(VLOOKUP($B33,DATOSAÑO!$B$11:$BG$375,55))," ")</f>
        <v xml:space="preserve"> </v>
      </c>
      <c r="S33" s="1346" t="str">
        <f>IF(INICIO!$C$7&gt;DAY($B33)-1,(R33/24)," ")</f>
        <v xml:space="preserve"> </v>
      </c>
      <c r="T33" s="1013" t="str">
        <f>IF(INICIO!$C$7&gt;DAY($B33)-1,(VLOOKUP($B33,DATOSAÑO!$B$11:$BP$375,65))," ")</f>
        <v xml:space="preserve"> </v>
      </c>
      <c r="U33" s="1016" t="str">
        <f>IF(INICIO!$C$7&gt;DAY($B33)-1,((VLOOKUP($B33,DATOSAÑO!$B$11:$BP$375,66))*$AA$3)," ")</f>
        <v xml:space="preserve"> </v>
      </c>
      <c r="V33" s="1014" t="str">
        <f t="shared" si="7"/>
        <v xml:space="preserve"> </v>
      </c>
      <c r="W33" s="1014" t="str">
        <f>IF(INICIO!$C$7&gt;DAY($B33)-1,(VLOOKUP($B33,DATOSAÑO!$B$11:$BP$375,67))," ")</f>
        <v xml:space="preserve"> </v>
      </c>
      <c r="X33" s="1014" t="str">
        <f>IF(INICIO!$C$7&gt;DAY($B33)-1,(VLOOKUP($B33,DATOSAÑO!$B$11:$BP$375,59))+(VLOOKUP($B33,DATOSAÑO!$B$11:$BP$375,61))," ")</f>
        <v xml:space="preserve"> </v>
      </c>
      <c r="Y33" s="1014" t="str">
        <f>IF(INICIO!$C$7&gt;DAY($B33)-1,(X33/24)," ")</f>
        <v xml:space="preserve"> </v>
      </c>
      <c r="Z33" s="1014" t="str">
        <f>IF(INICIO!$C$7&gt;DAY($B33)-1,(VLOOKUP($B33,DATOSAÑO!$B$11:$BI$375,60))+(VLOOKUP($B33,DATOSAÑO!$B$11:$BK$375,62))," ")</f>
        <v xml:space="preserve"> </v>
      </c>
      <c r="AA33" s="1015" t="str">
        <f>IF(INICIO!$C$7&gt;DAY($B33)-1,(Z33/24)," ")</f>
        <v xml:space="preserve"> </v>
      </c>
      <c r="AB33" s="607"/>
    </row>
    <row r="34" spans="1:28" ht="17.100000000000001" customHeight="1">
      <c r="A34" s="606"/>
      <c r="B34" s="1008">
        <f t="shared" si="5"/>
        <v>45100</v>
      </c>
      <c r="C34" s="1009" t="str">
        <f>IF(INICIO!$C$7&gt;DAY($B34)-1,(VLOOKUP($B34,'[4]PRODUCCION VS ENERGIA'!$B$12:$I$42,2))," ")</f>
        <v xml:space="preserve"> </v>
      </c>
      <c r="D34" s="1010" t="str">
        <f>IF(INICIO!$C$7&gt;DAY($B34)-1,(VLOOKUP($B34,'[4]PRODUCCION VS ENERGIA'!$B$12:$I$42,3))," ")</f>
        <v xml:space="preserve"> </v>
      </c>
      <c r="E34" s="1011" t="str">
        <f t="shared" si="8"/>
        <v xml:space="preserve"> </v>
      </c>
      <c r="F34" s="1010" t="str">
        <f>IF(INICIO!$C$7&gt;DAY($B34)-1,(VLOOKUP($B34,'[4]PRODUCCION VS ENERGIA'!$B$12:$I$42,5))," ")</f>
        <v xml:space="preserve"> </v>
      </c>
      <c r="G34" s="1011" t="str">
        <f>IF(INICIO!$C$7&gt;DAY($B34)-1,(VLOOKUP($B34,'[4]PRODUCCION VS ENERGIA'!$B$12:$I$42,6))," ")</f>
        <v xml:space="preserve"> </v>
      </c>
      <c r="H34" s="1011" t="str">
        <f t="shared" si="1"/>
        <v xml:space="preserve"> </v>
      </c>
      <c r="I34" s="1011" t="str">
        <f>IF(INICIO!$C$7&gt;DAY($B34)-1,(VLOOKUP($B34,'[4]PRODUCCION VS ENERGIA'!$B$12:$I$42,8))," ")</f>
        <v xml:space="preserve"> </v>
      </c>
      <c r="J34" s="1012" t="str">
        <f t="shared" si="2"/>
        <v xml:space="preserve"> </v>
      </c>
      <c r="K34" s="1013" t="str">
        <f>IF(INICIO!$C$7&gt;DAY($B34)-1,(VLOOKUP($B34,DATOSAÑO!$B$11:$BG$375,57))," ")</f>
        <v xml:space="preserve"> </v>
      </c>
      <c r="L34" s="1014" t="str">
        <f>IF(INICIO!$C$7&gt;DAY($B34)-1,(VLOOKUP($B34,DATOSAÑO!$B$11:$BG$375,58))," ")</f>
        <v xml:space="preserve"> </v>
      </c>
      <c r="M34" s="1014" t="str">
        <f>IF(INICIO!$C$7&gt;DAY($B34)-1,(VLOOKUP($B34,DATOSAÑO!$B$11:$CT$375,96))," ")</f>
        <v xml:space="preserve"> </v>
      </c>
      <c r="N34" s="1014" t="str">
        <f t="shared" si="3"/>
        <v xml:space="preserve"> </v>
      </c>
      <c r="O34" s="1014" t="str">
        <f>IF(INICIO!$C$7&gt;DAY($B34)-1,(VLOOKUP($B34,DATOSAÑO!$B$11:$BG$375,58))," ")</f>
        <v xml:space="preserve"> </v>
      </c>
      <c r="P34" s="1014" t="str">
        <f>IF(INICIO!$C$7&gt;DAY($B34)-1,(VLOOKUP($B34,DATOSAÑO!$B$11:$BG$375,24))," ")</f>
        <v xml:space="preserve"> </v>
      </c>
      <c r="Q34" s="1014" t="str">
        <f>IF(INICIO!$C$7&gt;DAY($B34)-1,(P34/24)," ")</f>
        <v xml:space="preserve"> </v>
      </c>
      <c r="R34" s="1014" t="str">
        <f>IF(INICIO!$C$7&gt;DAY($B34)-1,(VLOOKUP($B34,DATOSAÑO!$B$11:$BG$375,55))," ")</f>
        <v xml:space="preserve"> </v>
      </c>
      <c r="S34" s="1346" t="str">
        <f>IF(INICIO!$C$7&gt;DAY($B34)-1,(R34/24)," ")</f>
        <v xml:space="preserve"> </v>
      </c>
      <c r="T34" s="1013" t="str">
        <f>IF(INICIO!$C$7&gt;DAY($B34)-1,(VLOOKUP($B34,DATOSAÑO!$B$11:$BP$375,65))," ")</f>
        <v xml:space="preserve"> </v>
      </c>
      <c r="U34" s="1016" t="str">
        <f>IF(INICIO!$C$7&gt;DAY($B34)-1,((VLOOKUP($B34,DATOSAÑO!$B$11:$BP$375,66))*$AA$3)," ")</f>
        <v xml:space="preserve"> </v>
      </c>
      <c r="V34" s="1014" t="str">
        <f t="shared" si="7"/>
        <v xml:space="preserve"> </v>
      </c>
      <c r="W34" s="1014" t="str">
        <f>IF(INICIO!$C$7&gt;DAY($B34)-1,(VLOOKUP($B34,DATOSAÑO!$B$11:$BP$375,67))," ")</f>
        <v xml:space="preserve"> </v>
      </c>
      <c r="X34" s="1014" t="str">
        <f>IF(INICIO!$C$7&gt;DAY($B34)-1,(VLOOKUP($B34,DATOSAÑO!$B$11:$BP$375,59))+(VLOOKUP($B34,DATOSAÑO!$B$11:$BP$375,61))," ")</f>
        <v xml:space="preserve"> </v>
      </c>
      <c r="Y34" s="1014" t="str">
        <f>IF(INICIO!$C$7&gt;DAY($B34)-1,(X34/24)," ")</f>
        <v xml:space="preserve"> </v>
      </c>
      <c r="Z34" s="1014" t="str">
        <f>IF(INICIO!$C$7&gt;DAY($B34)-1,(VLOOKUP($B34,DATOSAÑO!$B$11:$BI$375,60))+(VLOOKUP($B34,DATOSAÑO!$B$11:$BK$375,62))," ")</f>
        <v xml:space="preserve"> </v>
      </c>
      <c r="AA34" s="1015" t="str">
        <f>IF(INICIO!$C$7&gt;DAY($B34)-1,(Z34/24)," ")</f>
        <v xml:space="preserve"> </v>
      </c>
      <c r="AB34" s="607"/>
    </row>
    <row r="35" spans="1:28" ht="13.5" customHeight="1">
      <c r="A35" s="606"/>
      <c r="B35" s="1008">
        <f t="shared" si="5"/>
        <v>45101</v>
      </c>
      <c r="C35" s="1009" t="str">
        <f>IF(INICIO!$C$7&gt;DAY($B35)-1,(VLOOKUP($B35,'[4]PRODUCCION VS ENERGIA'!$B$12:$I$42,2))," ")</f>
        <v xml:space="preserve"> </v>
      </c>
      <c r="D35" s="1010" t="str">
        <f>IF(INICIO!$C$7&gt;DAY($B35)-1,(VLOOKUP($B35,'[4]PRODUCCION VS ENERGIA'!$B$12:$I$42,3))," ")</f>
        <v xml:space="preserve"> </v>
      </c>
      <c r="E35" s="1011" t="str">
        <f t="shared" si="8"/>
        <v xml:space="preserve"> </v>
      </c>
      <c r="F35" s="1010" t="str">
        <f>IF(INICIO!$C$7&gt;DAY($B35)-1,(VLOOKUP($B35,'[4]PRODUCCION VS ENERGIA'!$B$12:$I$42,5))," ")</f>
        <v xml:space="preserve"> </v>
      </c>
      <c r="G35" s="1011" t="str">
        <f>IF(INICIO!$C$7&gt;DAY($B35)-1,(VLOOKUP($B35,'[4]PRODUCCION VS ENERGIA'!$B$12:$I$42,6))," ")</f>
        <v xml:space="preserve"> </v>
      </c>
      <c r="H35" s="1011" t="str">
        <f t="shared" si="1"/>
        <v xml:space="preserve"> </v>
      </c>
      <c r="I35" s="1011" t="str">
        <f>IF(INICIO!$C$7&gt;DAY($B35)-1,(VLOOKUP($B35,'[4]PRODUCCION VS ENERGIA'!$B$12:$I$42,8))," ")</f>
        <v xml:space="preserve"> </v>
      </c>
      <c r="J35" s="1012" t="str">
        <f t="shared" si="2"/>
        <v xml:space="preserve"> </v>
      </c>
      <c r="K35" s="1013" t="str">
        <f>IF(INICIO!$C$7&gt;DAY($B35)-1,(VLOOKUP($B35,DATOSAÑO!$B$11:$BG$375,57))," ")</f>
        <v xml:space="preserve"> </v>
      </c>
      <c r="L35" s="1014" t="str">
        <f>IF(INICIO!$C$7&gt;DAY($B35)-1,(VLOOKUP($B35,DATOSAÑO!$B$11:$BG$375,58))," ")</f>
        <v xml:space="preserve"> </v>
      </c>
      <c r="M35" s="1014" t="str">
        <f>IF(INICIO!$C$7&gt;DAY($B35)-1,(VLOOKUP($B35,DATOSAÑO!$B$11:$CT$375,96))," ")</f>
        <v xml:space="preserve"> </v>
      </c>
      <c r="N35" s="1014" t="str">
        <f t="shared" si="3"/>
        <v xml:space="preserve"> </v>
      </c>
      <c r="O35" s="1014" t="str">
        <f>IF(INICIO!$C$7&gt;DAY($B35)-1,(VLOOKUP($B35,DATOSAÑO!$B$11:$BG$375,58))," ")</f>
        <v xml:space="preserve"> </v>
      </c>
      <c r="P35" s="1014" t="str">
        <f>IF(INICIO!$C$7&gt;DAY($B35)-1,(VLOOKUP($B35,DATOSAÑO!$B$11:$BG$375,24))," ")</f>
        <v xml:space="preserve"> </v>
      </c>
      <c r="Q35" s="1014" t="str">
        <f>IF(INICIO!$C$7&gt;DAY($B35)-1,(P35/24)," ")</f>
        <v xml:space="preserve"> </v>
      </c>
      <c r="R35" s="1014" t="str">
        <f>IF(INICIO!$C$7&gt;DAY($B35)-1,(VLOOKUP($B35,DATOSAÑO!$B$11:$BG$375,55))," ")</f>
        <v xml:space="preserve"> </v>
      </c>
      <c r="S35" s="1346" t="str">
        <f>IF(INICIO!$C$7&gt;DAY($B35)-1,(R35/24)," ")</f>
        <v xml:space="preserve"> </v>
      </c>
      <c r="T35" s="1013" t="str">
        <f>IF(INICIO!$C$7&gt;DAY($B35)-1,(VLOOKUP($B35,DATOSAÑO!$B$11:$BP$375,65))," ")</f>
        <v xml:space="preserve"> </v>
      </c>
      <c r="U35" s="1016" t="str">
        <f>IF(INICIO!$C$7&gt;DAY($B35)-1,((VLOOKUP($B35,DATOSAÑO!$B$11:$BP$375,66))*$AA$3)," ")</f>
        <v xml:space="preserve"> </v>
      </c>
      <c r="V35" s="1014" t="str">
        <f t="shared" si="7"/>
        <v xml:space="preserve"> </v>
      </c>
      <c r="W35" s="1014" t="str">
        <f>IF(INICIO!$C$7&gt;DAY($B35)-1,(VLOOKUP($B35,DATOSAÑO!$B$11:$BP$375,67))," ")</f>
        <v xml:space="preserve"> </v>
      </c>
      <c r="X35" s="1014" t="str">
        <f>IF(INICIO!$C$7&gt;DAY($B35)-1,(VLOOKUP($B35,DATOSAÑO!$B$11:$BP$375,59))+(VLOOKUP($B35,DATOSAÑO!$B$11:$BP$375,61))," ")</f>
        <v xml:space="preserve"> </v>
      </c>
      <c r="Y35" s="1014" t="str">
        <f>IF(INICIO!$C$7&gt;DAY($B35)-1,(X35/24)," ")</f>
        <v xml:space="preserve"> </v>
      </c>
      <c r="Z35" s="1014" t="str">
        <f>IF(INICIO!$C$7&gt;DAY($B35)-1,(VLOOKUP($B35,DATOSAÑO!$B$11:$BI$375,60))+(VLOOKUP($B35,DATOSAÑO!$B$11:$BK$375,62))," ")</f>
        <v xml:space="preserve"> </v>
      </c>
      <c r="AA35" s="1015" t="str">
        <f>IF(INICIO!$C$7&gt;DAY($B35)-1,(Z35/24)," ")</f>
        <v xml:space="preserve"> </v>
      </c>
      <c r="AB35" s="607"/>
    </row>
    <row r="36" spans="1:28" ht="17.100000000000001" customHeight="1">
      <c r="A36" s="606"/>
      <c r="B36" s="1008">
        <f t="shared" si="5"/>
        <v>45102</v>
      </c>
      <c r="C36" s="1009" t="str">
        <f>IF(INICIO!$C$7&gt;DAY($B36)-1,(VLOOKUP($B36,'[4]PRODUCCION VS ENERGIA'!$B$12:$I$42,2))," ")</f>
        <v xml:space="preserve"> </v>
      </c>
      <c r="D36" s="1010" t="str">
        <f>IF(INICIO!$C$7&gt;DAY($B36)-1,(VLOOKUP($B36,'[4]PRODUCCION VS ENERGIA'!$B$12:$I$42,3))," ")</f>
        <v xml:space="preserve"> </v>
      </c>
      <c r="E36" s="1011" t="str">
        <f t="shared" si="8"/>
        <v xml:space="preserve"> </v>
      </c>
      <c r="F36" s="1010" t="str">
        <f>IF(INICIO!$C$7&gt;DAY($B36)-1,(VLOOKUP($B36,'[4]PRODUCCION VS ENERGIA'!$B$12:$I$42,5))," ")</f>
        <v xml:space="preserve"> </v>
      </c>
      <c r="G36" s="1011" t="str">
        <f>IF(INICIO!$C$7&gt;DAY($B36)-1,(VLOOKUP($B36,'[4]PRODUCCION VS ENERGIA'!$B$12:$I$42,6))," ")</f>
        <v xml:space="preserve"> </v>
      </c>
      <c r="H36" s="1011" t="str">
        <f t="shared" si="1"/>
        <v xml:space="preserve"> </v>
      </c>
      <c r="I36" s="1011" t="str">
        <f>IF(INICIO!$C$7&gt;DAY($B36)-1,(VLOOKUP($B36,'[4]PRODUCCION VS ENERGIA'!$B$12:$I$42,8))," ")</f>
        <v xml:space="preserve"> </v>
      </c>
      <c r="J36" s="1012" t="str">
        <f t="shared" si="2"/>
        <v xml:space="preserve"> </v>
      </c>
      <c r="K36" s="1013" t="str">
        <f>IF(INICIO!$C$7&gt;DAY($B36)-1,(VLOOKUP($B36,DATOSAÑO!$B$11:$BG$375,57))," ")</f>
        <v xml:space="preserve"> </v>
      </c>
      <c r="L36" s="1014" t="str">
        <f>IF(INICIO!$C$7&gt;DAY($B36)-1,(VLOOKUP($B36,DATOSAÑO!$B$11:$BG$375,58))," ")</f>
        <v xml:space="preserve"> </v>
      </c>
      <c r="M36" s="1014" t="str">
        <f>IF(INICIO!$C$7&gt;DAY($B36)-1,(VLOOKUP($B36,DATOSAÑO!$B$11:$CT$375,96))," ")</f>
        <v xml:space="preserve"> </v>
      </c>
      <c r="N36" s="1014" t="str">
        <f t="shared" si="3"/>
        <v xml:space="preserve"> </v>
      </c>
      <c r="O36" s="1014" t="str">
        <f>IF(INICIO!$C$7&gt;DAY($B36)-1,(VLOOKUP($B36,DATOSAÑO!$B$11:$BG$375,58))," ")</f>
        <v xml:space="preserve"> </v>
      </c>
      <c r="P36" s="1014" t="str">
        <f>IF(INICIO!$C$7&gt;DAY($B36)-1,(VLOOKUP($B36,DATOSAÑO!$B$11:$BG$375,24))," ")</f>
        <v xml:space="preserve"> </v>
      </c>
      <c r="Q36" s="1014" t="str">
        <f>IF(INICIO!$C$7&gt;DAY($B36)-1,(P36/24)," ")</f>
        <v xml:space="preserve"> </v>
      </c>
      <c r="R36" s="1014" t="str">
        <f>IF(INICIO!$C$7&gt;DAY($B36)-1,(VLOOKUP($B36,DATOSAÑO!$B$11:$BG$375,55))," ")</f>
        <v xml:space="preserve"> </v>
      </c>
      <c r="S36" s="1346" t="str">
        <f>IF(INICIO!$C$7&gt;DAY($B36)-1,(R36/24)," ")</f>
        <v xml:space="preserve"> </v>
      </c>
      <c r="T36" s="1013" t="str">
        <f>IF(INICIO!$C$7&gt;DAY($B36)-1,(VLOOKUP($B36,DATOSAÑO!$B$11:$BP$375,65))," ")</f>
        <v xml:space="preserve"> </v>
      </c>
      <c r="U36" s="1016" t="str">
        <f>IF(INICIO!$C$7&gt;DAY($B36)-1,((VLOOKUP($B36,DATOSAÑO!$B$11:$BP$375,66))*$AA$3)," ")</f>
        <v xml:space="preserve"> </v>
      </c>
      <c r="V36" s="1014" t="str">
        <f t="shared" si="7"/>
        <v xml:space="preserve"> </v>
      </c>
      <c r="W36" s="1014" t="str">
        <f>IF(INICIO!$C$7&gt;DAY($B36)-1,(VLOOKUP($B36,DATOSAÑO!$B$11:$BP$375,67))," ")</f>
        <v xml:space="preserve"> </v>
      </c>
      <c r="X36" s="1014" t="str">
        <f>IF(INICIO!$C$7&gt;DAY($B36)-1,(VLOOKUP($B36,DATOSAÑO!$B$11:$BP$375,59))+(VLOOKUP($B36,DATOSAÑO!$B$11:$BP$375,61))," ")</f>
        <v xml:space="preserve"> </v>
      </c>
      <c r="Y36" s="1014" t="str">
        <f>IF(INICIO!$C$7&gt;DAY($B36)-1,(X36/24)," ")</f>
        <v xml:space="preserve"> </v>
      </c>
      <c r="Z36" s="1014" t="str">
        <f>IF(INICIO!$C$7&gt;DAY($B36)-1,(VLOOKUP($B36,DATOSAÑO!$B$11:$BI$375,60))+(VLOOKUP($B36,DATOSAÑO!$B$11:$BK$375,62))," ")</f>
        <v xml:space="preserve"> </v>
      </c>
      <c r="AA36" s="1015" t="str">
        <f>IF(INICIO!$C$7&gt;DAY($B36)-1,(Z36/24)," ")</f>
        <v xml:space="preserve"> </v>
      </c>
      <c r="AB36" s="607"/>
    </row>
    <row r="37" spans="1:28" ht="17.100000000000001" customHeight="1">
      <c r="A37" s="606"/>
      <c r="B37" s="1008">
        <f t="shared" si="5"/>
        <v>45103</v>
      </c>
      <c r="C37" s="1009" t="str">
        <f>IF(INICIO!$C$7&gt;DAY($B37)-1,(VLOOKUP($B37,'[4]PRODUCCION VS ENERGIA'!$B$12:$I$42,2))," ")</f>
        <v xml:space="preserve"> </v>
      </c>
      <c r="D37" s="1010" t="str">
        <f>IF(INICIO!$C$7&gt;DAY($B37)-1,(VLOOKUP($B37,'[4]PRODUCCION VS ENERGIA'!$B$12:$I$42,3))," ")</f>
        <v xml:space="preserve"> </v>
      </c>
      <c r="E37" s="1011" t="str">
        <f t="shared" si="8"/>
        <v xml:space="preserve"> </v>
      </c>
      <c r="F37" s="1010" t="str">
        <f>IF(INICIO!$C$7&gt;DAY($B37)-1,(VLOOKUP($B37,'[4]PRODUCCION VS ENERGIA'!$B$12:$I$42,5))," ")</f>
        <v xml:space="preserve"> </v>
      </c>
      <c r="G37" s="1011" t="str">
        <f>IF(INICIO!$C$7&gt;DAY($B37)-1,(VLOOKUP($B37,'[4]PRODUCCION VS ENERGIA'!$B$12:$I$42,6))," ")</f>
        <v xml:space="preserve"> </v>
      </c>
      <c r="H37" s="1011" t="str">
        <f t="shared" si="1"/>
        <v xml:space="preserve"> </v>
      </c>
      <c r="I37" s="1011" t="str">
        <f>IF(INICIO!$C$7&gt;DAY($B37)-1,(VLOOKUP($B37,'[4]PRODUCCION VS ENERGIA'!$B$12:$I$42,8))," ")</f>
        <v xml:space="preserve"> </v>
      </c>
      <c r="J37" s="1012" t="str">
        <f t="shared" si="2"/>
        <v xml:space="preserve"> </v>
      </c>
      <c r="K37" s="1013" t="str">
        <f>IF(INICIO!$C$7&gt;DAY($B37)-1,(VLOOKUP($B37,DATOSAÑO!$B$11:$BG$375,57))," ")</f>
        <v xml:space="preserve"> </v>
      </c>
      <c r="L37" s="1014" t="str">
        <f>IF(INICIO!$C$7&gt;DAY($B37)-1,(VLOOKUP($B37,DATOSAÑO!$B$11:$BG$375,58))," ")</f>
        <v xml:space="preserve"> </v>
      </c>
      <c r="M37" s="1014" t="str">
        <f>IF(INICIO!$C$7&gt;DAY($B37)-1,(VLOOKUP($B37,DATOSAÑO!$B$11:$CT$375,96))," ")</f>
        <v xml:space="preserve"> </v>
      </c>
      <c r="N37" s="1014" t="str">
        <f t="shared" si="3"/>
        <v xml:space="preserve"> </v>
      </c>
      <c r="O37" s="1014" t="str">
        <f>IF(INICIO!$C$7&gt;DAY($B37)-1,(VLOOKUP($B37,DATOSAÑO!$B$11:$BG$375,58))," ")</f>
        <v xml:space="preserve"> </v>
      </c>
      <c r="P37" s="1014" t="str">
        <f>IF(INICIO!$C$7&gt;DAY($B37)-1,(VLOOKUP($B37,DATOSAÑO!$B$11:$BG$375,24))," ")</f>
        <v xml:space="preserve"> </v>
      </c>
      <c r="Q37" s="1014" t="str">
        <f>IF(INICIO!$C$7&gt;DAY($B37)-1,(P37/24)," ")</f>
        <v xml:space="preserve"> </v>
      </c>
      <c r="R37" s="1014" t="str">
        <f>IF(INICIO!$C$7&gt;DAY($B37)-1,(VLOOKUP($B37,DATOSAÑO!$B$11:$BG$375,55))," ")</f>
        <v xml:space="preserve"> </v>
      </c>
      <c r="S37" s="1347" t="str">
        <f>IF(INICIO!$C$7&gt;DAY($B37)-1,(R37/24)," ")</f>
        <v xml:space="preserve"> </v>
      </c>
      <c r="T37" s="1013" t="str">
        <f>IF(INICIO!$C$7&gt;DAY($B37)-1,(VLOOKUP($B37,DATOSAÑO!$B$11:$BP$375,65))," ")</f>
        <v xml:space="preserve"> </v>
      </c>
      <c r="U37" s="1016" t="str">
        <f>IF(INICIO!$C$7&gt;DAY($B37)-1,((VLOOKUP($B37,DATOSAÑO!$B$11:$BP$375,66))*$AA$3)," ")</f>
        <v xml:space="preserve"> </v>
      </c>
      <c r="V37" s="1014" t="str">
        <f t="shared" si="7"/>
        <v xml:space="preserve"> </v>
      </c>
      <c r="W37" s="1014" t="str">
        <f>IF(INICIO!$C$7&gt;DAY($B37)-1,(VLOOKUP($B37,DATOSAÑO!$B$11:$BP$375,67))," ")</f>
        <v xml:space="preserve"> </v>
      </c>
      <c r="X37" s="1014" t="str">
        <f>IF(INICIO!$C$7&gt;DAY($B37)-1,(VLOOKUP($B37,DATOSAÑO!$B$11:$BP$375,59))+(VLOOKUP($B37,DATOSAÑO!$B$11:$BP$375,61))," ")</f>
        <v xml:space="preserve"> </v>
      </c>
      <c r="Y37" s="1014" t="str">
        <f>IF(INICIO!$C$7&gt;DAY($B37)-1,(X37/24)," ")</f>
        <v xml:space="preserve"> </v>
      </c>
      <c r="Z37" s="1014" t="str">
        <f>IF(INICIO!$C$7&gt;DAY($B37)-1,(VLOOKUP($B37,DATOSAÑO!$B$11:$BI$375,60))+(VLOOKUP($B37,DATOSAÑO!$B$11:$BK$375,62))," ")</f>
        <v xml:space="preserve"> </v>
      </c>
      <c r="AA37" s="1015" t="str">
        <f>IF(INICIO!$C$7&gt;DAY($B37)-1,(Z37/24)," ")</f>
        <v xml:space="preserve"> </v>
      </c>
      <c r="AB37" s="607"/>
    </row>
    <row r="38" spans="1:28" ht="17.100000000000001" customHeight="1">
      <c r="A38" s="606"/>
      <c r="B38" s="1008">
        <f t="shared" si="5"/>
        <v>45104</v>
      </c>
      <c r="C38" s="1009" t="str">
        <f>IF(INICIO!$C$7&gt;DAY($B38)-1,(VLOOKUP($B38,'[4]PRODUCCION VS ENERGIA'!$B$12:$I$42,2))," ")</f>
        <v xml:space="preserve"> </v>
      </c>
      <c r="D38" s="1010" t="str">
        <f>IF(INICIO!$C$7&gt;DAY($B38)-1,(VLOOKUP($B38,'[4]PRODUCCION VS ENERGIA'!$B$12:$I$42,3))," ")</f>
        <v xml:space="preserve"> </v>
      </c>
      <c r="E38" s="1011" t="str">
        <f t="shared" si="8"/>
        <v xml:space="preserve"> </v>
      </c>
      <c r="F38" s="1010" t="str">
        <f>IF(INICIO!$C$7&gt;DAY($B38)-1,(VLOOKUP($B38,'[4]PRODUCCION VS ENERGIA'!$B$12:$I$42,5))," ")</f>
        <v xml:space="preserve"> </v>
      </c>
      <c r="G38" s="1011" t="str">
        <f>IF(INICIO!$C$7&gt;DAY($B38)-1,(VLOOKUP($B38,'[4]PRODUCCION VS ENERGIA'!$B$12:$I$42,6))," ")</f>
        <v xml:space="preserve"> </v>
      </c>
      <c r="H38" s="1011" t="str">
        <f t="shared" si="1"/>
        <v xml:space="preserve"> </v>
      </c>
      <c r="I38" s="1011" t="str">
        <f>IF(INICIO!$C$7&gt;DAY($B38)-1,(VLOOKUP($B38,'[4]PRODUCCION VS ENERGIA'!$B$12:$I$42,8))," ")</f>
        <v xml:space="preserve"> </v>
      </c>
      <c r="J38" s="1012" t="str">
        <f t="shared" si="2"/>
        <v xml:space="preserve"> </v>
      </c>
      <c r="K38" s="1013" t="str">
        <f>IF(INICIO!$C$7&gt;DAY($B38)-1,(VLOOKUP($B38,DATOSAÑO!$B$11:$BG$375,57))," ")</f>
        <v xml:space="preserve"> </v>
      </c>
      <c r="L38" s="1014" t="str">
        <f>IF(INICIO!$C$7&gt;DAY($B38)-1,(VLOOKUP($B38,DATOSAÑO!$B$11:$BG$375,58))," ")</f>
        <v xml:space="preserve"> </v>
      </c>
      <c r="M38" s="1014" t="str">
        <f>IF(INICIO!$C$7&gt;DAY($B38)-1,(VLOOKUP($B38,DATOSAÑO!$B$11:$CT$375,96))," ")</f>
        <v xml:space="preserve"> </v>
      </c>
      <c r="N38" s="1014" t="str">
        <f t="shared" si="3"/>
        <v xml:space="preserve"> </v>
      </c>
      <c r="O38" s="1014" t="str">
        <f>IF(INICIO!$C$7&gt;DAY($B38)-1,(VLOOKUP($B38,DATOSAÑO!$B$11:$BG$375,58))," ")</f>
        <v xml:space="preserve"> </v>
      </c>
      <c r="P38" s="1014" t="str">
        <f>IF(INICIO!$C$7&gt;DAY($B38)-1,(VLOOKUP($B38,DATOSAÑO!$B$11:$BG$375,24))," ")</f>
        <v xml:space="preserve"> </v>
      </c>
      <c r="Q38" s="1014" t="str">
        <f>IF(INICIO!$C$7&gt;DAY($B38)-1,(P38/24)," ")</f>
        <v xml:space="preserve"> </v>
      </c>
      <c r="R38" s="1014" t="str">
        <f>IF(INICIO!$C$7&gt;DAY($B38)-1,(VLOOKUP($B38,DATOSAÑO!$B$11:$BG$375,55))," ")</f>
        <v xml:space="preserve"> </v>
      </c>
      <c r="S38" s="1347" t="str">
        <f>IF(INICIO!$C$7&gt;DAY($B38)-1,(R38/24)," ")</f>
        <v xml:space="preserve"> </v>
      </c>
      <c r="T38" s="1013" t="str">
        <f>IF(INICIO!$C$7&gt;DAY($B38)-1,(VLOOKUP($B38,DATOSAÑO!$B$11:$BP$375,65))," ")</f>
        <v xml:space="preserve"> </v>
      </c>
      <c r="U38" s="1016" t="str">
        <f>IF(INICIO!$C$7&gt;DAY($B38)-1,((VLOOKUP($B38,DATOSAÑO!$B$11:$BP$375,66))*$AA$3)," ")</f>
        <v xml:space="preserve"> </v>
      </c>
      <c r="V38" s="1014" t="str">
        <f t="shared" si="7"/>
        <v xml:space="preserve"> </v>
      </c>
      <c r="W38" s="1014" t="str">
        <f>IF(INICIO!$C$7&gt;DAY($B38)-1,(VLOOKUP($B38,DATOSAÑO!$B$11:$BP$375,67))," ")</f>
        <v xml:space="preserve"> </v>
      </c>
      <c r="X38" s="1014" t="str">
        <f>IF(INICIO!$C$7&gt;DAY($B38)-1,(VLOOKUP($B38,DATOSAÑO!$B$11:$BP$375,59))+(VLOOKUP($B38,DATOSAÑO!$B$11:$BP$375,61))," ")</f>
        <v xml:space="preserve"> </v>
      </c>
      <c r="Y38" s="1014" t="str">
        <f>IF(INICIO!$C$7&gt;DAY($B38)-1,(X38/24)," ")</f>
        <v xml:space="preserve"> </v>
      </c>
      <c r="Z38" s="1014" t="str">
        <f>IF(INICIO!$C$7&gt;DAY($B38)-1,(VLOOKUP($B38,DATOSAÑO!$B$11:$BI$375,60))+(VLOOKUP($B38,DATOSAÑO!$B$11:$BK$375,62))," ")</f>
        <v xml:space="preserve"> </v>
      </c>
      <c r="AA38" s="1015" t="str">
        <f>IF(INICIO!$C$7&gt;DAY($B38)-1,(Z38/24)," ")</f>
        <v xml:space="preserve"> </v>
      </c>
      <c r="AB38" s="607"/>
    </row>
    <row r="39" spans="1:28" ht="17.100000000000001" customHeight="1">
      <c r="A39" s="606"/>
      <c r="B39" s="1366">
        <f>B38+1</f>
        <v>45105</v>
      </c>
      <c r="C39" s="1009" t="str">
        <f>IF(INICIO!$C$7&gt;DAY($B39)-1,(VLOOKUP($B39,'[4]PRODUCCION VS ENERGIA'!$B$12:$I$42,2))," ")</f>
        <v xml:space="preserve"> </v>
      </c>
      <c r="D39" s="1010" t="str">
        <f>IF(INICIO!$C$7&gt;DAY($B39)-1,(VLOOKUP($B39,'[4]PRODUCCION VS ENERGIA'!$B$12:$I$42,3))," ")</f>
        <v xml:space="preserve"> </v>
      </c>
      <c r="E39" s="1011" t="str">
        <f t="shared" si="8"/>
        <v xml:space="preserve"> </v>
      </c>
      <c r="F39" s="1010" t="str">
        <f>IF(INICIO!$C$7&gt;DAY($B39)-1,(VLOOKUP($B39,'[4]PRODUCCION VS ENERGIA'!$B$12:$I$42,5))," ")</f>
        <v xml:space="preserve"> </v>
      </c>
      <c r="G39" s="1011" t="str">
        <f>IF(INICIO!$C$7&gt;DAY($B39)-1,(VLOOKUP($B39,'[4]PRODUCCION VS ENERGIA'!$B$12:$I$42,6))," ")</f>
        <v xml:space="preserve"> </v>
      </c>
      <c r="H39" s="1011" t="str">
        <f t="shared" si="1"/>
        <v xml:space="preserve"> </v>
      </c>
      <c r="I39" s="1011" t="str">
        <f>IF(INICIO!$C$7&gt;DAY($B39)-1,(VLOOKUP($B39,'[4]PRODUCCION VS ENERGIA'!$B$12:$I$42,8))," ")</f>
        <v xml:space="preserve"> </v>
      </c>
      <c r="J39" s="1012" t="str">
        <f t="shared" si="2"/>
        <v xml:space="preserve"> </v>
      </c>
      <c r="K39" s="1013" t="str">
        <f>IF(INICIO!$C$7&gt;DAY($B39)-1,(VLOOKUP($B39,DATOSAÑO!$B$11:$BG$375,57))," ")</f>
        <v xml:space="preserve"> </v>
      </c>
      <c r="L39" s="1014" t="str">
        <f>IF(INICIO!$C$7&gt;DAY($B39)-1,(VLOOKUP($B39,DATOSAÑO!$B$11:$BG$375,58))," ")</f>
        <v xml:space="preserve"> </v>
      </c>
      <c r="M39" s="1014" t="str">
        <f>IF(INICIO!$C$7&gt;DAY($B39)-1,(VLOOKUP($B39,DATOSAÑO!$B$11:$CT$375,96))," ")</f>
        <v xml:space="preserve"> </v>
      </c>
      <c r="N39" s="1014" t="str">
        <f t="shared" si="3"/>
        <v xml:space="preserve"> </v>
      </c>
      <c r="O39" s="1014" t="str">
        <f>IF(INICIO!$C$7&gt;DAY($B39)-1,(VLOOKUP($B39,DATOSAÑO!$B$11:$BG$375,58))," ")</f>
        <v xml:space="preserve"> </v>
      </c>
      <c r="P39" s="1014" t="str">
        <f>IF(INICIO!$C$7&gt;DAY($B39)-1,(VLOOKUP($B39,DATOSAÑO!$B$11:$BG$375,24))," ")</f>
        <v xml:space="preserve"> </v>
      </c>
      <c r="Q39" s="1014" t="str">
        <f>IF(INICIO!$C$7&gt;DAY($B39)-1,(P39/24)," ")</f>
        <v xml:space="preserve"> </v>
      </c>
      <c r="R39" s="1014" t="str">
        <f>IF(INICIO!$C$7&gt;DAY($B39)-1,(VLOOKUP($B39,DATOSAÑO!$B$11:$BG$375,55))," ")</f>
        <v xml:space="preserve"> </v>
      </c>
      <c r="S39" s="1347" t="str">
        <f>IF(INICIO!$C$7&gt;DAY($B39)-1,(R39/24)," ")</f>
        <v xml:space="preserve"> </v>
      </c>
      <c r="T39" s="1013" t="str">
        <f>IF(INICIO!$C$7&gt;DAY($B39)-1,(VLOOKUP($B39,DATOSAÑO!$B$11:$BP$375,65))," ")</f>
        <v xml:space="preserve"> </v>
      </c>
      <c r="U39" s="1016" t="str">
        <f>IF(INICIO!$C$7&gt;DAY($B39)-1,((VLOOKUP($B39,DATOSAÑO!$B$11:$BP$375,66))*$AA$3)," ")</f>
        <v xml:space="preserve"> </v>
      </c>
      <c r="V39" s="1014" t="str">
        <f t="shared" si="7"/>
        <v xml:space="preserve"> </v>
      </c>
      <c r="W39" s="1014" t="str">
        <f>IF(INICIO!$C$7&gt;DAY($B39)-1,(VLOOKUP($B39,DATOSAÑO!$B$11:$BP$375,67))," ")</f>
        <v xml:space="preserve"> </v>
      </c>
      <c r="X39" s="1014" t="str">
        <f>IF(INICIO!$C$7&gt;DAY($B39)-1,(VLOOKUP($B39,DATOSAÑO!$B$11:$BP$375,59))+(VLOOKUP($B39,DATOSAÑO!$B$11:$BP$375,61))," ")</f>
        <v xml:space="preserve"> </v>
      </c>
      <c r="Y39" s="1014" t="str">
        <f>IF(INICIO!$C$7&gt;DAY($B39)-1,(X39/24)," ")</f>
        <v xml:space="preserve"> </v>
      </c>
      <c r="Z39" s="1014" t="str">
        <f>IF(INICIO!$C$7&gt;DAY($B39)-1,(VLOOKUP($B39,DATOSAÑO!$B$11:$BI$375,60))+(VLOOKUP($B39,DATOSAÑO!$B$11:$BK$375,62))," ")</f>
        <v xml:space="preserve"> </v>
      </c>
      <c r="AA39" s="1015" t="str">
        <f>IF(INICIO!$C$7&gt;DAY($B39)-1,(Z39/24)," ")</f>
        <v xml:space="preserve"> </v>
      </c>
      <c r="AB39" s="607"/>
    </row>
    <row r="40" spans="1:28" ht="17.100000000000001" customHeight="1">
      <c r="A40" s="606"/>
      <c r="B40" s="1366">
        <f t="shared" ref="B40:B42" si="9">B39+1</f>
        <v>45106</v>
      </c>
      <c r="C40" s="1009" t="str">
        <f>IF(INICIO!$C$7&gt;DAY($B40)-1,(VLOOKUP($B40,'[4]PRODUCCION VS ENERGIA'!$B$12:$I$42,2))," ")</f>
        <v xml:space="preserve"> </v>
      </c>
      <c r="D40" s="1010" t="str">
        <f>IF(INICIO!$C$7&gt;DAY($B40)-1,(VLOOKUP($B40,'[4]PRODUCCION VS ENERGIA'!$B$12:$I$42,3))," ")</f>
        <v xml:space="preserve"> </v>
      </c>
      <c r="E40" s="1011" t="str">
        <f t="shared" si="8"/>
        <v xml:space="preserve"> </v>
      </c>
      <c r="F40" s="1010" t="str">
        <f>IF(INICIO!$C$7&gt;DAY($B40)-1,(VLOOKUP($B40,'[4]PRODUCCION VS ENERGIA'!$B$12:$I$42,5))," ")</f>
        <v xml:space="preserve"> </v>
      </c>
      <c r="G40" s="1011" t="str">
        <f>IF(INICIO!$C$7&gt;DAY($B40)-1,(VLOOKUP($B40,'[4]PRODUCCION VS ENERGIA'!$B$12:$I$42,6))," ")</f>
        <v xml:space="preserve"> </v>
      </c>
      <c r="H40" s="1011" t="str">
        <f t="shared" si="1"/>
        <v xml:space="preserve"> </v>
      </c>
      <c r="I40" s="1011" t="str">
        <f>IF(INICIO!$C$7&gt;DAY($B40)-1,(VLOOKUP($B40,'[4]PRODUCCION VS ENERGIA'!$B$12:$I$42,8))," ")</f>
        <v xml:space="preserve"> </v>
      </c>
      <c r="J40" s="1012" t="str">
        <f t="shared" si="2"/>
        <v xml:space="preserve"> </v>
      </c>
      <c r="K40" s="1013" t="str">
        <f>IF(INICIO!$C$7&gt;DAY($B40)-1,(VLOOKUP($B40,DATOSAÑO!$B$11:$BG$375,57))," ")</f>
        <v xml:space="preserve"> </v>
      </c>
      <c r="L40" s="1014" t="str">
        <f>IF(INICIO!$C$7&gt;DAY($B40)-1,(VLOOKUP($B40,DATOSAÑO!$B$11:$BG$375,58))," ")</f>
        <v xml:space="preserve"> </v>
      </c>
      <c r="M40" s="1014" t="str">
        <f>IF(INICIO!$C$7&gt;DAY($B40)-1,(VLOOKUP($B40,DATOSAÑO!$B$11:$CT$375,96))," ")</f>
        <v xml:space="preserve"> </v>
      </c>
      <c r="N40" s="1014" t="str">
        <f t="shared" si="3"/>
        <v xml:space="preserve"> </v>
      </c>
      <c r="O40" s="1014" t="str">
        <f>IF(INICIO!$C$7&gt;DAY($B40)-1,(VLOOKUP($B40,DATOSAÑO!$B$11:$BG$375,58))," ")</f>
        <v xml:space="preserve"> </v>
      </c>
      <c r="P40" s="1014" t="str">
        <f>IF(INICIO!$C$7&gt;DAY($B40)-1,(VLOOKUP($B40,DATOSAÑO!$B$11:$BG$375,24))," ")</f>
        <v xml:space="preserve"> </v>
      </c>
      <c r="Q40" s="1014" t="str">
        <f>IF(INICIO!$C$7&gt;DAY($B40)-1,(P40/24)," ")</f>
        <v xml:space="preserve"> </v>
      </c>
      <c r="R40" s="1014" t="str">
        <f>IF(INICIO!$C$7&gt;DAY($B40)-1,(VLOOKUP($B40,DATOSAÑO!$B$11:$BG$375,55))," ")</f>
        <v xml:space="preserve"> </v>
      </c>
      <c r="S40" s="1347" t="str">
        <f>IF(INICIO!$C$7&gt;DAY($B40)-1,(R40/24)," ")</f>
        <v xml:space="preserve"> </v>
      </c>
      <c r="T40" s="1013" t="str">
        <f>IF(INICIO!$C$7&gt;DAY($B40)-1,(VLOOKUP($B40,DATOSAÑO!$B$11:$BP$375,65))," ")</f>
        <v xml:space="preserve"> </v>
      </c>
      <c r="U40" s="1016" t="str">
        <f>IF(INICIO!$C$7&gt;DAY($B40)-1,((VLOOKUP($B40,DATOSAÑO!$B$11:$BP$375,66))*$AA$3)," ")</f>
        <v xml:space="preserve"> </v>
      </c>
      <c r="V40" s="1014" t="str">
        <f t="shared" si="7"/>
        <v xml:space="preserve"> </v>
      </c>
      <c r="W40" s="1014" t="str">
        <f>IF(INICIO!$C$7&gt;DAY($B40)-1,(VLOOKUP($B40,DATOSAÑO!$B$11:$BP$375,67))," ")</f>
        <v xml:space="preserve"> </v>
      </c>
      <c r="X40" s="1014" t="str">
        <f>IF(INICIO!$C$7&gt;DAY($B40)-1,(VLOOKUP($B40,DATOSAÑO!$B$11:$BP$375,59))+(VLOOKUP($B40,DATOSAÑO!$B$11:$BP$375,61))," ")</f>
        <v xml:space="preserve"> </v>
      </c>
      <c r="Y40" s="1014" t="str">
        <f>IF(INICIO!$C$7&gt;DAY($B40)-1,(X40/24)," ")</f>
        <v xml:space="preserve"> </v>
      </c>
      <c r="Z40" s="1014" t="str">
        <f>IF(INICIO!$C$7&gt;DAY($B40)-1,(VLOOKUP($B40,DATOSAÑO!$B$11:$BI$375,60))+(VLOOKUP($B40,DATOSAÑO!$B$11:$BK$375,62))," ")</f>
        <v xml:space="preserve"> </v>
      </c>
      <c r="AA40" s="1015" t="str">
        <f>IF(INICIO!$C$7&gt;DAY($B40)-1,(Z40/24)," ")</f>
        <v xml:space="preserve"> </v>
      </c>
      <c r="AB40" s="607"/>
    </row>
    <row r="41" spans="1:28" ht="17.100000000000001" customHeight="1">
      <c r="A41" s="606"/>
      <c r="B41" s="1366">
        <f t="shared" si="9"/>
        <v>45107</v>
      </c>
      <c r="C41" s="1009" t="str">
        <f>IF(INICIO!$C$7&gt;DAY($B41)-1,(VLOOKUP($B41,'[4]PRODUCCION VS ENERGIA'!$B$12:$I$42,2))," ")</f>
        <v xml:space="preserve"> </v>
      </c>
      <c r="D41" s="1010" t="str">
        <f>IF(INICIO!$C$7&gt;DAY($B41)-1,(VLOOKUP($B41,'[4]PRODUCCION VS ENERGIA'!$B$12:$I$42,3))," ")</f>
        <v xml:space="preserve"> </v>
      </c>
      <c r="E41" s="1011" t="str">
        <f t="shared" si="8"/>
        <v xml:space="preserve"> </v>
      </c>
      <c r="F41" s="1010" t="str">
        <f>IF(INICIO!$C$7&gt;DAY($B41)-1,(VLOOKUP($B41,'[4]PRODUCCION VS ENERGIA'!$B$12:$I$42,5))," ")</f>
        <v xml:space="preserve"> </v>
      </c>
      <c r="G41" s="1011" t="str">
        <f>IF(INICIO!$C$7&gt;DAY($B41)-1,(VLOOKUP($B41,'[4]PRODUCCION VS ENERGIA'!$B$12:$I$42,6))," ")</f>
        <v xml:space="preserve"> </v>
      </c>
      <c r="H41" s="1011" t="str">
        <f t="shared" si="1"/>
        <v xml:space="preserve"> </v>
      </c>
      <c r="I41" s="1011" t="str">
        <f>IF(INICIO!$C$7&gt;DAY($B41)-1,(VLOOKUP($B41,'[4]PRODUCCION VS ENERGIA'!$B$12:$I$42,8))," ")</f>
        <v xml:space="preserve"> </v>
      </c>
      <c r="J41" s="1012" t="str">
        <f t="shared" si="2"/>
        <v xml:space="preserve"> </v>
      </c>
      <c r="K41" s="1013" t="str">
        <f>IF(INICIO!$C$7&gt;DAY($B41)-1,(VLOOKUP($B41,DATOSAÑO!$B$11:$BG$375,57))," ")</f>
        <v xml:space="preserve"> </v>
      </c>
      <c r="L41" s="1014" t="str">
        <f>IF(INICIO!$C$7&gt;DAY($B41)-1,(VLOOKUP($B41,DATOSAÑO!$B$11:$BG$375,58))," ")</f>
        <v xml:space="preserve"> </v>
      </c>
      <c r="M41" s="1014" t="str">
        <f>IF(INICIO!$C$7&gt;DAY($B41)-1,(VLOOKUP($B41,DATOSAÑO!$B$11:$CT$375,96))," ")</f>
        <v xml:space="preserve"> </v>
      </c>
      <c r="N41" s="1014" t="str">
        <f t="shared" si="3"/>
        <v xml:space="preserve"> </v>
      </c>
      <c r="O41" s="1014" t="str">
        <f>IF(INICIO!$C$7&gt;DAY($B41)-1,(VLOOKUP($B41,DATOSAÑO!$B$11:$BG$375,58))," ")</f>
        <v xml:space="preserve"> </v>
      </c>
      <c r="P41" s="1014" t="str">
        <f>IF(INICIO!$C$7&gt;DAY($B41)-1,(VLOOKUP($B41,DATOSAÑO!$B$11:$BG$375,24))," ")</f>
        <v xml:space="preserve"> </v>
      </c>
      <c r="Q41" s="1014" t="str">
        <f>IF(INICIO!$C$7&gt;DAY($B41)-1,(P41/24)," ")</f>
        <v xml:space="preserve"> </v>
      </c>
      <c r="R41" s="1014" t="str">
        <f>IF(INICIO!$C$7&gt;DAY($B41)-1,(VLOOKUP($B41,DATOSAÑO!$B$11:$BG$375,55))," ")</f>
        <v xml:space="preserve"> </v>
      </c>
      <c r="S41" s="1347" t="str">
        <f>IF(INICIO!$C$7&gt;DAY($B41)-1,(R41/24)," ")</f>
        <v xml:space="preserve"> </v>
      </c>
      <c r="T41" s="1013" t="str">
        <f>IF(INICIO!$C$7&gt;DAY($B41)-1,(VLOOKUP($B41,DATOSAÑO!$B$11:$BP$375,65))," ")</f>
        <v xml:space="preserve"> </v>
      </c>
      <c r="U41" s="1016" t="str">
        <f>IF(INICIO!$C$7&gt;DAY($B41)-1,((VLOOKUP($B41,DATOSAÑO!$B$11:$BP$375,66))*$AA$3)," ")</f>
        <v xml:space="preserve"> </v>
      </c>
      <c r="V41" s="1014" t="str">
        <f t="shared" si="7"/>
        <v xml:space="preserve"> </v>
      </c>
      <c r="W41" s="1014" t="str">
        <f>IF(INICIO!$C$7&gt;DAY($B41)-1,(VLOOKUP($B41,DATOSAÑO!$B$11:$BP$375,67))," ")</f>
        <v xml:space="preserve"> </v>
      </c>
      <c r="X41" s="1014" t="str">
        <f>IF(INICIO!$C$7&gt;DAY($B41)-1,(VLOOKUP($B41,DATOSAÑO!$B$11:$BP$375,59))+(VLOOKUP($B41,DATOSAÑO!$B$11:$BP$375,61))," ")</f>
        <v xml:space="preserve"> </v>
      </c>
      <c r="Y41" s="1014" t="str">
        <f>IF(INICIO!$C$7&gt;DAY($B41)-1,(X41/24)," ")</f>
        <v xml:space="preserve"> </v>
      </c>
      <c r="Z41" s="1014" t="str">
        <f>IF(INICIO!$C$7&gt;DAY($B41)-1,(VLOOKUP($B41,DATOSAÑO!$B$11:$BI$375,60))+(VLOOKUP($B41,DATOSAÑO!$B$11:$BK$375,62))," ")</f>
        <v xml:space="preserve"> </v>
      </c>
      <c r="AA41" s="1015" t="str">
        <f>IF(INICIO!$C$7&gt;DAY($B41)-1,(Z41/24)," ")</f>
        <v xml:space="preserve"> </v>
      </c>
      <c r="AB41" s="607"/>
    </row>
    <row r="42" spans="1:28" ht="17.100000000000001" hidden="1" customHeight="1">
      <c r="A42" s="606"/>
      <c r="B42" s="1366">
        <f t="shared" si="9"/>
        <v>45108</v>
      </c>
      <c r="C42" s="1009" t="str">
        <f>IF(INICIO!$C$7&gt;DAY($B42)-1,(VLOOKUP($B42,'[4]PRODUCCION VS ENERGIA'!$B$12:$I$42,2))," ")</f>
        <v xml:space="preserve"> </v>
      </c>
      <c r="D42" s="1010" t="str">
        <f>IF(INICIO!$C$7&gt;DAY($B42)-1,(VLOOKUP($B42,'[4]PRODUCCION VS ENERGIA'!$B$12:$I$42,3))," ")</f>
        <v xml:space="preserve"> </v>
      </c>
      <c r="E42" s="1011" t="str">
        <f t="shared" si="8"/>
        <v xml:space="preserve"> </v>
      </c>
      <c r="F42" s="1010" t="str">
        <f>IF(INICIO!$C$7&gt;DAY($B42)-1,(VLOOKUP($B42,'[4]PRODUCCION VS ENERGIA'!$B$12:$I$42,5))," ")</f>
        <v xml:space="preserve"> </v>
      </c>
      <c r="G42" s="1011" t="str">
        <f>IF(INICIO!$C$7&gt;DAY($B42)-1,(VLOOKUP($B42,'[4]PRODUCCION VS ENERGIA'!$B$12:$I$42,6))," ")</f>
        <v xml:space="preserve"> </v>
      </c>
      <c r="H42" s="1011" t="str">
        <f t="shared" si="1"/>
        <v xml:space="preserve"> </v>
      </c>
      <c r="I42" s="1011" t="str">
        <f>IF(INICIO!$C$7&gt;DAY($B42)-1,(VLOOKUP($B42,'[4]PRODUCCION VS ENERGIA'!$B$12:$I$42,8))," ")</f>
        <v xml:space="preserve"> </v>
      </c>
      <c r="J42" s="1012" t="str">
        <f t="shared" si="2"/>
        <v xml:space="preserve"> </v>
      </c>
      <c r="K42" s="1013">
        <f ca="1">IF(INICIO!$C$7&gt;DAY($B42)-1,(VLOOKUP($B42,DATOSAÑO!$B$11:$BG$375,57))," ")</f>
        <v>0</v>
      </c>
      <c r="L42" s="1014">
        <f ca="1">IF(INICIO!$C$7&gt;DAY($B42)-1,(VLOOKUP($B42,DATOSAÑO!$B$11:$BG$375,58))," ")</f>
        <v>0</v>
      </c>
      <c r="M42" s="1014">
        <f ca="1">IF(INICIO!$C$7&gt;DAY($B42)-1,(VLOOKUP($B42,DATOSAÑO!$B$11:$CT$375,96))," ")</f>
        <v>0</v>
      </c>
      <c r="N42" s="1014">
        <f t="shared" ca="1" si="3"/>
        <v>0</v>
      </c>
      <c r="O42" s="1014">
        <f ca="1">IF(INICIO!$C$7&gt;DAY($B42)-1,(VLOOKUP($B42,DATOSAÑO!$B$11:$BG$375,58))," ")</f>
        <v>0</v>
      </c>
      <c r="P42" s="1014">
        <f ca="1">IF(INICIO!$C$7&gt;DAY($B42)-1,(VLOOKUP($B42,DATOSAÑO!$B$11:$BG$375,24))," ")</f>
        <v>0</v>
      </c>
      <c r="Q42" s="1014">
        <f ca="1">IF(INICIO!$C$7&gt;DAY($B42)-1,(P42/24)," ")</f>
        <v>0</v>
      </c>
      <c r="R42" s="1014">
        <f ca="1">IF(INICIO!$C$7&gt;DAY($B42)-1,(VLOOKUP($B42,DATOSAÑO!$B$11:$BG$375,55))," ")</f>
        <v>0</v>
      </c>
      <c r="S42" s="1347">
        <f ca="1">IF(INICIO!$C$7&gt;DAY($B42)-1,(R42/24)," ")</f>
        <v>0</v>
      </c>
      <c r="T42" s="1013">
        <f ca="1">IF(INICIO!$C$7&gt;DAY($B42)-1,(VLOOKUP($B42,DATOSAÑO!$B$11:$BP$375,65))," ")</f>
        <v>0</v>
      </c>
      <c r="U42" s="1016">
        <f ca="1">IF(INICIO!$C$7&gt;DAY($B42)-1,((VLOOKUP($B42,DATOSAÑO!$B$11:$BP$375,66))*$AA$3)," ")</f>
        <v>0</v>
      </c>
      <c r="V42" s="1014">
        <f t="shared" ca="1" si="7"/>
        <v>0</v>
      </c>
      <c r="W42" s="1014">
        <f ca="1">IF(INICIO!$C$7&gt;DAY($B42)-1,(VLOOKUP($B42,DATOSAÑO!$B$11:$BP$375,67))," ")</f>
        <v>0</v>
      </c>
      <c r="X42" s="1014">
        <f ca="1">IF(INICIO!$C$7&gt;DAY($B42)-1,(VLOOKUP($B42,DATOSAÑO!$B$11:$BP$375,59))+(VLOOKUP($B42,DATOSAÑO!$B$11:$BP$375,61))," ")</f>
        <v>0</v>
      </c>
      <c r="Y42" s="1014">
        <f ca="1">IF(INICIO!$C$7&gt;DAY($B42)-1,(X42/24)," ")</f>
        <v>0</v>
      </c>
      <c r="Z42" s="1014">
        <f ca="1">IF(INICIO!$C$7&gt;DAY($B42)-1,(VLOOKUP($B42,DATOSAÑO!$B$11:$BI$375,60))+(VLOOKUP($B42,DATOSAÑO!$B$11:$BK$375,62))," ")</f>
        <v>0</v>
      </c>
      <c r="AA42" s="1015">
        <f ca="1">IF(INICIO!$C$7&gt;DAY($B42)-1,(Z42/24)," ")</f>
        <v>0</v>
      </c>
      <c r="AB42" s="607"/>
    </row>
    <row r="43" spans="1:28" ht="15" customHeight="1">
      <c r="A43" s="606"/>
      <c r="B43" s="693"/>
      <c r="C43" s="704"/>
      <c r="D43" s="704"/>
      <c r="E43" s="704"/>
      <c r="F43" s="704"/>
      <c r="G43" s="704"/>
      <c r="H43" s="704"/>
      <c r="I43" s="704"/>
      <c r="J43" s="704"/>
      <c r="K43" s="693"/>
      <c r="L43" s="704"/>
      <c r="M43" s="704"/>
      <c r="N43" s="704"/>
      <c r="O43" s="704"/>
      <c r="P43" s="704"/>
      <c r="Q43" s="704"/>
      <c r="R43" s="704"/>
      <c r="S43" s="704"/>
      <c r="AB43" s="607"/>
    </row>
    <row r="44" spans="1:28" ht="34.049999999999997" customHeight="1">
      <c r="A44" s="606"/>
      <c r="B44" s="973"/>
      <c r="C44" s="1883" t="s">
        <v>949</v>
      </c>
      <c r="D44" s="1883"/>
      <c r="E44" s="703">
        <f>MAX(C12:C42)</f>
        <v>2247</v>
      </c>
      <c r="F44" s="1883" t="s">
        <v>869</v>
      </c>
      <c r="G44" s="1883"/>
      <c r="H44" s="703">
        <f>MAX(F12:F42)</f>
        <v>12306</v>
      </c>
      <c r="I44" s="726" t="s">
        <v>825</v>
      </c>
      <c r="J44" s="972">
        <f>MAX(G12:G42)</f>
        <v>459.29599999999999</v>
      </c>
      <c r="K44" s="1890" t="s">
        <v>949</v>
      </c>
      <c r="L44" s="1891"/>
      <c r="M44" s="1892"/>
      <c r="N44" s="703">
        <f ca="1">MAX(K12:K42)</f>
        <v>30951.3438596491</v>
      </c>
      <c r="O44" s="1883" t="s">
        <v>870</v>
      </c>
      <c r="P44" s="1883"/>
      <c r="Q44" s="703">
        <f ca="1">MAX(O12:O42)</f>
        <v>6875.34</v>
      </c>
      <c r="R44" s="726" t="s">
        <v>825</v>
      </c>
      <c r="S44" s="972">
        <f ca="1">MAX(P12:P42)</f>
        <v>448</v>
      </c>
      <c r="T44" s="1881" t="s">
        <v>949</v>
      </c>
      <c r="U44" s="1882"/>
      <c r="V44" s="703">
        <f ca="1">MAX(T12:T42)</f>
        <v>0</v>
      </c>
      <c r="W44" s="1883" t="s">
        <v>870</v>
      </c>
      <c r="X44" s="1883"/>
      <c r="Y44" s="703">
        <f ca="1">MAX(W12:W42)</f>
        <v>0</v>
      </c>
      <c r="Z44" s="726" t="s">
        <v>825</v>
      </c>
      <c r="AA44" s="971">
        <f ca="1">MAX(X12:X42)</f>
        <v>0</v>
      </c>
      <c r="AB44" s="607"/>
    </row>
    <row r="45" spans="1:28" ht="34.049999999999997" customHeight="1">
      <c r="A45" s="606"/>
      <c r="B45" s="973"/>
      <c r="C45" s="1888" t="s">
        <v>950</v>
      </c>
      <c r="D45" s="1889"/>
      <c r="E45" s="703">
        <f>MIN(C12:C42)</f>
        <v>0</v>
      </c>
      <c r="F45" s="1883" t="s">
        <v>871</v>
      </c>
      <c r="G45" s="1883"/>
      <c r="H45" s="703">
        <f>MIN(F12:F42)</f>
        <v>0</v>
      </c>
      <c r="I45" s="726" t="s">
        <v>826</v>
      </c>
      <c r="J45" s="972">
        <f>MIN(G12:G42)</f>
        <v>395</v>
      </c>
      <c r="K45" s="1890" t="s">
        <v>950</v>
      </c>
      <c r="L45" s="1891"/>
      <c r="M45" s="1892"/>
      <c r="N45" s="703">
        <f ca="1">MIN(K12:K42)</f>
        <v>0</v>
      </c>
      <c r="O45" s="1883" t="s">
        <v>871</v>
      </c>
      <c r="P45" s="1883"/>
      <c r="Q45" s="703">
        <f ca="1">MIN(O12:O42)</f>
        <v>0</v>
      </c>
      <c r="R45" s="726" t="s">
        <v>826</v>
      </c>
      <c r="S45" s="972">
        <f ca="1">MIN(P12:P42)</f>
        <v>0</v>
      </c>
      <c r="T45" s="1881" t="s">
        <v>950</v>
      </c>
      <c r="U45" s="1882"/>
      <c r="V45" s="703">
        <f ca="1">MIN(T12:T42)</f>
        <v>0</v>
      </c>
      <c r="W45" s="1883" t="s">
        <v>871</v>
      </c>
      <c r="X45" s="1883"/>
      <c r="Y45" s="703">
        <f ca="1">MIN(W12:W42)</f>
        <v>0</v>
      </c>
      <c r="Z45" s="726" t="s">
        <v>826</v>
      </c>
      <c r="AA45" s="971">
        <f ca="1">MIN(X12:X42)</f>
        <v>0</v>
      </c>
      <c r="AB45" s="607"/>
    </row>
    <row r="46" spans="1:28">
      <c r="A46" s="606"/>
      <c r="AB46" s="607"/>
    </row>
    <row r="47" spans="1:28" ht="17.100000000000001" customHeight="1">
      <c r="A47" s="606"/>
      <c r="B47" s="1884" t="s">
        <v>872</v>
      </c>
      <c r="C47" s="1885"/>
      <c r="D47" s="1885"/>
      <c r="E47" s="1885"/>
      <c r="F47" s="1885"/>
      <c r="G47" s="1885"/>
      <c r="H47" s="1885"/>
      <c r="I47" s="1885"/>
      <c r="J47" s="1886"/>
      <c r="K47" s="1884" t="s">
        <v>873</v>
      </c>
      <c r="L47" s="1885"/>
      <c r="M47" s="1887"/>
      <c r="N47" s="1885"/>
      <c r="O47" s="1885"/>
      <c r="P47" s="1885"/>
      <c r="Q47" s="1885"/>
      <c r="R47" s="1885"/>
      <c r="S47" s="1886"/>
      <c r="T47" s="1878" t="s">
        <v>951</v>
      </c>
      <c r="U47" s="1879"/>
      <c r="V47" s="1879"/>
      <c r="W47" s="1879"/>
      <c r="X47" s="1879"/>
      <c r="Y47" s="1879"/>
      <c r="Z47" s="1879"/>
      <c r="AA47" s="1880"/>
      <c r="AB47" s="607"/>
    </row>
    <row r="48" spans="1:28">
      <c r="A48" s="606"/>
      <c r="B48" s="1875"/>
      <c r="C48" s="1876"/>
      <c r="D48" s="1876"/>
      <c r="E48" s="1876"/>
      <c r="F48" s="1876"/>
      <c r="G48" s="1876"/>
      <c r="H48" s="1876"/>
      <c r="I48" s="1876"/>
      <c r="J48" s="1877"/>
      <c r="K48" s="974"/>
      <c r="L48" s="488"/>
      <c r="M48" s="1063"/>
      <c r="N48" s="488"/>
      <c r="O48" s="488"/>
      <c r="P48" s="488"/>
      <c r="Q48" s="488"/>
      <c r="R48" s="488"/>
      <c r="S48" s="975"/>
      <c r="T48" s="974"/>
      <c r="U48" s="488"/>
      <c r="V48" s="488"/>
      <c r="W48" s="488"/>
      <c r="X48" s="488"/>
      <c r="Y48" s="488"/>
      <c r="Z48" s="488"/>
      <c r="AA48" s="975"/>
      <c r="AB48" s="607"/>
    </row>
    <row r="49" spans="1:28" ht="9" customHeight="1" thickBot="1">
      <c r="A49" s="686"/>
      <c r="B49" s="687"/>
      <c r="C49" s="687"/>
      <c r="D49" s="687"/>
      <c r="E49" s="687"/>
      <c r="F49" s="687"/>
      <c r="G49" s="687"/>
      <c r="H49" s="687"/>
      <c r="I49" s="687"/>
      <c r="J49" s="687"/>
      <c r="K49" s="687"/>
      <c r="L49" s="687"/>
      <c r="M49" s="1075"/>
      <c r="N49" s="687"/>
      <c r="O49" s="687"/>
      <c r="P49" s="687"/>
      <c r="Q49" s="687"/>
      <c r="R49" s="687"/>
      <c r="S49" s="687"/>
      <c r="T49" s="687"/>
      <c r="U49" s="687"/>
      <c r="V49" s="687"/>
      <c r="W49" s="687"/>
      <c r="X49" s="687"/>
      <c r="Y49" s="687"/>
      <c r="Z49" s="687"/>
      <c r="AA49" s="687"/>
      <c r="AB49" s="688"/>
    </row>
    <row r="50" spans="1:28" ht="15" thickTop="1"/>
  </sheetData>
  <mergeCells count="45">
    <mergeCell ref="K45:M45"/>
    <mergeCell ref="O44:P44"/>
    <mergeCell ref="F44:G44"/>
    <mergeCell ref="C44:D44"/>
    <mergeCell ref="B9:B11"/>
    <mergeCell ref="C9:F9"/>
    <mergeCell ref="G9:J9"/>
    <mergeCell ref="K9:O9"/>
    <mergeCell ref="P9:S9"/>
    <mergeCell ref="C10:E10"/>
    <mergeCell ref="K10:N10"/>
    <mergeCell ref="T10:V10"/>
    <mergeCell ref="T8:AA8"/>
    <mergeCell ref="T9:W9"/>
    <mergeCell ref="X9:AA9"/>
    <mergeCell ref="B48:J48"/>
    <mergeCell ref="T47:AA47"/>
    <mergeCell ref="T44:U44"/>
    <mergeCell ref="W44:X44"/>
    <mergeCell ref="T45:U45"/>
    <mergeCell ref="W45:X45"/>
    <mergeCell ref="B47:J47"/>
    <mergeCell ref="K47:S47"/>
    <mergeCell ref="O45:P45"/>
    <mergeCell ref="F45:G45"/>
    <mergeCell ref="C45:D45"/>
    <mergeCell ref="K44:M44"/>
    <mergeCell ref="C8:J8"/>
    <mergeCell ref="K8:S8"/>
    <mergeCell ref="B7:AA7"/>
    <mergeCell ref="K4:S4"/>
    <mergeCell ref="U5:Z5"/>
    <mergeCell ref="F5:I5"/>
    <mergeCell ref="B5:B6"/>
    <mergeCell ref="C5:C6"/>
    <mergeCell ref="D5:D6"/>
    <mergeCell ref="L5:R5"/>
    <mergeCell ref="M6:R6"/>
    <mergeCell ref="G6:I6"/>
    <mergeCell ref="V6:Z6"/>
    <mergeCell ref="W2:AA2"/>
    <mergeCell ref="H2:V2"/>
    <mergeCell ref="B2:G2"/>
    <mergeCell ref="T4:AA4"/>
    <mergeCell ref="E4:J4"/>
  </mergeCells>
  <dataValidations count="3">
    <dataValidation type="list" allowBlank="1" showInputMessage="1" showErrorMessage="1" sqref="F5" xr:uid="{00000000-0002-0000-0300-000000000000}">
      <formula1>$AE$3:$AE$7</formula1>
    </dataValidation>
    <dataValidation type="list" allowBlank="1" showInputMessage="1" showErrorMessage="1" sqref="U5:Z5" xr:uid="{00000000-0002-0000-0300-000001000000}">
      <formula1>$AG$4:$AG$9</formula1>
    </dataValidation>
    <dataValidation type="list" allowBlank="1" showInputMessage="1" showErrorMessage="1" sqref="L5:R5" xr:uid="{00000000-0002-0000-0300-000002000000}">
      <formula1>$AL$5:$AL$8</formula1>
    </dataValidation>
  </dataValidations>
  <hyperlinks>
    <hyperlink ref="M6" r:id="rId1" xr:uid="{00000000-0004-0000-0300-000000000000}"/>
    <hyperlink ref="V6" r:id="rId2" xr:uid="{00000000-0004-0000-0300-000001000000}"/>
    <hyperlink ref="G6" r:id="rId3" xr:uid="{00000000-0004-0000-0300-000002000000}"/>
  </hyperlinks>
  <printOptions horizontalCentered="1" verticalCentered="1"/>
  <pageMargins left="0.7" right="0.45" top="0.5" bottom="0.5" header="0.3" footer="0.3"/>
  <pageSetup scale="45" orientation="landscape" r:id="rId4"/>
  <ignoredErrors>
    <ignoredError sqref="I12:I42 Z12:AA39 R12:R42 Z40:Z42" formula="1"/>
  </ignoredErrors>
  <drawing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pageSetUpPr fitToPage="1"/>
  </sheetPr>
  <dimension ref="B1:S35"/>
  <sheetViews>
    <sheetView topLeftCell="A2" zoomScale="80" zoomScaleNormal="80" workbookViewId="0">
      <selection activeCell="X26" sqref="X26"/>
    </sheetView>
  </sheetViews>
  <sheetFormatPr baseColWidth="10" defaultColWidth="9.21875" defaultRowHeight="13.2"/>
  <cols>
    <col min="1" max="1" width="0.33203125" style="59" customWidth="1"/>
    <col min="2" max="2" width="25" style="59" bestFit="1" customWidth="1"/>
    <col min="3" max="3" width="10.44140625" style="59" customWidth="1"/>
    <col min="4" max="4" width="11.44140625" style="59" customWidth="1"/>
    <col min="5" max="5" width="10.5546875" style="59" customWidth="1"/>
    <col min="6" max="6" width="9" style="59" customWidth="1"/>
    <col min="7" max="7" width="9.5546875" style="59" customWidth="1"/>
    <col min="8" max="8" width="12" style="59" customWidth="1"/>
    <col min="9" max="9" width="14.21875" style="59" customWidth="1"/>
    <col min="10" max="12" width="12.5546875" style="59" customWidth="1"/>
    <col min="13" max="13" width="8.77734375" style="59" customWidth="1"/>
    <col min="14" max="14" width="5.21875" style="59" hidden="1" customWidth="1"/>
    <col min="15" max="15" width="16.21875" style="59" hidden="1" customWidth="1"/>
    <col min="16" max="17" width="14.88671875" style="59" hidden="1" customWidth="1"/>
    <col min="18" max="18" width="19.21875" style="59" hidden="1" customWidth="1"/>
    <col min="19" max="19" width="9.21875" style="59" hidden="1" customWidth="1"/>
    <col min="20" max="20" width="9.21875" style="59" customWidth="1"/>
    <col min="21" max="21" width="20.77734375" style="59" bestFit="1" customWidth="1"/>
    <col min="22" max="23" width="0" style="59" hidden="1" customWidth="1"/>
    <col min="24" max="24" width="11.77734375" style="59" customWidth="1"/>
    <col min="25" max="25" width="17.77734375" style="59" customWidth="1"/>
    <col min="26" max="243" width="9.21875" style="59"/>
    <col min="244" max="244" width="0.5546875" style="59" customWidth="1"/>
    <col min="245" max="245" width="20.21875" style="59" customWidth="1"/>
    <col min="246" max="248" width="10.5546875" style="59" customWidth="1"/>
    <col min="249" max="249" width="9" style="59" customWidth="1"/>
    <col min="250" max="250" width="9.5546875" style="59" customWidth="1"/>
    <col min="251" max="251" width="12.44140625" style="59" customWidth="1"/>
    <col min="252" max="252" width="12" style="59" customWidth="1"/>
    <col min="253" max="257" width="12.5546875" style="59" customWidth="1"/>
    <col min="258" max="258" width="22.44140625" style="59" bestFit="1" customWidth="1"/>
    <col min="259" max="259" width="7.44140625" style="59" customWidth="1"/>
    <col min="260" max="499" width="9.21875" style="59"/>
    <col min="500" max="500" width="0.5546875" style="59" customWidth="1"/>
    <col min="501" max="501" width="20.21875" style="59" customWidth="1"/>
    <col min="502" max="504" width="10.5546875" style="59" customWidth="1"/>
    <col min="505" max="505" width="9" style="59" customWidth="1"/>
    <col min="506" max="506" width="9.5546875" style="59" customWidth="1"/>
    <col min="507" max="507" width="12.44140625" style="59" customWidth="1"/>
    <col min="508" max="508" width="12" style="59" customWidth="1"/>
    <col min="509" max="513" width="12.5546875" style="59" customWidth="1"/>
    <col min="514" max="514" width="22.44140625" style="59" bestFit="1" customWidth="1"/>
    <col min="515" max="515" width="7.44140625" style="59" customWidth="1"/>
    <col min="516" max="755" width="9.21875" style="59"/>
    <col min="756" max="756" width="0.5546875" style="59" customWidth="1"/>
    <col min="757" max="757" width="20.21875" style="59" customWidth="1"/>
    <col min="758" max="760" width="10.5546875" style="59" customWidth="1"/>
    <col min="761" max="761" width="9" style="59" customWidth="1"/>
    <col min="762" max="762" width="9.5546875" style="59" customWidth="1"/>
    <col min="763" max="763" width="12.44140625" style="59" customWidth="1"/>
    <col min="764" max="764" width="12" style="59" customWidth="1"/>
    <col min="765" max="769" width="12.5546875" style="59" customWidth="1"/>
    <col min="770" max="770" width="22.44140625" style="59" bestFit="1" customWidth="1"/>
    <col min="771" max="771" width="7.44140625" style="59" customWidth="1"/>
    <col min="772" max="1011" width="9.21875" style="59"/>
    <col min="1012" max="1012" width="0.5546875" style="59" customWidth="1"/>
    <col min="1013" max="1013" width="20.21875" style="59" customWidth="1"/>
    <col min="1014" max="1016" width="10.5546875" style="59" customWidth="1"/>
    <col min="1017" max="1017" width="9" style="59" customWidth="1"/>
    <col min="1018" max="1018" width="9.5546875" style="59" customWidth="1"/>
    <col min="1019" max="1019" width="12.44140625" style="59" customWidth="1"/>
    <col min="1020" max="1020" width="12" style="59" customWidth="1"/>
    <col min="1021" max="1025" width="12.5546875" style="59" customWidth="1"/>
    <col min="1026" max="1026" width="22.44140625" style="59" bestFit="1" customWidth="1"/>
    <col min="1027" max="1027" width="7.44140625" style="59" customWidth="1"/>
    <col min="1028" max="1267" width="9.21875" style="59"/>
    <col min="1268" max="1268" width="0.5546875" style="59" customWidth="1"/>
    <col min="1269" max="1269" width="20.21875" style="59" customWidth="1"/>
    <col min="1270" max="1272" width="10.5546875" style="59" customWidth="1"/>
    <col min="1273" max="1273" width="9" style="59" customWidth="1"/>
    <col min="1274" max="1274" width="9.5546875" style="59" customWidth="1"/>
    <col min="1275" max="1275" width="12.44140625" style="59" customWidth="1"/>
    <col min="1276" max="1276" width="12" style="59" customWidth="1"/>
    <col min="1277" max="1281" width="12.5546875" style="59" customWidth="1"/>
    <col min="1282" max="1282" width="22.44140625" style="59" bestFit="1" customWidth="1"/>
    <col min="1283" max="1283" width="7.44140625" style="59" customWidth="1"/>
    <col min="1284" max="1523" width="9.21875" style="59"/>
    <col min="1524" max="1524" width="0.5546875" style="59" customWidth="1"/>
    <col min="1525" max="1525" width="20.21875" style="59" customWidth="1"/>
    <col min="1526" max="1528" width="10.5546875" style="59" customWidth="1"/>
    <col min="1529" max="1529" width="9" style="59" customWidth="1"/>
    <col min="1530" max="1530" width="9.5546875" style="59" customWidth="1"/>
    <col min="1531" max="1531" width="12.44140625" style="59" customWidth="1"/>
    <col min="1532" max="1532" width="12" style="59" customWidth="1"/>
    <col min="1533" max="1537" width="12.5546875" style="59" customWidth="1"/>
    <col min="1538" max="1538" width="22.44140625" style="59" bestFit="1" customWidth="1"/>
    <col min="1539" max="1539" width="7.44140625" style="59" customWidth="1"/>
    <col min="1540" max="1779" width="9.21875" style="59"/>
    <col min="1780" max="1780" width="0.5546875" style="59" customWidth="1"/>
    <col min="1781" max="1781" width="20.21875" style="59" customWidth="1"/>
    <col min="1782" max="1784" width="10.5546875" style="59" customWidth="1"/>
    <col min="1785" max="1785" width="9" style="59" customWidth="1"/>
    <col min="1786" max="1786" width="9.5546875" style="59" customWidth="1"/>
    <col min="1787" max="1787" width="12.44140625" style="59" customWidth="1"/>
    <col min="1788" max="1788" width="12" style="59" customWidth="1"/>
    <col min="1789" max="1793" width="12.5546875" style="59" customWidth="1"/>
    <col min="1794" max="1794" width="22.44140625" style="59" bestFit="1" customWidth="1"/>
    <col min="1795" max="1795" width="7.44140625" style="59" customWidth="1"/>
    <col min="1796" max="2035" width="9.21875" style="59"/>
    <col min="2036" max="2036" width="0.5546875" style="59" customWidth="1"/>
    <col min="2037" max="2037" width="20.21875" style="59" customWidth="1"/>
    <col min="2038" max="2040" width="10.5546875" style="59" customWidth="1"/>
    <col min="2041" max="2041" width="9" style="59" customWidth="1"/>
    <col min="2042" max="2042" width="9.5546875" style="59" customWidth="1"/>
    <col min="2043" max="2043" width="12.44140625" style="59" customWidth="1"/>
    <col min="2044" max="2044" width="12" style="59" customWidth="1"/>
    <col min="2045" max="2049" width="12.5546875" style="59" customWidth="1"/>
    <col min="2050" max="2050" width="22.44140625" style="59" bestFit="1" customWidth="1"/>
    <col min="2051" max="2051" width="7.44140625" style="59" customWidth="1"/>
    <col min="2052" max="2291" width="9.21875" style="59"/>
    <col min="2292" max="2292" width="0.5546875" style="59" customWidth="1"/>
    <col min="2293" max="2293" width="20.21875" style="59" customWidth="1"/>
    <col min="2294" max="2296" width="10.5546875" style="59" customWidth="1"/>
    <col min="2297" max="2297" width="9" style="59" customWidth="1"/>
    <col min="2298" max="2298" width="9.5546875" style="59" customWidth="1"/>
    <col min="2299" max="2299" width="12.44140625" style="59" customWidth="1"/>
    <col min="2300" max="2300" width="12" style="59" customWidth="1"/>
    <col min="2301" max="2305" width="12.5546875" style="59" customWidth="1"/>
    <col min="2306" max="2306" width="22.44140625" style="59" bestFit="1" customWidth="1"/>
    <col min="2307" max="2307" width="7.44140625" style="59" customWidth="1"/>
    <col min="2308" max="2547" width="9.21875" style="59"/>
    <col min="2548" max="2548" width="0.5546875" style="59" customWidth="1"/>
    <col min="2549" max="2549" width="20.21875" style="59" customWidth="1"/>
    <col min="2550" max="2552" width="10.5546875" style="59" customWidth="1"/>
    <col min="2553" max="2553" width="9" style="59" customWidth="1"/>
    <col min="2554" max="2554" width="9.5546875" style="59" customWidth="1"/>
    <col min="2555" max="2555" width="12.44140625" style="59" customWidth="1"/>
    <col min="2556" max="2556" width="12" style="59" customWidth="1"/>
    <col min="2557" max="2561" width="12.5546875" style="59" customWidth="1"/>
    <col min="2562" max="2562" width="22.44140625" style="59" bestFit="1" customWidth="1"/>
    <col min="2563" max="2563" width="7.44140625" style="59" customWidth="1"/>
    <col min="2564" max="2803" width="9.21875" style="59"/>
    <col min="2804" max="2804" width="0.5546875" style="59" customWidth="1"/>
    <col min="2805" max="2805" width="20.21875" style="59" customWidth="1"/>
    <col min="2806" max="2808" width="10.5546875" style="59" customWidth="1"/>
    <col min="2809" max="2809" width="9" style="59" customWidth="1"/>
    <col min="2810" max="2810" width="9.5546875" style="59" customWidth="1"/>
    <col min="2811" max="2811" width="12.44140625" style="59" customWidth="1"/>
    <col min="2812" max="2812" width="12" style="59" customWidth="1"/>
    <col min="2813" max="2817" width="12.5546875" style="59" customWidth="1"/>
    <col min="2818" max="2818" width="22.44140625" style="59" bestFit="1" customWidth="1"/>
    <col min="2819" max="2819" width="7.44140625" style="59" customWidth="1"/>
    <col min="2820" max="3059" width="9.21875" style="59"/>
    <col min="3060" max="3060" width="0.5546875" style="59" customWidth="1"/>
    <col min="3061" max="3061" width="20.21875" style="59" customWidth="1"/>
    <col min="3062" max="3064" width="10.5546875" style="59" customWidth="1"/>
    <col min="3065" max="3065" width="9" style="59" customWidth="1"/>
    <col min="3066" max="3066" width="9.5546875" style="59" customWidth="1"/>
    <col min="3067" max="3067" width="12.44140625" style="59" customWidth="1"/>
    <col min="3068" max="3068" width="12" style="59" customWidth="1"/>
    <col min="3069" max="3073" width="12.5546875" style="59" customWidth="1"/>
    <col min="3074" max="3074" width="22.44140625" style="59" bestFit="1" customWidth="1"/>
    <col min="3075" max="3075" width="7.44140625" style="59" customWidth="1"/>
    <col min="3076" max="3315" width="9.21875" style="59"/>
    <col min="3316" max="3316" width="0.5546875" style="59" customWidth="1"/>
    <col min="3317" max="3317" width="20.21875" style="59" customWidth="1"/>
    <col min="3318" max="3320" width="10.5546875" style="59" customWidth="1"/>
    <col min="3321" max="3321" width="9" style="59" customWidth="1"/>
    <col min="3322" max="3322" width="9.5546875" style="59" customWidth="1"/>
    <col min="3323" max="3323" width="12.44140625" style="59" customWidth="1"/>
    <col min="3324" max="3324" width="12" style="59" customWidth="1"/>
    <col min="3325" max="3329" width="12.5546875" style="59" customWidth="1"/>
    <col min="3330" max="3330" width="22.44140625" style="59" bestFit="1" customWidth="1"/>
    <col min="3331" max="3331" width="7.44140625" style="59" customWidth="1"/>
    <col min="3332" max="3571" width="9.21875" style="59"/>
    <col min="3572" max="3572" width="0.5546875" style="59" customWidth="1"/>
    <col min="3573" max="3573" width="20.21875" style="59" customWidth="1"/>
    <col min="3574" max="3576" width="10.5546875" style="59" customWidth="1"/>
    <col min="3577" max="3577" width="9" style="59" customWidth="1"/>
    <col min="3578" max="3578" width="9.5546875" style="59" customWidth="1"/>
    <col min="3579" max="3579" width="12.44140625" style="59" customWidth="1"/>
    <col min="3580" max="3580" width="12" style="59" customWidth="1"/>
    <col min="3581" max="3585" width="12.5546875" style="59" customWidth="1"/>
    <col min="3586" max="3586" width="22.44140625" style="59" bestFit="1" customWidth="1"/>
    <col min="3587" max="3587" width="7.44140625" style="59" customWidth="1"/>
    <col min="3588" max="3827" width="9.21875" style="59"/>
    <col min="3828" max="3828" width="0.5546875" style="59" customWidth="1"/>
    <col min="3829" max="3829" width="20.21875" style="59" customWidth="1"/>
    <col min="3830" max="3832" width="10.5546875" style="59" customWidth="1"/>
    <col min="3833" max="3833" width="9" style="59" customWidth="1"/>
    <col min="3834" max="3834" width="9.5546875" style="59" customWidth="1"/>
    <col min="3835" max="3835" width="12.44140625" style="59" customWidth="1"/>
    <col min="3836" max="3836" width="12" style="59" customWidth="1"/>
    <col min="3837" max="3841" width="12.5546875" style="59" customWidth="1"/>
    <col min="3842" max="3842" width="22.44140625" style="59" bestFit="1" customWidth="1"/>
    <col min="3843" max="3843" width="7.44140625" style="59" customWidth="1"/>
    <col min="3844" max="4083" width="9.21875" style="59"/>
    <col min="4084" max="4084" width="0.5546875" style="59" customWidth="1"/>
    <col min="4085" max="4085" width="20.21875" style="59" customWidth="1"/>
    <col min="4086" max="4088" width="10.5546875" style="59" customWidth="1"/>
    <col min="4089" max="4089" width="9" style="59" customWidth="1"/>
    <col min="4090" max="4090" width="9.5546875" style="59" customWidth="1"/>
    <col min="4091" max="4091" width="12.44140625" style="59" customWidth="1"/>
    <col min="4092" max="4092" width="12" style="59" customWidth="1"/>
    <col min="4093" max="4097" width="12.5546875" style="59" customWidth="1"/>
    <col min="4098" max="4098" width="22.44140625" style="59" bestFit="1" customWidth="1"/>
    <col min="4099" max="4099" width="7.44140625" style="59" customWidth="1"/>
    <col min="4100" max="4339" width="9.21875" style="59"/>
    <col min="4340" max="4340" width="0.5546875" style="59" customWidth="1"/>
    <col min="4341" max="4341" width="20.21875" style="59" customWidth="1"/>
    <col min="4342" max="4344" width="10.5546875" style="59" customWidth="1"/>
    <col min="4345" max="4345" width="9" style="59" customWidth="1"/>
    <col min="4346" max="4346" width="9.5546875" style="59" customWidth="1"/>
    <col min="4347" max="4347" width="12.44140625" style="59" customWidth="1"/>
    <col min="4348" max="4348" width="12" style="59" customWidth="1"/>
    <col min="4349" max="4353" width="12.5546875" style="59" customWidth="1"/>
    <col min="4354" max="4354" width="22.44140625" style="59" bestFit="1" customWidth="1"/>
    <col min="4355" max="4355" width="7.44140625" style="59" customWidth="1"/>
    <col min="4356" max="4595" width="9.21875" style="59"/>
    <col min="4596" max="4596" width="0.5546875" style="59" customWidth="1"/>
    <col min="4597" max="4597" width="20.21875" style="59" customWidth="1"/>
    <col min="4598" max="4600" width="10.5546875" style="59" customWidth="1"/>
    <col min="4601" max="4601" width="9" style="59" customWidth="1"/>
    <col min="4602" max="4602" width="9.5546875" style="59" customWidth="1"/>
    <col min="4603" max="4603" width="12.44140625" style="59" customWidth="1"/>
    <col min="4604" max="4604" width="12" style="59" customWidth="1"/>
    <col min="4605" max="4609" width="12.5546875" style="59" customWidth="1"/>
    <col min="4610" max="4610" width="22.44140625" style="59" bestFit="1" customWidth="1"/>
    <col min="4611" max="4611" width="7.44140625" style="59" customWidth="1"/>
    <col min="4612" max="4851" width="9.21875" style="59"/>
    <col min="4852" max="4852" width="0.5546875" style="59" customWidth="1"/>
    <col min="4853" max="4853" width="20.21875" style="59" customWidth="1"/>
    <col min="4854" max="4856" width="10.5546875" style="59" customWidth="1"/>
    <col min="4857" max="4857" width="9" style="59" customWidth="1"/>
    <col min="4858" max="4858" width="9.5546875" style="59" customWidth="1"/>
    <col min="4859" max="4859" width="12.44140625" style="59" customWidth="1"/>
    <col min="4860" max="4860" width="12" style="59" customWidth="1"/>
    <col min="4861" max="4865" width="12.5546875" style="59" customWidth="1"/>
    <col min="4866" max="4866" width="22.44140625" style="59" bestFit="1" customWidth="1"/>
    <col min="4867" max="4867" width="7.44140625" style="59" customWidth="1"/>
    <col min="4868" max="5107" width="9.21875" style="59"/>
    <col min="5108" max="5108" width="0.5546875" style="59" customWidth="1"/>
    <col min="5109" max="5109" width="20.21875" style="59" customWidth="1"/>
    <col min="5110" max="5112" width="10.5546875" style="59" customWidth="1"/>
    <col min="5113" max="5113" width="9" style="59" customWidth="1"/>
    <col min="5114" max="5114" width="9.5546875" style="59" customWidth="1"/>
    <col min="5115" max="5115" width="12.44140625" style="59" customWidth="1"/>
    <col min="5116" max="5116" width="12" style="59" customWidth="1"/>
    <col min="5117" max="5121" width="12.5546875" style="59" customWidth="1"/>
    <col min="5122" max="5122" width="22.44140625" style="59" bestFit="1" customWidth="1"/>
    <col min="5123" max="5123" width="7.44140625" style="59" customWidth="1"/>
    <col min="5124" max="5363" width="9.21875" style="59"/>
    <col min="5364" max="5364" width="0.5546875" style="59" customWidth="1"/>
    <col min="5365" max="5365" width="20.21875" style="59" customWidth="1"/>
    <col min="5366" max="5368" width="10.5546875" style="59" customWidth="1"/>
    <col min="5369" max="5369" width="9" style="59" customWidth="1"/>
    <col min="5370" max="5370" width="9.5546875" style="59" customWidth="1"/>
    <col min="5371" max="5371" width="12.44140625" style="59" customWidth="1"/>
    <col min="5372" max="5372" width="12" style="59" customWidth="1"/>
    <col min="5373" max="5377" width="12.5546875" style="59" customWidth="1"/>
    <col min="5378" max="5378" width="22.44140625" style="59" bestFit="1" customWidth="1"/>
    <col min="5379" max="5379" width="7.44140625" style="59" customWidth="1"/>
    <col min="5380" max="5619" width="9.21875" style="59"/>
    <col min="5620" max="5620" width="0.5546875" style="59" customWidth="1"/>
    <col min="5621" max="5621" width="20.21875" style="59" customWidth="1"/>
    <col min="5622" max="5624" width="10.5546875" style="59" customWidth="1"/>
    <col min="5625" max="5625" width="9" style="59" customWidth="1"/>
    <col min="5626" max="5626" width="9.5546875" style="59" customWidth="1"/>
    <col min="5627" max="5627" width="12.44140625" style="59" customWidth="1"/>
    <col min="5628" max="5628" width="12" style="59" customWidth="1"/>
    <col min="5629" max="5633" width="12.5546875" style="59" customWidth="1"/>
    <col min="5634" max="5634" width="22.44140625" style="59" bestFit="1" customWidth="1"/>
    <col min="5635" max="5635" width="7.44140625" style="59" customWidth="1"/>
    <col min="5636" max="5875" width="9.21875" style="59"/>
    <col min="5876" max="5876" width="0.5546875" style="59" customWidth="1"/>
    <col min="5877" max="5877" width="20.21875" style="59" customWidth="1"/>
    <col min="5878" max="5880" width="10.5546875" style="59" customWidth="1"/>
    <col min="5881" max="5881" width="9" style="59" customWidth="1"/>
    <col min="5882" max="5882" width="9.5546875" style="59" customWidth="1"/>
    <col min="5883" max="5883" width="12.44140625" style="59" customWidth="1"/>
    <col min="5884" max="5884" width="12" style="59" customWidth="1"/>
    <col min="5885" max="5889" width="12.5546875" style="59" customWidth="1"/>
    <col min="5890" max="5890" width="22.44140625" style="59" bestFit="1" customWidth="1"/>
    <col min="5891" max="5891" width="7.44140625" style="59" customWidth="1"/>
    <col min="5892" max="6131" width="9.21875" style="59"/>
    <col min="6132" max="6132" width="0.5546875" style="59" customWidth="1"/>
    <col min="6133" max="6133" width="20.21875" style="59" customWidth="1"/>
    <col min="6134" max="6136" width="10.5546875" style="59" customWidth="1"/>
    <col min="6137" max="6137" width="9" style="59" customWidth="1"/>
    <col min="6138" max="6138" width="9.5546875" style="59" customWidth="1"/>
    <col min="6139" max="6139" width="12.44140625" style="59" customWidth="1"/>
    <col min="6140" max="6140" width="12" style="59" customWidth="1"/>
    <col min="6141" max="6145" width="12.5546875" style="59" customWidth="1"/>
    <col min="6146" max="6146" width="22.44140625" style="59" bestFit="1" customWidth="1"/>
    <col min="6147" max="6147" width="7.44140625" style="59" customWidth="1"/>
    <col min="6148" max="6387" width="9.21875" style="59"/>
    <col min="6388" max="6388" width="0.5546875" style="59" customWidth="1"/>
    <col min="6389" max="6389" width="20.21875" style="59" customWidth="1"/>
    <col min="6390" max="6392" width="10.5546875" style="59" customWidth="1"/>
    <col min="6393" max="6393" width="9" style="59" customWidth="1"/>
    <col min="6394" max="6394" width="9.5546875" style="59" customWidth="1"/>
    <col min="6395" max="6395" width="12.44140625" style="59" customWidth="1"/>
    <col min="6396" max="6396" width="12" style="59" customWidth="1"/>
    <col min="6397" max="6401" width="12.5546875" style="59" customWidth="1"/>
    <col min="6402" max="6402" width="22.44140625" style="59" bestFit="1" customWidth="1"/>
    <col min="6403" max="6403" width="7.44140625" style="59" customWidth="1"/>
    <col min="6404" max="6643" width="9.21875" style="59"/>
    <col min="6644" max="6644" width="0.5546875" style="59" customWidth="1"/>
    <col min="6645" max="6645" width="20.21875" style="59" customWidth="1"/>
    <col min="6646" max="6648" width="10.5546875" style="59" customWidth="1"/>
    <col min="6649" max="6649" width="9" style="59" customWidth="1"/>
    <col min="6650" max="6650" width="9.5546875" style="59" customWidth="1"/>
    <col min="6651" max="6651" width="12.44140625" style="59" customWidth="1"/>
    <col min="6652" max="6652" width="12" style="59" customWidth="1"/>
    <col min="6653" max="6657" width="12.5546875" style="59" customWidth="1"/>
    <col min="6658" max="6658" width="22.44140625" style="59" bestFit="1" customWidth="1"/>
    <col min="6659" max="6659" width="7.44140625" style="59" customWidth="1"/>
    <col min="6660" max="6899" width="9.21875" style="59"/>
    <col min="6900" max="6900" width="0.5546875" style="59" customWidth="1"/>
    <col min="6901" max="6901" width="20.21875" style="59" customWidth="1"/>
    <col min="6902" max="6904" width="10.5546875" style="59" customWidth="1"/>
    <col min="6905" max="6905" width="9" style="59" customWidth="1"/>
    <col min="6906" max="6906" width="9.5546875" style="59" customWidth="1"/>
    <col min="6907" max="6907" width="12.44140625" style="59" customWidth="1"/>
    <col min="6908" max="6908" width="12" style="59" customWidth="1"/>
    <col min="6909" max="6913" width="12.5546875" style="59" customWidth="1"/>
    <col min="6914" max="6914" width="22.44140625" style="59" bestFit="1" customWidth="1"/>
    <col min="6915" max="6915" width="7.44140625" style="59" customWidth="1"/>
    <col min="6916" max="7155" width="9.21875" style="59"/>
    <col min="7156" max="7156" width="0.5546875" style="59" customWidth="1"/>
    <col min="7157" max="7157" width="20.21875" style="59" customWidth="1"/>
    <col min="7158" max="7160" width="10.5546875" style="59" customWidth="1"/>
    <col min="7161" max="7161" width="9" style="59" customWidth="1"/>
    <col min="7162" max="7162" width="9.5546875" style="59" customWidth="1"/>
    <col min="7163" max="7163" width="12.44140625" style="59" customWidth="1"/>
    <col min="7164" max="7164" width="12" style="59" customWidth="1"/>
    <col min="7165" max="7169" width="12.5546875" style="59" customWidth="1"/>
    <col min="7170" max="7170" width="22.44140625" style="59" bestFit="1" customWidth="1"/>
    <col min="7171" max="7171" width="7.44140625" style="59" customWidth="1"/>
    <col min="7172" max="7411" width="9.21875" style="59"/>
    <col min="7412" max="7412" width="0.5546875" style="59" customWidth="1"/>
    <col min="7413" max="7413" width="20.21875" style="59" customWidth="1"/>
    <col min="7414" max="7416" width="10.5546875" style="59" customWidth="1"/>
    <col min="7417" max="7417" width="9" style="59" customWidth="1"/>
    <col min="7418" max="7418" width="9.5546875" style="59" customWidth="1"/>
    <col min="7419" max="7419" width="12.44140625" style="59" customWidth="1"/>
    <col min="7420" max="7420" width="12" style="59" customWidth="1"/>
    <col min="7421" max="7425" width="12.5546875" style="59" customWidth="1"/>
    <col min="7426" max="7426" width="22.44140625" style="59" bestFit="1" customWidth="1"/>
    <col min="7427" max="7427" width="7.44140625" style="59" customWidth="1"/>
    <col min="7428" max="7667" width="9.21875" style="59"/>
    <col min="7668" max="7668" width="0.5546875" style="59" customWidth="1"/>
    <col min="7669" max="7669" width="20.21875" style="59" customWidth="1"/>
    <col min="7670" max="7672" width="10.5546875" style="59" customWidth="1"/>
    <col min="7673" max="7673" width="9" style="59" customWidth="1"/>
    <col min="7674" max="7674" width="9.5546875" style="59" customWidth="1"/>
    <col min="7675" max="7675" width="12.44140625" style="59" customWidth="1"/>
    <col min="7676" max="7676" width="12" style="59" customWidth="1"/>
    <col min="7677" max="7681" width="12.5546875" style="59" customWidth="1"/>
    <col min="7682" max="7682" width="22.44140625" style="59" bestFit="1" customWidth="1"/>
    <col min="7683" max="7683" width="7.44140625" style="59" customWidth="1"/>
    <col min="7684" max="7923" width="9.21875" style="59"/>
    <col min="7924" max="7924" width="0.5546875" style="59" customWidth="1"/>
    <col min="7925" max="7925" width="20.21875" style="59" customWidth="1"/>
    <col min="7926" max="7928" width="10.5546875" style="59" customWidth="1"/>
    <col min="7929" max="7929" width="9" style="59" customWidth="1"/>
    <col min="7930" max="7930" width="9.5546875" style="59" customWidth="1"/>
    <col min="7931" max="7931" width="12.44140625" style="59" customWidth="1"/>
    <col min="7932" max="7932" width="12" style="59" customWidth="1"/>
    <col min="7933" max="7937" width="12.5546875" style="59" customWidth="1"/>
    <col min="7938" max="7938" width="22.44140625" style="59" bestFit="1" customWidth="1"/>
    <col min="7939" max="7939" width="7.44140625" style="59" customWidth="1"/>
    <col min="7940" max="8179" width="9.21875" style="59"/>
    <col min="8180" max="8180" width="0.5546875" style="59" customWidth="1"/>
    <col min="8181" max="8181" width="20.21875" style="59" customWidth="1"/>
    <col min="8182" max="8184" width="10.5546875" style="59" customWidth="1"/>
    <col min="8185" max="8185" width="9" style="59" customWidth="1"/>
    <col min="8186" max="8186" width="9.5546875" style="59" customWidth="1"/>
    <col min="8187" max="8187" width="12.44140625" style="59" customWidth="1"/>
    <col min="8188" max="8188" width="12" style="59" customWidth="1"/>
    <col min="8189" max="8193" width="12.5546875" style="59" customWidth="1"/>
    <col min="8194" max="8194" width="22.44140625" style="59" bestFit="1" customWidth="1"/>
    <col min="8195" max="8195" width="7.44140625" style="59" customWidth="1"/>
    <col min="8196" max="8435" width="9.21875" style="59"/>
    <col min="8436" max="8436" width="0.5546875" style="59" customWidth="1"/>
    <col min="8437" max="8437" width="20.21875" style="59" customWidth="1"/>
    <col min="8438" max="8440" width="10.5546875" style="59" customWidth="1"/>
    <col min="8441" max="8441" width="9" style="59" customWidth="1"/>
    <col min="8442" max="8442" width="9.5546875" style="59" customWidth="1"/>
    <col min="8443" max="8443" width="12.44140625" style="59" customWidth="1"/>
    <col min="8444" max="8444" width="12" style="59" customWidth="1"/>
    <col min="8445" max="8449" width="12.5546875" style="59" customWidth="1"/>
    <col min="8450" max="8450" width="22.44140625" style="59" bestFit="1" customWidth="1"/>
    <col min="8451" max="8451" width="7.44140625" style="59" customWidth="1"/>
    <col min="8452" max="8691" width="9.21875" style="59"/>
    <col min="8692" max="8692" width="0.5546875" style="59" customWidth="1"/>
    <col min="8693" max="8693" width="20.21875" style="59" customWidth="1"/>
    <col min="8694" max="8696" width="10.5546875" style="59" customWidth="1"/>
    <col min="8697" max="8697" width="9" style="59" customWidth="1"/>
    <col min="8698" max="8698" width="9.5546875" style="59" customWidth="1"/>
    <col min="8699" max="8699" width="12.44140625" style="59" customWidth="1"/>
    <col min="8700" max="8700" width="12" style="59" customWidth="1"/>
    <col min="8701" max="8705" width="12.5546875" style="59" customWidth="1"/>
    <col min="8706" max="8706" width="22.44140625" style="59" bestFit="1" customWidth="1"/>
    <col min="8707" max="8707" width="7.44140625" style="59" customWidth="1"/>
    <col min="8708" max="8947" width="9.21875" style="59"/>
    <col min="8948" max="8948" width="0.5546875" style="59" customWidth="1"/>
    <col min="8949" max="8949" width="20.21875" style="59" customWidth="1"/>
    <col min="8950" max="8952" width="10.5546875" style="59" customWidth="1"/>
    <col min="8953" max="8953" width="9" style="59" customWidth="1"/>
    <col min="8954" max="8954" width="9.5546875" style="59" customWidth="1"/>
    <col min="8955" max="8955" width="12.44140625" style="59" customWidth="1"/>
    <col min="8956" max="8956" width="12" style="59" customWidth="1"/>
    <col min="8957" max="8961" width="12.5546875" style="59" customWidth="1"/>
    <col min="8962" max="8962" width="22.44140625" style="59" bestFit="1" customWidth="1"/>
    <col min="8963" max="8963" width="7.44140625" style="59" customWidth="1"/>
    <col min="8964" max="9203" width="9.21875" style="59"/>
    <col min="9204" max="9204" width="0.5546875" style="59" customWidth="1"/>
    <col min="9205" max="9205" width="20.21875" style="59" customWidth="1"/>
    <col min="9206" max="9208" width="10.5546875" style="59" customWidth="1"/>
    <col min="9209" max="9209" width="9" style="59" customWidth="1"/>
    <col min="9210" max="9210" width="9.5546875" style="59" customWidth="1"/>
    <col min="9211" max="9211" width="12.44140625" style="59" customWidth="1"/>
    <col min="9212" max="9212" width="12" style="59" customWidth="1"/>
    <col min="9213" max="9217" width="12.5546875" style="59" customWidth="1"/>
    <col min="9218" max="9218" width="22.44140625" style="59" bestFit="1" customWidth="1"/>
    <col min="9219" max="9219" width="7.44140625" style="59" customWidth="1"/>
    <col min="9220" max="9459" width="9.21875" style="59"/>
    <col min="9460" max="9460" width="0.5546875" style="59" customWidth="1"/>
    <col min="9461" max="9461" width="20.21875" style="59" customWidth="1"/>
    <col min="9462" max="9464" width="10.5546875" style="59" customWidth="1"/>
    <col min="9465" max="9465" width="9" style="59" customWidth="1"/>
    <col min="9466" max="9466" width="9.5546875" style="59" customWidth="1"/>
    <col min="9467" max="9467" width="12.44140625" style="59" customWidth="1"/>
    <col min="9468" max="9468" width="12" style="59" customWidth="1"/>
    <col min="9469" max="9473" width="12.5546875" style="59" customWidth="1"/>
    <col min="9474" max="9474" width="22.44140625" style="59" bestFit="1" customWidth="1"/>
    <col min="9475" max="9475" width="7.44140625" style="59" customWidth="1"/>
    <col min="9476" max="9715" width="9.21875" style="59"/>
    <col min="9716" max="9716" width="0.5546875" style="59" customWidth="1"/>
    <col min="9717" max="9717" width="20.21875" style="59" customWidth="1"/>
    <col min="9718" max="9720" width="10.5546875" style="59" customWidth="1"/>
    <col min="9721" max="9721" width="9" style="59" customWidth="1"/>
    <col min="9722" max="9722" width="9.5546875" style="59" customWidth="1"/>
    <col min="9723" max="9723" width="12.44140625" style="59" customWidth="1"/>
    <col min="9724" max="9724" width="12" style="59" customWidth="1"/>
    <col min="9725" max="9729" width="12.5546875" style="59" customWidth="1"/>
    <col min="9730" max="9730" width="22.44140625" style="59" bestFit="1" customWidth="1"/>
    <col min="9731" max="9731" width="7.44140625" style="59" customWidth="1"/>
    <col min="9732" max="9971" width="9.21875" style="59"/>
    <col min="9972" max="9972" width="0.5546875" style="59" customWidth="1"/>
    <col min="9973" max="9973" width="20.21875" style="59" customWidth="1"/>
    <col min="9974" max="9976" width="10.5546875" style="59" customWidth="1"/>
    <col min="9977" max="9977" width="9" style="59" customWidth="1"/>
    <col min="9978" max="9978" width="9.5546875" style="59" customWidth="1"/>
    <col min="9979" max="9979" width="12.44140625" style="59" customWidth="1"/>
    <col min="9980" max="9980" width="12" style="59" customWidth="1"/>
    <col min="9981" max="9985" width="12.5546875" style="59" customWidth="1"/>
    <col min="9986" max="9986" width="22.44140625" style="59" bestFit="1" customWidth="1"/>
    <col min="9987" max="9987" width="7.44140625" style="59" customWidth="1"/>
    <col min="9988" max="10227" width="9.21875" style="59"/>
    <col min="10228" max="10228" width="0.5546875" style="59" customWidth="1"/>
    <col min="10229" max="10229" width="20.21875" style="59" customWidth="1"/>
    <col min="10230" max="10232" width="10.5546875" style="59" customWidth="1"/>
    <col min="10233" max="10233" width="9" style="59" customWidth="1"/>
    <col min="10234" max="10234" width="9.5546875" style="59" customWidth="1"/>
    <col min="10235" max="10235" width="12.44140625" style="59" customWidth="1"/>
    <col min="10236" max="10236" width="12" style="59" customWidth="1"/>
    <col min="10237" max="10241" width="12.5546875" style="59" customWidth="1"/>
    <col min="10242" max="10242" width="22.44140625" style="59" bestFit="1" customWidth="1"/>
    <col min="10243" max="10243" width="7.44140625" style="59" customWidth="1"/>
    <col min="10244" max="10483" width="9.21875" style="59"/>
    <col min="10484" max="10484" width="0.5546875" style="59" customWidth="1"/>
    <col min="10485" max="10485" width="20.21875" style="59" customWidth="1"/>
    <col min="10486" max="10488" width="10.5546875" style="59" customWidth="1"/>
    <col min="10489" max="10489" width="9" style="59" customWidth="1"/>
    <col min="10490" max="10490" width="9.5546875" style="59" customWidth="1"/>
    <col min="10491" max="10491" width="12.44140625" style="59" customWidth="1"/>
    <col min="10492" max="10492" width="12" style="59" customWidth="1"/>
    <col min="10493" max="10497" width="12.5546875" style="59" customWidth="1"/>
    <col min="10498" max="10498" width="22.44140625" style="59" bestFit="1" customWidth="1"/>
    <col min="10499" max="10499" width="7.44140625" style="59" customWidth="1"/>
    <col min="10500" max="10739" width="9.21875" style="59"/>
    <col min="10740" max="10740" width="0.5546875" style="59" customWidth="1"/>
    <col min="10741" max="10741" width="20.21875" style="59" customWidth="1"/>
    <col min="10742" max="10744" width="10.5546875" style="59" customWidth="1"/>
    <col min="10745" max="10745" width="9" style="59" customWidth="1"/>
    <col min="10746" max="10746" width="9.5546875" style="59" customWidth="1"/>
    <col min="10747" max="10747" width="12.44140625" style="59" customWidth="1"/>
    <col min="10748" max="10748" width="12" style="59" customWidth="1"/>
    <col min="10749" max="10753" width="12.5546875" style="59" customWidth="1"/>
    <col min="10754" max="10754" width="22.44140625" style="59" bestFit="1" customWidth="1"/>
    <col min="10755" max="10755" width="7.44140625" style="59" customWidth="1"/>
    <col min="10756" max="10995" width="9.21875" style="59"/>
    <col min="10996" max="10996" width="0.5546875" style="59" customWidth="1"/>
    <col min="10997" max="10997" width="20.21875" style="59" customWidth="1"/>
    <col min="10998" max="11000" width="10.5546875" style="59" customWidth="1"/>
    <col min="11001" max="11001" width="9" style="59" customWidth="1"/>
    <col min="11002" max="11002" width="9.5546875" style="59" customWidth="1"/>
    <col min="11003" max="11003" width="12.44140625" style="59" customWidth="1"/>
    <col min="11004" max="11004" width="12" style="59" customWidth="1"/>
    <col min="11005" max="11009" width="12.5546875" style="59" customWidth="1"/>
    <col min="11010" max="11010" width="22.44140625" style="59" bestFit="1" customWidth="1"/>
    <col min="11011" max="11011" width="7.44140625" style="59" customWidth="1"/>
    <col min="11012" max="11251" width="9.21875" style="59"/>
    <col min="11252" max="11252" width="0.5546875" style="59" customWidth="1"/>
    <col min="11253" max="11253" width="20.21875" style="59" customWidth="1"/>
    <col min="11254" max="11256" width="10.5546875" style="59" customWidth="1"/>
    <col min="11257" max="11257" width="9" style="59" customWidth="1"/>
    <col min="11258" max="11258" width="9.5546875" style="59" customWidth="1"/>
    <col min="11259" max="11259" width="12.44140625" style="59" customWidth="1"/>
    <col min="11260" max="11260" width="12" style="59" customWidth="1"/>
    <col min="11261" max="11265" width="12.5546875" style="59" customWidth="1"/>
    <col min="11266" max="11266" width="22.44140625" style="59" bestFit="1" customWidth="1"/>
    <col min="11267" max="11267" width="7.44140625" style="59" customWidth="1"/>
    <col min="11268" max="11507" width="9.21875" style="59"/>
    <col min="11508" max="11508" width="0.5546875" style="59" customWidth="1"/>
    <col min="11509" max="11509" width="20.21875" style="59" customWidth="1"/>
    <col min="11510" max="11512" width="10.5546875" style="59" customWidth="1"/>
    <col min="11513" max="11513" width="9" style="59" customWidth="1"/>
    <col min="11514" max="11514" width="9.5546875" style="59" customWidth="1"/>
    <col min="11515" max="11515" width="12.44140625" style="59" customWidth="1"/>
    <col min="11516" max="11516" width="12" style="59" customWidth="1"/>
    <col min="11517" max="11521" width="12.5546875" style="59" customWidth="1"/>
    <col min="11522" max="11522" width="22.44140625" style="59" bestFit="1" customWidth="1"/>
    <col min="11523" max="11523" width="7.44140625" style="59" customWidth="1"/>
    <col min="11524" max="11763" width="9.21875" style="59"/>
    <col min="11764" max="11764" width="0.5546875" style="59" customWidth="1"/>
    <col min="11765" max="11765" width="20.21875" style="59" customWidth="1"/>
    <col min="11766" max="11768" width="10.5546875" style="59" customWidth="1"/>
    <col min="11769" max="11769" width="9" style="59" customWidth="1"/>
    <col min="11770" max="11770" width="9.5546875" style="59" customWidth="1"/>
    <col min="11771" max="11771" width="12.44140625" style="59" customWidth="1"/>
    <col min="11772" max="11772" width="12" style="59" customWidth="1"/>
    <col min="11773" max="11777" width="12.5546875" style="59" customWidth="1"/>
    <col min="11778" max="11778" width="22.44140625" style="59" bestFit="1" customWidth="1"/>
    <col min="11779" max="11779" width="7.44140625" style="59" customWidth="1"/>
    <col min="11780" max="12019" width="9.21875" style="59"/>
    <col min="12020" max="12020" width="0.5546875" style="59" customWidth="1"/>
    <col min="12021" max="12021" width="20.21875" style="59" customWidth="1"/>
    <col min="12022" max="12024" width="10.5546875" style="59" customWidth="1"/>
    <col min="12025" max="12025" width="9" style="59" customWidth="1"/>
    <col min="12026" max="12026" width="9.5546875" style="59" customWidth="1"/>
    <col min="12027" max="12027" width="12.44140625" style="59" customWidth="1"/>
    <col min="12028" max="12028" width="12" style="59" customWidth="1"/>
    <col min="12029" max="12033" width="12.5546875" style="59" customWidth="1"/>
    <col min="12034" max="12034" width="22.44140625" style="59" bestFit="1" customWidth="1"/>
    <col min="12035" max="12035" width="7.44140625" style="59" customWidth="1"/>
    <col min="12036" max="12275" width="9.21875" style="59"/>
    <col min="12276" max="12276" width="0.5546875" style="59" customWidth="1"/>
    <col min="12277" max="12277" width="20.21875" style="59" customWidth="1"/>
    <col min="12278" max="12280" width="10.5546875" style="59" customWidth="1"/>
    <col min="12281" max="12281" width="9" style="59" customWidth="1"/>
    <col min="12282" max="12282" width="9.5546875" style="59" customWidth="1"/>
    <col min="12283" max="12283" width="12.44140625" style="59" customWidth="1"/>
    <col min="12284" max="12284" width="12" style="59" customWidth="1"/>
    <col min="12285" max="12289" width="12.5546875" style="59" customWidth="1"/>
    <col min="12290" max="12290" width="22.44140625" style="59" bestFit="1" customWidth="1"/>
    <col min="12291" max="12291" width="7.44140625" style="59" customWidth="1"/>
    <col min="12292" max="12531" width="9.21875" style="59"/>
    <col min="12532" max="12532" width="0.5546875" style="59" customWidth="1"/>
    <col min="12533" max="12533" width="20.21875" style="59" customWidth="1"/>
    <col min="12534" max="12536" width="10.5546875" style="59" customWidth="1"/>
    <col min="12537" max="12537" width="9" style="59" customWidth="1"/>
    <col min="12538" max="12538" width="9.5546875" style="59" customWidth="1"/>
    <col min="12539" max="12539" width="12.44140625" style="59" customWidth="1"/>
    <col min="12540" max="12540" width="12" style="59" customWidth="1"/>
    <col min="12541" max="12545" width="12.5546875" style="59" customWidth="1"/>
    <col min="12546" max="12546" width="22.44140625" style="59" bestFit="1" customWidth="1"/>
    <col min="12547" max="12547" width="7.44140625" style="59" customWidth="1"/>
    <col min="12548" max="12787" width="9.21875" style="59"/>
    <col min="12788" max="12788" width="0.5546875" style="59" customWidth="1"/>
    <col min="12789" max="12789" width="20.21875" style="59" customWidth="1"/>
    <col min="12790" max="12792" width="10.5546875" style="59" customWidth="1"/>
    <col min="12793" max="12793" width="9" style="59" customWidth="1"/>
    <col min="12794" max="12794" width="9.5546875" style="59" customWidth="1"/>
    <col min="12795" max="12795" width="12.44140625" style="59" customWidth="1"/>
    <col min="12796" max="12796" width="12" style="59" customWidth="1"/>
    <col min="12797" max="12801" width="12.5546875" style="59" customWidth="1"/>
    <col min="12802" max="12802" width="22.44140625" style="59" bestFit="1" customWidth="1"/>
    <col min="12803" max="12803" width="7.44140625" style="59" customWidth="1"/>
    <col min="12804" max="13043" width="9.21875" style="59"/>
    <col min="13044" max="13044" width="0.5546875" style="59" customWidth="1"/>
    <col min="13045" max="13045" width="20.21875" style="59" customWidth="1"/>
    <col min="13046" max="13048" width="10.5546875" style="59" customWidth="1"/>
    <col min="13049" max="13049" width="9" style="59" customWidth="1"/>
    <col min="13050" max="13050" width="9.5546875" style="59" customWidth="1"/>
    <col min="13051" max="13051" width="12.44140625" style="59" customWidth="1"/>
    <col min="13052" max="13052" width="12" style="59" customWidth="1"/>
    <col min="13053" max="13057" width="12.5546875" style="59" customWidth="1"/>
    <col min="13058" max="13058" width="22.44140625" style="59" bestFit="1" customWidth="1"/>
    <col min="13059" max="13059" width="7.44140625" style="59" customWidth="1"/>
    <col min="13060" max="13299" width="9.21875" style="59"/>
    <col min="13300" max="13300" width="0.5546875" style="59" customWidth="1"/>
    <col min="13301" max="13301" width="20.21875" style="59" customWidth="1"/>
    <col min="13302" max="13304" width="10.5546875" style="59" customWidth="1"/>
    <col min="13305" max="13305" width="9" style="59" customWidth="1"/>
    <col min="13306" max="13306" width="9.5546875" style="59" customWidth="1"/>
    <col min="13307" max="13307" width="12.44140625" style="59" customWidth="1"/>
    <col min="13308" max="13308" width="12" style="59" customWidth="1"/>
    <col min="13309" max="13313" width="12.5546875" style="59" customWidth="1"/>
    <col min="13314" max="13314" width="22.44140625" style="59" bestFit="1" customWidth="1"/>
    <col min="13315" max="13315" width="7.44140625" style="59" customWidth="1"/>
    <col min="13316" max="13555" width="9.21875" style="59"/>
    <col min="13556" max="13556" width="0.5546875" style="59" customWidth="1"/>
    <col min="13557" max="13557" width="20.21875" style="59" customWidth="1"/>
    <col min="13558" max="13560" width="10.5546875" style="59" customWidth="1"/>
    <col min="13561" max="13561" width="9" style="59" customWidth="1"/>
    <col min="13562" max="13562" width="9.5546875" style="59" customWidth="1"/>
    <col min="13563" max="13563" width="12.44140625" style="59" customWidth="1"/>
    <col min="13564" max="13564" width="12" style="59" customWidth="1"/>
    <col min="13565" max="13569" width="12.5546875" style="59" customWidth="1"/>
    <col min="13570" max="13570" width="22.44140625" style="59" bestFit="1" customWidth="1"/>
    <col min="13571" max="13571" width="7.44140625" style="59" customWidth="1"/>
    <col min="13572" max="13811" width="9.21875" style="59"/>
    <col min="13812" max="13812" width="0.5546875" style="59" customWidth="1"/>
    <col min="13813" max="13813" width="20.21875" style="59" customWidth="1"/>
    <col min="13814" max="13816" width="10.5546875" style="59" customWidth="1"/>
    <col min="13817" max="13817" width="9" style="59" customWidth="1"/>
    <col min="13818" max="13818" width="9.5546875" style="59" customWidth="1"/>
    <col min="13819" max="13819" width="12.44140625" style="59" customWidth="1"/>
    <col min="13820" max="13820" width="12" style="59" customWidth="1"/>
    <col min="13821" max="13825" width="12.5546875" style="59" customWidth="1"/>
    <col min="13826" max="13826" width="22.44140625" style="59" bestFit="1" customWidth="1"/>
    <col min="13827" max="13827" width="7.44140625" style="59" customWidth="1"/>
    <col min="13828" max="14067" width="9.21875" style="59"/>
    <col min="14068" max="14068" width="0.5546875" style="59" customWidth="1"/>
    <col min="14069" max="14069" width="20.21875" style="59" customWidth="1"/>
    <col min="14070" max="14072" width="10.5546875" style="59" customWidth="1"/>
    <col min="14073" max="14073" width="9" style="59" customWidth="1"/>
    <col min="14074" max="14074" width="9.5546875" style="59" customWidth="1"/>
    <col min="14075" max="14075" width="12.44140625" style="59" customWidth="1"/>
    <col min="14076" max="14076" width="12" style="59" customWidth="1"/>
    <col min="14077" max="14081" width="12.5546875" style="59" customWidth="1"/>
    <col min="14082" max="14082" width="22.44140625" style="59" bestFit="1" customWidth="1"/>
    <col min="14083" max="14083" width="7.44140625" style="59" customWidth="1"/>
    <col min="14084" max="14323" width="9.21875" style="59"/>
    <col min="14324" max="14324" width="0.5546875" style="59" customWidth="1"/>
    <col min="14325" max="14325" width="20.21875" style="59" customWidth="1"/>
    <col min="14326" max="14328" width="10.5546875" style="59" customWidth="1"/>
    <col min="14329" max="14329" width="9" style="59" customWidth="1"/>
    <col min="14330" max="14330" width="9.5546875" style="59" customWidth="1"/>
    <col min="14331" max="14331" width="12.44140625" style="59" customWidth="1"/>
    <col min="14332" max="14332" width="12" style="59" customWidth="1"/>
    <col min="14333" max="14337" width="12.5546875" style="59" customWidth="1"/>
    <col min="14338" max="14338" width="22.44140625" style="59" bestFit="1" customWidth="1"/>
    <col min="14339" max="14339" width="7.44140625" style="59" customWidth="1"/>
    <col min="14340" max="14579" width="9.21875" style="59"/>
    <col min="14580" max="14580" width="0.5546875" style="59" customWidth="1"/>
    <col min="14581" max="14581" width="20.21875" style="59" customWidth="1"/>
    <col min="14582" max="14584" width="10.5546875" style="59" customWidth="1"/>
    <col min="14585" max="14585" width="9" style="59" customWidth="1"/>
    <col min="14586" max="14586" width="9.5546875" style="59" customWidth="1"/>
    <col min="14587" max="14587" width="12.44140625" style="59" customWidth="1"/>
    <col min="14588" max="14588" width="12" style="59" customWidth="1"/>
    <col min="14589" max="14593" width="12.5546875" style="59" customWidth="1"/>
    <col min="14594" max="14594" width="22.44140625" style="59" bestFit="1" customWidth="1"/>
    <col min="14595" max="14595" width="7.44140625" style="59" customWidth="1"/>
    <col min="14596" max="14835" width="9.21875" style="59"/>
    <col min="14836" max="14836" width="0.5546875" style="59" customWidth="1"/>
    <col min="14837" max="14837" width="20.21875" style="59" customWidth="1"/>
    <col min="14838" max="14840" width="10.5546875" style="59" customWidth="1"/>
    <col min="14841" max="14841" width="9" style="59" customWidth="1"/>
    <col min="14842" max="14842" width="9.5546875" style="59" customWidth="1"/>
    <col min="14843" max="14843" width="12.44140625" style="59" customWidth="1"/>
    <col min="14844" max="14844" width="12" style="59" customWidth="1"/>
    <col min="14845" max="14849" width="12.5546875" style="59" customWidth="1"/>
    <col min="14850" max="14850" width="22.44140625" style="59" bestFit="1" customWidth="1"/>
    <col min="14851" max="14851" width="7.44140625" style="59" customWidth="1"/>
    <col min="14852" max="15091" width="9.21875" style="59"/>
    <col min="15092" max="15092" width="0.5546875" style="59" customWidth="1"/>
    <col min="15093" max="15093" width="20.21875" style="59" customWidth="1"/>
    <col min="15094" max="15096" width="10.5546875" style="59" customWidth="1"/>
    <col min="15097" max="15097" width="9" style="59" customWidth="1"/>
    <col min="15098" max="15098" width="9.5546875" style="59" customWidth="1"/>
    <col min="15099" max="15099" width="12.44140625" style="59" customWidth="1"/>
    <col min="15100" max="15100" width="12" style="59" customWidth="1"/>
    <col min="15101" max="15105" width="12.5546875" style="59" customWidth="1"/>
    <col min="15106" max="15106" width="22.44140625" style="59" bestFit="1" customWidth="1"/>
    <col min="15107" max="15107" width="7.44140625" style="59" customWidth="1"/>
    <col min="15108" max="15347" width="9.21875" style="59"/>
    <col min="15348" max="15348" width="0.5546875" style="59" customWidth="1"/>
    <col min="15349" max="15349" width="20.21875" style="59" customWidth="1"/>
    <col min="15350" max="15352" width="10.5546875" style="59" customWidth="1"/>
    <col min="15353" max="15353" width="9" style="59" customWidth="1"/>
    <col min="15354" max="15354" width="9.5546875" style="59" customWidth="1"/>
    <col min="15355" max="15355" width="12.44140625" style="59" customWidth="1"/>
    <col min="15356" max="15356" width="12" style="59" customWidth="1"/>
    <col min="15357" max="15361" width="12.5546875" style="59" customWidth="1"/>
    <col min="15362" max="15362" width="22.44140625" style="59" bestFit="1" customWidth="1"/>
    <col min="15363" max="15363" width="7.44140625" style="59" customWidth="1"/>
    <col min="15364" max="15603" width="9.21875" style="59"/>
    <col min="15604" max="15604" width="0.5546875" style="59" customWidth="1"/>
    <col min="15605" max="15605" width="20.21875" style="59" customWidth="1"/>
    <col min="15606" max="15608" width="10.5546875" style="59" customWidth="1"/>
    <col min="15609" max="15609" width="9" style="59" customWidth="1"/>
    <col min="15610" max="15610" width="9.5546875" style="59" customWidth="1"/>
    <col min="15611" max="15611" width="12.44140625" style="59" customWidth="1"/>
    <col min="15612" max="15612" width="12" style="59" customWidth="1"/>
    <col min="15613" max="15617" width="12.5546875" style="59" customWidth="1"/>
    <col min="15618" max="15618" width="22.44140625" style="59" bestFit="1" customWidth="1"/>
    <col min="15619" max="15619" width="7.44140625" style="59" customWidth="1"/>
    <col min="15620" max="15859" width="9.21875" style="59"/>
    <col min="15860" max="15860" width="0.5546875" style="59" customWidth="1"/>
    <col min="15861" max="15861" width="20.21875" style="59" customWidth="1"/>
    <col min="15862" max="15864" width="10.5546875" style="59" customWidth="1"/>
    <col min="15865" max="15865" width="9" style="59" customWidth="1"/>
    <col min="15866" max="15866" width="9.5546875" style="59" customWidth="1"/>
    <col min="15867" max="15867" width="12.44140625" style="59" customWidth="1"/>
    <col min="15868" max="15868" width="12" style="59" customWidth="1"/>
    <col min="15869" max="15873" width="12.5546875" style="59" customWidth="1"/>
    <col min="15874" max="15874" width="22.44140625" style="59" bestFit="1" customWidth="1"/>
    <col min="15875" max="15875" width="7.44140625" style="59" customWidth="1"/>
    <col min="15876" max="16115" width="9.21875" style="59"/>
    <col min="16116" max="16116" width="0.5546875" style="59" customWidth="1"/>
    <col min="16117" max="16117" width="20.21875" style="59" customWidth="1"/>
    <col min="16118" max="16120" width="10.5546875" style="59" customWidth="1"/>
    <col min="16121" max="16121" width="9" style="59" customWidth="1"/>
    <col min="16122" max="16122" width="9.5546875" style="59" customWidth="1"/>
    <col min="16123" max="16123" width="12.44140625" style="59" customWidth="1"/>
    <col min="16124" max="16124" width="12" style="59" customWidth="1"/>
    <col min="16125" max="16129" width="12.5546875" style="59" customWidth="1"/>
    <col min="16130" max="16130" width="22.44140625" style="59" bestFit="1" customWidth="1"/>
    <col min="16131" max="16131" width="7.44140625" style="59" customWidth="1"/>
    <col min="16132" max="16384" width="9.21875" style="59"/>
  </cols>
  <sheetData>
    <row r="1" spans="2:14" ht="15" customHeight="1">
      <c r="B1" s="1918"/>
      <c r="C1" s="1919"/>
      <c r="D1" s="1919"/>
      <c r="E1" s="1919"/>
      <c r="F1" s="1919"/>
      <c r="G1" s="1919"/>
      <c r="H1" s="1919"/>
      <c r="I1" s="1919"/>
      <c r="J1" s="1919"/>
      <c r="K1" s="1919"/>
      <c r="L1" s="1920"/>
    </row>
    <row r="2" spans="2:14" ht="15" customHeight="1">
      <c r="B2" s="1918" t="s">
        <v>70</v>
      </c>
      <c r="C2" s="1919"/>
      <c r="D2" s="1919"/>
      <c r="E2" s="1919"/>
      <c r="F2" s="1919"/>
      <c r="G2" s="1919"/>
      <c r="H2" s="1919"/>
      <c r="I2" s="1919"/>
      <c r="J2" s="1919"/>
      <c r="K2" s="1919"/>
      <c r="L2" s="1920"/>
      <c r="M2"/>
    </row>
    <row r="3" spans="2:14" ht="15" customHeight="1">
      <c r="B3" s="1918" t="s">
        <v>71</v>
      </c>
      <c r="C3" s="1919"/>
      <c r="D3" s="1919"/>
      <c r="E3" s="1919"/>
      <c r="F3" s="1919"/>
      <c r="G3" s="1919"/>
      <c r="H3" s="1919"/>
      <c r="I3" s="1919"/>
      <c r="J3" s="1919"/>
      <c r="K3" s="1919"/>
      <c r="L3" s="1920"/>
    </row>
    <row r="4" spans="2:14" ht="15" customHeight="1" thickBot="1">
      <c r="B4" s="1597"/>
      <c r="C4" s="1598"/>
      <c r="D4" s="1599"/>
      <c r="E4" s="1599"/>
      <c r="F4" s="1600"/>
      <c r="G4" s="1739" t="str">
        <f>TEXT($I$4,"MMM")</f>
        <v>jun</v>
      </c>
      <c r="H4" s="1601" t="s">
        <v>1476</v>
      </c>
      <c r="I4" s="1921">
        <f>INICIO!C8</f>
        <v>45081</v>
      </c>
      <c r="J4" s="1921"/>
      <c r="K4" s="1922"/>
      <c r="L4" s="1923"/>
    </row>
    <row r="5" spans="2:14" ht="33" customHeight="1" thickBot="1">
      <c r="B5" s="1582" t="s">
        <v>190</v>
      </c>
      <c r="C5" s="1731" t="s">
        <v>172</v>
      </c>
      <c r="D5" s="1731" t="s">
        <v>173</v>
      </c>
      <c r="E5" s="1731" t="s">
        <v>174</v>
      </c>
      <c r="F5" s="1732" t="s">
        <v>1475</v>
      </c>
      <c r="G5" s="1733" t="s">
        <v>72</v>
      </c>
      <c r="H5" s="1570"/>
      <c r="I5" s="1542"/>
      <c r="J5" s="1543"/>
      <c r="K5" s="1543"/>
      <c r="L5" s="1566"/>
    </row>
    <row r="6" spans="2:14" ht="13.5" customHeight="1">
      <c r="B6" s="1578" t="s">
        <v>1245</v>
      </c>
      <c r="C6" s="1579">
        <f ca="1">VLOOKUP($I$4,DATOSAÑO!$B$11:$AR$375,8)</f>
        <v>298</v>
      </c>
      <c r="D6" s="1579">
        <f ca="1">VLOOKUP($G$4,DATOSAÑO!B376:BP387,8,)</f>
        <v>1176</v>
      </c>
      <c r="E6" s="1579">
        <f ca="1">DATOSAÑO!I388</f>
        <v>40148.839999999967</v>
      </c>
      <c r="F6" s="1580">
        <f ca="1">VLOOKUP($G$4,MESAÑO,4,)+VLOOKUP($G$4,MESAÑO,7,)</f>
        <v>96</v>
      </c>
      <c r="G6" s="1581">
        <f ca="1">(24*DAY($I$4)-F6)</f>
        <v>0</v>
      </c>
      <c r="H6" s="1571"/>
      <c r="I6" s="1548"/>
      <c r="J6" s="1543"/>
      <c r="K6" s="1543"/>
      <c r="L6" s="1566"/>
      <c r="N6" s="696" t="s">
        <v>176</v>
      </c>
    </row>
    <row r="7" spans="2:14" ht="13.5" customHeight="1">
      <c r="B7" s="1544" t="s">
        <v>1246</v>
      </c>
      <c r="C7" s="1545">
        <f ca="1">VLOOKUP($I$4,DATOSAÑO!$B$11:$AR$375,15)</f>
        <v>150</v>
      </c>
      <c r="D7" s="1545">
        <f ca="1">VLOOKUP($G$4,DATOSAÑO!B376:BP387,15,)</f>
        <v>596</v>
      </c>
      <c r="E7" s="1545">
        <f ca="1">DATOSAÑO!P388</f>
        <v>27383</v>
      </c>
      <c r="F7" s="1546">
        <f ca="1">VLOOKUP($G$4,MESAÑO,11,)+VLOOKUP($G$4,MESAÑO,14,)</f>
        <v>96</v>
      </c>
      <c r="G7" s="1576">
        <f ca="1">(24*DAY($I$4)-F7)</f>
        <v>0</v>
      </c>
      <c r="H7" s="1571"/>
      <c r="I7" s="1548"/>
      <c r="J7" s="1543"/>
      <c r="K7" s="1543"/>
      <c r="L7" s="1566"/>
      <c r="N7" s="696" t="s">
        <v>177</v>
      </c>
    </row>
    <row r="8" spans="2:14" ht="13.5" customHeight="1">
      <c r="B8" s="1544" t="s">
        <v>1247</v>
      </c>
      <c r="C8" s="1545">
        <f ca="1">VLOOKUP($I$4,DATOSAÑO!$B$11:$AR$375,16)</f>
        <v>0</v>
      </c>
      <c r="D8" s="1545">
        <f ca="1">VLOOKUP($G$4,DATOSAÑO!B376:BP387,16,)</f>
        <v>0</v>
      </c>
      <c r="E8" s="1545">
        <f ca="1">DATOSAÑO!Q388</f>
        <v>10.298000000000002</v>
      </c>
      <c r="F8" s="1546">
        <f ca="1">VLOOKUP($G$4,MESAÑO,18,)</f>
        <v>0</v>
      </c>
      <c r="G8" s="1576">
        <f ca="1">(24*DAY($I$4)-F8)</f>
        <v>96</v>
      </c>
      <c r="H8" s="1571"/>
      <c r="I8" s="1548"/>
      <c r="J8" s="1543"/>
      <c r="K8" s="1543"/>
      <c r="L8" s="1566"/>
      <c r="N8" s="696" t="s">
        <v>178</v>
      </c>
    </row>
    <row r="9" spans="2:14" ht="14.4" thickBot="1">
      <c r="B9" s="1544" t="s">
        <v>1248</v>
      </c>
      <c r="C9" s="1545">
        <f ca="1">VLOOKUP($I$4,DATOSAÑO!$B$11:$AR$375,19)</f>
        <v>0</v>
      </c>
      <c r="D9" s="1545">
        <f ca="1">VLOOKUP($G$4,DATOSAÑO!B376:BP387,19,)</f>
        <v>0</v>
      </c>
      <c r="E9" s="1545">
        <f ca="1">DATOSAÑO!T388</f>
        <v>36.376999999999953</v>
      </c>
      <c r="F9" s="1546">
        <f ca="1">VLOOKUP($G$4,MESAÑO,21,)</f>
        <v>0</v>
      </c>
      <c r="G9" s="1576">
        <f ca="1">(24*DAY($I$4)-F9)</f>
        <v>96</v>
      </c>
      <c r="H9" s="1571"/>
      <c r="I9" s="1548"/>
      <c r="J9" s="1543"/>
      <c r="K9" s="1543"/>
      <c r="L9" s="1566"/>
      <c r="N9" s="696" t="s">
        <v>179</v>
      </c>
    </row>
    <row r="10" spans="2:14" ht="13.8" hidden="1">
      <c r="B10" s="1583" t="s">
        <v>1472</v>
      </c>
      <c r="C10" s="1584">
        <f ca="1">VLOOKUP($I$4,DATOSAÑO!$B$11:$AR$375,22)</f>
        <v>448</v>
      </c>
      <c r="D10" s="1584" t="e">
        <f>VLOOKUP($I$4,DATOSAÑO!$B$11:$AR$375,62)</f>
        <v>#REF!</v>
      </c>
      <c r="E10" s="1584" t="e">
        <f>VLOOKUP($I$4,DATOSAÑO!$B$11:$AR$375,65)</f>
        <v>#REF!</v>
      </c>
      <c r="F10" s="1585" t="e">
        <f>VLOOKUP($I$4,DATOSAÑO!$B$11:$AR$375,64)</f>
        <v>#REF!</v>
      </c>
      <c r="G10" s="1586" t="e">
        <f>(24*DAY($I$4)-F10)</f>
        <v>#REF!</v>
      </c>
      <c r="H10" s="1572"/>
      <c r="I10" s="1549"/>
      <c r="J10" s="1543"/>
      <c r="K10" s="1543"/>
      <c r="L10" s="1566"/>
      <c r="N10" s="696" t="s">
        <v>180</v>
      </c>
    </row>
    <row r="11" spans="2:14" ht="14.4" thickBot="1">
      <c r="B11" s="1587" t="s">
        <v>208</v>
      </c>
      <c r="C11" s="1588"/>
      <c r="D11" s="1588"/>
      <c r="E11" s="1588"/>
      <c r="F11" s="1589"/>
      <c r="G11" s="1590"/>
      <c r="H11" s="1550"/>
      <c r="I11" s="1551"/>
      <c r="J11" s="1543"/>
      <c r="K11" s="1543"/>
      <c r="L11" s="1566"/>
      <c r="N11" s="696" t="s">
        <v>182</v>
      </c>
    </row>
    <row r="12" spans="2:14" ht="13.5" customHeight="1">
      <c r="B12" s="1578" t="s">
        <v>1231</v>
      </c>
      <c r="C12" s="1579">
        <f ca="1">VLOOKUP($I$4,DATOSAÑO!$B$11:$AN$375,29)</f>
        <v>164</v>
      </c>
      <c r="D12" s="1579">
        <f ca="1">VLOOKUP($G$4,MESAÑO,29,)</f>
        <v>664</v>
      </c>
      <c r="E12" s="1579">
        <f ca="1">DATOSAÑO!$AD$388</f>
        <v>24684.250000000047</v>
      </c>
      <c r="F12" s="1580">
        <f ca="1">VLOOKUP($G$4,MESAÑO,30,)</f>
        <v>96</v>
      </c>
      <c r="G12" s="1581">
        <f ca="1">(24*DAY($I$4)-F12)</f>
        <v>0</v>
      </c>
      <c r="H12" s="1571"/>
      <c r="I12" s="1547"/>
      <c r="J12" s="1543"/>
      <c r="K12" s="1543"/>
      <c r="L12" s="1566"/>
      <c r="N12" s="696" t="s">
        <v>183</v>
      </c>
    </row>
    <row r="13" spans="2:14" ht="13.5" customHeight="1">
      <c r="B13" s="1544" t="s">
        <v>206</v>
      </c>
      <c r="C13" s="1545">
        <f ca="1">VLOOKUP($I$4,DATOSAÑO!$B$11:$AR$375,31)</f>
        <v>152</v>
      </c>
      <c r="D13" s="1545">
        <f ca="1">VLOOKUP($G$4,MESAÑO,31,)</f>
        <v>589</v>
      </c>
      <c r="E13" s="1545">
        <f ca="1">DATOSAÑO!$AF$388</f>
        <v>22269</v>
      </c>
      <c r="F13" s="1546">
        <f ca="1">VLOOKUP($G$4,MESAÑO,32,)</f>
        <v>96</v>
      </c>
      <c r="G13" s="1576">
        <f ca="1">(24*DAY($I$4)-F13)</f>
        <v>0</v>
      </c>
      <c r="H13" s="1571"/>
      <c r="I13" s="1548"/>
      <c r="J13" s="1543"/>
      <c r="K13" s="1543"/>
      <c r="L13" s="1566"/>
      <c r="N13" s="696" t="s">
        <v>184</v>
      </c>
    </row>
    <row r="14" spans="2:14" ht="13.5" customHeight="1">
      <c r="B14" s="1544" t="s">
        <v>1225</v>
      </c>
      <c r="C14" s="1545">
        <f ca="1">VLOOKUP($I$4,DATOSAÑO!$B$11:$CF$375,70)</f>
        <v>2</v>
      </c>
      <c r="D14" s="1545">
        <f ca="1">VLOOKUP($G$4,MESAÑO,70,)</f>
        <v>8.9</v>
      </c>
      <c r="E14" s="1545">
        <f ca="1">DATOSAÑO!$BS$388</f>
        <v>211</v>
      </c>
      <c r="F14" s="1546">
        <f ca="1">VLOOKUP($G$4,MESAÑO,72,)</f>
        <v>95.200000000000728</v>
      </c>
      <c r="G14" s="1576">
        <f ca="1">(24*DAY($I$4)-F14)</f>
        <v>0.7999999999992724</v>
      </c>
      <c r="H14" s="1571"/>
      <c r="I14" s="1552"/>
      <c r="J14" s="1543"/>
      <c r="K14" s="1543"/>
      <c r="L14" s="1566"/>
      <c r="N14" s="696"/>
    </row>
    <row r="15" spans="2:14" ht="13.5" customHeight="1">
      <c r="B15" s="1544" t="s">
        <v>1226</v>
      </c>
      <c r="C15" s="1545">
        <f ca="1">VLOOKUP($I$4,DATOSAÑO!$B$11:$CF$375,73)</f>
        <v>5.0609999999999999</v>
      </c>
      <c r="D15" s="1545">
        <f ca="1">VLOOKUP($G$4,MESAÑO,73,)</f>
        <v>18.643999999999998</v>
      </c>
      <c r="E15" s="1545">
        <f ca="1">DATOSAÑO!$BV$388</f>
        <v>466.92700000000002</v>
      </c>
      <c r="F15" s="1546">
        <f ca="1">VLOOKUP($G$4,MESAÑO,75,)</f>
        <v>95.599999999998545</v>
      </c>
      <c r="G15" s="1576">
        <f ca="1">(24*DAY($I$4)-F15)</f>
        <v>0.40000000000145519</v>
      </c>
      <c r="H15" s="1571"/>
      <c r="I15" s="1552"/>
      <c r="J15" s="1543"/>
      <c r="K15" s="1543"/>
      <c r="L15" s="1566"/>
      <c r="N15" s="696"/>
    </row>
    <row r="16" spans="2:14" ht="13.5" customHeight="1">
      <c r="B16" s="1544" t="s">
        <v>1227</v>
      </c>
      <c r="C16" s="1545">
        <f ca="1">VLOOKUP($I$4,DATOSAÑO!$B$11:$CF$375,76)</f>
        <v>0</v>
      </c>
      <c r="D16" s="1545">
        <f ca="1">VLOOKUP($G$4,MESAÑO,76,)</f>
        <v>0</v>
      </c>
      <c r="E16" s="1545">
        <f ca="1">DATOSAÑO!$BY$388</f>
        <v>508.50799999999998</v>
      </c>
      <c r="F16" s="1546">
        <f ca="1">VLOOKUP($G$4,MESAÑO,78,)</f>
        <v>0</v>
      </c>
      <c r="G16" s="1576">
        <f ca="1">(24*DAY($I$4)-F16)</f>
        <v>96</v>
      </c>
      <c r="H16" s="1571"/>
      <c r="I16" s="1548"/>
      <c r="J16" s="1543"/>
      <c r="K16" s="1543"/>
      <c r="L16" s="1566"/>
      <c r="N16" s="696"/>
    </row>
    <row r="17" spans="2:18" ht="13.5" customHeight="1">
      <c r="B17" s="1544" t="s">
        <v>1237</v>
      </c>
      <c r="C17" s="1545">
        <f ca="1">VLOOKUP($I$4,DATOSAÑO!$B$11:$CO$375,89)</f>
        <v>3.3578000000001094</v>
      </c>
      <c r="D17" s="1545">
        <f ca="1">VLOOKUP($G$4,MESAÑO,89,)</f>
        <v>13.063200000000151</v>
      </c>
      <c r="E17" s="1545">
        <f ca="1">DATOSAÑO!$CL$388</f>
        <v>407.26140000000038</v>
      </c>
      <c r="F17" s="1602"/>
      <c r="G17" s="1603"/>
      <c r="H17" s="1573"/>
      <c r="I17" s="1553"/>
      <c r="J17" s="1543"/>
      <c r="K17" s="1543"/>
      <c r="L17" s="1566"/>
      <c r="N17" s="696"/>
    </row>
    <row r="18" spans="2:18" ht="13.5" customHeight="1">
      <c r="B18" s="1544" t="s">
        <v>1234</v>
      </c>
      <c r="C18" s="1545">
        <f ca="1">VLOOKUP($I$4,DATOSAÑO!$B$11:$CL$375,83)</f>
        <v>12.119499999999864</v>
      </c>
      <c r="D18" s="1545">
        <f ca="1">VLOOKUP($G$4,MESAÑO,83,)</f>
        <v>1606.6219999999987</v>
      </c>
      <c r="E18" s="1545">
        <f ca="1">DATOSAÑO!$CF$388</f>
        <v>3327.7665000000043</v>
      </c>
      <c r="F18" s="1602"/>
      <c r="G18" s="1603"/>
      <c r="H18" s="1573"/>
      <c r="I18" s="1553"/>
      <c r="J18" s="1543"/>
      <c r="K18" s="1543"/>
      <c r="L18" s="1566"/>
      <c r="N18" s="696"/>
    </row>
    <row r="19" spans="2:18" ht="13.5" customHeight="1">
      <c r="B19" s="1554" t="s">
        <v>1489</v>
      </c>
      <c r="C19" s="1545">
        <f ca="1">VLOOKUP($I$4,DATOSAÑO!$B$11:$AR$375,33)</f>
        <v>10.69999999999709</v>
      </c>
      <c r="D19" s="1545">
        <f ca="1">VLOOKUP($G$4,MESAÑO,33,)</f>
        <v>42.799999999997453</v>
      </c>
      <c r="E19" s="1545">
        <f ca="1">DATOSAÑO!$AH$388</f>
        <v>1599.6999999999971</v>
      </c>
      <c r="F19" s="1602"/>
      <c r="G19" s="1603"/>
      <c r="H19" s="1574"/>
      <c r="I19" s="1555"/>
      <c r="J19" s="1543"/>
      <c r="K19" s="1543"/>
      <c r="L19" s="1566"/>
      <c r="N19" s="696" t="s">
        <v>185</v>
      </c>
    </row>
    <row r="20" spans="2:18" ht="13.5" customHeight="1">
      <c r="B20" s="1554" t="s">
        <v>1490</v>
      </c>
      <c r="C20" s="1545">
        <f ca="1">VLOOKUP($I$4,DATOSAÑO!$B$11:$AR$375,34)</f>
        <v>37.30000000000291</v>
      </c>
      <c r="D20" s="1545">
        <f ca="1">VLOOKUP($G$4,MESAÑO,34,)</f>
        <v>144.59999999999127</v>
      </c>
      <c r="E20" s="1545">
        <f ca="1">DATOSAÑO!$AI388</f>
        <v>6009.9800000000032</v>
      </c>
      <c r="F20" s="1602"/>
      <c r="G20" s="1603"/>
      <c r="H20" s="1575"/>
      <c r="I20" s="1556"/>
      <c r="J20" s="1543"/>
      <c r="K20" s="1543"/>
      <c r="L20" s="1566"/>
      <c r="N20" s="696" t="s">
        <v>186</v>
      </c>
    </row>
    <row r="21" spans="2:18" ht="13.5" customHeight="1">
      <c r="B21" s="1554" t="s">
        <v>1495</v>
      </c>
      <c r="C21" s="1545">
        <f ca="1">VLOOKUP($I$4,DATOSAÑO!$B$11:$AR$375,35)</f>
        <v>7.5</v>
      </c>
      <c r="D21" s="1545">
        <f ca="1">VLOOKUP($G$4,MESAÑO,35,)</f>
        <v>24.100000000005821</v>
      </c>
      <c r="E21" s="1545">
        <f ca="1">DATOSAÑO!$AJ$388</f>
        <v>1184.1399999999994</v>
      </c>
      <c r="F21" s="1602"/>
      <c r="G21" s="1603"/>
      <c r="H21" s="1575"/>
      <c r="I21" s="1556"/>
      <c r="J21" s="1543"/>
      <c r="K21" s="1543"/>
      <c r="L21" s="1566"/>
      <c r="N21" s="696" t="s">
        <v>187</v>
      </c>
    </row>
    <row r="22" spans="2:18" ht="13.5" customHeight="1">
      <c r="B22" s="1554" t="s">
        <v>1491</v>
      </c>
      <c r="C22" s="1545">
        <f ca="1">VLOOKUP($I$4,DATOSAÑO!$B$11:$AR$375,36)</f>
        <v>12.899999999994179</v>
      </c>
      <c r="D22" s="1545">
        <f ca="1">VLOOKUP($G$4,MESAÑO,36,)</f>
        <v>51.899999999994179</v>
      </c>
      <c r="E22" s="1545">
        <f ca="1">DATOSAÑO!$AK$388</f>
        <v>2207.3399999999965</v>
      </c>
      <c r="F22" s="1602"/>
      <c r="G22" s="1603"/>
      <c r="H22" s="1575"/>
      <c r="I22" s="1556" t="s">
        <v>1213</v>
      </c>
      <c r="J22" s="1543"/>
      <c r="K22" s="1543"/>
      <c r="L22" s="1566"/>
      <c r="N22" s="696" t="s">
        <v>188</v>
      </c>
    </row>
    <row r="23" spans="2:18" ht="13.5" customHeight="1">
      <c r="B23" s="1554" t="s">
        <v>1492</v>
      </c>
      <c r="C23" s="1545">
        <f ca="1">VLOOKUP($I$4,DATOSAÑO!$B$11:$AR$375,37)</f>
        <v>32.600000000005878</v>
      </c>
      <c r="D23" s="1545">
        <f ca="1">VLOOKUP($G$4,MESAÑO,37,)</f>
        <v>-686.20899999998642</v>
      </c>
      <c r="E23" s="1545">
        <f ca="1">DATOSAÑO!$AL$388</f>
        <v>4441.7959999999148</v>
      </c>
      <c r="F23" s="1602"/>
      <c r="G23" s="1603"/>
      <c r="H23" s="1575"/>
      <c r="I23" s="1556"/>
      <c r="J23" s="1543"/>
      <c r="K23" s="1543"/>
      <c r="L23" s="1566"/>
      <c r="P23" s="60" t="s">
        <v>1357</v>
      </c>
      <c r="Q23" s="60" t="s">
        <v>1358</v>
      </c>
      <c r="R23" s="60" t="s">
        <v>1361</v>
      </c>
    </row>
    <row r="24" spans="2:18" ht="13.5" customHeight="1">
      <c r="B24" s="1554" t="s">
        <v>1493</v>
      </c>
      <c r="C24" s="1545">
        <f ca="1">VLOOKUP($I$4,DATOSAÑO!$B$11:$CN$375,85)</f>
        <v>5.6194999999998636</v>
      </c>
      <c r="D24" s="1545">
        <f ca="1">VLOOKUP($G$4,MESAÑO,85,)</f>
        <v>1581.2219999999991</v>
      </c>
      <c r="E24" s="1545">
        <f ca="1">DATOSAÑO!$AM$388</f>
        <v>4550.7130000000116</v>
      </c>
      <c r="F24" s="1602"/>
      <c r="G24" s="1603"/>
      <c r="H24" s="1575"/>
      <c r="I24" s="1553"/>
      <c r="J24" s="1543"/>
      <c r="K24" s="1543"/>
      <c r="L24" s="1566"/>
      <c r="P24" s="60" t="s">
        <v>1325</v>
      </c>
      <c r="Q24" s="60" t="s">
        <v>1325</v>
      </c>
      <c r="R24" s="60" t="s">
        <v>1362</v>
      </c>
    </row>
    <row r="25" spans="2:18" ht="13.5" customHeight="1" thickBot="1">
      <c r="B25" s="1591" t="s">
        <v>1494</v>
      </c>
      <c r="C25" s="1584">
        <f ca="1">VLOOKUP($I$4,DATOSAÑO!$B$11:$CN$375,88)</f>
        <v>2.8422000000001635</v>
      </c>
      <c r="D25" s="1584">
        <f ca="1">VLOOKUP($G$4,MESAÑO,88,)</f>
        <v>11.116800000000225</v>
      </c>
      <c r="E25" s="1584">
        <f ca="1">DATOSAÑO!$AN$388</f>
        <v>472.08100000000081</v>
      </c>
      <c r="F25" s="1604"/>
      <c r="G25" s="1605"/>
      <c r="H25" s="1573"/>
      <c r="I25" s="1557"/>
      <c r="J25" s="1543"/>
      <c r="K25" s="1543"/>
      <c r="L25" s="1566"/>
      <c r="P25" s="60" t="s">
        <v>1359</v>
      </c>
      <c r="Q25" s="60" t="s">
        <v>1359</v>
      </c>
      <c r="R25" s="60" t="s">
        <v>1364</v>
      </c>
    </row>
    <row r="26" spans="2:18" ht="14.55" customHeight="1" thickBot="1">
      <c r="B26" s="1587" t="s">
        <v>7</v>
      </c>
      <c r="C26" s="1924"/>
      <c r="D26" s="1925"/>
      <c r="E26" s="1925"/>
      <c r="F26" s="1925"/>
      <c r="G26" s="1926"/>
      <c r="H26" s="1558"/>
      <c r="I26" s="1559"/>
      <c r="J26" s="1543"/>
      <c r="K26" s="1543"/>
      <c r="L26" s="1566"/>
      <c r="P26" s="60" t="s">
        <v>1187</v>
      </c>
      <c r="Q26" s="60" t="s">
        <v>1187</v>
      </c>
      <c r="R26" s="60" t="s">
        <v>1363</v>
      </c>
    </row>
    <row r="27" spans="2:18">
      <c r="B27" s="1578" t="s">
        <v>75</v>
      </c>
      <c r="C27" s="1579">
        <f ca="1">VLOOKUP($I$4,DATOSAÑO!$B$11:$AR$375,24)</f>
        <v>448</v>
      </c>
      <c r="D27" s="1592">
        <f ca="1">VLOOKUP($G$4,MESAÑO,24,)</f>
        <v>1772</v>
      </c>
      <c r="E27" s="1579">
        <f ca="1">DATOSAÑO!$Y$388</f>
        <v>67578.514999999956</v>
      </c>
      <c r="F27" s="1606"/>
      <c r="G27" s="1607"/>
      <c r="H27" s="1575"/>
      <c r="I27" s="1556"/>
      <c r="J27" s="1543"/>
      <c r="K27" s="1543"/>
      <c r="L27" s="1566"/>
      <c r="P27" s="60" t="s">
        <v>865</v>
      </c>
      <c r="Q27" s="60" t="s">
        <v>865</v>
      </c>
      <c r="R27" s="60" t="s">
        <v>1392</v>
      </c>
    </row>
    <row r="28" spans="2:18">
      <c r="B28" s="1560" t="s">
        <v>175</v>
      </c>
      <c r="C28" s="1545">
        <f ca="1">VLOOKUP($I$4,DATOSAÑO!$B$11:$AR$375,25)</f>
        <v>8.4319840122167946</v>
      </c>
      <c r="D28" s="1545">
        <f ca="1">VLOOKUP($G$4,MESAÑO,25,)</f>
        <v>33.568140402487799</v>
      </c>
      <c r="E28" s="1545">
        <f ca="1">DATOSAÑO!$Z$388</f>
        <v>1305.5160296418946</v>
      </c>
      <c r="F28" s="1602"/>
      <c r="G28" s="1603"/>
      <c r="H28" s="1575"/>
      <c r="I28" s="1556"/>
      <c r="J28" s="1543"/>
      <c r="K28" s="1543"/>
      <c r="L28" s="1566"/>
      <c r="P28" s="60" t="s">
        <v>1360</v>
      </c>
      <c r="Q28" s="60" t="s">
        <v>1360</v>
      </c>
    </row>
    <row r="29" spans="2:18" ht="13.8" thickBot="1">
      <c r="B29" s="1561" t="s">
        <v>205</v>
      </c>
      <c r="C29" s="1577">
        <f ca="1">VLOOKUP($I$4,DATOSAÑO!$B$11:$AR$375,26)</f>
        <v>0</v>
      </c>
      <c r="D29" s="1577">
        <f ca="1">VLOOKUP($G$4,MESAÑO,26,)</f>
        <v>0</v>
      </c>
      <c r="E29" s="1577">
        <f ca="1">DATOSAÑO!AA388</f>
        <v>5600.9999999999945</v>
      </c>
      <c r="F29" s="1608"/>
      <c r="G29" s="1609"/>
      <c r="H29" s="1575"/>
      <c r="I29" s="1563"/>
      <c r="J29" s="1543"/>
      <c r="K29" s="1543"/>
      <c r="L29" s="1566"/>
      <c r="P29" s="1376" t="s">
        <v>1396</v>
      </c>
      <c r="Q29" s="60" t="s">
        <v>1396</v>
      </c>
    </row>
    <row r="30" spans="2:18" ht="11.55" customHeight="1" thickBot="1">
      <c r="B30" s="1915"/>
      <c r="C30" s="1916"/>
      <c r="D30" s="1916"/>
      <c r="E30" s="1916"/>
      <c r="F30" s="1916"/>
      <c r="G30" s="1917"/>
      <c r="H30" s="1596"/>
      <c r="I30" s="1562"/>
      <c r="J30" s="1543"/>
      <c r="K30" s="1543"/>
      <c r="L30" s="1566"/>
    </row>
    <row r="31" spans="2:18" ht="13.05" customHeight="1" thickBot="1">
      <c r="B31" s="1593" t="s">
        <v>1361</v>
      </c>
      <c r="C31" s="1902" t="s">
        <v>1363</v>
      </c>
      <c r="D31" s="1903"/>
      <c r="E31" s="1904"/>
      <c r="F31" s="1904"/>
      <c r="G31" s="1905"/>
      <c r="H31" s="1565"/>
      <c r="I31" s="1565"/>
      <c r="J31" s="1543"/>
      <c r="K31" s="1543"/>
      <c r="L31" s="1566"/>
    </row>
    <row r="32" spans="2:18" ht="13.05" customHeight="1" thickBot="1">
      <c r="B32" s="1594" t="s">
        <v>1473</v>
      </c>
      <c r="C32" s="1908" t="s">
        <v>1325</v>
      </c>
      <c r="D32" s="1909"/>
      <c r="E32" s="1910"/>
      <c r="F32" s="1910"/>
      <c r="G32" s="1911"/>
      <c r="H32" s="1912"/>
      <c r="I32" s="1912"/>
      <c r="J32" s="1913"/>
      <c r="K32" s="1913"/>
      <c r="L32" s="1914"/>
    </row>
    <row r="33" spans="2:15" ht="12" customHeight="1" thickBot="1">
      <c r="B33" s="1595" t="s">
        <v>1474</v>
      </c>
      <c r="C33" s="1900" t="s">
        <v>1359</v>
      </c>
      <c r="D33" s="1901"/>
      <c r="E33" s="1906"/>
      <c r="F33" s="1906"/>
      <c r="G33" s="1907"/>
      <c r="H33" s="1567"/>
      <c r="I33" s="1568"/>
      <c r="J33" s="1568"/>
      <c r="K33" s="1567"/>
      <c r="L33" s="1569"/>
      <c r="O33" s="60"/>
    </row>
    <row r="34" spans="2:15" ht="14.4">
      <c r="C34"/>
      <c r="D34"/>
      <c r="E34"/>
      <c r="F34"/>
      <c r="G34"/>
      <c r="H34"/>
      <c r="I34"/>
      <c r="J34"/>
      <c r="K34"/>
      <c r="L34"/>
    </row>
    <row r="35" spans="2:15">
      <c r="H35" s="1564"/>
    </row>
  </sheetData>
  <mergeCells count="15">
    <mergeCell ref="H32:I32"/>
    <mergeCell ref="J32:L32"/>
    <mergeCell ref="B30:G30"/>
    <mergeCell ref="B1:L1"/>
    <mergeCell ref="B2:L2"/>
    <mergeCell ref="B3:L3"/>
    <mergeCell ref="I4:J4"/>
    <mergeCell ref="K4:L4"/>
    <mergeCell ref="C26:G26"/>
    <mergeCell ref="C33:D33"/>
    <mergeCell ref="C31:D31"/>
    <mergeCell ref="E31:G31"/>
    <mergeCell ref="E33:G33"/>
    <mergeCell ref="C32:D32"/>
    <mergeCell ref="E32:G32"/>
  </mergeCells>
  <dataValidations count="4">
    <dataValidation type="list" allowBlank="1" showInputMessage="1" showErrorMessage="1" sqref="H32:I32" xr:uid="{00000000-0002-0000-0400-000000000000}">
      <formula1>$Q$23:$Q$28</formula1>
    </dataValidation>
    <dataValidation type="list" allowBlank="1" showInputMessage="1" showErrorMessage="1" sqref="C32:D32" xr:uid="{00000000-0002-0000-0400-000001000000}">
      <formula1>$P$24:$P$28</formula1>
    </dataValidation>
    <dataValidation type="list" allowBlank="1" showInputMessage="1" showErrorMessage="1" sqref="C31:D31" xr:uid="{00000000-0002-0000-0400-000002000000}">
      <formula1>$R$24:$R$27</formula1>
    </dataValidation>
    <dataValidation type="list" allowBlank="1" showInputMessage="1" showErrorMessage="1" sqref="C33:D33" xr:uid="{00000000-0002-0000-0400-000003000000}">
      <formula1>$P$24:$P$29</formula1>
    </dataValidation>
  </dataValidations>
  <printOptions horizontalCentered="1" verticalCentered="1"/>
  <pageMargins left="0.74803149606299202" right="0.74803149606299202" top="0.98425196850393704" bottom="0.70866141732283505" header="0.511811023622047" footer="0.511811023622047"/>
  <pageSetup scale="67" orientation="landscape" r:id="rId1"/>
  <headerFooter alignWithMargins="0">
    <oddFooter>&amp;R&amp;6&amp;Z&amp;F</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tabColor theme="3"/>
    <pageSetUpPr fitToPage="1"/>
  </sheetPr>
  <dimension ref="A1:AC72"/>
  <sheetViews>
    <sheetView showGridLines="0" showRuler="0" zoomScale="60" zoomScaleNormal="60" zoomScalePageLayoutView="104" workbookViewId="0">
      <selection activeCell="B44" sqref="B44:T44"/>
    </sheetView>
  </sheetViews>
  <sheetFormatPr baseColWidth="10" defaultColWidth="11.5546875" defaultRowHeight="14.4"/>
  <cols>
    <col min="1" max="1" width="2.21875" style="1287" customWidth="1"/>
    <col min="2" max="2" width="13.6640625" style="1287" customWidth="1"/>
    <col min="3" max="3" width="12.6640625" style="1287" customWidth="1"/>
    <col min="4" max="4" width="7.6640625" style="1287" customWidth="1"/>
    <col min="5" max="8" width="12.6640625" style="1287" customWidth="1"/>
    <col min="9" max="9" width="13.6640625" style="1287" customWidth="1"/>
    <col min="10" max="10" width="12.6640625" style="1287" customWidth="1"/>
    <col min="11" max="11" width="7.6640625" style="1287" customWidth="1"/>
    <col min="12" max="14" width="12.6640625" style="1287" customWidth="1"/>
    <col min="15" max="15" width="15.88671875" style="1287" customWidth="1"/>
    <col min="16" max="18" width="12.6640625" style="1287" customWidth="1"/>
    <col min="19" max="20" width="13.21875" style="1287" bestFit="1" customWidth="1"/>
    <col min="21" max="21" width="2.77734375" style="1287" customWidth="1"/>
    <col min="22" max="23" width="11.5546875" style="1287"/>
    <col min="24" max="24" width="23.5546875" style="1287" bestFit="1" customWidth="1"/>
    <col min="25" max="25" width="48.77734375" style="1289" customWidth="1"/>
    <col min="26" max="26" width="28.77734375" style="1287" bestFit="1" customWidth="1"/>
    <col min="27" max="27" width="11.5546875" style="1287"/>
    <col min="28" max="28" width="11.5546875" style="1287" customWidth="1"/>
    <col min="29" max="16384" width="11.5546875" style="1287"/>
  </cols>
  <sheetData>
    <row r="1" spans="1:29" ht="18" customHeight="1" thickTop="1">
      <c r="A1" s="1285"/>
      <c r="B1" s="1286"/>
      <c r="C1" s="1286"/>
      <c r="D1" s="1286"/>
      <c r="E1" s="1286"/>
      <c r="F1" s="1286"/>
      <c r="G1" s="1286"/>
      <c r="H1" s="1286"/>
      <c r="I1" s="1286"/>
      <c r="J1" s="1286"/>
      <c r="K1" s="1286"/>
      <c r="L1" s="1286"/>
      <c r="M1" s="1286"/>
      <c r="N1" s="1286"/>
      <c r="O1" s="1286"/>
      <c r="P1" s="1286"/>
      <c r="Q1" s="1286"/>
      <c r="R1" s="1286"/>
      <c r="S1" s="1286"/>
      <c r="T1" s="1286"/>
      <c r="U1" s="1500"/>
      <c r="V1" s="1289"/>
      <c r="W1" s="1289"/>
      <c r="X1" s="1289"/>
      <c r="Z1" s="1289"/>
      <c r="AA1" s="1289"/>
      <c r="AB1" s="1289"/>
    </row>
    <row r="2" spans="1:29" ht="58.5" customHeight="1">
      <c r="A2" s="1288"/>
      <c r="B2" s="1973"/>
      <c r="C2" s="1974"/>
      <c r="D2" s="1974"/>
      <c r="E2" s="1975"/>
      <c r="F2" s="1981" t="s">
        <v>1274</v>
      </c>
      <c r="G2" s="1979"/>
      <c r="H2" s="1979"/>
      <c r="I2" s="1979"/>
      <c r="J2" s="1979"/>
      <c r="K2" s="1979"/>
      <c r="L2" s="1979"/>
      <c r="M2" s="1979"/>
      <c r="N2" s="1979"/>
      <c r="O2" s="1979"/>
      <c r="P2" s="1979"/>
      <c r="Q2" s="1980"/>
      <c r="R2" s="1979"/>
      <c r="S2" s="1979"/>
      <c r="T2" s="1980"/>
      <c r="U2" s="1496"/>
      <c r="V2" s="1289"/>
      <c r="W2" s="1289"/>
      <c r="X2" s="1289"/>
      <c r="Z2" s="1289"/>
      <c r="AA2" s="1289" t="s">
        <v>1375</v>
      </c>
      <c r="AB2" s="1289"/>
      <c r="AC2" s="1289"/>
    </row>
    <row r="3" spans="1:29" ht="16.05" customHeight="1">
      <c r="A3" s="1288"/>
      <c r="U3" s="1497"/>
      <c r="V3" s="1289"/>
      <c r="W3" s="1289"/>
      <c r="X3" s="1289" t="s">
        <v>836</v>
      </c>
      <c r="Y3" s="1289" t="s">
        <v>1465</v>
      </c>
      <c r="Z3" s="1289"/>
      <c r="AA3" s="1289" t="s">
        <v>1166</v>
      </c>
      <c r="AB3" s="1289"/>
      <c r="AC3" s="1289"/>
    </row>
    <row r="4" spans="1:29" ht="16.05" customHeight="1">
      <c r="A4" s="1288"/>
      <c r="B4" s="1492" t="s">
        <v>807</v>
      </c>
      <c r="C4" s="1492" t="s">
        <v>132</v>
      </c>
      <c r="D4" s="1492" t="s">
        <v>230</v>
      </c>
      <c r="E4" s="1990" t="s">
        <v>837</v>
      </c>
      <c r="F4" s="1991"/>
      <c r="G4" s="1991"/>
      <c r="H4" s="1991"/>
      <c r="I4" s="1491" t="s">
        <v>1379</v>
      </c>
      <c r="J4" s="1990" t="s">
        <v>838</v>
      </c>
      <c r="K4" s="1991"/>
      <c r="L4" s="1991"/>
      <c r="M4" s="1991"/>
      <c r="N4" s="1991"/>
      <c r="O4" s="1492" t="s">
        <v>1379</v>
      </c>
      <c r="P4" s="1990" t="s">
        <v>907</v>
      </c>
      <c r="Q4" s="1991"/>
      <c r="R4" s="1991"/>
      <c r="S4" s="1991"/>
      <c r="T4" s="1491" t="s">
        <v>1379</v>
      </c>
      <c r="U4" s="1496"/>
      <c r="V4" s="1289"/>
      <c r="W4" s="1289"/>
      <c r="X4" s="1289" t="s">
        <v>1140</v>
      </c>
      <c r="Y4" s="1289" t="s">
        <v>1365</v>
      </c>
      <c r="Z4" s="1289" t="s">
        <v>1182</v>
      </c>
      <c r="AA4" s="1289"/>
      <c r="AB4" s="1289"/>
      <c r="AC4" s="1289"/>
    </row>
    <row r="5" spans="1:29" ht="16.05" customHeight="1">
      <c r="A5" s="1288"/>
      <c r="B5" s="1976">
        <f>INICIO!C7</f>
        <v>4</v>
      </c>
      <c r="C5" s="1976">
        <f>INICIO!C6</f>
        <v>6</v>
      </c>
      <c r="D5" s="1996">
        <f>INICIO!C8</f>
        <v>45081</v>
      </c>
      <c r="E5" s="1982" t="s">
        <v>1355</v>
      </c>
      <c r="F5" s="1983"/>
      <c r="G5" s="1983"/>
      <c r="H5" s="1983"/>
      <c r="I5" s="1986">
        <v>31049</v>
      </c>
      <c r="J5" s="1986" t="s">
        <v>1215</v>
      </c>
      <c r="K5" s="1986"/>
      <c r="L5" s="1986"/>
      <c r="M5" s="1986"/>
      <c r="N5" s="1986"/>
      <c r="O5" s="1984">
        <v>51853</v>
      </c>
      <c r="P5" s="1978" t="s">
        <v>1391</v>
      </c>
      <c r="Q5" s="1978"/>
      <c r="R5" s="1978"/>
      <c r="S5" s="1978"/>
      <c r="T5" s="1992">
        <v>46256</v>
      </c>
      <c r="U5" s="1498"/>
      <c r="V5" s="1290"/>
      <c r="W5" s="1289" t="s">
        <v>1165</v>
      </c>
      <c r="X5" s="1289" t="s">
        <v>1496</v>
      </c>
      <c r="Y5" s="1289" t="s">
        <v>1515</v>
      </c>
      <c r="Z5" s="1289" t="s">
        <v>1325</v>
      </c>
      <c r="AA5" s="1289"/>
      <c r="AB5" s="1289"/>
    </row>
    <row r="6" spans="1:29" ht="16.05" customHeight="1">
      <c r="A6" s="1288"/>
      <c r="B6" s="1977"/>
      <c r="C6" s="1977"/>
      <c r="D6" s="1997"/>
      <c r="E6" s="1522" t="s">
        <v>810</v>
      </c>
      <c r="F6" s="1994" t="s">
        <v>1141</v>
      </c>
      <c r="G6" s="1995"/>
      <c r="H6" s="1995"/>
      <c r="I6" s="1986"/>
      <c r="J6" s="1521" t="s">
        <v>810</v>
      </c>
      <c r="K6" s="1987" t="s">
        <v>1060</v>
      </c>
      <c r="L6" s="1987"/>
      <c r="M6" s="1987"/>
      <c r="N6" s="1987"/>
      <c r="O6" s="1985"/>
      <c r="P6" s="1521" t="s">
        <v>810</v>
      </c>
      <c r="Q6" s="1988" t="s">
        <v>1142</v>
      </c>
      <c r="R6" s="1988"/>
      <c r="S6" s="1989"/>
      <c r="T6" s="1993"/>
      <c r="U6" s="1496"/>
      <c r="V6" s="1289"/>
      <c r="W6" s="1289"/>
      <c r="X6" s="1289"/>
      <c r="Y6" s="1289" t="s">
        <v>1391</v>
      </c>
      <c r="Z6" s="1289" t="s">
        <v>865</v>
      </c>
      <c r="AA6" s="1289"/>
      <c r="AB6" s="1289"/>
      <c r="AC6" s="1289"/>
    </row>
    <row r="7" spans="1:29" ht="30" customHeight="1">
      <c r="A7" s="1288"/>
      <c r="B7" s="1493" t="s">
        <v>1275</v>
      </c>
      <c r="C7" s="1493"/>
      <c r="D7" s="1493"/>
      <c r="E7" s="1493"/>
      <c r="F7" s="1494"/>
      <c r="G7" s="1494"/>
      <c r="H7" s="1493"/>
      <c r="I7" s="1493"/>
      <c r="J7" s="1493"/>
      <c r="K7" s="1493"/>
      <c r="L7" s="1493"/>
      <c r="M7" s="1494"/>
      <c r="N7" s="1494"/>
      <c r="O7" s="1493"/>
      <c r="P7" s="1493"/>
      <c r="Q7" s="1502">
        <f ca="1">TODAY( )-1</f>
        <v>45125</v>
      </c>
      <c r="R7" s="1503" t="str">
        <f>TEXT(D5,"MMM")</f>
        <v>jun</v>
      </c>
      <c r="S7" s="1493"/>
      <c r="T7" s="1493"/>
      <c r="U7" s="1496"/>
      <c r="V7" s="1289"/>
      <c r="W7" s="1289"/>
      <c r="X7" s="1289" t="s">
        <v>1167</v>
      </c>
      <c r="Y7" s="1289" t="s">
        <v>1166</v>
      </c>
      <c r="Z7" s="1289" t="s">
        <v>1215</v>
      </c>
      <c r="AA7" s="1289"/>
      <c r="AB7" s="1289"/>
      <c r="AC7" s="1289"/>
    </row>
    <row r="8" spans="1:29" ht="16.05" customHeight="1">
      <c r="A8" s="1288"/>
      <c r="B8" s="2027" t="s">
        <v>840</v>
      </c>
      <c r="C8" s="2028"/>
      <c r="D8" s="2028"/>
      <c r="E8" s="2028"/>
      <c r="F8" s="2029"/>
      <c r="G8" s="2029"/>
      <c r="H8" s="2030"/>
      <c r="I8" s="2003" t="s">
        <v>841</v>
      </c>
      <c r="J8" s="1929"/>
      <c r="K8" s="1929"/>
      <c r="L8" s="1929"/>
      <c r="M8" s="1929"/>
      <c r="N8" s="1929"/>
      <c r="O8" s="2010"/>
      <c r="P8" s="2020" t="s">
        <v>1470</v>
      </c>
      <c r="Q8" s="2021"/>
      <c r="R8" s="2021"/>
      <c r="S8" s="2021"/>
      <c r="T8" s="2021"/>
      <c r="U8" s="1496"/>
      <c r="V8" s="1289"/>
      <c r="W8" s="1289"/>
      <c r="X8" s="1289" t="s">
        <v>1355</v>
      </c>
      <c r="Y8" s="1289" t="s">
        <v>1365</v>
      </c>
      <c r="Z8" s="1289" t="s">
        <v>1325</v>
      </c>
      <c r="AA8" s="1289"/>
      <c r="AB8" s="1289"/>
      <c r="AC8" s="1289"/>
    </row>
    <row r="9" spans="1:29" ht="16.05" customHeight="1">
      <c r="A9" s="1288"/>
      <c r="B9" s="2031" t="s">
        <v>953</v>
      </c>
      <c r="C9" s="2031" t="s">
        <v>902</v>
      </c>
      <c r="D9" s="2031" t="s">
        <v>903</v>
      </c>
      <c r="E9" s="2017" t="s">
        <v>904</v>
      </c>
      <c r="F9" s="1928" t="s">
        <v>1354</v>
      </c>
      <c r="G9" s="2042"/>
      <c r="H9" s="2039" t="s">
        <v>842</v>
      </c>
      <c r="I9" s="2040" t="s">
        <v>953</v>
      </c>
      <c r="J9" s="1998" t="s">
        <v>902</v>
      </c>
      <c r="K9" s="1998" t="s">
        <v>903</v>
      </c>
      <c r="L9" s="1998" t="s">
        <v>904</v>
      </c>
      <c r="M9" s="1941" t="s">
        <v>1354</v>
      </c>
      <c r="N9" s="1941"/>
      <c r="O9" s="2008" t="s">
        <v>842</v>
      </c>
      <c r="P9" s="2020"/>
      <c r="Q9" s="2021"/>
      <c r="R9" s="2021"/>
      <c r="S9" s="2021"/>
      <c r="T9" s="2021"/>
      <c r="U9" s="1496"/>
      <c r="V9" s="1289"/>
      <c r="W9" s="1289"/>
      <c r="X9" s="1289"/>
      <c r="Y9" s="1289" t="s">
        <v>952</v>
      </c>
      <c r="Z9" s="1289"/>
      <c r="AA9" s="1289"/>
      <c r="AB9" s="1289"/>
      <c r="AC9" s="1289"/>
    </row>
    <row r="10" spans="1:29" ht="30" customHeight="1">
      <c r="A10" s="1288"/>
      <c r="B10" s="1999"/>
      <c r="C10" s="1999"/>
      <c r="D10" s="1999"/>
      <c r="E10" s="1999"/>
      <c r="F10" s="1523" t="s">
        <v>1335</v>
      </c>
      <c r="G10" s="1523" t="s">
        <v>1469</v>
      </c>
      <c r="H10" s="2009"/>
      <c r="I10" s="2041"/>
      <c r="J10" s="1999"/>
      <c r="K10" s="1999"/>
      <c r="L10" s="1999"/>
      <c r="M10" s="1524" t="s">
        <v>1333</v>
      </c>
      <c r="N10" s="1524" t="s">
        <v>1334</v>
      </c>
      <c r="O10" s="2009"/>
      <c r="P10" s="2020"/>
      <c r="Q10" s="2021"/>
      <c r="R10" s="2021"/>
      <c r="S10" s="2021"/>
      <c r="T10" s="2021"/>
      <c r="U10" s="1496"/>
      <c r="V10" s="1289"/>
      <c r="W10" s="1289"/>
      <c r="X10" s="1289"/>
      <c r="Y10" s="1289" t="s">
        <v>1509</v>
      </c>
      <c r="Z10" s="1289"/>
      <c r="AA10" s="1289"/>
      <c r="AB10" s="1289"/>
      <c r="AC10" s="1289"/>
    </row>
    <row r="11" spans="1:29" ht="19.95" customHeight="1">
      <c r="A11" s="1288"/>
      <c r="B11" s="1508" t="s">
        <v>967</v>
      </c>
      <c r="C11" s="1509" t="str">
        <f>IF(INICIO!$C$6&gt;$D$5,0,'[5]INFORME DIARIO'!$B$11:$D$15)</f>
        <v>3.0</v>
      </c>
      <c r="D11" s="1509">
        <f>IF(INICIO!$C$6&gt;$D$5,0,'[5]INFORME DIARIO'!$B$11:$D$15)</f>
        <v>129</v>
      </c>
      <c r="E11" s="1510">
        <v>13.8</v>
      </c>
      <c r="F11" s="1511">
        <f>'[6]INFORME DIARIO CUS-CUP'!$H$16</f>
        <v>2.2004501099690881</v>
      </c>
      <c r="G11" s="1511">
        <f>'[6]INFORME DIARIO CUS-CUP'!$I$16</f>
        <v>0</v>
      </c>
      <c r="H11" s="1504" t="s">
        <v>844</v>
      </c>
      <c r="I11" s="1513" t="s">
        <v>5</v>
      </c>
      <c r="J11" s="1514">
        <f>VLOOKUP('DATA DE LAS 12'!A3,'DATA DE LAS 12'!A6:CG36,5,FALSE)</f>
        <v>13.3</v>
      </c>
      <c r="K11" s="1515">
        <f>VLOOKUP('DATA DE LAS 12'!A3,'DATA DE LAS 12'!A6:CC36,43,FALSE)</f>
        <v>628</v>
      </c>
      <c r="L11" s="1516">
        <v>13.8</v>
      </c>
      <c r="M11" s="1511">
        <f ca="1">VLOOKUP('CONSUMO DE GAS POR AREAS'!G6,'CONSUMO DE GAS POR AREAS'!A12:H376,4,FALSE)</f>
        <v>0</v>
      </c>
      <c r="N11" s="1511">
        <f ca="1">VLOOKUP('CONSUMO DE GAS POR AREAS'!G6,'CONSUMO DE GAS POR AREAS'!A12:K376,5,FALSE)</f>
        <v>0</v>
      </c>
      <c r="O11" s="1506" t="s">
        <v>843</v>
      </c>
      <c r="P11" s="2036"/>
      <c r="Q11" s="2022" t="s">
        <v>1462</v>
      </c>
      <c r="R11" s="2006" t="s">
        <v>1463</v>
      </c>
      <c r="S11" s="2006" t="s">
        <v>1464</v>
      </c>
      <c r="T11" s="2006" t="s">
        <v>1471</v>
      </c>
      <c r="U11" s="1496"/>
      <c r="V11" s="1289"/>
      <c r="W11" s="1289"/>
      <c r="X11" s="1289" t="s">
        <v>843</v>
      </c>
      <c r="Z11" s="1289"/>
      <c r="AA11" s="1289"/>
      <c r="AB11" s="1289"/>
      <c r="AC11" s="1289"/>
    </row>
    <row r="12" spans="1:29" ht="19.95" customHeight="1">
      <c r="A12" s="1501"/>
      <c r="B12" s="1508" t="s">
        <v>968</v>
      </c>
      <c r="C12" s="1509" t="str">
        <f>IF(INICIO!$C$6&gt;$D$5,0,'[5]INFORME DIARIO'!$B$11:$D$15)</f>
        <v>3.1</v>
      </c>
      <c r="D12" s="1509">
        <v>0</v>
      </c>
      <c r="E12" s="1510">
        <v>13.8</v>
      </c>
      <c r="F12" s="1511">
        <f>'[6]INFORME DIARIO CUS-CUP'!$H$17</f>
        <v>2.206936199613601</v>
      </c>
      <c r="G12" s="1511">
        <v>0</v>
      </c>
      <c r="H12" s="1504" t="s">
        <v>833</v>
      </c>
      <c r="I12" s="1513" t="s">
        <v>6</v>
      </c>
      <c r="J12" s="1514">
        <f>VLOOKUP('DATA DE LAS 12'!A3,'DATA DE LAS 12'!A41:CG71,5,FALSE)</f>
        <v>6.2</v>
      </c>
      <c r="K12" s="1515">
        <f>VLOOKUP('DATA DE LAS 12'!A3,'DATA DE LAS 12'!A41:CC71,43,FALSE)</f>
        <v>291</v>
      </c>
      <c r="L12" s="1516">
        <v>13.8</v>
      </c>
      <c r="M12" s="1511">
        <f ca="1">VLOOKUP('CONSUMO DE GAS POR AREAS'!G6,'CONSUMO DE GAS POR AREAS'!A12:H376,7,FALSE)</f>
        <v>0</v>
      </c>
      <c r="N12" s="1511">
        <f ca="1">VLOOKUP('CONSUMO DE GAS POR AREAS'!G6,'CONSUMO DE GAS POR AREAS'!A12:K376,8,FALSE)</f>
        <v>0</v>
      </c>
      <c r="O12" s="1506" t="s">
        <v>844</v>
      </c>
      <c r="P12" s="2037"/>
      <c r="Q12" s="2022"/>
      <c r="R12" s="2007"/>
      <c r="S12" s="2007"/>
      <c r="T12" s="2007"/>
      <c r="U12" s="1496"/>
      <c r="V12" s="1289"/>
      <c r="W12" s="1289"/>
      <c r="X12" s="1289" t="s">
        <v>844</v>
      </c>
      <c r="Z12" s="1289"/>
      <c r="AA12" s="1289"/>
      <c r="AB12" s="1289"/>
      <c r="AC12" s="1289"/>
    </row>
    <row r="13" spans="1:29" ht="19.95" customHeight="1">
      <c r="A13" s="1501"/>
      <c r="B13" s="1508" t="s">
        <v>969</v>
      </c>
      <c r="C13" s="1509" t="str">
        <f>IF(INICIO!$C$6&gt;$D$5,0,'[5]INFORME DIARIO'!$B$11:$D$15)</f>
        <v>6.1</v>
      </c>
      <c r="D13" s="1509">
        <f>IF(INICIO!$C$6&gt;$D$5,0,'[5]INFORME DIARIO'!$B$11:$D$15)</f>
        <v>278</v>
      </c>
      <c r="E13" s="1510">
        <v>13.8</v>
      </c>
      <c r="F13" s="1511">
        <f>'[6]INFORME DIARIO CUS-CUP'!$H$18</f>
        <v>2.894461701931994</v>
      </c>
      <c r="G13" s="1511">
        <v>0</v>
      </c>
      <c r="H13" s="1504" t="s">
        <v>843</v>
      </c>
      <c r="I13" s="1513" t="s">
        <v>74</v>
      </c>
      <c r="J13" s="1517">
        <f ca="1">VLOOKUP('CONSUMO DE GAS POR AREAS'!G6,'CONSUMO DE GAS POR AREAS'!A12:P376,15,FALSE)</f>
        <v>0</v>
      </c>
      <c r="K13" s="1516">
        <v>0</v>
      </c>
      <c r="L13" s="1516">
        <v>4.16</v>
      </c>
      <c r="M13" s="1512" t="s">
        <v>758</v>
      </c>
      <c r="N13" s="1511">
        <f ca="1">VLOOKUP('CONSUMO DE GAS POR AREAS'!G6,'CONSUMO DE GAS POR AREAS'!A12:L376,10,FALSE)</f>
        <v>0</v>
      </c>
      <c r="O13" s="1506" t="s">
        <v>833</v>
      </c>
      <c r="P13" s="1525" t="s">
        <v>814</v>
      </c>
      <c r="Q13" s="1526">
        <f ca="1">IF(INICIO!$C$8&gt;$D5," ",(VLOOKUP($Q7,DATOSAÑO!$B$11:$BP$375,63)))</f>
        <v>0</v>
      </c>
      <c r="R13" s="1526">
        <f>IF(INICIO!$C$6&gt;$D$5,0,'[5]INFORME DIARIO'!$M$13)</f>
        <v>399</v>
      </c>
      <c r="S13" s="1526">
        <f ca="1">IF(INICIO!$C$8&gt;$D5," ",(VLOOKUP($Q7,DATOSAÑO!$B$11:$BG$375,24)))</f>
        <v>0</v>
      </c>
      <c r="T13" s="1527">
        <f ca="1">SUM(Q13:S13)</f>
        <v>399</v>
      </c>
      <c r="U13" s="1496"/>
      <c r="V13" s="1289"/>
      <c r="W13" s="1289"/>
      <c r="X13" s="1289" t="s">
        <v>833</v>
      </c>
      <c r="Z13" s="1289"/>
      <c r="AA13" s="1289"/>
      <c r="AB13" s="1289"/>
      <c r="AC13" s="1289"/>
    </row>
    <row r="14" spans="1:29" ht="19.95" customHeight="1">
      <c r="A14" s="1288"/>
      <c r="B14" s="1508" t="s">
        <v>970</v>
      </c>
      <c r="C14" s="1509">
        <f>IF(INICIO!$C$6&gt;$D$5,0,'[5]INFORME DIARIO'!$B$11:$D$15)</f>
        <v>0</v>
      </c>
      <c r="D14" s="1509">
        <f>IF(INICIO!$C$6&gt;$D$5,0,'[5]INFORME DIARIO'!$B$11:$D$15)</f>
        <v>0</v>
      </c>
      <c r="E14" s="1510">
        <v>4.16</v>
      </c>
      <c r="F14" s="1512" t="s">
        <v>758</v>
      </c>
      <c r="G14" s="1511">
        <f>IF(INICIO!$C$6&gt;$D$5,0,'[6]INFORME DIARIO CUS-CUP'!$I$19)</f>
        <v>0</v>
      </c>
      <c r="H14" s="1504" t="s">
        <v>833</v>
      </c>
      <c r="I14" s="1513" t="s">
        <v>166</v>
      </c>
      <c r="J14" s="1515">
        <f ca="1">VLOOKUP('CONSUMO DE GAS POR AREAS'!G6,'CONSUMO DE GAS POR AREAS'!A12:P376,16,FALSE)</f>
        <v>0</v>
      </c>
      <c r="K14" s="1516">
        <v>0</v>
      </c>
      <c r="L14" s="1518">
        <v>4.16</v>
      </c>
      <c r="M14" s="1512" t="s">
        <v>758</v>
      </c>
      <c r="N14" s="1519">
        <f ca="1">VLOOKUP('CONSUMO DE GAS POR AREAS'!G6,'CONSUMO DE GAS POR AREAS'!A12:L376,12,FALSE)</f>
        <v>0</v>
      </c>
      <c r="O14" s="1506" t="s">
        <v>833</v>
      </c>
      <c r="P14" s="1525" t="s">
        <v>815</v>
      </c>
      <c r="Q14" s="1526">
        <f ca="1">VLOOKUP($R$7,DATOSAÑO!B376:BP387,59,)</f>
        <v>0</v>
      </c>
      <c r="R14" s="1526">
        <f>IF(INICIO!$C$6&gt;$D$5,0,'[5]INFORME DIARIO'!$M$14)</f>
        <v>1691.296</v>
      </c>
      <c r="S14" s="1526">
        <f ca="1">VLOOKUP($R$7,DATOSAÑO!B376:BP387,24,)</f>
        <v>1772</v>
      </c>
      <c r="T14" s="1527">
        <f ca="1">SUM(Q14:S14)</f>
        <v>3463.2960000000003</v>
      </c>
      <c r="U14" s="1496"/>
      <c r="V14" s="1289"/>
      <c r="W14" s="1289"/>
      <c r="X14" s="1289" t="s">
        <v>864</v>
      </c>
      <c r="Z14" s="1289"/>
      <c r="AA14" s="1289"/>
      <c r="AB14" s="1289"/>
      <c r="AC14" s="1289"/>
    </row>
    <row r="15" spans="1:29" ht="19.95" customHeight="1">
      <c r="A15" s="1288"/>
      <c r="B15" s="1508" t="s">
        <v>845</v>
      </c>
      <c r="C15" s="1657">
        <f>IF(INICIO!$C$6&gt;$D$5,0,'[5]INFORME DIARIO'!$B$11:$D$15)</f>
        <v>0</v>
      </c>
      <c r="D15" s="1509">
        <f>IF(INICIO!$C$6&gt;$D$5,0,'[5]INFORME DIARIO'!$B$11:$D$15)</f>
        <v>0</v>
      </c>
      <c r="E15" s="1510">
        <v>4.16</v>
      </c>
      <c r="F15" s="1512" t="s">
        <v>758</v>
      </c>
      <c r="G15" s="1511">
        <f>IF(INICIO!$C$6&gt;$D$5,0,'[6]INFORME DIARIO CUS-CUP'!$I$20)</f>
        <v>0</v>
      </c>
      <c r="H15" s="1504" t="s">
        <v>833</v>
      </c>
      <c r="I15" s="1505" t="s">
        <v>1466</v>
      </c>
      <c r="J15" s="1516">
        <v>0</v>
      </c>
      <c r="K15" s="1516">
        <v>0</v>
      </c>
      <c r="L15" s="1516">
        <v>0.48</v>
      </c>
      <c r="M15" s="1512" t="s">
        <v>758</v>
      </c>
      <c r="N15" s="1520">
        <v>0</v>
      </c>
      <c r="O15" s="1506" t="s">
        <v>1170</v>
      </c>
      <c r="P15" s="1525" t="s">
        <v>816</v>
      </c>
      <c r="Q15" s="1526">
        <f ca="1">DATOSAÑO!BL388</f>
        <v>185.40899999999999</v>
      </c>
      <c r="R15" s="1526">
        <f>IF(INICIO!$C$6&gt;$D$5,0,'[5]INFORME DIARIO'!$M$15)</f>
        <v>72331.569000000003</v>
      </c>
      <c r="S15" s="1526">
        <f ca="1">DATOSAÑO!Y388</f>
        <v>67578.514999999956</v>
      </c>
      <c r="T15" s="1527">
        <f ca="1">SUM(Q15:S15)</f>
        <v>140095.49299999996</v>
      </c>
      <c r="U15" s="1499"/>
      <c r="V15" s="1289"/>
      <c r="W15" s="1289"/>
      <c r="X15" s="1289" t="s">
        <v>73</v>
      </c>
      <c r="Z15" s="1289"/>
      <c r="AA15" s="1289"/>
      <c r="AB15" s="1289"/>
      <c r="AC15" s="1289"/>
    </row>
    <row r="16" spans="1:29" ht="16.05" customHeight="1">
      <c r="A16" s="1288"/>
      <c r="B16" s="1939" t="s">
        <v>846</v>
      </c>
      <c r="C16" s="1940"/>
      <c r="D16" s="1943" t="s">
        <v>905</v>
      </c>
      <c r="E16" s="1943"/>
      <c r="F16" s="1943"/>
      <c r="G16" s="1943"/>
      <c r="H16" s="1943"/>
      <c r="I16" s="1943"/>
      <c r="J16" s="1943"/>
      <c r="K16" s="1943"/>
      <c r="L16" s="1943"/>
      <c r="M16" s="1943"/>
      <c r="N16" s="1943"/>
      <c r="O16" s="1943"/>
      <c r="P16" s="1943"/>
      <c r="Q16" s="1943"/>
      <c r="R16" s="1943"/>
      <c r="S16" s="1943"/>
      <c r="T16" s="1944"/>
      <c r="U16" s="1496"/>
      <c r="V16" s="1289"/>
      <c r="W16" s="1289"/>
      <c r="X16" s="1289"/>
      <c r="Z16" s="1289"/>
      <c r="AA16" s="1289"/>
      <c r="AB16" s="1289"/>
      <c r="AC16" s="1289"/>
    </row>
    <row r="17" spans="1:29" ht="16.95" customHeight="1">
      <c r="A17" s="1288"/>
      <c r="B17" s="2035" t="s">
        <v>1524</v>
      </c>
      <c r="C17" s="2035"/>
      <c r="D17" s="2035"/>
      <c r="E17" s="2035"/>
      <c r="F17" s="2035"/>
      <c r="G17" s="2035"/>
      <c r="H17" s="2035"/>
      <c r="I17" s="2035"/>
      <c r="J17" s="2035"/>
      <c r="K17" s="2035"/>
      <c r="L17" s="2035"/>
      <c r="M17" s="2035"/>
      <c r="N17" s="2035"/>
      <c r="O17" s="2035"/>
      <c r="P17" s="2035"/>
      <c r="Q17" s="2035"/>
      <c r="R17" s="2035"/>
      <c r="S17" s="2035"/>
      <c r="T17" s="2035"/>
      <c r="U17" s="1496"/>
      <c r="V17" s="1289"/>
      <c r="W17" s="1289"/>
      <c r="X17" s="1289"/>
      <c r="Z17" s="1289"/>
      <c r="AA17" s="1289"/>
      <c r="AB17" s="1289"/>
      <c r="AC17" s="1289"/>
    </row>
    <row r="18" spans="1:29" ht="1.95" customHeight="1">
      <c r="A18" s="1288"/>
      <c r="B18" s="2035"/>
      <c r="C18" s="2035"/>
      <c r="D18" s="2035"/>
      <c r="E18" s="2035"/>
      <c r="F18" s="2035"/>
      <c r="G18" s="2035"/>
      <c r="H18" s="2035"/>
      <c r="I18" s="2035"/>
      <c r="J18" s="2035"/>
      <c r="K18" s="2035"/>
      <c r="L18" s="2035"/>
      <c r="M18" s="2035"/>
      <c r="N18" s="2035"/>
      <c r="O18" s="2035"/>
      <c r="P18" s="2035"/>
      <c r="Q18" s="2035"/>
      <c r="R18" s="2035"/>
      <c r="S18" s="2035"/>
      <c r="T18" s="2035"/>
      <c r="U18" s="1496"/>
      <c r="V18" s="1289"/>
      <c r="W18" s="1289"/>
      <c r="X18" s="1289"/>
      <c r="Z18" s="1289"/>
      <c r="AA18" s="1289"/>
      <c r="AB18" s="1289"/>
      <c r="AC18" s="1289"/>
    </row>
    <row r="19" spans="1:29" ht="15.6">
      <c r="A19" s="1288"/>
      <c r="B19" s="2005" t="s">
        <v>847</v>
      </c>
      <c r="C19" s="1939"/>
      <c r="D19" s="1944" t="s">
        <v>905</v>
      </c>
      <c r="E19" s="1972"/>
      <c r="F19" s="1972"/>
      <c r="G19" s="1972"/>
      <c r="H19" s="1972"/>
      <c r="I19" s="1972"/>
      <c r="J19" s="1972"/>
      <c r="K19" s="1972"/>
      <c r="L19" s="1972"/>
      <c r="M19" s="1972"/>
      <c r="N19" s="1972"/>
      <c r="O19" s="1972"/>
      <c r="P19" s="1972"/>
      <c r="Q19" s="1972"/>
      <c r="R19" s="1972"/>
      <c r="S19" s="1972"/>
      <c r="T19" s="1972"/>
      <c r="U19" s="1496"/>
      <c r="V19" s="1289"/>
      <c r="W19" s="1289"/>
      <c r="X19" s="1289"/>
      <c r="Z19" s="1289"/>
      <c r="AA19" s="1289"/>
      <c r="AB19" s="1289"/>
    </row>
    <row r="20" spans="1:29" ht="16.95" customHeight="1">
      <c r="A20" s="1288"/>
      <c r="B20" s="1927" t="s">
        <v>1521</v>
      </c>
      <c r="C20" s="1927"/>
      <c r="D20" s="1927"/>
      <c r="E20" s="1927"/>
      <c r="F20" s="1927"/>
      <c r="G20" s="1927"/>
      <c r="H20" s="1927"/>
      <c r="I20" s="1927"/>
      <c r="J20" s="1927"/>
      <c r="K20" s="1927"/>
      <c r="L20" s="1927"/>
      <c r="M20" s="1927"/>
      <c r="N20" s="1927"/>
      <c r="O20" s="1927"/>
      <c r="P20" s="1927"/>
      <c r="Q20" s="1927"/>
      <c r="R20" s="1927"/>
      <c r="S20" s="1927"/>
      <c r="T20" s="1927"/>
      <c r="U20" s="1496"/>
      <c r="V20" s="1289"/>
      <c r="W20" s="1289"/>
      <c r="X20" s="1289"/>
      <c r="Z20" s="1289"/>
      <c r="AA20" s="1289"/>
      <c r="AB20" s="1289"/>
    </row>
    <row r="21" spans="1:29" ht="1.95" customHeight="1">
      <c r="A21" s="1288"/>
      <c r="B21" s="1927"/>
      <c r="C21" s="1927"/>
      <c r="D21" s="1927"/>
      <c r="E21" s="1927"/>
      <c r="F21" s="1927"/>
      <c r="G21" s="1927"/>
      <c r="H21" s="1927"/>
      <c r="I21" s="1927"/>
      <c r="J21" s="1927"/>
      <c r="K21" s="1927"/>
      <c r="L21" s="1927"/>
      <c r="M21" s="1927"/>
      <c r="N21" s="1927"/>
      <c r="O21" s="1927"/>
      <c r="P21" s="1927"/>
      <c r="Q21" s="1927"/>
      <c r="R21" s="1927"/>
      <c r="S21" s="1927"/>
      <c r="T21" s="1927"/>
      <c r="U21" s="1496"/>
      <c r="V21" s="1289"/>
      <c r="W21" s="1289"/>
      <c r="X21" s="1289"/>
      <c r="Z21" s="1289"/>
      <c r="AA21" s="1289"/>
      <c r="AB21" s="1289"/>
    </row>
    <row r="22" spans="1:29" ht="18">
      <c r="A22" s="1288"/>
      <c r="B22" s="1495" t="s">
        <v>1276</v>
      </c>
      <c r="C22" s="1495"/>
      <c r="D22" s="1495"/>
      <c r="E22" s="1495"/>
      <c r="F22" s="1495"/>
      <c r="G22" s="1495"/>
      <c r="H22" s="1495"/>
      <c r="I22" s="1495"/>
      <c r="J22" s="1495"/>
      <c r="K22" s="1495"/>
      <c r="L22" s="1495"/>
      <c r="M22" s="1495"/>
      <c r="N22" s="1495"/>
      <c r="O22" s="1495"/>
      <c r="P22" s="1495"/>
      <c r="Q22" s="1495"/>
      <c r="R22" s="1495"/>
      <c r="S22" s="1495"/>
      <c r="T22" s="1495"/>
      <c r="U22" s="1496"/>
    </row>
    <row r="23" spans="1:29" ht="16.05" customHeight="1">
      <c r="A23" s="1288"/>
      <c r="B23" s="1928" t="s">
        <v>840</v>
      </c>
      <c r="C23" s="1929"/>
      <c r="D23" s="1929"/>
      <c r="E23" s="1929"/>
      <c r="F23" s="1929"/>
      <c r="G23" s="1535"/>
      <c r="H23" s="1536"/>
      <c r="I23" s="1539"/>
      <c r="J23" s="1540" t="s">
        <v>848</v>
      </c>
      <c r="K23" s="1541">
        <v>13.8</v>
      </c>
      <c r="L23" s="2003" t="s">
        <v>841</v>
      </c>
      <c r="M23" s="1929"/>
      <c r="N23" s="1929"/>
      <c r="O23" s="1929"/>
      <c r="P23" s="1929"/>
      <c r="Q23" s="1929"/>
      <c r="R23" s="2038" t="s">
        <v>848</v>
      </c>
      <c r="S23" s="2038"/>
      <c r="T23" s="1538">
        <v>13.8</v>
      </c>
      <c r="U23" s="1496"/>
    </row>
    <row r="24" spans="1:29" ht="16.05" customHeight="1">
      <c r="A24" s="1288"/>
      <c r="B24" s="2032" t="s">
        <v>813</v>
      </c>
      <c r="C24" s="2033"/>
      <c r="D24" s="2034"/>
      <c r="E24" s="2031" t="s">
        <v>902</v>
      </c>
      <c r="F24" s="2031" t="s">
        <v>1146</v>
      </c>
      <c r="G24" s="1964" t="s">
        <v>811</v>
      </c>
      <c r="H24" s="2023"/>
      <c r="I24" s="2023"/>
      <c r="J24" s="2023"/>
      <c r="K24" s="2024"/>
      <c r="L24" s="2011" t="s">
        <v>813</v>
      </c>
      <c r="M24" s="2012"/>
      <c r="N24" s="2013"/>
      <c r="O24" s="2019" t="s">
        <v>902</v>
      </c>
      <c r="P24" s="2019" t="s">
        <v>1146</v>
      </c>
      <c r="Q24" s="2017" t="s">
        <v>811</v>
      </c>
      <c r="R24" s="2012"/>
      <c r="S24" s="2012"/>
      <c r="T24" s="2013"/>
      <c r="U24" s="1496"/>
    </row>
    <row r="25" spans="1:29" ht="16.05" customHeight="1">
      <c r="A25" s="1288"/>
      <c r="B25" s="2018"/>
      <c r="C25" s="2015"/>
      <c r="D25" s="2016"/>
      <c r="E25" s="1999"/>
      <c r="F25" s="1999"/>
      <c r="G25" s="1966"/>
      <c r="H25" s="2025"/>
      <c r="I25" s="2025"/>
      <c r="J25" s="2025"/>
      <c r="K25" s="2026"/>
      <c r="L25" s="2014"/>
      <c r="M25" s="2015"/>
      <c r="N25" s="2016"/>
      <c r="O25" s="1999"/>
      <c r="P25" s="1999"/>
      <c r="Q25" s="2018"/>
      <c r="R25" s="2015"/>
      <c r="S25" s="2015"/>
      <c r="T25" s="2016"/>
      <c r="U25" s="1496"/>
    </row>
    <row r="26" spans="1:29" ht="16.05" customHeight="1">
      <c r="A26" s="1288"/>
      <c r="B26" s="1960" t="s">
        <v>849</v>
      </c>
      <c r="C26" s="1961"/>
      <c r="D26" s="1962"/>
      <c r="E26" s="1530">
        <f>IF(INICIO!$C$6&gt;$D$5,0,'[5]INFORME DIARIO'!$E32)</f>
        <v>52</v>
      </c>
      <c r="F26" s="1531">
        <f>IF(INICIO!$C$6&gt;$D$5,0,'[5]INFORME DIARIO'!$F32)</f>
        <v>106.64640056913082</v>
      </c>
      <c r="G26" s="1948"/>
      <c r="H26" s="1949"/>
      <c r="I26" s="1949"/>
      <c r="J26" s="1949"/>
      <c r="K26" s="1950"/>
      <c r="L26" s="1951" t="s">
        <v>850</v>
      </c>
      <c r="M26" s="1952"/>
      <c r="N26" s="1953"/>
      <c r="O26" s="1528">
        <f ca="1">VLOOKUP($D$5,DATOSAÑO!$B$11:$AN$375,29)</f>
        <v>164</v>
      </c>
      <c r="P26" s="1529">
        <f t="shared" ref="P26:P39" ca="1" si="0">((O26*1000)/($T$23*0.8*1.732))/24</f>
        <v>357.36798652252008</v>
      </c>
      <c r="Q26" s="2004"/>
      <c r="R26" s="2004"/>
      <c r="S26" s="2004"/>
      <c r="T26" s="2004"/>
      <c r="U26" s="1496"/>
    </row>
    <row r="27" spans="1:29" ht="16.05" customHeight="1">
      <c r="A27" s="1288"/>
      <c r="B27" s="1960" t="s">
        <v>851</v>
      </c>
      <c r="C27" s="1961"/>
      <c r="D27" s="1962"/>
      <c r="E27" s="1530">
        <f>IF(INICIO!$C$6&gt;$D$5,0,'[5]INFORME DIARIO'!$E33)</f>
        <v>0</v>
      </c>
      <c r="F27" s="1531">
        <f>IF(INICIO!$C$6&gt;$D$5,0,'[5]INFORME DIARIO'!$F33)</f>
        <v>0</v>
      </c>
      <c r="G27" s="1948"/>
      <c r="H27" s="1949"/>
      <c r="I27" s="1949"/>
      <c r="J27" s="1949"/>
      <c r="K27" s="1950"/>
      <c r="L27" s="1951" t="s">
        <v>206</v>
      </c>
      <c r="M27" s="1952"/>
      <c r="N27" s="1953"/>
      <c r="O27" s="1528">
        <f ca="1">VLOOKUP($D$5,DATOSAÑO!$B$11:$AN$375,31)</f>
        <v>152</v>
      </c>
      <c r="P27" s="1529">
        <f t="shared" ca="1" si="0"/>
        <v>331.21910945989663</v>
      </c>
      <c r="Q27" s="2004"/>
      <c r="R27" s="2004"/>
      <c r="S27" s="2004"/>
      <c r="T27" s="2004"/>
      <c r="U27" s="1496"/>
    </row>
    <row r="28" spans="1:29" ht="16.05" customHeight="1">
      <c r="A28" s="1288"/>
      <c r="B28" s="1960" t="s">
        <v>852</v>
      </c>
      <c r="C28" s="1961"/>
      <c r="D28" s="1962"/>
      <c r="E28" s="1530">
        <f>IF(INICIO!$C$6&gt;$D$5,0,'[5]INFORME DIARIO'!$E34)</f>
        <v>103.40000000000146</v>
      </c>
      <c r="F28" s="1531">
        <f>IF(INICIO!$C$6&gt;$D$5,0,'[5]INFORME DIARIO'!$F34)</f>
        <v>212.06226574708236</v>
      </c>
      <c r="G28" s="1948"/>
      <c r="H28" s="1949"/>
      <c r="I28" s="1949"/>
      <c r="J28" s="1949"/>
      <c r="K28" s="1950"/>
      <c r="L28" s="1951" t="s">
        <v>167</v>
      </c>
      <c r="M28" s="1952"/>
      <c r="N28" s="1953"/>
      <c r="O28" s="1528">
        <f ca="1">VLOOKUP($D$5,DATOSAÑO!$B$11:$AN$375,33)</f>
        <v>10.69999999999709</v>
      </c>
      <c r="P28" s="1529">
        <f t="shared" ca="1" si="0"/>
        <v>23.316082047499538</v>
      </c>
      <c r="Q28" s="2004"/>
      <c r="R28" s="2004"/>
      <c r="S28" s="2004"/>
      <c r="T28" s="2004"/>
      <c r="U28" s="1496"/>
    </row>
    <row r="29" spans="1:29" ht="16.05" customHeight="1">
      <c r="A29" s="1288"/>
      <c r="B29" s="1960" t="s">
        <v>853</v>
      </c>
      <c r="C29" s="1961"/>
      <c r="D29" s="1962"/>
      <c r="E29" s="1530">
        <f>IF(INICIO!$C$6&gt;$D$5,0,'[5]INFORME DIARIO'!$E35)</f>
        <v>102</v>
      </c>
      <c r="F29" s="1531">
        <f>IF(INICIO!$C$6&gt;$D$5,0,'[5]INFORME DIARIO'!$F35)</f>
        <v>209.19101650098739</v>
      </c>
      <c r="G29" s="1948"/>
      <c r="H29" s="1949"/>
      <c r="I29" s="1949"/>
      <c r="J29" s="1949"/>
      <c r="K29" s="1950"/>
      <c r="L29" s="1951" t="s">
        <v>168</v>
      </c>
      <c r="M29" s="1952"/>
      <c r="N29" s="1953"/>
      <c r="O29" s="1528">
        <f ca="1">VLOOKUP($D$5,DATOSAÑO!$B$11:$AN$375,34)</f>
        <v>37.30000000000291</v>
      </c>
      <c r="P29" s="1529">
        <f t="shared" ca="1" si="0"/>
        <v>81.279426202994145</v>
      </c>
      <c r="Q29" s="2004"/>
      <c r="R29" s="2004"/>
      <c r="S29" s="2004"/>
      <c r="T29" s="2004"/>
      <c r="U29" s="1496"/>
    </row>
    <row r="30" spans="1:29" ht="16.05" customHeight="1">
      <c r="A30" s="1288"/>
      <c r="B30" s="1960" t="s">
        <v>854</v>
      </c>
      <c r="C30" s="1961"/>
      <c r="D30" s="1962"/>
      <c r="E30" s="1530">
        <f>IF(INICIO!$C$6&gt;$D$5,0,'[5]INFORME DIARIO'!$E36)</f>
        <v>0</v>
      </c>
      <c r="F30" s="1531">
        <f>IF(INICIO!$C$6&gt;$D$5,0,'[5]INFORME DIARIO'!$F36)</f>
        <v>0</v>
      </c>
      <c r="G30" s="1948"/>
      <c r="H30" s="1949"/>
      <c r="I30" s="1949"/>
      <c r="J30" s="1949"/>
      <c r="K30" s="1950"/>
      <c r="L30" s="1951" t="s">
        <v>169</v>
      </c>
      <c r="M30" s="1952"/>
      <c r="N30" s="1953"/>
      <c r="O30" s="1528">
        <f ca="1">VLOOKUP($D$5,DATOSAÑO!$B$11:$AN$375,35)</f>
        <v>7.5</v>
      </c>
      <c r="P30" s="1529">
        <f t="shared" ca="1" si="0"/>
        <v>16.343048164139638</v>
      </c>
      <c r="Q30" s="2004"/>
      <c r="R30" s="2004"/>
      <c r="S30" s="2004"/>
      <c r="T30" s="2004"/>
      <c r="U30" s="1496"/>
    </row>
    <row r="31" spans="1:29" ht="16.05" customHeight="1">
      <c r="A31" s="1288"/>
      <c r="B31" s="1960" t="s">
        <v>855</v>
      </c>
      <c r="C31" s="1961"/>
      <c r="D31" s="1962"/>
      <c r="E31" s="1530">
        <f>IF(INICIO!$C$6&gt;$D$5,0,'[5]INFORME DIARIO'!$E37)</f>
        <v>0</v>
      </c>
      <c r="F31" s="1531">
        <f>IF(INICIO!$C$6&gt;$D$5,0,'[5]INFORME DIARIO'!$F37)</f>
        <v>0</v>
      </c>
      <c r="G31" s="1948"/>
      <c r="H31" s="1949"/>
      <c r="I31" s="1949"/>
      <c r="J31" s="1949"/>
      <c r="K31" s="1950"/>
      <c r="L31" s="1951" t="s">
        <v>170</v>
      </c>
      <c r="M31" s="1952"/>
      <c r="N31" s="1953"/>
      <c r="O31" s="1528">
        <f ca="1">VLOOKUP($D$5,DATOSAÑO!$B$11:$AN$375,36)</f>
        <v>12.899999999994179</v>
      </c>
      <c r="P31" s="1529">
        <f t="shared" ca="1" si="0"/>
        <v>28.110042842307493</v>
      </c>
      <c r="Q31" s="2004"/>
      <c r="R31" s="2004"/>
      <c r="S31" s="2004"/>
      <c r="T31" s="2004"/>
      <c r="U31" s="1496"/>
    </row>
    <row r="32" spans="1:29" ht="16.05" customHeight="1">
      <c r="A32" s="1288"/>
      <c r="B32" s="1960" t="s">
        <v>856</v>
      </c>
      <c r="C32" s="1961"/>
      <c r="D32" s="1962"/>
      <c r="E32" s="1530">
        <f>IF(INICIO!$C$6&gt;$D$5,0,'[5]INFORME DIARIO'!$E38)</f>
        <v>0</v>
      </c>
      <c r="F32" s="1531">
        <f>IF(INICIO!$C$6&gt;$D$5,0,'[5]INFORME DIARIO'!$F38)</f>
        <v>0</v>
      </c>
      <c r="G32" s="1948"/>
      <c r="H32" s="1949"/>
      <c r="I32" s="1949"/>
      <c r="J32" s="1949"/>
      <c r="K32" s="1950"/>
      <c r="L32" s="1951" t="s">
        <v>171</v>
      </c>
      <c r="M32" s="1952"/>
      <c r="N32" s="1953"/>
      <c r="O32" s="1528">
        <f ca="1">VLOOKUP($D$5,DATOSAÑO!$B$11:$AN$375,37)</f>
        <v>32.600000000005878</v>
      </c>
      <c r="P32" s="1529">
        <f t="shared" ca="1" si="0"/>
        <v>71.037782686806437</v>
      </c>
      <c r="Q32" s="2004"/>
      <c r="R32" s="2004"/>
      <c r="S32" s="2004"/>
      <c r="T32" s="2004"/>
      <c r="U32" s="1496"/>
    </row>
    <row r="33" spans="1:21" ht="16.05" customHeight="1">
      <c r="A33" s="1288"/>
      <c r="B33" s="1960" t="s">
        <v>857</v>
      </c>
      <c r="C33" s="1961"/>
      <c r="D33" s="1962"/>
      <c r="E33" s="1530">
        <f>IF(INICIO!$C$6&gt;$D$5,0,'[5]INFORME DIARIO'!$E39)</f>
        <v>2.1000000000003638</v>
      </c>
      <c r="F33" s="1531">
        <f>IF(INICIO!$C$6&gt;$D$5,0,'[5]INFORME DIARIO'!$F39)</f>
        <v>4.3068738691387223</v>
      </c>
      <c r="G33" s="1948"/>
      <c r="H33" s="1949"/>
      <c r="I33" s="1949"/>
      <c r="J33" s="1949"/>
      <c r="K33" s="1950"/>
      <c r="L33" s="1951" t="s">
        <v>858</v>
      </c>
      <c r="M33" s="1952"/>
      <c r="N33" s="1953"/>
      <c r="O33" s="1528">
        <f ca="1">VLOOKUP($D$5,DATOSAÑO!$B$11:$CN$375,85)</f>
        <v>5.6194999999998636</v>
      </c>
      <c r="P33" s="1529">
        <f t="shared" ca="1" si="0"/>
        <v>12.245301221117394</v>
      </c>
      <c r="Q33" s="2004"/>
      <c r="R33" s="2004"/>
      <c r="S33" s="2004"/>
      <c r="T33" s="2004"/>
      <c r="U33" s="1496"/>
    </row>
    <row r="34" spans="1:21" ht="16.05" customHeight="1">
      <c r="A34" s="1288"/>
      <c r="B34" s="1960" t="s">
        <v>1467</v>
      </c>
      <c r="C34" s="1961"/>
      <c r="D34" s="1962"/>
      <c r="E34" s="1530">
        <f>IF(INICIO!$C$6&gt;$D$5,0,'[5]INFORME DIARIO'!$E40)</f>
        <v>0</v>
      </c>
      <c r="F34" s="1531">
        <f>IF(INICIO!$C$6&gt;$D$5,0,'[5]INFORME DIARIO'!$F40)</f>
        <v>0</v>
      </c>
      <c r="G34" s="1948"/>
      <c r="H34" s="1949"/>
      <c r="I34" s="1949"/>
      <c r="J34" s="1949"/>
      <c r="K34" s="1950"/>
      <c r="L34" s="1951" t="s">
        <v>203</v>
      </c>
      <c r="M34" s="1952"/>
      <c r="N34" s="1953"/>
      <c r="O34" s="1528">
        <f ca="1">VLOOKUP($D$5,DATOSAÑO!$B$11:$CN$375,88)</f>
        <v>2.8422000000001635</v>
      </c>
      <c r="P34" s="1529">
        <f t="shared" ca="1" si="0"/>
        <v>6.1933615322827125</v>
      </c>
      <c r="Q34" s="2004"/>
      <c r="R34" s="2004"/>
      <c r="S34" s="2004"/>
      <c r="T34" s="2004"/>
      <c r="U34" s="1496"/>
    </row>
    <row r="35" spans="1:21" ht="16.05" customHeight="1">
      <c r="A35" s="1288"/>
      <c r="B35" s="1960" t="s">
        <v>1468</v>
      </c>
      <c r="C35" s="1961"/>
      <c r="D35" s="1962"/>
      <c r="E35" s="1530">
        <f>IF(INICIO!$C$6&gt;$D$5,0,'[5]INFORME DIARIO'!$E41)</f>
        <v>45.19999999999709</v>
      </c>
      <c r="F35" s="1531">
        <f>IF(INICIO!$C$6&gt;$D$5,0,'[5]INFORME DIARIO'!$F41)</f>
        <v>92.700332802392367</v>
      </c>
      <c r="G35" s="1948"/>
      <c r="H35" s="1949"/>
      <c r="I35" s="1949"/>
      <c r="J35" s="1949"/>
      <c r="K35" s="1950"/>
      <c r="L35" s="1969" t="s">
        <v>1228</v>
      </c>
      <c r="M35" s="1970"/>
      <c r="N35" s="1971"/>
      <c r="O35" s="1528">
        <f ca="1">VLOOKUP($D$5,DATOSAÑO!$B$11:$CF$375,70)</f>
        <v>2</v>
      </c>
      <c r="P35" s="1529">
        <f t="shared" ca="1" si="0"/>
        <v>4.3581461771039036</v>
      </c>
      <c r="Q35" s="2004"/>
      <c r="R35" s="2004"/>
      <c r="S35" s="2004"/>
      <c r="T35" s="2004"/>
      <c r="U35" s="1496"/>
    </row>
    <row r="36" spans="1:21" ht="16.05" customHeight="1">
      <c r="A36" s="1288"/>
      <c r="B36" s="1960" t="s">
        <v>859</v>
      </c>
      <c r="C36" s="1961"/>
      <c r="D36" s="1962"/>
      <c r="E36" s="1530">
        <f>IF(INICIO!$C$6&gt;$D$5,0,'[5]INFORME DIARIO'!$E42)</f>
        <v>94.300000000001091</v>
      </c>
      <c r="F36" s="1531">
        <f>IF(INICIO!$C$6&gt;$D$5,0,'[5]INFORME DIARIO'!$F42)</f>
        <v>193.39914564748372</v>
      </c>
      <c r="G36" s="1948"/>
      <c r="H36" s="1949"/>
      <c r="I36" s="1949"/>
      <c r="J36" s="1949"/>
      <c r="K36" s="1950"/>
      <c r="L36" s="1969" t="s">
        <v>1229</v>
      </c>
      <c r="M36" s="1970"/>
      <c r="N36" s="1971"/>
      <c r="O36" s="1528">
        <f ca="1">VLOOKUP($D$5,DATOSAÑO!$B$11:$CF$375,73)</f>
        <v>5.0609999999999999</v>
      </c>
      <c r="P36" s="1529">
        <f t="shared" ca="1" si="0"/>
        <v>11.028288901161426</v>
      </c>
      <c r="Q36" s="2004"/>
      <c r="R36" s="2004"/>
      <c r="S36" s="2004"/>
      <c r="T36" s="2004"/>
      <c r="U36" s="1496"/>
    </row>
    <row r="37" spans="1:21" ht="16.05" customHeight="1">
      <c r="A37" s="1288"/>
      <c r="B37" s="1957"/>
      <c r="C37" s="1958"/>
      <c r="D37" s="1959"/>
      <c r="E37" s="1532"/>
      <c r="F37" s="1532"/>
      <c r="G37" s="1936"/>
      <c r="H37" s="1937"/>
      <c r="I37" s="1937"/>
      <c r="J37" s="1937"/>
      <c r="K37" s="1938"/>
      <c r="L37" s="1969" t="s">
        <v>1230</v>
      </c>
      <c r="M37" s="1970"/>
      <c r="N37" s="1971"/>
      <c r="O37" s="1528">
        <f ca="1">VLOOKUP($D$5,DATOSAÑO!$B$11:$CF$375,76)</f>
        <v>0</v>
      </c>
      <c r="P37" s="1529">
        <f t="shared" ca="1" si="0"/>
        <v>0</v>
      </c>
      <c r="Q37" s="2004"/>
      <c r="R37" s="2004"/>
      <c r="S37" s="2004"/>
      <c r="T37" s="2004"/>
      <c r="U37" s="1496"/>
    </row>
    <row r="38" spans="1:21" ht="16.05" customHeight="1">
      <c r="A38" s="1288"/>
      <c r="B38" s="1957"/>
      <c r="C38" s="1958"/>
      <c r="D38" s="1959"/>
      <c r="E38" s="1532"/>
      <c r="F38" s="1532"/>
      <c r="G38" s="1936"/>
      <c r="H38" s="1937"/>
      <c r="I38" s="1937"/>
      <c r="J38" s="1937"/>
      <c r="K38" s="1938"/>
      <c r="L38" s="1969" t="s">
        <v>1234</v>
      </c>
      <c r="M38" s="1970"/>
      <c r="N38" s="1971"/>
      <c r="O38" s="1528">
        <f ca="1">VLOOKUP($D$5,DATOSAÑO!$B$11:$CL$375,83)</f>
        <v>12.119499999999864</v>
      </c>
      <c r="P38" s="1529">
        <f t="shared" ca="1" si="0"/>
        <v>26.409276296705084</v>
      </c>
      <c r="Q38" s="2004"/>
      <c r="R38" s="2004"/>
      <c r="S38" s="2004"/>
      <c r="T38" s="2004"/>
      <c r="U38" s="1496"/>
    </row>
    <row r="39" spans="1:21" ht="16.05" customHeight="1">
      <c r="A39" s="1288"/>
      <c r="B39" s="1957"/>
      <c r="C39" s="1958"/>
      <c r="D39" s="1959"/>
      <c r="E39" s="1532"/>
      <c r="F39" s="1532"/>
      <c r="G39" s="1936"/>
      <c r="H39" s="1937"/>
      <c r="I39" s="1937"/>
      <c r="J39" s="1937"/>
      <c r="K39" s="1938"/>
      <c r="L39" s="1969" t="s">
        <v>1238</v>
      </c>
      <c r="M39" s="1970"/>
      <c r="N39" s="1971"/>
      <c r="O39" s="1528">
        <f ca="1">VLOOKUP($D$5,DATOSAÑO!$B$11:$CO$375,89)</f>
        <v>3.3578000000001094</v>
      </c>
      <c r="P39" s="1529">
        <f t="shared" ca="1" si="0"/>
        <v>7.3168916167399809</v>
      </c>
      <c r="Q39" s="2004"/>
      <c r="R39" s="2004"/>
      <c r="S39" s="2004"/>
      <c r="T39" s="2004"/>
      <c r="U39" s="1496"/>
    </row>
    <row r="40" spans="1:21" ht="16.05" customHeight="1">
      <c r="A40" s="1288"/>
      <c r="B40" s="1928" t="s">
        <v>948</v>
      </c>
      <c r="C40" s="1929"/>
      <c r="D40" s="1930"/>
      <c r="E40" s="1537">
        <f>SUM(E26:E39)</f>
        <v>399</v>
      </c>
      <c r="F40" s="1537">
        <f>SUM(F26:F39)</f>
        <v>818.30603513621531</v>
      </c>
      <c r="G40" s="2000"/>
      <c r="H40" s="2001"/>
      <c r="I40" s="2001"/>
      <c r="J40" s="2001"/>
      <c r="K40" s="2002"/>
      <c r="L40" s="2003" t="s">
        <v>983</v>
      </c>
      <c r="M40" s="1929"/>
      <c r="N40" s="1930"/>
      <c r="O40" s="1537">
        <f ca="1">SUM(O26:O39)</f>
        <v>448</v>
      </c>
      <c r="P40" s="1537">
        <f ca="1">SUM(P26:P39)</f>
        <v>976.2247436712745</v>
      </c>
      <c r="Q40" s="1945"/>
      <c r="R40" s="1946"/>
      <c r="S40" s="1946"/>
      <c r="T40" s="1947"/>
      <c r="U40" s="1496"/>
    </row>
    <row r="41" spans="1:21" ht="16.05" customHeight="1">
      <c r="A41" s="1288"/>
      <c r="B41" s="1939" t="s">
        <v>860</v>
      </c>
      <c r="C41" s="1940"/>
      <c r="D41" s="1943" t="s">
        <v>901</v>
      </c>
      <c r="E41" s="1943"/>
      <c r="F41" s="1943"/>
      <c r="G41" s="1943"/>
      <c r="H41" s="1943"/>
      <c r="I41" s="1943"/>
      <c r="J41" s="1943"/>
      <c r="K41" s="1943"/>
      <c r="L41" s="1943"/>
      <c r="M41" s="1943"/>
      <c r="N41" s="1943"/>
      <c r="O41" s="1943"/>
      <c r="P41" s="1943"/>
      <c r="Q41" s="1943"/>
      <c r="R41" s="1943"/>
      <c r="S41" s="1943"/>
      <c r="T41" s="1944"/>
      <c r="U41" s="1496"/>
    </row>
    <row r="42" spans="1:21" ht="16.95" customHeight="1">
      <c r="A42" s="1288"/>
      <c r="B42" s="1931" t="s">
        <v>1526</v>
      </c>
      <c r="C42" s="1932"/>
      <c r="D42" s="1932"/>
      <c r="E42" s="1932"/>
      <c r="F42" s="1932"/>
      <c r="G42" s="1932"/>
      <c r="H42" s="1932"/>
      <c r="I42" s="1932"/>
      <c r="J42" s="1932"/>
      <c r="K42" s="1932"/>
      <c r="L42" s="1932"/>
      <c r="M42" s="1932"/>
      <c r="N42" s="1932"/>
      <c r="O42" s="1932"/>
      <c r="P42" s="1932"/>
      <c r="Q42" s="1932"/>
      <c r="R42" s="1932"/>
      <c r="S42" s="1932"/>
      <c r="T42" s="1932"/>
      <c r="U42" s="1496"/>
    </row>
    <row r="43" spans="1:21" ht="16.95" customHeight="1">
      <c r="A43" s="1288"/>
      <c r="B43" s="1931" t="s">
        <v>1520</v>
      </c>
      <c r="C43" s="1932"/>
      <c r="D43" s="1932"/>
      <c r="E43" s="1932"/>
      <c r="F43" s="1932"/>
      <c r="G43" s="1932"/>
      <c r="H43" s="1932"/>
      <c r="I43" s="1932"/>
      <c r="J43" s="1932"/>
      <c r="K43" s="1932"/>
      <c r="L43" s="1932"/>
      <c r="M43" s="1932"/>
      <c r="N43" s="1932"/>
      <c r="O43" s="1932"/>
      <c r="P43" s="1932"/>
      <c r="Q43" s="1932"/>
      <c r="R43" s="1932"/>
      <c r="S43" s="1932"/>
      <c r="T43" s="1932"/>
      <c r="U43" s="1496"/>
    </row>
    <row r="44" spans="1:21" ht="16.95" customHeight="1">
      <c r="A44" s="1288"/>
      <c r="B44" s="1931" t="s">
        <v>1510</v>
      </c>
      <c r="C44" s="1932"/>
      <c r="D44" s="1932"/>
      <c r="E44" s="1932"/>
      <c r="F44" s="1932"/>
      <c r="G44" s="1932"/>
      <c r="H44" s="1932"/>
      <c r="I44" s="1932"/>
      <c r="J44" s="1932"/>
      <c r="K44" s="1932"/>
      <c r="L44" s="1932"/>
      <c r="M44" s="1932"/>
      <c r="N44" s="1932"/>
      <c r="O44" s="1932"/>
      <c r="P44" s="1932"/>
      <c r="Q44" s="1932"/>
      <c r="R44" s="1932"/>
      <c r="S44" s="1932"/>
      <c r="T44" s="1932"/>
      <c r="U44" s="1496"/>
    </row>
    <row r="45" spans="1:21" ht="16.95" customHeight="1">
      <c r="A45" s="1288"/>
      <c r="B45" s="1931" t="s">
        <v>1513</v>
      </c>
      <c r="C45" s="1932"/>
      <c r="D45" s="1932"/>
      <c r="E45" s="1932"/>
      <c r="F45" s="1932"/>
      <c r="G45" s="1932"/>
      <c r="H45" s="1932"/>
      <c r="I45" s="1932"/>
      <c r="J45" s="1932"/>
      <c r="K45" s="1932"/>
      <c r="L45" s="1932"/>
      <c r="M45" s="1932"/>
      <c r="N45" s="1932"/>
      <c r="O45" s="1932"/>
      <c r="P45" s="1932"/>
      <c r="Q45" s="1932"/>
      <c r="R45" s="1932"/>
      <c r="S45" s="1932"/>
      <c r="T45" s="1932"/>
      <c r="U45" s="1496"/>
    </row>
    <row r="46" spans="1:21" ht="16.95" hidden="1" customHeight="1">
      <c r="A46" s="1288"/>
      <c r="B46" s="1931"/>
      <c r="C46" s="1932"/>
      <c r="D46" s="1932"/>
      <c r="E46" s="1932"/>
      <c r="F46" s="1932"/>
      <c r="G46" s="1932"/>
      <c r="H46" s="1932"/>
      <c r="I46" s="1932"/>
      <c r="J46" s="1932"/>
      <c r="K46" s="1932"/>
      <c r="L46" s="1932"/>
      <c r="M46" s="1932"/>
      <c r="N46" s="1932"/>
      <c r="O46" s="1932"/>
      <c r="P46" s="1932"/>
      <c r="Q46" s="1932"/>
      <c r="R46" s="1932"/>
      <c r="S46" s="1932"/>
      <c r="T46" s="1932"/>
      <c r="U46" s="1496"/>
    </row>
    <row r="47" spans="1:21" ht="16.95" hidden="1" customHeight="1">
      <c r="A47" s="1288"/>
      <c r="B47" s="1931"/>
      <c r="C47" s="1932"/>
      <c r="D47" s="1932"/>
      <c r="E47" s="1932"/>
      <c r="F47" s="1932"/>
      <c r="G47" s="1932"/>
      <c r="H47" s="1932"/>
      <c r="I47" s="1932"/>
      <c r="J47" s="1932"/>
      <c r="K47" s="1932"/>
      <c r="L47" s="1932"/>
      <c r="M47" s="1932"/>
      <c r="N47" s="1932"/>
      <c r="O47" s="1932"/>
      <c r="P47" s="1932"/>
      <c r="Q47" s="1932"/>
      <c r="R47" s="1932"/>
      <c r="S47" s="1932"/>
      <c r="T47" s="1932"/>
      <c r="U47" s="1496"/>
    </row>
    <row r="48" spans="1:21" ht="16.05" customHeight="1">
      <c r="A48" s="1288"/>
      <c r="B48" s="1939" t="s">
        <v>71</v>
      </c>
      <c r="C48" s="1940"/>
      <c r="D48" s="1944" t="s">
        <v>901</v>
      </c>
      <c r="E48" s="1972"/>
      <c r="F48" s="1972"/>
      <c r="G48" s="1972"/>
      <c r="H48" s="1972"/>
      <c r="I48" s="1972"/>
      <c r="J48" s="1972"/>
      <c r="K48" s="1972"/>
      <c r="L48" s="1972"/>
      <c r="M48" s="1972"/>
      <c r="N48" s="1972"/>
      <c r="O48" s="1972"/>
      <c r="P48" s="1972"/>
      <c r="Q48" s="1972"/>
      <c r="R48" s="1972"/>
      <c r="S48" s="1972"/>
      <c r="T48" s="1972"/>
      <c r="U48" s="1496"/>
    </row>
    <row r="49" spans="1:21" ht="16.05" customHeight="1">
      <c r="A49" s="1288"/>
      <c r="B49" s="1931" t="s">
        <v>1523</v>
      </c>
      <c r="C49" s="1931"/>
      <c r="D49" s="1931"/>
      <c r="E49" s="1931"/>
      <c r="F49" s="1931"/>
      <c r="G49" s="1931"/>
      <c r="H49" s="1931"/>
      <c r="I49" s="1931"/>
      <c r="J49" s="1931"/>
      <c r="K49" s="1931"/>
      <c r="L49" s="1931"/>
      <c r="M49" s="1931"/>
      <c r="N49" s="1931"/>
      <c r="O49" s="1931"/>
      <c r="P49" s="1931"/>
      <c r="Q49" s="1931"/>
      <c r="R49" s="1931"/>
      <c r="S49" s="1931"/>
      <c r="T49" s="1931"/>
      <c r="U49" s="1496"/>
    </row>
    <row r="50" spans="1:21" ht="1.95" customHeight="1">
      <c r="A50" s="1288"/>
      <c r="B50" s="1931"/>
      <c r="C50" s="1931"/>
      <c r="D50" s="1931"/>
      <c r="E50" s="1931"/>
      <c r="F50" s="1931"/>
      <c r="G50" s="1931"/>
      <c r="H50" s="1931"/>
      <c r="I50" s="1931"/>
      <c r="J50" s="1931"/>
      <c r="K50" s="1931"/>
      <c r="L50" s="1931"/>
      <c r="M50" s="1931"/>
      <c r="N50" s="1931"/>
      <c r="O50" s="1931"/>
      <c r="P50" s="1931"/>
      <c r="Q50" s="1931"/>
      <c r="R50" s="1931"/>
      <c r="S50" s="1931"/>
      <c r="T50" s="1931"/>
      <c r="U50" s="1496"/>
    </row>
    <row r="51" spans="1:21" ht="30" customHeight="1">
      <c r="A51" s="1291"/>
      <c r="B51" s="1494" t="s">
        <v>1277</v>
      </c>
      <c r="C51" s="1494"/>
      <c r="D51" s="1494"/>
      <c r="E51" s="1494"/>
      <c r="F51" s="1494"/>
      <c r="G51" s="1494"/>
      <c r="H51" s="1494"/>
      <c r="I51" s="1494"/>
      <c r="J51" s="1494"/>
      <c r="K51" s="1494"/>
      <c r="L51" s="1494"/>
      <c r="M51" s="1494"/>
      <c r="N51" s="1494"/>
      <c r="O51" s="1494"/>
      <c r="P51" s="1494"/>
      <c r="Q51" s="1494"/>
      <c r="R51" s="1494"/>
      <c r="S51" s="1494"/>
      <c r="T51" s="1494"/>
      <c r="U51" s="1496"/>
    </row>
    <row r="52" spans="1:21" ht="30" customHeight="1">
      <c r="A52" s="1288"/>
      <c r="B52" s="1941" t="s">
        <v>1184</v>
      </c>
      <c r="C52" s="1941"/>
      <c r="D52" s="1941"/>
      <c r="E52" s="1941"/>
      <c r="F52" s="1941"/>
      <c r="G52" s="1941"/>
      <c r="H52" s="1941"/>
      <c r="I52" s="1941"/>
      <c r="J52" s="1941"/>
      <c r="K52" s="1941"/>
      <c r="L52" s="1941"/>
      <c r="M52" s="1941"/>
      <c r="N52" s="1941"/>
      <c r="O52" s="1941"/>
      <c r="P52" s="1941"/>
      <c r="Q52" s="1941"/>
      <c r="R52" s="1941"/>
      <c r="S52" s="1941"/>
      <c r="T52" s="1941"/>
      <c r="U52" s="1496"/>
    </row>
    <row r="53" spans="1:21" ht="16.05" customHeight="1">
      <c r="A53" s="1288"/>
      <c r="B53" s="1964" t="s">
        <v>288</v>
      </c>
      <c r="C53" s="1965"/>
      <c r="D53" s="1928" t="s">
        <v>861</v>
      </c>
      <c r="E53" s="1929"/>
      <c r="F53" s="1929"/>
      <c r="G53" s="1929"/>
      <c r="H53" s="1929"/>
      <c r="I53" s="1954"/>
      <c r="J53" s="1928" t="s">
        <v>862</v>
      </c>
      <c r="K53" s="1929"/>
      <c r="L53" s="1929"/>
      <c r="M53" s="1929"/>
      <c r="N53" s="1929"/>
      <c r="O53" s="1954"/>
      <c r="P53" s="1998" t="s">
        <v>863</v>
      </c>
      <c r="Q53" s="1941" t="s">
        <v>812</v>
      </c>
      <c r="R53" s="1941"/>
      <c r="S53" s="1941"/>
      <c r="T53" s="1941"/>
      <c r="U53" s="1496"/>
    </row>
    <row r="54" spans="1:21" ht="16.05" customHeight="1">
      <c r="A54" s="1288"/>
      <c r="B54" s="1966"/>
      <c r="C54" s="1967"/>
      <c r="D54" s="1941" t="s">
        <v>400</v>
      </c>
      <c r="E54" s="1941"/>
      <c r="F54" s="1941"/>
      <c r="G54" s="1941" t="s">
        <v>401</v>
      </c>
      <c r="H54" s="1941"/>
      <c r="I54" s="1941"/>
      <c r="J54" s="1928" t="s">
        <v>400</v>
      </c>
      <c r="K54" s="1929"/>
      <c r="L54" s="1930"/>
      <c r="M54" s="1928" t="s">
        <v>401</v>
      </c>
      <c r="N54" s="1929"/>
      <c r="O54" s="1930"/>
      <c r="P54" s="1999"/>
      <c r="Q54" s="1941"/>
      <c r="R54" s="1941"/>
      <c r="S54" s="1941"/>
      <c r="T54" s="1941"/>
      <c r="U54" s="1496"/>
    </row>
    <row r="55" spans="1:21" ht="16.05" customHeight="1">
      <c r="A55" s="1288"/>
      <c r="B55" s="1955"/>
      <c r="C55" s="1956"/>
      <c r="D55" s="1968"/>
      <c r="E55" s="1968"/>
      <c r="F55" s="1968"/>
      <c r="G55" s="1968"/>
      <c r="H55" s="1968"/>
      <c r="I55" s="1968"/>
      <c r="J55" s="1968"/>
      <c r="K55" s="1968"/>
      <c r="L55" s="1968"/>
      <c r="M55" s="1963"/>
      <c r="N55" s="1963"/>
      <c r="O55" s="1963"/>
      <c r="P55" s="1533"/>
      <c r="Q55" s="1942"/>
      <c r="R55" s="1942"/>
      <c r="S55" s="1942"/>
      <c r="T55" s="1942"/>
      <c r="U55" s="1496"/>
    </row>
    <row r="56" spans="1:21" ht="16.05" customHeight="1">
      <c r="A56" s="1288"/>
      <c r="B56" s="2049" t="s">
        <v>846</v>
      </c>
      <c r="C56" s="2049"/>
      <c r="D56" s="1941" t="s">
        <v>906</v>
      </c>
      <c r="E56" s="1941"/>
      <c r="F56" s="1941"/>
      <c r="G56" s="1941"/>
      <c r="H56" s="1941"/>
      <c r="I56" s="1941"/>
      <c r="J56" s="1941"/>
      <c r="K56" s="1941"/>
      <c r="L56" s="1941"/>
      <c r="M56" s="1941"/>
      <c r="N56" s="1941"/>
      <c r="O56" s="1941"/>
      <c r="P56" s="1941"/>
      <c r="Q56" s="1941"/>
      <c r="R56" s="1941"/>
      <c r="S56" s="1941"/>
      <c r="T56" s="1941"/>
      <c r="U56" s="1496"/>
    </row>
    <row r="57" spans="1:21" ht="16.95" customHeight="1">
      <c r="A57" s="1288"/>
      <c r="B57" s="1931" t="s">
        <v>1525</v>
      </c>
      <c r="C57" s="1932"/>
      <c r="D57" s="1932"/>
      <c r="E57" s="1932"/>
      <c r="F57" s="1932"/>
      <c r="G57" s="1932"/>
      <c r="H57" s="1932"/>
      <c r="I57" s="1932"/>
      <c r="J57" s="1932"/>
      <c r="K57" s="1932"/>
      <c r="L57" s="1932"/>
      <c r="M57" s="1932"/>
      <c r="N57" s="1932"/>
      <c r="O57" s="1932"/>
      <c r="P57" s="1932"/>
      <c r="Q57" s="1932"/>
      <c r="R57" s="1932"/>
      <c r="S57" s="1932"/>
      <c r="T57" s="1932"/>
      <c r="U57" s="1496"/>
    </row>
    <row r="58" spans="1:21" ht="1.95" customHeight="1">
      <c r="A58" s="1288"/>
      <c r="B58" s="1933"/>
      <c r="C58" s="1934"/>
      <c r="D58" s="1934"/>
      <c r="E58" s="1934"/>
      <c r="F58" s="1934"/>
      <c r="G58" s="1934"/>
      <c r="H58" s="1934"/>
      <c r="I58" s="1934"/>
      <c r="J58" s="1934"/>
      <c r="K58" s="1934"/>
      <c r="L58" s="1934"/>
      <c r="M58" s="1934"/>
      <c r="N58" s="1934"/>
      <c r="O58" s="1934"/>
      <c r="P58" s="1934"/>
      <c r="Q58" s="1934"/>
      <c r="R58" s="1934"/>
      <c r="S58" s="1934"/>
      <c r="T58" s="1935"/>
      <c r="U58" s="1496"/>
    </row>
    <row r="59" spans="1:21" ht="1.95" customHeight="1">
      <c r="A59" s="1288"/>
      <c r="B59" s="1933"/>
      <c r="C59" s="1934"/>
      <c r="D59" s="1934"/>
      <c r="E59" s="1934"/>
      <c r="F59" s="1934"/>
      <c r="G59" s="1934"/>
      <c r="H59" s="1934"/>
      <c r="I59" s="1934"/>
      <c r="J59" s="1934"/>
      <c r="K59" s="1934"/>
      <c r="L59" s="1934"/>
      <c r="M59" s="1934"/>
      <c r="N59" s="1934"/>
      <c r="O59" s="1934"/>
      <c r="P59" s="1934"/>
      <c r="Q59" s="1934"/>
      <c r="R59" s="1934"/>
      <c r="S59" s="1934"/>
      <c r="T59" s="1935"/>
      <c r="U59" s="1496"/>
    </row>
    <row r="60" spans="1:21" ht="15.6">
      <c r="A60" s="1288"/>
      <c r="B60" s="1964" t="s">
        <v>288</v>
      </c>
      <c r="C60" s="1965"/>
      <c r="D60" s="1928" t="s">
        <v>861</v>
      </c>
      <c r="E60" s="1929"/>
      <c r="F60" s="1929"/>
      <c r="G60" s="1929"/>
      <c r="H60" s="1929"/>
      <c r="I60" s="1930"/>
      <c r="J60" s="1928" t="s">
        <v>862</v>
      </c>
      <c r="K60" s="1929"/>
      <c r="L60" s="1929"/>
      <c r="M60" s="1929"/>
      <c r="N60" s="1929"/>
      <c r="O60" s="1930"/>
      <c r="P60" s="1998" t="s">
        <v>863</v>
      </c>
      <c r="Q60" s="1941" t="s">
        <v>812</v>
      </c>
      <c r="R60" s="1941"/>
      <c r="S60" s="1941"/>
      <c r="T60" s="1941"/>
      <c r="U60" s="1496"/>
    </row>
    <row r="61" spans="1:21" ht="16.05" customHeight="1">
      <c r="A61" s="1288"/>
      <c r="B61" s="1966"/>
      <c r="C61" s="1967"/>
      <c r="D61" s="1941" t="s">
        <v>400</v>
      </c>
      <c r="E61" s="1941"/>
      <c r="F61" s="1941"/>
      <c r="G61" s="1941" t="s">
        <v>401</v>
      </c>
      <c r="H61" s="1941"/>
      <c r="I61" s="1941"/>
      <c r="J61" s="1928" t="s">
        <v>400</v>
      </c>
      <c r="K61" s="1929"/>
      <c r="L61" s="1930"/>
      <c r="M61" s="1928" t="s">
        <v>401</v>
      </c>
      <c r="N61" s="1929"/>
      <c r="O61" s="1930"/>
      <c r="P61" s="1999"/>
      <c r="Q61" s="1941"/>
      <c r="R61" s="1941"/>
      <c r="S61" s="1941"/>
      <c r="T61" s="1941"/>
      <c r="U61" s="1496"/>
    </row>
    <row r="62" spans="1:21" ht="16.05" customHeight="1">
      <c r="A62" s="1288"/>
      <c r="B62" s="1933"/>
      <c r="C62" s="1934"/>
      <c r="D62" s="2046"/>
      <c r="E62" s="2046"/>
      <c r="F62" s="2046"/>
      <c r="G62" s="2047"/>
      <c r="H62" s="2047"/>
      <c r="I62" s="2048"/>
      <c r="J62" s="2046"/>
      <c r="K62" s="2046"/>
      <c r="L62" s="2046"/>
      <c r="M62" s="2050"/>
      <c r="N62" s="2050"/>
      <c r="O62" s="2050"/>
      <c r="P62" s="1534"/>
      <c r="Q62" s="1942"/>
      <c r="R62" s="1942"/>
      <c r="S62" s="1942"/>
      <c r="T62" s="1942"/>
      <c r="U62" s="1496"/>
    </row>
    <row r="63" spans="1:21" ht="16.05" customHeight="1">
      <c r="A63" s="1288"/>
      <c r="B63" s="2005" t="s">
        <v>71</v>
      </c>
      <c r="C63" s="2005"/>
      <c r="D63" s="1972" t="s">
        <v>906</v>
      </c>
      <c r="E63" s="1972"/>
      <c r="F63" s="1972"/>
      <c r="G63" s="1972"/>
      <c r="H63" s="1972"/>
      <c r="I63" s="1972"/>
      <c r="J63" s="1972"/>
      <c r="K63" s="1972"/>
      <c r="L63" s="1972"/>
      <c r="M63" s="1972"/>
      <c r="N63" s="1972"/>
      <c r="O63" s="1972"/>
      <c r="P63" s="1972"/>
      <c r="Q63" s="1972"/>
      <c r="R63" s="1972"/>
      <c r="S63" s="1972"/>
      <c r="T63" s="1972"/>
      <c r="U63" s="1496"/>
    </row>
    <row r="64" spans="1:21" ht="16.95" customHeight="1">
      <c r="A64" s="1288"/>
      <c r="B64" s="1927" t="s">
        <v>1522</v>
      </c>
      <c r="C64" s="1927"/>
      <c r="D64" s="1927"/>
      <c r="E64" s="1927"/>
      <c r="F64" s="1927"/>
      <c r="G64" s="1927"/>
      <c r="H64" s="1927"/>
      <c r="I64" s="1927"/>
      <c r="J64" s="1927"/>
      <c r="K64" s="1927"/>
      <c r="L64" s="1927"/>
      <c r="M64" s="1927"/>
      <c r="N64" s="1927"/>
      <c r="O64" s="1927"/>
      <c r="P64" s="1927"/>
      <c r="Q64" s="1927"/>
      <c r="R64" s="1927"/>
      <c r="S64" s="1927"/>
      <c r="T64" s="1927"/>
      <c r="U64" s="1496"/>
    </row>
    <row r="65" spans="1:21" ht="16.95" customHeight="1">
      <c r="A65" s="1288"/>
      <c r="B65" s="1927"/>
      <c r="C65" s="1927"/>
      <c r="D65" s="1927"/>
      <c r="E65" s="1927"/>
      <c r="F65" s="1927"/>
      <c r="G65" s="1927"/>
      <c r="H65" s="1927"/>
      <c r="I65" s="1927"/>
      <c r="J65" s="1927"/>
      <c r="K65" s="1927"/>
      <c r="L65" s="1927"/>
      <c r="M65" s="1927"/>
      <c r="N65" s="1927"/>
      <c r="O65" s="1927"/>
      <c r="P65" s="1927"/>
      <c r="Q65" s="1927"/>
      <c r="R65" s="1927"/>
      <c r="S65" s="1927"/>
      <c r="T65" s="1927"/>
      <c r="U65" s="1496"/>
    </row>
    <row r="66" spans="1:21" ht="1.95" customHeight="1">
      <c r="A66" s="1288"/>
      <c r="B66" s="1927"/>
      <c r="C66" s="1927"/>
      <c r="D66" s="1927"/>
      <c r="E66" s="1927"/>
      <c r="F66" s="1927"/>
      <c r="G66" s="1927"/>
      <c r="H66" s="1927"/>
      <c r="I66" s="1927"/>
      <c r="J66" s="1927"/>
      <c r="K66" s="1927"/>
      <c r="L66" s="1927"/>
      <c r="M66" s="1927"/>
      <c r="N66" s="1927"/>
      <c r="O66" s="1927"/>
      <c r="P66" s="1927"/>
      <c r="Q66" s="1927"/>
      <c r="R66" s="1927"/>
      <c r="S66" s="1927"/>
      <c r="T66" s="1927"/>
      <c r="U66" s="1496"/>
    </row>
    <row r="67" spans="1:21" ht="1.95" customHeight="1">
      <c r="A67" s="1288"/>
      <c r="B67" s="1927"/>
      <c r="C67" s="1927"/>
      <c r="D67" s="1927"/>
      <c r="E67" s="1927"/>
      <c r="F67" s="1927"/>
      <c r="G67" s="1927"/>
      <c r="H67" s="1927"/>
      <c r="I67" s="1927"/>
      <c r="J67" s="1927"/>
      <c r="K67" s="1927"/>
      <c r="L67" s="1927"/>
      <c r="M67" s="1927"/>
      <c r="N67" s="1927"/>
      <c r="O67" s="1927"/>
      <c r="P67" s="1927"/>
      <c r="Q67" s="1927"/>
      <c r="R67" s="1927"/>
      <c r="S67" s="1927"/>
      <c r="T67" s="1927"/>
      <c r="U67" s="1496"/>
    </row>
    <row r="68" spans="1:21" ht="1.95" customHeight="1">
      <c r="A68" s="1288"/>
      <c r="B68" s="1927"/>
      <c r="C68" s="1927"/>
      <c r="D68" s="1927"/>
      <c r="E68" s="1927"/>
      <c r="F68" s="1927"/>
      <c r="G68" s="1927"/>
      <c r="H68" s="1927"/>
      <c r="I68" s="1927"/>
      <c r="J68" s="1927"/>
      <c r="K68" s="1927"/>
      <c r="L68" s="1927"/>
      <c r="M68" s="1927"/>
      <c r="N68" s="1927"/>
      <c r="O68" s="1927"/>
      <c r="P68" s="1927"/>
      <c r="Q68" s="1927"/>
      <c r="R68" s="1927"/>
      <c r="S68" s="1927"/>
      <c r="T68" s="1927"/>
      <c r="U68" s="1496"/>
    </row>
    <row r="69" spans="1:21" ht="1.95" customHeight="1">
      <c r="A69" s="1288"/>
      <c r="B69" s="1927"/>
      <c r="C69" s="1927"/>
      <c r="D69" s="1927"/>
      <c r="E69" s="1927"/>
      <c r="F69" s="1927"/>
      <c r="G69" s="1927"/>
      <c r="H69" s="1927"/>
      <c r="I69" s="1927"/>
      <c r="J69" s="1927"/>
      <c r="K69" s="1927"/>
      <c r="L69" s="1927"/>
      <c r="M69" s="1927"/>
      <c r="N69" s="1927"/>
      <c r="O69" s="1927"/>
      <c r="P69" s="1927"/>
      <c r="Q69" s="1927"/>
      <c r="R69" s="1927"/>
      <c r="S69" s="1927"/>
      <c r="T69" s="1927"/>
      <c r="U69" s="1496"/>
    </row>
    <row r="70" spans="1:21" ht="16.95" hidden="1" customHeight="1">
      <c r="A70" s="1288"/>
      <c r="B70" s="1927"/>
      <c r="C70" s="1927"/>
      <c r="D70" s="1927"/>
      <c r="E70" s="1927"/>
      <c r="F70" s="1927"/>
      <c r="G70" s="1927"/>
      <c r="H70" s="1927"/>
      <c r="I70" s="1927"/>
      <c r="J70" s="1927"/>
      <c r="K70" s="1927"/>
      <c r="L70" s="1927"/>
      <c r="M70" s="1927"/>
      <c r="N70" s="1927"/>
      <c r="O70" s="1927"/>
      <c r="P70" s="1927"/>
      <c r="Q70" s="1927"/>
      <c r="R70" s="1927"/>
      <c r="S70" s="1927"/>
      <c r="T70" s="1927"/>
      <c r="U70" s="1496"/>
    </row>
    <row r="71" spans="1:21" ht="15" thickBot="1">
      <c r="A71" s="2043"/>
      <c r="B71" s="2044"/>
      <c r="C71" s="2044"/>
      <c r="D71" s="2044"/>
      <c r="E71" s="2044"/>
      <c r="F71" s="2044"/>
      <c r="G71" s="2044"/>
      <c r="H71" s="2044"/>
      <c r="I71" s="2044"/>
      <c r="J71" s="2044"/>
      <c r="K71" s="2044"/>
      <c r="L71" s="2044"/>
      <c r="M71" s="2044"/>
      <c r="N71" s="2044"/>
      <c r="O71" s="2044"/>
      <c r="P71" s="2044"/>
      <c r="Q71" s="2044"/>
      <c r="R71" s="2044"/>
      <c r="S71" s="2044"/>
      <c r="T71" s="2044"/>
      <c r="U71" s="2045"/>
    </row>
    <row r="72" spans="1:21" ht="15" thickTop="1"/>
  </sheetData>
  <sheetProtection formatCells="0" formatColumns="0" formatRows="0" insertColumns="0" insertRows="0" insertHyperlinks="0" deleteColumns="0" deleteRows="0" sort="0" autoFilter="0" pivotTables="0"/>
  <mergeCells count="175">
    <mergeCell ref="B70:T70"/>
    <mergeCell ref="B43:T43"/>
    <mergeCell ref="A71:U71"/>
    <mergeCell ref="Q60:T61"/>
    <mergeCell ref="D56:T56"/>
    <mergeCell ref="D61:F61"/>
    <mergeCell ref="G61:I61"/>
    <mergeCell ref="B62:C62"/>
    <mergeCell ref="M61:O61"/>
    <mergeCell ref="D62:F62"/>
    <mergeCell ref="J60:O60"/>
    <mergeCell ref="B60:C61"/>
    <mergeCell ref="G62:I62"/>
    <mergeCell ref="B59:T59"/>
    <mergeCell ref="P60:P61"/>
    <mergeCell ref="J61:L61"/>
    <mergeCell ref="B63:C63"/>
    <mergeCell ref="Q62:T62"/>
    <mergeCell ref="B56:C56"/>
    <mergeCell ref="J62:L62"/>
    <mergeCell ref="M62:O62"/>
    <mergeCell ref="D63:T63"/>
    <mergeCell ref="B69:T69"/>
    <mergeCell ref="B66:T66"/>
    <mergeCell ref="B27:D27"/>
    <mergeCell ref="B28:D28"/>
    <mergeCell ref="Q31:T31"/>
    <mergeCell ref="G33:K33"/>
    <mergeCell ref="L33:N33"/>
    <mergeCell ref="Q29:T29"/>
    <mergeCell ref="G30:K30"/>
    <mergeCell ref="B30:D30"/>
    <mergeCell ref="Q34:T34"/>
    <mergeCell ref="G27:K27"/>
    <mergeCell ref="Q32:T32"/>
    <mergeCell ref="G32:K32"/>
    <mergeCell ref="Q33:T33"/>
    <mergeCell ref="G31:K31"/>
    <mergeCell ref="L27:N27"/>
    <mergeCell ref="Q30:T30"/>
    <mergeCell ref="L32:N32"/>
    <mergeCell ref="Q27:T27"/>
    <mergeCell ref="B32:D32"/>
    <mergeCell ref="B29:D29"/>
    <mergeCell ref="L28:N28"/>
    <mergeCell ref="L30:N30"/>
    <mergeCell ref="Q28:T28"/>
    <mergeCell ref="L29:N29"/>
    <mergeCell ref="B26:D26"/>
    <mergeCell ref="L9:L10"/>
    <mergeCell ref="D19:T19"/>
    <mergeCell ref="B24:D25"/>
    <mergeCell ref="B18:T18"/>
    <mergeCell ref="P11:P12"/>
    <mergeCell ref="B23:F23"/>
    <mergeCell ref="R23:S23"/>
    <mergeCell ref="E24:E25"/>
    <mergeCell ref="T11:T12"/>
    <mergeCell ref="B16:C16"/>
    <mergeCell ref="H9:H10"/>
    <mergeCell ref="B21:T21"/>
    <mergeCell ref="G26:K26"/>
    <mergeCell ref="L26:N26"/>
    <mergeCell ref="Q26:T26"/>
    <mergeCell ref="I9:I10"/>
    <mergeCell ref="B20:T20"/>
    <mergeCell ref="E9:E10"/>
    <mergeCell ref="F9:G9"/>
    <mergeCell ref="B17:T17"/>
    <mergeCell ref="C9:C10"/>
    <mergeCell ref="F24:F25"/>
    <mergeCell ref="B9:B10"/>
    <mergeCell ref="D16:T16"/>
    <mergeCell ref="B19:C19"/>
    <mergeCell ref="R11:R12"/>
    <mergeCell ref="M9:N9"/>
    <mergeCell ref="O9:O10"/>
    <mergeCell ref="S11:S12"/>
    <mergeCell ref="J9:J10"/>
    <mergeCell ref="I8:O8"/>
    <mergeCell ref="L24:N25"/>
    <mergeCell ref="L23:Q23"/>
    <mergeCell ref="Q24:T25"/>
    <mergeCell ref="O24:O25"/>
    <mergeCell ref="P24:P25"/>
    <mergeCell ref="K9:K10"/>
    <mergeCell ref="P8:T10"/>
    <mergeCell ref="Q11:Q12"/>
    <mergeCell ref="G24:K25"/>
    <mergeCell ref="B8:H8"/>
    <mergeCell ref="D9:D10"/>
    <mergeCell ref="L35:N35"/>
    <mergeCell ref="P53:P54"/>
    <mergeCell ref="B40:D40"/>
    <mergeCell ref="G40:K40"/>
    <mergeCell ref="B48:C48"/>
    <mergeCell ref="B45:T45"/>
    <mergeCell ref="B50:T50"/>
    <mergeCell ref="D53:I53"/>
    <mergeCell ref="G54:I54"/>
    <mergeCell ref="L40:N40"/>
    <mergeCell ref="B49:T49"/>
    <mergeCell ref="L39:N39"/>
    <mergeCell ref="Q39:T39"/>
    <mergeCell ref="G38:K38"/>
    <mergeCell ref="Q53:T54"/>
    <mergeCell ref="G39:K39"/>
    <mergeCell ref="Q38:T38"/>
    <mergeCell ref="L38:N38"/>
    <mergeCell ref="Q36:T36"/>
    <mergeCell ref="Q35:T35"/>
    <mergeCell ref="B35:D35"/>
    <mergeCell ref="L36:N36"/>
    <mergeCell ref="Q37:T37"/>
    <mergeCell ref="B2:E2"/>
    <mergeCell ref="C5:C6"/>
    <mergeCell ref="P5:S5"/>
    <mergeCell ref="R2:T2"/>
    <mergeCell ref="F2:Q2"/>
    <mergeCell ref="E5:H5"/>
    <mergeCell ref="O5:O6"/>
    <mergeCell ref="J5:N5"/>
    <mergeCell ref="K6:N6"/>
    <mergeCell ref="Q6:S6"/>
    <mergeCell ref="E4:H4"/>
    <mergeCell ref="J4:N4"/>
    <mergeCell ref="T5:T6"/>
    <mergeCell ref="F6:H6"/>
    <mergeCell ref="P4:S4"/>
    <mergeCell ref="D5:D6"/>
    <mergeCell ref="B5:B6"/>
    <mergeCell ref="I5:I6"/>
    <mergeCell ref="G28:K28"/>
    <mergeCell ref="G29:K29"/>
    <mergeCell ref="L31:N31"/>
    <mergeCell ref="J53:O53"/>
    <mergeCell ref="J54:L54"/>
    <mergeCell ref="B55:C55"/>
    <mergeCell ref="B39:D39"/>
    <mergeCell ref="B38:D38"/>
    <mergeCell ref="B31:D31"/>
    <mergeCell ref="B33:D33"/>
    <mergeCell ref="B36:D36"/>
    <mergeCell ref="B34:D34"/>
    <mergeCell ref="G34:K34"/>
    <mergeCell ref="L34:N34"/>
    <mergeCell ref="B37:D37"/>
    <mergeCell ref="M55:O55"/>
    <mergeCell ref="B53:C54"/>
    <mergeCell ref="D55:F55"/>
    <mergeCell ref="G35:K35"/>
    <mergeCell ref="J55:L55"/>
    <mergeCell ref="G55:I55"/>
    <mergeCell ref="L37:N37"/>
    <mergeCell ref="G36:K36"/>
    <mergeCell ref="D48:T48"/>
    <mergeCell ref="G37:K37"/>
    <mergeCell ref="B41:C41"/>
    <mergeCell ref="D54:F54"/>
    <mergeCell ref="Q55:T55"/>
    <mergeCell ref="B52:T52"/>
    <mergeCell ref="D41:T41"/>
    <mergeCell ref="B42:T42"/>
    <mergeCell ref="B44:T44"/>
    <mergeCell ref="B46:T46"/>
    <mergeCell ref="Q40:T40"/>
    <mergeCell ref="B68:T68"/>
    <mergeCell ref="D60:I60"/>
    <mergeCell ref="B64:T64"/>
    <mergeCell ref="B57:T57"/>
    <mergeCell ref="B58:T58"/>
    <mergeCell ref="B65:T65"/>
    <mergeCell ref="B67:T67"/>
    <mergeCell ref="B47:T47"/>
    <mergeCell ref="M54:O54"/>
  </mergeCells>
  <dataValidations count="5">
    <dataValidation type="list" allowBlank="1" showInputMessage="1" showErrorMessage="1" sqref="H11:H15 O11:O12" xr:uid="{00000000-0002-0000-0500-000000000000}">
      <formula1>$X$11:$X$14</formula1>
    </dataValidation>
    <dataValidation type="list" allowBlank="1" showInputMessage="1" showErrorMessage="1" sqref="O13:O15" xr:uid="{00000000-0002-0000-0500-000001000000}">
      <formula1>$X$13:$X$15</formula1>
    </dataValidation>
    <dataValidation type="list" allowBlank="1" showInputMessage="1" showErrorMessage="1" sqref="E5" xr:uid="{00000000-0002-0000-0500-000002000000}">
      <formula1>$X$3:$X$8</formula1>
    </dataValidation>
    <dataValidation type="list" allowBlank="1" showInputMessage="1" showErrorMessage="1" sqref="J5" xr:uid="{00000000-0002-0000-0500-000003000000}">
      <formula1>$Z$4:$Z$7</formula1>
    </dataValidation>
    <dataValidation type="list" allowBlank="1" showInputMessage="1" showErrorMessage="1" sqref="P5:S5" xr:uid="{00000000-0002-0000-0500-000004000000}">
      <formula1>$Y$3:$Y$10</formula1>
    </dataValidation>
  </dataValidations>
  <hyperlinks>
    <hyperlink ref="K6" r:id="rId1" xr:uid="{00000000-0004-0000-0500-000000000000}"/>
    <hyperlink ref="F6" r:id="rId2" xr:uid="{00000000-0004-0000-0500-000001000000}"/>
    <hyperlink ref="Q6" r:id="rId3" xr:uid="{00000000-0004-0000-0500-000002000000}"/>
  </hyperlinks>
  <pageMargins left="0.7" right="0.45" top="0.5" bottom="0.5" header="0.3" footer="0.3"/>
  <pageSetup scale="18" orientation="portrait" r:id="rId4"/>
  <ignoredErrors>
    <ignoredError sqref="T13:T15 Q7:R7" unlockedFormula="1"/>
  </ignoredErrors>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B1:AH20"/>
  <sheetViews>
    <sheetView showGridLines="0" zoomScale="70" zoomScaleNormal="70" workbookViewId="0">
      <selection activeCell="AJ15" sqref="AJ15"/>
    </sheetView>
  </sheetViews>
  <sheetFormatPr baseColWidth="10" defaultColWidth="9.21875" defaultRowHeight="14.4"/>
  <cols>
    <col min="1" max="1" width="2.5546875" customWidth="1"/>
    <col min="2" max="2" width="6.5546875" customWidth="1"/>
    <col min="3" max="3" width="7" customWidth="1"/>
    <col min="4" max="4" width="6.44140625" customWidth="1"/>
    <col min="5" max="31" width="6.5546875" customWidth="1"/>
    <col min="32" max="33" width="6.44140625" customWidth="1"/>
    <col min="34" max="34" width="6.44140625" hidden="1" customWidth="1"/>
    <col min="234" max="234" width="2.5546875" customWidth="1"/>
    <col min="235" max="235" width="6.5546875" customWidth="1"/>
    <col min="236" max="236" width="7" customWidth="1"/>
    <col min="237" max="267" width="6.5546875" customWidth="1"/>
    <col min="490" max="490" width="2.5546875" customWidth="1"/>
    <col min="491" max="491" width="6.5546875" customWidth="1"/>
    <col min="492" max="492" width="7" customWidth="1"/>
    <col min="493" max="523" width="6.5546875" customWidth="1"/>
    <col min="746" max="746" width="2.5546875" customWidth="1"/>
    <col min="747" max="747" width="6.5546875" customWidth="1"/>
    <col min="748" max="748" width="7" customWidth="1"/>
    <col min="749" max="779" width="6.5546875" customWidth="1"/>
    <col min="1002" max="1002" width="2.5546875" customWidth="1"/>
    <col min="1003" max="1003" width="6.5546875" customWidth="1"/>
    <col min="1004" max="1004" width="7" customWidth="1"/>
    <col min="1005" max="1035" width="6.5546875" customWidth="1"/>
    <col min="1258" max="1258" width="2.5546875" customWidth="1"/>
    <col min="1259" max="1259" width="6.5546875" customWidth="1"/>
    <col min="1260" max="1260" width="7" customWidth="1"/>
    <col min="1261" max="1291" width="6.5546875" customWidth="1"/>
    <col min="1514" max="1514" width="2.5546875" customWidth="1"/>
    <col min="1515" max="1515" width="6.5546875" customWidth="1"/>
    <col min="1516" max="1516" width="7" customWidth="1"/>
    <col min="1517" max="1547" width="6.5546875" customWidth="1"/>
    <col min="1770" max="1770" width="2.5546875" customWidth="1"/>
    <col min="1771" max="1771" width="6.5546875" customWidth="1"/>
    <col min="1772" max="1772" width="7" customWidth="1"/>
    <col min="1773" max="1803" width="6.5546875" customWidth="1"/>
    <col min="2026" max="2026" width="2.5546875" customWidth="1"/>
    <col min="2027" max="2027" width="6.5546875" customWidth="1"/>
    <col min="2028" max="2028" width="7" customWidth="1"/>
    <col min="2029" max="2059" width="6.5546875" customWidth="1"/>
    <col min="2282" max="2282" width="2.5546875" customWidth="1"/>
    <col min="2283" max="2283" width="6.5546875" customWidth="1"/>
    <col min="2284" max="2284" width="7" customWidth="1"/>
    <col min="2285" max="2315" width="6.5546875" customWidth="1"/>
    <col min="2538" max="2538" width="2.5546875" customWidth="1"/>
    <col min="2539" max="2539" width="6.5546875" customWidth="1"/>
    <col min="2540" max="2540" width="7" customWidth="1"/>
    <col min="2541" max="2571" width="6.5546875" customWidth="1"/>
    <col min="2794" max="2794" width="2.5546875" customWidth="1"/>
    <col min="2795" max="2795" width="6.5546875" customWidth="1"/>
    <col min="2796" max="2796" width="7" customWidth="1"/>
    <col min="2797" max="2827" width="6.5546875" customWidth="1"/>
    <col min="3050" max="3050" width="2.5546875" customWidth="1"/>
    <col min="3051" max="3051" width="6.5546875" customWidth="1"/>
    <col min="3052" max="3052" width="7" customWidth="1"/>
    <col min="3053" max="3083" width="6.5546875" customWidth="1"/>
    <col min="3306" max="3306" width="2.5546875" customWidth="1"/>
    <col min="3307" max="3307" width="6.5546875" customWidth="1"/>
    <col min="3308" max="3308" width="7" customWidth="1"/>
    <col min="3309" max="3339" width="6.5546875" customWidth="1"/>
    <col min="3562" max="3562" width="2.5546875" customWidth="1"/>
    <col min="3563" max="3563" width="6.5546875" customWidth="1"/>
    <col min="3564" max="3564" width="7" customWidth="1"/>
    <col min="3565" max="3595" width="6.5546875" customWidth="1"/>
    <col min="3818" max="3818" width="2.5546875" customWidth="1"/>
    <col min="3819" max="3819" width="6.5546875" customWidth="1"/>
    <col min="3820" max="3820" width="7" customWidth="1"/>
    <col min="3821" max="3851" width="6.5546875" customWidth="1"/>
    <col min="4074" max="4074" width="2.5546875" customWidth="1"/>
    <col min="4075" max="4075" width="6.5546875" customWidth="1"/>
    <col min="4076" max="4076" width="7" customWidth="1"/>
    <col min="4077" max="4107" width="6.5546875" customWidth="1"/>
    <col min="4330" max="4330" width="2.5546875" customWidth="1"/>
    <col min="4331" max="4331" width="6.5546875" customWidth="1"/>
    <col min="4332" max="4332" width="7" customWidth="1"/>
    <col min="4333" max="4363" width="6.5546875" customWidth="1"/>
    <col min="4586" max="4586" width="2.5546875" customWidth="1"/>
    <col min="4587" max="4587" width="6.5546875" customWidth="1"/>
    <col min="4588" max="4588" width="7" customWidth="1"/>
    <col min="4589" max="4619" width="6.5546875" customWidth="1"/>
    <col min="4842" max="4842" width="2.5546875" customWidth="1"/>
    <col min="4843" max="4843" width="6.5546875" customWidth="1"/>
    <col min="4844" max="4844" width="7" customWidth="1"/>
    <col min="4845" max="4875" width="6.5546875" customWidth="1"/>
    <col min="5098" max="5098" width="2.5546875" customWidth="1"/>
    <col min="5099" max="5099" width="6.5546875" customWidth="1"/>
    <col min="5100" max="5100" width="7" customWidth="1"/>
    <col min="5101" max="5131" width="6.5546875" customWidth="1"/>
    <col min="5354" max="5354" width="2.5546875" customWidth="1"/>
    <col min="5355" max="5355" width="6.5546875" customWidth="1"/>
    <col min="5356" max="5356" width="7" customWidth="1"/>
    <col min="5357" max="5387" width="6.5546875" customWidth="1"/>
    <col min="5610" max="5610" width="2.5546875" customWidth="1"/>
    <col min="5611" max="5611" width="6.5546875" customWidth="1"/>
    <col min="5612" max="5612" width="7" customWidth="1"/>
    <col min="5613" max="5643" width="6.5546875" customWidth="1"/>
    <col min="5866" max="5866" width="2.5546875" customWidth="1"/>
    <col min="5867" max="5867" width="6.5546875" customWidth="1"/>
    <col min="5868" max="5868" width="7" customWidth="1"/>
    <col min="5869" max="5899" width="6.5546875" customWidth="1"/>
    <col min="6122" max="6122" width="2.5546875" customWidth="1"/>
    <col min="6123" max="6123" width="6.5546875" customWidth="1"/>
    <col min="6124" max="6124" width="7" customWidth="1"/>
    <col min="6125" max="6155" width="6.5546875" customWidth="1"/>
    <col min="6378" max="6378" width="2.5546875" customWidth="1"/>
    <col min="6379" max="6379" width="6.5546875" customWidth="1"/>
    <col min="6380" max="6380" width="7" customWidth="1"/>
    <col min="6381" max="6411" width="6.5546875" customWidth="1"/>
    <col min="6634" max="6634" width="2.5546875" customWidth="1"/>
    <col min="6635" max="6635" width="6.5546875" customWidth="1"/>
    <col min="6636" max="6636" width="7" customWidth="1"/>
    <col min="6637" max="6667" width="6.5546875" customWidth="1"/>
    <col min="6890" max="6890" width="2.5546875" customWidth="1"/>
    <col min="6891" max="6891" width="6.5546875" customWidth="1"/>
    <col min="6892" max="6892" width="7" customWidth="1"/>
    <col min="6893" max="6923" width="6.5546875" customWidth="1"/>
    <col min="7146" max="7146" width="2.5546875" customWidth="1"/>
    <col min="7147" max="7147" width="6.5546875" customWidth="1"/>
    <col min="7148" max="7148" width="7" customWidth="1"/>
    <col min="7149" max="7179" width="6.5546875" customWidth="1"/>
    <col min="7402" max="7402" width="2.5546875" customWidth="1"/>
    <col min="7403" max="7403" width="6.5546875" customWidth="1"/>
    <col min="7404" max="7404" width="7" customWidth="1"/>
    <col min="7405" max="7435" width="6.5546875" customWidth="1"/>
    <col min="7658" max="7658" width="2.5546875" customWidth="1"/>
    <col min="7659" max="7659" width="6.5546875" customWidth="1"/>
    <col min="7660" max="7660" width="7" customWidth="1"/>
    <col min="7661" max="7691" width="6.5546875" customWidth="1"/>
    <col min="7914" max="7914" width="2.5546875" customWidth="1"/>
    <col min="7915" max="7915" width="6.5546875" customWidth="1"/>
    <col min="7916" max="7916" width="7" customWidth="1"/>
    <col min="7917" max="7947" width="6.5546875" customWidth="1"/>
    <col min="8170" max="8170" width="2.5546875" customWidth="1"/>
    <col min="8171" max="8171" width="6.5546875" customWidth="1"/>
    <col min="8172" max="8172" width="7" customWidth="1"/>
    <col min="8173" max="8203" width="6.5546875" customWidth="1"/>
    <col min="8426" max="8426" width="2.5546875" customWidth="1"/>
    <col min="8427" max="8427" width="6.5546875" customWidth="1"/>
    <col min="8428" max="8428" width="7" customWidth="1"/>
    <col min="8429" max="8459" width="6.5546875" customWidth="1"/>
    <col min="8682" max="8682" width="2.5546875" customWidth="1"/>
    <col min="8683" max="8683" width="6.5546875" customWidth="1"/>
    <col min="8684" max="8684" width="7" customWidth="1"/>
    <col min="8685" max="8715" width="6.5546875" customWidth="1"/>
    <col min="8938" max="8938" width="2.5546875" customWidth="1"/>
    <col min="8939" max="8939" width="6.5546875" customWidth="1"/>
    <col min="8940" max="8940" width="7" customWidth="1"/>
    <col min="8941" max="8971" width="6.5546875" customWidth="1"/>
    <col min="9194" max="9194" width="2.5546875" customWidth="1"/>
    <col min="9195" max="9195" width="6.5546875" customWidth="1"/>
    <col min="9196" max="9196" width="7" customWidth="1"/>
    <col min="9197" max="9227" width="6.5546875" customWidth="1"/>
    <col min="9450" max="9450" width="2.5546875" customWidth="1"/>
    <col min="9451" max="9451" width="6.5546875" customWidth="1"/>
    <col min="9452" max="9452" width="7" customWidth="1"/>
    <col min="9453" max="9483" width="6.5546875" customWidth="1"/>
    <col min="9706" max="9706" width="2.5546875" customWidth="1"/>
    <col min="9707" max="9707" width="6.5546875" customWidth="1"/>
    <col min="9708" max="9708" width="7" customWidth="1"/>
    <col min="9709" max="9739" width="6.5546875" customWidth="1"/>
    <col min="9962" max="9962" width="2.5546875" customWidth="1"/>
    <col min="9963" max="9963" width="6.5546875" customWidth="1"/>
    <col min="9964" max="9964" width="7" customWidth="1"/>
    <col min="9965" max="9995" width="6.5546875" customWidth="1"/>
    <col min="10218" max="10218" width="2.5546875" customWidth="1"/>
    <col min="10219" max="10219" width="6.5546875" customWidth="1"/>
    <col min="10220" max="10220" width="7" customWidth="1"/>
    <col min="10221" max="10251" width="6.5546875" customWidth="1"/>
    <col min="10474" max="10474" width="2.5546875" customWidth="1"/>
    <col min="10475" max="10475" width="6.5546875" customWidth="1"/>
    <col min="10476" max="10476" width="7" customWidth="1"/>
    <col min="10477" max="10507" width="6.5546875" customWidth="1"/>
    <col min="10730" max="10730" width="2.5546875" customWidth="1"/>
    <col min="10731" max="10731" width="6.5546875" customWidth="1"/>
    <col min="10732" max="10732" width="7" customWidth="1"/>
    <col min="10733" max="10763" width="6.5546875" customWidth="1"/>
    <col min="10986" max="10986" width="2.5546875" customWidth="1"/>
    <col min="10987" max="10987" width="6.5546875" customWidth="1"/>
    <col min="10988" max="10988" width="7" customWidth="1"/>
    <col min="10989" max="11019" width="6.5546875" customWidth="1"/>
    <col min="11242" max="11242" width="2.5546875" customWidth="1"/>
    <col min="11243" max="11243" width="6.5546875" customWidth="1"/>
    <col min="11244" max="11244" width="7" customWidth="1"/>
    <col min="11245" max="11275" width="6.5546875" customWidth="1"/>
    <col min="11498" max="11498" width="2.5546875" customWidth="1"/>
    <col min="11499" max="11499" width="6.5546875" customWidth="1"/>
    <col min="11500" max="11500" width="7" customWidth="1"/>
    <col min="11501" max="11531" width="6.5546875" customWidth="1"/>
    <col min="11754" max="11754" width="2.5546875" customWidth="1"/>
    <col min="11755" max="11755" width="6.5546875" customWidth="1"/>
    <col min="11756" max="11756" width="7" customWidth="1"/>
    <col min="11757" max="11787" width="6.5546875" customWidth="1"/>
    <col min="12010" max="12010" width="2.5546875" customWidth="1"/>
    <col min="12011" max="12011" width="6.5546875" customWidth="1"/>
    <col min="12012" max="12012" width="7" customWidth="1"/>
    <col min="12013" max="12043" width="6.5546875" customWidth="1"/>
    <col min="12266" max="12266" width="2.5546875" customWidth="1"/>
    <col min="12267" max="12267" width="6.5546875" customWidth="1"/>
    <col min="12268" max="12268" width="7" customWidth="1"/>
    <col min="12269" max="12299" width="6.5546875" customWidth="1"/>
    <col min="12522" max="12522" width="2.5546875" customWidth="1"/>
    <col min="12523" max="12523" width="6.5546875" customWidth="1"/>
    <col min="12524" max="12524" width="7" customWidth="1"/>
    <col min="12525" max="12555" width="6.5546875" customWidth="1"/>
    <col min="12778" max="12778" width="2.5546875" customWidth="1"/>
    <col min="12779" max="12779" width="6.5546875" customWidth="1"/>
    <col min="12780" max="12780" width="7" customWidth="1"/>
    <col min="12781" max="12811" width="6.5546875" customWidth="1"/>
    <col min="13034" max="13034" width="2.5546875" customWidth="1"/>
    <col min="13035" max="13035" width="6.5546875" customWidth="1"/>
    <col min="13036" max="13036" width="7" customWidth="1"/>
    <col min="13037" max="13067" width="6.5546875" customWidth="1"/>
    <col min="13290" max="13290" width="2.5546875" customWidth="1"/>
    <col min="13291" max="13291" width="6.5546875" customWidth="1"/>
    <col min="13292" max="13292" width="7" customWidth="1"/>
    <col min="13293" max="13323" width="6.5546875" customWidth="1"/>
    <col min="13546" max="13546" width="2.5546875" customWidth="1"/>
    <col min="13547" max="13547" width="6.5546875" customWidth="1"/>
    <col min="13548" max="13548" width="7" customWidth="1"/>
    <col min="13549" max="13579" width="6.5546875" customWidth="1"/>
    <col min="13802" max="13802" width="2.5546875" customWidth="1"/>
    <col min="13803" max="13803" width="6.5546875" customWidth="1"/>
    <col min="13804" max="13804" width="7" customWidth="1"/>
    <col min="13805" max="13835" width="6.5546875" customWidth="1"/>
    <col min="14058" max="14058" width="2.5546875" customWidth="1"/>
    <col min="14059" max="14059" width="6.5546875" customWidth="1"/>
    <col min="14060" max="14060" width="7" customWidth="1"/>
    <col min="14061" max="14091" width="6.5546875" customWidth="1"/>
    <col min="14314" max="14314" width="2.5546875" customWidth="1"/>
    <col min="14315" max="14315" width="6.5546875" customWidth="1"/>
    <col min="14316" max="14316" width="7" customWidth="1"/>
    <col min="14317" max="14347" width="6.5546875" customWidth="1"/>
    <col min="14570" max="14570" width="2.5546875" customWidth="1"/>
    <col min="14571" max="14571" width="6.5546875" customWidth="1"/>
    <col min="14572" max="14572" width="7" customWidth="1"/>
    <col min="14573" max="14603" width="6.5546875" customWidth="1"/>
    <col min="14826" max="14826" width="2.5546875" customWidth="1"/>
    <col min="14827" max="14827" width="6.5546875" customWidth="1"/>
    <col min="14828" max="14828" width="7" customWidth="1"/>
    <col min="14829" max="14859" width="6.5546875" customWidth="1"/>
    <col min="15082" max="15082" width="2.5546875" customWidth="1"/>
    <col min="15083" max="15083" width="6.5546875" customWidth="1"/>
    <col min="15084" max="15084" width="7" customWidth="1"/>
    <col min="15085" max="15115" width="6.5546875" customWidth="1"/>
    <col min="15338" max="15338" width="2.5546875" customWidth="1"/>
    <col min="15339" max="15339" width="6.5546875" customWidth="1"/>
    <col min="15340" max="15340" width="7" customWidth="1"/>
    <col min="15341" max="15371" width="6.5546875" customWidth="1"/>
    <col min="15594" max="15594" width="2.5546875" customWidth="1"/>
    <col min="15595" max="15595" width="6.5546875" customWidth="1"/>
    <col min="15596" max="15596" width="7" customWidth="1"/>
    <col min="15597" max="15627" width="6.5546875" customWidth="1"/>
    <col min="15850" max="15850" width="2.5546875" customWidth="1"/>
    <col min="15851" max="15851" width="6.5546875" customWidth="1"/>
    <col min="15852" max="15852" width="7" customWidth="1"/>
    <col min="15853" max="15883" width="6.5546875" customWidth="1"/>
    <col min="16106" max="16106" width="2.5546875" customWidth="1"/>
    <col min="16107" max="16107" width="6.5546875" customWidth="1"/>
    <col min="16108" max="16108" width="7" customWidth="1"/>
    <col min="16109" max="16139" width="6.5546875" customWidth="1"/>
  </cols>
  <sheetData>
    <row r="1" spans="2:34" ht="20.399999999999999">
      <c r="H1" s="2065" t="s">
        <v>1479</v>
      </c>
      <c r="I1" s="2065"/>
      <c r="J1" s="2065"/>
      <c r="K1" s="2065"/>
      <c r="L1" s="2065"/>
      <c r="M1" s="2065"/>
      <c r="N1" s="2065"/>
      <c r="O1" s="2065"/>
      <c r="P1" s="2065"/>
      <c r="Q1" s="2065"/>
      <c r="R1" s="2065"/>
      <c r="S1" s="2065"/>
      <c r="T1" s="2065"/>
      <c r="U1" s="2065"/>
      <c r="V1" s="2065"/>
      <c r="W1" s="2065"/>
      <c r="X1" s="2065"/>
      <c r="Y1" s="2065"/>
      <c r="Z1" s="2065"/>
    </row>
    <row r="2" spans="2:34" ht="20.399999999999999">
      <c r="H2" s="2065" t="s">
        <v>1478</v>
      </c>
      <c r="I2" s="2065"/>
      <c r="J2" s="2065"/>
      <c r="K2" s="2065"/>
      <c r="L2" s="2065"/>
      <c r="M2" s="2065"/>
      <c r="N2" s="2065"/>
      <c r="O2" s="2065"/>
      <c r="P2" s="2065"/>
      <c r="Q2" s="2065"/>
      <c r="R2" s="2065"/>
      <c r="S2" s="2065"/>
      <c r="T2" s="2065"/>
      <c r="U2" s="2065"/>
      <c r="V2" s="2065"/>
      <c r="W2" s="2065"/>
      <c r="X2" s="2065"/>
      <c r="Y2" s="2065"/>
      <c r="Z2" s="2065"/>
      <c r="AA2" s="2065"/>
    </row>
    <row r="3" spans="2:34">
      <c r="H3" s="26" t="s">
        <v>1</v>
      </c>
      <c r="K3" s="2066">
        <f>INICIO!D12</f>
        <v>45078</v>
      </c>
      <c r="L3" s="2066"/>
      <c r="M3" s="30"/>
      <c r="N3" s="25"/>
      <c r="O3" s="25"/>
      <c r="P3" s="25"/>
    </row>
    <row r="4" spans="2:34">
      <c r="H4" s="26" t="s">
        <v>2</v>
      </c>
      <c r="J4" s="27"/>
      <c r="K4" s="2066">
        <f>INICIO!D13</f>
        <v>45107</v>
      </c>
      <c r="L4" s="2066"/>
      <c r="M4" s="30"/>
      <c r="N4" s="27"/>
      <c r="O4" s="2066"/>
      <c r="P4" s="2066"/>
      <c r="Q4" s="27"/>
    </row>
    <row r="5" spans="2:34" ht="15" thickBot="1">
      <c r="H5" s="26" t="s">
        <v>18</v>
      </c>
      <c r="K5" s="2066">
        <f ca="1">TODAY()-1</f>
        <v>45125</v>
      </c>
      <c r="L5" s="2066"/>
      <c r="M5" s="31"/>
      <c r="N5" s="25"/>
      <c r="O5" s="2066"/>
      <c r="P5" s="2066"/>
      <c r="Q5" s="27"/>
      <c r="U5" s="2066">
        <f ca="1">TODAY()</f>
        <v>45126</v>
      </c>
      <c r="V5" s="2066"/>
    </row>
    <row r="6" spans="2:34" ht="24.75" customHeight="1" thickBot="1">
      <c r="B6" s="2054" t="s">
        <v>157</v>
      </c>
      <c r="C6" s="2055"/>
      <c r="D6" s="2055"/>
      <c r="E6" s="2055"/>
      <c r="F6" s="2055"/>
      <c r="G6" s="2055"/>
      <c r="H6" s="2055"/>
      <c r="I6" s="2055"/>
      <c r="J6" s="2055"/>
      <c r="K6" s="2055"/>
      <c r="L6" s="2055"/>
      <c r="M6" s="2055"/>
      <c r="N6" s="2055"/>
      <c r="O6" s="2055"/>
      <c r="P6" s="2055"/>
      <c r="Q6" s="2055"/>
      <c r="R6" s="2055"/>
      <c r="S6" s="2055"/>
      <c r="T6" s="2055"/>
      <c r="U6" s="2055"/>
      <c r="V6" s="2055"/>
      <c r="W6" s="2055"/>
      <c r="X6" s="2055"/>
      <c r="Y6" s="2055"/>
      <c r="Z6" s="2055"/>
      <c r="AA6" s="2055"/>
      <c r="AB6" s="2055"/>
      <c r="AC6" s="2055"/>
      <c r="AD6" s="2055"/>
      <c r="AE6" s="2055"/>
      <c r="AF6" s="2055"/>
      <c r="AG6" s="2055"/>
      <c r="AH6" s="2067"/>
    </row>
    <row r="7" spans="2:34" ht="22.5" customHeight="1" thickBot="1">
      <c r="B7" s="2054" t="s">
        <v>19</v>
      </c>
      <c r="C7" s="2067"/>
      <c r="D7" s="156">
        <f>K3</f>
        <v>45078</v>
      </c>
      <c r="E7" s="156">
        <f>D7+1</f>
        <v>45079</v>
      </c>
      <c r="F7" s="156">
        <f t="shared" ref="F7:AD7" si="0">E7+1</f>
        <v>45080</v>
      </c>
      <c r="G7" s="156">
        <f t="shared" si="0"/>
        <v>45081</v>
      </c>
      <c r="H7" s="156">
        <f t="shared" si="0"/>
        <v>45082</v>
      </c>
      <c r="I7" s="156">
        <f t="shared" si="0"/>
        <v>45083</v>
      </c>
      <c r="J7" s="156">
        <f t="shared" si="0"/>
        <v>45084</v>
      </c>
      <c r="K7" s="156">
        <f t="shared" si="0"/>
        <v>45085</v>
      </c>
      <c r="L7" s="156">
        <f t="shared" si="0"/>
        <v>45086</v>
      </c>
      <c r="M7" s="156">
        <f t="shared" si="0"/>
        <v>45087</v>
      </c>
      <c r="N7" s="156">
        <f t="shared" si="0"/>
        <v>45088</v>
      </c>
      <c r="O7" s="156">
        <f t="shared" si="0"/>
        <v>45089</v>
      </c>
      <c r="P7" s="156">
        <f t="shared" si="0"/>
        <v>45090</v>
      </c>
      <c r="Q7" s="156">
        <f t="shared" si="0"/>
        <v>45091</v>
      </c>
      <c r="R7" s="156">
        <f t="shared" si="0"/>
        <v>45092</v>
      </c>
      <c r="S7" s="156">
        <f t="shared" si="0"/>
        <v>45093</v>
      </c>
      <c r="T7" s="156">
        <f t="shared" si="0"/>
        <v>45094</v>
      </c>
      <c r="U7" s="156">
        <f t="shared" si="0"/>
        <v>45095</v>
      </c>
      <c r="V7" s="156">
        <f t="shared" si="0"/>
        <v>45096</v>
      </c>
      <c r="W7" s="156">
        <f t="shared" si="0"/>
        <v>45097</v>
      </c>
      <c r="X7" s="156">
        <f t="shared" si="0"/>
        <v>45098</v>
      </c>
      <c r="Y7" s="156">
        <f t="shared" si="0"/>
        <v>45099</v>
      </c>
      <c r="Z7" s="156">
        <f t="shared" si="0"/>
        <v>45100</v>
      </c>
      <c r="AA7" s="156">
        <f t="shared" si="0"/>
        <v>45101</v>
      </c>
      <c r="AB7" s="156">
        <f t="shared" si="0"/>
        <v>45102</v>
      </c>
      <c r="AC7" s="156">
        <f t="shared" si="0"/>
        <v>45103</v>
      </c>
      <c r="AD7" s="156">
        <f t="shared" si="0"/>
        <v>45104</v>
      </c>
      <c r="AE7" s="1753">
        <f>AD7+1</f>
        <v>45105</v>
      </c>
      <c r="AF7" s="156">
        <f>AE7+1</f>
        <v>45106</v>
      </c>
      <c r="AG7" s="156">
        <f t="shared" ref="AG7:AH7" si="1">AF7+1</f>
        <v>45107</v>
      </c>
      <c r="AH7" s="1768">
        <f t="shared" si="1"/>
        <v>45108</v>
      </c>
    </row>
    <row r="8" spans="2:34" ht="25.5" customHeight="1" thickBot="1">
      <c r="B8" s="2054" t="s">
        <v>20</v>
      </c>
      <c r="C8" s="2055"/>
      <c r="D8" s="28">
        <f ca="1">IF(INICIO!$C$7&gt;DAY(D7)-1,(VLOOKUP(D7,DATOSAÑO!$B$11:$AR$375,33))," ")</f>
        <v>12.599999999998545</v>
      </c>
      <c r="E8" s="29">
        <f ca="1">IF(INICIO!$C$7&gt;DAY(E7)-1,(VLOOKUP(E7,DATOSAÑO!$B$11:$AR$375,33))," ")</f>
        <v>9.6999999999970896</v>
      </c>
      <c r="F8" s="29">
        <f ca="1">IF(INICIO!$C$7&gt;DAY(F7)-1,(VLOOKUP(F7,DATOSAÑO!$B$11:$AR$375,33))," ")</f>
        <v>9.8000000000047294</v>
      </c>
      <c r="G8" s="29">
        <f ca="1">IF(INICIO!$C$7&gt;DAY(G7)-1,(VLOOKUP(G7,DATOSAÑO!$B$11:$AR$375,33))," ")</f>
        <v>10.69999999999709</v>
      </c>
      <c r="H8" s="29" t="str">
        <f>IF(INICIO!$C$7&gt;DAY(H7)-1,(VLOOKUP(H7,DATOSAÑO!$B$11:$AR$375,33))," ")</f>
        <v xml:space="preserve"> </v>
      </c>
      <c r="I8" s="29" t="str">
        <f>IF(INICIO!$C$7&gt;DAY(I7)-1,(VLOOKUP(I7,DATOSAÑO!$B$11:$AR$375,33))," ")</f>
        <v xml:space="preserve"> </v>
      </c>
      <c r="J8" s="29" t="str">
        <f>IF(INICIO!$C$7&gt;DAY(J7)-1,(VLOOKUP(J7,DATOSAÑO!$B$11:$AR$375,33))," ")</f>
        <v xml:space="preserve"> </v>
      </c>
      <c r="K8" s="29" t="str">
        <f>IF(INICIO!$C$7&gt;DAY(K7)-1,(VLOOKUP(K7,DATOSAÑO!$B$11:$AR$375,33))," ")</f>
        <v xml:space="preserve"> </v>
      </c>
      <c r="L8" s="29" t="str">
        <f>IF(INICIO!$C$7&gt;DAY(L7)-1,(VLOOKUP(L7,DATOSAÑO!$B$11:$AR$375,33))," ")</f>
        <v xml:space="preserve"> </v>
      </c>
      <c r="M8" s="29" t="str">
        <f>IF(INICIO!$C$7&gt;DAY(M7)-1,(VLOOKUP(M7,DATOSAÑO!$B$11:$AR$375,33))," ")</f>
        <v xml:space="preserve"> </v>
      </c>
      <c r="N8" s="29" t="str">
        <f>IF(INICIO!$C$7&gt;DAY(N7)-1,(VLOOKUP(N7,DATOSAÑO!$B$11:$AR$375,33))," ")</f>
        <v xml:space="preserve"> </v>
      </c>
      <c r="O8" s="29" t="str">
        <f>IF(INICIO!$C$7&gt;DAY(O7)-1,(VLOOKUP(O7,DATOSAÑO!$B$11:$AR$375,33))," ")</f>
        <v xml:space="preserve"> </v>
      </c>
      <c r="P8" s="29" t="str">
        <f>IF(INICIO!$C$7&gt;DAY(P7)-1,(VLOOKUP(P7,DATOSAÑO!$B$11:$AR$375,33))," ")</f>
        <v xml:space="preserve"> </v>
      </c>
      <c r="Q8" s="29" t="str">
        <f>IF(INICIO!$C$7&gt;DAY(Q7)-1,(VLOOKUP(Q7,DATOSAÑO!$B$11:$AR$375,33))," ")</f>
        <v xml:space="preserve"> </v>
      </c>
      <c r="R8" s="29" t="str">
        <f>IF(INICIO!$C$7&gt;DAY(R7)-1,(VLOOKUP(R7,DATOSAÑO!$B$11:$AR$375,33))," ")</f>
        <v xml:space="preserve"> </v>
      </c>
      <c r="S8" s="29" t="str">
        <f>IF(INICIO!$C$7&gt;DAY(S7)-1,(VLOOKUP(S7,DATOSAÑO!$B$11:$AR$375,33))," ")</f>
        <v xml:space="preserve"> </v>
      </c>
      <c r="T8" s="29" t="str">
        <f>IF(INICIO!$C$7&gt;DAY(T7)-1,(VLOOKUP(T7,DATOSAÑO!$B$11:$AR$375,33))," ")</f>
        <v xml:space="preserve"> </v>
      </c>
      <c r="U8" s="29" t="str">
        <f>IF(INICIO!$C$7&gt;DAY(U7)-1,(VLOOKUP(U7,DATOSAÑO!$B$11:$AR$375,33))," ")</f>
        <v xml:space="preserve"> </v>
      </c>
      <c r="V8" s="29" t="str">
        <f>IF(INICIO!$C$7&gt;DAY(V7)-1,(VLOOKUP(V7,DATOSAÑO!$B$11:$AR$375,33))," ")</f>
        <v xml:space="preserve"> </v>
      </c>
      <c r="W8" s="29" t="str">
        <f>IF(INICIO!$C$7&gt;DAY(W7)-1,(VLOOKUP(W7,DATOSAÑO!$B$11:$AR$375,33))," ")</f>
        <v xml:space="preserve"> </v>
      </c>
      <c r="X8" s="29" t="str">
        <f>IF(INICIO!$C$7&gt;DAY(X7)-1,(VLOOKUP(X7,DATOSAÑO!$B$11:$AR$375,33))," ")</f>
        <v xml:space="preserve"> </v>
      </c>
      <c r="Y8" s="29" t="str">
        <f>IF(INICIO!$C$7&gt;DAY(Y7)-1,(VLOOKUP(Y7,DATOSAÑO!$B$11:$AR$375,33))," ")</f>
        <v xml:space="preserve"> </v>
      </c>
      <c r="Z8" s="29" t="str">
        <f>IF(INICIO!$C$7&gt;DAY(Z7)-1,(VLOOKUP(Z7,DATOSAÑO!$B$11:$AR$375,33))," ")</f>
        <v xml:space="preserve"> </v>
      </c>
      <c r="AA8" s="29" t="str">
        <f>IF(INICIO!$C$7&gt;DAY(AA7)-1,(VLOOKUP(AA7,DATOSAÑO!$B$11:$AR$375,33))," ")</f>
        <v xml:space="preserve"> </v>
      </c>
      <c r="AB8" s="29" t="str">
        <f>IF(INICIO!$C$7&gt;DAY(AB7)-1,(VLOOKUP(AB7,DATOSAÑO!$B$11:$AR$375,33))," ")</f>
        <v xml:space="preserve"> </v>
      </c>
      <c r="AC8" s="29" t="str">
        <f>IF(INICIO!$C$7&gt;DAY(AC7)-1,(VLOOKUP(AC7,DATOSAÑO!$B$11:$AR$375,33))," ")</f>
        <v xml:space="preserve"> </v>
      </c>
      <c r="AD8" s="29" t="str">
        <f>IF(INICIO!$C$7&gt;DAY(AD7)-1,(VLOOKUP(AD7,DATOSAÑO!$B$11:$AR$375,33))," ")</f>
        <v xml:space="preserve"> </v>
      </c>
      <c r="AE8" s="29" t="str">
        <f>IF(INICIO!$C$7&gt;DAY(AE7)-1,(VLOOKUP(AE7,DATOSAÑO!$B$11:$AR$375,33))," ")</f>
        <v xml:space="preserve"> </v>
      </c>
      <c r="AF8" s="1765" t="str">
        <f>IF(INICIO!$C$7&gt;DAY(AF7)-1,(VLOOKUP(AF7,DATOSAÑO!$B$11:$AR$375,33))," ")</f>
        <v xml:space="preserve"> </v>
      </c>
      <c r="AG8" s="1765" t="str">
        <f>IF(INICIO!$C$7&gt;DAY(AG7)-1,(VLOOKUP(AG7,DATOSAÑO!$B$11:$AR$375,33))," ")</f>
        <v xml:space="preserve"> </v>
      </c>
      <c r="AH8" s="1770">
        <f ca="1">IF(INICIO!$C$7&gt;DAY(AH7)-1,(VLOOKUP(AH7,DATOSAÑO!$B$11:$AR$375,33))," ")</f>
        <v>0</v>
      </c>
    </row>
    <row r="9" spans="2:34" ht="25.5" customHeight="1" thickBot="1">
      <c r="B9" s="2054" t="s">
        <v>21</v>
      </c>
      <c r="C9" s="2061"/>
      <c r="D9" s="2062">
        <f ca="1">SUM(D8:AE8)</f>
        <v>42.799999999997453</v>
      </c>
      <c r="E9" s="2063"/>
      <c r="F9" s="2064"/>
    </row>
    <row r="10" spans="2:34" ht="15" thickBot="1">
      <c r="F10" s="2060"/>
      <c r="G10" s="2060"/>
    </row>
    <row r="11" spans="2:34" ht="24" customHeight="1" thickBot="1">
      <c r="B11" s="2054" t="s">
        <v>22</v>
      </c>
      <c r="C11" s="2061"/>
      <c r="D11" s="2061"/>
      <c r="E11" s="2061"/>
      <c r="F11" s="2061"/>
      <c r="G11" s="2061"/>
      <c r="H11" s="2061"/>
      <c r="I11" s="2061"/>
      <c r="J11" s="2061"/>
      <c r="K11" s="2061"/>
      <c r="L11" s="2061"/>
      <c r="M11" s="2061"/>
      <c r="N11" s="2061"/>
      <c r="O11" s="2061"/>
      <c r="P11" s="2061"/>
      <c r="Q11" s="2061"/>
      <c r="R11" s="2061"/>
      <c r="S11" s="2061"/>
      <c r="T11" s="2061"/>
      <c r="U11" s="2061"/>
      <c r="V11" s="2061"/>
      <c r="W11" s="2061"/>
      <c r="X11" s="2061"/>
      <c r="Y11" s="2061"/>
      <c r="Z11" s="2061"/>
      <c r="AA11" s="2061"/>
      <c r="AB11" s="2061"/>
      <c r="AC11" s="2067"/>
    </row>
    <row r="12" spans="2:34" ht="22.5" customHeight="1" thickBot="1">
      <c r="B12" s="2068" t="s">
        <v>23</v>
      </c>
      <c r="C12" s="2069"/>
      <c r="D12" s="2070">
        <v>44926</v>
      </c>
      <c r="E12" s="2053"/>
      <c r="F12" s="2053">
        <v>44957</v>
      </c>
      <c r="G12" s="2053"/>
      <c r="H12" s="2056">
        <v>44985</v>
      </c>
      <c r="I12" s="2057"/>
      <c r="J12" s="2053">
        <v>45016</v>
      </c>
      <c r="K12" s="2053"/>
      <c r="L12" s="2056">
        <v>45046</v>
      </c>
      <c r="M12" s="2057"/>
      <c r="N12" s="2053">
        <v>45077</v>
      </c>
      <c r="O12" s="2053"/>
      <c r="P12" s="2056">
        <v>45107</v>
      </c>
      <c r="Q12" s="2057"/>
      <c r="R12" s="2053">
        <v>45138</v>
      </c>
      <c r="S12" s="2053"/>
      <c r="T12" s="2056">
        <v>45169</v>
      </c>
      <c r="U12" s="2057"/>
      <c r="V12" s="2053">
        <v>45199</v>
      </c>
      <c r="W12" s="2053"/>
      <c r="X12" s="2056">
        <v>45230</v>
      </c>
      <c r="Y12" s="2057"/>
      <c r="Z12" s="2053">
        <v>45260</v>
      </c>
      <c r="AA12" s="2053"/>
      <c r="AB12" s="2056">
        <v>45291</v>
      </c>
      <c r="AC12" s="2086"/>
      <c r="AD12" s="2083"/>
      <c r="AE12" s="2083"/>
    </row>
    <row r="13" spans="2:34" ht="16.2" thickBot="1">
      <c r="B13" s="2054" t="s">
        <v>24</v>
      </c>
      <c r="C13" s="2061"/>
      <c r="D13" s="2088">
        <f>CONTADORES!AM2</f>
        <v>58261.8</v>
      </c>
      <c r="E13" s="2089"/>
      <c r="F13" s="2075">
        <f ca="1">IF($K$5&gt;F12,(VLOOKUP($F$12,CONTADORES!$A$2:$AM$33,39)),(IF($K$5&gt;$D$12,(VLOOKUP($K$5,CONTADORES!$A$2:$AM$33,39))," ")))</f>
        <v>58582.5</v>
      </c>
      <c r="G13" s="2076"/>
      <c r="H13" s="2051">
        <f ca="1">IF($K$5&gt;H12,(VLOOKUP($H$12,CONTADORES!$A$35:$AM$63,39)),(IF($K$5&gt;$F$12,(VLOOKUP($K$5,CONTADORES!$A$35:$AM$63,39))," ")))</f>
        <v>58860.5</v>
      </c>
      <c r="I13" s="2052"/>
      <c r="J13" s="2051">
        <f ca="1">IF($K$5&gt;J12,(VLOOKUP($J$12,CONTADORES!$A$65:$AM$96,39)),(IF($K$5&gt;$H$12,(VLOOKUP($K$5,CONTADORES!$A$65:$AM$96,39))," ")))</f>
        <v>59153</v>
      </c>
      <c r="K13" s="2052"/>
      <c r="L13" s="2058">
        <f ca="1">IF($K$5&gt;L12,(VLOOKUP($L$12,CONTADORES!$A$98:$AM$128,39)),(IF($K$5&gt;$J$12,(VLOOKUP($K$5,CONTADORES!$A$98:$AM$128,39))," ")))</f>
        <v>59467.1</v>
      </c>
      <c r="M13" s="2059"/>
      <c r="N13" s="2051">
        <f ca="1">IF($K$5&gt;N12,(VLOOKUP($N$12,CONTADORES!$A$130:$AM$161,39)),(IF($K$5&gt;$L$12,(VLOOKUP($K$5,CONTADORES!$A$130:$AM$161,39))," ")))</f>
        <v>59803.8</v>
      </c>
      <c r="O13" s="2052"/>
      <c r="P13" s="2051">
        <f ca="1">IF($K$5&gt;P12,(VLOOKUP($P$12,CONTADORES!$A$163:$AM$193,39)),(IF($K$5&gt;$N$12,(VLOOKUP($K$5,CONTADORES!$A$163:$AM$193,39))," ")))</f>
        <v>0</v>
      </c>
      <c r="Q13" s="2052"/>
      <c r="R13" s="2051">
        <f ca="1">IF($K$5&gt;R12,(VLOOKUP($R$12,CONTADORES!$A$195:$AM$226,39)),(IF($K$5&gt;$P$12,(VLOOKUP($K$5,CONTADORES!$A$195:$AM$226,39))," ")))</f>
        <v>0</v>
      </c>
      <c r="S13" s="2052"/>
      <c r="T13" s="2051" t="str">
        <f ca="1">IF($K$5&gt;T12,(VLOOKUP($T$12,CONTADORES!$A$228:$AM$259,39)),(IF($K$5&gt;$R$12,(VLOOKUP($K$5,CONTADORES!$A$228:$AM$259,39))," ")))</f>
        <v xml:space="preserve"> </v>
      </c>
      <c r="U13" s="2052"/>
      <c r="V13" s="2051" t="str">
        <f ca="1">IF($K$5&gt;V12,(VLOOKUP($V$12,CONTADORES!$A$261:$AM$291,39)),(IF($K$5&gt;$T$12,(VLOOKUP($K$5,CONTADORES!$A$261:$AM$291,39))," ")))</f>
        <v xml:space="preserve"> </v>
      </c>
      <c r="W13" s="2052"/>
      <c r="X13" s="2051" t="str">
        <f ca="1">IF($K$5&gt;X12,(VLOOKUP($X$12,CONTADORES!$A$293:$AM$324,39)),(IF($K$5&gt;$V$12,(VLOOKUP($K$5,CONTADORES!$A$293:$AM$324,39))," ")))</f>
        <v xml:space="preserve"> </v>
      </c>
      <c r="Y13" s="2052"/>
      <c r="Z13" s="2051" t="str">
        <f ca="1">IF($K$5&gt;Z12,(VLOOKUP(Z12,CONTADORES!$A$326:$AM$356,39)),(IF($K$5&gt;X12,(VLOOKUP($K$5,CONTADORES!$A$326:$AM$356,39))," ")))</f>
        <v xml:space="preserve"> </v>
      </c>
      <c r="AA13" s="2052"/>
      <c r="AB13" s="2075" t="str">
        <f ca="1">IF($K$5&gt;AB12,(VLOOKUP(AB12,CONTADORES!$A$358:$AM$389,39)),(IF($K$5&gt;Z12,(VLOOKUP($K$5,CONTADORES!$A$358:$AM$389,39))," ")))</f>
        <v xml:space="preserve"> </v>
      </c>
      <c r="AC13" s="2085"/>
    </row>
    <row r="14" spans="2:34" ht="16.2" thickBot="1">
      <c r="B14" s="2054" t="s">
        <v>25</v>
      </c>
      <c r="C14" s="2061"/>
      <c r="D14" s="2073">
        <f>CONTADORES!M2</f>
        <v>14948.1</v>
      </c>
      <c r="E14" s="2074"/>
      <c r="F14" s="2075">
        <f ca="1">IF($K$5&gt;F13,(VLOOKUP($F$12,CONTADORES!$A$2:$AM$33,13)),(IF($K$5&gt;$D$12,(VLOOKUP($K$5,CONTADORES!$A$2:$AM$33,13))," ")))</f>
        <v>14948.1</v>
      </c>
      <c r="G14" s="2076"/>
      <c r="H14" s="2058">
        <f ca="1">IF($K$5&gt;H12,(VLOOKUP($H$12,CONTADORES!$A$35:$AM$63,13)),(IF($K$5&gt;$F$12,(VLOOKUP($K$5,CONTADORES!$A$35:$AM$63,13))," ")))</f>
        <v>14950.6</v>
      </c>
      <c r="I14" s="2059"/>
      <c r="J14" s="2077">
        <f ca="1">IF($K$5&gt;J12,(VLOOKUP($J$12,CONTADORES!$A$65:$AM$96,13)),(IF($K$5&gt;$H$12,(VLOOKUP($K$5,CONTADORES!$A$65:$AM$96,13))," ")))</f>
        <v>14958.9</v>
      </c>
      <c r="K14" s="2078"/>
      <c r="L14" s="2058">
        <f ca="1">IF($K$5&gt;L12,(VLOOKUP($L$12,CONTADORES!$A$98:$AM$128,13)),(IF($K$5&gt;$J$12,(VLOOKUP($K$5,CONTADORES!$A$98:$AM$128,13))," ")))</f>
        <v>14959</v>
      </c>
      <c r="M14" s="2059"/>
      <c r="N14" s="2077">
        <f ca="1">IF($K$5&gt;N12,(VLOOKUP($N$12,CONTADORES!$A$130:$AM$161,13)),(IF($K$5&gt;$L$12,(VLOOKUP($K$5,CONTADORES!$A$130:$AM$161,13))," ")))</f>
        <v>14963</v>
      </c>
      <c r="O14" s="2078"/>
      <c r="P14" s="2077">
        <f ca="1">IF($K$5&gt;P12,(VLOOKUP($P$12,CONTADORES!$A$163:$AM$193,13)),(IF($K$5&gt;$N$12,(VLOOKUP($K$5,CONTADORES!$A$163:$AM$193,13))," ")))</f>
        <v>0</v>
      </c>
      <c r="Q14" s="2078"/>
      <c r="R14" s="2077">
        <f ca="1">IF($K$5&gt;R12,(VLOOKUP($R$12,CONTADORES!$A$195:$AM$226,13)),(IF($K$5&gt;$P$12,(VLOOKUP($K$5,CONTADORES!$A$195:$AM$226,13))," ")))</f>
        <v>0</v>
      </c>
      <c r="S14" s="2078"/>
      <c r="T14" s="2077" t="str">
        <f ca="1">IF($K$5&gt;T12,(VLOOKUP($T$12,CONTADORES!$A$228:$AM$259,13)),(IF($K$5&gt;$R$12,(VLOOKUP($K$5,CONTADORES!$A$228:$AM$259,13))," ")))</f>
        <v xml:space="preserve"> </v>
      </c>
      <c r="U14" s="2078"/>
      <c r="V14" s="2077" t="str">
        <f ca="1">IF($K$5&gt;V12,(VLOOKUP($V$12,CONTADORES!$A$261:$AM$291,13)),(IF($K$5&gt;$T$12,(VLOOKUP($K$5,CONTADORES!$A$261:$AM$291,13))," ")))</f>
        <v xml:space="preserve"> </v>
      </c>
      <c r="W14" s="2078"/>
      <c r="X14" s="2058" t="str">
        <f ca="1">IF($K$5&gt;X12,(VLOOKUP($X$12,CONTADORES!$A$293:$AM$324,13)),(IF($K$5&gt;$V$12,(VLOOKUP($K$5,CONTADORES!$A$293:$AM$324,13))," ")))</f>
        <v xml:space="preserve"> </v>
      </c>
      <c r="Y14" s="2059"/>
      <c r="Z14" s="2077" t="str">
        <f ca="1">IF($K$5&gt;Z12,(VLOOKUP(Z12,CONTADORES!$A$326:$AM$356,13)),(IF($K$5&gt;X12,(VLOOKUP($K$5,CONTADORES!$A$326:$AM$356,13))," ")))</f>
        <v xml:space="preserve"> </v>
      </c>
      <c r="AA14" s="2078"/>
      <c r="AB14" s="2077" t="str">
        <f ca="1">IF($K$5&gt;AB12,(VLOOKUP(AB12,CONTADORES!$A$358:$AM$389,13)),(IF($K$5&gt;Z12,(VLOOKUP($K$5,CONTADORES!$A$358:$AM$389,13))," ")))</f>
        <v xml:space="preserve"> </v>
      </c>
      <c r="AC14" s="2084"/>
      <c r="AD14" s="2081" t="s">
        <v>26</v>
      </c>
      <c r="AE14" s="2082"/>
    </row>
    <row r="15" spans="2:34" ht="24.75" customHeight="1" thickBot="1">
      <c r="B15" s="2054" t="s">
        <v>27</v>
      </c>
      <c r="C15" s="2061"/>
      <c r="D15" s="2071" t="s">
        <v>28</v>
      </c>
      <c r="E15" s="2072"/>
      <c r="F15" s="2051">
        <f ca="1">IF(F13=" "," ",(F13-D13)+(F14-D14))</f>
        <v>320.69999999999709</v>
      </c>
      <c r="G15" s="2052"/>
      <c r="H15" s="2051">
        <f ca="1">IF(H13=" "," ",(H13-F13)+(H14-F14))</f>
        <v>280.5</v>
      </c>
      <c r="I15" s="2052"/>
      <c r="J15" s="2051">
        <f ca="1">IF(J13=" "," ",(J13-H13)+(J14-H14))</f>
        <v>300.79999999999927</v>
      </c>
      <c r="K15" s="2052"/>
      <c r="L15" s="2051">
        <f ca="1">IF(L13=" "," ",(L13-J13)+(L14-J14))</f>
        <v>314.19999999999891</v>
      </c>
      <c r="M15" s="2052"/>
      <c r="N15" s="2051">
        <f ca="1">IF(N13=" "," ",(N13-L13)+(N14-L14))</f>
        <v>340.70000000000437</v>
      </c>
      <c r="O15" s="2052"/>
      <c r="P15" s="2051">
        <f ca="1">IF(P13=" "," ",(P13-N13)+(P14-N14))</f>
        <v>-74766.8</v>
      </c>
      <c r="Q15" s="2052"/>
      <c r="R15" s="2051">
        <f ca="1">IF(R13=" "," ",(R13-P13)+(R14-P14))</f>
        <v>0</v>
      </c>
      <c r="S15" s="2052"/>
      <c r="T15" s="2051" t="str">
        <f ca="1">IF(T13=" "," ",(T13-R13)+(T14-R14))</f>
        <v xml:space="preserve"> </v>
      </c>
      <c r="U15" s="2052"/>
      <c r="V15" s="2051" t="str">
        <f ca="1">IF(V13=" "," ",(V13-T13)+(V14-T14))</f>
        <v xml:space="preserve"> </v>
      </c>
      <c r="W15" s="2052"/>
      <c r="X15" s="2051" t="str">
        <f ca="1">IF(X13=" "," ",(X13-V13)+(X14-V14))</f>
        <v xml:space="preserve"> </v>
      </c>
      <c r="Y15" s="2052"/>
      <c r="Z15" s="2051" t="str">
        <f ca="1">IF(Z13=" "," ",(Z13-X13)+(Z14-X14))</f>
        <v xml:space="preserve"> </v>
      </c>
      <c r="AA15" s="2052"/>
      <c r="AB15" s="2051" t="str">
        <f ca="1">IF(AB13=" "," ",(AB13-Z13)+(AB14-Z14))</f>
        <v xml:space="preserve"> </v>
      </c>
      <c r="AC15" s="2087"/>
      <c r="AD15" s="2079">
        <f ca="1">SUM(F15:AB15)</f>
        <v>-73209.900000000009</v>
      </c>
      <c r="AE15" s="2080"/>
    </row>
    <row r="17" spans="4:22">
      <c r="D17" s="603"/>
    </row>
    <row r="20" spans="4:22">
      <c r="V20" s="603"/>
    </row>
  </sheetData>
  <mergeCells count="74">
    <mergeCell ref="B6:AH6"/>
    <mergeCell ref="L14:M14"/>
    <mergeCell ref="N14:O14"/>
    <mergeCell ref="P14:Q14"/>
    <mergeCell ref="T14:U14"/>
    <mergeCell ref="R14:S14"/>
    <mergeCell ref="Z13:AA13"/>
    <mergeCell ref="Z14:AA14"/>
    <mergeCell ref="Z12:AA12"/>
    <mergeCell ref="J14:K14"/>
    <mergeCell ref="B7:C7"/>
    <mergeCell ref="V12:W12"/>
    <mergeCell ref="B13:C13"/>
    <mergeCell ref="D13:E13"/>
    <mergeCell ref="F13:G13"/>
    <mergeCell ref="H13:I13"/>
    <mergeCell ref="AD15:AE15"/>
    <mergeCell ref="AD14:AE14"/>
    <mergeCell ref="AD12:AE12"/>
    <mergeCell ref="AB14:AC14"/>
    <mergeCell ref="AB13:AC13"/>
    <mergeCell ref="AB12:AC12"/>
    <mergeCell ref="AB15:AC15"/>
    <mergeCell ref="V15:W15"/>
    <mergeCell ref="X15:Y15"/>
    <mergeCell ref="X13:Y13"/>
    <mergeCell ref="V14:W14"/>
    <mergeCell ref="V13:W13"/>
    <mergeCell ref="X14:Y14"/>
    <mergeCell ref="Z15:AA15"/>
    <mergeCell ref="X12:Y12"/>
    <mergeCell ref="B15:C15"/>
    <mergeCell ref="D15:E15"/>
    <mergeCell ref="F15:G15"/>
    <mergeCell ref="B14:C14"/>
    <mergeCell ref="D14:E14"/>
    <mergeCell ref="F14:G14"/>
    <mergeCell ref="H15:I15"/>
    <mergeCell ref="J15:K15"/>
    <mergeCell ref="T15:U15"/>
    <mergeCell ref="L15:M15"/>
    <mergeCell ref="N15:O15"/>
    <mergeCell ref="P15:Q15"/>
    <mergeCell ref="R15:S15"/>
    <mergeCell ref="H14:I14"/>
    <mergeCell ref="B11:AC11"/>
    <mergeCell ref="B12:C12"/>
    <mergeCell ref="D12:E12"/>
    <mergeCell ref="F12:G12"/>
    <mergeCell ref="H12:I12"/>
    <mergeCell ref="H1:Z1"/>
    <mergeCell ref="H2:AA2"/>
    <mergeCell ref="U5:V5"/>
    <mergeCell ref="O4:P4"/>
    <mergeCell ref="O5:P5"/>
    <mergeCell ref="K3:L3"/>
    <mergeCell ref="K4:L4"/>
    <mergeCell ref="K5:L5"/>
    <mergeCell ref="J13:K13"/>
    <mergeCell ref="T13:U13"/>
    <mergeCell ref="R12:S12"/>
    <mergeCell ref="B8:C8"/>
    <mergeCell ref="P12:Q12"/>
    <mergeCell ref="T12:U12"/>
    <mergeCell ref="L13:M13"/>
    <mergeCell ref="N13:O13"/>
    <mergeCell ref="P13:Q13"/>
    <mergeCell ref="R13:S13"/>
    <mergeCell ref="N12:O12"/>
    <mergeCell ref="F10:G10"/>
    <mergeCell ref="J12:K12"/>
    <mergeCell ref="L12:M12"/>
    <mergeCell ref="B9:C9"/>
    <mergeCell ref="D9:F9"/>
  </mergeCells>
  <pageMargins left="0.70866141732283472" right="0.70866141732283472" top="0.74803149606299213" bottom="0.74803149606299213" header="0.31496062992125984" footer="0.31496062992125984"/>
  <pageSetup scale="80" fitToWidth="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tabColor rgb="FFFFC000"/>
  </sheetPr>
  <dimension ref="A1:CL94"/>
  <sheetViews>
    <sheetView topLeftCell="B1" zoomScale="70" zoomScaleNormal="70" workbookViewId="0">
      <pane ySplit="5" topLeftCell="A33" activePane="bottomLeft" state="frozen"/>
      <selection activeCell="B24" sqref="B24"/>
      <selection pane="bottomLeft" activeCell="CE44" sqref="CE44"/>
    </sheetView>
  </sheetViews>
  <sheetFormatPr baseColWidth="10" defaultColWidth="11.44140625" defaultRowHeight="14.4"/>
  <cols>
    <col min="1" max="1" width="8.21875" style="1292" hidden="1" customWidth="1"/>
    <col min="2" max="2" width="7" style="1287" bestFit="1" customWidth="1"/>
    <col min="3" max="3" width="7.88671875" style="1287" customWidth="1"/>
    <col min="4" max="4" width="0.21875" style="1287" customWidth="1"/>
    <col min="5" max="5" width="11.5546875" style="1287" bestFit="1" customWidth="1"/>
    <col min="6" max="6" width="11.77734375" style="1287" bestFit="1" customWidth="1"/>
    <col min="7" max="7" width="15" style="1287" bestFit="1" customWidth="1"/>
    <col min="8" max="8" width="12.5546875" style="1287" bestFit="1" customWidth="1"/>
    <col min="9" max="9" width="13.109375" style="1287" bestFit="1" customWidth="1"/>
    <col min="10" max="10" width="13.77734375" style="1287" bestFit="1" customWidth="1"/>
    <col min="11" max="11" width="12.21875" style="1287" bestFit="1" customWidth="1"/>
    <col min="12" max="12" width="13.109375" style="1287" bestFit="1" customWidth="1"/>
    <col min="13" max="13" width="12.5546875" style="1287" bestFit="1" customWidth="1"/>
    <col min="14" max="14" width="11.77734375" style="1287" bestFit="1" customWidth="1"/>
    <col min="15" max="16" width="15.44140625" style="1287" bestFit="1" customWidth="1"/>
    <col min="17" max="17" width="15.88671875" style="1287" bestFit="1" customWidth="1"/>
    <col min="18" max="18" width="13.21875" style="1287" bestFit="1" customWidth="1"/>
    <col min="19" max="20" width="14.21875" style="1287" bestFit="1" customWidth="1"/>
    <col min="21" max="21" width="17.6640625" style="1287" bestFit="1" customWidth="1"/>
    <col min="22" max="22" width="12.88671875" style="1287" bestFit="1" customWidth="1"/>
    <col min="23" max="24" width="12.77734375" style="1287" bestFit="1" customWidth="1"/>
    <col min="25" max="25" width="7.33203125" style="1287" bestFit="1" customWidth="1"/>
    <col min="26" max="26" width="17" style="1287" bestFit="1" customWidth="1"/>
    <col min="27" max="27" width="13.6640625" style="1287" bestFit="1" customWidth="1"/>
    <col min="28" max="29" width="12.77734375" style="1287" bestFit="1" customWidth="1"/>
    <col min="30" max="30" width="11.77734375" style="1287" bestFit="1" customWidth="1"/>
    <col min="31" max="31" width="12.5546875" style="1287" bestFit="1" customWidth="1"/>
    <col min="32" max="32" width="14.6640625" style="1287" bestFit="1" customWidth="1"/>
    <col min="33" max="34" width="14.21875" style="1287" bestFit="1" customWidth="1"/>
    <col min="35" max="35" width="14.6640625" style="1294" bestFit="1" customWidth="1"/>
    <col min="36" max="36" width="14" style="1287" bestFit="1" customWidth="1"/>
    <col min="37" max="37" width="14.21875" style="1287" bestFit="1" customWidth="1"/>
    <col min="38" max="38" width="7.77734375" style="1287" bestFit="1" customWidth="1"/>
    <col min="39" max="39" width="10.44140625" style="1287" bestFit="1" customWidth="1"/>
    <col min="40" max="40" width="11.77734375" style="1287" bestFit="1" customWidth="1"/>
    <col min="41" max="42" width="6.109375" style="1287" bestFit="1" customWidth="1"/>
    <col min="43" max="43" width="6.44140625" style="1287" bestFit="1" customWidth="1"/>
    <col min="44" max="44" width="12" style="1287" bestFit="1" customWidth="1"/>
    <col min="45" max="45" width="11.33203125" style="1287" bestFit="1" customWidth="1"/>
    <col min="46" max="46" width="11.88671875" style="1287" bestFit="1" customWidth="1"/>
    <col min="47" max="47" width="15.6640625" style="1287" bestFit="1" customWidth="1"/>
    <col min="48" max="48" width="12.88671875" style="1287" bestFit="1" customWidth="1"/>
    <col min="49" max="50" width="13.21875" style="1287" bestFit="1" customWidth="1"/>
    <col min="51" max="51" width="12" style="1287" bestFit="1" customWidth="1"/>
    <col min="52" max="52" width="12.21875" style="1287" bestFit="1" customWidth="1"/>
    <col min="53" max="53" width="15.88671875" style="1287" bestFit="1" customWidth="1"/>
    <col min="54" max="54" width="13.109375" style="1287" bestFit="1" customWidth="1"/>
    <col min="55" max="55" width="8.5546875" style="1287" bestFit="1" customWidth="1"/>
    <col min="56" max="59" width="13.109375" style="1287" bestFit="1" customWidth="1"/>
    <col min="60" max="63" width="13.33203125" style="1287" bestFit="1" customWidth="1"/>
    <col min="64" max="64" width="11.6640625" style="1287" bestFit="1" customWidth="1"/>
    <col min="65" max="72" width="11.88671875" style="1287" bestFit="1" customWidth="1"/>
    <col min="73" max="73" width="12.5546875" style="1287" bestFit="1" customWidth="1"/>
    <col min="74" max="74" width="12.21875" style="1287" bestFit="1" customWidth="1"/>
    <col min="75" max="76" width="12.5546875" style="1287" bestFit="1" customWidth="1"/>
    <col min="77" max="77" width="13.109375" style="1287" bestFit="1" customWidth="1"/>
    <col min="78" max="78" width="12.77734375" style="1287" bestFit="1" customWidth="1"/>
    <col min="79" max="79" width="13.33203125" style="1287" bestFit="1" customWidth="1"/>
    <col min="80" max="80" width="11.5546875" style="1287" bestFit="1" customWidth="1"/>
    <col min="81" max="81" width="6.21875" style="1287" bestFit="1" customWidth="1"/>
    <col min="82" max="82" width="9.77734375" style="1287" bestFit="1" customWidth="1"/>
    <col min="83" max="83" width="8.44140625" style="1287" bestFit="1" customWidth="1"/>
    <col min="84" max="16384" width="11.44140625" style="1287"/>
  </cols>
  <sheetData>
    <row r="1" spans="1:90" ht="15" thickBot="1">
      <c r="A1" s="2095"/>
      <c r="B1" s="1287">
        <v>1</v>
      </c>
      <c r="C1" s="1287">
        <v>2</v>
      </c>
      <c r="E1" s="1287">
        <v>4</v>
      </c>
      <c r="F1" s="1287">
        <v>5</v>
      </c>
      <c r="G1" s="1287">
        <v>6</v>
      </c>
      <c r="H1" s="1287">
        <v>7</v>
      </c>
      <c r="I1" s="1287">
        <v>8</v>
      </c>
      <c r="J1" s="1287">
        <v>9</v>
      </c>
      <c r="K1" s="1287">
        <v>10</v>
      </c>
      <c r="L1" s="1287">
        <v>11</v>
      </c>
      <c r="M1" s="1287">
        <v>12</v>
      </c>
      <c r="N1" s="1287">
        <v>13</v>
      </c>
      <c r="O1" s="1287">
        <v>14</v>
      </c>
      <c r="P1" s="1287">
        <v>15</v>
      </c>
      <c r="Q1" s="1287">
        <v>16</v>
      </c>
      <c r="R1" s="1287">
        <v>17</v>
      </c>
      <c r="S1" s="1287">
        <v>18</v>
      </c>
      <c r="T1" s="1287">
        <v>19</v>
      </c>
      <c r="U1" s="1287">
        <v>20</v>
      </c>
      <c r="V1" s="1287">
        <v>21</v>
      </c>
      <c r="W1" s="1287">
        <v>22</v>
      </c>
      <c r="X1" s="1287">
        <v>23</v>
      </c>
      <c r="Y1" s="1287">
        <v>24</v>
      </c>
      <c r="Z1" s="1287">
        <v>25</v>
      </c>
      <c r="AA1" s="1287">
        <v>26</v>
      </c>
      <c r="AB1" s="1287">
        <v>27</v>
      </c>
      <c r="AC1" s="1287">
        <v>28</v>
      </c>
      <c r="AD1" s="1287">
        <v>29</v>
      </c>
      <c r="AE1" s="1287">
        <v>30</v>
      </c>
      <c r="AF1" s="1287">
        <v>31</v>
      </c>
      <c r="AG1" s="1287">
        <v>32</v>
      </c>
      <c r="AH1" s="1287">
        <v>33</v>
      </c>
      <c r="AI1" s="1287">
        <v>34</v>
      </c>
      <c r="AJ1" s="1287">
        <v>35</v>
      </c>
      <c r="AK1" s="1287">
        <v>36</v>
      </c>
      <c r="AL1" s="1287">
        <v>37</v>
      </c>
      <c r="AM1" s="1287">
        <v>38</v>
      </c>
      <c r="AN1" s="1287">
        <v>39</v>
      </c>
      <c r="AO1" s="1287">
        <v>40</v>
      </c>
      <c r="AP1" s="1287">
        <v>41</v>
      </c>
      <c r="AQ1" s="1287">
        <v>42</v>
      </c>
      <c r="AR1" s="1287">
        <v>43</v>
      </c>
      <c r="AS1" s="1287">
        <v>44</v>
      </c>
      <c r="AT1" s="1287">
        <v>45</v>
      </c>
      <c r="AU1" s="1287">
        <v>46</v>
      </c>
      <c r="AV1" s="1287">
        <v>47</v>
      </c>
      <c r="AW1" s="1287">
        <v>48</v>
      </c>
      <c r="AX1" s="1287">
        <v>49</v>
      </c>
      <c r="AY1" s="1287">
        <v>50</v>
      </c>
      <c r="AZ1" s="1287">
        <v>51</v>
      </c>
      <c r="BA1" s="1287">
        <v>52</v>
      </c>
      <c r="BB1" s="1287">
        <v>53</v>
      </c>
      <c r="BC1" s="1287">
        <v>54</v>
      </c>
      <c r="BD1" s="1287">
        <v>55</v>
      </c>
      <c r="BE1" s="1287">
        <v>56</v>
      </c>
      <c r="BF1" s="1287">
        <v>57</v>
      </c>
      <c r="BG1" s="1287">
        <v>58</v>
      </c>
      <c r="BH1" s="1287">
        <v>59</v>
      </c>
      <c r="BI1" s="1287">
        <v>60</v>
      </c>
      <c r="BJ1" s="1287">
        <v>61</v>
      </c>
      <c r="BK1" s="1287">
        <v>62</v>
      </c>
      <c r="BL1" s="1287">
        <v>63</v>
      </c>
      <c r="BM1" s="1287">
        <v>64</v>
      </c>
      <c r="BN1" s="1287">
        <v>65</v>
      </c>
      <c r="BO1" s="1287">
        <v>66</v>
      </c>
      <c r="BP1" s="1287">
        <v>67</v>
      </c>
      <c r="BQ1" s="1287">
        <v>68</v>
      </c>
      <c r="BR1" s="1287">
        <v>69</v>
      </c>
      <c r="BS1" s="1287">
        <v>70</v>
      </c>
      <c r="BT1" s="1287">
        <v>71</v>
      </c>
      <c r="BU1" s="1287">
        <v>72</v>
      </c>
      <c r="BV1" s="1287">
        <v>73</v>
      </c>
      <c r="BW1" s="1287">
        <v>74</v>
      </c>
      <c r="BX1" s="1287">
        <v>75</v>
      </c>
      <c r="BY1" s="1287">
        <v>76</v>
      </c>
      <c r="BZ1" s="1287">
        <v>77</v>
      </c>
      <c r="CA1" s="1287">
        <v>78</v>
      </c>
      <c r="CB1" s="1287">
        <v>79</v>
      </c>
      <c r="CC1" s="1287">
        <v>80</v>
      </c>
      <c r="CD1" s="1287">
        <v>81</v>
      </c>
    </row>
    <row r="2" spans="1:90" ht="34.049999999999997" customHeight="1" thickBot="1">
      <c r="A2" s="2096"/>
      <c r="B2" s="2097" t="s">
        <v>380</v>
      </c>
      <c r="C2" s="2098"/>
      <c r="D2" s="1662"/>
      <c r="E2" s="1295" t="s">
        <v>426</v>
      </c>
      <c r="F2" s="1295" t="s">
        <v>385</v>
      </c>
      <c r="G2" s="1295" t="s">
        <v>386</v>
      </c>
      <c r="H2" s="1295" t="s">
        <v>387</v>
      </c>
      <c r="I2" s="1295" t="s">
        <v>427</v>
      </c>
      <c r="J2" s="1295" t="s">
        <v>428</v>
      </c>
      <c r="K2" s="1295" t="s">
        <v>429</v>
      </c>
      <c r="L2" s="1295" t="s">
        <v>430</v>
      </c>
      <c r="M2" s="1663" t="s">
        <v>431</v>
      </c>
      <c r="N2" s="1663" t="s">
        <v>432</v>
      </c>
      <c r="O2" s="1663" t="s">
        <v>433</v>
      </c>
      <c r="P2" s="1663" t="s">
        <v>434</v>
      </c>
      <c r="Q2" s="1663" t="s">
        <v>435</v>
      </c>
      <c r="R2" s="1295" t="s">
        <v>435</v>
      </c>
      <c r="S2" s="1295" t="s">
        <v>436</v>
      </c>
      <c r="T2" s="1295" t="s">
        <v>436</v>
      </c>
      <c r="U2" s="1295" t="s">
        <v>437</v>
      </c>
      <c r="V2" s="1295" t="s">
        <v>438</v>
      </c>
      <c r="W2" s="1295" t="s">
        <v>439</v>
      </c>
      <c r="X2" s="1295" t="s">
        <v>440</v>
      </c>
      <c r="Y2" s="1295" t="s">
        <v>441</v>
      </c>
      <c r="Z2" s="1295" t="s">
        <v>442</v>
      </c>
      <c r="AA2" s="1295" t="s">
        <v>443</v>
      </c>
      <c r="AB2" s="1295" t="s">
        <v>444</v>
      </c>
      <c r="AC2" s="1295" t="s">
        <v>444</v>
      </c>
      <c r="AD2" s="1295" t="s">
        <v>445</v>
      </c>
      <c r="AE2" s="1295" t="s">
        <v>446</v>
      </c>
      <c r="AF2" s="1769" t="s">
        <v>447</v>
      </c>
      <c r="AG2" s="1769" t="s">
        <v>447</v>
      </c>
      <c r="AH2" s="1769" t="s">
        <v>447</v>
      </c>
      <c r="AI2" s="1769" t="s">
        <v>447</v>
      </c>
      <c r="AJ2" s="1769" t="s">
        <v>447</v>
      </c>
      <c r="AK2" s="1769" t="s">
        <v>447</v>
      </c>
      <c r="AL2" s="1295" t="s">
        <v>448</v>
      </c>
      <c r="AM2" s="1295" t="s">
        <v>449</v>
      </c>
      <c r="AN2" s="1295" t="s">
        <v>450</v>
      </c>
      <c r="AO2" s="1295" t="s">
        <v>451</v>
      </c>
      <c r="AP2" s="1295" t="s">
        <v>452</v>
      </c>
      <c r="AQ2" s="1295" t="s">
        <v>453</v>
      </c>
      <c r="AR2" s="1295" t="s">
        <v>454</v>
      </c>
      <c r="AS2" s="1663" t="s">
        <v>1518</v>
      </c>
      <c r="AT2" s="1663" t="s">
        <v>1519</v>
      </c>
      <c r="AU2" s="1295" t="s">
        <v>455</v>
      </c>
      <c r="AV2" s="1295" t="s">
        <v>456</v>
      </c>
      <c r="AW2" s="1295" t="s">
        <v>457</v>
      </c>
      <c r="AX2" s="1295" t="s">
        <v>458</v>
      </c>
      <c r="AY2" s="1295" t="s">
        <v>459</v>
      </c>
      <c r="AZ2" s="1295" t="s">
        <v>460</v>
      </c>
      <c r="BA2" s="1663" t="s">
        <v>461</v>
      </c>
      <c r="BB2" s="1295" t="s">
        <v>462</v>
      </c>
      <c r="BC2" s="1295" t="s">
        <v>463</v>
      </c>
      <c r="BD2" s="1295" t="s">
        <v>398</v>
      </c>
      <c r="BE2" s="1295" t="s">
        <v>398</v>
      </c>
      <c r="BF2" s="1295" t="s">
        <v>398</v>
      </c>
      <c r="BG2" s="1295" t="s">
        <v>398</v>
      </c>
      <c r="BH2" s="1295" t="s">
        <v>464</v>
      </c>
      <c r="BI2" s="1295" t="s">
        <v>464</v>
      </c>
      <c r="BJ2" s="1295" t="s">
        <v>464</v>
      </c>
      <c r="BK2" s="1295" t="s">
        <v>464</v>
      </c>
      <c r="BL2" s="1295" t="s">
        <v>465</v>
      </c>
      <c r="BM2" s="1295" t="s">
        <v>466</v>
      </c>
      <c r="BN2" s="1295" t="s">
        <v>467</v>
      </c>
      <c r="BO2" s="1295" t="s">
        <v>468</v>
      </c>
      <c r="BP2" s="1295" t="s">
        <v>469</v>
      </c>
      <c r="BQ2" s="1295" t="s">
        <v>470</v>
      </c>
      <c r="BR2" s="1295" t="s">
        <v>471</v>
      </c>
      <c r="BS2" s="1295" t="s">
        <v>472</v>
      </c>
      <c r="BT2" s="1295" t="s">
        <v>473</v>
      </c>
      <c r="BU2" s="1295" t="s">
        <v>474</v>
      </c>
      <c r="BV2" s="1295" t="s">
        <v>475</v>
      </c>
      <c r="BW2" s="1295" t="s">
        <v>476</v>
      </c>
      <c r="BX2" s="1295" t="s">
        <v>477</v>
      </c>
      <c r="BY2" s="1295" t="s">
        <v>399</v>
      </c>
      <c r="BZ2" s="1295" t="s">
        <v>478</v>
      </c>
      <c r="CA2" s="1295" t="s">
        <v>479</v>
      </c>
      <c r="CB2" s="1295" t="s">
        <v>480</v>
      </c>
      <c r="CC2" s="1295" t="s">
        <v>481</v>
      </c>
      <c r="CD2" s="1295" t="s">
        <v>1387</v>
      </c>
      <c r="CE2" s="1296">
        <f>INICIO!D12</f>
        <v>45078</v>
      </c>
    </row>
    <row r="3" spans="1:90" ht="18" customHeight="1" thickBot="1">
      <c r="A3" s="1754">
        <f>INICIO!C8</f>
        <v>45081</v>
      </c>
      <c r="B3" s="2099"/>
      <c r="C3" s="2100"/>
      <c r="D3" s="1664" t="s">
        <v>406</v>
      </c>
      <c r="E3" s="1667" t="s">
        <v>402</v>
      </c>
      <c r="F3" s="1668" t="s">
        <v>405</v>
      </c>
      <c r="G3" s="1667" t="s">
        <v>406</v>
      </c>
      <c r="H3" s="1667" t="s">
        <v>406</v>
      </c>
      <c r="I3" s="1668" t="s">
        <v>482</v>
      </c>
      <c r="J3" s="1667" t="s">
        <v>483</v>
      </c>
      <c r="K3" s="1668" t="s">
        <v>484</v>
      </c>
      <c r="L3" s="1667" t="s">
        <v>484</v>
      </c>
      <c r="M3" s="1667" t="s">
        <v>485</v>
      </c>
      <c r="N3" s="1667" t="s">
        <v>486</v>
      </c>
      <c r="O3" s="1667" t="s">
        <v>487</v>
      </c>
      <c r="P3" s="1667" t="s">
        <v>488</v>
      </c>
      <c r="Q3" s="1667" t="s">
        <v>489</v>
      </c>
      <c r="R3" s="1667" t="s">
        <v>490</v>
      </c>
      <c r="S3" s="1667" t="s">
        <v>491</v>
      </c>
      <c r="T3" s="1667" t="s">
        <v>492</v>
      </c>
      <c r="U3" s="1667" t="s">
        <v>493</v>
      </c>
      <c r="V3" s="1667" t="s">
        <v>407</v>
      </c>
      <c r="W3" s="1667" t="s">
        <v>494</v>
      </c>
      <c r="X3" s="1667" t="s">
        <v>408</v>
      </c>
      <c r="Y3" s="1667" t="s">
        <v>495</v>
      </c>
      <c r="Z3" s="1667" t="s">
        <v>403</v>
      </c>
      <c r="AA3" s="1667" t="s">
        <v>404</v>
      </c>
      <c r="AB3" s="1667" t="s">
        <v>496</v>
      </c>
      <c r="AC3" s="1667" t="s">
        <v>497</v>
      </c>
      <c r="AD3" s="1667" t="s">
        <v>498</v>
      </c>
      <c r="AE3" s="1667" t="s">
        <v>499</v>
      </c>
      <c r="AF3" s="1667" t="s">
        <v>500</v>
      </c>
      <c r="AG3" s="1667" t="s">
        <v>501</v>
      </c>
      <c r="AH3" s="1667" t="s">
        <v>502</v>
      </c>
      <c r="AI3" s="1669" t="s">
        <v>503</v>
      </c>
      <c r="AJ3" s="1667" t="s">
        <v>504</v>
      </c>
      <c r="AK3" s="1667" t="s">
        <v>505</v>
      </c>
      <c r="AL3" s="1667" t="s">
        <v>506</v>
      </c>
      <c r="AM3" s="1667" t="s">
        <v>506</v>
      </c>
      <c r="AN3" s="1667" t="s">
        <v>405</v>
      </c>
      <c r="AO3" s="1667" t="s">
        <v>507</v>
      </c>
      <c r="AP3" s="1667" t="s">
        <v>507</v>
      </c>
      <c r="AQ3" s="1667" t="s">
        <v>506</v>
      </c>
      <c r="AR3" s="1668" t="s">
        <v>508</v>
      </c>
      <c r="AS3" s="1667" t="s">
        <v>1516</v>
      </c>
      <c r="AT3" s="1667" t="s">
        <v>1517</v>
      </c>
      <c r="AU3" s="1667" t="s">
        <v>1386</v>
      </c>
      <c r="AV3" s="1667" t="s">
        <v>509</v>
      </c>
      <c r="AW3" s="1667" t="s">
        <v>510</v>
      </c>
      <c r="AX3" s="1667" t="s">
        <v>511</v>
      </c>
      <c r="AY3" s="1667" t="s">
        <v>512</v>
      </c>
      <c r="AZ3" s="1667" t="s">
        <v>513</v>
      </c>
      <c r="BA3" s="1667" t="s">
        <v>514</v>
      </c>
      <c r="BB3" s="1667" t="s">
        <v>409</v>
      </c>
      <c r="BC3" s="1667" t="s">
        <v>406</v>
      </c>
      <c r="BD3" s="1667" t="s">
        <v>411</v>
      </c>
      <c r="BE3" s="1667" t="s">
        <v>412</v>
      </c>
      <c r="BF3" s="1667" t="s">
        <v>413</v>
      </c>
      <c r="BG3" s="1667" t="s">
        <v>414</v>
      </c>
      <c r="BH3" s="1667" t="s">
        <v>515</v>
      </c>
      <c r="BI3" s="1667" t="s">
        <v>516</v>
      </c>
      <c r="BJ3" s="1667" t="s">
        <v>517</v>
      </c>
      <c r="BK3" s="1667" t="s">
        <v>518</v>
      </c>
      <c r="BL3" s="1667" t="s">
        <v>519</v>
      </c>
      <c r="BM3" s="1667" t="s">
        <v>520</v>
      </c>
      <c r="BN3" s="1667" t="s">
        <v>521</v>
      </c>
      <c r="BO3" s="1667" t="s">
        <v>522</v>
      </c>
      <c r="BP3" s="1667" t="s">
        <v>523</v>
      </c>
      <c r="BQ3" s="1667" t="s">
        <v>524</v>
      </c>
      <c r="BR3" s="1667" t="s">
        <v>525</v>
      </c>
      <c r="BS3" s="1667" t="s">
        <v>526</v>
      </c>
      <c r="BT3" s="1667" t="s">
        <v>527</v>
      </c>
      <c r="BU3" s="1667" t="s">
        <v>528</v>
      </c>
      <c r="BV3" s="1667" t="s">
        <v>529</v>
      </c>
      <c r="BW3" s="1667" t="s">
        <v>530</v>
      </c>
      <c r="BX3" s="1667" t="s">
        <v>531</v>
      </c>
      <c r="BY3" s="1667" t="s">
        <v>415</v>
      </c>
      <c r="BZ3" s="1667" t="s">
        <v>532</v>
      </c>
      <c r="CA3" s="1667" t="s">
        <v>533</v>
      </c>
      <c r="CB3" s="1667" t="s">
        <v>534</v>
      </c>
      <c r="CC3" s="1667" t="s">
        <v>535</v>
      </c>
      <c r="CD3" s="1667" t="s">
        <v>1388</v>
      </c>
      <c r="CE3" s="1296">
        <f>[7]INICIO!D16</f>
        <v>43739</v>
      </c>
    </row>
    <row r="4" spans="1:90" ht="15" thickBot="1">
      <c r="A4" s="2093"/>
      <c r="B4" s="2101" t="s">
        <v>400</v>
      </c>
      <c r="C4" s="2103" t="s">
        <v>401</v>
      </c>
      <c r="D4" s="1665" t="s">
        <v>536</v>
      </c>
      <c r="E4" s="1667" t="s">
        <v>416</v>
      </c>
      <c r="F4" s="1667" t="s">
        <v>421</v>
      </c>
      <c r="G4" s="1667" t="s">
        <v>421</v>
      </c>
      <c r="H4" s="1667" t="s">
        <v>421</v>
      </c>
      <c r="I4" s="1667" t="s">
        <v>421</v>
      </c>
      <c r="J4" s="1667" t="s">
        <v>421</v>
      </c>
      <c r="K4" s="1667" t="s">
        <v>421</v>
      </c>
      <c r="L4" s="1667" t="s">
        <v>421</v>
      </c>
      <c r="M4" s="1667" t="s">
        <v>421</v>
      </c>
      <c r="N4" s="1667" t="s">
        <v>421</v>
      </c>
      <c r="O4" s="1667" t="s">
        <v>423</v>
      </c>
      <c r="P4" s="1667" t="s">
        <v>423</v>
      </c>
      <c r="Q4" s="1667" t="s">
        <v>423</v>
      </c>
      <c r="R4" s="1667" t="s">
        <v>423</v>
      </c>
      <c r="S4" s="1667" t="s">
        <v>423</v>
      </c>
      <c r="T4" s="1667" t="s">
        <v>423</v>
      </c>
      <c r="U4" s="1667" t="s">
        <v>423</v>
      </c>
      <c r="V4" s="1667" t="s">
        <v>422</v>
      </c>
      <c r="W4" s="1667" t="s">
        <v>537</v>
      </c>
      <c r="X4" s="1667" t="s">
        <v>423</v>
      </c>
      <c r="Y4" s="1667" t="s">
        <v>423</v>
      </c>
      <c r="Z4" s="1667" t="s">
        <v>419</v>
      </c>
      <c r="AA4" s="1667" t="s">
        <v>420</v>
      </c>
      <c r="AB4" s="1667" t="s">
        <v>423</v>
      </c>
      <c r="AC4" s="1667" t="s">
        <v>423</v>
      </c>
      <c r="AD4" s="1667" t="s">
        <v>423</v>
      </c>
      <c r="AE4" s="1667" t="s">
        <v>423</v>
      </c>
      <c r="AF4" s="1667" t="s">
        <v>423</v>
      </c>
      <c r="AG4" s="1667" t="s">
        <v>423</v>
      </c>
      <c r="AH4" s="1667" t="s">
        <v>423</v>
      </c>
      <c r="AI4" s="1669" t="s">
        <v>423</v>
      </c>
      <c r="AJ4" s="1667" t="s">
        <v>423</v>
      </c>
      <c r="AK4" s="1667" t="s">
        <v>423</v>
      </c>
      <c r="AL4" s="1667" t="s">
        <v>418</v>
      </c>
      <c r="AM4" s="1667" t="s">
        <v>417</v>
      </c>
      <c r="AN4" s="1667" t="s">
        <v>421</v>
      </c>
      <c r="AO4" s="1667" t="s">
        <v>538</v>
      </c>
      <c r="AP4" s="1667" t="s">
        <v>539</v>
      </c>
      <c r="AQ4" s="1667" t="s">
        <v>539</v>
      </c>
      <c r="AR4" s="1667" t="s">
        <v>1499</v>
      </c>
      <c r="AS4" s="1667" t="s">
        <v>131</v>
      </c>
      <c r="AT4" s="1667" t="s">
        <v>131</v>
      </c>
      <c r="AU4" s="1667"/>
      <c r="AV4" s="1667" t="s">
        <v>423</v>
      </c>
      <c r="AW4" s="1667" t="s">
        <v>423</v>
      </c>
      <c r="AX4" s="1667" t="s">
        <v>423</v>
      </c>
      <c r="AY4" s="1667" t="s">
        <v>423</v>
      </c>
      <c r="AZ4" s="1667" t="s">
        <v>423</v>
      </c>
      <c r="BA4" s="1667" t="s">
        <v>423</v>
      </c>
      <c r="BB4" s="1667" t="s">
        <v>423</v>
      </c>
      <c r="BC4" s="1667" t="s">
        <v>540</v>
      </c>
      <c r="BD4" s="1667" t="s">
        <v>423</v>
      </c>
      <c r="BE4" s="1667" t="s">
        <v>423</v>
      </c>
      <c r="BF4" s="1667" t="s">
        <v>423</v>
      </c>
      <c r="BG4" s="1667" t="s">
        <v>423</v>
      </c>
      <c r="BH4" s="1667" t="s">
        <v>423</v>
      </c>
      <c r="BI4" s="1667" t="s">
        <v>423</v>
      </c>
      <c r="BJ4" s="1667" t="s">
        <v>423</v>
      </c>
      <c r="BK4" s="1667" t="s">
        <v>423</v>
      </c>
      <c r="BL4" s="1667" t="s">
        <v>423</v>
      </c>
      <c r="BM4" s="1667" t="s">
        <v>423</v>
      </c>
      <c r="BN4" s="1667" t="s">
        <v>423</v>
      </c>
      <c r="BO4" s="1667" t="s">
        <v>423</v>
      </c>
      <c r="BP4" s="1667" t="s">
        <v>423</v>
      </c>
      <c r="BQ4" s="1667" t="s">
        <v>423</v>
      </c>
      <c r="BR4" s="1667" t="s">
        <v>423</v>
      </c>
      <c r="BS4" s="1667" t="s">
        <v>423</v>
      </c>
      <c r="BT4" s="1667" t="s">
        <v>423</v>
      </c>
      <c r="BU4" s="1667" t="s">
        <v>423</v>
      </c>
      <c r="BV4" s="1667" t="s">
        <v>423</v>
      </c>
      <c r="BW4" s="1667" t="s">
        <v>423</v>
      </c>
      <c r="BX4" s="1667" t="s">
        <v>423</v>
      </c>
      <c r="BY4" s="1667" t="s">
        <v>423</v>
      </c>
      <c r="BZ4" s="1667" t="s">
        <v>423</v>
      </c>
      <c r="CA4" s="1667" t="s">
        <v>423</v>
      </c>
      <c r="CB4" s="1667" t="s">
        <v>423</v>
      </c>
      <c r="CC4" s="1667" t="s">
        <v>541</v>
      </c>
      <c r="CD4" s="1667" t="s">
        <v>131</v>
      </c>
    </row>
    <row r="5" spans="1:90" ht="38.25" customHeight="1" thickBot="1">
      <c r="A5" s="2094"/>
      <c r="B5" s="2102"/>
      <c r="C5" s="2104"/>
      <c r="D5" s="1666" t="s">
        <v>542</v>
      </c>
      <c r="E5" s="1670" t="s">
        <v>563</v>
      </c>
      <c r="F5" s="1671" t="s">
        <v>564</v>
      </c>
      <c r="G5" s="1671" t="s">
        <v>565</v>
      </c>
      <c r="H5" s="1671" t="s">
        <v>566</v>
      </c>
      <c r="I5" s="1671" t="s">
        <v>567</v>
      </c>
      <c r="J5" s="1671" t="s">
        <v>568</v>
      </c>
      <c r="K5" s="1671" t="s">
        <v>569</v>
      </c>
      <c r="L5" s="1671" t="s">
        <v>570</v>
      </c>
      <c r="M5" s="1671" t="s">
        <v>571</v>
      </c>
      <c r="N5" s="1671" t="s">
        <v>1168</v>
      </c>
      <c r="O5" s="1671" t="s">
        <v>543</v>
      </c>
      <c r="P5" s="1671" t="s">
        <v>544</v>
      </c>
      <c r="Q5" s="1671" t="s">
        <v>545</v>
      </c>
      <c r="R5" s="1671" t="s">
        <v>546</v>
      </c>
      <c r="S5" s="1671" t="s">
        <v>547</v>
      </c>
      <c r="T5" s="1671" t="s">
        <v>548</v>
      </c>
      <c r="U5" s="1671" t="s">
        <v>549</v>
      </c>
      <c r="V5" s="1671" t="s">
        <v>572</v>
      </c>
      <c r="W5" s="1672" t="s">
        <v>550</v>
      </c>
      <c r="X5" s="1671"/>
      <c r="Y5" s="1672">
        <v>35</v>
      </c>
      <c r="Z5" s="1671" t="s">
        <v>573</v>
      </c>
      <c r="AA5" s="1671" t="s">
        <v>574</v>
      </c>
      <c r="AB5" s="1671"/>
      <c r="AC5" s="1671"/>
      <c r="AD5" s="1671"/>
      <c r="AE5" s="1671"/>
      <c r="AF5" s="1671" t="s">
        <v>551</v>
      </c>
      <c r="AG5" s="1671" t="s">
        <v>552</v>
      </c>
      <c r="AH5" s="1671" t="s">
        <v>553</v>
      </c>
      <c r="AI5" s="1673" t="s">
        <v>554</v>
      </c>
      <c r="AJ5" s="1671" t="s">
        <v>555</v>
      </c>
      <c r="AK5" s="1671" t="s">
        <v>556</v>
      </c>
      <c r="AL5" s="1671" t="s">
        <v>575</v>
      </c>
      <c r="AM5" s="1674"/>
      <c r="AN5" s="1671" t="s">
        <v>564</v>
      </c>
      <c r="AO5" s="1674"/>
      <c r="AP5" s="1674"/>
      <c r="AQ5" s="1674"/>
      <c r="AR5" s="1674"/>
      <c r="AS5" s="1674"/>
      <c r="AT5" s="1674"/>
      <c r="AU5" s="1671" t="s">
        <v>557</v>
      </c>
      <c r="AV5" s="1671" t="s">
        <v>558</v>
      </c>
      <c r="AW5" s="1671" t="s">
        <v>559</v>
      </c>
      <c r="AX5" s="1671" t="s">
        <v>558</v>
      </c>
      <c r="AY5" s="1671" t="s">
        <v>558</v>
      </c>
      <c r="AZ5" s="1671" t="s">
        <v>558</v>
      </c>
      <c r="BA5" s="1671" t="s">
        <v>560</v>
      </c>
      <c r="BB5" s="1671" t="s">
        <v>561</v>
      </c>
      <c r="BC5" s="1671" t="s">
        <v>557</v>
      </c>
      <c r="BD5" s="1674"/>
      <c r="BE5" s="1674"/>
      <c r="BF5" s="1674"/>
      <c r="BG5" s="1674"/>
      <c r="BH5" s="1674"/>
      <c r="BI5" s="1674"/>
      <c r="BJ5" s="1674"/>
      <c r="BK5" s="1674"/>
      <c r="BL5" s="1674"/>
      <c r="BM5" s="1674"/>
      <c r="BN5" s="1674"/>
      <c r="BO5" s="1674"/>
      <c r="BP5" s="1674"/>
      <c r="BQ5" s="1674"/>
      <c r="BR5" s="1674"/>
      <c r="BS5" s="1674"/>
      <c r="BT5" s="1674"/>
      <c r="BU5" s="1674"/>
      <c r="BV5" s="1674"/>
      <c r="BW5" s="1674"/>
      <c r="BX5" s="1674"/>
      <c r="BY5" s="1674"/>
      <c r="BZ5" s="1674"/>
      <c r="CA5" s="1674"/>
      <c r="CB5" s="1667"/>
      <c r="CC5" s="1667"/>
      <c r="CD5" s="1667"/>
    </row>
    <row r="6" spans="1:90" ht="14.25" customHeight="1">
      <c r="A6" s="1293">
        <f>B6</f>
        <v>45078</v>
      </c>
      <c r="B6" s="1297">
        <f>CE2</f>
        <v>45078</v>
      </c>
      <c r="C6" s="1298">
        <v>0.9375</v>
      </c>
      <c r="D6" s="1298"/>
      <c r="E6" s="1034">
        <v>13.3</v>
      </c>
      <c r="F6" s="1034">
        <v>4.7</v>
      </c>
      <c r="G6" s="1034">
        <v>1.8</v>
      </c>
      <c r="H6" s="1034">
        <v>2</v>
      </c>
      <c r="I6" s="1034">
        <v>0.3</v>
      </c>
      <c r="J6" s="1034">
        <v>0.8</v>
      </c>
      <c r="K6" s="1034">
        <v>0.2</v>
      </c>
      <c r="L6" s="1034">
        <v>1.3</v>
      </c>
      <c r="M6" s="1034">
        <v>0.1</v>
      </c>
      <c r="N6" s="1034">
        <v>4.7</v>
      </c>
      <c r="O6" s="1034">
        <v>57</v>
      </c>
      <c r="P6" s="1034">
        <v>66</v>
      </c>
      <c r="Q6" s="1034">
        <v>83</v>
      </c>
      <c r="R6" s="1034">
        <v>81</v>
      </c>
      <c r="S6" s="1034">
        <v>72</v>
      </c>
      <c r="T6" s="1034">
        <v>-57</v>
      </c>
      <c r="U6" s="1034">
        <v>60</v>
      </c>
      <c r="V6" s="1034">
        <v>7.71</v>
      </c>
      <c r="W6" s="1034">
        <v>515</v>
      </c>
      <c r="X6" s="1034">
        <v>318</v>
      </c>
      <c r="Y6" s="1034">
        <v>24</v>
      </c>
      <c r="Z6" s="401">
        <v>60</v>
      </c>
      <c r="AA6" s="1034">
        <v>0.88</v>
      </c>
      <c r="AB6" s="1034">
        <v>38</v>
      </c>
      <c r="AC6" s="1034">
        <v>36</v>
      </c>
      <c r="AD6" s="1034">
        <v>60</v>
      </c>
      <c r="AE6" s="1034">
        <v>22</v>
      </c>
      <c r="AF6" s="1034">
        <v>68</v>
      </c>
      <c r="AG6" s="1034">
        <v>68</v>
      </c>
      <c r="AH6" s="1034">
        <v>69</v>
      </c>
      <c r="AI6" s="1034">
        <v>70</v>
      </c>
      <c r="AJ6" s="1034">
        <v>67</v>
      </c>
      <c r="AK6" s="1034">
        <v>68</v>
      </c>
      <c r="AL6" s="1034">
        <v>13.82</v>
      </c>
      <c r="AM6" s="1034">
        <v>6.8</v>
      </c>
      <c r="AN6" s="1034">
        <v>4</v>
      </c>
      <c r="AO6" s="1034">
        <v>26.27</v>
      </c>
      <c r="AP6" s="1034">
        <v>2.4</v>
      </c>
      <c r="AQ6" s="1034">
        <v>619</v>
      </c>
      <c r="AR6" s="1034">
        <v>13.33</v>
      </c>
      <c r="AS6" s="1034">
        <v>57</v>
      </c>
      <c r="AT6" s="1034">
        <v>56</v>
      </c>
      <c r="AU6" s="1034">
        <v>56</v>
      </c>
      <c r="AV6" s="1034">
        <v>65</v>
      </c>
      <c r="AW6" s="1034">
        <v>81</v>
      </c>
      <c r="AX6" s="1034">
        <v>69</v>
      </c>
      <c r="AY6" s="1034">
        <v>59</v>
      </c>
      <c r="AZ6" s="1034">
        <v>62</v>
      </c>
      <c r="BA6" s="1034">
        <v>60</v>
      </c>
      <c r="BB6" s="1034">
        <v>56</v>
      </c>
      <c r="BC6" s="1034">
        <v>5132</v>
      </c>
      <c r="BD6" s="1034">
        <v>322</v>
      </c>
      <c r="BE6" s="1034">
        <v>309</v>
      </c>
      <c r="BF6" s="1034">
        <v>369</v>
      </c>
      <c r="BG6" s="1034">
        <v>370</v>
      </c>
      <c r="BH6" s="401">
        <v>-2444</v>
      </c>
      <c r="BI6" s="1034">
        <v>306</v>
      </c>
      <c r="BJ6" s="1034">
        <v>334</v>
      </c>
      <c r="BK6" s="1034">
        <v>332</v>
      </c>
      <c r="BL6" s="1034">
        <v>395</v>
      </c>
      <c r="BM6" s="1034">
        <v>407</v>
      </c>
      <c r="BN6" s="1034">
        <v>391</v>
      </c>
      <c r="BO6" s="1034">
        <v>391</v>
      </c>
      <c r="BP6" s="1034">
        <v>391</v>
      </c>
      <c r="BQ6" s="1034">
        <v>391</v>
      </c>
      <c r="BR6" s="1034">
        <v>382</v>
      </c>
      <c r="BS6" s="1034">
        <v>387</v>
      </c>
      <c r="BT6" s="1034">
        <v>388</v>
      </c>
      <c r="BU6" s="1034">
        <v>389</v>
      </c>
      <c r="BV6" s="1034">
        <v>390</v>
      </c>
      <c r="BW6" s="1034">
        <v>385</v>
      </c>
      <c r="BX6" s="1034">
        <v>389</v>
      </c>
      <c r="BY6" s="1034">
        <v>389</v>
      </c>
      <c r="BZ6" s="1034">
        <v>25</v>
      </c>
      <c r="CA6" s="1034">
        <v>48</v>
      </c>
      <c r="CB6" s="1034">
        <v>33</v>
      </c>
      <c r="CC6" s="1755">
        <v>82</v>
      </c>
      <c r="CD6" s="1034">
        <v>43</v>
      </c>
      <c r="CE6" s="1298"/>
    </row>
    <row r="7" spans="1:90">
      <c r="A7" s="1293">
        <f t="shared" ref="A7:A32" si="0">B7</f>
        <v>45079</v>
      </c>
      <c r="B7" s="1297">
        <f>B6+1</f>
        <v>45079</v>
      </c>
      <c r="C7" s="1298">
        <v>0.89583333333333337</v>
      </c>
      <c r="D7" s="1298"/>
      <c r="E7" s="1034">
        <v>13.2</v>
      </c>
      <c r="F7" s="1034">
        <v>4.8</v>
      </c>
      <c r="G7" s="1034">
        <v>1.8</v>
      </c>
      <c r="H7" s="1034">
        <v>2</v>
      </c>
      <c r="I7" s="1034">
        <v>0.3</v>
      </c>
      <c r="J7" s="1034">
        <v>0.7</v>
      </c>
      <c r="K7" s="1034">
        <v>0.2</v>
      </c>
      <c r="L7" s="1034">
        <v>1.3</v>
      </c>
      <c r="M7" s="1034">
        <v>0.1</v>
      </c>
      <c r="N7" s="1034">
        <v>5</v>
      </c>
      <c r="O7" s="1034">
        <v>59</v>
      </c>
      <c r="P7" s="1034">
        <v>68</v>
      </c>
      <c r="Q7" s="1034">
        <v>84</v>
      </c>
      <c r="R7" s="1034">
        <v>82</v>
      </c>
      <c r="S7" s="1034">
        <v>73</v>
      </c>
      <c r="T7" s="1034">
        <v>11</v>
      </c>
      <c r="U7" s="1034">
        <v>62</v>
      </c>
      <c r="V7" s="1034">
        <v>7.64</v>
      </c>
      <c r="W7" s="1034">
        <v>516</v>
      </c>
      <c r="X7" s="1034">
        <v>320</v>
      </c>
      <c r="Y7" s="1034">
        <v>26</v>
      </c>
      <c r="Z7" s="401">
        <v>60</v>
      </c>
      <c r="AA7" s="1034">
        <v>0.88</v>
      </c>
      <c r="AB7" s="1034">
        <v>41</v>
      </c>
      <c r="AC7" s="1034">
        <v>38</v>
      </c>
      <c r="AD7" s="1034">
        <v>62</v>
      </c>
      <c r="AE7" s="1034">
        <v>25</v>
      </c>
      <c r="AF7" s="1034">
        <v>70</v>
      </c>
      <c r="AG7" s="1034">
        <v>70</v>
      </c>
      <c r="AH7" s="1034">
        <v>72</v>
      </c>
      <c r="AI7" s="1034">
        <v>72</v>
      </c>
      <c r="AJ7" s="1034">
        <v>70</v>
      </c>
      <c r="AK7" s="1034">
        <v>70</v>
      </c>
      <c r="AL7" s="1034">
        <v>13.82</v>
      </c>
      <c r="AM7" s="1034">
        <v>6.7</v>
      </c>
      <c r="AN7" s="1034">
        <v>4.3</v>
      </c>
      <c r="AO7" s="1034">
        <v>26.54</v>
      </c>
      <c r="AP7" s="1034">
        <v>2.4</v>
      </c>
      <c r="AQ7" s="1034">
        <v>615</v>
      </c>
      <c r="AR7" s="1034">
        <v>13.31</v>
      </c>
      <c r="AS7" s="1034">
        <v>57</v>
      </c>
      <c r="AT7" s="1034">
        <v>56</v>
      </c>
      <c r="AU7" s="1034">
        <v>56</v>
      </c>
      <c r="AV7" s="1034">
        <v>67</v>
      </c>
      <c r="AW7" s="1034">
        <v>81</v>
      </c>
      <c r="AX7" s="1034">
        <v>70</v>
      </c>
      <c r="AY7" s="1034">
        <v>60</v>
      </c>
      <c r="AZ7" s="1034">
        <v>63</v>
      </c>
      <c r="BA7" s="1034">
        <v>62</v>
      </c>
      <c r="BB7" s="1034">
        <v>58</v>
      </c>
      <c r="BC7" s="1034">
        <v>5132</v>
      </c>
      <c r="BD7" s="1034">
        <v>325</v>
      </c>
      <c r="BE7" s="1034">
        <v>312</v>
      </c>
      <c r="BF7" s="1034">
        <v>371</v>
      </c>
      <c r="BG7" s="1034">
        <v>373</v>
      </c>
      <c r="BH7" s="401">
        <v>-2444</v>
      </c>
      <c r="BI7" s="1034">
        <v>310</v>
      </c>
      <c r="BJ7" s="1034">
        <v>337</v>
      </c>
      <c r="BK7" s="1034">
        <v>335</v>
      </c>
      <c r="BL7" s="1034">
        <v>397</v>
      </c>
      <c r="BM7" s="1034">
        <v>411</v>
      </c>
      <c r="BN7" s="1034">
        <v>388</v>
      </c>
      <c r="BO7" s="1034">
        <v>395</v>
      </c>
      <c r="BP7" s="1034">
        <v>395</v>
      </c>
      <c r="BQ7" s="1034">
        <v>395</v>
      </c>
      <c r="BR7" s="1034">
        <v>385</v>
      </c>
      <c r="BS7" s="1034">
        <v>390</v>
      </c>
      <c r="BT7" s="1034">
        <v>390</v>
      </c>
      <c r="BU7" s="1034">
        <v>391</v>
      </c>
      <c r="BV7" s="1034">
        <v>393</v>
      </c>
      <c r="BW7" s="1034">
        <v>387</v>
      </c>
      <c r="BX7" s="1034">
        <v>393</v>
      </c>
      <c r="BY7" s="1034">
        <v>392</v>
      </c>
      <c r="BZ7" s="1034">
        <v>25</v>
      </c>
      <c r="CA7" s="1034">
        <v>48</v>
      </c>
      <c r="CB7" s="1034">
        <v>36</v>
      </c>
      <c r="CC7" s="1755">
        <v>82</v>
      </c>
      <c r="CD7" s="1034">
        <v>42</v>
      </c>
    </row>
    <row r="8" spans="1:90" ht="15.75" customHeight="1">
      <c r="A8" s="1293">
        <f t="shared" si="0"/>
        <v>45080</v>
      </c>
      <c r="B8" s="1297">
        <f t="shared" ref="B8:B36" si="1">B7+1</f>
        <v>45080</v>
      </c>
      <c r="C8" s="1298">
        <v>0.9375</v>
      </c>
      <c r="D8" s="1298"/>
      <c r="E8" s="1034">
        <v>13.5</v>
      </c>
      <c r="F8" s="1034">
        <v>4.7</v>
      </c>
      <c r="G8" s="1034">
        <v>1.9</v>
      </c>
      <c r="H8" s="1034">
        <v>2</v>
      </c>
      <c r="I8" s="1034">
        <v>0.2</v>
      </c>
      <c r="J8" s="1034">
        <v>0.6</v>
      </c>
      <c r="K8" s="1034">
        <v>0.2</v>
      </c>
      <c r="L8" s="1034">
        <v>1.3</v>
      </c>
      <c r="M8" s="1034">
        <v>0.1</v>
      </c>
      <c r="N8" s="1034">
        <v>4.7</v>
      </c>
      <c r="O8" s="1034">
        <v>59</v>
      </c>
      <c r="P8" s="1034">
        <v>67</v>
      </c>
      <c r="Q8" s="1034">
        <v>83</v>
      </c>
      <c r="R8" s="1034">
        <v>82</v>
      </c>
      <c r="S8" s="1034">
        <v>72</v>
      </c>
      <c r="T8" s="1034">
        <v>-74</v>
      </c>
      <c r="U8" s="1034">
        <v>62</v>
      </c>
      <c r="V8" s="1034">
        <v>7.68</v>
      </c>
      <c r="W8" s="1034">
        <v>515</v>
      </c>
      <c r="X8" s="1034">
        <v>320</v>
      </c>
      <c r="Y8" s="1034">
        <v>26</v>
      </c>
      <c r="Z8" s="401">
        <v>60</v>
      </c>
      <c r="AA8" s="1034">
        <v>0.88</v>
      </c>
      <c r="AB8" s="1034">
        <v>41</v>
      </c>
      <c r="AC8" s="1034">
        <v>38</v>
      </c>
      <c r="AD8" s="1034">
        <v>63</v>
      </c>
      <c r="AE8" s="1034">
        <v>25</v>
      </c>
      <c r="AF8" s="1034">
        <v>71</v>
      </c>
      <c r="AG8" s="1034">
        <v>71</v>
      </c>
      <c r="AH8" s="1034">
        <v>72</v>
      </c>
      <c r="AI8" s="1034">
        <v>73</v>
      </c>
      <c r="AJ8" s="1034">
        <v>70</v>
      </c>
      <c r="AK8" s="1034">
        <v>71</v>
      </c>
      <c r="AL8" s="1034">
        <v>13.82</v>
      </c>
      <c r="AM8" s="1034">
        <v>7.2</v>
      </c>
      <c r="AN8" s="1034">
        <v>4</v>
      </c>
      <c r="AO8" s="1034">
        <v>27.38</v>
      </c>
      <c r="AP8" s="1034">
        <v>2.6</v>
      </c>
      <c r="AQ8" s="1034">
        <v>637</v>
      </c>
      <c r="AR8" s="1034">
        <v>13.22</v>
      </c>
      <c r="AS8" s="1034">
        <v>58</v>
      </c>
      <c r="AT8" s="1034">
        <v>57</v>
      </c>
      <c r="AU8" s="1034">
        <v>57</v>
      </c>
      <c r="AV8" s="1034">
        <v>66</v>
      </c>
      <c r="AW8" s="1034">
        <v>83</v>
      </c>
      <c r="AX8" s="1034">
        <v>70</v>
      </c>
      <c r="AY8" s="1034">
        <v>60</v>
      </c>
      <c r="AZ8" s="1034">
        <v>63</v>
      </c>
      <c r="BA8" s="1034">
        <v>62</v>
      </c>
      <c r="BB8" s="1034">
        <v>58</v>
      </c>
      <c r="BC8" s="1034">
        <v>5132</v>
      </c>
      <c r="BD8" s="1034">
        <v>326</v>
      </c>
      <c r="BE8" s="1034">
        <v>312</v>
      </c>
      <c r="BF8" s="1034">
        <v>371</v>
      </c>
      <c r="BG8" s="1034">
        <v>373</v>
      </c>
      <c r="BH8" s="401">
        <v>-2444</v>
      </c>
      <c r="BI8" s="1034">
        <v>311</v>
      </c>
      <c r="BJ8" s="1034">
        <v>338</v>
      </c>
      <c r="BK8" s="1034">
        <v>336</v>
      </c>
      <c r="BL8" s="1034">
        <v>401</v>
      </c>
      <c r="BM8" s="1034">
        <v>413</v>
      </c>
      <c r="BN8" s="1034">
        <v>393</v>
      </c>
      <c r="BO8" s="1034">
        <v>398</v>
      </c>
      <c r="BP8" s="1034">
        <v>399</v>
      </c>
      <c r="BQ8" s="1034">
        <v>398</v>
      </c>
      <c r="BR8" s="1034">
        <v>389</v>
      </c>
      <c r="BS8" s="1034">
        <v>393</v>
      </c>
      <c r="BT8" s="1034">
        <v>394</v>
      </c>
      <c r="BU8" s="1034">
        <v>398</v>
      </c>
      <c r="BV8" s="1034">
        <v>397</v>
      </c>
      <c r="BW8" s="1034">
        <v>391</v>
      </c>
      <c r="BX8" s="1034">
        <v>394</v>
      </c>
      <c r="BY8" s="1034">
        <v>396</v>
      </c>
      <c r="BZ8" s="1034">
        <v>24</v>
      </c>
      <c r="CA8" s="1034">
        <v>49</v>
      </c>
      <c r="CB8" s="1034">
        <v>36</v>
      </c>
      <c r="CC8" s="1755">
        <v>82</v>
      </c>
      <c r="CD8" s="1034">
        <v>43</v>
      </c>
    </row>
    <row r="9" spans="1:90">
      <c r="A9" s="1293">
        <f t="shared" si="0"/>
        <v>45081</v>
      </c>
      <c r="B9" s="1297">
        <f t="shared" si="1"/>
        <v>45081</v>
      </c>
      <c r="C9" s="1298">
        <v>1.4583333333333332E-2</v>
      </c>
      <c r="D9" s="1298"/>
      <c r="E9" s="1034">
        <v>13.3</v>
      </c>
      <c r="F9" s="1034">
        <v>4.8</v>
      </c>
      <c r="G9" s="1034">
        <v>1.8</v>
      </c>
      <c r="H9" s="1034">
        <v>2</v>
      </c>
      <c r="I9" s="1034">
        <v>0.3</v>
      </c>
      <c r="J9" s="1034">
        <v>0.7</v>
      </c>
      <c r="K9" s="1034">
        <v>0.2</v>
      </c>
      <c r="L9" s="1034">
        <v>1.3</v>
      </c>
      <c r="M9" s="1034">
        <v>0.1</v>
      </c>
      <c r="N9" s="1034">
        <v>4.8</v>
      </c>
      <c r="O9" s="1034">
        <v>59</v>
      </c>
      <c r="P9" s="1034">
        <v>67</v>
      </c>
      <c r="Q9" s="1034">
        <v>84</v>
      </c>
      <c r="R9" s="1034">
        <v>82</v>
      </c>
      <c r="S9" s="1034">
        <v>73</v>
      </c>
      <c r="T9" s="1034">
        <v>0</v>
      </c>
      <c r="U9" s="1034">
        <v>62</v>
      </c>
      <c r="V9" s="1034">
        <v>7.59</v>
      </c>
      <c r="W9" s="1034">
        <v>517</v>
      </c>
      <c r="X9" s="1034">
        <v>324</v>
      </c>
      <c r="Y9" s="1034">
        <v>30</v>
      </c>
      <c r="Z9" s="401">
        <v>60</v>
      </c>
      <c r="AA9" s="1034">
        <v>0.88</v>
      </c>
      <c r="AB9" s="1034">
        <v>43</v>
      </c>
      <c r="AC9" s="1034">
        <v>40</v>
      </c>
      <c r="AD9" s="1034">
        <v>65</v>
      </c>
      <c r="AE9" s="1034">
        <v>27</v>
      </c>
      <c r="AF9" s="1034">
        <v>73</v>
      </c>
      <c r="AG9" s="1034">
        <v>73</v>
      </c>
      <c r="AH9" s="1034">
        <v>75</v>
      </c>
      <c r="AI9" s="1034">
        <v>76</v>
      </c>
      <c r="AJ9" s="1034">
        <v>73</v>
      </c>
      <c r="AK9" s="1034">
        <v>73</v>
      </c>
      <c r="AL9" s="1034">
        <v>13.82</v>
      </c>
      <c r="AM9" s="1034">
        <v>7.1</v>
      </c>
      <c r="AN9" s="1034">
        <v>4.2</v>
      </c>
      <c r="AO9" s="1034">
        <v>27.52</v>
      </c>
      <c r="AP9" s="1034">
        <v>2.4</v>
      </c>
      <c r="AQ9" s="1034">
        <v>628</v>
      </c>
      <c r="AR9" s="1034">
        <v>13.29</v>
      </c>
      <c r="AS9" s="1034">
        <v>57</v>
      </c>
      <c r="AT9" s="1034">
        <v>57</v>
      </c>
      <c r="AU9" s="1034">
        <v>57</v>
      </c>
      <c r="AV9" s="1034">
        <v>67</v>
      </c>
      <c r="AW9" s="1034">
        <v>85</v>
      </c>
      <c r="AX9" s="1034">
        <v>71</v>
      </c>
      <c r="AY9" s="1034">
        <v>60</v>
      </c>
      <c r="AZ9" s="1034">
        <v>63</v>
      </c>
      <c r="BA9" s="1034">
        <v>62</v>
      </c>
      <c r="BB9" s="1034">
        <v>59</v>
      </c>
      <c r="BC9" s="1034">
        <v>5132</v>
      </c>
      <c r="BD9" s="1034">
        <v>330</v>
      </c>
      <c r="BE9" s="1034">
        <v>317</v>
      </c>
      <c r="BF9" s="1034">
        <v>375</v>
      </c>
      <c r="BG9" s="1034">
        <v>377</v>
      </c>
      <c r="BH9" s="401">
        <v>-2444</v>
      </c>
      <c r="BI9" s="1034">
        <v>317</v>
      </c>
      <c r="BJ9" s="1034">
        <v>343</v>
      </c>
      <c r="BK9" s="1034">
        <v>341</v>
      </c>
      <c r="BL9" s="1034">
        <v>407</v>
      </c>
      <c r="BM9" s="1034">
        <v>420</v>
      </c>
      <c r="BN9" s="1034">
        <v>397</v>
      </c>
      <c r="BO9" s="1034">
        <v>404</v>
      </c>
      <c r="BP9" s="1034">
        <v>405</v>
      </c>
      <c r="BQ9" s="1034">
        <v>403</v>
      </c>
      <c r="BR9" s="1034">
        <v>395</v>
      </c>
      <c r="BS9" s="1034">
        <v>399</v>
      </c>
      <c r="BT9" s="1034">
        <v>399</v>
      </c>
      <c r="BU9" s="1034">
        <v>402</v>
      </c>
      <c r="BV9" s="1034">
        <v>403</v>
      </c>
      <c r="BW9" s="1034">
        <v>397</v>
      </c>
      <c r="BX9" s="1034">
        <v>402</v>
      </c>
      <c r="BY9" s="1034">
        <v>402</v>
      </c>
      <c r="BZ9" s="1034">
        <v>26</v>
      </c>
      <c r="CA9" s="1034">
        <v>49</v>
      </c>
      <c r="CB9" s="1034">
        <v>38</v>
      </c>
      <c r="CC9" s="1755">
        <v>82</v>
      </c>
      <c r="CD9" s="1034">
        <v>43</v>
      </c>
    </row>
    <row r="10" spans="1:90">
      <c r="A10" s="1293">
        <f t="shared" si="0"/>
        <v>45082</v>
      </c>
      <c r="B10" s="1297">
        <f t="shared" si="1"/>
        <v>45082</v>
      </c>
      <c r="C10" s="1298">
        <v>6.9444444444444447E-4</v>
      </c>
      <c r="D10" s="1034"/>
      <c r="E10" s="1034"/>
      <c r="F10" s="1034"/>
      <c r="G10" s="1034"/>
      <c r="H10" s="1034"/>
      <c r="I10" s="1034"/>
      <c r="J10" s="1034"/>
      <c r="K10" s="1034"/>
      <c r="L10" s="1034"/>
      <c r="M10" s="1034"/>
      <c r="N10" s="1034"/>
      <c r="O10" s="1034"/>
      <c r="P10" s="1034"/>
      <c r="Q10" s="1034"/>
      <c r="R10" s="1034"/>
      <c r="S10" s="1034"/>
      <c r="T10" s="1034"/>
      <c r="U10" s="1034"/>
      <c r="V10" s="1034"/>
      <c r="W10" s="1034"/>
      <c r="X10" s="1034"/>
      <c r="Y10" s="1034"/>
      <c r="Z10" s="401"/>
      <c r="AA10" s="1034"/>
      <c r="AB10" s="1034"/>
      <c r="AC10" s="1034"/>
      <c r="AD10" s="1034"/>
      <c r="AE10" s="1034"/>
      <c r="AF10" s="1034"/>
      <c r="AG10" s="1034"/>
      <c r="AH10" s="1034"/>
      <c r="AI10" s="1034"/>
      <c r="AJ10" s="1034"/>
      <c r="AK10" s="1034"/>
      <c r="AL10" s="1034"/>
      <c r="AM10" s="1034"/>
      <c r="AN10" s="1034"/>
      <c r="AO10" s="1034"/>
      <c r="AP10" s="1034"/>
      <c r="AQ10" s="1034"/>
      <c r="AR10" s="1034"/>
      <c r="AS10" s="1034"/>
      <c r="AT10" s="1034"/>
      <c r="AU10" s="1034"/>
      <c r="AV10" s="1034"/>
      <c r="AW10" s="1034"/>
      <c r="AX10" s="1034"/>
      <c r="AY10" s="1034"/>
      <c r="AZ10" s="1034"/>
      <c r="BA10" s="1034"/>
      <c r="BB10" s="1034"/>
      <c r="BC10" s="1034"/>
      <c r="BD10" s="1034"/>
      <c r="BE10" s="1034"/>
      <c r="BF10" s="1034"/>
      <c r="BG10" s="1034"/>
      <c r="BH10" s="401"/>
      <c r="BI10" s="1034"/>
      <c r="BJ10" s="1034"/>
      <c r="BK10" s="1034"/>
      <c r="BL10" s="1034"/>
      <c r="BM10" s="1034"/>
      <c r="BN10" s="1034"/>
      <c r="BO10" s="1034"/>
      <c r="BP10" s="1034"/>
      <c r="BQ10" s="1034"/>
      <c r="BR10" s="1034"/>
      <c r="BS10" s="1034"/>
      <c r="BT10" s="1034"/>
      <c r="BU10" s="1034"/>
      <c r="BV10" s="1034"/>
      <c r="BW10" s="1034"/>
      <c r="BX10" s="1034"/>
      <c r="BY10" s="1034"/>
      <c r="BZ10" s="1034"/>
      <c r="CA10" s="1034"/>
      <c r="CB10" s="1034"/>
      <c r="CC10" s="1755"/>
      <c r="CD10" s="1034"/>
    </row>
    <row r="11" spans="1:90" s="1299" customFormat="1">
      <c r="A11" s="1293">
        <f t="shared" si="0"/>
        <v>45083</v>
      </c>
      <c r="B11" s="1297">
        <f t="shared" si="1"/>
        <v>45083</v>
      </c>
      <c r="C11" s="1298">
        <v>0.88680555555555562</v>
      </c>
      <c r="D11" s="1034"/>
      <c r="E11" s="1034"/>
      <c r="F11" s="1034"/>
      <c r="G11" s="1034"/>
      <c r="H11" s="1034"/>
      <c r="I11" s="1034"/>
      <c r="J11" s="1034"/>
      <c r="K11" s="1034"/>
      <c r="L11" s="1034"/>
      <c r="M11" s="1034"/>
      <c r="N11" s="1034"/>
      <c r="O11" s="1034"/>
      <c r="P11" s="1034"/>
      <c r="Q11" s="1034"/>
      <c r="R11" s="1034"/>
      <c r="S11" s="1034"/>
      <c r="T11" s="1034"/>
      <c r="U11" s="1034"/>
      <c r="V11" s="1034"/>
      <c r="W11" s="1034"/>
      <c r="X11" s="1034"/>
      <c r="Y11" s="1034"/>
      <c r="Z11" s="401"/>
      <c r="AA11" s="1034"/>
      <c r="AB11" s="1034"/>
      <c r="AC11" s="1034"/>
      <c r="AD11" s="1034"/>
      <c r="AE11" s="1034"/>
      <c r="AF11" s="1034"/>
      <c r="AG11" s="1034"/>
      <c r="AH11" s="1034"/>
      <c r="AI11" s="1034"/>
      <c r="AJ11" s="1034"/>
      <c r="AK11" s="1034"/>
      <c r="AL11" s="1034"/>
      <c r="AM11" s="1034"/>
      <c r="AN11" s="1034"/>
      <c r="AO11" s="1034"/>
      <c r="AP11" s="1034"/>
      <c r="AQ11" s="1034"/>
      <c r="AR11" s="1034"/>
      <c r="AS11" s="1034"/>
      <c r="AT11" s="1034"/>
      <c r="AU11" s="1034"/>
      <c r="AV11" s="1034"/>
      <c r="AW11" s="1034"/>
      <c r="AX11" s="1034"/>
      <c r="AY11" s="1034"/>
      <c r="AZ11" s="1034"/>
      <c r="BA11" s="1034"/>
      <c r="BB11" s="1034"/>
      <c r="BC11" s="1034"/>
      <c r="BD11" s="1034"/>
      <c r="BE11" s="1034"/>
      <c r="BF11" s="1034"/>
      <c r="BG11" s="1034"/>
      <c r="BH11" s="401"/>
      <c r="BI11" s="1034"/>
      <c r="BJ11" s="1034"/>
      <c r="BK11" s="1034"/>
      <c r="BL11" s="1034"/>
      <c r="BM11" s="1034"/>
      <c r="BN11" s="1034"/>
      <c r="BO11" s="1034"/>
      <c r="BP11" s="1034"/>
      <c r="BQ11" s="1034"/>
      <c r="BR11" s="1034"/>
      <c r="BS11" s="1034"/>
      <c r="BT11" s="1034"/>
      <c r="BU11" s="1034"/>
      <c r="BV11" s="1034"/>
      <c r="BW11" s="1034"/>
      <c r="BX11" s="1034"/>
      <c r="BY11" s="1034"/>
      <c r="BZ11" s="1034"/>
      <c r="CA11" s="1034"/>
      <c r="CB11" s="1034"/>
      <c r="CC11" s="1755"/>
      <c r="CD11" s="1034"/>
      <c r="CE11" s="1287"/>
      <c r="CF11" s="1287"/>
      <c r="CG11" s="1287"/>
      <c r="CH11" s="1287"/>
      <c r="CI11" s="1287"/>
      <c r="CJ11" s="1287"/>
      <c r="CK11" s="1287"/>
      <c r="CL11" s="1287"/>
    </row>
    <row r="12" spans="1:90" s="1299" customFormat="1">
      <c r="A12" s="1293">
        <f t="shared" si="0"/>
        <v>45084</v>
      </c>
      <c r="B12" s="1297">
        <f t="shared" si="1"/>
        <v>45084</v>
      </c>
      <c r="C12" s="1298">
        <v>0.93125000000000002</v>
      </c>
      <c r="D12" s="1034"/>
      <c r="E12" s="1034"/>
      <c r="F12" s="1034"/>
      <c r="G12" s="1034"/>
      <c r="H12" s="1034"/>
      <c r="I12" s="1034"/>
      <c r="J12" s="1034"/>
      <c r="K12" s="1034"/>
      <c r="L12" s="1034"/>
      <c r="M12" s="1034"/>
      <c r="N12" s="1034"/>
      <c r="O12" s="1034"/>
      <c r="P12" s="1034"/>
      <c r="Q12" s="1034"/>
      <c r="R12" s="1034"/>
      <c r="S12" s="1034"/>
      <c r="T12" s="1034"/>
      <c r="U12" s="1034"/>
      <c r="V12" s="1034"/>
      <c r="W12" s="1034"/>
      <c r="X12" s="1034"/>
      <c r="Y12" s="1034"/>
      <c r="Z12" s="401"/>
      <c r="AA12" s="1034"/>
      <c r="AB12" s="1034"/>
      <c r="AC12" s="1034"/>
      <c r="AD12" s="1034"/>
      <c r="AE12" s="1034"/>
      <c r="AF12" s="1034"/>
      <c r="AG12" s="1034"/>
      <c r="AH12" s="1034"/>
      <c r="AI12" s="1034"/>
      <c r="AJ12" s="1034"/>
      <c r="AK12" s="1034"/>
      <c r="AL12" s="1034"/>
      <c r="AM12" s="1034"/>
      <c r="AN12" s="1034"/>
      <c r="AO12" s="1034"/>
      <c r="AP12" s="1034"/>
      <c r="AQ12" s="1034"/>
      <c r="AR12" s="1034"/>
      <c r="AS12" s="1034"/>
      <c r="AT12" s="1034"/>
      <c r="AU12" s="1034"/>
      <c r="AV12" s="1034"/>
      <c r="AW12" s="1034"/>
      <c r="AX12" s="1034"/>
      <c r="AY12" s="1034"/>
      <c r="AZ12" s="1034"/>
      <c r="BA12" s="1034"/>
      <c r="BB12" s="1034"/>
      <c r="BC12" s="1034"/>
      <c r="BD12" s="1034"/>
      <c r="BE12" s="1034"/>
      <c r="BF12" s="1034"/>
      <c r="BG12" s="1034"/>
      <c r="BH12" s="401"/>
      <c r="BI12" s="1034"/>
      <c r="BJ12" s="1034"/>
      <c r="BK12" s="1034"/>
      <c r="BL12" s="1034"/>
      <c r="BM12" s="1034"/>
      <c r="BN12" s="1034"/>
      <c r="BO12" s="1034"/>
      <c r="BP12" s="1034"/>
      <c r="BQ12" s="1034"/>
      <c r="BR12" s="1034"/>
      <c r="BS12" s="1034"/>
      <c r="BT12" s="1034"/>
      <c r="BU12" s="1034"/>
      <c r="BV12" s="1034"/>
      <c r="BW12" s="1034"/>
      <c r="BX12" s="1034"/>
      <c r="BY12" s="1034"/>
      <c r="BZ12" s="1034"/>
      <c r="CA12" s="1034"/>
      <c r="CB12" s="1034"/>
      <c r="CC12" s="1755"/>
      <c r="CD12" s="1034"/>
      <c r="CE12" s="1287"/>
      <c r="CF12" s="1287"/>
      <c r="CG12" s="1287"/>
      <c r="CH12" s="1287"/>
      <c r="CI12" s="1287"/>
      <c r="CJ12" s="1287"/>
      <c r="CK12" s="1287"/>
      <c r="CL12" s="1287"/>
    </row>
    <row r="13" spans="1:90" s="1299" customFormat="1">
      <c r="A13" s="1293">
        <f t="shared" si="0"/>
        <v>45085</v>
      </c>
      <c r="B13" s="1297">
        <f t="shared" si="1"/>
        <v>45085</v>
      </c>
      <c r="C13" s="1298">
        <v>0.12013888888888889</v>
      </c>
      <c r="D13" s="1034"/>
      <c r="E13" s="1034"/>
      <c r="F13" s="1034"/>
      <c r="G13" s="1034"/>
      <c r="H13" s="1034"/>
      <c r="I13" s="1034"/>
      <c r="J13" s="1034"/>
      <c r="K13" s="1034"/>
      <c r="L13" s="1034"/>
      <c r="M13" s="1034"/>
      <c r="N13" s="1034"/>
      <c r="O13" s="1034"/>
      <c r="P13" s="1034"/>
      <c r="Q13" s="1034"/>
      <c r="R13" s="1034"/>
      <c r="S13" s="1034"/>
      <c r="T13" s="1034"/>
      <c r="U13" s="1034"/>
      <c r="V13" s="1034"/>
      <c r="W13" s="1034"/>
      <c r="X13" s="1034"/>
      <c r="Y13" s="1034"/>
      <c r="Z13" s="401"/>
      <c r="AA13" s="1034"/>
      <c r="AB13" s="1034"/>
      <c r="AC13" s="1034"/>
      <c r="AD13" s="1034"/>
      <c r="AE13" s="1034"/>
      <c r="AF13" s="1034"/>
      <c r="AG13" s="1034"/>
      <c r="AH13" s="1034"/>
      <c r="AI13" s="1034"/>
      <c r="AJ13" s="1034"/>
      <c r="AK13" s="1034"/>
      <c r="AL13" s="1034"/>
      <c r="AM13" s="1034"/>
      <c r="AN13" s="1034"/>
      <c r="AO13" s="1034"/>
      <c r="AP13" s="1034"/>
      <c r="AQ13" s="1034"/>
      <c r="AR13" s="1034"/>
      <c r="AS13" s="1034"/>
      <c r="AT13" s="1034"/>
      <c r="AU13" s="1034"/>
      <c r="AV13" s="1034"/>
      <c r="AW13" s="1034"/>
      <c r="AX13" s="1034"/>
      <c r="AY13" s="1034"/>
      <c r="AZ13" s="1034"/>
      <c r="BA13" s="1034"/>
      <c r="BB13" s="1034"/>
      <c r="BC13" s="1034"/>
      <c r="BD13" s="1034"/>
      <c r="BE13" s="1034"/>
      <c r="BF13" s="1034"/>
      <c r="BG13" s="1034"/>
      <c r="BH13" s="401"/>
      <c r="BI13" s="1034"/>
      <c r="BJ13" s="1034"/>
      <c r="BK13" s="1034"/>
      <c r="BL13" s="1034"/>
      <c r="BM13" s="1034"/>
      <c r="BN13" s="1034"/>
      <c r="BO13" s="1034"/>
      <c r="BP13" s="1034"/>
      <c r="BQ13" s="1034"/>
      <c r="BR13" s="1034"/>
      <c r="BS13" s="1034"/>
      <c r="BT13" s="1034"/>
      <c r="BU13" s="1034"/>
      <c r="BV13" s="1034"/>
      <c r="BW13" s="1034"/>
      <c r="BX13" s="1034"/>
      <c r="BY13" s="1034"/>
      <c r="BZ13" s="1034"/>
      <c r="CA13" s="1034"/>
      <c r="CB13" s="1034"/>
      <c r="CC13" s="1755"/>
      <c r="CD13" s="1034"/>
      <c r="CE13" s="1287"/>
      <c r="CF13" s="1287"/>
      <c r="CG13" s="1287"/>
      <c r="CH13" s="1287"/>
      <c r="CI13" s="1287"/>
      <c r="CJ13" s="1287"/>
      <c r="CK13" s="1287"/>
      <c r="CL13" s="1287"/>
    </row>
    <row r="14" spans="1:90" s="1299" customFormat="1">
      <c r="A14" s="1293">
        <f t="shared" si="0"/>
        <v>45086</v>
      </c>
      <c r="B14" s="1297">
        <f t="shared" si="1"/>
        <v>45086</v>
      </c>
      <c r="C14" s="1298">
        <v>0.92847222222222225</v>
      </c>
      <c r="D14" s="1034"/>
      <c r="E14" s="1034"/>
      <c r="F14" s="1034"/>
      <c r="G14" s="1034"/>
      <c r="H14" s="1034"/>
      <c r="I14" s="1034"/>
      <c r="J14" s="1034"/>
      <c r="K14" s="1034"/>
      <c r="L14" s="1034"/>
      <c r="M14" s="1034"/>
      <c r="N14" s="1034"/>
      <c r="O14" s="1034"/>
      <c r="P14" s="1034"/>
      <c r="Q14" s="1034"/>
      <c r="R14" s="1034"/>
      <c r="S14" s="1034"/>
      <c r="T14" s="1034"/>
      <c r="U14" s="1034"/>
      <c r="V14" s="1034"/>
      <c r="W14" s="1034"/>
      <c r="X14" s="1034"/>
      <c r="Y14" s="1034"/>
      <c r="Z14" s="401"/>
      <c r="AA14" s="1034"/>
      <c r="AB14" s="1034"/>
      <c r="AC14" s="1034"/>
      <c r="AD14" s="1034"/>
      <c r="AE14" s="1034"/>
      <c r="AF14" s="1034"/>
      <c r="AG14" s="1034"/>
      <c r="AH14" s="1034"/>
      <c r="AI14" s="1034"/>
      <c r="AJ14" s="1034"/>
      <c r="AK14" s="1034"/>
      <c r="AL14" s="1034"/>
      <c r="AM14" s="1034"/>
      <c r="AN14" s="1034"/>
      <c r="AO14" s="1034"/>
      <c r="AP14" s="1034"/>
      <c r="AQ14" s="1034"/>
      <c r="AR14" s="1034"/>
      <c r="AS14" s="1034"/>
      <c r="AT14" s="1034"/>
      <c r="AU14" s="1034"/>
      <c r="AV14" s="1034"/>
      <c r="AW14" s="1034"/>
      <c r="AX14" s="1034"/>
      <c r="AY14" s="1034"/>
      <c r="AZ14" s="1034"/>
      <c r="BA14" s="1034"/>
      <c r="BB14" s="1034"/>
      <c r="BC14" s="1034"/>
      <c r="BD14" s="1034"/>
      <c r="BE14" s="1034"/>
      <c r="BF14" s="1034"/>
      <c r="BG14" s="1034"/>
      <c r="BH14" s="401"/>
      <c r="BI14" s="1034"/>
      <c r="BJ14" s="1034"/>
      <c r="BK14" s="1034"/>
      <c r="BL14" s="1034"/>
      <c r="BM14" s="1034"/>
      <c r="BN14" s="1034"/>
      <c r="BO14" s="1034"/>
      <c r="BP14" s="1034"/>
      <c r="BQ14" s="1034"/>
      <c r="BR14" s="1034"/>
      <c r="BS14" s="1034"/>
      <c r="BT14" s="1034"/>
      <c r="BU14" s="1034"/>
      <c r="BV14" s="1034"/>
      <c r="BW14" s="1034"/>
      <c r="BX14" s="1034"/>
      <c r="BY14" s="1034"/>
      <c r="BZ14" s="1034"/>
      <c r="CA14" s="1034"/>
      <c r="CB14" s="1034"/>
      <c r="CC14" s="1755"/>
      <c r="CD14" s="1034"/>
      <c r="CE14" s="1287"/>
      <c r="CF14" s="1287"/>
      <c r="CG14" s="1287"/>
      <c r="CH14" s="1287"/>
      <c r="CI14" s="1287"/>
      <c r="CJ14" s="1287"/>
      <c r="CK14" s="1287"/>
      <c r="CL14" s="1287"/>
    </row>
    <row r="15" spans="1:90" s="1034" customFormat="1">
      <c r="A15" s="1293">
        <f t="shared" si="0"/>
        <v>45087</v>
      </c>
      <c r="B15" s="1297">
        <f t="shared" si="1"/>
        <v>45087</v>
      </c>
      <c r="C15" s="1298">
        <v>0.9902777777777777</v>
      </c>
      <c r="Z15" s="401"/>
      <c r="BH15" s="401"/>
      <c r="CC15" s="1755"/>
      <c r="CE15" s="1287"/>
    </row>
    <row r="16" spans="1:90">
      <c r="A16" s="1293">
        <f t="shared" si="0"/>
        <v>45088</v>
      </c>
      <c r="B16" s="1297">
        <f t="shared" si="1"/>
        <v>45088</v>
      </c>
      <c r="C16" s="1298">
        <v>0.96388888888888891</v>
      </c>
      <c r="D16" s="1034"/>
      <c r="E16" s="1034"/>
      <c r="F16" s="1034"/>
      <c r="G16" s="1034"/>
      <c r="H16" s="1034"/>
      <c r="I16" s="1034"/>
      <c r="J16" s="1034"/>
      <c r="K16" s="1034"/>
      <c r="L16" s="1034"/>
      <c r="M16" s="1034"/>
      <c r="N16" s="1034"/>
      <c r="O16" s="1034"/>
      <c r="P16" s="1034"/>
      <c r="Q16" s="1034"/>
      <c r="R16" s="1034"/>
      <c r="S16" s="1034"/>
      <c r="T16" s="1034"/>
      <c r="U16" s="1034"/>
      <c r="V16" s="1034"/>
      <c r="W16" s="1034"/>
      <c r="X16" s="1034"/>
      <c r="Y16" s="1034"/>
      <c r="Z16" s="401"/>
      <c r="AA16" s="1034"/>
      <c r="AB16" s="1034"/>
      <c r="AC16" s="1034"/>
      <c r="AD16" s="1034"/>
      <c r="AE16" s="1034"/>
      <c r="AF16" s="1034"/>
      <c r="AG16" s="1034"/>
      <c r="AH16" s="1034"/>
      <c r="AI16" s="1034"/>
      <c r="AJ16" s="1034"/>
      <c r="AK16" s="1034"/>
      <c r="AL16" s="1034"/>
      <c r="AM16" s="1034"/>
      <c r="AN16" s="1034"/>
      <c r="AO16" s="1034"/>
      <c r="AP16" s="1034"/>
      <c r="AQ16" s="1034"/>
      <c r="AR16" s="1034"/>
      <c r="AS16" s="1034"/>
      <c r="AT16" s="1034"/>
      <c r="AU16" s="1034"/>
      <c r="AV16" s="1034"/>
      <c r="AW16" s="1034"/>
      <c r="AX16" s="1034"/>
      <c r="AY16" s="1034"/>
      <c r="AZ16" s="1034"/>
      <c r="BA16" s="1034"/>
      <c r="BB16" s="1034"/>
      <c r="BC16" s="1034"/>
      <c r="BD16" s="1034"/>
      <c r="BE16" s="1034"/>
      <c r="BF16" s="1034"/>
      <c r="BG16" s="1034"/>
      <c r="BH16" s="401"/>
      <c r="BI16" s="1034"/>
      <c r="BJ16" s="1034"/>
      <c r="BK16" s="1034"/>
      <c r="BL16" s="1034"/>
      <c r="BM16" s="1034"/>
      <c r="BN16" s="1034"/>
      <c r="BO16" s="1034"/>
      <c r="BP16" s="1034"/>
      <c r="BQ16" s="1034"/>
      <c r="BR16" s="1034"/>
      <c r="BS16" s="1034"/>
      <c r="BT16" s="1034"/>
      <c r="BU16" s="1034"/>
      <c r="BV16" s="1034"/>
      <c r="BW16" s="1034"/>
      <c r="BX16" s="1034"/>
      <c r="BY16" s="1034"/>
      <c r="BZ16" s="1034"/>
      <c r="CA16" s="1034"/>
      <c r="CB16" s="1034"/>
      <c r="CC16" s="1755"/>
      <c r="CD16" s="1034"/>
    </row>
    <row r="17" spans="1:82">
      <c r="A17" s="1293">
        <f t="shared" si="0"/>
        <v>45089</v>
      </c>
      <c r="B17" s="1297">
        <f t="shared" si="1"/>
        <v>45089</v>
      </c>
      <c r="C17" s="1298">
        <v>0.92847222222222225</v>
      </c>
      <c r="D17" s="1034"/>
      <c r="E17" s="1034"/>
      <c r="F17" s="1034"/>
      <c r="G17" s="1034"/>
      <c r="H17" s="1034"/>
      <c r="I17" s="1034"/>
      <c r="J17" s="1034"/>
      <c r="K17" s="1034"/>
      <c r="L17" s="1034"/>
      <c r="M17" s="1034"/>
      <c r="N17" s="1034"/>
      <c r="O17" s="1034"/>
      <c r="P17" s="1034"/>
      <c r="Q17" s="1034"/>
      <c r="R17" s="1034"/>
      <c r="S17" s="1034"/>
      <c r="T17" s="1034"/>
      <c r="U17" s="1034"/>
      <c r="V17" s="1034"/>
      <c r="W17" s="1034"/>
      <c r="X17" s="1034"/>
      <c r="Y17" s="1034"/>
      <c r="Z17" s="401"/>
      <c r="AA17" s="1034"/>
      <c r="AB17" s="1034"/>
      <c r="AC17" s="1034"/>
      <c r="AD17" s="1034"/>
      <c r="AE17" s="1034"/>
      <c r="AF17" s="1034"/>
      <c r="AG17" s="1034"/>
      <c r="AH17" s="1034"/>
      <c r="AI17" s="1034"/>
      <c r="AJ17" s="1034"/>
      <c r="AK17" s="1034"/>
      <c r="AL17" s="1034"/>
      <c r="AM17" s="1034"/>
      <c r="AN17" s="1034"/>
      <c r="AO17" s="1034"/>
      <c r="AP17" s="1034"/>
      <c r="AQ17" s="1034"/>
      <c r="AR17" s="1034"/>
      <c r="AS17" s="1034"/>
      <c r="AT17" s="1034"/>
      <c r="AU17" s="1034"/>
      <c r="AV17" s="1034"/>
      <c r="AW17" s="1034"/>
      <c r="AX17" s="1034"/>
      <c r="AY17" s="1034"/>
      <c r="AZ17" s="1034"/>
      <c r="BA17" s="1034"/>
      <c r="BB17" s="1034"/>
      <c r="BC17" s="1034"/>
      <c r="BD17" s="1034"/>
      <c r="BE17" s="1034"/>
      <c r="BF17" s="1034"/>
      <c r="BG17" s="1034"/>
      <c r="BH17" s="401"/>
      <c r="BI17" s="1034"/>
      <c r="BJ17" s="1034"/>
      <c r="BK17" s="1034"/>
      <c r="BL17" s="1034"/>
      <c r="BM17" s="1034"/>
      <c r="BN17" s="1034"/>
      <c r="BO17" s="1034"/>
      <c r="BP17" s="1034"/>
      <c r="BQ17" s="1034"/>
      <c r="BR17" s="1034"/>
      <c r="BS17" s="1034"/>
      <c r="BT17" s="1034"/>
      <c r="BU17" s="1034"/>
      <c r="BV17" s="1034"/>
      <c r="BW17" s="1034"/>
      <c r="BX17" s="1034"/>
      <c r="BY17" s="1034"/>
      <c r="BZ17" s="1034"/>
      <c r="CA17" s="1034"/>
      <c r="CB17" s="1034"/>
      <c r="CC17" s="1755"/>
      <c r="CD17" s="1034"/>
    </row>
    <row r="18" spans="1:82">
      <c r="A18" s="1293">
        <f t="shared" si="0"/>
        <v>45090</v>
      </c>
      <c r="B18" s="1297">
        <f t="shared" si="1"/>
        <v>45090</v>
      </c>
      <c r="C18" s="1298">
        <v>0.99791666666666667</v>
      </c>
      <c r="D18" s="1034"/>
      <c r="E18" s="1034"/>
      <c r="F18" s="1034"/>
      <c r="G18" s="1034"/>
      <c r="H18" s="1034"/>
      <c r="I18" s="1034"/>
      <c r="J18" s="1034"/>
      <c r="K18" s="1034"/>
      <c r="L18" s="1034"/>
      <c r="M18" s="1034"/>
      <c r="N18" s="1034"/>
      <c r="O18" s="1034"/>
      <c r="P18" s="1034"/>
      <c r="Q18" s="1034"/>
      <c r="R18" s="1034"/>
      <c r="S18" s="1034"/>
      <c r="T18" s="1034"/>
      <c r="U18" s="1034"/>
      <c r="V18" s="1034"/>
      <c r="W18" s="1034"/>
      <c r="X18" s="1034"/>
      <c r="Y18" s="1034"/>
      <c r="Z18" s="401"/>
      <c r="AA18" s="1034"/>
      <c r="AB18" s="1034"/>
      <c r="AC18" s="1034"/>
      <c r="AD18" s="1034"/>
      <c r="AE18" s="1034"/>
      <c r="AF18" s="1034"/>
      <c r="AG18" s="1034"/>
      <c r="AH18" s="1034"/>
      <c r="AI18" s="1034"/>
      <c r="AJ18" s="1034"/>
      <c r="AK18" s="1034"/>
      <c r="AL18" s="1034"/>
      <c r="AM18" s="1034"/>
      <c r="AN18" s="1034"/>
      <c r="AO18" s="1034"/>
      <c r="AP18" s="1034"/>
      <c r="AQ18" s="1034"/>
      <c r="AR18" s="1034"/>
      <c r="AS18" s="1034"/>
      <c r="AT18" s="1034"/>
      <c r="AU18" s="1034"/>
      <c r="AV18" s="1034"/>
      <c r="AW18" s="1034"/>
      <c r="AX18" s="1034"/>
      <c r="AY18" s="1034"/>
      <c r="AZ18" s="1034"/>
      <c r="BA18" s="1034"/>
      <c r="BB18" s="1034"/>
      <c r="BC18" s="1034"/>
      <c r="BD18" s="1034"/>
      <c r="BE18" s="1034"/>
      <c r="BF18" s="1034"/>
      <c r="BG18" s="1034"/>
      <c r="BH18" s="401"/>
      <c r="BI18" s="1034"/>
      <c r="BJ18" s="1034"/>
      <c r="BK18" s="1034"/>
      <c r="BL18" s="1034"/>
      <c r="BM18" s="1034"/>
      <c r="BN18" s="1034"/>
      <c r="BO18" s="1034"/>
      <c r="BP18" s="1034"/>
      <c r="BQ18" s="1034"/>
      <c r="BR18" s="1034"/>
      <c r="BS18" s="1034"/>
      <c r="BT18" s="1034"/>
      <c r="BU18" s="1034"/>
      <c r="BV18" s="1034"/>
      <c r="BW18" s="1034"/>
      <c r="BX18" s="1034"/>
      <c r="BY18" s="1034"/>
      <c r="BZ18" s="1034"/>
      <c r="CA18" s="1034"/>
      <c r="CB18" s="1034"/>
      <c r="CC18" s="1755"/>
      <c r="CD18" s="1034"/>
    </row>
    <row r="19" spans="1:82">
      <c r="A19" s="1293">
        <f t="shared" si="0"/>
        <v>45091</v>
      </c>
      <c r="B19" s="1297">
        <f t="shared" si="1"/>
        <v>45091</v>
      </c>
      <c r="C19" s="1298">
        <v>0.96388888888888891</v>
      </c>
      <c r="D19" s="1034"/>
      <c r="E19" s="1034"/>
      <c r="F19" s="1034"/>
      <c r="G19" s="1034"/>
      <c r="H19" s="1034"/>
      <c r="I19" s="1034"/>
      <c r="J19" s="1034"/>
      <c r="K19" s="1034"/>
      <c r="L19" s="1034"/>
      <c r="M19" s="1034"/>
      <c r="N19" s="1034"/>
      <c r="O19" s="1034"/>
      <c r="P19" s="1034"/>
      <c r="Q19" s="1034"/>
      <c r="R19" s="1034"/>
      <c r="S19" s="1034"/>
      <c r="T19" s="1034"/>
      <c r="U19" s="1034"/>
      <c r="V19" s="1034"/>
      <c r="W19" s="1034"/>
      <c r="X19" s="1034"/>
      <c r="Y19" s="1034"/>
      <c r="Z19" s="401"/>
      <c r="AA19" s="1034"/>
      <c r="AB19" s="1034"/>
      <c r="AC19" s="1034"/>
      <c r="AD19" s="1034"/>
      <c r="AE19" s="1034"/>
      <c r="AF19" s="1034"/>
      <c r="AG19" s="1034"/>
      <c r="AH19" s="1034"/>
      <c r="AI19" s="1034"/>
      <c r="AJ19" s="1034"/>
      <c r="AK19" s="1034"/>
      <c r="AL19" s="1034"/>
      <c r="AM19" s="1034"/>
      <c r="AN19" s="1034"/>
      <c r="AO19" s="1034"/>
      <c r="AP19" s="1034"/>
      <c r="AQ19" s="1034"/>
      <c r="AR19" s="1034"/>
      <c r="AS19" s="1034"/>
      <c r="AT19" s="1034"/>
      <c r="AU19" s="1034"/>
      <c r="AV19" s="1034"/>
      <c r="AW19" s="1034"/>
      <c r="AX19" s="1034"/>
      <c r="AY19" s="1034"/>
      <c r="AZ19" s="1034"/>
      <c r="BA19" s="1034"/>
      <c r="BB19" s="1034"/>
      <c r="BC19" s="1034"/>
      <c r="BD19" s="1034"/>
      <c r="BE19" s="1034"/>
      <c r="BF19" s="1034"/>
      <c r="BG19" s="1034"/>
      <c r="BH19" s="401"/>
      <c r="BI19" s="1034"/>
      <c r="BJ19" s="1034"/>
      <c r="BK19" s="1034"/>
      <c r="BL19" s="1034"/>
      <c r="BM19" s="1034"/>
      <c r="BN19" s="1034"/>
      <c r="BO19" s="1034"/>
      <c r="BP19" s="1034"/>
      <c r="BQ19" s="1034"/>
      <c r="BR19" s="1034"/>
      <c r="BS19" s="1034"/>
      <c r="BT19" s="1034"/>
      <c r="BU19" s="1034"/>
      <c r="BV19" s="1034"/>
      <c r="BW19" s="1034"/>
      <c r="BX19" s="1034"/>
      <c r="BY19" s="1034"/>
      <c r="BZ19" s="1034"/>
      <c r="CA19" s="1034"/>
      <c r="CB19" s="1034"/>
      <c r="CC19" s="1755"/>
      <c r="CD19" s="1034"/>
    </row>
    <row r="20" spans="1:82">
      <c r="A20" s="1293">
        <f t="shared" si="0"/>
        <v>45092</v>
      </c>
      <c r="B20" s="1297">
        <f t="shared" si="1"/>
        <v>45092</v>
      </c>
      <c r="C20" s="1298">
        <v>0.92708333333333337</v>
      </c>
      <c r="D20" s="1034"/>
      <c r="E20" s="1034"/>
      <c r="F20" s="1034"/>
      <c r="G20" s="1034"/>
      <c r="H20" s="1034"/>
      <c r="I20" s="1034"/>
      <c r="J20" s="1034"/>
      <c r="K20" s="1034"/>
      <c r="L20" s="1034"/>
      <c r="M20" s="1034"/>
      <c r="N20" s="1034"/>
      <c r="O20" s="1034"/>
      <c r="P20" s="1034"/>
      <c r="Q20" s="1034"/>
      <c r="R20" s="1034"/>
      <c r="S20" s="1034"/>
      <c r="T20" s="1034"/>
      <c r="U20" s="1034"/>
      <c r="V20" s="1034"/>
      <c r="W20" s="1034"/>
      <c r="X20" s="1034"/>
      <c r="Y20" s="1034"/>
      <c r="Z20" s="401"/>
      <c r="AA20" s="1034"/>
      <c r="AB20" s="1034"/>
      <c r="AC20" s="1034"/>
      <c r="AD20" s="1034"/>
      <c r="AE20" s="1034"/>
      <c r="AF20" s="1034"/>
      <c r="AG20" s="1034"/>
      <c r="AH20" s="1034"/>
      <c r="AI20" s="1034"/>
      <c r="AJ20" s="1034"/>
      <c r="AK20" s="1034"/>
      <c r="AL20" s="1034"/>
      <c r="AM20" s="1034"/>
      <c r="AN20" s="1034"/>
      <c r="AO20" s="1034"/>
      <c r="AP20" s="1034"/>
      <c r="AQ20" s="1034"/>
      <c r="AR20" s="1034"/>
      <c r="AS20" s="1034"/>
      <c r="AT20" s="1034"/>
      <c r="AU20" s="1034"/>
      <c r="AV20" s="1034"/>
      <c r="AW20" s="1034"/>
      <c r="AX20" s="1034"/>
      <c r="AY20" s="1034"/>
      <c r="AZ20" s="1034"/>
      <c r="BA20" s="1034"/>
      <c r="BB20" s="1034"/>
      <c r="BC20" s="1034"/>
      <c r="BD20" s="1034"/>
      <c r="BE20" s="1034"/>
      <c r="BF20" s="1034"/>
      <c r="BG20" s="1034"/>
      <c r="BH20" s="401"/>
      <c r="BI20" s="1034"/>
      <c r="BJ20" s="1034"/>
      <c r="BK20" s="1034"/>
      <c r="BL20" s="1034"/>
      <c r="BM20" s="1034"/>
      <c r="BN20" s="1034"/>
      <c r="BO20" s="1034"/>
      <c r="BP20" s="1034"/>
      <c r="BQ20" s="1034"/>
      <c r="BR20" s="1034"/>
      <c r="BS20" s="1034"/>
      <c r="BT20" s="1034"/>
      <c r="BU20" s="1034"/>
      <c r="BV20" s="1034"/>
      <c r="BW20" s="1034"/>
      <c r="BX20" s="1034"/>
      <c r="BY20" s="1034"/>
      <c r="BZ20" s="1034"/>
      <c r="CA20" s="1034"/>
      <c r="CB20" s="1034"/>
      <c r="CC20" s="1755"/>
      <c r="CD20" s="1034"/>
    </row>
    <row r="21" spans="1:82">
      <c r="A21" s="1293">
        <f t="shared" si="0"/>
        <v>45093</v>
      </c>
      <c r="B21" s="1297">
        <f t="shared" si="1"/>
        <v>45093</v>
      </c>
      <c r="C21" s="1298">
        <v>0.96875</v>
      </c>
      <c r="D21" s="1034"/>
      <c r="E21" s="1034"/>
      <c r="F21" s="1034"/>
      <c r="G21" s="1034"/>
      <c r="H21" s="1034"/>
      <c r="I21" s="1034"/>
      <c r="J21" s="1034"/>
      <c r="K21" s="1034"/>
      <c r="L21" s="1034"/>
      <c r="M21" s="1034"/>
      <c r="N21" s="1034"/>
      <c r="O21" s="1034"/>
      <c r="P21" s="1034"/>
      <c r="Q21" s="1034"/>
      <c r="R21" s="1034"/>
      <c r="S21" s="1034"/>
      <c r="T21" s="1034"/>
      <c r="U21" s="1034"/>
      <c r="V21" s="1034"/>
      <c r="W21" s="1034"/>
      <c r="X21" s="1034"/>
      <c r="Y21" s="1034"/>
      <c r="Z21" s="401"/>
      <c r="AA21" s="1034"/>
      <c r="AB21" s="1034"/>
      <c r="AC21" s="1034"/>
      <c r="AD21" s="1034"/>
      <c r="AE21" s="1034"/>
      <c r="AF21" s="1034"/>
      <c r="AG21" s="1034"/>
      <c r="AH21" s="1034"/>
      <c r="AI21" s="1034"/>
      <c r="AJ21" s="1034"/>
      <c r="AK21" s="1034"/>
      <c r="AL21" s="1034"/>
      <c r="AM21" s="1034"/>
      <c r="AN21" s="1034"/>
      <c r="AO21" s="1034"/>
      <c r="AP21" s="1034"/>
      <c r="AQ21" s="1034"/>
      <c r="AR21" s="1034"/>
      <c r="AS21" s="1034"/>
      <c r="AT21" s="1034"/>
      <c r="AU21" s="1034"/>
      <c r="AV21" s="1034"/>
      <c r="AW21" s="1034"/>
      <c r="AX21" s="1034"/>
      <c r="AY21" s="1034"/>
      <c r="AZ21" s="1034"/>
      <c r="BA21" s="1034"/>
      <c r="BB21" s="1034"/>
      <c r="BC21" s="1034"/>
      <c r="BD21" s="1034"/>
      <c r="BE21" s="1034"/>
      <c r="BF21" s="1034"/>
      <c r="BG21" s="1034"/>
      <c r="BH21" s="401"/>
      <c r="BI21" s="1034"/>
      <c r="BJ21" s="1034"/>
      <c r="BK21" s="1034"/>
      <c r="BL21" s="1034"/>
      <c r="BM21" s="1034"/>
      <c r="BN21" s="1034"/>
      <c r="BO21" s="1034"/>
      <c r="BP21" s="1034"/>
      <c r="BQ21" s="1034"/>
      <c r="BR21" s="1034"/>
      <c r="BS21" s="1034"/>
      <c r="BT21" s="1034"/>
      <c r="BU21" s="1034"/>
      <c r="BV21" s="1034"/>
      <c r="BW21" s="1034"/>
      <c r="BX21" s="1034"/>
      <c r="BY21" s="1034"/>
      <c r="BZ21" s="1034"/>
      <c r="CA21" s="1034"/>
      <c r="CB21" s="1034"/>
      <c r="CC21" s="1755"/>
      <c r="CD21" s="1034"/>
    </row>
    <row r="22" spans="1:82">
      <c r="A22" s="1293">
        <f t="shared" si="0"/>
        <v>45094</v>
      </c>
      <c r="B22" s="1297">
        <f t="shared" si="1"/>
        <v>45094</v>
      </c>
      <c r="C22" s="1298">
        <v>0.8666666666666667</v>
      </c>
      <c r="D22" s="1034"/>
      <c r="E22" s="1034"/>
      <c r="F22" s="1034"/>
      <c r="G22" s="1034"/>
      <c r="H22" s="1034"/>
      <c r="I22" s="1034"/>
      <c r="J22" s="1034"/>
      <c r="K22" s="1034"/>
      <c r="L22" s="1034"/>
      <c r="M22" s="1034"/>
      <c r="N22" s="1034"/>
      <c r="O22" s="1034"/>
      <c r="P22" s="1034"/>
      <c r="Q22" s="1034"/>
      <c r="R22" s="1034"/>
      <c r="S22" s="1034"/>
      <c r="T22" s="1034"/>
      <c r="U22" s="1034"/>
      <c r="V22" s="1034"/>
      <c r="W22" s="1034"/>
      <c r="X22" s="1034"/>
      <c r="Y22" s="1034"/>
      <c r="Z22" s="401"/>
      <c r="AA22" s="1034"/>
      <c r="AB22" s="1034"/>
      <c r="AC22" s="1034"/>
      <c r="AD22" s="1034"/>
      <c r="AE22" s="1034"/>
      <c r="AF22" s="1034"/>
      <c r="AG22" s="1034"/>
      <c r="AH22" s="1034"/>
      <c r="AI22" s="1034"/>
      <c r="AJ22" s="1034"/>
      <c r="AK22" s="1034"/>
      <c r="AL22" s="1034"/>
      <c r="AM22" s="1034"/>
      <c r="AN22" s="1034"/>
      <c r="AO22" s="1034"/>
      <c r="AP22" s="1034"/>
      <c r="AQ22" s="1034"/>
      <c r="AR22" s="1034"/>
      <c r="AS22" s="1034"/>
      <c r="AT22" s="1034"/>
      <c r="AU22" s="1034"/>
      <c r="AV22" s="1034"/>
      <c r="AW22" s="1034"/>
      <c r="AX22" s="1034"/>
      <c r="AY22" s="1034"/>
      <c r="AZ22" s="1034"/>
      <c r="BA22" s="1034"/>
      <c r="BB22" s="1034"/>
      <c r="BC22" s="1034"/>
      <c r="BD22" s="1034"/>
      <c r="BE22" s="1034"/>
      <c r="BF22" s="1034"/>
      <c r="BG22" s="1034"/>
      <c r="BH22" s="401"/>
      <c r="BI22" s="1034"/>
      <c r="BJ22" s="1034"/>
      <c r="BK22" s="1034"/>
      <c r="BL22" s="1034"/>
      <c r="BM22" s="1034"/>
      <c r="BN22" s="1034"/>
      <c r="BO22" s="1034"/>
      <c r="BP22" s="1034"/>
      <c r="BQ22" s="1034"/>
      <c r="BR22" s="1034"/>
      <c r="BS22" s="1034"/>
      <c r="BT22" s="1034"/>
      <c r="BU22" s="1034"/>
      <c r="BV22" s="1034"/>
      <c r="BW22" s="1034"/>
      <c r="BX22" s="1034"/>
      <c r="BY22" s="1034"/>
      <c r="BZ22" s="1034"/>
      <c r="CA22" s="1034"/>
      <c r="CB22" s="1034"/>
      <c r="CC22" s="1755"/>
      <c r="CD22" s="1034"/>
    </row>
    <row r="23" spans="1:82">
      <c r="A23" s="1293">
        <f t="shared" si="0"/>
        <v>45095</v>
      </c>
      <c r="B23" s="1297">
        <f t="shared" si="1"/>
        <v>45095</v>
      </c>
      <c r="C23" s="1298">
        <v>0.97083333333333333</v>
      </c>
      <c r="D23" s="1034"/>
      <c r="E23" s="1034"/>
      <c r="F23" s="1034"/>
      <c r="G23" s="1034"/>
      <c r="H23" s="1034"/>
      <c r="I23" s="1034"/>
      <c r="J23" s="1034"/>
      <c r="K23" s="1034"/>
      <c r="L23" s="1034"/>
      <c r="M23" s="1034"/>
      <c r="N23" s="1034"/>
      <c r="O23" s="1034"/>
      <c r="P23" s="1034"/>
      <c r="Q23" s="1034"/>
      <c r="R23" s="1034"/>
      <c r="S23" s="1034"/>
      <c r="T23" s="1034"/>
      <c r="U23" s="1034"/>
      <c r="V23" s="1034"/>
      <c r="W23" s="1034"/>
      <c r="X23" s="1034"/>
      <c r="Y23" s="1034"/>
      <c r="Z23" s="401"/>
      <c r="AA23" s="1034"/>
      <c r="AB23" s="1034"/>
      <c r="AC23" s="1034"/>
      <c r="AD23" s="1034"/>
      <c r="AE23" s="1034"/>
      <c r="AF23" s="1034"/>
      <c r="AG23" s="1034"/>
      <c r="AH23" s="1034"/>
      <c r="AI23" s="1034"/>
      <c r="AJ23" s="1034"/>
      <c r="AK23" s="1034"/>
      <c r="AL23" s="1034"/>
      <c r="AM23" s="1034"/>
      <c r="AN23" s="1034"/>
      <c r="AO23" s="1034"/>
      <c r="AP23" s="1034"/>
      <c r="AQ23" s="1034"/>
      <c r="AR23" s="1034"/>
      <c r="AS23" s="1034"/>
      <c r="AT23" s="1034"/>
      <c r="AU23" s="1034"/>
      <c r="AV23" s="1034"/>
      <c r="AW23" s="1034"/>
      <c r="AX23" s="1034"/>
      <c r="AY23" s="1034"/>
      <c r="AZ23" s="1034"/>
      <c r="BA23" s="1034"/>
      <c r="BB23" s="1034"/>
      <c r="BC23" s="1034"/>
      <c r="BD23" s="1034"/>
      <c r="BE23" s="1034"/>
      <c r="BF23" s="1034"/>
      <c r="BG23" s="1034"/>
      <c r="BH23" s="401"/>
      <c r="BI23" s="1034"/>
      <c r="BJ23" s="1034"/>
      <c r="BK23" s="1034"/>
      <c r="BL23" s="1034"/>
      <c r="BM23" s="1034"/>
      <c r="BN23" s="1034"/>
      <c r="BO23" s="1034"/>
      <c r="BP23" s="1034"/>
      <c r="BQ23" s="1034"/>
      <c r="BR23" s="1034"/>
      <c r="BS23" s="1034"/>
      <c r="BT23" s="1034"/>
      <c r="BU23" s="1034"/>
      <c r="BV23" s="1034"/>
      <c r="BW23" s="1034"/>
      <c r="BX23" s="1034"/>
      <c r="BY23" s="1034"/>
      <c r="BZ23" s="1034"/>
      <c r="CA23" s="1034"/>
      <c r="CB23" s="1034"/>
      <c r="CC23" s="1755"/>
      <c r="CD23" s="1034"/>
    </row>
    <row r="24" spans="1:82">
      <c r="A24" s="1293">
        <f t="shared" si="0"/>
        <v>45096</v>
      </c>
      <c r="B24" s="1297">
        <f t="shared" si="1"/>
        <v>45096</v>
      </c>
      <c r="C24" s="1298">
        <v>0.93958333333333333</v>
      </c>
      <c r="D24" s="1034"/>
      <c r="E24" s="1034"/>
      <c r="F24" s="1034"/>
      <c r="G24" s="1034"/>
      <c r="H24" s="1034"/>
      <c r="I24" s="1034"/>
      <c r="J24" s="1034"/>
      <c r="K24" s="1034"/>
      <c r="L24" s="1034"/>
      <c r="M24" s="1034"/>
      <c r="N24" s="1034"/>
      <c r="O24" s="1034"/>
      <c r="P24" s="1034"/>
      <c r="Q24" s="1034"/>
      <c r="R24" s="1034"/>
      <c r="S24" s="1034"/>
      <c r="T24" s="1034"/>
      <c r="U24" s="1034"/>
      <c r="V24" s="1034"/>
      <c r="W24" s="1034"/>
      <c r="X24" s="1034"/>
      <c r="Y24" s="1034"/>
      <c r="Z24" s="401"/>
      <c r="AA24" s="1034"/>
      <c r="AB24" s="1034"/>
      <c r="AC24" s="1034"/>
      <c r="AD24" s="1034"/>
      <c r="AE24" s="1034"/>
      <c r="AF24" s="1034"/>
      <c r="AG24" s="1034"/>
      <c r="AH24" s="1034"/>
      <c r="AI24" s="1034"/>
      <c r="AJ24" s="1034"/>
      <c r="AK24" s="1034"/>
      <c r="AL24" s="1034"/>
      <c r="AM24" s="1034"/>
      <c r="AN24" s="1034"/>
      <c r="AO24" s="1034"/>
      <c r="AP24" s="1034"/>
      <c r="AQ24" s="1034"/>
      <c r="AR24" s="1034"/>
      <c r="AS24" s="1034"/>
      <c r="AT24" s="1034"/>
      <c r="AU24" s="1034"/>
      <c r="AV24" s="1034"/>
      <c r="AW24" s="1034"/>
      <c r="AX24" s="1034"/>
      <c r="AY24" s="1034"/>
      <c r="AZ24" s="1034"/>
      <c r="BA24" s="1034"/>
      <c r="BB24" s="1034"/>
      <c r="BC24" s="1034"/>
      <c r="BD24" s="1034"/>
      <c r="BE24" s="1034"/>
      <c r="BF24" s="1034"/>
      <c r="BG24" s="1034"/>
      <c r="BH24" s="401"/>
      <c r="BI24" s="1034"/>
      <c r="BJ24" s="1034"/>
      <c r="BK24" s="1034"/>
      <c r="BL24" s="1034"/>
      <c r="BM24" s="1034"/>
      <c r="BN24" s="1034"/>
      <c r="BO24" s="1034"/>
      <c r="BP24" s="1034"/>
      <c r="BQ24" s="1034"/>
      <c r="BR24" s="1034"/>
      <c r="BS24" s="1034"/>
      <c r="BT24" s="1034"/>
      <c r="BU24" s="1034"/>
      <c r="BV24" s="1034"/>
      <c r="BW24" s="1034"/>
      <c r="BX24" s="1034"/>
      <c r="BY24" s="1034"/>
      <c r="BZ24" s="1034"/>
      <c r="CA24" s="1034"/>
      <c r="CB24" s="1034"/>
      <c r="CC24" s="1755"/>
      <c r="CD24" s="1034"/>
    </row>
    <row r="25" spans="1:82">
      <c r="A25" s="1293">
        <f t="shared" si="0"/>
        <v>45097</v>
      </c>
      <c r="B25" s="1297">
        <f t="shared" si="1"/>
        <v>45097</v>
      </c>
      <c r="C25" s="1298">
        <v>0.9159722222222223</v>
      </c>
      <c r="D25" s="1034"/>
      <c r="E25" s="1034"/>
      <c r="F25" s="1034"/>
      <c r="G25" s="1034"/>
      <c r="H25" s="1034"/>
      <c r="I25" s="1034"/>
      <c r="J25" s="1034"/>
      <c r="K25" s="1034"/>
      <c r="L25" s="1034"/>
      <c r="M25" s="1034"/>
      <c r="N25" s="1034"/>
      <c r="O25" s="1034"/>
      <c r="P25" s="1034"/>
      <c r="Q25" s="1034"/>
      <c r="R25" s="1034"/>
      <c r="S25" s="1034"/>
      <c r="T25" s="1034"/>
      <c r="U25" s="1034"/>
      <c r="V25" s="1034"/>
      <c r="W25" s="1034"/>
      <c r="X25" s="1034"/>
      <c r="Y25" s="1034"/>
      <c r="Z25" s="401"/>
      <c r="AA25" s="1034"/>
      <c r="AB25" s="1034"/>
      <c r="AC25" s="1034"/>
      <c r="AD25" s="1034"/>
      <c r="AE25" s="1034"/>
      <c r="AF25" s="1034"/>
      <c r="AG25" s="1034"/>
      <c r="AH25" s="1034"/>
      <c r="AI25" s="1034"/>
      <c r="AJ25" s="1034"/>
      <c r="AK25" s="1034"/>
      <c r="AL25" s="1034"/>
      <c r="AM25" s="1034"/>
      <c r="AN25" s="1034"/>
      <c r="AO25" s="1034"/>
      <c r="AP25" s="1034"/>
      <c r="AQ25" s="1034"/>
      <c r="AR25" s="1034"/>
      <c r="AS25" s="1034"/>
      <c r="AT25" s="1034"/>
      <c r="AU25" s="1034"/>
      <c r="AV25" s="1034"/>
      <c r="AW25" s="1034"/>
      <c r="AX25" s="1034"/>
      <c r="AY25" s="1034"/>
      <c r="AZ25" s="1034"/>
      <c r="BA25" s="1034"/>
      <c r="BB25" s="1034"/>
      <c r="BC25" s="1034"/>
      <c r="BD25" s="1034"/>
      <c r="BE25" s="1034"/>
      <c r="BF25" s="1034"/>
      <c r="BG25" s="1034"/>
      <c r="BH25" s="401"/>
      <c r="BI25" s="1034"/>
      <c r="BJ25" s="1034"/>
      <c r="BK25" s="1034"/>
      <c r="BL25" s="1034"/>
      <c r="BM25" s="1034"/>
      <c r="BN25" s="1034"/>
      <c r="BO25" s="1034"/>
      <c r="BP25" s="1034"/>
      <c r="BQ25" s="1034"/>
      <c r="BR25" s="1034"/>
      <c r="BS25" s="1034"/>
      <c r="BT25" s="1034"/>
      <c r="BU25" s="1034"/>
      <c r="BV25" s="1034"/>
      <c r="BW25" s="1034"/>
      <c r="BX25" s="1034"/>
      <c r="BY25" s="1034"/>
      <c r="BZ25" s="1034"/>
      <c r="CA25" s="1034"/>
      <c r="CB25" s="1034"/>
      <c r="CC25" s="1755"/>
      <c r="CD25" s="1034"/>
    </row>
    <row r="26" spans="1:82">
      <c r="A26" s="1293">
        <f t="shared" si="0"/>
        <v>45098</v>
      </c>
      <c r="B26" s="1297">
        <f t="shared" si="1"/>
        <v>45098</v>
      </c>
      <c r="C26" s="1298">
        <v>0.93472222222222223</v>
      </c>
      <c r="D26" s="1034"/>
      <c r="E26" s="1034"/>
      <c r="F26" s="1034"/>
      <c r="G26" s="1034"/>
      <c r="H26" s="1034"/>
      <c r="I26" s="1034"/>
      <c r="J26" s="1034"/>
      <c r="K26" s="1034"/>
      <c r="L26" s="1034"/>
      <c r="M26" s="1034"/>
      <c r="N26" s="1034"/>
      <c r="O26" s="1034"/>
      <c r="P26" s="1034"/>
      <c r="Q26" s="1034"/>
      <c r="R26" s="1034"/>
      <c r="S26" s="1034"/>
      <c r="T26" s="1034"/>
      <c r="U26" s="1034"/>
      <c r="V26" s="1034"/>
      <c r="W26" s="1034"/>
      <c r="X26" s="1034"/>
      <c r="Y26" s="1034"/>
      <c r="Z26" s="401"/>
      <c r="AA26" s="1034"/>
      <c r="AB26" s="1034"/>
      <c r="AC26" s="1034"/>
      <c r="AD26" s="1034"/>
      <c r="AE26" s="1034"/>
      <c r="AF26" s="1034"/>
      <c r="AG26" s="1034"/>
      <c r="AH26" s="1034"/>
      <c r="AI26" s="1034"/>
      <c r="AJ26" s="1034"/>
      <c r="AK26" s="1034"/>
      <c r="AL26" s="1034"/>
      <c r="AM26" s="1034"/>
      <c r="AN26" s="1034"/>
      <c r="AO26" s="1034"/>
      <c r="AP26" s="1034"/>
      <c r="AQ26" s="1034"/>
      <c r="AR26" s="1034"/>
      <c r="AS26" s="1034"/>
      <c r="AT26" s="1034"/>
      <c r="AU26" s="1034"/>
      <c r="AV26" s="1034"/>
      <c r="AW26" s="1034"/>
      <c r="AX26" s="1034"/>
      <c r="AY26" s="1034"/>
      <c r="AZ26" s="1034"/>
      <c r="BA26" s="1034"/>
      <c r="BB26" s="1034"/>
      <c r="BC26" s="1034"/>
      <c r="BD26" s="1034"/>
      <c r="BE26" s="1034"/>
      <c r="BF26" s="1034"/>
      <c r="BG26" s="1034"/>
      <c r="BH26" s="401"/>
      <c r="BI26" s="1034"/>
      <c r="BJ26" s="1034"/>
      <c r="BK26" s="1034"/>
      <c r="BL26" s="1034"/>
      <c r="BM26" s="1034"/>
      <c r="BN26" s="1034"/>
      <c r="BO26" s="1034"/>
      <c r="BP26" s="1034"/>
      <c r="BQ26" s="1034"/>
      <c r="BR26" s="1034"/>
      <c r="BS26" s="1034"/>
      <c r="BT26" s="1034"/>
      <c r="BU26" s="1034"/>
      <c r="BV26" s="1034"/>
      <c r="BW26" s="1034"/>
      <c r="BX26" s="1034"/>
      <c r="BY26" s="1034"/>
      <c r="BZ26" s="1034"/>
      <c r="CA26" s="1034"/>
      <c r="CB26" s="1034"/>
      <c r="CC26" s="1755"/>
      <c r="CD26" s="1034"/>
    </row>
    <row r="27" spans="1:82">
      <c r="A27" s="1293">
        <f t="shared" si="0"/>
        <v>45099</v>
      </c>
      <c r="B27" s="1297">
        <f t="shared" si="1"/>
        <v>45099</v>
      </c>
      <c r="C27" s="1298">
        <v>0.9145833333333333</v>
      </c>
      <c r="D27" s="1034"/>
      <c r="E27" s="1034"/>
      <c r="F27" s="1034"/>
      <c r="G27" s="1034"/>
      <c r="H27" s="1034"/>
      <c r="I27" s="1034"/>
      <c r="J27" s="1034"/>
      <c r="K27" s="1034"/>
      <c r="L27" s="1034"/>
      <c r="M27" s="1034"/>
      <c r="N27" s="1034"/>
      <c r="O27" s="1034"/>
      <c r="P27" s="1034"/>
      <c r="Q27" s="1034"/>
      <c r="R27" s="1034"/>
      <c r="S27" s="1034"/>
      <c r="T27" s="1034"/>
      <c r="U27" s="1034"/>
      <c r="V27" s="1034"/>
      <c r="W27" s="1034"/>
      <c r="X27" s="1034"/>
      <c r="Y27" s="1034"/>
      <c r="Z27" s="401"/>
      <c r="AA27" s="1034"/>
      <c r="AB27" s="1034"/>
      <c r="AC27" s="1034"/>
      <c r="AD27" s="1034"/>
      <c r="AE27" s="1034"/>
      <c r="AF27" s="1034"/>
      <c r="AG27" s="1034"/>
      <c r="AH27" s="1034"/>
      <c r="AI27" s="1034"/>
      <c r="AJ27" s="1034"/>
      <c r="AK27" s="1034"/>
      <c r="AL27" s="1034"/>
      <c r="AM27" s="1034"/>
      <c r="AN27" s="1034"/>
      <c r="AO27" s="1034"/>
      <c r="AP27" s="1034"/>
      <c r="AQ27" s="1034"/>
      <c r="AR27" s="1034"/>
      <c r="AS27" s="1034"/>
      <c r="AT27" s="1034"/>
      <c r="AU27" s="1034"/>
      <c r="AV27" s="1034"/>
      <c r="AW27" s="1034"/>
      <c r="AX27" s="1034"/>
      <c r="AY27" s="1034"/>
      <c r="AZ27" s="1034"/>
      <c r="BA27" s="1034"/>
      <c r="BB27" s="1034"/>
      <c r="BC27" s="1034"/>
      <c r="BD27" s="1034"/>
      <c r="BE27" s="1034"/>
      <c r="BF27" s="1034"/>
      <c r="BG27" s="1034"/>
      <c r="BH27" s="401"/>
      <c r="BI27" s="1034"/>
      <c r="BJ27" s="1034"/>
      <c r="BK27" s="1034"/>
      <c r="BL27" s="1034"/>
      <c r="BM27" s="1034"/>
      <c r="BN27" s="1034"/>
      <c r="BO27" s="1034"/>
      <c r="BP27" s="1034"/>
      <c r="BQ27" s="1034"/>
      <c r="BR27" s="1034"/>
      <c r="BS27" s="1034"/>
      <c r="BT27" s="1034"/>
      <c r="BU27" s="1034"/>
      <c r="BV27" s="1034"/>
      <c r="BW27" s="1034"/>
      <c r="BX27" s="1034"/>
      <c r="BY27" s="1034"/>
      <c r="BZ27" s="1034"/>
      <c r="CA27" s="1034"/>
      <c r="CB27" s="1034"/>
      <c r="CC27" s="1034"/>
      <c r="CD27" s="1034"/>
    </row>
    <row r="28" spans="1:82">
      <c r="A28" s="1293">
        <f t="shared" si="0"/>
        <v>45100</v>
      </c>
      <c r="B28" s="1297">
        <f t="shared" si="1"/>
        <v>45100</v>
      </c>
      <c r="C28" s="1298">
        <v>0.9375</v>
      </c>
      <c r="D28" s="1034"/>
      <c r="E28" s="1034"/>
      <c r="F28" s="1034"/>
      <c r="G28" s="1034"/>
      <c r="H28" s="1034"/>
      <c r="I28" s="1034"/>
      <c r="J28" s="1034"/>
      <c r="K28" s="1034"/>
      <c r="L28" s="1034"/>
      <c r="M28" s="1034"/>
      <c r="N28" s="1034"/>
      <c r="O28" s="1034"/>
      <c r="P28" s="1034"/>
      <c r="Q28" s="1034"/>
      <c r="R28" s="1034"/>
      <c r="S28" s="1034"/>
      <c r="T28" s="1034"/>
      <c r="U28" s="1034"/>
      <c r="V28" s="1034"/>
      <c r="W28" s="1034"/>
      <c r="X28" s="1034"/>
      <c r="Y28" s="1034"/>
      <c r="Z28" s="401"/>
      <c r="AA28" s="1034"/>
      <c r="AB28" s="1034"/>
      <c r="AC28" s="1034"/>
      <c r="AD28" s="1034"/>
      <c r="AE28" s="1034"/>
      <c r="AF28" s="1034"/>
      <c r="AG28" s="1034"/>
      <c r="AH28" s="1034"/>
      <c r="AI28" s="1034"/>
      <c r="AJ28" s="1034"/>
      <c r="AK28" s="1034"/>
      <c r="AL28" s="1034"/>
      <c r="AM28" s="1034"/>
      <c r="AN28" s="1034"/>
      <c r="AO28" s="1034"/>
      <c r="AP28" s="1034"/>
      <c r="AQ28" s="1034"/>
      <c r="AR28" s="1034"/>
      <c r="AS28" s="1034"/>
      <c r="AT28" s="1034"/>
      <c r="AU28" s="1034"/>
      <c r="AV28" s="1034"/>
      <c r="AW28" s="1034"/>
      <c r="AX28" s="1034"/>
      <c r="AY28" s="1034"/>
      <c r="AZ28" s="1034"/>
      <c r="BA28" s="1034"/>
      <c r="BB28" s="1034"/>
      <c r="BC28" s="1034"/>
      <c r="BD28" s="1034"/>
      <c r="BE28" s="1034"/>
      <c r="BF28" s="1034"/>
      <c r="BG28" s="1034"/>
      <c r="BH28" s="401"/>
      <c r="BI28" s="1034"/>
      <c r="BJ28" s="1034"/>
      <c r="BK28" s="1034"/>
      <c r="BL28" s="1034"/>
      <c r="BM28" s="1034"/>
      <c r="BN28" s="1034"/>
      <c r="BO28" s="1034"/>
      <c r="BP28" s="1034"/>
      <c r="BQ28" s="1034"/>
      <c r="BR28" s="1034"/>
      <c r="BS28" s="1034"/>
      <c r="BT28" s="1034"/>
      <c r="BU28" s="1034"/>
      <c r="BV28" s="1034"/>
      <c r="BW28" s="1034"/>
      <c r="BX28" s="1034"/>
      <c r="BY28" s="1034"/>
      <c r="BZ28" s="1034"/>
      <c r="CA28" s="1034"/>
      <c r="CB28" s="1034"/>
      <c r="CC28" s="1755"/>
      <c r="CD28" s="1034"/>
    </row>
    <row r="29" spans="1:82">
      <c r="A29" s="1293">
        <f t="shared" si="0"/>
        <v>45101</v>
      </c>
      <c r="B29" s="1297">
        <f t="shared" si="1"/>
        <v>45101</v>
      </c>
      <c r="C29" s="1298">
        <v>0.90972222222222221</v>
      </c>
      <c r="D29" s="1034"/>
      <c r="E29" s="1034"/>
      <c r="F29" s="1034"/>
      <c r="G29" s="1034"/>
      <c r="H29" s="1034"/>
      <c r="I29" s="1034"/>
      <c r="J29" s="1034"/>
      <c r="K29" s="1034"/>
      <c r="L29" s="1034"/>
      <c r="M29" s="1034"/>
      <c r="N29" s="1034"/>
      <c r="O29" s="1034"/>
      <c r="P29" s="1034"/>
      <c r="Q29" s="1034"/>
      <c r="R29" s="1034"/>
      <c r="S29" s="1034"/>
      <c r="T29" s="1034"/>
      <c r="U29" s="1034"/>
      <c r="V29" s="1034"/>
      <c r="W29" s="1034"/>
      <c r="X29" s="1034"/>
      <c r="Y29" s="1034"/>
      <c r="Z29" s="401"/>
      <c r="AA29" s="1034"/>
      <c r="AB29" s="1034"/>
      <c r="AC29" s="1034"/>
      <c r="AD29" s="1034"/>
      <c r="AE29" s="1034"/>
      <c r="AF29" s="1034"/>
      <c r="AG29" s="1034"/>
      <c r="AH29" s="1034"/>
      <c r="AI29" s="1034"/>
      <c r="AJ29" s="1034"/>
      <c r="AK29" s="1034"/>
      <c r="AL29" s="1034"/>
      <c r="AM29" s="1034"/>
      <c r="AN29" s="1034"/>
      <c r="AO29" s="1034"/>
      <c r="AP29" s="1034"/>
      <c r="AQ29" s="1034"/>
      <c r="AR29" s="1034"/>
      <c r="AS29" s="1034"/>
      <c r="AT29" s="1034"/>
      <c r="AU29" s="1034"/>
      <c r="AV29" s="1034"/>
      <c r="AW29" s="1034"/>
      <c r="AX29" s="1034"/>
      <c r="AY29" s="1034"/>
      <c r="AZ29" s="1034"/>
      <c r="BA29" s="1034"/>
      <c r="BB29" s="1034"/>
      <c r="BC29" s="1034"/>
      <c r="BD29" s="1034"/>
      <c r="BE29" s="1034"/>
      <c r="BF29" s="1034"/>
      <c r="BG29" s="1034"/>
      <c r="BH29" s="401"/>
      <c r="BI29" s="1034"/>
      <c r="BJ29" s="1034"/>
      <c r="BK29" s="1034"/>
      <c r="BL29" s="1034"/>
      <c r="BM29" s="1034"/>
      <c r="BN29" s="1034"/>
      <c r="BO29" s="1034"/>
      <c r="BP29" s="1034"/>
      <c r="BQ29" s="1034"/>
      <c r="BR29" s="1034"/>
      <c r="BS29" s="1034"/>
      <c r="BT29" s="1034"/>
      <c r="BU29" s="1034"/>
      <c r="BV29" s="1034"/>
      <c r="BW29" s="1034"/>
      <c r="BX29" s="1034"/>
      <c r="BY29" s="1034"/>
      <c r="BZ29" s="1034"/>
      <c r="CA29" s="1034"/>
      <c r="CB29" s="1034"/>
      <c r="CC29" s="1755"/>
      <c r="CD29" s="1034"/>
    </row>
    <row r="30" spans="1:82">
      <c r="A30" s="1293">
        <f t="shared" si="0"/>
        <v>45102</v>
      </c>
      <c r="B30" s="1297">
        <f t="shared" si="1"/>
        <v>45102</v>
      </c>
      <c r="C30" s="1298">
        <v>0.875</v>
      </c>
      <c r="D30" s="1034"/>
      <c r="E30" s="1034"/>
      <c r="F30" s="1034"/>
      <c r="G30" s="1034"/>
      <c r="H30" s="1034"/>
      <c r="I30" s="1034"/>
      <c r="J30" s="1034"/>
      <c r="K30" s="1034"/>
      <c r="L30" s="1034"/>
      <c r="M30" s="1034"/>
      <c r="N30" s="1034"/>
      <c r="O30" s="1034"/>
      <c r="P30" s="1034"/>
      <c r="Q30" s="1034"/>
      <c r="R30" s="1034"/>
      <c r="S30" s="1034"/>
      <c r="T30" s="1034"/>
      <c r="U30" s="1034"/>
      <c r="V30" s="1034"/>
      <c r="W30" s="1034"/>
      <c r="X30" s="1034"/>
      <c r="Y30" s="1034"/>
      <c r="Z30" s="401"/>
      <c r="AA30" s="1034"/>
      <c r="AB30" s="1034"/>
      <c r="AC30" s="1034"/>
      <c r="AD30" s="1034"/>
      <c r="AE30" s="1034"/>
      <c r="AF30" s="1034"/>
      <c r="AG30" s="1034"/>
      <c r="AH30" s="1034"/>
      <c r="AI30" s="1034"/>
      <c r="AJ30" s="1034"/>
      <c r="AK30" s="1034"/>
      <c r="AL30" s="1034"/>
      <c r="AM30" s="1034"/>
      <c r="AN30" s="1034"/>
      <c r="AO30" s="1034"/>
      <c r="AP30" s="1034"/>
      <c r="AQ30" s="1034"/>
      <c r="AR30" s="1034"/>
      <c r="AS30" s="1034"/>
      <c r="AT30" s="1034"/>
      <c r="AU30" s="1034"/>
      <c r="AV30" s="1034"/>
      <c r="AW30" s="1034"/>
      <c r="AX30" s="1034"/>
      <c r="AY30" s="1034"/>
      <c r="AZ30" s="1034"/>
      <c r="BA30" s="1034"/>
      <c r="BB30" s="1034"/>
      <c r="BC30" s="1034"/>
      <c r="BD30" s="1034"/>
      <c r="BE30" s="1034"/>
      <c r="BF30" s="1034"/>
      <c r="BG30" s="1034"/>
      <c r="BH30" s="401"/>
      <c r="BI30" s="1034"/>
      <c r="BJ30" s="1034"/>
      <c r="BK30" s="1034"/>
      <c r="BL30" s="1034"/>
      <c r="BM30" s="1034"/>
      <c r="BN30" s="1034"/>
      <c r="BO30" s="1034"/>
      <c r="BP30" s="1034"/>
      <c r="BQ30" s="1034"/>
      <c r="BR30" s="1034"/>
      <c r="BS30" s="1034"/>
      <c r="BT30" s="1034"/>
      <c r="BU30" s="1034"/>
      <c r="BV30" s="1034"/>
      <c r="BW30" s="1034"/>
      <c r="BX30" s="1034"/>
      <c r="BY30" s="1034"/>
      <c r="BZ30" s="1034"/>
      <c r="CA30" s="1034"/>
      <c r="CB30" s="1034"/>
      <c r="CC30" s="1755"/>
      <c r="CD30" s="1034"/>
    </row>
    <row r="31" spans="1:82" ht="15" customHeight="1">
      <c r="A31" s="1293">
        <f t="shared" si="0"/>
        <v>45103</v>
      </c>
      <c r="B31" s="1297">
        <f t="shared" si="1"/>
        <v>45103</v>
      </c>
      <c r="C31" s="1298">
        <v>0.85416666666666663</v>
      </c>
      <c r="D31" s="1034"/>
      <c r="E31" s="1034"/>
      <c r="F31" s="1034"/>
      <c r="G31" s="1034"/>
      <c r="H31" s="1034"/>
      <c r="I31" s="1034"/>
      <c r="J31" s="1034"/>
      <c r="K31" s="1034"/>
      <c r="L31" s="1034"/>
      <c r="M31" s="1034"/>
      <c r="N31" s="1034"/>
      <c r="O31" s="1034"/>
      <c r="P31" s="1034"/>
      <c r="Q31" s="1034"/>
      <c r="R31" s="1034"/>
      <c r="S31" s="1034"/>
      <c r="T31" s="1034"/>
      <c r="U31" s="1034"/>
      <c r="V31" s="1034"/>
      <c r="W31" s="1034"/>
      <c r="X31" s="1034"/>
      <c r="Y31" s="1034"/>
      <c r="Z31" s="401"/>
      <c r="AA31" s="1034"/>
      <c r="AB31" s="1034"/>
      <c r="AC31" s="1034"/>
      <c r="AD31" s="1034"/>
      <c r="AE31" s="1034"/>
      <c r="AF31" s="1034"/>
      <c r="AG31" s="1034"/>
      <c r="AH31" s="1034"/>
      <c r="AI31" s="1034"/>
      <c r="AJ31" s="1034"/>
      <c r="AK31" s="1034"/>
      <c r="AL31" s="1034"/>
      <c r="AM31" s="1034"/>
      <c r="AN31" s="1034"/>
      <c r="AO31" s="1034"/>
      <c r="AP31" s="1034"/>
      <c r="AQ31" s="1034"/>
      <c r="AR31" s="1034"/>
      <c r="AS31" s="1034"/>
      <c r="AT31" s="1034"/>
      <c r="AU31" s="1034"/>
      <c r="AV31" s="1034"/>
      <c r="AW31" s="1034"/>
      <c r="AX31" s="1034"/>
      <c r="AY31" s="1034"/>
      <c r="AZ31" s="1034"/>
      <c r="BA31" s="1034"/>
      <c r="BB31" s="1034"/>
      <c r="BC31" s="1034"/>
      <c r="BD31" s="1034"/>
      <c r="BE31" s="1034"/>
      <c r="BF31" s="1034"/>
      <c r="BG31" s="1034"/>
      <c r="BH31" s="401"/>
      <c r="BI31" s="1034"/>
      <c r="BJ31" s="1034"/>
      <c r="BK31" s="1034"/>
      <c r="BL31" s="1034"/>
      <c r="BM31" s="1034"/>
      <c r="BN31" s="1034"/>
      <c r="BO31" s="1034"/>
      <c r="BP31" s="1034"/>
      <c r="BQ31" s="1034"/>
      <c r="BR31" s="1034"/>
      <c r="BS31" s="1034"/>
      <c r="BT31" s="1034"/>
      <c r="BU31" s="1034"/>
      <c r="BV31" s="1034"/>
      <c r="BW31" s="1034"/>
      <c r="BX31" s="1034"/>
      <c r="BY31" s="1034"/>
      <c r="BZ31" s="1034"/>
      <c r="CA31" s="1034"/>
      <c r="CB31" s="1034"/>
      <c r="CC31" s="1755"/>
      <c r="CD31" s="1034"/>
    </row>
    <row r="32" spans="1:82" ht="15" customHeight="1">
      <c r="A32" s="1293">
        <f t="shared" si="0"/>
        <v>45104</v>
      </c>
      <c r="B32" s="1297">
        <f t="shared" si="1"/>
        <v>45104</v>
      </c>
      <c r="C32" s="1298">
        <v>0.89583333333333304</v>
      </c>
      <c r="D32" s="1034"/>
      <c r="E32" s="1034"/>
      <c r="F32" s="1034"/>
      <c r="G32" s="1034"/>
      <c r="H32" s="1034"/>
      <c r="I32" s="1034"/>
      <c r="J32" s="1034"/>
      <c r="K32" s="1034"/>
      <c r="L32" s="1034"/>
      <c r="M32" s="1034"/>
      <c r="N32" s="1034"/>
      <c r="O32" s="1034"/>
      <c r="P32" s="1034"/>
      <c r="Q32" s="1034"/>
      <c r="R32" s="1034"/>
      <c r="S32" s="1034"/>
      <c r="T32" s="1034"/>
      <c r="U32" s="1034"/>
      <c r="V32" s="1034"/>
      <c r="W32" s="1034"/>
      <c r="X32" s="1034"/>
      <c r="Y32" s="1034"/>
      <c r="Z32" s="401"/>
      <c r="AA32" s="1034"/>
      <c r="AB32" s="1034"/>
      <c r="AC32" s="1034"/>
      <c r="AD32" s="1034"/>
      <c r="AE32" s="1034"/>
      <c r="AF32" s="1034"/>
      <c r="AG32" s="1034"/>
      <c r="AH32" s="1034"/>
      <c r="AI32" s="1034"/>
      <c r="AJ32" s="1034"/>
      <c r="AK32" s="1034"/>
      <c r="AL32" s="1034"/>
      <c r="AM32" s="1034"/>
      <c r="AN32" s="1034"/>
      <c r="AO32" s="1034"/>
      <c r="AP32" s="1034"/>
      <c r="AQ32" s="1034"/>
      <c r="AR32" s="1034"/>
      <c r="AS32" s="1034"/>
      <c r="AT32" s="1034"/>
      <c r="AU32" s="1034"/>
      <c r="AV32" s="1034"/>
      <c r="AW32" s="1034"/>
      <c r="AX32" s="1034"/>
      <c r="AY32" s="1034"/>
      <c r="AZ32" s="1034"/>
      <c r="BA32" s="1034"/>
      <c r="BB32" s="1034"/>
      <c r="BC32" s="1034"/>
      <c r="BD32" s="1034"/>
      <c r="BE32" s="1034"/>
      <c r="BF32" s="1034"/>
      <c r="BG32" s="1034"/>
      <c r="BH32" s="401"/>
      <c r="BI32" s="1034"/>
      <c r="BJ32" s="1034"/>
      <c r="BK32" s="1034"/>
      <c r="BL32" s="1034"/>
      <c r="BM32" s="1034"/>
      <c r="BN32" s="1034"/>
      <c r="BO32" s="1034"/>
      <c r="BP32" s="1034"/>
      <c r="BQ32" s="1034"/>
      <c r="BR32" s="1034"/>
      <c r="BS32" s="1034"/>
      <c r="BT32" s="1034"/>
      <c r="BU32" s="1034"/>
      <c r="BV32" s="1034"/>
      <c r="BW32" s="1034"/>
      <c r="BX32" s="1034"/>
      <c r="BY32" s="1034"/>
      <c r="BZ32" s="1034"/>
      <c r="CA32" s="1034"/>
      <c r="CB32" s="1034"/>
      <c r="CC32" s="1755"/>
      <c r="CD32" s="1034"/>
    </row>
    <row r="33" spans="1:82">
      <c r="A33" s="1293">
        <f t="shared" ref="A33:A36" si="2">B33</f>
        <v>45105</v>
      </c>
      <c r="B33" s="1297">
        <f t="shared" si="1"/>
        <v>45105</v>
      </c>
      <c r="C33" s="1298">
        <v>0.92152777777777783</v>
      </c>
      <c r="D33" s="1298"/>
      <c r="E33" s="1034"/>
      <c r="F33" s="1034"/>
      <c r="G33" s="1034"/>
      <c r="H33" s="1034"/>
      <c r="I33" s="1034"/>
      <c r="J33" s="1034"/>
      <c r="K33" s="1034"/>
      <c r="L33" s="1034"/>
      <c r="M33" s="1034"/>
      <c r="N33" s="1034"/>
      <c r="O33" s="1034"/>
      <c r="P33" s="1034"/>
      <c r="Q33" s="1034"/>
      <c r="R33" s="1034"/>
      <c r="S33" s="1034"/>
      <c r="T33" s="1034"/>
      <c r="U33" s="1034"/>
      <c r="V33" s="1034"/>
      <c r="W33" s="1034"/>
      <c r="X33" s="1034"/>
      <c r="Y33" s="1034"/>
      <c r="Z33" s="401"/>
      <c r="AA33" s="1034"/>
      <c r="AB33" s="1034"/>
      <c r="AC33" s="1034"/>
      <c r="AD33" s="1034"/>
      <c r="AE33" s="1034"/>
      <c r="AF33" s="1034"/>
      <c r="AG33" s="1034"/>
      <c r="AH33" s="1034"/>
      <c r="AI33" s="1034"/>
      <c r="AJ33" s="1034"/>
      <c r="AK33" s="1034"/>
      <c r="AL33" s="1034"/>
      <c r="AM33" s="1034"/>
      <c r="AN33" s="1034"/>
      <c r="AO33" s="1034"/>
      <c r="AP33" s="1034"/>
      <c r="AQ33" s="1034"/>
      <c r="AR33" s="1034"/>
      <c r="AS33" s="1034"/>
      <c r="AT33" s="1034"/>
      <c r="AU33" s="1034"/>
      <c r="AV33" s="1034"/>
      <c r="AW33" s="1034"/>
      <c r="AX33" s="1034"/>
      <c r="AY33" s="1034"/>
      <c r="AZ33" s="1034"/>
      <c r="BA33" s="1034"/>
      <c r="BB33" s="1034"/>
      <c r="BC33" s="1034"/>
      <c r="BD33" s="1034"/>
      <c r="BE33" s="1034"/>
      <c r="BF33" s="1034"/>
      <c r="BG33" s="1034"/>
      <c r="BH33" s="401"/>
      <c r="BI33" s="1034"/>
      <c r="BJ33" s="1034"/>
      <c r="BK33" s="1034"/>
      <c r="BL33" s="1034"/>
      <c r="BM33" s="1034"/>
      <c r="BN33" s="1034"/>
      <c r="BO33" s="1034"/>
      <c r="BP33" s="1034"/>
      <c r="BQ33" s="1034"/>
      <c r="BR33" s="1034"/>
      <c r="BS33" s="1034"/>
      <c r="BT33" s="1034"/>
      <c r="BU33" s="1034"/>
      <c r="BV33" s="1034"/>
      <c r="BW33" s="1034"/>
      <c r="BX33" s="1034"/>
      <c r="BY33" s="1034"/>
      <c r="BZ33" s="1034"/>
      <c r="CA33" s="1034"/>
      <c r="CB33" s="1034"/>
      <c r="CC33" s="1755"/>
      <c r="CD33" s="1034"/>
    </row>
    <row r="34" spans="1:82">
      <c r="A34" s="1293">
        <f t="shared" si="2"/>
        <v>45106</v>
      </c>
      <c r="B34" s="1297">
        <f t="shared" si="1"/>
        <v>45106</v>
      </c>
      <c r="C34" s="1298">
        <v>0.89097222222222217</v>
      </c>
      <c r="D34" s="1298"/>
      <c r="E34" s="1034"/>
      <c r="F34" s="1034"/>
      <c r="G34" s="1034"/>
      <c r="H34" s="1034"/>
      <c r="I34" s="1034"/>
      <c r="J34" s="1034"/>
      <c r="K34" s="1034"/>
      <c r="L34" s="1034"/>
      <c r="M34" s="1034"/>
      <c r="N34" s="1034"/>
      <c r="O34" s="1034"/>
      <c r="P34" s="1034"/>
      <c r="Q34" s="1034"/>
      <c r="R34" s="1034"/>
      <c r="S34" s="1034"/>
      <c r="T34" s="1034"/>
      <c r="U34" s="1034"/>
      <c r="V34" s="1034"/>
      <c r="W34" s="1034"/>
      <c r="X34" s="1034"/>
      <c r="Y34" s="1034"/>
      <c r="Z34" s="401"/>
      <c r="AA34" s="1034"/>
      <c r="AB34" s="1034"/>
      <c r="AC34" s="1034"/>
      <c r="AD34" s="1034"/>
      <c r="AE34" s="1034"/>
      <c r="AF34" s="1034"/>
      <c r="AG34" s="1034"/>
      <c r="AH34" s="1034"/>
      <c r="AI34" s="1034"/>
      <c r="AJ34" s="1034"/>
      <c r="AK34" s="1034"/>
      <c r="AL34" s="1034"/>
      <c r="AM34" s="1034"/>
      <c r="AN34" s="1034"/>
      <c r="AO34" s="1034"/>
      <c r="AP34" s="1034"/>
      <c r="AQ34" s="1034"/>
      <c r="AR34" s="1034"/>
      <c r="AS34" s="1034"/>
      <c r="AT34" s="1034"/>
      <c r="AU34" s="1034"/>
      <c r="AV34" s="1034"/>
      <c r="AW34" s="1034"/>
      <c r="AX34" s="1034"/>
      <c r="AY34" s="1034"/>
      <c r="AZ34" s="1034"/>
      <c r="BA34" s="1034"/>
      <c r="BB34" s="1034"/>
      <c r="BC34" s="1034"/>
      <c r="BD34" s="1034"/>
      <c r="BE34" s="1034"/>
      <c r="BF34" s="1034"/>
      <c r="BG34" s="1034"/>
      <c r="BH34" s="401"/>
      <c r="BI34" s="1034"/>
      <c r="BJ34" s="1034"/>
      <c r="BK34" s="1034"/>
      <c r="BL34" s="1034"/>
      <c r="BM34" s="1034"/>
      <c r="BN34" s="1034"/>
      <c r="BO34" s="1034"/>
      <c r="BP34" s="1034"/>
      <c r="BQ34" s="1034"/>
      <c r="BR34" s="1034"/>
      <c r="BS34" s="1034"/>
      <c r="BT34" s="1034"/>
      <c r="BU34" s="1034"/>
      <c r="BV34" s="1034"/>
      <c r="BW34" s="1034"/>
      <c r="BX34" s="1034"/>
      <c r="BY34" s="1034"/>
      <c r="BZ34" s="1034"/>
      <c r="CA34" s="1034"/>
      <c r="CB34" s="1034"/>
      <c r="CC34" s="1755"/>
      <c r="CD34" s="1034"/>
    </row>
    <row r="35" spans="1:82" ht="15" thickBot="1">
      <c r="A35" s="1293">
        <f t="shared" si="2"/>
        <v>45107</v>
      </c>
      <c r="B35" s="1297">
        <f t="shared" si="1"/>
        <v>45107</v>
      </c>
      <c r="C35" s="1298">
        <v>0.80902777777777779</v>
      </c>
      <c r="D35" s="1298"/>
      <c r="E35" s="1034"/>
      <c r="F35" s="1034"/>
      <c r="G35" s="1034"/>
      <c r="H35" s="1034"/>
      <c r="I35" s="1034"/>
      <c r="J35" s="1034"/>
      <c r="K35" s="1034"/>
      <c r="L35" s="1034"/>
      <c r="M35" s="1034"/>
      <c r="N35" s="1034"/>
      <c r="O35" s="1034"/>
      <c r="P35" s="1034"/>
      <c r="Q35" s="1034"/>
      <c r="R35" s="1034"/>
      <c r="S35" s="1034"/>
      <c r="T35" s="1034"/>
      <c r="U35" s="1034"/>
      <c r="V35" s="1034"/>
      <c r="W35" s="1034"/>
      <c r="X35" s="1034"/>
      <c r="Y35" s="1034"/>
      <c r="Z35" s="401"/>
      <c r="AA35" s="1034"/>
      <c r="AB35" s="1034"/>
      <c r="AC35" s="1034"/>
      <c r="AD35" s="1034"/>
      <c r="AE35" s="1034"/>
      <c r="AF35" s="1034"/>
      <c r="AG35" s="1034"/>
      <c r="AH35" s="1034"/>
      <c r="AI35" s="1034"/>
      <c r="AJ35" s="1034"/>
      <c r="AK35" s="1034"/>
      <c r="AL35" s="1034"/>
      <c r="AM35" s="1034"/>
      <c r="AN35" s="1034"/>
      <c r="AO35" s="1034"/>
      <c r="AP35" s="1034"/>
      <c r="AQ35" s="1034"/>
      <c r="AR35" s="1034"/>
      <c r="AS35" s="1034"/>
      <c r="AT35" s="1034"/>
      <c r="AU35" s="1034"/>
      <c r="AV35" s="1034"/>
      <c r="AW35" s="1034"/>
      <c r="AX35" s="1034"/>
      <c r="AY35" s="1034"/>
      <c r="AZ35" s="1034"/>
      <c r="BA35" s="1034"/>
      <c r="BB35" s="1034"/>
      <c r="BC35" s="1034"/>
      <c r="BD35" s="1034"/>
      <c r="BE35" s="1034"/>
      <c r="BF35" s="1034"/>
      <c r="BG35" s="1034"/>
      <c r="BH35" s="401"/>
      <c r="BI35" s="1034"/>
      <c r="BJ35" s="1034"/>
      <c r="BK35" s="1034"/>
      <c r="BL35" s="1034"/>
      <c r="BM35" s="1034"/>
      <c r="BN35" s="1034"/>
      <c r="BO35" s="1034"/>
      <c r="BP35" s="1034"/>
      <c r="BQ35" s="1034"/>
      <c r="BR35" s="1034"/>
      <c r="BS35" s="1034"/>
      <c r="BT35" s="1034"/>
      <c r="BU35" s="1034"/>
      <c r="BV35" s="1034"/>
      <c r="BW35" s="1034"/>
      <c r="BX35" s="1034"/>
      <c r="BY35" s="1034"/>
      <c r="BZ35" s="1034"/>
      <c r="CA35" s="1034"/>
      <c r="CB35" s="1034"/>
      <c r="CC35" s="1755"/>
      <c r="CD35" s="1034"/>
    </row>
    <row r="36" spans="1:82" ht="15" hidden="1" thickBot="1">
      <c r="A36" s="1293">
        <f t="shared" si="2"/>
        <v>45108</v>
      </c>
      <c r="B36" s="1297">
        <f t="shared" si="1"/>
        <v>45108</v>
      </c>
      <c r="C36" s="1298">
        <v>0.89097222222222217</v>
      </c>
      <c r="D36" s="1298"/>
      <c r="E36" s="1034">
        <v>13.7</v>
      </c>
      <c r="F36" s="1034">
        <v>4.9000000000000004</v>
      </c>
      <c r="G36" s="1034">
        <v>1.8</v>
      </c>
      <c r="H36" s="1034">
        <v>2</v>
      </c>
      <c r="I36" s="1034">
        <v>0.3</v>
      </c>
      <c r="J36" s="1034">
        <v>0.7</v>
      </c>
      <c r="K36" s="1034">
        <v>0.2</v>
      </c>
      <c r="L36" s="1034">
        <v>1.4</v>
      </c>
      <c r="M36" s="1034">
        <v>0.1</v>
      </c>
      <c r="N36" s="1034">
        <v>4.9000000000000004</v>
      </c>
      <c r="O36" s="1034">
        <v>59</v>
      </c>
      <c r="P36" s="1034">
        <v>67</v>
      </c>
      <c r="Q36" s="1034">
        <v>84</v>
      </c>
      <c r="R36" s="1034">
        <v>82</v>
      </c>
      <c r="S36" s="1034">
        <v>72</v>
      </c>
      <c r="T36" s="1034">
        <v>0</v>
      </c>
      <c r="U36" s="1034">
        <v>62</v>
      </c>
      <c r="V36" s="1034">
        <v>7.71</v>
      </c>
      <c r="W36" s="1034">
        <v>515</v>
      </c>
      <c r="X36" s="1034">
        <v>320</v>
      </c>
      <c r="Y36" s="1034">
        <v>26</v>
      </c>
      <c r="Z36" s="401">
        <v>60</v>
      </c>
      <c r="AA36" s="1034">
        <v>0.88</v>
      </c>
      <c r="AB36" s="1034">
        <v>41</v>
      </c>
      <c r="AC36" s="1034">
        <v>38</v>
      </c>
      <c r="AD36" s="1034">
        <v>62</v>
      </c>
      <c r="AE36" s="1034">
        <v>25</v>
      </c>
      <c r="AF36" s="1034">
        <v>70</v>
      </c>
      <c r="AG36" s="1034">
        <v>70</v>
      </c>
      <c r="AH36" s="1034">
        <v>72</v>
      </c>
      <c r="AI36" s="1034">
        <v>73</v>
      </c>
      <c r="AJ36" s="1034">
        <v>70</v>
      </c>
      <c r="AK36" s="1034">
        <v>70</v>
      </c>
      <c r="AL36" s="1034">
        <v>13.81</v>
      </c>
      <c r="AM36" s="1034">
        <v>7</v>
      </c>
      <c r="AN36" s="1034">
        <v>4.2</v>
      </c>
      <c r="AO36" s="1034">
        <v>27.08</v>
      </c>
      <c r="AP36" s="1034">
        <v>2.5</v>
      </c>
      <c r="AQ36" s="1034">
        <v>641</v>
      </c>
      <c r="AR36" s="1034">
        <v>13.25</v>
      </c>
      <c r="AS36" s="1034">
        <v>57</v>
      </c>
      <c r="AT36" s="1034">
        <v>57</v>
      </c>
      <c r="AU36" s="1034">
        <v>57</v>
      </c>
      <c r="AV36" s="1034">
        <v>66</v>
      </c>
      <c r="AW36" s="1034">
        <v>83</v>
      </c>
      <c r="AX36" s="1034">
        <v>70</v>
      </c>
      <c r="AY36" s="1034">
        <v>59</v>
      </c>
      <c r="AZ36" s="1034">
        <v>63</v>
      </c>
      <c r="BA36" s="1034">
        <v>62</v>
      </c>
      <c r="BB36" s="1034">
        <v>58</v>
      </c>
      <c r="BC36" s="1034">
        <v>5132</v>
      </c>
      <c r="BD36" s="1034">
        <v>326</v>
      </c>
      <c r="BE36" s="1034">
        <v>313</v>
      </c>
      <c r="BF36" s="1034">
        <v>371</v>
      </c>
      <c r="BG36" s="1034">
        <v>373</v>
      </c>
      <c r="BH36" s="401">
        <v>-2444</v>
      </c>
      <c r="BI36" s="1034">
        <v>312</v>
      </c>
      <c r="BJ36" s="1034">
        <v>338</v>
      </c>
      <c r="BK36" s="1034">
        <v>337</v>
      </c>
      <c r="BL36" s="1034">
        <v>403</v>
      </c>
      <c r="BM36" s="1034">
        <v>415</v>
      </c>
      <c r="BN36" s="1034">
        <v>395</v>
      </c>
      <c r="BO36" s="1034">
        <v>399</v>
      </c>
      <c r="BP36" s="1034">
        <v>400</v>
      </c>
      <c r="BQ36" s="1034">
        <v>399</v>
      </c>
      <c r="BR36" s="1034">
        <v>390</v>
      </c>
      <c r="BS36" s="1034">
        <v>394</v>
      </c>
      <c r="BT36" s="1034">
        <v>399</v>
      </c>
      <c r="BU36" s="1034">
        <v>398</v>
      </c>
      <c r="BV36" s="1034">
        <v>398</v>
      </c>
      <c r="BW36" s="1034">
        <v>392</v>
      </c>
      <c r="BX36" s="1034">
        <v>396</v>
      </c>
      <c r="BY36" s="1034">
        <v>397</v>
      </c>
      <c r="BZ36" s="1034">
        <v>24</v>
      </c>
      <c r="CA36" s="1034">
        <v>49</v>
      </c>
      <c r="CB36" s="1034">
        <v>36</v>
      </c>
      <c r="CC36" s="1755">
        <v>82</v>
      </c>
      <c r="CD36" s="1034">
        <v>43</v>
      </c>
    </row>
    <row r="37" spans="1:82" ht="23.55" customHeight="1" thickBot="1">
      <c r="A37" s="2090"/>
      <c r="B37" s="2097" t="s">
        <v>425</v>
      </c>
      <c r="C37" s="2098"/>
      <c r="D37" s="1662"/>
      <c r="E37" s="1295" t="s">
        <v>426</v>
      </c>
      <c r="F37" s="1295" t="s">
        <v>385</v>
      </c>
      <c r="G37" s="1295" t="s">
        <v>386</v>
      </c>
      <c r="H37" s="1295" t="s">
        <v>387</v>
      </c>
      <c r="I37" s="1295" t="s">
        <v>427</v>
      </c>
      <c r="J37" s="1295" t="s">
        <v>428</v>
      </c>
      <c r="K37" s="1295" t="s">
        <v>429</v>
      </c>
      <c r="L37" s="1295" t="s">
        <v>430</v>
      </c>
      <c r="M37" s="1663" t="s">
        <v>431</v>
      </c>
      <c r="N37" s="1663" t="s">
        <v>432</v>
      </c>
      <c r="O37" s="1663" t="s">
        <v>433</v>
      </c>
      <c r="P37" s="1663" t="s">
        <v>434</v>
      </c>
      <c r="Q37" s="1663" t="s">
        <v>435</v>
      </c>
      <c r="R37" s="1295" t="s">
        <v>435</v>
      </c>
      <c r="S37" s="1295" t="s">
        <v>436</v>
      </c>
      <c r="T37" s="1295" t="s">
        <v>436</v>
      </c>
      <c r="U37" s="1295" t="s">
        <v>437</v>
      </c>
      <c r="V37" s="1295" t="s">
        <v>438</v>
      </c>
      <c r="W37" s="1295" t="s">
        <v>439</v>
      </c>
      <c r="X37" s="1295" t="s">
        <v>440</v>
      </c>
      <c r="Y37" s="1295" t="s">
        <v>441</v>
      </c>
      <c r="Z37" s="1295" t="s">
        <v>442</v>
      </c>
      <c r="AA37" s="1295" t="s">
        <v>443</v>
      </c>
      <c r="AB37" s="1295" t="s">
        <v>444</v>
      </c>
      <c r="AC37" s="1295" t="s">
        <v>444</v>
      </c>
      <c r="AD37" s="1295" t="s">
        <v>445</v>
      </c>
      <c r="AE37" s="1295" t="s">
        <v>446</v>
      </c>
      <c r="AF37" s="1769" t="s">
        <v>447</v>
      </c>
      <c r="AG37" s="1769" t="s">
        <v>447</v>
      </c>
      <c r="AH37" s="1769" t="s">
        <v>447</v>
      </c>
      <c r="AI37" s="1769" t="s">
        <v>447</v>
      </c>
      <c r="AJ37" s="1769" t="s">
        <v>447</v>
      </c>
      <c r="AK37" s="1769" t="s">
        <v>447</v>
      </c>
      <c r="AL37" s="1295" t="s">
        <v>448</v>
      </c>
      <c r="AM37" s="1295" t="s">
        <v>449</v>
      </c>
      <c r="AN37" s="1295" t="s">
        <v>450</v>
      </c>
      <c r="AO37" s="1295" t="s">
        <v>451</v>
      </c>
      <c r="AP37" s="1295" t="s">
        <v>452</v>
      </c>
      <c r="AQ37" s="1295" t="s">
        <v>453</v>
      </c>
      <c r="AR37" s="1295" t="s">
        <v>454</v>
      </c>
      <c r="AS37" s="1663" t="s">
        <v>1518</v>
      </c>
      <c r="AT37" s="1663" t="s">
        <v>1519</v>
      </c>
      <c r="AU37" s="1295" t="s">
        <v>455</v>
      </c>
      <c r="AV37" s="1295" t="s">
        <v>456</v>
      </c>
      <c r="AW37" s="1295" t="s">
        <v>457</v>
      </c>
      <c r="AX37" s="1295" t="s">
        <v>458</v>
      </c>
      <c r="AY37" s="1295" t="s">
        <v>459</v>
      </c>
      <c r="AZ37" s="1295" t="s">
        <v>460</v>
      </c>
      <c r="BA37" s="1663" t="s">
        <v>461</v>
      </c>
      <c r="BB37" s="1295" t="s">
        <v>462</v>
      </c>
      <c r="BC37" s="1295" t="s">
        <v>463</v>
      </c>
      <c r="BD37" s="1295" t="s">
        <v>398</v>
      </c>
      <c r="BE37" s="1295" t="s">
        <v>398</v>
      </c>
      <c r="BF37" s="1295" t="s">
        <v>398</v>
      </c>
      <c r="BG37" s="1295" t="s">
        <v>398</v>
      </c>
      <c r="BH37" s="1295" t="s">
        <v>464</v>
      </c>
      <c r="BI37" s="1295" t="s">
        <v>464</v>
      </c>
      <c r="BJ37" s="1295" t="s">
        <v>464</v>
      </c>
      <c r="BK37" s="1295" t="s">
        <v>464</v>
      </c>
      <c r="BL37" s="1295" t="s">
        <v>465</v>
      </c>
      <c r="BM37" s="1295" t="s">
        <v>466</v>
      </c>
      <c r="BN37" s="1295" t="s">
        <v>467</v>
      </c>
      <c r="BO37" s="1295" t="s">
        <v>468</v>
      </c>
      <c r="BP37" s="1295" t="s">
        <v>469</v>
      </c>
      <c r="BQ37" s="1295" t="s">
        <v>470</v>
      </c>
      <c r="BR37" s="1295" t="s">
        <v>471</v>
      </c>
      <c r="BS37" s="1295" t="s">
        <v>472</v>
      </c>
      <c r="BT37" s="1295" t="s">
        <v>473</v>
      </c>
      <c r="BU37" s="1295" t="s">
        <v>474</v>
      </c>
      <c r="BV37" s="1295" t="s">
        <v>475</v>
      </c>
      <c r="BW37" s="1295" t="s">
        <v>476</v>
      </c>
      <c r="BX37" s="1295" t="s">
        <v>477</v>
      </c>
      <c r="BY37" s="1295" t="s">
        <v>399</v>
      </c>
      <c r="BZ37" s="1295" t="s">
        <v>478</v>
      </c>
      <c r="CA37" s="1295" t="s">
        <v>479</v>
      </c>
      <c r="CB37" s="1295" t="s">
        <v>480</v>
      </c>
      <c r="CC37" s="1295" t="s">
        <v>481</v>
      </c>
      <c r="CD37" s="1295" t="s">
        <v>1387</v>
      </c>
    </row>
    <row r="38" spans="1:82" ht="15" thickBot="1">
      <c r="A38" s="2091"/>
      <c r="B38" s="2099"/>
      <c r="C38" s="2100"/>
      <c r="D38" s="1664" t="s">
        <v>406</v>
      </c>
      <c r="E38" s="1667" t="s">
        <v>402</v>
      </c>
      <c r="F38" s="1668" t="s">
        <v>405</v>
      </c>
      <c r="G38" s="1667" t="s">
        <v>406</v>
      </c>
      <c r="H38" s="1667" t="s">
        <v>406</v>
      </c>
      <c r="I38" s="1668" t="s">
        <v>482</v>
      </c>
      <c r="J38" s="1667" t="s">
        <v>483</v>
      </c>
      <c r="K38" s="1668" t="s">
        <v>484</v>
      </c>
      <c r="L38" s="1667" t="s">
        <v>484</v>
      </c>
      <c r="M38" s="1667" t="s">
        <v>485</v>
      </c>
      <c r="N38" s="1667" t="s">
        <v>486</v>
      </c>
      <c r="O38" s="1667" t="s">
        <v>487</v>
      </c>
      <c r="P38" s="1667" t="s">
        <v>488</v>
      </c>
      <c r="Q38" s="1667" t="s">
        <v>489</v>
      </c>
      <c r="R38" s="1667" t="s">
        <v>490</v>
      </c>
      <c r="S38" s="1667" t="s">
        <v>491</v>
      </c>
      <c r="T38" s="1667" t="s">
        <v>492</v>
      </c>
      <c r="U38" s="1667" t="s">
        <v>493</v>
      </c>
      <c r="V38" s="1667" t="s">
        <v>407</v>
      </c>
      <c r="W38" s="1667" t="s">
        <v>494</v>
      </c>
      <c r="X38" s="1667" t="s">
        <v>408</v>
      </c>
      <c r="Y38" s="1667" t="s">
        <v>495</v>
      </c>
      <c r="Z38" s="1667" t="s">
        <v>403</v>
      </c>
      <c r="AA38" s="1667" t="s">
        <v>404</v>
      </c>
      <c r="AB38" s="1667" t="s">
        <v>496</v>
      </c>
      <c r="AC38" s="1667" t="s">
        <v>497</v>
      </c>
      <c r="AD38" s="1667" t="s">
        <v>498</v>
      </c>
      <c r="AE38" s="1667" t="s">
        <v>499</v>
      </c>
      <c r="AF38" s="1667" t="s">
        <v>500</v>
      </c>
      <c r="AG38" s="1667" t="s">
        <v>501</v>
      </c>
      <c r="AH38" s="1667" t="s">
        <v>502</v>
      </c>
      <c r="AI38" s="1669" t="s">
        <v>503</v>
      </c>
      <c r="AJ38" s="1667" t="s">
        <v>504</v>
      </c>
      <c r="AK38" s="1667" t="s">
        <v>505</v>
      </c>
      <c r="AL38" s="1667" t="s">
        <v>506</v>
      </c>
      <c r="AM38" s="1667" t="s">
        <v>506</v>
      </c>
      <c r="AN38" s="1667" t="s">
        <v>405</v>
      </c>
      <c r="AO38" s="1667" t="s">
        <v>507</v>
      </c>
      <c r="AP38" s="1667" t="s">
        <v>507</v>
      </c>
      <c r="AQ38" s="1667" t="s">
        <v>506</v>
      </c>
      <c r="AR38" s="1668" t="s">
        <v>508</v>
      </c>
      <c r="AS38" s="1667" t="s">
        <v>1516</v>
      </c>
      <c r="AT38" s="1667" t="s">
        <v>1517</v>
      </c>
      <c r="AU38" s="1667" t="s">
        <v>1386</v>
      </c>
      <c r="AV38" s="1667" t="s">
        <v>509</v>
      </c>
      <c r="AW38" s="1667" t="s">
        <v>510</v>
      </c>
      <c r="AX38" s="1667" t="s">
        <v>511</v>
      </c>
      <c r="AY38" s="1667" t="s">
        <v>512</v>
      </c>
      <c r="AZ38" s="1667" t="s">
        <v>513</v>
      </c>
      <c r="BA38" s="1667" t="s">
        <v>514</v>
      </c>
      <c r="BB38" s="1667" t="s">
        <v>409</v>
      </c>
      <c r="BC38" s="1667" t="s">
        <v>406</v>
      </c>
      <c r="BD38" s="1667" t="s">
        <v>411</v>
      </c>
      <c r="BE38" s="1667" t="s">
        <v>412</v>
      </c>
      <c r="BF38" s="1667" t="s">
        <v>413</v>
      </c>
      <c r="BG38" s="1667" t="s">
        <v>414</v>
      </c>
      <c r="BH38" s="1667" t="s">
        <v>515</v>
      </c>
      <c r="BI38" s="1667" t="s">
        <v>516</v>
      </c>
      <c r="BJ38" s="1667" t="s">
        <v>517</v>
      </c>
      <c r="BK38" s="1667" t="s">
        <v>518</v>
      </c>
      <c r="BL38" s="1667" t="s">
        <v>519</v>
      </c>
      <c r="BM38" s="1667" t="s">
        <v>520</v>
      </c>
      <c r="BN38" s="1667" t="s">
        <v>521</v>
      </c>
      <c r="BO38" s="1667" t="s">
        <v>522</v>
      </c>
      <c r="BP38" s="1667" t="s">
        <v>523</v>
      </c>
      <c r="BQ38" s="1667" t="s">
        <v>524</v>
      </c>
      <c r="BR38" s="1667" t="s">
        <v>525</v>
      </c>
      <c r="BS38" s="1667" t="s">
        <v>526</v>
      </c>
      <c r="BT38" s="1667" t="s">
        <v>527</v>
      </c>
      <c r="BU38" s="1667" t="s">
        <v>528</v>
      </c>
      <c r="BV38" s="1667" t="s">
        <v>529</v>
      </c>
      <c r="BW38" s="1667" t="s">
        <v>530</v>
      </c>
      <c r="BX38" s="1667" t="s">
        <v>531</v>
      </c>
      <c r="BY38" s="1667" t="s">
        <v>415</v>
      </c>
      <c r="BZ38" s="1667" t="s">
        <v>532</v>
      </c>
      <c r="CA38" s="1667" t="s">
        <v>533</v>
      </c>
      <c r="CB38" s="1667" t="s">
        <v>534</v>
      </c>
      <c r="CC38" s="1667" t="s">
        <v>535</v>
      </c>
      <c r="CD38" s="1667" t="s">
        <v>1388</v>
      </c>
    </row>
    <row r="39" spans="1:82" ht="15" thickBot="1">
      <c r="A39" s="2091"/>
      <c r="B39" s="2101" t="s">
        <v>400</v>
      </c>
      <c r="C39" s="2103" t="s">
        <v>401</v>
      </c>
      <c r="D39" s="1665" t="s">
        <v>536</v>
      </c>
      <c r="E39" s="1667" t="s">
        <v>416</v>
      </c>
      <c r="F39" s="1667" t="s">
        <v>421</v>
      </c>
      <c r="G39" s="1667" t="s">
        <v>421</v>
      </c>
      <c r="H39" s="1667" t="s">
        <v>421</v>
      </c>
      <c r="I39" s="1667" t="s">
        <v>421</v>
      </c>
      <c r="J39" s="1667" t="s">
        <v>421</v>
      </c>
      <c r="K39" s="1667" t="s">
        <v>421</v>
      </c>
      <c r="L39" s="1667" t="s">
        <v>421</v>
      </c>
      <c r="M39" s="1667" t="s">
        <v>421</v>
      </c>
      <c r="N39" s="1667" t="s">
        <v>421</v>
      </c>
      <c r="O39" s="1667" t="s">
        <v>423</v>
      </c>
      <c r="P39" s="1667">
        <v>69</v>
      </c>
      <c r="Q39" s="1667">
        <v>69</v>
      </c>
      <c r="R39" s="1667">
        <v>69</v>
      </c>
      <c r="S39" s="1667">
        <v>69</v>
      </c>
      <c r="T39" s="1667">
        <v>69</v>
      </c>
      <c r="U39" s="1667" t="s">
        <v>423</v>
      </c>
      <c r="V39" s="1667" t="s">
        <v>422</v>
      </c>
      <c r="W39" s="1667" t="s">
        <v>537</v>
      </c>
      <c r="X39" s="1667" t="s">
        <v>423</v>
      </c>
      <c r="Y39" s="1667" t="s">
        <v>423</v>
      </c>
      <c r="Z39" s="1667" t="s">
        <v>419</v>
      </c>
      <c r="AA39" s="1667" t="s">
        <v>420</v>
      </c>
      <c r="AB39" s="1667" t="s">
        <v>423</v>
      </c>
      <c r="AC39" s="1667" t="s">
        <v>423</v>
      </c>
      <c r="AD39" s="1667" t="s">
        <v>423</v>
      </c>
      <c r="AE39" s="1667" t="s">
        <v>423</v>
      </c>
      <c r="AF39" s="1667" t="s">
        <v>423</v>
      </c>
      <c r="AG39" s="1667" t="s">
        <v>423</v>
      </c>
      <c r="AH39" s="1667" t="s">
        <v>423</v>
      </c>
      <c r="AI39" s="1669" t="s">
        <v>423</v>
      </c>
      <c r="AJ39" s="1667" t="s">
        <v>423</v>
      </c>
      <c r="AK39" s="1667" t="s">
        <v>423</v>
      </c>
      <c r="AL39" s="1667" t="s">
        <v>418</v>
      </c>
      <c r="AM39" s="1667" t="s">
        <v>417</v>
      </c>
      <c r="AN39" s="1667" t="s">
        <v>421</v>
      </c>
      <c r="AO39" s="1667" t="s">
        <v>538</v>
      </c>
      <c r="AP39" s="1667" t="s">
        <v>539</v>
      </c>
      <c r="AQ39" s="1667" t="s">
        <v>539</v>
      </c>
      <c r="AR39" s="1667" t="s">
        <v>422</v>
      </c>
      <c r="AS39" s="1667" t="s">
        <v>131</v>
      </c>
      <c r="AT39" s="1667" t="s">
        <v>131</v>
      </c>
      <c r="AU39" s="1667"/>
      <c r="AV39" s="1667" t="s">
        <v>423</v>
      </c>
      <c r="AW39" s="1667" t="s">
        <v>423</v>
      </c>
      <c r="AX39" s="1667" t="s">
        <v>423</v>
      </c>
      <c r="AY39" s="1667" t="s">
        <v>423</v>
      </c>
      <c r="AZ39" s="1667" t="s">
        <v>423</v>
      </c>
      <c r="BA39" s="1667" t="s">
        <v>423</v>
      </c>
      <c r="BB39" s="1667" t="s">
        <v>423</v>
      </c>
      <c r="BC39" s="1667" t="s">
        <v>540</v>
      </c>
      <c r="BD39" s="1667" t="s">
        <v>423</v>
      </c>
      <c r="BE39" s="1667" t="s">
        <v>423</v>
      </c>
      <c r="BF39" s="1667" t="s">
        <v>423</v>
      </c>
      <c r="BG39" s="1667" t="s">
        <v>423</v>
      </c>
      <c r="BH39" s="1667" t="s">
        <v>423</v>
      </c>
      <c r="BI39" s="1667" t="s">
        <v>423</v>
      </c>
      <c r="BJ39" s="1667" t="s">
        <v>423</v>
      </c>
      <c r="BK39" s="1667" t="s">
        <v>423</v>
      </c>
      <c r="BL39" s="1667" t="s">
        <v>423</v>
      </c>
      <c r="BM39" s="1667" t="s">
        <v>423</v>
      </c>
      <c r="BN39" s="1667" t="s">
        <v>423</v>
      </c>
      <c r="BO39" s="1667" t="s">
        <v>423</v>
      </c>
      <c r="BP39" s="1667" t="s">
        <v>423</v>
      </c>
      <c r="BQ39" s="1667" t="s">
        <v>423</v>
      </c>
      <c r="BR39" s="1667" t="s">
        <v>423</v>
      </c>
      <c r="BS39" s="1667" t="s">
        <v>423</v>
      </c>
      <c r="BT39" s="1667" t="s">
        <v>423</v>
      </c>
      <c r="BU39" s="1667" t="s">
        <v>423</v>
      </c>
      <c r="BV39" s="1667" t="s">
        <v>423</v>
      </c>
      <c r="BW39" s="1667" t="s">
        <v>423</v>
      </c>
      <c r="BX39" s="1667" t="s">
        <v>423</v>
      </c>
      <c r="BY39" s="1667" t="s">
        <v>423</v>
      </c>
      <c r="BZ39" s="1667" t="s">
        <v>423</v>
      </c>
      <c r="CA39" s="1667" t="s">
        <v>423</v>
      </c>
      <c r="CB39" s="1667" t="s">
        <v>423</v>
      </c>
      <c r="CC39" s="1667" t="s">
        <v>541</v>
      </c>
      <c r="CD39" s="1667" t="s">
        <v>131</v>
      </c>
    </row>
    <row r="40" spans="1:82" ht="38.25" customHeight="1" thickBot="1">
      <c r="A40" s="2092"/>
      <c r="B40" s="2102"/>
      <c r="C40" s="2104"/>
      <c r="D40" s="1666" t="s">
        <v>542</v>
      </c>
      <c r="E40" s="1670" t="s">
        <v>563</v>
      </c>
      <c r="F40" s="1671" t="s">
        <v>564</v>
      </c>
      <c r="G40" s="1671" t="s">
        <v>565</v>
      </c>
      <c r="H40" s="1671" t="s">
        <v>566</v>
      </c>
      <c r="I40" s="1671" t="s">
        <v>567</v>
      </c>
      <c r="J40" s="1671" t="s">
        <v>568</v>
      </c>
      <c r="K40" s="1671" t="s">
        <v>569</v>
      </c>
      <c r="L40" s="1671" t="s">
        <v>570</v>
      </c>
      <c r="M40" s="1671" t="s">
        <v>571</v>
      </c>
      <c r="N40" s="1671" t="s">
        <v>1168</v>
      </c>
      <c r="O40" s="1671" t="s">
        <v>543</v>
      </c>
      <c r="P40" s="1671">
        <v>69</v>
      </c>
      <c r="Q40" s="1671">
        <v>69</v>
      </c>
      <c r="R40" s="1671">
        <v>69</v>
      </c>
      <c r="S40" s="1671">
        <v>69</v>
      </c>
      <c r="T40" s="1671">
        <v>69</v>
      </c>
      <c r="U40" s="1671" t="s">
        <v>549</v>
      </c>
      <c r="V40" s="1671" t="s">
        <v>572</v>
      </c>
      <c r="W40" s="1672" t="s">
        <v>550</v>
      </c>
      <c r="X40" s="1671"/>
      <c r="Y40" s="1672">
        <v>35</v>
      </c>
      <c r="Z40" s="1671" t="s">
        <v>573</v>
      </c>
      <c r="AA40" s="1671" t="s">
        <v>574</v>
      </c>
      <c r="AB40" s="1671"/>
      <c r="AC40" s="1671"/>
      <c r="AD40" s="1671"/>
      <c r="AE40" s="1671"/>
      <c r="AF40" s="1671" t="s">
        <v>551</v>
      </c>
      <c r="AG40" s="1671" t="s">
        <v>552</v>
      </c>
      <c r="AH40" s="1671" t="s">
        <v>553</v>
      </c>
      <c r="AI40" s="1673" t="s">
        <v>554</v>
      </c>
      <c r="AJ40" s="1671" t="s">
        <v>555</v>
      </c>
      <c r="AK40" s="1671" t="s">
        <v>556</v>
      </c>
      <c r="AL40" s="1671" t="s">
        <v>575</v>
      </c>
      <c r="AM40" s="1674"/>
      <c r="AN40" s="1671" t="s">
        <v>564</v>
      </c>
      <c r="AO40" s="1674"/>
      <c r="AP40" s="1674"/>
      <c r="AQ40" s="1674"/>
      <c r="AR40" s="1674"/>
      <c r="AS40" s="1674"/>
      <c r="AT40" s="1674"/>
      <c r="AU40" s="1671" t="s">
        <v>557</v>
      </c>
      <c r="AV40" s="1671" t="s">
        <v>558</v>
      </c>
      <c r="AW40" s="1671" t="s">
        <v>559</v>
      </c>
      <c r="AX40" s="1671" t="s">
        <v>558</v>
      </c>
      <c r="AY40" s="1671" t="s">
        <v>558</v>
      </c>
      <c r="AZ40" s="1671" t="s">
        <v>558</v>
      </c>
      <c r="BA40" s="1671" t="s">
        <v>560</v>
      </c>
      <c r="BB40" s="1671" t="s">
        <v>561</v>
      </c>
      <c r="BC40" s="1671" t="s">
        <v>557</v>
      </c>
      <c r="BD40" s="1674"/>
      <c r="BE40" s="1674"/>
      <c r="BF40" s="1674"/>
      <c r="BG40" s="1674"/>
      <c r="BH40" s="1674"/>
      <c r="BI40" s="1674"/>
      <c r="BJ40" s="1674"/>
      <c r="BK40" s="1674"/>
      <c r="BL40" s="1674"/>
      <c r="BM40" s="1674"/>
      <c r="BN40" s="1674"/>
      <c r="BO40" s="1674"/>
      <c r="BP40" s="1674"/>
      <c r="BQ40" s="1674"/>
      <c r="BR40" s="1674"/>
      <c r="BS40" s="1674"/>
      <c r="BT40" s="1674"/>
      <c r="BU40" s="1674"/>
      <c r="BV40" s="1674"/>
      <c r="BW40" s="1674"/>
      <c r="BX40" s="1674"/>
      <c r="BY40" s="1674"/>
      <c r="BZ40" s="1674"/>
      <c r="CA40" s="1674"/>
      <c r="CB40" s="1674"/>
      <c r="CC40" s="1674"/>
      <c r="CD40" s="1667"/>
    </row>
    <row r="41" spans="1:82">
      <c r="A41" s="1293">
        <f>B41</f>
        <v>45078</v>
      </c>
      <c r="B41" s="1297">
        <f t="shared" ref="B41:B71" si="3">B6</f>
        <v>45078</v>
      </c>
      <c r="C41" s="1298">
        <v>0.93819444444444444</v>
      </c>
      <c r="D41" s="989"/>
      <c r="E41" s="1034">
        <v>6.2</v>
      </c>
      <c r="F41" s="1034">
        <v>3.3</v>
      </c>
      <c r="G41" s="1034">
        <v>1.3</v>
      </c>
      <c r="H41" s="1034">
        <v>1.4</v>
      </c>
      <c r="I41" s="1034">
        <v>0.7</v>
      </c>
      <c r="J41" s="1034">
        <v>0.2</v>
      </c>
      <c r="K41" s="1034">
        <v>0.6</v>
      </c>
      <c r="L41" s="1034">
        <v>1.1000000000000001</v>
      </c>
      <c r="M41" s="1034">
        <v>1</v>
      </c>
      <c r="N41" s="1034">
        <v>3.3</v>
      </c>
      <c r="O41" s="1034">
        <v>75</v>
      </c>
      <c r="P41" s="1034">
        <v>68</v>
      </c>
      <c r="Q41" s="1034">
        <v>80</v>
      </c>
      <c r="R41" s="1034">
        <v>78</v>
      </c>
      <c r="S41" s="1034">
        <v>73</v>
      </c>
      <c r="T41" s="1034">
        <v>70</v>
      </c>
      <c r="U41" s="1034">
        <v>55</v>
      </c>
      <c r="V41" s="1034">
        <v>5.71</v>
      </c>
      <c r="W41" s="1034">
        <v>537</v>
      </c>
      <c r="X41" s="1034">
        <v>278</v>
      </c>
      <c r="Y41" s="1034">
        <v>23</v>
      </c>
      <c r="Z41" s="1034">
        <v>60</v>
      </c>
      <c r="AA41" s="1034">
        <v>0.88</v>
      </c>
      <c r="AB41" s="1034">
        <v>38</v>
      </c>
      <c r="AC41" s="1034">
        <v>38</v>
      </c>
      <c r="AD41" s="1034">
        <v>53</v>
      </c>
      <c r="AE41" s="1034">
        <v>24</v>
      </c>
      <c r="AF41" s="1034">
        <v>62</v>
      </c>
      <c r="AG41" s="1034">
        <v>61</v>
      </c>
      <c r="AH41" s="1034">
        <v>61</v>
      </c>
      <c r="AI41" s="1034">
        <v>61</v>
      </c>
      <c r="AJ41" s="1034">
        <v>60</v>
      </c>
      <c r="AK41" s="1034">
        <v>61</v>
      </c>
      <c r="AL41" s="1034">
        <v>13.8</v>
      </c>
      <c r="AM41" s="1034">
        <v>3.4</v>
      </c>
      <c r="AN41" s="1034">
        <v>3</v>
      </c>
      <c r="AO41" s="1034">
        <v>20.13</v>
      </c>
      <c r="AP41" s="1034">
        <v>1.9</v>
      </c>
      <c r="AQ41" s="1034">
        <v>292</v>
      </c>
      <c r="AR41" s="1034">
        <v>13.29</v>
      </c>
      <c r="AS41" s="1034">
        <v>38</v>
      </c>
      <c r="AT41" s="1034">
        <v>38</v>
      </c>
      <c r="AU41" s="1034">
        <v>37</v>
      </c>
      <c r="AV41" s="1034">
        <v>62</v>
      </c>
      <c r="AW41" s="1034">
        <v>66</v>
      </c>
      <c r="AX41" s="1034">
        <v>65</v>
      </c>
      <c r="AY41" s="1034">
        <v>60</v>
      </c>
      <c r="AZ41" s="1034">
        <v>58</v>
      </c>
      <c r="BA41" s="1034">
        <v>56</v>
      </c>
      <c r="BB41" s="1034">
        <v>56</v>
      </c>
      <c r="BC41" s="1034">
        <v>5131</v>
      </c>
      <c r="BD41" s="1034">
        <v>297</v>
      </c>
      <c r="BE41" s="1034">
        <v>277</v>
      </c>
      <c r="BF41" s="1034">
        <v>326</v>
      </c>
      <c r="BG41" s="1034">
        <v>331</v>
      </c>
      <c r="BH41" s="1034">
        <v>-2446</v>
      </c>
      <c r="BI41" s="1034">
        <v>291</v>
      </c>
      <c r="BJ41" s="1034">
        <v>295</v>
      </c>
      <c r="BK41" s="1034">
        <v>294</v>
      </c>
      <c r="BL41" s="1034">
        <v>359</v>
      </c>
      <c r="BM41" s="1034">
        <v>359</v>
      </c>
      <c r="BN41" s="1034">
        <v>356</v>
      </c>
      <c r="BO41" s="1034">
        <v>356</v>
      </c>
      <c r="BP41" s="1034">
        <v>361</v>
      </c>
      <c r="BQ41" s="1034">
        <v>362</v>
      </c>
      <c r="BR41" s="1034">
        <v>360</v>
      </c>
      <c r="BS41" s="1034">
        <v>362</v>
      </c>
      <c r="BT41" s="1034">
        <v>360</v>
      </c>
      <c r="BU41" s="1034">
        <v>358</v>
      </c>
      <c r="BV41" s="1034">
        <v>359</v>
      </c>
      <c r="BW41" s="1034">
        <v>359</v>
      </c>
      <c r="BX41" s="1034">
        <v>356</v>
      </c>
      <c r="BY41" s="1034">
        <v>359</v>
      </c>
      <c r="BZ41" s="1034">
        <v>19</v>
      </c>
      <c r="CA41" s="1034">
        <v>48</v>
      </c>
      <c r="CB41" s="1034">
        <v>35</v>
      </c>
      <c r="CC41" s="1755">
        <v>57</v>
      </c>
      <c r="CD41" s="1034">
        <v>28</v>
      </c>
    </row>
    <row r="42" spans="1:82">
      <c r="A42" s="1293">
        <f t="shared" ref="A42:A68" si="4">B42</f>
        <v>45079</v>
      </c>
      <c r="B42" s="1297">
        <f t="shared" si="3"/>
        <v>45079</v>
      </c>
      <c r="C42" s="1298">
        <v>0.89583333333333337</v>
      </c>
      <c r="E42" s="1034">
        <v>6.2</v>
      </c>
      <c r="F42" s="1034">
        <v>3.3</v>
      </c>
      <c r="G42" s="1034">
        <v>1.3</v>
      </c>
      <c r="H42" s="1034">
        <v>1.3</v>
      </c>
      <c r="I42" s="1034">
        <v>0.7</v>
      </c>
      <c r="J42" s="1034">
        <v>0.2</v>
      </c>
      <c r="K42" s="1034">
        <v>0.7</v>
      </c>
      <c r="L42" s="1034">
        <v>1.1000000000000001</v>
      </c>
      <c r="M42" s="1034">
        <v>1.1000000000000001</v>
      </c>
      <c r="N42" s="1034">
        <v>3.3</v>
      </c>
      <c r="O42" s="1034">
        <v>76</v>
      </c>
      <c r="P42" s="1034">
        <v>71</v>
      </c>
      <c r="Q42" s="1034">
        <v>82</v>
      </c>
      <c r="R42" s="1034">
        <v>80</v>
      </c>
      <c r="S42" s="1034">
        <v>74</v>
      </c>
      <c r="T42" s="1034">
        <v>71</v>
      </c>
      <c r="U42" s="1034">
        <v>58</v>
      </c>
      <c r="V42" s="1034">
        <v>5.65</v>
      </c>
      <c r="W42" s="1034">
        <v>537</v>
      </c>
      <c r="X42" s="1034">
        <v>283</v>
      </c>
      <c r="Y42" s="1034">
        <v>27</v>
      </c>
      <c r="Z42" s="1034">
        <v>60</v>
      </c>
      <c r="AA42" s="1034">
        <v>0.88</v>
      </c>
      <c r="AB42" s="1034">
        <v>44</v>
      </c>
      <c r="AC42" s="1034">
        <v>44</v>
      </c>
      <c r="AD42" s="1034">
        <v>58</v>
      </c>
      <c r="AE42" s="1034">
        <v>30</v>
      </c>
      <c r="AF42" s="1034">
        <v>66</v>
      </c>
      <c r="AG42" s="1034">
        <v>66</v>
      </c>
      <c r="AH42" s="1034">
        <v>66</v>
      </c>
      <c r="AI42" s="1034">
        <v>66</v>
      </c>
      <c r="AJ42" s="1034">
        <v>65</v>
      </c>
      <c r="AK42" s="1034">
        <v>65</v>
      </c>
      <c r="AL42" s="1034">
        <v>13.81</v>
      </c>
      <c r="AM42" s="1034">
        <v>3.5</v>
      </c>
      <c r="AN42" s="1034">
        <v>3</v>
      </c>
      <c r="AO42" s="1034">
        <v>20.86</v>
      </c>
      <c r="AP42" s="1034">
        <v>1.9</v>
      </c>
      <c r="AQ42" s="1034">
        <v>296</v>
      </c>
      <c r="AR42" s="1034">
        <v>13.39</v>
      </c>
      <c r="AS42" s="1034">
        <v>39</v>
      </c>
      <c r="AT42" s="1034">
        <v>38</v>
      </c>
      <c r="AU42" s="1034">
        <v>37</v>
      </c>
      <c r="AV42" s="1034">
        <v>64</v>
      </c>
      <c r="AW42" s="1034">
        <v>69</v>
      </c>
      <c r="AX42" s="1034">
        <v>68</v>
      </c>
      <c r="AY42" s="1034">
        <v>62</v>
      </c>
      <c r="AZ42" s="1034">
        <v>61</v>
      </c>
      <c r="BA42" s="1034">
        <v>58</v>
      </c>
      <c r="BB42" s="1034">
        <v>58</v>
      </c>
      <c r="BC42" s="1034">
        <v>5132</v>
      </c>
      <c r="BD42" s="1034">
        <v>302</v>
      </c>
      <c r="BE42" s="1034">
        <v>282</v>
      </c>
      <c r="BF42" s="1034">
        <v>330</v>
      </c>
      <c r="BG42" s="1034">
        <v>335</v>
      </c>
      <c r="BH42" s="1034">
        <v>-2446</v>
      </c>
      <c r="BI42" s="1034">
        <v>295</v>
      </c>
      <c r="BJ42" s="1034">
        <v>300</v>
      </c>
      <c r="BK42" s="1034">
        <v>299</v>
      </c>
      <c r="BL42" s="1034">
        <v>366</v>
      </c>
      <c r="BM42" s="1034">
        <v>363</v>
      </c>
      <c r="BN42" s="1034">
        <v>363</v>
      </c>
      <c r="BO42" s="1034">
        <v>348</v>
      </c>
      <c r="BP42" s="1034">
        <v>368</v>
      </c>
      <c r="BQ42" s="1034">
        <v>368</v>
      </c>
      <c r="BR42" s="1034">
        <v>368</v>
      </c>
      <c r="BS42" s="1034">
        <v>369</v>
      </c>
      <c r="BT42" s="1034">
        <v>367</v>
      </c>
      <c r="BU42" s="1034">
        <v>365</v>
      </c>
      <c r="BV42" s="1034">
        <v>366</v>
      </c>
      <c r="BW42" s="1034">
        <v>366</v>
      </c>
      <c r="BX42" s="1034">
        <v>363</v>
      </c>
      <c r="BY42" s="1034">
        <v>366</v>
      </c>
      <c r="BZ42" s="1034">
        <v>21</v>
      </c>
      <c r="CA42" s="1034">
        <v>48</v>
      </c>
      <c r="CB42" s="1034">
        <v>41</v>
      </c>
      <c r="CC42" s="1755">
        <v>57</v>
      </c>
      <c r="CD42" s="1034">
        <v>28</v>
      </c>
    </row>
    <row r="43" spans="1:82">
      <c r="A43" s="1293">
        <f t="shared" si="4"/>
        <v>45080</v>
      </c>
      <c r="B43" s="1297">
        <f t="shared" si="3"/>
        <v>45080</v>
      </c>
      <c r="C43" s="1298">
        <v>0.9375</v>
      </c>
      <c r="D43" s="1034"/>
      <c r="E43" s="1034">
        <v>6.2</v>
      </c>
      <c r="F43" s="1034">
        <v>3.2</v>
      </c>
      <c r="G43" s="1034">
        <v>1.5</v>
      </c>
      <c r="H43" s="1034">
        <v>1.4</v>
      </c>
      <c r="I43" s="1034">
        <v>0.6</v>
      </c>
      <c r="J43" s="1034">
        <v>0.2</v>
      </c>
      <c r="K43" s="1034">
        <v>0.7</v>
      </c>
      <c r="L43" s="1034">
        <v>1.1000000000000001</v>
      </c>
      <c r="M43" s="1034">
        <v>1.1000000000000001</v>
      </c>
      <c r="N43" s="1034">
        <v>3.2</v>
      </c>
      <c r="O43" s="1034">
        <v>76</v>
      </c>
      <c r="P43" s="1034">
        <v>70</v>
      </c>
      <c r="Q43" s="1034">
        <v>81</v>
      </c>
      <c r="R43" s="1034">
        <v>79</v>
      </c>
      <c r="S43" s="1034">
        <v>74</v>
      </c>
      <c r="T43" s="1034">
        <v>70</v>
      </c>
      <c r="U43" s="1034">
        <v>57</v>
      </c>
      <c r="V43" s="1034">
        <v>5.69</v>
      </c>
      <c r="W43" s="1034">
        <v>537</v>
      </c>
      <c r="X43" s="1034">
        <v>280</v>
      </c>
      <c r="Y43" s="1034">
        <v>24</v>
      </c>
      <c r="Z43" s="1034">
        <v>60</v>
      </c>
      <c r="AA43" s="1034">
        <v>0.88</v>
      </c>
      <c r="AB43" s="1034">
        <v>39</v>
      </c>
      <c r="AC43" s="1034">
        <v>39</v>
      </c>
      <c r="AD43" s="1034">
        <v>54</v>
      </c>
      <c r="AE43" s="1034">
        <v>24</v>
      </c>
      <c r="AF43" s="1034">
        <v>63</v>
      </c>
      <c r="AG43" s="1034">
        <v>62</v>
      </c>
      <c r="AH43" s="1034">
        <v>62</v>
      </c>
      <c r="AI43" s="1034">
        <v>62</v>
      </c>
      <c r="AJ43" s="1034">
        <v>61</v>
      </c>
      <c r="AK43" s="1034">
        <v>62</v>
      </c>
      <c r="AL43" s="1034">
        <v>13.81</v>
      </c>
      <c r="AM43" s="1034">
        <v>3.2</v>
      </c>
      <c r="AN43" s="1034">
        <v>2.9</v>
      </c>
      <c r="AO43" s="1034">
        <v>20.010000000000002</v>
      </c>
      <c r="AP43" s="1034">
        <v>1.9</v>
      </c>
      <c r="AQ43" s="1034">
        <v>289</v>
      </c>
      <c r="AR43" s="1034">
        <v>13.33</v>
      </c>
      <c r="AS43" s="1034">
        <v>39</v>
      </c>
      <c r="AT43" s="1034">
        <v>38</v>
      </c>
      <c r="AU43" s="1034">
        <v>37</v>
      </c>
      <c r="AV43" s="1034">
        <v>63</v>
      </c>
      <c r="AW43" s="1034">
        <v>68</v>
      </c>
      <c r="AX43" s="1034">
        <v>67</v>
      </c>
      <c r="AY43" s="1034">
        <v>61</v>
      </c>
      <c r="AZ43" s="1034">
        <v>60</v>
      </c>
      <c r="BA43" s="1034">
        <v>57</v>
      </c>
      <c r="BB43" s="1034">
        <v>57</v>
      </c>
      <c r="BC43" s="1034">
        <v>5132</v>
      </c>
      <c r="BD43" s="1034">
        <v>299</v>
      </c>
      <c r="BE43" s="1034">
        <v>279</v>
      </c>
      <c r="BF43" s="1034">
        <v>328</v>
      </c>
      <c r="BG43" s="1034">
        <v>332</v>
      </c>
      <c r="BH43" s="1034">
        <v>-2446</v>
      </c>
      <c r="BI43" s="1034">
        <v>293</v>
      </c>
      <c r="BJ43" s="1034">
        <v>297</v>
      </c>
      <c r="BK43" s="1034">
        <v>296</v>
      </c>
      <c r="BL43" s="1034">
        <v>361</v>
      </c>
      <c r="BM43" s="1034">
        <v>361</v>
      </c>
      <c r="BN43" s="1034">
        <v>360</v>
      </c>
      <c r="BO43" s="1034">
        <v>345</v>
      </c>
      <c r="BP43" s="1034">
        <v>367</v>
      </c>
      <c r="BQ43" s="1034">
        <v>367</v>
      </c>
      <c r="BR43" s="1034">
        <v>364</v>
      </c>
      <c r="BS43" s="1034">
        <v>364</v>
      </c>
      <c r="BT43" s="1034">
        <v>363</v>
      </c>
      <c r="BU43" s="1034">
        <v>361</v>
      </c>
      <c r="BV43" s="1034">
        <v>360</v>
      </c>
      <c r="BW43" s="1034">
        <v>360</v>
      </c>
      <c r="BX43" s="1034">
        <v>357</v>
      </c>
      <c r="BY43" s="1034">
        <v>362</v>
      </c>
      <c r="BZ43" s="1034">
        <v>22</v>
      </c>
      <c r="CA43" s="1034">
        <v>48</v>
      </c>
      <c r="CB43" s="1034">
        <v>35</v>
      </c>
      <c r="CC43" s="1755">
        <v>57</v>
      </c>
      <c r="CD43" s="1034">
        <v>28</v>
      </c>
    </row>
    <row r="44" spans="1:82">
      <c r="A44" s="1293">
        <f t="shared" si="4"/>
        <v>45081</v>
      </c>
      <c r="B44" s="1297">
        <f t="shared" si="3"/>
        <v>45081</v>
      </c>
      <c r="C44" s="1298">
        <v>1.5277777777777777E-2</v>
      </c>
      <c r="D44" s="1034"/>
      <c r="E44" s="1034">
        <v>6.2</v>
      </c>
      <c r="F44" s="1034">
        <v>3.2</v>
      </c>
      <c r="G44" s="1034">
        <v>1.5</v>
      </c>
      <c r="H44" s="1034">
        <v>1.3</v>
      </c>
      <c r="I44" s="1034">
        <v>0.6</v>
      </c>
      <c r="J44" s="1034">
        <v>0.2</v>
      </c>
      <c r="K44" s="1034">
        <v>0.7</v>
      </c>
      <c r="L44" s="1034">
        <v>1.1000000000000001</v>
      </c>
      <c r="M44" s="1034">
        <v>1.1000000000000001</v>
      </c>
      <c r="N44" s="1034">
        <v>3.2</v>
      </c>
      <c r="O44" s="1034">
        <v>76</v>
      </c>
      <c r="P44" s="1034">
        <v>70</v>
      </c>
      <c r="Q44" s="1034">
        <v>82</v>
      </c>
      <c r="R44" s="1034">
        <v>80</v>
      </c>
      <c r="S44" s="1034">
        <v>74</v>
      </c>
      <c r="T44" s="1034">
        <v>71</v>
      </c>
      <c r="U44" s="1034">
        <v>58</v>
      </c>
      <c r="V44" s="1034">
        <v>5.64</v>
      </c>
      <c r="W44" s="1034">
        <v>537</v>
      </c>
      <c r="X44" s="1034">
        <v>283</v>
      </c>
      <c r="Y44" s="1034">
        <v>28</v>
      </c>
      <c r="Z44" s="1034">
        <v>60</v>
      </c>
      <c r="AA44" s="1034">
        <v>0.88</v>
      </c>
      <c r="AB44" s="1034">
        <v>44</v>
      </c>
      <c r="AC44" s="1034">
        <v>43</v>
      </c>
      <c r="AD44" s="1034">
        <v>58</v>
      </c>
      <c r="AE44" s="1034">
        <v>29</v>
      </c>
      <c r="AF44" s="1034">
        <v>66</v>
      </c>
      <c r="AG44" s="1034">
        <v>66</v>
      </c>
      <c r="AH44" s="1034">
        <v>65</v>
      </c>
      <c r="AI44" s="1034">
        <v>65</v>
      </c>
      <c r="AJ44" s="1034">
        <v>65</v>
      </c>
      <c r="AK44" s="1034">
        <v>65</v>
      </c>
      <c r="AL44" s="1034">
        <v>13.81</v>
      </c>
      <c r="AM44" s="1034">
        <v>3.3</v>
      </c>
      <c r="AN44" s="1034">
        <v>3</v>
      </c>
      <c r="AO44" s="1034">
        <v>20.73</v>
      </c>
      <c r="AP44" s="1034">
        <v>1.9</v>
      </c>
      <c r="AQ44" s="1034">
        <v>291</v>
      </c>
      <c r="AR44" s="1034">
        <v>13.31</v>
      </c>
      <c r="AS44" s="1034">
        <v>39</v>
      </c>
      <c r="AT44" s="1034">
        <v>38</v>
      </c>
      <c r="AU44" s="1034">
        <v>37</v>
      </c>
      <c r="AV44" s="1034">
        <v>64</v>
      </c>
      <c r="AW44" s="1034">
        <v>69</v>
      </c>
      <c r="AX44" s="1034">
        <v>68</v>
      </c>
      <c r="AY44" s="1034">
        <v>62</v>
      </c>
      <c r="AZ44" s="1034">
        <v>61</v>
      </c>
      <c r="BA44" s="1034">
        <v>59</v>
      </c>
      <c r="BB44" s="1034">
        <v>58</v>
      </c>
      <c r="BC44" s="1034">
        <v>5132</v>
      </c>
      <c r="BD44" s="1034">
        <v>304</v>
      </c>
      <c r="BE44" s="1034">
        <v>284</v>
      </c>
      <c r="BF44" s="1034">
        <v>332</v>
      </c>
      <c r="BG44" s="1034">
        <v>337</v>
      </c>
      <c r="BH44" s="1034">
        <v>-2446</v>
      </c>
      <c r="BI44" s="1034">
        <v>298</v>
      </c>
      <c r="BJ44" s="1034">
        <v>302</v>
      </c>
      <c r="BK44" s="1034">
        <v>301</v>
      </c>
      <c r="BL44" s="1034">
        <v>365</v>
      </c>
      <c r="BM44" s="1034">
        <v>367</v>
      </c>
      <c r="BN44" s="1034">
        <v>364</v>
      </c>
      <c r="BO44" s="1034">
        <v>353</v>
      </c>
      <c r="BP44" s="1034">
        <v>372</v>
      </c>
      <c r="BQ44" s="1034">
        <v>372</v>
      </c>
      <c r="BR44" s="1034">
        <v>369</v>
      </c>
      <c r="BS44" s="1034">
        <v>370</v>
      </c>
      <c r="BT44" s="1034">
        <v>368</v>
      </c>
      <c r="BU44" s="1034">
        <v>365</v>
      </c>
      <c r="BV44" s="1034">
        <v>366</v>
      </c>
      <c r="BW44" s="1034">
        <v>365</v>
      </c>
      <c r="BX44" s="1034">
        <v>363</v>
      </c>
      <c r="BY44" s="1034">
        <v>367</v>
      </c>
      <c r="BZ44" s="1034">
        <v>20</v>
      </c>
      <c r="CA44" s="1034">
        <v>48</v>
      </c>
      <c r="CB44" s="1034">
        <v>40</v>
      </c>
      <c r="CC44" s="1755">
        <v>57</v>
      </c>
      <c r="CD44" s="1034">
        <v>28</v>
      </c>
    </row>
    <row r="45" spans="1:82">
      <c r="A45" s="1293">
        <f t="shared" si="4"/>
        <v>45082</v>
      </c>
      <c r="B45" s="1297">
        <f t="shared" si="3"/>
        <v>45082</v>
      </c>
      <c r="C45" s="1298">
        <v>6.9444444444444447E-4</v>
      </c>
      <c r="D45" s="1034"/>
      <c r="E45" s="1034"/>
      <c r="F45" s="1034"/>
      <c r="G45" s="1034"/>
      <c r="H45" s="1034"/>
      <c r="I45" s="1034"/>
      <c r="J45" s="1034"/>
      <c r="K45" s="1034"/>
      <c r="L45" s="1034"/>
      <c r="M45" s="1034"/>
      <c r="N45" s="1034"/>
      <c r="O45" s="1034"/>
      <c r="P45" s="1034"/>
      <c r="Q45" s="1034"/>
      <c r="R45" s="1034"/>
      <c r="S45" s="1034"/>
      <c r="T45" s="1034"/>
      <c r="U45" s="1034"/>
      <c r="V45" s="1034"/>
      <c r="W45" s="1034"/>
      <c r="X45" s="1034"/>
      <c r="Y45" s="1034"/>
      <c r="Z45" s="1034"/>
      <c r="AA45" s="1034"/>
      <c r="AB45" s="1034"/>
      <c r="AC45" s="1034"/>
      <c r="AD45" s="1034"/>
      <c r="AE45" s="1034"/>
      <c r="AF45" s="1034"/>
      <c r="AG45" s="1034"/>
      <c r="AH45" s="1034"/>
      <c r="AI45" s="1034"/>
      <c r="AJ45" s="1034"/>
      <c r="AK45" s="1034"/>
      <c r="AL45" s="1034"/>
      <c r="AM45" s="1034"/>
      <c r="AN45" s="1034"/>
      <c r="AO45" s="1034"/>
      <c r="AP45" s="1034"/>
      <c r="AQ45" s="1034"/>
      <c r="AR45" s="1034"/>
      <c r="AS45" s="1034"/>
      <c r="AT45" s="1034"/>
      <c r="AU45" s="1034"/>
      <c r="AV45" s="1034"/>
      <c r="AW45" s="1034"/>
      <c r="AX45" s="1034"/>
      <c r="AY45" s="1034"/>
      <c r="AZ45" s="1034"/>
      <c r="BA45" s="1034"/>
      <c r="BB45" s="1034"/>
      <c r="BC45" s="1034"/>
      <c r="BD45" s="1034"/>
      <c r="BE45" s="1034"/>
      <c r="BF45" s="1034"/>
      <c r="BG45" s="1034"/>
      <c r="BH45" s="1034"/>
      <c r="BI45" s="1034"/>
      <c r="BJ45" s="1034"/>
      <c r="BK45" s="1034"/>
      <c r="BL45" s="1034"/>
      <c r="BM45" s="1034"/>
      <c r="BN45" s="1034"/>
      <c r="BO45" s="1034"/>
      <c r="BP45" s="1034"/>
      <c r="BQ45" s="1034"/>
      <c r="BR45" s="1034"/>
      <c r="BS45" s="1034"/>
      <c r="BT45" s="1034"/>
      <c r="BU45" s="1034"/>
      <c r="BV45" s="1034"/>
      <c r="BW45" s="1034"/>
      <c r="BX45" s="1034"/>
      <c r="BY45" s="1034"/>
      <c r="BZ45" s="1034"/>
      <c r="CA45" s="1034"/>
      <c r="CB45" s="1034"/>
      <c r="CC45" s="1755"/>
      <c r="CD45" s="1034"/>
    </row>
    <row r="46" spans="1:82">
      <c r="A46" s="1293">
        <f t="shared" si="4"/>
        <v>45083</v>
      </c>
      <c r="B46" s="1297">
        <f t="shared" si="3"/>
        <v>45083</v>
      </c>
      <c r="C46" s="1298">
        <v>0.88750000000000007</v>
      </c>
      <c r="D46" s="1034"/>
      <c r="E46" s="1034"/>
      <c r="F46" s="1034"/>
      <c r="G46" s="1034"/>
      <c r="H46" s="1034"/>
      <c r="I46" s="1034"/>
      <c r="J46" s="1034"/>
      <c r="K46" s="1034"/>
      <c r="L46" s="1034"/>
      <c r="M46" s="1034"/>
      <c r="N46" s="1034"/>
      <c r="O46" s="1034"/>
      <c r="P46" s="1034"/>
      <c r="Q46" s="1034"/>
      <c r="R46" s="1034"/>
      <c r="S46" s="1034"/>
      <c r="T46" s="1034"/>
      <c r="U46" s="1034"/>
      <c r="V46" s="1034"/>
      <c r="W46" s="1034"/>
      <c r="X46" s="1034"/>
      <c r="Y46" s="1034"/>
      <c r="Z46" s="1034"/>
      <c r="AA46" s="1034"/>
      <c r="AB46" s="1034"/>
      <c r="AC46" s="1034"/>
      <c r="AD46" s="1034"/>
      <c r="AE46" s="1034"/>
      <c r="AF46" s="1034"/>
      <c r="AG46" s="1034"/>
      <c r="AH46" s="1034"/>
      <c r="AI46" s="1034"/>
      <c r="AJ46" s="1034"/>
      <c r="AK46" s="1034"/>
      <c r="AL46" s="1034"/>
      <c r="AM46" s="1034"/>
      <c r="AN46" s="1034"/>
      <c r="AO46" s="1034"/>
      <c r="AP46" s="1034"/>
      <c r="AQ46" s="1034"/>
      <c r="AR46" s="1034"/>
      <c r="AS46" s="1034"/>
      <c r="AT46" s="1034"/>
      <c r="AU46" s="1034"/>
      <c r="AV46" s="1034"/>
      <c r="AW46" s="1034"/>
      <c r="AX46" s="1034"/>
      <c r="AY46" s="1034"/>
      <c r="AZ46" s="1034"/>
      <c r="BA46" s="1034"/>
      <c r="BB46" s="1034"/>
      <c r="BC46" s="1034"/>
      <c r="BD46" s="1034"/>
      <c r="BE46" s="1034"/>
      <c r="BF46" s="1034"/>
      <c r="BG46" s="1034"/>
      <c r="BH46" s="1034"/>
      <c r="BI46" s="1034"/>
      <c r="BJ46" s="1034"/>
      <c r="BK46" s="1034"/>
      <c r="BL46" s="1034"/>
      <c r="BM46" s="1034"/>
      <c r="BN46" s="1034"/>
      <c r="BO46" s="1034"/>
      <c r="BP46" s="1034"/>
      <c r="BQ46" s="1034"/>
      <c r="BR46" s="1034"/>
      <c r="BS46" s="1034"/>
      <c r="BT46" s="1034"/>
      <c r="BU46" s="1034"/>
      <c r="BV46" s="1034"/>
      <c r="BW46" s="1034"/>
      <c r="BX46" s="1034"/>
      <c r="BY46" s="1034"/>
      <c r="BZ46" s="1034"/>
      <c r="CA46" s="1034"/>
      <c r="CB46" s="1034"/>
      <c r="CC46" s="1755"/>
      <c r="CD46" s="1034"/>
    </row>
    <row r="47" spans="1:82">
      <c r="A47" s="1293">
        <f t="shared" si="4"/>
        <v>45084</v>
      </c>
      <c r="B47" s="1297">
        <f t="shared" si="3"/>
        <v>45084</v>
      </c>
      <c r="C47" s="1298">
        <v>0.93125000000000002</v>
      </c>
      <c r="D47" s="1034"/>
      <c r="E47" s="1034"/>
      <c r="F47" s="1034"/>
      <c r="G47" s="1034"/>
      <c r="H47" s="1034"/>
      <c r="I47" s="1034"/>
      <c r="J47" s="1034"/>
      <c r="K47" s="1034"/>
      <c r="L47" s="1034"/>
      <c r="M47" s="1034"/>
      <c r="N47" s="1034"/>
      <c r="O47" s="1034"/>
      <c r="P47" s="1034"/>
      <c r="Q47" s="1034"/>
      <c r="R47" s="1034"/>
      <c r="S47" s="1034"/>
      <c r="T47" s="1034"/>
      <c r="U47" s="1034"/>
      <c r="V47" s="1034"/>
      <c r="W47" s="1034"/>
      <c r="X47" s="1034"/>
      <c r="Y47" s="1034"/>
      <c r="Z47" s="1034"/>
      <c r="AA47" s="1034"/>
      <c r="AB47" s="1034"/>
      <c r="AC47" s="1034"/>
      <c r="AD47" s="1034"/>
      <c r="AE47" s="1034"/>
      <c r="AF47" s="1034"/>
      <c r="AG47" s="1034"/>
      <c r="AH47" s="1034"/>
      <c r="AI47" s="1034"/>
      <c r="AJ47" s="1034"/>
      <c r="AK47" s="1034"/>
      <c r="AL47" s="1034"/>
      <c r="AM47" s="1034"/>
      <c r="AN47" s="1034"/>
      <c r="AO47" s="1034"/>
      <c r="AP47" s="1034"/>
      <c r="AQ47" s="1034"/>
      <c r="AR47" s="1034"/>
      <c r="AS47" s="1034"/>
      <c r="AT47" s="1034"/>
      <c r="AU47" s="1034"/>
      <c r="AV47" s="1034"/>
      <c r="AW47" s="1034"/>
      <c r="AX47" s="1034"/>
      <c r="AY47" s="1034"/>
      <c r="AZ47" s="1034"/>
      <c r="BA47" s="1034"/>
      <c r="BB47" s="1034"/>
      <c r="BC47" s="1034"/>
      <c r="BD47" s="1034"/>
      <c r="BE47" s="1034"/>
      <c r="BF47" s="1034"/>
      <c r="BG47" s="1034"/>
      <c r="BH47" s="1034"/>
      <c r="BI47" s="1034"/>
      <c r="BJ47" s="1034"/>
      <c r="BK47" s="1034"/>
      <c r="BL47" s="1034"/>
      <c r="BM47" s="1034"/>
      <c r="BN47" s="1034"/>
      <c r="BO47" s="1034"/>
      <c r="BP47" s="1034"/>
      <c r="BQ47" s="1034"/>
      <c r="BR47" s="1034"/>
      <c r="BS47" s="1034"/>
      <c r="BT47" s="1034"/>
      <c r="BU47" s="1034"/>
      <c r="BV47" s="1034"/>
      <c r="BW47" s="1034"/>
      <c r="BX47" s="1034"/>
      <c r="BY47" s="1034"/>
      <c r="BZ47" s="1034"/>
      <c r="CA47" s="1034"/>
      <c r="CB47" s="1034"/>
      <c r="CC47" s="1755"/>
      <c r="CD47" s="1034"/>
    </row>
    <row r="48" spans="1:82">
      <c r="A48" s="1293">
        <f t="shared" si="4"/>
        <v>45085</v>
      </c>
      <c r="B48" s="1297">
        <f t="shared" si="3"/>
        <v>45085</v>
      </c>
      <c r="C48" s="1298">
        <v>0.12013888888888889</v>
      </c>
      <c r="D48" s="1034"/>
      <c r="E48" s="1034"/>
      <c r="F48" s="1034"/>
      <c r="G48" s="1034"/>
      <c r="H48" s="1034"/>
      <c r="I48" s="1034"/>
      <c r="J48" s="1034"/>
      <c r="K48" s="1034"/>
      <c r="L48" s="1034"/>
      <c r="M48" s="1034"/>
      <c r="N48" s="1034"/>
      <c r="O48" s="1034"/>
      <c r="P48" s="1034"/>
      <c r="Q48" s="1034"/>
      <c r="R48" s="1034"/>
      <c r="S48" s="1034"/>
      <c r="T48" s="1034"/>
      <c r="U48" s="1034"/>
      <c r="V48" s="1034"/>
      <c r="W48" s="1034"/>
      <c r="X48" s="1034"/>
      <c r="Y48" s="1034"/>
      <c r="Z48" s="1034"/>
      <c r="AA48" s="1034"/>
      <c r="AB48" s="1034"/>
      <c r="AC48" s="1034"/>
      <c r="AD48" s="1034"/>
      <c r="AE48" s="1034"/>
      <c r="AF48" s="1034"/>
      <c r="AG48" s="1034"/>
      <c r="AH48" s="1034"/>
      <c r="AI48" s="1034"/>
      <c r="AJ48" s="1034"/>
      <c r="AK48" s="1034"/>
      <c r="AL48" s="1034"/>
      <c r="AM48" s="1034"/>
      <c r="AN48" s="1034"/>
      <c r="AO48" s="1034"/>
      <c r="AP48" s="1034"/>
      <c r="AQ48" s="1034"/>
      <c r="AR48" s="1034"/>
      <c r="AS48" s="1034"/>
      <c r="AT48" s="1034"/>
      <c r="AU48" s="1034"/>
      <c r="AV48" s="1034"/>
      <c r="AW48" s="1034"/>
      <c r="AX48" s="1034"/>
      <c r="AY48" s="1034"/>
      <c r="AZ48" s="1034"/>
      <c r="BA48" s="1034"/>
      <c r="BB48" s="1034"/>
      <c r="BC48" s="1034"/>
      <c r="BD48" s="1034"/>
      <c r="BE48" s="1034"/>
      <c r="BF48" s="1034"/>
      <c r="BG48" s="1034"/>
      <c r="BH48" s="1034"/>
      <c r="BI48" s="1034"/>
      <c r="BJ48" s="1034"/>
      <c r="BK48" s="1034"/>
      <c r="BL48" s="1034"/>
      <c r="BM48" s="1034"/>
      <c r="BN48" s="1034"/>
      <c r="BO48" s="1034"/>
      <c r="BP48" s="1034"/>
      <c r="BQ48" s="1034"/>
      <c r="BR48" s="1034"/>
      <c r="BS48" s="1034"/>
      <c r="BT48" s="1034"/>
      <c r="BU48" s="1034"/>
      <c r="BV48" s="1034"/>
      <c r="BW48" s="1034"/>
      <c r="BX48" s="1034"/>
      <c r="BY48" s="1034"/>
      <c r="BZ48" s="1034"/>
      <c r="CA48" s="1034"/>
      <c r="CB48" s="1034"/>
      <c r="CC48" s="1755"/>
      <c r="CD48" s="1034"/>
    </row>
    <row r="49" spans="1:90">
      <c r="A49" s="1293">
        <f t="shared" si="4"/>
        <v>45086</v>
      </c>
      <c r="B49" s="1297">
        <f t="shared" si="3"/>
        <v>45086</v>
      </c>
      <c r="C49" s="1298">
        <v>0.92847222222222225</v>
      </c>
      <c r="D49" s="1034"/>
      <c r="E49" s="1034"/>
      <c r="F49" s="1034"/>
      <c r="G49" s="1034"/>
      <c r="H49" s="1034"/>
      <c r="I49" s="1034"/>
      <c r="J49" s="1034"/>
      <c r="K49" s="1034"/>
      <c r="L49" s="1034"/>
      <c r="M49" s="1034"/>
      <c r="N49" s="1034"/>
      <c r="O49" s="1034"/>
      <c r="P49" s="1034"/>
      <c r="Q49" s="1034"/>
      <c r="R49" s="1034"/>
      <c r="S49" s="1034"/>
      <c r="T49" s="1034"/>
      <c r="U49" s="1034"/>
      <c r="V49" s="1034"/>
      <c r="W49" s="1034"/>
      <c r="X49" s="1034"/>
      <c r="Y49" s="1034"/>
      <c r="Z49" s="1034"/>
      <c r="AA49" s="1034"/>
      <c r="AB49" s="1034"/>
      <c r="AC49" s="1034"/>
      <c r="AD49" s="1034"/>
      <c r="AE49" s="1034"/>
      <c r="AF49" s="1034"/>
      <c r="AG49" s="1034"/>
      <c r="AH49" s="1034"/>
      <c r="AI49" s="1034"/>
      <c r="AJ49" s="1034"/>
      <c r="AK49" s="1034"/>
      <c r="AL49" s="1034"/>
      <c r="AM49" s="1034"/>
      <c r="AN49" s="1034"/>
      <c r="AO49" s="1034"/>
      <c r="AP49" s="1034"/>
      <c r="AQ49" s="1034"/>
      <c r="AR49" s="1034"/>
      <c r="AS49" s="1034"/>
      <c r="AT49" s="1034"/>
      <c r="AU49" s="1034"/>
      <c r="AV49" s="1034"/>
      <c r="AW49" s="1034"/>
      <c r="AX49" s="1034"/>
      <c r="AY49" s="1034"/>
      <c r="AZ49" s="1034"/>
      <c r="BA49" s="1034"/>
      <c r="BB49" s="1034"/>
      <c r="BC49" s="1034"/>
      <c r="BD49" s="1034"/>
      <c r="BE49" s="1034"/>
      <c r="BF49" s="1034"/>
      <c r="BG49" s="1034"/>
      <c r="BH49" s="1034"/>
      <c r="BI49" s="1034"/>
      <c r="BJ49" s="1034"/>
      <c r="BK49" s="1034"/>
      <c r="BL49" s="1034"/>
      <c r="BM49" s="1034"/>
      <c r="BN49" s="1034"/>
      <c r="BO49" s="1034"/>
      <c r="BP49" s="1034"/>
      <c r="BQ49" s="1034"/>
      <c r="BR49" s="1034"/>
      <c r="BS49" s="1034"/>
      <c r="BT49" s="1034"/>
      <c r="BU49" s="1034"/>
      <c r="BV49" s="1034"/>
      <c r="BW49" s="1034"/>
      <c r="BX49" s="1034"/>
      <c r="BY49" s="1034"/>
      <c r="BZ49" s="1034"/>
      <c r="CA49" s="1034"/>
      <c r="CB49" s="1034"/>
      <c r="CC49" s="1755"/>
      <c r="CD49" s="1034"/>
    </row>
    <row r="50" spans="1:90">
      <c r="A50" s="1293">
        <f t="shared" si="4"/>
        <v>45087</v>
      </c>
      <c r="B50" s="1297">
        <f t="shared" si="3"/>
        <v>45087</v>
      </c>
      <c r="C50" s="1298">
        <v>0.9902777777777777</v>
      </c>
      <c r="D50" s="1034"/>
      <c r="E50" s="1034"/>
      <c r="F50" s="1034"/>
      <c r="G50" s="1034"/>
      <c r="H50" s="1034"/>
      <c r="I50" s="1034"/>
      <c r="J50" s="1034"/>
      <c r="K50" s="1034"/>
      <c r="L50" s="1034"/>
      <c r="M50" s="1034"/>
      <c r="N50" s="1034"/>
      <c r="O50" s="1034"/>
      <c r="P50" s="1034"/>
      <c r="Q50" s="1034"/>
      <c r="R50" s="1034"/>
      <c r="S50" s="1034"/>
      <c r="T50" s="1034"/>
      <c r="U50" s="1034"/>
      <c r="V50" s="1034"/>
      <c r="W50" s="1034"/>
      <c r="X50" s="1034"/>
      <c r="Y50" s="1034"/>
      <c r="Z50" s="1034"/>
      <c r="AA50" s="1034"/>
      <c r="AB50" s="1034"/>
      <c r="AC50" s="1034"/>
      <c r="AD50" s="1034"/>
      <c r="AE50" s="1034"/>
      <c r="AF50" s="1034"/>
      <c r="AG50" s="1034"/>
      <c r="AH50" s="1034"/>
      <c r="AI50" s="1034"/>
      <c r="AJ50" s="1034"/>
      <c r="AK50" s="1034"/>
      <c r="AL50" s="1034"/>
      <c r="AM50" s="1034"/>
      <c r="AN50" s="1034"/>
      <c r="AO50" s="1034"/>
      <c r="AP50" s="1034"/>
      <c r="AQ50" s="1034"/>
      <c r="AR50" s="1034"/>
      <c r="AS50" s="1034"/>
      <c r="AT50" s="1034"/>
      <c r="AU50" s="1034"/>
      <c r="AV50" s="1034"/>
      <c r="AW50" s="1034"/>
      <c r="AX50" s="1034"/>
      <c r="AY50" s="1034"/>
      <c r="AZ50" s="1034"/>
      <c r="BA50" s="1034"/>
      <c r="BB50" s="1034"/>
      <c r="BC50" s="1034"/>
      <c r="BD50" s="1034"/>
      <c r="BE50" s="1034"/>
      <c r="BF50" s="1034"/>
      <c r="BG50" s="1034"/>
      <c r="BH50" s="1034"/>
      <c r="BI50" s="1034"/>
      <c r="BJ50" s="1034"/>
      <c r="BK50" s="1034"/>
      <c r="BL50" s="1034"/>
      <c r="BM50" s="1034"/>
      <c r="BN50" s="1034"/>
      <c r="BO50" s="1034"/>
      <c r="BP50" s="1034"/>
      <c r="BQ50" s="1034"/>
      <c r="BR50" s="1034"/>
      <c r="BS50" s="1034"/>
      <c r="BT50" s="1034"/>
      <c r="BU50" s="1034"/>
      <c r="BV50" s="1034"/>
      <c r="BW50" s="1034"/>
      <c r="BX50" s="1034"/>
      <c r="BY50" s="1034"/>
      <c r="BZ50" s="1034"/>
      <c r="CA50" s="1034"/>
      <c r="CB50" s="1034"/>
      <c r="CC50" s="1755"/>
      <c r="CD50" s="1034"/>
    </row>
    <row r="51" spans="1:90">
      <c r="A51" s="1293">
        <f t="shared" si="4"/>
        <v>45088</v>
      </c>
      <c r="B51" s="1297">
        <f t="shared" si="3"/>
        <v>45088</v>
      </c>
      <c r="C51" s="1298">
        <v>0.96388888888888891</v>
      </c>
      <c r="D51" s="1034"/>
      <c r="E51" s="1034"/>
      <c r="F51" s="1034"/>
      <c r="G51" s="1034"/>
      <c r="H51" s="1034"/>
      <c r="I51" s="1034"/>
      <c r="J51" s="1034"/>
      <c r="K51" s="1034"/>
      <c r="L51" s="1034"/>
      <c r="M51" s="1034"/>
      <c r="N51" s="1034"/>
      <c r="O51" s="1034"/>
      <c r="P51" s="1034"/>
      <c r="Q51" s="1034"/>
      <c r="R51" s="1034"/>
      <c r="S51" s="1034"/>
      <c r="T51" s="1034"/>
      <c r="U51" s="1034"/>
      <c r="V51" s="1034"/>
      <c r="W51" s="1034"/>
      <c r="X51" s="1034"/>
      <c r="Y51" s="1034"/>
      <c r="Z51" s="1034"/>
      <c r="AA51" s="1034"/>
      <c r="AB51" s="1034"/>
      <c r="AC51" s="1034"/>
      <c r="AD51" s="1034"/>
      <c r="AE51" s="1034"/>
      <c r="AF51" s="1034"/>
      <c r="AG51" s="1034"/>
      <c r="AH51" s="1034"/>
      <c r="AI51" s="1034"/>
      <c r="AJ51" s="1034"/>
      <c r="AK51" s="1034"/>
      <c r="AL51" s="1034"/>
      <c r="AM51" s="1034"/>
      <c r="AN51" s="1034"/>
      <c r="AO51" s="1034"/>
      <c r="AP51" s="1034"/>
      <c r="AQ51" s="1034"/>
      <c r="AR51" s="1034"/>
      <c r="AS51" s="1034"/>
      <c r="AT51" s="1034"/>
      <c r="AU51" s="1034"/>
      <c r="AV51" s="1034"/>
      <c r="AW51" s="1034"/>
      <c r="AX51" s="1034"/>
      <c r="AY51" s="1034"/>
      <c r="AZ51" s="1034"/>
      <c r="BA51" s="1034"/>
      <c r="BB51" s="1034"/>
      <c r="BC51" s="1034"/>
      <c r="BD51" s="1034"/>
      <c r="BE51" s="1034"/>
      <c r="BF51" s="1034"/>
      <c r="BG51" s="1034"/>
      <c r="BH51" s="1034"/>
      <c r="BI51" s="1034"/>
      <c r="BJ51" s="1034"/>
      <c r="BK51" s="1034"/>
      <c r="BL51" s="1034"/>
      <c r="BM51" s="1034"/>
      <c r="BN51" s="1034"/>
      <c r="BO51" s="1034"/>
      <c r="BP51" s="1034"/>
      <c r="BQ51" s="1034"/>
      <c r="BR51" s="1034"/>
      <c r="BS51" s="1034"/>
      <c r="BT51" s="1034"/>
      <c r="BU51" s="1034"/>
      <c r="BV51" s="1034"/>
      <c r="BW51" s="1034"/>
      <c r="BX51" s="1034"/>
      <c r="BY51" s="1034"/>
      <c r="BZ51" s="1034"/>
      <c r="CA51" s="1034"/>
      <c r="CB51" s="1034"/>
      <c r="CC51" s="1755"/>
      <c r="CD51" s="1034"/>
    </row>
    <row r="52" spans="1:90">
      <c r="A52" s="1293">
        <f t="shared" si="4"/>
        <v>45089</v>
      </c>
      <c r="B52" s="1297">
        <f t="shared" si="3"/>
        <v>45089</v>
      </c>
      <c r="C52" s="1298">
        <v>0.92847222222222225</v>
      </c>
      <c r="D52" s="1034"/>
      <c r="E52" s="1034"/>
      <c r="F52" s="1034"/>
      <c r="G52" s="1034"/>
      <c r="H52" s="1034"/>
      <c r="I52" s="1034"/>
      <c r="J52" s="1034"/>
      <c r="K52" s="1034"/>
      <c r="L52" s="1034"/>
      <c r="M52" s="1034"/>
      <c r="N52" s="1034"/>
      <c r="O52" s="1034"/>
      <c r="P52" s="1034"/>
      <c r="Q52" s="1034"/>
      <c r="R52" s="1034"/>
      <c r="S52" s="1034"/>
      <c r="T52" s="1034"/>
      <c r="U52" s="1034"/>
      <c r="V52" s="1034"/>
      <c r="W52" s="1034"/>
      <c r="X52" s="1034"/>
      <c r="Y52" s="1034"/>
      <c r="Z52" s="1034"/>
      <c r="AA52" s="1034"/>
      <c r="AB52" s="1034"/>
      <c r="AC52" s="1034"/>
      <c r="AD52" s="1034"/>
      <c r="AE52" s="1034"/>
      <c r="AF52" s="1034"/>
      <c r="AG52" s="1034"/>
      <c r="AH52" s="1034"/>
      <c r="AI52" s="1034"/>
      <c r="AJ52" s="1034"/>
      <c r="AK52" s="1034"/>
      <c r="AL52" s="1034"/>
      <c r="AM52" s="1034"/>
      <c r="AN52" s="1034"/>
      <c r="AO52" s="1034"/>
      <c r="AP52" s="1034"/>
      <c r="AQ52" s="1034"/>
      <c r="AR52" s="1034"/>
      <c r="AS52" s="1034"/>
      <c r="AT52" s="1034"/>
      <c r="AU52" s="1034"/>
      <c r="AV52" s="1034"/>
      <c r="AW52" s="1034"/>
      <c r="AX52" s="1034"/>
      <c r="AY52" s="1034"/>
      <c r="AZ52" s="1034"/>
      <c r="BA52" s="1034"/>
      <c r="BB52" s="1034"/>
      <c r="BC52" s="1034"/>
      <c r="BD52" s="1034"/>
      <c r="BE52" s="1034"/>
      <c r="BF52" s="1034"/>
      <c r="BG52" s="1034"/>
      <c r="BH52" s="1034"/>
      <c r="BI52" s="1034"/>
      <c r="BJ52" s="1034"/>
      <c r="BK52" s="1034"/>
      <c r="BL52" s="1034"/>
      <c r="BM52" s="1034"/>
      <c r="BN52" s="1034"/>
      <c r="BO52" s="1034"/>
      <c r="BP52" s="1034"/>
      <c r="BQ52" s="1034"/>
      <c r="BR52" s="1034"/>
      <c r="BS52" s="1034"/>
      <c r="BT52" s="1034"/>
      <c r="BU52" s="1034"/>
      <c r="BV52" s="1034"/>
      <c r="BW52" s="1034"/>
      <c r="BX52" s="1034"/>
      <c r="BY52" s="1034"/>
      <c r="BZ52" s="1034"/>
      <c r="CA52" s="1034"/>
      <c r="CB52" s="1034"/>
      <c r="CC52" s="1755"/>
      <c r="CD52" s="1034"/>
    </row>
    <row r="53" spans="1:90">
      <c r="A53" s="1293">
        <f t="shared" si="4"/>
        <v>45090</v>
      </c>
      <c r="B53" s="1297">
        <f t="shared" si="3"/>
        <v>45090</v>
      </c>
      <c r="C53" s="1298">
        <v>1.0118055555555601</v>
      </c>
      <c r="D53" s="1034"/>
      <c r="E53" s="1034"/>
      <c r="F53" s="1034"/>
      <c r="G53" s="1034"/>
      <c r="H53" s="1034"/>
      <c r="I53" s="1034"/>
      <c r="J53" s="1034"/>
      <c r="K53" s="1034"/>
      <c r="L53" s="1034"/>
      <c r="M53" s="1034"/>
      <c r="N53" s="1034"/>
      <c r="O53" s="1034"/>
      <c r="P53" s="1034"/>
      <c r="Q53" s="1034"/>
      <c r="R53" s="1034"/>
      <c r="S53" s="1034"/>
      <c r="T53" s="1034"/>
      <c r="U53" s="1034"/>
      <c r="V53" s="1034"/>
      <c r="W53" s="1034"/>
      <c r="X53" s="1034"/>
      <c r="Y53" s="1034"/>
      <c r="Z53" s="1034"/>
      <c r="AA53" s="1034"/>
      <c r="AB53" s="1034"/>
      <c r="AC53" s="1034"/>
      <c r="AD53" s="1034"/>
      <c r="AE53" s="1034"/>
      <c r="AF53" s="1034"/>
      <c r="AG53" s="1034"/>
      <c r="AH53" s="1034"/>
      <c r="AI53" s="1034"/>
      <c r="AJ53" s="1034"/>
      <c r="AK53" s="1034"/>
      <c r="AL53" s="1034"/>
      <c r="AM53" s="1034"/>
      <c r="AN53" s="1034"/>
      <c r="AO53" s="1034"/>
      <c r="AP53" s="1034"/>
      <c r="AQ53" s="1034"/>
      <c r="AR53" s="1034"/>
      <c r="AS53" s="1034"/>
      <c r="AT53" s="1034"/>
      <c r="AU53" s="1034"/>
      <c r="AV53" s="1034"/>
      <c r="AW53" s="1034"/>
      <c r="AX53" s="1034"/>
      <c r="AY53" s="1034"/>
      <c r="AZ53" s="1034"/>
      <c r="BA53" s="1034"/>
      <c r="BB53" s="1034"/>
      <c r="BC53" s="1034"/>
      <c r="BD53" s="1034"/>
      <c r="BE53" s="1034"/>
      <c r="BF53" s="1034"/>
      <c r="BG53" s="1034"/>
      <c r="BH53" s="1034"/>
      <c r="BI53" s="1034"/>
      <c r="BJ53" s="1034"/>
      <c r="BK53" s="1034"/>
      <c r="BL53" s="1034"/>
      <c r="BM53" s="1034"/>
      <c r="BN53" s="1034"/>
      <c r="BO53" s="1034"/>
      <c r="BP53" s="1034"/>
      <c r="BQ53" s="1034"/>
      <c r="BR53" s="1034"/>
      <c r="BS53" s="1034"/>
      <c r="BT53" s="1034"/>
      <c r="BU53" s="1034"/>
      <c r="BV53" s="1034"/>
      <c r="BW53" s="1034"/>
      <c r="BX53" s="1034"/>
      <c r="BY53" s="1034"/>
      <c r="BZ53" s="1034"/>
      <c r="CA53" s="1034"/>
      <c r="CB53" s="1034"/>
      <c r="CC53" s="1755"/>
      <c r="CD53" s="1034"/>
    </row>
    <row r="54" spans="1:90">
      <c r="A54" s="1293">
        <f t="shared" si="4"/>
        <v>45091</v>
      </c>
      <c r="B54" s="1297">
        <f t="shared" si="3"/>
        <v>45091</v>
      </c>
      <c r="C54" s="1298">
        <v>0.96388888888888891</v>
      </c>
      <c r="D54" s="1034"/>
      <c r="E54" s="1034"/>
      <c r="F54" s="1034"/>
      <c r="G54" s="1034"/>
      <c r="H54" s="1034"/>
      <c r="I54" s="1034"/>
      <c r="J54" s="1034"/>
      <c r="K54" s="1034"/>
      <c r="L54" s="1034"/>
      <c r="M54" s="1034"/>
      <c r="N54" s="1034"/>
      <c r="O54" s="1034"/>
      <c r="P54" s="1034"/>
      <c r="Q54" s="1034"/>
      <c r="R54" s="1034"/>
      <c r="S54" s="1034"/>
      <c r="T54" s="1034"/>
      <c r="U54" s="1034"/>
      <c r="V54" s="1034"/>
      <c r="W54" s="1034"/>
      <c r="X54" s="1034"/>
      <c r="Y54" s="1034"/>
      <c r="Z54" s="1034"/>
      <c r="AA54" s="1034"/>
      <c r="AB54" s="1034"/>
      <c r="AC54" s="1034"/>
      <c r="AD54" s="1034"/>
      <c r="AE54" s="1034"/>
      <c r="AF54" s="1034"/>
      <c r="AG54" s="1034"/>
      <c r="AH54" s="1034"/>
      <c r="AI54" s="1034"/>
      <c r="AJ54" s="1034"/>
      <c r="AK54" s="1034"/>
      <c r="AL54" s="1034"/>
      <c r="AM54" s="1034"/>
      <c r="AN54" s="1034"/>
      <c r="AO54" s="1034"/>
      <c r="AP54" s="1034"/>
      <c r="AQ54" s="1034"/>
      <c r="AR54" s="1034"/>
      <c r="AS54" s="1034"/>
      <c r="AT54" s="1034"/>
      <c r="AU54" s="1034"/>
      <c r="AV54" s="1034"/>
      <c r="AW54" s="1034"/>
      <c r="AX54" s="1034"/>
      <c r="AY54" s="1034"/>
      <c r="AZ54" s="1034"/>
      <c r="BA54" s="1034"/>
      <c r="BB54" s="1034"/>
      <c r="BC54" s="1034"/>
      <c r="BD54" s="1034"/>
      <c r="BE54" s="1034"/>
      <c r="BF54" s="1034"/>
      <c r="BG54" s="1034"/>
      <c r="BH54" s="1034"/>
      <c r="BI54" s="1034"/>
      <c r="BJ54" s="1034"/>
      <c r="BK54" s="1034"/>
      <c r="BL54" s="1034"/>
      <c r="BM54" s="1034"/>
      <c r="BN54" s="1034"/>
      <c r="BO54" s="1034"/>
      <c r="BP54" s="1034"/>
      <c r="BQ54" s="1034"/>
      <c r="BR54" s="1034"/>
      <c r="BS54" s="1034"/>
      <c r="BT54" s="1034"/>
      <c r="BU54" s="1034"/>
      <c r="BV54" s="1034"/>
      <c r="BW54" s="1034"/>
      <c r="BX54" s="1034"/>
      <c r="BY54" s="1034"/>
      <c r="BZ54" s="1034"/>
      <c r="CA54" s="1034"/>
      <c r="CB54" s="1034"/>
      <c r="CC54" s="1755"/>
      <c r="CD54" s="1034"/>
    </row>
    <row r="55" spans="1:90">
      <c r="A55" s="1293">
        <f t="shared" si="4"/>
        <v>45092</v>
      </c>
      <c r="B55" s="1297">
        <f t="shared" si="3"/>
        <v>45092</v>
      </c>
      <c r="C55" s="1298">
        <v>0.93055555555555547</v>
      </c>
      <c r="D55" s="1034"/>
      <c r="E55" s="1034"/>
      <c r="F55" s="1034"/>
      <c r="G55" s="1034"/>
      <c r="H55" s="1034"/>
      <c r="I55" s="1034"/>
      <c r="J55" s="1034"/>
      <c r="K55" s="1034"/>
      <c r="L55" s="1034"/>
      <c r="M55" s="1034"/>
      <c r="N55" s="1034"/>
      <c r="O55" s="1034"/>
      <c r="P55" s="1034"/>
      <c r="Q55" s="1034"/>
      <c r="R55" s="1034"/>
      <c r="S55" s="1034"/>
      <c r="T55" s="1034"/>
      <c r="U55" s="1034"/>
      <c r="V55" s="1034"/>
      <c r="W55" s="1034"/>
      <c r="X55" s="1034"/>
      <c r="Y55" s="1034"/>
      <c r="Z55" s="1034"/>
      <c r="AA55" s="1034"/>
      <c r="AB55" s="1034"/>
      <c r="AC55" s="1034"/>
      <c r="AD55" s="1034"/>
      <c r="AE55" s="1034"/>
      <c r="AF55" s="1034"/>
      <c r="AG55" s="1034"/>
      <c r="AH55" s="1034"/>
      <c r="AI55" s="1034"/>
      <c r="AJ55" s="1034"/>
      <c r="AK55" s="1034"/>
      <c r="AL55" s="1034"/>
      <c r="AM55" s="1034"/>
      <c r="AN55" s="1034"/>
      <c r="AO55" s="1034"/>
      <c r="AP55" s="1034"/>
      <c r="AQ55" s="1034"/>
      <c r="AR55" s="1034"/>
      <c r="AS55" s="1034"/>
      <c r="AT55" s="1034"/>
      <c r="AU55" s="1034"/>
      <c r="AV55" s="1034"/>
      <c r="AW55" s="1034"/>
      <c r="AX55" s="1034"/>
      <c r="AY55" s="1034"/>
      <c r="AZ55" s="1034"/>
      <c r="BA55" s="1034"/>
      <c r="BB55" s="1034"/>
      <c r="BC55" s="1034"/>
      <c r="BD55" s="1034"/>
      <c r="BE55" s="1034"/>
      <c r="BF55" s="1034"/>
      <c r="BG55" s="1034"/>
      <c r="BH55" s="1034"/>
      <c r="BI55" s="1034"/>
      <c r="BJ55" s="1034"/>
      <c r="BK55" s="1034"/>
      <c r="BL55" s="1034"/>
      <c r="BM55" s="1034"/>
      <c r="BN55" s="1034"/>
      <c r="BO55" s="1034"/>
      <c r="BP55" s="1034"/>
      <c r="BQ55" s="1034"/>
      <c r="BR55" s="1034"/>
      <c r="BS55" s="1034"/>
      <c r="BT55" s="1034"/>
      <c r="BU55" s="1034"/>
      <c r="BV55" s="1034"/>
      <c r="BW55" s="1034"/>
      <c r="BX55" s="1034"/>
      <c r="BY55" s="1034"/>
      <c r="BZ55" s="1034"/>
      <c r="CA55" s="1034"/>
      <c r="CB55" s="1034"/>
      <c r="CC55" s="1755"/>
      <c r="CD55" s="1034"/>
      <c r="CE55" s="1034"/>
      <c r="CF55" s="1034"/>
      <c r="CG55" s="1034"/>
      <c r="CH55" s="1034"/>
      <c r="CI55" s="1034"/>
      <c r="CJ55" s="1034"/>
      <c r="CK55" s="1034"/>
      <c r="CL55" s="1034"/>
    </row>
    <row r="56" spans="1:90" s="1299" customFormat="1">
      <c r="A56" s="1293">
        <f t="shared" si="4"/>
        <v>45093</v>
      </c>
      <c r="B56" s="1297">
        <f t="shared" si="3"/>
        <v>45093</v>
      </c>
      <c r="C56" s="1298">
        <v>0.97222222222222199</v>
      </c>
      <c r="D56" s="1034"/>
      <c r="E56" s="1034"/>
      <c r="F56" s="1034"/>
      <c r="G56" s="1034"/>
      <c r="H56" s="1034"/>
      <c r="I56" s="1034"/>
      <c r="J56" s="1034"/>
      <c r="K56" s="1034"/>
      <c r="L56" s="1034"/>
      <c r="M56" s="1034"/>
      <c r="N56" s="1034"/>
      <c r="O56" s="1034"/>
      <c r="P56" s="1034"/>
      <c r="Q56" s="1034"/>
      <c r="R56" s="1034"/>
      <c r="S56" s="1034"/>
      <c r="T56" s="1034"/>
      <c r="U56" s="1034"/>
      <c r="V56" s="1034"/>
      <c r="W56" s="1034"/>
      <c r="X56" s="1034"/>
      <c r="Y56" s="1034"/>
      <c r="Z56" s="1034"/>
      <c r="AA56" s="1034"/>
      <c r="AB56" s="1034"/>
      <c r="AC56" s="1034"/>
      <c r="AD56" s="1034"/>
      <c r="AE56" s="1034"/>
      <c r="AF56" s="1034"/>
      <c r="AG56" s="1034"/>
      <c r="AH56" s="1034"/>
      <c r="AI56" s="1034"/>
      <c r="AJ56" s="1034"/>
      <c r="AK56" s="1034"/>
      <c r="AL56" s="1034"/>
      <c r="AM56" s="1034"/>
      <c r="AN56" s="1034"/>
      <c r="AO56" s="1034"/>
      <c r="AP56" s="1034"/>
      <c r="AQ56" s="1034"/>
      <c r="AR56" s="1034"/>
      <c r="AS56" s="1034"/>
      <c r="AT56" s="1034"/>
      <c r="AU56" s="1034"/>
      <c r="AV56" s="1034"/>
      <c r="AW56" s="1034"/>
      <c r="AX56" s="1034"/>
      <c r="AY56" s="1034"/>
      <c r="AZ56" s="1034"/>
      <c r="BA56" s="1034"/>
      <c r="BB56" s="1034"/>
      <c r="BC56" s="1034"/>
      <c r="BD56" s="1034"/>
      <c r="BE56" s="1034"/>
      <c r="BF56" s="1034"/>
      <c r="BG56" s="1034"/>
      <c r="BH56" s="1034"/>
      <c r="BI56" s="1034"/>
      <c r="BJ56" s="1034"/>
      <c r="BK56" s="1034"/>
      <c r="BL56" s="1034"/>
      <c r="BM56" s="1034"/>
      <c r="BN56" s="1034"/>
      <c r="BO56" s="1034"/>
      <c r="BP56" s="1034"/>
      <c r="BQ56" s="1034"/>
      <c r="BR56" s="1034"/>
      <c r="BS56" s="1034"/>
      <c r="BT56" s="1034"/>
      <c r="BU56" s="1034"/>
      <c r="BV56" s="1034"/>
      <c r="BW56" s="1034"/>
      <c r="BX56" s="1034"/>
      <c r="BY56" s="1034"/>
      <c r="BZ56" s="1034"/>
      <c r="CA56" s="1034"/>
      <c r="CB56" s="1034"/>
      <c r="CC56" s="1755"/>
      <c r="CD56" s="1034"/>
      <c r="CE56" s="1034"/>
      <c r="CF56" s="1034"/>
      <c r="CG56" s="1034"/>
      <c r="CH56" s="1034"/>
      <c r="CI56" s="1034"/>
      <c r="CJ56" s="1034"/>
      <c r="CK56" s="1034"/>
      <c r="CL56" s="1034"/>
    </row>
    <row r="57" spans="1:90" s="1299" customFormat="1">
      <c r="A57" s="1293">
        <f t="shared" si="4"/>
        <v>45094</v>
      </c>
      <c r="B57" s="1297">
        <f t="shared" si="3"/>
        <v>45094</v>
      </c>
      <c r="C57" s="1298">
        <v>0.86736111111111114</v>
      </c>
      <c r="D57" s="1034"/>
      <c r="E57" s="1034"/>
      <c r="F57" s="1034"/>
      <c r="G57" s="1034"/>
      <c r="H57" s="1034"/>
      <c r="I57" s="1034"/>
      <c r="J57" s="1034"/>
      <c r="K57" s="1034"/>
      <c r="L57" s="1034"/>
      <c r="M57" s="1034"/>
      <c r="N57" s="1034"/>
      <c r="O57" s="1034"/>
      <c r="P57" s="1034"/>
      <c r="Q57" s="1034"/>
      <c r="R57" s="1034"/>
      <c r="S57" s="1034"/>
      <c r="T57" s="1034"/>
      <c r="U57" s="1034"/>
      <c r="V57" s="1034"/>
      <c r="W57" s="1034"/>
      <c r="X57" s="1034"/>
      <c r="Y57" s="1034"/>
      <c r="Z57" s="1034"/>
      <c r="AA57" s="1034"/>
      <c r="AB57" s="1034"/>
      <c r="AC57" s="1034"/>
      <c r="AD57" s="1034"/>
      <c r="AE57" s="1034"/>
      <c r="AF57" s="1034"/>
      <c r="AG57" s="1034"/>
      <c r="AH57" s="1034"/>
      <c r="AI57" s="1034"/>
      <c r="AJ57" s="1034"/>
      <c r="AK57" s="1034"/>
      <c r="AL57" s="1034"/>
      <c r="AM57" s="1034"/>
      <c r="AN57" s="1034"/>
      <c r="AO57" s="1034"/>
      <c r="AP57" s="1034"/>
      <c r="AQ57" s="1034"/>
      <c r="AR57" s="1034"/>
      <c r="AS57" s="1034"/>
      <c r="AT57" s="1034"/>
      <c r="AU57" s="1034"/>
      <c r="AV57" s="1034"/>
      <c r="AW57" s="1034"/>
      <c r="AX57" s="1034"/>
      <c r="AY57" s="1034"/>
      <c r="AZ57" s="1034"/>
      <c r="BA57" s="1034"/>
      <c r="BB57" s="1034"/>
      <c r="BC57" s="1034"/>
      <c r="BD57" s="1034"/>
      <c r="BE57" s="1034"/>
      <c r="BF57" s="1034"/>
      <c r="BG57" s="1034"/>
      <c r="BH57" s="1034"/>
      <c r="BI57" s="1034"/>
      <c r="BJ57" s="1034"/>
      <c r="BK57" s="1034"/>
      <c r="BL57" s="1034"/>
      <c r="BM57" s="1034"/>
      <c r="BN57" s="1034"/>
      <c r="BO57" s="1034"/>
      <c r="BP57" s="1034"/>
      <c r="BQ57" s="1034"/>
      <c r="BR57" s="1034"/>
      <c r="BS57" s="1034"/>
      <c r="BT57" s="1034"/>
      <c r="BU57" s="1034"/>
      <c r="BV57" s="1034"/>
      <c r="BW57" s="1034"/>
      <c r="BX57" s="1034"/>
      <c r="BY57" s="1034"/>
      <c r="BZ57" s="1034"/>
      <c r="CA57" s="1034"/>
      <c r="CB57" s="1034"/>
      <c r="CC57" s="1034"/>
      <c r="CD57" s="1034"/>
      <c r="CE57" s="1034"/>
      <c r="CF57" s="1034"/>
      <c r="CG57" s="1034"/>
      <c r="CH57" s="1034"/>
      <c r="CI57" s="1034"/>
      <c r="CJ57" s="1034"/>
      <c r="CK57" s="1034"/>
      <c r="CL57" s="1034"/>
    </row>
    <row r="58" spans="1:90" s="1299" customFormat="1">
      <c r="A58" s="1293">
        <f t="shared" si="4"/>
        <v>45095</v>
      </c>
      <c r="B58" s="1297">
        <f t="shared" si="3"/>
        <v>45095</v>
      </c>
      <c r="C58" s="1298">
        <v>0.97083333333333333</v>
      </c>
      <c r="D58" s="1034"/>
      <c r="E58" s="1034"/>
      <c r="F58" s="1034"/>
      <c r="G58" s="1034"/>
      <c r="H58" s="1034"/>
      <c r="I58" s="1034"/>
      <c r="J58" s="1034"/>
      <c r="K58" s="1034"/>
      <c r="L58" s="1034"/>
      <c r="M58" s="1034"/>
      <c r="N58" s="1034"/>
      <c r="O58" s="1034"/>
      <c r="P58" s="1034"/>
      <c r="Q58" s="1034"/>
      <c r="R58" s="1034"/>
      <c r="S58" s="1034"/>
      <c r="T58" s="1034"/>
      <c r="U58" s="1034"/>
      <c r="V58" s="1034"/>
      <c r="W58" s="1034"/>
      <c r="X58" s="1034"/>
      <c r="Y58" s="1034"/>
      <c r="Z58" s="1034"/>
      <c r="AA58" s="1034"/>
      <c r="AB58" s="1034"/>
      <c r="AC58" s="1034"/>
      <c r="AD58" s="1034"/>
      <c r="AE58" s="1034"/>
      <c r="AF58" s="1034"/>
      <c r="AG58" s="1034"/>
      <c r="AH58" s="1034"/>
      <c r="AI58" s="1034"/>
      <c r="AJ58" s="1034"/>
      <c r="AK58" s="1034"/>
      <c r="AL58" s="1034"/>
      <c r="AM58" s="1034"/>
      <c r="AN58" s="1034"/>
      <c r="AO58" s="1034"/>
      <c r="AP58" s="1034"/>
      <c r="AQ58" s="1034"/>
      <c r="AR58" s="1034"/>
      <c r="AS58" s="1034"/>
      <c r="AT58" s="1034"/>
      <c r="AU58" s="1034"/>
      <c r="AV58" s="1034"/>
      <c r="AW58" s="1034"/>
      <c r="AX58" s="1034"/>
      <c r="AY58" s="1034"/>
      <c r="AZ58" s="1034"/>
      <c r="BA58" s="1034"/>
      <c r="BB58" s="1034"/>
      <c r="BC58" s="1034"/>
      <c r="BD58" s="1034"/>
      <c r="BE58" s="1034"/>
      <c r="BF58" s="1034"/>
      <c r="BG58" s="1034"/>
      <c r="BH58" s="1034"/>
      <c r="BI58" s="1034"/>
      <c r="BJ58" s="1034"/>
      <c r="BK58" s="1034"/>
      <c r="BL58" s="1034"/>
      <c r="BM58" s="1034"/>
      <c r="BN58" s="1034"/>
      <c r="BO58" s="1034"/>
      <c r="BP58" s="1034"/>
      <c r="BQ58" s="1034"/>
      <c r="BR58" s="1034"/>
      <c r="BS58" s="1034"/>
      <c r="BT58" s="1034"/>
      <c r="BU58" s="1034"/>
      <c r="BV58" s="1034"/>
      <c r="BW58" s="1034"/>
      <c r="BX58" s="1034"/>
      <c r="BY58" s="1034"/>
      <c r="BZ58" s="1034"/>
      <c r="CA58" s="1034"/>
      <c r="CB58" s="1034"/>
      <c r="CC58" s="1034"/>
      <c r="CD58" s="1034"/>
      <c r="CE58" s="1034"/>
      <c r="CF58" s="1034"/>
      <c r="CG58" s="1034"/>
      <c r="CH58" s="1034"/>
      <c r="CI58" s="1034"/>
      <c r="CJ58" s="1034"/>
      <c r="CK58" s="1034"/>
      <c r="CL58" s="1034"/>
    </row>
    <row r="59" spans="1:90" s="1299" customFormat="1" ht="15.75" customHeight="1">
      <c r="A59" s="1293">
        <f t="shared" si="4"/>
        <v>45096</v>
      </c>
      <c r="B59" s="1297">
        <f t="shared" si="3"/>
        <v>45096</v>
      </c>
      <c r="C59" s="1298">
        <v>0.93958333333333333</v>
      </c>
      <c r="D59" s="1034"/>
      <c r="E59" s="1034"/>
      <c r="F59" s="1034"/>
      <c r="G59" s="1034"/>
      <c r="H59" s="1034"/>
      <c r="I59" s="1034"/>
      <c r="J59" s="1034"/>
      <c r="K59" s="1034"/>
      <c r="L59" s="1034"/>
      <c r="M59" s="1034"/>
      <c r="N59" s="1034"/>
      <c r="O59" s="1034"/>
      <c r="P59" s="1034"/>
      <c r="Q59" s="1034"/>
      <c r="R59" s="1034"/>
      <c r="S59" s="1034"/>
      <c r="T59" s="1034"/>
      <c r="U59" s="1034"/>
      <c r="V59" s="1034"/>
      <c r="W59" s="1034"/>
      <c r="X59" s="1034"/>
      <c r="Y59" s="1034"/>
      <c r="Z59" s="1034"/>
      <c r="AA59" s="1034"/>
      <c r="AB59" s="1034"/>
      <c r="AC59" s="1034"/>
      <c r="AD59" s="1034"/>
      <c r="AE59" s="1034"/>
      <c r="AF59" s="1034"/>
      <c r="AG59" s="1034"/>
      <c r="AH59" s="1034"/>
      <c r="AI59" s="1034"/>
      <c r="AJ59" s="1034"/>
      <c r="AK59" s="1034"/>
      <c r="AL59" s="1034"/>
      <c r="AM59" s="1034"/>
      <c r="AN59" s="1034"/>
      <c r="AO59" s="1034"/>
      <c r="AP59" s="1034"/>
      <c r="AQ59" s="1034"/>
      <c r="AR59" s="1034"/>
      <c r="AS59" s="1034"/>
      <c r="AT59" s="1034"/>
      <c r="AU59" s="1034"/>
      <c r="AV59" s="1034"/>
      <c r="AW59" s="1034"/>
      <c r="AX59" s="1034"/>
      <c r="AY59" s="1034"/>
      <c r="AZ59" s="1034"/>
      <c r="BA59" s="1034"/>
      <c r="BB59" s="1034"/>
      <c r="BC59" s="1034"/>
      <c r="BD59" s="1034"/>
      <c r="BE59" s="1034"/>
      <c r="BF59" s="1034"/>
      <c r="BG59" s="1034"/>
      <c r="BH59" s="1034"/>
      <c r="BI59" s="1034"/>
      <c r="BJ59" s="1034"/>
      <c r="BK59" s="1034"/>
      <c r="BL59" s="1034"/>
      <c r="BM59" s="1034"/>
      <c r="BN59" s="1034"/>
      <c r="BO59" s="1034"/>
      <c r="BP59" s="1034"/>
      <c r="BQ59" s="1034"/>
      <c r="BR59" s="1034"/>
      <c r="BS59" s="1034"/>
      <c r="BT59" s="1034"/>
      <c r="BU59" s="1034"/>
      <c r="BV59" s="1034"/>
      <c r="BW59" s="1034"/>
      <c r="BX59" s="1034"/>
      <c r="BY59" s="1034"/>
      <c r="BZ59" s="1034"/>
      <c r="CA59" s="1034"/>
      <c r="CB59" s="1034"/>
      <c r="CC59" s="1034"/>
      <c r="CD59" s="1034"/>
      <c r="CE59" s="1034"/>
      <c r="CF59" s="1034"/>
      <c r="CG59" s="1034"/>
      <c r="CH59" s="1034"/>
      <c r="CI59" s="1034"/>
      <c r="CJ59" s="1034"/>
      <c r="CK59" s="1034"/>
      <c r="CL59" s="1034"/>
    </row>
    <row r="60" spans="1:90" s="1299" customFormat="1" ht="16.5" customHeight="1">
      <c r="A60" s="1293">
        <f t="shared" si="4"/>
        <v>45097</v>
      </c>
      <c r="B60" s="1297">
        <f t="shared" si="3"/>
        <v>45097</v>
      </c>
      <c r="C60" s="1298">
        <v>0.9159722222222223</v>
      </c>
      <c r="D60" s="1034"/>
      <c r="E60" s="1034"/>
      <c r="F60" s="1034"/>
      <c r="G60" s="1034"/>
      <c r="H60" s="1034"/>
      <c r="I60" s="1034"/>
      <c r="J60" s="1034"/>
      <c r="K60" s="1034"/>
      <c r="L60" s="1034"/>
      <c r="M60" s="1034"/>
      <c r="N60" s="1034"/>
      <c r="O60" s="1034"/>
      <c r="P60" s="1034"/>
      <c r="Q60" s="1034"/>
      <c r="R60" s="1034"/>
      <c r="S60" s="1034"/>
      <c r="T60" s="1034"/>
      <c r="U60" s="1034"/>
      <c r="V60" s="1034"/>
      <c r="W60" s="1034"/>
      <c r="X60" s="1034"/>
      <c r="Y60" s="1034"/>
      <c r="Z60" s="1034"/>
      <c r="AA60" s="1034"/>
      <c r="AB60" s="1034"/>
      <c r="AC60" s="1034"/>
      <c r="AD60" s="1034"/>
      <c r="AE60" s="1034"/>
      <c r="AF60" s="1034"/>
      <c r="AG60" s="1034"/>
      <c r="AH60" s="1034"/>
      <c r="AI60" s="1034"/>
      <c r="AJ60" s="1034"/>
      <c r="AK60" s="1034"/>
      <c r="AL60" s="1034"/>
      <c r="AM60" s="1034"/>
      <c r="AN60" s="1034"/>
      <c r="AO60" s="1034"/>
      <c r="AP60" s="1034"/>
      <c r="AQ60" s="1034"/>
      <c r="AR60" s="1034"/>
      <c r="AS60" s="1034"/>
      <c r="AT60" s="1034"/>
      <c r="AU60" s="1034"/>
      <c r="AV60" s="1034"/>
      <c r="AW60" s="1034"/>
      <c r="AX60" s="1034"/>
      <c r="AY60" s="1034"/>
      <c r="AZ60" s="1034"/>
      <c r="BA60" s="1034"/>
      <c r="BB60" s="1034"/>
      <c r="BC60" s="1034"/>
      <c r="BD60" s="1034"/>
      <c r="BE60" s="1034"/>
      <c r="BF60" s="1034"/>
      <c r="BG60" s="1034"/>
      <c r="BH60" s="1034"/>
      <c r="BI60" s="1034"/>
      <c r="BJ60" s="1034"/>
      <c r="BK60" s="1034"/>
      <c r="BL60" s="1034"/>
      <c r="BM60" s="1034"/>
      <c r="BN60" s="1034"/>
      <c r="BO60" s="1034"/>
      <c r="BP60" s="1034"/>
      <c r="BQ60" s="1034"/>
      <c r="BR60" s="1034"/>
      <c r="BS60" s="1034"/>
      <c r="BT60" s="1034"/>
      <c r="BU60" s="1034"/>
      <c r="BV60" s="1034"/>
      <c r="BW60" s="1034"/>
      <c r="BX60" s="1034"/>
      <c r="BY60" s="1034"/>
      <c r="BZ60" s="1034"/>
      <c r="CA60" s="1034"/>
      <c r="CB60" s="1034"/>
      <c r="CC60" s="1034"/>
      <c r="CD60" s="1034"/>
      <c r="CE60" s="1034"/>
      <c r="CF60" s="1034"/>
      <c r="CG60" s="1034"/>
      <c r="CH60" s="1034"/>
      <c r="CI60" s="1034"/>
      <c r="CJ60" s="1034"/>
      <c r="CK60" s="1034"/>
      <c r="CL60" s="1034"/>
    </row>
    <row r="61" spans="1:90" s="1299" customFormat="1" ht="15.75" customHeight="1">
      <c r="A61" s="1293">
        <f t="shared" si="4"/>
        <v>45098</v>
      </c>
      <c r="B61" s="1297">
        <f t="shared" si="3"/>
        <v>45098</v>
      </c>
      <c r="C61" s="1298">
        <v>0.93472222222222223</v>
      </c>
      <c r="D61" s="1034"/>
      <c r="E61" s="1034"/>
      <c r="F61" s="1034"/>
      <c r="G61" s="1034"/>
      <c r="H61" s="1034"/>
      <c r="I61" s="1034"/>
      <c r="J61" s="1034"/>
      <c r="K61" s="1034"/>
      <c r="L61" s="1034"/>
      <c r="M61" s="1034"/>
      <c r="N61" s="1034"/>
      <c r="O61" s="1034"/>
      <c r="P61" s="1034"/>
      <c r="Q61" s="1034"/>
      <c r="R61" s="1034"/>
      <c r="S61" s="1034"/>
      <c r="T61" s="1034"/>
      <c r="U61" s="1034"/>
      <c r="V61" s="1034"/>
      <c r="W61" s="1034"/>
      <c r="X61" s="1034"/>
      <c r="Y61" s="1034"/>
      <c r="Z61" s="1034"/>
      <c r="AA61" s="1034"/>
      <c r="AB61" s="1034"/>
      <c r="AC61" s="1034"/>
      <c r="AD61" s="1034"/>
      <c r="AE61" s="1034"/>
      <c r="AF61" s="1034"/>
      <c r="AG61" s="1034"/>
      <c r="AH61" s="1034"/>
      <c r="AI61" s="1034"/>
      <c r="AJ61" s="1034"/>
      <c r="AK61" s="1034"/>
      <c r="AL61" s="1034"/>
      <c r="AM61" s="1034"/>
      <c r="AN61" s="1034"/>
      <c r="AO61" s="1034"/>
      <c r="AP61" s="1034"/>
      <c r="AQ61" s="1034"/>
      <c r="AR61" s="1034"/>
      <c r="AS61" s="1034"/>
      <c r="AT61" s="1034"/>
      <c r="AU61" s="1034"/>
      <c r="AV61" s="1034"/>
      <c r="AW61" s="1034"/>
      <c r="AX61" s="1034"/>
      <c r="AY61" s="1034"/>
      <c r="AZ61" s="1034"/>
      <c r="BA61" s="1034"/>
      <c r="BB61" s="1034"/>
      <c r="BC61" s="1034"/>
      <c r="BD61" s="1034"/>
      <c r="BE61" s="1034"/>
      <c r="BF61" s="1034"/>
      <c r="BG61" s="1034"/>
      <c r="BH61" s="1034"/>
      <c r="BI61" s="1034"/>
      <c r="BJ61" s="1034"/>
      <c r="BK61" s="1034"/>
      <c r="BL61" s="1034"/>
      <c r="BM61" s="1034"/>
      <c r="BN61" s="1034"/>
      <c r="BO61" s="1034"/>
      <c r="BP61" s="1034"/>
      <c r="BQ61" s="1034"/>
      <c r="BR61" s="1034"/>
      <c r="BS61" s="1034"/>
      <c r="BT61" s="1034"/>
      <c r="BU61" s="1034"/>
      <c r="BV61" s="1034"/>
      <c r="BW61" s="1034"/>
      <c r="BX61" s="1034"/>
      <c r="BY61" s="1034"/>
      <c r="BZ61" s="1034"/>
      <c r="CA61" s="1034"/>
      <c r="CB61" s="1034"/>
      <c r="CC61" s="1034"/>
      <c r="CD61" s="1034"/>
      <c r="CE61" s="1034"/>
      <c r="CF61" s="1034"/>
      <c r="CG61" s="1034"/>
      <c r="CH61" s="1034"/>
      <c r="CI61" s="1034"/>
      <c r="CJ61" s="1034"/>
      <c r="CK61" s="1034"/>
      <c r="CL61" s="1034"/>
    </row>
    <row r="62" spans="1:90" s="1299" customFormat="1">
      <c r="A62" s="1293">
        <f t="shared" si="4"/>
        <v>45099</v>
      </c>
      <c r="B62" s="1297">
        <f t="shared" si="3"/>
        <v>45099</v>
      </c>
      <c r="C62" s="1298">
        <v>0.9145833333333333</v>
      </c>
      <c r="D62" s="1034"/>
      <c r="E62" s="1034"/>
      <c r="F62" s="1034"/>
      <c r="G62" s="1034"/>
      <c r="H62" s="1034"/>
      <c r="I62" s="1034"/>
      <c r="J62" s="1034"/>
      <c r="K62" s="1034"/>
      <c r="L62" s="1034"/>
      <c r="M62" s="1034"/>
      <c r="N62" s="1034"/>
      <c r="O62" s="1034"/>
      <c r="P62" s="1034"/>
      <c r="Q62" s="1034"/>
      <c r="R62" s="1034"/>
      <c r="S62" s="1034"/>
      <c r="T62" s="1034"/>
      <c r="U62" s="1034"/>
      <c r="V62" s="1034"/>
      <c r="W62" s="1034"/>
      <c r="X62" s="1034"/>
      <c r="Y62" s="1034"/>
      <c r="Z62" s="1034"/>
      <c r="AA62" s="1034"/>
      <c r="AB62" s="1034"/>
      <c r="AC62" s="1034"/>
      <c r="AD62" s="1034"/>
      <c r="AE62" s="1034"/>
      <c r="AF62" s="1034"/>
      <c r="AG62" s="1034"/>
      <c r="AH62" s="1034"/>
      <c r="AI62" s="1034"/>
      <c r="AJ62" s="1034"/>
      <c r="AK62" s="1034"/>
      <c r="AL62" s="1034"/>
      <c r="AM62" s="1034"/>
      <c r="AN62" s="1034"/>
      <c r="AO62" s="1034"/>
      <c r="AP62" s="1034"/>
      <c r="AQ62" s="1034"/>
      <c r="AR62" s="1034"/>
      <c r="AS62" s="1034"/>
      <c r="AT62" s="1034"/>
      <c r="AU62" s="1034"/>
      <c r="AV62" s="1034"/>
      <c r="AW62" s="1034"/>
      <c r="AX62" s="1034"/>
      <c r="AY62" s="1034"/>
      <c r="AZ62" s="1034"/>
      <c r="BA62" s="1034"/>
      <c r="BB62" s="1034"/>
      <c r="BC62" s="1034"/>
      <c r="BD62" s="1034"/>
      <c r="BE62" s="1034"/>
      <c r="BF62" s="1034"/>
      <c r="BG62" s="1034"/>
      <c r="BH62" s="1034"/>
      <c r="BI62" s="1034"/>
      <c r="BJ62" s="1034"/>
      <c r="BK62" s="1034"/>
      <c r="BL62" s="1034"/>
      <c r="BM62" s="1034"/>
      <c r="BN62" s="1034"/>
      <c r="BO62" s="1034"/>
      <c r="BP62" s="1034"/>
      <c r="BQ62" s="1034"/>
      <c r="BR62" s="1034"/>
      <c r="BS62" s="1034"/>
      <c r="BT62" s="1034"/>
      <c r="BU62" s="1034"/>
      <c r="BV62" s="1034"/>
      <c r="BW62" s="1034"/>
      <c r="BX62" s="1034"/>
      <c r="BY62" s="1034"/>
      <c r="BZ62" s="1034"/>
      <c r="CA62" s="1034"/>
      <c r="CB62" s="1034"/>
      <c r="CC62" s="1034"/>
      <c r="CD62" s="1034"/>
      <c r="CE62" s="1034"/>
      <c r="CF62" s="1034"/>
      <c r="CG62" s="1034"/>
      <c r="CH62" s="1034"/>
      <c r="CI62" s="1034"/>
      <c r="CJ62" s="1034"/>
      <c r="CK62" s="1034"/>
      <c r="CL62" s="1034"/>
    </row>
    <row r="63" spans="1:90" s="1299" customFormat="1">
      <c r="A63" s="1293">
        <f t="shared" si="4"/>
        <v>45100</v>
      </c>
      <c r="B63" s="1297">
        <f t="shared" si="3"/>
        <v>45100</v>
      </c>
      <c r="C63" s="1298">
        <v>0.9375</v>
      </c>
      <c r="D63" s="1034"/>
      <c r="E63" s="1034"/>
      <c r="F63" s="1034"/>
      <c r="G63" s="1034"/>
      <c r="H63" s="1034"/>
      <c r="I63" s="1034"/>
      <c r="J63" s="1034"/>
      <c r="K63" s="1034"/>
      <c r="L63" s="1034"/>
      <c r="M63" s="1034"/>
      <c r="N63" s="1034"/>
      <c r="O63" s="1034"/>
      <c r="P63" s="1034"/>
      <c r="Q63" s="1034"/>
      <c r="R63" s="1034"/>
      <c r="S63" s="1034"/>
      <c r="T63" s="1034"/>
      <c r="U63" s="1034"/>
      <c r="V63" s="1034"/>
      <c r="W63" s="1034"/>
      <c r="X63" s="1034"/>
      <c r="Y63" s="1034"/>
      <c r="Z63" s="1034"/>
      <c r="AA63" s="1034"/>
      <c r="AB63" s="1034"/>
      <c r="AC63" s="1034"/>
      <c r="AD63" s="1034"/>
      <c r="AE63" s="1034"/>
      <c r="AF63" s="1034"/>
      <c r="AG63" s="1034"/>
      <c r="AH63" s="1034"/>
      <c r="AI63" s="1034"/>
      <c r="AJ63" s="1034"/>
      <c r="AK63" s="1034"/>
      <c r="AL63" s="1034"/>
      <c r="AM63" s="1034"/>
      <c r="AN63" s="1034"/>
      <c r="AO63" s="1034"/>
      <c r="AP63" s="1034"/>
      <c r="AQ63" s="1034"/>
      <c r="AR63" s="1034"/>
      <c r="AS63" s="1034"/>
      <c r="AT63" s="1034"/>
      <c r="AU63" s="1034"/>
      <c r="AV63" s="1034"/>
      <c r="AW63" s="1034"/>
      <c r="AX63" s="1034"/>
      <c r="AY63" s="1034"/>
      <c r="AZ63" s="1034"/>
      <c r="BA63" s="1034"/>
      <c r="BB63" s="1034"/>
      <c r="BC63" s="1034"/>
      <c r="BD63" s="1034"/>
      <c r="BE63" s="1034"/>
      <c r="BF63" s="1034"/>
      <c r="BG63" s="1034"/>
      <c r="BH63" s="1034"/>
      <c r="BI63" s="1034"/>
      <c r="BJ63" s="1034"/>
      <c r="BK63" s="1034"/>
      <c r="BL63" s="1034"/>
      <c r="BM63" s="1034"/>
      <c r="BN63" s="1034"/>
      <c r="BO63" s="1034"/>
      <c r="BP63" s="1034"/>
      <c r="BQ63" s="1034"/>
      <c r="BR63" s="1034"/>
      <c r="BS63" s="1034"/>
      <c r="BT63" s="1034"/>
      <c r="BU63" s="1034"/>
      <c r="BV63" s="1034"/>
      <c r="BW63" s="1034"/>
      <c r="BX63" s="1034"/>
      <c r="BY63" s="1034"/>
      <c r="BZ63" s="1034"/>
      <c r="CA63" s="1034"/>
      <c r="CB63" s="1034"/>
      <c r="CC63" s="1034"/>
      <c r="CD63" s="1034"/>
      <c r="CE63" s="1034"/>
      <c r="CF63" s="1034"/>
      <c r="CG63" s="1034"/>
      <c r="CH63" s="1034"/>
      <c r="CI63" s="1034"/>
      <c r="CJ63" s="1034"/>
      <c r="CK63" s="1034"/>
      <c r="CL63" s="1034"/>
    </row>
    <row r="64" spans="1:90" s="1299" customFormat="1">
      <c r="A64" s="1293">
        <f t="shared" si="4"/>
        <v>45101</v>
      </c>
      <c r="B64" s="1297">
        <f t="shared" si="3"/>
        <v>45101</v>
      </c>
      <c r="C64" s="1298">
        <v>0.90972222222222221</v>
      </c>
      <c r="D64" s="1298"/>
      <c r="E64" s="1034"/>
      <c r="F64" s="1034"/>
      <c r="G64" s="1034"/>
      <c r="H64" s="1034"/>
      <c r="I64" s="1034"/>
      <c r="J64" s="1034"/>
      <c r="K64" s="1034"/>
      <c r="L64" s="1034"/>
      <c r="M64" s="1034"/>
      <c r="N64" s="1034"/>
      <c r="O64" s="1034"/>
      <c r="P64" s="1034"/>
      <c r="Q64" s="1034"/>
      <c r="R64" s="1034"/>
      <c r="S64" s="1034"/>
      <c r="T64" s="1034"/>
      <c r="U64" s="1034"/>
      <c r="V64" s="1034"/>
      <c r="W64" s="1034"/>
      <c r="X64" s="1034"/>
      <c r="Y64" s="1034"/>
      <c r="Z64" s="1034"/>
      <c r="AA64" s="1034"/>
      <c r="AB64" s="1034"/>
      <c r="AC64" s="1034"/>
      <c r="AD64" s="1034"/>
      <c r="AE64" s="1034"/>
      <c r="AF64" s="1034"/>
      <c r="AG64" s="1034"/>
      <c r="AH64" s="1034"/>
      <c r="AI64" s="1034"/>
      <c r="AJ64" s="1034"/>
      <c r="AK64" s="1034"/>
      <c r="AL64" s="1034"/>
      <c r="AM64" s="1034"/>
      <c r="AN64" s="1034"/>
      <c r="AO64" s="1034"/>
      <c r="AP64" s="1034"/>
      <c r="AQ64" s="1034"/>
      <c r="AR64" s="1034"/>
      <c r="AS64" s="1034"/>
      <c r="AT64" s="1034"/>
      <c r="AU64" s="1034"/>
      <c r="AV64" s="1034"/>
      <c r="AW64" s="1034"/>
      <c r="AX64" s="1034"/>
      <c r="AY64" s="1034"/>
      <c r="AZ64" s="1034"/>
      <c r="BA64" s="1034"/>
      <c r="BB64" s="1034"/>
      <c r="BC64" s="1034"/>
      <c r="BD64" s="1034"/>
      <c r="BE64" s="1034"/>
      <c r="BF64" s="1034"/>
      <c r="BG64" s="1034"/>
      <c r="BH64" s="1034"/>
      <c r="BI64" s="1034"/>
      <c r="BJ64" s="1034"/>
      <c r="BK64" s="1034"/>
      <c r="BL64" s="1034"/>
      <c r="BM64" s="1034"/>
      <c r="BN64" s="1034"/>
      <c r="BO64" s="1034"/>
      <c r="BP64" s="1034"/>
      <c r="BQ64" s="1034"/>
      <c r="BR64" s="1034"/>
      <c r="BS64" s="1034"/>
      <c r="BT64" s="1034"/>
      <c r="BU64" s="1034"/>
      <c r="BV64" s="1034"/>
      <c r="BW64" s="1034"/>
      <c r="BX64" s="1034"/>
      <c r="BY64" s="1034"/>
      <c r="BZ64" s="1034"/>
      <c r="CA64" s="1034"/>
      <c r="CB64" s="1034"/>
      <c r="CC64" s="1034"/>
      <c r="CD64" s="1034"/>
      <c r="CE64" s="1034"/>
      <c r="CF64" s="1034"/>
      <c r="CG64" s="1034"/>
      <c r="CH64" s="1034"/>
      <c r="CI64" s="1034"/>
      <c r="CJ64" s="1034"/>
      <c r="CK64" s="1034"/>
      <c r="CL64" s="1034"/>
    </row>
    <row r="65" spans="1:90" s="1299" customFormat="1">
      <c r="A65" s="1293">
        <f t="shared" si="4"/>
        <v>45102</v>
      </c>
      <c r="B65" s="1297">
        <f t="shared" si="3"/>
        <v>45102</v>
      </c>
      <c r="C65" s="1298">
        <v>0.875</v>
      </c>
      <c r="D65" s="1034"/>
      <c r="E65" s="1034"/>
      <c r="F65" s="1034"/>
      <c r="G65" s="1034"/>
      <c r="H65" s="1034"/>
      <c r="I65" s="1034"/>
      <c r="J65" s="1034"/>
      <c r="K65" s="1034"/>
      <c r="L65" s="1034"/>
      <c r="M65" s="1034"/>
      <c r="N65" s="1034"/>
      <c r="O65" s="1034"/>
      <c r="P65" s="1034"/>
      <c r="Q65" s="1034"/>
      <c r="R65" s="1034"/>
      <c r="S65" s="1034"/>
      <c r="T65" s="1034"/>
      <c r="U65" s="1034"/>
      <c r="V65" s="1034"/>
      <c r="W65" s="1034"/>
      <c r="X65" s="1034"/>
      <c r="Y65" s="1034"/>
      <c r="Z65" s="1034"/>
      <c r="AA65" s="1034"/>
      <c r="AB65" s="1034"/>
      <c r="AC65" s="1034"/>
      <c r="AD65" s="1034"/>
      <c r="AE65" s="1034"/>
      <c r="AF65" s="1034"/>
      <c r="AG65" s="1034"/>
      <c r="AH65" s="1034"/>
      <c r="AI65" s="1034"/>
      <c r="AJ65" s="1034"/>
      <c r="AK65" s="1034"/>
      <c r="AL65" s="1034"/>
      <c r="AM65" s="1034"/>
      <c r="AN65" s="1034"/>
      <c r="AO65" s="1034"/>
      <c r="AP65" s="1034"/>
      <c r="AQ65" s="1034"/>
      <c r="AR65" s="1034"/>
      <c r="AS65" s="1034"/>
      <c r="AT65" s="1034"/>
      <c r="AU65" s="1034"/>
      <c r="AV65" s="1034"/>
      <c r="AW65" s="1034"/>
      <c r="AX65" s="1034"/>
      <c r="AY65" s="1034"/>
      <c r="AZ65" s="1034"/>
      <c r="BA65" s="1034"/>
      <c r="BB65" s="1034"/>
      <c r="BC65" s="1034"/>
      <c r="BD65" s="1034"/>
      <c r="BE65" s="1034"/>
      <c r="BF65" s="1034"/>
      <c r="BG65" s="1034"/>
      <c r="BH65" s="1034"/>
      <c r="BI65" s="1034"/>
      <c r="BJ65" s="1034"/>
      <c r="BK65" s="1034"/>
      <c r="BL65" s="1034"/>
      <c r="BM65" s="1034"/>
      <c r="BN65" s="1034"/>
      <c r="BO65" s="1034"/>
      <c r="BP65" s="1034"/>
      <c r="BQ65" s="1034"/>
      <c r="BR65" s="1034"/>
      <c r="BS65" s="1034"/>
      <c r="BT65" s="1034"/>
      <c r="BU65" s="1034"/>
      <c r="BV65" s="1034"/>
      <c r="BW65" s="1034"/>
      <c r="BX65" s="1034"/>
      <c r="BY65" s="1034"/>
      <c r="BZ65" s="1034"/>
      <c r="CA65" s="1034"/>
      <c r="CB65" s="1034"/>
      <c r="CC65" s="1034"/>
      <c r="CD65" s="1034"/>
      <c r="CE65" s="1034"/>
      <c r="CF65" s="1034"/>
      <c r="CG65" s="1034"/>
      <c r="CH65" s="1034"/>
      <c r="CI65" s="1034"/>
      <c r="CJ65" s="1034"/>
      <c r="CK65" s="1034"/>
      <c r="CL65" s="1034"/>
    </row>
    <row r="66" spans="1:90" s="1299" customFormat="1">
      <c r="A66" s="1293">
        <f t="shared" si="4"/>
        <v>45103</v>
      </c>
      <c r="B66" s="1297">
        <f t="shared" si="3"/>
        <v>45103</v>
      </c>
      <c r="C66" s="1298">
        <v>0.85416666666666663</v>
      </c>
      <c r="D66" s="1034"/>
      <c r="E66" s="1034"/>
      <c r="F66" s="1034"/>
      <c r="G66" s="1034"/>
      <c r="H66" s="1034"/>
      <c r="I66" s="1034"/>
      <c r="J66" s="1034"/>
      <c r="K66" s="1034"/>
      <c r="L66" s="1034"/>
      <c r="M66" s="1034"/>
      <c r="N66" s="1034"/>
      <c r="O66" s="1034"/>
      <c r="P66" s="1034"/>
      <c r="Q66" s="1034"/>
      <c r="R66" s="1034"/>
      <c r="S66" s="1034"/>
      <c r="T66" s="1034"/>
      <c r="U66" s="1034"/>
      <c r="V66" s="1034"/>
      <c r="W66" s="1034"/>
      <c r="X66" s="1034"/>
      <c r="Y66" s="1034"/>
      <c r="Z66" s="1034"/>
      <c r="AA66" s="1034"/>
      <c r="AB66" s="1034"/>
      <c r="AC66" s="1034"/>
      <c r="AD66" s="1034"/>
      <c r="AE66" s="1034"/>
      <c r="AF66" s="1034"/>
      <c r="AG66" s="1034"/>
      <c r="AH66" s="1034"/>
      <c r="AI66" s="1034"/>
      <c r="AJ66" s="1034"/>
      <c r="AK66" s="1034"/>
      <c r="AL66" s="1034"/>
      <c r="AM66" s="1034"/>
      <c r="AN66" s="1034"/>
      <c r="AO66" s="1034"/>
      <c r="AP66" s="1034"/>
      <c r="AQ66" s="1034"/>
      <c r="AR66" s="1034"/>
      <c r="AS66" s="1034"/>
      <c r="AT66" s="1034"/>
      <c r="AU66" s="1034"/>
      <c r="AV66" s="1034"/>
      <c r="AW66" s="1034"/>
      <c r="AX66" s="1034"/>
      <c r="AY66" s="1034"/>
      <c r="AZ66" s="1034"/>
      <c r="BA66" s="1034"/>
      <c r="BB66" s="1034"/>
      <c r="BC66" s="1034"/>
      <c r="BD66" s="1034"/>
      <c r="BE66" s="1034"/>
      <c r="BF66" s="1034"/>
      <c r="BG66" s="1034"/>
      <c r="BH66" s="1034"/>
      <c r="BI66" s="1034"/>
      <c r="BJ66" s="1034"/>
      <c r="BK66" s="1034"/>
      <c r="BL66" s="1034"/>
      <c r="BM66" s="1034"/>
      <c r="BN66" s="1034"/>
      <c r="BO66" s="1034"/>
      <c r="BP66" s="1034"/>
      <c r="BQ66" s="1034"/>
      <c r="BR66" s="1034"/>
      <c r="BS66" s="1034"/>
      <c r="BT66" s="1034"/>
      <c r="BU66" s="1034"/>
      <c r="BV66" s="1034"/>
      <c r="BW66" s="1034"/>
      <c r="BX66" s="1034"/>
      <c r="BY66" s="1034"/>
      <c r="BZ66" s="1034"/>
      <c r="CA66" s="1034"/>
      <c r="CB66" s="1034"/>
      <c r="CC66" s="1034"/>
      <c r="CD66" s="1034"/>
      <c r="CE66" s="1034"/>
      <c r="CF66" s="1034"/>
      <c r="CG66" s="1034"/>
      <c r="CH66" s="1034"/>
      <c r="CI66" s="1034"/>
      <c r="CJ66" s="1034"/>
      <c r="CK66" s="1034"/>
      <c r="CL66" s="1034"/>
    </row>
    <row r="67" spans="1:90" s="1299" customFormat="1">
      <c r="A67" s="1293">
        <f t="shared" si="4"/>
        <v>45104</v>
      </c>
      <c r="B67" s="1297">
        <f t="shared" si="3"/>
        <v>45104</v>
      </c>
      <c r="C67" s="1298">
        <v>0.89583333333333304</v>
      </c>
      <c r="D67" s="1034"/>
      <c r="E67" s="1034"/>
      <c r="F67" s="1034"/>
      <c r="G67" s="1034"/>
      <c r="H67" s="1034"/>
      <c r="I67" s="1034"/>
      <c r="J67" s="1034"/>
      <c r="K67" s="1034"/>
      <c r="L67" s="1034"/>
      <c r="M67" s="1034"/>
      <c r="N67" s="1034"/>
      <c r="O67" s="1034"/>
      <c r="P67" s="1034"/>
      <c r="Q67" s="1034"/>
      <c r="R67" s="1034"/>
      <c r="S67" s="1034"/>
      <c r="T67" s="1034"/>
      <c r="U67" s="1034"/>
      <c r="V67" s="1034"/>
      <c r="W67" s="1034"/>
      <c r="X67" s="1034"/>
      <c r="Y67" s="1034"/>
      <c r="Z67" s="1034"/>
      <c r="AA67" s="1034"/>
      <c r="AB67" s="1034"/>
      <c r="AC67" s="1034"/>
      <c r="AD67" s="1034"/>
      <c r="AE67" s="1034"/>
      <c r="AF67" s="1034"/>
      <c r="AG67" s="1034"/>
      <c r="AH67" s="1034"/>
      <c r="AI67" s="1034"/>
      <c r="AJ67" s="1034"/>
      <c r="AK67" s="1034"/>
      <c r="AL67" s="1034"/>
      <c r="AM67" s="1034"/>
      <c r="AN67" s="1034"/>
      <c r="AO67" s="1034"/>
      <c r="AP67" s="1034"/>
      <c r="AQ67" s="1034"/>
      <c r="AR67" s="1034"/>
      <c r="AS67" s="1034"/>
      <c r="AT67" s="1034"/>
      <c r="AU67" s="1034"/>
      <c r="AV67" s="1034"/>
      <c r="AW67" s="1034"/>
      <c r="AX67" s="1034"/>
      <c r="AY67" s="1034"/>
      <c r="AZ67" s="1034"/>
      <c r="BA67" s="1034"/>
      <c r="BB67" s="1034"/>
      <c r="BC67" s="1034"/>
      <c r="BD67" s="1034"/>
      <c r="BE67" s="1034"/>
      <c r="BF67" s="1034"/>
      <c r="BG67" s="1034"/>
      <c r="BH67" s="1034"/>
      <c r="BI67" s="1034"/>
      <c r="BJ67" s="1034"/>
      <c r="BK67" s="1034"/>
      <c r="BL67" s="1034"/>
      <c r="BM67" s="1034"/>
      <c r="BN67" s="1034"/>
      <c r="BO67" s="1034"/>
      <c r="BP67" s="1034"/>
      <c r="BQ67" s="1034"/>
      <c r="BR67" s="1034"/>
      <c r="BS67" s="1034"/>
      <c r="BT67" s="1034"/>
      <c r="BU67" s="1034"/>
      <c r="BV67" s="1034"/>
      <c r="BW67" s="1034"/>
      <c r="BX67" s="1034"/>
      <c r="BY67" s="1034"/>
      <c r="BZ67" s="1034"/>
      <c r="CA67" s="1034"/>
      <c r="CB67" s="1034"/>
      <c r="CC67" s="1034"/>
      <c r="CD67" s="1034"/>
      <c r="CE67" s="1034"/>
      <c r="CF67" s="1034"/>
      <c r="CG67" s="1034"/>
      <c r="CH67" s="1034"/>
      <c r="CI67" s="1034"/>
      <c r="CJ67" s="1034"/>
      <c r="CK67" s="1034"/>
      <c r="CL67" s="1034"/>
    </row>
    <row r="68" spans="1:90" s="1299" customFormat="1">
      <c r="A68" s="1293">
        <f t="shared" si="4"/>
        <v>45105</v>
      </c>
      <c r="B68" s="1297">
        <f t="shared" si="3"/>
        <v>45105</v>
      </c>
      <c r="C68" s="1298">
        <v>0.92222222222222217</v>
      </c>
      <c r="D68" s="1298"/>
      <c r="E68" s="1034"/>
      <c r="F68" s="1034"/>
      <c r="G68" s="1034"/>
      <c r="H68" s="1034"/>
      <c r="I68" s="1034"/>
      <c r="J68" s="1034"/>
      <c r="K68" s="1034"/>
      <c r="L68" s="1034"/>
      <c r="M68" s="1034"/>
      <c r="N68" s="1034"/>
      <c r="O68" s="1034"/>
      <c r="P68" s="1034"/>
      <c r="Q68" s="1034"/>
      <c r="R68" s="1034"/>
      <c r="S68" s="1034"/>
      <c r="T68" s="1034"/>
      <c r="U68" s="1034"/>
      <c r="V68" s="1034"/>
      <c r="W68" s="1034"/>
      <c r="X68" s="1034"/>
      <c r="Y68" s="1034"/>
      <c r="Z68" s="1034"/>
      <c r="AA68" s="1034"/>
      <c r="AB68" s="1034"/>
      <c r="AC68" s="1034"/>
      <c r="AD68" s="1034"/>
      <c r="AE68" s="1034"/>
      <c r="AF68" s="1034"/>
      <c r="AG68" s="1034"/>
      <c r="AH68" s="1034"/>
      <c r="AI68" s="1034"/>
      <c r="AJ68" s="1034"/>
      <c r="AK68" s="1034"/>
      <c r="AL68" s="1034"/>
      <c r="AM68" s="1034"/>
      <c r="AN68" s="1034"/>
      <c r="AO68" s="1034"/>
      <c r="AP68" s="1034"/>
      <c r="AQ68" s="1034"/>
      <c r="AR68" s="1034"/>
      <c r="AS68" s="1034"/>
      <c r="AT68" s="1034"/>
      <c r="AU68" s="1034"/>
      <c r="AV68" s="1034"/>
      <c r="AW68" s="1034"/>
      <c r="AX68" s="1034"/>
      <c r="AY68" s="1034"/>
      <c r="AZ68" s="1034"/>
      <c r="BA68" s="1034"/>
      <c r="BB68" s="1034"/>
      <c r="BC68" s="1034"/>
      <c r="BD68" s="1034"/>
      <c r="BE68" s="1034"/>
      <c r="BF68" s="1034"/>
      <c r="BG68" s="1034"/>
      <c r="BH68" s="1034"/>
      <c r="BI68" s="1034"/>
      <c r="BJ68" s="1034"/>
      <c r="BK68" s="1034"/>
      <c r="BL68" s="1034"/>
      <c r="BM68" s="1034"/>
      <c r="BN68" s="1034"/>
      <c r="BO68" s="1034"/>
      <c r="BP68" s="1034"/>
      <c r="BQ68" s="1034"/>
      <c r="BR68" s="1034"/>
      <c r="BS68" s="1034"/>
      <c r="BT68" s="1034"/>
      <c r="BU68" s="1034"/>
      <c r="BV68" s="1034"/>
      <c r="BW68" s="1034"/>
      <c r="BX68" s="1034"/>
      <c r="BY68" s="1034"/>
      <c r="BZ68" s="1034"/>
      <c r="CA68" s="1034"/>
      <c r="CB68" s="1034"/>
      <c r="CC68" s="1034"/>
      <c r="CD68" s="1034"/>
      <c r="CE68" s="1034"/>
      <c r="CF68" s="1034"/>
      <c r="CG68" s="1034"/>
      <c r="CH68" s="1034"/>
      <c r="CI68" s="1034"/>
      <c r="CJ68" s="1034"/>
      <c r="CK68" s="1034"/>
      <c r="CL68" s="1034"/>
    </row>
    <row r="69" spans="1:90">
      <c r="A69" s="1293">
        <f t="shared" ref="A69:A71" si="5">B69</f>
        <v>45106</v>
      </c>
      <c r="B69" s="1297">
        <f t="shared" si="3"/>
        <v>45106</v>
      </c>
      <c r="C69" s="1298">
        <v>0.8965277777777777</v>
      </c>
      <c r="E69" s="1034"/>
      <c r="F69" s="1034"/>
      <c r="G69" s="1034"/>
      <c r="H69" s="1034"/>
      <c r="I69" s="1034"/>
      <c r="J69" s="1034"/>
      <c r="K69" s="1034"/>
      <c r="L69" s="1034"/>
      <c r="M69" s="1034"/>
      <c r="N69" s="1034"/>
      <c r="O69" s="1034"/>
      <c r="P69" s="1034"/>
      <c r="Q69" s="1034"/>
      <c r="R69" s="1034"/>
      <c r="S69" s="1034"/>
      <c r="T69" s="1034"/>
      <c r="U69" s="1034"/>
      <c r="V69" s="1034"/>
      <c r="W69" s="1034"/>
      <c r="X69" s="1034"/>
      <c r="Y69" s="1034"/>
      <c r="Z69" s="1034"/>
      <c r="AA69" s="1034"/>
      <c r="AB69" s="1034"/>
      <c r="AC69" s="1034"/>
      <c r="AD69" s="1034"/>
      <c r="AE69" s="1034"/>
      <c r="AF69" s="1034"/>
      <c r="AG69" s="1034"/>
      <c r="AH69" s="1034"/>
      <c r="AI69" s="1034"/>
      <c r="AJ69" s="1034"/>
      <c r="AK69" s="1034"/>
      <c r="AL69" s="1034"/>
      <c r="AM69" s="1034"/>
      <c r="AN69" s="1034"/>
      <c r="AO69" s="1034"/>
      <c r="AP69" s="1034"/>
      <c r="AQ69" s="1034"/>
      <c r="AR69" s="1034"/>
      <c r="AS69" s="1034"/>
      <c r="AT69" s="1034"/>
      <c r="AU69" s="1034"/>
      <c r="AV69" s="1034"/>
      <c r="AW69" s="1034"/>
      <c r="AX69" s="1034"/>
      <c r="AY69" s="1034"/>
      <c r="AZ69" s="1034"/>
      <c r="BA69" s="1034"/>
      <c r="BB69" s="1034"/>
      <c r="BC69" s="1034"/>
      <c r="BD69" s="1034"/>
      <c r="BE69" s="1034"/>
      <c r="BF69" s="1034"/>
      <c r="BG69" s="1034"/>
      <c r="BH69" s="1034"/>
      <c r="BI69" s="1034"/>
      <c r="BJ69" s="1034"/>
      <c r="BK69" s="1034"/>
      <c r="BL69" s="1034"/>
      <c r="BM69" s="1034"/>
      <c r="BN69" s="1034"/>
      <c r="BO69" s="1034"/>
      <c r="BP69" s="1034"/>
      <c r="BQ69" s="1034"/>
      <c r="BR69" s="1034"/>
      <c r="BS69" s="1034"/>
      <c r="BT69" s="1034"/>
      <c r="BU69" s="1034"/>
      <c r="BV69" s="1034"/>
      <c r="BW69" s="1034"/>
      <c r="BX69" s="1034"/>
      <c r="BY69" s="1034"/>
      <c r="BZ69" s="1034"/>
      <c r="CA69" s="1034"/>
      <c r="CB69" s="1034"/>
      <c r="CC69" s="1755"/>
      <c r="CD69" s="1034"/>
    </row>
    <row r="70" spans="1:90" s="1034" customFormat="1">
      <c r="A70" s="1293">
        <f t="shared" si="5"/>
        <v>45107</v>
      </c>
      <c r="B70" s="1297">
        <f t="shared" si="3"/>
        <v>45107</v>
      </c>
      <c r="C70" s="1298">
        <v>0.80902777777777779</v>
      </c>
      <c r="CC70" s="1755"/>
    </row>
    <row r="71" spans="1:90" s="989" customFormat="1" hidden="1">
      <c r="A71" s="1293">
        <f t="shared" si="5"/>
        <v>45108</v>
      </c>
      <c r="B71" s="1756">
        <f t="shared" si="3"/>
        <v>45108</v>
      </c>
      <c r="C71" s="1298">
        <v>0.8965277777777777</v>
      </c>
      <c r="E71" s="1034"/>
      <c r="F71" s="1034"/>
      <c r="G71" s="1034"/>
      <c r="H71" s="1034"/>
      <c r="I71" s="1034"/>
      <c r="J71" s="1034"/>
      <c r="K71" s="1034"/>
      <c r="L71" s="1034"/>
      <c r="M71" s="1034"/>
      <c r="N71" s="1034"/>
      <c r="O71" s="1034"/>
      <c r="P71" s="1034"/>
      <c r="Q71" s="1034"/>
      <c r="R71" s="1034"/>
      <c r="S71" s="1034"/>
      <c r="T71" s="1034"/>
      <c r="U71" s="1034"/>
      <c r="V71" s="1034"/>
      <c r="W71" s="1034"/>
      <c r="X71" s="1034"/>
      <c r="Y71" s="1034"/>
      <c r="Z71" s="1034"/>
      <c r="AA71" s="1034"/>
      <c r="AB71" s="1034"/>
      <c r="AC71" s="1034"/>
      <c r="AD71" s="1034"/>
      <c r="AE71" s="1034"/>
      <c r="AF71" s="1034"/>
      <c r="AG71" s="1034"/>
      <c r="AH71" s="1034"/>
      <c r="AI71" s="1034"/>
      <c r="AJ71" s="1034"/>
      <c r="AK71" s="1034"/>
      <c r="AL71" s="1034"/>
      <c r="AM71" s="1034"/>
      <c r="AN71" s="1034"/>
      <c r="AO71" s="1034"/>
      <c r="AP71" s="1034"/>
      <c r="AQ71" s="1034"/>
      <c r="AR71" s="1034"/>
      <c r="AS71" s="1034"/>
      <c r="AT71" s="1034"/>
      <c r="AU71" s="1034"/>
      <c r="AV71" s="1034"/>
      <c r="AW71" s="1034"/>
      <c r="AX71" s="1034"/>
      <c r="AY71" s="1034"/>
      <c r="AZ71" s="1034"/>
      <c r="BA71" s="1034"/>
      <c r="BB71" s="1034"/>
      <c r="BC71" s="1034"/>
      <c r="BD71" s="1034"/>
      <c r="BE71" s="1034"/>
      <c r="BF71" s="1034"/>
      <c r="BG71" s="1034"/>
      <c r="BH71" s="1034"/>
      <c r="BI71" s="1034"/>
      <c r="BJ71" s="1034"/>
      <c r="BK71" s="1034"/>
      <c r="BL71" s="1034"/>
      <c r="BM71" s="1034"/>
      <c r="BN71" s="1034"/>
      <c r="BO71" s="1034"/>
      <c r="BP71" s="1034"/>
      <c r="BQ71" s="1034"/>
      <c r="BR71" s="1034"/>
      <c r="BS71" s="1034"/>
      <c r="BT71" s="1034"/>
      <c r="BU71" s="1034"/>
      <c r="BV71" s="1034"/>
      <c r="BW71" s="1034"/>
      <c r="BX71" s="1034"/>
      <c r="BY71" s="1034"/>
      <c r="BZ71" s="1034"/>
      <c r="CA71" s="1034"/>
      <c r="CB71" s="1034"/>
      <c r="CC71" s="1755"/>
      <c r="CD71" s="1034"/>
    </row>
    <row r="72" spans="1:90" s="989" customFormat="1">
      <c r="A72" s="1292"/>
    </row>
    <row r="73" spans="1:90" s="989" customFormat="1">
      <c r="A73" s="1292"/>
    </row>
    <row r="74" spans="1:90" s="989" customFormat="1">
      <c r="A74" s="1292"/>
    </row>
    <row r="75" spans="1:90" s="989" customFormat="1">
      <c r="A75" s="1292"/>
    </row>
    <row r="76" spans="1:90" s="989" customFormat="1">
      <c r="A76" s="1292"/>
    </row>
    <row r="77" spans="1:90" s="989" customFormat="1">
      <c r="A77" s="1292"/>
    </row>
    <row r="78" spans="1:90" s="989" customFormat="1">
      <c r="A78" s="1292"/>
    </row>
    <row r="79" spans="1:90">
      <c r="AI79" s="1034"/>
    </row>
    <row r="80" spans="1:90">
      <c r="AI80" s="1034"/>
    </row>
    <row r="81" spans="35:35">
      <c r="AI81" s="1034"/>
    </row>
    <row r="82" spans="35:35">
      <c r="AI82" s="1034"/>
    </row>
    <row r="83" spans="35:35">
      <c r="AI83" s="1034"/>
    </row>
    <row r="84" spans="35:35">
      <c r="AI84" s="1034"/>
    </row>
    <row r="85" spans="35:35">
      <c r="AI85" s="1034"/>
    </row>
    <row r="86" spans="35:35">
      <c r="AI86" s="1034"/>
    </row>
    <row r="87" spans="35:35">
      <c r="AI87" s="1034"/>
    </row>
    <row r="88" spans="35:35">
      <c r="AI88" s="1034"/>
    </row>
    <row r="89" spans="35:35">
      <c r="AI89" s="1034"/>
    </row>
    <row r="90" spans="35:35">
      <c r="AI90" s="1034"/>
    </row>
    <row r="91" spans="35:35">
      <c r="AI91" s="1034"/>
    </row>
    <row r="92" spans="35:35">
      <c r="AI92" s="1034"/>
    </row>
    <row r="93" spans="35:35">
      <c r="AI93" s="1034"/>
    </row>
    <row r="94" spans="35:35">
      <c r="AI94" s="1034"/>
    </row>
  </sheetData>
  <sheetProtection formatCells="0" formatColumns="0" formatRows="0" insertColumns="0" insertRows="0" insertHyperlinks="0" deleteColumns="0" deleteRows="0" sort="0" autoFilter="0" pivotTables="0"/>
  <mergeCells count="9">
    <mergeCell ref="A37:A40"/>
    <mergeCell ref="A4:A5"/>
    <mergeCell ref="A1:A2"/>
    <mergeCell ref="B2:C3"/>
    <mergeCell ref="B4:B5"/>
    <mergeCell ref="C4:C5"/>
    <mergeCell ref="B37:C38"/>
    <mergeCell ref="B39:B40"/>
    <mergeCell ref="C39:C40"/>
  </mergeCells>
  <pageMargins left="0.7" right="0.7" top="0.75" bottom="0.75" header="0.3" footer="0.3"/>
  <pageSetup scale="75" orientation="landscape" r:id="rId1"/>
  <ignoredErrors>
    <ignoredError sqref="B37:C40 CE2:CE3 A41:B67 A3 A6:B33 A68:B68 A34:A36 B34:B36 A71:B71 A69:B69 A70:B70"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002060"/>
  </sheetPr>
  <dimension ref="A1:AE38"/>
  <sheetViews>
    <sheetView showGridLines="0" zoomScale="70" zoomScaleNormal="70" workbookViewId="0">
      <selection activeCell="J22" sqref="J22"/>
    </sheetView>
  </sheetViews>
  <sheetFormatPr baseColWidth="10" defaultColWidth="5.21875" defaultRowHeight="14.4"/>
  <cols>
    <col min="1" max="1" width="9.6640625" customWidth="1"/>
    <col min="2" max="3" width="6.5546875" bestFit="1" customWidth="1"/>
    <col min="4" max="4" width="6.5546875" customWidth="1"/>
    <col min="5" max="12" width="6.5546875" bestFit="1" customWidth="1"/>
    <col min="13" max="13" width="7.5546875" bestFit="1" customWidth="1"/>
    <col min="14" max="16" width="6.5546875" bestFit="1" customWidth="1"/>
    <col min="17" max="17" width="6.77734375" customWidth="1"/>
    <col min="18" max="25" width="6.5546875" bestFit="1" customWidth="1"/>
    <col min="26" max="29" width="7.6640625" customWidth="1"/>
    <col min="30" max="31" width="6.5546875" bestFit="1" customWidth="1"/>
  </cols>
  <sheetData>
    <row r="1" spans="1:31">
      <c r="A1" s="1060" t="s">
        <v>112</v>
      </c>
      <c r="B1" s="1061"/>
      <c r="C1" s="1062"/>
      <c r="D1" s="1349" t="s">
        <v>340</v>
      </c>
      <c r="E1" s="1063"/>
      <c r="F1" s="1063"/>
      <c r="G1" s="1063"/>
      <c r="H1" s="1064"/>
      <c r="I1" s="2105" t="s">
        <v>1</v>
      </c>
      <c r="J1" s="2105"/>
      <c r="K1" s="2105"/>
      <c r="L1" s="2106">
        <v>45047</v>
      </c>
      <c r="M1" s="2106"/>
    </row>
    <row r="2" spans="1:31">
      <c r="A2" s="1060" t="s">
        <v>280</v>
      </c>
      <c r="B2" s="1061"/>
      <c r="C2" s="1062"/>
      <c r="D2" s="1349" t="s">
        <v>281</v>
      </c>
      <c r="E2" s="1063"/>
      <c r="F2" s="1063"/>
      <c r="G2" s="1063"/>
      <c r="H2" s="1064"/>
      <c r="I2" s="2105" t="s">
        <v>2</v>
      </c>
      <c r="J2" s="2105"/>
      <c r="K2" s="2105"/>
      <c r="L2" s="2106">
        <v>45077</v>
      </c>
      <c r="M2" s="2106"/>
    </row>
    <row r="3" spans="1:31">
      <c r="A3" s="1060" t="s">
        <v>282</v>
      </c>
      <c r="B3" s="1061"/>
      <c r="C3" s="1062"/>
      <c r="D3" s="1349" t="s">
        <v>283</v>
      </c>
      <c r="E3" s="1063"/>
      <c r="F3" s="1063"/>
      <c r="G3" s="1063"/>
      <c r="H3" s="1064"/>
      <c r="I3" s="2105" t="s">
        <v>1268</v>
      </c>
      <c r="J3" s="2105"/>
      <c r="K3" s="2105"/>
      <c r="L3" s="2107">
        <f ca="1">TODAY()</f>
        <v>45126</v>
      </c>
      <c r="M3" s="2107"/>
    </row>
    <row r="4" spans="1:31">
      <c r="A4" s="1060" t="s">
        <v>227</v>
      </c>
      <c r="B4" s="1061"/>
      <c r="C4" s="1062"/>
      <c r="D4" s="1349" t="s">
        <v>1212</v>
      </c>
      <c r="E4" s="1063"/>
      <c r="F4" s="1063"/>
      <c r="G4" s="1063"/>
      <c r="H4" s="1064"/>
    </row>
    <row r="5" spans="1:31">
      <c r="A5" s="1060" t="s">
        <v>284</v>
      </c>
      <c r="B5" s="1061"/>
      <c r="C5" s="1062"/>
      <c r="D5" s="1349" t="s">
        <v>285</v>
      </c>
      <c r="E5" s="1063"/>
      <c r="F5" s="1063"/>
      <c r="G5" s="1063"/>
      <c r="H5" s="1064"/>
      <c r="Q5" s="149"/>
      <c r="R5" s="149"/>
      <c r="S5" s="149"/>
      <c r="T5" s="149"/>
      <c r="U5" s="149"/>
      <c r="V5" s="149"/>
      <c r="W5" s="149"/>
    </row>
    <row r="6" spans="1:31" ht="21">
      <c r="A6" s="1065" t="s">
        <v>1486</v>
      </c>
      <c r="B6" s="1066"/>
      <c r="C6" s="1066"/>
      <c r="D6" s="1066"/>
      <c r="E6" s="1066"/>
      <c r="F6" s="1066"/>
      <c r="G6" s="1066"/>
      <c r="H6" s="1066"/>
      <c r="I6" s="1066"/>
      <c r="J6" s="1066"/>
      <c r="K6" s="1066"/>
      <c r="L6" s="1066"/>
      <c r="M6" s="1066"/>
      <c r="N6" s="1066"/>
      <c r="O6" s="1066"/>
      <c r="P6" s="1066"/>
      <c r="Q6" s="1066"/>
      <c r="R6" s="1066"/>
      <c r="S6" s="1066"/>
      <c r="T6" s="1066"/>
      <c r="U6" s="1066"/>
      <c r="V6" s="1066"/>
      <c r="W6" s="1066"/>
      <c r="X6" s="1066"/>
      <c r="Y6" s="1066"/>
      <c r="Z6" s="1066"/>
      <c r="AA6" s="1066"/>
      <c r="AB6" s="1066"/>
      <c r="AC6" s="977"/>
    </row>
    <row r="7" spans="1:31">
      <c r="A7" s="1067" t="s">
        <v>341</v>
      </c>
      <c r="B7" s="1082" t="s">
        <v>342</v>
      </c>
      <c r="C7" s="1067" t="s">
        <v>343</v>
      </c>
      <c r="D7" s="1067" t="s">
        <v>344</v>
      </c>
      <c r="E7" s="1067" t="s">
        <v>345</v>
      </c>
      <c r="F7" s="1067" t="s">
        <v>346</v>
      </c>
      <c r="G7" s="1067" t="s">
        <v>347</v>
      </c>
      <c r="H7" s="1067" t="s">
        <v>348</v>
      </c>
      <c r="I7" s="1067" t="s">
        <v>349</v>
      </c>
      <c r="J7" s="1067" t="s">
        <v>350</v>
      </c>
      <c r="K7" s="1067" t="s">
        <v>351</v>
      </c>
      <c r="L7" s="1067" t="s">
        <v>352</v>
      </c>
      <c r="M7" s="1067" t="s">
        <v>353</v>
      </c>
      <c r="N7" s="1067" t="s">
        <v>354</v>
      </c>
      <c r="O7" s="1067" t="s">
        <v>355</v>
      </c>
      <c r="P7" s="1067" t="s">
        <v>356</v>
      </c>
      <c r="Q7" s="1067" t="s">
        <v>357</v>
      </c>
      <c r="R7" s="1067" t="s">
        <v>358</v>
      </c>
      <c r="S7" s="1067" t="s">
        <v>359</v>
      </c>
      <c r="T7" s="1067" t="s">
        <v>360</v>
      </c>
      <c r="U7" s="1067" t="s">
        <v>361</v>
      </c>
      <c r="V7" s="1067" t="s">
        <v>362</v>
      </c>
      <c r="W7" s="1067" t="s">
        <v>363</v>
      </c>
      <c r="X7" s="1067" t="s">
        <v>364</v>
      </c>
      <c r="Y7" s="1067" t="s">
        <v>365</v>
      </c>
      <c r="Z7" s="1067" t="s">
        <v>1485</v>
      </c>
      <c r="AA7" s="1067" t="s">
        <v>1482</v>
      </c>
      <c r="AB7" s="1067" t="s">
        <v>1484</v>
      </c>
      <c r="AC7" s="1067" t="s">
        <v>1483</v>
      </c>
    </row>
    <row r="8" spans="1:31" ht="17.55" customHeight="1">
      <c r="A8" s="1084">
        <f>INICIO!D12</f>
        <v>45078</v>
      </c>
      <c r="B8" s="1083">
        <v>17840</v>
      </c>
      <c r="C8" s="1068">
        <v>17734</v>
      </c>
      <c r="D8" s="1068">
        <v>17953</v>
      </c>
      <c r="E8" s="1068">
        <v>18148</v>
      </c>
      <c r="F8" s="1068">
        <v>18322</v>
      </c>
      <c r="G8" s="1068">
        <v>18220</v>
      </c>
      <c r="H8" s="1068">
        <v>18040</v>
      </c>
      <c r="I8" s="1068">
        <v>18130</v>
      </c>
      <c r="J8" s="1068">
        <v>18015</v>
      </c>
      <c r="K8" s="1068">
        <v>18123</v>
      </c>
      <c r="L8" s="1068">
        <v>18232</v>
      </c>
      <c r="M8" s="1068">
        <v>18244</v>
      </c>
      <c r="N8" s="1068">
        <v>18035</v>
      </c>
      <c r="O8" s="1068">
        <v>18210</v>
      </c>
      <c r="P8" s="1068">
        <v>19565</v>
      </c>
      <c r="Q8" s="1068">
        <v>19860</v>
      </c>
      <c r="R8" s="1068">
        <v>19875</v>
      </c>
      <c r="S8" s="1068">
        <v>19744</v>
      </c>
      <c r="T8" s="1068">
        <v>19684</v>
      </c>
      <c r="U8" s="1068">
        <v>19549</v>
      </c>
      <c r="V8" s="1068">
        <v>19588</v>
      </c>
      <c r="W8" s="1068">
        <v>19473</v>
      </c>
      <c r="X8" s="1068">
        <v>19593</v>
      </c>
      <c r="Y8" s="1068">
        <v>17670</v>
      </c>
      <c r="Z8" s="1069">
        <f>+AVERAGE(B8:Y8)</f>
        <v>18660.291666666668</v>
      </c>
      <c r="AA8" s="1069">
        <f>MIN(B8:Y8)</f>
        <v>17670</v>
      </c>
      <c r="AB8" s="1069">
        <f>+SUM(B8:Y8)</f>
        <v>447847</v>
      </c>
      <c r="AC8" s="1069">
        <f>MAX(B8:Y8)</f>
        <v>19875</v>
      </c>
    </row>
    <row r="9" spans="1:31" ht="17.55" customHeight="1">
      <c r="A9" s="1084">
        <f>A8+1</f>
        <v>45079</v>
      </c>
      <c r="B9" s="1083">
        <v>17646</v>
      </c>
      <c r="C9" s="1068">
        <v>17756</v>
      </c>
      <c r="D9" s="1068">
        <v>17507</v>
      </c>
      <c r="E9" s="1068">
        <v>17842</v>
      </c>
      <c r="F9" s="1068">
        <v>17726</v>
      </c>
      <c r="G9" s="1068">
        <v>18160</v>
      </c>
      <c r="H9" s="1068">
        <v>18165</v>
      </c>
      <c r="I9" s="1068">
        <v>18168</v>
      </c>
      <c r="J9" s="1068">
        <v>18222</v>
      </c>
      <c r="K9" s="1068">
        <v>18201</v>
      </c>
      <c r="L9" s="1068">
        <v>18123</v>
      </c>
      <c r="M9" s="1068">
        <v>18232</v>
      </c>
      <c r="N9" s="1068">
        <v>18203</v>
      </c>
      <c r="O9" s="1068">
        <v>18213</v>
      </c>
      <c r="P9" s="1068">
        <v>18210</v>
      </c>
      <c r="Q9" s="1068">
        <v>18413</v>
      </c>
      <c r="R9" s="1068">
        <v>20413</v>
      </c>
      <c r="S9" s="1068">
        <v>19590</v>
      </c>
      <c r="T9" s="1068">
        <v>19610</v>
      </c>
      <c r="U9" s="1068">
        <v>19540</v>
      </c>
      <c r="V9" s="1068">
        <v>19392</v>
      </c>
      <c r="W9" s="1068">
        <v>19385</v>
      </c>
      <c r="X9" s="1068">
        <v>19555</v>
      </c>
      <c r="Y9" s="1068">
        <v>17714</v>
      </c>
      <c r="Z9" s="1069">
        <f>+AVERAGE(B9:Y9)</f>
        <v>18499.416666666668</v>
      </c>
      <c r="AA9" s="1069">
        <f>MIN(B9:Y9)</f>
        <v>17507</v>
      </c>
      <c r="AB9" s="1069">
        <f>+SUM(B9:Y9)</f>
        <v>443986</v>
      </c>
      <c r="AC9" s="1069">
        <f>MAX(B9:Y9)</f>
        <v>20413</v>
      </c>
    </row>
    <row r="10" spans="1:31" ht="17.55" customHeight="1">
      <c r="A10" s="1084">
        <f t="shared" ref="A10:A38" si="0">A9+1</f>
        <v>45080</v>
      </c>
      <c r="B10" s="1083">
        <v>17630</v>
      </c>
      <c r="C10" s="1068">
        <v>17390</v>
      </c>
      <c r="D10" s="1068">
        <v>17731</v>
      </c>
      <c r="E10" s="1068">
        <v>17898</v>
      </c>
      <c r="F10" s="1068">
        <v>18015</v>
      </c>
      <c r="G10" s="1068">
        <v>17920</v>
      </c>
      <c r="H10" s="1068">
        <v>17953</v>
      </c>
      <c r="I10" s="1068">
        <v>17951</v>
      </c>
      <c r="J10" s="1068">
        <v>17734</v>
      </c>
      <c r="K10" s="1068">
        <v>17796</v>
      </c>
      <c r="L10" s="1068">
        <v>17864</v>
      </c>
      <c r="M10" s="1068">
        <v>17857</v>
      </c>
      <c r="N10" s="1068">
        <v>17944</v>
      </c>
      <c r="O10" s="1068">
        <v>17946</v>
      </c>
      <c r="P10" s="1068">
        <v>17966</v>
      </c>
      <c r="Q10" s="1068">
        <v>19870</v>
      </c>
      <c r="R10" s="1068">
        <v>19859</v>
      </c>
      <c r="S10" s="1068">
        <v>19861</v>
      </c>
      <c r="T10" s="1068">
        <v>20039</v>
      </c>
      <c r="U10" s="1068">
        <v>19903</v>
      </c>
      <c r="V10" s="1068">
        <v>16934</v>
      </c>
      <c r="W10" s="1068">
        <v>19668</v>
      </c>
      <c r="X10" s="1068">
        <v>17883</v>
      </c>
      <c r="Y10" s="1068">
        <v>18003</v>
      </c>
      <c r="Z10" s="1069">
        <f t="shared" ref="Z10:Z35" si="1">+AVERAGE(B10:Y10)</f>
        <v>18317.291666666668</v>
      </c>
      <c r="AA10" s="1069">
        <f t="shared" ref="AA10:AA35" si="2">MIN(B10:Y10)</f>
        <v>16934</v>
      </c>
      <c r="AB10" s="1069">
        <f t="shared" ref="AB10:AB35" si="3">+SUM(B10:Y10)</f>
        <v>439615</v>
      </c>
      <c r="AC10" s="1069">
        <f t="shared" ref="AC10:AC22" si="4">MAX(B10:Y10)</f>
        <v>20039</v>
      </c>
    </row>
    <row r="11" spans="1:31" ht="17.55" customHeight="1">
      <c r="A11" s="1084">
        <f t="shared" si="0"/>
        <v>45081</v>
      </c>
      <c r="B11" s="1083">
        <v>17827</v>
      </c>
      <c r="C11" s="1068">
        <v>17709</v>
      </c>
      <c r="D11" s="1068">
        <v>17822</v>
      </c>
      <c r="E11" s="1068">
        <v>17756</v>
      </c>
      <c r="F11" s="1068">
        <v>17943</v>
      </c>
      <c r="G11" s="1068">
        <v>18232</v>
      </c>
      <c r="H11" s="1068">
        <v>18203</v>
      </c>
      <c r="I11" s="1068">
        <v>18213</v>
      </c>
      <c r="J11" s="1068">
        <v>18210</v>
      </c>
      <c r="K11" s="1068">
        <v>18413</v>
      </c>
      <c r="L11" s="1068">
        <v>18051</v>
      </c>
      <c r="M11" s="1068">
        <v>18113</v>
      </c>
      <c r="N11" s="1068">
        <v>18203</v>
      </c>
      <c r="O11" s="1068">
        <v>18182</v>
      </c>
      <c r="P11" s="1068">
        <v>18206</v>
      </c>
      <c r="Q11" s="1068">
        <v>18185</v>
      </c>
      <c r="R11" s="1068">
        <v>19943</v>
      </c>
      <c r="S11" s="1068">
        <v>19799</v>
      </c>
      <c r="T11" s="1068">
        <v>19801</v>
      </c>
      <c r="U11" s="1068">
        <v>19727</v>
      </c>
      <c r="V11" s="1068">
        <v>19718</v>
      </c>
      <c r="W11" s="1068">
        <v>20030</v>
      </c>
      <c r="X11" s="1068">
        <v>19705</v>
      </c>
      <c r="Y11" s="1068">
        <v>19656</v>
      </c>
      <c r="Z11" s="1069">
        <f t="shared" si="1"/>
        <v>18651.958333333332</v>
      </c>
      <c r="AA11" s="1069">
        <f t="shared" si="2"/>
        <v>17709</v>
      </c>
      <c r="AB11" s="1069">
        <f t="shared" si="3"/>
        <v>447647</v>
      </c>
      <c r="AC11" s="1069">
        <f t="shared" si="4"/>
        <v>20030</v>
      </c>
    </row>
    <row r="12" spans="1:31" ht="17.55" customHeight="1">
      <c r="A12" s="1084">
        <f t="shared" si="0"/>
        <v>45082</v>
      </c>
      <c r="B12" s="1083"/>
      <c r="C12" s="1068"/>
      <c r="D12" s="1068"/>
      <c r="E12" s="1068"/>
      <c r="F12" s="1068"/>
      <c r="G12" s="1068"/>
      <c r="H12" s="1068"/>
      <c r="I12" s="1068"/>
      <c r="J12" s="1068"/>
      <c r="K12" s="1068"/>
      <c r="L12" s="1068"/>
      <c r="M12" s="1068"/>
      <c r="N12" s="1068"/>
      <c r="O12" s="1068"/>
      <c r="P12" s="1068"/>
      <c r="Q12" s="1068"/>
      <c r="R12" s="1068"/>
      <c r="S12" s="1068"/>
      <c r="T12" s="1068"/>
      <c r="U12" s="1068"/>
      <c r="V12" s="1068"/>
      <c r="W12" s="1068"/>
      <c r="X12" s="1068"/>
      <c r="Y12" s="1068"/>
      <c r="Z12" s="1069" t="e">
        <f t="shared" si="1"/>
        <v>#DIV/0!</v>
      </c>
      <c r="AA12" s="1069">
        <f t="shared" si="2"/>
        <v>0</v>
      </c>
      <c r="AB12" s="1069">
        <f t="shared" si="3"/>
        <v>0</v>
      </c>
      <c r="AC12" s="1069">
        <f t="shared" si="4"/>
        <v>0</v>
      </c>
    </row>
    <row r="13" spans="1:31" ht="17.55" customHeight="1">
      <c r="A13" s="1084">
        <f t="shared" si="0"/>
        <v>45083</v>
      </c>
      <c r="B13" s="1083"/>
      <c r="C13" s="1068"/>
      <c r="D13" s="1068"/>
      <c r="E13" s="1068"/>
      <c r="F13" s="1068"/>
      <c r="G13" s="1068"/>
      <c r="H13" s="1068"/>
      <c r="I13" s="1068"/>
      <c r="J13" s="1068"/>
      <c r="K13" s="1068"/>
      <c r="L13" s="1068"/>
      <c r="M13" s="1068"/>
      <c r="N13" s="1068"/>
      <c r="O13" s="1068"/>
      <c r="P13" s="1068"/>
      <c r="Q13" s="1068"/>
      <c r="R13" s="1068"/>
      <c r="S13" s="1068"/>
      <c r="T13" s="1068"/>
      <c r="U13" s="1068"/>
      <c r="V13" s="1068"/>
      <c r="W13" s="1068"/>
      <c r="X13" s="1068"/>
      <c r="Y13" s="1068"/>
      <c r="Z13" s="1069" t="e">
        <f t="shared" si="1"/>
        <v>#DIV/0!</v>
      </c>
      <c r="AA13" s="1069">
        <f t="shared" si="2"/>
        <v>0</v>
      </c>
      <c r="AB13" s="1069">
        <f t="shared" si="3"/>
        <v>0</v>
      </c>
      <c r="AC13" s="1069">
        <f t="shared" si="4"/>
        <v>0</v>
      </c>
      <c r="AD13" s="149"/>
      <c r="AE13" s="149"/>
    </row>
    <row r="14" spans="1:31" ht="17.55" customHeight="1">
      <c r="A14" s="1084">
        <f t="shared" si="0"/>
        <v>45084</v>
      </c>
      <c r="B14" s="1083"/>
      <c r="C14" s="1068"/>
      <c r="D14" s="1068"/>
      <c r="E14" s="1068"/>
      <c r="F14" s="1068"/>
      <c r="G14" s="1068"/>
      <c r="H14" s="1068"/>
      <c r="I14" s="1068"/>
      <c r="J14" s="1068"/>
      <c r="K14" s="1068"/>
      <c r="L14" s="1068"/>
      <c r="M14" s="1068"/>
      <c r="N14" s="1068"/>
      <c r="O14" s="1068"/>
      <c r="P14" s="1068"/>
      <c r="Q14" s="1068"/>
      <c r="R14" s="1068"/>
      <c r="S14" s="1068"/>
      <c r="T14" s="1068"/>
      <c r="U14" s="1068"/>
      <c r="V14" s="1068"/>
      <c r="W14" s="1068"/>
      <c r="X14" s="1068"/>
      <c r="Y14" s="1068"/>
      <c r="Z14" s="1069" t="e">
        <f t="shared" si="1"/>
        <v>#DIV/0!</v>
      </c>
      <c r="AA14" s="1069">
        <f t="shared" si="2"/>
        <v>0</v>
      </c>
      <c r="AB14" s="1069">
        <f t="shared" si="3"/>
        <v>0</v>
      </c>
      <c r="AC14" s="1069">
        <f t="shared" si="4"/>
        <v>0</v>
      </c>
      <c r="AD14" s="149"/>
      <c r="AE14" s="149"/>
    </row>
    <row r="15" spans="1:31" ht="17.55" customHeight="1">
      <c r="A15" s="1084">
        <f t="shared" si="0"/>
        <v>45085</v>
      </c>
      <c r="B15" s="1083"/>
      <c r="C15" s="1068"/>
      <c r="D15" s="1068"/>
      <c r="E15" s="1068"/>
      <c r="F15" s="1068"/>
      <c r="G15" s="1068"/>
      <c r="H15" s="1068"/>
      <c r="I15" s="1068"/>
      <c r="J15" s="1068"/>
      <c r="K15" s="1068"/>
      <c r="L15" s="1068"/>
      <c r="M15" s="1068"/>
      <c r="N15" s="1068"/>
      <c r="O15" s="1068"/>
      <c r="P15" s="1068"/>
      <c r="Q15" s="1068"/>
      <c r="R15" s="1068"/>
      <c r="S15" s="1068"/>
      <c r="T15" s="1068"/>
      <c r="U15" s="1068"/>
      <c r="V15" s="1068"/>
      <c r="W15" s="1068"/>
      <c r="X15" s="1068"/>
      <c r="Y15" s="1068"/>
      <c r="Z15" s="1069" t="e">
        <f t="shared" si="1"/>
        <v>#DIV/0!</v>
      </c>
      <c r="AA15" s="1069">
        <f t="shared" si="2"/>
        <v>0</v>
      </c>
      <c r="AB15" s="1069">
        <f t="shared" si="3"/>
        <v>0</v>
      </c>
      <c r="AC15" s="1069">
        <f t="shared" si="4"/>
        <v>0</v>
      </c>
      <c r="AD15" s="149"/>
      <c r="AE15" s="149"/>
    </row>
    <row r="16" spans="1:31">
      <c r="A16" s="1084">
        <f t="shared" si="0"/>
        <v>45086</v>
      </c>
      <c r="B16" s="1083"/>
      <c r="C16" s="1068"/>
      <c r="D16" s="1068"/>
      <c r="E16" s="1068"/>
      <c r="F16" s="1068"/>
      <c r="G16" s="1068"/>
      <c r="H16" s="1068"/>
      <c r="I16" s="1068"/>
      <c r="J16" s="1068"/>
      <c r="K16" s="1068"/>
      <c r="L16" s="1068"/>
      <c r="M16" s="1068"/>
      <c r="N16" s="1068"/>
      <c r="O16" s="1068"/>
      <c r="P16" s="1068"/>
      <c r="Q16" s="1068"/>
      <c r="R16" s="1068"/>
      <c r="S16" s="1068"/>
      <c r="T16" s="1068"/>
      <c r="U16" s="1068"/>
      <c r="V16" s="1068"/>
      <c r="W16" s="1068"/>
      <c r="X16" s="1068"/>
      <c r="Y16" s="1068"/>
      <c r="Z16" s="1069" t="e">
        <f t="shared" si="1"/>
        <v>#DIV/0!</v>
      </c>
      <c r="AA16" s="1069">
        <f t="shared" si="2"/>
        <v>0</v>
      </c>
      <c r="AB16" s="1069">
        <f t="shared" si="3"/>
        <v>0</v>
      </c>
      <c r="AC16" s="1069">
        <f t="shared" si="4"/>
        <v>0</v>
      </c>
    </row>
    <row r="17" spans="1:29">
      <c r="A17" s="1084">
        <f t="shared" si="0"/>
        <v>45087</v>
      </c>
      <c r="B17" s="1083"/>
      <c r="C17" s="1068"/>
      <c r="D17" s="1068"/>
      <c r="E17" s="1068"/>
      <c r="F17" s="1068"/>
      <c r="G17" s="1068"/>
      <c r="H17" s="1068"/>
      <c r="I17" s="1068"/>
      <c r="J17" s="1068"/>
      <c r="K17" s="1068"/>
      <c r="L17" s="1068"/>
      <c r="M17" s="1068"/>
      <c r="N17" s="1068"/>
      <c r="O17" s="1068"/>
      <c r="P17" s="1068"/>
      <c r="Q17" s="1068"/>
      <c r="R17" s="1068"/>
      <c r="S17" s="1068"/>
      <c r="T17" s="1068"/>
      <c r="U17" s="1068"/>
      <c r="V17" s="1068"/>
      <c r="W17" s="1068"/>
      <c r="X17" s="1068"/>
      <c r="Y17" s="1068"/>
      <c r="Z17" s="1069" t="e">
        <f t="shared" si="1"/>
        <v>#DIV/0!</v>
      </c>
      <c r="AA17" s="1069">
        <f t="shared" si="2"/>
        <v>0</v>
      </c>
      <c r="AB17" s="1069">
        <f t="shared" si="3"/>
        <v>0</v>
      </c>
      <c r="AC17" s="1069">
        <f t="shared" si="4"/>
        <v>0</v>
      </c>
    </row>
    <row r="18" spans="1:29">
      <c r="A18" s="1084">
        <f t="shared" si="0"/>
        <v>45088</v>
      </c>
      <c r="B18" s="1083"/>
      <c r="C18" s="1068"/>
      <c r="D18" s="1068"/>
      <c r="E18" s="1068"/>
      <c r="F18" s="1068"/>
      <c r="G18" s="1068"/>
      <c r="H18" s="1068"/>
      <c r="I18" s="1068"/>
      <c r="J18" s="1068"/>
      <c r="K18" s="1068"/>
      <c r="L18" s="1068"/>
      <c r="M18" s="1068"/>
      <c r="N18" s="1068"/>
      <c r="O18" s="1068"/>
      <c r="P18" s="1068"/>
      <c r="Q18" s="1068"/>
      <c r="R18" s="1068"/>
      <c r="S18" s="1068"/>
      <c r="T18" s="1068"/>
      <c r="U18" s="1068"/>
      <c r="V18" s="1068"/>
      <c r="W18" s="1068"/>
      <c r="X18" s="1068"/>
      <c r="Y18" s="1068"/>
      <c r="Z18" s="1069" t="e">
        <f t="shared" si="1"/>
        <v>#DIV/0!</v>
      </c>
      <c r="AA18" s="1069">
        <f t="shared" si="2"/>
        <v>0</v>
      </c>
      <c r="AB18" s="1069">
        <f t="shared" si="3"/>
        <v>0</v>
      </c>
      <c r="AC18" s="1069">
        <f t="shared" si="4"/>
        <v>0</v>
      </c>
    </row>
    <row r="19" spans="1:29">
      <c r="A19" s="1084">
        <f t="shared" si="0"/>
        <v>45089</v>
      </c>
      <c r="B19" s="1083"/>
      <c r="C19" s="1068"/>
      <c r="D19" s="1068"/>
      <c r="E19" s="1068"/>
      <c r="F19" s="1068"/>
      <c r="G19" s="1068"/>
      <c r="H19" s="1068"/>
      <c r="I19" s="1068"/>
      <c r="J19" s="1068"/>
      <c r="K19" s="1068"/>
      <c r="L19" s="1068"/>
      <c r="M19" s="1068"/>
      <c r="N19" s="1068"/>
      <c r="O19" s="1068"/>
      <c r="P19" s="1068"/>
      <c r="Q19" s="1068"/>
      <c r="R19" s="1068"/>
      <c r="S19" s="1068"/>
      <c r="T19" s="1068"/>
      <c r="U19" s="1068"/>
      <c r="V19" s="1068"/>
      <c r="W19" s="1068"/>
      <c r="X19" s="1068"/>
      <c r="Y19" s="1068"/>
      <c r="Z19" s="1069" t="e">
        <f t="shared" si="1"/>
        <v>#DIV/0!</v>
      </c>
      <c r="AA19" s="1069">
        <f t="shared" si="2"/>
        <v>0</v>
      </c>
      <c r="AB19" s="1069">
        <f t="shared" si="3"/>
        <v>0</v>
      </c>
      <c r="AC19" s="1069">
        <f t="shared" si="4"/>
        <v>0</v>
      </c>
    </row>
    <row r="20" spans="1:29">
      <c r="A20" s="1084">
        <f t="shared" si="0"/>
        <v>45090</v>
      </c>
      <c r="B20" s="1083"/>
      <c r="C20" s="1068"/>
      <c r="D20" s="1068"/>
      <c r="E20" s="1068"/>
      <c r="F20" s="1068"/>
      <c r="G20" s="1068"/>
      <c r="H20" s="1068"/>
      <c r="I20" s="1068"/>
      <c r="J20" s="1068"/>
      <c r="K20" s="1068"/>
      <c r="L20" s="1068"/>
      <c r="M20" s="1068"/>
      <c r="N20" s="1068"/>
      <c r="O20" s="1068"/>
      <c r="P20" s="1068"/>
      <c r="Q20" s="1068"/>
      <c r="R20" s="1068"/>
      <c r="S20" s="1068"/>
      <c r="T20" s="1068"/>
      <c r="U20" s="1068"/>
      <c r="V20" s="1068"/>
      <c r="W20" s="1068"/>
      <c r="X20" s="1068"/>
      <c r="Y20" s="1068"/>
      <c r="Z20" s="1069" t="e">
        <f t="shared" si="1"/>
        <v>#DIV/0!</v>
      </c>
      <c r="AA20" s="1069">
        <f t="shared" si="2"/>
        <v>0</v>
      </c>
      <c r="AB20" s="1069">
        <f t="shared" si="3"/>
        <v>0</v>
      </c>
      <c r="AC20" s="1069">
        <f t="shared" si="4"/>
        <v>0</v>
      </c>
    </row>
    <row r="21" spans="1:29">
      <c r="A21" s="1084">
        <f t="shared" si="0"/>
        <v>45091</v>
      </c>
      <c r="B21" s="1083"/>
      <c r="C21" s="1068"/>
      <c r="D21" s="1068"/>
      <c r="E21" s="1068"/>
      <c r="F21" s="1068"/>
      <c r="G21" s="1068"/>
      <c r="H21" s="1068"/>
      <c r="I21" s="1068"/>
      <c r="J21" s="1068"/>
      <c r="K21" s="1068"/>
      <c r="L21" s="1068"/>
      <c r="M21" s="1068"/>
      <c r="N21" s="1068"/>
      <c r="O21" s="1068"/>
      <c r="P21" s="1068"/>
      <c r="Q21" s="1068"/>
      <c r="R21" s="1068"/>
      <c r="S21" s="1068"/>
      <c r="T21" s="1068"/>
      <c r="U21" s="1068"/>
      <c r="V21" s="1068"/>
      <c r="W21" s="1068"/>
      <c r="X21" s="1068"/>
      <c r="Y21" s="1068"/>
      <c r="Z21" s="1069" t="e">
        <f t="shared" si="1"/>
        <v>#DIV/0!</v>
      </c>
      <c r="AA21" s="1069">
        <f t="shared" si="2"/>
        <v>0</v>
      </c>
      <c r="AB21" s="1069">
        <f t="shared" si="3"/>
        <v>0</v>
      </c>
      <c r="AC21" s="1069">
        <f t="shared" si="4"/>
        <v>0</v>
      </c>
    </row>
    <row r="22" spans="1:29">
      <c r="A22" s="1084">
        <f t="shared" si="0"/>
        <v>45092</v>
      </c>
      <c r="B22" s="1083"/>
      <c r="C22" s="1068"/>
      <c r="D22" s="1068"/>
      <c r="E22" s="1068"/>
      <c r="F22" s="1068"/>
      <c r="G22" s="1068"/>
      <c r="H22" s="1068"/>
      <c r="I22" s="1068"/>
      <c r="J22" s="1068"/>
      <c r="K22" s="1068"/>
      <c r="L22" s="1068"/>
      <c r="M22" s="1068"/>
      <c r="N22" s="1068"/>
      <c r="O22" s="1068"/>
      <c r="P22" s="1068"/>
      <c r="Q22" s="1068"/>
      <c r="R22" s="1068"/>
      <c r="S22" s="1068"/>
      <c r="T22" s="1068"/>
      <c r="U22" s="1068"/>
      <c r="V22" s="1068"/>
      <c r="W22" s="1068"/>
      <c r="X22" s="1068"/>
      <c r="Y22" s="1068"/>
      <c r="Z22" s="1069" t="e">
        <f t="shared" si="1"/>
        <v>#DIV/0!</v>
      </c>
      <c r="AA22" s="1069">
        <f t="shared" si="2"/>
        <v>0</v>
      </c>
      <c r="AB22" s="1069">
        <f t="shared" si="3"/>
        <v>0</v>
      </c>
      <c r="AC22" s="1069">
        <f t="shared" si="4"/>
        <v>0</v>
      </c>
    </row>
    <row r="23" spans="1:29">
      <c r="A23" s="1084">
        <f t="shared" si="0"/>
        <v>45093</v>
      </c>
      <c r="B23" s="1083"/>
      <c r="C23" s="1068"/>
      <c r="D23" s="1068"/>
      <c r="E23" s="1068"/>
      <c r="F23" s="1068"/>
      <c r="G23" s="1068"/>
      <c r="H23" s="1068"/>
      <c r="I23" s="1068"/>
      <c r="J23" s="1068"/>
      <c r="K23" s="1068"/>
      <c r="L23" s="1068"/>
      <c r="M23" s="1068"/>
      <c r="N23" s="1068"/>
      <c r="O23" s="1068"/>
      <c r="P23" s="1068"/>
      <c r="Q23" s="1068"/>
      <c r="R23" s="1068"/>
      <c r="S23" s="1068"/>
      <c r="T23" s="1068"/>
      <c r="U23" s="1068"/>
      <c r="V23" s="1068"/>
      <c r="W23" s="1068"/>
      <c r="X23" s="1068"/>
      <c r="Y23" s="1068"/>
      <c r="Z23" s="1069" t="e">
        <f>+AVERAGE(B23:Y23)</f>
        <v>#DIV/0!</v>
      </c>
      <c r="AA23" s="1069">
        <f>MIN(B23:Y23)</f>
        <v>0</v>
      </c>
      <c r="AB23" s="1069">
        <f>+SUM(B23:Y23)</f>
        <v>0</v>
      </c>
      <c r="AC23" s="1069">
        <f>MAX(B23:Y23)</f>
        <v>0</v>
      </c>
    </row>
    <row r="24" spans="1:29">
      <c r="A24" s="1084">
        <f t="shared" si="0"/>
        <v>45094</v>
      </c>
      <c r="B24" s="1083"/>
      <c r="C24" s="1068"/>
      <c r="D24" s="1068"/>
      <c r="E24" s="1068"/>
      <c r="F24" s="1068"/>
      <c r="G24" s="1068"/>
      <c r="H24" s="1068"/>
      <c r="I24" s="1068"/>
      <c r="J24" s="1068"/>
      <c r="K24" s="1068"/>
      <c r="L24" s="1068"/>
      <c r="M24" s="1068"/>
      <c r="N24" s="1068"/>
      <c r="O24" s="1068"/>
      <c r="P24" s="1068"/>
      <c r="Q24" s="1068"/>
      <c r="R24" s="1068"/>
      <c r="S24" s="1068"/>
      <c r="T24" s="1068"/>
      <c r="U24" s="1068"/>
      <c r="V24" s="1068"/>
      <c r="W24" s="1068"/>
      <c r="X24" s="1068"/>
      <c r="Y24" s="1068"/>
      <c r="Z24" s="1069" t="e">
        <f>+AVERAGE(B24:Y24)</f>
        <v>#DIV/0!</v>
      </c>
      <c r="AA24" s="1069">
        <f>MIN(B24:Y24)</f>
        <v>0</v>
      </c>
      <c r="AB24" s="1069">
        <f>+SUM(B24:Y24)</f>
        <v>0</v>
      </c>
      <c r="AC24" s="1069">
        <f>MAX(B24:Y24)</f>
        <v>0</v>
      </c>
    </row>
    <row r="25" spans="1:29">
      <c r="A25" s="1084">
        <f t="shared" si="0"/>
        <v>45095</v>
      </c>
      <c r="B25" s="1083"/>
      <c r="C25" s="1068"/>
      <c r="D25" s="1068"/>
      <c r="E25" s="1068"/>
      <c r="F25" s="1068"/>
      <c r="G25" s="1068"/>
      <c r="H25" s="1068"/>
      <c r="I25" s="1068"/>
      <c r="J25" s="1068"/>
      <c r="K25" s="1068"/>
      <c r="L25" s="1068"/>
      <c r="M25" s="1068"/>
      <c r="N25" s="1068"/>
      <c r="O25" s="1068"/>
      <c r="P25" s="1068"/>
      <c r="Q25" s="1068"/>
      <c r="R25" s="1068"/>
      <c r="S25" s="1068"/>
      <c r="T25" s="1068"/>
      <c r="U25" s="1068"/>
      <c r="V25" s="1068"/>
      <c r="W25" s="1068"/>
      <c r="X25" s="1068"/>
      <c r="Y25" s="1068"/>
      <c r="Z25" s="1069" t="e">
        <f t="shared" si="1"/>
        <v>#DIV/0!</v>
      </c>
      <c r="AA25" s="1069">
        <f t="shared" si="2"/>
        <v>0</v>
      </c>
      <c r="AB25" s="1069">
        <f t="shared" si="3"/>
        <v>0</v>
      </c>
      <c r="AC25" s="1069">
        <f t="shared" ref="AC25:AC35" si="5">MAX(B25:Y25)</f>
        <v>0</v>
      </c>
    </row>
    <row r="26" spans="1:29" s="442" customFormat="1">
      <c r="A26" s="1084">
        <f t="shared" si="0"/>
        <v>45096</v>
      </c>
      <c r="B26" s="1218"/>
      <c r="C26" s="1068"/>
      <c r="D26" s="1068"/>
      <c r="E26" s="1068"/>
      <c r="F26" s="1068"/>
      <c r="G26" s="1068"/>
      <c r="H26" s="1068"/>
      <c r="I26" s="1068"/>
      <c r="J26" s="1068"/>
      <c r="K26" s="1068"/>
      <c r="L26" s="1068"/>
      <c r="M26" s="1068"/>
      <c r="N26" s="1068"/>
      <c r="O26" s="1068"/>
      <c r="P26" s="1068"/>
      <c r="Q26" s="1068"/>
      <c r="R26" s="1068"/>
      <c r="S26" s="1068"/>
      <c r="T26" s="1068"/>
      <c r="U26" s="1068"/>
      <c r="V26" s="1068"/>
      <c r="W26" s="1068"/>
      <c r="X26" s="1068"/>
      <c r="Y26" s="1068"/>
      <c r="Z26" s="1069" t="e">
        <f t="shared" si="1"/>
        <v>#DIV/0!</v>
      </c>
      <c r="AA26" s="1069">
        <f t="shared" si="2"/>
        <v>0</v>
      </c>
      <c r="AB26" s="1069">
        <f t="shared" si="3"/>
        <v>0</v>
      </c>
      <c r="AC26" s="1069">
        <f t="shared" si="5"/>
        <v>0</v>
      </c>
    </row>
    <row r="27" spans="1:29">
      <c r="A27" s="1084">
        <f t="shared" si="0"/>
        <v>45097</v>
      </c>
      <c r="B27" s="1083"/>
      <c r="C27" s="1068"/>
      <c r="D27" s="1068"/>
      <c r="E27" s="1068"/>
      <c r="F27" s="1068"/>
      <c r="G27" s="1068"/>
      <c r="H27" s="1068"/>
      <c r="I27" s="1068"/>
      <c r="J27" s="1068"/>
      <c r="K27" s="1068"/>
      <c r="L27" s="1068"/>
      <c r="M27" s="1068"/>
      <c r="N27" s="1068"/>
      <c r="O27" s="1068"/>
      <c r="P27" s="1068"/>
      <c r="Q27" s="1068"/>
      <c r="R27" s="1068"/>
      <c r="S27" s="1068"/>
      <c r="T27" s="1068"/>
      <c r="U27" s="1068"/>
      <c r="V27" s="1068"/>
      <c r="W27" s="1068"/>
      <c r="X27" s="1068"/>
      <c r="Y27" s="1068"/>
      <c r="Z27" s="1069" t="e">
        <f t="shared" si="1"/>
        <v>#DIV/0!</v>
      </c>
      <c r="AA27" s="1069">
        <f t="shared" si="2"/>
        <v>0</v>
      </c>
      <c r="AB27" s="1069">
        <f t="shared" si="3"/>
        <v>0</v>
      </c>
      <c r="AC27" s="1069">
        <f t="shared" si="5"/>
        <v>0</v>
      </c>
    </row>
    <row r="28" spans="1:29">
      <c r="A28" s="1084">
        <f t="shared" si="0"/>
        <v>45098</v>
      </c>
      <c r="B28" s="1083"/>
      <c r="C28" s="1068"/>
      <c r="D28" s="1068"/>
      <c r="E28" s="1068"/>
      <c r="F28" s="1068"/>
      <c r="G28" s="1068"/>
      <c r="H28" s="1068"/>
      <c r="I28" s="1068"/>
      <c r="J28" s="1068"/>
      <c r="K28" s="1068"/>
      <c r="L28" s="1068"/>
      <c r="M28" s="1068"/>
      <c r="N28" s="1068"/>
      <c r="O28" s="1068"/>
      <c r="P28" s="1068"/>
      <c r="Q28" s="1068"/>
      <c r="R28" s="1068"/>
      <c r="S28" s="1068"/>
      <c r="T28" s="1068"/>
      <c r="U28" s="1068"/>
      <c r="V28" s="1068"/>
      <c r="W28" s="1068"/>
      <c r="X28" s="1068"/>
      <c r="Y28" s="1068"/>
      <c r="Z28" s="1069" t="e">
        <f t="shared" si="1"/>
        <v>#DIV/0!</v>
      </c>
      <c r="AA28" s="1069">
        <f t="shared" si="2"/>
        <v>0</v>
      </c>
      <c r="AB28" s="1069">
        <f t="shared" si="3"/>
        <v>0</v>
      </c>
      <c r="AC28" s="1069">
        <f t="shared" si="5"/>
        <v>0</v>
      </c>
    </row>
    <row r="29" spans="1:29">
      <c r="A29" s="1084">
        <f t="shared" si="0"/>
        <v>45099</v>
      </c>
      <c r="B29" s="1083"/>
      <c r="C29" s="1068"/>
      <c r="D29" s="1068"/>
      <c r="E29" s="1068"/>
      <c r="F29" s="1068"/>
      <c r="G29" s="1068"/>
      <c r="H29" s="1068"/>
      <c r="I29" s="1068"/>
      <c r="J29" s="1068"/>
      <c r="K29" s="1068"/>
      <c r="L29" s="1068"/>
      <c r="M29" s="1068"/>
      <c r="N29" s="1068"/>
      <c r="O29" s="1068"/>
      <c r="P29" s="1068"/>
      <c r="Q29" s="1068"/>
      <c r="R29" s="1068"/>
      <c r="S29" s="1068"/>
      <c r="T29" s="1068"/>
      <c r="U29" s="1068"/>
      <c r="V29" s="1068"/>
      <c r="W29" s="1068"/>
      <c r="X29" s="1068"/>
      <c r="Y29" s="1068"/>
      <c r="Z29" s="1069" t="e">
        <f t="shared" si="1"/>
        <v>#DIV/0!</v>
      </c>
      <c r="AA29" s="1069">
        <f t="shared" si="2"/>
        <v>0</v>
      </c>
      <c r="AB29" s="1069">
        <f t="shared" si="3"/>
        <v>0</v>
      </c>
      <c r="AC29" s="1069">
        <f t="shared" si="5"/>
        <v>0</v>
      </c>
    </row>
    <row r="30" spans="1:29">
      <c r="A30" s="1084">
        <f t="shared" si="0"/>
        <v>45100</v>
      </c>
      <c r="B30" s="1083"/>
      <c r="C30" s="1068"/>
      <c r="D30" s="1068"/>
      <c r="E30" s="1068"/>
      <c r="F30" s="1068"/>
      <c r="G30" s="1068"/>
      <c r="H30" s="1068"/>
      <c r="I30" s="1068"/>
      <c r="J30" s="1068"/>
      <c r="K30" s="1068"/>
      <c r="L30" s="1068"/>
      <c r="M30" s="1068"/>
      <c r="N30" s="1068"/>
      <c r="O30" s="1068"/>
      <c r="P30" s="1068"/>
      <c r="Q30" s="1068"/>
      <c r="R30" s="1068"/>
      <c r="S30" s="1068"/>
      <c r="T30" s="1068"/>
      <c r="U30" s="1068"/>
      <c r="V30" s="1068"/>
      <c r="W30" s="1068"/>
      <c r="X30" s="1068"/>
      <c r="Y30" s="1068"/>
      <c r="Z30" s="1069" t="e">
        <f t="shared" si="1"/>
        <v>#DIV/0!</v>
      </c>
      <c r="AA30" s="1069">
        <f t="shared" si="2"/>
        <v>0</v>
      </c>
      <c r="AB30" s="1069">
        <f t="shared" si="3"/>
        <v>0</v>
      </c>
      <c r="AC30" s="1069">
        <f t="shared" si="5"/>
        <v>0</v>
      </c>
    </row>
    <row r="31" spans="1:29">
      <c r="A31" s="1084">
        <f t="shared" si="0"/>
        <v>45101</v>
      </c>
      <c r="B31" s="1083"/>
      <c r="C31" s="1068"/>
      <c r="D31" s="1068"/>
      <c r="E31" s="1068"/>
      <c r="F31" s="1068"/>
      <c r="G31" s="1068"/>
      <c r="H31" s="1068"/>
      <c r="I31" s="1068"/>
      <c r="J31" s="1068"/>
      <c r="K31" s="1068"/>
      <c r="L31" s="1068"/>
      <c r="M31" s="1068"/>
      <c r="N31" s="1068"/>
      <c r="O31" s="1068"/>
      <c r="P31" s="1068"/>
      <c r="Q31" s="1068"/>
      <c r="R31" s="1068"/>
      <c r="S31" s="1068"/>
      <c r="T31" s="1068"/>
      <c r="U31" s="1068"/>
      <c r="V31" s="1068"/>
      <c r="W31" s="1068"/>
      <c r="X31" s="1068"/>
      <c r="Y31" s="1068"/>
      <c r="Z31" s="1069" t="e">
        <f t="shared" si="1"/>
        <v>#DIV/0!</v>
      </c>
      <c r="AA31" s="1069">
        <f t="shared" si="2"/>
        <v>0</v>
      </c>
      <c r="AB31" s="1069">
        <f t="shared" si="3"/>
        <v>0</v>
      </c>
      <c r="AC31" s="1069">
        <f t="shared" si="5"/>
        <v>0</v>
      </c>
    </row>
    <row r="32" spans="1:29">
      <c r="A32" s="1084">
        <f t="shared" si="0"/>
        <v>45102</v>
      </c>
      <c r="B32" s="1083"/>
      <c r="C32" s="1068"/>
      <c r="D32" s="1068"/>
      <c r="E32" s="1068"/>
      <c r="F32" s="1068"/>
      <c r="G32" s="1068"/>
      <c r="H32" s="1068"/>
      <c r="I32" s="1068"/>
      <c r="J32" s="1068"/>
      <c r="K32" s="1068"/>
      <c r="L32" s="1068"/>
      <c r="M32" s="1068"/>
      <c r="N32" s="1068"/>
      <c r="O32" s="1068"/>
      <c r="P32" s="1068"/>
      <c r="Q32" s="1068"/>
      <c r="R32" s="1068"/>
      <c r="S32" s="1068"/>
      <c r="T32" s="1068"/>
      <c r="U32" s="1068"/>
      <c r="V32" s="1068"/>
      <c r="W32" s="1068"/>
      <c r="X32" s="1068"/>
      <c r="Y32" s="1068"/>
      <c r="Z32" s="1069" t="e">
        <f t="shared" si="1"/>
        <v>#DIV/0!</v>
      </c>
      <c r="AA32" s="1069">
        <f t="shared" si="2"/>
        <v>0</v>
      </c>
      <c r="AB32" s="1069">
        <f t="shared" si="3"/>
        <v>0</v>
      </c>
      <c r="AC32" s="1069">
        <f t="shared" si="5"/>
        <v>0</v>
      </c>
    </row>
    <row r="33" spans="1:29">
      <c r="A33" s="1084">
        <f t="shared" si="0"/>
        <v>45103</v>
      </c>
      <c r="B33" s="1083"/>
      <c r="C33" s="1068"/>
      <c r="D33" s="1068"/>
      <c r="E33" s="1068"/>
      <c r="F33" s="1068"/>
      <c r="G33" s="1068"/>
      <c r="H33" s="1068"/>
      <c r="I33" s="1068"/>
      <c r="J33" s="1068"/>
      <c r="K33" s="1068"/>
      <c r="L33" s="1068"/>
      <c r="M33" s="1068"/>
      <c r="N33" s="1068"/>
      <c r="O33" s="1068"/>
      <c r="P33" s="1068"/>
      <c r="Q33" s="1068"/>
      <c r="R33" s="1068"/>
      <c r="S33" s="1068"/>
      <c r="T33" s="1068"/>
      <c r="U33" s="1068"/>
      <c r="V33" s="1068"/>
      <c r="W33" s="1068"/>
      <c r="X33" s="1068"/>
      <c r="Y33" s="1068"/>
      <c r="Z33" s="1069" t="e">
        <f t="shared" si="1"/>
        <v>#DIV/0!</v>
      </c>
      <c r="AA33" s="1069">
        <f t="shared" si="2"/>
        <v>0</v>
      </c>
      <c r="AB33" s="1069">
        <f t="shared" si="3"/>
        <v>0</v>
      </c>
      <c r="AC33" s="1069">
        <f t="shared" si="5"/>
        <v>0</v>
      </c>
    </row>
    <row r="34" spans="1:29">
      <c r="A34" s="1084">
        <f t="shared" si="0"/>
        <v>45104</v>
      </c>
      <c r="B34" s="1083"/>
      <c r="C34" s="1068"/>
      <c r="D34" s="1068"/>
      <c r="E34" s="1068"/>
      <c r="F34" s="1068"/>
      <c r="G34" s="1068"/>
      <c r="H34" s="1068"/>
      <c r="I34" s="1068"/>
      <c r="J34" s="1068"/>
      <c r="K34" s="1068"/>
      <c r="L34" s="1068"/>
      <c r="M34" s="1068"/>
      <c r="N34" s="1068"/>
      <c r="O34" s="1068"/>
      <c r="P34" s="1068"/>
      <c r="Q34" s="1068"/>
      <c r="R34" s="1068"/>
      <c r="S34" s="1068"/>
      <c r="T34" s="1068"/>
      <c r="U34" s="1068"/>
      <c r="V34" s="1068"/>
      <c r="W34" s="1068"/>
      <c r="X34" s="1068"/>
      <c r="Y34" s="1068"/>
      <c r="Z34" s="1069" t="e">
        <f t="shared" si="1"/>
        <v>#DIV/0!</v>
      </c>
      <c r="AA34" s="1069">
        <f t="shared" si="2"/>
        <v>0</v>
      </c>
      <c r="AB34" s="1069">
        <f t="shared" si="3"/>
        <v>0</v>
      </c>
      <c r="AC34" s="1069">
        <f t="shared" si="5"/>
        <v>0</v>
      </c>
    </row>
    <row r="35" spans="1:29">
      <c r="A35" s="1084">
        <f t="shared" si="0"/>
        <v>45105</v>
      </c>
      <c r="B35" s="1083"/>
      <c r="C35" s="1068"/>
      <c r="D35" s="1068"/>
      <c r="E35" s="1068"/>
      <c r="F35" s="1068"/>
      <c r="G35" s="1068"/>
      <c r="H35" s="1068"/>
      <c r="I35" s="1068"/>
      <c r="J35" s="1068"/>
      <c r="K35" s="1068"/>
      <c r="L35" s="1068"/>
      <c r="M35" s="1068"/>
      <c r="N35" s="1068"/>
      <c r="O35" s="1068"/>
      <c r="P35" s="1068"/>
      <c r="Q35" s="1068"/>
      <c r="R35" s="1068"/>
      <c r="S35" s="1068"/>
      <c r="T35" s="1068"/>
      <c r="U35" s="1068"/>
      <c r="V35" s="1068"/>
      <c r="W35" s="1068"/>
      <c r="X35" s="1068"/>
      <c r="Y35" s="1068"/>
      <c r="Z35" s="1069" t="e">
        <f t="shared" si="1"/>
        <v>#DIV/0!</v>
      </c>
      <c r="AA35" s="1069">
        <f t="shared" si="2"/>
        <v>0</v>
      </c>
      <c r="AB35" s="1069">
        <f t="shared" si="3"/>
        <v>0</v>
      </c>
      <c r="AC35" s="1069">
        <f t="shared" si="5"/>
        <v>0</v>
      </c>
    </row>
    <row r="36" spans="1:29">
      <c r="A36" s="1084">
        <f t="shared" si="0"/>
        <v>45106</v>
      </c>
      <c r="B36" s="1083"/>
      <c r="C36" s="1068"/>
      <c r="D36" s="1068"/>
      <c r="E36" s="1068"/>
      <c r="F36" s="1068"/>
      <c r="G36" s="1068"/>
      <c r="H36" s="1068"/>
      <c r="I36" s="1068"/>
      <c r="J36" s="1068"/>
      <c r="K36" s="1068"/>
      <c r="L36" s="1068"/>
      <c r="M36" s="1068"/>
      <c r="N36" s="1068"/>
      <c r="O36" s="1068"/>
      <c r="P36" s="1068"/>
      <c r="Q36" s="1068"/>
      <c r="R36" s="1068"/>
      <c r="S36" s="1068"/>
      <c r="T36" s="1068"/>
      <c r="U36" s="1068"/>
      <c r="V36" s="1068"/>
      <c r="W36" s="1068"/>
      <c r="X36" s="1068"/>
      <c r="Y36" s="1068"/>
      <c r="Z36" s="1069" t="e">
        <f t="shared" ref="Z36:Z38" si="6">+AVERAGE(B36:Y36)</f>
        <v>#DIV/0!</v>
      </c>
      <c r="AA36" s="1069">
        <f t="shared" ref="AA36:AA38" si="7">MIN(B36:Y36)</f>
        <v>0</v>
      </c>
      <c r="AB36" s="1069">
        <f t="shared" ref="AB36:AB38" si="8">+SUM(B36:Y36)</f>
        <v>0</v>
      </c>
      <c r="AC36" s="1069">
        <f t="shared" ref="AC36:AC38" si="9">MAX(B36:Y36)</f>
        <v>0</v>
      </c>
    </row>
    <row r="37" spans="1:29">
      <c r="A37" s="1084">
        <f t="shared" si="0"/>
        <v>45107</v>
      </c>
      <c r="B37" s="1083"/>
      <c r="C37" s="1068"/>
      <c r="D37" s="1068"/>
      <c r="E37" s="1068"/>
      <c r="F37" s="1068"/>
      <c r="G37" s="1068"/>
      <c r="H37" s="1068"/>
      <c r="I37" s="1068"/>
      <c r="J37" s="1068"/>
      <c r="K37" s="1068"/>
      <c r="L37" s="1068"/>
      <c r="M37" s="1068"/>
      <c r="N37" s="1068"/>
      <c r="O37" s="1068"/>
      <c r="P37" s="1068"/>
      <c r="Q37" s="1068"/>
      <c r="R37" s="1068"/>
      <c r="S37" s="1068"/>
      <c r="T37" s="1068"/>
      <c r="U37" s="1068"/>
      <c r="V37" s="1068"/>
      <c r="W37" s="1068"/>
      <c r="X37" s="1068"/>
      <c r="Y37" s="1068"/>
      <c r="Z37" s="1069" t="e">
        <f t="shared" si="6"/>
        <v>#DIV/0!</v>
      </c>
      <c r="AA37" s="1069">
        <f t="shared" si="7"/>
        <v>0</v>
      </c>
      <c r="AB37" s="1069">
        <f t="shared" si="8"/>
        <v>0</v>
      </c>
      <c r="AC37" s="1069">
        <f t="shared" si="9"/>
        <v>0</v>
      </c>
    </row>
    <row r="38" spans="1:29">
      <c r="A38" s="1084">
        <f t="shared" si="0"/>
        <v>45108</v>
      </c>
      <c r="B38" s="1083"/>
      <c r="C38" s="1068"/>
      <c r="D38" s="1068"/>
      <c r="E38" s="1068"/>
      <c r="F38" s="1068"/>
      <c r="G38" s="1068"/>
      <c r="H38" s="1068"/>
      <c r="I38" s="1068"/>
      <c r="J38" s="1068"/>
      <c r="K38" s="1068"/>
      <c r="L38" s="1068"/>
      <c r="M38" s="1068"/>
      <c r="N38" s="1068"/>
      <c r="O38" s="1068"/>
      <c r="P38" s="1068"/>
      <c r="Q38" s="1068"/>
      <c r="R38" s="1068"/>
      <c r="S38" s="1068"/>
      <c r="T38" s="1068"/>
      <c r="U38" s="1068"/>
      <c r="V38" s="1068"/>
      <c r="W38" s="1068"/>
      <c r="X38" s="1068"/>
      <c r="Y38" s="1068"/>
      <c r="Z38" s="1069" t="e">
        <f t="shared" si="6"/>
        <v>#DIV/0!</v>
      </c>
      <c r="AA38" s="1069">
        <f t="shared" si="7"/>
        <v>0</v>
      </c>
      <c r="AB38" s="1069">
        <f t="shared" si="8"/>
        <v>0</v>
      </c>
      <c r="AC38" s="1069">
        <f t="shared" si="9"/>
        <v>0</v>
      </c>
    </row>
  </sheetData>
  <mergeCells count="6">
    <mergeCell ref="I2:K2"/>
    <mergeCell ref="I1:K1"/>
    <mergeCell ref="I3:K3"/>
    <mergeCell ref="L1:M1"/>
    <mergeCell ref="L2:M2"/>
    <mergeCell ref="L3:M3"/>
  </mergeCells>
  <pageMargins left="0.7" right="0.7" top="0.75" bottom="0.75" header="0.3" footer="0.3"/>
  <pageSetup orientation="portrait" r:id="rId1"/>
  <ignoredErrors>
    <ignoredError sqref="Z8 Z14:Z27 AA8:AC13 AA14:AC27 Z10:Z13" formulaRange="1"/>
    <ignoredError sqref="AA35:AB35 AC35 Z35 Z28:Z34 AA28:AC34 Z9" evalError="1" formulaRange="1"/>
    <ignoredError sqref="Z36:Z38" evalError="1"/>
  </ignoredError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rgb="FF0F5741"/>
    <pageSetUpPr fitToPage="1"/>
  </sheetPr>
  <dimension ref="A1:EL136"/>
  <sheetViews>
    <sheetView topLeftCell="A72" zoomScale="60" zoomScaleNormal="60" workbookViewId="0">
      <selection activeCell="G87" sqref="G87"/>
    </sheetView>
  </sheetViews>
  <sheetFormatPr baseColWidth="10" defaultColWidth="0" defaultRowHeight="15" customHeight="1" zeroHeight="1"/>
  <cols>
    <col min="1" max="1" width="1.5546875" style="89" customWidth="1"/>
    <col min="2" max="2" width="20.77734375" style="364" bestFit="1" customWidth="1"/>
    <col min="3" max="3" width="27" style="364" customWidth="1"/>
    <col min="4" max="5" width="14.5546875" style="364" customWidth="1"/>
    <col min="6" max="7" width="11" style="364" customWidth="1"/>
    <col min="8" max="8" width="13.5546875" style="328" customWidth="1"/>
    <col min="9" max="9" width="16" style="328" customWidth="1"/>
    <col min="10" max="10" width="16.44140625" style="328" customWidth="1"/>
    <col min="11" max="11" width="46" style="328" customWidth="1"/>
    <col min="12" max="12" width="4.5546875" style="328" customWidth="1"/>
    <col min="13" max="13" width="21.44140625" style="349" hidden="1" customWidth="1"/>
    <col min="14" max="14" width="8.44140625" style="350" hidden="1" customWidth="1"/>
    <col min="15" max="17" width="10.5546875" style="350" hidden="1" customWidth="1"/>
    <col min="18" max="27" width="8.44140625" style="350" hidden="1" customWidth="1"/>
    <col min="28" max="37" width="11.44140625" style="350" hidden="1" customWidth="1"/>
    <col min="38" max="142" width="0" style="350" hidden="1" customWidth="1"/>
    <col min="143" max="16384" width="11.44140625" style="365" hidden="1"/>
  </cols>
  <sheetData>
    <row r="1" spans="1:11" ht="8.25" customHeight="1" thickBot="1">
      <c r="A1" s="327"/>
      <c r="B1" s="328"/>
      <c r="C1" s="328"/>
      <c r="D1" s="328"/>
      <c r="E1" s="328"/>
      <c r="F1" s="328"/>
      <c r="G1" s="328"/>
    </row>
    <row r="2" spans="1:11" thickBot="1">
      <c r="B2" s="2111" t="s">
        <v>278</v>
      </c>
      <c r="C2" s="2112"/>
      <c r="D2" s="329"/>
      <c r="E2" s="329"/>
      <c r="F2" s="329"/>
      <c r="G2" s="329"/>
    </row>
    <row r="3" spans="1:11" ht="14.4">
      <c r="B3" s="330" t="s">
        <v>112</v>
      </c>
      <c r="C3" s="331" t="s">
        <v>279</v>
      </c>
      <c r="D3" s="332"/>
      <c r="E3" s="328"/>
      <c r="F3" s="333"/>
      <c r="G3" s="333"/>
    </row>
    <row r="4" spans="1:11" ht="14.4">
      <c r="B4" s="334" t="s">
        <v>280</v>
      </c>
      <c r="C4" s="335" t="s">
        <v>281</v>
      </c>
      <c r="D4" s="332"/>
      <c r="E4" s="328"/>
      <c r="F4" s="333"/>
      <c r="G4" s="333"/>
    </row>
    <row r="5" spans="1:11" ht="14.4">
      <c r="B5" s="334" t="s">
        <v>282</v>
      </c>
      <c r="C5" s="335" t="s">
        <v>283</v>
      </c>
      <c r="D5" s="332"/>
      <c r="E5" s="328"/>
      <c r="F5" s="333"/>
      <c r="G5" s="333"/>
    </row>
    <row r="6" spans="1:11" ht="14.4">
      <c r="B6" s="334" t="s">
        <v>227</v>
      </c>
      <c r="C6" s="335" t="s">
        <v>318</v>
      </c>
      <c r="D6" s="332"/>
      <c r="E6" s="328"/>
      <c r="F6" s="333"/>
      <c r="G6" s="333"/>
    </row>
    <row r="7" spans="1:11" thickBot="1">
      <c r="B7" s="336" t="s">
        <v>284</v>
      </c>
      <c r="C7" s="337" t="s">
        <v>285</v>
      </c>
      <c r="D7" s="332"/>
      <c r="E7" s="328"/>
      <c r="F7" s="333"/>
      <c r="G7" s="333"/>
    </row>
    <row r="8" spans="1:11" ht="14.4">
      <c r="A8" s="327"/>
      <c r="B8" s="328"/>
      <c r="C8" s="328"/>
      <c r="D8" s="328"/>
      <c r="E8" s="328"/>
      <c r="F8" s="328"/>
      <c r="G8" s="328"/>
    </row>
    <row r="9" spans="1:11" ht="27" customHeight="1">
      <c r="B9" s="2113" t="s">
        <v>286</v>
      </c>
      <c r="C9" s="2113"/>
      <c r="D9" s="2113"/>
      <c r="E9" s="2113"/>
      <c r="F9" s="332"/>
      <c r="G9" s="332"/>
      <c r="H9" s="2114" t="s">
        <v>287</v>
      </c>
      <c r="I9" s="2113"/>
      <c r="J9" s="2113"/>
      <c r="K9" s="329"/>
    </row>
    <row r="10" spans="1:11" ht="27" customHeight="1">
      <c r="B10" s="338" t="s">
        <v>112</v>
      </c>
      <c r="C10" s="338" t="s">
        <v>99</v>
      </c>
      <c r="D10" s="338" t="s">
        <v>288</v>
      </c>
      <c r="E10" s="339" t="s">
        <v>289</v>
      </c>
      <c r="F10" s="328"/>
      <c r="G10" s="340"/>
      <c r="H10" s="339" t="s">
        <v>290</v>
      </c>
      <c r="I10" s="339" t="s">
        <v>291</v>
      </c>
      <c r="J10" s="339" t="s">
        <v>292</v>
      </c>
      <c r="K10" s="341"/>
    </row>
    <row r="11" spans="1:11" ht="14.4">
      <c r="B11" s="342" t="s">
        <v>76</v>
      </c>
      <c r="C11" s="342" t="s">
        <v>293</v>
      </c>
      <c r="D11" s="342" t="s">
        <v>5</v>
      </c>
      <c r="E11" s="343">
        <v>20.97</v>
      </c>
      <c r="F11" s="328"/>
      <c r="G11" s="344"/>
      <c r="H11" s="345">
        <v>1347.3166666666668</v>
      </c>
      <c r="I11" s="346">
        <f t="shared" ref="I11:I30" si="0">+H11/8760</f>
        <v>0.15380327245053274</v>
      </c>
      <c r="J11" s="347">
        <f>I11</f>
        <v>0.15380327245053274</v>
      </c>
      <c r="K11" s="348"/>
    </row>
    <row r="12" spans="1:11" ht="14.4">
      <c r="B12" s="342" t="s">
        <v>225</v>
      </c>
      <c r="C12" s="342" t="s">
        <v>293</v>
      </c>
      <c r="D12" s="342" t="s">
        <v>6</v>
      </c>
      <c r="E12" s="343">
        <v>20.97</v>
      </c>
      <c r="F12" s="328"/>
      <c r="G12" s="344"/>
      <c r="H12" s="345">
        <v>592.08333333333337</v>
      </c>
      <c r="I12" s="346">
        <f t="shared" si="0"/>
        <v>6.7589421613394221E-2</v>
      </c>
      <c r="J12" s="347">
        <f t="shared" ref="J12:J30" si="1">I12</f>
        <v>6.7589421613394221E-2</v>
      </c>
      <c r="K12" s="348"/>
    </row>
    <row r="13" spans="1:11" ht="14.4">
      <c r="B13" s="342" t="s">
        <v>74</v>
      </c>
      <c r="C13" s="342" t="s">
        <v>321</v>
      </c>
      <c r="D13" s="342" t="s">
        <v>74</v>
      </c>
      <c r="E13" s="343">
        <v>1.6</v>
      </c>
      <c r="F13" s="328"/>
      <c r="G13" s="344"/>
      <c r="H13" s="345">
        <v>231.78333333333336</v>
      </c>
      <c r="I13" s="346">
        <f t="shared" si="0"/>
        <v>2.6459284627092849E-2</v>
      </c>
      <c r="J13" s="347">
        <f t="shared" si="1"/>
        <v>2.6459284627092849E-2</v>
      </c>
      <c r="K13" s="348"/>
    </row>
    <row r="14" spans="1:11" ht="14.4">
      <c r="B14" s="342" t="s">
        <v>166</v>
      </c>
      <c r="C14" s="342" t="s">
        <v>321</v>
      </c>
      <c r="D14" s="342" t="s">
        <v>166</v>
      </c>
      <c r="E14" s="343">
        <v>1.6</v>
      </c>
      <c r="F14" s="328"/>
      <c r="G14" s="344"/>
      <c r="H14" s="345">
        <v>64.116666666666674</v>
      </c>
      <c r="I14" s="346">
        <f t="shared" si="0"/>
        <v>7.3192541856925428E-3</v>
      </c>
      <c r="J14" s="347">
        <f t="shared" si="1"/>
        <v>7.3192541856925428E-3</v>
      </c>
      <c r="K14" s="348"/>
    </row>
    <row r="15" spans="1:11" ht="14.4">
      <c r="B15" s="342"/>
      <c r="C15" s="342"/>
      <c r="D15" s="342"/>
      <c r="E15" s="343"/>
      <c r="F15" s="328"/>
      <c r="G15" s="344"/>
      <c r="H15" s="345"/>
      <c r="I15" s="346">
        <f t="shared" si="0"/>
        <v>0</v>
      </c>
      <c r="J15" s="347">
        <f t="shared" si="1"/>
        <v>0</v>
      </c>
      <c r="K15" s="348"/>
    </row>
    <row r="16" spans="1:11" ht="14.4">
      <c r="B16" s="342"/>
      <c r="C16" s="342"/>
      <c r="D16" s="342"/>
      <c r="E16" s="343"/>
      <c r="F16" s="328"/>
      <c r="G16" s="344"/>
      <c r="H16" s="345"/>
      <c r="I16" s="346">
        <f t="shared" si="0"/>
        <v>0</v>
      </c>
      <c r="J16" s="347">
        <f t="shared" si="1"/>
        <v>0</v>
      </c>
      <c r="K16" s="348"/>
    </row>
    <row r="17" spans="1:13" ht="14.4">
      <c r="B17" s="342"/>
      <c r="C17" s="342"/>
      <c r="D17" s="342"/>
      <c r="E17" s="343"/>
      <c r="F17" s="328"/>
      <c r="G17" s="344"/>
      <c r="H17" s="345"/>
      <c r="I17" s="346">
        <f t="shared" si="0"/>
        <v>0</v>
      </c>
      <c r="J17" s="347">
        <f t="shared" si="1"/>
        <v>0</v>
      </c>
      <c r="K17" s="348"/>
    </row>
    <row r="18" spans="1:13" ht="14.4">
      <c r="B18" s="342"/>
      <c r="C18" s="342"/>
      <c r="D18" s="342"/>
      <c r="E18" s="343"/>
      <c r="F18" s="328"/>
      <c r="G18" s="344"/>
      <c r="H18" s="345"/>
      <c r="I18" s="346">
        <f t="shared" si="0"/>
        <v>0</v>
      </c>
      <c r="J18" s="347">
        <f t="shared" si="1"/>
        <v>0</v>
      </c>
      <c r="K18" s="348"/>
    </row>
    <row r="19" spans="1:13" ht="14.4">
      <c r="B19" s="342"/>
      <c r="C19" s="342"/>
      <c r="D19" s="342"/>
      <c r="E19" s="343"/>
      <c r="F19" s="328"/>
      <c r="G19" s="344"/>
      <c r="H19" s="345"/>
      <c r="I19" s="346">
        <f t="shared" si="0"/>
        <v>0</v>
      </c>
      <c r="J19" s="347">
        <f t="shared" si="1"/>
        <v>0</v>
      </c>
      <c r="K19" s="348"/>
    </row>
    <row r="20" spans="1:13" ht="14.4">
      <c r="B20" s="342"/>
      <c r="C20" s="342"/>
      <c r="D20" s="342"/>
      <c r="E20" s="343"/>
      <c r="F20" s="328"/>
      <c r="G20" s="344"/>
      <c r="H20" s="345"/>
      <c r="I20" s="346">
        <f t="shared" si="0"/>
        <v>0</v>
      </c>
      <c r="J20" s="347">
        <f t="shared" si="1"/>
        <v>0</v>
      </c>
      <c r="K20" s="348"/>
    </row>
    <row r="21" spans="1:13" ht="14.4">
      <c r="B21" s="342"/>
      <c r="C21" s="342"/>
      <c r="D21" s="342"/>
      <c r="E21" s="343"/>
      <c r="F21" s="328"/>
      <c r="G21" s="344"/>
      <c r="H21" s="345"/>
      <c r="I21" s="346">
        <f t="shared" si="0"/>
        <v>0</v>
      </c>
      <c r="J21" s="347">
        <f t="shared" si="1"/>
        <v>0</v>
      </c>
      <c r="K21" s="348"/>
    </row>
    <row r="22" spans="1:13" ht="14.4">
      <c r="B22" s="342"/>
      <c r="C22" s="342"/>
      <c r="D22" s="342"/>
      <c r="E22" s="343"/>
      <c r="F22" s="328"/>
      <c r="G22" s="344"/>
      <c r="H22" s="345"/>
      <c r="I22" s="346">
        <f t="shared" si="0"/>
        <v>0</v>
      </c>
      <c r="J22" s="347">
        <f t="shared" si="1"/>
        <v>0</v>
      </c>
      <c r="K22" s="348"/>
    </row>
    <row r="23" spans="1:13" ht="14.4">
      <c r="B23" s="342"/>
      <c r="C23" s="342"/>
      <c r="D23" s="342"/>
      <c r="E23" s="343"/>
      <c r="F23" s="328"/>
      <c r="G23" s="344"/>
      <c r="H23" s="345"/>
      <c r="I23" s="346">
        <f t="shared" si="0"/>
        <v>0</v>
      </c>
      <c r="J23" s="347">
        <f t="shared" si="1"/>
        <v>0</v>
      </c>
      <c r="K23" s="348"/>
    </row>
    <row r="24" spans="1:13" ht="14.4">
      <c r="B24" s="342"/>
      <c r="C24" s="342"/>
      <c r="D24" s="342"/>
      <c r="E24" s="343"/>
      <c r="F24" s="328"/>
      <c r="G24" s="344"/>
      <c r="H24" s="345"/>
      <c r="I24" s="346">
        <f t="shared" si="0"/>
        <v>0</v>
      </c>
      <c r="J24" s="347">
        <f t="shared" si="1"/>
        <v>0</v>
      </c>
      <c r="K24" s="348"/>
    </row>
    <row r="25" spans="1:13" ht="14.4">
      <c r="B25" s="342"/>
      <c r="C25" s="342"/>
      <c r="D25" s="342"/>
      <c r="E25" s="343"/>
      <c r="F25" s="328"/>
      <c r="G25" s="344"/>
      <c r="H25" s="345"/>
      <c r="I25" s="346">
        <f t="shared" si="0"/>
        <v>0</v>
      </c>
      <c r="J25" s="347">
        <f t="shared" si="1"/>
        <v>0</v>
      </c>
      <c r="K25" s="348"/>
    </row>
    <row r="26" spans="1:13" ht="14.4">
      <c r="B26" s="342"/>
      <c r="C26" s="342"/>
      <c r="D26" s="342"/>
      <c r="E26" s="343"/>
      <c r="F26" s="328"/>
      <c r="G26" s="344"/>
      <c r="H26" s="345"/>
      <c r="I26" s="346">
        <f t="shared" si="0"/>
        <v>0</v>
      </c>
      <c r="J26" s="347">
        <f t="shared" si="1"/>
        <v>0</v>
      </c>
      <c r="K26" s="348"/>
    </row>
    <row r="27" spans="1:13" ht="14.4">
      <c r="B27" s="342"/>
      <c r="C27" s="342"/>
      <c r="D27" s="342"/>
      <c r="E27" s="343"/>
      <c r="F27" s="328"/>
      <c r="G27" s="344"/>
      <c r="H27" s="345"/>
      <c r="I27" s="346">
        <f t="shared" si="0"/>
        <v>0</v>
      </c>
      <c r="J27" s="347">
        <f t="shared" si="1"/>
        <v>0</v>
      </c>
      <c r="K27" s="348"/>
    </row>
    <row r="28" spans="1:13" ht="14.4">
      <c r="B28" s="342"/>
      <c r="C28" s="342"/>
      <c r="D28" s="342"/>
      <c r="E28" s="343"/>
      <c r="F28" s="328"/>
      <c r="G28" s="344"/>
      <c r="H28" s="345"/>
      <c r="I28" s="346">
        <f t="shared" si="0"/>
        <v>0</v>
      </c>
      <c r="J28" s="347">
        <f t="shared" si="1"/>
        <v>0</v>
      </c>
      <c r="K28" s="348"/>
    </row>
    <row r="29" spans="1:13" ht="14.4">
      <c r="B29" s="342"/>
      <c r="C29" s="342"/>
      <c r="D29" s="342"/>
      <c r="E29" s="343"/>
      <c r="F29" s="328"/>
      <c r="G29" s="344"/>
      <c r="H29" s="345"/>
      <c r="I29" s="346">
        <f t="shared" si="0"/>
        <v>0</v>
      </c>
      <c r="J29" s="347">
        <f t="shared" si="1"/>
        <v>0</v>
      </c>
      <c r="K29" s="348"/>
    </row>
    <row r="30" spans="1:13" ht="14.4">
      <c r="B30" s="342"/>
      <c r="C30" s="342"/>
      <c r="D30" s="342"/>
      <c r="E30" s="343"/>
      <c r="F30" s="328"/>
      <c r="G30" s="344"/>
      <c r="H30" s="345"/>
      <c r="I30" s="346">
        <f t="shared" si="0"/>
        <v>0</v>
      </c>
      <c r="J30" s="347">
        <f t="shared" si="1"/>
        <v>0</v>
      </c>
      <c r="K30" s="348"/>
    </row>
    <row r="31" spans="1:13" ht="14.4">
      <c r="A31" s="327"/>
      <c r="B31" s="328"/>
      <c r="C31" s="328"/>
      <c r="D31" s="328"/>
      <c r="E31" s="328"/>
      <c r="F31" s="328"/>
      <c r="G31" s="328"/>
    </row>
    <row r="32" spans="1:13" ht="14.4">
      <c r="A32" s="327"/>
      <c r="B32" s="328"/>
      <c r="C32" s="328"/>
      <c r="D32" s="328"/>
      <c r="E32" s="328"/>
      <c r="F32" s="328"/>
      <c r="G32" s="328"/>
      <c r="M32" s="351"/>
    </row>
    <row r="33" spans="2:38" ht="27" customHeight="1">
      <c r="B33" s="2113" t="s">
        <v>294</v>
      </c>
      <c r="C33" s="2113"/>
      <c r="D33" s="2113"/>
      <c r="E33" s="2113"/>
      <c r="F33" s="2113"/>
      <c r="G33" s="2113"/>
      <c r="H33" s="2113"/>
      <c r="I33" s="2113"/>
      <c r="J33" s="2113"/>
      <c r="K33" s="2113"/>
    </row>
    <row r="34" spans="2:38" ht="27.75" customHeight="1">
      <c r="B34" s="352" t="s">
        <v>295</v>
      </c>
      <c r="C34" s="352" t="s">
        <v>296</v>
      </c>
      <c r="D34" s="352" t="s">
        <v>288</v>
      </c>
      <c r="E34" s="353" t="s">
        <v>297</v>
      </c>
      <c r="F34" s="353" t="s">
        <v>298</v>
      </c>
      <c r="G34" s="352" t="s">
        <v>299</v>
      </c>
      <c r="H34" s="352" t="s">
        <v>300</v>
      </c>
      <c r="I34" s="353" t="s">
        <v>301</v>
      </c>
      <c r="J34" s="2115" t="s">
        <v>302</v>
      </c>
      <c r="K34" s="2115"/>
      <c r="P34" s="354"/>
      <c r="AD34" s="355" t="s">
        <v>303</v>
      </c>
      <c r="AE34" s="355" t="s">
        <v>282</v>
      </c>
      <c r="AF34" s="350" t="s">
        <v>283</v>
      </c>
      <c r="AG34" s="350" t="s">
        <v>304</v>
      </c>
      <c r="AH34" s="350" t="s">
        <v>305</v>
      </c>
      <c r="AI34" s="350" t="s">
        <v>306</v>
      </c>
      <c r="AJ34" s="350" t="s">
        <v>307</v>
      </c>
      <c r="AK34" s="350" t="s">
        <v>308</v>
      </c>
      <c r="AL34" s="350" t="s">
        <v>309</v>
      </c>
    </row>
    <row r="35" spans="2:38" ht="27.75" customHeight="1">
      <c r="B35" s="356">
        <v>1</v>
      </c>
      <c r="C35" s="357" t="s">
        <v>76</v>
      </c>
      <c r="D35" s="358" t="str">
        <f t="shared" ref="D35:D98" ca="1" si="2">IFERROR(OFFSET($D$10,MATCH(C35,Fuente,0),0,1,1),"")</f>
        <v>US-G-8001</v>
      </c>
      <c r="E35" s="359">
        <v>42409</v>
      </c>
      <c r="F35" s="360">
        <v>0.35486111111111113</v>
      </c>
      <c r="G35" s="359">
        <v>42409</v>
      </c>
      <c r="H35" s="360">
        <v>0.70138888888888884</v>
      </c>
      <c r="I35" s="361">
        <f>IF(((G35-E35)*24)+((HOUR(H35)-HOUR(F35))+((MINUTE(H35)-MINUTE(F35))/60))=0,"",((G35-E35)*24)+((HOUR(H35)-HOUR(F35))+((MINUTE(H35)-MINUTE(F35))/60)))</f>
        <v>8.3166666666666664</v>
      </c>
      <c r="J35" s="2108" t="s">
        <v>830</v>
      </c>
      <c r="K35" s="2108"/>
      <c r="L35" s="362"/>
      <c r="P35" s="354"/>
      <c r="Q35" s="349"/>
      <c r="AD35" s="350" t="s">
        <v>310</v>
      </c>
      <c r="AE35" s="350" t="s">
        <v>283</v>
      </c>
      <c r="AF35" s="350" t="s">
        <v>311</v>
      </c>
      <c r="AG35" s="350" t="s">
        <v>312</v>
      </c>
      <c r="AH35" s="350" t="s">
        <v>313</v>
      </c>
      <c r="AI35" s="350" t="s">
        <v>314</v>
      </c>
      <c r="AJ35" s="350" t="s">
        <v>315</v>
      </c>
      <c r="AK35" s="350" t="s">
        <v>316</v>
      </c>
      <c r="AL35" s="350" t="s">
        <v>317</v>
      </c>
    </row>
    <row r="36" spans="2:38" ht="27.75" customHeight="1">
      <c r="B36" s="356">
        <v>2</v>
      </c>
      <c r="C36" s="357" t="s">
        <v>76</v>
      </c>
      <c r="D36" s="358" t="str">
        <f t="shared" ca="1" si="2"/>
        <v>US-G-8001</v>
      </c>
      <c r="E36" s="359">
        <v>42423</v>
      </c>
      <c r="F36" s="360">
        <v>0.37847222222222227</v>
      </c>
      <c r="G36" s="359">
        <v>42426</v>
      </c>
      <c r="H36" s="360">
        <v>0.90625</v>
      </c>
      <c r="I36" s="361">
        <f t="shared" ref="I36:I99" si="3">IF(((G36-E36)*24)+((HOUR(H36)-HOUR(F36))+((MINUTE(H36)-MINUTE(F36))/60))=0,"",((G36-E36)*24)+((HOUR(H36)-HOUR(F36))+((MINUTE(H36)-MINUTE(F36))/60)))</f>
        <v>84.666666666666671</v>
      </c>
      <c r="J36" s="2108" t="s">
        <v>1204</v>
      </c>
      <c r="K36" s="2108"/>
      <c r="P36" s="354"/>
      <c r="Q36" s="349"/>
      <c r="AD36" s="350" t="s">
        <v>281</v>
      </c>
      <c r="AE36" s="350" t="s">
        <v>304</v>
      </c>
      <c r="AF36" s="350" t="s">
        <v>318</v>
      </c>
      <c r="AG36" s="350" t="s">
        <v>319</v>
      </c>
      <c r="AH36" s="350" t="s">
        <v>320</v>
      </c>
      <c r="AK36" s="350" t="s">
        <v>285</v>
      </c>
      <c r="AL36" s="350" t="s">
        <v>321</v>
      </c>
    </row>
    <row r="37" spans="2:38" ht="27.75" customHeight="1">
      <c r="B37" s="356">
        <v>3</v>
      </c>
      <c r="C37" s="357" t="s">
        <v>76</v>
      </c>
      <c r="D37" s="358" t="str">
        <f t="shared" ca="1" si="2"/>
        <v>US-G-8001</v>
      </c>
      <c r="E37" s="359">
        <v>42436</v>
      </c>
      <c r="F37" s="360">
        <v>0.24374999999999999</v>
      </c>
      <c r="G37" s="359">
        <v>42436</v>
      </c>
      <c r="H37" s="360">
        <v>0.9819444444444444</v>
      </c>
      <c r="I37" s="361">
        <f t="shared" si="3"/>
        <v>17.716666666666665</v>
      </c>
      <c r="J37" s="2108" t="s">
        <v>982</v>
      </c>
      <c r="K37" s="2108"/>
      <c r="M37" s="363"/>
      <c r="P37" s="354"/>
      <c r="Q37" s="349"/>
      <c r="AD37" s="350" t="s">
        <v>322</v>
      </c>
      <c r="AE37" s="350" t="s">
        <v>305</v>
      </c>
      <c r="AF37" s="350" t="s">
        <v>323</v>
      </c>
      <c r="AH37" s="350" t="s">
        <v>324</v>
      </c>
      <c r="AK37" s="350" t="s">
        <v>325</v>
      </c>
      <c r="AL37" s="350" t="s">
        <v>326</v>
      </c>
    </row>
    <row r="38" spans="2:38" ht="27.75" customHeight="1">
      <c r="B38" s="356">
        <v>4</v>
      </c>
      <c r="C38" s="357" t="s">
        <v>225</v>
      </c>
      <c r="D38" s="358" t="str">
        <f t="shared" ca="1" si="2"/>
        <v>US-G-8002</v>
      </c>
      <c r="E38" s="359">
        <v>42437</v>
      </c>
      <c r="F38" s="360">
        <v>0.51250000000000007</v>
      </c>
      <c r="G38" s="359">
        <v>42437</v>
      </c>
      <c r="H38" s="360">
        <v>0.52083333333333337</v>
      </c>
      <c r="I38" s="361">
        <f t="shared" si="3"/>
        <v>0.2</v>
      </c>
      <c r="J38" s="2108" t="s">
        <v>1205</v>
      </c>
      <c r="K38" s="2108"/>
      <c r="P38" s="354"/>
      <c r="Q38" s="349"/>
      <c r="AD38" s="350" t="s">
        <v>327</v>
      </c>
      <c r="AE38" s="350" t="s">
        <v>306</v>
      </c>
      <c r="AF38" s="350" t="s">
        <v>328</v>
      </c>
      <c r="AK38" s="350" t="s">
        <v>329</v>
      </c>
      <c r="AL38" s="350" t="s">
        <v>330</v>
      </c>
    </row>
    <row r="39" spans="2:38" ht="27.75" customHeight="1">
      <c r="B39" s="356">
        <v>5</v>
      </c>
      <c r="C39" s="357" t="s">
        <v>76</v>
      </c>
      <c r="D39" s="358" t="str">
        <f t="shared" ca="1" si="2"/>
        <v>US-G-8001</v>
      </c>
      <c r="E39" s="359">
        <v>42514</v>
      </c>
      <c r="F39" s="360">
        <v>0.49513888888888885</v>
      </c>
      <c r="G39" s="359">
        <v>42514</v>
      </c>
      <c r="H39" s="360">
        <v>0.51874999999999993</v>
      </c>
      <c r="I39" s="361">
        <f>IF(((G39-E39)*24)+((HOUR(H39)-HOUR(F39))+((MINUTE(H39)-MINUTE(F39))/60))=0,"",((G39-E39)*24)+((HOUR(H39)-HOUR(F39))+((MINUTE(H39)-MINUTE(F39))/60)))</f>
        <v>0.56666666666666665</v>
      </c>
      <c r="J39" s="2108" t="s">
        <v>834</v>
      </c>
      <c r="K39" s="2108"/>
      <c r="P39" s="354"/>
      <c r="Q39" s="349"/>
      <c r="AD39" s="350" t="s">
        <v>331</v>
      </c>
      <c r="AE39" s="350" t="s">
        <v>307</v>
      </c>
      <c r="AF39" s="350" t="s">
        <v>332</v>
      </c>
      <c r="AK39" s="350" t="s">
        <v>333</v>
      </c>
      <c r="AL39" s="350" t="s">
        <v>293</v>
      </c>
    </row>
    <row r="40" spans="2:38" ht="27.75" customHeight="1">
      <c r="B40" s="356">
        <v>6</v>
      </c>
      <c r="C40" s="357" t="s">
        <v>76</v>
      </c>
      <c r="D40" s="358" t="str">
        <f t="shared" ca="1" si="2"/>
        <v>US-G-8001</v>
      </c>
      <c r="E40" s="359">
        <v>42614</v>
      </c>
      <c r="F40" s="360">
        <v>0.59166666666666667</v>
      </c>
      <c r="G40" s="359">
        <v>42614</v>
      </c>
      <c r="H40" s="360">
        <v>0.61249999999999993</v>
      </c>
      <c r="I40" s="361">
        <f>IF(((G40-E40)*24)+((HOUR(H40)-HOUR(F40))+((MINUTE(H40)-MINUTE(F40))/60))=0,"",((G40-E40)*24)+((HOUR(H40)-HOUR(F40))+((MINUTE(H40)-MINUTE(F40))/60)))</f>
        <v>0.5</v>
      </c>
      <c r="J40" s="2108" t="s">
        <v>971</v>
      </c>
      <c r="K40" s="2108"/>
      <c r="P40" s="354"/>
      <c r="Q40" s="349"/>
      <c r="AF40" s="350" t="s">
        <v>334</v>
      </c>
    </row>
    <row r="41" spans="2:38" ht="27.75" customHeight="1">
      <c r="B41" s="356">
        <v>7</v>
      </c>
      <c r="C41" s="357" t="s">
        <v>76</v>
      </c>
      <c r="D41" s="358" t="str">
        <f t="shared" ca="1" si="2"/>
        <v>US-G-8001</v>
      </c>
      <c r="E41" s="359">
        <v>43082</v>
      </c>
      <c r="F41" s="360">
        <v>0.30624999999999997</v>
      </c>
      <c r="G41" s="359">
        <v>43082</v>
      </c>
      <c r="H41" s="360">
        <v>0.42291666666666666</v>
      </c>
      <c r="I41" s="361">
        <f t="shared" si="3"/>
        <v>2.8</v>
      </c>
      <c r="J41" s="2108" t="s">
        <v>1150</v>
      </c>
      <c r="K41" s="2108"/>
      <c r="P41" s="354"/>
      <c r="Q41" s="349"/>
      <c r="AF41" s="350" t="s">
        <v>252</v>
      </c>
    </row>
    <row r="42" spans="2:38" ht="27.75" customHeight="1">
      <c r="B42" s="356">
        <v>8</v>
      </c>
      <c r="C42" s="357" t="s">
        <v>225</v>
      </c>
      <c r="D42" s="358" t="str">
        <f t="shared" ca="1" si="2"/>
        <v>US-G-8002</v>
      </c>
      <c r="E42" s="359">
        <v>43082</v>
      </c>
      <c r="F42" s="360">
        <v>0.30624999999999997</v>
      </c>
      <c r="G42" s="359">
        <v>43082</v>
      </c>
      <c r="H42" s="360">
        <v>0.48680555555555555</v>
      </c>
      <c r="I42" s="361">
        <f t="shared" si="3"/>
        <v>4.333333333333333</v>
      </c>
      <c r="J42" s="2108" t="s">
        <v>1151</v>
      </c>
      <c r="K42" s="2108"/>
      <c r="P42" s="354"/>
      <c r="Q42" s="349"/>
      <c r="AF42" s="350" t="s">
        <v>335</v>
      </c>
    </row>
    <row r="43" spans="2:38" ht="27.75" customHeight="1">
      <c r="B43" s="356">
        <v>9</v>
      </c>
      <c r="C43" s="357" t="s">
        <v>225</v>
      </c>
      <c r="D43" s="358" t="str">
        <f t="shared" ca="1" si="2"/>
        <v>US-G-8002</v>
      </c>
      <c r="E43" s="359">
        <v>43110</v>
      </c>
      <c r="F43" s="360">
        <v>0.50486111111111109</v>
      </c>
      <c r="G43" s="359">
        <v>43131</v>
      </c>
      <c r="H43" s="360">
        <v>4.1666666666666664E-2</v>
      </c>
      <c r="I43" s="361">
        <f t="shared" si="3"/>
        <v>492.88333333333333</v>
      </c>
      <c r="J43" s="2108" t="s">
        <v>1206</v>
      </c>
      <c r="K43" s="2108"/>
      <c r="P43" s="354"/>
      <c r="Q43" s="349"/>
      <c r="AF43" s="350" t="s">
        <v>336</v>
      </c>
    </row>
    <row r="44" spans="2:38" ht="27.75" customHeight="1">
      <c r="B44" s="356">
        <v>10</v>
      </c>
      <c r="C44" s="357" t="s">
        <v>76</v>
      </c>
      <c r="D44" s="358" t="str">
        <f t="shared" ca="1" si="2"/>
        <v>US-G-8001</v>
      </c>
      <c r="E44" s="359">
        <v>43110</v>
      </c>
      <c r="F44" s="360">
        <v>0.98888888888888893</v>
      </c>
      <c r="G44" s="359">
        <v>43126</v>
      </c>
      <c r="H44" s="360">
        <v>0.87708333333333333</v>
      </c>
      <c r="I44" s="361">
        <f t="shared" si="3"/>
        <v>381.31666666666666</v>
      </c>
      <c r="J44" s="2108" t="s">
        <v>1207</v>
      </c>
      <c r="K44" s="2108"/>
      <c r="P44" s="354"/>
      <c r="Q44" s="349"/>
    </row>
    <row r="45" spans="2:38" ht="27.75" customHeight="1">
      <c r="B45" s="356">
        <v>11</v>
      </c>
      <c r="C45" s="357" t="s">
        <v>76</v>
      </c>
      <c r="D45" s="358" t="str">
        <f t="shared" ca="1" si="2"/>
        <v>US-G-8001</v>
      </c>
      <c r="E45" s="359">
        <v>43131</v>
      </c>
      <c r="F45" s="360">
        <v>0.4069444444444445</v>
      </c>
      <c r="G45" s="359">
        <v>43131</v>
      </c>
      <c r="H45" s="360">
        <v>0.45833333333333331</v>
      </c>
      <c r="I45" s="361">
        <f t="shared" si="3"/>
        <v>1.2333333333333334</v>
      </c>
      <c r="J45" s="2108" t="s">
        <v>1171</v>
      </c>
      <c r="K45" s="2108"/>
      <c r="P45" s="354"/>
      <c r="Q45" s="349"/>
    </row>
    <row r="46" spans="2:38" ht="27.75" customHeight="1">
      <c r="B46" s="356">
        <v>12</v>
      </c>
      <c r="C46" s="357" t="s">
        <v>225</v>
      </c>
      <c r="D46" s="358" t="str">
        <f t="shared" ca="1" si="2"/>
        <v>US-G-8002</v>
      </c>
      <c r="E46" s="359">
        <v>43137</v>
      </c>
      <c r="F46" s="360">
        <v>0.50069444444444444</v>
      </c>
      <c r="G46" s="359">
        <v>43137</v>
      </c>
      <c r="H46" s="360">
        <v>0.55277777777777781</v>
      </c>
      <c r="I46" s="361">
        <f t="shared" si="3"/>
        <v>1.25</v>
      </c>
      <c r="J46" s="2108" t="s">
        <v>1172</v>
      </c>
      <c r="K46" s="2108"/>
      <c r="P46" s="354"/>
      <c r="Q46" s="349"/>
    </row>
    <row r="47" spans="2:38" ht="27.75" customHeight="1">
      <c r="B47" s="356">
        <v>13</v>
      </c>
      <c r="C47" s="357" t="s">
        <v>225</v>
      </c>
      <c r="D47" s="358" t="str">
        <f t="shared" ca="1" si="2"/>
        <v>US-G-8002</v>
      </c>
      <c r="E47" s="359">
        <v>43138</v>
      </c>
      <c r="F47" s="360">
        <v>0.53611111111111109</v>
      </c>
      <c r="G47" s="359">
        <v>43138</v>
      </c>
      <c r="H47" s="360">
        <v>0.54097222222222219</v>
      </c>
      <c r="I47" s="361">
        <f t="shared" si="3"/>
        <v>0.11666666666666667</v>
      </c>
      <c r="J47" s="2108" t="s">
        <v>1173</v>
      </c>
      <c r="K47" s="2108"/>
      <c r="P47" s="354"/>
      <c r="Q47" s="349"/>
    </row>
    <row r="48" spans="2:38" ht="27.75" customHeight="1">
      <c r="B48" s="356">
        <v>14</v>
      </c>
      <c r="C48" s="357" t="s">
        <v>225</v>
      </c>
      <c r="D48" s="358" t="str">
        <f t="shared" ca="1" si="2"/>
        <v>US-G-8002</v>
      </c>
      <c r="E48" s="359">
        <v>43139</v>
      </c>
      <c r="F48" s="360">
        <v>0.63611111111111118</v>
      </c>
      <c r="G48" s="359">
        <v>43139</v>
      </c>
      <c r="H48" s="360">
        <v>0.64444444444444449</v>
      </c>
      <c r="I48" s="361">
        <f t="shared" si="3"/>
        <v>0.2</v>
      </c>
      <c r="J48" s="2108" t="s">
        <v>1173</v>
      </c>
      <c r="K48" s="2108"/>
      <c r="P48" s="354"/>
      <c r="Q48" s="349"/>
    </row>
    <row r="49" spans="2:17" ht="27.75" customHeight="1">
      <c r="B49" s="356">
        <v>15</v>
      </c>
      <c r="C49" s="357" t="s">
        <v>225</v>
      </c>
      <c r="D49" s="358" t="str">
        <f t="shared" ca="1" si="2"/>
        <v>US-G-8002</v>
      </c>
      <c r="E49" s="359">
        <v>43141</v>
      </c>
      <c r="F49" s="360">
        <v>0.97569444444444453</v>
      </c>
      <c r="G49" s="359">
        <v>43142</v>
      </c>
      <c r="H49" s="360">
        <v>4.5138888888888888E-2</v>
      </c>
      <c r="I49" s="361">
        <f t="shared" si="3"/>
        <v>1.6666666666666679</v>
      </c>
      <c r="J49" s="2108" t="s">
        <v>1174</v>
      </c>
      <c r="K49" s="2108"/>
      <c r="P49" s="354"/>
      <c r="Q49" s="349"/>
    </row>
    <row r="50" spans="2:17" ht="27.75" customHeight="1">
      <c r="B50" s="356">
        <v>16</v>
      </c>
      <c r="C50" s="357" t="s">
        <v>76</v>
      </c>
      <c r="D50" s="358" t="str">
        <f t="shared" ca="1" si="2"/>
        <v>US-G-8001</v>
      </c>
      <c r="E50" s="359">
        <v>43171</v>
      </c>
      <c r="F50" s="360">
        <v>2.0833333333333332E-2</v>
      </c>
      <c r="G50" s="359">
        <v>43172</v>
      </c>
      <c r="H50" s="360">
        <v>0.70833333333333337</v>
      </c>
      <c r="I50" s="361">
        <f t="shared" si="3"/>
        <v>40.5</v>
      </c>
      <c r="J50" s="2108" t="s">
        <v>1175</v>
      </c>
      <c r="K50" s="2108"/>
      <c r="P50" s="354"/>
      <c r="Q50" s="349"/>
    </row>
    <row r="51" spans="2:17" ht="27.75" customHeight="1">
      <c r="B51" s="356">
        <v>17</v>
      </c>
      <c r="C51" s="357" t="s">
        <v>225</v>
      </c>
      <c r="D51" s="358" t="str">
        <f t="shared" ca="1" si="2"/>
        <v>US-G-8002</v>
      </c>
      <c r="E51" s="359">
        <v>43172</v>
      </c>
      <c r="F51" s="360">
        <v>0.65972222222222221</v>
      </c>
      <c r="G51" s="359">
        <v>43172</v>
      </c>
      <c r="H51" s="360">
        <v>0.74305555555555547</v>
      </c>
      <c r="I51" s="361">
        <f t="shared" si="3"/>
        <v>2</v>
      </c>
      <c r="J51" s="2108" t="s">
        <v>1176</v>
      </c>
      <c r="K51" s="2108"/>
      <c r="P51" s="354"/>
      <c r="Q51" s="349"/>
    </row>
    <row r="52" spans="2:17" ht="27.75" customHeight="1">
      <c r="B52" s="356">
        <v>18</v>
      </c>
      <c r="C52" s="357" t="s">
        <v>76</v>
      </c>
      <c r="D52" s="358" t="str">
        <f t="shared" ca="1" si="2"/>
        <v>US-G-8001</v>
      </c>
      <c r="E52" s="359">
        <v>43177</v>
      </c>
      <c r="F52" s="360">
        <v>2.7777777777777776E-2</v>
      </c>
      <c r="G52" s="359">
        <v>43207</v>
      </c>
      <c r="H52" s="360">
        <v>0.63194444444444442</v>
      </c>
      <c r="I52" s="361">
        <f t="shared" si="3"/>
        <v>734.5</v>
      </c>
      <c r="J52" s="2108" t="s">
        <v>1177</v>
      </c>
      <c r="K52" s="2108"/>
      <c r="P52" s="354"/>
      <c r="Q52" s="349"/>
    </row>
    <row r="53" spans="2:17" ht="27.75" customHeight="1">
      <c r="B53" s="356">
        <v>19</v>
      </c>
      <c r="C53" s="357" t="s">
        <v>76</v>
      </c>
      <c r="D53" s="358" t="str">
        <f t="shared" ca="1" si="2"/>
        <v>US-G-8001</v>
      </c>
      <c r="E53" s="359">
        <v>43207</v>
      </c>
      <c r="F53" s="360">
        <v>0.64513888888888882</v>
      </c>
      <c r="G53" s="359">
        <v>43207</v>
      </c>
      <c r="H53" s="360">
        <v>0.86458333333333337</v>
      </c>
      <c r="I53" s="361">
        <f t="shared" si="3"/>
        <v>5.2666666666666666</v>
      </c>
      <c r="J53" s="2108" t="s">
        <v>1174</v>
      </c>
      <c r="K53" s="2108"/>
      <c r="P53" s="354"/>
      <c r="Q53" s="349"/>
    </row>
    <row r="54" spans="2:17" ht="27.75" customHeight="1">
      <c r="B54" s="356">
        <v>20</v>
      </c>
      <c r="C54" s="357" t="s">
        <v>225</v>
      </c>
      <c r="D54" s="358" t="str">
        <f t="shared" ca="1" si="2"/>
        <v>US-G-8002</v>
      </c>
      <c r="E54" s="359">
        <v>43207</v>
      </c>
      <c r="F54" s="360">
        <v>0.64513888888888882</v>
      </c>
      <c r="G54" s="359">
        <v>43208</v>
      </c>
      <c r="H54" s="360">
        <v>0.41666666666666669</v>
      </c>
      <c r="I54" s="361">
        <f t="shared" si="3"/>
        <v>18.516666666666666</v>
      </c>
      <c r="J54" s="2108" t="s">
        <v>1178</v>
      </c>
      <c r="K54" s="2108"/>
      <c r="P54" s="354"/>
      <c r="Q54" s="349"/>
    </row>
    <row r="55" spans="2:17" ht="27.75" customHeight="1">
      <c r="B55" s="356">
        <v>21</v>
      </c>
      <c r="C55" s="357" t="s">
        <v>76</v>
      </c>
      <c r="D55" s="358" t="str">
        <f t="shared" ca="1" si="2"/>
        <v>US-G-8001</v>
      </c>
      <c r="E55" s="359">
        <v>43214</v>
      </c>
      <c r="F55" s="360">
        <v>0.3576388888888889</v>
      </c>
      <c r="G55" s="359">
        <v>43214</v>
      </c>
      <c r="H55" s="360">
        <v>0.46597222222222223</v>
      </c>
      <c r="I55" s="361">
        <f t="shared" si="3"/>
        <v>2.6</v>
      </c>
      <c r="J55" s="2108" t="s">
        <v>1179</v>
      </c>
      <c r="K55" s="2108"/>
      <c r="P55" s="354"/>
      <c r="Q55" s="349"/>
    </row>
    <row r="56" spans="2:17" ht="27.75" customHeight="1">
      <c r="B56" s="356">
        <v>22</v>
      </c>
      <c r="C56" s="357" t="s">
        <v>225</v>
      </c>
      <c r="D56" s="358" t="str">
        <f t="shared" ca="1" si="2"/>
        <v>US-G-8002</v>
      </c>
      <c r="E56" s="359">
        <v>43214</v>
      </c>
      <c r="F56" s="360">
        <v>0.3576388888888889</v>
      </c>
      <c r="G56" s="359">
        <v>43214</v>
      </c>
      <c r="H56" s="360">
        <v>0.81736111111111109</v>
      </c>
      <c r="I56" s="361">
        <f t="shared" si="3"/>
        <v>11.033333333333333</v>
      </c>
      <c r="J56" s="2108" t="s">
        <v>1179</v>
      </c>
      <c r="K56" s="2108"/>
      <c r="P56" s="354"/>
      <c r="Q56" s="349"/>
    </row>
    <row r="57" spans="2:17" ht="27.75" customHeight="1">
      <c r="B57" s="356">
        <v>23</v>
      </c>
      <c r="C57" s="357" t="s">
        <v>76</v>
      </c>
      <c r="D57" s="358" t="str">
        <f t="shared" ca="1" si="2"/>
        <v>US-G-8001</v>
      </c>
      <c r="E57" s="359">
        <v>43253</v>
      </c>
      <c r="F57" s="360">
        <v>0.61249999999999993</v>
      </c>
      <c r="G57" s="359">
        <v>43253</v>
      </c>
      <c r="H57" s="360">
        <v>0.70416666666666661</v>
      </c>
      <c r="I57" s="361">
        <f t="shared" si="3"/>
        <v>2.2000000000000002</v>
      </c>
      <c r="J57" s="2108" t="s">
        <v>1180</v>
      </c>
      <c r="K57" s="2108"/>
      <c r="P57" s="354"/>
      <c r="Q57" s="349"/>
    </row>
    <row r="58" spans="2:17" ht="27.75" customHeight="1">
      <c r="B58" s="356">
        <v>24</v>
      </c>
      <c r="C58" s="357" t="s">
        <v>225</v>
      </c>
      <c r="D58" s="358" t="str">
        <f t="shared" ca="1" si="2"/>
        <v>US-G-8002</v>
      </c>
      <c r="E58" s="359">
        <v>43396</v>
      </c>
      <c r="F58" s="360">
        <v>0.58472222222222225</v>
      </c>
      <c r="G58" s="359">
        <v>43396</v>
      </c>
      <c r="H58" s="360">
        <v>0.59861111111111109</v>
      </c>
      <c r="I58" s="361">
        <f t="shared" si="3"/>
        <v>0.33333333333333331</v>
      </c>
      <c r="J58" s="2108" t="s">
        <v>1209</v>
      </c>
      <c r="K58" s="2108"/>
    </row>
    <row r="59" spans="2:17" ht="27.75" customHeight="1">
      <c r="B59" s="356">
        <v>25</v>
      </c>
      <c r="C59" s="357" t="s">
        <v>76</v>
      </c>
      <c r="D59" s="358" t="str">
        <f t="shared" ca="1" si="2"/>
        <v>US-G-8001</v>
      </c>
      <c r="E59" s="359">
        <v>43510</v>
      </c>
      <c r="F59" s="360">
        <v>0.4381944444444445</v>
      </c>
      <c r="G59" s="359">
        <v>43510</v>
      </c>
      <c r="H59" s="360">
        <v>0.6166666666666667</v>
      </c>
      <c r="I59" s="361">
        <f t="shared" si="3"/>
        <v>4.2833333333333332</v>
      </c>
      <c r="J59" s="2108" t="s">
        <v>1203</v>
      </c>
      <c r="K59" s="2108"/>
    </row>
    <row r="60" spans="2:17" ht="27.75" customHeight="1">
      <c r="B60" s="356">
        <v>26</v>
      </c>
      <c r="C60" s="357" t="s">
        <v>225</v>
      </c>
      <c r="D60" s="358" t="str">
        <f t="shared" ca="1" si="2"/>
        <v>US-G-8002</v>
      </c>
      <c r="E60" s="359">
        <v>43510</v>
      </c>
      <c r="F60" s="360">
        <v>0.60138888888888886</v>
      </c>
      <c r="G60" s="359">
        <v>43510</v>
      </c>
      <c r="H60" s="360">
        <v>0.66666666666666663</v>
      </c>
      <c r="I60" s="361">
        <f t="shared" si="3"/>
        <v>1.5666666666666667</v>
      </c>
      <c r="J60" s="2108" t="s">
        <v>1208</v>
      </c>
      <c r="K60" s="2108"/>
    </row>
    <row r="61" spans="2:17" ht="27.75" customHeight="1">
      <c r="B61" s="356">
        <v>27</v>
      </c>
      <c r="C61" s="357" t="s">
        <v>76</v>
      </c>
      <c r="D61" s="358" t="str">
        <f t="shared" ca="1" si="2"/>
        <v>US-G-8001</v>
      </c>
      <c r="E61" s="359">
        <v>43668</v>
      </c>
      <c r="F61" s="360">
        <v>0.1875</v>
      </c>
      <c r="G61" s="359">
        <v>43669</v>
      </c>
      <c r="H61" s="360">
        <v>7.7777777777777779E-2</v>
      </c>
      <c r="I61" s="361">
        <f t="shared" si="3"/>
        <v>21.366666666666667</v>
      </c>
      <c r="J61" s="2109" t="s">
        <v>1214</v>
      </c>
      <c r="K61" s="2108"/>
    </row>
    <row r="62" spans="2:17" ht="27.75" customHeight="1">
      <c r="B62" s="356">
        <v>28</v>
      </c>
      <c r="C62" s="357" t="s">
        <v>76</v>
      </c>
      <c r="D62" s="358" t="str">
        <f t="shared" ca="1" si="2"/>
        <v>US-G-8001</v>
      </c>
      <c r="E62" s="359">
        <v>43739</v>
      </c>
      <c r="F62" s="360">
        <v>0.32847222222222222</v>
      </c>
      <c r="G62" s="359">
        <v>43739</v>
      </c>
      <c r="H62" s="360">
        <v>0.50624999999999998</v>
      </c>
      <c r="I62" s="361">
        <f t="shared" si="3"/>
        <v>4.2666666666666666</v>
      </c>
      <c r="J62" s="2109" t="s">
        <v>1262</v>
      </c>
      <c r="K62" s="2108"/>
    </row>
    <row r="63" spans="2:17" ht="27.75" customHeight="1">
      <c r="B63" s="356">
        <v>29</v>
      </c>
      <c r="C63" s="357" t="s">
        <v>76</v>
      </c>
      <c r="D63" s="358" t="str">
        <f t="shared" ca="1" si="2"/>
        <v>US-G-8001</v>
      </c>
      <c r="E63" s="359">
        <v>43940</v>
      </c>
      <c r="F63" s="360">
        <v>0.54375000000000007</v>
      </c>
      <c r="G63" s="359">
        <v>43941</v>
      </c>
      <c r="H63" s="360">
        <v>2.013888888888889E-2</v>
      </c>
      <c r="I63" s="361">
        <f t="shared" si="3"/>
        <v>11.433333333333334</v>
      </c>
      <c r="J63" s="2109" t="s">
        <v>1323</v>
      </c>
      <c r="K63" s="2108"/>
    </row>
    <row r="64" spans="2:17" ht="27.75" customHeight="1">
      <c r="B64" s="356">
        <v>30</v>
      </c>
      <c r="C64" s="357" t="s">
        <v>74</v>
      </c>
      <c r="D64" s="358" t="str">
        <f t="shared" ca="1" si="2"/>
        <v>US-G-8005</v>
      </c>
      <c r="E64" s="359">
        <v>43207</v>
      </c>
      <c r="F64" s="360">
        <v>0.62708333333333333</v>
      </c>
      <c r="G64" s="359">
        <v>43211</v>
      </c>
      <c r="H64" s="360">
        <v>0.60416666666666663</v>
      </c>
      <c r="I64" s="361">
        <f t="shared" si="3"/>
        <v>95.45</v>
      </c>
      <c r="J64" s="2109" t="s">
        <v>1326</v>
      </c>
      <c r="K64" s="2108"/>
    </row>
    <row r="65" spans="2:11" ht="27.75" customHeight="1">
      <c r="B65" s="356">
        <v>31</v>
      </c>
      <c r="C65" s="357" t="s">
        <v>76</v>
      </c>
      <c r="D65" s="358" t="str">
        <f t="shared" ca="1" si="2"/>
        <v>US-G-8001</v>
      </c>
      <c r="E65" s="359">
        <v>44136</v>
      </c>
      <c r="F65" s="360">
        <v>0.64097222222222217</v>
      </c>
      <c r="G65" s="359">
        <v>44136</v>
      </c>
      <c r="H65" s="360">
        <v>0.72430555555555554</v>
      </c>
      <c r="I65" s="361">
        <f t="shared" si="3"/>
        <v>2</v>
      </c>
      <c r="J65" s="2109" t="s">
        <v>1328</v>
      </c>
      <c r="K65" s="2108"/>
    </row>
    <row r="66" spans="2:11" ht="27.75" customHeight="1">
      <c r="B66" s="356">
        <v>32</v>
      </c>
      <c r="C66" s="357" t="s">
        <v>76</v>
      </c>
      <c r="D66" s="358" t="str">
        <f t="shared" ca="1" si="2"/>
        <v>US-G-8001</v>
      </c>
      <c r="E66" s="359">
        <v>44137</v>
      </c>
      <c r="F66" s="360">
        <v>0.17708333333333334</v>
      </c>
      <c r="G66" s="359">
        <v>44137</v>
      </c>
      <c r="H66" s="360">
        <v>0.71666666666666667</v>
      </c>
      <c r="I66" s="361">
        <f t="shared" si="3"/>
        <v>12.95</v>
      </c>
      <c r="J66" s="2109" t="s">
        <v>1385</v>
      </c>
      <c r="K66" s="2108"/>
    </row>
    <row r="67" spans="2:11" ht="27.75" customHeight="1">
      <c r="B67" s="356">
        <v>33</v>
      </c>
      <c r="C67" s="357" t="s">
        <v>74</v>
      </c>
      <c r="D67" s="358" t="str">
        <f t="shared" ca="1" si="2"/>
        <v>US-G-8005</v>
      </c>
      <c r="E67" s="359">
        <v>44161</v>
      </c>
      <c r="F67" s="360">
        <v>0</v>
      </c>
      <c r="G67" s="359">
        <v>44166</v>
      </c>
      <c r="H67" s="360">
        <v>0.68055555555555547</v>
      </c>
      <c r="I67" s="361">
        <f t="shared" si="3"/>
        <v>136.33333333333334</v>
      </c>
      <c r="J67" s="2109" t="s">
        <v>1329</v>
      </c>
      <c r="K67" s="2108"/>
    </row>
    <row r="68" spans="2:11" ht="27.75" customHeight="1">
      <c r="B68" s="356">
        <v>34</v>
      </c>
      <c r="C68" s="357" t="s">
        <v>166</v>
      </c>
      <c r="D68" s="358" t="str">
        <f t="shared" ca="1" si="2"/>
        <v>US-G-8006</v>
      </c>
      <c r="E68" s="359">
        <v>44174</v>
      </c>
      <c r="F68" s="360">
        <v>0.66180555555555554</v>
      </c>
      <c r="G68" s="359">
        <v>44177</v>
      </c>
      <c r="H68" s="360">
        <v>0.33333333333333331</v>
      </c>
      <c r="I68" s="361">
        <f t="shared" si="3"/>
        <v>64.116666666666674</v>
      </c>
      <c r="J68" s="2109" t="s">
        <v>1339</v>
      </c>
      <c r="K68" s="2108"/>
    </row>
    <row r="69" spans="2:11" ht="27.75" customHeight="1">
      <c r="B69" s="356">
        <v>35</v>
      </c>
      <c r="C69" s="357" t="s">
        <v>225</v>
      </c>
      <c r="D69" s="358" t="str">
        <f t="shared" ca="1" si="2"/>
        <v>US-G-8002</v>
      </c>
      <c r="E69" s="359">
        <v>44178</v>
      </c>
      <c r="F69" s="360">
        <v>0.12013888888888889</v>
      </c>
      <c r="G69" s="359">
        <v>44178</v>
      </c>
      <c r="H69" s="360">
        <v>0.49583333333333335</v>
      </c>
      <c r="I69" s="361">
        <f t="shared" si="3"/>
        <v>9.0166666666666675</v>
      </c>
      <c r="J69" s="2109" t="s">
        <v>1330</v>
      </c>
      <c r="K69" s="2108"/>
    </row>
    <row r="70" spans="2:11" ht="27.75" customHeight="1">
      <c r="B70" s="356">
        <v>36</v>
      </c>
      <c r="C70" s="357" t="s">
        <v>76</v>
      </c>
      <c r="D70" s="358" t="str">
        <f t="shared" ca="1" si="2"/>
        <v>US-G-8001</v>
      </c>
      <c r="E70" s="359">
        <v>44229</v>
      </c>
      <c r="F70" s="360">
        <v>0.51388888888888895</v>
      </c>
      <c r="G70" s="359">
        <v>44229</v>
      </c>
      <c r="H70" s="360">
        <v>0.67847222222222225</v>
      </c>
      <c r="I70" s="361">
        <f t="shared" si="3"/>
        <v>3.95</v>
      </c>
      <c r="J70" s="2108" t="s">
        <v>1353</v>
      </c>
      <c r="K70" s="2108"/>
    </row>
    <row r="71" spans="2:11" ht="27.75" customHeight="1">
      <c r="B71" s="356">
        <v>37</v>
      </c>
      <c r="C71" s="357" t="s">
        <v>225</v>
      </c>
      <c r="D71" s="358" t="str">
        <f t="shared" ca="1" si="2"/>
        <v>US-G-8002</v>
      </c>
      <c r="E71" s="359">
        <v>44229</v>
      </c>
      <c r="F71" s="360">
        <v>0.51388888888888895</v>
      </c>
      <c r="G71" s="359">
        <v>44229</v>
      </c>
      <c r="H71" s="360">
        <v>0.58680555555555558</v>
      </c>
      <c r="I71" s="361">
        <f t="shared" si="3"/>
        <v>1.75</v>
      </c>
      <c r="J71" s="2108" t="s">
        <v>1353</v>
      </c>
      <c r="K71" s="2108"/>
    </row>
    <row r="72" spans="2:11" ht="27.75" customHeight="1">
      <c r="B72" s="356">
        <v>38</v>
      </c>
      <c r="C72" s="357" t="s">
        <v>76</v>
      </c>
      <c r="D72" s="358" t="str">
        <f t="shared" ca="1" si="2"/>
        <v>US-G-8001</v>
      </c>
      <c r="E72" s="359">
        <v>44399</v>
      </c>
      <c r="F72" s="360">
        <v>0.42708333333333331</v>
      </c>
      <c r="G72" s="359">
        <v>44399</v>
      </c>
      <c r="H72" s="360">
        <v>0.50902777777777775</v>
      </c>
      <c r="I72" s="361">
        <f t="shared" si="3"/>
        <v>1.9666666666666666</v>
      </c>
      <c r="J72" s="2109" t="s">
        <v>1373</v>
      </c>
      <c r="K72" s="2108"/>
    </row>
    <row r="73" spans="2:11" ht="27.75" customHeight="1">
      <c r="B73" s="356">
        <v>39</v>
      </c>
      <c r="C73" s="357" t="s">
        <v>76</v>
      </c>
      <c r="D73" s="358" t="str">
        <f t="shared" ca="1" si="2"/>
        <v>US-G-8001</v>
      </c>
      <c r="E73" s="359">
        <v>44405</v>
      </c>
      <c r="F73" s="360">
        <v>0.85069444444444453</v>
      </c>
      <c r="G73" s="359">
        <v>44405</v>
      </c>
      <c r="H73" s="360">
        <v>0.97222222222222221</v>
      </c>
      <c r="I73" s="361">
        <f t="shared" si="3"/>
        <v>2.9166666666666665</v>
      </c>
      <c r="J73" s="2109" t="s">
        <v>1374</v>
      </c>
      <c r="K73" s="2108"/>
    </row>
    <row r="74" spans="2:11" ht="27.75" customHeight="1">
      <c r="B74" s="356">
        <v>40</v>
      </c>
      <c r="C74" s="357" t="s">
        <v>225</v>
      </c>
      <c r="D74" s="358" t="str">
        <f t="shared" ca="1" si="2"/>
        <v>US-G-8002</v>
      </c>
      <c r="E74" s="359">
        <v>44594</v>
      </c>
      <c r="F74" s="360">
        <v>6.7361111111111108E-2</v>
      </c>
      <c r="G74" s="359">
        <v>44595</v>
      </c>
      <c r="H74" s="360">
        <v>0.56736111111111109</v>
      </c>
      <c r="I74" s="361">
        <f t="shared" si="3"/>
        <v>36</v>
      </c>
      <c r="J74" s="2109" t="s">
        <v>1381</v>
      </c>
      <c r="K74" s="2108"/>
    </row>
    <row r="75" spans="2:11" ht="27.75" customHeight="1">
      <c r="B75" s="356">
        <v>41</v>
      </c>
      <c r="C75" s="357" t="s">
        <v>225</v>
      </c>
      <c r="D75" s="358" t="str">
        <f t="shared" ca="1" si="2"/>
        <v>US-G-8002</v>
      </c>
      <c r="E75" s="359">
        <v>44599</v>
      </c>
      <c r="F75" s="360">
        <v>0.54999999999999993</v>
      </c>
      <c r="G75" s="359">
        <v>44599</v>
      </c>
      <c r="H75" s="360">
        <v>0.55694444444444446</v>
      </c>
      <c r="I75" s="361">
        <f t="shared" si="3"/>
        <v>0.16666666666666666</v>
      </c>
      <c r="J75" s="2109" t="s">
        <v>1382</v>
      </c>
      <c r="K75" s="2108"/>
    </row>
    <row r="76" spans="2:11" ht="27.75" customHeight="1">
      <c r="B76" s="356">
        <v>42</v>
      </c>
      <c r="C76" s="357" t="s">
        <v>225</v>
      </c>
      <c r="D76" s="358" t="str">
        <f t="shared" ca="1" si="2"/>
        <v>US-G-8002</v>
      </c>
      <c r="E76" s="359">
        <v>44600</v>
      </c>
      <c r="F76" s="360">
        <v>0.12847222222222224</v>
      </c>
      <c r="G76" s="359">
        <v>44600</v>
      </c>
      <c r="H76" s="360">
        <v>0.58888888888888891</v>
      </c>
      <c r="I76" s="361">
        <f t="shared" si="3"/>
        <v>11.05</v>
      </c>
      <c r="J76" s="2109" t="s">
        <v>1383</v>
      </c>
      <c r="K76" s="2108"/>
    </row>
    <row r="77" spans="2:11" ht="27.75" customHeight="1">
      <c r="B77" s="356">
        <v>43</v>
      </c>
      <c r="C77" s="357" t="s">
        <v>76</v>
      </c>
      <c r="D77" s="358" t="str">
        <f t="shared" ca="1" si="2"/>
        <v>US-G-8001</v>
      </c>
      <c r="E77" s="359">
        <v>44732</v>
      </c>
      <c r="F77" s="360">
        <v>0.63888888888888895</v>
      </c>
      <c r="G77" s="359">
        <v>44737</v>
      </c>
      <c r="H77" s="360">
        <v>0.48749999999999999</v>
      </c>
      <c r="I77" s="361">
        <f t="shared" si="3"/>
        <v>116.36666666666666</v>
      </c>
      <c r="J77" s="2108" t="s">
        <v>1397</v>
      </c>
      <c r="K77" s="2108"/>
    </row>
    <row r="78" spans="2:11" ht="27.75" customHeight="1">
      <c r="B78" s="356">
        <v>44</v>
      </c>
      <c r="C78" s="357" t="s">
        <v>76</v>
      </c>
      <c r="D78" s="358" t="str">
        <f t="shared" ca="1" si="2"/>
        <v>US-G-8001</v>
      </c>
      <c r="E78" s="359">
        <v>44820</v>
      </c>
      <c r="F78" s="360">
        <v>0.45069444444444445</v>
      </c>
      <c r="G78" s="359">
        <v>44821</v>
      </c>
      <c r="H78" s="360">
        <v>0.59861111111111109</v>
      </c>
      <c r="I78" s="361">
        <f t="shared" si="3"/>
        <v>27.55</v>
      </c>
      <c r="J78" s="2109" t="s">
        <v>1460</v>
      </c>
      <c r="K78" s="2108"/>
    </row>
    <row r="79" spans="2:11" ht="27.75" customHeight="1">
      <c r="B79" s="356">
        <v>45</v>
      </c>
      <c r="C79" s="357" t="s">
        <v>76</v>
      </c>
      <c r="D79" s="358" t="str">
        <f t="shared" ca="1" si="2"/>
        <v>US-G-8001</v>
      </c>
      <c r="E79" s="359">
        <v>44823</v>
      </c>
      <c r="F79" s="360">
        <v>0.54583333333333328</v>
      </c>
      <c r="G79" s="359">
        <v>44823</v>
      </c>
      <c r="H79" s="360">
        <v>0.59375</v>
      </c>
      <c r="I79" s="361">
        <f t="shared" si="3"/>
        <v>1.1499999999999999</v>
      </c>
      <c r="J79" s="2109" t="s">
        <v>1461</v>
      </c>
      <c r="K79" s="2108"/>
    </row>
    <row r="80" spans="2:11" ht="27.75" customHeight="1">
      <c r="B80" s="356">
        <v>46</v>
      </c>
      <c r="C80" s="357" t="s">
        <v>76</v>
      </c>
      <c r="D80" s="358" t="str">
        <f t="shared" ca="1" si="2"/>
        <v>US-G-8001</v>
      </c>
      <c r="E80" s="359">
        <v>44883</v>
      </c>
      <c r="F80" s="360">
        <v>0.57222222222222219</v>
      </c>
      <c r="G80" s="359">
        <v>44884</v>
      </c>
      <c r="H80" s="360">
        <v>5.2083333333333336E-2</v>
      </c>
      <c r="I80" s="361">
        <f t="shared" si="3"/>
        <v>11.516666666666667</v>
      </c>
      <c r="J80" s="2108" t="s">
        <v>1501</v>
      </c>
      <c r="K80" s="2108"/>
    </row>
    <row r="81" spans="2:11" ht="27.75" customHeight="1">
      <c r="B81" s="356">
        <v>47</v>
      </c>
      <c r="C81" s="357" t="s">
        <v>225</v>
      </c>
      <c r="D81" s="358" t="str">
        <f t="shared" ca="1" si="2"/>
        <v>US-G-8002</v>
      </c>
      <c r="E81" s="359">
        <v>44883</v>
      </c>
      <c r="F81" s="360">
        <v>0.57222222222222219</v>
      </c>
      <c r="G81" s="359">
        <v>44883</v>
      </c>
      <c r="H81" s="360">
        <v>0.61458333333333337</v>
      </c>
      <c r="I81" s="361">
        <f t="shared" si="3"/>
        <v>1.0166666666666666</v>
      </c>
      <c r="J81" s="2108" t="s">
        <v>1501</v>
      </c>
      <c r="K81" s="2110"/>
    </row>
    <row r="82" spans="2:11" ht="27.75" customHeight="1">
      <c r="B82" s="356">
        <v>48</v>
      </c>
      <c r="C82" s="357" t="s">
        <v>76</v>
      </c>
      <c r="D82" s="358" t="str">
        <f t="shared" ca="1" si="2"/>
        <v>US-G-8001</v>
      </c>
      <c r="E82" s="359">
        <v>44916</v>
      </c>
      <c r="F82" s="360">
        <v>0.80833333333333324</v>
      </c>
      <c r="G82" s="359">
        <v>44917</v>
      </c>
      <c r="H82" s="360">
        <v>4.8611111111111112E-3</v>
      </c>
      <c r="I82" s="361">
        <f t="shared" si="3"/>
        <v>4.716666666666665</v>
      </c>
      <c r="J82" s="2108" t="s">
        <v>1500</v>
      </c>
      <c r="K82" s="2108"/>
    </row>
    <row r="83" spans="2:11" ht="27.75" customHeight="1">
      <c r="B83" s="356">
        <v>49</v>
      </c>
      <c r="C83" s="357" t="s">
        <v>225</v>
      </c>
      <c r="D83" s="358" t="str">
        <f t="shared" ca="1" si="2"/>
        <v>US-G-8002</v>
      </c>
      <c r="E83" s="359">
        <v>44965</v>
      </c>
      <c r="F83" s="360">
        <v>0.67847222222222225</v>
      </c>
      <c r="G83" s="359">
        <v>44965</v>
      </c>
      <c r="H83" s="360">
        <v>0.81736111111111109</v>
      </c>
      <c r="I83" s="361">
        <f t="shared" si="3"/>
        <v>3.3333333333333335</v>
      </c>
      <c r="J83" s="2108" t="s">
        <v>1508</v>
      </c>
      <c r="K83" s="2108"/>
    </row>
    <row r="84" spans="2:11" ht="27.75" customHeight="1">
      <c r="B84" s="356">
        <v>50</v>
      </c>
      <c r="C84" s="357" t="s">
        <v>225</v>
      </c>
      <c r="D84" s="358" t="str">
        <f t="shared" ca="1" si="2"/>
        <v>US-G-8002</v>
      </c>
      <c r="E84" s="359">
        <v>45032</v>
      </c>
      <c r="F84" s="360">
        <v>0.75694444444444453</v>
      </c>
      <c r="G84" s="359">
        <v>45036</v>
      </c>
      <c r="H84" s="360">
        <v>0.19166666666666665</v>
      </c>
      <c r="I84" s="361">
        <f t="shared" si="3"/>
        <v>82.433333333333337</v>
      </c>
      <c r="J84" s="2108" t="s">
        <v>1511</v>
      </c>
      <c r="K84" s="2108"/>
    </row>
    <row r="85" spans="2:11" ht="27.75" customHeight="1">
      <c r="B85" s="356">
        <v>51</v>
      </c>
      <c r="C85" s="357" t="s">
        <v>76</v>
      </c>
      <c r="D85" s="358" t="str">
        <f t="shared" ca="1" si="2"/>
        <v>US-G-8001</v>
      </c>
      <c r="E85" s="359">
        <v>45037</v>
      </c>
      <c r="F85" s="360">
        <v>0.37847222222222227</v>
      </c>
      <c r="G85" s="359">
        <v>45037</v>
      </c>
      <c r="H85" s="360">
        <v>0.45833333333333331</v>
      </c>
      <c r="I85" s="361">
        <f t="shared" si="3"/>
        <v>1.9166666666666667</v>
      </c>
      <c r="J85" s="2108" t="s">
        <v>1512</v>
      </c>
      <c r="K85" s="2108"/>
    </row>
    <row r="86" spans="2:11" ht="27.75" customHeight="1">
      <c r="B86" s="356">
        <v>52</v>
      </c>
      <c r="C86" s="357" t="s">
        <v>225</v>
      </c>
      <c r="D86" s="358" t="str">
        <f t="shared" ca="1" si="2"/>
        <v>US-G-8002</v>
      </c>
      <c r="E86" s="359">
        <v>45037</v>
      </c>
      <c r="F86" s="360">
        <v>0.37847222222222227</v>
      </c>
      <c r="G86" s="359">
        <v>45037</v>
      </c>
      <c r="H86" s="360">
        <v>0.61041666666666672</v>
      </c>
      <c r="I86" s="361">
        <f t="shared" si="3"/>
        <v>5.5666666666666664</v>
      </c>
      <c r="J86" s="2108" t="s">
        <v>1512</v>
      </c>
      <c r="K86" s="2108"/>
    </row>
    <row r="87" spans="2:11" ht="27.75" customHeight="1">
      <c r="B87" s="356">
        <v>53</v>
      </c>
      <c r="C87" s="357" t="s">
        <v>76</v>
      </c>
      <c r="D87" s="358" t="str">
        <f t="shared" ca="1" si="2"/>
        <v>US-G-8001</v>
      </c>
      <c r="E87" s="359">
        <v>45060</v>
      </c>
      <c r="F87" s="360">
        <v>0.11041666666666666</v>
      </c>
      <c r="G87" s="359">
        <v>45060</v>
      </c>
      <c r="H87" s="360">
        <v>0.8965277777777777</v>
      </c>
      <c r="I87" s="361">
        <f t="shared" si="3"/>
        <v>18.866666666666667</v>
      </c>
      <c r="J87" s="2108" t="s">
        <v>1514</v>
      </c>
      <c r="K87" s="2108"/>
    </row>
    <row r="88" spans="2:11" ht="27.75" customHeight="1">
      <c r="B88" s="356">
        <v>54</v>
      </c>
      <c r="C88" s="357"/>
      <c r="D88" s="358" t="str">
        <f t="shared" ca="1" si="2"/>
        <v/>
      </c>
      <c r="E88" s="359"/>
      <c r="F88" s="360"/>
      <c r="G88" s="359"/>
      <c r="H88" s="360"/>
      <c r="I88" s="361" t="str">
        <f t="shared" si="3"/>
        <v/>
      </c>
      <c r="J88" s="2108"/>
      <c r="K88" s="2108"/>
    </row>
    <row r="89" spans="2:11" ht="27.75" customHeight="1">
      <c r="B89" s="356">
        <v>55</v>
      </c>
      <c r="C89" s="357"/>
      <c r="D89" s="358" t="str">
        <f t="shared" ca="1" si="2"/>
        <v/>
      </c>
      <c r="E89" s="359"/>
      <c r="F89" s="360"/>
      <c r="G89" s="359"/>
      <c r="H89" s="360"/>
      <c r="I89" s="361" t="str">
        <f t="shared" si="3"/>
        <v/>
      </c>
      <c r="J89" s="2108"/>
      <c r="K89" s="2108"/>
    </row>
    <row r="90" spans="2:11" ht="27.75" customHeight="1">
      <c r="B90" s="356">
        <v>56</v>
      </c>
      <c r="C90" s="357"/>
      <c r="D90" s="358" t="str">
        <f t="shared" ca="1" si="2"/>
        <v/>
      </c>
      <c r="E90" s="359"/>
      <c r="F90" s="360"/>
      <c r="G90" s="359"/>
      <c r="H90" s="360"/>
      <c r="I90" s="361" t="str">
        <f t="shared" si="3"/>
        <v/>
      </c>
      <c r="J90" s="2108"/>
      <c r="K90" s="2108"/>
    </row>
    <row r="91" spans="2:11" ht="27.75" customHeight="1">
      <c r="B91" s="356">
        <v>57</v>
      </c>
      <c r="C91" s="357"/>
      <c r="D91" s="358" t="str">
        <f t="shared" ca="1" si="2"/>
        <v/>
      </c>
      <c r="E91" s="359"/>
      <c r="F91" s="360"/>
      <c r="G91" s="359"/>
      <c r="H91" s="360"/>
      <c r="I91" s="361" t="str">
        <f t="shared" si="3"/>
        <v/>
      </c>
      <c r="J91" s="2108"/>
      <c r="K91" s="2108"/>
    </row>
    <row r="92" spans="2:11" ht="27.75" customHeight="1">
      <c r="B92" s="356">
        <v>58</v>
      </c>
      <c r="C92" s="357"/>
      <c r="D92" s="358" t="str">
        <f t="shared" ca="1" si="2"/>
        <v/>
      </c>
      <c r="E92" s="359"/>
      <c r="F92" s="360"/>
      <c r="G92" s="359"/>
      <c r="H92" s="360"/>
      <c r="I92" s="361" t="str">
        <f t="shared" si="3"/>
        <v/>
      </c>
      <c r="J92" s="2108"/>
      <c r="K92" s="2108"/>
    </row>
    <row r="93" spans="2:11" ht="27.75" customHeight="1">
      <c r="B93" s="356">
        <v>59</v>
      </c>
      <c r="C93" s="357"/>
      <c r="D93" s="358" t="str">
        <f t="shared" ca="1" si="2"/>
        <v/>
      </c>
      <c r="E93" s="359"/>
      <c r="F93" s="360"/>
      <c r="G93" s="359"/>
      <c r="H93" s="360"/>
      <c r="I93" s="361" t="str">
        <f t="shared" si="3"/>
        <v/>
      </c>
      <c r="J93" s="2108"/>
      <c r="K93" s="2108"/>
    </row>
    <row r="94" spans="2:11" ht="27.75" customHeight="1">
      <c r="B94" s="356">
        <v>60</v>
      </c>
      <c r="C94" s="357"/>
      <c r="D94" s="358" t="str">
        <f t="shared" ca="1" si="2"/>
        <v/>
      </c>
      <c r="E94" s="359"/>
      <c r="F94" s="360"/>
      <c r="G94" s="359"/>
      <c r="H94" s="360"/>
      <c r="I94" s="361" t="str">
        <f t="shared" si="3"/>
        <v/>
      </c>
      <c r="J94" s="2108"/>
      <c r="K94" s="2108"/>
    </row>
    <row r="95" spans="2:11" ht="27.75" customHeight="1">
      <c r="B95" s="356">
        <v>61</v>
      </c>
      <c r="C95" s="357"/>
      <c r="D95" s="358" t="str">
        <f t="shared" ca="1" si="2"/>
        <v/>
      </c>
      <c r="E95" s="359"/>
      <c r="F95" s="360"/>
      <c r="G95" s="359"/>
      <c r="H95" s="360"/>
      <c r="I95" s="361" t="str">
        <f t="shared" si="3"/>
        <v/>
      </c>
      <c r="J95" s="2108"/>
      <c r="K95" s="2108"/>
    </row>
    <row r="96" spans="2:11" ht="27.75" customHeight="1">
      <c r="B96" s="356">
        <v>62</v>
      </c>
      <c r="C96" s="357"/>
      <c r="D96" s="358" t="str">
        <f t="shared" ca="1" si="2"/>
        <v/>
      </c>
      <c r="E96" s="359"/>
      <c r="F96" s="360"/>
      <c r="G96" s="359"/>
      <c r="H96" s="360"/>
      <c r="I96" s="361" t="str">
        <f t="shared" si="3"/>
        <v/>
      </c>
      <c r="J96" s="2108"/>
      <c r="K96" s="2108"/>
    </row>
    <row r="97" spans="2:11" ht="27.75" customHeight="1">
      <c r="B97" s="356">
        <v>63</v>
      </c>
      <c r="C97" s="357"/>
      <c r="D97" s="358" t="str">
        <f t="shared" ca="1" si="2"/>
        <v/>
      </c>
      <c r="E97" s="359"/>
      <c r="F97" s="360"/>
      <c r="G97" s="359"/>
      <c r="H97" s="360"/>
      <c r="I97" s="361" t="str">
        <f t="shared" si="3"/>
        <v/>
      </c>
      <c r="J97" s="2108"/>
      <c r="K97" s="2108"/>
    </row>
    <row r="98" spans="2:11" ht="27.75" customHeight="1">
      <c r="B98" s="356">
        <v>64</v>
      </c>
      <c r="C98" s="357"/>
      <c r="D98" s="358" t="str">
        <f t="shared" ca="1" si="2"/>
        <v/>
      </c>
      <c r="E98" s="359"/>
      <c r="F98" s="360"/>
      <c r="G98" s="359"/>
      <c r="H98" s="360"/>
      <c r="I98" s="361" t="str">
        <f t="shared" si="3"/>
        <v/>
      </c>
      <c r="J98" s="2108"/>
      <c r="K98" s="2108"/>
    </row>
    <row r="99" spans="2:11" ht="27.75" customHeight="1">
      <c r="B99" s="356">
        <v>65</v>
      </c>
      <c r="C99" s="357"/>
      <c r="D99" s="358" t="str">
        <f t="shared" ref="D99:D134" ca="1" si="4">IFERROR(OFFSET($D$10,MATCH(C99,Fuente,0),0,1,1),"")</f>
        <v/>
      </c>
      <c r="E99" s="359"/>
      <c r="F99" s="360"/>
      <c r="G99" s="359"/>
      <c r="H99" s="360"/>
      <c r="I99" s="361" t="str">
        <f t="shared" si="3"/>
        <v/>
      </c>
      <c r="J99" s="2108"/>
      <c r="K99" s="2108"/>
    </row>
    <row r="100" spans="2:11" ht="27.75" customHeight="1">
      <c r="B100" s="356">
        <v>66</v>
      </c>
      <c r="C100" s="357"/>
      <c r="D100" s="358" t="str">
        <f t="shared" ca="1" si="4"/>
        <v/>
      </c>
      <c r="E100" s="359"/>
      <c r="F100" s="360"/>
      <c r="G100" s="359"/>
      <c r="H100" s="360"/>
      <c r="I100" s="361" t="str">
        <f t="shared" ref="I100:I134" si="5">IF(((G100-E100)*24)+((HOUR(H100)-HOUR(F100))+((MINUTE(H100)-MINUTE(F100))/60))=0,"",((G100-E100)*24)+((HOUR(H100)-HOUR(F100))+((MINUTE(H100)-MINUTE(F100))/60)))</f>
        <v/>
      </c>
      <c r="J100" s="2108"/>
      <c r="K100" s="2108"/>
    </row>
    <row r="101" spans="2:11" ht="27.75" customHeight="1">
      <c r="B101" s="356">
        <v>67</v>
      </c>
      <c r="C101" s="357"/>
      <c r="D101" s="358" t="str">
        <f t="shared" ca="1" si="4"/>
        <v/>
      </c>
      <c r="E101" s="359"/>
      <c r="F101" s="360"/>
      <c r="G101" s="359"/>
      <c r="H101" s="360"/>
      <c r="I101" s="361" t="str">
        <f t="shared" si="5"/>
        <v/>
      </c>
      <c r="J101" s="2108"/>
      <c r="K101" s="2108"/>
    </row>
    <row r="102" spans="2:11" ht="27.75" customHeight="1">
      <c r="B102" s="356">
        <v>68</v>
      </c>
      <c r="C102" s="357"/>
      <c r="D102" s="358" t="str">
        <f t="shared" ca="1" si="4"/>
        <v/>
      </c>
      <c r="E102" s="359"/>
      <c r="F102" s="360"/>
      <c r="G102" s="359"/>
      <c r="H102" s="360"/>
      <c r="I102" s="361" t="str">
        <f t="shared" si="5"/>
        <v/>
      </c>
      <c r="J102" s="2108"/>
      <c r="K102" s="2108"/>
    </row>
    <row r="103" spans="2:11" ht="27.75" customHeight="1">
      <c r="B103" s="356">
        <v>69</v>
      </c>
      <c r="C103" s="357"/>
      <c r="D103" s="358" t="str">
        <f t="shared" ca="1" si="4"/>
        <v/>
      </c>
      <c r="E103" s="359"/>
      <c r="F103" s="360"/>
      <c r="G103" s="359"/>
      <c r="H103" s="360"/>
      <c r="I103" s="361" t="str">
        <f t="shared" si="5"/>
        <v/>
      </c>
      <c r="J103" s="2108"/>
      <c r="K103" s="2108"/>
    </row>
    <row r="104" spans="2:11" ht="27.75" customHeight="1">
      <c r="B104" s="356">
        <v>70</v>
      </c>
      <c r="C104" s="357"/>
      <c r="D104" s="358" t="str">
        <f t="shared" ca="1" si="4"/>
        <v/>
      </c>
      <c r="E104" s="359"/>
      <c r="F104" s="360"/>
      <c r="G104" s="359"/>
      <c r="H104" s="360"/>
      <c r="I104" s="361" t="str">
        <f t="shared" si="5"/>
        <v/>
      </c>
      <c r="J104" s="2108"/>
      <c r="K104" s="2108"/>
    </row>
    <row r="105" spans="2:11" ht="27.75" customHeight="1">
      <c r="B105" s="356">
        <v>71</v>
      </c>
      <c r="C105" s="357"/>
      <c r="D105" s="358" t="str">
        <f t="shared" ca="1" si="4"/>
        <v/>
      </c>
      <c r="E105" s="359"/>
      <c r="F105" s="360"/>
      <c r="G105" s="359"/>
      <c r="H105" s="360"/>
      <c r="I105" s="361" t="str">
        <f t="shared" si="5"/>
        <v/>
      </c>
      <c r="J105" s="2108"/>
      <c r="K105" s="2108"/>
    </row>
    <row r="106" spans="2:11" ht="27.75" customHeight="1">
      <c r="B106" s="356">
        <v>72</v>
      </c>
      <c r="C106" s="357"/>
      <c r="D106" s="358" t="str">
        <f t="shared" ca="1" si="4"/>
        <v/>
      </c>
      <c r="E106" s="359"/>
      <c r="F106" s="360"/>
      <c r="G106" s="359"/>
      <c r="H106" s="360"/>
      <c r="I106" s="361" t="str">
        <f t="shared" si="5"/>
        <v/>
      </c>
      <c r="J106" s="2108"/>
      <c r="K106" s="2108"/>
    </row>
    <row r="107" spans="2:11" ht="27.75" customHeight="1">
      <c r="B107" s="356">
        <v>73</v>
      </c>
      <c r="C107" s="357"/>
      <c r="D107" s="358" t="str">
        <f t="shared" ca="1" si="4"/>
        <v/>
      </c>
      <c r="E107" s="359"/>
      <c r="F107" s="360"/>
      <c r="G107" s="359"/>
      <c r="H107" s="360"/>
      <c r="I107" s="361" t="str">
        <f t="shared" si="5"/>
        <v/>
      </c>
      <c r="J107" s="2108"/>
      <c r="K107" s="2108"/>
    </row>
    <row r="108" spans="2:11" ht="27.75" customHeight="1">
      <c r="B108" s="356">
        <v>74</v>
      </c>
      <c r="C108" s="357"/>
      <c r="D108" s="358" t="str">
        <f t="shared" ca="1" si="4"/>
        <v/>
      </c>
      <c r="E108" s="359"/>
      <c r="F108" s="360"/>
      <c r="G108" s="359"/>
      <c r="H108" s="360"/>
      <c r="I108" s="361" t="str">
        <f t="shared" si="5"/>
        <v/>
      </c>
      <c r="J108" s="2108"/>
      <c r="K108" s="2108"/>
    </row>
    <row r="109" spans="2:11" ht="27.75" customHeight="1">
      <c r="B109" s="356">
        <v>75</v>
      </c>
      <c r="C109" s="357"/>
      <c r="D109" s="358" t="str">
        <f t="shared" ca="1" si="4"/>
        <v/>
      </c>
      <c r="E109" s="359"/>
      <c r="F109" s="360"/>
      <c r="G109" s="359"/>
      <c r="H109" s="360"/>
      <c r="I109" s="361" t="str">
        <f t="shared" si="5"/>
        <v/>
      </c>
      <c r="J109" s="2108"/>
      <c r="K109" s="2108"/>
    </row>
    <row r="110" spans="2:11" ht="27.75" customHeight="1">
      <c r="B110" s="356">
        <v>76</v>
      </c>
      <c r="C110" s="357"/>
      <c r="D110" s="358" t="str">
        <f t="shared" ca="1" si="4"/>
        <v/>
      </c>
      <c r="E110" s="359"/>
      <c r="F110" s="360"/>
      <c r="G110" s="359"/>
      <c r="H110" s="360"/>
      <c r="I110" s="361" t="str">
        <f t="shared" si="5"/>
        <v/>
      </c>
      <c r="J110" s="2108"/>
      <c r="K110" s="2108"/>
    </row>
    <row r="111" spans="2:11" ht="27.75" customHeight="1">
      <c r="B111" s="356">
        <v>77</v>
      </c>
      <c r="C111" s="357"/>
      <c r="D111" s="358" t="str">
        <f t="shared" ca="1" si="4"/>
        <v/>
      </c>
      <c r="E111" s="359"/>
      <c r="F111" s="360"/>
      <c r="G111" s="359"/>
      <c r="H111" s="360"/>
      <c r="I111" s="361" t="str">
        <f t="shared" si="5"/>
        <v/>
      </c>
      <c r="J111" s="2108"/>
      <c r="K111" s="2108"/>
    </row>
    <row r="112" spans="2:11" ht="27.75" customHeight="1">
      <c r="B112" s="356">
        <v>78</v>
      </c>
      <c r="C112" s="357"/>
      <c r="D112" s="358" t="str">
        <f t="shared" ca="1" si="4"/>
        <v/>
      </c>
      <c r="E112" s="359"/>
      <c r="F112" s="360"/>
      <c r="G112" s="359"/>
      <c r="H112" s="360"/>
      <c r="I112" s="361" t="str">
        <f t="shared" si="5"/>
        <v/>
      </c>
      <c r="J112" s="2108"/>
      <c r="K112" s="2108"/>
    </row>
    <row r="113" spans="2:11" ht="27.75" customHeight="1">
      <c r="B113" s="356">
        <v>79</v>
      </c>
      <c r="C113" s="357"/>
      <c r="D113" s="358" t="str">
        <f t="shared" ca="1" si="4"/>
        <v/>
      </c>
      <c r="E113" s="359"/>
      <c r="F113" s="360"/>
      <c r="G113" s="359"/>
      <c r="H113" s="360"/>
      <c r="I113" s="361" t="str">
        <f t="shared" si="5"/>
        <v/>
      </c>
      <c r="J113" s="2108"/>
      <c r="K113" s="2108"/>
    </row>
    <row r="114" spans="2:11" ht="27.75" customHeight="1">
      <c r="B114" s="356">
        <v>80</v>
      </c>
      <c r="C114" s="357"/>
      <c r="D114" s="358" t="str">
        <f t="shared" ca="1" si="4"/>
        <v/>
      </c>
      <c r="E114" s="359"/>
      <c r="F114" s="360"/>
      <c r="G114" s="359"/>
      <c r="H114" s="360"/>
      <c r="I114" s="361" t="str">
        <f t="shared" si="5"/>
        <v/>
      </c>
      <c r="J114" s="2108"/>
      <c r="K114" s="2108"/>
    </row>
    <row r="115" spans="2:11" ht="27.75" customHeight="1">
      <c r="B115" s="356">
        <v>81</v>
      </c>
      <c r="C115" s="357"/>
      <c r="D115" s="358" t="str">
        <f t="shared" ca="1" si="4"/>
        <v/>
      </c>
      <c r="E115" s="359"/>
      <c r="F115" s="360"/>
      <c r="G115" s="359"/>
      <c r="H115" s="360"/>
      <c r="I115" s="361" t="str">
        <f t="shared" si="5"/>
        <v/>
      </c>
      <c r="J115" s="2108"/>
      <c r="K115" s="2108"/>
    </row>
    <row r="116" spans="2:11" ht="27.75" customHeight="1">
      <c r="B116" s="356">
        <v>82</v>
      </c>
      <c r="C116" s="357"/>
      <c r="D116" s="358" t="str">
        <f t="shared" ca="1" si="4"/>
        <v/>
      </c>
      <c r="E116" s="359"/>
      <c r="F116" s="360"/>
      <c r="G116" s="359"/>
      <c r="H116" s="360"/>
      <c r="I116" s="361" t="str">
        <f t="shared" si="5"/>
        <v/>
      </c>
      <c r="J116" s="2108"/>
      <c r="K116" s="2108"/>
    </row>
    <row r="117" spans="2:11" ht="27.75" customHeight="1">
      <c r="B117" s="356">
        <v>83</v>
      </c>
      <c r="C117" s="357"/>
      <c r="D117" s="358" t="str">
        <f t="shared" ca="1" si="4"/>
        <v/>
      </c>
      <c r="E117" s="359"/>
      <c r="F117" s="360"/>
      <c r="G117" s="359"/>
      <c r="H117" s="360"/>
      <c r="I117" s="361" t="str">
        <f t="shared" si="5"/>
        <v/>
      </c>
      <c r="J117" s="2108"/>
      <c r="K117" s="2108"/>
    </row>
    <row r="118" spans="2:11" ht="27.75" customHeight="1">
      <c r="B118" s="356">
        <v>84</v>
      </c>
      <c r="C118" s="357"/>
      <c r="D118" s="358" t="str">
        <f t="shared" ca="1" si="4"/>
        <v/>
      </c>
      <c r="E118" s="359"/>
      <c r="F118" s="360"/>
      <c r="G118" s="359"/>
      <c r="H118" s="360"/>
      <c r="I118" s="361" t="str">
        <f t="shared" si="5"/>
        <v/>
      </c>
      <c r="J118" s="2108"/>
      <c r="K118" s="2108"/>
    </row>
    <row r="119" spans="2:11" ht="27.75" customHeight="1">
      <c r="B119" s="356">
        <v>85</v>
      </c>
      <c r="C119" s="357"/>
      <c r="D119" s="358" t="str">
        <f t="shared" ca="1" si="4"/>
        <v/>
      </c>
      <c r="E119" s="359"/>
      <c r="F119" s="360"/>
      <c r="G119" s="359"/>
      <c r="H119" s="360"/>
      <c r="I119" s="361" t="str">
        <f t="shared" si="5"/>
        <v/>
      </c>
      <c r="J119" s="2108"/>
      <c r="K119" s="2108"/>
    </row>
    <row r="120" spans="2:11" ht="27.75" customHeight="1">
      <c r="B120" s="356">
        <v>86</v>
      </c>
      <c r="C120" s="357"/>
      <c r="D120" s="358" t="str">
        <f t="shared" ca="1" si="4"/>
        <v/>
      </c>
      <c r="E120" s="359"/>
      <c r="F120" s="360"/>
      <c r="G120" s="359"/>
      <c r="H120" s="360"/>
      <c r="I120" s="361" t="str">
        <f t="shared" si="5"/>
        <v/>
      </c>
      <c r="J120" s="2108"/>
      <c r="K120" s="2108"/>
    </row>
    <row r="121" spans="2:11" ht="27.75" customHeight="1">
      <c r="B121" s="356">
        <v>87</v>
      </c>
      <c r="C121" s="357"/>
      <c r="D121" s="358" t="str">
        <f t="shared" ca="1" si="4"/>
        <v/>
      </c>
      <c r="E121" s="359"/>
      <c r="F121" s="360"/>
      <c r="G121" s="359"/>
      <c r="H121" s="360"/>
      <c r="I121" s="361" t="str">
        <f t="shared" si="5"/>
        <v/>
      </c>
      <c r="J121" s="2108"/>
      <c r="K121" s="2108"/>
    </row>
    <row r="122" spans="2:11" ht="27.75" customHeight="1">
      <c r="B122" s="356">
        <v>88</v>
      </c>
      <c r="C122" s="357"/>
      <c r="D122" s="358" t="str">
        <f t="shared" ca="1" si="4"/>
        <v/>
      </c>
      <c r="E122" s="359"/>
      <c r="F122" s="360"/>
      <c r="G122" s="359"/>
      <c r="H122" s="360"/>
      <c r="I122" s="361" t="str">
        <f t="shared" si="5"/>
        <v/>
      </c>
      <c r="J122" s="2108"/>
      <c r="K122" s="2108"/>
    </row>
    <row r="123" spans="2:11" ht="27.75" customHeight="1">
      <c r="B123" s="356">
        <v>89</v>
      </c>
      <c r="C123" s="357"/>
      <c r="D123" s="358" t="str">
        <f t="shared" ca="1" si="4"/>
        <v/>
      </c>
      <c r="E123" s="359"/>
      <c r="F123" s="360"/>
      <c r="G123" s="359"/>
      <c r="H123" s="360"/>
      <c r="I123" s="361" t="str">
        <f t="shared" si="5"/>
        <v/>
      </c>
      <c r="J123" s="2108"/>
      <c r="K123" s="2108"/>
    </row>
    <row r="124" spans="2:11" ht="27.75" customHeight="1">
      <c r="B124" s="356">
        <v>90</v>
      </c>
      <c r="C124" s="357"/>
      <c r="D124" s="358" t="str">
        <f t="shared" ca="1" si="4"/>
        <v/>
      </c>
      <c r="E124" s="359"/>
      <c r="F124" s="360"/>
      <c r="G124" s="359"/>
      <c r="H124" s="360"/>
      <c r="I124" s="361" t="str">
        <f t="shared" si="5"/>
        <v/>
      </c>
      <c r="J124" s="2108"/>
      <c r="K124" s="2108"/>
    </row>
    <row r="125" spans="2:11" ht="27.75" customHeight="1">
      <c r="B125" s="356">
        <v>91</v>
      </c>
      <c r="C125" s="357"/>
      <c r="D125" s="358" t="str">
        <f t="shared" ca="1" si="4"/>
        <v/>
      </c>
      <c r="E125" s="359"/>
      <c r="F125" s="360"/>
      <c r="G125" s="359"/>
      <c r="H125" s="360"/>
      <c r="I125" s="361" t="str">
        <f t="shared" si="5"/>
        <v/>
      </c>
      <c r="J125" s="2108"/>
      <c r="K125" s="2108"/>
    </row>
    <row r="126" spans="2:11" ht="27.75" customHeight="1">
      <c r="B126" s="356">
        <v>92</v>
      </c>
      <c r="C126" s="357"/>
      <c r="D126" s="358" t="str">
        <f t="shared" ca="1" si="4"/>
        <v/>
      </c>
      <c r="E126" s="359"/>
      <c r="F126" s="360"/>
      <c r="G126" s="359"/>
      <c r="H126" s="360"/>
      <c r="I126" s="361" t="str">
        <f t="shared" si="5"/>
        <v/>
      </c>
      <c r="J126" s="2108"/>
      <c r="K126" s="2108"/>
    </row>
    <row r="127" spans="2:11" ht="27.75" customHeight="1">
      <c r="B127" s="356">
        <v>93</v>
      </c>
      <c r="C127" s="357"/>
      <c r="D127" s="358" t="str">
        <f t="shared" ca="1" si="4"/>
        <v/>
      </c>
      <c r="E127" s="359"/>
      <c r="F127" s="360"/>
      <c r="G127" s="359"/>
      <c r="H127" s="360"/>
      <c r="I127" s="361" t="str">
        <f t="shared" si="5"/>
        <v/>
      </c>
      <c r="J127" s="2108"/>
      <c r="K127" s="2108"/>
    </row>
    <row r="128" spans="2:11" ht="27.75" customHeight="1">
      <c r="B128" s="356">
        <v>94</v>
      </c>
      <c r="C128" s="357"/>
      <c r="D128" s="358" t="str">
        <f t="shared" ca="1" si="4"/>
        <v/>
      </c>
      <c r="E128" s="359"/>
      <c r="F128" s="360"/>
      <c r="G128" s="359"/>
      <c r="H128" s="360"/>
      <c r="I128" s="361" t="str">
        <f t="shared" si="5"/>
        <v/>
      </c>
      <c r="J128" s="2108"/>
      <c r="K128" s="2108"/>
    </row>
    <row r="129" spans="2:11" ht="27.75" customHeight="1">
      <c r="B129" s="356">
        <v>95</v>
      </c>
      <c r="C129" s="357"/>
      <c r="D129" s="358" t="str">
        <f t="shared" ca="1" si="4"/>
        <v/>
      </c>
      <c r="E129" s="359"/>
      <c r="F129" s="360"/>
      <c r="G129" s="359"/>
      <c r="H129" s="360"/>
      <c r="I129" s="361" t="str">
        <f t="shared" si="5"/>
        <v/>
      </c>
      <c r="J129" s="2108"/>
      <c r="K129" s="2108"/>
    </row>
    <row r="130" spans="2:11" ht="27.75" customHeight="1">
      <c r="B130" s="356">
        <v>96</v>
      </c>
      <c r="C130" s="357"/>
      <c r="D130" s="358" t="str">
        <f t="shared" ca="1" si="4"/>
        <v/>
      </c>
      <c r="E130" s="359"/>
      <c r="F130" s="360"/>
      <c r="G130" s="359"/>
      <c r="H130" s="360"/>
      <c r="I130" s="361" t="str">
        <f t="shared" si="5"/>
        <v/>
      </c>
      <c r="J130" s="2108"/>
      <c r="K130" s="2108"/>
    </row>
    <row r="131" spans="2:11" ht="27.75" customHeight="1">
      <c r="B131" s="356">
        <v>97</v>
      </c>
      <c r="C131" s="357"/>
      <c r="D131" s="358" t="str">
        <f t="shared" ca="1" si="4"/>
        <v/>
      </c>
      <c r="E131" s="359"/>
      <c r="F131" s="360"/>
      <c r="G131" s="359"/>
      <c r="H131" s="360"/>
      <c r="I131" s="361" t="str">
        <f t="shared" si="5"/>
        <v/>
      </c>
      <c r="J131" s="2108"/>
      <c r="K131" s="2108"/>
    </row>
    <row r="132" spans="2:11" ht="27.75" customHeight="1">
      <c r="B132" s="356">
        <v>98</v>
      </c>
      <c r="C132" s="357"/>
      <c r="D132" s="358" t="str">
        <f t="shared" ca="1" si="4"/>
        <v/>
      </c>
      <c r="E132" s="359"/>
      <c r="F132" s="360"/>
      <c r="G132" s="359"/>
      <c r="H132" s="360"/>
      <c r="I132" s="361" t="str">
        <f t="shared" si="5"/>
        <v/>
      </c>
      <c r="J132" s="2108"/>
      <c r="K132" s="2108"/>
    </row>
    <row r="133" spans="2:11" ht="27.75" customHeight="1">
      <c r="B133" s="356">
        <v>99</v>
      </c>
      <c r="C133" s="357"/>
      <c r="D133" s="358" t="str">
        <f t="shared" ca="1" si="4"/>
        <v/>
      </c>
      <c r="E133" s="359"/>
      <c r="F133" s="360"/>
      <c r="G133" s="359"/>
      <c r="H133" s="360"/>
      <c r="I133" s="361" t="str">
        <f t="shared" si="5"/>
        <v/>
      </c>
      <c r="J133" s="2108"/>
      <c r="K133" s="2108"/>
    </row>
    <row r="134" spans="2:11" ht="27.75" customHeight="1">
      <c r="B134" s="356">
        <v>100</v>
      </c>
      <c r="C134" s="357"/>
      <c r="D134" s="358" t="str">
        <f t="shared" ca="1" si="4"/>
        <v/>
      </c>
      <c r="E134" s="359"/>
      <c r="F134" s="360"/>
      <c r="G134" s="359"/>
      <c r="H134" s="360"/>
      <c r="I134" s="361" t="str">
        <f t="shared" si="5"/>
        <v/>
      </c>
      <c r="J134" s="2108"/>
      <c r="K134" s="2108"/>
    </row>
    <row r="135" spans="2:11" ht="14.4">
      <c r="H135" s="364"/>
      <c r="I135" s="364"/>
    </row>
    <row r="136" spans="2:11" ht="14.4" hidden="1">
      <c r="H136" s="364"/>
      <c r="I136" s="364"/>
    </row>
  </sheetData>
  <sheetProtection password="CD4E" sheet="1" objects="1" scenarios="1"/>
  <mergeCells count="105">
    <mergeCell ref="J36:K36"/>
    <mergeCell ref="J37:K37"/>
    <mergeCell ref="J38:K38"/>
    <mergeCell ref="J39:K39"/>
    <mergeCell ref="J40:K40"/>
    <mergeCell ref="J41:K41"/>
    <mergeCell ref="B2:C2"/>
    <mergeCell ref="B9:E9"/>
    <mergeCell ref="H9:J9"/>
    <mergeCell ref="B33:K33"/>
    <mergeCell ref="J34:K34"/>
    <mergeCell ref="J35:K35"/>
    <mergeCell ref="J48:K48"/>
    <mergeCell ref="J49:K49"/>
    <mergeCell ref="J50:K50"/>
    <mergeCell ref="J51:K51"/>
    <mergeCell ref="J52:K52"/>
    <mergeCell ref="J53:K53"/>
    <mergeCell ref="J42:K42"/>
    <mergeCell ref="J43:K43"/>
    <mergeCell ref="J44:K44"/>
    <mergeCell ref="J45:K45"/>
    <mergeCell ref="J46:K46"/>
    <mergeCell ref="J47:K47"/>
    <mergeCell ref="J60:K60"/>
    <mergeCell ref="J61:K61"/>
    <mergeCell ref="J62:K62"/>
    <mergeCell ref="J63:K63"/>
    <mergeCell ref="J64:K64"/>
    <mergeCell ref="J65:K65"/>
    <mergeCell ref="J54:K54"/>
    <mergeCell ref="J55:K55"/>
    <mergeCell ref="J56:K56"/>
    <mergeCell ref="J57:K57"/>
    <mergeCell ref="J58:K58"/>
    <mergeCell ref="J59:K59"/>
    <mergeCell ref="J72:K72"/>
    <mergeCell ref="J73:K73"/>
    <mergeCell ref="J74:K74"/>
    <mergeCell ref="J75:K75"/>
    <mergeCell ref="J76:K76"/>
    <mergeCell ref="J77:K77"/>
    <mergeCell ref="J66:K66"/>
    <mergeCell ref="J67:K67"/>
    <mergeCell ref="J68:K68"/>
    <mergeCell ref="J69:K69"/>
    <mergeCell ref="J70:K70"/>
    <mergeCell ref="J71:K71"/>
    <mergeCell ref="J84:K84"/>
    <mergeCell ref="J85:K85"/>
    <mergeCell ref="J86:K86"/>
    <mergeCell ref="J87:K87"/>
    <mergeCell ref="J88:K88"/>
    <mergeCell ref="J89:K89"/>
    <mergeCell ref="J78:K78"/>
    <mergeCell ref="J79:K79"/>
    <mergeCell ref="J80:K80"/>
    <mergeCell ref="J81:K81"/>
    <mergeCell ref="J82:K82"/>
    <mergeCell ref="J83:K83"/>
    <mergeCell ref="J96:K96"/>
    <mergeCell ref="J97:K97"/>
    <mergeCell ref="J98:K98"/>
    <mergeCell ref="J99:K99"/>
    <mergeCell ref="J100:K100"/>
    <mergeCell ref="J101:K101"/>
    <mergeCell ref="J90:K90"/>
    <mergeCell ref="J91:K91"/>
    <mergeCell ref="J92:K92"/>
    <mergeCell ref="J93:K93"/>
    <mergeCell ref="J94:K94"/>
    <mergeCell ref="J95:K95"/>
    <mergeCell ref="J108:K108"/>
    <mergeCell ref="J109:K109"/>
    <mergeCell ref="J110:K110"/>
    <mergeCell ref="J111:K111"/>
    <mergeCell ref="J112:K112"/>
    <mergeCell ref="J113:K113"/>
    <mergeCell ref="J102:K102"/>
    <mergeCell ref="J103:K103"/>
    <mergeCell ref="J104:K104"/>
    <mergeCell ref="J105:K105"/>
    <mergeCell ref="J106:K106"/>
    <mergeCell ref="J107:K107"/>
    <mergeCell ref="J120:K120"/>
    <mergeCell ref="J121:K121"/>
    <mergeCell ref="J122:K122"/>
    <mergeCell ref="J123:K123"/>
    <mergeCell ref="J124:K124"/>
    <mergeCell ref="J125:K125"/>
    <mergeCell ref="J114:K114"/>
    <mergeCell ref="J115:K115"/>
    <mergeCell ref="J116:K116"/>
    <mergeCell ref="J117:K117"/>
    <mergeCell ref="J118:K118"/>
    <mergeCell ref="J119:K119"/>
    <mergeCell ref="J132:K132"/>
    <mergeCell ref="J133:K133"/>
    <mergeCell ref="J134:K134"/>
    <mergeCell ref="J126:K126"/>
    <mergeCell ref="J127:K127"/>
    <mergeCell ref="J128:K128"/>
    <mergeCell ref="J129:K129"/>
    <mergeCell ref="J130:K130"/>
    <mergeCell ref="J131:K131"/>
  </mergeCells>
  <dataValidations count="6">
    <dataValidation type="list" allowBlank="1" showInputMessage="1" showErrorMessage="1" sqref="F7:G7 C7" xr:uid="{00000000-0002-0000-0900-000000000000}">
      <formula1>Zona</formula1>
    </dataValidation>
    <dataValidation type="list" allowBlank="1" showInputMessage="1" showErrorMessage="1" sqref="F6:G6 C6" xr:uid="{00000000-0002-0000-0900-000001000000}">
      <formula1>INDIRECT($C$5)</formula1>
    </dataValidation>
    <dataValidation type="list" allowBlank="1" showInputMessage="1" showErrorMessage="1" sqref="F5:G5 C5" xr:uid="{00000000-0002-0000-0900-000002000000}">
      <formula1>Vicepresidencia</formula1>
    </dataValidation>
    <dataValidation type="list" allowBlank="1" showInputMessage="1" showErrorMessage="1" sqref="C35:C134" xr:uid="{00000000-0002-0000-0900-000003000000}">
      <formula1>Fuente</formula1>
    </dataValidation>
    <dataValidation type="list" allowBlank="1" showInputMessage="1" showErrorMessage="1" sqref="C11:C30" xr:uid="{00000000-0002-0000-0900-000004000000}">
      <formula1>Tipo_Fuente</formula1>
    </dataValidation>
    <dataValidation type="list" allowBlank="1" showInputMessage="1" showErrorMessage="1" sqref="C4" xr:uid="{00000000-0002-0000-0900-000005000000}">
      <formula1>Instalacion</formula1>
    </dataValidation>
  </dataValidations>
  <pageMargins left="0.70866141732283472" right="0.70866141732283472" top="0.74803149606299213" bottom="0.74803149606299213" header="0.31496062992125984" footer="0.31496062992125984"/>
  <pageSetup paperSize="9" scale="15" orientation="landscape" r:id="rId1"/>
  <drawing r:id="rId2"/>
  <legacyDrawing r:id="rId3"/>
  <controls>
    <mc:AlternateContent xmlns:mc="http://schemas.openxmlformats.org/markup-compatibility/2006">
      <mc:Choice Requires="x14">
        <control shapeId="34817" r:id="rId4" name="Indisponibilidad">
          <controlPr defaultSize="0" autoLine="0" r:id="rId5">
            <anchor moveWithCells="1">
              <from>
                <xdr:col>7</xdr:col>
                <xdr:colOff>662940</xdr:colOff>
                <xdr:row>4</xdr:row>
                <xdr:rowOff>106680</xdr:rowOff>
              </from>
              <to>
                <xdr:col>9</xdr:col>
                <xdr:colOff>510540</xdr:colOff>
                <xdr:row>7</xdr:row>
                <xdr:rowOff>175260</xdr:rowOff>
              </to>
            </anchor>
          </controlPr>
        </control>
      </mc:Choice>
      <mc:Fallback>
        <control shapeId="34817" r:id="rId4" name="Indisponibilidad"/>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990033"/>
  </sheetPr>
  <dimension ref="A2:AS243"/>
  <sheetViews>
    <sheetView topLeftCell="K154" zoomScale="55" zoomScaleNormal="55" workbookViewId="0">
      <selection activeCell="K260" sqref="K260"/>
    </sheetView>
  </sheetViews>
  <sheetFormatPr baseColWidth="10" defaultColWidth="9.21875" defaultRowHeight="14.4"/>
  <cols>
    <col min="2" max="2" width="14.44140625" bestFit="1" customWidth="1"/>
    <col min="3" max="3" width="16.21875" bestFit="1" customWidth="1"/>
    <col min="4" max="4" width="17.44140625" bestFit="1" customWidth="1"/>
    <col min="5" max="5" width="15.5546875" bestFit="1" customWidth="1"/>
    <col min="6" max="6" width="16.77734375" bestFit="1" customWidth="1"/>
    <col min="7" max="7" width="17.5546875" bestFit="1" customWidth="1"/>
    <col min="8" max="10" width="16.5546875" bestFit="1" customWidth="1"/>
    <col min="11" max="12" width="13.5546875" bestFit="1" customWidth="1"/>
    <col min="13" max="13" width="15.5546875" bestFit="1" customWidth="1"/>
    <col min="14" max="14" width="13.5546875" bestFit="1" customWidth="1"/>
    <col min="15" max="15" width="16.77734375" bestFit="1" customWidth="1"/>
    <col min="17" max="17" width="22.44140625" bestFit="1" customWidth="1"/>
    <col min="18" max="19" width="10.44140625" customWidth="1"/>
    <col min="21" max="23" width="9.21875" customWidth="1"/>
    <col min="25" max="25" width="14.21875" bestFit="1" customWidth="1"/>
    <col min="26" max="27" width="9.44140625" customWidth="1"/>
    <col min="28" max="28" width="11.77734375" customWidth="1"/>
    <col min="29" max="29" width="9.5546875" customWidth="1"/>
    <col min="30" max="31" width="9.5546875" bestFit="1" customWidth="1"/>
    <col min="32" max="32" width="9.44140625" bestFit="1" customWidth="1"/>
    <col min="33" max="33" width="9.5546875" bestFit="1" customWidth="1"/>
  </cols>
  <sheetData>
    <row r="2" spans="1:15">
      <c r="A2" s="1332"/>
      <c r="B2" s="1326" t="s">
        <v>1</v>
      </c>
      <c r="C2" s="1331"/>
      <c r="D2" s="1324"/>
      <c r="E2" s="1330">
        <f>INICIO!D12</f>
        <v>45078</v>
      </c>
      <c r="F2" s="1325"/>
      <c r="G2" s="1019">
        <f>DAY(E2)</f>
        <v>1</v>
      </c>
      <c r="H2" s="219"/>
      <c r="I2" s="412"/>
      <c r="K2" s="412"/>
      <c r="L2" s="218"/>
      <c r="M2" s="218"/>
      <c r="N2" s="219"/>
      <c r="O2" s="219"/>
    </row>
    <row r="3" spans="1:15">
      <c r="B3" s="1326" t="s">
        <v>2</v>
      </c>
      <c r="C3" s="1324"/>
      <c r="D3" s="1324"/>
      <c r="E3" s="1325">
        <f>INICIO!D13</f>
        <v>45107</v>
      </c>
      <c r="F3" s="1325"/>
      <c r="G3" s="1019">
        <f>DAY(E3)</f>
        <v>30</v>
      </c>
      <c r="I3" s="412"/>
      <c r="L3" s="218"/>
      <c r="M3" s="218"/>
      <c r="N3" s="220"/>
      <c r="O3" s="220"/>
    </row>
    <row r="4" spans="1:15">
      <c r="B4" s="1326" t="s">
        <v>18</v>
      </c>
      <c r="C4" s="1324"/>
      <c r="D4" s="1324"/>
      <c r="E4" s="1325">
        <f>INICIO!C8</f>
        <v>45081</v>
      </c>
      <c r="F4" s="1325"/>
      <c r="G4" s="1019">
        <f>DAY(E4)</f>
        <v>4</v>
      </c>
      <c r="H4" s="219"/>
      <c r="I4" s="218"/>
      <c r="J4" s="218"/>
      <c r="K4" s="31"/>
      <c r="L4" s="31"/>
      <c r="M4" s="31"/>
      <c r="N4" s="2128">
        <f>E4+1</f>
        <v>45082</v>
      </c>
      <c r="O4" s="2128"/>
    </row>
    <row r="82" spans="31:45" ht="15" thickBot="1"/>
    <row r="83" spans="31:45" ht="15.75" customHeight="1" thickTop="1">
      <c r="AE83" s="2143" t="s">
        <v>1502</v>
      </c>
      <c r="AF83" s="2144"/>
      <c r="AG83" s="2144"/>
      <c r="AH83" s="2144"/>
      <c r="AI83" s="2144"/>
      <c r="AJ83" s="2144"/>
      <c r="AK83" s="2144"/>
      <c r="AL83" s="2144"/>
      <c r="AM83" s="2144"/>
      <c r="AN83" s="2145"/>
    </row>
    <row r="84" spans="31:45" ht="15.75" customHeight="1" thickBot="1">
      <c r="AE84" s="2146"/>
      <c r="AF84" s="2147"/>
      <c r="AG84" s="2147"/>
      <c r="AH84" s="2147"/>
      <c r="AI84" s="2147"/>
      <c r="AJ84" s="2147"/>
      <c r="AK84" s="2147"/>
      <c r="AL84" s="2147"/>
      <c r="AM84" s="2147"/>
      <c r="AN84" s="2148"/>
      <c r="AS84" s="387">
        <v>100</v>
      </c>
    </row>
    <row r="85" spans="31:45" ht="15" customHeight="1" thickTop="1">
      <c r="AE85" s="2140" t="s">
        <v>132</v>
      </c>
      <c r="AF85" s="2138" t="s">
        <v>375</v>
      </c>
      <c r="AG85" s="2138" t="s">
        <v>376</v>
      </c>
      <c r="AH85" s="2130" t="s">
        <v>377</v>
      </c>
      <c r="AI85" s="2130" t="s">
        <v>378</v>
      </c>
      <c r="AJ85" s="2149" t="s">
        <v>379</v>
      </c>
      <c r="AK85" s="2151" t="s">
        <v>1384</v>
      </c>
      <c r="AL85" s="2130" t="s">
        <v>1246</v>
      </c>
      <c r="AM85" s="2130" t="s">
        <v>1247</v>
      </c>
      <c r="AN85" s="2132" t="s">
        <v>1248</v>
      </c>
    </row>
    <row r="86" spans="31:45">
      <c r="AE86" s="2140"/>
      <c r="AF86" s="2138"/>
      <c r="AG86" s="2138"/>
      <c r="AH86" s="2130"/>
      <c r="AI86" s="2130"/>
      <c r="AJ86" s="2149"/>
      <c r="AK86" s="2151"/>
      <c r="AL86" s="2130"/>
      <c r="AM86" s="2130"/>
      <c r="AN86" s="2132"/>
    </row>
    <row r="87" spans="31:45" ht="15" customHeight="1">
      <c r="AE87" s="2141"/>
      <c r="AF87" s="2139"/>
      <c r="AG87" s="2139"/>
      <c r="AH87" s="2131"/>
      <c r="AI87" s="2131"/>
      <c r="AJ87" s="2150"/>
      <c r="AK87" s="2152"/>
      <c r="AL87" s="2131"/>
      <c r="AM87" s="2131"/>
      <c r="AN87" s="2133"/>
    </row>
    <row r="88" spans="31:45">
      <c r="AE88" s="388">
        <v>41640</v>
      </c>
      <c r="AF88" s="1094">
        <f ca="1">$AG159</f>
        <v>526.43999999999323</v>
      </c>
      <c r="AG88" s="1095">
        <f ca="1">$AC159</f>
        <v>0</v>
      </c>
      <c r="AH88" s="1055">
        <f ca="1">$AD159</f>
        <v>0</v>
      </c>
      <c r="AI88" s="1055">
        <f ca="1">$AE159</f>
        <v>219.59999999999127</v>
      </c>
      <c r="AJ88" s="1096">
        <f ca="1">$AF159</f>
        <v>306.84000000000196</v>
      </c>
      <c r="AK88" s="1097">
        <f ca="1">IF($AF88=0,0,(AG88*$AS$84)/AF88)</f>
        <v>0</v>
      </c>
      <c r="AL88" s="1098">
        <f ca="1">IF($AF88=0,0,(AH88*$AS$84)/AF88)</f>
        <v>0</v>
      </c>
      <c r="AM88" s="1098">
        <f ca="1">IF($AF88=0,0,(AI88*$AS$84)/AF88)</f>
        <v>41.714155459310483</v>
      </c>
      <c r="AN88" s="1099">
        <f ca="1">IF($AF88=0,0,(AJ88*$AS$84)/AF88)</f>
        <v>58.285844540689517</v>
      </c>
    </row>
    <row r="89" spans="31:45">
      <c r="AE89" s="388">
        <v>41671</v>
      </c>
      <c r="AF89" s="1094">
        <f ca="1">$AG160</f>
        <v>551.27999999999247</v>
      </c>
      <c r="AG89" s="1095">
        <f ca="1">$AC160</f>
        <v>0</v>
      </c>
      <c r="AH89" s="1055">
        <f ca="1">$AD160</f>
        <v>0</v>
      </c>
      <c r="AI89" s="1055">
        <f ca="1">$AE160</f>
        <v>138.3600000000024</v>
      </c>
      <c r="AJ89" s="1096">
        <f ca="1">$AF160</f>
        <v>412.91999999999007</v>
      </c>
      <c r="AK89" s="1097">
        <f t="shared" ref="AK89:AK99" ca="1" si="0">IF($AF89=0,0,(AG89*$AS$84)/AF89)</f>
        <v>0</v>
      </c>
      <c r="AL89" s="1098">
        <f t="shared" ref="AL89:AL99" ca="1" si="1">IF($AF89=0,0,(AH89*$AS$84)/AF89)</f>
        <v>0</v>
      </c>
      <c r="AM89" s="1098">
        <f t="shared" ref="AM89:AM99" ca="1" si="2">IF($AF89=0,0,(AI89*$AS$84)/AF89)</f>
        <v>25.097953852852324</v>
      </c>
      <c r="AN89" s="1099">
        <f t="shared" ref="AN89:AN99" ca="1" si="3">IF($AF89=0,0,(AJ89*$AS$84)/AF89)</f>
        <v>74.902046147147686</v>
      </c>
    </row>
    <row r="90" spans="31:45">
      <c r="AE90" s="388">
        <v>41699</v>
      </c>
      <c r="AF90" s="1094">
        <f t="shared" ref="AF90:AF99" ca="1" si="4">$AG161</f>
        <v>204.47999999999411</v>
      </c>
      <c r="AG90" s="1095">
        <f t="shared" ref="AG90:AG99" ca="1" si="5">$AC161</f>
        <v>0</v>
      </c>
      <c r="AH90" s="1055">
        <f t="shared" ref="AH90:AH99" ca="1" si="6">$AD161</f>
        <v>0</v>
      </c>
      <c r="AI90" s="1055">
        <f t="shared" ref="AI90:AI99" ca="1" si="7">$AE161</f>
        <v>77.51999999999498</v>
      </c>
      <c r="AJ90" s="1096">
        <f t="shared" ref="AJ90:AJ99" ca="1" si="8">$AF161</f>
        <v>126.95999999999913</v>
      </c>
      <c r="AK90" s="1097">
        <f t="shared" ca="1" si="0"/>
        <v>0</v>
      </c>
      <c r="AL90" s="1098">
        <f t="shared" ca="1" si="1"/>
        <v>0</v>
      </c>
      <c r="AM90" s="1098">
        <f t="shared" ca="1" si="2"/>
        <v>37.910798122064364</v>
      </c>
      <c r="AN90" s="1099">
        <f t="shared" ca="1" si="3"/>
        <v>62.089201877935636</v>
      </c>
    </row>
    <row r="91" spans="31:45">
      <c r="AE91" s="388">
        <v>41730</v>
      </c>
      <c r="AF91" s="1094">
        <f t="shared" ca="1" si="4"/>
        <v>3803.1600000000117</v>
      </c>
      <c r="AG91" s="1095">
        <f ca="1">$AC162</f>
        <v>0</v>
      </c>
      <c r="AH91" s="1055">
        <f t="shared" ca="1" si="6"/>
        <v>0</v>
      </c>
      <c r="AI91" s="1055">
        <f t="shared" ca="1" si="7"/>
        <v>623.04000000000087</v>
      </c>
      <c r="AJ91" s="1096">
        <f t="shared" ca="1" si="8"/>
        <v>3180.1200000000108</v>
      </c>
      <c r="AK91" s="1097">
        <f t="shared" ca="1" si="0"/>
        <v>0</v>
      </c>
      <c r="AL91" s="1098">
        <f t="shared" ca="1" si="1"/>
        <v>0</v>
      </c>
      <c r="AM91" s="1098">
        <f t="shared" ca="1" si="2"/>
        <v>16.382166408986183</v>
      </c>
      <c r="AN91" s="1099">
        <f t="shared" ca="1" si="3"/>
        <v>83.61783359101382</v>
      </c>
    </row>
    <row r="92" spans="31:45">
      <c r="AE92" s="388">
        <v>41760</v>
      </c>
      <c r="AF92" s="1094">
        <f t="shared" ca="1" si="4"/>
        <v>515.64000000000306</v>
      </c>
      <c r="AG92" s="1095">
        <f t="shared" ca="1" si="5"/>
        <v>0</v>
      </c>
      <c r="AH92" s="1055">
        <f t="shared" ca="1" si="6"/>
        <v>0</v>
      </c>
      <c r="AI92" s="1055">
        <f t="shared" ca="1" si="7"/>
        <v>177.2400000000107</v>
      </c>
      <c r="AJ92" s="1096">
        <f t="shared" ca="1" si="8"/>
        <v>338.39999999999236</v>
      </c>
      <c r="AK92" s="1097">
        <f t="shared" ca="1" si="0"/>
        <v>0</v>
      </c>
      <c r="AL92" s="1098">
        <f t="shared" ca="1" si="1"/>
        <v>0</v>
      </c>
      <c r="AM92" s="1098">
        <f t="shared" ca="1" si="2"/>
        <v>34.372818245289281</v>
      </c>
      <c r="AN92" s="1099">
        <f t="shared" ca="1" si="3"/>
        <v>65.627181754710719</v>
      </c>
    </row>
    <row r="93" spans="31:45">
      <c r="AE93" s="388">
        <v>41791</v>
      </c>
      <c r="AF93" s="1094">
        <f t="shared" ca="1" si="4"/>
        <v>0</v>
      </c>
      <c r="AG93" s="1095">
        <f t="shared" ca="1" si="5"/>
        <v>0</v>
      </c>
      <c r="AH93" s="1055">
        <f t="shared" ca="1" si="6"/>
        <v>0</v>
      </c>
      <c r="AI93" s="1055">
        <f t="shared" ca="1" si="7"/>
        <v>0</v>
      </c>
      <c r="AJ93" s="1096">
        <f t="shared" ca="1" si="8"/>
        <v>0</v>
      </c>
      <c r="AK93" s="1097">
        <f t="shared" ca="1" si="0"/>
        <v>0</v>
      </c>
      <c r="AL93" s="1098">
        <f t="shared" ca="1" si="1"/>
        <v>0</v>
      </c>
      <c r="AM93" s="1098">
        <f t="shared" ca="1" si="2"/>
        <v>0</v>
      </c>
      <c r="AN93" s="1099">
        <f t="shared" ca="1" si="3"/>
        <v>0</v>
      </c>
    </row>
    <row r="94" spans="31:45">
      <c r="AE94" s="388">
        <v>41821</v>
      </c>
      <c r="AF94" s="1094">
        <f ca="1">$AG165</f>
        <v>0</v>
      </c>
      <c r="AG94" s="1095">
        <f t="shared" ca="1" si="5"/>
        <v>0</v>
      </c>
      <c r="AH94" s="1055">
        <f t="shared" ca="1" si="6"/>
        <v>0</v>
      </c>
      <c r="AI94" s="1055">
        <f t="shared" ca="1" si="7"/>
        <v>0</v>
      </c>
      <c r="AJ94" s="1096">
        <f t="shared" ca="1" si="8"/>
        <v>0</v>
      </c>
      <c r="AK94" s="1097">
        <f t="shared" ca="1" si="0"/>
        <v>0</v>
      </c>
      <c r="AL94" s="1098">
        <f t="shared" ca="1" si="1"/>
        <v>0</v>
      </c>
      <c r="AM94" s="1098">
        <f t="shared" ca="1" si="2"/>
        <v>0</v>
      </c>
      <c r="AN94" s="1099">
        <f t="shared" ca="1" si="3"/>
        <v>0</v>
      </c>
    </row>
    <row r="95" spans="31:45">
      <c r="AE95" s="388">
        <v>41852</v>
      </c>
      <c r="AF95" s="1094">
        <f t="shared" ca="1" si="4"/>
        <v>0</v>
      </c>
      <c r="AG95" s="1095">
        <f t="shared" ca="1" si="5"/>
        <v>0</v>
      </c>
      <c r="AH95" s="1055">
        <f t="shared" ca="1" si="6"/>
        <v>0</v>
      </c>
      <c r="AI95" s="1055">
        <f t="shared" ca="1" si="7"/>
        <v>0</v>
      </c>
      <c r="AJ95" s="1096">
        <f t="shared" ca="1" si="8"/>
        <v>0</v>
      </c>
      <c r="AK95" s="1097">
        <f ca="1">IF($AF95=0,0,(AG95*$AS$84)/AF95)</f>
        <v>0</v>
      </c>
      <c r="AL95" s="1098">
        <f ca="1">IF($AF95=0,0,(AH95*$AS$84)/AF95)</f>
        <v>0</v>
      </c>
      <c r="AM95" s="1098">
        <f ca="1">IF($AF95=0,0,(AI95*$AS$84)/AF95)</f>
        <v>0</v>
      </c>
      <c r="AN95" s="1099">
        <f ca="1">IF($AF95=0,0,(AJ95*$AS$84)/AF95)</f>
        <v>0</v>
      </c>
    </row>
    <row r="96" spans="31:45">
      <c r="AE96" s="388">
        <v>41883</v>
      </c>
      <c r="AF96" s="1094">
        <f t="shared" ca="1" si="4"/>
        <v>0</v>
      </c>
      <c r="AG96" s="1095">
        <f t="shared" ca="1" si="5"/>
        <v>0</v>
      </c>
      <c r="AH96" s="1055">
        <f t="shared" ca="1" si="6"/>
        <v>0</v>
      </c>
      <c r="AI96" s="1055">
        <f t="shared" ca="1" si="7"/>
        <v>0</v>
      </c>
      <c r="AJ96" s="1096">
        <f t="shared" ca="1" si="8"/>
        <v>0</v>
      </c>
      <c r="AK96" s="1097">
        <f t="shared" ca="1" si="0"/>
        <v>0</v>
      </c>
      <c r="AL96" s="1098">
        <f t="shared" ca="1" si="1"/>
        <v>0</v>
      </c>
      <c r="AM96" s="1098">
        <f t="shared" ca="1" si="2"/>
        <v>0</v>
      </c>
      <c r="AN96" s="1099">
        <f t="shared" ca="1" si="3"/>
        <v>0</v>
      </c>
    </row>
    <row r="97" spans="31:40">
      <c r="AE97" s="388">
        <v>41913</v>
      </c>
      <c r="AF97" s="1094">
        <f t="shared" ca="1" si="4"/>
        <v>0</v>
      </c>
      <c r="AG97" s="1095">
        <f t="shared" ca="1" si="5"/>
        <v>0</v>
      </c>
      <c r="AH97" s="1055">
        <f t="shared" ca="1" si="6"/>
        <v>0</v>
      </c>
      <c r="AI97" s="1055">
        <f t="shared" ca="1" si="7"/>
        <v>0</v>
      </c>
      <c r="AJ97" s="1096">
        <f t="shared" ca="1" si="8"/>
        <v>0</v>
      </c>
      <c r="AK97" s="1097">
        <f t="shared" ca="1" si="0"/>
        <v>0</v>
      </c>
      <c r="AL97" s="1098">
        <f t="shared" ca="1" si="1"/>
        <v>0</v>
      </c>
      <c r="AM97" s="1098">
        <f t="shared" ca="1" si="2"/>
        <v>0</v>
      </c>
      <c r="AN97" s="1099">
        <f t="shared" ca="1" si="3"/>
        <v>0</v>
      </c>
    </row>
    <row r="98" spans="31:40">
      <c r="AE98" s="388">
        <v>41944</v>
      </c>
      <c r="AF98" s="1094">
        <f t="shared" ca="1" si="4"/>
        <v>0</v>
      </c>
      <c r="AG98" s="1095">
        <f t="shared" ca="1" si="5"/>
        <v>0</v>
      </c>
      <c r="AH98" s="1055">
        <f t="shared" ca="1" si="6"/>
        <v>0</v>
      </c>
      <c r="AI98" s="1055">
        <f t="shared" ca="1" si="7"/>
        <v>0</v>
      </c>
      <c r="AJ98" s="1096">
        <f t="shared" ca="1" si="8"/>
        <v>0</v>
      </c>
      <c r="AK98" s="1097">
        <f t="shared" ca="1" si="0"/>
        <v>0</v>
      </c>
      <c r="AL98" s="1098">
        <f t="shared" ca="1" si="1"/>
        <v>0</v>
      </c>
      <c r="AM98" s="1098">
        <f t="shared" ca="1" si="2"/>
        <v>0</v>
      </c>
      <c r="AN98" s="1099">
        <f t="shared" ca="1" si="3"/>
        <v>0</v>
      </c>
    </row>
    <row r="99" spans="31:40" ht="15" thickBot="1">
      <c r="AE99" s="389">
        <v>41974</v>
      </c>
      <c r="AF99" s="1094">
        <f t="shared" ca="1" si="4"/>
        <v>0</v>
      </c>
      <c r="AG99" s="1095">
        <f t="shared" ca="1" si="5"/>
        <v>0</v>
      </c>
      <c r="AH99" s="1055">
        <f t="shared" ca="1" si="6"/>
        <v>0</v>
      </c>
      <c r="AI99" s="1055">
        <f t="shared" ca="1" si="7"/>
        <v>0</v>
      </c>
      <c r="AJ99" s="1096">
        <f t="shared" ca="1" si="8"/>
        <v>0</v>
      </c>
      <c r="AK99" s="1100">
        <f t="shared" ca="1" si="0"/>
        <v>0</v>
      </c>
      <c r="AL99" s="1101">
        <f t="shared" ca="1" si="1"/>
        <v>0</v>
      </c>
      <c r="AM99" s="1101">
        <f t="shared" ca="1" si="2"/>
        <v>0</v>
      </c>
      <c r="AN99" s="1102">
        <f t="shared" ca="1" si="3"/>
        <v>0</v>
      </c>
    </row>
    <row r="100" spans="31:40" ht="15.6" thickTop="1" thickBot="1">
      <c r="AE100" s="1228" t="s">
        <v>1164</v>
      </c>
      <c r="AF100" s="1229">
        <f ca="1">SUM(AF88:AF99)</f>
        <v>5600.9999999999945</v>
      </c>
      <c r="AG100" s="1230">
        <f ca="1">SUM(AG88:AG99)</f>
        <v>0</v>
      </c>
      <c r="AH100" s="1231">
        <f ca="1">SUM(AH88:AH99)</f>
        <v>0</v>
      </c>
      <c r="AI100" s="1231">
        <f ca="1">SUM(AI88:AI99)</f>
        <v>1235.7600000000002</v>
      </c>
      <c r="AJ100" s="1232">
        <f ca="1">SUM(AJ88:AJ99)</f>
        <v>4365.2399999999943</v>
      </c>
    </row>
    <row r="101" spans="31:40" ht="15" thickTop="1"/>
    <row r="115" spans="1:40" ht="15.75" customHeight="1"/>
    <row r="121" spans="1:40">
      <c r="D121" s="401"/>
    </row>
    <row r="123" spans="1:40" ht="15" thickBot="1"/>
    <row r="124" spans="1:40" ht="63" customHeight="1" thickBot="1">
      <c r="A124" s="95"/>
      <c r="B124" s="2126" t="s">
        <v>4</v>
      </c>
      <c r="C124" s="2116" t="s">
        <v>1249</v>
      </c>
      <c r="D124" s="2117"/>
      <c r="E124" s="2129"/>
      <c r="F124" s="2117"/>
      <c r="G124" s="2117"/>
      <c r="H124" s="2118"/>
      <c r="I124" s="2116" t="s">
        <v>1250</v>
      </c>
      <c r="J124" s="2117"/>
      <c r="K124" s="2129"/>
      <c r="L124" s="2117"/>
      <c r="M124" s="2117"/>
      <c r="N124" s="2118"/>
      <c r="O124" s="166" t="s">
        <v>222</v>
      </c>
      <c r="P124" s="166" t="s">
        <v>221</v>
      </c>
      <c r="Q124" s="166" t="s">
        <v>221</v>
      </c>
      <c r="R124" s="2116" t="s">
        <v>1251</v>
      </c>
      <c r="S124" s="2117"/>
      <c r="T124" s="2118"/>
      <c r="U124" s="2116" t="s">
        <v>1248</v>
      </c>
      <c r="V124" s="2117"/>
      <c r="W124" s="2118"/>
      <c r="X124" s="166" t="s">
        <v>1488</v>
      </c>
      <c r="Y124" s="166" t="s">
        <v>584</v>
      </c>
      <c r="Z124" s="411" t="s">
        <v>1244</v>
      </c>
      <c r="AA124" s="411" t="s">
        <v>196</v>
      </c>
      <c r="AB124" s="166" t="s">
        <v>1489</v>
      </c>
      <c r="AC124" s="170" t="s">
        <v>1490</v>
      </c>
      <c r="AD124" s="170" t="s">
        <v>161</v>
      </c>
      <c r="AE124" s="170" t="s">
        <v>1491</v>
      </c>
      <c r="AF124" s="170" t="s">
        <v>1492</v>
      </c>
      <c r="AG124" s="170" t="s">
        <v>1493</v>
      </c>
      <c r="AH124" s="170" t="s">
        <v>1494</v>
      </c>
      <c r="AI124" s="170" t="s">
        <v>1228</v>
      </c>
      <c r="AJ124" s="170" t="s">
        <v>1229</v>
      </c>
      <c r="AK124" s="170" t="s">
        <v>1230</v>
      </c>
      <c r="AL124" s="170" t="s">
        <v>1237</v>
      </c>
      <c r="AM124" s="1825" t="s">
        <v>612</v>
      </c>
      <c r="AN124" s="1827"/>
    </row>
    <row r="125" spans="1:40" ht="49.5" customHeight="1" thickBot="1">
      <c r="A125" s="95"/>
      <c r="B125" s="2127"/>
      <c r="C125" s="13" t="s">
        <v>587</v>
      </c>
      <c r="D125" s="13" t="s">
        <v>585</v>
      </c>
      <c r="E125" s="14" t="s">
        <v>9</v>
      </c>
      <c r="F125" s="409" t="s">
        <v>589</v>
      </c>
      <c r="G125" s="409" t="s">
        <v>590</v>
      </c>
      <c r="H125" s="13" t="s">
        <v>600</v>
      </c>
      <c r="I125" s="13" t="s">
        <v>588</v>
      </c>
      <c r="J125" s="13" t="s">
        <v>586</v>
      </c>
      <c r="K125" s="14" t="s">
        <v>601</v>
      </c>
      <c r="L125" s="409" t="s">
        <v>589</v>
      </c>
      <c r="M125" s="409" t="s">
        <v>590</v>
      </c>
      <c r="N125" s="17" t="s">
        <v>600</v>
      </c>
      <c r="O125" s="14" t="s">
        <v>601</v>
      </c>
      <c r="P125" s="215" t="s">
        <v>11</v>
      </c>
      <c r="Q125" s="215" t="s">
        <v>165</v>
      </c>
      <c r="R125" s="13" t="s">
        <v>591</v>
      </c>
      <c r="S125" s="13" t="s">
        <v>593</v>
      </c>
      <c r="T125" s="414" t="s">
        <v>10</v>
      </c>
      <c r="U125" s="13" t="s">
        <v>592</v>
      </c>
      <c r="V125" s="13" t="s">
        <v>594</v>
      </c>
      <c r="W125" s="17" t="s">
        <v>10</v>
      </c>
      <c r="X125" s="215" t="s">
        <v>11</v>
      </c>
      <c r="Y125" s="13" t="s">
        <v>165</v>
      </c>
      <c r="Z125" s="13" t="s">
        <v>11</v>
      </c>
      <c r="AA125" s="13" t="s">
        <v>11</v>
      </c>
      <c r="AB125" s="18" t="s">
        <v>11</v>
      </c>
      <c r="AC125" s="18" t="s">
        <v>11</v>
      </c>
      <c r="AD125" s="18" t="s">
        <v>11</v>
      </c>
      <c r="AE125" s="19" t="s">
        <v>11</v>
      </c>
      <c r="AF125" s="19" t="s">
        <v>11</v>
      </c>
      <c r="AG125" s="19" t="s">
        <v>11</v>
      </c>
      <c r="AH125" s="19" t="s">
        <v>11</v>
      </c>
      <c r="AI125" s="18" t="s">
        <v>11</v>
      </c>
      <c r="AJ125" s="19" t="s">
        <v>11</v>
      </c>
      <c r="AK125" s="19" t="s">
        <v>11</v>
      </c>
      <c r="AL125" s="19" t="s">
        <v>11</v>
      </c>
      <c r="AM125" s="2134" t="s">
        <v>613</v>
      </c>
      <c r="AN125" s="2135"/>
    </row>
    <row r="126" spans="1:40" ht="15.75" customHeight="1" thickBot="1">
      <c r="A126" s="95"/>
      <c r="B126" s="413">
        <f>E2</f>
        <v>45078</v>
      </c>
      <c r="C126" s="216">
        <f ca="1">VLOOKUP($B126,DATOSAÑO!$B$11:$AR$375,8)</f>
        <v>296</v>
      </c>
      <c r="D126" s="216">
        <f ca="1">VLOOKUP($B126,DATOSAÑO!$B$11:$AR$375,40)</f>
        <v>147</v>
      </c>
      <c r="E126" s="216">
        <f ca="1">VLOOKUP($B126,DATOSAÑO!$B$11:$AR$375,3)</f>
        <v>4.7912563330741911</v>
      </c>
      <c r="F126" s="216">
        <f t="shared" ref="F126:F156" ca="1" si="9">IF($C126=0,0,$E126*$AM$126*1000/$C126)</f>
        <v>14574.483791554057</v>
      </c>
      <c r="G126" s="410">
        <f t="shared" ref="G126:G156" ca="1" si="10">IF($F126=0,0,3415.79*100/$F126)</f>
        <v>23.43678204218428</v>
      </c>
      <c r="H126" s="216">
        <f ca="1">VLOOKUP($B126,DATOSAÑO!$B$11:$AR$375,6)</f>
        <v>0</v>
      </c>
      <c r="I126" s="216">
        <f ca="1">VLOOKUP($B126,DATOSAÑO!$B$11:$AR$375,15)</f>
        <v>148</v>
      </c>
      <c r="J126" s="216">
        <f ca="1">VLOOKUP($B126,DATOSAÑO!$B$11:$AR$375,41)</f>
        <v>74</v>
      </c>
      <c r="K126" s="216">
        <f ca="1">VLOOKUP($B126,DATOSAÑO!$B$11:$AR$375,10)</f>
        <v>3.6087685498667268</v>
      </c>
      <c r="L126" s="216">
        <f ca="1">IF($I126=0,0,$K126*$AM$126*1000/$I126)</f>
        <v>21954.967583108111</v>
      </c>
      <c r="M126" s="410">
        <f ca="1">IF($L126=0,0,3415.79*100/$L126)</f>
        <v>15.558164625248947</v>
      </c>
      <c r="N126" s="216">
        <f ca="1">VLOOKUP($B126,DATOSAÑO!$B$11:$AR$375,13)</f>
        <v>0</v>
      </c>
      <c r="O126" s="216">
        <f ca="1">(E126+K126)</f>
        <v>8.4000248829409188</v>
      </c>
      <c r="P126" s="216">
        <f ca="1">AVERAGE(C126,I126)</f>
        <v>222</v>
      </c>
      <c r="Q126" s="216">
        <f ca="1">AVERAGE(D126,J126)</f>
        <v>110.5</v>
      </c>
      <c r="R126" s="216">
        <f ca="1">VLOOKUP($B126,DATOSAÑO!$B$11:$AR$375,16)</f>
        <v>0</v>
      </c>
      <c r="S126" s="216">
        <f ca="1">VLOOKUP($B126,DATOSAÑO!$B$11:$AR$375,43)</f>
        <v>0</v>
      </c>
      <c r="T126" s="216">
        <f ca="1">VLOOKUP($B126,DATOSAÑO!$B$11:$AR$375,17)</f>
        <v>0</v>
      </c>
      <c r="U126" s="216">
        <f ca="1">VLOOKUP($B126,DATOSAÑO!$B$11:$AR$375,19)</f>
        <v>0</v>
      </c>
      <c r="V126" s="216">
        <f ca="1">VLOOKUP($B126,DATOSAÑO!$B$11:$AR$375,43)</f>
        <v>0</v>
      </c>
      <c r="W126" s="216">
        <f ca="1">VLOOKUP($B126,DATOSAÑO!$B$11:$AR$375,20)</f>
        <v>0</v>
      </c>
      <c r="X126" s="216">
        <f ca="1">VLOOKUP($B126,DATOSAÑO!$B$11:$AR$375,24)</f>
        <v>444</v>
      </c>
      <c r="Y126" s="216">
        <f ca="1">VLOOKUP($B126,DATOSAÑO!$B$11:$BP$375,55)</f>
        <v>221</v>
      </c>
      <c r="Z126" s="216">
        <f ca="1">VLOOKUP($B126,DATOSAÑO!$B$11:$AM$375,29)</f>
        <v>166</v>
      </c>
      <c r="AA126" s="216">
        <f ca="1">VLOOKUP($B126,DATOSAÑO!$B$11:$AM$375,31)</f>
        <v>145</v>
      </c>
      <c r="AB126" s="216">
        <f ca="1">VLOOKUP($B126,DATOSAÑO!$B$11:$AM$375,33)</f>
        <v>12.599999999998545</v>
      </c>
      <c r="AC126" s="216">
        <f ca="1">VLOOKUP($B126,DATOSAÑO!$B$11:$AM$375,34)</f>
        <v>36.69999999999709</v>
      </c>
      <c r="AD126" s="216">
        <f ca="1">VLOOKUP($B126,DATOSAÑO!$B$11:$AM$375,35)</f>
        <v>5.4000000000087311</v>
      </c>
      <c r="AE126" s="216">
        <f ca="1">VLOOKUP($B126,DATOSAÑO!$B$11:$AM$375,36)</f>
        <v>13</v>
      </c>
      <c r="AF126" s="216">
        <f ca="1">VLOOKUP($B126,DATOSAÑO!$B$11:$AM$375,37)</f>
        <v>34.999999999996362</v>
      </c>
      <c r="AG126" s="216">
        <f ca="1">VLOOKUP($B126,DATOSAÑO!$B$11:$AM$375,38)</f>
        <v>11.255999999998364</v>
      </c>
      <c r="AH126" s="216">
        <f ca="1">VLOOKUP($B126,DATOSAÑO!$B$11:$AN$375,39)</f>
        <v>4.3469999999998183</v>
      </c>
      <c r="AI126" s="216">
        <f ca="1">VLOOKUP($B126,DATOSAÑO!$B$11:$BS$375,70)</f>
        <v>2.5</v>
      </c>
      <c r="AJ126" s="216">
        <f ca="1">VLOOKUP($B126,DATOSAÑO!$B$11:$BV$375,73)</f>
        <v>4.5439999999999996</v>
      </c>
      <c r="AK126" s="216">
        <f ca="1">VLOOKUP($B126,DATOSAÑO!$B$11:$BY$375,76)</f>
        <v>0</v>
      </c>
      <c r="AL126" s="216">
        <f ca="1">VLOOKUP($B126,DATOSAÑO!$B$11:$CL$375,89)</f>
        <v>3.0917999999999273</v>
      </c>
      <c r="AM126" s="2136">
        <f>VLOOKUP($B126,AH159:AH170,1)</f>
        <v>900.4</v>
      </c>
      <c r="AN126" s="2137"/>
    </row>
    <row r="127" spans="1:40">
      <c r="A127" s="95"/>
      <c r="B127" s="413">
        <f>B126+1</f>
        <v>45079</v>
      </c>
      <c r="C127" s="216">
        <f ca="1">VLOOKUP($B127,DATOSAÑO!$B$11:$AR$375,8)</f>
        <v>292</v>
      </c>
      <c r="D127" s="216">
        <f ca="1">VLOOKUP($B127,DATOSAÑO!$B$11:$AR$375,40)</f>
        <v>143</v>
      </c>
      <c r="E127" s="216">
        <f ca="1">VLOOKUP($B127,DATOSAÑO!$B$11:$AR$375,3)</f>
        <v>4.7592972037983134</v>
      </c>
      <c r="F127" s="216">
        <f t="shared" ca="1" si="9"/>
        <v>14675.586309246579</v>
      </c>
      <c r="G127" s="410">
        <f t="shared" ca="1" si="10"/>
        <v>23.275322212154681</v>
      </c>
      <c r="H127" s="216">
        <f ca="1">VLOOKUP($B127,DATOSAÑO!$B$11:$AR$375,6)</f>
        <v>0</v>
      </c>
      <c r="I127" s="216">
        <f ca="1">VLOOKUP($B127,DATOSAÑO!$B$11:$AR$375,15)</f>
        <v>150</v>
      </c>
      <c r="J127" s="216">
        <f ca="1">VLOOKUP($B127,DATOSAÑO!$B$11:$AR$375,41)</f>
        <v>76</v>
      </c>
      <c r="K127" s="216">
        <f ca="1">VLOOKUP($B127,DATOSAÑO!$B$11:$AR$375,10)</f>
        <v>3.6247481145046652</v>
      </c>
      <c r="L127" s="216">
        <f t="shared" ref="L127:L156" ca="1" si="11">IF($I127=0,0,$K127*$AM$126*1000/$I127)</f>
        <v>21758.154682000004</v>
      </c>
      <c r="M127" s="410">
        <f t="shared" ref="M127:M156" ca="1" si="12">IF($L127=0,0,3415.79*100/$L127)</f>
        <v>15.698895655088805</v>
      </c>
      <c r="N127" s="216">
        <f ca="1">VLOOKUP($B127,DATOSAÑO!$B$11:$AR$375,13)</f>
        <v>0</v>
      </c>
      <c r="O127" s="216">
        <f t="shared" ref="O127:O156" ca="1" si="13">(E127+K127)</f>
        <v>8.3840453183029791</v>
      </c>
      <c r="P127" s="216">
        <f t="shared" ref="P127:P156" ca="1" si="14">AVERAGE(C127,I127)</f>
        <v>221</v>
      </c>
      <c r="Q127" s="216">
        <f t="shared" ref="Q127:Q156" ca="1" si="15">AVERAGE(D127,J127)</f>
        <v>109.5</v>
      </c>
      <c r="R127" s="216">
        <f ca="1">VLOOKUP($B127,DATOSAÑO!$B$11:$AR$375,16)</f>
        <v>0</v>
      </c>
      <c r="S127" s="216">
        <f ca="1">VLOOKUP($B127,DATOSAÑO!$B$11:$AR$375,43)</f>
        <v>0</v>
      </c>
      <c r="T127" s="216">
        <f ca="1">VLOOKUP($B127,DATOSAÑO!$B$11:$AR$375,17)</f>
        <v>0</v>
      </c>
      <c r="U127" s="216">
        <f ca="1">VLOOKUP($B127,DATOSAÑO!$B$11:$AR$375,19)</f>
        <v>0</v>
      </c>
      <c r="V127" s="216">
        <f ca="1">VLOOKUP($B127,DATOSAÑO!$B$11:$AR$375,43)</f>
        <v>0</v>
      </c>
      <c r="W127" s="216">
        <f ca="1">VLOOKUP($B127,DATOSAÑO!$B$11:$AR$375,20)</f>
        <v>0</v>
      </c>
      <c r="X127" s="216">
        <f ca="1">VLOOKUP($B127,DATOSAÑO!$B$11:$AR$375,24)</f>
        <v>442</v>
      </c>
      <c r="Y127" s="216">
        <f ca="1">VLOOKUP($B127,DATOSAÑO!$B$11:$BP$375,55)</f>
        <v>219</v>
      </c>
      <c r="Z127" s="216">
        <f ca="1">VLOOKUP($B127,DATOSAÑO!$B$11:$AM$375,29)</f>
        <v>170</v>
      </c>
      <c r="AA127" s="216">
        <f ca="1">VLOOKUP($B127,DATOSAÑO!$B$11:$AM$375,31)</f>
        <v>147</v>
      </c>
      <c r="AB127" s="216">
        <f ca="1">VLOOKUP($B127,DATOSAÑO!$B$11:$AM$375,33)</f>
        <v>9.6999999999970896</v>
      </c>
      <c r="AC127" s="216">
        <f ca="1">VLOOKUP($B127,DATOSAÑO!$B$11:$AM$375,34)</f>
        <v>35.599999999991269</v>
      </c>
      <c r="AD127" s="216">
        <f ca="1">VLOOKUP($B127,DATOSAÑO!$B$11:$AM$375,35)</f>
        <v>5.5</v>
      </c>
      <c r="AE127" s="216">
        <f ca="1">VLOOKUP($B127,DATOSAÑO!$B$11:$AM$375,36)</f>
        <v>13</v>
      </c>
      <c r="AF127" s="216">
        <f ca="1">VLOOKUP($B127,DATOSAÑO!$B$11:$AM$375,37)</f>
        <v>32.700000000011698</v>
      </c>
      <c r="AG127" s="216">
        <f ca="1">VLOOKUP($B127,DATOSAÑO!$B$11:$AM$375,38)</f>
        <v>9.0070000000001045</v>
      </c>
      <c r="AH127" s="216">
        <f ca="1">VLOOKUP($B127,DATOSAÑO!$B$11:$AN$375,39)</f>
        <v>4.8100000000002732</v>
      </c>
      <c r="AI127" s="216">
        <f ca="1">VLOOKUP($B127,DATOSAÑO!$B$11:$BS$375,70)</f>
        <v>2.2000000000000002</v>
      </c>
      <c r="AJ127" s="216">
        <f ca="1">VLOOKUP($B127,DATOSAÑO!$B$11:$BV$375,73)</f>
        <v>4.6929999999999996</v>
      </c>
      <c r="AK127" s="216">
        <f ca="1">VLOOKUP($B127,DATOSAÑO!$B$11:$BY$375,76)</f>
        <v>0</v>
      </c>
      <c r="AL127" s="216">
        <f ca="1">VLOOKUP($B127,DATOSAÑO!$B$11:$CL$375,89)</f>
        <v>3.3140000000001093</v>
      </c>
      <c r="AM127" s="2136"/>
      <c r="AN127" s="2142"/>
    </row>
    <row r="128" spans="1:40">
      <c r="A128" s="95"/>
      <c r="B128" s="413">
        <f t="shared" ref="B128:B156" si="16">B127+1</f>
        <v>45080</v>
      </c>
      <c r="C128" s="216">
        <f ca="1">VLOOKUP($B128,DATOSAÑO!$B$11:$AR$375,8)</f>
        <v>290</v>
      </c>
      <c r="D128" s="216">
        <f ca="1">VLOOKUP($B128,DATOSAÑO!$B$11:$AR$375,40)</f>
        <v>145</v>
      </c>
      <c r="E128" s="216">
        <f ca="1">VLOOKUP($B128,DATOSAÑO!$B$11:$AR$375,3)</f>
        <v>4.7433176391603737</v>
      </c>
      <c r="F128" s="216">
        <f t="shared" ca="1" si="9"/>
        <v>14727.183456206896</v>
      </c>
      <c r="G128" s="410">
        <f t="shared" ca="1" si="10"/>
        <v>23.193776394225512</v>
      </c>
      <c r="H128" s="216">
        <f ca="1">VLOOKUP($B128,DATOSAÑO!$B$11:$AR$375,6)</f>
        <v>0</v>
      </c>
      <c r="I128" s="216">
        <f ca="1">VLOOKUP($B128,DATOSAÑO!$B$11:$AR$375,15)</f>
        <v>148</v>
      </c>
      <c r="J128" s="216">
        <f ca="1">VLOOKUP($B128,DATOSAÑO!$B$11:$AR$375,41)</f>
        <v>75</v>
      </c>
      <c r="K128" s="216">
        <f ca="1">VLOOKUP($B128,DATOSAÑO!$B$11:$AR$375,10)</f>
        <v>3.6087685498667268</v>
      </c>
      <c r="L128" s="216">
        <f t="shared" ca="1" si="11"/>
        <v>21954.967583108111</v>
      </c>
      <c r="M128" s="410">
        <f t="shared" ca="1" si="12"/>
        <v>15.558164625248947</v>
      </c>
      <c r="N128" s="216">
        <f ca="1">VLOOKUP($B128,DATOSAÑO!$B$11:$AR$375,13)</f>
        <v>0</v>
      </c>
      <c r="O128" s="216">
        <f t="shared" ca="1" si="13"/>
        <v>8.3520861890271014</v>
      </c>
      <c r="P128" s="216">
        <f t="shared" ca="1" si="14"/>
        <v>219</v>
      </c>
      <c r="Q128" s="216">
        <f t="shared" ca="1" si="15"/>
        <v>110</v>
      </c>
      <c r="R128" s="216">
        <f ca="1">VLOOKUP($B128,DATOSAÑO!$B$11:$AR$375,16)</f>
        <v>0</v>
      </c>
      <c r="S128" s="216">
        <f ca="1">VLOOKUP($B128,DATOSAÑO!$B$11:$AR$375,43)</f>
        <v>0</v>
      </c>
      <c r="T128" s="216">
        <f ca="1">VLOOKUP($B128,DATOSAÑO!$B$11:$AR$375,17)</f>
        <v>0</v>
      </c>
      <c r="U128" s="216">
        <f ca="1">VLOOKUP($B128,DATOSAÑO!$B$11:$AR$375,19)</f>
        <v>0</v>
      </c>
      <c r="V128" s="216">
        <f ca="1">VLOOKUP($B128,DATOSAÑO!$B$11:$AR$375,43)</f>
        <v>0</v>
      </c>
      <c r="W128" s="216">
        <f ca="1">VLOOKUP($B128,DATOSAÑO!$B$11:$AR$375,20)</f>
        <v>0</v>
      </c>
      <c r="X128" s="216">
        <f ca="1">VLOOKUP($B128,DATOSAÑO!$B$11:$AR$375,24)</f>
        <v>438</v>
      </c>
      <c r="Y128" s="216">
        <f ca="1">VLOOKUP($B128,DATOSAÑO!$B$11:$BP$375,55)</f>
        <v>220</v>
      </c>
      <c r="Z128" s="216">
        <f ca="1">VLOOKUP($B128,DATOSAÑO!$B$11:$AM$375,29)</f>
        <v>164</v>
      </c>
      <c r="AA128" s="216">
        <f ca="1">VLOOKUP($B128,DATOSAÑO!$B$11:$AM$375,31)</f>
        <v>145</v>
      </c>
      <c r="AB128" s="216">
        <f ca="1">VLOOKUP($B128,DATOSAÑO!$B$11:$AM$375,33)</f>
        <v>9.8000000000047294</v>
      </c>
      <c r="AC128" s="216">
        <f ca="1">VLOOKUP($B128,DATOSAÑO!$B$11:$AM$375,34)</f>
        <v>35</v>
      </c>
      <c r="AD128" s="216">
        <f ca="1">VLOOKUP($B128,DATOSAÑO!$B$11:$AM$375,35)</f>
        <v>5.6999999999970896</v>
      </c>
      <c r="AE128" s="216">
        <f ca="1">VLOOKUP($B128,DATOSAÑO!$B$11:$AM$375,36)</f>
        <v>13</v>
      </c>
      <c r="AF128" s="216">
        <f ca="1">VLOOKUP($B128,DATOSAÑO!$B$11:$AM$375,37)</f>
        <v>36.399999999999636</v>
      </c>
      <c r="AG128" s="216">
        <f ca="1">VLOOKUP($B128,DATOSAÑO!$B$11:$AM$375,38)</f>
        <v>10.273999999999633</v>
      </c>
      <c r="AH128" s="216">
        <f ca="1">VLOOKUP($B128,DATOSAÑO!$B$11:$AN$375,39)</f>
        <v>4.6340000000000128</v>
      </c>
      <c r="AI128" s="216">
        <f ca="1">VLOOKUP($B128,DATOSAÑO!$B$11:$BS$375,70)</f>
        <v>2.2000000000000002</v>
      </c>
      <c r="AJ128" s="216">
        <f ca="1">VLOOKUP($B128,DATOSAÑO!$B$11:$BV$375,73)</f>
        <v>4.3460000000000001</v>
      </c>
      <c r="AK128" s="216">
        <f ca="1">VLOOKUP($B128,DATOSAÑO!$B$11:$BY$375,76)</f>
        <v>0</v>
      </c>
      <c r="AL128" s="216">
        <f ca="1">VLOOKUP($B128,DATOSAÑO!$B$11:$CL$375,89)</f>
        <v>3.2996000000000052</v>
      </c>
    </row>
    <row r="129" spans="1:38">
      <c r="A129" s="95"/>
      <c r="B129" s="413">
        <f t="shared" si="16"/>
        <v>45081</v>
      </c>
      <c r="C129" s="216">
        <f ca="1">VLOOKUP($B129,DATOSAÑO!$B$11:$AR$375,8)</f>
        <v>298</v>
      </c>
      <c r="D129" s="216">
        <f ca="1">VLOOKUP($B129,DATOSAÑO!$B$11:$AR$375,40)</f>
        <v>152</v>
      </c>
      <c r="E129" s="216">
        <f ca="1">VLOOKUP($B129,DATOSAÑO!$B$11:$AR$375,3)</f>
        <v>4.807235897712129</v>
      </c>
      <c r="F129" s="216">
        <f t="shared" ca="1" si="9"/>
        <v>14524.950343288594</v>
      </c>
      <c r="G129" s="410">
        <f t="shared" ca="1" si="10"/>
        <v>23.516706902742023</v>
      </c>
      <c r="H129" s="216">
        <f ca="1">VLOOKUP($B129,DATOSAÑO!$B$11:$AR$375,6)</f>
        <v>0</v>
      </c>
      <c r="I129" s="216">
        <f ca="1">VLOOKUP($B129,DATOSAÑO!$B$11:$AR$375,15)</f>
        <v>150</v>
      </c>
      <c r="J129" s="216">
        <f ca="1">VLOOKUP($B129,DATOSAÑO!$B$11:$AR$375,41)</f>
        <v>74</v>
      </c>
      <c r="K129" s="216">
        <f ca="1">VLOOKUP($B129,DATOSAÑO!$B$11:$AR$375,10)</f>
        <v>3.6247481145046652</v>
      </c>
      <c r="L129" s="216">
        <f t="shared" ca="1" si="11"/>
        <v>21758.154682000004</v>
      </c>
      <c r="M129" s="410">
        <f t="shared" ca="1" si="12"/>
        <v>15.698895655088805</v>
      </c>
      <c r="N129" s="216">
        <f ca="1">VLOOKUP($B129,DATOSAÑO!$B$11:$AR$375,13)</f>
        <v>0</v>
      </c>
      <c r="O129" s="216">
        <f t="shared" ca="1" si="13"/>
        <v>8.4319840122167946</v>
      </c>
      <c r="P129" s="216">
        <f t="shared" ca="1" si="14"/>
        <v>224</v>
      </c>
      <c r="Q129" s="216">
        <f t="shared" ca="1" si="15"/>
        <v>113</v>
      </c>
      <c r="R129" s="216">
        <f ca="1">VLOOKUP($B129,DATOSAÑO!$B$11:$AR$375,16)</f>
        <v>0</v>
      </c>
      <c r="S129" s="216">
        <f ca="1">VLOOKUP($B129,DATOSAÑO!$B$11:$AR$375,43)</f>
        <v>0</v>
      </c>
      <c r="T129" s="216">
        <f ca="1">VLOOKUP($B129,DATOSAÑO!$B$11:$AR$375,17)</f>
        <v>0</v>
      </c>
      <c r="U129" s="216">
        <f ca="1">VLOOKUP($B129,DATOSAÑO!$B$11:$AR$375,19)</f>
        <v>0</v>
      </c>
      <c r="V129" s="216">
        <f ca="1">VLOOKUP($B129,DATOSAÑO!$B$11:$AR$375,43)</f>
        <v>0</v>
      </c>
      <c r="W129" s="216">
        <f ca="1">VLOOKUP($B129,DATOSAÑO!$B$11:$AR$375,20)</f>
        <v>0</v>
      </c>
      <c r="X129" s="216">
        <f ca="1">VLOOKUP($B129,DATOSAÑO!$B$11:$AR$375,24)</f>
        <v>448</v>
      </c>
      <c r="Y129" s="216">
        <f ca="1">VLOOKUP($B129,DATOSAÑO!$B$11:$BP$375,55)</f>
        <v>226</v>
      </c>
      <c r="Z129" s="216">
        <f ca="1">VLOOKUP($B129,DATOSAÑO!$B$11:$AM$375,29)</f>
        <v>164</v>
      </c>
      <c r="AA129" s="216">
        <f ca="1">VLOOKUP($B129,DATOSAÑO!$B$11:$AM$375,31)</f>
        <v>152</v>
      </c>
      <c r="AB129" s="216">
        <f ca="1">VLOOKUP($B129,DATOSAÑO!$B$11:$AM$375,33)</f>
        <v>10.69999999999709</v>
      </c>
      <c r="AC129" s="216">
        <f ca="1">VLOOKUP($B129,DATOSAÑO!$B$11:$AM$375,34)</f>
        <v>37.30000000000291</v>
      </c>
      <c r="AD129" s="216">
        <f ca="1">VLOOKUP($B129,DATOSAÑO!$B$11:$AM$375,35)</f>
        <v>7.5</v>
      </c>
      <c r="AE129" s="216">
        <f ca="1">VLOOKUP($B129,DATOSAÑO!$B$11:$AM$375,36)</f>
        <v>12.899999999994179</v>
      </c>
      <c r="AF129" s="216">
        <f ca="1">VLOOKUP($B129,DATOSAÑO!$B$11:$AM$375,37)</f>
        <v>32.600000000005878</v>
      </c>
      <c r="AG129" s="216">
        <f ca="1">VLOOKUP($B129,DATOSAÑO!$B$11:$AM$375,38)</f>
        <v>11.238999999999727</v>
      </c>
      <c r="AH129" s="216">
        <f ca="1">VLOOKUP($B129,DATOSAÑO!$B$11:$AN$375,39)</f>
        <v>4.7370000000002728</v>
      </c>
      <c r="AI129" s="216">
        <f ca="1">VLOOKUP($B129,DATOSAÑO!$B$11:$BS$375,70)</f>
        <v>2</v>
      </c>
      <c r="AJ129" s="216">
        <f ca="1">VLOOKUP($B129,DATOSAÑO!$B$11:$BV$375,73)</f>
        <v>5.0609999999999999</v>
      </c>
      <c r="AK129" s="216">
        <f ca="1">VLOOKUP($B129,DATOSAÑO!$B$11:$BY$375,76)</f>
        <v>0</v>
      </c>
      <c r="AL129" s="216">
        <f ca="1">VLOOKUP($B129,DATOSAÑO!$B$11:$CL$375,89)</f>
        <v>3.3578000000001094</v>
      </c>
    </row>
    <row r="130" spans="1:38">
      <c r="A130" s="95"/>
      <c r="B130" s="413">
        <f t="shared" si="16"/>
        <v>45082</v>
      </c>
      <c r="C130" s="216">
        <f ca="1">VLOOKUP($B130,DATOSAÑO!$B$11:$AR$375,8)</f>
        <v>-593044</v>
      </c>
      <c r="D130" s="216">
        <f ca="1">VLOOKUP($B130,DATOSAÑO!$B$11:$AR$375,40)</f>
        <v>-302126</v>
      </c>
      <c r="E130" s="216">
        <f ca="1">VLOOKUP($B130,DATOSAÑO!$B$11:$AR$375,3)</f>
        <v>0</v>
      </c>
      <c r="F130" s="216">
        <f t="shared" ca="1" si="9"/>
        <v>0</v>
      </c>
      <c r="G130" s="410">
        <f t="shared" ca="1" si="10"/>
        <v>0</v>
      </c>
      <c r="H130" s="216">
        <f ca="1">VLOOKUP($B130,DATOSAÑO!$B$11:$AR$375,6)</f>
        <v>0</v>
      </c>
      <c r="I130" s="216">
        <f ca="1">VLOOKUP($B130,DATOSAÑO!$B$11:$AR$375,15)</f>
        <v>-41334</v>
      </c>
      <c r="J130" s="216">
        <f ca="1">VLOOKUP($B130,DATOSAÑO!$B$11:$AR$375,41)</f>
        <v>-21329</v>
      </c>
      <c r="K130" s="216">
        <f ca="1">VLOOKUP($B130,DATOSAÑO!$B$11:$AR$375,10)</f>
        <v>0</v>
      </c>
      <c r="L130" s="216">
        <f t="shared" ca="1" si="11"/>
        <v>0</v>
      </c>
      <c r="M130" s="410">
        <f t="shared" ca="1" si="12"/>
        <v>0</v>
      </c>
      <c r="N130" s="216">
        <f ca="1">VLOOKUP($B130,DATOSAÑO!$B$11:$AR$375,13)</f>
        <v>0</v>
      </c>
      <c r="O130" s="216">
        <f t="shared" ca="1" si="13"/>
        <v>0</v>
      </c>
      <c r="P130" s="216">
        <f t="shared" ca="1" si="14"/>
        <v>-317189</v>
      </c>
      <c r="Q130" s="216">
        <f t="shared" ca="1" si="15"/>
        <v>-161727.5</v>
      </c>
      <c r="R130" s="216">
        <f ca="1">VLOOKUP($B130,DATOSAÑO!$B$11:$AR$375,16)</f>
        <v>0</v>
      </c>
      <c r="S130" s="216">
        <f ca="1">VLOOKUP($B130,DATOSAÑO!$B$11:$AR$375,43)</f>
        <v>0</v>
      </c>
      <c r="T130" s="216">
        <f ca="1">VLOOKUP($B130,DATOSAÑO!$B$11:$AR$375,17)</f>
        <v>0</v>
      </c>
      <c r="U130" s="216">
        <f ca="1">VLOOKUP($B130,DATOSAÑO!$B$11:$AR$375,19)</f>
        <v>0</v>
      </c>
      <c r="V130" s="216">
        <f ca="1">VLOOKUP($B130,DATOSAÑO!$B$11:$AR$375,43)</f>
        <v>0</v>
      </c>
      <c r="W130" s="216">
        <f ca="1">VLOOKUP($B130,DATOSAÑO!$B$11:$AR$375,20)</f>
        <v>0</v>
      </c>
      <c r="X130" s="216">
        <f ca="1">VLOOKUP($B130,DATOSAÑO!$B$11:$AR$375,24)</f>
        <v>-634378</v>
      </c>
      <c r="Y130" s="216">
        <f ca="1">VLOOKUP($B130,DATOSAÑO!$B$11:$BP$375,55)</f>
        <v>-323455</v>
      </c>
      <c r="Z130" s="216">
        <f ca="1">VLOOKUP($B130,DATOSAÑO!$B$11:$AM$375,29)</f>
        <v>-7966</v>
      </c>
      <c r="AA130" s="216">
        <f ca="1">VLOOKUP($B130,DATOSAÑO!$B$11:$AM$375,31)</f>
        <v>-464667</v>
      </c>
      <c r="AB130" s="216">
        <f ca="1">VLOOKUP($B130,DATOSAÑO!$B$11:$AM$375,33)</f>
        <v>-59846.5</v>
      </c>
      <c r="AC130" s="216">
        <f ca="1">VLOOKUP($B130,DATOSAÑO!$B$11:$AM$375,34)</f>
        <v>-67065.7</v>
      </c>
      <c r="AD130" s="216">
        <f ca="1">VLOOKUP($B130,DATOSAÑO!$B$11:$AM$375,35)</f>
        <v>-82690</v>
      </c>
      <c r="AE130" s="216">
        <f ca="1">VLOOKUP($B130,DATOSAÑO!$B$11:$AM$375,36)</f>
        <v>-138128.5</v>
      </c>
      <c r="AF130" s="216">
        <f ca="1">VLOOKUP($B130,DATOSAÑO!$B$11:$AM$375,37)</f>
        <v>237466.79999999993</v>
      </c>
      <c r="AG130" s="216">
        <f ca="1">VLOOKUP($B130,DATOSAÑO!$B$11:$AM$375,38)</f>
        <v>-28926.668999999962</v>
      </c>
      <c r="AH130" s="216">
        <f ca="1">VLOOKUP($B130,DATOSAÑO!$B$11:$AN$375,39)</f>
        <v>-5886.3280000000004</v>
      </c>
      <c r="AI130" s="216">
        <f ca="1">VLOOKUP($B130,DATOSAÑO!$B$11:$BS$375,70)</f>
        <v>-2637.2</v>
      </c>
      <c r="AJ130" s="216">
        <f ca="1">VLOOKUP($B130,DATOSAÑO!$B$11:$BV$375,73)</f>
        <v>-3345.1309999999999</v>
      </c>
      <c r="AK130" s="216">
        <f ca="1">VLOOKUP($B130,DATOSAÑO!$B$11:$BY$375,76)</f>
        <v>0</v>
      </c>
      <c r="AL130" s="216">
        <f ca="1">VLOOKUP($B130,DATOSAÑO!$B$11:$CL$375,89)</f>
        <v>-4223.0032000000001</v>
      </c>
    </row>
    <row r="131" spans="1:38">
      <c r="A131" s="95"/>
      <c r="B131" s="413">
        <f t="shared" si="16"/>
        <v>45083</v>
      </c>
      <c r="C131" s="216">
        <f ca="1">VLOOKUP($B131,DATOSAÑO!$B$11:$AR$375,8)</f>
        <v>0</v>
      </c>
      <c r="D131" s="216">
        <f ca="1">VLOOKUP($B131,DATOSAÑO!$B$11:$AR$375,40)</f>
        <v>0</v>
      </c>
      <c r="E131" s="216">
        <f ca="1">VLOOKUP($B131,DATOSAÑO!$B$11:$AR$375,3)</f>
        <v>0</v>
      </c>
      <c r="F131" s="216">
        <f t="shared" ca="1" si="9"/>
        <v>0</v>
      </c>
      <c r="G131" s="410">
        <f t="shared" ca="1" si="10"/>
        <v>0</v>
      </c>
      <c r="H131" s="216">
        <f ca="1">VLOOKUP($B131,DATOSAÑO!$B$11:$AR$375,6)</f>
        <v>0</v>
      </c>
      <c r="I131" s="216">
        <f ca="1">VLOOKUP($B131,DATOSAÑO!$B$11:$AR$375,15)</f>
        <v>0</v>
      </c>
      <c r="J131" s="216">
        <f ca="1">VLOOKUP($B131,DATOSAÑO!$B$11:$AR$375,41)</f>
        <v>0</v>
      </c>
      <c r="K131" s="216">
        <f ca="1">VLOOKUP($B131,DATOSAÑO!$B$11:$AR$375,10)</f>
        <v>0</v>
      </c>
      <c r="L131" s="216">
        <f t="shared" ca="1" si="11"/>
        <v>0</v>
      </c>
      <c r="M131" s="410">
        <f t="shared" ca="1" si="12"/>
        <v>0</v>
      </c>
      <c r="N131" s="216">
        <f ca="1">VLOOKUP($B131,DATOSAÑO!$B$11:$AR$375,13)</f>
        <v>0</v>
      </c>
      <c r="O131" s="216">
        <f t="shared" ca="1" si="13"/>
        <v>0</v>
      </c>
      <c r="P131" s="216">
        <f t="shared" ca="1" si="14"/>
        <v>0</v>
      </c>
      <c r="Q131" s="216">
        <f t="shared" ca="1" si="15"/>
        <v>0</v>
      </c>
      <c r="R131" s="216">
        <f ca="1">VLOOKUP($B131,DATOSAÑO!$B$11:$AR$375,16)</f>
        <v>-1067.998</v>
      </c>
      <c r="S131" s="216">
        <f ca="1">VLOOKUP($B131,DATOSAÑO!$B$11:$AR$375,43)</f>
        <v>0</v>
      </c>
      <c r="T131" s="216">
        <f ca="1">VLOOKUP($B131,DATOSAÑO!$B$11:$AR$375,17)</f>
        <v>-128159.76000000001</v>
      </c>
      <c r="U131" s="216">
        <f ca="1">VLOOKUP($B131,DATOSAÑO!$B$11:$AR$375,19)</f>
        <v>0</v>
      </c>
      <c r="V131" s="216">
        <f ca="1">VLOOKUP($B131,DATOSAÑO!$B$11:$AR$375,43)</f>
        <v>0</v>
      </c>
      <c r="W131" s="216">
        <f ca="1">VLOOKUP($B131,DATOSAÑO!$B$11:$AR$375,20)</f>
        <v>0</v>
      </c>
      <c r="X131" s="216">
        <f ca="1">VLOOKUP($B131,DATOSAÑO!$B$11:$AR$375,24)</f>
        <v>-1067.998</v>
      </c>
      <c r="Y131" s="216">
        <f ca="1">VLOOKUP($B131,DATOSAÑO!$B$11:$BP$375,55)</f>
        <v>-589.774</v>
      </c>
      <c r="Z131" s="216">
        <f ca="1">VLOOKUP($B131,DATOSAÑO!$B$11:$AM$375,29)</f>
        <v>0</v>
      </c>
      <c r="AA131" s="216">
        <f ca="1">VLOOKUP($B131,DATOSAÑO!$B$11:$AM$375,31)</f>
        <v>0</v>
      </c>
      <c r="AB131" s="216">
        <f ca="1">VLOOKUP($B131,DATOSAÑO!$B$11:$AM$375,33)</f>
        <v>-14963.1</v>
      </c>
      <c r="AC131" s="216">
        <f ca="1">VLOOKUP($B131,DATOSAÑO!$B$11:$AM$375,34)</f>
        <v>-46196.1</v>
      </c>
      <c r="AD131" s="216">
        <f ca="1">VLOOKUP($B131,DATOSAÑO!$B$11:$AM$375,35)</f>
        <v>0</v>
      </c>
      <c r="AE131" s="216">
        <f ca="1">VLOOKUP($B131,DATOSAÑO!$B$11:$AM$375,36)</f>
        <v>0</v>
      </c>
      <c r="AF131" s="216">
        <f ca="1">VLOOKUP($B131,DATOSAÑO!$B$11:$AM$375,37)</f>
        <v>60091.201999999997</v>
      </c>
      <c r="AG131" s="216">
        <f ca="1">VLOOKUP($B131,DATOSAÑO!$B$11:$AM$375,38)</f>
        <v>0</v>
      </c>
      <c r="AH131" s="216">
        <f ca="1">VLOOKUP($B131,DATOSAÑO!$B$11:$AN$375,39)</f>
        <v>0</v>
      </c>
      <c r="AI131" s="216">
        <f ca="1">VLOOKUP($B131,DATOSAÑO!$B$11:$BS$375,70)</f>
        <v>0</v>
      </c>
      <c r="AJ131" s="216">
        <f ca="1">VLOOKUP($B131,DATOSAÑO!$B$11:$BV$375,73)</f>
        <v>0</v>
      </c>
      <c r="AK131" s="216">
        <f ca="1">VLOOKUP($B131,DATOSAÑO!$B$11:$BY$375,76)</f>
        <v>0</v>
      </c>
      <c r="AL131" s="216">
        <f ca="1">VLOOKUP($B131,DATOSAÑO!$B$11:$CL$375,89)</f>
        <v>0</v>
      </c>
    </row>
    <row r="132" spans="1:38">
      <c r="A132" s="95"/>
      <c r="B132" s="413">
        <f t="shared" si="16"/>
        <v>45084</v>
      </c>
      <c r="C132" s="216">
        <f ca="1">VLOOKUP($B132,DATOSAÑO!$B$11:$AR$375,8)</f>
        <v>0</v>
      </c>
      <c r="D132" s="216">
        <f ca="1">VLOOKUP($B132,DATOSAÑO!$B$11:$AR$375,40)</f>
        <v>0</v>
      </c>
      <c r="E132" s="216">
        <f ca="1">VLOOKUP($B132,DATOSAÑO!$B$11:$AR$375,3)</f>
        <v>0</v>
      </c>
      <c r="F132" s="216">
        <f t="shared" ca="1" si="9"/>
        <v>0</v>
      </c>
      <c r="G132" s="410">
        <f t="shared" ca="1" si="10"/>
        <v>0</v>
      </c>
      <c r="H132" s="216">
        <f ca="1">VLOOKUP($B132,DATOSAÑO!$B$11:$AR$375,6)</f>
        <v>0</v>
      </c>
      <c r="I132" s="216">
        <f ca="1">VLOOKUP($B132,DATOSAÑO!$B$11:$AR$375,15)</f>
        <v>0</v>
      </c>
      <c r="J132" s="216">
        <f ca="1">VLOOKUP($B132,DATOSAÑO!$B$11:$AR$375,41)</f>
        <v>0</v>
      </c>
      <c r="K132" s="216">
        <f ca="1">VLOOKUP($B132,DATOSAÑO!$B$11:$AR$375,10)</f>
        <v>0</v>
      </c>
      <c r="L132" s="216">
        <f t="shared" ca="1" si="11"/>
        <v>0</v>
      </c>
      <c r="M132" s="410">
        <f t="shared" ca="1" si="12"/>
        <v>0</v>
      </c>
      <c r="N132" s="216">
        <f ca="1">VLOOKUP($B132,DATOSAÑO!$B$11:$AR$375,13)</f>
        <v>0</v>
      </c>
      <c r="O132" s="216">
        <f t="shared" ca="1" si="13"/>
        <v>0</v>
      </c>
      <c r="P132" s="216">
        <f t="shared" ca="1" si="14"/>
        <v>0</v>
      </c>
      <c r="Q132" s="216">
        <f t="shared" ca="1" si="15"/>
        <v>0</v>
      </c>
      <c r="R132" s="216">
        <f ca="1">VLOOKUP($B132,DATOSAÑO!$B$11:$AR$375,16)</f>
        <v>0</v>
      </c>
      <c r="S132" s="216">
        <f ca="1">VLOOKUP($B132,DATOSAÑO!$B$11:$AR$375,43)</f>
        <v>-349.35500000000002</v>
      </c>
      <c r="T132" s="216">
        <f ca="1">VLOOKUP($B132,DATOSAÑO!$B$11:$AR$375,17)</f>
        <v>0</v>
      </c>
      <c r="U132" s="216">
        <f ca="1">VLOOKUP($B132,DATOSAÑO!$B$11:$AR$375,19)</f>
        <v>-822.90899999999999</v>
      </c>
      <c r="V132" s="216">
        <f ca="1">VLOOKUP($B132,DATOSAÑO!$B$11:$AR$375,43)</f>
        <v>-349.35500000000002</v>
      </c>
      <c r="W132" s="216">
        <f ca="1">VLOOKUP($B132,DATOSAÑO!$B$11:$AR$375,20)</f>
        <v>-98749.08</v>
      </c>
      <c r="X132" s="216">
        <f ca="1">VLOOKUP($B132,DATOSAÑO!$B$11:$AR$375,24)</f>
        <v>-822.90899999999999</v>
      </c>
      <c r="Y132" s="216">
        <f ca="1">VLOOKUP($B132,DATOSAÑO!$B$11:$BP$375,55)</f>
        <v>-349.35500000000002</v>
      </c>
      <c r="Z132" s="216">
        <f ca="1">VLOOKUP($B132,DATOSAÑO!$B$11:$AM$375,29)</f>
        <v>0</v>
      </c>
      <c r="AA132" s="216">
        <f ca="1">VLOOKUP($B132,DATOSAÑO!$B$11:$AM$375,31)</f>
        <v>0</v>
      </c>
      <c r="AB132" s="216">
        <f ca="1">VLOOKUP($B132,DATOSAÑO!$B$11:$AM$375,33)</f>
        <v>0</v>
      </c>
      <c r="AC132" s="216">
        <f ca="1">VLOOKUP($B132,DATOSAÑO!$B$11:$AM$375,34)</f>
        <v>0</v>
      </c>
      <c r="AD132" s="216">
        <f ca="1">VLOOKUP($B132,DATOSAÑO!$B$11:$AM$375,35)</f>
        <v>0</v>
      </c>
      <c r="AE132" s="216">
        <f ca="1">VLOOKUP($B132,DATOSAÑO!$B$11:$AM$375,36)</f>
        <v>0</v>
      </c>
      <c r="AF132" s="216">
        <f ca="1">VLOOKUP($B132,DATOSAÑO!$B$11:$AM$375,37)</f>
        <v>-822.90899999999999</v>
      </c>
      <c r="AG132" s="216">
        <f ca="1">VLOOKUP($B132,DATOSAÑO!$B$11:$AM$375,38)</f>
        <v>3120.6680000000001</v>
      </c>
      <c r="AH132" s="216">
        <f ca="1">VLOOKUP($B132,DATOSAÑO!$B$11:$AN$375,39)</f>
        <v>0</v>
      </c>
      <c r="AI132" s="216">
        <f ca="1">VLOOKUP($B132,DATOSAÑO!$B$11:$BS$375,70)</f>
        <v>0</v>
      </c>
      <c r="AJ132" s="216">
        <f ca="1">VLOOKUP($B132,DATOSAÑO!$B$11:$BV$375,73)</f>
        <v>0</v>
      </c>
      <c r="AK132" s="216">
        <f ca="1">VLOOKUP($B132,DATOSAÑO!$B$11:$BY$375,76)</f>
        <v>-3120.6680000000001</v>
      </c>
      <c r="AL132" s="216">
        <f ca="1">VLOOKUP($B132,DATOSAÑO!$B$11:$CL$375,89)</f>
        <v>0</v>
      </c>
    </row>
    <row r="133" spans="1:38">
      <c r="A133" s="95"/>
      <c r="B133" s="413">
        <f t="shared" si="16"/>
        <v>45085</v>
      </c>
      <c r="C133" s="216">
        <f ca="1">VLOOKUP($B133,DATOSAÑO!$B$11:$AR$375,8)</f>
        <v>0</v>
      </c>
      <c r="D133" s="216">
        <f ca="1">VLOOKUP($B133,DATOSAÑO!$B$11:$AR$375,40)</f>
        <v>0</v>
      </c>
      <c r="E133" s="216">
        <f ca="1">VLOOKUP($B133,DATOSAÑO!$B$11:$AR$375,3)</f>
        <v>0</v>
      </c>
      <c r="F133" s="216">
        <f t="shared" ca="1" si="9"/>
        <v>0</v>
      </c>
      <c r="G133" s="410">
        <f t="shared" ca="1" si="10"/>
        <v>0</v>
      </c>
      <c r="H133" s="216">
        <f ca="1">VLOOKUP($B133,DATOSAÑO!$B$11:$AR$375,6)</f>
        <v>0</v>
      </c>
      <c r="I133" s="216">
        <f ca="1">VLOOKUP($B133,DATOSAÑO!$B$11:$AR$375,15)</f>
        <v>0</v>
      </c>
      <c r="J133" s="216">
        <f ca="1">VLOOKUP($B133,DATOSAÑO!$B$11:$AR$375,41)</f>
        <v>0</v>
      </c>
      <c r="K133" s="216">
        <f ca="1">VLOOKUP($B133,DATOSAÑO!$B$11:$AR$375,10)</f>
        <v>0</v>
      </c>
      <c r="L133" s="216">
        <f t="shared" ca="1" si="11"/>
        <v>0</v>
      </c>
      <c r="M133" s="410">
        <f t="shared" ca="1" si="12"/>
        <v>0</v>
      </c>
      <c r="N133" s="216">
        <f ca="1">VLOOKUP($B133,DATOSAÑO!$B$11:$AR$375,13)</f>
        <v>0</v>
      </c>
      <c r="O133" s="216">
        <f t="shared" ca="1" si="13"/>
        <v>0</v>
      </c>
      <c r="P133" s="216">
        <f t="shared" ca="1" si="14"/>
        <v>0</v>
      </c>
      <c r="Q133" s="216">
        <f t="shared" ca="1" si="15"/>
        <v>0</v>
      </c>
      <c r="R133" s="216">
        <f ca="1">VLOOKUP($B133,DATOSAÑO!$B$11:$AR$375,16)</f>
        <v>0</v>
      </c>
      <c r="S133" s="216">
        <f ca="1">VLOOKUP($B133,DATOSAÑO!$B$11:$AR$375,43)</f>
        <v>0</v>
      </c>
      <c r="T133" s="216">
        <f ca="1">VLOOKUP($B133,DATOSAÑO!$B$11:$AR$375,17)</f>
        <v>0</v>
      </c>
      <c r="U133" s="216">
        <f ca="1">VLOOKUP($B133,DATOSAÑO!$B$11:$AR$375,19)</f>
        <v>0</v>
      </c>
      <c r="V133" s="216">
        <f ca="1">VLOOKUP($B133,DATOSAÑO!$B$11:$AR$375,43)</f>
        <v>0</v>
      </c>
      <c r="W133" s="216">
        <f ca="1">VLOOKUP($B133,DATOSAÑO!$B$11:$AR$375,20)</f>
        <v>0</v>
      </c>
      <c r="X133" s="216">
        <f ca="1">VLOOKUP($B133,DATOSAÑO!$B$11:$AR$375,24)</f>
        <v>0</v>
      </c>
      <c r="Y133" s="216">
        <f ca="1">VLOOKUP($B133,DATOSAÑO!$B$11:$BP$375,55)</f>
        <v>0</v>
      </c>
      <c r="Z133" s="216">
        <f ca="1">VLOOKUP($B133,DATOSAÑO!$B$11:$AM$375,29)</f>
        <v>0</v>
      </c>
      <c r="AA133" s="216">
        <f ca="1">VLOOKUP($B133,DATOSAÑO!$B$11:$AM$375,31)</f>
        <v>0</v>
      </c>
      <c r="AB133" s="216">
        <f ca="1">VLOOKUP($B133,DATOSAÑO!$B$11:$AM$375,33)</f>
        <v>0</v>
      </c>
      <c r="AC133" s="216">
        <f ca="1">VLOOKUP($B133,DATOSAÑO!$B$11:$AM$375,34)</f>
        <v>0</v>
      </c>
      <c r="AD133" s="216">
        <f ca="1">VLOOKUP($B133,DATOSAÑO!$B$11:$AM$375,35)</f>
        <v>0</v>
      </c>
      <c r="AE133" s="216">
        <f ca="1">VLOOKUP($B133,DATOSAÑO!$B$11:$AM$375,36)</f>
        <v>0</v>
      </c>
      <c r="AF133" s="216">
        <f ca="1">VLOOKUP($B133,DATOSAÑO!$B$11:$AM$375,37)</f>
        <v>0</v>
      </c>
      <c r="AG133" s="216">
        <f ca="1">VLOOKUP($B133,DATOSAÑO!$B$11:$AM$375,38)</f>
        <v>0</v>
      </c>
      <c r="AH133" s="216">
        <f ca="1">VLOOKUP($B133,DATOSAÑO!$B$11:$AN$375,39)</f>
        <v>0</v>
      </c>
      <c r="AI133" s="216">
        <f ca="1">VLOOKUP($B133,DATOSAÑO!$B$11:$BS$375,70)</f>
        <v>0</v>
      </c>
      <c r="AJ133" s="216">
        <f ca="1">VLOOKUP($B133,DATOSAÑO!$B$11:$BV$375,73)</f>
        <v>0</v>
      </c>
      <c r="AK133" s="216">
        <f ca="1">VLOOKUP($B133,DATOSAÑO!$B$11:$BY$375,76)</f>
        <v>0</v>
      </c>
      <c r="AL133" s="216">
        <f ca="1">VLOOKUP($B133,DATOSAÑO!$B$11:$CL$375,89)</f>
        <v>0</v>
      </c>
    </row>
    <row r="134" spans="1:38">
      <c r="A134" s="95"/>
      <c r="B134" s="413">
        <f t="shared" si="16"/>
        <v>45086</v>
      </c>
      <c r="C134" s="216">
        <f ca="1">VLOOKUP($B134,DATOSAÑO!$B$11:$AR$375,8)</f>
        <v>0</v>
      </c>
      <c r="D134" s="216">
        <f ca="1">VLOOKUP($B134,DATOSAÑO!$B$11:$AR$375,40)</f>
        <v>0</v>
      </c>
      <c r="E134" s="216">
        <f ca="1">VLOOKUP($B134,DATOSAÑO!$B$11:$AR$375,3)</f>
        <v>0</v>
      </c>
      <c r="F134" s="216">
        <f t="shared" ca="1" si="9"/>
        <v>0</v>
      </c>
      <c r="G134" s="410">
        <f t="shared" ca="1" si="10"/>
        <v>0</v>
      </c>
      <c r="H134" s="216">
        <f ca="1">VLOOKUP($B134,DATOSAÑO!$B$11:$AR$375,6)</f>
        <v>0</v>
      </c>
      <c r="I134" s="216">
        <f ca="1">VLOOKUP($B134,DATOSAÑO!$B$11:$AR$375,15)</f>
        <v>0</v>
      </c>
      <c r="J134" s="216">
        <f ca="1">VLOOKUP($B134,DATOSAÑO!$B$11:$AR$375,41)</f>
        <v>0</v>
      </c>
      <c r="K134" s="216">
        <f ca="1">VLOOKUP($B134,DATOSAÑO!$B$11:$AR$375,10)</f>
        <v>0</v>
      </c>
      <c r="L134" s="216">
        <f t="shared" ca="1" si="11"/>
        <v>0</v>
      </c>
      <c r="M134" s="410">
        <f t="shared" ca="1" si="12"/>
        <v>0</v>
      </c>
      <c r="N134" s="216">
        <f ca="1">VLOOKUP($B134,DATOSAÑO!$B$11:$AR$375,13)</f>
        <v>0</v>
      </c>
      <c r="O134" s="216">
        <f t="shared" ca="1" si="13"/>
        <v>0</v>
      </c>
      <c r="P134" s="216">
        <f t="shared" ca="1" si="14"/>
        <v>0</v>
      </c>
      <c r="Q134" s="216">
        <f t="shared" ca="1" si="15"/>
        <v>0</v>
      </c>
      <c r="R134" s="216">
        <f ca="1">VLOOKUP($B134,DATOSAÑO!$B$11:$AR$375,16)</f>
        <v>0</v>
      </c>
      <c r="S134" s="216">
        <f ca="1">VLOOKUP($B134,DATOSAÑO!$B$11:$AR$375,43)</f>
        <v>0</v>
      </c>
      <c r="T134" s="216">
        <f ca="1">VLOOKUP($B134,DATOSAÑO!$B$11:$AR$375,17)</f>
        <v>0</v>
      </c>
      <c r="U134" s="216">
        <f ca="1">VLOOKUP($B134,DATOSAÑO!$B$11:$AR$375,19)</f>
        <v>0</v>
      </c>
      <c r="V134" s="216">
        <f ca="1">VLOOKUP($B134,DATOSAÑO!$B$11:$AR$375,43)</f>
        <v>0</v>
      </c>
      <c r="W134" s="216">
        <f ca="1">VLOOKUP($B134,DATOSAÑO!$B$11:$AR$375,20)</f>
        <v>0</v>
      </c>
      <c r="X134" s="216">
        <f ca="1">VLOOKUP($B134,DATOSAÑO!$B$11:$AR$375,24)</f>
        <v>0</v>
      </c>
      <c r="Y134" s="216">
        <f ca="1">VLOOKUP($B134,DATOSAÑO!$B$11:$BP$375,55)</f>
        <v>0</v>
      </c>
      <c r="Z134" s="216">
        <f ca="1">VLOOKUP($B134,DATOSAÑO!$B$11:$AM$375,29)</f>
        <v>0</v>
      </c>
      <c r="AA134" s="216">
        <f ca="1">VLOOKUP($B134,DATOSAÑO!$B$11:$AM$375,31)</f>
        <v>0</v>
      </c>
      <c r="AB134" s="216">
        <f ca="1">VLOOKUP($B134,DATOSAÑO!$B$11:$AM$375,33)</f>
        <v>0</v>
      </c>
      <c r="AC134" s="216">
        <f ca="1">VLOOKUP($B134,DATOSAÑO!$B$11:$AM$375,34)</f>
        <v>0</v>
      </c>
      <c r="AD134" s="216">
        <f ca="1">VLOOKUP($B134,DATOSAÑO!$B$11:$AM$375,35)</f>
        <v>0</v>
      </c>
      <c r="AE134" s="216">
        <f ca="1">VLOOKUP($B134,DATOSAÑO!$B$11:$AM$375,36)</f>
        <v>0</v>
      </c>
      <c r="AF134" s="216">
        <f ca="1">VLOOKUP($B134,DATOSAÑO!$B$11:$AM$375,37)</f>
        <v>0</v>
      </c>
      <c r="AG134" s="216">
        <f ca="1">VLOOKUP($B134,DATOSAÑO!$B$11:$AM$375,38)</f>
        <v>0</v>
      </c>
      <c r="AH134" s="216">
        <f ca="1">VLOOKUP($B134,DATOSAÑO!$B$11:$AN$375,39)</f>
        <v>0</v>
      </c>
      <c r="AI134" s="216">
        <f ca="1">VLOOKUP($B134,DATOSAÑO!$B$11:$BS$375,70)</f>
        <v>0</v>
      </c>
      <c r="AJ134" s="216">
        <f ca="1">VLOOKUP($B134,DATOSAÑO!$B$11:$BV$375,73)</f>
        <v>0</v>
      </c>
      <c r="AK134" s="216">
        <f ca="1">VLOOKUP($B134,DATOSAÑO!$B$11:$BY$375,76)</f>
        <v>0</v>
      </c>
      <c r="AL134" s="216">
        <f ca="1">VLOOKUP($B134,DATOSAÑO!$B$11:$CL$375,89)</f>
        <v>0</v>
      </c>
    </row>
    <row r="135" spans="1:38">
      <c r="B135" s="413">
        <f t="shared" si="16"/>
        <v>45087</v>
      </c>
      <c r="C135" s="216">
        <f ca="1">VLOOKUP($B135,DATOSAÑO!$B$11:$AR$375,8)</f>
        <v>0</v>
      </c>
      <c r="D135" s="216">
        <f ca="1">VLOOKUP($B135,DATOSAÑO!$B$11:$AR$375,40)</f>
        <v>0</v>
      </c>
      <c r="E135" s="216">
        <f ca="1">VLOOKUP($B135,DATOSAÑO!$B$11:$AR$375,3)</f>
        <v>0</v>
      </c>
      <c r="F135" s="216">
        <f t="shared" ca="1" si="9"/>
        <v>0</v>
      </c>
      <c r="G135" s="410">
        <f t="shared" ca="1" si="10"/>
        <v>0</v>
      </c>
      <c r="H135" s="216">
        <f ca="1">VLOOKUP($B135,DATOSAÑO!$B$11:$AR$375,6)</f>
        <v>0</v>
      </c>
      <c r="I135" s="216">
        <f ca="1">VLOOKUP($B135,DATOSAÑO!$B$11:$AR$375,15)</f>
        <v>0</v>
      </c>
      <c r="J135" s="216">
        <f ca="1">VLOOKUP($B135,DATOSAÑO!$B$11:$AR$375,41)</f>
        <v>0</v>
      </c>
      <c r="K135" s="216">
        <f ca="1">VLOOKUP($B135,DATOSAÑO!$B$11:$AR$375,10)</f>
        <v>0</v>
      </c>
      <c r="L135" s="216">
        <f t="shared" ca="1" si="11"/>
        <v>0</v>
      </c>
      <c r="M135" s="410">
        <f t="shared" ca="1" si="12"/>
        <v>0</v>
      </c>
      <c r="N135" s="216">
        <f ca="1">VLOOKUP($B135,DATOSAÑO!$B$11:$AR$375,13)</f>
        <v>0</v>
      </c>
      <c r="O135" s="216">
        <f t="shared" ca="1" si="13"/>
        <v>0</v>
      </c>
      <c r="P135" s="216">
        <f t="shared" ca="1" si="14"/>
        <v>0</v>
      </c>
      <c r="Q135" s="216">
        <f t="shared" ca="1" si="15"/>
        <v>0</v>
      </c>
      <c r="R135" s="216">
        <f ca="1">VLOOKUP($B135,DATOSAÑO!$B$11:$AR$375,16)</f>
        <v>0</v>
      </c>
      <c r="S135" s="216">
        <f ca="1">VLOOKUP($B135,DATOSAÑO!$B$11:$AR$375,43)</f>
        <v>0</v>
      </c>
      <c r="T135" s="216">
        <f ca="1">VLOOKUP($B135,DATOSAÑO!$B$11:$AR$375,17)</f>
        <v>0</v>
      </c>
      <c r="U135" s="216">
        <f ca="1">VLOOKUP($B135,DATOSAÑO!$B$11:$AR$375,19)</f>
        <v>0</v>
      </c>
      <c r="V135" s="216">
        <f ca="1">VLOOKUP($B135,DATOSAÑO!$B$11:$AR$375,43)</f>
        <v>0</v>
      </c>
      <c r="W135" s="216">
        <f ca="1">VLOOKUP($B135,DATOSAÑO!$B$11:$AR$375,20)</f>
        <v>0</v>
      </c>
      <c r="X135" s="216">
        <f ca="1">VLOOKUP($B135,DATOSAÑO!$B$11:$AR$375,24)</f>
        <v>0</v>
      </c>
      <c r="Y135" s="216">
        <f ca="1">VLOOKUP($B135,DATOSAÑO!$B$11:$BP$375,55)</f>
        <v>0</v>
      </c>
      <c r="Z135" s="216">
        <f ca="1">VLOOKUP($B135,DATOSAÑO!$B$11:$AM$375,29)</f>
        <v>0</v>
      </c>
      <c r="AA135" s="216">
        <f ca="1">VLOOKUP($B135,DATOSAÑO!$B$11:$AM$375,31)</f>
        <v>0</v>
      </c>
      <c r="AB135" s="216">
        <f ca="1">VLOOKUP($B135,DATOSAÑO!$B$11:$AM$375,33)</f>
        <v>0</v>
      </c>
      <c r="AC135" s="216">
        <f ca="1">VLOOKUP($B135,DATOSAÑO!$B$11:$AM$375,34)</f>
        <v>0</v>
      </c>
      <c r="AD135" s="216">
        <f ca="1">VLOOKUP($B135,DATOSAÑO!$B$11:$AM$375,35)</f>
        <v>0</v>
      </c>
      <c r="AE135" s="216">
        <f ca="1">VLOOKUP($B135,DATOSAÑO!$B$11:$AM$375,36)</f>
        <v>0</v>
      </c>
      <c r="AF135" s="216">
        <f ca="1">VLOOKUP($B135,DATOSAÑO!$B$11:$AM$375,37)</f>
        <v>0</v>
      </c>
      <c r="AG135" s="216">
        <f ca="1">VLOOKUP($B135,DATOSAÑO!$B$11:$AM$375,38)</f>
        <v>0</v>
      </c>
      <c r="AH135" s="216">
        <f ca="1">VLOOKUP($B135,DATOSAÑO!$B$11:$AN$375,39)</f>
        <v>0</v>
      </c>
      <c r="AI135" s="216">
        <f ca="1">VLOOKUP($B135,DATOSAÑO!$B$11:$BS$375,70)</f>
        <v>0</v>
      </c>
      <c r="AJ135" s="216">
        <f ca="1">VLOOKUP($B135,DATOSAÑO!$B$11:$BV$375,73)</f>
        <v>0</v>
      </c>
      <c r="AK135" s="216">
        <f ca="1">VLOOKUP($B135,DATOSAÑO!$B$11:$BY$375,76)</f>
        <v>0</v>
      </c>
      <c r="AL135" s="216">
        <f ca="1">VLOOKUP($B135,DATOSAÑO!$B$11:$CL$375,89)</f>
        <v>0</v>
      </c>
    </row>
    <row r="136" spans="1:38">
      <c r="B136" s="413">
        <f t="shared" si="16"/>
        <v>45088</v>
      </c>
      <c r="C136" s="216">
        <f ca="1">VLOOKUP($B136,DATOSAÑO!$B$11:$AR$375,8)</f>
        <v>0</v>
      </c>
      <c r="D136" s="216">
        <f ca="1">VLOOKUP($B136,DATOSAÑO!$B$11:$AR$375,40)</f>
        <v>0</v>
      </c>
      <c r="E136" s="216">
        <f ca="1">VLOOKUP($B136,DATOSAÑO!$B$11:$AR$375,3)</f>
        <v>0</v>
      </c>
      <c r="F136" s="216">
        <f t="shared" ca="1" si="9"/>
        <v>0</v>
      </c>
      <c r="G136" s="410">
        <f t="shared" ca="1" si="10"/>
        <v>0</v>
      </c>
      <c r="H136" s="216">
        <f ca="1">VLOOKUP($B136,DATOSAÑO!$B$11:$AR$375,6)</f>
        <v>0</v>
      </c>
      <c r="I136" s="216">
        <f ca="1">VLOOKUP($B136,DATOSAÑO!$B$11:$AR$375,15)</f>
        <v>0</v>
      </c>
      <c r="J136" s="216">
        <f ca="1">VLOOKUP($B136,DATOSAÑO!$B$11:$AR$375,41)</f>
        <v>0</v>
      </c>
      <c r="K136" s="216">
        <f ca="1">VLOOKUP($B136,DATOSAÑO!$B$11:$AR$375,10)</f>
        <v>0</v>
      </c>
      <c r="L136" s="216">
        <f t="shared" ca="1" si="11"/>
        <v>0</v>
      </c>
      <c r="M136" s="410">
        <f t="shared" ca="1" si="12"/>
        <v>0</v>
      </c>
      <c r="N136" s="216">
        <f ca="1">VLOOKUP($B136,DATOSAÑO!$B$11:$AR$375,13)</f>
        <v>0</v>
      </c>
      <c r="O136" s="216">
        <f t="shared" ca="1" si="13"/>
        <v>0</v>
      </c>
      <c r="P136" s="216">
        <f t="shared" ca="1" si="14"/>
        <v>0</v>
      </c>
      <c r="Q136" s="216">
        <f t="shared" ca="1" si="15"/>
        <v>0</v>
      </c>
      <c r="R136" s="216">
        <f ca="1">VLOOKUP($B136,DATOSAÑO!$B$11:$AR$375,16)</f>
        <v>0</v>
      </c>
      <c r="S136" s="216">
        <f ca="1">VLOOKUP($B136,DATOSAÑO!$B$11:$AR$375,43)</f>
        <v>0</v>
      </c>
      <c r="T136" s="216">
        <f ca="1">VLOOKUP($B136,DATOSAÑO!$B$11:$AR$375,17)</f>
        <v>0</v>
      </c>
      <c r="U136" s="216">
        <f ca="1">VLOOKUP($B136,DATOSAÑO!$B$11:$AR$375,19)</f>
        <v>0</v>
      </c>
      <c r="V136" s="216">
        <f ca="1">VLOOKUP($B136,DATOSAÑO!$B$11:$AR$375,43)</f>
        <v>0</v>
      </c>
      <c r="W136" s="216">
        <f ca="1">VLOOKUP($B136,DATOSAÑO!$B$11:$AR$375,20)</f>
        <v>0</v>
      </c>
      <c r="X136" s="216">
        <f ca="1">VLOOKUP($B136,DATOSAÑO!$B$11:$AR$375,24)</f>
        <v>0</v>
      </c>
      <c r="Y136" s="216">
        <f ca="1">VLOOKUP($B136,DATOSAÑO!$B$11:$BP$375,55)</f>
        <v>0</v>
      </c>
      <c r="Z136" s="216">
        <f ca="1">VLOOKUP($B136,DATOSAÑO!$B$11:$AM$375,29)</f>
        <v>0</v>
      </c>
      <c r="AA136" s="216">
        <f ca="1">VLOOKUP($B136,DATOSAÑO!$B$11:$AM$375,31)</f>
        <v>0</v>
      </c>
      <c r="AB136" s="216">
        <f ca="1">VLOOKUP($B136,DATOSAÑO!$B$11:$AM$375,33)</f>
        <v>0</v>
      </c>
      <c r="AC136" s="216">
        <f ca="1">VLOOKUP($B136,DATOSAÑO!$B$11:$AM$375,34)</f>
        <v>0</v>
      </c>
      <c r="AD136" s="216">
        <f ca="1">VLOOKUP($B136,DATOSAÑO!$B$11:$AM$375,35)</f>
        <v>0</v>
      </c>
      <c r="AE136" s="216">
        <f ca="1">VLOOKUP($B136,DATOSAÑO!$B$11:$AM$375,36)</f>
        <v>0</v>
      </c>
      <c r="AF136" s="216">
        <f ca="1">VLOOKUP($B136,DATOSAÑO!$B$11:$AM$375,37)</f>
        <v>0</v>
      </c>
      <c r="AG136" s="216">
        <f ca="1">VLOOKUP($B136,DATOSAÑO!$B$11:$AM$375,38)</f>
        <v>0</v>
      </c>
      <c r="AH136" s="216">
        <f ca="1">VLOOKUP($B136,DATOSAÑO!$B$11:$AN$375,39)</f>
        <v>0</v>
      </c>
      <c r="AI136" s="216">
        <f ca="1">VLOOKUP($B136,DATOSAÑO!$B$11:$BS$375,70)</f>
        <v>0</v>
      </c>
      <c r="AJ136" s="216">
        <f ca="1">VLOOKUP($B136,DATOSAÑO!$B$11:$BV$375,73)</f>
        <v>0</v>
      </c>
      <c r="AK136" s="216">
        <f ca="1">VLOOKUP($B136,DATOSAÑO!$B$11:$BY$375,76)</f>
        <v>0</v>
      </c>
      <c r="AL136" s="216">
        <f ca="1">VLOOKUP($B136,DATOSAÑO!$B$11:$CL$375,89)</f>
        <v>0</v>
      </c>
    </row>
    <row r="137" spans="1:38">
      <c r="B137" s="413">
        <f t="shared" si="16"/>
        <v>45089</v>
      </c>
      <c r="C137" s="216">
        <f ca="1">VLOOKUP($B137,DATOSAÑO!$B$11:$AR$375,8)</f>
        <v>0</v>
      </c>
      <c r="D137" s="216">
        <f ca="1">VLOOKUP($B137,DATOSAÑO!$B$11:$AR$375,40)</f>
        <v>0</v>
      </c>
      <c r="E137" s="216">
        <f ca="1">VLOOKUP($B137,DATOSAÑO!$B$11:$AR$375,3)</f>
        <v>0</v>
      </c>
      <c r="F137" s="216">
        <f t="shared" ca="1" si="9"/>
        <v>0</v>
      </c>
      <c r="G137" s="410">
        <f t="shared" ca="1" si="10"/>
        <v>0</v>
      </c>
      <c r="H137" s="216">
        <f ca="1">VLOOKUP($B137,DATOSAÑO!$B$11:$AR$375,6)</f>
        <v>0</v>
      </c>
      <c r="I137" s="216">
        <f ca="1">VLOOKUP($B137,DATOSAÑO!$B$11:$AR$375,15)</f>
        <v>0</v>
      </c>
      <c r="J137" s="216">
        <f ca="1">VLOOKUP($B137,DATOSAÑO!$B$11:$AR$375,41)</f>
        <v>0</v>
      </c>
      <c r="K137" s="216">
        <f ca="1">VLOOKUP($B137,DATOSAÑO!$B$11:$AR$375,10)</f>
        <v>0</v>
      </c>
      <c r="L137" s="216">
        <f t="shared" ca="1" si="11"/>
        <v>0</v>
      </c>
      <c r="M137" s="410">
        <f t="shared" ca="1" si="12"/>
        <v>0</v>
      </c>
      <c r="N137" s="216">
        <f ca="1">VLOOKUP($B137,DATOSAÑO!$B$11:$AR$375,13)</f>
        <v>0</v>
      </c>
      <c r="O137" s="216">
        <f t="shared" ca="1" si="13"/>
        <v>0</v>
      </c>
      <c r="P137" s="216">
        <f t="shared" ca="1" si="14"/>
        <v>0</v>
      </c>
      <c r="Q137" s="216">
        <f t="shared" ca="1" si="15"/>
        <v>0</v>
      </c>
      <c r="R137" s="216">
        <f ca="1">VLOOKUP($B137,DATOSAÑO!$B$11:$AR$375,16)</f>
        <v>0</v>
      </c>
      <c r="S137" s="216">
        <f ca="1">VLOOKUP($B137,DATOSAÑO!$B$11:$AR$375,43)</f>
        <v>0</v>
      </c>
      <c r="T137" s="216">
        <f ca="1">VLOOKUP($B137,DATOSAÑO!$B$11:$AR$375,17)</f>
        <v>0</v>
      </c>
      <c r="U137" s="216">
        <f ca="1">VLOOKUP($B137,DATOSAÑO!$B$11:$AR$375,19)</f>
        <v>0</v>
      </c>
      <c r="V137" s="216">
        <f ca="1">VLOOKUP($B137,DATOSAÑO!$B$11:$AR$375,43)</f>
        <v>0</v>
      </c>
      <c r="W137" s="216">
        <f ca="1">VLOOKUP($B137,DATOSAÑO!$B$11:$AR$375,20)</f>
        <v>0</v>
      </c>
      <c r="X137" s="216">
        <f ca="1">VLOOKUP($B137,DATOSAÑO!$B$11:$AR$375,24)</f>
        <v>0</v>
      </c>
      <c r="Y137" s="216">
        <f ca="1">VLOOKUP($B137,DATOSAÑO!$B$11:$BP$375,55)</f>
        <v>0</v>
      </c>
      <c r="Z137" s="216">
        <f ca="1">VLOOKUP($B137,DATOSAÑO!$B$11:$AM$375,29)</f>
        <v>0</v>
      </c>
      <c r="AA137" s="216">
        <f ca="1">VLOOKUP($B137,DATOSAÑO!$B$11:$AM$375,31)</f>
        <v>0</v>
      </c>
      <c r="AB137" s="216">
        <f ca="1">VLOOKUP($B137,DATOSAÑO!$B$11:$AM$375,33)</f>
        <v>0</v>
      </c>
      <c r="AC137" s="216">
        <f ca="1">VLOOKUP($B137,DATOSAÑO!$B$11:$AM$375,34)</f>
        <v>0</v>
      </c>
      <c r="AD137" s="216">
        <f ca="1">VLOOKUP($B137,DATOSAÑO!$B$11:$AM$375,35)</f>
        <v>0</v>
      </c>
      <c r="AE137" s="216">
        <f ca="1">VLOOKUP($B137,DATOSAÑO!$B$11:$AM$375,36)</f>
        <v>0</v>
      </c>
      <c r="AF137" s="216">
        <f ca="1">VLOOKUP($B137,DATOSAÑO!$B$11:$AM$375,37)</f>
        <v>0</v>
      </c>
      <c r="AG137" s="216">
        <f ca="1">VLOOKUP($B137,DATOSAÑO!$B$11:$AM$375,38)</f>
        <v>0</v>
      </c>
      <c r="AH137" s="216">
        <f ca="1">VLOOKUP($B137,DATOSAÑO!$B$11:$AN$375,39)</f>
        <v>0</v>
      </c>
      <c r="AI137" s="216">
        <f ca="1">VLOOKUP($B137,DATOSAÑO!$B$11:$BS$375,70)</f>
        <v>0</v>
      </c>
      <c r="AJ137" s="216">
        <f ca="1">VLOOKUP($B137,DATOSAÑO!$B$11:$BV$375,73)</f>
        <v>0</v>
      </c>
      <c r="AK137" s="216">
        <f ca="1">VLOOKUP($B137,DATOSAÑO!$B$11:$BY$375,76)</f>
        <v>0</v>
      </c>
      <c r="AL137" s="216">
        <f ca="1">VLOOKUP($B137,DATOSAÑO!$B$11:$CL$375,89)</f>
        <v>0</v>
      </c>
    </row>
    <row r="138" spans="1:38">
      <c r="B138" s="413">
        <f t="shared" si="16"/>
        <v>45090</v>
      </c>
      <c r="C138" s="216">
        <f ca="1">VLOOKUP($B138,DATOSAÑO!$B$11:$AR$375,8)</f>
        <v>0</v>
      </c>
      <c r="D138" s="216">
        <f ca="1">VLOOKUP($B138,DATOSAÑO!$B$11:$AR$375,40)</f>
        <v>0</v>
      </c>
      <c r="E138" s="216">
        <f ca="1">VLOOKUP($B138,DATOSAÑO!$B$11:$AR$375,3)</f>
        <v>0</v>
      </c>
      <c r="F138" s="216">
        <f t="shared" ca="1" si="9"/>
        <v>0</v>
      </c>
      <c r="G138" s="410">
        <f t="shared" ca="1" si="10"/>
        <v>0</v>
      </c>
      <c r="H138" s="216">
        <f ca="1">VLOOKUP($B138,DATOSAÑO!$B$11:$AR$375,6)</f>
        <v>0</v>
      </c>
      <c r="I138" s="216">
        <f ca="1">VLOOKUP($B138,DATOSAÑO!$B$11:$AR$375,15)</f>
        <v>0</v>
      </c>
      <c r="J138" s="216">
        <f ca="1">VLOOKUP($B138,DATOSAÑO!$B$11:$AR$375,41)</f>
        <v>0</v>
      </c>
      <c r="K138" s="216">
        <f ca="1">VLOOKUP($B138,DATOSAÑO!$B$11:$AR$375,10)</f>
        <v>0</v>
      </c>
      <c r="L138" s="216">
        <f t="shared" ca="1" si="11"/>
        <v>0</v>
      </c>
      <c r="M138" s="410">
        <f t="shared" ca="1" si="12"/>
        <v>0</v>
      </c>
      <c r="N138" s="216">
        <f ca="1">VLOOKUP($B138,DATOSAÑO!$B$11:$AR$375,13)</f>
        <v>0</v>
      </c>
      <c r="O138" s="216">
        <f t="shared" ca="1" si="13"/>
        <v>0</v>
      </c>
      <c r="P138" s="216">
        <f t="shared" ca="1" si="14"/>
        <v>0</v>
      </c>
      <c r="Q138" s="216">
        <f t="shared" ca="1" si="15"/>
        <v>0</v>
      </c>
      <c r="R138" s="216">
        <f ca="1">VLOOKUP($B138,DATOSAÑO!$B$11:$AR$375,16)</f>
        <v>0</v>
      </c>
      <c r="S138" s="216">
        <f ca="1">VLOOKUP($B138,DATOSAÑO!$B$11:$AR$375,43)</f>
        <v>0</v>
      </c>
      <c r="T138" s="216">
        <f ca="1">VLOOKUP($B138,DATOSAÑO!$B$11:$AR$375,17)</f>
        <v>0</v>
      </c>
      <c r="U138" s="216">
        <f ca="1">VLOOKUP($B138,DATOSAÑO!$B$11:$AR$375,19)</f>
        <v>0</v>
      </c>
      <c r="V138" s="216">
        <f ca="1">VLOOKUP($B138,DATOSAÑO!$B$11:$AR$375,43)</f>
        <v>0</v>
      </c>
      <c r="W138" s="216">
        <f ca="1">VLOOKUP($B138,DATOSAÑO!$B$11:$AR$375,20)</f>
        <v>0</v>
      </c>
      <c r="X138" s="216">
        <f ca="1">VLOOKUP($B138,DATOSAÑO!$B$11:$AR$375,24)</f>
        <v>0</v>
      </c>
      <c r="Y138" s="216">
        <f ca="1">VLOOKUP($B138,DATOSAÑO!$B$11:$BP$375,55)</f>
        <v>0</v>
      </c>
      <c r="Z138" s="216">
        <f ca="1">VLOOKUP($B138,DATOSAÑO!$B$11:$AM$375,29)</f>
        <v>0</v>
      </c>
      <c r="AA138" s="216">
        <f ca="1">VLOOKUP($B138,DATOSAÑO!$B$11:$AM$375,31)</f>
        <v>0</v>
      </c>
      <c r="AB138" s="216">
        <f ca="1">VLOOKUP($B138,DATOSAÑO!$B$11:$AM$375,33)</f>
        <v>0</v>
      </c>
      <c r="AC138" s="216">
        <f ca="1">VLOOKUP($B138,DATOSAÑO!$B$11:$AM$375,34)</f>
        <v>0</v>
      </c>
      <c r="AD138" s="216">
        <f ca="1">VLOOKUP($B138,DATOSAÑO!$B$11:$AM$375,35)</f>
        <v>0</v>
      </c>
      <c r="AE138" s="216">
        <f ca="1">VLOOKUP($B138,DATOSAÑO!$B$11:$AM$375,36)</f>
        <v>0</v>
      </c>
      <c r="AF138" s="216">
        <f ca="1">VLOOKUP($B138,DATOSAÑO!$B$11:$AM$375,37)</f>
        <v>0</v>
      </c>
      <c r="AG138" s="216">
        <f ca="1">VLOOKUP($B138,DATOSAÑO!$B$11:$AM$375,38)</f>
        <v>0</v>
      </c>
      <c r="AH138" s="216">
        <f ca="1">VLOOKUP($B138,DATOSAÑO!$B$11:$AN$375,39)</f>
        <v>0</v>
      </c>
      <c r="AI138" s="216">
        <f ca="1">VLOOKUP($B138,DATOSAÑO!$B$11:$BS$375,70)</f>
        <v>0</v>
      </c>
      <c r="AJ138" s="216">
        <f ca="1">VLOOKUP($B138,DATOSAÑO!$B$11:$BV$375,73)</f>
        <v>0</v>
      </c>
      <c r="AK138" s="216">
        <f ca="1">VLOOKUP($B138,DATOSAÑO!$B$11:$BY$375,76)</f>
        <v>0</v>
      </c>
      <c r="AL138" s="216">
        <f ca="1">VLOOKUP($B138,DATOSAÑO!$B$11:$CL$375,89)</f>
        <v>0</v>
      </c>
    </row>
    <row r="139" spans="1:38">
      <c r="B139" s="413">
        <f t="shared" si="16"/>
        <v>45091</v>
      </c>
      <c r="C139" s="216">
        <f ca="1">VLOOKUP($B139,DATOSAÑO!$B$11:$AR$375,8)</f>
        <v>0</v>
      </c>
      <c r="D139" s="216">
        <f ca="1">VLOOKUP($B139,DATOSAÑO!$B$11:$AR$375,40)</f>
        <v>0</v>
      </c>
      <c r="E139" s="216">
        <f ca="1">VLOOKUP($B139,DATOSAÑO!$B$11:$AR$375,3)</f>
        <v>0</v>
      </c>
      <c r="F139" s="216">
        <f t="shared" ca="1" si="9"/>
        <v>0</v>
      </c>
      <c r="G139" s="410">
        <f t="shared" ca="1" si="10"/>
        <v>0</v>
      </c>
      <c r="H139" s="216">
        <f ca="1">VLOOKUP($B139,DATOSAÑO!$B$11:$AR$375,6)</f>
        <v>0</v>
      </c>
      <c r="I139" s="216">
        <f ca="1">VLOOKUP($B139,DATOSAÑO!$B$11:$AR$375,15)</f>
        <v>0</v>
      </c>
      <c r="J139" s="216">
        <f ca="1">VLOOKUP($B139,DATOSAÑO!$B$11:$AR$375,41)</f>
        <v>0</v>
      </c>
      <c r="K139" s="216">
        <f ca="1">VLOOKUP($B139,DATOSAÑO!$B$11:$AR$375,10)</f>
        <v>0</v>
      </c>
      <c r="L139" s="216">
        <f t="shared" ca="1" si="11"/>
        <v>0</v>
      </c>
      <c r="M139" s="410">
        <f t="shared" ca="1" si="12"/>
        <v>0</v>
      </c>
      <c r="N139" s="216">
        <f ca="1">VLOOKUP($B139,DATOSAÑO!$B$11:$AR$375,13)</f>
        <v>0</v>
      </c>
      <c r="O139" s="216">
        <f t="shared" ca="1" si="13"/>
        <v>0</v>
      </c>
      <c r="P139" s="216">
        <f t="shared" ca="1" si="14"/>
        <v>0</v>
      </c>
      <c r="Q139" s="216">
        <f t="shared" ca="1" si="15"/>
        <v>0</v>
      </c>
      <c r="R139" s="216">
        <f ca="1">VLOOKUP($B139,DATOSAÑO!$B$11:$AR$375,16)</f>
        <v>0</v>
      </c>
      <c r="S139" s="216">
        <f ca="1">VLOOKUP($B139,DATOSAÑO!$B$11:$AR$375,43)</f>
        <v>0</v>
      </c>
      <c r="T139" s="216">
        <f ca="1">VLOOKUP($B139,DATOSAÑO!$B$11:$AR$375,17)</f>
        <v>0</v>
      </c>
      <c r="U139" s="216">
        <f ca="1">VLOOKUP($B139,DATOSAÑO!$B$11:$AR$375,19)</f>
        <v>0</v>
      </c>
      <c r="V139" s="216">
        <f ca="1">VLOOKUP($B139,DATOSAÑO!$B$11:$AR$375,43)</f>
        <v>0</v>
      </c>
      <c r="W139" s="216">
        <f ca="1">VLOOKUP($B139,DATOSAÑO!$B$11:$AR$375,20)</f>
        <v>0</v>
      </c>
      <c r="X139" s="216">
        <f ca="1">VLOOKUP($B139,DATOSAÑO!$B$11:$AR$375,24)</f>
        <v>0</v>
      </c>
      <c r="Y139" s="216">
        <f ca="1">VLOOKUP($B139,DATOSAÑO!$B$11:$BP$375,55)</f>
        <v>0</v>
      </c>
      <c r="Z139" s="216">
        <f ca="1">VLOOKUP($B139,DATOSAÑO!$B$11:$AM$375,29)</f>
        <v>0</v>
      </c>
      <c r="AA139" s="216">
        <f ca="1">VLOOKUP($B139,DATOSAÑO!$B$11:$AM$375,31)</f>
        <v>0</v>
      </c>
      <c r="AB139" s="216">
        <f ca="1">VLOOKUP($B139,DATOSAÑO!$B$11:$AM$375,33)</f>
        <v>0</v>
      </c>
      <c r="AC139" s="216">
        <f ca="1">VLOOKUP($B139,DATOSAÑO!$B$11:$AM$375,34)</f>
        <v>0</v>
      </c>
      <c r="AD139" s="216">
        <f ca="1">VLOOKUP($B139,DATOSAÑO!$B$11:$AM$375,35)</f>
        <v>0</v>
      </c>
      <c r="AE139" s="216">
        <f ca="1">VLOOKUP($B139,DATOSAÑO!$B$11:$AM$375,36)</f>
        <v>0</v>
      </c>
      <c r="AF139" s="216">
        <f ca="1">VLOOKUP($B139,DATOSAÑO!$B$11:$AM$375,37)</f>
        <v>0</v>
      </c>
      <c r="AG139" s="216">
        <f ca="1">VLOOKUP($B139,DATOSAÑO!$B$11:$AM$375,38)</f>
        <v>0</v>
      </c>
      <c r="AH139" s="216">
        <f ca="1">VLOOKUP($B139,DATOSAÑO!$B$11:$AN$375,39)</f>
        <v>0</v>
      </c>
      <c r="AI139" s="216">
        <f ca="1">VLOOKUP($B139,DATOSAÑO!$B$11:$BS$375,70)</f>
        <v>0</v>
      </c>
      <c r="AJ139" s="216">
        <f ca="1">VLOOKUP($B139,DATOSAÑO!$B$11:$BV$375,73)</f>
        <v>0</v>
      </c>
      <c r="AK139" s="216">
        <f ca="1">VLOOKUP($B139,DATOSAÑO!$B$11:$BY$375,76)</f>
        <v>0</v>
      </c>
      <c r="AL139" s="216">
        <f ca="1">VLOOKUP($B139,DATOSAÑO!$B$11:$CL$375,89)</f>
        <v>0</v>
      </c>
    </row>
    <row r="140" spans="1:38">
      <c r="B140" s="413">
        <f t="shared" si="16"/>
        <v>45092</v>
      </c>
      <c r="C140" s="216">
        <f ca="1">VLOOKUP($B140,DATOSAÑO!$B$11:$AR$375,8)</f>
        <v>0</v>
      </c>
      <c r="D140" s="216">
        <f ca="1">VLOOKUP($B140,DATOSAÑO!$B$11:$AR$375,40)</f>
        <v>0</v>
      </c>
      <c r="E140" s="216">
        <f ca="1">VLOOKUP($B140,DATOSAÑO!$B$11:$AR$375,3)</f>
        <v>0</v>
      </c>
      <c r="F140" s="216">
        <f t="shared" ca="1" si="9"/>
        <v>0</v>
      </c>
      <c r="G140" s="410">
        <f t="shared" ca="1" si="10"/>
        <v>0</v>
      </c>
      <c r="H140" s="216">
        <f ca="1">VLOOKUP($B140,DATOSAÑO!$B$11:$AR$375,6)</f>
        <v>0</v>
      </c>
      <c r="I140" s="216">
        <f ca="1">VLOOKUP($B140,DATOSAÑO!$B$11:$AR$375,15)</f>
        <v>0</v>
      </c>
      <c r="J140" s="216">
        <f ca="1">VLOOKUP($B140,DATOSAÑO!$B$11:$AR$375,41)</f>
        <v>0</v>
      </c>
      <c r="K140" s="216">
        <f ca="1">VLOOKUP($B140,DATOSAÑO!$B$11:$AR$375,10)</f>
        <v>0</v>
      </c>
      <c r="L140" s="216">
        <f t="shared" ca="1" si="11"/>
        <v>0</v>
      </c>
      <c r="M140" s="410">
        <f t="shared" ca="1" si="12"/>
        <v>0</v>
      </c>
      <c r="N140" s="216">
        <f ca="1">VLOOKUP($B140,DATOSAÑO!$B$11:$AR$375,13)</f>
        <v>0</v>
      </c>
      <c r="O140" s="216">
        <f t="shared" ca="1" si="13"/>
        <v>0</v>
      </c>
      <c r="P140" s="216">
        <f t="shared" ca="1" si="14"/>
        <v>0</v>
      </c>
      <c r="Q140" s="216">
        <f t="shared" ca="1" si="15"/>
        <v>0</v>
      </c>
      <c r="R140" s="216">
        <f ca="1">VLOOKUP($B140,DATOSAÑO!$B$11:$AR$375,16)</f>
        <v>0</v>
      </c>
      <c r="S140" s="216">
        <f ca="1">VLOOKUP($B140,DATOSAÑO!$B$11:$AR$375,43)</f>
        <v>0</v>
      </c>
      <c r="T140" s="216">
        <f ca="1">VLOOKUP($B140,DATOSAÑO!$B$11:$AR$375,17)</f>
        <v>0</v>
      </c>
      <c r="U140" s="216">
        <f ca="1">VLOOKUP($B140,DATOSAÑO!$B$11:$AR$375,19)</f>
        <v>0</v>
      </c>
      <c r="V140" s="216">
        <f ca="1">VLOOKUP($B140,DATOSAÑO!$B$11:$AR$375,43)</f>
        <v>0</v>
      </c>
      <c r="W140" s="216">
        <f ca="1">VLOOKUP($B140,DATOSAÑO!$B$11:$AR$375,20)</f>
        <v>0</v>
      </c>
      <c r="X140" s="216">
        <f ca="1">VLOOKUP($B140,DATOSAÑO!$B$11:$AR$375,24)</f>
        <v>0</v>
      </c>
      <c r="Y140" s="216">
        <f ca="1">VLOOKUP($B140,DATOSAÑO!$B$11:$BP$375,55)</f>
        <v>0</v>
      </c>
      <c r="Z140" s="216">
        <f ca="1">VLOOKUP($B140,DATOSAÑO!$B$11:$AM$375,29)</f>
        <v>0</v>
      </c>
      <c r="AA140" s="216">
        <f ca="1">VLOOKUP($B140,DATOSAÑO!$B$11:$AM$375,31)</f>
        <v>0</v>
      </c>
      <c r="AB140" s="216">
        <f ca="1">VLOOKUP($B140,DATOSAÑO!$B$11:$AM$375,33)</f>
        <v>0</v>
      </c>
      <c r="AC140" s="216">
        <f ca="1">VLOOKUP($B140,DATOSAÑO!$B$11:$AM$375,34)</f>
        <v>0</v>
      </c>
      <c r="AD140" s="216">
        <f ca="1">VLOOKUP($B140,DATOSAÑO!$B$11:$AM$375,35)</f>
        <v>0</v>
      </c>
      <c r="AE140" s="216">
        <f ca="1">VLOOKUP($B140,DATOSAÑO!$B$11:$AM$375,36)</f>
        <v>0</v>
      </c>
      <c r="AF140" s="216">
        <f ca="1">VLOOKUP($B140,DATOSAÑO!$B$11:$AM$375,37)</f>
        <v>0</v>
      </c>
      <c r="AG140" s="216">
        <f ca="1">VLOOKUP($B140,DATOSAÑO!$B$11:$AM$375,38)</f>
        <v>0</v>
      </c>
      <c r="AH140" s="216">
        <f ca="1">VLOOKUP($B140,DATOSAÑO!$B$11:$AN$375,39)</f>
        <v>0</v>
      </c>
      <c r="AI140" s="216">
        <f ca="1">VLOOKUP($B140,DATOSAÑO!$B$11:$BS$375,70)</f>
        <v>0</v>
      </c>
      <c r="AJ140" s="216">
        <f ca="1">VLOOKUP($B140,DATOSAÑO!$B$11:$BV$375,73)</f>
        <v>0</v>
      </c>
      <c r="AK140" s="216">
        <f ca="1">VLOOKUP($B140,DATOSAÑO!$B$11:$BY$375,76)</f>
        <v>0</v>
      </c>
      <c r="AL140" s="216">
        <f ca="1">VLOOKUP($B140,DATOSAÑO!$B$11:$CL$375,89)</f>
        <v>0</v>
      </c>
    </row>
    <row r="141" spans="1:38">
      <c r="B141" s="413">
        <f t="shared" si="16"/>
        <v>45093</v>
      </c>
      <c r="C141" s="216">
        <f ca="1">VLOOKUP($B141,DATOSAÑO!$B$11:$AR$375,8)</f>
        <v>0</v>
      </c>
      <c r="D141" s="216">
        <f ca="1">VLOOKUP($B141,DATOSAÑO!$B$11:$AR$375,40)</f>
        <v>0</v>
      </c>
      <c r="E141" s="216">
        <f ca="1">VLOOKUP($B141,DATOSAÑO!$B$11:$AR$375,3)</f>
        <v>0</v>
      </c>
      <c r="F141" s="216">
        <f t="shared" ca="1" si="9"/>
        <v>0</v>
      </c>
      <c r="G141" s="410">
        <f t="shared" ca="1" si="10"/>
        <v>0</v>
      </c>
      <c r="H141" s="216">
        <f ca="1">VLOOKUP($B141,DATOSAÑO!$B$11:$AR$375,6)</f>
        <v>0</v>
      </c>
      <c r="I141" s="216">
        <f ca="1">VLOOKUP($B141,DATOSAÑO!$B$11:$AR$375,15)</f>
        <v>0</v>
      </c>
      <c r="J141" s="216">
        <f ca="1">VLOOKUP($B141,DATOSAÑO!$B$11:$AR$375,41)</f>
        <v>0</v>
      </c>
      <c r="K141" s="216">
        <f ca="1">VLOOKUP($B141,DATOSAÑO!$B$11:$AR$375,10)</f>
        <v>0</v>
      </c>
      <c r="L141" s="216">
        <f t="shared" ca="1" si="11"/>
        <v>0</v>
      </c>
      <c r="M141" s="410">
        <f t="shared" ca="1" si="12"/>
        <v>0</v>
      </c>
      <c r="N141" s="216">
        <f ca="1">VLOOKUP($B141,DATOSAÑO!$B$11:$AR$375,13)</f>
        <v>0</v>
      </c>
      <c r="O141" s="216">
        <f t="shared" ca="1" si="13"/>
        <v>0</v>
      </c>
      <c r="P141" s="216">
        <f t="shared" ca="1" si="14"/>
        <v>0</v>
      </c>
      <c r="Q141" s="216">
        <f t="shared" ca="1" si="15"/>
        <v>0</v>
      </c>
      <c r="R141" s="216">
        <f ca="1">VLOOKUP($B141,DATOSAÑO!$B$11:$AR$375,16)</f>
        <v>0</v>
      </c>
      <c r="S141" s="216">
        <f ca="1">VLOOKUP($B141,DATOSAÑO!$B$11:$AR$375,43)</f>
        <v>0</v>
      </c>
      <c r="T141" s="216">
        <f ca="1">VLOOKUP($B141,DATOSAÑO!$B$11:$AR$375,17)</f>
        <v>0</v>
      </c>
      <c r="U141" s="216">
        <f ca="1">VLOOKUP($B141,DATOSAÑO!$B$11:$AR$375,19)</f>
        <v>0</v>
      </c>
      <c r="V141" s="216">
        <f ca="1">VLOOKUP($B141,DATOSAÑO!$B$11:$AR$375,43)</f>
        <v>0</v>
      </c>
      <c r="W141" s="216">
        <f ca="1">VLOOKUP($B141,DATOSAÑO!$B$11:$AR$375,20)</f>
        <v>0</v>
      </c>
      <c r="X141" s="216">
        <f ca="1">VLOOKUP($B141,DATOSAÑO!$B$11:$AR$375,24)</f>
        <v>0</v>
      </c>
      <c r="Y141" s="216">
        <f ca="1">VLOOKUP($B141,DATOSAÑO!$B$11:$BP$375,55)</f>
        <v>0</v>
      </c>
      <c r="Z141" s="216">
        <f ca="1">VLOOKUP($B141,DATOSAÑO!$B$11:$AM$375,29)</f>
        <v>0</v>
      </c>
      <c r="AA141" s="216">
        <f ca="1">VLOOKUP($B141,DATOSAÑO!$B$11:$AM$375,31)</f>
        <v>0</v>
      </c>
      <c r="AB141" s="216">
        <f ca="1">VLOOKUP($B141,DATOSAÑO!$B$11:$AM$375,33)</f>
        <v>0</v>
      </c>
      <c r="AC141" s="216">
        <f ca="1">VLOOKUP($B141,DATOSAÑO!$B$11:$AM$375,34)</f>
        <v>0</v>
      </c>
      <c r="AD141" s="216">
        <f ca="1">VLOOKUP($B141,DATOSAÑO!$B$11:$AM$375,35)</f>
        <v>0</v>
      </c>
      <c r="AE141" s="216">
        <f ca="1">VLOOKUP($B141,DATOSAÑO!$B$11:$AM$375,36)</f>
        <v>0</v>
      </c>
      <c r="AF141" s="216">
        <f ca="1">VLOOKUP($B141,DATOSAÑO!$B$11:$AM$375,37)</f>
        <v>0</v>
      </c>
      <c r="AG141" s="216">
        <f ca="1">VLOOKUP($B141,DATOSAÑO!$B$11:$AM$375,38)</f>
        <v>0</v>
      </c>
      <c r="AH141" s="216">
        <f ca="1">VLOOKUP($B141,DATOSAÑO!$B$11:$AN$375,39)</f>
        <v>0</v>
      </c>
      <c r="AI141" s="216">
        <f ca="1">VLOOKUP($B141,DATOSAÑO!$B$11:$BS$375,70)</f>
        <v>0</v>
      </c>
      <c r="AJ141" s="216">
        <f ca="1">VLOOKUP($B141,DATOSAÑO!$B$11:$BV$375,73)</f>
        <v>0</v>
      </c>
      <c r="AK141" s="216">
        <f ca="1">VLOOKUP($B141,DATOSAÑO!$B$11:$BY$375,76)</f>
        <v>0</v>
      </c>
      <c r="AL141" s="216">
        <f ca="1">VLOOKUP($B141,DATOSAÑO!$B$11:$CL$375,89)</f>
        <v>0</v>
      </c>
    </row>
    <row r="142" spans="1:38">
      <c r="B142" s="413">
        <f t="shared" si="16"/>
        <v>45094</v>
      </c>
      <c r="C142" s="216">
        <f ca="1">VLOOKUP($B142,DATOSAÑO!$B$11:$AR$375,8)</f>
        <v>0</v>
      </c>
      <c r="D142" s="216">
        <f ca="1">VLOOKUP($B142,DATOSAÑO!$B$11:$AR$375,40)</f>
        <v>0</v>
      </c>
      <c r="E142" s="216">
        <f ca="1">VLOOKUP($B142,DATOSAÑO!$B$11:$AR$375,3)</f>
        <v>0</v>
      </c>
      <c r="F142" s="216">
        <f t="shared" ca="1" si="9"/>
        <v>0</v>
      </c>
      <c r="G142" s="410">
        <f t="shared" ca="1" si="10"/>
        <v>0</v>
      </c>
      <c r="H142" s="216">
        <f ca="1">VLOOKUP($B142,DATOSAÑO!$B$11:$AR$375,6)</f>
        <v>0</v>
      </c>
      <c r="I142" s="216">
        <f ca="1">VLOOKUP($B142,DATOSAÑO!$B$11:$AR$375,15)</f>
        <v>0</v>
      </c>
      <c r="J142" s="216">
        <f ca="1">VLOOKUP($B142,DATOSAÑO!$B$11:$AR$375,41)</f>
        <v>0</v>
      </c>
      <c r="K142" s="216">
        <f ca="1">VLOOKUP($B142,DATOSAÑO!$B$11:$AR$375,10)</f>
        <v>0</v>
      </c>
      <c r="L142" s="216">
        <f t="shared" ca="1" si="11"/>
        <v>0</v>
      </c>
      <c r="M142" s="410">
        <f t="shared" ca="1" si="12"/>
        <v>0</v>
      </c>
      <c r="N142" s="216">
        <f ca="1">VLOOKUP($B142,DATOSAÑO!$B$11:$AR$375,13)</f>
        <v>0</v>
      </c>
      <c r="O142" s="216">
        <f t="shared" ca="1" si="13"/>
        <v>0</v>
      </c>
      <c r="P142" s="216">
        <f t="shared" ca="1" si="14"/>
        <v>0</v>
      </c>
      <c r="Q142" s="216">
        <f t="shared" ca="1" si="15"/>
        <v>0</v>
      </c>
      <c r="R142" s="216">
        <f ca="1">VLOOKUP($B142,DATOSAÑO!$B$11:$AR$375,16)</f>
        <v>0</v>
      </c>
      <c r="S142" s="216">
        <f ca="1">VLOOKUP($B142,DATOSAÑO!$B$11:$AR$375,43)</f>
        <v>0</v>
      </c>
      <c r="T142" s="216">
        <f ca="1">VLOOKUP($B142,DATOSAÑO!$B$11:$AR$375,17)</f>
        <v>0</v>
      </c>
      <c r="U142" s="216">
        <f ca="1">VLOOKUP($B142,DATOSAÑO!$B$11:$AR$375,19)</f>
        <v>0</v>
      </c>
      <c r="V142" s="216">
        <f ca="1">VLOOKUP($B142,DATOSAÑO!$B$11:$AR$375,43)</f>
        <v>0</v>
      </c>
      <c r="W142" s="216">
        <f ca="1">VLOOKUP($B142,DATOSAÑO!$B$11:$AR$375,20)</f>
        <v>0</v>
      </c>
      <c r="X142" s="216">
        <f ca="1">VLOOKUP($B142,DATOSAÑO!$B$11:$AR$375,24)</f>
        <v>0</v>
      </c>
      <c r="Y142" s="216">
        <f ca="1">VLOOKUP($B142,DATOSAÑO!$B$11:$BP$375,55)</f>
        <v>0</v>
      </c>
      <c r="Z142" s="216">
        <f ca="1">VLOOKUP($B142,DATOSAÑO!$B$11:$AM$375,29)</f>
        <v>0</v>
      </c>
      <c r="AA142" s="216">
        <f ca="1">VLOOKUP($B142,DATOSAÑO!$B$11:$AM$375,31)</f>
        <v>0</v>
      </c>
      <c r="AB142" s="216">
        <f ca="1">VLOOKUP($B142,DATOSAÑO!$B$11:$AM$375,33)</f>
        <v>0</v>
      </c>
      <c r="AC142" s="216">
        <f ca="1">VLOOKUP($B142,DATOSAÑO!$B$11:$AM$375,34)</f>
        <v>0</v>
      </c>
      <c r="AD142" s="216">
        <f ca="1">VLOOKUP($B142,DATOSAÑO!$B$11:$AM$375,35)</f>
        <v>0</v>
      </c>
      <c r="AE142" s="216">
        <f ca="1">VLOOKUP($B142,DATOSAÑO!$B$11:$AM$375,36)</f>
        <v>0</v>
      </c>
      <c r="AF142" s="216">
        <f ca="1">VLOOKUP($B142,DATOSAÑO!$B$11:$AM$375,37)</f>
        <v>0</v>
      </c>
      <c r="AG142" s="216">
        <f ca="1">VLOOKUP($B142,DATOSAÑO!$B$11:$AM$375,38)</f>
        <v>0</v>
      </c>
      <c r="AH142" s="216">
        <f ca="1">VLOOKUP($B142,DATOSAÑO!$B$11:$AN$375,39)</f>
        <v>0</v>
      </c>
      <c r="AI142" s="216">
        <f ca="1">VLOOKUP($B142,DATOSAÑO!$B$11:$BS$375,70)</f>
        <v>0</v>
      </c>
      <c r="AJ142" s="216">
        <f ca="1">VLOOKUP($B142,DATOSAÑO!$B$11:$BV$375,73)</f>
        <v>0</v>
      </c>
      <c r="AK142" s="216">
        <f ca="1">VLOOKUP($B142,DATOSAÑO!$B$11:$BY$375,76)</f>
        <v>0</v>
      </c>
      <c r="AL142" s="216">
        <f ca="1">VLOOKUP($B142,DATOSAÑO!$B$11:$CL$375,89)</f>
        <v>0</v>
      </c>
    </row>
    <row r="143" spans="1:38">
      <c r="B143" s="413">
        <f t="shared" si="16"/>
        <v>45095</v>
      </c>
      <c r="C143" s="216">
        <f ca="1">VLOOKUP($B143,DATOSAÑO!$B$11:$AR$375,8)</f>
        <v>0</v>
      </c>
      <c r="D143" s="216">
        <f ca="1">VLOOKUP($B143,DATOSAÑO!$B$11:$AR$375,40)</f>
        <v>0</v>
      </c>
      <c r="E143" s="216">
        <f ca="1">VLOOKUP($B143,DATOSAÑO!$B$11:$AR$375,3)</f>
        <v>0</v>
      </c>
      <c r="F143" s="216">
        <f t="shared" ca="1" si="9"/>
        <v>0</v>
      </c>
      <c r="G143" s="410">
        <f t="shared" ca="1" si="10"/>
        <v>0</v>
      </c>
      <c r="H143" s="216">
        <f ca="1">VLOOKUP($B143,DATOSAÑO!$B$11:$AR$375,6)</f>
        <v>0</v>
      </c>
      <c r="I143" s="216">
        <f ca="1">VLOOKUP($B143,DATOSAÑO!$B$11:$AR$375,15)</f>
        <v>0</v>
      </c>
      <c r="J143" s="216">
        <f ca="1">VLOOKUP($B143,DATOSAÑO!$B$11:$AR$375,41)</f>
        <v>0</v>
      </c>
      <c r="K143" s="216">
        <f ca="1">VLOOKUP($B143,DATOSAÑO!$B$11:$AR$375,10)</f>
        <v>0</v>
      </c>
      <c r="L143" s="216">
        <f t="shared" ca="1" si="11"/>
        <v>0</v>
      </c>
      <c r="M143" s="410">
        <f t="shared" ca="1" si="12"/>
        <v>0</v>
      </c>
      <c r="N143" s="216">
        <f ca="1">VLOOKUP($B143,DATOSAÑO!$B$11:$AR$375,13)</f>
        <v>0</v>
      </c>
      <c r="O143" s="216">
        <f t="shared" ca="1" si="13"/>
        <v>0</v>
      </c>
      <c r="P143" s="216">
        <f t="shared" ca="1" si="14"/>
        <v>0</v>
      </c>
      <c r="Q143" s="216">
        <f t="shared" ca="1" si="15"/>
        <v>0</v>
      </c>
      <c r="R143" s="216">
        <f ca="1">VLOOKUP($B143,DATOSAÑO!$B$11:$AR$375,16)</f>
        <v>0</v>
      </c>
      <c r="S143" s="216">
        <f ca="1">VLOOKUP($B143,DATOSAÑO!$B$11:$AR$375,43)</f>
        <v>0</v>
      </c>
      <c r="T143" s="216">
        <f ca="1">VLOOKUP($B143,DATOSAÑO!$B$11:$AR$375,17)</f>
        <v>0</v>
      </c>
      <c r="U143" s="216">
        <f ca="1">VLOOKUP($B143,DATOSAÑO!$B$11:$AR$375,19)</f>
        <v>0</v>
      </c>
      <c r="V143" s="216">
        <f ca="1">VLOOKUP($B143,DATOSAÑO!$B$11:$AR$375,43)</f>
        <v>0</v>
      </c>
      <c r="W143" s="216">
        <f ca="1">VLOOKUP($B143,DATOSAÑO!$B$11:$AR$375,20)</f>
        <v>0</v>
      </c>
      <c r="X143" s="216">
        <f ca="1">VLOOKUP($B143,DATOSAÑO!$B$11:$AR$375,24)</f>
        <v>0</v>
      </c>
      <c r="Y143" s="216">
        <f ca="1">VLOOKUP($B143,DATOSAÑO!$B$11:$BP$375,55)</f>
        <v>0</v>
      </c>
      <c r="Z143" s="216">
        <f ca="1">VLOOKUP($B143,DATOSAÑO!$B$11:$AM$375,29)</f>
        <v>0</v>
      </c>
      <c r="AA143" s="216">
        <f ca="1">VLOOKUP($B143,DATOSAÑO!$B$11:$AM$375,31)</f>
        <v>0</v>
      </c>
      <c r="AB143" s="216">
        <f ca="1">VLOOKUP($B143,DATOSAÑO!$B$11:$AM$375,33)</f>
        <v>0</v>
      </c>
      <c r="AC143" s="216">
        <f ca="1">VLOOKUP($B143,DATOSAÑO!$B$11:$AM$375,34)</f>
        <v>0</v>
      </c>
      <c r="AD143" s="216">
        <f ca="1">VLOOKUP($B143,DATOSAÑO!$B$11:$AM$375,35)</f>
        <v>0</v>
      </c>
      <c r="AE143" s="216">
        <f ca="1">VLOOKUP($B143,DATOSAÑO!$B$11:$AM$375,36)</f>
        <v>0</v>
      </c>
      <c r="AF143" s="216">
        <f ca="1">VLOOKUP($B143,DATOSAÑO!$B$11:$AM$375,37)</f>
        <v>0</v>
      </c>
      <c r="AG143" s="216">
        <f ca="1">VLOOKUP($B143,DATOSAÑO!$B$11:$AM$375,38)</f>
        <v>0</v>
      </c>
      <c r="AH143" s="216">
        <f ca="1">VLOOKUP($B143,DATOSAÑO!$B$11:$AN$375,39)</f>
        <v>0</v>
      </c>
      <c r="AI143" s="216">
        <f ca="1">VLOOKUP($B143,DATOSAÑO!$B$11:$BS$375,70)</f>
        <v>0</v>
      </c>
      <c r="AJ143" s="216">
        <f ca="1">VLOOKUP($B143,DATOSAÑO!$B$11:$BV$375,73)</f>
        <v>0</v>
      </c>
      <c r="AK143" s="216">
        <f ca="1">VLOOKUP($B143,DATOSAÑO!$B$11:$BY$375,76)</f>
        <v>0</v>
      </c>
      <c r="AL143" s="216">
        <f ca="1">VLOOKUP($B143,DATOSAÑO!$B$11:$CL$375,89)</f>
        <v>0</v>
      </c>
    </row>
    <row r="144" spans="1:38">
      <c r="B144" s="413">
        <f t="shared" si="16"/>
        <v>45096</v>
      </c>
      <c r="C144" s="216">
        <f ca="1">VLOOKUP($B144,DATOSAÑO!$B$11:$AR$375,8)</f>
        <v>0</v>
      </c>
      <c r="D144" s="216">
        <f ca="1">VLOOKUP($B144,DATOSAÑO!$B$11:$AR$375,40)</f>
        <v>0</v>
      </c>
      <c r="E144" s="216">
        <f ca="1">VLOOKUP($B144,DATOSAÑO!$B$11:$AR$375,3)</f>
        <v>0</v>
      </c>
      <c r="F144" s="216">
        <f t="shared" ca="1" si="9"/>
        <v>0</v>
      </c>
      <c r="G144" s="410">
        <f t="shared" ca="1" si="10"/>
        <v>0</v>
      </c>
      <c r="H144" s="216">
        <f ca="1">VLOOKUP($B144,DATOSAÑO!$B$11:$AR$375,6)</f>
        <v>0</v>
      </c>
      <c r="I144" s="216">
        <f ca="1">VLOOKUP($B144,DATOSAÑO!$B$11:$AR$375,15)</f>
        <v>0</v>
      </c>
      <c r="J144" s="216">
        <f ca="1">VLOOKUP($B144,DATOSAÑO!$B$11:$AR$375,41)</f>
        <v>0</v>
      </c>
      <c r="K144" s="216">
        <f ca="1">VLOOKUP($B144,DATOSAÑO!$B$11:$AR$375,10)</f>
        <v>0</v>
      </c>
      <c r="L144" s="216">
        <f t="shared" ca="1" si="11"/>
        <v>0</v>
      </c>
      <c r="M144" s="410">
        <f t="shared" ca="1" si="12"/>
        <v>0</v>
      </c>
      <c r="N144" s="216">
        <f ca="1">VLOOKUP($B144,DATOSAÑO!$B$11:$AR$375,13)</f>
        <v>0</v>
      </c>
      <c r="O144" s="216">
        <f t="shared" ca="1" si="13"/>
        <v>0</v>
      </c>
      <c r="P144" s="216">
        <f t="shared" ca="1" si="14"/>
        <v>0</v>
      </c>
      <c r="Q144" s="216">
        <f t="shared" ca="1" si="15"/>
        <v>0</v>
      </c>
      <c r="R144" s="216">
        <f ca="1">VLOOKUP($B144,DATOSAÑO!$B$11:$AR$375,16)</f>
        <v>0</v>
      </c>
      <c r="S144" s="216">
        <f ca="1">VLOOKUP($B144,DATOSAÑO!$B$11:$AR$375,43)</f>
        <v>0</v>
      </c>
      <c r="T144" s="216">
        <f ca="1">VLOOKUP($B144,DATOSAÑO!$B$11:$AR$375,17)</f>
        <v>0</v>
      </c>
      <c r="U144" s="216">
        <f ca="1">VLOOKUP($B144,DATOSAÑO!$B$11:$AR$375,19)</f>
        <v>0</v>
      </c>
      <c r="V144" s="216">
        <f ca="1">VLOOKUP($B144,DATOSAÑO!$B$11:$AR$375,43)</f>
        <v>0</v>
      </c>
      <c r="W144" s="216">
        <f ca="1">VLOOKUP($B144,DATOSAÑO!$B$11:$AR$375,20)</f>
        <v>0</v>
      </c>
      <c r="X144" s="216">
        <f ca="1">VLOOKUP($B144,DATOSAÑO!$B$11:$AR$375,24)</f>
        <v>0</v>
      </c>
      <c r="Y144" s="216">
        <f ca="1">VLOOKUP($B144,DATOSAÑO!$B$11:$BP$375,55)</f>
        <v>0</v>
      </c>
      <c r="Z144" s="216">
        <f ca="1">VLOOKUP($B144,DATOSAÑO!$B$11:$AM$375,29)</f>
        <v>0</v>
      </c>
      <c r="AA144" s="216">
        <f ca="1">VLOOKUP($B144,DATOSAÑO!$B$11:$AM$375,31)</f>
        <v>0</v>
      </c>
      <c r="AB144" s="216">
        <f ca="1">VLOOKUP($B144,DATOSAÑO!$B$11:$AM$375,33)</f>
        <v>0</v>
      </c>
      <c r="AC144" s="216">
        <f ca="1">VLOOKUP($B144,DATOSAÑO!$B$11:$AM$375,34)</f>
        <v>0</v>
      </c>
      <c r="AD144" s="216">
        <f ca="1">VLOOKUP($B144,DATOSAÑO!$B$11:$AM$375,35)</f>
        <v>0</v>
      </c>
      <c r="AE144" s="216">
        <f ca="1">VLOOKUP($B144,DATOSAÑO!$B$11:$AM$375,36)</f>
        <v>0</v>
      </c>
      <c r="AF144" s="216">
        <f ca="1">VLOOKUP($B144,DATOSAÑO!$B$11:$AM$375,37)</f>
        <v>0</v>
      </c>
      <c r="AG144" s="216">
        <f ca="1">VLOOKUP($B144,DATOSAÑO!$B$11:$AM$375,38)</f>
        <v>0</v>
      </c>
      <c r="AH144" s="216">
        <f ca="1">VLOOKUP($B144,DATOSAÑO!$B$11:$AN$375,39)</f>
        <v>0</v>
      </c>
      <c r="AI144" s="216">
        <f ca="1">VLOOKUP($B144,DATOSAÑO!$B$11:$BS$375,70)</f>
        <v>0</v>
      </c>
      <c r="AJ144" s="216">
        <f ca="1">VLOOKUP($B144,DATOSAÑO!$B$11:$BV$375,73)</f>
        <v>0</v>
      </c>
      <c r="AK144" s="216">
        <f ca="1">VLOOKUP($B144,DATOSAÑO!$B$11:$BY$375,76)</f>
        <v>0</v>
      </c>
      <c r="AL144" s="216">
        <f ca="1">VLOOKUP($B144,DATOSAÑO!$B$11:$CL$375,89)</f>
        <v>0</v>
      </c>
    </row>
    <row r="145" spans="2:39">
      <c r="B145" s="413">
        <f t="shared" si="16"/>
        <v>45097</v>
      </c>
      <c r="C145" s="216">
        <f ca="1">VLOOKUP($B145,DATOSAÑO!$B$11:$AR$375,8)</f>
        <v>0</v>
      </c>
      <c r="D145" s="216">
        <f ca="1">VLOOKUP($B145,DATOSAÑO!$B$11:$AR$375,40)</f>
        <v>0</v>
      </c>
      <c r="E145" s="216">
        <f ca="1">VLOOKUP($B145,DATOSAÑO!$B$11:$AR$375,3)</f>
        <v>0</v>
      </c>
      <c r="F145" s="216">
        <f t="shared" ca="1" si="9"/>
        <v>0</v>
      </c>
      <c r="G145" s="410">
        <f t="shared" ca="1" si="10"/>
        <v>0</v>
      </c>
      <c r="H145" s="216">
        <f ca="1">VLOOKUP($B145,DATOSAÑO!$B$11:$AR$375,6)</f>
        <v>0</v>
      </c>
      <c r="I145" s="216">
        <f ca="1">VLOOKUP($B145,DATOSAÑO!$B$11:$AR$375,15)</f>
        <v>0</v>
      </c>
      <c r="J145" s="216">
        <f ca="1">VLOOKUP($B145,DATOSAÑO!$B$11:$AR$375,41)</f>
        <v>0</v>
      </c>
      <c r="K145" s="216">
        <f ca="1">VLOOKUP($B145,DATOSAÑO!$B$11:$AR$375,10)</f>
        <v>0</v>
      </c>
      <c r="L145" s="216">
        <f t="shared" ca="1" si="11"/>
        <v>0</v>
      </c>
      <c r="M145" s="410">
        <f t="shared" ca="1" si="12"/>
        <v>0</v>
      </c>
      <c r="N145" s="216">
        <f ca="1">VLOOKUP($B145,DATOSAÑO!$B$11:$AR$375,13)</f>
        <v>0</v>
      </c>
      <c r="O145" s="216">
        <f t="shared" ca="1" si="13"/>
        <v>0</v>
      </c>
      <c r="P145" s="216">
        <f t="shared" ca="1" si="14"/>
        <v>0</v>
      </c>
      <c r="Q145" s="216">
        <f t="shared" ca="1" si="15"/>
        <v>0</v>
      </c>
      <c r="R145" s="216">
        <f ca="1">VLOOKUP($B145,DATOSAÑO!$B$11:$AR$375,16)</f>
        <v>0</v>
      </c>
      <c r="S145" s="216">
        <f ca="1">VLOOKUP($B145,DATOSAÑO!$B$11:$AR$375,43)</f>
        <v>0</v>
      </c>
      <c r="T145" s="216">
        <f ca="1">VLOOKUP($B145,DATOSAÑO!$B$11:$AR$375,17)</f>
        <v>0</v>
      </c>
      <c r="U145" s="216">
        <f ca="1">VLOOKUP($B145,DATOSAÑO!$B$11:$AR$375,19)</f>
        <v>0</v>
      </c>
      <c r="V145" s="216">
        <f ca="1">VLOOKUP($B145,DATOSAÑO!$B$11:$AR$375,43)</f>
        <v>0</v>
      </c>
      <c r="W145" s="216">
        <f ca="1">VLOOKUP($B145,DATOSAÑO!$B$11:$AR$375,20)</f>
        <v>0</v>
      </c>
      <c r="X145" s="216">
        <f ca="1">VLOOKUP($B145,DATOSAÑO!$B$11:$AR$375,24)</f>
        <v>0</v>
      </c>
      <c r="Y145" s="216">
        <f ca="1">VLOOKUP($B145,DATOSAÑO!$B$11:$BP$375,55)</f>
        <v>0</v>
      </c>
      <c r="Z145" s="216">
        <f ca="1">VLOOKUP($B145,DATOSAÑO!$B$11:$AM$375,29)</f>
        <v>0</v>
      </c>
      <c r="AA145" s="216">
        <f ca="1">VLOOKUP($B145,DATOSAÑO!$B$11:$AM$375,31)</f>
        <v>0</v>
      </c>
      <c r="AB145" s="216">
        <f ca="1">VLOOKUP($B145,DATOSAÑO!$B$11:$AM$375,33)</f>
        <v>0</v>
      </c>
      <c r="AC145" s="216">
        <f ca="1">VLOOKUP($B145,DATOSAÑO!$B$11:$AM$375,34)</f>
        <v>0</v>
      </c>
      <c r="AD145" s="216">
        <f ca="1">VLOOKUP($B145,DATOSAÑO!$B$11:$AM$375,35)</f>
        <v>0</v>
      </c>
      <c r="AE145" s="216">
        <f ca="1">VLOOKUP($B145,DATOSAÑO!$B$11:$AM$375,36)</f>
        <v>0</v>
      </c>
      <c r="AF145" s="216">
        <f ca="1">VLOOKUP($B145,DATOSAÑO!$B$11:$AM$375,37)</f>
        <v>0</v>
      </c>
      <c r="AG145" s="216">
        <f ca="1">VLOOKUP($B145,DATOSAÑO!$B$11:$AM$375,38)</f>
        <v>0</v>
      </c>
      <c r="AH145" s="216">
        <f ca="1">VLOOKUP($B145,DATOSAÑO!$B$11:$AN$375,39)</f>
        <v>0</v>
      </c>
      <c r="AI145" s="216">
        <f ca="1">VLOOKUP($B145,DATOSAÑO!$B$11:$BS$375,70)</f>
        <v>0</v>
      </c>
      <c r="AJ145" s="216">
        <f ca="1">VLOOKUP($B145,DATOSAÑO!$B$11:$BV$375,73)</f>
        <v>0</v>
      </c>
      <c r="AK145" s="216">
        <f ca="1">VLOOKUP($B145,DATOSAÑO!$B$11:$BY$375,76)</f>
        <v>0</v>
      </c>
      <c r="AL145" s="216">
        <f ca="1">VLOOKUP($B145,DATOSAÑO!$B$11:$CL$375,89)</f>
        <v>0</v>
      </c>
    </row>
    <row r="146" spans="2:39">
      <c r="B146" s="413">
        <f t="shared" si="16"/>
        <v>45098</v>
      </c>
      <c r="C146" s="216">
        <f ca="1">VLOOKUP($B146,DATOSAÑO!$B$11:$AR$375,8)</f>
        <v>0</v>
      </c>
      <c r="D146" s="216">
        <f ca="1">VLOOKUP($B146,DATOSAÑO!$B$11:$AR$375,40)</f>
        <v>0</v>
      </c>
      <c r="E146" s="216">
        <f ca="1">VLOOKUP($B146,DATOSAÑO!$B$11:$AR$375,3)</f>
        <v>0</v>
      </c>
      <c r="F146" s="216">
        <f t="shared" ca="1" si="9"/>
        <v>0</v>
      </c>
      <c r="G146" s="410">
        <f t="shared" ca="1" si="10"/>
        <v>0</v>
      </c>
      <c r="H146" s="216">
        <f ca="1">VLOOKUP($B146,DATOSAÑO!$B$11:$AR$375,6)</f>
        <v>0</v>
      </c>
      <c r="I146" s="216">
        <f ca="1">VLOOKUP($B146,DATOSAÑO!$B$11:$AR$375,15)</f>
        <v>0</v>
      </c>
      <c r="J146" s="216">
        <f ca="1">VLOOKUP($B146,DATOSAÑO!$B$11:$AR$375,41)</f>
        <v>0</v>
      </c>
      <c r="K146" s="216">
        <f ca="1">VLOOKUP($B146,DATOSAÑO!$B$11:$AR$375,10)</f>
        <v>0</v>
      </c>
      <c r="L146" s="216">
        <f t="shared" ca="1" si="11"/>
        <v>0</v>
      </c>
      <c r="M146" s="410">
        <f t="shared" ca="1" si="12"/>
        <v>0</v>
      </c>
      <c r="N146" s="216">
        <f ca="1">VLOOKUP($B146,DATOSAÑO!$B$11:$AR$375,13)</f>
        <v>0</v>
      </c>
      <c r="O146" s="216">
        <f t="shared" ca="1" si="13"/>
        <v>0</v>
      </c>
      <c r="P146" s="216">
        <f t="shared" ca="1" si="14"/>
        <v>0</v>
      </c>
      <c r="Q146" s="216">
        <f t="shared" ca="1" si="15"/>
        <v>0</v>
      </c>
      <c r="R146" s="216">
        <f ca="1">VLOOKUP($B146,DATOSAÑO!$B$11:$AR$375,16)</f>
        <v>0</v>
      </c>
      <c r="S146" s="216">
        <f ca="1">VLOOKUP($B146,DATOSAÑO!$B$11:$AR$375,43)</f>
        <v>0</v>
      </c>
      <c r="T146" s="216">
        <f ca="1">VLOOKUP($B146,DATOSAÑO!$B$11:$AR$375,17)</f>
        <v>0</v>
      </c>
      <c r="U146" s="216">
        <f ca="1">VLOOKUP($B146,DATOSAÑO!$B$11:$AR$375,19)</f>
        <v>0</v>
      </c>
      <c r="V146" s="216">
        <f ca="1">VLOOKUP($B146,DATOSAÑO!$B$11:$AR$375,43)</f>
        <v>0</v>
      </c>
      <c r="W146" s="216">
        <f ca="1">VLOOKUP($B146,DATOSAÑO!$B$11:$AR$375,20)</f>
        <v>0</v>
      </c>
      <c r="X146" s="216">
        <f ca="1">VLOOKUP($B146,DATOSAÑO!$B$11:$AR$375,24)</f>
        <v>0</v>
      </c>
      <c r="Y146" s="216">
        <f ca="1">VLOOKUP($B146,DATOSAÑO!$B$11:$BP$375,55)</f>
        <v>0</v>
      </c>
      <c r="Z146" s="216">
        <f ca="1">VLOOKUP($B146,DATOSAÑO!$B$11:$AM$375,29)</f>
        <v>0</v>
      </c>
      <c r="AA146" s="216">
        <f ca="1">VLOOKUP($B146,DATOSAÑO!$B$11:$AM$375,31)</f>
        <v>0</v>
      </c>
      <c r="AB146" s="216">
        <f ca="1">VLOOKUP($B146,DATOSAÑO!$B$11:$AM$375,33)</f>
        <v>0</v>
      </c>
      <c r="AC146" s="216">
        <f ca="1">VLOOKUP($B146,DATOSAÑO!$B$11:$AM$375,34)</f>
        <v>0</v>
      </c>
      <c r="AD146" s="216">
        <f ca="1">VLOOKUP($B146,DATOSAÑO!$B$11:$AM$375,35)</f>
        <v>0</v>
      </c>
      <c r="AE146" s="216">
        <f ca="1">VLOOKUP($B146,DATOSAÑO!$B$11:$AM$375,36)</f>
        <v>0</v>
      </c>
      <c r="AF146" s="216">
        <f ca="1">VLOOKUP($B146,DATOSAÑO!$B$11:$AM$375,37)</f>
        <v>0</v>
      </c>
      <c r="AG146" s="216">
        <f ca="1">VLOOKUP($B146,DATOSAÑO!$B$11:$AM$375,38)</f>
        <v>0</v>
      </c>
      <c r="AH146" s="216">
        <f ca="1">VLOOKUP($B146,DATOSAÑO!$B$11:$AN$375,39)</f>
        <v>0</v>
      </c>
      <c r="AI146" s="216">
        <f ca="1">VLOOKUP($B146,DATOSAÑO!$B$11:$BS$375,70)</f>
        <v>0</v>
      </c>
      <c r="AJ146" s="216">
        <f ca="1">VLOOKUP($B146,DATOSAÑO!$B$11:$BV$375,73)</f>
        <v>0</v>
      </c>
      <c r="AK146" s="216">
        <f ca="1">VLOOKUP($B146,DATOSAÑO!$B$11:$BY$375,76)</f>
        <v>0</v>
      </c>
      <c r="AL146" s="216">
        <f ca="1">VLOOKUP($B146,DATOSAÑO!$B$11:$CL$375,89)</f>
        <v>0</v>
      </c>
    </row>
    <row r="147" spans="2:39">
      <c r="B147" s="413">
        <f t="shared" si="16"/>
        <v>45099</v>
      </c>
      <c r="C147" s="216">
        <f ca="1">VLOOKUP($B147,DATOSAÑO!$B$11:$AR$375,8)</f>
        <v>0</v>
      </c>
      <c r="D147" s="216">
        <f ca="1">VLOOKUP($B147,DATOSAÑO!$B$11:$AR$375,40)</f>
        <v>0</v>
      </c>
      <c r="E147" s="216">
        <f ca="1">VLOOKUP($B147,DATOSAÑO!$B$11:$AR$375,3)</f>
        <v>0</v>
      </c>
      <c r="F147" s="216">
        <f t="shared" ca="1" si="9"/>
        <v>0</v>
      </c>
      <c r="G147" s="410">
        <f t="shared" ca="1" si="10"/>
        <v>0</v>
      </c>
      <c r="H147" s="216">
        <f ca="1">VLOOKUP($B147,DATOSAÑO!$B$11:$AR$375,6)</f>
        <v>0</v>
      </c>
      <c r="I147" s="216">
        <f ca="1">VLOOKUP($B147,DATOSAÑO!$B$11:$AR$375,15)</f>
        <v>0</v>
      </c>
      <c r="J147" s="216">
        <f ca="1">VLOOKUP($B147,DATOSAÑO!$B$11:$AR$375,41)</f>
        <v>0</v>
      </c>
      <c r="K147" s="216">
        <f ca="1">VLOOKUP($B147,DATOSAÑO!$B$11:$AR$375,10)</f>
        <v>0</v>
      </c>
      <c r="L147" s="216">
        <f t="shared" ca="1" si="11"/>
        <v>0</v>
      </c>
      <c r="M147" s="410">
        <f t="shared" ca="1" si="12"/>
        <v>0</v>
      </c>
      <c r="N147" s="216">
        <f ca="1">VLOOKUP($B147,DATOSAÑO!$B$11:$AR$375,13)</f>
        <v>0</v>
      </c>
      <c r="O147" s="216">
        <f t="shared" ca="1" si="13"/>
        <v>0</v>
      </c>
      <c r="P147" s="216">
        <f t="shared" ca="1" si="14"/>
        <v>0</v>
      </c>
      <c r="Q147" s="216">
        <f t="shared" ca="1" si="15"/>
        <v>0</v>
      </c>
      <c r="R147" s="216">
        <f ca="1">VLOOKUP($B147,DATOSAÑO!$B$11:$AR$375,16)</f>
        <v>0</v>
      </c>
      <c r="S147" s="216">
        <f ca="1">VLOOKUP($B147,DATOSAÑO!$B$11:$AR$375,43)</f>
        <v>0</v>
      </c>
      <c r="T147" s="216">
        <f ca="1">VLOOKUP($B147,DATOSAÑO!$B$11:$AR$375,17)</f>
        <v>0</v>
      </c>
      <c r="U147" s="216">
        <f ca="1">VLOOKUP($B147,DATOSAÑO!$B$11:$AR$375,19)</f>
        <v>0</v>
      </c>
      <c r="V147" s="216">
        <f ca="1">VLOOKUP($B147,DATOSAÑO!$B$11:$AR$375,43)</f>
        <v>0</v>
      </c>
      <c r="W147" s="216">
        <f ca="1">VLOOKUP($B147,DATOSAÑO!$B$11:$AR$375,20)</f>
        <v>0</v>
      </c>
      <c r="X147" s="216">
        <f ca="1">VLOOKUP($B147,DATOSAÑO!$B$11:$AR$375,24)</f>
        <v>0</v>
      </c>
      <c r="Y147" s="216">
        <f ca="1">VLOOKUP($B147,DATOSAÑO!$B$11:$BP$375,55)</f>
        <v>0</v>
      </c>
      <c r="Z147" s="216">
        <f ca="1">VLOOKUP($B147,DATOSAÑO!$B$11:$AM$375,29)</f>
        <v>0</v>
      </c>
      <c r="AA147" s="216">
        <f ca="1">VLOOKUP($B147,DATOSAÑO!$B$11:$AM$375,31)</f>
        <v>0</v>
      </c>
      <c r="AB147" s="216">
        <f ca="1">VLOOKUP($B147,DATOSAÑO!$B$11:$AM$375,33)</f>
        <v>0</v>
      </c>
      <c r="AC147" s="216">
        <f ca="1">VLOOKUP($B147,DATOSAÑO!$B$11:$AM$375,34)</f>
        <v>0</v>
      </c>
      <c r="AD147" s="216">
        <f ca="1">VLOOKUP($B147,DATOSAÑO!$B$11:$AM$375,35)</f>
        <v>0</v>
      </c>
      <c r="AE147" s="216">
        <f ca="1">VLOOKUP($B147,DATOSAÑO!$B$11:$AM$375,36)</f>
        <v>0</v>
      </c>
      <c r="AF147" s="216">
        <f ca="1">VLOOKUP($B147,DATOSAÑO!$B$11:$AM$375,37)</f>
        <v>0</v>
      </c>
      <c r="AG147" s="216">
        <f ca="1">VLOOKUP($B147,DATOSAÑO!$B$11:$AM$375,38)</f>
        <v>0</v>
      </c>
      <c r="AH147" s="216">
        <f ca="1">VLOOKUP($B147,DATOSAÑO!$B$11:$AN$375,39)</f>
        <v>0</v>
      </c>
      <c r="AI147" s="216">
        <f ca="1">VLOOKUP($B147,DATOSAÑO!$B$11:$BS$375,70)</f>
        <v>0</v>
      </c>
      <c r="AJ147" s="216">
        <f ca="1">VLOOKUP($B147,DATOSAÑO!$B$11:$BV$375,73)</f>
        <v>0</v>
      </c>
      <c r="AK147" s="216">
        <f ca="1">VLOOKUP($B147,DATOSAÑO!$B$11:$BY$375,76)</f>
        <v>0</v>
      </c>
      <c r="AL147" s="216">
        <f ca="1">VLOOKUP($B147,DATOSAÑO!$B$11:$CL$375,89)</f>
        <v>0</v>
      </c>
    </row>
    <row r="148" spans="2:39">
      <c r="B148" s="413">
        <f t="shared" si="16"/>
        <v>45100</v>
      </c>
      <c r="C148" s="216">
        <f ca="1">VLOOKUP($B148,DATOSAÑO!$B$11:$AR$375,8)</f>
        <v>0</v>
      </c>
      <c r="D148" s="216">
        <f ca="1">VLOOKUP($B148,DATOSAÑO!$B$11:$AR$375,40)</f>
        <v>0</v>
      </c>
      <c r="E148" s="216">
        <f ca="1">VLOOKUP($B148,DATOSAÑO!$B$11:$AR$375,3)</f>
        <v>0</v>
      </c>
      <c r="F148" s="216">
        <f t="shared" ca="1" si="9"/>
        <v>0</v>
      </c>
      <c r="G148" s="410">
        <f t="shared" ca="1" si="10"/>
        <v>0</v>
      </c>
      <c r="H148" s="216">
        <f ca="1">VLOOKUP($B148,DATOSAÑO!$B$11:$AR$375,6)</f>
        <v>0</v>
      </c>
      <c r="I148" s="216">
        <f ca="1">VLOOKUP($B148,DATOSAÑO!$B$11:$AR$375,15)</f>
        <v>0</v>
      </c>
      <c r="J148" s="216">
        <f ca="1">VLOOKUP($B148,DATOSAÑO!$B$11:$AR$375,41)</f>
        <v>0</v>
      </c>
      <c r="K148" s="216">
        <f ca="1">VLOOKUP($B148,DATOSAÑO!$B$11:$AR$375,10)</f>
        <v>0</v>
      </c>
      <c r="L148" s="216">
        <f t="shared" ca="1" si="11"/>
        <v>0</v>
      </c>
      <c r="M148" s="410">
        <f t="shared" ca="1" si="12"/>
        <v>0</v>
      </c>
      <c r="N148" s="216">
        <f ca="1">VLOOKUP($B148,DATOSAÑO!$B$11:$AR$375,13)</f>
        <v>0</v>
      </c>
      <c r="O148" s="216">
        <f t="shared" ca="1" si="13"/>
        <v>0</v>
      </c>
      <c r="P148" s="216">
        <f t="shared" ca="1" si="14"/>
        <v>0</v>
      </c>
      <c r="Q148" s="216">
        <f t="shared" ca="1" si="15"/>
        <v>0</v>
      </c>
      <c r="R148" s="216">
        <f ca="1">VLOOKUP($B148,DATOSAÑO!$B$11:$AR$375,16)</f>
        <v>0</v>
      </c>
      <c r="S148" s="216">
        <f ca="1">VLOOKUP($B148,DATOSAÑO!$B$11:$AR$375,43)</f>
        <v>0</v>
      </c>
      <c r="T148" s="216">
        <f ca="1">VLOOKUP($B148,DATOSAÑO!$B$11:$AR$375,17)</f>
        <v>0</v>
      </c>
      <c r="U148" s="216">
        <f ca="1">VLOOKUP($B148,DATOSAÑO!$B$11:$AR$375,19)</f>
        <v>0</v>
      </c>
      <c r="V148" s="216">
        <f ca="1">VLOOKUP($B148,DATOSAÑO!$B$11:$AR$375,43)</f>
        <v>0</v>
      </c>
      <c r="W148" s="216">
        <f ca="1">VLOOKUP($B148,DATOSAÑO!$B$11:$AR$375,20)</f>
        <v>0</v>
      </c>
      <c r="X148" s="216">
        <f ca="1">VLOOKUP($B148,DATOSAÑO!$B$11:$AR$375,24)</f>
        <v>0</v>
      </c>
      <c r="Y148" s="216">
        <f ca="1">VLOOKUP($B148,DATOSAÑO!$B$11:$BP$375,55)</f>
        <v>0</v>
      </c>
      <c r="Z148" s="216">
        <f ca="1">VLOOKUP($B148,DATOSAÑO!$B$11:$AM$375,29)</f>
        <v>0</v>
      </c>
      <c r="AA148" s="216">
        <f ca="1">VLOOKUP($B148,DATOSAÑO!$B$11:$AM$375,31)</f>
        <v>0</v>
      </c>
      <c r="AB148" s="216">
        <f ca="1">VLOOKUP($B148,DATOSAÑO!$B$11:$AM$375,33)</f>
        <v>0</v>
      </c>
      <c r="AC148" s="216">
        <f ca="1">VLOOKUP($B148,DATOSAÑO!$B$11:$AM$375,34)</f>
        <v>0</v>
      </c>
      <c r="AD148" s="216">
        <f ca="1">VLOOKUP($B148,DATOSAÑO!$B$11:$AM$375,35)</f>
        <v>0</v>
      </c>
      <c r="AE148" s="216">
        <f ca="1">VLOOKUP($B148,DATOSAÑO!$B$11:$AM$375,36)</f>
        <v>0</v>
      </c>
      <c r="AF148" s="216">
        <f ca="1">VLOOKUP($B148,DATOSAÑO!$B$11:$AM$375,37)</f>
        <v>0</v>
      </c>
      <c r="AG148" s="216">
        <f ca="1">VLOOKUP($B148,DATOSAÑO!$B$11:$AM$375,38)</f>
        <v>0</v>
      </c>
      <c r="AH148" s="216">
        <f ca="1">VLOOKUP($B148,DATOSAÑO!$B$11:$AN$375,39)</f>
        <v>0</v>
      </c>
      <c r="AI148" s="216">
        <f ca="1">VLOOKUP($B148,DATOSAÑO!$B$11:$BS$375,70)</f>
        <v>0</v>
      </c>
      <c r="AJ148" s="216">
        <f ca="1">VLOOKUP($B148,DATOSAÑO!$B$11:$BV$375,73)</f>
        <v>0</v>
      </c>
      <c r="AK148" s="216">
        <f ca="1">VLOOKUP($B148,DATOSAÑO!$B$11:$BY$375,76)</f>
        <v>0</v>
      </c>
      <c r="AL148" s="216">
        <f ca="1">VLOOKUP($B148,DATOSAÑO!$B$11:$CL$375,89)</f>
        <v>0</v>
      </c>
    </row>
    <row r="149" spans="2:39">
      <c r="B149" s="413">
        <f t="shared" si="16"/>
        <v>45101</v>
      </c>
      <c r="C149" s="216">
        <f ca="1">VLOOKUP($B149,DATOSAÑO!$B$11:$AR$375,8)</f>
        <v>0</v>
      </c>
      <c r="D149" s="216">
        <f ca="1">VLOOKUP($B149,DATOSAÑO!$B$11:$AR$375,40)</f>
        <v>0</v>
      </c>
      <c r="E149" s="216">
        <f ca="1">VLOOKUP($B149,DATOSAÑO!$B$11:$AR$375,3)</f>
        <v>0</v>
      </c>
      <c r="F149" s="216">
        <f t="shared" ca="1" si="9"/>
        <v>0</v>
      </c>
      <c r="G149" s="410">
        <f t="shared" ca="1" si="10"/>
        <v>0</v>
      </c>
      <c r="H149" s="216">
        <f ca="1">VLOOKUP($B149,DATOSAÑO!$B$11:$AR$375,6)</f>
        <v>0</v>
      </c>
      <c r="I149" s="216">
        <f ca="1">VLOOKUP($B149,DATOSAÑO!$B$11:$AR$375,15)</f>
        <v>0</v>
      </c>
      <c r="J149" s="216">
        <f ca="1">VLOOKUP($B149,DATOSAÑO!$B$11:$AR$375,41)</f>
        <v>0</v>
      </c>
      <c r="K149" s="216">
        <f ca="1">VLOOKUP($B149,DATOSAÑO!$B$11:$AR$375,10)</f>
        <v>0</v>
      </c>
      <c r="L149" s="216">
        <f t="shared" ca="1" si="11"/>
        <v>0</v>
      </c>
      <c r="M149" s="410">
        <f t="shared" ca="1" si="12"/>
        <v>0</v>
      </c>
      <c r="N149" s="216">
        <f ca="1">VLOOKUP($B149,DATOSAÑO!$B$11:$AR$375,13)</f>
        <v>0</v>
      </c>
      <c r="O149" s="216">
        <f t="shared" ca="1" si="13"/>
        <v>0</v>
      </c>
      <c r="P149" s="216">
        <f t="shared" ca="1" si="14"/>
        <v>0</v>
      </c>
      <c r="Q149" s="216">
        <f t="shared" ca="1" si="15"/>
        <v>0</v>
      </c>
      <c r="R149" s="216">
        <f ca="1">VLOOKUP($B149,DATOSAÑO!$B$11:$AR$375,16)</f>
        <v>0</v>
      </c>
      <c r="S149" s="216">
        <f ca="1">VLOOKUP($B149,DATOSAÑO!$B$11:$AR$375,43)</f>
        <v>0</v>
      </c>
      <c r="T149" s="216">
        <f ca="1">VLOOKUP($B149,DATOSAÑO!$B$11:$AR$375,17)</f>
        <v>0</v>
      </c>
      <c r="U149" s="216">
        <f ca="1">VLOOKUP($B149,DATOSAÑO!$B$11:$AR$375,19)</f>
        <v>0</v>
      </c>
      <c r="V149" s="216">
        <f ca="1">VLOOKUP($B149,DATOSAÑO!$B$11:$AR$375,43)</f>
        <v>0</v>
      </c>
      <c r="W149" s="216">
        <f ca="1">VLOOKUP($B149,DATOSAÑO!$B$11:$AR$375,20)</f>
        <v>0</v>
      </c>
      <c r="X149" s="216">
        <f ca="1">VLOOKUP($B149,DATOSAÑO!$B$11:$AR$375,24)</f>
        <v>0</v>
      </c>
      <c r="Y149" s="216">
        <f ca="1">VLOOKUP($B149,DATOSAÑO!$B$11:$BP$375,55)</f>
        <v>0</v>
      </c>
      <c r="Z149" s="216">
        <f ca="1">VLOOKUP($B149,DATOSAÑO!$B$11:$AM$375,29)</f>
        <v>0</v>
      </c>
      <c r="AA149" s="216">
        <f ca="1">VLOOKUP($B149,DATOSAÑO!$B$11:$AM$375,31)</f>
        <v>0</v>
      </c>
      <c r="AB149" s="216">
        <f ca="1">VLOOKUP($B149,DATOSAÑO!$B$11:$AM$375,33)</f>
        <v>0</v>
      </c>
      <c r="AC149" s="216">
        <f ca="1">VLOOKUP($B149,DATOSAÑO!$B$11:$AM$375,34)</f>
        <v>0</v>
      </c>
      <c r="AD149" s="216">
        <f ca="1">VLOOKUP($B149,DATOSAÑO!$B$11:$AM$375,35)</f>
        <v>0</v>
      </c>
      <c r="AE149" s="216">
        <f ca="1">VLOOKUP($B149,DATOSAÑO!$B$11:$AM$375,36)</f>
        <v>0</v>
      </c>
      <c r="AF149" s="216">
        <f ca="1">VLOOKUP($B149,DATOSAÑO!$B$11:$AM$375,37)</f>
        <v>0</v>
      </c>
      <c r="AG149" s="216">
        <f ca="1">VLOOKUP($B149,DATOSAÑO!$B$11:$AM$375,38)</f>
        <v>0</v>
      </c>
      <c r="AH149" s="216">
        <f ca="1">VLOOKUP($B149,DATOSAÑO!$B$11:$AN$375,39)</f>
        <v>0</v>
      </c>
      <c r="AI149" s="216">
        <f ca="1">VLOOKUP($B149,DATOSAÑO!$B$11:$BS$375,70)</f>
        <v>0</v>
      </c>
      <c r="AJ149" s="216">
        <f ca="1">VLOOKUP($B149,DATOSAÑO!$B$11:$BV$375,73)</f>
        <v>0</v>
      </c>
      <c r="AK149" s="216">
        <f ca="1">VLOOKUP($B149,DATOSAÑO!$B$11:$BY$375,76)</f>
        <v>0</v>
      </c>
      <c r="AL149" s="216">
        <f ca="1">VLOOKUP($B149,DATOSAÑO!$B$11:$CL$375,89)</f>
        <v>0</v>
      </c>
    </row>
    <row r="150" spans="2:39">
      <c r="B150" s="413">
        <f t="shared" si="16"/>
        <v>45102</v>
      </c>
      <c r="C150" s="216">
        <f ca="1">VLOOKUP($B150,DATOSAÑO!$B$11:$AR$375,8)</f>
        <v>0</v>
      </c>
      <c r="D150" s="216">
        <f ca="1">VLOOKUP($B150,DATOSAÑO!$B$11:$AR$375,40)</f>
        <v>0</v>
      </c>
      <c r="E150" s="216">
        <f ca="1">VLOOKUP($B150,DATOSAÑO!$B$11:$AR$375,3)</f>
        <v>0</v>
      </c>
      <c r="F150" s="216">
        <f t="shared" ca="1" si="9"/>
        <v>0</v>
      </c>
      <c r="G150" s="410">
        <f t="shared" ca="1" si="10"/>
        <v>0</v>
      </c>
      <c r="H150" s="216">
        <f ca="1">VLOOKUP($B150,DATOSAÑO!$B$11:$AR$375,6)</f>
        <v>0</v>
      </c>
      <c r="I150" s="216">
        <f ca="1">VLOOKUP($B150,DATOSAÑO!$B$11:$AR$375,15)</f>
        <v>0</v>
      </c>
      <c r="J150" s="216">
        <f ca="1">VLOOKUP($B150,DATOSAÑO!$B$11:$AR$375,41)</f>
        <v>0</v>
      </c>
      <c r="K150" s="216">
        <f ca="1">VLOOKUP($B150,DATOSAÑO!$B$11:$AR$375,10)</f>
        <v>0</v>
      </c>
      <c r="L150" s="216">
        <f t="shared" ca="1" si="11"/>
        <v>0</v>
      </c>
      <c r="M150" s="410">
        <f t="shared" ca="1" si="12"/>
        <v>0</v>
      </c>
      <c r="N150" s="216">
        <f ca="1">VLOOKUP($B150,DATOSAÑO!$B$11:$AR$375,13)</f>
        <v>0</v>
      </c>
      <c r="O150" s="216">
        <f t="shared" ca="1" si="13"/>
        <v>0</v>
      </c>
      <c r="P150" s="216">
        <f t="shared" ca="1" si="14"/>
        <v>0</v>
      </c>
      <c r="Q150" s="216">
        <f t="shared" ca="1" si="15"/>
        <v>0</v>
      </c>
      <c r="R150" s="216">
        <f ca="1">VLOOKUP($B150,DATOSAÑO!$B$11:$AR$375,16)</f>
        <v>0</v>
      </c>
      <c r="S150" s="216">
        <f ca="1">VLOOKUP($B150,DATOSAÑO!$B$11:$AR$375,43)</f>
        <v>0</v>
      </c>
      <c r="T150" s="216">
        <f ca="1">VLOOKUP($B150,DATOSAÑO!$B$11:$AR$375,17)</f>
        <v>0</v>
      </c>
      <c r="U150" s="216">
        <f ca="1">VLOOKUP($B150,DATOSAÑO!$B$11:$AR$375,19)</f>
        <v>0</v>
      </c>
      <c r="V150" s="216">
        <f ca="1">VLOOKUP($B150,DATOSAÑO!$B$11:$AR$375,43)</f>
        <v>0</v>
      </c>
      <c r="W150" s="216">
        <f ca="1">VLOOKUP($B150,DATOSAÑO!$B$11:$AR$375,20)</f>
        <v>0</v>
      </c>
      <c r="X150" s="216">
        <f ca="1">VLOOKUP($B150,DATOSAÑO!$B$11:$AR$375,24)</f>
        <v>0</v>
      </c>
      <c r="Y150" s="216">
        <f ca="1">VLOOKUP($B150,DATOSAÑO!$B$11:$BP$375,55)</f>
        <v>0</v>
      </c>
      <c r="Z150" s="216">
        <f ca="1">VLOOKUP($B150,DATOSAÑO!$B$11:$AM$375,29)</f>
        <v>0</v>
      </c>
      <c r="AA150" s="216">
        <f ca="1">VLOOKUP($B150,DATOSAÑO!$B$11:$AM$375,31)</f>
        <v>0</v>
      </c>
      <c r="AB150" s="216">
        <f ca="1">VLOOKUP($B150,DATOSAÑO!$B$11:$AM$375,33)</f>
        <v>0</v>
      </c>
      <c r="AC150" s="216">
        <f ca="1">VLOOKUP($B150,DATOSAÑO!$B$11:$AM$375,34)</f>
        <v>0</v>
      </c>
      <c r="AD150" s="216">
        <f ca="1">VLOOKUP($B150,DATOSAÑO!$B$11:$AM$375,35)</f>
        <v>0</v>
      </c>
      <c r="AE150" s="216">
        <f ca="1">VLOOKUP($B150,DATOSAÑO!$B$11:$AM$375,36)</f>
        <v>0</v>
      </c>
      <c r="AF150" s="216">
        <f ca="1">VLOOKUP($B150,DATOSAÑO!$B$11:$AM$375,37)</f>
        <v>0</v>
      </c>
      <c r="AG150" s="216">
        <f ca="1">VLOOKUP($B150,DATOSAÑO!$B$11:$AM$375,38)</f>
        <v>0</v>
      </c>
      <c r="AH150" s="216">
        <f ca="1">VLOOKUP($B150,DATOSAÑO!$B$11:$AN$375,39)</f>
        <v>0</v>
      </c>
      <c r="AI150" s="216">
        <f ca="1">VLOOKUP($B150,DATOSAÑO!$B$11:$BS$375,70)</f>
        <v>0</v>
      </c>
      <c r="AJ150" s="216">
        <f ca="1">VLOOKUP($B150,DATOSAÑO!$B$11:$BV$375,73)</f>
        <v>0</v>
      </c>
      <c r="AK150" s="216">
        <f ca="1">VLOOKUP($B150,DATOSAÑO!$B$11:$BY$375,76)</f>
        <v>0</v>
      </c>
      <c r="AL150" s="216">
        <f ca="1">VLOOKUP($B150,DATOSAÑO!$B$11:$CL$375,89)</f>
        <v>0</v>
      </c>
    </row>
    <row r="151" spans="2:39">
      <c r="B151" s="413">
        <f t="shared" si="16"/>
        <v>45103</v>
      </c>
      <c r="C151" s="216">
        <f ca="1">VLOOKUP($B151,DATOSAÑO!$B$11:$AR$375,8)</f>
        <v>0</v>
      </c>
      <c r="D151" s="216">
        <f ca="1">VLOOKUP($B151,DATOSAÑO!$B$11:$AR$375,40)</f>
        <v>0</v>
      </c>
      <c r="E151" s="216">
        <f ca="1">VLOOKUP($B151,DATOSAÑO!$B$11:$AR$375,3)</f>
        <v>0</v>
      </c>
      <c r="F151" s="216">
        <f t="shared" ca="1" si="9"/>
        <v>0</v>
      </c>
      <c r="G151" s="410">
        <f t="shared" ca="1" si="10"/>
        <v>0</v>
      </c>
      <c r="H151" s="216">
        <f ca="1">VLOOKUP($B151,DATOSAÑO!$B$11:$AR$375,6)</f>
        <v>0</v>
      </c>
      <c r="I151" s="216">
        <f ca="1">VLOOKUP($B151,DATOSAÑO!$B$11:$AR$375,15)</f>
        <v>0</v>
      </c>
      <c r="J151" s="216">
        <f ca="1">VLOOKUP($B151,DATOSAÑO!$B$11:$AR$375,41)</f>
        <v>0</v>
      </c>
      <c r="K151" s="216">
        <f ca="1">VLOOKUP($B151,DATOSAÑO!$B$11:$AR$375,10)</f>
        <v>0</v>
      </c>
      <c r="L151" s="216">
        <f t="shared" ca="1" si="11"/>
        <v>0</v>
      </c>
      <c r="M151" s="410">
        <f t="shared" ca="1" si="12"/>
        <v>0</v>
      </c>
      <c r="N151" s="216">
        <f ca="1">VLOOKUP($B151,DATOSAÑO!$B$11:$AR$375,13)</f>
        <v>0</v>
      </c>
      <c r="O151" s="216">
        <f t="shared" ca="1" si="13"/>
        <v>0</v>
      </c>
      <c r="P151" s="216">
        <f t="shared" ca="1" si="14"/>
        <v>0</v>
      </c>
      <c r="Q151" s="216">
        <f t="shared" ca="1" si="15"/>
        <v>0</v>
      </c>
      <c r="R151" s="216">
        <f ca="1">VLOOKUP($B151,DATOSAÑO!$B$11:$AR$375,16)</f>
        <v>0</v>
      </c>
      <c r="S151" s="216">
        <f ca="1">VLOOKUP($B151,DATOSAÑO!$B$11:$AR$375,43)</f>
        <v>0</v>
      </c>
      <c r="T151" s="216">
        <f ca="1">VLOOKUP($B151,DATOSAÑO!$B$11:$AR$375,17)</f>
        <v>0</v>
      </c>
      <c r="U151" s="216">
        <f ca="1">VLOOKUP($B151,DATOSAÑO!$B$11:$AR$375,19)</f>
        <v>0</v>
      </c>
      <c r="V151" s="216">
        <f ca="1">VLOOKUP($B151,DATOSAÑO!$B$11:$AR$375,43)</f>
        <v>0</v>
      </c>
      <c r="W151" s="216">
        <f ca="1">VLOOKUP($B151,DATOSAÑO!$B$11:$AR$375,20)</f>
        <v>0</v>
      </c>
      <c r="X151" s="216">
        <f ca="1">VLOOKUP($B151,DATOSAÑO!$B$11:$AR$375,24)</f>
        <v>0</v>
      </c>
      <c r="Y151" s="216">
        <f ca="1">VLOOKUP($B151,DATOSAÑO!$B$11:$BP$375,55)</f>
        <v>0</v>
      </c>
      <c r="Z151" s="216">
        <f ca="1">VLOOKUP($B151,DATOSAÑO!$B$11:$AM$375,29)</f>
        <v>0</v>
      </c>
      <c r="AA151" s="216">
        <f ca="1">VLOOKUP($B151,DATOSAÑO!$B$11:$AM$375,31)</f>
        <v>0</v>
      </c>
      <c r="AB151" s="216">
        <f ca="1">VLOOKUP($B151,DATOSAÑO!$B$11:$AM$375,33)</f>
        <v>0</v>
      </c>
      <c r="AC151" s="216">
        <f ca="1">VLOOKUP($B151,DATOSAÑO!$B$11:$AM$375,34)</f>
        <v>0</v>
      </c>
      <c r="AD151" s="216">
        <f ca="1">VLOOKUP($B151,DATOSAÑO!$B$11:$AM$375,35)</f>
        <v>0</v>
      </c>
      <c r="AE151" s="216">
        <f ca="1">VLOOKUP($B151,DATOSAÑO!$B$11:$AM$375,36)</f>
        <v>0</v>
      </c>
      <c r="AF151" s="216">
        <f ca="1">VLOOKUP($B151,DATOSAÑO!$B$11:$AM$375,37)</f>
        <v>0</v>
      </c>
      <c r="AG151" s="216">
        <f ca="1">VLOOKUP($B151,DATOSAÑO!$B$11:$AM$375,38)</f>
        <v>0</v>
      </c>
      <c r="AH151" s="216">
        <f ca="1">VLOOKUP($B151,DATOSAÑO!$B$11:$AN$375,39)</f>
        <v>0</v>
      </c>
      <c r="AI151" s="216">
        <f ca="1">VLOOKUP($B151,DATOSAÑO!$B$11:$BS$375,70)</f>
        <v>0</v>
      </c>
      <c r="AJ151" s="216">
        <f ca="1">VLOOKUP($B151,DATOSAÑO!$B$11:$BV$375,73)</f>
        <v>0</v>
      </c>
      <c r="AK151" s="216">
        <f ca="1">VLOOKUP($B151,DATOSAÑO!$B$11:$BY$375,76)</f>
        <v>0</v>
      </c>
      <c r="AL151" s="216">
        <f ca="1">VLOOKUP($B151,DATOSAÑO!$B$11:$CL$375,89)</f>
        <v>0</v>
      </c>
    </row>
    <row r="152" spans="2:39">
      <c r="B152" s="413">
        <f t="shared" si="16"/>
        <v>45104</v>
      </c>
      <c r="C152" s="216">
        <f ca="1">VLOOKUP($B152,DATOSAÑO!$B$11:$AR$375,8)</f>
        <v>0</v>
      </c>
      <c r="D152" s="216">
        <f ca="1">VLOOKUP($B152,DATOSAÑO!$B$11:$AR$375,40)</f>
        <v>0</v>
      </c>
      <c r="E152" s="216">
        <f ca="1">VLOOKUP($B152,DATOSAÑO!$B$11:$AR$375,3)</f>
        <v>0</v>
      </c>
      <c r="F152" s="216">
        <f t="shared" ca="1" si="9"/>
        <v>0</v>
      </c>
      <c r="G152" s="410">
        <f t="shared" ca="1" si="10"/>
        <v>0</v>
      </c>
      <c r="H152" s="216">
        <f ca="1">VLOOKUP($B152,DATOSAÑO!$B$11:$AR$375,6)</f>
        <v>0</v>
      </c>
      <c r="I152" s="216">
        <f ca="1">VLOOKUP($B152,DATOSAÑO!$B$11:$AR$375,15)</f>
        <v>0</v>
      </c>
      <c r="J152" s="216">
        <f ca="1">VLOOKUP($B152,DATOSAÑO!$B$11:$AR$375,41)</f>
        <v>0</v>
      </c>
      <c r="K152" s="216">
        <f ca="1">VLOOKUP($B152,DATOSAÑO!$B$11:$AR$375,10)</f>
        <v>0</v>
      </c>
      <c r="L152" s="216">
        <f t="shared" ca="1" si="11"/>
        <v>0</v>
      </c>
      <c r="M152" s="410">
        <f t="shared" ca="1" si="12"/>
        <v>0</v>
      </c>
      <c r="N152" s="216">
        <f ca="1">VLOOKUP($B152,DATOSAÑO!$B$11:$AR$375,13)</f>
        <v>0</v>
      </c>
      <c r="O152" s="216">
        <f t="shared" ca="1" si="13"/>
        <v>0</v>
      </c>
      <c r="P152" s="216">
        <f t="shared" ca="1" si="14"/>
        <v>0</v>
      </c>
      <c r="Q152" s="216">
        <f t="shared" ca="1" si="15"/>
        <v>0</v>
      </c>
      <c r="R152" s="216">
        <f ca="1">VLOOKUP($B152,DATOSAÑO!$B$11:$AR$375,16)</f>
        <v>0</v>
      </c>
      <c r="S152" s="216">
        <f ca="1">VLOOKUP($B152,DATOSAÑO!$B$11:$AR$375,43)</f>
        <v>0</v>
      </c>
      <c r="T152" s="216">
        <f ca="1">VLOOKUP($B152,DATOSAÑO!$B$11:$AR$375,17)</f>
        <v>0</v>
      </c>
      <c r="U152" s="216">
        <f ca="1">VLOOKUP($B152,DATOSAÑO!$B$11:$AR$375,19)</f>
        <v>0</v>
      </c>
      <c r="V152" s="216">
        <f ca="1">VLOOKUP($B152,DATOSAÑO!$B$11:$AR$375,43)</f>
        <v>0</v>
      </c>
      <c r="W152" s="216">
        <f ca="1">VLOOKUP($B152,DATOSAÑO!$B$11:$AR$375,20)</f>
        <v>0</v>
      </c>
      <c r="X152" s="216">
        <f ca="1">VLOOKUP($B152,DATOSAÑO!$B$11:$AR$375,24)</f>
        <v>0</v>
      </c>
      <c r="Y152" s="216">
        <f ca="1">VLOOKUP($B152,DATOSAÑO!$B$11:$BP$375,55)</f>
        <v>0</v>
      </c>
      <c r="Z152" s="216">
        <f ca="1">VLOOKUP($B152,DATOSAÑO!$B$11:$AM$375,29)</f>
        <v>0</v>
      </c>
      <c r="AA152" s="216">
        <f ca="1">VLOOKUP($B152,DATOSAÑO!$B$11:$AM$375,31)</f>
        <v>0</v>
      </c>
      <c r="AB152" s="216">
        <f ca="1">VLOOKUP($B152,DATOSAÑO!$B$11:$AM$375,33)</f>
        <v>0</v>
      </c>
      <c r="AC152" s="216">
        <f ca="1">VLOOKUP($B152,DATOSAÑO!$B$11:$AM$375,34)</f>
        <v>0</v>
      </c>
      <c r="AD152" s="216">
        <f ca="1">VLOOKUP($B152,DATOSAÑO!$B$11:$AM$375,35)</f>
        <v>0</v>
      </c>
      <c r="AE152" s="216">
        <f ca="1">VLOOKUP($B152,DATOSAÑO!$B$11:$AM$375,36)</f>
        <v>0</v>
      </c>
      <c r="AF152" s="216">
        <f ca="1">VLOOKUP($B152,DATOSAÑO!$B$11:$AM$375,37)</f>
        <v>0</v>
      </c>
      <c r="AG152" s="216">
        <f ca="1">VLOOKUP($B152,DATOSAÑO!$B$11:$AM$375,38)</f>
        <v>0</v>
      </c>
      <c r="AH152" s="216">
        <f ca="1">VLOOKUP($B152,DATOSAÑO!$B$11:$AN$375,39)</f>
        <v>0</v>
      </c>
      <c r="AI152" s="216">
        <f ca="1">VLOOKUP($B152,DATOSAÑO!$B$11:$BS$375,70)</f>
        <v>0</v>
      </c>
      <c r="AJ152" s="216">
        <f ca="1">VLOOKUP($B152,DATOSAÑO!$B$11:$BV$375,73)</f>
        <v>0</v>
      </c>
      <c r="AK152" s="216">
        <f ca="1">VLOOKUP($B152,DATOSAÑO!$B$11:$BY$375,76)</f>
        <v>0</v>
      </c>
      <c r="AL152" s="216">
        <f ca="1">VLOOKUP($B152,DATOSAÑO!$B$11:$CL$375,89)</f>
        <v>0</v>
      </c>
    </row>
    <row r="153" spans="2:39">
      <c r="B153" s="413">
        <f t="shared" si="16"/>
        <v>45105</v>
      </c>
      <c r="C153" s="216">
        <f ca="1">VLOOKUP($B153,DATOSAÑO!$B$11:$AR$375,8)</f>
        <v>0</v>
      </c>
      <c r="D153" s="216">
        <f ca="1">VLOOKUP($B153,DATOSAÑO!$B$11:$AR$375,40)</f>
        <v>0</v>
      </c>
      <c r="E153" s="216">
        <f ca="1">VLOOKUP($B153,DATOSAÑO!$B$11:$AR$375,3)</f>
        <v>0</v>
      </c>
      <c r="F153" s="216">
        <f t="shared" ca="1" si="9"/>
        <v>0</v>
      </c>
      <c r="G153" s="410">
        <f t="shared" ca="1" si="10"/>
        <v>0</v>
      </c>
      <c r="H153" s="216">
        <f ca="1">VLOOKUP($B153,DATOSAÑO!$B$11:$AR$375,6)</f>
        <v>0</v>
      </c>
      <c r="I153" s="216">
        <f ca="1">VLOOKUP($B153,DATOSAÑO!$B$11:$AR$375,15)</f>
        <v>0</v>
      </c>
      <c r="J153" s="216">
        <f ca="1">VLOOKUP($B153,DATOSAÑO!$B$11:$AR$375,41)</f>
        <v>0</v>
      </c>
      <c r="K153" s="216">
        <f ca="1">VLOOKUP($B153,DATOSAÑO!$B$11:$AR$375,10)</f>
        <v>0</v>
      </c>
      <c r="L153" s="216">
        <f t="shared" ca="1" si="11"/>
        <v>0</v>
      </c>
      <c r="M153" s="410">
        <f t="shared" ca="1" si="12"/>
        <v>0</v>
      </c>
      <c r="N153" s="216">
        <f ca="1">VLOOKUP($B153,DATOSAÑO!$B$11:$AR$375,13)</f>
        <v>0</v>
      </c>
      <c r="O153" s="216">
        <f t="shared" ca="1" si="13"/>
        <v>0</v>
      </c>
      <c r="P153" s="216">
        <f t="shared" ca="1" si="14"/>
        <v>0</v>
      </c>
      <c r="Q153" s="216">
        <f t="shared" ca="1" si="15"/>
        <v>0</v>
      </c>
      <c r="R153" s="216">
        <f ca="1">VLOOKUP($B153,DATOSAÑO!$B$11:$AR$375,16)</f>
        <v>0</v>
      </c>
      <c r="S153" s="216">
        <f ca="1">VLOOKUP($B153,DATOSAÑO!$B$11:$AR$375,43)</f>
        <v>0</v>
      </c>
      <c r="T153" s="216">
        <f ca="1">VLOOKUP($B153,DATOSAÑO!$B$11:$AR$375,17)</f>
        <v>0</v>
      </c>
      <c r="U153" s="216">
        <f ca="1">VLOOKUP($B153,DATOSAÑO!$B$11:$AR$375,19)</f>
        <v>0</v>
      </c>
      <c r="V153" s="216">
        <f ca="1">VLOOKUP($B153,DATOSAÑO!$B$11:$AR$375,43)</f>
        <v>0</v>
      </c>
      <c r="W153" s="216">
        <f ca="1">VLOOKUP($B153,DATOSAÑO!$B$11:$AR$375,20)</f>
        <v>0</v>
      </c>
      <c r="X153" s="216">
        <f ca="1">VLOOKUP($B153,DATOSAÑO!$B$11:$AR$375,24)</f>
        <v>0</v>
      </c>
      <c r="Y153" s="216">
        <f ca="1">VLOOKUP($B153,DATOSAÑO!$B$11:$BP$375,55)</f>
        <v>0</v>
      </c>
      <c r="Z153" s="216">
        <f ca="1">VLOOKUP($B153,DATOSAÑO!$B$11:$AM$375,29)</f>
        <v>0</v>
      </c>
      <c r="AA153" s="216">
        <f ca="1">VLOOKUP($B153,DATOSAÑO!$B$11:$AM$375,31)</f>
        <v>0</v>
      </c>
      <c r="AB153" s="216">
        <f ca="1">VLOOKUP($B153,DATOSAÑO!$B$11:$AM$375,33)</f>
        <v>0</v>
      </c>
      <c r="AC153" s="216">
        <f ca="1">VLOOKUP($B153,DATOSAÑO!$B$11:$AM$375,34)</f>
        <v>0</v>
      </c>
      <c r="AD153" s="216">
        <f ca="1">VLOOKUP($B153,DATOSAÑO!$B$11:$AM$375,35)</f>
        <v>0</v>
      </c>
      <c r="AE153" s="216">
        <f ca="1">VLOOKUP($B153,DATOSAÑO!$B$11:$AM$375,36)</f>
        <v>0</v>
      </c>
      <c r="AF153" s="216">
        <f ca="1">VLOOKUP($B153,DATOSAÑO!$B$11:$AM$375,37)</f>
        <v>0</v>
      </c>
      <c r="AG153" s="216">
        <f ca="1">VLOOKUP($B153,DATOSAÑO!$B$11:$AM$375,38)</f>
        <v>0</v>
      </c>
      <c r="AH153" s="216">
        <f ca="1">VLOOKUP($B153,DATOSAÑO!$B$11:$AN$375,39)</f>
        <v>0</v>
      </c>
      <c r="AI153" s="216">
        <f ca="1">VLOOKUP($B153,DATOSAÑO!$B$11:$BS$375,70)</f>
        <v>0</v>
      </c>
      <c r="AJ153" s="216">
        <f ca="1">VLOOKUP($B153,DATOSAÑO!$B$11:$BV$375,73)</f>
        <v>0</v>
      </c>
      <c r="AK153" s="216">
        <f ca="1">VLOOKUP($B153,DATOSAÑO!$B$11:$BY$375,76)</f>
        <v>0</v>
      </c>
      <c r="AL153" s="216">
        <f ca="1">VLOOKUP($B153,DATOSAÑO!$B$11:$CL$375,89)</f>
        <v>0</v>
      </c>
    </row>
    <row r="154" spans="2:39">
      <c r="B154" s="413">
        <f t="shared" si="16"/>
        <v>45106</v>
      </c>
      <c r="C154" s="216">
        <f ca="1">VLOOKUP($B154,DATOSAÑO!$B$11:$AR$375,8)</f>
        <v>0</v>
      </c>
      <c r="D154" s="216">
        <f ca="1">VLOOKUP($B154,DATOSAÑO!$B$11:$AR$375,40)</f>
        <v>0</v>
      </c>
      <c r="E154" s="216">
        <f ca="1">VLOOKUP($B154,DATOSAÑO!$B$11:$AR$375,3)</f>
        <v>0</v>
      </c>
      <c r="F154" s="216">
        <f t="shared" ca="1" si="9"/>
        <v>0</v>
      </c>
      <c r="G154" s="410">
        <f t="shared" ca="1" si="10"/>
        <v>0</v>
      </c>
      <c r="H154" s="216">
        <f ca="1">VLOOKUP($B154,DATOSAÑO!$B$11:$AR$375,6)</f>
        <v>0</v>
      </c>
      <c r="I154" s="216">
        <f ca="1">VLOOKUP($B154,DATOSAÑO!$B$11:$AR$375,15)</f>
        <v>0</v>
      </c>
      <c r="J154" s="216">
        <f ca="1">VLOOKUP($B154,DATOSAÑO!$B$11:$AR$375,41)</f>
        <v>0</v>
      </c>
      <c r="K154" s="216">
        <f ca="1">VLOOKUP($B154,DATOSAÑO!$B$11:$AR$375,10)</f>
        <v>0</v>
      </c>
      <c r="L154" s="216">
        <f t="shared" ca="1" si="11"/>
        <v>0</v>
      </c>
      <c r="M154" s="410">
        <f t="shared" ca="1" si="12"/>
        <v>0</v>
      </c>
      <c r="N154" s="216">
        <f ca="1">VLOOKUP($B154,DATOSAÑO!$B$11:$AR$375,13)</f>
        <v>0</v>
      </c>
      <c r="O154" s="216">
        <f t="shared" ca="1" si="13"/>
        <v>0</v>
      </c>
      <c r="P154" s="216">
        <f t="shared" ca="1" si="14"/>
        <v>0</v>
      </c>
      <c r="Q154" s="216">
        <f t="shared" ca="1" si="15"/>
        <v>0</v>
      </c>
      <c r="R154" s="216">
        <f ca="1">VLOOKUP($B154,DATOSAÑO!$B$11:$AR$375,16)</f>
        <v>0</v>
      </c>
      <c r="S154" s="216">
        <f ca="1">VLOOKUP($B154,DATOSAÑO!$B$11:$AR$375,43)</f>
        <v>0</v>
      </c>
      <c r="T154" s="216">
        <f ca="1">VLOOKUP($B154,DATOSAÑO!$B$11:$AR$375,17)</f>
        <v>0</v>
      </c>
      <c r="U154" s="216">
        <f ca="1">VLOOKUP($B154,DATOSAÑO!$B$11:$AR$375,19)</f>
        <v>0</v>
      </c>
      <c r="V154" s="216">
        <f ca="1">VLOOKUP($B154,DATOSAÑO!$B$11:$AR$375,43)</f>
        <v>0</v>
      </c>
      <c r="W154" s="216">
        <f ca="1">VLOOKUP($B154,DATOSAÑO!$B$11:$AR$375,20)</f>
        <v>0</v>
      </c>
      <c r="X154" s="216">
        <f ca="1">VLOOKUP($B154,DATOSAÑO!$B$11:$AR$375,24)</f>
        <v>0</v>
      </c>
      <c r="Y154" s="216">
        <f ca="1">VLOOKUP($B154,DATOSAÑO!$B$11:$BP$375,55)</f>
        <v>0</v>
      </c>
      <c r="Z154" s="216">
        <f ca="1">VLOOKUP($B154,DATOSAÑO!$B$11:$AM$375,29)</f>
        <v>0</v>
      </c>
      <c r="AA154" s="216">
        <f ca="1">VLOOKUP($B154,DATOSAÑO!$B$11:$AM$375,31)</f>
        <v>0</v>
      </c>
      <c r="AB154" s="216">
        <f ca="1">VLOOKUP($B154,DATOSAÑO!$B$11:$AM$375,33)</f>
        <v>0</v>
      </c>
      <c r="AC154" s="216">
        <f ca="1">VLOOKUP($B154,DATOSAÑO!$B$11:$AM$375,34)</f>
        <v>0</v>
      </c>
      <c r="AD154" s="216">
        <f ca="1">VLOOKUP($B154,DATOSAÑO!$B$11:$AM$375,35)</f>
        <v>0</v>
      </c>
      <c r="AE154" s="216">
        <f ca="1">VLOOKUP($B154,DATOSAÑO!$B$11:$AM$375,36)</f>
        <v>0</v>
      </c>
      <c r="AF154" s="216">
        <f ca="1">VLOOKUP($B154,DATOSAÑO!$B$11:$AM$375,37)</f>
        <v>0</v>
      </c>
      <c r="AG154" s="216">
        <f ca="1">VLOOKUP($B154,DATOSAÑO!$B$11:$AM$375,38)</f>
        <v>0</v>
      </c>
      <c r="AH154" s="216">
        <f ca="1">VLOOKUP($B154,DATOSAÑO!$B$11:$AN$375,39)</f>
        <v>0</v>
      </c>
      <c r="AI154" s="216">
        <f ca="1">VLOOKUP($B154,DATOSAÑO!$B$11:$BS$375,70)</f>
        <v>0</v>
      </c>
      <c r="AJ154" s="216">
        <f ca="1">VLOOKUP($B154,DATOSAÑO!$B$11:$BV$375,73)</f>
        <v>0</v>
      </c>
      <c r="AK154" s="216">
        <f ca="1">VLOOKUP($B154,DATOSAÑO!$B$11:$BY$375,76)</f>
        <v>0</v>
      </c>
      <c r="AL154" s="216">
        <f ca="1">VLOOKUP($B154,DATOSAÑO!$B$11:$CL$375,89)</f>
        <v>0</v>
      </c>
    </row>
    <row r="155" spans="2:39">
      <c r="B155" s="413">
        <f t="shared" si="16"/>
        <v>45107</v>
      </c>
      <c r="C155" s="216">
        <f ca="1">VLOOKUP($B155,DATOSAÑO!$B$11:$AR$375,8)</f>
        <v>0</v>
      </c>
      <c r="D155" s="216">
        <f ca="1">VLOOKUP($B155,DATOSAÑO!$B$11:$AR$375,40)</f>
        <v>0</v>
      </c>
      <c r="E155" s="216">
        <f ca="1">VLOOKUP($B155,DATOSAÑO!$B$11:$AR$375,3)</f>
        <v>0</v>
      </c>
      <c r="F155" s="216">
        <f t="shared" ca="1" si="9"/>
        <v>0</v>
      </c>
      <c r="G155" s="410">
        <f t="shared" ca="1" si="10"/>
        <v>0</v>
      </c>
      <c r="H155" s="216">
        <f ca="1">VLOOKUP($B155,DATOSAÑO!$B$11:$AR$375,6)</f>
        <v>0</v>
      </c>
      <c r="I155" s="216">
        <f ca="1">VLOOKUP($B155,DATOSAÑO!$B$11:$AR$375,15)</f>
        <v>0</v>
      </c>
      <c r="J155" s="216">
        <f ca="1">VLOOKUP($B155,DATOSAÑO!$B$11:$AR$375,41)</f>
        <v>0</v>
      </c>
      <c r="K155" s="216">
        <f ca="1">VLOOKUP($B155,DATOSAÑO!$B$11:$AR$375,10)</f>
        <v>0</v>
      </c>
      <c r="L155" s="216">
        <f t="shared" ca="1" si="11"/>
        <v>0</v>
      </c>
      <c r="M155" s="410">
        <f t="shared" ca="1" si="12"/>
        <v>0</v>
      </c>
      <c r="N155" s="216">
        <f ca="1">VLOOKUP($B155,DATOSAÑO!$B$11:$AR$375,13)</f>
        <v>0</v>
      </c>
      <c r="O155" s="216">
        <f t="shared" ca="1" si="13"/>
        <v>0</v>
      </c>
      <c r="P155" s="216">
        <f t="shared" ca="1" si="14"/>
        <v>0</v>
      </c>
      <c r="Q155" s="216">
        <f t="shared" ca="1" si="15"/>
        <v>0</v>
      </c>
      <c r="R155" s="216">
        <f ca="1">VLOOKUP($B155,DATOSAÑO!$B$11:$AR$375,16)</f>
        <v>0</v>
      </c>
      <c r="S155" s="216">
        <f ca="1">VLOOKUP($B155,DATOSAÑO!$B$11:$AR$375,43)</f>
        <v>0</v>
      </c>
      <c r="T155" s="216">
        <f ca="1">VLOOKUP($B155,DATOSAÑO!$B$11:$AR$375,17)</f>
        <v>0</v>
      </c>
      <c r="U155" s="216">
        <f ca="1">VLOOKUP($B155,DATOSAÑO!$B$11:$AR$375,19)</f>
        <v>0</v>
      </c>
      <c r="V155" s="216">
        <f ca="1">VLOOKUP($B155,DATOSAÑO!$B$11:$AR$375,43)</f>
        <v>0</v>
      </c>
      <c r="W155" s="216">
        <f ca="1">VLOOKUP($B155,DATOSAÑO!$B$11:$AR$375,20)</f>
        <v>0</v>
      </c>
      <c r="X155" s="216">
        <f ca="1">VLOOKUP($B155,DATOSAÑO!$B$11:$AR$375,24)</f>
        <v>0</v>
      </c>
      <c r="Y155" s="216">
        <f ca="1">VLOOKUP($B155,DATOSAÑO!$B$11:$BP$375,55)</f>
        <v>0</v>
      </c>
      <c r="Z155" s="216">
        <f ca="1">VLOOKUP($B155,DATOSAÑO!$B$11:$AM$375,29)</f>
        <v>0</v>
      </c>
      <c r="AA155" s="216">
        <f ca="1">VLOOKUP($B155,DATOSAÑO!$B$11:$AM$375,31)</f>
        <v>0</v>
      </c>
      <c r="AB155" s="216">
        <f ca="1">VLOOKUP($B155,DATOSAÑO!$B$11:$AM$375,33)</f>
        <v>0</v>
      </c>
      <c r="AC155" s="216">
        <f ca="1">VLOOKUP($B155,DATOSAÑO!$B$11:$AM$375,34)</f>
        <v>0</v>
      </c>
      <c r="AD155" s="216">
        <f ca="1">VLOOKUP($B155,DATOSAÑO!$B$11:$AM$375,35)</f>
        <v>0</v>
      </c>
      <c r="AE155" s="216">
        <f ca="1">VLOOKUP($B155,DATOSAÑO!$B$11:$AM$375,36)</f>
        <v>0</v>
      </c>
      <c r="AF155" s="216">
        <f ca="1">VLOOKUP($B155,DATOSAÑO!$B$11:$AM$375,37)</f>
        <v>0</v>
      </c>
      <c r="AG155" s="216">
        <f ca="1">VLOOKUP($B155,DATOSAÑO!$B$11:$AM$375,38)</f>
        <v>0</v>
      </c>
      <c r="AH155" s="216">
        <f ca="1">VLOOKUP($B155,DATOSAÑO!$B$11:$AN$375,39)</f>
        <v>0</v>
      </c>
      <c r="AI155" s="216">
        <f ca="1">VLOOKUP($B155,DATOSAÑO!$B$11:$BS$375,70)</f>
        <v>0</v>
      </c>
      <c r="AJ155" s="216">
        <f ca="1">VLOOKUP($B155,DATOSAÑO!$B$11:$BV$375,73)</f>
        <v>0</v>
      </c>
      <c r="AK155" s="216">
        <f ca="1">VLOOKUP($B155,DATOSAÑO!$B$11:$BY$375,76)</f>
        <v>0</v>
      </c>
      <c r="AL155" s="216">
        <f ca="1">VLOOKUP($B155,DATOSAÑO!$B$11:$CL$375,89)</f>
        <v>0</v>
      </c>
    </row>
    <row r="156" spans="2:39">
      <c r="B156" s="413">
        <f t="shared" si="16"/>
        <v>45108</v>
      </c>
      <c r="C156" s="216">
        <f ca="1">VLOOKUP($B156,DATOSAÑO!$B$11:$AR$375,8)</f>
        <v>0</v>
      </c>
      <c r="D156" s="216">
        <f>VLOOKUP($B156,DATOSAÑO!$B$11:$AR$375,40)</f>
        <v>0</v>
      </c>
      <c r="E156" s="216">
        <f ca="1">VLOOKUP($B156,DATOSAÑO!$B$11:$AR$375,3)</f>
        <v>0</v>
      </c>
      <c r="F156" s="216">
        <f t="shared" ca="1" si="9"/>
        <v>0</v>
      </c>
      <c r="G156" s="410">
        <f t="shared" ca="1" si="10"/>
        <v>0</v>
      </c>
      <c r="H156" s="216">
        <f ca="1">VLOOKUP($B156,DATOSAÑO!$B$11:$AR$375,6)</f>
        <v>0</v>
      </c>
      <c r="I156" s="216">
        <f ca="1">VLOOKUP($B156,DATOSAÑO!$B$11:$AR$375,15)</f>
        <v>0</v>
      </c>
      <c r="J156" s="216">
        <f>VLOOKUP($B156,DATOSAÑO!$B$11:$AR$375,41)</f>
        <v>0</v>
      </c>
      <c r="K156" s="216">
        <f ca="1">VLOOKUP($B156,DATOSAÑO!$B$11:$AR$375,10)</f>
        <v>0</v>
      </c>
      <c r="L156" s="216">
        <f t="shared" ca="1" si="11"/>
        <v>0</v>
      </c>
      <c r="M156" s="410">
        <f t="shared" ca="1" si="12"/>
        <v>0</v>
      </c>
      <c r="N156" s="216">
        <f ca="1">VLOOKUP($B156,DATOSAÑO!$B$11:$AR$375,13)</f>
        <v>0</v>
      </c>
      <c r="O156" s="216">
        <f t="shared" ca="1" si="13"/>
        <v>0</v>
      </c>
      <c r="P156" s="216">
        <f t="shared" ca="1" si="14"/>
        <v>0</v>
      </c>
      <c r="Q156" s="216">
        <f t="shared" si="15"/>
        <v>0</v>
      </c>
      <c r="R156" s="216">
        <f ca="1">VLOOKUP($B156,DATOSAÑO!$B$11:$AR$375,16)</f>
        <v>0</v>
      </c>
      <c r="S156" s="216">
        <f ca="1">VLOOKUP($B156,DATOSAÑO!$B$11:$AR$375,43)</f>
        <v>0</v>
      </c>
      <c r="T156" s="216">
        <f ca="1">VLOOKUP($B156,DATOSAÑO!$B$11:$AR$375,17)</f>
        <v>0</v>
      </c>
      <c r="U156" s="216">
        <f ca="1">VLOOKUP($B156,DATOSAÑO!$B$11:$AR$375,19)</f>
        <v>0</v>
      </c>
      <c r="V156" s="216">
        <f ca="1">VLOOKUP($B156,DATOSAÑO!$B$11:$AR$375,43)</f>
        <v>0</v>
      </c>
      <c r="W156" s="216">
        <f ca="1">VLOOKUP($B156,DATOSAÑO!$B$11:$AR$375,20)</f>
        <v>0</v>
      </c>
      <c r="X156" s="216">
        <f ca="1">VLOOKUP($B156,DATOSAÑO!$B$11:$AR$375,24)</f>
        <v>0</v>
      </c>
      <c r="Y156" s="216">
        <f ca="1">VLOOKUP($B156,DATOSAÑO!$B$11:$BP$375,55)</f>
        <v>0</v>
      </c>
      <c r="Z156" s="216">
        <f ca="1">VLOOKUP($B156,DATOSAÑO!$B$11:$AM$375,29)</f>
        <v>0</v>
      </c>
      <c r="AA156" s="216">
        <f ca="1">VLOOKUP($B156,DATOSAÑO!$B$11:$AM$375,31)</f>
        <v>0</v>
      </c>
      <c r="AB156" s="216">
        <f ca="1">VLOOKUP($B156,DATOSAÑO!$B$11:$AM$375,33)</f>
        <v>0</v>
      </c>
      <c r="AC156" s="216">
        <f ca="1">VLOOKUP($B156,DATOSAÑO!$B$11:$AM$375,34)</f>
        <v>0</v>
      </c>
      <c r="AD156" s="216">
        <f ca="1">VLOOKUP($B156,DATOSAÑO!$B$11:$AM$375,35)</f>
        <v>0</v>
      </c>
      <c r="AE156" s="216">
        <f ca="1">VLOOKUP($B156,DATOSAÑO!$B$11:$AM$375,36)</f>
        <v>0</v>
      </c>
      <c r="AF156" s="216">
        <f ca="1">VLOOKUP($B156,DATOSAÑO!$B$11:$AM$375,37)</f>
        <v>0</v>
      </c>
      <c r="AG156" s="216">
        <f ca="1">VLOOKUP($B156,DATOSAÑO!$B$11:$AM$375,38)</f>
        <v>0</v>
      </c>
      <c r="AH156" s="216">
        <f ca="1">VLOOKUP($B156,DATOSAÑO!$B$11:$AN$375,39)</f>
        <v>0</v>
      </c>
      <c r="AI156" s="216">
        <f ca="1">VLOOKUP($B156,DATOSAÑO!$B$11:$BS$375,70)</f>
        <v>0</v>
      </c>
      <c r="AJ156" s="216">
        <f ca="1">VLOOKUP($B156,DATOSAÑO!$B$11:$BV$375,73)</f>
        <v>0</v>
      </c>
      <c r="AK156" s="216">
        <f ca="1">VLOOKUP($B156,DATOSAÑO!$B$11:$BY$375,76)</f>
        <v>0</v>
      </c>
      <c r="AL156" s="216">
        <f ca="1">VLOOKUP($B156,DATOSAÑO!$B$11:$CL$375,89)</f>
        <v>0</v>
      </c>
    </row>
    <row r="157" spans="2:39" ht="15" customHeight="1">
      <c r="B157" s="2124" t="s">
        <v>132</v>
      </c>
      <c r="C157" s="2121" t="s">
        <v>599</v>
      </c>
      <c r="D157" s="2121" t="s">
        <v>610</v>
      </c>
      <c r="E157" s="2121" t="s">
        <v>588</v>
      </c>
      <c r="F157" s="2121" t="s">
        <v>586</v>
      </c>
      <c r="G157" s="2121" t="s">
        <v>602</v>
      </c>
      <c r="H157" s="2121" t="s">
        <v>609</v>
      </c>
      <c r="I157" s="2121" t="s">
        <v>603</v>
      </c>
      <c r="J157" s="2121" t="s">
        <v>611</v>
      </c>
      <c r="K157" s="2119" t="s">
        <v>189</v>
      </c>
      <c r="L157" s="2119" t="s">
        <v>181</v>
      </c>
      <c r="M157" s="2119" t="s">
        <v>604</v>
      </c>
      <c r="N157" s="2122" t="s">
        <v>211</v>
      </c>
      <c r="O157" s="2119" t="s">
        <v>605</v>
      </c>
      <c r="P157" s="2122" t="s">
        <v>211</v>
      </c>
      <c r="Q157" s="2119" t="s">
        <v>606</v>
      </c>
      <c r="R157" s="2119" t="s">
        <v>607</v>
      </c>
      <c r="S157" s="2119" t="s">
        <v>608</v>
      </c>
      <c r="T157" s="2119" t="s">
        <v>202</v>
      </c>
      <c r="U157" s="2119" t="s">
        <v>196</v>
      </c>
      <c r="V157" s="2119" t="s">
        <v>212</v>
      </c>
      <c r="W157" s="2119" t="s">
        <v>213</v>
      </c>
      <c r="X157" s="2119" t="s">
        <v>214</v>
      </c>
      <c r="Y157" s="2119" t="s">
        <v>215</v>
      </c>
      <c r="Z157" s="2119" t="s">
        <v>216</v>
      </c>
      <c r="AA157" s="2119" t="s">
        <v>217</v>
      </c>
      <c r="AB157" s="2119" t="s">
        <v>218</v>
      </c>
      <c r="AC157" s="2119" t="s">
        <v>595</v>
      </c>
      <c r="AD157" s="2119" t="s">
        <v>596</v>
      </c>
      <c r="AE157" s="2119" t="s">
        <v>597</v>
      </c>
      <c r="AF157" s="2121" t="s">
        <v>598</v>
      </c>
      <c r="AG157" s="2121" t="s">
        <v>223</v>
      </c>
      <c r="AH157" s="2153" t="s">
        <v>615</v>
      </c>
    </row>
    <row r="158" spans="2:39" ht="46.5" customHeight="1">
      <c r="B158" s="2125"/>
      <c r="C158" s="2120"/>
      <c r="D158" s="2120"/>
      <c r="E158" s="2120"/>
      <c r="F158" s="2120"/>
      <c r="G158" s="2120"/>
      <c r="H158" s="2120"/>
      <c r="I158" s="2120"/>
      <c r="J158" s="2120"/>
      <c r="K158" s="2120"/>
      <c r="L158" s="2120"/>
      <c r="M158" s="2120"/>
      <c r="N158" s="2123"/>
      <c r="O158" s="2120"/>
      <c r="P158" s="2123"/>
      <c r="Q158" s="2120"/>
      <c r="R158" s="2120"/>
      <c r="S158" s="2120"/>
      <c r="T158" s="2120"/>
      <c r="U158" s="2120"/>
      <c r="V158" s="2120"/>
      <c r="W158" s="2120"/>
      <c r="X158" s="2120"/>
      <c r="Y158" s="2120"/>
      <c r="Z158" s="2120"/>
      <c r="AA158" s="2120"/>
      <c r="AB158" s="2120"/>
      <c r="AC158" s="2120"/>
      <c r="AD158" s="2120"/>
      <c r="AE158" s="2120"/>
      <c r="AF158" s="2120"/>
      <c r="AG158" s="2120"/>
      <c r="AH158" s="2154"/>
    </row>
    <row r="159" spans="2:39">
      <c r="B159" s="217">
        <v>41640</v>
      </c>
      <c r="C159" s="194">
        <f ca="1">DATOSAÑO!I376</f>
        <v>5613.8399999999674</v>
      </c>
      <c r="D159" s="194">
        <f ca="1">DATOSAÑO!AO376</f>
        <v>2797.0299999999697</v>
      </c>
      <c r="E159" s="194">
        <f ca="1">DATOSAÑO!P376</f>
        <v>7936.4000000000015</v>
      </c>
      <c r="F159" s="194">
        <f ca="1">DATOSAÑO!AP376</f>
        <v>4111.8</v>
      </c>
      <c r="G159" s="194">
        <f ca="1">DATOSAÑO!Q376</f>
        <v>1.8299999999999272</v>
      </c>
      <c r="H159" s="194">
        <f ca="1">DATOSAÑO!AQ376</f>
        <v>0.74600000000009459</v>
      </c>
      <c r="I159" s="194">
        <f ca="1">DATOSAÑO!T376</f>
        <v>2.5570000000000164</v>
      </c>
      <c r="J159" s="194">
        <f ca="1">DATOSAÑO!AR376</f>
        <v>1.0579999999999927</v>
      </c>
      <c r="K159" s="194">
        <f ca="1">DATOSAÑO!W376</f>
        <v>13550.239999999969</v>
      </c>
      <c r="L159" s="194">
        <f ca="1">DATOSAÑO!X376</f>
        <v>4.3869999999999436</v>
      </c>
      <c r="M159" s="194">
        <f ca="1">DATOSAÑO!Y376</f>
        <v>13554.626999999968</v>
      </c>
      <c r="N159" s="194">
        <f ca="1">$M159/2</f>
        <v>6777.3134999999838</v>
      </c>
      <c r="O159" s="194">
        <f ca="1">DATOSAÑO!BD376</f>
        <v>6910.6339999999691</v>
      </c>
      <c r="P159" s="194">
        <f ca="1">$O159/2</f>
        <v>3455.3169999999845</v>
      </c>
      <c r="Q159" s="195">
        <f ca="1">DATOSAÑO!D376</f>
        <v>111.44138153932562</v>
      </c>
      <c r="R159" s="195">
        <f ca="1">DATOSAÑO!K376</f>
        <v>128.66486019101129</v>
      </c>
      <c r="S159" s="195">
        <f ca="1">$Q159+$R159</f>
        <v>240.1062417303369</v>
      </c>
      <c r="T159" s="195">
        <f ca="1">DATOSAÑO!AD376</f>
        <v>5119.0999999999767</v>
      </c>
      <c r="U159" s="195">
        <f ca="1">DATOSAÑO!AF376</f>
        <v>4240</v>
      </c>
      <c r="V159" s="195">
        <f ca="1">DATOSAÑO!AH376</f>
        <v>320.69999999999709</v>
      </c>
      <c r="W159" s="195">
        <f ca="1">DATOSAÑO!AI376</f>
        <v>1265.5800000000017</v>
      </c>
      <c r="X159" s="195">
        <f ca="1">DATOSAÑO!AJ376</f>
        <v>257.33999999999651</v>
      </c>
      <c r="Y159" s="195">
        <f ca="1">DATOSAÑO!AK376</f>
        <v>470.33999999999651</v>
      </c>
      <c r="Z159" s="195">
        <f ca="1">DATOSAÑO!AL376</f>
        <v>1030.8669999999649</v>
      </c>
      <c r="AA159" s="195">
        <f ca="1">DATOSAÑO!AM376</f>
        <v>276.9375000000353</v>
      </c>
      <c r="AB159" s="195">
        <f ca="1">DATOSAÑO!AN376</f>
        <v>87.141999999999967</v>
      </c>
      <c r="AC159" s="691">
        <f ca="1">DATOSAÑO!G376</f>
        <v>0</v>
      </c>
      <c r="AD159" s="691">
        <f ca="1">DATOSAÑO!N376</f>
        <v>0</v>
      </c>
      <c r="AE159" s="691">
        <f ca="1">DATOSAÑO!R376</f>
        <v>219.59999999999127</v>
      </c>
      <c r="AF159" s="691">
        <f ca="1">DATOSAÑO!U376</f>
        <v>306.84000000000196</v>
      </c>
      <c r="AG159" s="604">
        <f ca="1">SUM(AC159:AF159)</f>
        <v>526.43999999999323</v>
      </c>
      <c r="AH159" s="699">
        <v>970.1</v>
      </c>
      <c r="AM159" s="600"/>
    </row>
    <row r="160" spans="2:39">
      <c r="B160" s="217">
        <v>41671</v>
      </c>
      <c r="C160" s="194">
        <f ca="1">DATOSAÑO!I377</f>
        <v>8128.1600000000326</v>
      </c>
      <c r="D160" s="194">
        <f ca="1">DATOSAÑO!AO377</f>
        <v>4099.9000000000233</v>
      </c>
      <c r="E160" s="194">
        <f ca="1">DATOSAÑO!P377</f>
        <v>4107.9799999999996</v>
      </c>
      <c r="F160" s="194">
        <f ca="1">DATOSAÑO!AP377</f>
        <v>2143.3099999999995</v>
      </c>
      <c r="G160" s="194">
        <f ca="1">DATOSAÑO!Q377</f>
        <v>1.15300000000002</v>
      </c>
      <c r="H160" s="194">
        <f ca="1">DATOSAÑO!AQ377</f>
        <v>0.39299999999991542</v>
      </c>
      <c r="I160" s="194">
        <f ca="1">DATOSAÑO!T377</f>
        <v>3.4409999999999172</v>
      </c>
      <c r="J160" s="194">
        <f ca="1">DATOSAÑO!AR377</f>
        <v>1.3290000000000077</v>
      </c>
      <c r="K160" s="194">
        <f ca="1">DATOSAÑO!W377</f>
        <v>12235.640000000032</v>
      </c>
      <c r="L160" s="194">
        <f ca="1">DATOSAÑO!X377</f>
        <v>5.0939999999999372</v>
      </c>
      <c r="M160" s="194">
        <f ca="1">DATOSAÑO!Y377</f>
        <v>12240.734000000031</v>
      </c>
      <c r="N160" s="194">
        <f t="shared" ref="N160:N170" ca="1" si="17">$M160/2</f>
        <v>6120.3670000000157</v>
      </c>
      <c r="O160" s="194">
        <f ca="1">DATOSAÑO!BD377</f>
        <v>6244.9320000000225</v>
      </c>
      <c r="P160" s="194">
        <f t="shared" ref="P160:P170" ca="1" si="18">$O160/2</f>
        <v>3122.4660000000113</v>
      </c>
      <c r="Q160" s="195">
        <f ca="1">DATOSAÑO!D377</f>
        <v>135.61939776059879</v>
      </c>
      <c r="R160" s="195">
        <f ca="1">DATOSAÑO!K377</f>
        <v>102.83230648877804</v>
      </c>
      <c r="S160" s="195">
        <f t="shared" ref="S160:S170" ca="1" si="19">$Q160+$R160</f>
        <v>238.45170424937683</v>
      </c>
      <c r="T160" s="195">
        <f ca="1">DATOSAÑO!AD377</f>
        <v>4449.0999999999767</v>
      </c>
      <c r="U160" s="195">
        <f ca="1">DATOSAÑO!AF377</f>
        <v>4044</v>
      </c>
      <c r="V160" s="195">
        <f ca="1">DATOSAÑO!AH377</f>
        <v>280.5</v>
      </c>
      <c r="W160" s="195">
        <f ca="1">DATOSAÑO!AI377</f>
        <v>1097.3600000000079</v>
      </c>
      <c r="X160" s="195">
        <f ca="1">DATOSAÑO!AJ377</f>
        <v>247.08999999999651</v>
      </c>
      <c r="Y160" s="195">
        <f ca="1">DATOSAÑO!AK377</f>
        <v>413.5</v>
      </c>
      <c r="Z160" s="195">
        <f ca="1">DATOSAÑO!AL377</f>
        <v>928.88400000008437</v>
      </c>
      <c r="AA160" s="195">
        <f ca="1">DATOSAÑO!AM377</f>
        <v>264.84499999996621</v>
      </c>
      <c r="AB160" s="195">
        <f ca="1">DATOSAÑO!AN377</f>
        <v>86.488000000000483</v>
      </c>
      <c r="AC160" s="691">
        <f ca="1">DATOSAÑO!G377</f>
        <v>0</v>
      </c>
      <c r="AD160" s="691">
        <f ca="1">DATOSAÑO!N377</f>
        <v>0</v>
      </c>
      <c r="AE160" s="691">
        <f ca="1">DATOSAÑO!R377</f>
        <v>138.3600000000024</v>
      </c>
      <c r="AF160" s="691">
        <f ca="1">DATOSAÑO!U377</f>
        <v>412.91999999999007</v>
      </c>
      <c r="AG160" s="604">
        <f t="shared" ref="AG160:AG170" ca="1" si="20">SUM(AC160:AF160)</f>
        <v>551.27999999999247</v>
      </c>
      <c r="AH160" s="699">
        <v>882.2</v>
      </c>
    </row>
    <row r="161" spans="2:34">
      <c r="B161" s="217">
        <v>41699</v>
      </c>
      <c r="C161" s="194">
        <f ca="1">DATOSAÑO!I378</f>
        <v>9022.8399999999674</v>
      </c>
      <c r="D161" s="194">
        <f ca="1">DATOSAÑO!AO378</f>
        <v>4590.2999999999884</v>
      </c>
      <c r="E161" s="194">
        <f ca="1">DATOSAÑO!P378</f>
        <v>4705.4199999999983</v>
      </c>
      <c r="F161" s="194">
        <f ca="1">DATOSAÑO!AP378</f>
        <v>2416.7900000000009</v>
      </c>
      <c r="G161" s="194">
        <f ca="1">DATOSAÑO!Q378</f>
        <v>0.64599999999995816</v>
      </c>
      <c r="H161" s="194">
        <f ca="1">DATOSAÑO!AQ378</f>
        <v>0.19500000000005002</v>
      </c>
      <c r="I161" s="194">
        <f ca="1">DATOSAÑO!T378</f>
        <v>1.0579999999999927</v>
      </c>
      <c r="J161" s="194">
        <f ca="1">DATOSAÑO!AR378</f>
        <v>0.40100000000001046</v>
      </c>
      <c r="K161" s="194">
        <f ca="1">DATOSAÑO!W378</f>
        <v>13728.259999999966</v>
      </c>
      <c r="L161" s="194">
        <f ca="1">DATOSAÑO!X378</f>
        <v>1.7039999999999509</v>
      </c>
      <c r="M161" s="194">
        <f ca="1">DATOSAÑO!Y378</f>
        <v>13729.963999999965</v>
      </c>
      <c r="N161" s="194">
        <f t="shared" ca="1" si="17"/>
        <v>6864.9819999999827</v>
      </c>
      <c r="O161" s="194">
        <f ca="1">DATOSAÑO!BD378</f>
        <v>7007.6859999999897</v>
      </c>
      <c r="P161" s="194">
        <f t="shared" ca="1" si="18"/>
        <v>3503.8429999999948</v>
      </c>
      <c r="Q161" s="195">
        <f ca="1">DATOSAÑO!D378</f>
        <v>150.34417391895238</v>
      </c>
      <c r="R161" s="195">
        <f ca="1">DATOSAÑO!K378</f>
        <v>115.13728264713214</v>
      </c>
      <c r="S161" s="195">
        <f t="shared" ca="1" si="19"/>
        <v>265.48145656608449</v>
      </c>
      <c r="T161" s="195">
        <f ca="1">DATOSAÑO!AD378</f>
        <v>5082.4000000000233</v>
      </c>
      <c r="U161" s="195">
        <f ca="1">DATOSAÑO!AF378</f>
        <v>4448</v>
      </c>
      <c r="V161" s="195">
        <f ca="1">DATOSAÑO!AH378</f>
        <v>300.79999999999927</v>
      </c>
      <c r="W161" s="195">
        <f ca="1">DATOSAÑO!AI378</f>
        <v>1212.5399999999936</v>
      </c>
      <c r="X161" s="195">
        <f ca="1">DATOSAÑO!AJ378</f>
        <v>237.61000000000058</v>
      </c>
      <c r="Y161" s="195">
        <f ca="1">DATOSAÑO!AK378</f>
        <v>455.60000000000582</v>
      </c>
      <c r="Z161" s="195">
        <f ca="1">DATOSAÑO!AL378</f>
        <v>1083.1139999999343</v>
      </c>
      <c r="AA161" s="195">
        <f ca="1">DATOSAÑO!AM378</f>
        <v>311.30750000000984</v>
      </c>
      <c r="AB161" s="195">
        <f ca="1">DATOSAÑO!AN378</f>
        <v>82.56799999999977</v>
      </c>
      <c r="AC161" s="691">
        <f ca="1">DATOSAÑO!G378</f>
        <v>0</v>
      </c>
      <c r="AD161" s="691">
        <f ca="1">DATOSAÑO!N378</f>
        <v>0</v>
      </c>
      <c r="AE161" s="691">
        <f ca="1">DATOSAÑO!R378</f>
        <v>77.51999999999498</v>
      </c>
      <c r="AF161" s="691">
        <f ca="1">DATOSAÑO!U378</f>
        <v>126.95999999999913</v>
      </c>
      <c r="AG161" s="604">
        <f t="shared" ca="1" si="20"/>
        <v>204.47999999999411</v>
      </c>
      <c r="AH161" s="699">
        <v>880</v>
      </c>
    </row>
    <row r="162" spans="2:34">
      <c r="B162" s="217">
        <v>41730</v>
      </c>
      <c r="C162" s="194">
        <f ca="1">DATOSAÑO!I379</f>
        <v>9357.1500000000233</v>
      </c>
      <c r="D162" s="194">
        <f ca="1">DATOSAÑO!AO379</f>
        <v>4815.3800000000047</v>
      </c>
      <c r="E162" s="194">
        <f ca="1">DATOSAÑO!P379</f>
        <v>3766.1000000000022</v>
      </c>
      <c r="F162" s="194">
        <f ca="1">DATOSAÑO!AP379</f>
        <v>1913.9600000000009</v>
      </c>
      <c r="G162" s="194">
        <f ca="1">DATOSAÑO!Q379</f>
        <v>5.1920000000000073</v>
      </c>
      <c r="H162" s="194">
        <f ca="1">DATOSAÑO!AQ379</f>
        <v>2.8450000000000273</v>
      </c>
      <c r="I162" s="194">
        <f ca="1">DATOSAÑO!T379</f>
        <v>26.50100000000009</v>
      </c>
      <c r="J162" s="194">
        <f ca="1">DATOSAÑO!AR379</f>
        <v>10.230999999999995</v>
      </c>
      <c r="K162" s="194">
        <f ca="1">DATOSAÑO!W379</f>
        <v>13123.250000000025</v>
      </c>
      <c r="L162" s="194">
        <f ca="1">DATOSAÑO!X379</f>
        <v>31.693000000000097</v>
      </c>
      <c r="M162" s="194">
        <f ca="1">DATOSAÑO!Y379</f>
        <v>13154.943000000025</v>
      </c>
      <c r="N162" s="194">
        <f t="shared" ca="1" si="17"/>
        <v>6577.4715000000124</v>
      </c>
      <c r="O162" s="194">
        <f ca="1">DATOSAÑO!BD379</f>
        <v>6742.4160000000047</v>
      </c>
      <c r="P162" s="194">
        <f t="shared" ca="1" si="18"/>
        <v>3371.2080000000024</v>
      </c>
      <c r="Q162" s="195">
        <f ca="1">DATOSAÑO!D379</f>
        <v>154.463473048483</v>
      </c>
      <c r="R162" s="195">
        <f ca="1">DATOSAÑO!K379</f>
        <v>100.07923481234741</v>
      </c>
      <c r="S162" s="195">
        <f t="shared" ca="1" si="19"/>
        <v>254.5427078608304</v>
      </c>
      <c r="T162" s="195">
        <f ca="1">DATOSAÑO!AD379</f>
        <v>4906.9500000000698</v>
      </c>
      <c r="U162" s="195">
        <f ca="1">DATOSAÑO!AF379</f>
        <v>4297.2000000000116</v>
      </c>
      <c r="V162" s="195">
        <f ca="1">DATOSAÑO!AH379</f>
        <v>314.19999999999891</v>
      </c>
      <c r="W162" s="195">
        <f ca="1">DATOSAÑO!AI379</f>
        <v>1161.3899999999994</v>
      </c>
      <c r="X162" s="195">
        <f ca="1">DATOSAÑO!AJ379</f>
        <v>211.93000000000757</v>
      </c>
      <c r="Y162" s="195">
        <f ca="1">DATOSAÑO!AK379</f>
        <v>421.5</v>
      </c>
      <c r="Z162" s="195">
        <f ca="1">DATOSAÑO!AL379</f>
        <v>1024.5729999999701</v>
      </c>
      <c r="AA162" s="195">
        <f ca="1">DATOSAÑO!AM379</f>
        <v>251.22449999996763</v>
      </c>
      <c r="AB162" s="195">
        <f ca="1">DATOSAÑO!AN379</f>
        <v>98.091000000000065</v>
      </c>
      <c r="AC162" s="691">
        <f ca="1">DATOSAÑO!G379</f>
        <v>0</v>
      </c>
      <c r="AD162" s="691">
        <f ca="1">DATOSAÑO!N379</f>
        <v>0</v>
      </c>
      <c r="AE162" s="691">
        <f ca="1">DATOSAÑO!R379</f>
        <v>623.04000000000087</v>
      </c>
      <c r="AF162" s="691">
        <f ca="1">DATOSAÑO!U379</f>
        <v>3180.1200000000108</v>
      </c>
      <c r="AG162" s="604">
        <f t="shared" ca="1" si="20"/>
        <v>3803.1600000000117</v>
      </c>
      <c r="AH162" s="699">
        <v>860.1</v>
      </c>
    </row>
    <row r="163" spans="2:34">
      <c r="B163" s="217">
        <v>41760</v>
      </c>
      <c r="C163" s="194">
        <f ca="1">DATOSAÑO!I380</f>
        <v>6850.8499999999767</v>
      </c>
      <c r="D163" s="194">
        <f ca="1">DATOSAÑO!AO380</f>
        <v>3382.6199999999953</v>
      </c>
      <c r="E163" s="194">
        <f ca="1">DATOSAÑO!P380</f>
        <v>6271.0999999999985</v>
      </c>
      <c r="F163" s="194">
        <f ca="1">DATOSAÑO!AP380</f>
        <v>3176.9399999999987</v>
      </c>
      <c r="G163" s="194">
        <f ca="1">DATOSAÑO!Q380</f>
        <v>1.4770000000000891</v>
      </c>
      <c r="H163" s="194">
        <f ca="1">DATOSAÑO!AQ380</f>
        <v>0.7419999999999618</v>
      </c>
      <c r="I163" s="194">
        <f ca="1">DATOSAÑO!T380</f>
        <v>2.8199999999999363</v>
      </c>
      <c r="J163" s="194">
        <f ca="1">DATOSAÑO!AR380</f>
        <v>1.0790000000000077</v>
      </c>
      <c r="K163" s="194">
        <f ca="1">DATOSAÑO!W380</f>
        <v>13121.949999999975</v>
      </c>
      <c r="L163" s="194">
        <f ca="1">DATOSAÑO!X380</f>
        <v>4.2970000000000255</v>
      </c>
      <c r="M163" s="194">
        <f ca="1">DATOSAÑO!Y380</f>
        <v>13126.246999999976</v>
      </c>
      <c r="N163" s="194">
        <f t="shared" ca="1" si="17"/>
        <v>6563.1234999999879</v>
      </c>
      <c r="O163" s="194">
        <f ca="1">DATOSAÑO!BD380</f>
        <v>6561.3809999999939</v>
      </c>
      <c r="P163" s="194">
        <f t="shared" ca="1" si="18"/>
        <v>3280.690499999997</v>
      </c>
      <c r="Q163" s="195">
        <f ca="1">DATOSAÑO!D380</f>
        <v>139.16309963284951</v>
      </c>
      <c r="R163" s="195">
        <f ca="1">DATOSAÑO!K380</f>
        <v>134.2026791999287</v>
      </c>
      <c r="S163" s="195">
        <f t="shared" ca="1" si="19"/>
        <v>273.36577883277823</v>
      </c>
      <c r="T163" s="195">
        <f ca="1">DATOSAÑO!AD380</f>
        <v>4462.7</v>
      </c>
      <c r="U163" s="195">
        <f ca="1">DATOSAÑO!AF380</f>
        <v>4650.7999999999884</v>
      </c>
      <c r="V163" s="195">
        <f ca="1">DATOSAÑO!AH380</f>
        <v>340.70000000000437</v>
      </c>
      <c r="W163" s="195">
        <f ca="1">DATOSAÑO!AI380</f>
        <v>1128.5100000000093</v>
      </c>
      <c r="X163" s="195">
        <f ca="1">DATOSAÑO!AJ380</f>
        <v>206.06999999999243</v>
      </c>
      <c r="Y163" s="195">
        <f ca="1">DATOSAÑO!AK380</f>
        <v>394.5</v>
      </c>
      <c r="Z163" s="195">
        <f ca="1">DATOSAÑO!AL380</f>
        <v>1060.5669999999473</v>
      </c>
      <c r="AA163" s="195">
        <f ca="1">DATOSAÑO!AM380</f>
        <v>283.9545000000341</v>
      </c>
      <c r="AB163" s="195">
        <f ca="1">DATOSAÑO!AN380</f>
        <v>99.264000000000195</v>
      </c>
      <c r="AC163" s="691">
        <f ca="1">DATOSAÑO!G380</f>
        <v>0</v>
      </c>
      <c r="AD163" s="691">
        <f ca="1">DATOSAÑO!N380</f>
        <v>0</v>
      </c>
      <c r="AE163" s="691">
        <f ca="1">DATOSAÑO!R380</f>
        <v>177.2400000000107</v>
      </c>
      <c r="AF163" s="691">
        <f ca="1">DATOSAÑO!U380</f>
        <v>338.39999999999236</v>
      </c>
      <c r="AG163" s="604">
        <f t="shared" ca="1" si="20"/>
        <v>515.64000000000306</v>
      </c>
      <c r="AH163" s="699">
        <v>840.8</v>
      </c>
    </row>
    <row r="164" spans="2:34">
      <c r="B164" s="217">
        <v>41791</v>
      </c>
      <c r="C164" s="194">
        <f ca="1">DATOSAÑO!I381</f>
        <v>1176</v>
      </c>
      <c r="D164" s="194">
        <f ca="1">DATOSAÑO!AO381</f>
        <v>587</v>
      </c>
      <c r="E164" s="194">
        <f ca="1">DATOSAÑO!P381</f>
        <v>596</v>
      </c>
      <c r="F164" s="194">
        <f ca="1">DATOSAÑO!AP381</f>
        <v>299</v>
      </c>
      <c r="G164" s="194">
        <f ca="1">DATOSAÑO!Q381</f>
        <v>0</v>
      </c>
      <c r="H164" s="194">
        <f ca="1">DATOSAÑO!AQ381</f>
        <v>0</v>
      </c>
      <c r="I164" s="194">
        <f ca="1">DATOSAÑO!T381</f>
        <v>0</v>
      </c>
      <c r="J164" s="194">
        <f ca="1">DATOSAÑO!AR381</f>
        <v>0</v>
      </c>
      <c r="K164" s="194">
        <f ca="1">DATOSAÑO!W381</f>
        <v>1772</v>
      </c>
      <c r="L164" s="194">
        <f ca="1">DATOSAÑO!X381</f>
        <v>0</v>
      </c>
      <c r="M164" s="194">
        <f ca="1">DATOSAÑO!Y381</f>
        <v>1772</v>
      </c>
      <c r="N164" s="194">
        <f t="shared" ca="1" si="17"/>
        <v>886</v>
      </c>
      <c r="O164" s="194">
        <f ca="1">DATOSAÑO!BD381</f>
        <v>886</v>
      </c>
      <c r="P164" s="194">
        <f t="shared" ca="1" si="18"/>
        <v>443</v>
      </c>
      <c r="Q164" s="195">
        <f ca="1">DATOSAÑO!D381</f>
        <v>19.101107073745005</v>
      </c>
      <c r="R164" s="195">
        <f ca="1">DATOSAÑO!K381</f>
        <v>14.467033328742783</v>
      </c>
      <c r="S164" s="195">
        <f t="shared" ca="1" si="19"/>
        <v>33.568140402487785</v>
      </c>
      <c r="T164" s="195">
        <f ca="1">DATOSAÑO!AD381</f>
        <v>664</v>
      </c>
      <c r="U164" s="195">
        <f ca="1">DATOSAÑO!AF381</f>
        <v>589</v>
      </c>
      <c r="V164" s="195">
        <f ca="1">DATOSAÑO!AH381</f>
        <v>42.799999999997453</v>
      </c>
      <c r="W164" s="195">
        <f ca="1">DATOSAÑO!AI381</f>
        <v>144.59999999999127</v>
      </c>
      <c r="X164" s="195">
        <f ca="1">DATOSAÑO!AJ381</f>
        <v>24.100000000005821</v>
      </c>
      <c r="Y164" s="195">
        <f ca="1">DATOSAÑO!AK381</f>
        <v>51.899999999994179</v>
      </c>
      <c r="Z164" s="195">
        <f ca="1">DATOSAÑO!AL381</f>
        <v>-686.20899999998642</v>
      </c>
      <c r="AA164" s="195">
        <f ca="1">DATOSAÑO!AM381</f>
        <v>3162.4439999999981</v>
      </c>
      <c r="AB164" s="195">
        <f ca="1">DATOSAÑO!AN381</f>
        <v>18.528000000000379</v>
      </c>
      <c r="AC164" s="691">
        <f ca="1">DATOSAÑO!G381</f>
        <v>0</v>
      </c>
      <c r="AD164" s="691">
        <f ca="1">DATOSAÑO!N381</f>
        <v>0</v>
      </c>
      <c r="AE164" s="691">
        <f ca="1">DATOSAÑO!R381</f>
        <v>0</v>
      </c>
      <c r="AF164" s="691">
        <f ca="1">DATOSAÑO!U381</f>
        <v>0</v>
      </c>
      <c r="AG164" s="604">
        <f t="shared" ca="1" si="20"/>
        <v>0</v>
      </c>
      <c r="AH164" s="699">
        <v>900.4</v>
      </c>
    </row>
    <row r="165" spans="2:34">
      <c r="B165" s="217">
        <v>41821</v>
      </c>
      <c r="C165" s="194">
        <f ca="1">DATOSAÑO!I382</f>
        <v>0</v>
      </c>
      <c r="D165" s="194">
        <f>DATOSAÑO!AO382</f>
        <v>0</v>
      </c>
      <c r="E165" s="194">
        <f ca="1">DATOSAÑO!P382</f>
        <v>0</v>
      </c>
      <c r="F165" s="194">
        <f>DATOSAÑO!AP382</f>
        <v>0</v>
      </c>
      <c r="G165" s="194">
        <f ca="1">DATOSAÑO!Q382</f>
        <v>0</v>
      </c>
      <c r="H165" s="194">
        <f ca="1">DATOSAÑO!AQ382</f>
        <v>0</v>
      </c>
      <c r="I165" s="194">
        <f ca="1">DATOSAÑO!T382</f>
        <v>0</v>
      </c>
      <c r="J165" s="194">
        <f ca="1">DATOSAÑO!AR382</f>
        <v>0</v>
      </c>
      <c r="K165" s="194">
        <f ca="1">DATOSAÑO!W382</f>
        <v>0</v>
      </c>
      <c r="L165" s="194">
        <f ca="1">DATOSAÑO!X382</f>
        <v>0</v>
      </c>
      <c r="M165" s="194">
        <f ca="1">DATOSAÑO!Y382</f>
        <v>0</v>
      </c>
      <c r="N165" s="194">
        <f t="shared" ca="1" si="17"/>
        <v>0</v>
      </c>
      <c r="O165" s="194">
        <f ca="1">DATOSAÑO!BD382</f>
        <v>0</v>
      </c>
      <c r="P165" s="194">
        <f t="shared" ca="1" si="18"/>
        <v>0</v>
      </c>
      <c r="Q165" s="195">
        <f ca="1">DATOSAÑO!D382</f>
        <v>0</v>
      </c>
      <c r="R165" s="195">
        <f ca="1">DATOSAÑO!K382</f>
        <v>0</v>
      </c>
      <c r="S165" s="195">
        <f t="shared" ca="1" si="19"/>
        <v>0</v>
      </c>
      <c r="T165" s="195">
        <f ca="1">DATOSAÑO!AD382</f>
        <v>0</v>
      </c>
      <c r="U165" s="195">
        <f ca="1">DATOSAÑO!AF382</f>
        <v>0</v>
      </c>
      <c r="V165" s="195">
        <f ca="1">DATOSAÑO!AH382</f>
        <v>0</v>
      </c>
      <c r="W165" s="195">
        <f ca="1">DATOSAÑO!AI382</f>
        <v>0</v>
      </c>
      <c r="X165" s="195">
        <f ca="1">DATOSAÑO!AJ382</f>
        <v>0</v>
      </c>
      <c r="Y165" s="195">
        <f ca="1">DATOSAÑO!AK382</f>
        <v>0</v>
      </c>
      <c r="Z165" s="195">
        <f ca="1">DATOSAÑO!AL382</f>
        <v>0</v>
      </c>
      <c r="AA165" s="195">
        <f ca="1">DATOSAÑO!AM382</f>
        <v>0</v>
      </c>
      <c r="AB165" s="195">
        <f ca="1">DATOSAÑO!AN382</f>
        <v>0</v>
      </c>
      <c r="AC165" s="691">
        <f ca="1">DATOSAÑO!G382</f>
        <v>0</v>
      </c>
      <c r="AD165" s="691">
        <f ca="1">DATOSAÑO!N382</f>
        <v>0</v>
      </c>
      <c r="AE165" s="691">
        <f ca="1">DATOSAÑO!R382</f>
        <v>0</v>
      </c>
      <c r="AF165" s="691">
        <f ca="1">DATOSAÑO!U382</f>
        <v>0</v>
      </c>
      <c r="AG165" s="604">
        <f t="shared" ca="1" si="20"/>
        <v>0</v>
      </c>
      <c r="AH165" s="699"/>
    </row>
    <row r="166" spans="2:34">
      <c r="B166" s="217">
        <v>41852</v>
      </c>
      <c r="C166" s="194">
        <f ca="1">DATOSAÑO!I383</f>
        <v>0</v>
      </c>
      <c r="D166" s="194">
        <f>DATOSAÑO!AO383</f>
        <v>0</v>
      </c>
      <c r="E166" s="194">
        <f ca="1">DATOSAÑO!P383</f>
        <v>0</v>
      </c>
      <c r="F166" s="194">
        <f>DATOSAÑO!AP383</f>
        <v>0</v>
      </c>
      <c r="G166" s="194">
        <f ca="1">DATOSAÑO!Q383</f>
        <v>0</v>
      </c>
      <c r="H166" s="194">
        <f>DATOSAÑO!AQ383</f>
        <v>0</v>
      </c>
      <c r="I166" s="194">
        <f ca="1">DATOSAÑO!T383</f>
        <v>0</v>
      </c>
      <c r="J166" s="194">
        <f ca="1">DATOSAÑO!AR383</f>
        <v>0</v>
      </c>
      <c r="K166" s="194">
        <f ca="1">DATOSAÑO!W383</f>
        <v>0</v>
      </c>
      <c r="L166" s="194">
        <f ca="1">DATOSAÑO!X383</f>
        <v>0</v>
      </c>
      <c r="M166" s="194">
        <f ca="1">DATOSAÑO!Y383</f>
        <v>0</v>
      </c>
      <c r="N166" s="194">
        <f t="shared" ca="1" si="17"/>
        <v>0</v>
      </c>
      <c r="O166" s="194">
        <f ca="1">DATOSAÑO!BD383</f>
        <v>0</v>
      </c>
      <c r="P166" s="194">
        <f t="shared" ca="1" si="18"/>
        <v>0</v>
      </c>
      <c r="Q166" s="195">
        <f ca="1">DATOSAÑO!D383</f>
        <v>0</v>
      </c>
      <c r="R166" s="195">
        <f ca="1">DATOSAÑO!K383</f>
        <v>0</v>
      </c>
      <c r="S166" s="195">
        <f t="shared" ca="1" si="19"/>
        <v>0</v>
      </c>
      <c r="T166" s="195">
        <f ca="1">DATOSAÑO!AD383</f>
        <v>0</v>
      </c>
      <c r="U166" s="195">
        <f ca="1">DATOSAÑO!AF383</f>
        <v>0</v>
      </c>
      <c r="V166" s="195">
        <f ca="1">DATOSAÑO!AH383</f>
        <v>0</v>
      </c>
      <c r="W166" s="195">
        <f ca="1">DATOSAÑO!AI383</f>
        <v>0</v>
      </c>
      <c r="X166" s="195">
        <f ca="1">DATOSAÑO!AJ383</f>
        <v>0</v>
      </c>
      <c r="Y166" s="195">
        <f ca="1">DATOSAÑO!AK383</f>
        <v>0</v>
      </c>
      <c r="Z166" s="195">
        <f ca="1">DATOSAÑO!AL383</f>
        <v>0</v>
      </c>
      <c r="AA166" s="195">
        <f ca="1">DATOSAÑO!AM383</f>
        <v>0</v>
      </c>
      <c r="AB166" s="195">
        <f ca="1">DATOSAÑO!AN383</f>
        <v>0</v>
      </c>
      <c r="AC166" s="691">
        <f ca="1">DATOSAÑO!G383</f>
        <v>0</v>
      </c>
      <c r="AD166" s="691">
        <f ca="1">DATOSAÑO!N383</f>
        <v>0</v>
      </c>
      <c r="AE166" s="691">
        <f ca="1">DATOSAÑO!R383</f>
        <v>0</v>
      </c>
      <c r="AF166" s="691">
        <f ca="1">DATOSAÑO!U383</f>
        <v>0</v>
      </c>
      <c r="AG166" s="604">
        <f t="shared" ca="1" si="20"/>
        <v>0</v>
      </c>
      <c r="AH166" s="699"/>
    </row>
    <row r="167" spans="2:34">
      <c r="B167" s="217">
        <v>41883</v>
      </c>
      <c r="C167" s="194">
        <f ca="1">DATOSAÑO!I384</f>
        <v>0</v>
      </c>
      <c r="D167" s="194">
        <f>DATOSAÑO!AO384</f>
        <v>0</v>
      </c>
      <c r="E167" s="194">
        <f ca="1">DATOSAÑO!P384</f>
        <v>0</v>
      </c>
      <c r="F167" s="194">
        <f>DATOSAÑO!AP384</f>
        <v>0</v>
      </c>
      <c r="G167" s="194">
        <f ca="1">DATOSAÑO!Q384</f>
        <v>0</v>
      </c>
      <c r="H167" s="194">
        <f>DATOSAÑO!AQ384</f>
        <v>0</v>
      </c>
      <c r="I167" s="194">
        <f ca="1">DATOSAÑO!T384</f>
        <v>0</v>
      </c>
      <c r="J167" s="194">
        <f>DATOSAÑO!AR384</f>
        <v>0</v>
      </c>
      <c r="K167" s="194">
        <f ca="1">DATOSAÑO!W384</f>
        <v>0</v>
      </c>
      <c r="L167" s="194">
        <f ca="1">DATOSAÑO!X384</f>
        <v>1E-3</v>
      </c>
      <c r="M167" s="194">
        <f ca="1">DATOSAÑO!Y384</f>
        <v>0</v>
      </c>
      <c r="N167" s="194">
        <f t="shared" ca="1" si="17"/>
        <v>0</v>
      </c>
      <c r="O167" s="194">
        <f>DATOSAÑO!BD384</f>
        <v>0</v>
      </c>
      <c r="P167" s="194">
        <f t="shared" si="18"/>
        <v>0</v>
      </c>
      <c r="Q167" s="195">
        <f ca="1">DATOSAÑO!D384</f>
        <v>0</v>
      </c>
      <c r="R167" s="195">
        <f ca="1">DATOSAÑO!K384</f>
        <v>0</v>
      </c>
      <c r="S167" s="195">
        <f t="shared" ca="1" si="19"/>
        <v>0</v>
      </c>
      <c r="T167" s="195">
        <f ca="1">DATOSAÑO!AD384</f>
        <v>0</v>
      </c>
      <c r="U167" s="195">
        <f ca="1">DATOSAÑO!AF384</f>
        <v>0</v>
      </c>
      <c r="V167" s="195">
        <f ca="1">DATOSAÑO!AH384</f>
        <v>0</v>
      </c>
      <c r="W167" s="195">
        <f ca="1">DATOSAÑO!AI384</f>
        <v>0</v>
      </c>
      <c r="X167" s="195">
        <f ca="1">DATOSAÑO!AJ384</f>
        <v>0</v>
      </c>
      <c r="Y167" s="195">
        <f ca="1">DATOSAÑO!AK384</f>
        <v>0</v>
      </c>
      <c r="Z167" s="195">
        <f ca="1">DATOSAÑO!AL384</f>
        <v>0</v>
      </c>
      <c r="AA167" s="195">
        <f ca="1">DATOSAÑO!AM384</f>
        <v>0</v>
      </c>
      <c r="AB167" s="195">
        <f ca="1">DATOSAÑO!AN384</f>
        <v>0</v>
      </c>
      <c r="AC167" s="691">
        <f ca="1">DATOSAÑO!G384</f>
        <v>0</v>
      </c>
      <c r="AD167" s="691">
        <f ca="1">DATOSAÑO!N384</f>
        <v>0</v>
      </c>
      <c r="AE167" s="691">
        <f ca="1">DATOSAÑO!R384</f>
        <v>0</v>
      </c>
      <c r="AF167" s="691">
        <f ca="1">DATOSAÑO!U384</f>
        <v>0</v>
      </c>
      <c r="AG167" s="604">
        <f t="shared" ca="1" si="20"/>
        <v>0</v>
      </c>
      <c r="AH167" s="699"/>
    </row>
    <row r="168" spans="2:34">
      <c r="B168" s="217">
        <v>41913</v>
      </c>
      <c r="C168" s="194">
        <f ca="1">DATOSAÑO!I385</f>
        <v>0</v>
      </c>
      <c r="D168" s="194">
        <f ca="1">DATOSAÑO!AO385</f>
        <v>0</v>
      </c>
      <c r="E168" s="194">
        <f ca="1">DATOSAÑO!P385</f>
        <v>0</v>
      </c>
      <c r="F168" s="194">
        <f ca="1">DATOSAÑO!AP385</f>
        <v>0</v>
      </c>
      <c r="G168" s="194">
        <f ca="1">DATOSAÑO!Q385</f>
        <v>0</v>
      </c>
      <c r="H168" s="194">
        <f ca="1">DATOSAÑO!AQ385</f>
        <v>0</v>
      </c>
      <c r="I168" s="194">
        <f ca="1">DATOSAÑO!T385</f>
        <v>0</v>
      </c>
      <c r="J168" s="194">
        <f ca="1">DATOSAÑO!AR385</f>
        <v>0</v>
      </c>
      <c r="K168" s="194">
        <f ca="1">DATOSAÑO!W385</f>
        <v>0</v>
      </c>
      <c r="L168" s="194">
        <f ca="1">DATOSAÑO!X385</f>
        <v>0</v>
      </c>
      <c r="M168" s="194">
        <f ca="1">DATOSAÑO!Y385</f>
        <v>0</v>
      </c>
      <c r="N168" s="194">
        <f t="shared" ca="1" si="17"/>
        <v>0</v>
      </c>
      <c r="O168" s="194">
        <f ca="1">DATOSAÑO!BD385</f>
        <v>0</v>
      </c>
      <c r="P168" s="194">
        <f t="shared" ca="1" si="18"/>
        <v>0</v>
      </c>
      <c r="Q168" s="195">
        <f ca="1">DATOSAÑO!D385</f>
        <v>0</v>
      </c>
      <c r="R168" s="195">
        <f ca="1">DATOSAÑO!K385</f>
        <v>0</v>
      </c>
      <c r="S168" s="195">
        <f t="shared" ca="1" si="19"/>
        <v>0</v>
      </c>
      <c r="T168" s="195">
        <f ca="1">DATOSAÑO!AD385</f>
        <v>0</v>
      </c>
      <c r="U168" s="195">
        <f ca="1">DATOSAÑO!AF385</f>
        <v>0</v>
      </c>
      <c r="V168" s="195">
        <f ca="1">DATOSAÑO!AH385</f>
        <v>0</v>
      </c>
      <c r="W168" s="195">
        <f ca="1">DATOSAÑO!AI385</f>
        <v>0</v>
      </c>
      <c r="X168" s="195">
        <f ca="1">DATOSAÑO!AJ385</f>
        <v>0</v>
      </c>
      <c r="Y168" s="195">
        <f ca="1">DATOSAÑO!AK385</f>
        <v>0</v>
      </c>
      <c r="Z168" s="195">
        <f ca="1">DATOSAÑO!AL385</f>
        <v>0</v>
      </c>
      <c r="AA168" s="195">
        <f ca="1">DATOSAÑO!AM385</f>
        <v>0</v>
      </c>
      <c r="AB168" s="195">
        <f ca="1">DATOSAÑO!AN385</f>
        <v>0</v>
      </c>
      <c r="AC168" s="691">
        <f ca="1">DATOSAÑO!G385</f>
        <v>0</v>
      </c>
      <c r="AD168" s="691">
        <f ca="1">DATOSAÑO!N385</f>
        <v>0</v>
      </c>
      <c r="AE168" s="691">
        <f ca="1">DATOSAÑO!R385</f>
        <v>0</v>
      </c>
      <c r="AF168" s="691">
        <f ca="1">DATOSAÑO!U385</f>
        <v>0</v>
      </c>
      <c r="AG168" s="604">
        <f t="shared" ca="1" si="20"/>
        <v>0</v>
      </c>
      <c r="AH168" s="699"/>
    </row>
    <row r="169" spans="2:34">
      <c r="B169" s="217">
        <v>41944</v>
      </c>
      <c r="C169" s="194">
        <f ca="1">DATOSAÑO!I386</f>
        <v>0</v>
      </c>
      <c r="D169" s="194">
        <f ca="1">DATOSAÑO!AO386</f>
        <v>0</v>
      </c>
      <c r="E169" s="194">
        <f ca="1">DATOSAÑO!P386</f>
        <v>0</v>
      </c>
      <c r="F169" s="194">
        <f ca="1">DATOSAÑO!AP386</f>
        <v>0</v>
      </c>
      <c r="G169" s="194">
        <f ca="1">DATOSAÑO!Q386</f>
        <v>0</v>
      </c>
      <c r="H169" s="194">
        <f ca="1">DATOSAÑO!AQ386</f>
        <v>0</v>
      </c>
      <c r="I169" s="194">
        <f ca="1">DATOSAÑO!T386</f>
        <v>0</v>
      </c>
      <c r="J169" s="194">
        <f ca="1">DATOSAÑO!AR386</f>
        <v>0</v>
      </c>
      <c r="K169" s="194">
        <f ca="1">DATOSAÑO!W386</f>
        <v>0</v>
      </c>
      <c r="L169" s="194">
        <f ca="1">DATOSAÑO!X386</f>
        <v>0</v>
      </c>
      <c r="M169" s="194">
        <f ca="1">DATOSAÑO!Y386</f>
        <v>0</v>
      </c>
      <c r="N169" s="194">
        <f t="shared" ca="1" si="17"/>
        <v>0</v>
      </c>
      <c r="O169" s="194">
        <f ca="1">DATOSAÑO!BD386</f>
        <v>0</v>
      </c>
      <c r="P169" s="194">
        <f t="shared" ca="1" si="18"/>
        <v>0</v>
      </c>
      <c r="Q169" s="195">
        <f ca="1">DATOSAÑO!D386</f>
        <v>0</v>
      </c>
      <c r="R169" s="195">
        <f ca="1">DATOSAÑO!K386</f>
        <v>0</v>
      </c>
      <c r="S169" s="195">
        <f t="shared" ca="1" si="19"/>
        <v>0</v>
      </c>
      <c r="T169" s="195">
        <f ca="1">DATOSAÑO!AD386</f>
        <v>0</v>
      </c>
      <c r="U169" s="195">
        <f ca="1">DATOSAÑO!AF386</f>
        <v>0</v>
      </c>
      <c r="V169" s="195">
        <f ca="1">DATOSAÑO!AH386</f>
        <v>0</v>
      </c>
      <c r="W169" s="195">
        <f ca="1">DATOSAÑO!AI386</f>
        <v>0</v>
      </c>
      <c r="X169" s="195">
        <f ca="1">DATOSAÑO!AJ386</f>
        <v>0</v>
      </c>
      <c r="Y169" s="195">
        <f ca="1">DATOSAÑO!AK386</f>
        <v>0</v>
      </c>
      <c r="Z169" s="195">
        <f ca="1">DATOSAÑO!AL386</f>
        <v>0</v>
      </c>
      <c r="AA169" s="195">
        <f ca="1">DATOSAÑO!AM386</f>
        <v>0</v>
      </c>
      <c r="AB169" s="195">
        <f ca="1">DATOSAÑO!AN386</f>
        <v>0</v>
      </c>
      <c r="AC169" s="691">
        <f ca="1">DATOSAÑO!G386</f>
        <v>0</v>
      </c>
      <c r="AD169" s="691">
        <f ca="1">DATOSAÑO!N386</f>
        <v>0</v>
      </c>
      <c r="AE169" s="691">
        <f ca="1">DATOSAÑO!R386</f>
        <v>0</v>
      </c>
      <c r="AF169" s="691">
        <f ca="1">DATOSAÑO!U386</f>
        <v>0</v>
      </c>
      <c r="AG169" s="604">
        <f t="shared" ca="1" si="20"/>
        <v>0</v>
      </c>
      <c r="AH169" s="699"/>
    </row>
    <row r="170" spans="2:34">
      <c r="B170" s="217">
        <v>41974</v>
      </c>
      <c r="C170" s="194">
        <f ca="1">DATOSAÑO!I387</f>
        <v>0</v>
      </c>
      <c r="D170" s="194">
        <f ca="1">DATOSAÑO!AO387</f>
        <v>0</v>
      </c>
      <c r="E170" s="194">
        <f ca="1">DATOSAÑO!P387</f>
        <v>0</v>
      </c>
      <c r="F170" s="194">
        <f ca="1">DATOSAÑO!AP387</f>
        <v>0</v>
      </c>
      <c r="G170" s="194">
        <f ca="1">DATOSAÑO!Q387</f>
        <v>0</v>
      </c>
      <c r="H170" s="194">
        <f ca="1">DATOSAÑO!AQ387</f>
        <v>0</v>
      </c>
      <c r="I170" s="194">
        <f ca="1">DATOSAÑO!T387</f>
        <v>0</v>
      </c>
      <c r="J170" s="194">
        <f ca="1">DATOSAÑO!AR387</f>
        <v>0</v>
      </c>
      <c r="K170" s="194">
        <f ca="1">DATOSAÑO!W387</f>
        <v>0</v>
      </c>
      <c r="L170" s="194">
        <f ca="1">DATOSAÑO!X387</f>
        <v>0</v>
      </c>
      <c r="M170" s="194">
        <f ca="1">DATOSAÑO!Y387</f>
        <v>0</v>
      </c>
      <c r="N170" s="194">
        <f t="shared" ca="1" si="17"/>
        <v>0</v>
      </c>
      <c r="O170" s="194">
        <f ca="1">DATOSAÑO!BD387</f>
        <v>0</v>
      </c>
      <c r="P170" s="194">
        <f t="shared" ca="1" si="18"/>
        <v>0</v>
      </c>
      <c r="Q170" s="195">
        <f ca="1">DATOSAÑO!D387</f>
        <v>0</v>
      </c>
      <c r="R170" s="195">
        <f ca="1">DATOSAÑO!K387</f>
        <v>0</v>
      </c>
      <c r="S170" s="195">
        <f t="shared" ca="1" si="19"/>
        <v>0</v>
      </c>
      <c r="T170" s="195">
        <f ca="1">DATOSAÑO!AD387</f>
        <v>0</v>
      </c>
      <c r="U170" s="195">
        <f ca="1">DATOSAÑO!AF387</f>
        <v>0</v>
      </c>
      <c r="V170" s="195">
        <f ca="1">DATOSAÑO!AH387</f>
        <v>0</v>
      </c>
      <c r="W170" s="195">
        <f ca="1">DATOSAÑO!AI387</f>
        <v>0</v>
      </c>
      <c r="X170" s="195">
        <f ca="1">DATOSAÑO!AJ387</f>
        <v>0</v>
      </c>
      <c r="Y170" s="195">
        <f ca="1">DATOSAÑO!AK387</f>
        <v>0</v>
      </c>
      <c r="Z170" s="195">
        <f ca="1">DATOSAÑO!AL387</f>
        <v>0</v>
      </c>
      <c r="AA170" s="195">
        <f ca="1">DATOSAÑO!AM387</f>
        <v>0</v>
      </c>
      <c r="AB170" s="195">
        <f ca="1">DATOSAÑO!AN387</f>
        <v>0</v>
      </c>
      <c r="AC170" s="691">
        <f ca="1">DATOSAÑO!G387</f>
        <v>0</v>
      </c>
      <c r="AD170" s="691">
        <f ca="1">DATOSAÑO!N387</f>
        <v>0</v>
      </c>
      <c r="AE170" s="691">
        <f ca="1">DATOSAÑO!R387</f>
        <v>0</v>
      </c>
      <c r="AF170" s="691">
        <f ca="1">DATOSAÑO!U387</f>
        <v>0</v>
      </c>
      <c r="AG170" s="604">
        <f t="shared" ca="1" si="20"/>
        <v>0</v>
      </c>
      <c r="AH170" s="699"/>
    </row>
    <row r="172" spans="2:34">
      <c r="B172" s="387">
        <v>1</v>
      </c>
      <c r="C172" s="408"/>
      <c r="D172" s="408"/>
      <c r="E172" s="408"/>
      <c r="F172" s="408"/>
      <c r="G172" s="408"/>
    </row>
    <row r="173" spans="2:34">
      <c r="E173" s="408"/>
      <c r="F173" s="408"/>
      <c r="G173" s="408"/>
    </row>
    <row r="174" spans="2:34" hidden="1"/>
    <row r="175" spans="2:34" hidden="1">
      <c r="B175" s="2124" t="s">
        <v>132</v>
      </c>
      <c r="C175" s="2121" t="s">
        <v>599</v>
      </c>
      <c r="D175" s="2121" t="s">
        <v>610</v>
      </c>
      <c r="E175" s="2121" t="s">
        <v>588</v>
      </c>
      <c r="F175" s="2121" t="s">
        <v>586</v>
      </c>
      <c r="G175" s="2121" t="s">
        <v>602</v>
      </c>
      <c r="H175" s="2121" t="s">
        <v>609</v>
      </c>
      <c r="I175" s="2121" t="s">
        <v>603</v>
      </c>
      <c r="J175" s="2121" t="s">
        <v>611</v>
      </c>
      <c r="K175" s="2119" t="s">
        <v>189</v>
      </c>
      <c r="L175" s="2119" t="s">
        <v>181</v>
      </c>
      <c r="M175" s="2119" t="s">
        <v>604</v>
      </c>
      <c r="N175" s="2122" t="s">
        <v>211</v>
      </c>
      <c r="O175" s="2119" t="s">
        <v>605</v>
      </c>
    </row>
    <row r="176" spans="2:34" ht="34.5" hidden="1" customHeight="1">
      <c r="B176" s="2125"/>
      <c r="C176" s="2120"/>
      <c r="D176" s="2120"/>
      <c r="E176" s="2120"/>
      <c r="F176" s="2120"/>
      <c r="G176" s="2120"/>
      <c r="H176" s="2120"/>
      <c r="I176" s="2120"/>
      <c r="J176" s="2120"/>
      <c r="K176" s="2120"/>
      <c r="L176" s="2120"/>
      <c r="M176" s="2120"/>
      <c r="N176" s="2123"/>
      <c r="O176" s="2120"/>
    </row>
    <row r="177" spans="2:15" hidden="1">
      <c r="B177" s="599">
        <f>INDEX(B159:B170,B172)</f>
        <v>41640</v>
      </c>
      <c r="C177" s="194" t="e">
        <f>VLOOKUP($B$177,TABLAGRAFICAS,2)</f>
        <v>#NAME?</v>
      </c>
      <c r="D177" s="194" t="e">
        <f>VLOOKUP($B$177,TABLAGRAFICAS,3)</f>
        <v>#NAME?</v>
      </c>
      <c r="E177" s="194" t="e">
        <f>VLOOKUP($B$177,TABLAGRAFICAS,4)</f>
        <v>#NAME?</v>
      </c>
      <c r="F177" s="194" t="e">
        <f>VLOOKUP($B$177,TABLAGRAFICAS,5)</f>
        <v>#NAME?</v>
      </c>
      <c r="G177" s="194" t="e">
        <f>VLOOKUP($B$177,TABLAGRAFICAS,6)</f>
        <v>#NAME?</v>
      </c>
      <c r="H177" s="194" t="e">
        <f>VLOOKUP($B$177,TABLAGRAFICAS,7)</f>
        <v>#NAME?</v>
      </c>
      <c r="I177" s="194" t="e">
        <f>VLOOKUP($B$177,TABLAGRAFICAS,8)</f>
        <v>#NAME?</v>
      </c>
      <c r="J177" s="194" t="e">
        <f>VLOOKUP($B$177,TABLAGRAFICAS,9)</f>
        <v>#NAME?</v>
      </c>
      <c r="K177" s="194" t="e">
        <f>VLOOKUP($B$177,TABLAGRAFICAS,10)</f>
        <v>#NAME?</v>
      </c>
      <c r="L177" s="194" t="e">
        <f>VLOOKUP($B$177,TABLAGRAFICAS,11)</f>
        <v>#NAME?</v>
      </c>
      <c r="M177" s="194" t="e">
        <f>VLOOKUP($B$177,TABLAGRAFICAS,12)</f>
        <v>#NAME?</v>
      </c>
      <c r="N177" s="194" t="e">
        <f>VLOOKUP($B$177,TABLAGRAFICAS,13)</f>
        <v>#NAME?</v>
      </c>
      <c r="O177" s="194" t="e">
        <f>VLOOKUP($B$177,TABLAGRAFICAS,14)</f>
        <v>#NAME?</v>
      </c>
    </row>
    <row r="178" spans="2:15" hidden="1"/>
    <row r="179" spans="2:15" hidden="1"/>
    <row r="180" spans="2:15" hidden="1"/>
    <row r="181" spans="2:15" hidden="1"/>
    <row r="182" spans="2:15" hidden="1"/>
    <row r="183" spans="2:15" hidden="1"/>
    <row r="184" spans="2:15" hidden="1"/>
    <row r="185" spans="2:15" hidden="1"/>
    <row r="186" spans="2:15" hidden="1"/>
    <row r="187" spans="2:15" hidden="1"/>
    <row r="188" spans="2:15" hidden="1"/>
    <row r="189" spans="2:15" hidden="1"/>
    <row r="190" spans="2:15" hidden="1"/>
    <row r="191" spans="2:15" hidden="1"/>
    <row r="192" spans="2:15"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sheetData>
  <mergeCells count="68">
    <mergeCell ref="L175:L176"/>
    <mergeCell ref="M175:M176"/>
    <mergeCell ref="N175:N176"/>
    <mergeCell ref="O175:O176"/>
    <mergeCell ref="G175:G176"/>
    <mergeCell ref="H175:H176"/>
    <mergeCell ref="I175:I176"/>
    <mergeCell ref="J175:J176"/>
    <mergeCell ref="K175:K176"/>
    <mergeCell ref="B175:B176"/>
    <mergeCell ref="C175:C176"/>
    <mergeCell ref="D175:D176"/>
    <mergeCell ref="E175:E176"/>
    <mergeCell ref="F175:F176"/>
    <mergeCell ref="AE83:AN84"/>
    <mergeCell ref="AF157:AF158"/>
    <mergeCell ref="AG157:AG158"/>
    <mergeCell ref="AE157:AE158"/>
    <mergeCell ref="AI85:AI87"/>
    <mergeCell ref="AJ85:AJ87"/>
    <mergeCell ref="AK85:AK87"/>
    <mergeCell ref="AL85:AL87"/>
    <mergeCell ref="AH157:AH158"/>
    <mergeCell ref="Z157:Z158"/>
    <mergeCell ref="AA157:AA158"/>
    <mergeCell ref="AM85:AM87"/>
    <mergeCell ref="AN85:AN87"/>
    <mergeCell ref="AM124:AN124"/>
    <mergeCell ref="AM125:AN125"/>
    <mergeCell ref="AM126:AN126"/>
    <mergeCell ref="AF85:AF87"/>
    <mergeCell ref="AG85:AG87"/>
    <mergeCell ref="AH85:AH87"/>
    <mergeCell ref="AB157:AB158"/>
    <mergeCell ref="AC157:AC158"/>
    <mergeCell ref="AD157:AD158"/>
    <mergeCell ref="AE85:AE87"/>
    <mergeCell ref="AM127:AN127"/>
    <mergeCell ref="Y157:Y158"/>
    <mergeCell ref="X157:X158"/>
    <mergeCell ref="T157:T158"/>
    <mergeCell ref="S157:S158"/>
    <mergeCell ref="V157:V158"/>
    <mergeCell ref="H157:H158"/>
    <mergeCell ref="N4:O4"/>
    <mergeCell ref="R124:T124"/>
    <mergeCell ref="C124:H124"/>
    <mergeCell ref="I124:N124"/>
    <mergeCell ref="D157:D158"/>
    <mergeCell ref="R157:R158"/>
    <mergeCell ref="I157:I158"/>
    <mergeCell ref="O157:O158"/>
    <mergeCell ref="L157:L158"/>
    <mergeCell ref="M157:M158"/>
    <mergeCell ref="B157:B158"/>
    <mergeCell ref="C157:C158"/>
    <mergeCell ref="B124:B125"/>
    <mergeCell ref="F157:F158"/>
    <mergeCell ref="G157:G158"/>
    <mergeCell ref="E157:E158"/>
    <mergeCell ref="U124:W124"/>
    <mergeCell ref="U157:U158"/>
    <mergeCell ref="W157:W158"/>
    <mergeCell ref="Q157:Q158"/>
    <mergeCell ref="J157:J158"/>
    <mergeCell ref="K157:K158"/>
    <mergeCell ref="N157:N158"/>
    <mergeCell ref="P157:P15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93" r:id="rId4" name="Scroll Bar 17">
              <controlPr defaultSize="0" autoPict="0">
                <anchor moveWithCells="1">
                  <from>
                    <xdr:col>14</xdr:col>
                    <xdr:colOff>243840</xdr:colOff>
                    <xdr:row>174</xdr:row>
                    <xdr:rowOff>0</xdr:rowOff>
                  </from>
                  <to>
                    <xdr:col>14</xdr:col>
                    <xdr:colOff>609600</xdr:colOff>
                    <xdr:row>264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1">
    <tabColor theme="3" tint="0.39997558519241921"/>
  </sheetPr>
  <dimension ref="A1"/>
  <sheetViews>
    <sheetView zoomScale="50" zoomScaleNormal="50" workbookViewId="0">
      <selection activeCell="S35" sqref="S35"/>
    </sheetView>
  </sheetViews>
  <sheetFormatPr baseColWidth="10" defaultColWidth="11.44140625" defaultRowHeight="14.4"/>
  <cols>
    <col min="1" max="16384" width="11.44140625" style="442"/>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2:W206"/>
  <sheetViews>
    <sheetView showGridLines="0" topLeftCell="A217" zoomScale="70" zoomScaleNormal="70" workbookViewId="0">
      <selection activeCell="D106" sqref="D106"/>
    </sheetView>
  </sheetViews>
  <sheetFormatPr baseColWidth="10" defaultColWidth="9.21875" defaultRowHeight="14.4"/>
  <cols>
    <col min="1" max="2" width="10.5546875" bestFit="1" customWidth="1"/>
    <col min="3" max="3" width="8.21875" bestFit="1" customWidth="1"/>
    <col min="6" max="6" width="12.77734375" customWidth="1"/>
    <col min="7" max="7" width="12.5546875" customWidth="1"/>
    <col min="8" max="9" width="10.77734375" customWidth="1"/>
    <col min="10" max="10" width="11.5546875" customWidth="1"/>
    <col min="11" max="11" width="14.44140625" customWidth="1"/>
    <col min="14" max="14" width="9.44140625" bestFit="1" customWidth="1"/>
    <col min="19" max="19" width="9.21875" customWidth="1"/>
    <col min="23" max="23" width="14.44140625" customWidth="1"/>
    <col min="255" max="256" width="10.5546875" bestFit="1" customWidth="1"/>
    <col min="257" max="257" width="8.21875" bestFit="1" customWidth="1"/>
    <col min="260" max="260" width="12.77734375" customWidth="1"/>
    <col min="261" max="261" width="12.5546875" customWidth="1"/>
    <col min="262" max="263" width="10.77734375" customWidth="1"/>
    <col min="264" max="264" width="11.5546875" customWidth="1"/>
    <col min="265" max="265" width="14.44140625" customWidth="1"/>
    <col min="266" max="266" width="14.21875" customWidth="1"/>
    <col min="511" max="512" width="10.5546875" bestFit="1" customWidth="1"/>
    <col min="513" max="513" width="8.21875" bestFit="1" customWidth="1"/>
    <col min="516" max="516" width="12.77734375" customWidth="1"/>
    <col min="517" max="517" width="12.5546875" customWidth="1"/>
    <col min="518" max="519" width="10.77734375" customWidth="1"/>
    <col min="520" max="520" width="11.5546875" customWidth="1"/>
    <col min="521" max="521" width="14.44140625" customWidth="1"/>
    <col min="522" max="522" width="14.21875" customWidth="1"/>
    <col min="767" max="768" width="10.5546875" bestFit="1" customWidth="1"/>
    <col min="769" max="769" width="8.21875" bestFit="1" customWidth="1"/>
    <col min="772" max="772" width="12.77734375" customWidth="1"/>
    <col min="773" max="773" width="12.5546875" customWidth="1"/>
    <col min="774" max="775" width="10.77734375" customWidth="1"/>
    <col min="776" max="776" width="11.5546875" customWidth="1"/>
    <col min="777" max="777" width="14.44140625" customWidth="1"/>
    <col min="778" max="778" width="14.21875" customWidth="1"/>
    <col min="1023" max="1024" width="10.5546875" bestFit="1" customWidth="1"/>
    <col min="1025" max="1025" width="8.21875" bestFit="1" customWidth="1"/>
    <col min="1028" max="1028" width="12.77734375" customWidth="1"/>
    <col min="1029" max="1029" width="12.5546875" customWidth="1"/>
    <col min="1030" max="1031" width="10.77734375" customWidth="1"/>
    <col min="1032" max="1032" width="11.5546875" customWidth="1"/>
    <col min="1033" max="1033" width="14.44140625" customWidth="1"/>
    <col min="1034" max="1034" width="14.21875" customWidth="1"/>
    <col min="1279" max="1280" width="10.5546875" bestFit="1" customWidth="1"/>
    <col min="1281" max="1281" width="8.21875" bestFit="1" customWidth="1"/>
    <col min="1284" max="1284" width="12.77734375" customWidth="1"/>
    <col min="1285" max="1285" width="12.5546875" customWidth="1"/>
    <col min="1286" max="1287" width="10.77734375" customWidth="1"/>
    <col min="1288" max="1288" width="11.5546875" customWidth="1"/>
    <col min="1289" max="1289" width="14.44140625" customWidth="1"/>
    <col min="1290" max="1290" width="14.21875" customWidth="1"/>
    <col min="1535" max="1536" width="10.5546875" bestFit="1" customWidth="1"/>
    <col min="1537" max="1537" width="8.21875" bestFit="1" customWidth="1"/>
    <col min="1540" max="1540" width="12.77734375" customWidth="1"/>
    <col min="1541" max="1541" width="12.5546875" customWidth="1"/>
    <col min="1542" max="1543" width="10.77734375" customWidth="1"/>
    <col min="1544" max="1544" width="11.5546875" customWidth="1"/>
    <col min="1545" max="1545" width="14.44140625" customWidth="1"/>
    <col min="1546" max="1546" width="14.21875" customWidth="1"/>
    <col min="1791" max="1792" width="10.5546875" bestFit="1" customWidth="1"/>
    <col min="1793" max="1793" width="8.21875" bestFit="1" customWidth="1"/>
    <col min="1796" max="1796" width="12.77734375" customWidth="1"/>
    <col min="1797" max="1797" width="12.5546875" customWidth="1"/>
    <col min="1798" max="1799" width="10.77734375" customWidth="1"/>
    <col min="1800" max="1800" width="11.5546875" customWidth="1"/>
    <col min="1801" max="1801" width="14.44140625" customWidth="1"/>
    <col min="1802" max="1802" width="14.21875" customWidth="1"/>
    <col min="2047" max="2048" width="10.5546875" bestFit="1" customWidth="1"/>
    <col min="2049" max="2049" width="8.21875" bestFit="1" customWidth="1"/>
    <col min="2052" max="2052" width="12.77734375" customWidth="1"/>
    <col min="2053" max="2053" width="12.5546875" customWidth="1"/>
    <col min="2054" max="2055" width="10.77734375" customWidth="1"/>
    <col min="2056" max="2056" width="11.5546875" customWidth="1"/>
    <col min="2057" max="2057" width="14.44140625" customWidth="1"/>
    <col min="2058" max="2058" width="14.21875" customWidth="1"/>
    <col min="2303" max="2304" width="10.5546875" bestFit="1" customWidth="1"/>
    <col min="2305" max="2305" width="8.21875" bestFit="1" customWidth="1"/>
    <col min="2308" max="2308" width="12.77734375" customWidth="1"/>
    <col min="2309" max="2309" width="12.5546875" customWidth="1"/>
    <col min="2310" max="2311" width="10.77734375" customWidth="1"/>
    <col min="2312" max="2312" width="11.5546875" customWidth="1"/>
    <col min="2313" max="2313" width="14.44140625" customWidth="1"/>
    <col min="2314" max="2314" width="14.21875" customWidth="1"/>
    <col min="2559" max="2560" width="10.5546875" bestFit="1" customWidth="1"/>
    <col min="2561" max="2561" width="8.21875" bestFit="1" customWidth="1"/>
    <col min="2564" max="2564" width="12.77734375" customWidth="1"/>
    <col min="2565" max="2565" width="12.5546875" customWidth="1"/>
    <col min="2566" max="2567" width="10.77734375" customWidth="1"/>
    <col min="2568" max="2568" width="11.5546875" customWidth="1"/>
    <col min="2569" max="2569" width="14.44140625" customWidth="1"/>
    <col min="2570" max="2570" width="14.21875" customWidth="1"/>
    <col min="2815" max="2816" width="10.5546875" bestFit="1" customWidth="1"/>
    <col min="2817" max="2817" width="8.21875" bestFit="1" customWidth="1"/>
    <col min="2820" max="2820" width="12.77734375" customWidth="1"/>
    <col min="2821" max="2821" width="12.5546875" customWidth="1"/>
    <col min="2822" max="2823" width="10.77734375" customWidth="1"/>
    <col min="2824" max="2824" width="11.5546875" customWidth="1"/>
    <col min="2825" max="2825" width="14.44140625" customWidth="1"/>
    <col min="2826" max="2826" width="14.21875" customWidth="1"/>
    <col min="3071" max="3072" width="10.5546875" bestFit="1" customWidth="1"/>
    <col min="3073" max="3073" width="8.21875" bestFit="1" customWidth="1"/>
    <col min="3076" max="3076" width="12.77734375" customWidth="1"/>
    <col min="3077" max="3077" width="12.5546875" customWidth="1"/>
    <col min="3078" max="3079" width="10.77734375" customWidth="1"/>
    <col min="3080" max="3080" width="11.5546875" customWidth="1"/>
    <col min="3081" max="3081" width="14.44140625" customWidth="1"/>
    <col min="3082" max="3082" width="14.21875" customWidth="1"/>
    <col min="3327" max="3328" width="10.5546875" bestFit="1" customWidth="1"/>
    <col min="3329" max="3329" width="8.21875" bestFit="1" customWidth="1"/>
    <col min="3332" max="3332" width="12.77734375" customWidth="1"/>
    <col min="3333" max="3333" width="12.5546875" customWidth="1"/>
    <col min="3334" max="3335" width="10.77734375" customWidth="1"/>
    <col min="3336" max="3336" width="11.5546875" customWidth="1"/>
    <col min="3337" max="3337" width="14.44140625" customWidth="1"/>
    <col min="3338" max="3338" width="14.21875" customWidth="1"/>
    <col min="3583" max="3584" width="10.5546875" bestFit="1" customWidth="1"/>
    <col min="3585" max="3585" width="8.21875" bestFit="1" customWidth="1"/>
    <col min="3588" max="3588" width="12.77734375" customWidth="1"/>
    <col min="3589" max="3589" width="12.5546875" customWidth="1"/>
    <col min="3590" max="3591" width="10.77734375" customWidth="1"/>
    <col min="3592" max="3592" width="11.5546875" customWidth="1"/>
    <col min="3593" max="3593" width="14.44140625" customWidth="1"/>
    <col min="3594" max="3594" width="14.21875" customWidth="1"/>
    <col min="3839" max="3840" width="10.5546875" bestFit="1" customWidth="1"/>
    <col min="3841" max="3841" width="8.21875" bestFit="1" customWidth="1"/>
    <col min="3844" max="3844" width="12.77734375" customWidth="1"/>
    <col min="3845" max="3845" width="12.5546875" customWidth="1"/>
    <col min="3846" max="3847" width="10.77734375" customWidth="1"/>
    <col min="3848" max="3848" width="11.5546875" customWidth="1"/>
    <col min="3849" max="3849" width="14.44140625" customWidth="1"/>
    <col min="3850" max="3850" width="14.21875" customWidth="1"/>
    <col min="4095" max="4096" width="10.5546875" bestFit="1" customWidth="1"/>
    <col min="4097" max="4097" width="8.21875" bestFit="1" customWidth="1"/>
    <col min="4100" max="4100" width="12.77734375" customWidth="1"/>
    <col min="4101" max="4101" width="12.5546875" customWidth="1"/>
    <col min="4102" max="4103" width="10.77734375" customWidth="1"/>
    <col min="4104" max="4104" width="11.5546875" customWidth="1"/>
    <col min="4105" max="4105" width="14.44140625" customWidth="1"/>
    <col min="4106" max="4106" width="14.21875" customWidth="1"/>
    <col min="4351" max="4352" width="10.5546875" bestFit="1" customWidth="1"/>
    <col min="4353" max="4353" width="8.21875" bestFit="1" customWidth="1"/>
    <col min="4356" max="4356" width="12.77734375" customWidth="1"/>
    <col min="4357" max="4357" width="12.5546875" customWidth="1"/>
    <col min="4358" max="4359" width="10.77734375" customWidth="1"/>
    <col min="4360" max="4360" width="11.5546875" customWidth="1"/>
    <col min="4361" max="4361" width="14.44140625" customWidth="1"/>
    <col min="4362" max="4362" width="14.21875" customWidth="1"/>
    <col min="4607" max="4608" width="10.5546875" bestFit="1" customWidth="1"/>
    <col min="4609" max="4609" width="8.21875" bestFit="1" customWidth="1"/>
    <col min="4612" max="4612" width="12.77734375" customWidth="1"/>
    <col min="4613" max="4613" width="12.5546875" customWidth="1"/>
    <col min="4614" max="4615" width="10.77734375" customWidth="1"/>
    <col min="4616" max="4616" width="11.5546875" customWidth="1"/>
    <col min="4617" max="4617" width="14.44140625" customWidth="1"/>
    <col min="4618" max="4618" width="14.21875" customWidth="1"/>
    <col min="4863" max="4864" width="10.5546875" bestFit="1" customWidth="1"/>
    <col min="4865" max="4865" width="8.21875" bestFit="1" customWidth="1"/>
    <col min="4868" max="4868" width="12.77734375" customWidth="1"/>
    <col min="4869" max="4869" width="12.5546875" customWidth="1"/>
    <col min="4870" max="4871" width="10.77734375" customWidth="1"/>
    <col min="4872" max="4872" width="11.5546875" customWidth="1"/>
    <col min="4873" max="4873" width="14.44140625" customWidth="1"/>
    <col min="4874" max="4874" width="14.21875" customWidth="1"/>
    <col min="5119" max="5120" width="10.5546875" bestFit="1" customWidth="1"/>
    <col min="5121" max="5121" width="8.21875" bestFit="1" customWidth="1"/>
    <col min="5124" max="5124" width="12.77734375" customWidth="1"/>
    <col min="5125" max="5125" width="12.5546875" customWidth="1"/>
    <col min="5126" max="5127" width="10.77734375" customWidth="1"/>
    <col min="5128" max="5128" width="11.5546875" customWidth="1"/>
    <col min="5129" max="5129" width="14.44140625" customWidth="1"/>
    <col min="5130" max="5130" width="14.21875" customWidth="1"/>
    <col min="5375" max="5376" width="10.5546875" bestFit="1" customWidth="1"/>
    <col min="5377" max="5377" width="8.21875" bestFit="1" customWidth="1"/>
    <col min="5380" max="5380" width="12.77734375" customWidth="1"/>
    <col min="5381" max="5381" width="12.5546875" customWidth="1"/>
    <col min="5382" max="5383" width="10.77734375" customWidth="1"/>
    <col min="5384" max="5384" width="11.5546875" customWidth="1"/>
    <col min="5385" max="5385" width="14.44140625" customWidth="1"/>
    <col min="5386" max="5386" width="14.21875" customWidth="1"/>
    <col min="5631" max="5632" width="10.5546875" bestFit="1" customWidth="1"/>
    <col min="5633" max="5633" width="8.21875" bestFit="1" customWidth="1"/>
    <col min="5636" max="5636" width="12.77734375" customWidth="1"/>
    <col min="5637" max="5637" width="12.5546875" customWidth="1"/>
    <col min="5638" max="5639" width="10.77734375" customWidth="1"/>
    <col min="5640" max="5640" width="11.5546875" customWidth="1"/>
    <col min="5641" max="5641" width="14.44140625" customWidth="1"/>
    <col min="5642" max="5642" width="14.21875" customWidth="1"/>
    <col min="5887" max="5888" width="10.5546875" bestFit="1" customWidth="1"/>
    <col min="5889" max="5889" width="8.21875" bestFit="1" customWidth="1"/>
    <col min="5892" max="5892" width="12.77734375" customWidth="1"/>
    <col min="5893" max="5893" width="12.5546875" customWidth="1"/>
    <col min="5894" max="5895" width="10.77734375" customWidth="1"/>
    <col min="5896" max="5896" width="11.5546875" customWidth="1"/>
    <col min="5897" max="5897" width="14.44140625" customWidth="1"/>
    <col min="5898" max="5898" width="14.21875" customWidth="1"/>
    <col min="6143" max="6144" width="10.5546875" bestFit="1" customWidth="1"/>
    <col min="6145" max="6145" width="8.21875" bestFit="1" customWidth="1"/>
    <col min="6148" max="6148" width="12.77734375" customWidth="1"/>
    <col min="6149" max="6149" width="12.5546875" customWidth="1"/>
    <col min="6150" max="6151" width="10.77734375" customWidth="1"/>
    <col min="6152" max="6152" width="11.5546875" customWidth="1"/>
    <col min="6153" max="6153" width="14.44140625" customWidth="1"/>
    <col min="6154" max="6154" width="14.21875" customWidth="1"/>
    <col min="6399" max="6400" width="10.5546875" bestFit="1" customWidth="1"/>
    <col min="6401" max="6401" width="8.21875" bestFit="1" customWidth="1"/>
    <col min="6404" max="6404" width="12.77734375" customWidth="1"/>
    <col min="6405" max="6405" width="12.5546875" customWidth="1"/>
    <col min="6406" max="6407" width="10.77734375" customWidth="1"/>
    <col min="6408" max="6408" width="11.5546875" customWidth="1"/>
    <col min="6409" max="6409" width="14.44140625" customWidth="1"/>
    <col min="6410" max="6410" width="14.21875" customWidth="1"/>
    <col min="6655" max="6656" width="10.5546875" bestFit="1" customWidth="1"/>
    <col min="6657" max="6657" width="8.21875" bestFit="1" customWidth="1"/>
    <col min="6660" max="6660" width="12.77734375" customWidth="1"/>
    <col min="6661" max="6661" width="12.5546875" customWidth="1"/>
    <col min="6662" max="6663" width="10.77734375" customWidth="1"/>
    <col min="6664" max="6664" width="11.5546875" customWidth="1"/>
    <col min="6665" max="6665" width="14.44140625" customWidth="1"/>
    <col min="6666" max="6666" width="14.21875" customWidth="1"/>
    <col min="6911" max="6912" width="10.5546875" bestFit="1" customWidth="1"/>
    <col min="6913" max="6913" width="8.21875" bestFit="1" customWidth="1"/>
    <col min="6916" max="6916" width="12.77734375" customWidth="1"/>
    <col min="6917" max="6917" width="12.5546875" customWidth="1"/>
    <col min="6918" max="6919" width="10.77734375" customWidth="1"/>
    <col min="6920" max="6920" width="11.5546875" customWidth="1"/>
    <col min="6921" max="6921" width="14.44140625" customWidth="1"/>
    <col min="6922" max="6922" width="14.21875" customWidth="1"/>
    <col min="7167" max="7168" width="10.5546875" bestFit="1" customWidth="1"/>
    <col min="7169" max="7169" width="8.21875" bestFit="1" customWidth="1"/>
    <col min="7172" max="7172" width="12.77734375" customWidth="1"/>
    <col min="7173" max="7173" width="12.5546875" customWidth="1"/>
    <col min="7174" max="7175" width="10.77734375" customWidth="1"/>
    <col min="7176" max="7176" width="11.5546875" customWidth="1"/>
    <col min="7177" max="7177" width="14.44140625" customWidth="1"/>
    <col min="7178" max="7178" width="14.21875" customWidth="1"/>
    <col min="7423" max="7424" width="10.5546875" bestFit="1" customWidth="1"/>
    <col min="7425" max="7425" width="8.21875" bestFit="1" customWidth="1"/>
    <col min="7428" max="7428" width="12.77734375" customWidth="1"/>
    <col min="7429" max="7429" width="12.5546875" customWidth="1"/>
    <col min="7430" max="7431" width="10.77734375" customWidth="1"/>
    <col min="7432" max="7432" width="11.5546875" customWidth="1"/>
    <col min="7433" max="7433" width="14.44140625" customWidth="1"/>
    <col min="7434" max="7434" width="14.21875" customWidth="1"/>
    <col min="7679" max="7680" width="10.5546875" bestFit="1" customWidth="1"/>
    <col min="7681" max="7681" width="8.21875" bestFit="1" customWidth="1"/>
    <col min="7684" max="7684" width="12.77734375" customWidth="1"/>
    <col min="7685" max="7685" width="12.5546875" customWidth="1"/>
    <col min="7686" max="7687" width="10.77734375" customWidth="1"/>
    <col min="7688" max="7688" width="11.5546875" customWidth="1"/>
    <col min="7689" max="7689" width="14.44140625" customWidth="1"/>
    <col min="7690" max="7690" width="14.21875" customWidth="1"/>
    <col min="7935" max="7936" width="10.5546875" bestFit="1" customWidth="1"/>
    <col min="7937" max="7937" width="8.21875" bestFit="1" customWidth="1"/>
    <col min="7940" max="7940" width="12.77734375" customWidth="1"/>
    <col min="7941" max="7941" width="12.5546875" customWidth="1"/>
    <col min="7942" max="7943" width="10.77734375" customWidth="1"/>
    <col min="7944" max="7944" width="11.5546875" customWidth="1"/>
    <col min="7945" max="7945" width="14.44140625" customWidth="1"/>
    <col min="7946" max="7946" width="14.21875" customWidth="1"/>
    <col min="8191" max="8192" width="10.5546875" bestFit="1" customWidth="1"/>
    <col min="8193" max="8193" width="8.21875" bestFit="1" customWidth="1"/>
    <col min="8196" max="8196" width="12.77734375" customWidth="1"/>
    <col min="8197" max="8197" width="12.5546875" customWidth="1"/>
    <col min="8198" max="8199" width="10.77734375" customWidth="1"/>
    <col min="8200" max="8200" width="11.5546875" customWidth="1"/>
    <col min="8201" max="8201" width="14.44140625" customWidth="1"/>
    <col min="8202" max="8202" width="14.21875" customWidth="1"/>
    <col min="8447" max="8448" width="10.5546875" bestFit="1" customWidth="1"/>
    <col min="8449" max="8449" width="8.21875" bestFit="1" customWidth="1"/>
    <col min="8452" max="8452" width="12.77734375" customWidth="1"/>
    <col min="8453" max="8453" width="12.5546875" customWidth="1"/>
    <col min="8454" max="8455" width="10.77734375" customWidth="1"/>
    <col min="8456" max="8456" width="11.5546875" customWidth="1"/>
    <col min="8457" max="8457" width="14.44140625" customWidth="1"/>
    <col min="8458" max="8458" width="14.21875" customWidth="1"/>
    <col min="8703" max="8704" width="10.5546875" bestFit="1" customWidth="1"/>
    <col min="8705" max="8705" width="8.21875" bestFit="1" customWidth="1"/>
    <col min="8708" max="8708" width="12.77734375" customWidth="1"/>
    <col min="8709" max="8709" width="12.5546875" customWidth="1"/>
    <col min="8710" max="8711" width="10.77734375" customWidth="1"/>
    <col min="8712" max="8712" width="11.5546875" customWidth="1"/>
    <col min="8713" max="8713" width="14.44140625" customWidth="1"/>
    <col min="8714" max="8714" width="14.21875" customWidth="1"/>
    <col min="8959" max="8960" width="10.5546875" bestFit="1" customWidth="1"/>
    <col min="8961" max="8961" width="8.21875" bestFit="1" customWidth="1"/>
    <col min="8964" max="8964" width="12.77734375" customWidth="1"/>
    <col min="8965" max="8965" width="12.5546875" customWidth="1"/>
    <col min="8966" max="8967" width="10.77734375" customWidth="1"/>
    <col min="8968" max="8968" width="11.5546875" customWidth="1"/>
    <col min="8969" max="8969" width="14.44140625" customWidth="1"/>
    <col min="8970" max="8970" width="14.21875" customWidth="1"/>
    <col min="9215" max="9216" width="10.5546875" bestFit="1" customWidth="1"/>
    <col min="9217" max="9217" width="8.21875" bestFit="1" customWidth="1"/>
    <col min="9220" max="9220" width="12.77734375" customWidth="1"/>
    <col min="9221" max="9221" width="12.5546875" customWidth="1"/>
    <col min="9222" max="9223" width="10.77734375" customWidth="1"/>
    <col min="9224" max="9224" width="11.5546875" customWidth="1"/>
    <col min="9225" max="9225" width="14.44140625" customWidth="1"/>
    <col min="9226" max="9226" width="14.21875" customWidth="1"/>
    <col min="9471" max="9472" width="10.5546875" bestFit="1" customWidth="1"/>
    <col min="9473" max="9473" width="8.21875" bestFit="1" customWidth="1"/>
    <col min="9476" max="9476" width="12.77734375" customWidth="1"/>
    <col min="9477" max="9477" width="12.5546875" customWidth="1"/>
    <col min="9478" max="9479" width="10.77734375" customWidth="1"/>
    <col min="9480" max="9480" width="11.5546875" customWidth="1"/>
    <col min="9481" max="9481" width="14.44140625" customWidth="1"/>
    <col min="9482" max="9482" width="14.21875" customWidth="1"/>
    <col min="9727" max="9728" width="10.5546875" bestFit="1" customWidth="1"/>
    <col min="9729" max="9729" width="8.21875" bestFit="1" customWidth="1"/>
    <col min="9732" max="9732" width="12.77734375" customWidth="1"/>
    <col min="9733" max="9733" width="12.5546875" customWidth="1"/>
    <col min="9734" max="9735" width="10.77734375" customWidth="1"/>
    <col min="9736" max="9736" width="11.5546875" customWidth="1"/>
    <col min="9737" max="9737" width="14.44140625" customWidth="1"/>
    <col min="9738" max="9738" width="14.21875" customWidth="1"/>
    <col min="9983" max="9984" width="10.5546875" bestFit="1" customWidth="1"/>
    <col min="9985" max="9985" width="8.21875" bestFit="1" customWidth="1"/>
    <col min="9988" max="9988" width="12.77734375" customWidth="1"/>
    <col min="9989" max="9989" width="12.5546875" customWidth="1"/>
    <col min="9990" max="9991" width="10.77734375" customWidth="1"/>
    <col min="9992" max="9992" width="11.5546875" customWidth="1"/>
    <col min="9993" max="9993" width="14.44140625" customWidth="1"/>
    <col min="9994" max="9994" width="14.21875" customWidth="1"/>
    <col min="10239" max="10240" width="10.5546875" bestFit="1" customWidth="1"/>
    <col min="10241" max="10241" width="8.21875" bestFit="1" customWidth="1"/>
    <col min="10244" max="10244" width="12.77734375" customWidth="1"/>
    <col min="10245" max="10245" width="12.5546875" customWidth="1"/>
    <col min="10246" max="10247" width="10.77734375" customWidth="1"/>
    <col min="10248" max="10248" width="11.5546875" customWidth="1"/>
    <col min="10249" max="10249" width="14.44140625" customWidth="1"/>
    <col min="10250" max="10250" width="14.21875" customWidth="1"/>
    <col min="10495" max="10496" width="10.5546875" bestFit="1" customWidth="1"/>
    <col min="10497" max="10497" width="8.21875" bestFit="1" customWidth="1"/>
    <col min="10500" max="10500" width="12.77734375" customWidth="1"/>
    <col min="10501" max="10501" width="12.5546875" customWidth="1"/>
    <col min="10502" max="10503" width="10.77734375" customWidth="1"/>
    <col min="10504" max="10504" width="11.5546875" customWidth="1"/>
    <col min="10505" max="10505" width="14.44140625" customWidth="1"/>
    <col min="10506" max="10506" width="14.21875" customWidth="1"/>
    <col min="10751" max="10752" width="10.5546875" bestFit="1" customWidth="1"/>
    <col min="10753" max="10753" width="8.21875" bestFit="1" customWidth="1"/>
    <col min="10756" max="10756" width="12.77734375" customWidth="1"/>
    <col min="10757" max="10757" width="12.5546875" customWidth="1"/>
    <col min="10758" max="10759" width="10.77734375" customWidth="1"/>
    <col min="10760" max="10760" width="11.5546875" customWidth="1"/>
    <col min="10761" max="10761" width="14.44140625" customWidth="1"/>
    <col min="10762" max="10762" width="14.21875" customWidth="1"/>
    <col min="11007" max="11008" width="10.5546875" bestFit="1" customWidth="1"/>
    <col min="11009" max="11009" width="8.21875" bestFit="1" customWidth="1"/>
    <col min="11012" max="11012" width="12.77734375" customWidth="1"/>
    <col min="11013" max="11013" width="12.5546875" customWidth="1"/>
    <col min="11014" max="11015" width="10.77734375" customWidth="1"/>
    <col min="11016" max="11016" width="11.5546875" customWidth="1"/>
    <col min="11017" max="11017" width="14.44140625" customWidth="1"/>
    <col min="11018" max="11018" width="14.21875" customWidth="1"/>
    <col min="11263" max="11264" width="10.5546875" bestFit="1" customWidth="1"/>
    <col min="11265" max="11265" width="8.21875" bestFit="1" customWidth="1"/>
    <col min="11268" max="11268" width="12.77734375" customWidth="1"/>
    <col min="11269" max="11269" width="12.5546875" customWidth="1"/>
    <col min="11270" max="11271" width="10.77734375" customWidth="1"/>
    <col min="11272" max="11272" width="11.5546875" customWidth="1"/>
    <col min="11273" max="11273" width="14.44140625" customWidth="1"/>
    <col min="11274" max="11274" width="14.21875" customWidth="1"/>
    <col min="11519" max="11520" width="10.5546875" bestFit="1" customWidth="1"/>
    <col min="11521" max="11521" width="8.21875" bestFit="1" customWidth="1"/>
    <col min="11524" max="11524" width="12.77734375" customWidth="1"/>
    <col min="11525" max="11525" width="12.5546875" customWidth="1"/>
    <col min="11526" max="11527" width="10.77734375" customWidth="1"/>
    <col min="11528" max="11528" width="11.5546875" customWidth="1"/>
    <col min="11529" max="11529" width="14.44140625" customWidth="1"/>
    <col min="11530" max="11530" width="14.21875" customWidth="1"/>
    <col min="11775" max="11776" width="10.5546875" bestFit="1" customWidth="1"/>
    <col min="11777" max="11777" width="8.21875" bestFit="1" customWidth="1"/>
    <col min="11780" max="11780" width="12.77734375" customWidth="1"/>
    <col min="11781" max="11781" width="12.5546875" customWidth="1"/>
    <col min="11782" max="11783" width="10.77734375" customWidth="1"/>
    <col min="11784" max="11784" width="11.5546875" customWidth="1"/>
    <col min="11785" max="11785" width="14.44140625" customWidth="1"/>
    <col min="11786" max="11786" width="14.21875" customWidth="1"/>
    <col min="12031" max="12032" width="10.5546875" bestFit="1" customWidth="1"/>
    <col min="12033" max="12033" width="8.21875" bestFit="1" customWidth="1"/>
    <col min="12036" max="12036" width="12.77734375" customWidth="1"/>
    <col min="12037" max="12037" width="12.5546875" customWidth="1"/>
    <col min="12038" max="12039" width="10.77734375" customWidth="1"/>
    <col min="12040" max="12040" width="11.5546875" customWidth="1"/>
    <col min="12041" max="12041" width="14.44140625" customWidth="1"/>
    <col min="12042" max="12042" width="14.21875" customWidth="1"/>
    <col min="12287" max="12288" width="10.5546875" bestFit="1" customWidth="1"/>
    <col min="12289" max="12289" width="8.21875" bestFit="1" customWidth="1"/>
    <col min="12292" max="12292" width="12.77734375" customWidth="1"/>
    <col min="12293" max="12293" width="12.5546875" customWidth="1"/>
    <col min="12294" max="12295" width="10.77734375" customWidth="1"/>
    <col min="12296" max="12296" width="11.5546875" customWidth="1"/>
    <col min="12297" max="12297" width="14.44140625" customWidth="1"/>
    <col min="12298" max="12298" width="14.21875" customWidth="1"/>
    <col min="12543" max="12544" width="10.5546875" bestFit="1" customWidth="1"/>
    <col min="12545" max="12545" width="8.21875" bestFit="1" customWidth="1"/>
    <col min="12548" max="12548" width="12.77734375" customWidth="1"/>
    <col min="12549" max="12549" width="12.5546875" customWidth="1"/>
    <col min="12550" max="12551" width="10.77734375" customWidth="1"/>
    <col min="12552" max="12552" width="11.5546875" customWidth="1"/>
    <col min="12553" max="12553" width="14.44140625" customWidth="1"/>
    <col min="12554" max="12554" width="14.21875" customWidth="1"/>
    <col min="12799" max="12800" width="10.5546875" bestFit="1" customWidth="1"/>
    <col min="12801" max="12801" width="8.21875" bestFit="1" customWidth="1"/>
    <col min="12804" max="12804" width="12.77734375" customWidth="1"/>
    <col min="12805" max="12805" width="12.5546875" customWidth="1"/>
    <col min="12806" max="12807" width="10.77734375" customWidth="1"/>
    <col min="12808" max="12808" width="11.5546875" customWidth="1"/>
    <col min="12809" max="12809" width="14.44140625" customWidth="1"/>
    <col min="12810" max="12810" width="14.21875" customWidth="1"/>
    <col min="13055" max="13056" width="10.5546875" bestFit="1" customWidth="1"/>
    <col min="13057" max="13057" width="8.21875" bestFit="1" customWidth="1"/>
    <col min="13060" max="13060" width="12.77734375" customWidth="1"/>
    <col min="13061" max="13061" width="12.5546875" customWidth="1"/>
    <col min="13062" max="13063" width="10.77734375" customWidth="1"/>
    <col min="13064" max="13064" width="11.5546875" customWidth="1"/>
    <col min="13065" max="13065" width="14.44140625" customWidth="1"/>
    <col min="13066" max="13066" width="14.21875" customWidth="1"/>
    <col min="13311" max="13312" width="10.5546875" bestFit="1" customWidth="1"/>
    <col min="13313" max="13313" width="8.21875" bestFit="1" customWidth="1"/>
    <col min="13316" max="13316" width="12.77734375" customWidth="1"/>
    <col min="13317" max="13317" width="12.5546875" customWidth="1"/>
    <col min="13318" max="13319" width="10.77734375" customWidth="1"/>
    <col min="13320" max="13320" width="11.5546875" customWidth="1"/>
    <col min="13321" max="13321" width="14.44140625" customWidth="1"/>
    <col min="13322" max="13322" width="14.21875" customWidth="1"/>
    <col min="13567" max="13568" width="10.5546875" bestFit="1" customWidth="1"/>
    <col min="13569" max="13569" width="8.21875" bestFit="1" customWidth="1"/>
    <col min="13572" max="13572" width="12.77734375" customWidth="1"/>
    <col min="13573" max="13573" width="12.5546875" customWidth="1"/>
    <col min="13574" max="13575" width="10.77734375" customWidth="1"/>
    <col min="13576" max="13576" width="11.5546875" customWidth="1"/>
    <col min="13577" max="13577" width="14.44140625" customWidth="1"/>
    <col min="13578" max="13578" width="14.21875" customWidth="1"/>
    <col min="13823" max="13824" width="10.5546875" bestFit="1" customWidth="1"/>
    <col min="13825" max="13825" width="8.21875" bestFit="1" customWidth="1"/>
    <col min="13828" max="13828" width="12.77734375" customWidth="1"/>
    <col min="13829" max="13829" width="12.5546875" customWidth="1"/>
    <col min="13830" max="13831" width="10.77734375" customWidth="1"/>
    <col min="13832" max="13832" width="11.5546875" customWidth="1"/>
    <col min="13833" max="13833" width="14.44140625" customWidth="1"/>
    <col min="13834" max="13834" width="14.21875" customWidth="1"/>
    <col min="14079" max="14080" width="10.5546875" bestFit="1" customWidth="1"/>
    <col min="14081" max="14081" width="8.21875" bestFit="1" customWidth="1"/>
    <col min="14084" max="14084" width="12.77734375" customWidth="1"/>
    <col min="14085" max="14085" width="12.5546875" customWidth="1"/>
    <col min="14086" max="14087" width="10.77734375" customWidth="1"/>
    <col min="14088" max="14088" width="11.5546875" customWidth="1"/>
    <col min="14089" max="14089" width="14.44140625" customWidth="1"/>
    <col min="14090" max="14090" width="14.21875" customWidth="1"/>
    <col min="14335" max="14336" width="10.5546875" bestFit="1" customWidth="1"/>
    <col min="14337" max="14337" width="8.21875" bestFit="1" customWidth="1"/>
    <col min="14340" max="14340" width="12.77734375" customWidth="1"/>
    <col min="14341" max="14341" width="12.5546875" customWidth="1"/>
    <col min="14342" max="14343" width="10.77734375" customWidth="1"/>
    <col min="14344" max="14344" width="11.5546875" customWidth="1"/>
    <col min="14345" max="14345" width="14.44140625" customWidth="1"/>
    <col min="14346" max="14346" width="14.21875" customWidth="1"/>
    <col min="14591" max="14592" width="10.5546875" bestFit="1" customWidth="1"/>
    <col min="14593" max="14593" width="8.21875" bestFit="1" customWidth="1"/>
    <col min="14596" max="14596" width="12.77734375" customWidth="1"/>
    <col min="14597" max="14597" width="12.5546875" customWidth="1"/>
    <col min="14598" max="14599" width="10.77734375" customWidth="1"/>
    <col min="14600" max="14600" width="11.5546875" customWidth="1"/>
    <col min="14601" max="14601" width="14.44140625" customWidth="1"/>
    <col min="14602" max="14602" width="14.21875" customWidth="1"/>
    <col min="14847" max="14848" width="10.5546875" bestFit="1" customWidth="1"/>
    <col min="14849" max="14849" width="8.21875" bestFit="1" customWidth="1"/>
    <col min="14852" max="14852" width="12.77734375" customWidth="1"/>
    <col min="14853" max="14853" width="12.5546875" customWidth="1"/>
    <col min="14854" max="14855" width="10.77734375" customWidth="1"/>
    <col min="14856" max="14856" width="11.5546875" customWidth="1"/>
    <col min="14857" max="14857" width="14.44140625" customWidth="1"/>
    <col min="14858" max="14858" width="14.21875" customWidth="1"/>
    <col min="15103" max="15104" width="10.5546875" bestFit="1" customWidth="1"/>
    <col min="15105" max="15105" width="8.21875" bestFit="1" customWidth="1"/>
    <col min="15108" max="15108" width="12.77734375" customWidth="1"/>
    <col min="15109" max="15109" width="12.5546875" customWidth="1"/>
    <col min="15110" max="15111" width="10.77734375" customWidth="1"/>
    <col min="15112" max="15112" width="11.5546875" customWidth="1"/>
    <col min="15113" max="15113" width="14.44140625" customWidth="1"/>
    <col min="15114" max="15114" width="14.21875" customWidth="1"/>
    <col min="15359" max="15360" width="10.5546875" bestFit="1" customWidth="1"/>
    <col min="15361" max="15361" width="8.21875" bestFit="1" customWidth="1"/>
    <col min="15364" max="15364" width="12.77734375" customWidth="1"/>
    <col min="15365" max="15365" width="12.5546875" customWidth="1"/>
    <col min="15366" max="15367" width="10.77734375" customWidth="1"/>
    <col min="15368" max="15368" width="11.5546875" customWidth="1"/>
    <col min="15369" max="15369" width="14.44140625" customWidth="1"/>
    <col min="15370" max="15370" width="14.21875" customWidth="1"/>
    <col min="15615" max="15616" width="10.5546875" bestFit="1" customWidth="1"/>
    <col min="15617" max="15617" width="8.21875" bestFit="1" customWidth="1"/>
    <col min="15620" max="15620" width="12.77734375" customWidth="1"/>
    <col min="15621" max="15621" width="12.5546875" customWidth="1"/>
    <col min="15622" max="15623" width="10.77734375" customWidth="1"/>
    <col min="15624" max="15624" width="11.5546875" customWidth="1"/>
    <col min="15625" max="15625" width="14.44140625" customWidth="1"/>
    <col min="15626" max="15626" width="14.21875" customWidth="1"/>
    <col min="15871" max="15872" width="10.5546875" bestFit="1" customWidth="1"/>
    <col min="15873" max="15873" width="8.21875" bestFit="1" customWidth="1"/>
    <col min="15876" max="15876" width="12.77734375" customWidth="1"/>
    <col min="15877" max="15877" width="12.5546875" customWidth="1"/>
    <col min="15878" max="15879" width="10.77734375" customWidth="1"/>
    <col min="15880" max="15880" width="11.5546875" customWidth="1"/>
    <col min="15881" max="15881" width="14.44140625" customWidth="1"/>
    <col min="15882" max="15882" width="14.21875" customWidth="1"/>
    <col min="16127" max="16128" width="10.5546875" bestFit="1" customWidth="1"/>
    <col min="16129" max="16129" width="8.21875" bestFit="1" customWidth="1"/>
    <col min="16132" max="16132" width="12.77734375" customWidth="1"/>
    <col min="16133" max="16133" width="12.5546875" customWidth="1"/>
    <col min="16134" max="16135" width="10.77734375" customWidth="1"/>
    <col min="16136" max="16136" width="11.5546875" customWidth="1"/>
    <col min="16137" max="16137" width="14.44140625" customWidth="1"/>
    <col min="16138" max="16138" width="14.21875" customWidth="1"/>
  </cols>
  <sheetData>
    <row r="2" spans="1:23" ht="15" thickBot="1">
      <c r="B2" s="2157">
        <v>44927</v>
      </c>
      <c r="C2" s="2158"/>
      <c r="D2" s="2158"/>
      <c r="E2" s="2158"/>
      <c r="F2" s="2159" t="s">
        <v>60</v>
      </c>
      <c r="G2" s="2159"/>
      <c r="H2" s="2159"/>
      <c r="I2" s="2159"/>
      <c r="J2" s="2159"/>
      <c r="K2" s="2159"/>
      <c r="N2" s="2157">
        <v>45108</v>
      </c>
      <c r="O2" s="2158"/>
      <c r="P2" s="2158"/>
      <c r="Q2" s="2158"/>
      <c r="R2" s="2159" t="s">
        <v>60</v>
      </c>
      <c r="S2" s="2159"/>
      <c r="T2" s="2159"/>
      <c r="U2" s="2159"/>
      <c r="V2" s="2159"/>
      <c r="W2" s="2159"/>
    </row>
    <row r="3" spans="1:23" ht="44.4" thickTop="1" thickBot="1">
      <c r="A3" s="41">
        <f ca="1">ABS(TODAY()-1)</f>
        <v>45125</v>
      </c>
      <c r="B3" s="66">
        <f ca="1">DAY(A3)</f>
        <v>18</v>
      </c>
      <c r="C3" s="67"/>
      <c r="D3" s="75" t="s">
        <v>61</v>
      </c>
      <c r="E3" s="76" t="s">
        <v>62</v>
      </c>
      <c r="F3" s="42"/>
      <c r="G3" s="43"/>
      <c r="H3" s="43" t="s">
        <v>63</v>
      </c>
      <c r="I3" s="43" t="s">
        <v>64</v>
      </c>
      <c r="J3" s="44" t="s">
        <v>56</v>
      </c>
      <c r="K3" s="43" t="s">
        <v>65</v>
      </c>
      <c r="M3" s="41">
        <f ca="1">ABS(TODAY()-1)</f>
        <v>45125</v>
      </c>
      <c r="N3" s="66">
        <f ca="1">DAY(M3)</f>
        <v>18</v>
      </c>
      <c r="O3" s="67"/>
      <c r="P3" s="75" t="s">
        <v>61</v>
      </c>
      <c r="Q3" s="76" t="s">
        <v>62</v>
      </c>
      <c r="R3" s="42"/>
      <c r="S3" s="43"/>
      <c r="T3" s="43" t="s">
        <v>63</v>
      </c>
      <c r="U3" s="43" t="s">
        <v>64</v>
      </c>
      <c r="V3" s="44" t="s">
        <v>56</v>
      </c>
      <c r="W3" s="43" t="s">
        <v>65</v>
      </c>
    </row>
    <row r="4" spans="1:23" ht="15" thickTop="1">
      <c r="A4">
        <v>1</v>
      </c>
      <c r="B4" s="68">
        <f ca="1">IF(DATOSAÑO!$E11=0,0,((DATOSAÑO!$C11/DATOSAÑO!$E11)*1000)*DATOSAÑO!$E11/24)</f>
        <v>5980.8333333300352</v>
      </c>
      <c r="C4" s="69">
        <f ca="1">IF(DATOSAÑO!$L11=0,0,((DATOSAÑO!$J11/DATOSAÑO!$L11)*1000)*DATOSAÑO!$L11/24)</f>
        <v>11718.333333333323</v>
      </c>
      <c r="D4" s="77">
        <f ca="1">IF(B4&gt;0,(B4-$F$8)/($F$9-$F$8)*($G$9-$G$8)+$G$8,0)</f>
        <v>3.3164106404488516</v>
      </c>
      <c r="E4" s="78">
        <f ca="1">IF(C4&gt;0,(C4-$F$14)/($F$15-$F$14)*($G$15-$G$14)+$G$14,0)</f>
        <v>4.3375567078651684</v>
      </c>
      <c r="F4" s="2155" t="s">
        <v>66</v>
      </c>
      <c r="G4" s="2156"/>
      <c r="H4" s="46">
        <f ca="1">IF($G$5&gt;=J4,1,0)</f>
        <v>1</v>
      </c>
      <c r="I4" s="46">
        <f ca="1">IF($G$11&gt;=J4,1,0)</f>
        <v>1</v>
      </c>
      <c r="J4" s="47">
        <v>0</v>
      </c>
      <c r="K4" s="48">
        <f>PORTADA!H21</f>
        <v>2.2519567078651681</v>
      </c>
      <c r="M4">
        <v>1</v>
      </c>
      <c r="N4" s="68">
        <f ca="1">IF(DATOSAÑO!$E192=0,0,((DATOSAÑO!$C192/DATOSAÑO!$E192)*1000)*DATOSAÑO!$E192/24)</f>
        <v>0</v>
      </c>
      <c r="O4" s="69">
        <f ca="1">IF(DATOSAÑO!$L192=0,0,((DATOSAÑO!$J192/DATOSAÑO!$L192)*1000)*DATOSAÑO!$L192/24)</f>
        <v>0</v>
      </c>
      <c r="P4" s="77">
        <f ca="1">IF(N4&gt;0,(N4-$R$8)/($R$9-$R$8)*($S$9-$S$8)+$S$8,0)</f>
        <v>0</v>
      </c>
      <c r="Q4" s="78">
        <f ca="1">IF(O4&gt;0,(O4-$R$14)/($R$15-$R$14)*($S$15-$S$14)+$S$14,0)</f>
        <v>0</v>
      </c>
      <c r="R4" s="2155" t="s">
        <v>66</v>
      </c>
      <c r="S4" s="2156"/>
      <c r="T4" s="46">
        <f ca="1">IF($S$5&gt;=V4,1,0)</f>
        <v>1</v>
      </c>
      <c r="U4" s="46">
        <f ca="1">IF($S$11&gt;=V4,1,0)</f>
        <v>1</v>
      </c>
      <c r="V4" s="47">
        <v>0</v>
      </c>
      <c r="W4" s="48" t="e">
        <f>PORTADA!N21</f>
        <v>#DIV/0!</v>
      </c>
    </row>
    <row r="5" spans="1:23">
      <c r="A5">
        <v>2</v>
      </c>
      <c r="B5" s="171">
        <f ca="1">IF(DATOSAÑO!$E12=0,0,((DATOSAÑO!$C12/DATOSAÑO!$E12)*1000)*DATOSAÑO!$E12/24)</f>
        <v>6191.6666666705469</v>
      </c>
      <c r="C5" s="71">
        <f ca="1">IF(DATOSAÑO!L12=0,0,((DATOSAÑO!J12/DATOSAÑO!L12)*1000)*DATOSAÑO!L12/24)</f>
        <v>12256.249999999985</v>
      </c>
      <c r="D5" s="81">
        <f t="shared" ref="D5:D34" ca="1" si="0">IF(B5&gt;0,(B5-$F$8)/($F$9-$F$8)*($G$9-$G$8)+$G$8,0)</f>
        <v>3.3539342359557471</v>
      </c>
      <c r="E5" s="45">
        <f t="shared" ref="E5:E34" ca="1" si="1">IF(C5&gt;0,(C5-$F$14)/($F$15-$F$14)*($G$15-$G$14)+$G$14,0)</f>
        <v>4.4332937865168525</v>
      </c>
      <c r="F5" s="49" t="s">
        <v>67</v>
      </c>
      <c r="G5" s="50">
        <f ca="1">INDEX(B4:C34,B3,1)</f>
        <v>6250</v>
      </c>
      <c r="H5" s="46">
        <f t="shared" ref="H5:H15" ca="1" si="2">IF($G$5&gt;=J5,1,0)</f>
        <v>1</v>
      </c>
      <c r="I5" s="46">
        <f t="shared" ref="I5:I15" ca="1" si="3">IF($G$11&gt;=J5,1,0)</f>
        <v>1</v>
      </c>
      <c r="J5" s="47">
        <v>2630</v>
      </c>
      <c r="K5" s="48">
        <f>PORTADA!H22</f>
        <v>2.720037606741573</v>
      </c>
      <c r="M5">
        <v>2</v>
      </c>
      <c r="N5" s="70">
        <f ca="1">IF(DATOSAÑO!$E193=0,0,((DATOSAÑO!$C193/DATOSAÑO!$E193)*1000)*DATOSAÑO!$E193/24)</f>
        <v>0</v>
      </c>
      <c r="O5" s="71">
        <f ca="1">IF(DATOSAÑO!$L193=0,0,((DATOSAÑO!$J193/DATOSAÑO!$L193)*1000)*DATOSAÑO!$L193/24)</f>
        <v>0</v>
      </c>
      <c r="P5" s="81">
        <f t="shared" ref="P5:P34" ca="1" si="4">IF(N5&gt;0,(N5-$F$144)/($F$145-$F$144)*($G$145-$G$144)+$G$144,0)</f>
        <v>0</v>
      </c>
      <c r="Q5" s="45">
        <f t="shared" ref="Q5:Q34" ca="1" si="5">IF(O5&gt;0,(O5-$F$150)/($F$151-$F$150)*($G$151-$G$150)+$G$150,0)</f>
        <v>0</v>
      </c>
      <c r="R5" s="49" t="s">
        <v>67</v>
      </c>
      <c r="S5" s="50">
        <f ca="1">INDEX(N4:O34,N3,1)</f>
        <v>0</v>
      </c>
      <c r="T5" s="46">
        <f t="shared" ref="T5:T14" ca="1" si="6">IF($S$5&gt;=V5,1,0)</f>
        <v>0</v>
      </c>
      <c r="U5" s="46">
        <f t="shared" ref="U5:U14" ca="1" si="7">IF($S$11&gt;=V5,1,0)</f>
        <v>0</v>
      </c>
      <c r="V5" s="47">
        <v>2630</v>
      </c>
      <c r="W5" s="48" t="e">
        <f>PORTADA!N22</f>
        <v>#DIV/0!</v>
      </c>
    </row>
    <row r="6" spans="1:23">
      <c r="A6">
        <v>3</v>
      </c>
      <c r="B6" s="171">
        <f ca="1">IF(DATOSAÑO!$E13=0,0,((DATOSAÑO!$C13/DATOSAÑO!$E13)*1000)*DATOSAÑO!$E13/24)</f>
        <v>6179.1666666637566</v>
      </c>
      <c r="C6" s="71">
        <f ca="1">IF(DATOSAÑO!L13=0,0,((DATOSAÑO!J13/DATOSAÑO!L13)*1000)*DATOSAÑO!L13/24)</f>
        <v>12451.249999999995</v>
      </c>
      <c r="D6" s="81">
        <f t="shared" ca="1" si="0"/>
        <v>3.3517095168534152</v>
      </c>
      <c r="E6" s="45">
        <f t="shared" ca="1" si="1"/>
        <v>4.4679994044943827</v>
      </c>
      <c r="F6" s="49" t="s">
        <v>68</v>
      </c>
      <c r="G6" s="51">
        <f ca="1">(G5-F8)/(F9-F8)*(G9-G8)+G8</f>
        <v>3.3643162584269666</v>
      </c>
      <c r="H6" s="46">
        <f t="shared" ca="1" si="2"/>
        <v>1</v>
      </c>
      <c r="I6" s="46">
        <f t="shared" ca="1" si="3"/>
        <v>1</v>
      </c>
      <c r="J6" s="47">
        <v>5260</v>
      </c>
      <c r="K6" s="48">
        <f>PORTADA!H23</f>
        <v>3.2661319887640445</v>
      </c>
      <c r="M6">
        <v>3</v>
      </c>
      <c r="N6" s="70">
        <f ca="1">IF(DATOSAÑO!$E194=0,0,((DATOSAÑO!$C194/DATOSAÑO!$E194)*1000)*DATOSAÑO!$E194/24)</f>
        <v>0</v>
      </c>
      <c r="O6" s="71">
        <f ca="1">IF(DATOSAÑO!$L194=0,0,((DATOSAÑO!$J194/DATOSAÑO!$L194)*1000)*DATOSAÑO!$L194/24)</f>
        <v>0</v>
      </c>
      <c r="P6" s="81">
        <f t="shared" ca="1" si="4"/>
        <v>0</v>
      </c>
      <c r="Q6" s="45">
        <f t="shared" ca="1" si="5"/>
        <v>0</v>
      </c>
      <c r="R6" s="49" t="s">
        <v>68</v>
      </c>
      <c r="S6" s="51" t="e">
        <f ca="1">(S5-R8)/(R9-R8)*(S9-S8)+S8</f>
        <v>#DIV/0!</v>
      </c>
      <c r="T6" s="46">
        <f t="shared" ca="1" si="6"/>
        <v>0</v>
      </c>
      <c r="U6" s="46">
        <f t="shared" ca="1" si="7"/>
        <v>0</v>
      </c>
      <c r="V6" s="47">
        <v>5260</v>
      </c>
      <c r="W6" s="48" t="e">
        <f>PORTADA!N23</f>
        <v>#DIV/0!</v>
      </c>
    </row>
    <row r="7" spans="1:23">
      <c r="A7">
        <v>4</v>
      </c>
      <c r="B7" s="171">
        <f ca="1">IF(DATOSAÑO!$E14=0,0,((DATOSAÑO!$C14/DATOSAÑO!$E14)*1000)*DATOSAÑO!$E14/24)</f>
        <v>6162.5000000009704</v>
      </c>
      <c r="C7" s="71">
        <f ca="1">IF(DATOSAÑO!L14=0,0,((DATOSAÑO!J14/DATOSAÑO!L14)*1000)*DATOSAÑO!L14/24)</f>
        <v>12515.833333333378</v>
      </c>
      <c r="D7" s="81">
        <f t="shared" ca="1" si="0"/>
        <v>3.3487432247192741</v>
      </c>
      <c r="E7" s="45">
        <f t="shared" ca="1" si="1"/>
        <v>4.4794937865168638</v>
      </c>
      <c r="F7" s="49"/>
      <c r="G7" s="46"/>
      <c r="H7" s="46">
        <f t="shared" ca="1" si="2"/>
        <v>0</v>
      </c>
      <c r="I7" s="46">
        <f t="shared" ca="1" si="3"/>
        <v>1</v>
      </c>
      <c r="J7" s="47">
        <v>7890</v>
      </c>
      <c r="K7" s="48">
        <f>PORTADA!H24</f>
        <v>3.8512331123595507</v>
      </c>
      <c r="M7">
        <v>4</v>
      </c>
      <c r="N7" s="70">
        <f ca="1">IF(DATOSAÑO!$E195=0,0,((DATOSAÑO!$C195/DATOSAÑO!$E195)*1000)*DATOSAÑO!$E195/24)</f>
        <v>0</v>
      </c>
      <c r="O7" s="71">
        <f ca="1">IF(DATOSAÑO!$L195=0,0,((DATOSAÑO!$J195/DATOSAÑO!$L195)*1000)*DATOSAÑO!$L195/24)</f>
        <v>0</v>
      </c>
      <c r="P7" s="81">
        <f t="shared" ca="1" si="4"/>
        <v>0</v>
      </c>
      <c r="Q7" s="45">
        <f t="shared" ca="1" si="5"/>
        <v>0</v>
      </c>
      <c r="R7" s="49"/>
      <c r="S7" s="46"/>
      <c r="T7" s="46">
        <f t="shared" ca="1" si="6"/>
        <v>0</v>
      </c>
      <c r="U7" s="46">
        <f t="shared" ca="1" si="7"/>
        <v>0</v>
      </c>
      <c r="V7" s="47">
        <v>7890</v>
      </c>
      <c r="W7" s="48" t="e">
        <f>PORTADA!N24</f>
        <v>#DIV/0!</v>
      </c>
    </row>
    <row r="8" spans="1:23">
      <c r="A8">
        <v>5</v>
      </c>
      <c r="B8" s="171">
        <f ca="1">IF(DATOSAÑO!$E15=0,0,((DATOSAÑO!$C15/DATOSAÑO!$E15)*1000)*DATOSAÑO!$E15/24)</f>
        <v>6104.166666666667</v>
      </c>
      <c r="C8" s="71">
        <f ca="1">IF(DATOSAÑO!L15=0,0,((DATOSAÑO!J15/DATOSAÑO!L15)*1000)*DATOSAÑO!L15/24)</f>
        <v>12545.833333333348</v>
      </c>
      <c r="D8" s="81">
        <f t="shared" ca="1" si="0"/>
        <v>3.3383612022471914</v>
      </c>
      <c r="E8" s="45">
        <f t="shared" ca="1" si="1"/>
        <v>4.4848331123595546</v>
      </c>
      <c r="F8" s="52">
        <f ca="1">INDEX(J4:J14,H15)</f>
        <v>0</v>
      </c>
      <c r="G8" s="51">
        <f ca="1">INDEX(K4:K14,H15)</f>
        <v>2.2519567078651681</v>
      </c>
      <c r="H8" s="46">
        <f t="shared" ca="1" si="2"/>
        <v>0</v>
      </c>
      <c r="I8" s="46">
        <f t="shared" ca="1" si="3"/>
        <v>1</v>
      </c>
      <c r="J8" s="47">
        <v>10520</v>
      </c>
      <c r="K8" s="74">
        <f>PORTADA!H25</f>
        <v>4.3583207528089885</v>
      </c>
      <c r="M8">
        <v>5</v>
      </c>
      <c r="N8" s="70">
        <f ca="1">IF(DATOSAÑO!$E196=0,0,((DATOSAÑO!$C196/DATOSAÑO!$E196)*1000)*DATOSAÑO!$E196/24)</f>
        <v>0</v>
      </c>
      <c r="O8" s="71">
        <f ca="1">IF(DATOSAÑO!$L196=0,0,((DATOSAÑO!$J196/DATOSAÑO!$L196)*1000)*DATOSAÑO!$L196/24)</f>
        <v>0</v>
      </c>
      <c r="P8" s="81">
        <f t="shared" ca="1" si="4"/>
        <v>0</v>
      </c>
      <c r="Q8" s="45">
        <f t="shared" ca="1" si="5"/>
        <v>0</v>
      </c>
      <c r="R8" s="52">
        <f ca="1">INDEX(V4:V14,T15)</f>
        <v>0</v>
      </c>
      <c r="S8" s="51" t="e">
        <f ca="1">INDEX(W4:W14,T15)</f>
        <v>#DIV/0!</v>
      </c>
      <c r="T8" s="46">
        <f t="shared" ca="1" si="6"/>
        <v>0</v>
      </c>
      <c r="U8" s="46">
        <f t="shared" ca="1" si="7"/>
        <v>0</v>
      </c>
      <c r="V8" s="47">
        <v>10520</v>
      </c>
      <c r="W8" s="48" t="e">
        <f>PORTADA!N25</f>
        <v>#DIV/0!</v>
      </c>
    </row>
    <row r="9" spans="1:23">
      <c r="A9">
        <v>6</v>
      </c>
      <c r="B9" s="171">
        <f ca="1">IF(DATOSAÑO!$E16=0,0,((DATOSAÑO!$C16/DATOSAÑO!$E16)*1000)*DATOSAÑO!$E16/24)</f>
        <v>4533.3333333352739</v>
      </c>
      <c r="C9" s="71">
        <f ca="1">IF(DATOSAÑO!L16=0,0,((DATOSAÑO!J16/DATOSAÑO!L16)*1000)*DATOSAÑO!L16/24)</f>
        <v>8862.4999999999545</v>
      </c>
      <c r="D9" s="81">
        <f t="shared" ca="1" si="0"/>
        <v>3.0587881685396714</v>
      </c>
      <c r="E9" s="45">
        <f t="shared" ca="1" si="1"/>
        <v>3.8292825505617909</v>
      </c>
      <c r="F9" s="52">
        <f ca="1">INDEX(J4:J14,H15+1)</f>
        <v>2630</v>
      </c>
      <c r="G9" s="51">
        <f ca="1">INDEX(K4:K14,H15+1)</f>
        <v>2.720037606741573</v>
      </c>
      <c r="H9" s="46">
        <f t="shared" ca="1" si="2"/>
        <v>0</v>
      </c>
      <c r="I9" s="46">
        <f t="shared" ca="1" si="3"/>
        <v>0</v>
      </c>
      <c r="J9" s="47">
        <v>13150</v>
      </c>
      <c r="K9" s="48">
        <f>PORTADA!H26</f>
        <v>4.90441513483146</v>
      </c>
      <c r="M9">
        <v>6</v>
      </c>
      <c r="N9" s="70">
        <f ca="1">IF(DATOSAÑO!$E197=0,0,((DATOSAÑO!$C197/DATOSAÑO!$E197)*1000)*DATOSAÑO!$E197/24)</f>
        <v>0</v>
      </c>
      <c r="O9" s="71">
        <f ca="1">IF(DATOSAÑO!$L197=0,0,((DATOSAÑO!$J197/DATOSAÑO!$L197)*1000)*DATOSAÑO!$L197/24)</f>
        <v>0</v>
      </c>
      <c r="P9" s="81">
        <f t="shared" ca="1" si="4"/>
        <v>0</v>
      </c>
      <c r="Q9" s="45">
        <f t="shared" ca="1" si="5"/>
        <v>0</v>
      </c>
      <c r="R9" s="52">
        <f ca="1">INDEX(V4:V14,T15+1)</f>
        <v>2630</v>
      </c>
      <c r="S9" s="51" t="e">
        <f ca="1">INDEX(W4:W14,T15+1)</f>
        <v>#DIV/0!</v>
      </c>
      <c r="T9" s="46">
        <f t="shared" ca="1" si="6"/>
        <v>0</v>
      </c>
      <c r="U9" s="46">
        <f t="shared" ca="1" si="7"/>
        <v>0</v>
      </c>
      <c r="V9" s="47">
        <v>13150</v>
      </c>
      <c r="W9" s="48" t="e">
        <f>PORTADA!N26</f>
        <v>#DIV/0!</v>
      </c>
    </row>
    <row r="10" spans="1:23">
      <c r="A10">
        <v>7</v>
      </c>
      <c r="B10" s="171">
        <f ca="1">IF(DATOSAÑO!$E17=0,0,((DATOSAÑO!$C17/DATOSAÑO!$E17)*1000)*DATOSAÑO!$E17/24)</f>
        <v>5204.1666666627862</v>
      </c>
      <c r="C10" s="71">
        <f ca="1">IF(DATOSAÑO!L17=0,0,((DATOSAÑO!J17/DATOSAÑO!L17)*1000)*DATOSAÑO!L17/24)</f>
        <v>10258.333333333363</v>
      </c>
      <c r="D10" s="81">
        <f t="shared" ca="1" si="0"/>
        <v>3.1781814269656019</v>
      </c>
      <c r="E10" s="45">
        <f t="shared" ca="1" si="1"/>
        <v>4.0777095168539388</v>
      </c>
      <c r="F10" s="2155" t="s">
        <v>69</v>
      </c>
      <c r="G10" s="2156"/>
      <c r="H10" s="46">
        <f t="shared" ca="1" si="2"/>
        <v>0</v>
      </c>
      <c r="I10" s="46">
        <f t="shared" ca="1" si="3"/>
        <v>0</v>
      </c>
      <c r="J10" s="47">
        <v>15780</v>
      </c>
      <c r="K10" s="48">
        <f>PORTADA!H27</f>
        <v>5.4895162584269661</v>
      </c>
      <c r="M10">
        <v>7</v>
      </c>
      <c r="N10" s="70">
        <f ca="1">IF(DATOSAÑO!$E198=0,0,((DATOSAÑO!$C198/DATOSAÑO!$E198)*1000)*DATOSAÑO!$E198/24)</f>
        <v>0</v>
      </c>
      <c r="O10" s="71">
        <f ca="1">IF(DATOSAÑO!$L198=0,0,((DATOSAÑO!$J198/DATOSAÑO!$L198)*1000)*DATOSAÑO!$L198/24)</f>
        <v>0</v>
      </c>
      <c r="P10" s="81">
        <f t="shared" ca="1" si="4"/>
        <v>0</v>
      </c>
      <c r="Q10" s="45">
        <f t="shared" ca="1" si="5"/>
        <v>0</v>
      </c>
      <c r="R10" s="2155" t="s">
        <v>69</v>
      </c>
      <c r="S10" s="2156"/>
      <c r="T10" s="46">
        <f t="shared" ca="1" si="6"/>
        <v>0</v>
      </c>
      <c r="U10" s="46">
        <f t="shared" ca="1" si="7"/>
        <v>0</v>
      </c>
      <c r="V10" s="47">
        <v>15780</v>
      </c>
      <c r="W10" s="48" t="e">
        <f>PORTADA!N27</f>
        <v>#DIV/0!</v>
      </c>
    </row>
    <row r="11" spans="1:23">
      <c r="A11">
        <v>8</v>
      </c>
      <c r="B11" s="171">
        <f ca="1">IF(DATOSAÑO!$E18=0,0,((DATOSAÑO!$C18/DATOSAÑO!$E18)*1000)*DATOSAÑO!$E18/24)</f>
        <v>6225.0000000009704</v>
      </c>
      <c r="C11" s="71">
        <f ca="1">IF(DATOSAÑO!L18=0,0,((DATOSAÑO!J18/DATOSAÑO!L18)*1000)*DATOSAÑO!L18/24)</f>
        <v>12141.666666666652</v>
      </c>
      <c r="D11" s="81">
        <f t="shared" ca="1" si="0"/>
        <v>3.3598668202248922</v>
      </c>
      <c r="E11" s="45">
        <f t="shared" ca="1" si="1"/>
        <v>4.412900528089887</v>
      </c>
      <c r="F11" s="49" t="s">
        <v>67</v>
      </c>
      <c r="G11" s="50">
        <f ca="1">INDEX(B4:C34,B3,2)</f>
        <v>12333.333333333334</v>
      </c>
      <c r="H11" s="46">
        <f t="shared" ca="1" si="2"/>
        <v>0</v>
      </c>
      <c r="I11" s="46">
        <f t="shared" ca="1" si="3"/>
        <v>0</v>
      </c>
      <c r="J11" s="47">
        <v>18410</v>
      </c>
      <c r="K11" s="48">
        <f>PORTADA!H28</f>
        <v>6.152630865168538</v>
      </c>
      <c r="M11">
        <v>8</v>
      </c>
      <c r="N11" s="70">
        <f ca="1">IF(DATOSAÑO!$E199=0,0,((DATOSAÑO!$C199/DATOSAÑO!$E199)*1000)*DATOSAÑO!$E199/24)</f>
        <v>0</v>
      </c>
      <c r="O11" s="71">
        <f ca="1">IF(DATOSAÑO!$L199=0,0,((DATOSAÑO!$J199/DATOSAÑO!$L199)*1000)*DATOSAÑO!$L199/24)</f>
        <v>0</v>
      </c>
      <c r="P11" s="81">
        <f t="shared" ca="1" si="4"/>
        <v>0</v>
      </c>
      <c r="Q11" s="45">
        <f t="shared" ca="1" si="5"/>
        <v>0</v>
      </c>
      <c r="R11" s="49" t="s">
        <v>67</v>
      </c>
      <c r="S11" s="50">
        <f ca="1">INDEX(N4:O34,N3,2)</f>
        <v>0</v>
      </c>
      <c r="T11" s="46">
        <f t="shared" ca="1" si="6"/>
        <v>0</v>
      </c>
      <c r="U11" s="46">
        <f t="shared" ca="1" si="7"/>
        <v>0</v>
      </c>
      <c r="V11" s="47">
        <v>18410</v>
      </c>
      <c r="W11" s="48" t="e">
        <f>PORTADA!N28</f>
        <v>#DIV/0!</v>
      </c>
    </row>
    <row r="12" spans="1:23">
      <c r="A12">
        <v>9</v>
      </c>
      <c r="B12" s="171">
        <f ca="1">IF(DATOSAÑO!$E19=0,0,((DATOSAÑO!$C19/DATOSAÑO!$E19)*1000)*DATOSAÑO!$E19/24)</f>
        <v>6179.1666666686069</v>
      </c>
      <c r="C12" s="71">
        <f ca="1">IF(DATOSAÑO!L19=0,0,((DATOSAÑO!J19/DATOSAÑO!L19)*1000)*DATOSAÑO!L19/24)</f>
        <v>11962.49999999994</v>
      </c>
      <c r="D12" s="81">
        <f t="shared" ca="1" si="0"/>
        <v>3.3517095168542781</v>
      </c>
      <c r="E12" s="45">
        <f t="shared" ca="1" si="1"/>
        <v>4.3810128876404395</v>
      </c>
      <c r="F12" s="49" t="s">
        <v>68</v>
      </c>
      <c r="G12" s="51">
        <f ca="1">(G11-F14)/(F15-F14)*(G15-G14)+G14</f>
        <v>4.4470128876404509</v>
      </c>
      <c r="H12" s="46">
        <f t="shared" ca="1" si="2"/>
        <v>0</v>
      </c>
      <c r="I12" s="46">
        <f t="shared" ca="1" si="3"/>
        <v>0</v>
      </c>
      <c r="J12" s="47">
        <v>21040</v>
      </c>
      <c r="K12" s="48">
        <f>PORTADA!H29</f>
        <v>6.7767387303370787</v>
      </c>
      <c r="M12">
        <v>9</v>
      </c>
      <c r="N12" s="70">
        <f ca="1">IF(DATOSAÑO!$E200=0,0,((DATOSAÑO!$C200/DATOSAÑO!$E200)*1000)*DATOSAÑO!$E200/24)</f>
        <v>0</v>
      </c>
      <c r="O12" s="71">
        <f ca="1">IF(DATOSAÑO!$L200=0,0,((DATOSAÑO!$J200/DATOSAÑO!$L200)*1000)*DATOSAÑO!$L200/24)</f>
        <v>0</v>
      </c>
      <c r="P12" s="81">
        <f t="shared" ca="1" si="4"/>
        <v>0</v>
      </c>
      <c r="Q12" s="45">
        <f t="shared" ca="1" si="5"/>
        <v>0</v>
      </c>
      <c r="R12" s="49" t="s">
        <v>68</v>
      </c>
      <c r="S12" s="51" t="e">
        <f ca="1">(S11-R14)/(R15-R14)*(S15-S14)+S14</f>
        <v>#DIV/0!</v>
      </c>
      <c r="T12" s="46">
        <f t="shared" ca="1" si="6"/>
        <v>0</v>
      </c>
      <c r="U12" s="46">
        <f t="shared" ca="1" si="7"/>
        <v>0</v>
      </c>
      <c r="V12" s="47">
        <v>21040</v>
      </c>
      <c r="W12" s="48" t="e">
        <f>PORTADA!N29</f>
        <v>#DIV/0!</v>
      </c>
    </row>
    <row r="13" spans="1:23">
      <c r="A13">
        <v>10</v>
      </c>
      <c r="B13" s="171">
        <f ca="1">IF(DATOSAÑO!$E20=0,0,((DATOSAÑO!$C20/DATOSAÑO!$E20)*1000)*DATOSAÑO!$E20/24)</f>
        <v>6108.3333333323635</v>
      </c>
      <c r="C13" s="71">
        <f ca="1">IF(DATOSAÑO!L20=0,0,((DATOSAÑO!J20/DATOSAÑO!L20)*1000)*DATOSAÑO!L20/24)</f>
        <v>11804.166666666788</v>
      </c>
      <c r="D13" s="81">
        <f t="shared" ca="1" si="0"/>
        <v>3.3391027752807272</v>
      </c>
      <c r="E13" s="45">
        <f t="shared" ca="1" si="1"/>
        <v>4.3528331123595736</v>
      </c>
      <c r="F13" s="49"/>
      <c r="G13" s="46"/>
      <c r="H13" s="46">
        <f t="shared" ca="1" si="2"/>
        <v>0</v>
      </c>
      <c r="I13" s="46">
        <f t="shared" ca="1" si="3"/>
        <v>0</v>
      </c>
      <c r="J13" s="47">
        <v>23670</v>
      </c>
      <c r="K13" s="48">
        <f>PORTADA!H30</f>
        <v>7.4008465955056186</v>
      </c>
      <c r="M13">
        <v>10</v>
      </c>
      <c r="N13" s="70">
        <f ca="1">IF(DATOSAÑO!$E201=0,0,((DATOSAÑO!$C201/DATOSAÑO!$E201)*1000)*DATOSAÑO!$E201/24)</f>
        <v>0</v>
      </c>
      <c r="O13" s="71">
        <f ca="1">IF(DATOSAÑO!$L201=0,0,((DATOSAÑO!$J201/DATOSAÑO!$L201)*1000)*DATOSAÑO!$L201/24)</f>
        <v>0</v>
      </c>
      <c r="P13" s="81">
        <f t="shared" ca="1" si="4"/>
        <v>0</v>
      </c>
      <c r="Q13" s="45">
        <f t="shared" ca="1" si="5"/>
        <v>0</v>
      </c>
      <c r="R13" s="49"/>
      <c r="S13" s="46"/>
      <c r="T13" s="46">
        <f t="shared" ca="1" si="6"/>
        <v>0</v>
      </c>
      <c r="U13" s="46">
        <f t="shared" ca="1" si="7"/>
        <v>0</v>
      </c>
      <c r="V13" s="47">
        <v>23670</v>
      </c>
      <c r="W13" s="48" t="e">
        <f>PORTADA!N30</f>
        <v>#DIV/0!</v>
      </c>
    </row>
    <row r="14" spans="1:23">
      <c r="A14">
        <v>11</v>
      </c>
      <c r="B14" s="171">
        <f ca="1">IF(DATOSAÑO!$E21=0,0,((DATOSAÑO!$C21/DATOSAÑO!$E21)*1000)*DATOSAÑO!$E21/24)</f>
        <v>6187.5</v>
      </c>
      <c r="C14" s="71">
        <f ca="1">IF(DATOSAÑO!L21=0,0,((DATOSAÑO!J21/DATOSAÑO!L21)*1000)*DATOSAÑO!L21/24)</f>
        <v>11820.833333333212</v>
      </c>
      <c r="D14" s="81">
        <f t="shared" ca="1" si="0"/>
        <v>3.3531926629213489</v>
      </c>
      <c r="E14" s="45">
        <f t="shared" ca="1" si="1"/>
        <v>4.3557994044943618</v>
      </c>
      <c r="F14" s="52">
        <f ca="1">INDEX(J4:J14,I15)</f>
        <v>0</v>
      </c>
      <c r="G14" s="51">
        <f ca="1">INDEX(K4:K14,I15)</f>
        <v>2.2519567078651681</v>
      </c>
      <c r="H14" s="46">
        <f t="shared" ca="1" si="2"/>
        <v>0</v>
      </c>
      <c r="I14" s="46">
        <f t="shared" ca="1" si="3"/>
        <v>0</v>
      </c>
      <c r="J14" s="47">
        <v>26300</v>
      </c>
      <c r="K14" s="48">
        <f>PORTADA!H31</f>
        <v>8.0249544606741576</v>
      </c>
      <c r="M14">
        <v>11</v>
      </c>
      <c r="N14" s="70">
        <f ca="1">IF(DATOSAÑO!$E202=0,0,((DATOSAÑO!$C202/DATOSAÑO!$E202)*1000)*DATOSAÑO!$E202/24)</f>
        <v>0</v>
      </c>
      <c r="O14" s="71">
        <f ca="1">IF(DATOSAÑO!$L202=0,0,((DATOSAÑO!$J202/DATOSAÑO!$L202)*1000)*DATOSAÑO!$L202/24)</f>
        <v>0</v>
      </c>
      <c r="P14" s="81">
        <f t="shared" ca="1" si="4"/>
        <v>0</v>
      </c>
      <c r="Q14" s="45">
        <f t="shared" ca="1" si="5"/>
        <v>0</v>
      </c>
      <c r="R14" s="52">
        <f ca="1">INDEX(V4:V14,U15)</f>
        <v>0</v>
      </c>
      <c r="S14" s="51" t="e">
        <f ca="1">INDEX(W4:W14,U15)</f>
        <v>#DIV/0!</v>
      </c>
      <c r="T14" s="46">
        <f t="shared" ca="1" si="6"/>
        <v>0</v>
      </c>
      <c r="U14" s="46">
        <f t="shared" ca="1" si="7"/>
        <v>0</v>
      </c>
      <c r="V14" s="47">
        <v>26300</v>
      </c>
      <c r="W14" s="48" t="e">
        <f>PORTADA!N31</f>
        <v>#DIV/0!</v>
      </c>
    </row>
    <row r="15" spans="1:23" ht="15" thickBot="1">
      <c r="A15">
        <v>12</v>
      </c>
      <c r="B15" s="171">
        <f ca="1">IF(DATOSAÑO!$E22=0,0,((DATOSAÑO!$C22/DATOSAÑO!$E22)*1000)*DATOSAÑO!$E22/24)</f>
        <v>6312.5</v>
      </c>
      <c r="C15" s="71">
        <f ca="1">IF(DATOSAÑO!L22=0,0,((DATOSAÑO!J22/DATOSAÑO!L22)*1000)*DATOSAÑO!L22/24)</f>
        <v>12537.50000000006</v>
      </c>
      <c r="D15" s="81">
        <f t="shared" ca="1" si="0"/>
        <v>3.3754398539325852</v>
      </c>
      <c r="E15" s="45">
        <f t="shared" ca="1" si="1"/>
        <v>4.4833499662921472</v>
      </c>
      <c r="F15" s="53">
        <f ca="1">INDEX(J4:J14,I15+1)</f>
        <v>2630</v>
      </c>
      <c r="G15" s="54">
        <f ca="1">INDEX(K4:K14,I15+1)</f>
        <v>2.720037606741573</v>
      </c>
      <c r="H15" s="55">
        <f t="shared" ca="1" si="2"/>
        <v>1</v>
      </c>
      <c r="I15" s="55">
        <f t="shared" ca="1" si="3"/>
        <v>1</v>
      </c>
      <c r="J15" s="55"/>
      <c r="K15" s="55"/>
      <c r="M15">
        <v>12</v>
      </c>
      <c r="N15" s="70">
        <f ca="1">IF(DATOSAÑO!$E203=0,0,((DATOSAÑO!$C203/DATOSAÑO!$E203)*1000)*DATOSAÑO!$E203/24)</f>
        <v>0</v>
      </c>
      <c r="O15" s="71">
        <f ca="1">IF(DATOSAÑO!$L203=0,0,((DATOSAÑO!$J203/DATOSAÑO!$L203)*1000)*DATOSAÑO!$L203/24)</f>
        <v>0</v>
      </c>
      <c r="P15" s="81">
        <f t="shared" ca="1" si="4"/>
        <v>0</v>
      </c>
      <c r="Q15" s="45">
        <f t="shared" ca="1" si="5"/>
        <v>0</v>
      </c>
      <c r="R15" s="53">
        <f ca="1">INDEX(V4:V14,U15+1)</f>
        <v>2630</v>
      </c>
      <c r="S15" s="54" t="e">
        <f ca="1">INDEX(W4:W14,U15+1)</f>
        <v>#DIV/0!</v>
      </c>
      <c r="T15" s="55">
        <f ca="1">SUM(T4:T14)</f>
        <v>1</v>
      </c>
      <c r="U15" s="55">
        <f ca="1">SUM(U4:U14)</f>
        <v>1</v>
      </c>
      <c r="V15" s="55"/>
      <c r="W15" s="55"/>
    </row>
    <row r="16" spans="1:23">
      <c r="A16">
        <v>13</v>
      </c>
      <c r="B16" s="171">
        <f ca="1">IF(DATOSAÑO!$E23=0,0,((DATOSAÑO!$C23/DATOSAÑO!$E23)*1000)*DATOSAÑO!$E23/24)</f>
        <v>6083.333333333333</v>
      </c>
      <c r="C16" s="71">
        <f ca="1">IF(DATOSAÑO!L23=0,0,((DATOSAÑO!J23/DATOSAÑO!L23)*1000)*DATOSAÑO!L23/24)</f>
        <v>12833.333333333334</v>
      </c>
      <c r="D16" s="81">
        <f t="shared" ca="1" si="0"/>
        <v>3.3346533370786524</v>
      </c>
      <c r="E16" s="45">
        <f t="shared" ca="1" si="1"/>
        <v>4.5360016516853952</v>
      </c>
      <c r="F16" s="56"/>
      <c r="G16" s="56"/>
      <c r="H16" s="56"/>
      <c r="I16" s="56"/>
      <c r="J16" s="56"/>
      <c r="K16" s="56"/>
      <c r="M16">
        <v>13</v>
      </c>
      <c r="N16" s="70">
        <f ca="1">IF(DATOSAÑO!$E204=0,0,((DATOSAÑO!$C204/DATOSAÑO!$E204)*1000)*DATOSAÑO!$E204/24)</f>
        <v>0</v>
      </c>
      <c r="O16" s="71">
        <f ca="1">IF(DATOSAÑO!$L204=0,0,((DATOSAÑO!$J204/DATOSAÑO!$L204)*1000)*DATOSAÑO!$L204/24)</f>
        <v>0</v>
      </c>
      <c r="P16" s="81">
        <f t="shared" ca="1" si="4"/>
        <v>0</v>
      </c>
      <c r="Q16" s="45">
        <f t="shared" ca="1" si="5"/>
        <v>0</v>
      </c>
      <c r="R16" s="56"/>
      <c r="S16" s="56"/>
      <c r="T16" s="56"/>
      <c r="U16" s="56"/>
      <c r="V16" s="56"/>
      <c r="W16" s="56"/>
    </row>
    <row r="17" spans="1:23">
      <c r="A17">
        <v>14</v>
      </c>
      <c r="B17" s="171">
        <f ca="1">IF(DATOSAÑO!$E24=0,0,((DATOSAÑO!$C24/DATOSAÑO!$E24)*1000)*DATOSAÑO!$E24/24)</f>
        <v>6166.666666666667</v>
      </c>
      <c r="C17" s="71">
        <f ca="1">IF(DATOSAÑO!L24=0,0,((DATOSAÑO!J24/DATOSAÑO!L24)*1000)*DATOSAÑO!L24/24)</f>
        <v>12500</v>
      </c>
      <c r="D17" s="81">
        <f t="shared" ca="1" si="0"/>
        <v>3.3494847977528099</v>
      </c>
      <c r="E17" s="45">
        <f t="shared" ca="1" si="1"/>
        <v>4.4766758089887659</v>
      </c>
      <c r="F17" s="56"/>
      <c r="G17" s="56"/>
      <c r="H17" s="56"/>
      <c r="I17" s="56"/>
      <c r="J17" s="56"/>
      <c r="K17" s="56"/>
      <c r="M17">
        <v>14</v>
      </c>
      <c r="N17" s="70">
        <f ca="1">IF(DATOSAÑO!$E205=0,0,((DATOSAÑO!$C205/DATOSAÑO!$E205)*1000)*DATOSAÑO!$E205/24)</f>
        <v>0</v>
      </c>
      <c r="O17" s="71">
        <f ca="1">IF(DATOSAÑO!$L205=0,0,((DATOSAÑO!$J205/DATOSAÑO!$L205)*1000)*DATOSAÑO!$L205/24)</f>
        <v>0</v>
      </c>
      <c r="P17" s="81">
        <f t="shared" ca="1" si="4"/>
        <v>0</v>
      </c>
      <c r="Q17" s="45">
        <f t="shared" ca="1" si="5"/>
        <v>0</v>
      </c>
      <c r="R17" s="56"/>
      <c r="S17" s="56"/>
      <c r="T17" s="56"/>
      <c r="U17" s="56"/>
      <c r="V17" s="56"/>
      <c r="W17" s="56"/>
    </row>
    <row r="18" spans="1:23">
      <c r="A18">
        <v>15</v>
      </c>
      <c r="B18" s="171">
        <f ca="1">IF(DATOSAÑO!$E25=0,0,((DATOSAÑO!$C25/DATOSAÑO!$E25)*1000)*DATOSAÑO!$E25/24)</f>
        <v>6250</v>
      </c>
      <c r="C18" s="71">
        <f ca="1">IF(DATOSAÑO!L25=0,0,((DATOSAÑO!J25/DATOSAÑO!L25)*1000)*DATOSAÑO!L25/24)</f>
        <v>12500</v>
      </c>
      <c r="D18" s="81">
        <f t="shared" ca="1" si="0"/>
        <v>3.3643162584269666</v>
      </c>
      <c r="E18" s="45">
        <f t="shared" ca="1" si="1"/>
        <v>4.4766758089887659</v>
      </c>
      <c r="F18" s="56"/>
      <c r="G18" s="56"/>
      <c r="H18" s="56"/>
      <c r="I18" s="56"/>
      <c r="J18" s="56"/>
      <c r="K18" s="56"/>
      <c r="M18">
        <v>15</v>
      </c>
      <c r="N18" s="70">
        <f ca="1">IF(DATOSAÑO!$E206=0,0,((DATOSAÑO!$C206/DATOSAÑO!$E206)*1000)*DATOSAÑO!$E206/24)</f>
        <v>0</v>
      </c>
      <c r="O18" s="71">
        <f ca="1">IF(DATOSAÑO!$L206=0,0,((DATOSAÑO!$J206/DATOSAÑO!$L206)*1000)*DATOSAÑO!$L206/24)</f>
        <v>0</v>
      </c>
      <c r="P18" s="81">
        <f t="shared" ca="1" si="4"/>
        <v>0</v>
      </c>
      <c r="Q18" s="45">
        <f t="shared" ca="1" si="5"/>
        <v>0</v>
      </c>
      <c r="R18" s="56"/>
      <c r="S18" s="56"/>
      <c r="T18" s="56"/>
      <c r="U18" s="56"/>
      <c r="V18" s="56"/>
      <c r="W18" s="56"/>
    </row>
    <row r="19" spans="1:23">
      <c r="A19">
        <v>16</v>
      </c>
      <c r="B19" s="171">
        <f ca="1">IF(DATOSAÑO!$E26=0,0,((DATOSAÑO!$C26/DATOSAÑO!$E26)*1000)*DATOSAÑO!$E26/24)</f>
        <v>6250</v>
      </c>
      <c r="C19" s="71">
        <f ca="1">IF(DATOSAÑO!L26=0,0,((DATOSAÑO!J26/DATOSAÑO!L26)*1000)*DATOSAÑO!L26/24)</f>
        <v>12666.666666666666</v>
      </c>
      <c r="D19" s="81">
        <f t="shared" ca="1" si="0"/>
        <v>3.3643162584269666</v>
      </c>
      <c r="E19" s="45">
        <f t="shared" ca="1" si="1"/>
        <v>4.5063387303370801</v>
      </c>
      <c r="F19" s="56"/>
      <c r="G19" s="56"/>
      <c r="H19" s="56"/>
      <c r="I19" s="56"/>
      <c r="J19" s="56"/>
      <c r="K19" s="56"/>
      <c r="M19">
        <v>16</v>
      </c>
      <c r="N19" s="70">
        <f ca="1">IF(DATOSAÑO!$E207=0,0,((DATOSAÑO!$C207/DATOSAÑO!$E207)*1000)*DATOSAÑO!$E207/24)</f>
        <v>0</v>
      </c>
      <c r="O19" s="71">
        <f ca="1">IF(DATOSAÑO!$L207=0,0,((DATOSAÑO!$J207/DATOSAÑO!$L207)*1000)*DATOSAÑO!$L207/24)</f>
        <v>0</v>
      </c>
      <c r="P19" s="81">
        <f t="shared" ca="1" si="4"/>
        <v>0</v>
      </c>
      <c r="Q19" s="45">
        <f t="shared" ca="1" si="5"/>
        <v>0</v>
      </c>
      <c r="R19" s="56"/>
      <c r="S19" s="56"/>
      <c r="T19" s="56"/>
      <c r="U19" s="56"/>
      <c r="V19" s="56"/>
      <c r="W19" s="56"/>
    </row>
    <row r="20" spans="1:23">
      <c r="A20">
        <v>17</v>
      </c>
      <c r="B20" s="171">
        <f ca="1">IF(DATOSAÑO!$E27=0,0,((DATOSAÑO!$C27/DATOSAÑO!$E27)*1000)*DATOSAÑO!$E27/24)</f>
        <v>6250</v>
      </c>
      <c r="C20" s="71">
        <f ca="1">IF(DATOSAÑO!L27=0,0,((DATOSAÑO!J27/DATOSAÑO!L27)*1000)*DATOSAÑO!L27/24)</f>
        <v>12500</v>
      </c>
      <c r="D20" s="81">
        <f t="shared" ca="1" si="0"/>
        <v>3.3643162584269666</v>
      </c>
      <c r="E20" s="45">
        <f t="shared" ca="1" si="1"/>
        <v>4.4766758089887659</v>
      </c>
      <c r="F20" s="56"/>
      <c r="G20" s="56"/>
      <c r="H20" s="57"/>
      <c r="I20" s="56"/>
      <c r="J20" s="56"/>
      <c r="K20" s="56"/>
      <c r="M20">
        <v>17</v>
      </c>
      <c r="N20" s="70">
        <f ca="1">IF(DATOSAÑO!$E208=0,0,((DATOSAÑO!$C208/DATOSAÑO!$E208)*1000)*DATOSAÑO!$E208/24)</f>
        <v>0</v>
      </c>
      <c r="O20" s="71">
        <f ca="1">IF(DATOSAÑO!$L208=0,0,((DATOSAÑO!$J208/DATOSAÑO!$L208)*1000)*DATOSAÑO!$L208/24)</f>
        <v>0</v>
      </c>
      <c r="P20" s="81">
        <f t="shared" ca="1" si="4"/>
        <v>0</v>
      </c>
      <c r="Q20" s="45">
        <f t="shared" ca="1" si="5"/>
        <v>0</v>
      </c>
      <c r="R20" s="56"/>
      <c r="S20" s="56"/>
      <c r="T20" s="57"/>
      <c r="U20" s="56"/>
      <c r="V20" s="56"/>
      <c r="W20" s="56"/>
    </row>
    <row r="21" spans="1:23">
      <c r="A21">
        <v>18</v>
      </c>
      <c r="B21" s="171">
        <f ca="1">IF(DATOSAÑO!$E28=0,0,((DATOSAÑO!$C28/DATOSAÑO!$E28)*1000)*DATOSAÑO!$E28/24)</f>
        <v>6250</v>
      </c>
      <c r="C21" s="71">
        <f ca="1">IF(DATOSAÑO!L28=0,0,((DATOSAÑO!J28/DATOSAÑO!L28)*1000)*DATOSAÑO!L28/24)</f>
        <v>12333.333333333334</v>
      </c>
      <c r="D21" s="81">
        <f t="shared" ca="1" si="0"/>
        <v>3.3643162584269666</v>
      </c>
      <c r="E21" s="45">
        <f t="shared" ca="1" si="1"/>
        <v>4.4470128876404509</v>
      </c>
      <c r="F21" s="56"/>
      <c r="G21" s="56"/>
      <c r="H21" s="56"/>
      <c r="I21" s="56"/>
      <c r="J21" s="56"/>
      <c r="K21" s="56"/>
      <c r="M21">
        <v>18</v>
      </c>
      <c r="N21" s="70">
        <f ca="1">IF(DATOSAÑO!$E209=0,0,((DATOSAÑO!$C209/DATOSAÑO!$E209)*1000)*DATOSAÑO!$E209/24)</f>
        <v>0</v>
      </c>
      <c r="O21" s="71">
        <f ca="1">IF(DATOSAÑO!$L209=0,0,((DATOSAÑO!$J209/DATOSAÑO!$L209)*1000)*DATOSAÑO!$L209/24)</f>
        <v>0</v>
      </c>
      <c r="P21" s="81">
        <f t="shared" ca="1" si="4"/>
        <v>0</v>
      </c>
      <c r="Q21" s="45">
        <f t="shared" ca="1" si="5"/>
        <v>0</v>
      </c>
      <c r="R21" s="56"/>
      <c r="S21" s="56"/>
      <c r="T21" s="56"/>
      <c r="U21" s="56"/>
      <c r="V21" s="56"/>
      <c r="W21" s="56"/>
    </row>
    <row r="22" spans="1:23">
      <c r="A22">
        <v>19</v>
      </c>
      <c r="B22" s="171">
        <f ca="1">IF(DATOSAÑO!$E29=0,0,((DATOSAÑO!$C29/DATOSAÑO!$E29)*1000)*DATOSAÑO!$E29/24)</f>
        <v>6083.333333333333</v>
      </c>
      <c r="C22" s="71">
        <f ca="1">IF(DATOSAÑO!L29=0,0,((DATOSAÑO!J29/DATOSAÑO!L29)*1000)*DATOSAÑO!L29/24)</f>
        <v>12666.666666666666</v>
      </c>
      <c r="D22" s="81">
        <f t="shared" ca="1" si="0"/>
        <v>3.3346533370786524</v>
      </c>
      <c r="E22" s="45">
        <f t="shared" ca="1" si="1"/>
        <v>4.5063387303370801</v>
      </c>
      <c r="F22" s="56"/>
      <c r="G22" s="56"/>
      <c r="H22" s="56"/>
      <c r="I22" s="56"/>
      <c r="J22" s="56"/>
      <c r="K22" s="58"/>
      <c r="M22">
        <v>19</v>
      </c>
      <c r="N22" s="70">
        <f ca="1">IF(DATOSAÑO!$E210=0,0,((DATOSAÑO!$C210/DATOSAÑO!$E210)*1000)*DATOSAÑO!$E210/24)</f>
        <v>0</v>
      </c>
      <c r="O22" s="71">
        <f ca="1">IF(DATOSAÑO!$L210=0,0,((DATOSAÑO!$J210/DATOSAÑO!$L210)*1000)*DATOSAÑO!$L210/24)</f>
        <v>0</v>
      </c>
      <c r="P22" s="81">
        <f t="shared" ca="1" si="4"/>
        <v>0</v>
      </c>
      <c r="Q22" s="45">
        <f t="shared" ca="1" si="5"/>
        <v>0</v>
      </c>
      <c r="R22" s="56"/>
      <c r="S22" s="56"/>
      <c r="T22" s="56"/>
      <c r="U22" s="56"/>
      <c r="V22" s="56"/>
      <c r="W22" s="58"/>
    </row>
    <row r="23" spans="1:23">
      <c r="A23">
        <v>20</v>
      </c>
      <c r="B23" s="171">
        <f ca="1">IF(DATOSAÑO!$E30=0,0,((DATOSAÑO!$C30/DATOSAÑO!$E30)*1000)*DATOSAÑO!$E30/24)</f>
        <v>6333.333333333333</v>
      </c>
      <c r="C23" s="71">
        <f ca="1">IF(DATOSAÑO!L30=0,0,((DATOSAÑO!J30/DATOSAÑO!L30)*1000)*DATOSAÑO!L30/24)</f>
        <v>12500</v>
      </c>
      <c r="D23" s="81">
        <f t="shared" ca="1" si="0"/>
        <v>3.3791477191011241</v>
      </c>
      <c r="E23" s="45">
        <f t="shared" ca="1" si="1"/>
        <v>4.4766758089887659</v>
      </c>
      <c r="F23" s="56"/>
      <c r="G23" s="56"/>
      <c r="H23" s="56"/>
      <c r="I23" s="56"/>
      <c r="J23" s="56"/>
      <c r="K23" s="56"/>
      <c r="M23">
        <v>20</v>
      </c>
      <c r="N23" s="70">
        <f ca="1">IF(DATOSAÑO!$E211=0,0,((DATOSAÑO!$C211/DATOSAÑO!$E211)*1000)*DATOSAÑO!$E211/24)</f>
        <v>0</v>
      </c>
      <c r="O23" s="71">
        <f ca="1">IF(DATOSAÑO!$L211=0,0,((DATOSAÑO!$J211/DATOSAÑO!$L211)*1000)*DATOSAÑO!$L211/24)</f>
        <v>0</v>
      </c>
      <c r="P23" s="81">
        <f t="shared" ca="1" si="4"/>
        <v>0</v>
      </c>
      <c r="Q23" s="45">
        <f t="shared" ca="1" si="5"/>
        <v>0</v>
      </c>
      <c r="R23" s="56"/>
      <c r="S23" s="56"/>
      <c r="T23" s="56"/>
      <c r="U23" s="56"/>
      <c r="V23" s="56"/>
      <c r="W23" s="56"/>
    </row>
    <row r="24" spans="1:23">
      <c r="A24">
        <v>21</v>
      </c>
      <c r="B24" s="171">
        <f ca="1">IF(DATOSAÑO!$E31=0,0,((DATOSAÑO!$C31/DATOSAÑO!$E31)*1000)*DATOSAÑO!$E31/24)</f>
        <v>6250</v>
      </c>
      <c r="C24" s="71">
        <f ca="1">IF(DATOSAÑO!L31=0,0,((DATOSAÑO!J31/DATOSAÑO!L31)*1000)*DATOSAÑO!L31/24)</f>
        <v>12500</v>
      </c>
      <c r="D24" s="81">
        <f t="shared" ca="1" si="0"/>
        <v>3.3643162584269666</v>
      </c>
      <c r="E24" s="45">
        <f t="shared" ca="1" si="1"/>
        <v>4.4766758089887659</v>
      </c>
      <c r="F24" s="56"/>
      <c r="G24" s="56"/>
      <c r="H24" s="56"/>
      <c r="I24" s="56"/>
      <c r="J24" s="56"/>
      <c r="K24" s="56"/>
      <c r="M24">
        <v>21</v>
      </c>
      <c r="N24" s="70">
        <f ca="1">IF(DATOSAÑO!$E212=0,0,((DATOSAÑO!$C212/DATOSAÑO!$E212)*1000)*DATOSAÑO!$E212/24)</f>
        <v>0</v>
      </c>
      <c r="O24" s="71">
        <f ca="1">IF(DATOSAÑO!$L212=0,0,((DATOSAÑO!$J212/DATOSAÑO!$L212)*1000)*DATOSAÑO!$L212/24)</f>
        <v>0</v>
      </c>
      <c r="P24" s="81">
        <f t="shared" ca="1" si="4"/>
        <v>0</v>
      </c>
      <c r="Q24" s="45">
        <f t="shared" ca="1" si="5"/>
        <v>0</v>
      </c>
      <c r="R24" s="56"/>
      <c r="S24" s="56"/>
      <c r="T24" s="56"/>
      <c r="U24" s="56"/>
      <c r="V24" s="56"/>
      <c r="W24" s="56"/>
    </row>
    <row r="25" spans="1:23">
      <c r="A25">
        <v>22</v>
      </c>
      <c r="B25" s="171">
        <f ca="1">IF(DATOSAÑO!$E32=0,0,((DATOSAÑO!$C32/DATOSAÑO!$E32)*1000)*DATOSAÑO!$E32/24)</f>
        <v>6333.333333333333</v>
      </c>
      <c r="C25" s="71">
        <f ca="1">IF(DATOSAÑO!L32=0,0,((DATOSAÑO!J32/DATOSAÑO!L32)*1000)*DATOSAÑO!L32/24)</f>
        <v>12250</v>
      </c>
      <c r="D25" s="81">
        <f t="shared" ca="1" si="0"/>
        <v>3.3791477191011241</v>
      </c>
      <c r="E25" s="45">
        <f t="shared" ca="1" si="1"/>
        <v>4.4321814269662934</v>
      </c>
      <c r="F25" s="56"/>
      <c r="G25" s="56"/>
      <c r="H25" s="56"/>
      <c r="I25" s="56"/>
      <c r="J25" s="56"/>
      <c r="K25" s="56"/>
      <c r="M25">
        <v>22</v>
      </c>
      <c r="N25" s="70">
        <f ca="1">IF(DATOSAÑO!$E213=0,0,((DATOSAÑO!$C213/DATOSAÑO!$E213)*1000)*DATOSAÑO!$E213/24)</f>
        <v>0</v>
      </c>
      <c r="O25" s="71">
        <f ca="1">IF(DATOSAÑO!$L213=0,0,((DATOSAÑO!$J213/DATOSAÑO!$L213)*1000)*DATOSAÑO!$L213/24)</f>
        <v>0</v>
      </c>
      <c r="P25" s="81">
        <f t="shared" ca="1" si="4"/>
        <v>0</v>
      </c>
      <c r="Q25" s="45">
        <f t="shared" ca="1" si="5"/>
        <v>0</v>
      </c>
      <c r="R25" s="56"/>
      <c r="S25" s="56"/>
      <c r="T25" s="56"/>
      <c r="U25" s="56"/>
      <c r="V25" s="56"/>
      <c r="W25" s="56"/>
    </row>
    <row r="26" spans="1:23">
      <c r="A26">
        <v>23</v>
      </c>
      <c r="B26" s="171">
        <f ca="1">IF(DATOSAÑO!$E33=0,0,((DATOSAÑO!$C33/DATOSAÑO!$E33)*1000)*DATOSAÑO!$E33/24)</f>
        <v>6333.333333333333</v>
      </c>
      <c r="C26" s="71">
        <f ca="1">IF(DATOSAÑO!L33=0,0,((DATOSAÑO!J33/DATOSAÑO!L33)*1000)*DATOSAÑO!L33/24)</f>
        <v>12250</v>
      </c>
      <c r="D26" s="81">
        <f t="shared" ca="1" si="0"/>
        <v>3.3791477191011241</v>
      </c>
      <c r="E26" s="45">
        <f t="shared" ca="1" si="1"/>
        <v>4.4321814269662934</v>
      </c>
      <c r="F26" s="56"/>
      <c r="G26" s="56"/>
      <c r="H26" s="56"/>
      <c r="I26" s="56"/>
      <c r="J26" s="56"/>
      <c r="K26" s="56"/>
      <c r="M26">
        <v>23</v>
      </c>
      <c r="N26" s="70">
        <f ca="1">IF(DATOSAÑO!$E214=0,0,((DATOSAÑO!$C214/DATOSAÑO!$E214)*1000)*DATOSAÑO!$E214/24)</f>
        <v>0</v>
      </c>
      <c r="O26" s="71">
        <f ca="1">IF(DATOSAÑO!$L214=0,0,((DATOSAÑO!$J214/DATOSAÑO!$L214)*1000)*DATOSAÑO!$L214/24)</f>
        <v>0</v>
      </c>
      <c r="P26" s="81">
        <f t="shared" ca="1" si="4"/>
        <v>0</v>
      </c>
      <c r="Q26" s="45">
        <f t="shared" ca="1" si="5"/>
        <v>0</v>
      </c>
      <c r="R26" s="56"/>
      <c r="S26" s="56"/>
      <c r="T26" s="56"/>
      <c r="U26" s="56"/>
      <c r="V26" s="56"/>
      <c r="W26" s="56"/>
    </row>
    <row r="27" spans="1:23">
      <c r="A27">
        <v>24</v>
      </c>
      <c r="B27" s="171">
        <f ca="1">IF(DATOSAÑO!$E34=0,0,((DATOSAÑO!$C34/DATOSAÑO!$E34)*1000)*DATOSAÑO!$E34/24)</f>
        <v>9375</v>
      </c>
      <c r="C27" s="71">
        <f ca="1">IF(DATOSAÑO!L34=0,0,((DATOSAÑO!J34/DATOSAÑO!L34)*1000)*DATOSAÑO!L34/24)</f>
        <v>8583.3333333333339</v>
      </c>
      <c r="D27" s="81">
        <f t="shared" ca="1" si="0"/>
        <v>3.9204960337078663</v>
      </c>
      <c r="E27" s="45">
        <f t="shared" ca="1" si="1"/>
        <v>3.779597157303372</v>
      </c>
      <c r="F27" s="56"/>
      <c r="G27" s="56"/>
      <c r="H27" s="56"/>
      <c r="I27" s="56"/>
      <c r="J27" s="56"/>
      <c r="K27" s="56"/>
      <c r="M27">
        <v>24</v>
      </c>
      <c r="N27" s="70">
        <f ca="1">IF(DATOSAÑO!$E215=0,0,((DATOSAÑO!$C215/DATOSAÑO!$E215)*1000)*DATOSAÑO!$E215/24)</f>
        <v>0</v>
      </c>
      <c r="O27" s="71">
        <f ca="1">IF(DATOSAÑO!$L215=0,0,((DATOSAÑO!$J215/DATOSAÑO!$L215)*1000)*DATOSAÑO!$L215/24)</f>
        <v>0</v>
      </c>
      <c r="P27" s="81">
        <f t="shared" ca="1" si="4"/>
        <v>0</v>
      </c>
      <c r="Q27" s="45">
        <f t="shared" ca="1" si="5"/>
        <v>0</v>
      </c>
      <c r="R27" s="56"/>
      <c r="S27" s="56"/>
      <c r="T27" s="56"/>
      <c r="U27" s="56"/>
      <c r="V27" s="56"/>
      <c r="W27" s="56"/>
    </row>
    <row r="28" spans="1:23">
      <c r="A28">
        <v>25</v>
      </c>
      <c r="B28" s="171">
        <f ca="1">IF(DATOSAÑO!$E35=0,0,((DATOSAÑO!$C35/DATOSAÑO!$E35)*1000)*DATOSAÑO!$E35/24)</f>
        <v>12291.666666666666</v>
      </c>
      <c r="C28" s="71">
        <f ca="1">IF(DATOSAÑO!L35=0,0,((DATOSAÑO!J35/DATOSAÑO!L35)*1000)*DATOSAÑO!L35/24)</f>
        <v>6304.166666666636</v>
      </c>
      <c r="D28" s="81">
        <f t="shared" ca="1" si="0"/>
        <v>4.4395971573033721</v>
      </c>
      <c r="E28" s="45">
        <f t="shared" ca="1" si="1"/>
        <v>3.3739567078651636</v>
      </c>
      <c r="F28" s="56"/>
      <c r="G28" s="56"/>
      <c r="H28" s="56"/>
      <c r="I28" s="56"/>
      <c r="J28" s="56"/>
      <c r="K28" s="56"/>
      <c r="M28">
        <v>25</v>
      </c>
      <c r="N28" s="70">
        <f ca="1">IF(DATOSAÑO!$E216=0,0,((DATOSAÑO!$C216/DATOSAÑO!$E216)*1000)*DATOSAÑO!$E216/24)</f>
        <v>0</v>
      </c>
      <c r="O28" s="71">
        <f ca="1">IF(DATOSAÑO!$L216=0,0,((DATOSAÑO!$J216/DATOSAÑO!$L216)*1000)*DATOSAÑO!$L216/24)</f>
        <v>0</v>
      </c>
      <c r="P28" s="81">
        <f t="shared" ca="1" si="4"/>
        <v>0</v>
      </c>
      <c r="Q28" s="45">
        <f t="shared" ca="1" si="5"/>
        <v>0</v>
      </c>
      <c r="R28" s="56"/>
      <c r="S28" s="56"/>
      <c r="T28" s="56"/>
      <c r="U28" s="56"/>
      <c r="V28" s="56"/>
      <c r="W28" s="56"/>
    </row>
    <row r="29" spans="1:23">
      <c r="A29">
        <v>26</v>
      </c>
      <c r="B29" s="171">
        <f ca="1">IF(DATOSAÑO!$E36=0,0,((DATOSAÑO!$C36/DATOSAÑO!$E36)*1000)*DATOSAÑO!$E36/24)</f>
        <v>11833.333333333334</v>
      </c>
      <c r="C29" s="71">
        <f ca="1">IF(DATOSAÑO!L36=0,0,((DATOSAÑO!J36/DATOSAÑO!L36)*1000)*DATOSAÑO!L36/24)</f>
        <v>6279.166666666697</v>
      </c>
      <c r="D29" s="81">
        <f t="shared" ca="1" si="0"/>
        <v>4.3580241235955075</v>
      </c>
      <c r="E29" s="45">
        <f t="shared" ca="1" si="1"/>
        <v>3.3695072696629271</v>
      </c>
      <c r="F29" s="56"/>
      <c r="G29" s="56"/>
      <c r="H29" s="56"/>
      <c r="I29" s="56"/>
      <c r="J29" s="56"/>
      <c r="K29" s="56"/>
      <c r="M29">
        <v>26</v>
      </c>
      <c r="N29" s="70">
        <f ca="1">IF(DATOSAÑO!$E217=0,0,((DATOSAÑO!$C217/DATOSAÑO!$E217)*1000)*DATOSAÑO!$E217/24)</f>
        <v>0</v>
      </c>
      <c r="O29" s="71">
        <f ca="1">IF(DATOSAÑO!$L217=0,0,((DATOSAÑO!$J217/DATOSAÑO!$L217)*1000)*DATOSAÑO!$L217/24)</f>
        <v>0</v>
      </c>
      <c r="P29" s="81">
        <f t="shared" ca="1" si="4"/>
        <v>0</v>
      </c>
      <c r="Q29" s="45">
        <f t="shared" ca="1" si="5"/>
        <v>0</v>
      </c>
      <c r="R29" s="56"/>
      <c r="S29" s="56"/>
      <c r="T29" s="56"/>
      <c r="U29" s="56"/>
      <c r="V29" s="56"/>
      <c r="W29" s="56"/>
    </row>
    <row r="30" spans="1:23">
      <c r="A30">
        <v>27</v>
      </c>
      <c r="B30" s="171">
        <f ca="1">IF(DATOSAÑO!$E37=0,0,((DATOSAÑO!$C37/DATOSAÑO!$E37)*1000)*DATOSAÑO!$E37/24)</f>
        <v>11916.666666666666</v>
      </c>
      <c r="C30" s="71">
        <f ca="1">IF(DATOSAÑO!L37=0,0,((DATOSAÑO!J37/DATOSAÑO!L37)*1000)*DATOSAÑO!L37/24)</f>
        <v>6183.333333333394</v>
      </c>
      <c r="D30" s="81">
        <f t="shared" ca="1" si="0"/>
        <v>4.372855584269665</v>
      </c>
      <c r="E30" s="45">
        <f t="shared" ca="1" si="1"/>
        <v>3.3524510898876518</v>
      </c>
      <c r="F30" s="56"/>
      <c r="G30" s="56"/>
      <c r="H30" s="56"/>
      <c r="I30" s="56"/>
      <c r="J30" s="56"/>
      <c r="K30" s="56"/>
      <c r="M30">
        <v>27</v>
      </c>
      <c r="N30" s="70">
        <f ca="1">IF(DATOSAÑO!$E218=0,0,((DATOSAÑO!$C218/DATOSAÑO!$E218)*1000)*DATOSAÑO!$E218/24)</f>
        <v>0</v>
      </c>
      <c r="O30" s="71">
        <f ca="1">IF(DATOSAÑO!$L218=0,0,((DATOSAÑO!$J218/DATOSAÑO!$L218)*1000)*DATOSAÑO!$L218/24)</f>
        <v>0</v>
      </c>
      <c r="P30" s="81">
        <f t="shared" ca="1" si="4"/>
        <v>0</v>
      </c>
      <c r="Q30" s="45">
        <f t="shared" ca="1" si="5"/>
        <v>0</v>
      </c>
      <c r="R30" s="56"/>
      <c r="S30" s="56"/>
      <c r="T30" s="56"/>
      <c r="U30" s="56"/>
      <c r="V30" s="56"/>
      <c r="W30" s="56"/>
    </row>
    <row r="31" spans="1:23">
      <c r="A31">
        <v>28</v>
      </c>
      <c r="B31" s="171">
        <f ca="1">IF(DATOSAÑO!$E38=0,0,((DATOSAÑO!$C38/DATOSAÑO!$E38)*1000)*DATOSAÑO!$E38/24)</f>
        <v>12208.333333333334</v>
      </c>
      <c r="C31" s="71">
        <f ca="1">IF(DATOSAÑO!L38=0,0,((DATOSAÑO!J38/DATOSAÑO!L38)*1000)*DATOSAÑO!L38/24)</f>
        <v>6237.499999999879</v>
      </c>
      <c r="D31" s="81">
        <f t="shared" ca="1" si="0"/>
        <v>4.4247656966292155</v>
      </c>
      <c r="E31" s="45">
        <f t="shared" ca="1" si="1"/>
        <v>3.3620915393258217</v>
      </c>
      <c r="F31" s="56"/>
      <c r="G31" s="56"/>
      <c r="H31" s="56"/>
      <c r="I31" s="56"/>
      <c r="J31" s="56"/>
      <c r="K31" s="56"/>
      <c r="M31">
        <v>28</v>
      </c>
      <c r="N31" s="70">
        <f ca="1">IF(DATOSAÑO!$E219=0,0,((DATOSAÑO!$C219/DATOSAÑO!$E219)*1000)*DATOSAÑO!$E219/24)</f>
        <v>0</v>
      </c>
      <c r="O31" s="71">
        <f ca="1">IF(DATOSAÑO!$L219=0,0,((DATOSAÑO!$J219/DATOSAÑO!$L219)*1000)*DATOSAÑO!$L219/24)</f>
        <v>0</v>
      </c>
      <c r="P31" s="81">
        <f t="shared" ca="1" si="4"/>
        <v>0</v>
      </c>
      <c r="Q31" s="45">
        <f t="shared" ca="1" si="5"/>
        <v>0</v>
      </c>
      <c r="R31" s="56"/>
      <c r="S31" s="56"/>
      <c r="T31" s="56"/>
      <c r="U31" s="56"/>
      <c r="V31" s="56"/>
      <c r="W31" s="56"/>
    </row>
    <row r="32" spans="1:23">
      <c r="A32">
        <v>29</v>
      </c>
      <c r="B32" s="171">
        <f ca="1">IF(DATOSAÑO!$E39=0,0,((DATOSAÑO!$C39/DATOSAÑO!$E39)*1000)*DATOSAÑO!$E39/24)</f>
        <v>12208.333333333334</v>
      </c>
      <c r="C32" s="71">
        <f ca="1">IF(DATOSAÑO!L39=0,0,((DATOSAÑO!J39/DATOSAÑO!L39)*1000)*DATOSAÑO!L39/24)</f>
        <v>6250</v>
      </c>
      <c r="D32" s="81">
        <f t="shared" ca="1" si="0"/>
        <v>4.4247656966292155</v>
      </c>
      <c r="E32" s="45">
        <f t="shared" ca="1" si="1"/>
        <v>3.3643162584269666</v>
      </c>
      <c r="F32" s="56"/>
      <c r="G32" s="56"/>
      <c r="H32" s="56"/>
      <c r="I32" s="56"/>
      <c r="J32" s="56"/>
      <c r="K32" s="56"/>
      <c r="M32">
        <v>29</v>
      </c>
      <c r="N32" s="70">
        <f ca="1">IF(DATOSAÑO!$E220=0,0,((DATOSAÑO!$C220/DATOSAÑO!$E220)*1000)*DATOSAÑO!$E220/24)</f>
        <v>0</v>
      </c>
      <c r="O32" s="71">
        <f ca="1">IF(DATOSAÑO!$L220=0,0,((DATOSAÑO!$J220/DATOSAÑO!$L220)*1000)*DATOSAÑO!$L220/24)</f>
        <v>0</v>
      </c>
      <c r="P32" s="81">
        <f t="shared" ca="1" si="4"/>
        <v>0</v>
      </c>
      <c r="Q32" s="45">
        <f t="shared" ca="1" si="5"/>
        <v>0</v>
      </c>
      <c r="R32" s="56"/>
      <c r="S32" s="56"/>
      <c r="T32" s="56"/>
      <c r="U32" s="56"/>
      <c r="V32" s="56"/>
      <c r="W32" s="56"/>
    </row>
    <row r="33" spans="1:23">
      <c r="A33">
        <v>30</v>
      </c>
      <c r="B33" s="171">
        <f ca="1">IF(DATOSAÑO!$E40=0,0,((DATOSAÑO!$C40/DATOSAÑO!$E40)*1000)*DATOSAÑO!$E40/24)</f>
        <v>11962.49999999903</v>
      </c>
      <c r="C33" s="71">
        <f ca="1">IF(DATOSAÑO!L40=0,0,((DATOSAÑO!J40/DATOSAÑO!L40)*1000)*DATOSAÑO!L40/24)</f>
        <v>6250</v>
      </c>
      <c r="D33" s="81">
        <f t="shared" ca="1" si="0"/>
        <v>4.3810128876402779</v>
      </c>
      <c r="E33" s="45">
        <f t="shared" ca="1" si="1"/>
        <v>3.3643162584269666</v>
      </c>
      <c r="F33" s="56"/>
      <c r="G33" s="56"/>
      <c r="H33" s="56"/>
      <c r="I33" s="56"/>
      <c r="J33" s="56"/>
      <c r="K33" s="56"/>
      <c r="M33">
        <v>30</v>
      </c>
      <c r="N33" s="70">
        <f ca="1">IF(DATOSAÑO!$E221=0,0,((DATOSAÑO!$C221/DATOSAÑO!$E221)*1000)*DATOSAÑO!$E221/24)</f>
        <v>0</v>
      </c>
      <c r="O33" s="71">
        <f ca="1">IF(DATOSAÑO!$L221=0,0,((DATOSAÑO!$J221/DATOSAÑO!$L221)*1000)*DATOSAÑO!$L221/24)</f>
        <v>0</v>
      </c>
      <c r="P33" s="81">
        <f t="shared" ca="1" si="4"/>
        <v>0</v>
      </c>
      <c r="Q33" s="45">
        <f t="shared" ca="1" si="5"/>
        <v>0</v>
      </c>
      <c r="R33" s="56"/>
      <c r="S33" s="56"/>
      <c r="T33" s="56"/>
      <c r="U33" s="56"/>
      <c r="V33" s="56"/>
      <c r="W33" s="56"/>
    </row>
    <row r="34" spans="1:23" ht="15" thickBot="1">
      <c r="A34">
        <v>31</v>
      </c>
      <c r="B34" s="172">
        <f ca="1">IF(DATOSAÑO!$E41=0,0,((DATOSAÑO!$C41/DATOSAÑO!$E41)*1000)*DATOSAÑO!$E41/24)</f>
        <v>12162.50000000097</v>
      </c>
      <c r="C34" s="73">
        <f ca="1">IF(DATOSAÑO!L41=0,0,((DATOSAÑO!J41/DATOSAÑO!L41)*1000)*DATOSAÑO!L41/24)</f>
        <v>6220.8333333334549</v>
      </c>
      <c r="D34" s="79">
        <f t="shared" ca="1" si="0"/>
        <v>4.4166083932586009</v>
      </c>
      <c r="E34" s="80">
        <f t="shared" ca="1" si="1"/>
        <v>3.3591252471910336</v>
      </c>
      <c r="F34" s="56"/>
      <c r="G34" s="56"/>
      <c r="H34" s="56"/>
      <c r="I34" s="56"/>
      <c r="J34" s="56"/>
      <c r="K34" s="56"/>
      <c r="M34">
        <v>31</v>
      </c>
      <c r="N34" s="72">
        <f ca="1">IF(DATOSAÑO!$E222=0,0,((DATOSAÑO!$C222/DATOSAÑO!$E222)*1000)*DATOSAÑO!$E222/24)</f>
        <v>0</v>
      </c>
      <c r="O34" s="73">
        <f ca="1">IF(DATOSAÑO!$L222=0,0,((DATOSAÑO!$J222/DATOSAÑO!$L222)*1000)*DATOSAÑO!$L222/24)</f>
        <v>0</v>
      </c>
      <c r="P34" s="79">
        <f t="shared" ca="1" si="4"/>
        <v>0</v>
      </c>
      <c r="Q34" s="80">
        <f t="shared" ca="1" si="5"/>
        <v>0</v>
      </c>
      <c r="R34" s="56"/>
      <c r="S34" s="56"/>
      <c r="T34" s="56"/>
      <c r="U34" s="56"/>
      <c r="V34" s="56"/>
      <c r="W34" s="56"/>
    </row>
    <row r="35" spans="1:23" ht="15" thickTop="1"/>
    <row r="36" spans="1:23" ht="15" thickBot="1">
      <c r="B36" s="2157">
        <v>44958</v>
      </c>
      <c r="C36" s="2158"/>
      <c r="D36" s="2158"/>
      <c r="E36" s="2158"/>
      <c r="F36" s="2159" t="s">
        <v>60</v>
      </c>
      <c r="G36" s="2159"/>
      <c r="H36" s="2159"/>
      <c r="I36" s="2159"/>
      <c r="J36" s="2159"/>
      <c r="K36" s="2159"/>
      <c r="N36" s="2157">
        <v>45139</v>
      </c>
      <c r="O36" s="2158"/>
      <c r="P36" s="2158"/>
      <c r="Q36" s="2158"/>
      <c r="R36" s="2159" t="s">
        <v>60</v>
      </c>
      <c r="S36" s="2159"/>
      <c r="T36" s="2159"/>
      <c r="U36" s="2159"/>
      <c r="V36" s="2159"/>
      <c r="W36" s="2159"/>
    </row>
    <row r="37" spans="1:23" ht="44.4" thickTop="1" thickBot="1">
      <c r="A37" s="41">
        <f ca="1">ABS(TODAY()-1)</f>
        <v>45125</v>
      </c>
      <c r="B37" s="66">
        <f ca="1">DAY(A37)</f>
        <v>18</v>
      </c>
      <c r="C37" s="67"/>
      <c r="D37" s="75" t="s">
        <v>61</v>
      </c>
      <c r="E37" s="76" t="s">
        <v>62</v>
      </c>
      <c r="F37" s="42"/>
      <c r="G37" s="43"/>
      <c r="H37" s="43" t="s">
        <v>63</v>
      </c>
      <c r="I37" s="43" t="s">
        <v>64</v>
      </c>
      <c r="J37" s="44" t="s">
        <v>56</v>
      </c>
      <c r="K37" s="43" t="s">
        <v>65</v>
      </c>
      <c r="M37" s="41">
        <f ca="1">ABS(TODAY()-1)</f>
        <v>45125</v>
      </c>
      <c r="N37" s="66">
        <f ca="1">DAY(M37)</f>
        <v>18</v>
      </c>
      <c r="O37" s="67"/>
      <c r="P37" s="75" t="s">
        <v>61</v>
      </c>
      <c r="Q37" s="76" t="s">
        <v>62</v>
      </c>
      <c r="R37" s="42"/>
      <c r="S37" s="43"/>
      <c r="T37" s="43" t="s">
        <v>63</v>
      </c>
      <c r="U37" s="43" t="s">
        <v>64</v>
      </c>
      <c r="V37" s="44" t="s">
        <v>56</v>
      </c>
      <c r="W37" s="43" t="s">
        <v>65</v>
      </c>
    </row>
    <row r="38" spans="1:23" ht="15" thickTop="1">
      <c r="A38">
        <v>1</v>
      </c>
      <c r="B38" s="68">
        <f ca="1">IF(DATOSAÑO!E42=0,0,((DATOSAÑO!C42/DATOSAÑO!E42)*1000)*DATOSAÑO!E42/24)</f>
        <v>12245.833333334303</v>
      </c>
      <c r="C38" s="69">
        <f ca="1">IF(DATOSAÑO!L42=0,0,((DATOSAÑO!J42/DATOSAÑO!L42)*1000)*DATOSAÑO!L42/24)</f>
        <v>6608.333333333273</v>
      </c>
      <c r="D38" s="82">
        <f ca="1">IF(B38&gt;0,(B38-$F$42)/($F$43-$F$42)*($G$43-$G$42)+$G$42,0)</f>
        <v>4.8729764251872218</v>
      </c>
      <c r="E38" s="78">
        <f ca="1">IF(C38&gt;0,(C38-$F$48)/($F$49-$F$48)*($G$49-$G$48)+$G$48,0)</f>
        <v>3.769657223192008</v>
      </c>
      <c r="F38" s="2155" t="s">
        <v>66</v>
      </c>
      <c r="G38" s="2156"/>
      <c r="H38" s="46">
        <f ca="1">IF($G$39&gt;=J38,1,0)</f>
        <v>1</v>
      </c>
      <c r="I38" s="46">
        <f ca="1">IF($G$45&gt;=J38,1,0)</f>
        <v>1</v>
      </c>
      <c r="J38" s="47">
        <v>0</v>
      </c>
      <c r="K38" s="48">
        <f>PORTADA!I21</f>
        <v>2.4763355274314209</v>
      </c>
      <c r="M38">
        <v>1</v>
      </c>
      <c r="N38" s="68">
        <f ca="1">IF(DATOSAÑO!$E223=0,0,((DATOSAÑO!$C223/DATOSAÑO!$E223)*1000)*DATOSAÑO!$E223/24)</f>
        <v>0</v>
      </c>
      <c r="O38" s="69">
        <f ca="1">IF(DATOSAÑO!$L223=0,0,((DATOSAÑO!$J223/DATOSAÑO!$L223)*1000)*DATOSAÑO!$L223/24)</f>
        <v>0</v>
      </c>
      <c r="P38" s="77">
        <f ca="1">IF(N38&gt;0,(N38-$R$42)/($R$43-$R$42)*($S$43-$S$42)+$S$42,0)</f>
        <v>0</v>
      </c>
      <c r="Q38" s="78">
        <f ca="1">IF(O38&gt;0,(O38-$R$48)/($R$49-$R$48)*($S$49-$S$48)+$S$48,0)</f>
        <v>0</v>
      </c>
      <c r="R38" s="2155" t="s">
        <v>66</v>
      </c>
      <c r="S38" s="2156"/>
      <c r="T38" s="46">
        <f ca="1">IF($S$39&gt;=V38,1,0)</f>
        <v>1</v>
      </c>
      <c r="U38" s="46">
        <f ca="1">IF($S$45&gt;=V38,1,0)</f>
        <v>1</v>
      </c>
      <c r="V38" s="47">
        <v>0</v>
      </c>
      <c r="W38" s="48" t="e">
        <f>PORTADA!O21</f>
        <v>#DIV/0!</v>
      </c>
    </row>
    <row r="39" spans="1:23">
      <c r="A39">
        <v>2</v>
      </c>
      <c r="B39" s="70">
        <f ca="1">IF(DATOSAÑO!E43=0,0,((DATOSAÑO!C43/DATOSAÑO!E43)*1000)*DATOSAÑO!E43/24)</f>
        <v>9237.4999999980591</v>
      </c>
      <c r="C39" s="71">
        <f ca="1">IF(DATOSAÑO!L43=0,0,((DATOSAÑO!J43/DATOSAÑO!L43)*1000)*DATOSAÑO!L43/24)</f>
        <v>4716.666666666697</v>
      </c>
      <c r="D39" s="83">
        <f t="shared" ref="D39:D64" ca="1" si="8">IF(B39&gt;0,(B39-$F$42)/($F$43-$F$42)*($G$43-$G$42)+$G$42,0)</f>
        <v>4.284213332917326</v>
      </c>
      <c r="E39" s="45">
        <f t="shared" ref="E39:E64" ca="1" si="9">IF(C39&gt;0,(C39-$F$48)/($F$49-$F$48)*($G$49-$G$48)+$G$48,0)</f>
        <v>3.3994377718204545</v>
      </c>
      <c r="F39" s="49" t="s">
        <v>67</v>
      </c>
      <c r="G39" s="50">
        <f ca="1">INDEX(B38:C68,B37,1)</f>
        <v>12541.666666666666</v>
      </c>
      <c r="H39" s="46">
        <f t="shared" ref="H39:H49" ca="1" si="10">IF($G$39&gt;=J39,1,0)</f>
        <v>1</v>
      </c>
      <c r="I39" s="46">
        <f t="shared" ref="I39:I49" ca="1" si="11">IF($G$45&gt;=J39,1,0)</f>
        <v>1</v>
      </c>
      <c r="J39" s="47">
        <v>2630</v>
      </c>
      <c r="K39" s="48">
        <f>PORTADA!I22</f>
        <v>2.9910547294264336</v>
      </c>
      <c r="M39">
        <v>2</v>
      </c>
      <c r="N39" s="70">
        <f ca="1">IF(DATOSAÑO!$E224=0,0,((DATOSAÑO!$C224/DATOSAÑO!$E224)*1000)*DATOSAÑO!$E224/24)</f>
        <v>0</v>
      </c>
      <c r="O39" s="71">
        <f ca="1">IF(DATOSAÑO!$L224=0,0,((DATOSAÑO!$J224/DATOSAÑO!$L224)*1000)*DATOSAÑO!$L224/24)</f>
        <v>0</v>
      </c>
      <c r="P39" s="81">
        <f t="shared" ref="P39:P66" ca="1" si="12">IF(N39&gt;0,(N39-$R$42)/($R$43-$R$42)*($S$43-$S$42)+$S$42,0)</f>
        <v>0</v>
      </c>
      <c r="Q39" s="45">
        <f t="shared" ref="Q39:Q66" ca="1" si="13">IF(O39&gt;0,(O39-$R$48)/($R$49-$R$48)*($S$49-$S$48)+$S$48,0)</f>
        <v>0</v>
      </c>
      <c r="R39" s="49" t="s">
        <v>67</v>
      </c>
      <c r="S39" s="50">
        <f ca="1">INDEX(N38:O68,N37,1)</f>
        <v>0</v>
      </c>
      <c r="T39" s="46">
        <f t="shared" ref="T39:T48" ca="1" si="14">IF($S$39&gt;=V39,1,0)</f>
        <v>0</v>
      </c>
      <c r="U39" s="46">
        <f t="shared" ref="U39:U48" ca="1" si="15">IF($S$45&gt;=V39,1,0)</f>
        <v>0</v>
      </c>
      <c r="V39" s="47">
        <v>2630</v>
      </c>
      <c r="W39" s="48" t="e">
        <f>PORTADA!O22</f>
        <v>#DIV/0!</v>
      </c>
    </row>
    <row r="40" spans="1:23">
      <c r="A40">
        <v>3</v>
      </c>
      <c r="B40" s="70">
        <f ca="1">IF(DATOSAÑO!E44=0,0,((DATOSAÑO!C44/DATOSAÑO!E44)*1000)*DATOSAÑO!E44/24)</f>
        <v>12224.583333333916</v>
      </c>
      <c r="C40" s="71">
        <f ca="1">IF(DATOSAÑO!L44=0,0,((DATOSAÑO!J44/DATOSAÑO!L44)*1000)*DATOSAÑO!L44/24)</f>
        <v>6128.3333333332548</v>
      </c>
      <c r="D40" s="83">
        <f t="shared" ca="1" si="8"/>
        <v>4.8688175723193163</v>
      </c>
      <c r="E40" s="45">
        <f t="shared" ca="1" si="9"/>
        <v>3.6757160760598349</v>
      </c>
      <c r="F40" s="49" t="s">
        <v>68</v>
      </c>
      <c r="G40" s="51">
        <f ca="1">(G39-F42)/(F43-F42)*(G43-G42)+G42</f>
        <v>4.9308741807980052</v>
      </c>
      <c r="H40" s="46">
        <f t="shared" ca="1" si="10"/>
        <v>1</v>
      </c>
      <c r="I40" s="46">
        <f t="shared" ca="1" si="11"/>
        <v>1</v>
      </c>
      <c r="J40" s="47">
        <v>5260</v>
      </c>
      <c r="K40" s="48">
        <f>PORTADA!I23</f>
        <v>3.5915604650872814</v>
      </c>
      <c r="M40">
        <v>3</v>
      </c>
      <c r="N40" s="70">
        <f ca="1">IF(DATOSAÑO!$E225=0,0,((DATOSAÑO!$C225/DATOSAÑO!$E225)*1000)*DATOSAÑO!$E225/24)</f>
        <v>0</v>
      </c>
      <c r="O40" s="71">
        <f ca="1">IF(DATOSAÑO!$L225=0,0,((DATOSAÑO!$J225/DATOSAÑO!$L225)*1000)*DATOSAÑO!$L225/24)</f>
        <v>0</v>
      </c>
      <c r="P40" s="81">
        <f t="shared" ca="1" si="12"/>
        <v>0</v>
      </c>
      <c r="Q40" s="45">
        <f t="shared" ca="1" si="13"/>
        <v>0</v>
      </c>
      <c r="R40" s="49" t="s">
        <v>68</v>
      </c>
      <c r="S40" s="51" t="e">
        <f ca="1">(S39-R42)/(R43-R42)*(S43-S42)+S42</f>
        <v>#DIV/0!</v>
      </c>
      <c r="T40" s="46">
        <f t="shared" ca="1" si="14"/>
        <v>0</v>
      </c>
      <c r="U40" s="46">
        <f t="shared" ca="1" si="15"/>
        <v>0</v>
      </c>
      <c r="V40" s="47">
        <v>5260</v>
      </c>
      <c r="W40" s="48" t="e">
        <f>PORTADA!O23</f>
        <v>#DIV/0!</v>
      </c>
    </row>
    <row r="41" spans="1:23">
      <c r="A41">
        <v>4</v>
      </c>
      <c r="B41" s="70">
        <f ca="1">IF(DATOSAÑO!E45=0,0,((DATOSAÑO!C45/DATOSAÑO!E45)*1000)*DATOSAÑO!E45/24)</f>
        <v>12899.16666666492</v>
      </c>
      <c r="C41" s="71">
        <f ca="1">IF(DATOSAÑO!L45=0,0,((DATOSAÑO!J45/DATOSAÑO!L45)*1000)*DATOSAÑO!L45/24)</f>
        <v>6053.3333333334367</v>
      </c>
      <c r="D41" s="83">
        <f t="shared" ca="1" si="8"/>
        <v>5.0008407643388111</v>
      </c>
      <c r="E41" s="45">
        <f t="shared" ca="1" si="9"/>
        <v>3.6610377718204692</v>
      </c>
      <c r="F41" s="49"/>
      <c r="G41" s="46"/>
      <c r="H41" s="46">
        <f t="shared" ca="1" si="10"/>
        <v>1</v>
      </c>
      <c r="I41" s="46">
        <f t="shared" ca="1" si="11"/>
        <v>0</v>
      </c>
      <c r="J41" s="47">
        <v>7890</v>
      </c>
      <c r="K41" s="48">
        <f>PORTADA!I24</f>
        <v>4.2349594675810476</v>
      </c>
      <c r="M41">
        <v>4</v>
      </c>
      <c r="N41" s="70">
        <f ca="1">IF(DATOSAÑO!$E226=0,0,((DATOSAÑO!$C226/DATOSAÑO!$E226)*1000)*DATOSAÑO!$E226/24)</f>
        <v>0</v>
      </c>
      <c r="O41" s="71">
        <f ca="1">IF(DATOSAÑO!$L226=0,0,((DATOSAÑO!$J226/DATOSAÑO!$L226)*1000)*DATOSAÑO!$L226/24)</f>
        <v>0</v>
      </c>
      <c r="P41" s="81">
        <f t="shared" ca="1" si="12"/>
        <v>0</v>
      </c>
      <c r="Q41" s="45">
        <f t="shared" ca="1" si="13"/>
        <v>0</v>
      </c>
      <c r="R41" s="49"/>
      <c r="S41" s="46"/>
      <c r="T41" s="46">
        <f t="shared" ca="1" si="14"/>
        <v>0</v>
      </c>
      <c r="U41" s="46">
        <f t="shared" ca="1" si="15"/>
        <v>0</v>
      </c>
      <c r="V41" s="47">
        <v>7890</v>
      </c>
      <c r="W41" s="48" t="e">
        <f>PORTADA!O24</f>
        <v>#DIV/0!</v>
      </c>
    </row>
    <row r="42" spans="1:23">
      <c r="A42">
        <v>5</v>
      </c>
      <c r="B42" s="70">
        <f ca="1">IF(DATOSAÑO!E46=0,0,((DATOSAÑO!C46/DATOSAÑO!E46)*1000)*DATOSAÑO!E46/24)</f>
        <v>12671.250000004269</v>
      </c>
      <c r="C42" s="71">
        <f ca="1">IF(DATOSAÑO!L46=0,0,((DATOSAÑO!J46/DATOSAÑO!L46)*1000)*DATOSAÑO!L46/24)</f>
        <v>6128.3333333332548</v>
      </c>
      <c r="D42" s="83">
        <f t="shared" ca="1" si="8"/>
        <v>4.9562350286791403</v>
      </c>
      <c r="E42" s="45">
        <f t="shared" ca="1" si="9"/>
        <v>3.6757160760598349</v>
      </c>
      <c r="F42" s="52">
        <f ca="1">INDEX(J38:J48,H49)</f>
        <v>0</v>
      </c>
      <c r="G42" s="51">
        <f ca="1">INDEX(K38:K48,H49)</f>
        <v>2.4763355274314209</v>
      </c>
      <c r="H42" s="46">
        <f t="shared" ca="1" si="10"/>
        <v>1</v>
      </c>
      <c r="I42" s="46">
        <f t="shared" ca="1" si="11"/>
        <v>0</v>
      </c>
      <c r="J42" s="47">
        <v>10520</v>
      </c>
      <c r="K42" s="48">
        <f>PORTADA!I25</f>
        <v>4.7925719364089776</v>
      </c>
      <c r="M42">
        <v>5</v>
      </c>
      <c r="N42" s="70">
        <f ca="1">IF(DATOSAÑO!$E227=0,0,((DATOSAÑO!$C227/DATOSAÑO!$E227)*1000)*DATOSAÑO!$E227/24)</f>
        <v>0</v>
      </c>
      <c r="O42" s="71">
        <f ca="1">IF(DATOSAÑO!$L227=0,0,((DATOSAÑO!$J227/DATOSAÑO!$L227)*1000)*DATOSAÑO!$L227/24)</f>
        <v>0</v>
      </c>
      <c r="P42" s="81">
        <f t="shared" ca="1" si="12"/>
        <v>0</v>
      </c>
      <c r="Q42" s="45">
        <f t="shared" ca="1" si="13"/>
        <v>0</v>
      </c>
      <c r="R42" s="52">
        <f ca="1">INDEX(V38:V48,T49)</f>
        <v>0</v>
      </c>
      <c r="S42" s="51" t="e">
        <f ca="1">INDEX(W38:W48,T49)</f>
        <v>#DIV/0!</v>
      </c>
      <c r="T42" s="46">
        <f t="shared" ca="1" si="14"/>
        <v>0</v>
      </c>
      <c r="U42" s="46">
        <f t="shared" ca="1" si="15"/>
        <v>0</v>
      </c>
      <c r="V42" s="47">
        <v>10520</v>
      </c>
      <c r="W42" s="48" t="e">
        <f>PORTADA!O25</f>
        <v>#DIV/0!</v>
      </c>
    </row>
    <row r="43" spans="1:23">
      <c r="A43">
        <v>6</v>
      </c>
      <c r="B43" s="70">
        <f ca="1">IF(DATOSAÑO!E47=0,0,((DATOSAÑO!C47/DATOSAÑO!E47)*1000)*DATOSAÑO!E47/24)</f>
        <v>12648.333333330811</v>
      </c>
      <c r="C43" s="71">
        <f ca="1">IF(DATOSAÑO!L47=0,0,((DATOSAÑO!J47/DATOSAÑO!L47)*1000)*DATOSAÑO!L47/24)</f>
        <v>6105.8333333333694</v>
      </c>
      <c r="D43" s="83">
        <f t="shared" ca="1" si="8"/>
        <v>4.9517499912713276</v>
      </c>
      <c r="E43" s="45">
        <f t="shared" ca="1" si="9"/>
        <v>3.671312584788037</v>
      </c>
      <c r="F43" s="52">
        <f ca="1">INDEX(J38:J48,H49+1)</f>
        <v>2630</v>
      </c>
      <c r="G43" s="51">
        <f ca="1">INDEX(K38:K48,H49+1)</f>
        <v>2.9910547294264336</v>
      </c>
      <c r="H43" s="46">
        <f t="shared" ca="1" si="10"/>
        <v>0</v>
      </c>
      <c r="I43" s="46">
        <f t="shared" ca="1" si="11"/>
        <v>0</v>
      </c>
      <c r="J43" s="47">
        <v>13150</v>
      </c>
      <c r="K43" s="48">
        <f>PORTADA!I26</f>
        <v>5.3930776720698246</v>
      </c>
      <c r="M43">
        <v>6</v>
      </c>
      <c r="N43" s="70">
        <f ca="1">IF(DATOSAÑO!$E228=0,0,((DATOSAÑO!$C228/DATOSAÑO!$E228)*1000)*DATOSAÑO!$E228/24)</f>
        <v>0</v>
      </c>
      <c r="O43" s="71">
        <f ca="1">IF(DATOSAÑO!$L228=0,0,((DATOSAÑO!$J228/DATOSAÑO!$L228)*1000)*DATOSAÑO!$L228/24)</f>
        <v>0</v>
      </c>
      <c r="P43" s="81">
        <f t="shared" ca="1" si="12"/>
        <v>0</v>
      </c>
      <c r="Q43" s="45">
        <f t="shared" ca="1" si="13"/>
        <v>0</v>
      </c>
      <c r="R43" s="52">
        <f ca="1">INDEX(V38:V48,T49+1)</f>
        <v>2630</v>
      </c>
      <c r="S43" s="51" t="e">
        <f ca="1">INDEX(W38:W48,T49+1)</f>
        <v>#DIV/0!</v>
      </c>
      <c r="T43" s="46">
        <f t="shared" ca="1" si="14"/>
        <v>0</v>
      </c>
      <c r="U43" s="46">
        <f t="shared" ca="1" si="15"/>
        <v>0</v>
      </c>
      <c r="V43" s="47">
        <v>13150</v>
      </c>
      <c r="W43" s="48" t="e">
        <f>PORTADA!O26</f>
        <v>#DIV/0!</v>
      </c>
    </row>
    <row r="44" spans="1:23">
      <c r="A44">
        <v>7</v>
      </c>
      <c r="B44" s="70">
        <f ca="1">IF(DATOSAÑO!E48=0,0,((DATOSAÑO!C48/DATOSAÑO!E48)*1000)*DATOSAÑO!E48/24)</f>
        <v>13240.000000000387</v>
      </c>
      <c r="C44" s="71">
        <f ca="1">IF(DATOSAÑO!L48=0,0,((DATOSAÑO!J48/DATOSAÑO!L48)*1000)*DATOSAÑO!L48/24)</f>
        <v>6200.8333333333212</v>
      </c>
      <c r="D44" s="83">
        <f t="shared" ca="1" si="8"/>
        <v>5.0675455024938412</v>
      </c>
      <c r="E44" s="45">
        <f t="shared" ca="1" si="9"/>
        <v>3.6899051034912693</v>
      </c>
      <c r="F44" s="2155" t="s">
        <v>69</v>
      </c>
      <c r="G44" s="2156"/>
      <c r="H44" s="46">
        <f t="shared" ca="1" si="10"/>
        <v>0</v>
      </c>
      <c r="I44" s="46">
        <f t="shared" ca="1" si="11"/>
        <v>0</v>
      </c>
      <c r="J44" s="47">
        <v>15780</v>
      </c>
      <c r="K44" s="48">
        <f>PORTADA!I27</f>
        <v>6.0364766745635912</v>
      </c>
      <c r="M44">
        <v>7</v>
      </c>
      <c r="N44" s="70">
        <f ca="1">IF(DATOSAÑO!$E229=0,0,((DATOSAÑO!$C229/DATOSAÑO!$E229)*1000)*DATOSAÑO!$E229/24)</f>
        <v>0</v>
      </c>
      <c r="O44" s="71">
        <f ca="1">IF(DATOSAÑO!$L229=0,0,((DATOSAÑO!$J229/DATOSAÑO!$L229)*1000)*DATOSAÑO!$L229/24)</f>
        <v>0</v>
      </c>
      <c r="P44" s="81">
        <f t="shared" ca="1" si="12"/>
        <v>0</v>
      </c>
      <c r="Q44" s="45">
        <f t="shared" ca="1" si="13"/>
        <v>0</v>
      </c>
      <c r="R44" s="2155" t="s">
        <v>69</v>
      </c>
      <c r="S44" s="2156"/>
      <c r="T44" s="46">
        <f t="shared" ca="1" si="14"/>
        <v>0</v>
      </c>
      <c r="U44" s="46">
        <f t="shared" ca="1" si="15"/>
        <v>0</v>
      </c>
      <c r="V44" s="47">
        <v>15780</v>
      </c>
      <c r="W44" s="48" t="e">
        <f>PORTADA!O27</f>
        <v>#DIV/0!</v>
      </c>
    </row>
    <row r="45" spans="1:23">
      <c r="A45">
        <v>8</v>
      </c>
      <c r="B45" s="70">
        <f ca="1">IF(DATOSAÑO!E49=0,0,((DATOSAÑO!C49/DATOSAÑO!E49)*1000)*DATOSAÑO!E49/24)</f>
        <v>13083.333333333334</v>
      </c>
      <c r="C45" s="71">
        <f ca="1">IF(DATOSAÑO!L49=0,0,((DATOSAÑO!J49/DATOSAÑO!L49)*1000)*DATOSAÑO!L49/24)</f>
        <v>5250</v>
      </c>
      <c r="D45" s="83">
        <f t="shared" ca="1" si="8"/>
        <v>5.0368841558603492</v>
      </c>
      <c r="E45" s="45">
        <f t="shared" ca="1" si="9"/>
        <v>3.503816824189526</v>
      </c>
      <c r="F45" s="49" t="s">
        <v>67</v>
      </c>
      <c r="G45" s="50">
        <f ca="1">INDEX(B38:C68,B37,2)</f>
        <v>6266.666666666727</v>
      </c>
      <c r="H45" s="46">
        <f t="shared" ca="1" si="10"/>
        <v>0</v>
      </c>
      <c r="I45" s="46">
        <f t="shared" ca="1" si="11"/>
        <v>0</v>
      </c>
      <c r="J45" s="47">
        <v>18410</v>
      </c>
      <c r="K45" s="48">
        <f>PORTADA!I28</f>
        <v>6.7656622107231907</v>
      </c>
      <c r="M45">
        <v>8</v>
      </c>
      <c r="N45" s="70">
        <f ca="1">IF(DATOSAÑO!$E230=0,0,((DATOSAÑO!$C230/DATOSAÑO!$E230)*1000)*DATOSAÑO!$E230/24)</f>
        <v>0</v>
      </c>
      <c r="O45" s="71">
        <f ca="1">IF(DATOSAÑO!$L230=0,0,((DATOSAÑO!$J230/DATOSAÑO!$L230)*1000)*DATOSAÑO!$L230/24)</f>
        <v>0</v>
      </c>
      <c r="P45" s="81">
        <f t="shared" ca="1" si="12"/>
        <v>0</v>
      </c>
      <c r="Q45" s="45">
        <f t="shared" ca="1" si="13"/>
        <v>0</v>
      </c>
      <c r="R45" s="49" t="s">
        <v>67</v>
      </c>
      <c r="S45" s="50">
        <f ca="1">INDEX(N38:O68,N37,2)</f>
        <v>0</v>
      </c>
      <c r="T45" s="46">
        <f t="shared" ca="1" si="14"/>
        <v>0</v>
      </c>
      <c r="U45" s="46">
        <f t="shared" ca="1" si="15"/>
        <v>0</v>
      </c>
      <c r="V45" s="47">
        <v>18410</v>
      </c>
      <c r="W45" s="48" t="e">
        <f>PORTADA!O28</f>
        <v>#DIV/0!</v>
      </c>
    </row>
    <row r="46" spans="1:23">
      <c r="A46">
        <v>9</v>
      </c>
      <c r="B46" s="70">
        <f ca="1">IF(DATOSAÑO!E50=0,0,((DATOSAÑO!C50/DATOSAÑO!E50)*1000)*DATOSAÑO!E50/24)</f>
        <v>12625</v>
      </c>
      <c r="C46" s="71">
        <f ca="1">IF(DATOSAÑO!L50=0,0,((DATOSAÑO!J50/DATOSAÑO!L50)*1000)*DATOSAÑO!L50/24)</f>
        <v>6083.333333333333</v>
      </c>
      <c r="D46" s="83">
        <f t="shared" ca="1" si="8"/>
        <v>4.9471834077306731</v>
      </c>
      <c r="E46" s="45">
        <f t="shared" ca="1" si="9"/>
        <v>3.6669090935162094</v>
      </c>
      <c r="F46" s="49" t="s">
        <v>68</v>
      </c>
      <c r="G46" s="51">
        <f ca="1">(G45-F48)/(F49-F48)*(G49-G48)+G48</f>
        <v>3.7027893927680915</v>
      </c>
      <c r="H46" s="46">
        <f t="shared" ca="1" si="10"/>
        <v>0</v>
      </c>
      <c r="I46" s="46">
        <f t="shared" ca="1" si="11"/>
        <v>0</v>
      </c>
      <c r="J46" s="47">
        <v>21040</v>
      </c>
      <c r="K46" s="48">
        <f>PORTADA!I29</f>
        <v>7.4519544800498752</v>
      </c>
      <c r="M46">
        <v>9</v>
      </c>
      <c r="N46" s="70">
        <f ca="1">IF(DATOSAÑO!$E231=0,0,((DATOSAÑO!$C231/DATOSAÑO!$E231)*1000)*DATOSAÑO!$E231/24)</f>
        <v>0</v>
      </c>
      <c r="O46" s="71">
        <f ca="1">IF(DATOSAÑO!$L231=0,0,((DATOSAÑO!$J231/DATOSAÑO!$L231)*1000)*DATOSAÑO!$L231/24)</f>
        <v>0</v>
      </c>
      <c r="P46" s="81">
        <f t="shared" ca="1" si="12"/>
        <v>0</v>
      </c>
      <c r="Q46" s="45">
        <f t="shared" ca="1" si="13"/>
        <v>0</v>
      </c>
      <c r="R46" s="49" t="s">
        <v>68</v>
      </c>
      <c r="S46" s="51" t="e">
        <f ca="1">(S45-R48)/(R49-R48)*(S49-S48)+S48</f>
        <v>#DIV/0!</v>
      </c>
      <c r="T46" s="46">
        <f t="shared" ca="1" si="14"/>
        <v>0</v>
      </c>
      <c r="U46" s="46">
        <f t="shared" ca="1" si="15"/>
        <v>0</v>
      </c>
      <c r="V46" s="47">
        <v>21040</v>
      </c>
      <c r="W46" s="48" t="e">
        <f>PORTADA!O29</f>
        <v>#DIV/0!</v>
      </c>
    </row>
    <row r="47" spans="1:23">
      <c r="A47">
        <v>10</v>
      </c>
      <c r="B47" s="70">
        <f ca="1">IF(DATOSAÑO!E51=0,0,((DATOSAÑO!C51/DATOSAÑO!E51)*1000)*DATOSAÑO!E51/24)</f>
        <v>12083.333333333334</v>
      </c>
      <c r="C47" s="71">
        <f ca="1">IF(DATOSAÑO!L51=0,0,((DATOSAÑO!J51/DATOSAÑO!L51)*1000)*DATOSAÑO!L51/24)</f>
        <v>6250</v>
      </c>
      <c r="D47" s="83">
        <f t="shared" ca="1" si="8"/>
        <v>4.8411734326683291</v>
      </c>
      <c r="E47" s="45">
        <f t="shared" ca="1" si="9"/>
        <v>3.6995275473815461</v>
      </c>
      <c r="F47" s="49"/>
      <c r="G47" s="46"/>
      <c r="H47" s="46">
        <f t="shared" ca="1" si="10"/>
        <v>0</v>
      </c>
      <c r="I47" s="46">
        <f t="shared" ca="1" si="11"/>
        <v>0</v>
      </c>
      <c r="J47" s="47">
        <v>23670</v>
      </c>
      <c r="K47" s="48">
        <f>PORTADA!I30</f>
        <v>8.1382467493765596</v>
      </c>
      <c r="M47">
        <v>10</v>
      </c>
      <c r="N47" s="70">
        <f ca="1">IF(DATOSAÑO!$E232=0,0,((DATOSAÑO!$C232/DATOSAÑO!$E232)*1000)*DATOSAÑO!$E232/24)</f>
        <v>0</v>
      </c>
      <c r="O47" s="71">
        <f ca="1">IF(DATOSAÑO!$L232=0,0,((DATOSAÑO!$J232/DATOSAÑO!$L232)*1000)*DATOSAÑO!$L232/24)</f>
        <v>0</v>
      </c>
      <c r="P47" s="81">
        <f t="shared" ca="1" si="12"/>
        <v>0</v>
      </c>
      <c r="Q47" s="45">
        <f t="shared" ca="1" si="13"/>
        <v>0</v>
      </c>
      <c r="R47" s="49"/>
      <c r="S47" s="46"/>
      <c r="T47" s="46">
        <f t="shared" ca="1" si="14"/>
        <v>0</v>
      </c>
      <c r="U47" s="46">
        <f t="shared" ca="1" si="15"/>
        <v>0</v>
      </c>
      <c r="V47" s="47">
        <v>23670</v>
      </c>
      <c r="W47" s="48" t="e">
        <f>PORTADA!O30</f>
        <v>#DIV/0!</v>
      </c>
    </row>
    <row r="48" spans="1:23">
      <c r="A48">
        <v>11</v>
      </c>
      <c r="B48" s="171">
        <f ca="1">IF(DATOSAÑO!E52=0,0,((DATOSAÑO!C52/DATOSAÑO!E52)*1000)*DATOSAÑO!E52/24)</f>
        <v>11833.333333333334</v>
      </c>
      <c r="C48" s="71">
        <f ca="1">IF(DATOSAÑO!L52=0,0,((DATOSAÑO!J52/DATOSAÑO!L52)*1000)*DATOSAÑO!L52/24)</f>
        <v>6166.666666666667</v>
      </c>
      <c r="D48" s="616">
        <f t="shared" ca="1" si="8"/>
        <v>4.7922457518703245</v>
      </c>
      <c r="E48" s="45">
        <f t="shared" ca="1" si="9"/>
        <v>3.6832183204488778</v>
      </c>
      <c r="F48" s="52">
        <f ca="1">INDEX(J38:J48,I49)</f>
        <v>0</v>
      </c>
      <c r="G48" s="51">
        <f ca="1">INDEX(K38:K48,I49)</f>
        <v>2.4763355274314209</v>
      </c>
      <c r="H48" s="46">
        <f t="shared" ca="1" si="10"/>
        <v>0</v>
      </c>
      <c r="I48" s="46">
        <f t="shared" ca="1" si="11"/>
        <v>0</v>
      </c>
      <c r="J48" s="47">
        <v>26300</v>
      </c>
      <c r="K48" s="48">
        <f>PORTADA!I31</f>
        <v>8.8245390187032413</v>
      </c>
      <c r="M48">
        <v>11</v>
      </c>
      <c r="N48" s="70">
        <f ca="1">IF(DATOSAÑO!$E233=0,0,((DATOSAÑO!$C233/DATOSAÑO!$E233)*1000)*DATOSAÑO!$E233/24)</f>
        <v>0</v>
      </c>
      <c r="O48" s="71">
        <f ca="1">IF(DATOSAÑO!$L233=0,0,((DATOSAÑO!$J233/DATOSAÑO!$L233)*1000)*DATOSAÑO!$L233/24)</f>
        <v>0</v>
      </c>
      <c r="P48" s="81">
        <f t="shared" ca="1" si="12"/>
        <v>0</v>
      </c>
      <c r="Q48" s="45">
        <f t="shared" ca="1" si="13"/>
        <v>0</v>
      </c>
      <c r="R48" s="52">
        <f ca="1">INDEX(V38:V48,U49)</f>
        <v>0</v>
      </c>
      <c r="S48" s="51" t="e">
        <f ca="1">INDEX(W38:W48,U49)</f>
        <v>#DIV/0!</v>
      </c>
      <c r="T48" s="46">
        <f t="shared" ca="1" si="14"/>
        <v>0</v>
      </c>
      <c r="U48" s="46">
        <f t="shared" ca="1" si="15"/>
        <v>0</v>
      </c>
      <c r="V48" s="47">
        <v>26300</v>
      </c>
      <c r="W48" s="48" t="e">
        <f>PORTADA!O31</f>
        <v>#DIV/0!</v>
      </c>
    </row>
    <row r="49" spans="1:23" ht="15" thickBot="1">
      <c r="A49">
        <v>12</v>
      </c>
      <c r="B49" s="171">
        <f ca="1">IF(DATOSAÑO!E53=0,0,((DATOSAÑO!C53/DATOSAÑO!E53)*1000)*DATOSAÑO!E53/24)</f>
        <v>12000</v>
      </c>
      <c r="C49" s="71">
        <f ca="1">IF(DATOSAÑO!L53=0,0,((DATOSAÑO!J53/DATOSAÑO!L53)*1000)*DATOSAÑO!L53/24)</f>
        <v>6229.166666666667</v>
      </c>
      <c r="D49" s="616">
        <f t="shared" ca="1" si="8"/>
        <v>4.8248642057356612</v>
      </c>
      <c r="E49" s="45">
        <f t="shared" ca="1" si="9"/>
        <v>3.6954502406483791</v>
      </c>
      <c r="F49" s="53">
        <f ca="1">INDEX(J38:J48,I49+1)</f>
        <v>2630</v>
      </c>
      <c r="G49" s="54">
        <f ca="1">INDEX(K38:K48,I49+1)</f>
        <v>2.9910547294264336</v>
      </c>
      <c r="H49" s="55">
        <f t="shared" ca="1" si="10"/>
        <v>1</v>
      </c>
      <c r="I49" s="55">
        <f t="shared" ca="1" si="11"/>
        <v>1</v>
      </c>
      <c r="J49" s="55"/>
      <c r="K49" s="55"/>
      <c r="M49">
        <v>12</v>
      </c>
      <c r="N49" s="70">
        <f ca="1">IF(DATOSAÑO!$E234=0,0,((DATOSAÑO!$C234/DATOSAÑO!$E234)*1000)*DATOSAÑO!$E234/24)</f>
        <v>0</v>
      </c>
      <c r="O49" s="71">
        <f ca="1">IF(DATOSAÑO!$L234=0,0,((DATOSAÑO!$J234/DATOSAÑO!$L234)*1000)*DATOSAÑO!$L234/24)</f>
        <v>0</v>
      </c>
      <c r="P49" s="81">
        <f t="shared" ca="1" si="12"/>
        <v>0</v>
      </c>
      <c r="Q49" s="45">
        <f t="shared" ca="1" si="13"/>
        <v>0</v>
      </c>
      <c r="R49" s="53">
        <f ca="1">INDEX(V38:V48,U49+1)</f>
        <v>2630</v>
      </c>
      <c r="S49" s="54" t="e">
        <f ca="1">INDEX(W38:W48,U49+1)</f>
        <v>#DIV/0!</v>
      </c>
      <c r="T49" s="55">
        <f ca="1">SUM(T38:T48)</f>
        <v>1</v>
      </c>
      <c r="U49" s="55">
        <f ca="1">SUM(U38:U48)</f>
        <v>1</v>
      </c>
      <c r="V49" s="55"/>
      <c r="W49" s="55"/>
    </row>
    <row r="50" spans="1:23">
      <c r="A50">
        <v>13</v>
      </c>
      <c r="B50" s="171">
        <f ca="1">IF(DATOSAÑO!E54=0,0,((DATOSAÑO!C54/DATOSAÑO!E54)*1000)*DATOSAÑO!E54/24)</f>
        <v>11750</v>
      </c>
      <c r="C50" s="71">
        <f ca="1">IF(DATOSAÑO!L54=0,0,((DATOSAÑO!J54/DATOSAÑO!L54)*1000)*DATOSAÑO!L54/24)</f>
        <v>6833.333333333333</v>
      </c>
      <c r="D50" s="616">
        <f t="shared" ca="1" si="8"/>
        <v>4.7759365249376557</v>
      </c>
      <c r="E50" s="45">
        <f t="shared" ca="1" si="9"/>
        <v>3.813692135910224</v>
      </c>
      <c r="F50" s="56"/>
      <c r="G50" s="56"/>
      <c r="H50" s="56"/>
      <c r="I50" s="56"/>
      <c r="J50" s="56"/>
      <c r="K50" s="56"/>
      <c r="M50">
        <v>13</v>
      </c>
      <c r="N50" s="70">
        <f ca="1">IF(DATOSAÑO!$E235=0,0,((DATOSAÑO!$C235/DATOSAÑO!$E235)*1000)*DATOSAÑO!$E235/24)</f>
        <v>0</v>
      </c>
      <c r="O50" s="71">
        <f ca="1">IF(DATOSAÑO!$L235=0,0,((DATOSAÑO!$J235/DATOSAÑO!$L235)*1000)*DATOSAÑO!$L235/24)</f>
        <v>0</v>
      </c>
      <c r="P50" s="81">
        <f t="shared" ca="1" si="12"/>
        <v>0</v>
      </c>
      <c r="Q50" s="45">
        <f t="shared" ca="1" si="13"/>
        <v>0</v>
      </c>
      <c r="R50" s="56"/>
      <c r="S50" s="56"/>
      <c r="T50" s="56"/>
      <c r="U50" s="56"/>
      <c r="V50" s="56"/>
      <c r="W50" s="56"/>
    </row>
    <row r="51" spans="1:23">
      <c r="A51">
        <v>14</v>
      </c>
      <c r="B51" s="171">
        <f ca="1">IF(DATOSAÑO!E55=0,0,((DATOSAÑO!C55/DATOSAÑO!E55)*1000)*DATOSAÑO!E55/24)</f>
        <v>11750</v>
      </c>
      <c r="C51" s="71">
        <f ca="1">IF(DATOSAÑO!L55=0,0,((DATOSAÑO!J55/DATOSAÑO!L55)*1000)*DATOSAÑO!L55/24)</f>
        <v>6279.166666666697</v>
      </c>
      <c r="D51" s="616">
        <f t="shared" ca="1" si="8"/>
        <v>4.7759365249376557</v>
      </c>
      <c r="E51" s="45">
        <f t="shared" ca="1" si="9"/>
        <v>3.705235776807986</v>
      </c>
      <c r="F51" s="56"/>
      <c r="G51" s="56"/>
      <c r="H51" s="56"/>
      <c r="I51" s="56"/>
      <c r="J51" s="56"/>
      <c r="K51" s="56"/>
      <c r="M51">
        <v>14</v>
      </c>
      <c r="N51" s="70">
        <f ca="1">IF(DATOSAÑO!$E236=0,0,((DATOSAÑO!$C236/DATOSAÑO!$E236)*1000)*DATOSAÑO!$E236/24)</f>
        <v>0</v>
      </c>
      <c r="O51" s="71">
        <f ca="1">IF(DATOSAÑO!$L236=0,0,((DATOSAÑO!$J236/DATOSAÑO!$L236)*1000)*DATOSAÑO!$L236/24)</f>
        <v>0</v>
      </c>
      <c r="P51" s="81">
        <f t="shared" ca="1" si="12"/>
        <v>0</v>
      </c>
      <c r="Q51" s="45">
        <f t="shared" ca="1" si="13"/>
        <v>0</v>
      </c>
      <c r="R51" s="56"/>
      <c r="S51" s="56"/>
      <c r="T51" s="56"/>
      <c r="U51" s="56"/>
      <c r="V51" s="56"/>
      <c r="W51" s="56"/>
    </row>
    <row r="52" spans="1:23">
      <c r="A52">
        <v>15</v>
      </c>
      <c r="B52" s="171">
        <f ca="1">IF(DATOSAÑO!E56=0,0,((DATOSAÑO!C56/DATOSAÑO!E56)*1000)*DATOSAÑO!E56/24)</f>
        <v>12500</v>
      </c>
      <c r="C52" s="71">
        <f ca="1">IF(DATOSAÑO!L56=0,0,((DATOSAÑO!J56/DATOSAÑO!L56)*1000)*DATOSAÑO!L56/24)</f>
        <v>6279.166666666697</v>
      </c>
      <c r="D52" s="616">
        <f t="shared" ca="1" si="8"/>
        <v>4.9227195673316713</v>
      </c>
      <c r="E52" s="45">
        <f t="shared" ca="1" si="9"/>
        <v>3.705235776807986</v>
      </c>
      <c r="F52" s="56"/>
      <c r="G52" s="56"/>
      <c r="H52" s="56"/>
      <c r="I52" s="56"/>
      <c r="J52" s="56"/>
      <c r="K52" s="56"/>
      <c r="M52">
        <v>15</v>
      </c>
      <c r="N52" s="70">
        <f ca="1">IF(DATOSAÑO!$E237=0,0,((DATOSAÑO!$C237/DATOSAÑO!$E237)*1000)*DATOSAÑO!$E237/24)</f>
        <v>0</v>
      </c>
      <c r="O52" s="71">
        <f ca="1">IF(DATOSAÑO!$L237=0,0,((DATOSAÑO!$J237/DATOSAÑO!$L237)*1000)*DATOSAÑO!$L237/24)</f>
        <v>0</v>
      </c>
      <c r="P52" s="81">
        <f t="shared" ca="1" si="12"/>
        <v>0</v>
      </c>
      <c r="Q52" s="45">
        <f t="shared" ca="1" si="13"/>
        <v>0</v>
      </c>
      <c r="R52" s="56"/>
      <c r="S52" s="56"/>
      <c r="T52" s="56"/>
      <c r="U52" s="56"/>
      <c r="V52" s="56"/>
      <c r="W52" s="56"/>
    </row>
    <row r="53" spans="1:23">
      <c r="A53">
        <v>16</v>
      </c>
      <c r="B53" s="171">
        <f ca="1">IF(DATOSAÑO!E57=0,0,((DATOSAÑO!C57/DATOSAÑO!E57)*1000)*DATOSAÑO!E57/24)</f>
        <v>12083.333333333334</v>
      </c>
      <c r="C53" s="71">
        <f ca="1">IF(DATOSAÑO!L57=0,0,((DATOSAÑO!J57/DATOSAÑO!L57)*1000)*DATOSAÑO!L57/24)</f>
        <v>6070.8333333332121</v>
      </c>
      <c r="D53" s="616">
        <f t="shared" ca="1" si="8"/>
        <v>4.8411734326683291</v>
      </c>
      <c r="E53" s="45">
        <f t="shared" ca="1" si="9"/>
        <v>3.6644627094762852</v>
      </c>
      <c r="F53" s="56"/>
      <c r="G53" s="56"/>
      <c r="H53" s="56"/>
      <c r="I53" s="56"/>
      <c r="J53" s="56"/>
      <c r="K53" s="56"/>
      <c r="M53">
        <v>16</v>
      </c>
      <c r="N53" s="70">
        <f ca="1">IF(DATOSAÑO!$E238=0,0,((DATOSAÑO!$C238/DATOSAÑO!$E238)*1000)*DATOSAÑO!$E238/24)</f>
        <v>0</v>
      </c>
      <c r="O53" s="71">
        <f ca="1">IF(DATOSAÑO!$L238=0,0,((DATOSAÑO!$J238/DATOSAÑO!$L238)*1000)*DATOSAÑO!$L238/24)</f>
        <v>0</v>
      </c>
      <c r="P53" s="81">
        <f t="shared" ca="1" si="12"/>
        <v>0</v>
      </c>
      <c r="Q53" s="45">
        <f t="shared" ca="1" si="13"/>
        <v>0</v>
      </c>
      <c r="R53" s="56"/>
      <c r="S53" s="56"/>
      <c r="T53" s="56"/>
      <c r="U53" s="56"/>
      <c r="V53" s="56"/>
      <c r="W53" s="56"/>
    </row>
    <row r="54" spans="1:23">
      <c r="A54">
        <v>17</v>
      </c>
      <c r="B54" s="171">
        <f ca="1">IF(DATOSAÑO!E58=0,0,((DATOSAÑO!C58/DATOSAÑO!E58)*1000)*DATOSAÑO!E58/24)</f>
        <v>12000</v>
      </c>
      <c r="C54" s="71">
        <f ca="1">IF(DATOSAÑO!L58=0,0,((DATOSAÑO!J58/DATOSAÑO!L58)*1000)*DATOSAÑO!L58/24)</f>
        <v>5912.5000000000609</v>
      </c>
      <c r="D54" s="616">
        <f t="shared" ca="1" si="8"/>
        <v>4.8248642057356612</v>
      </c>
      <c r="E54" s="45">
        <f t="shared" ca="1" si="9"/>
        <v>3.6334751783042512</v>
      </c>
      <c r="F54" s="56"/>
      <c r="G54" s="56"/>
      <c r="H54" s="57"/>
      <c r="I54" s="56"/>
      <c r="J54" s="56"/>
      <c r="K54" s="56"/>
      <c r="M54">
        <v>17</v>
      </c>
      <c r="N54" s="70">
        <f ca="1">IF(DATOSAÑO!$E239=0,0,((DATOSAÑO!$C239/DATOSAÑO!$E239)*1000)*DATOSAÑO!$E239/24)</f>
        <v>0</v>
      </c>
      <c r="O54" s="71">
        <f ca="1">IF(DATOSAÑO!$L239=0,0,((DATOSAÑO!$J239/DATOSAÑO!$L239)*1000)*DATOSAÑO!$L239/24)</f>
        <v>0</v>
      </c>
      <c r="P54" s="81">
        <f t="shared" ca="1" si="12"/>
        <v>0</v>
      </c>
      <c r="Q54" s="45">
        <f t="shared" ca="1" si="13"/>
        <v>0</v>
      </c>
      <c r="R54" s="56"/>
      <c r="S54" s="56"/>
      <c r="T54" s="57"/>
      <c r="U54" s="56"/>
      <c r="V54" s="56"/>
      <c r="W54" s="56"/>
    </row>
    <row r="55" spans="1:23">
      <c r="A55">
        <v>18</v>
      </c>
      <c r="B55" s="171">
        <f ca="1">IF(DATOSAÑO!E59=0,0,((DATOSAÑO!C59/DATOSAÑO!E59)*1000)*DATOSAÑO!E59/24)</f>
        <v>12541.666666666666</v>
      </c>
      <c r="C55" s="71">
        <f ca="1">IF(DATOSAÑO!L59=0,0,((DATOSAÑO!J59/DATOSAÑO!L59)*1000)*DATOSAÑO!L59/24)</f>
        <v>6266.666666666727</v>
      </c>
      <c r="D55" s="616">
        <f t="shared" ca="1" si="8"/>
        <v>4.9308741807980052</v>
      </c>
      <c r="E55" s="45">
        <f t="shared" ca="1" si="9"/>
        <v>3.7027893927680915</v>
      </c>
      <c r="F55" s="56"/>
      <c r="G55" s="56"/>
      <c r="H55" s="56"/>
      <c r="I55" s="56"/>
      <c r="J55" s="56"/>
      <c r="K55" s="56"/>
      <c r="M55">
        <v>18</v>
      </c>
      <c r="N55" s="70">
        <f ca="1">IF(DATOSAÑO!$E240=0,0,((DATOSAÑO!$C240/DATOSAÑO!$E240)*1000)*DATOSAÑO!$E240/24)</f>
        <v>0</v>
      </c>
      <c r="O55" s="71">
        <f ca="1">IF(DATOSAÑO!$L240=0,0,((DATOSAÑO!$J240/DATOSAÑO!$L240)*1000)*DATOSAÑO!$L240/24)</f>
        <v>0</v>
      </c>
      <c r="P55" s="81">
        <f t="shared" ca="1" si="12"/>
        <v>0</v>
      </c>
      <c r="Q55" s="45">
        <f t="shared" ca="1" si="13"/>
        <v>0</v>
      </c>
      <c r="R55" s="56"/>
      <c r="S55" s="56"/>
      <c r="T55" s="56"/>
      <c r="U55" s="56"/>
      <c r="V55" s="56"/>
      <c r="W55" s="56"/>
    </row>
    <row r="56" spans="1:23">
      <c r="A56">
        <v>19</v>
      </c>
      <c r="B56" s="171">
        <f ca="1">IF(DATOSAÑO!E60=0,0,((DATOSAÑO!C60/DATOSAÑO!E60)*1000)*DATOSAÑO!E60/24)</f>
        <v>12250</v>
      </c>
      <c r="C56" s="71">
        <f ca="1">IF(DATOSAÑO!L60=0,0,((DATOSAÑO!J60/DATOSAÑO!L60)*1000)*DATOSAÑO!L60/24)</f>
        <v>6066.666666666606</v>
      </c>
      <c r="D56" s="616">
        <f t="shared" ca="1" si="8"/>
        <v>4.8737918865336667</v>
      </c>
      <c r="E56" s="45">
        <f t="shared" ca="1" si="9"/>
        <v>3.6636472481296636</v>
      </c>
      <c r="F56" s="56"/>
      <c r="G56" s="56"/>
      <c r="H56" s="56"/>
      <c r="I56" s="56"/>
      <c r="J56" s="56"/>
      <c r="K56" s="58"/>
      <c r="M56">
        <v>19</v>
      </c>
      <c r="N56" s="70">
        <f ca="1">IF(DATOSAÑO!$E241=0,0,((DATOSAÑO!$C241/DATOSAÑO!$E241)*1000)*DATOSAÑO!$E241/24)</f>
        <v>0</v>
      </c>
      <c r="O56" s="71">
        <f ca="1">IF(DATOSAÑO!$L241=0,0,((DATOSAÑO!$J241/DATOSAÑO!$L241)*1000)*DATOSAÑO!$L241/24)</f>
        <v>0</v>
      </c>
      <c r="P56" s="81">
        <f t="shared" ca="1" si="12"/>
        <v>0</v>
      </c>
      <c r="Q56" s="45">
        <f t="shared" ca="1" si="13"/>
        <v>0</v>
      </c>
      <c r="R56" s="56"/>
      <c r="S56" s="56"/>
      <c r="T56" s="56"/>
      <c r="U56" s="56"/>
      <c r="V56" s="56"/>
      <c r="W56" s="58"/>
    </row>
    <row r="57" spans="1:23">
      <c r="A57">
        <v>20</v>
      </c>
      <c r="B57" s="171">
        <f ca="1">IF(DATOSAÑO!E61=0,0,((DATOSAÑO!C61/DATOSAÑO!E61)*1000)*DATOSAÑO!E61/24)</f>
        <v>12375</v>
      </c>
      <c r="C57" s="71">
        <f ca="1">IF(DATOSAÑO!L61=0,0,((DATOSAÑO!J61/DATOSAÑO!L61)*1000)*DATOSAÑO!L61/24)</f>
        <v>6191.666666666606</v>
      </c>
      <c r="D57" s="616">
        <f t="shared" ca="1" si="8"/>
        <v>4.8982557269326685</v>
      </c>
      <c r="E57" s="45">
        <f t="shared" ca="1" si="9"/>
        <v>3.6881110885286663</v>
      </c>
      <c r="F57" s="56"/>
      <c r="G57" s="56"/>
      <c r="H57" s="56"/>
      <c r="I57" s="56"/>
      <c r="J57" s="56"/>
      <c r="K57" s="56"/>
      <c r="M57">
        <v>20</v>
      </c>
      <c r="N57" s="70">
        <f ca="1">IF(DATOSAÑO!$E242=0,0,((DATOSAÑO!$C242/DATOSAÑO!$E242)*1000)*DATOSAÑO!$E242/24)</f>
        <v>0</v>
      </c>
      <c r="O57" s="71">
        <f ca="1">IF(DATOSAÑO!$L242=0,0,((DATOSAÑO!$J242/DATOSAÑO!$L242)*1000)*DATOSAÑO!$L242/24)</f>
        <v>0</v>
      </c>
      <c r="P57" s="81">
        <f t="shared" ca="1" si="12"/>
        <v>0</v>
      </c>
      <c r="Q57" s="45">
        <f t="shared" ca="1" si="13"/>
        <v>0</v>
      </c>
      <c r="R57" s="56"/>
      <c r="S57" s="56"/>
      <c r="T57" s="56"/>
      <c r="U57" s="56"/>
      <c r="V57" s="56"/>
      <c r="W57" s="56"/>
    </row>
    <row r="58" spans="1:23">
      <c r="A58">
        <v>21</v>
      </c>
      <c r="B58" s="171">
        <f ca="1">IF(DATOSAÑO!E62=0,0,((DATOSAÑO!C62/DATOSAÑO!E62)*1000)*DATOSAÑO!E62/24)</f>
        <v>12625</v>
      </c>
      <c r="C58" s="71">
        <f ca="1">IF(DATOSAÑO!L62=0,0,((DATOSAÑO!J62/DATOSAÑO!L62)*1000)*DATOSAÑO!L62/24)</f>
        <v>6129.1666666667579</v>
      </c>
      <c r="D58" s="616">
        <f t="shared" ca="1" si="8"/>
        <v>4.9471834077306731</v>
      </c>
      <c r="E58" s="45">
        <f t="shared" ca="1" si="9"/>
        <v>3.6758791683291951</v>
      </c>
      <c r="F58" s="56"/>
      <c r="G58" s="56"/>
      <c r="H58" s="56"/>
      <c r="I58" s="56"/>
      <c r="J58" s="56"/>
      <c r="K58" s="56"/>
      <c r="M58">
        <v>21</v>
      </c>
      <c r="N58" s="70">
        <f ca="1">IF(DATOSAÑO!$E243=0,0,((DATOSAÑO!$C243/DATOSAÑO!$E243)*1000)*DATOSAÑO!$E243/24)</f>
        <v>0</v>
      </c>
      <c r="O58" s="71">
        <f ca="1">IF(DATOSAÑO!$L243=0,0,((DATOSAÑO!$J243/DATOSAÑO!$L243)*1000)*DATOSAÑO!$L243/24)</f>
        <v>0</v>
      </c>
      <c r="P58" s="81">
        <f t="shared" ca="1" si="12"/>
        <v>0</v>
      </c>
      <c r="Q58" s="45">
        <f t="shared" ca="1" si="13"/>
        <v>0</v>
      </c>
      <c r="R58" s="56"/>
      <c r="S58" s="56"/>
      <c r="T58" s="56"/>
      <c r="U58" s="56"/>
      <c r="V58" s="56"/>
      <c r="W58" s="56"/>
    </row>
    <row r="59" spans="1:23">
      <c r="A59">
        <v>22</v>
      </c>
      <c r="B59" s="171">
        <f ca="1">IF(DATOSAÑO!E63=0,0,((DATOSAÑO!C63/DATOSAÑO!E63)*1000)*DATOSAÑO!E63/24)</f>
        <v>12600.00000000097</v>
      </c>
      <c r="C59" s="71">
        <f ca="1">IF(DATOSAÑO!L63=0,0,((DATOSAÑO!J63/DATOSAÑO!L63)*1000)*DATOSAÑO!L63/24)</f>
        <v>6137.49999999997</v>
      </c>
      <c r="D59" s="616">
        <f t="shared" ca="1" si="8"/>
        <v>4.9422906396510626</v>
      </c>
      <c r="E59" s="45">
        <f t="shared" ca="1" si="9"/>
        <v>3.6775100910224379</v>
      </c>
      <c r="F59" s="56"/>
      <c r="G59" s="56"/>
      <c r="H59" s="56"/>
      <c r="I59" s="56"/>
      <c r="J59" s="56"/>
      <c r="K59" s="56"/>
      <c r="M59">
        <v>22</v>
      </c>
      <c r="N59" s="70">
        <f ca="1">IF(DATOSAÑO!$E244=0,0,((DATOSAÑO!$C244/DATOSAÑO!$E244)*1000)*DATOSAÑO!$E244/24)</f>
        <v>0</v>
      </c>
      <c r="O59" s="71">
        <f ca="1">IF(DATOSAÑO!$L244=0,0,((DATOSAÑO!$J244/DATOSAÑO!$L244)*1000)*DATOSAÑO!$L244/24)</f>
        <v>0</v>
      </c>
      <c r="P59" s="81">
        <f t="shared" ca="1" si="12"/>
        <v>0</v>
      </c>
      <c r="Q59" s="45">
        <f t="shared" ca="1" si="13"/>
        <v>0</v>
      </c>
      <c r="R59" s="56"/>
      <c r="S59" s="56"/>
      <c r="T59" s="56"/>
      <c r="U59" s="56"/>
      <c r="V59" s="56"/>
      <c r="W59" s="56"/>
    </row>
    <row r="60" spans="1:23">
      <c r="A60">
        <v>23</v>
      </c>
      <c r="B60" s="171">
        <f ca="1">IF(DATOSAÑO!E64=0,0,((DATOSAÑO!C64/DATOSAÑO!E64)*1000)*DATOSAÑO!E64/24)</f>
        <v>10798.333333334691</v>
      </c>
      <c r="C60" s="71">
        <f ca="1">IF(DATOSAÑO!L64=0,0,((DATOSAÑO!J64/DATOSAÑO!L64)*1000)*DATOSAÑO!L64/24)</f>
        <v>5564.1666666667033</v>
      </c>
      <c r="D60" s="616">
        <f t="shared" ca="1" si="8"/>
        <v>4.5896851533668492</v>
      </c>
      <c r="E60" s="45">
        <f t="shared" ca="1" si="9"/>
        <v>3.565302609725693</v>
      </c>
      <c r="F60" s="56"/>
      <c r="G60" s="56"/>
      <c r="H60" s="56"/>
      <c r="I60" s="56"/>
      <c r="J60" s="56"/>
      <c r="K60" s="56"/>
      <c r="M60">
        <v>23</v>
      </c>
      <c r="N60" s="70">
        <f ca="1">IF(DATOSAÑO!$E245=0,0,((DATOSAÑO!$C245/DATOSAÑO!$E245)*1000)*DATOSAÑO!$E245/24)</f>
        <v>0</v>
      </c>
      <c r="O60" s="71">
        <f ca="1">IF(DATOSAÑO!$L245=0,0,((DATOSAÑO!$J245/DATOSAÑO!$L245)*1000)*DATOSAÑO!$L245/24)</f>
        <v>0</v>
      </c>
      <c r="P60" s="81">
        <f t="shared" ca="1" si="12"/>
        <v>0</v>
      </c>
      <c r="Q60" s="45">
        <f t="shared" ca="1" si="13"/>
        <v>0</v>
      </c>
      <c r="R60" s="56"/>
      <c r="S60" s="56"/>
      <c r="T60" s="56"/>
      <c r="U60" s="56"/>
      <c r="V60" s="56"/>
      <c r="W60" s="56"/>
    </row>
    <row r="61" spans="1:23">
      <c r="A61">
        <v>24</v>
      </c>
      <c r="B61" s="171">
        <f ca="1">IF(DATOSAÑO!E65=0,0,((DATOSAÑO!C65/DATOSAÑO!E65)*1000)*DATOSAÑO!E65/24)</f>
        <v>11877.916666664532</v>
      </c>
      <c r="C61" s="71">
        <f ca="1">IF(DATOSAÑO!L65=0,0,((DATOSAÑO!J65/DATOSAÑO!L65)*1000)*DATOSAÑO!L65/24)</f>
        <v>6236.6666666666788</v>
      </c>
      <c r="D61" s="616">
        <f t="shared" ca="1" si="8"/>
        <v>4.8009711882788846</v>
      </c>
      <c r="E61" s="45">
        <f t="shared" ca="1" si="9"/>
        <v>3.6969180710723215</v>
      </c>
      <c r="F61" s="56"/>
      <c r="G61" s="56"/>
      <c r="H61" s="56"/>
      <c r="I61" s="56"/>
      <c r="J61" s="56"/>
      <c r="K61" s="56"/>
      <c r="M61">
        <v>24</v>
      </c>
      <c r="N61" s="70">
        <f ca="1">IF(DATOSAÑO!$E246=0,0,((DATOSAÑO!$C246/DATOSAÑO!$E246)*1000)*DATOSAÑO!$E246/24)</f>
        <v>0</v>
      </c>
      <c r="O61" s="71">
        <f ca="1">IF(DATOSAÑO!$L246=0,0,((DATOSAÑO!$J246/DATOSAÑO!$L246)*1000)*DATOSAÑO!$L246/24)</f>
        <v>0</v>
      </c>
      <c r="P61" s="81">
        <f t="shared" ca="1" si="12"/>
        <v>0</v>
      </c>
      <c r="Q61" s="45">
        <f t="shared" ca="1" si="13"/>
        <v>0</v>
      </c>
      <c r="R61" s="56"/>
      <c r="S61" s="56"/>
      <c r="T61" s="56"/>
      <c r="U61" s="56"/>
      <c r="V61" s="56"/>
      <c r="W61" s="56"/>
    </row>
    <row r="62" spans="1:23">
      <c r="A62">
        <v>25</v>
      </c>
      <c r="B62" s="171">
        <f ca="1">IF(DATOSAÑO!E66=0,0,((DATOSAÑO!C66/DATOSAÑO!E66)*1000)*DATOSAÑO!E66/24)</f>
        <v>11728.749999999613</v>
      </c>
      <c r="C62" s="71">
        <f ca="1">IF(DATOSAÑO!L66=0,0,((DATOSAÑO!J66/DATOSAÑO!L66)*1000)*DATOSAÑO!L66/24)</f>
        <v>6303.7499999998845</v>
      </c>
      <c r="D62" s="616">
        <f t="shared" ca="1" si="8"/>
        <v>4.7717776720697493</v>
      </c>
      <c r="E62" s="45">
        <f t="shared" ca="1" si="9"/>
        <v>3.7100469987530946</v>
      </c>
      <c r="F62" s="56"/>
      <c r="G62" s="56"/>
      <c r="H62" s="56"/>
      <c r="I62" s="56"/>
      <c r="J62" s="56"/>
      <c r="K62" s="56"/>
      <c r="M62">
        <v>25</v>
      </c>
      <c r="N62" s="70">
        <f ca="1">IF(DATOSAÑO!$E247=0,0,((DATOSAÑO!$C247/DATOSAÑO!$E247)*1000)*DATOSAÑO!$E247/24)</f>
        <v>0</v>
      </c>
      <c r="O62" s="71">
        <f ca="1">IF(DATOSAÑO!$L247=0,0,((DATOSAÑO!$J247/DATOSAÑO!$L247)*1000)*DATOSAÑO!$L247/24)</f>
        <v>0</v>
      </c>
      <c r="P62" s="81">
        <f t="shared" ca="1" si="12"/>
        <v>0</v>
      </c>
      <c r="Q62" s="45">
        <f t="shared" ca="1" si="13"/>
        <v>0</v>
      </c>
      <c r="R62" s="56"/>
      <c r="S62" s="56"/>
      <c r="T62" s="56"/>
      <c r="U62" s="56"/>
      <c r="V62" s="56"/>
      <c r="W62" s="56"/>
    </row>
    <row r="63" spans="1:23">
      <c r="A63">
        <v>26</v>
      </c>
      <c r="B63" s="171">
        <f ca="1">IF(DATOSAÑO!E67=0,0,((DATOSAÑO!C67/DATOSAÑO!E67)*1000)*DATOSAÑO!E67/24)</f>
        <v>11530.416666665891</v>
      </c>
      <c r="C63" s="71">
        <f ca="1">IF(DATOSAÑO!L67=0,0,((DATOSAÑO!J67/DATOSAÑO!L67)*1000)*DATOSAÑO!L67/24)</f>
        <v>6295.4166666666724</v>
      </c>
      <c r="D63" s="616">
        <f t="shared" ca="1" si="8"/>
        <v>4.7329617119699225</v>
      </c>
      <c r="E63" s="45">
        <f t="shared" ca="1" si="9"/>
        <v>3.7084160760598515</v>
      </c>
      <c r="F63" s="56"/>
      <c r="G63" s="56"/>
      <c r="H63" s="56"/>
      <c r="I63" s="56"/>
      <c r="J63" s="56"/>
      <c r="K63" s="56"/>
      <c r="M63">
        <v>26</v>
      </c>
      <c r="N63" s="70">
        <f ca="1">IF(DATOSAÑO!$E248=0,0,((DATOSAÑO!$C248/DATOSAÑO!$E248)*1000)*DATOSAÑO!$E248/24)</f>
        <v>0</v>
      </c>
      <c r="O63" s="71">
        <f ca="1">IF(DATOSAÑO!$L248=0,0,((DATOSAÑO!$J248/DATOSAÑO!$L248)*1000)*DATOSAÑO!$L248/24)</f>
        <v>0</v>
      </c>
      <c r="P63" s="81">
        <f t="shared" ca="1" si="12"/>
        <v>0</v>
      </c>
      <c r="Q63" s="45">
        <f t="shared" ca="1" si="13"/>
        <v>0</v>
      </c>
      <c r="R63" s="56"/>
      <c r="S63" s="56"/>
      <c r="T63" s="56"/>
      <c r="U63" s="56"/>
      <c r="V63" s="56"/>
      <c r="W63" s="56"/>
    </row>
    <row r="64" spans="1:23">
      <c r="A64">
        <v>27</v>
      </c>
      <c r="B64" s="171">
        <f ca="1">IF(DATOSAÑO!E68=0,0,((DATOSAÑO!C68/DATOSAÑO!E68)*1000)*DATOSAÑO!E68/24)</f>
        <v>11827.083333332363</v>
      </c>
      <c r="C64" s="71">
        <f ca="1">IF(DATOSAÑO!L68=0,0,((DATOSAÑO!J68/DATOSAÑO!L68)*1000)*DATOSAÑO!L68/24)</f>
        <v>6306.2500000000909</v>
      </c>
      <c r="D64" s="616">
        <f t="shared" ca="1" si="8"/>
        <v>4.7910225598501839</v>
      </c>
      <c r="E64" s="45">
        <f t="shared" ca="1" si="9"/>
        <v>3.7105362755611146</v>
      </c>
      <c r="F64" s="56"/>
      <c r="G64" s="56"/>
      <c r="H64" s="56"/>
      <c r="I64" s="56"/>
      <c r="J64" s="56"/>
      <c r="K64" s="56"/>
      <c r="M64">
        <v>27</v>
      </c>
      <c r="N64" s="70">
        <f ca="1">IF(DATOSAÑO!$E249=0,0,((DATOSAÑO!$C249/DATOSAÑO!$E249)*1000)*DATOSAÑO!$E249/24)</f>
        <v>0</v>
      </c>
      <c r="O64" s="71">
        <f ca="1">IF(DATOSAÑO!$L249=0,0,((DATOSAÑO!$J249/DATOSAÑO!$L249)*1000)*DATOSAÑO!$L249/24)</f>
        <v>0</v>
      </c>
      <c r="P64" s="81">
        <f t="shared" ca="1" si="12"/>
        <v>0</v>
      </c>
      <c r="Q64" s="45">
        <f t="shared" ca="1" si="13"/>
        <v>0</v>
      </c>
      <c r="R64" s="56"/>
      <c r="S64" s="56"/>
      <c r="T64" s="56"/>
      <c r="U64" s="56"/>
      <c r="V64" s="56"/>
      <c r="W64" s="56"/>
    </row>
    <row r="65" spans="1:23">
      <c r="A65">
        <v>28</v>
      </c>
      <c r="B65" s="171">
        <f ca="1">IF(DATOSAÑO!E69=0,0,((DATOSAÑO!C69/DATOSAÑO!E69)*1000)*DATOSAÑO!E69/24)</f>
        <v>11644.166666669966</v>
      </c>
      <c r="C65" s="71">
        <f ca="1">IF(DATOSAÑO!L69=0,0,((DATOSAÑO!J69/DATOSAÑO!L69)*1000)*DATOSAÑO!L69/24)</f>
        <v>6351.2500000000118</v>
      </c>
      <c r="D65" s="616">
        <f ca="1">IF(B65&gt;0,(B65-$F$42)/($F$43-$F$42)*($G$43-$G$42)+$G$42,0)</f>
        <v>4.7552238067338131</v>
      </c>
      <c r="E65" s="45">
        <f ca="1">IF(C65&gt;0,(C65-$F$48)/($F$49-$F$48)*($G$49-$G$48)+$G$48,0)</f>
        <v>3.7193432581047405</v>
      </c>
      <c r="F65" s="56"/>
      <c r="G65" s="56"/>
      <c r="H65" s="56"/>
      <c r="I65" s="56"/>
      <c r="J65" s="56"/>
      <c r="K65" s="56"/>
      <c r="M65">
        <v>28</v>
      </c>
      <c r="N65" s="70">
        <f ca="1">IF(DATOSAÑO!$E250=0,0,((DATOSAÑO!$C250/DATOSAÑO!$E250)*1000)*DATOSAÑO!$E250/24)</f>
        <v>0</v>
      </c>
      <c r="O65" s="71">
        <f ca="1">IF(DATOSAÑO!$L250=0,0,((DATOSAÑO!$J250/DATOSAÑO!$L250)*1000)*DATOSAÑO!$L250/24)</f>
        <v>0</v>
      </c>
      <c r="P65" s="81">
        <f t="shared" ca="1" si="12"/>
        <v>0</v>
      </c>
      <c r="Q65" s="45">
        <f t="shared" ca="1" si="13"/>
        <v>0</v>
      </c>
      <c r="R65" s="56"/>
      <c r="S65" s="56"/>
      <c r="T65" s="56"/>
      <c r="U65" s="56"/>
      <c r="V65" s="56"/>
      <c r="W65" s="56"/>
    </row>
    <row r="66" spans="1:23">
      <c r="A66">
        <v>29</v>
      </c>
      <c r="B66" s="1214"/>
      <c r="C66" s="1215"/>
      <c r="D66" s="1216"/>
      <c r="E66" s="1217"/>
      <c r="F66" s="56"/>
      <c r="G66" s="56"/>
      <c r="H66" s="56"/>
      <c r="I66" s="56"/>
      <c r="J66" s="56"/>
      <c r="K66" s="56"/>
      <c r="M66">
        <v>29</v>
      </c>
      <c r="N66" s="70">
        <f ca="1">IF(DATOSAÑO!$E251=0,0,((DATOSAÑO!$C251/DATOSAÑO!$E251)*1000)*DATOSAÑO!$E251/24)</f>
        <v>0</v>
      </c>
      <c r="O66" s="71">
        <f ca="1">IF(DATOSAÑO!$L251=0,0,((DATOSAÑO!$J251/DATOSAÑO!$L251)*1000)*DATOSAÑO!$L251/24)</f>
        <v>0</v>
      </c>
      <c r="P66" s="81">
        <f t="shared" ca="1" si="12"/>
        <v>0</v>
      </c>
      <c r="Q66" s="45">
        <f t="shared" ca="1" si="13"/>
        <v>0</v>
      </c>
      <c r="R66" s="56"/>
      <c r="S66" s="56"/>
      <c r="T66" s="56"/>
      <c r="U66" s="56"/>
      <c r="V66" s="56"/>
      <c r="W66" s="56"/>
    </row>
    <row r="67" spans="1:23">
      <c r="B67" s="171"/>
      <c r="C67" s="71"/>
      <c r="D67" s="616"/>
      <c r="E67" s="45"/>
      <c r="F67" s="56"/>
      <c r="G67" s="56"/>
      <c r="H67" s="56"/>
      <c r="I67" s="56"/>
      <c r="J67" s="56"/>
      <c r="K67" s="56"/>
      <c r="M67">
        <v>30</v>
      </c>
      <c r="N67" s="70">
        <f ca="1">IF(DATOSAÑO!$E252=0,0,((DATOSAÑO!$C252/DATOSAÑO!$E252)*1000)*DATOSAÑO!$E252/24)</f>
        <v>0</v>
      </c>
      <c r="O67" s="71">
        <f ca="1">IF(DATOSAÑO!$L252=0,0,((DATOSAÑO!$J252/DATOSAÑO!$L252)*1000)*DATOSAÑO!$L252/24)</f>
        <v>0</v>
      </c>
      <c r="P67" s="81">
        <f ca="1">IF(N67&gt;0,(N67-$R$42)/($R$43-$R$42)*($S$43-$S$42)+$S$42,0)</f>
        <v>0</v>
      </c>
      <c r="Q67" s="45">
        <f ca="1">IF(O67&gt;0,(O67-$R$48)/($R$49-$R$48)*($S$49-$S$48)+$S$48,0)</f>
        <v>0</v>
      </c>
      <c r="R67" s="56"/>
      <c r="S67" s="56"/>
      <c r="T67" s="56"/>
      <c r="U67" s="56"/>
      <c r="V67" s="56"/>
      <c r="W67" s="56"/>
    </row>
    <row r="68" spans="1:23" ht="15" thickBot="1">
      <c r="B68" s="172"/>
      <c r="C68" s="73"/>
      <c r="D68" s="79"/>
      <c r="E68" s="80"/>
      <c r="F68" s="56"/>
      <c r="G68" s="56"/>
      <c r="H68" s="56"/>
      <c r="I68" s="56"/>
      <c r="J68" s="56"/>
      <c r="K68" s="56"/>
      <c r="M68">
        <v>31</v>
      </c>
      <c r="N68" s="70">
        <f ca="1">IF(DATOSAÑO!$E253=0,0,((DATOSAÑO!$C253/DATOSAÑO!$E253)*1000)*DATOSAÑO!$E253/24)</f>
        <v>0</v>
      </c>
      <c r="O68" s="71">
        <f ca="1">IF(DATOSAÑO!$L253=0,0,((DATOSAÑO!$J253/DATOSAÑO!$L253)*1000)*DATOSAÑO!$L253/24)</f>
        <v>0</v>
      </c>
      <c r="P68" s="79">
        <f ca="1">IF(N68&gt;0,(N68-$R$42)/($R$43-$R$42)*($S$43-$S$42)+$S$42,0)</f>
        <v>0</v>
      </c>
      <c r="Q68" s="80">
        <f ca="1">IF(O68&gt;0,(O68-$R$48)/($R$49-$R$48)*($S$49-$S$48)+$S$48,0)</f>
        <v>0</v>
      </c>
      <c r="R68" s="56"/>
      <c r="S68" s="56"/>
      <c r="T68" s="56"/>
      <c r="U68" s="56"/>
      <c r="V68" s="56"/>
      <c r="W68" s="56"/>
    </row>
    <row r="69" spans="1:23" ht="15" thickTop="1"/>
    <row r="70" spans="1:23" ht="15" thickBot="1">
      <c r="B70" s="2157">
        <v>44986</v>
      </c>
      <c r="C70" s="2158"/>
      <c r="D70" s="2158"/>
      <c r="E70" s="2158"/>
      <c r="F70" s="2159" t="s">
        <v>60</v>
      </c>
      <c r="G70" s="2159"/>
      <c r="H70" s="2159"/>
      <c r="I70" s="2159"/>
      <c r="J70" s="2159"/>
      <c r="K70" s="2159"/>
      <c r="N70" s="2157">
        <v>45170</v>
      </c>
      <c r="O70" s="2158"/>
      <c r="P70" s="2158"/>
      <c r="Q70" s="2158"/>
      <c r="R70" s="2159" t="s">
        <v>60</v>
      </c>
      <c r="S70" s="2159"/>
      <c r="T70" s="2159"/>
      <c r="U70" s="2159"/>
      <c r="V70" s="2159"/>
      <c r="W70" s="2159"/>
    </row>
    <row r="71" spans="1:23" ht="44.4" thickTop="1" thickBot="1">
      <c r="A71" s="41">
        <f ca="1">ABS(TODAY()-1)</f>
        <v>45125</v>
      </c>
      <c r="B71" s="66">
        <f ca="1">DAY(A71)</f>
        <v>18</v>
      </c>
      <c r="C71" s="67"/>
      <c r="D71" s="75" t="s">
        <v>61</v>
      </c>
      <c r="E71" s="76" t="s">
        <v>62</v>
      </c>
      <c r="F71" s="42"/>
      <c r="G71" s="43"/>
      <c r="H71" s="43" t="s">
        <v>63</v>
      </c>
      <c r="I71" s="43" t="s">
        <v>64</v>
      </c>
      <c r="J71" s="44" t="s">
        <v>56</v>
      </c>
      <c r="K71" s="43" t="s">
        <v>65</v>
      </c>
      <c r="M71" s="41">
        <f ca="1">ABS(TODAY()-1)</f>
        <v>45125</v>
      </c>
      <c r="N71" s="66">
        <f ca="1">DAY(M71)</f>
        <v>18</v>
      </c>
      <c r="O71" s="67"/>
      <c r="P71" s="75" t="s">
        <v>61</v>
      </c>
      <c r="Q71" s="76" t="s">
        <v>62</v>
      </c>
      <c r="R71" s="42"/>
      <c r="S71" s="43"/>
      <c r="T71" s="43" t="s">
        <v>63</v>
      </c>
      <c r="U71" s="43" t="s">
        <v>64</v>
      </c>
      <c r="V71" s="44" t="s">
        <v>56</v>
      </c>
      <c r="W71" s="43" t="s">
        <v>65</v>
      </c>
    </row>
    <row r="72" spans="1:23" ht="15.6" thickTop="1" thickBot="1">
      <c r="A72">
        <v>1</v>
      </c>
      <c r="B72" s="68">
        <f ca="1">IF(DATOSAÑO!E70=0,0,((DATOSAÑO!C70/DATOSAÑO!E70)*1000)*DATOSAÑO!E70/24)</f>
        <v>11572.499999999613</v>
      </c>
      <c r="C72" s="69">
        <f ca="1">IF(DATOSAÑO!L70=0,0,((DATOSAÑO!J70/DATOSAÑO!L70)*1000)*DATOSAÑO!L70/24)</f>
        <v>6388.3333333333212</v>
      </c>
      <c r="D72" s="82">
        <f ca="1">IF(B72&gt;0,(B72-$F$42)/($F$43-$F$42)*($G$43-$G$42)+$G$42,0)</f>
        <v>4.7411978715709964</v>
      </c>
      <c r="E72" s="78">
        <f ca="1">IF(C72&gt;0,(C72-$F$48)/($F$49-$F$48)*($G$49-$G$48)+$G$48,0)</f>
        <v>3.7266008640897734</v>
      </c>
      <c r="F72" s="2155" t="s">
        <v>66</v>
      </c>
      <c r="G72" s="2156"/>
      <c r="H72" s="46">
        <f>IF($G$72&gt;=J72,1,0)</f>
        <v>1</v>
      </c>
      <c r="I72" s="46">
        <f ca="1">IF($G$79&gt;=J72,1,0)</f>
        <v>1</v>
      </c>
      <c r="J72" s="47">
        <v>0</v>
      </c>
      <c r="K72" s="48">
        <f>PORTADA!I55</f>
        <v>0</v>
      </c>
      <c r="M72">
        <v>1</v>
      </c>
      <c r="N72" s="68">
        <f ca="1">IF(DATOSAÑO!$E254=0,0,((DATOSAÑO!$C254/DATOSAÑO!$E254)*1000)*DATOSAÑO!$E254/24)</f>
        <v>0</v>
      </c>
      <c r="O72" s="69">
        <f ca="1">IF(DATOSAÑO!$L254=0,0,((DATOSAÑO!$J254/DATOSAÑO!$L254)*1000)*DATOSAÑO!$L254/24)</f>
        <v>0</v>
      </c>
      <c r="P72" s="77">
        <f ca="1">IF(N72&gt;0,(N72-$R$76)/($R$77-$R$76)*($S$77-$S$76)+$S$76,0)</f>
        <v>0</v>
      </c>
      <c r="Q72" s="78">
        <f ca="1">IF(O72&gt;0,(O72-$R$82)/($R$83-$R$82)*($S$83-$S$82)+$S$82,0)</f>
        <v>0</v>
      </c>
      <c r="R72" s="2155" t="s">
        <v>66</v>
      </c>
      <c r="S72" s="2156"/>
      <c r="T72" s="46">
        <f ca="1">IF($S$73&gt;=V72,1,0)</f>
        <v>1</v>
      </c>
      <c r="U72" s="46">
        <f ca="1">IF($S$79&gt;=V72,1,0)</f>
        <v>1</v>
      </c>
      <c r="V72" s="47">
        <v>0</v>
      </c>
      <c r="W72" s="48">
        <f>PORTADA!P21</f>
        <v>2.4273591136666663</v>
      </c>
    </row>
    <row r="73" spans="1:23" ht="15.6" thickTop="1" thickBot="1">
      <c r="A73">
        <v>2</v>
      </c>
      <c r="B73" s="70">
        <f ca="1">IF(DATOSAÑO!E71=0,0,((DATOSAÑO!C71/DATOSAÑO!E71)*1000)*DATOSAÑO!E71/24)</f>
        <v>11716.666666664727</v>
      </c>
      <c r="C73" s="71">
        <f ca="1">IF(DATOSAÑO!L71=0,0,((DATOSAÑO!J71/DATOSAÑO!L71)*1000)*DATOSAÑO!L71/24)</f>
        <v>6295.833333333273</v>
      </c>
      <c r="D73" s="82">
        <f t="shared" ref="D73:D102" ca="1" si="16">IF(B73&gt;0,(B73-$F$42)/($F$43-$F$42)*($G$43-$G$42)+$G$42,0)</f>
        <v>4.7694128341642088</v>
      </c>
      <c r="E73" s="78">
        <f t="shared" ref="E73:E102" ca="1" si="17">IF(C73&gt;0,(C73-$F$48)/($F$49-$F$48)*($G$49-$G$48)+$G$48,0)</f>
        <v>3.7084976221945016</v>
      </c>
      <c r="F73" s="49" t="s">
        <v>67</v>
      </c>
      <c r="G73" s="50">
        <f ca="1">INDEX(B72:C102,B71,1)</f>
        <v>12416.666666666666</v>
      </c>
      <c r="H73" s="46">
        <f t="shared" ref="H73:H83" si="18">IF($G$72&gt;=J73,1,0)</f>
        <v>0</v>
      </c>
      <c r="I73" s="46">
        <f t="shared" ref="I73:I83" ca="1" si="19">IF($G$79&gt;=J73,1,0)</f>
        <v>1</v>
      </c>
      <c r="J73" s="47">
        <v>2630</v>
      </c>
      <c r="K73" s="48">
        <f>PORTADA!I56</f>
        <v>0</v>
      </c>
      <c r="M73">
        <v>2</v>
      </c>
      <c r="N73" s="70">
        <f ca="1">IF(DATOSAÑO!$E255=0,0,((DATOSAÑO!$C255/DATOSAÑO!$E255)*1000)*DATOSAÑO!$E255/24)</f>
        <v>0</v>
      </c>
      <c r="O73" s="71">
        <f ca="1">IF(DATOSAÑO!$L255=0,0,((DATOSAÑO!$J255/DATOSAÑO!$L255)*1000)*DATOSAÑO!$L255/24)</f>
        <v>0</v>
      </c>
      <c r="P73" s="81">
        <f t="shared" ref="P73:P101" ca="1" si="20">IF(N73&gt;0,(N73-$R$76)/($R$77-$R$76)*($S$77-$S$76)+$S$76,0)</f>
        <v>0</v>
      </c>
      <c r="Q73" s="45">
        <f t="shared" ref="Q73:Q101" ca="1" si="21">IF(O73&gt;0,(O73-$R$82)/($R$83-$R$82)*($S$83-$S$82)+$S$82,0)</f>
        <v>0</v>
      </c>
      <c r="R73" s="49" t="s">
        <v>67</v>
      </c>
      <c r="S73" s="50">
        <f ca="1">INDEX(N72:O102,N71,1)</f>
        <v>0</v>
      </c>
      <c r="T73" s="46">
        <f t="shared" ref="T73:T82" ca="1" si="22">IF($S$73&gt;=V73,1,0)</f>
        <v>0</v>
      </c>
      <c r="U73" s="46">
        <f t="shared" ref="U73:U82" ca="1" si="23">IF($S$79&gt;=V73,1,0)</f>
        <v>0</v>
      </c>
      <c r="V73" s="47">
        <v>2630</v>
      </c>
      <c r="W73" s="48">
        <f>PORTADA!P22</f>
        <v>2.9318983136666668</v>
      </c>
    </row>
    <row r="74" spans="1:23" ht="15.6" thickTop="1" thickBot="1">
      <c r="A74">
        <v>3</v>
      </c>
      <c r="B74" s="70">
        <f ca="1">IF(DATOSAÑO!E72=0,0,((DATOSAÑO!C72/DATOSAÑO!E72)*1000)*DATOSAÑO!E72/24)</f>
        <v>11667.91666666783</v>
      </c>
      <c r="C74" s="71">
        <f ca="1">IF(DATOSAÑO!L72=0,0,((DATOSAÑO!J72/DATOSAÑO!L72)*1000)*DATOSAÑO!L72/24)</f>
        <v>6222.9166666667579</v>
      </c>
      <c r="D74" s="82">
        <f t="shared" ca="1" si="16"/>
        <v>4.7598719364092057</v>
      </c>
      <c r="E74" s="78">
        <f t="shared" ca="1" si="17"/>
        <v>3.6942270486284468</v>
      </c>
      <c r="F74" s="49" t="s">
        <v>68</v>
      </c>
      <c r="G74" s="51">
        <f ca="1">(G73-F76)/(F77-F76)*(G77-G76)+G76</f>
        <v>0</v>
      </c>
      <c r="H74" s="46">
        <f t="shared" si="18"/>
        <v>0</v>
      </c>
      <c r="I74" s="46">
        <f t="shared" ca="1" si="19"/>
        <v>1</v>
      </c>
      <c r="J74" s="47">
        <v>5260</v>
      </c>
      <c r="K74" s="48">
        <f>PORTADA!I57</f>
        <v>0</v>
      </c>
      <c r="M74">
        <v>3</v>
      </c>
      <c r="N74" s="70">
        <f ca="1">IF(DATOSAÑO!$E256=0,0,((DATOSAÑO!$C256/DATOSAÑO!$E256)*1000)*DATOSAÑO!$E256/24)</f>
        <v>0</v>
      </c>
      <c r="O74" s="71">
        <f ca="1">IF(DATOSAÑO!$L256=0,0,((DATOSAÑO!$J256/DATOSAÑO!$L256)*1000)*DATOSAÑO!$L256/24)</f>
        <v>0</v>
      </c>
      <c r="P74" s="81">
        <f t="shared" ca="1" si="20"/>
        <v>0</v>
      </c>
      <c r="Q74" s="45">
        <f t="shared" ca="1" si="21"/>
        <v>0</v>
      </c>
      <c r="R74" s="49" t="s">
        <v>68</v>
      </c>
      <c r="S74" s="51">
        <f ca="1">(S73-R76)/(R77-R76)*(S77-S76)+S76</f>
        <v>2.4273591136666663</v>
      </c>
      <c r="T74" s="46">
        <f t="shared" ca="1" si="22"/>
        <v>0</v>
      </c>
      <c r="U74" s="46">
        <f t="shared" ca="1" si="23"/>
        <v>0</v>
      </c>
      <c r="V74" s="47">
        <v>5260</v>
      </c>
      <c r="W74" s="48">
        <f>PORTADA!P23</f>
        <v>3.5205273803333328</v>
      </c>
    </row>
    <row r="75" spans="1:23" ht="15.6" thickTop="1" thickBot="1">
      <c r="A75">
        <v>4</v>
      </c>
      <c r="B75" s="70">
        <f ca="1">IF(DATOSAÑO!E73=0,0,((DATOSAÑO!C73/DATOSAÑO!E73)*1000)*DATOSAÑO!E73/24)</f>
        <v>12097.916666665697</v>
      </c>
      <c r="C75" s="71">
        <f ca="1">IF(DATOSAÑO!L73=0,0,((DATOSAÑO!J73/DATOSAÑO!L73)*1000)*DATOSAÑO!L73/24)</f>
        <v>6248.7499999998972</v>
      </c>
      <c r="D75" s="82">
        <f t="shared" ca="1" si="16"/>
        <v>4.8440275473813568</v>
      </c>
      <c r="E75" s="78">
        <f t="shared" ca="1" si="17"/>
        <v>3.6992829089775361</v>
      </c>
      <c r="F75" s="49"/>
      <c r="G75" s="46"/>
      <c r="H75" s="46">
        <f t="shared" si="18"/>
        <v>0</v>
      </c>
      <c r="I75" s="46">
        <f t="shared" ca="1" si="19"/>
        <v>0</v>
      </c>
      <c r="J75" s="47">
        <v>7890</v>
      </c>
      <c r="K75" s="48">
        <f>PORTADA!I58</f>
        <v>0</v>
      </c>
      <c r="M75">
        <v>4</v>
      </c>
      <c r="N75" s="70">
        <f ca="1">IF(DATOSAÑO!$E257=0,0,((DATOSAÑO!$C257/DATOSAÑO!$E257)*1000)*DATOSAÑO!$E257/24)</f>
        <v>0</v>
      </c>
      <c r="O75" s="71">
        <f ca="1">IF(DATOSAÑO!$L257=0,0,((DATOSAÑO!$J257/DATOSAÑO!$L257)*1000)*DATOSAÑO!$L257/24)</f>
        <v>0</v>
      </c>
      <c r="P75" s="81">
        <f t="shared" ca="1" si="20"/>
        <v>0</v>
      </c>
      <c r="Q75" s="45">
        <f t="shared" ca="1" si="21"/>
        <v>0</v>
      </c>
      <c r="R75" s="49"/>
      <c r="S75" s="46"/>
      <c r="T75" s="46">
        <f t="shared" ca="1" si="22"/>
        <v>0</v>
      </c>
      <c r="U75" s="46">
        <f t="shared" ca="1" si="23"/>
        <v>0</v>
      </c>
      <c r="V75" s="47">
        <v>7890</v>
      </c>
      <c r="W75" s="48">
        <f>PORTADA!P24</f>
        <v>4.1512013803333332</v>
      </c>
    </row>
    <row r="76" spans="1:23" ht="15.6" thickTop="1" thickBot="1">
      <c r="A76">
        <v>5</v>
      </c>
      <c r="B76" s="70">
        <f ca="1">IF(DATOSAÑO!E74=0,0,((DATOSAÑO!C74/DATOSAÑO!E74)*1000)*DATOSAÑO!E74/24)</f>
        <v>11592.499999998836</v>
      </c>
      <c r="C76" s="71">
        <f ca="1">IF(DATOSAÑO!L74=0,0,((DATOSAÑO!J74/DATOSAÑO!L74)*1000)*DATOSAÑO!L74/24)</f>
        <v>6272.0833333334367</v>
      </c>
      <c r="D76" s="82">
        <f t="shared" ca="1" si="16"/>
        <v>4.7451120860346849</v>
      </c>
      <c r="E76" s="78">
        <f t="shared" ca="1" si="17"/>
        <v>3.7038494925187235</v>
      </c>
      <c r="F76" s="52">
        <f>INDEX(J72:J82,H83)</f>
        <v>0</v>
      </c>
      <c r="G76" s="51">
        <f>INDEX(K72:K82,H83)</f>
        <v>0</v>
      </c>
      <c r="H76" s="46">
        <f t="shared" si="18"/>
        <v>0</v>
      </c>
      <c r="I76" s="46">
        <f t="shared" ca="1" si="19"/>
        <v>0</v>
      </c>
      <c r="J76" s="47">
        <v>10520</v>
      </c>
      <c r="K76" s="48">
        <f>PORTADA!I59</f>
        <v>0</v>
      </c>
      <c r="M76">
        <v>5</v>
      </c>
      <c r="N76" s="70">
        <f ca="1">IF(DATOSAÑO!$E258=0,0,((DATOSAÑO!$C258/DATOSAÑO!$E258)*1000)*DATOSAÑO!$E258/24)</f>
        <v>0</v>
      </c>
      <c r="O76" s="71">
        <f ca="1">IF(DATOSAÑO!$L258=0,0,((DATOSAÑO!$J258/DATOSAÑO!$L258)*1000)*DATOSAÑO!$L258/24)</f>
        <v>0</v>
      </c>
      <c r="P76" s="81">
        <f t="shared" ca="1" si="20"/>
        <v>0</v>
      </c>
      <c r="Q76" s="45">
        <f t="shared" ca="1" si="21"/>
        <v>0</v>
      </c>
      <c r="R76" s="52">
        <f ca="1">INDEX(V72:V82,T83)</f>
        <v>0</v>
      </c>
      <c r="S76" s="51">
        <f ca="1">INDEX(W72:W82,T83)</f>
        <v>2.4273591136666663</v>
      </c>
      <c r="T76" s="46">
        <f t="shared" ca="1" si="22"/>
        <v>0</v>
      </c>
      <c r="U76" s="46">
        <f t="shared" ca="1" si="23"/>
        <v>0</v>
      </c>
      <c r="V76" s="47">
        <v>10520</v>
      </c>
      <c r="W76" s="48">
        <f>PORTADA!P25</f>
        <v>4.6977855136666662</v>
      </c>
    </row>
    <row r="77" spans="1:23" ht="15.6" thickTop="1" thickBot="1">
      <c r="A77">
        <v>6</v>
      </c>
      <c r="B77" s="70">
        <f ca="1">IF(DATOSAÑO!E75=0,0,((DATOSAÑO!C75/DATOSAÑO!E75)*1000)*DATOSAÑO!E75/24)</f>
        <v>11887.500000001941</v>
      </c>
      <c r="C77" s="71">
        <f ca="1">IF(DATOSAÑO!L75=0,0,((DATOSAÑO!J75/DATOSAÑO!L75)*1000)*DATOSAÑO!L75/24)</f>
        <v>6193.7499999999091</v>
      </c>
      <c r="D77" s="82">
        <f t="shared" ca="1" si="16"/>
        <v>4.8028467493769389</v>
      </c>
      <c r="E77" s="78">
        <f t="shared" ca="1" si="17"/>
        <v>3.6885188192019771</v>
      </c>
      <c r="F77" s="52">
        <f>INDEX(J72:J82,H83+1)</f>
        <v>2630</v>
      </c>
      <c r="G77" s="51">
        <f>INDEX(K72:K82,H83+1)</f>
        <v>0</v>
      </c>
      <c r="H77" s="46">
        <f t="shared" si="18"/>
        <v>0</v>
      </c>
      <c r="I77" s="46">
        <f t="shared" ca="1" si="19"/>
        <v>0</v>
      </c>
      <c r="J77" s="47">
        <v>13150</v>
      </c>
      <c r="K77" s="48">
        <f>PORTADA!I60</f>
        <v>0</v>
      </c>
      <c r="M77">
        <v>6</v>
      </c>
      <c r="N77" s="70">
        <f ca="1">IF(DATOSAÑO!$E259=0,0,((DATOSAÑO!$C259/DATOSAÑO!$E259)*1000)*DATOSAÑO!$E259/24)</f>
        <v>0</v>
      </c>
      <c r="O77" s="71">
        <f ca="1">IF(DATOSAÑO!$L259=0,0,((DATOSAÑO!$J259/DATOSAÑO!$L259)*1000)*DATOSAÑO!$L259/24)</f>
        <v>0</v>
      </c>
      <c r="P77" s="81">
        <f t="shared" ca="1" si="20"/>
        <v>0</v>
      </c>
      <c r="Q77" s="45">
        <f t="shared" ca="1" si="21"/>
        <v>0</v>
      </c>
      <c r="R77" s="52">
        <f ca="1">INDEX(V72:V82,T83+1)</f>
        <v>2630</v>
      </c>
      <c r="S77" s="51">
        <f ca="1">INDEX(W72:W82,T83+1)</f>
        <v>2.9318983136666668</v>
      </c>
      <c r="T77" s="46">
        <f t="shared" ca="1" si="22"/>
        <v>0</v>
      </c>
      <c r="U77" s="46">
        <f t="shared" ca="1" si="23"/>
        <v>0</v>
      </c>
      <c r="V77" s="47">
        <v>13150</v>
      </c>
      <c r="W77" s="48">
        <f>PORTADA!P26</f>
        <v>5.2864145803333322</v>
      </c>
    </row>
    <row r="78" spans="1:23" ht="15.6" thickTop="1" thickBot="1">
      <c r="A78">
        <v>7</v>
      </c>
      <c r="B78" s="70">
        <f ca="1">IF(DATOSAÑO!E76=0,0,((DATOSAÑO!C76/DATOSAÑO!E76)*1000)*DATOSAÑO!E76/24)</f>
        <v>12458.333333333334</v>
      </c>
      <c r="C78" s="71">
        <f ca="1">IF(DATOSAÑO!L76=0,0,((DATOSAÑO!J76/DATOSAÑO!L76)*1000)*DATOSAÑO!L76/24)</f>
        <v>6358.333333333424</v>
      </c>
      <c r="D78" s="82">
        <f t="shared" ca="1" si="16"/>
        <v>4.9145649538653373</v>
      </c>
      <c r="E78" s="78">
        <f t="shared" ca="1" si="17"/>
        <v>3.7207295423940328</v>
      </c>
      <c r="F78" s="2155" t="s">
        <v>69</v>
      </c>
      <c r="G78" s="2156"/>
      <c r="H78" s="46">
        <f t="shared" si="18"/>
        <v>0</v>
      </c>
      <c r="I78" s="46">
        <f t="shared" ca="1" si="19"/>
        <v>0</v>
      </c>
      <c r="J78" s="47">
        <v>15780</v>
      </c>
      <c r="K78" s="48">
        <f>PORTADA!I61</f>
        <v>0</v>
      </c>
      <c r="M78">
        <v>7</v>
      </c>
      <c r="N78" s="70">
        <f ca="1">IF(DATOSAÑO!$E260=0,0,((DATOSAÑO!$C260/DATOSAÑO!$E260)*1000)*DATOSAÑO!$E260/24)</f>
        <v>0</v>
      </c>
      <c r="O78" s="71">
        <f ca="1">IF(DATOSAÑO!$L260=0,0,((DATOSAÑO!$J260/DATOSAÑO!$L260)*1000)*DATOSAÑO!$L260/24)</f>
        <v>0</v>
      </c>
      <c r="P78" s="81">
        <f t="shared" ca="1" si="20"/>
        <v>0</v>
      </c>
      <c r="Q78" s="45">
        <f t="shared" ca="1" si="21"/>
        <v>0</v>
      </c>
      <c r="R78" s="2155" t="s">
        <v>69</v>
      </c>
      <c r="S78" s="2156"/>
      <c r="T78" s="46">
        <f t="shared" ca="1" si="22"/>
        <v>0</v>
      </c>
      <c r="U78" s="46">
        <f t="shared" ca="1" si="23"/>
        <v>0</v>
      </c>
      <c r="V78" s="47">
        <v>15780</v>
      </c>
      <c r="W78" s="48">
        <f>PORTADA!P27</f>
        <v>5.9170885803333331</v>
      </c>
    </row>
    <row r="79" spans="1:23" ht="15.6" thickTop="1" thickBot="1">
      <c r="A79">
        <v>8</v>
      </c>
      <c r="B79" s="70">
        <f ca="1">IF(DATOSAÑO!E77=0,0,((DATOSAÑO!C77/DATOSAÑO!E77)*1000)*DATOSAÑO!E77/24)</f>
        <v>12208.333333333334</v>
      </c>
      <c r="C79" s="71">
        <f ca="1">IF(DATOSAÑO!L77=0,0,((DATOSAÑO!J77/DATOSAÑO!L77)*1000)*DATOSAÑO!L77/24)</f>
        <v>6329.166666666576</v>
      </c>
      <c r="D79" s="82">
        <f t="shared" ca="1" si="16"/>
        <v>4.8656372730673318</v>
      </c>
      <c r="E79" s="78">
        <f t="shared" ca="1" si="17"/>
        <v>3.7150213129675631</v>
      </c>
      <c r="F79" s="49" t="s">
        <v>67</v>
      </c>
      <c r="G79" s="50">
        <f ca="1">INDEX(B72:C102,B71,2)</f>
        <v>6291.666666666667</v>
      </c>
      <c r="H79" s="46">
        <f t="shared" si="18"/>
        <v>0</v>
      </c>
      <c r="I79" s="46">
        <f t="shared" ca="1" si="19"/>
        <v>0</v>
      </c>
      <c r="J79" s="47">
        <v>18410</v>
      </c>
      <c r="K79" s="48">
        <f>PORTADA!I62</f>
        <v>0</v>
      </c>
      <c r="M79">
        <v>8</v>
      </c>
      <c r="N79" s="70">
        <f ca="1">IF(DATOSAÑO!$E261=0,0,((DATOSAÑO!$C261/DATOSAÑO!$E261)*1000)*DATOSAÑO!$E261/24)</f>
        <v>0</v>
      </c>
      <c r="O79" s="71">
        <f ca="1">IF(DATOSAÑO!$L261=0,0,((DATOSAÑO!$J261/DATOSAÑO!$L261)*1000)*DATOSAÑO!$L261/24)</f>
        <v>0</v>
      </c>
      <c r="P79" s="81">
        <f t="shared" ca="1" si="20"/>
        <v>0</v>
      </c>
      <c r="Q79" s="45">
        <f t="shared" ca="1" si="21"/>
        <v>0</v>
      </c>
      <c r="R79" s="49" t="s">
        <v>67</v>
      </c>
      <c r="S79" s="50">
        <f ca="1">INDEX(N72:O102,N71,2)</f>
        <v>0</v>
      </c>
      <c r="T79" s="46">
        <f t="shared" ca="1" si="22"/>
        <v>0</v>
      </c>
      <c r="U79" s="46">
        <f t="shared" ca="1" si="23"/>
        <v>0</v>
      </c>
      <c r="V79" s="47">
        <v>18410</v>
      </c>
      <c r="W79" s="48">
        <f>PORTADA!P28</f>
        <v>6.6318524469999991</v>
      </c>
    </row>
    <row r="80" spans="1:23" ht="15.6" thickTop="1" thickBot="1">
      <c r="A80">
        <v>9</v>
      </c>
      <c r="B80" s="70">
        <f ca="1">IF(DATOSAÑO!E78=0,0,((DATOSAÑO!C78/DATOSAÑO!E78)*1000)*DATOSAÑO!E78/24)</f>
        <v>12000</v>
      </c>
      <c r="C80" s="71">
        <f ca="1">IF(DATOSAÑO!L78=0,0,((DATOSAÑO!J78/DATOSAÑO!L78)*1000)*DATOSAÑO!L78/24)</f>
        <v>6087.5000000000909</v>
      </c>
      <c r="D80" s="82">
        <f t="shared" ca="1" si="16"/>
        <v>4.8248642057356612</v>
      </c>
      <c r="E80" s="78">
        <f t="shared" ca="1" si="17"/>
        <v>3.6677245548628603</v>
      </c>
      <c r="F80" s="49" t="s">
        <v>68</v>
      </c>
      <c r="G80" s="51">
        <f ca="1">(G79-F82)/(F83-F82)*(G83-G82)+G82</f>
        <v>0</v>
      </c>
      <c r="H80" s="46">
        <f t="shared" si="18"/>
        <v>0</v>
      </c>
      <c r="I80" s="46">
        <f t="shared" ca="1" si="19"/>
        <v>0</v>
      </c>
      <c r="J80" s="47">
        <v>21040</v>
      </c>
      <c r="K80" s="48">
        <f>PORTADA!I63</f>
        <v>0</v>
      </c>
      <c r="M80">
        <v>9</v>
      </c>
      <c r="N80" s="70">
        <f ca="1">IF(DATOSAÑO!$E262=0,0,((DATOSAÑO!$C262/DATOSAÑO!$E262)*1000)*DATOSAÑO!$E262/24)</f>
        <v>0</v>
      </c>
      <c r="O80" s="71">
        <f ca="1">IF(DATOSAÑO!$L262=0,0,((DATOSAÑO!$J262/DATOSAÑO!$L262)*1000)*DATOSAÑO!$L262/24)</f>
        <v>0</v>
      </c>
      <c r="P80" s="81">
        <f t="shared" ca="1" si="20"/>
        <v>0</v>
      </c>
      <c r="Q80" s="45">
        <f t="shared" ca="1" si="21"/>
        <v>0</v>
      </c>
      <c r="R80" s="49" t="s">
        <v>68</v>
      </c>
      <c r="S80" s="51">
        <f ca="1">(S79-R82)/(R83-R82)*(S83-S82)+S82</f>
        <v>2.4273591136666663</v>
      </c>
      <c r="T80" s="46">
        <f t="shared" ca="1" si="22"/>
        <v>0</v>
      </c>
      <c r="U80" s="46">
        <f t="shared" ca="1" si="23"/>
        <v>0</v>
      </c>
      <c r="V80" s="47">
        <v>21040</v>
      </c>
      <c r="W80" s="48">
        <f>PORTADA!P29</f>
        <v>7.3045713803333339</v>
      </c>
    </row>
    <row r="81" spans="1:23" ht="15.6" thickTop="1" thickBot="1">
      <c r="A81">
        <v>10</v>
      </c>
      <c r="B81" s="70">
        <f ca="1">IF(DATOSAÑO!E79=0,0,((DATOSAÑO!C79/DATOSAÑO!E79)*1000)*DATOSAÑO!E79/24)</f>
        <v>12208.333333333334</v>
      </c>
      <c r="C81" s="71">
        <f ca="1">IF(DATOSAÑO!L79=0,0,((DATOSAÑO!J79/DATOSAÑO!L79)*1000)*DATOSAÑO!L79/24)</f>
        <v>6254.166666666606</v>
      </c>
      <c r="D81" s="82">
        <f t="shared" ca="1" si="16"/>
        <v>4.8656372730673318</v>
      </c>
      <c r="E81" s="78">
        <f t="shared" ca="1" si="17"/>
        <v>3.7003430087281677</v>
      </c>
      <c r="F81" s="49"/>
      <c r="G81" s="46"/>
      <c r="H81" s="46">
        <f t="shared" si="18"/>
        <v>0</v>
      </c>
      <c r="I81" s="46">
        <f t="shared" ca="1" si="19"/>
        <v>0</v>
      </c>
      <c r="J81" s="47">
        <v>23670</v>
      </c>
      <c r="K81" s="48">
        <f>PORTADA!I64</f>
        <v>0</v>
      </c>
      <c r="M81">
        <v>10</v>
      </c>
      <c r="N81" s="70">
        <f ca="1">IF(DATOSAÑO!$E263=0,0,((DATOSAÑO!$C263/DATOSAÑO!$E263)*1000)*DATOSAÑO!$E263/24)</f>
        <v>0</v>
      </c>
      <c r="O81" s="71">
        <f ca="1">IF(DATOSAÑO!$L263=0,0,((DATOSAÑO!$J263/DATOSAÑO!$L263)*1000)*DATOSAÑO!$L263/24)</f>
        <v>0</v>
      </c>
      <c r="P81" s="81">
        <f t="shared" ca="1" si="20"/>
        <v>0</v>
      </c>
      <c r="Q81" s="45">
        <f t="shared" ca="1" si="21"/>
        <v>0</v>
      </c>
      <c r="R81" s="49"/>
      <c r="S81" s="46"/>
      <c r="T81" s="46">
        <f t="shared" ca="1" si="22"/>
        <v>0</v>
      </c>
      <c r="U81" s="46">
        <f t="shared" ca="1" si="23"/>
        <v>0</v>
      </c>
      <c r="V81" s="47">
        <v>23670</v>
      </c>
      <c r="W81" s="48">
        <f>PORTADA!P30</f>
        <v>7.9772903136666677</v>
      </c>
    </row>
    <row r="82" spans="1:23" ht="15.6" thickTop="1" thickBot="1">
      <c r="A82">
        <v>11</v>
      </c>
      <c r="B82" s="70">
        <f ca="1">IF(DATOSAÑO!E80=0,0,((DATOSAÑO!C80/DATOSAÑO!E80)*1000)*DATOSAÑO!E80/24)</f>
        <v>10791.666666666666</v>
      </c>
      <c r="C82" s="71">
        <f ca="1">IF(DATOSAÑO!L80=0,0,((DATOSAÑO!J80/DATOSAÑO!L80)*1000)*DATOSAÑO!L80/24)</f>
        <v>7354.166666666667</v>
      </c>
      <c r="D82" s="82">
        <f t="shared" ca="1" si="16"/>
        <v>4.5883804152119705</v>
      </c>
      <c r="E82" s="78">
        <f t="shared" ca="1" si="17"/>
        <v>3.9156248042394015</v>
      </c>
      <c r="F82" s="52">
        <f ca="1">INDEX(J72:J82,I83)</f>
        <v>0</v>
      </c>
      <c r="G82" s="51">
        <f ca="1">INDEX(K72:K82,I83)</f>
        <v>0</v>
      </c>
      <c r="H82" s="46">
        <f t="shared" si="18"/>
        <v>0</v>
      </c>
      <c r="I82" s="46">
        <f t="shared" ca="1" si="19"/>
        <v>0</v>
      </c>
      <c r="J82" s="47">
        <v>26300</v>
      </c>
      <c r="K82" s="48">
        <f>PORTADA!I65</f>
        <v>0</v>
      </c>
      <c r="M82">
        <v>11</v>
      </c>
      <c r="N82" s="70">
        <f ca="1">IF(DATOSAÑO!$E264=0,0,((DATOSAÑO!$C264/DATOSAÑO!$E264)*1000)*DATOSAÑO!$E264/24)</f>
        <v>0</v>
      </c>
      <c r="O82" s="71">
        <f ca="1">IF(DATOSAÑO!$L264=0,0,((DATOSAÑO!$J264/DATOSAÑO!$L264)*1000)*DATOSAÑO!$L264/24)</f>
        <v>0</v>
      </c>
      <c r="P82" s="81">
        <f t="shared" ca="1" si="20"/>
        <v>0</v>
      </c>
      <c r="Q82" s="45">
        <f t="shared" ca="1" si="21"/>
        <v>0</v>
      </c>
      <c r="R82" s="52">
        <f ca="1">INDEX(V72:V82,U83)</f>
        <v>0</v>
      </c>
      <c r="S82" s="51">
        <f ca="1">INDEX(W72:W82,U83)</f>
        <v>2.4273591136666663</v>
      </c>
      <c r="T82" s="46">
        <f t="shared" ca="1" si="22"/>
        <v>0</v>
      </c>
      <c r="U82" s="46">
        <f t="shared" ca="1" si="23"/>
        <v>0</v>
      </c>
      <c r="V82" s="47">
        <v>26300</v>
      </c>
      <c r="W82" s="48">
        <f>PORTADA!P31</f>
        <v>8.6500092469999998</v>
      </c>
    </row>
    <row r="83" spans="1:23" ht="15.6" thickTop="1" thickBot="1">
      <c r="A83">
        <v>12</v>
      </c>
      <c r="B83" s="70">
        <f ca="1">IF(DATOSAÑO!E81=0,0,((DATOSAÑO!C81/DATOSAÑO!E81)*1000)*DATOSAÑO!E81/24)</f>
        <v>11500</v>
      </c>
      <c r="C83" s="71">
        <f ca="1">IF(DATOSAÑO!L81=0,0,((DATOSAÑO!J81/DATOSAÑO!L81)*1000)*DATOSAÑO!L81/24)</f>
        <v>6479.166666666667</v>
      </c>
      <c r="D83" s="82">
        <f t="shared" ca="1" si="16"/>
        <v>4.7270088441396512</v>
      </c>
      <c r="E83" s="78">
        <f t="shared" ca="1" si="17"/>
        <v>3.7443779214463841</v>
      </c>
      <c r="F83" s="53">
        <f ca="1">INDEX(J72:J82,I83+1)</f>
        <v>2630</v>
      </c>
      <c r="G83" s="54">
        <f ca="1">INDEX(K72:K82,I83+1)</f>
        <v>0</v>
      </c>
      <c r="H83" s="55">
        <f t="shared" si="18"/>
        <v>1</v>
      </c>
      <c r="I83" s="55">
        <f t="shared" ca="1" si="19"/>
        <v>1</v>
      </c>
      <c r="J83" s="55"/>
      <c r="K83" s="55"/>
      <c r="M83">
        <v>12</v>
      </c>
      <c r="N83" s="70">
        <f ca="1">IF(DATOSAÑO!$E265=0,0,((DATOSAÑO!$C265/DATOSAÑO!$E265)*1000)*DATOSAÑO!$E265/24)</f>
        <v>0</v>
      </c>
      <c r="O83" s="71">
        <f ca="1">IF(DATOSAÑO!$L265=0,0,((DATOSAÑO!$J265/DATOSAÑO!$L265)*1000)*DATOSAÑO!$L265/24)</f>
        <v>0</v>
      </c>
      <c r="P83" s="81">
        <f t="shared" ca="1" si="20"/>
        <v>0</v>
      </c>
      <c r="Q83" s="45">
        <f t="shared" ca="1" si="21"/>
        <v>0</v>
      </c>
      <c r="R83" s="53">
        <f ca="1">INDEX(V72:V82,U83+1)</f>
        <v>2630</v>
      </c>
      <c r="S83" s="54">
        <f ca="1">INDEX(W72:W82,U83+1)</f>
        <v>2.9318983136666668</v>
      </c>
      <c r="T83" s="55">
        <f ca="1">SUM(T72:T82)</f>
        <v>1</v>
      </c>
      <c r="U83" s="55">
        <f ca="1">SUM(U72:U82)</f>
        <v>1</v>
      </c>
      <c r="V83" s="55"/>
      <c r="W83" s="55"/>
    </row>
    <row r="84" spans="1:23" ht="15.6" thickTop="1" thickBot="1">
      <c r="A84">
        <v>13</v>
      </c>
      <c r="B84" s="70">
        <f ca="1">IF(DATOSAÑO!E82=0,0,((DATOSAÑO!C82/DATOSAÑO!E82)*1000)*DATOSAÑO!E82/24)</f>
        <v>12458.333333333334</v>
      </c>
      <c r="C84" s="71">
        <f ca="1">IF(DATOSAÑO!L82=0,0,((DATOSAÑO!J82/DATOSAÑO!L82)*1000)*DATOSAÑO!L82/24)</f>
        <v>6304.166666666636</v>
      </c>
      <c r="D84" s="82">
        <f t="shared" ca="1" si="16"/>
        <v>4.9145649538653373</v>
      </c>
      <c r="E84" s="78">
        <f t="shared" ca="1" si="17"/>
        <v>3.7101285448877741</v>
      </c>
      <c r="F84" s="56"/>
      <c r="G84" s="56"/>
      <c r="H84" s="56"/>
      <c r="I84" s="56"/>
      <c r="J84" s="56"/>
      <c r="K84" s="56"/>
      <c r="M84">
        <v>13</v>
      </c>
      <c r="N84" s="70">
        <f ca="1">IF(DATOSAÑO!$E266=0,0,((DATOSAÑO!$C266/DATOSAÑO!$E266)*1000)*DATOSAÑO!$E266/24)</f>
        <v>0</v>
      </c>
      <c r="O84" s="71">
        <f ca="1">IF(DATOSAÑO!$L266=0,0,((DATOSAÑO!$J266/DATOSAÑO!$L266)*1000)*DATOSAÑO!$L266/24)</f>
        <v>0</v>
      </c>
      <c r="P84" s="81">
        <f t="shared" ca="1" si="20"/>
        <v>0</v>
      </c>
      <c r="Q84" s="45">
        <f t="shared" ca="1" si="21"/>
        <v>0</v>
      </c>
      <c r="R84" s="56"/>
      <c r="S84" s="56"/>
      <c r="T84" s="56"/>
      <c r="U84" s="56"/>
      <c r="V84" s="56"/>
      <c r="W84" s="56"/>
    </row>
    <row r="85" spans="1:23" ht="15.6" thickTop="1" thickBot="1">
      <c r="A85">
        <v>14</v>
      </c>
      <c r="B85" s="70">
        <f ca="1">IF(DATOSAÑO!E83=0,0,((DATOSAÑO!C83/DATOSAÑO!E83)*1000)*DATOSAÑO!E83/24)</f>
        <v>12029.166666664727</v>
      </c>
      <c r="C85" s="71">
        <f ca="1">IF(DATOSAÑO!L83=0,0,((DATOSAÑO!J83/DATOSAÑO!L83)*1000)*DATOSAÑO!L83/24)</f>
        <v>6066.6666666667579</v>
      </c>
      <c r="D85" s="82">
        <f t="shared" ca="1" si="16"/>
        <v>4.8305724351617156</v>
      </c>
      <c r="E85" s="78">
        <f t="shared" ca="1" si="17"/>
        <v>3.6636472481296938</v>
      </c>
      <c r="F85" s="56"/>
      <c r="G85" s="56"/>
      <c r="H85" s="56"/>
      <c r="I85" s="56"/>
      <c r="J85" s="56"/>
      <c r="K85" s="56"/>
      <c r="M85">
        <v>14</v>
      </c>
      <c r="N85" s="70">
        <f ca="1">IF(DATOSAÑO!$E267=0,0,((DATOSAÑO!$C267/DATOSAÑO!$E267)*1000)*DATOSAÑO!$E267/24)</f>
        <v>0</v>
      </c>
      <c r="O85" s="71">
        <f ca="1">IF(DATOSAÑO!$L267=0,0,((DATOSAÑO!$J267/DATOSAÑO!$L267)*1000)*DATOSAÑO!$L267/24)</f>
        <v>0</v>
      </c>
      <c r="P85" s="81">
        <f t="shared" ca="1" si="20"/>
        <v>0</v>
      </c>
      <c r="Q85" s="45">
        <f t="shared" ca="1" si="21"/>
        <v>0</v>
      </c>
      <c r="R85" s="56"/>
      <c r="S85" s="56"/>
      <c r="T85" s="56"/>
      <c r="U85" s="56"/>
      <c r="V85" s="56"/>
      <c r="W85" s="56"/>
    </row>
    <row r="86" spans="1:23" ht="15.6" thickTop="1" thickBot="1">
      <c r="A86">
        <v>15</v>
      </c>
      <c r="B86" s="70">
        <f ca="1">IF(DATOSAÑO!E84=0,0,((DATOSAÑO!C84/DATOSAÑO!E84)*1000)*DATOSAÑO!E84/24)</f>
        <v>12325.000000001941</v>
      </c>
      <c r="C86" s="71">
        <f ca="1">IF(DATOSAÑO!L84=0,0,((DATOSAÑO!J84/DATOSAÑO!L84)*1000)*DATOSAÑO!L84/24)</f>
        <v>6191.666666666606</v>
      </c>
      <c r="D86" s="82">
        <f t="shared" ca="1" si="16"/>
        <v>4.8884701907734467</v>
      </c>
      <c r="E86" s="78">
        <f t="shared" ca="1" si="17"/>
        <v>3.6881110885286663</v>
      </c>
      <c r="F86" s="56"/>
      <c r="G86" s="56"/>
      <c r="H86" s="56"/>
      <c r="I86" s="56"/>
      <c r="J86" s="56"/>
      <c r="K86" s="56"/>
      <c r="M86">
        <v>15</v>
      </c>
      <c r="N86" s="70">
        <f ca="1">IF(DATOSAÑO!$E268=0,0,((DATOSAÑO!$C268/DATOSAÑO!$E268)*1000)*DATOSAÑO!$E268/24)</f>
        <v>0</v>
      </c>
      <c r="O86" s="71">
        <f ca="1">IF(DATOSAÑO!$L268=0,0,((DATOSAÑO!$J268/DATOSAÑO!$L268)*1000)*DATOSAÑO!$L268/24)</f>
        <v>0</v>
      </c>
      <c r="P86" s="81">
        <f t="shared" ca="1" si="20"/>
        <v>0</v>
      </c>
      <c r="Q86" s="45">
        <f t="shared" ca="1" si="21"/>
        <v>0</v>
      </c>
      <c r="R86" s="56"/>
      <c r="S86" s="56"/>
      <c r="T86" s="56"/>
      <c r="U86" s="56"/>
      <c r="V86" s="56"/>
      <c r="W86" s="56"/>
    </row>
    <row r="87" spans="1:23" ht="15.6" thickTop="1" thickBot="1">
      <c r="A87">
        <v>16</v>
      </c>
      <c r="B87" s="70">
        <f ca="1">IF(DATOSAÑO!E85=0,0,((DATOSAÑO!C85/DATOSAÑO!E85)*1000)*DATOSAÑO!E85/24)</f>
        <v>12104.166666666666</v>
      </c>
      <c r="C87" s="71">
        <f ca="1">IF(DATOSAÑO!L85=0,0,((DATOSAÑO!J85/DATOSAÑO!L85)*1000)*DATOSAÑO!L85/24)</f>
        <v>6604.166666666667</v>
      </c>
      <c r="D87" s="82">
        <f t="shared" ca="1" si="16"/>
        <v>4.8452507394014965</v>
      </c>
      <c r="E87" s="78">
        <f t="shared" ca="1" si="17"/>
        <v>3.7688417618453864</v>
      </c>
      <c r="F87" s="56"/>
      <c r="G87" s="56"/>
      <c r="H87" s="56"/>
      <c r="I87" s="56"/>
      <c r="J87" s="56"/>
      <c r="K87" s="56"/>
      <c r="M87">
        <v>16</v>
      </c>
      <c r="N87" s="70">
        <f ca="1">IF(DATOSAÑO!$E269=0,0,((DATOSAÑO!$C269/DATOSAÑO!$E269)*1000)*DATOSAÑO!$E269/24)</f>
        <v>0</v>
      </c>
      <c r="O87" s="71">
        <f ca="1">IF(DATOSAÑO!$L269=0,0,((DATOSAÑO!$J269/DATOSAÑO!$L269)*1000)*DATOSAÑO!$L269/24)</f>
        <v>0</v>
      </c>
      <c r="P87" s="81">
        <f t="shared" ca="1" si="20"/>
        <v>0</v>
      </c>
      <c r="Q87" s="45">
        <f t="shared" ca="1" si="21"/>
        <v>0</v>
      </c>
      <c r="R87" s="56"/>
      <c r="S87" s="56"/>
      <c r="T87" s="56"/>
      <c r="U87" s="56"/>
      <c r="V87" s="56"/>
      <c r="W87" s="56"/>
    </row>
    <row r="88" spans="1:23" ht="15.6" thickTop="1" thickBot="1">
      <c r="A88">
        <v>17</v>
      </c>
      <c r="B88" s="70">
        <f ca="1">IF(DATOSAÑO!E86=0,0,((DATOSAÑO!C86/DATOSAÑO!E86)*1000)*DATOSAÑO!E86/24)</f>
        <v>11791.666666666666</v>
      </c>
      <c r="C88" s="71">
        <f ca="1">IF(DATOSAÑO!L86=0,0,((DATOSAÑO!J86/DATOSAÑO!L86)*1000)*DATOSAÑO!L86/24)</f>
        <v>6750</v>
      </c>
      <c r="D88" s="82">
        <f t="shared" ca="1" si="16"/>
        <v>4.7840911384039906</v>
      </c>
      <c r="E88" s="78">
        <f t="shared" ca="1" si="17"/>
        <v>3.7973829089775561</v>
      </c>
      <c r="F88" s="56"/>
      <c r="G88" s="56"/>
      <c r="H88" s="57"/>
      <c r="I88" s="56"/>
      <c r="J88" s="56"/>
      <c r="K88" s="56"/>
      <c r="M88">
        <v>17</v>
      </c>
      <c r="N88" s="70">
        <f ca="1">IF(DATOSAÑO!$E270=0,0,((DATOSAÑO!$C270/DATOSAÑO!$E270)*1000)*DATOSAÑO!$E270/24)</f>
        <v>0</v>
      </c>
      <c r="O88" s="71">
        <f ca="1">IF(DATOSAÑO!$L270=0,0,((DATOSAÑO!$J270/DATOSAÑO!$L270)*1000)*DATOSAÑO!$L270/24)</f>
        <v>0</v>
      </c>
      <c r="P88" s="81">
        <f t="shared" ca="1" si="20"/>
        <v>0</v>
      </c>
      <c r="Q88" s="45">
        <f t="shared" ca="1" si="21"/>
        <v>0</v>
      </c>
      <c r="R88" s="56"/>
      <c r="S88" s="56"/>
      <c r="T88" s="57"/>
      <c r="U88" s="56"/>
      <c r="V88" s="56"/>
      <c r="W88" s="56"/>
    </row>
    <row r="89" spans="1:23" ht="15.6" thickTop="1" thickBot="1">
      <c r="A89">
        <v>18</v>
      </c>
      <c r="B89" s="70">
        <f ca="1">IF(DATOSAÑO!E87=0,0,((DATOSAÑO!C87/DATOSAÑO!E87)*1000)*DATOSAÑO!E87/24)</f>
        <v>12416.666666666666</v>
      </c>
      <c r="C89" s="71">
        <f ca="1">IF(DATOSAÑO!L87=0,0,((DATOSAÑO!J87/DATOSAÑO!L87)*1000)*DATOSAÑO!L87/24)</f>
        <v>6291.666666666667</v>
      </c>
      <c r="D89" s="82">
        <f t="shared" ca="1" si="16"/>
        <v>4.9064103403990025</v>
      </c>
      <c r="E89" s="78">
        <f t="shared" ca="1" si="17"/>
        <v>3.70768216084788</v>
      </c>
      <c r="F89" s="56"/>
      <c r="G89" s="56"/>
      <c r="H89" s="56"/>
      <c r="I89" s="56"/>
      <c r="J89" s="56"/>
      <c r="K89" s="56"/>
      <c r="M89">
        <v>18</v>
      </c>
      <c r="N89" s="70">
        <f ca="1">IF(DATOSAÑO!$E271=0,0,((DATOSAÑO!$C271/DATOSAÑO!$E271)*1000)*DATOSAÑO!$E271/24)</f>
        <v>0</v>
      </c>
      <c r="O89" s="71">
        <f ca="1">IF(DATOSAÑO!$L271=0,0,((DATOSAÑO!$J271/DATOSAÑO!$L271)*1000)*DATOSAÑO!$L271/24)</f>
        <v>0</v>
      </c>
      <c r="P89" s="81">
        <f t="shared" ca="1" si="20"/>
        <v>0</v>
      </c>
      <c r="Q89" s="45">
        <f t="shared" ca="1" si="21"/>
        <v>0</v>
      </c>
      <c r="R89" s="56"/>
      <c r="S89" s="56"/>
      <c r="T89" s="56"/>
      <c r="U89" s="56"/>
      <c r="V89" s="56"/>
      <c r="W89" s="56"/>
    </row>
    <row r="90" spans="1:23" ht="15.6" thickTop="1" thickBot="1">
      <c r="A90">
        <v>19</v>
      </c>
      <c r="B90" s="70">
        <f ca="1">IF(DATOSAÑO!E88=0,0,((DATOSAÑO!C88/DATOSAÑO!E88)*1000)*DATOSAÑO!E88/24)</f>
        <v>12083.333333333334</v>
      </c>
      <c r="C90" s="71">
        <f ca="1">IF(DATOSAÑO!L88=0,0,((DATOSAÑO!J88/DATOSAÑO!L88)*1000)*DATOSAÑO!L88/24)</f>
        <v>6583.333333333333</v>
      </c>
      <c r="D90" s="82">
        <f t="shared" ca="1" si="16"/>
        <v>4.8411734326683291</v>
      </c>
      <c r="E90" s="78">
        <f t="shared" ca="1" si="17"/>
        <v>3.7647644551122195</v>
      </c>
      <c r="F90" s="56"/>
      <c r="G90" s="56"/>
      <c r="H90" s="56"/>
      <c r="I90" s="56"/>
      <c r="J90" s="56"/>
      <c r="K90" s="58"/>
      <c r="M90">
        <v>19</v>
      </c>
      <c r="N90" s="70">
        <f ca="1">IF(DATOSAÑO!$E272=0,0,((DATOSAÑO!$C272/DATOSAÑO!$E272)*1000)*DATOSAÑO!$E272/24)</f>
        <v>0</v>
      </c>
      <c r="O90" s="71">
        <f ca="1">IF(DATOSAÑO!$L272=0,0,((DATOSAÑO!$J272/DATOSAÑO!$L272)*1000)*DATOSAÑO!$L272/24)</f>
        <v>0</v>
      </c>
      <c r="P90" s="81">
        <f t="shared" ca="1" si="20"/>
        <v>0</v>
      </c>
      <c r="Q90" s="45">
        <f t="shared" ca="1" si="21"/>
        <v>0</v>
      </c>
      <c r="R90" s="56"/>
      <c r="S90" s="56"/>
      <c r="T90" s="56"/>
      <c r="U90" s="56"/>
      <c r="V90" s="56"/>
      <c r="W90" s="58"/>
    </row>
    <row r="91" spans="1:23" ht="15.6" thickTop="1" thickBot="1">
      <c r="A91">
        <v>20</v>
      </c>
      <c r="B91" s="70">
        <f ca="1">IF(DATOSAÑO!E89=0,0,((DATOSAÑO!C89/DATOSAÑO!E89)*1000)*DATOSAÑO!E89/24)</f>
        <v>12500</v>
      </c>
      <c r="C91" s="71">
        <f ca="1">IF(DATOSAÑO!L89=0,0,((DATOSAÑO!J89/DATOSAÑO!L89)*1000)*DATOSAÑO!L89/24)</f>
        <v>6500</v>
      </c>
      <c r="D91" s="82">
        <f t="shared" ca="1" si="16"/>
        <v>4.9227195673316713</v>
      </c>
      <c r="E91" s="78">
        <f t="shared" ca="1" si="17"/>
        <v>3.7484552281795511</v>
      </c>
      <c r="F91" s="56"/>
      <c r="G91" s="56"/>
      <c r="H91" s="56"/>
      <c r="I91" s="56"/>
      <c r="J91" s="56"/>
      <c r="K91" s="56"/>
      <c r="M91">
        <v>20</v>
      </c>
      <c r="N91" s="70">
        <f ca="1">IF(DATOSAÑO!$E273=0,0,((DATOSAÑO!$C273/DATOSAÑO!$E273)*1000)*DATOSAÑO!$E273/24)</f>
        <v>0</v>
      </c>
      <c r="O91" s="71">
        <f ca="1">IF(DATOSAÑO!$L273=0,0,((DATOSAÑO!$J273/DATOSAÑO!$L273)*1000)*DATOSAÑO!$L273/24)</f>
        <v>0</v>
      </c>
      <c r="P91" s="81">
        <f t="shared" ca="1" si="20"/>
        <v>0</v>
      </c>
      <c r="Q91" s="45">
        <f t="shared" ca="1" si="21"/>
        <v>0</v>
      </c>
      <c r="R91" s="56"/>
      <c r="S91" s="56"/>
      <c r="T91" s="56"/>
      <c r="U91" s="56"/>
      <c r="V91" s="56"/>
      <c r="W91" s="56"/>
    </row>
    <row r="92" spans="1:23" ht="15.6" thickTop="1" thickBot="1">
      <c r="A92">
        <v>21</v>
      </c>
      <c r="B92" s="70">
        <f ca="1">IF(DATOSAÑO!E90=0,0,((DATOSAÑO!C90/DATOSAÑO!E90)*1000)*DATOSAÑO!E90/24)</f>
        <v>12625</v>
      </c>
      <c r="C92" s="71">
        <f ca="1">IF(DATOSAÑO!L90=0,0,((DATOSAÑO!J90/DATOSAÑO!L90)*1000)*DATOSAÑO!L90/24)</f>
        <v>6416.666666666667</v>
      </c>
      <c r="D92" s="82">
        <f t="shared" ca="1" si="16"/>
        <v>4.9471834077306731</v>
      </c>
      <c r="E92" s="78">
        <f t="shared" ca="1" si="17"/>
        <v>3.7321460012468828</v>
      </c>
      <c r="F92" s="56"/>
      <c r="G92" s="56"/>
      <c r="H92" s="56"/>
      <c r="I92" s="56"/>
      <c r="J92" s="56"/>
      <c r="K92" s="56"/>
      <c r="M92">
        <v>21</v>
      </c>
      <c r="N92" s="70">
        <f ca="1">IF(DATOSAÑO!$E274=0,0,((DATOSAÑO!$C274/DATOSAÑO!$E274)*1000)*DATOSAÑO!$E274/24)</f>
        <v>0</v>
      </c>
      <c r="O92" s="71">
        <f ca="1">IF(DATOSAÑO!$L274=0,0,((DATOSAÑO!$J274/DATOSAÑO!$L274)*1000)*DATOSAÑO!$L274/24)</f>
        <v>0</v>
      </c>
      <c r="P92" s="81">
        <f t="shared" ca="1" si="20"/>
        <v>0</v>
      </c>
      <c r="Q92" s="45">
        <f t="shared" ca="1" si="21"/>
        <v>0</v>
      </c>
      <c r="R92" s="56"/>
      <c r="S92" s="56"/>
      <c r="T92" s="56"/>
      <c r="U92" s="56"/>
      <c r="V92" s="56"/>
      <c r="W92" s="56"/>
    </row>
    <row r="93" spans="1:23" ht="15.6" thickTop="1" thickBot="1">
      <c r="A93">
        <v>22</v>
      </c>
      <c r="B93" s="70">
        <f ca="1">IF(DATOSAÑO!E91=0,0,((DATOSAÑO!C91/DATOSAÑO!E91)*1000)*DATOSAÑO!E91/24)</f>
        <v>12416.666666666666</v>
      </c>
      <c r="C93" s="71">
        <f ca="1">IF(DATOSAÑO!L91=0,0,((DATOSAÑO!J91/DATOSAÑO!L91)*1000)*DATOSAÑO!L91/24)</f>
        <v>6416.666666666667</v>
      </c>
      <c r="D93" s="82">
        <f t="shared" ca="1" si="16"/>
        <v>4.9064103403990025</v>
      </c>
      <c r="E93" s="78">
        <f t="shared" ca="1" si="17"/>
        <v>3.7321460012468828</v>
      </c>
      <c r="F93" s="56"/>
      <c r="G93" s="56"/>
      <c r="H93" s="56"/>
      <c r="I93" s="56"/>
      <c r="J93" s="56"/>
      <c r="K93" s="56"/>
      <c r="M93">
        <v>22</v>
      </c>
      <c r="N93" s="70">
        <f ca="1">IF(DATOSAÑO!$E275=0,0,((DATOSAÑO!$C275/DATOSAÑO!$E275)*1000)*DATOSAÑO!$E275/24)</f>
        <v>0</v>
      </c>
      <c r="O93" s="71">
        <f ca="1">IF(DATOSAÑO!$L275=0,0,((DATOSAÑO!$J275/DATOSAÑO!$L275)*1000)*DATOSAÑO!$L275/24)</f>
        <v>0</v>
      </c>
      <c r="P93" s="81">
        <f t="shared" ca="1" si="20"/>
        <v>0</v>
      </c>
      <c r="Q93" s="45">
        <f t="shared" ca="1" si="21"/>
        <v>0</v>
      </c>
      <c r="R93" s="56"/>
      <c r="S93" s="56"/>
      <c r="T93" s="56"/>
      <c r="U93" s="56"/>
      <c r="V93" s="56"/>
      <c r="W93" s="56"/>
    </row>
    <row r="94" spans="1:23" ht="15.6" thickTop="1" thickBot="1">
      <c r="A94">
        <v>23</v>
      </c>
      <c r="B94" s="70">
        <f ca="1">IF(DATOSAÑO!E92=0,0,((DATOSAÑO!C92/DATOSAÑO!E92)*1000)*DATOSAÑO!E92/24)</f>
        <v>12500</v>
      </c>
      <c r="C94" s="71">
        <f ca="1">IF(DATOSAÑO!L92=0,0,((DATOSAÑO!J92/DATOSAÑO!L92)*1000)*DATOSAÑO!L92/24)</f>
        <v>6208.333333333333</v>
      </c>
      <c r="D94" s="82">
        <f t="shared" ca="1" si="16"/>
        <v>4.9227195673316713</v>
      </c>
      <c r="E94" s="78">
        <f t="shared" ca="1" si="17"/>
        <v>3.6913729339152122</v>
      </c>
      <c r="F94" s="56"/>
      <c r="G94" s="56"/>
      <c r="H94" s="56"/>
      <c r="I94" s="56"/>
      <c r="J94" s="56"/>
      <c r="K94" s="56"/>
      <c r="M94">
        <v>23</v>
      </c>
      <c r="N94" s="70">
        <f ca="1">IF(DATOSAÑO!$E276=0,0,((DATOSAÑO!$C276/DATOSAÑO!$E276)*1000)*DATOSAÑO!$E276/24)</f>
        <v>0</v>
      </c>
      <c r="O94" s="71">
        <f ca="1">IF(DATOSAÑO!$L276=0,0,((DATOSAÑO!$J276/DATOSAÑO!$L276)*1000)*DATOSAÑO!$L276/24)</f>
        <v>0</v>
      </c>
      <c r="P94" s="81">
        <f t="shared" ca="1" si="20"/>
        <v>0</v>
      </c>
      <c r="Q94" s="45">
        <f t="shared" ca="1" si="21"/>
        <v>0</v>
      </c>
      <c r="R94" s="56"/>
      <c r="S94" s="56"/>
      <c r="T94" s="56"/>
      <c r="U94" s="56"/>
      <c r="V94" s="56"/>
      <c r="W94" s="56"/>
    </row>
    <row r="95" spans="1:23" ht="15.6" thickTop="1" thickBot="1">
      <c r="A95">
        <v>24</v>
      </c>
      <c r="B95" s="70">
        <f ca="1">IF(DATOSAÑO!E93=0,0,((DATOSAÑO!C93/DATOSAÑO!E93)*1000)*DATOSAÑO!E93/24)</f>
        <v>12458.333333333334</v>
      </c>
      <c r="C95" s="71">
        <f ca="1">IF(DATOSAÑO!L93=0,0,((DATOSAÑO!J93/DATOSAÑO!L93)*1000)*DATOSAÑO!L93/24)</f>
        <v>6083.333333333333</v>
      </c>
      <c r="D95" s="82">
        <f t="shared" ca="1" si="16"/>
        <v>4.9145649538653373</v>
      </c>
      <c r="E95" s="78">
        <f t="shared" ca="1" si="17"/>
        <v>3.6669090935162094</v>
      </c>
      <c r="F95" s="56"/>
      <c r="G95" s="56"/>
      <c r="H95" s="56"/>
      <c r="I95" s="56"/>
      <c r="J95" s="56"/>
      <c r="K95" s="56"/>
      <c r="M95">
        <v>24</v>
      </c>
      <c r="N95" s="70">
        <f ca="1">IF(DATOSAÑO!$E277=0,0,((DATOSAÑO!$C277/DATOSAÑO!$E277)*1000)*DATOSAÑO!$E277/24)</f>
        <v>0</v>
      </c>
      <c r="O95" s="71">
        <f ca="1">IF(DATOSAÑO!$L277=0,0,((DATOSAÑO!$J277/DATOSAÑO!$L277)*1000)*DATOSAÑO!$L277/24)</f>
        <v>0</v>
      </c>
      <c r="P95" s="81">
        <f t="shared" ca="1" si="20"/>
        <v>0</v>
      </c>
      <c r="Q95" s="45">
        <f t="shared" ca="1" si="21"/>
        <v>0</v>
      </c>
      <c r="R95" s="56"/>
      <c r="S95" s="56"/>
      <c r="T95" s="56"/>
      <c r="U95" s="56"/>
      <c r="V95" s="56"/>
      <c r="W95" s="56"/>
    </row>
    <row r="96" spans="1:23" ht="15.6" thickTop="1" thickBot="1">
      <c r="A96">
        <v>25</v>
      </c>
      <c r="B96" s="70">
        <f ca="1">IF(DATOSAÑO!E94=0,0,((DATOSAÑO!C94/DATOSAÑO!E94)*1000)*DATOSAÑO!E94/24)</f>
        <v>12500</v>
      </c>
      <c r="C96" s="71">
        <f ca="1">IF(DATOSAÑO!L94=0,0,((DATOSAÑO!J94/DATOSAÑO!L94)*1000)*DATOSAÑO!L94/24)</f>
        <v>6083.333333333333</v>
      </c>
      <c r="D96" s="82">
        <f t="shared" ca="1" si="16"/>
        <v>4.9227195673316713</v>
      </c>
      <c r="E96" s="78">
        <f t="shared" ca="1" si="17"/>
        <v>3.6669090935162094</v>
      </c>
      <c r="F96" s="56"/>
      <c r="G96" s="56"/>
      <c r="H96" s="56"/>
      <c r="I96" s="56"/>
      <c r="J96" s="56"/>
      <c r="K96" s="56"/>
      <c r="M96">
        <v>25</v>
      </c>
      <c r="N96" s="70">
        <f ca="1">IF(DATOSAÑO!$E278=0,0,((DATOSAÑO!$C278/DATOSAÑO!$E278)*1000)*DATOSAÑO!$E278/24)</f>
        <v>0</v>
      </c>
      <c r="O96" s="71">
        <f ca="1">IF(DATOSAÑO!$L278=0,0,((DATOSAÑO!$J278/DATOSAÑO!$L278)*1000)*DATOSAÑO!$L278/24)</f>
        <v>0</v>
      </c>
      <c r="P96" s="81">
        <f t="shared" ca="1" si="20"/>
        <v>0</v>
      </c>
      <c r="Q96" s="45">
        <f t="shared" ca="1" si="21"/>
        <v>0</v>
      </c>
      <c r="R96" s="56"/>
      <c r="S96" s="56"/>
      <c r="T96" s="56"/>
      <c r="U96" s="56"/>
      <c r="V96" s="56"/>
      <c r="W96" s="56"/>
    </row>
    <row r="97" spans="1:23" ht="15.6" thickTop="1" thickBot="1">
      <c r="A97">
        <v>26</v>
      </c>
      <c r="B97" s="70">
        <f ca="1">IF(DATOSAÑO!E95=0,0,((DATOSAÑO!C95/DATOSAÑO!E95)*1000)*DATOSAÑO!E95/24)</f>
        <v>12333.333333333334</v>
      </c>
      <c r="C97" s="71">
        <f ca="1">IF(DATOSAÑO!L95=0,0,((DATOSAÑO!J95/DATOSAÑO!L95)*1000)*DATOSAÑO!L95/24)</f>
        <v>6083.333333333333</v>
      </c>
      <c r="D97" s="82">
        <f t="shared" ca="1" si="16"/>
        <v>4.8901011134663346</v>
      </c>
      <c r="E97" s="78">
        <f t="shared" ca="1" si="17"/>
        <v>3.6669090935162094</v>
      </c>
      <c r="F97" s="56"/>
      <c r="G97" s="56"/>
      <c r="H97" s="56"/>
      <c r="I97" s="56"/>
      <c r="J97" s="56"/>
      <c r="K97" s="56"/>
      <c r="M97">
        <v>26</v>
      </c>
      <c r="N97" s="70">
        <f ca="1">IF(DATOSAÑO!$E279=0,0,((DATOSAÑO!$C279/DATOSAÑO!$E279)*1000)*DATOSAÑO!$E279/24)</f>
        <v>0</v>
      </c>
      <c r="O97" s="71">
        <f ca="1">IF(DATOSAÑO!$L279=0,0,((DATOSAÑO!$J279/DATOSAÑO!$L279)*1000)*DATOSAÑO!$L279/24)</f>
        <v>0</v>
      </c>
      <c r="P97" s="81">
        <f t="shared" ca="1" si="20"/>
        <v>0</v>
      </c>
      <c r="Q97" s="45">
        <f t="shared" ca="1" si="21"/>
        <v>0</v>
      </c>
      <c r="R97" s="56"/>
      <c r="S97" s="56"/>
      <c r="T97" s="56"/>
      <c r="U97" s="56"/>
      <c r="V97" s="56"/>
      <c r="W97" s="56"/>
    </row>
    <row r="98" spans="1:23" ht="15.6" thickTop="1" thickBot="1">
      <c r="A98">
        <v>27</v>
      </c>
      <c r="B98" s="70">
        <f ca="1">IF(DATOSAÑO!E96=0,0,((DATOSAÑO!C96/DATOSAÑO!E96)*1000)*DATOSAÑO!E96/24)</f>
        <v>12250</v>
      </c>
      <c r="C98" s="71">
        <f ca="1">IF(DATOSAÑO!L96=0,0,((DATOSAÑO!J96/DATOSAÑO!L96)*1000)*DATOSAÑO!L96/24)</f>
        <v>6333.333333333333</v>
      </c>
      <c r="D98" s="82">
        <f t="shared" ca="1" si="16"/>
        <v>4.8737918865336667</v>
      </c>
      <c r="E98" s="78">
        <f t="shared" ca="1" si="17"/>
        <v>3.715836774314214</v>
      </c>
      <c r="F98" s="56"/>
      <c r="G98" s="56"/>
      <c r="H98" s="56"/>
      <c r="I98" s="56"/>
      <c r="J98" s="56"/>
      <c r="K98" s="56"/>
      <c r="M98">
        <v>27</v>
      </c>
      <c r="N98" s="70">
        <f ca="1">IF(DATOSAÑO!$E280=0,0,((DATOSAÑO!$C280/DATOSAÑO!$E280)*1000)*DATOSAÑO!$E280/24)</f>
        <v>0</v>
      </c>
      <c r="O98" s="71">
        <f ca="1">IF(DATOSAÑO!$L280=0,0,((DATOSAÑO!$J280/DATOSAÑO!$L280)*1000)*DATOSAÑO!$L280/24)</f>
        <v>0</v>
      </c>
      <c r="P98" s="81">
        <f t="shared" ca="1" si="20"/>
        <v>0</v>
      </c>
      <c r="Q98" s="45">
        <f t="shared" ca="1" si="21"/>
        <v>0</v>
      </c>
      <c r="R98" s="56"/>
      <c r="S98" s="56"/>
      <c r="T98" s="56"/>
      <c r="U98" s="56"/>
      <c r="V98" s="56"/>
      <c r="W98" s="56"/>
    </row>
    <row r="99" spans="1:23" ht="15.6" thickTop="1" thickBot="1">
      <c r="A99">
        <v>28</v>
      </c>
      <c r="B99" s="70">
        <f ca="1">IF(DATOSAÑO!E97=0,0,((DATOSAÑO!C97/DATOSAÑO!E97)*1000)*DATOSAÑO!E97/24)</f>
        <v>12375</v>
      </c>
      <c r="C99" s="71">
        <f ca="1">IF(DATOSAÑO!L97=0,0,((DATOSAÑO!J97/DATOSAÑO!L97)*1000)*DATOSAÑO!L97/24)</f>
        <v>6125</v>
      </c>
      <c r="D99" s="82">
        <f t="shared" ca="1" si="16"/>
        <v>4.8982557269326685</v>
      </c>
      <c r="E99" s="78">
        <f t="shared" ca="1" si="17"/>
        <v>3.6750637069825434</v>
      </c>
      <c r="F99" s="56"/>
      <c r="G99" s="56"/>
      <c r="H99" s="56"/>
      <c r="I99" s="56"/>
      <c r="J99" s="56"/>
      <c r="K99" s="56"/>
      <c r="M99">
        <v>28</v>
      </c>
      <c r="N99" s="70">
        <f ca="1">IF(DATOSAÑO!$E281=0,0,((DATOSAÑO!$C281/DATOSAÑO!$E281)*1000)*DATOSAÑO!$E281/24)</f>
        <v>0</v>
      </c>
      <c r="O99" s="71">
        <f ca="1">IF(DATOSAÑO!$L281=0,0,((DATOSAÑO!$J281/DATOSAÑO!$L281)*1000)*DATOSAÑO!$L281/24)</f>
        <v>0</v>
      </c>
      <c r="P99" s="81">
        <f t="shared" ca="1" si="20"/>
        <v>0</v>
      </c>
      <c r="Q99" s="45">
        <f t="shared" ca="1" si="21"/>
        <v>0</v>
      </c>
      <c r="R99" s="56"/>
      <c r="S99" s="56"/>
      <c r="T99" s="56"/>
      <c r="U99" s="56"/>
      <c r="V99" s="56"/>
      <c r="W99" s="56"/>
    </row>
    <row r="100" spans="1:23" ht="15.6" thickTop="1" thickBot="1">
      <c r="A100">
        <v>29</v>
      </c>
      <c r="B100" s="70">
        <f ca="1">IF(DATOSAÑO!E98=0,0,((DATOSAÑO!C98/DATOSAÑO!E98)*1000)*DATOSAÑO!E98/24)</f>
        <v>12291.666666666666</v>
      </c>
      <c r="C100" s="71">
        <f ca="1">IF(DATOSAÑO!L98=0,0,((DATOSAÑO!J98/DATOSAÑO!L98)*1000)*DATOSAÑO!L98/24)</f>
        <v>6291.666666666667</v>
      </c>
      <c r="D100" s="82">
        <f t="shared" ca="1" si="16"/>
        <v>4.8819464999999997</v>
      </c>
      <c r="E100" s="78">
        <f t="shared" ca="1" si="17"/>
        <v>3.70768216084788</v>
      </c>
      <c r="F100" s="56"/>
      <c r="G100" s="56"/>
      <c r="H100" s="56"/>
      <c r="I100" s="56"/>
      <c r="J100" s="56"/>
      <c r="K100" s="56"/>
      <c r="M100">
        <v>29</v>
      </c>
      <c r="N100" s="70">
        <f ca="1">IF(DATOSAÑO!$E282=0,0,((DATOSAÑO!$C282/DATOSAÑO!$E282)*1000)*DATOSAÑO!$E282/24)</f>
        <v>0</v>
      </c>
      <c r="O100" s="71">
        <f ca="1">IF(DATOSAÑO!$L282=0,0,((DATOSAÑO!$J282/DATOSAÑO!$L282)*1000)*DATOSAÑO!$L282/24)</f>
        <v>0</v>
      </c>
      <c r="P100" s="81">
        <f t="shared" ca="1" si="20"/>
        <v>0</v>
      </c>
      <c r="Q100" s="45">
        <f t="shared" ca="1" si="21"/>
        <v>0</v>
      </c>
      <c r="R100" s="56"/>
      <c r="S100" s="56"/>
      <c r="T100" s="56"/>
      <c r="U100" s="56"/>
      <c r="V100" s="56"/>
      <c r="W100" s="56"/>
    </row>
    <row r="101" spans="1:23" ht="15.6" thickTop="1" thickBot="1">
      <c r="A101">
        <v>30</v>
      </c>
      <c r="B101" s="70">
        <f ca="1">IF(DATOSAÑO!E99=0,0,((DATOSAÑO!C99/DATOSAÑO!E99)*1000)*DATOSAÑO!E99/24)</f>
        <v>11875</v>
      </c>
      <c r="C101" s="71">
        <f ca="1">IF(DATOSAÑO!L99=0,0,((DATOSAÑO!J99/DATOSAÑO!L99)*1000)*DATOSAÑO!L99/24)</f>
        <v>6074.99999999997</v>
      </c>
      <c r="D101" s="82">
        <f t="shared" ca="1" si="16"/>
        <v>4.8004003653366585</v>
      </c>
      <c r="E101" s="78">
        <f t="shared" ca="1" si="17"/>
        <v>3.6652781708229365</v>
      </c>
      <c r="F101" s="56"/>
      <c r="G101" s="56"/>
      <c r="H101" s="56"/>
      <c r="I101" s="56"/>
      <c r="J101" s="56"/>
      <c r="K101" s="56"/>
      <c r="M101">
        <v>30</v>
      </c>
      <c r="N101" s="70">
        <f ca="1">IF(DATOSAÑO!$E283=0,0,((DATOSAÑO!$C283/DATOSAÑO!$E283)*1000)*DATOSAÑO!$E283/24)</f>
        <v>0</v>
      </c>
      <c r="O101" s="71">
        <f ca="1">IF(DATOSAÑO!$L283=0,0,((DATOSAÑO!$J283/DATOSAÑO!$L283)*1000)*DATOSAÑO!$L283/24)</f>
        <v>0</v>
      </c>
      <c r="P101" s="81">
        <f t="shared" ca="1" si="20"/>
        <v>0</v>
      </c>
      <c r="Q101" s="45">
        <f t="shared" ca="1" si="21"/>
        <v>0</v>
      </c>
      <c r="R101" s="56"/>
      <c r="S101" s="56"/>
      <c r="T101" s="56"/>
      <c r="U101" s="56"/>
      <c r="V101" s="56"/>
      <c r="W101" s="56"/>
    </row>
    <row r="102" spans="1:23" ht="15.6" thickTop="1" thickBot="1">
      <c r="A102">
        <v>31</v>
      </c>
      <c r="B102" s="72">
        <f ca="1">IF(DATOSAÑO!E100=0,0,((DATOSAÑO!C100/DATOSAÑO!E100)*1000)*DATOSAÑO!E100/24)</f>
        <v>12916.666666666666</v>
      </c>
      <c r="C102" s="73">
        <f ca="1">IF(DATOSAÑO!L100=0,0,((DATOSAÑO!J100/DATOSAÑO!L100)*1000)*DATOSAÑO!L100/24)</f>
        <v>6166.666666666667</v>
      </c>
      <c r="D102" s="82">
        <f t="shared" ca="1" si="16"/>
        <v>5.0042657019950134</v>
      </c>
      <c r="E102" s="78">
        <f t="shared" ca="1" si="17"/>
        <v>3.6832183204488778</v>
      </c>
      <c r="F102" s="56"/>
      <c r="G102" s="56"/>
      <c r="H102" s="56"/>
      <c r="I102" s="56"/>
      <c r="J102" s="56"/>
      <c r="K102" s="56"/>
      <c r="N102" s="72"/>
      <c r="O102" s="73"/>
      <c r="P102" s="79"/>
      <c r="Q102" s="80"/>
      <c r="R102" s="56"/>
      <c r="S102" s="56"/>
      <c r="T102" s="56"/>
      <c r="U102" s="56"/>
      <c r="V102" s="56"/>
      <c r="W102" s="56"/>
    </row>
    <row r="103" spans="1:23" ht="15" thickTop="1"/>
    <row r="104" spans="1:23" ht="15" thickBot="1">
      <c r="B104" s="2157">
        <v>45017</v>
      </c>
      <c r="C104" s="2158"/>
      <c r="D104" s="2158"/>
      <c r="E104" s="2158"/>
      <c r="F104" s="2159" t="s">
        <v>60</v>
      </c>
      <c r="G104" s="2159"/>
      <c r="H104" s="2159"/>
      <c r="I104" s="2159"/>
      <c r="J104" s="2159"/>
      <c r="K104" s="2159"/>
      <c r="N104" s="2157">
        <v>45200</v>
      </c>
      <c r="O104" s="2158"/>
      <c r="P104" s="2158"/>
      <c r="Q104" s="2158"/>
      <c r="R104" s="2159" t="s">
        <v>60</v>
      </c>
      <c r="S104" s="2159"/>
      <c r="T104" s="2159"/>
      <c r="U104" s="2159"/>
      <c r="V104" s="2159"/>
      <c r="W104" s="2159"/>
    </row>
    <row r="105" spans="1:23" ht="44.4" thickTop="1" thickBot="1">
      <c r="A105" s="41">
        <f ca="1">ABS(TODAY()-1)</f>
        <v>45125</v>
      </c>
      <c r="B105" s="66">
        <f ca="1">DAY(A105)</f>
        <v>18</v>
      </c>
      <c r="C105" s="67"/>
      <c r="D105" s="75" t="s">
        <v>61</v>
      </c>
      <c r="E105" s="76" t="s">
        <v>62</v>
      </c>
      <c r="F105" s="42"/>
      <c r="G105" s="43"/>
      <c r="H105" s="43" t="s">
        <v>63</v>
      </c>
      <c r="I105" s="43" t="s">
        <v>64</v>
      </c>
      <c r="J105" s="44" t="s">
        <v>56</v>
      </c>
      <c r="K105" s="43" t="s">
        <v>65</v>
      </c>
      <c r="M105" s="41">
        <f ca="1">ABS(TODAY()-1)</f>
        <v>45125</v>
      </c>
      <c r="N105" s="66">
        <f ca="1">DAY(M105)</f>
        <v>18</v>
      </c>
      <c r="O105" s="67"/>
      <c r="P105" s="75" t="s">
        <v>61</v>
      </c>
      <c r="Q105" s="76" t="s">
        <v>62</v>
      </c>
      <c r="R105" s="42"/>
      <c r="S105" s="43"/>
      <c r="T105" s="43" t="s">
        <v>63</v>
      </c>
      <c r="U105" s="43" t="s">
        <v>64</v>
      </c>
      <c r="V105" s="44" t="s">
        <v>56</v>
      </c>
      <c r="W105" s="43" t="s">
        <v>65</v>
      </c>
    </row>
    <row r="106" spans="1:23" ht="15" thickTop="1">
      <c r="A106">
        <v>1</v>
      </c>
      <c r="B106" s="68">
        <f ca="1">IF(DATOSAÑO!E101=0,0,((DATOSAÑO!C101/DATOSAÑO!E101)*1000)*DATOSAÑO!E101/24)</f>
        <v>12791.666666666666</v>
      </c>
      <c r="C106" s="69">
        <f ca="1">IF(DATOSAÑO!L101=0,0,((DATOSAÑO!J101/DATOSAÑO!L101)*1000)*DATOSAÑO!L101/24)</f>
        <v>6133.333333333364</v>
      </c>
      <c r="D106" s="82">
        <f ca="1">IF(B106&gt;0,(B106-$F$110)/($F$111-$F$110)*($G$111-$G$110)+$G$110,0)</f>
        <v>5.1077563100802248</v>
      </c>
      <c r="E106" s="78">
        <f ca="1">IF(C106&gt;0,(C106-$F$110)/($F$111-$F$110)*($G$111-$G$110)+$G$110,0)</f>
        <v>3.7711661461458035</v>
      </c>
      <c r="F106" s="2155" t="s">
        <v>66</v>
      </c>
      <c r="G106" s="2156"/>
      <c r="H106" s="46">
        <f ca="1">IF($G$107&gt;=J106,1,0)</f>
        <v>1</v>
      </c>
      <c r="I106" s="46">
        <f ca="1">IF($G$113&gt;=J106,1,0)</f>
        <v>1</v>
      </c>
      <c r="J106" s="47">
        <v>0</v>
      </c>
      <c r="K106" s="48">
        <f>PORTADA!K21</f>
        <v>2.5399641928845478</v>
      </c>
      <c r="M106">
        <v>1</v>
      </c>
      <c r="N106" s="68">
        <f ca="1">IF(DATOSAÑO!$E284=0,0,((DATOSAÑO!$C284/DATOSAÑO!$E284)*1000)*DATOSAÑO!$E284/24)</f>
        <v>0</v>
      </c>
      <c r="O106" s="69">
        <f ca="1">IF(DATOSAÑO!$L284=0,0,((DATOSAÑO!$J284/DATOSAÑO!$L284)*1000)*DATOSAÑO!$L284/24)</f>
        <v>0</v>
      </c>
      <c r="P106" s="77">
        <f ca="1">IF(N106&gt;0,(N106-$R$110)/($R$111-$R$110)*($S$111-$S$110)+$S$110,0)</f>
        <v>0</v>
      </c>
      <c r="Q106" s="78">
        <f ca="1">IF(O106&gt;0,(O106-$R$116)/($R$117-$R$116)*($S$117-$S$116)+$S$116,0)</f>
        <v>0</v>
      </c>
      <c r="R106" s="2155" t="s">
        <v>66</v>
      </c>
      <c r="S106" s="2156"/>
      <c r="T106" s="46">
        <f ca="1">IF($S$107&gt;=V106,1,0)</f>
        <v>1</v>
      </c>
      <c r="U106" s="46">
        <f ca="1">IF($S$113&gt;=V106,1,0)</f>
        <v>1</v>
      </c>
      <c r="V106" s="47">
        <v>0</v>
      </c>
      <c r="W106" s="48" t="e">
        <f>PORTADA!Q21</f>
        <v>#DIV/0!</v>
      </c>
    </row>
    <row r="107" spans="1:23">
      <c r="A107">
        <v>2</v>
      </c>
      <c r="B107" s="70">
        <f ca="1">IF(DATOSAÑO!E102=0,0,((DATOSAÑO!C102/DATOSAÑO!E102)*1000)*DATOSAÑO!E102/24)</f>
        <v>12833.333333333334</v>
      </c>
      <c r="C107" s="71">
        <f ca="1">IF(DATOSAÑO!L102=0,0,((DATOSAÑO!J102/DATOSAÑO!L102)*1000)*DATOSAÑO!L102/24)</f>
        <v>6125</v>
      </c>
      <c r="D107" s="83">
        <f t="shared" ref="D107:D135" ca="1" si="24">IF(B107&gt;0,(B107-$F$110)/($F$111-$F$110)*($G$111-$G$110)+$G$110,0)</f>
        <v>5.1161204537844451</v>
      </c>
      <c r="E107" s="45">
        <f t="shared" ref="E107:E135" ca="1" si="25">IF(C107&gt;0,(C107-$F$110)/($F$111-$F$110)*($G$111-$G$110)+$G$110,0)</f>
        <v>3.7694933174049532</v>
      </c>
      <c r="F107" s="49" t="s">
        <v>67</v>
      </c>
      <c r="G107" s="50">
        <f ca="1">INDEX(B106:C136,B105,1)</f>
        <v>18250</v>
      </c>
      <c r="H107" s="46">
        <f t="shared" ref="H107:H117" ca="1" si="26">IF($G$107&gt;=J107,1,0)</f>
        <v>1</v>
      </c>
      <c r="I107" s="46">
        <f t="shared" ref="I107:I117" ca="1" si="27">IF($G$113&gt;=J107,1,0)</f>
        <v>0</v>
      </c>
      <c r="J107" s="47">
        <v>2630</v>
      </c>
      <c r="K107" s="48">
        <f>PORTADA!K22</f>
        <v>3.0679089434949423</v>
      </c>
      <c r="M107">
        <v>2</v>
      </c>
      <c r="N107" s="70">
        <f ca="1">IF(DATOSAÑO!$E285=0,0,((DATOSAÑO!$C285/DATOSAÑO!$E285)*1000)*DATOSAÑO!$E285/24)</f>
        <v>0</v>
      </c>
      <c r="O107" s="71">
        <f ca="1">IF(DATOSAÑO!$L285=0,0,((DATOSAÑO!$J285/DATOSAÑO!$L285)*1000)*DATOSAÑO!$L285/24)</f>
        <v>0</v>
      </c>
      <c r="P107" s="65">
        <f t="shared" ref="P107:P136" ca="1" si="28">IF(N107&gt;0,(N107-$R$110)/($R$111-$R$110)*($S$111-$S$110)+$S$110,0)</f>
        <v>0</v>
      </c>
      <c r="Q107" s="45">
        <f t="shared" ref="Q107:Q136" ca="1" si="29">IF(O107&gt;0,(O107-$R$116)/($R$117-$R$116)*($S$117-$S$116)+$S$116,0)</f>
        <v>0</v>
      </c>
      <c r="R107" s="49" t="s">
        <v>67</v>
      </c>
      <c r="S107" s="50">
        <f ca="1">INDEX(N106:O136,N105,1)</f>
        <v>0</v>
      </c>
      <c r="T107" s="46">
        <f t="shared" ref="T107:T116" ca="1" si="30">IF($S$107&gt;=V107,1,0)</f>
        <v>0</v>
      </c>
      <c r="U107" s="46">
        <f t="shared" ref="U107:U116" ca="1" si="31">IF($S$113&gt;=V107,1,0)</f>
        <v>0</v>
      </c>
      <c r="V107" s="47">
        <v>2630</v>
      </c>
      <c r="W107" s="48" t="e">
        <f>PORTADA!Q22</f>
        <v>#DIV/0!</v>
      </c>
    </row>
    <row r="108" spans="1:23">
      <c r="A108">
        <v>3</v>
      </c>
      <c r="B108" s="70">
        <f ca="1">IF(DATOSAÑO!E103=0,0,((DATOSAÑO!C103/DATOSAÑO!E103)*1000)*DATOSAÑO!E103/24)</f>
        <v>12625</v>
      </c>
      <c r="C108" s="71">
        <f ca="1">IF(DATOSAÑO!L103=0,0,((DATOSAÑO!J103/DATOSAÑO!L103)*1000)*DATOSAÑO!L103/24)</f>
        <v>6133.333333333364</v>
      </c>
      <c r="D108" s="83">
        <f t="shared" ca="1" si="24"/>
        <v>5.0742997352633425</v>
      </c>
      <c r="E108" s="45">
        <f t="shared" ca="1" si="25"/>
        <v>3.7711661461458035</v>
      </c>
      <c r="F108" s="49" t="s">
        <v>68</v>
      </c>
      <c r="G108" s="51">
        <f ca="1">(G107-F110)/(F111-F110)*(G111-G110)+G110</f>
        <v>6.2034591353331034</v>
      </c>
      <c r="H108" s="46">
        <f t="shared" ca="1" si="26"/>
        <v>1</v>
      </c>
      <c r="I108" s="46">
        <f t="shared" ca="1" si="27"/>
        <v>0</v>
      </c>
      <c r="J108" s="47">
        <v>5260</v>
      </c>
      <c r="K108" s="48">
        <f>PORTADA!K23</f>
        <v>3.6838444858737351</v>
      </c>
      <c r="M108">
        <v>3</v>
      </c>
      <c r="N108" s="70">
        <f ca="1">IF(DATOSAÑO!$E286=0,0,((DATOSAÑO!$C286/DATOSAÑO!$E286)*1000)*DATOSAÑO!$E286/24)</f>
        <v>0</v>
      </c>
      <c r="O108" s="71">
        <f ca="1">IF(DATOSAÑO!$L286=0,0,((DATOSAÑO!$J286/DATOSAÑO!$L286)*1000)*DATOSAÑO!$L286/24)</f>
        <v>0</v>
      </c>
      <c r="P108" s="65">
        <f t="shared" ca="1" si="28"/>
        <v>0</v>
      </c>
      <c r="Q108" s="45">
        <f t="shared" ca="1" si="29"/>
        <v>0</v>
      </c>
      <c r="R108" s="49" t="s">
        <v>68</v>
      </c>
      <c r="S108" s="51" t="e">
        <f ca="1">(S107-R110)/(R111-R110)*(S111-S110)+S110</f>
        <v>#DIV/0!</v>
      </c>
      <c r="T108" s="46">
        <f t="shared" ca="1" si="30"/>
        <v>0</v>
      </c>
      <c r="U108" s="46">
        <f t="shared" ca="1" si="31"/>
        <v>0</v>
      </c>
      <c r="V108" s="47">
        <v>5260</v>
      </c>
      <c r="W108" s="48" t="e">
        <f>PORTADA!Q23</f>
        <v>#DIV/0!</v>
      </c>
    </row>
    <row r="109" spans="1:23">
      <c r="A109">
        <v>4</v>
      </c>
      <c r="B109" s="70">
        <f ca="1">IF(DATOSAÑO!E104=0,0,((DATOSAÑO!C104/DATOSAÑO!E104)*1000)*DATOSAÑO!E104/24)</f>
        <v>13454.166666667637</v>
      </c>
      <c r="C109" s="71">
        <f ca="1">IF(DATOSAÑO!L104=0,0,((DATOSAÑO!J104/DATOSAÑO!L104)*1000)*DATOSAÑO!L104/24)</f>
        <v>6170.833333333273</v>
      </c>
      <c r="D109" s="83">
        <f t="shared" ca="1" si="24"/>
        <v>5.2407461949775236</v>
      </c>
      <c r="E109" s="45">
        <f t="shared" ca="1" si="25"/>
        <v>3.7786938754795836</v>
      </c>
      <c r="F109" s="49"/>
      <c r="G109" s="46"/>
      <c r="H109" s="46">
        <f t="shared" ca="1" si="26"/>
        <v>1</v>
      </c>
      <c r="I109" s="46">
        <f t="shared" ca="1" si="27"/>
        <v>0</v>
      </c>
      <c r="J109" s="47">
        <v>7890</v>
      </c>
      <c r="K109" s="48">
        <f>PORTADA!K24</f>
        <v>4.3437754241367283</v>
      </c>
      <c r="M109">
        <v>4</v>
      </c>
      <c r="N109" s="70">
        <f ca="1">IF(DATOSAÑO!$E287=0,0,((DATOSAÑO!$C287/DATOSAÑO!$E287)*1000)*DATOSAÑO!$E287/24)</f>
        <v>0</v>
      </c>
      <c r="O109" s="71">
        <f ca="1">IF(DATOSAÑO!$L287=0,0,((DATOSAÑO!$J287/DATOSAÑO!$L287)*1000)*DATOSAÑO!$L287/24)</f>
        <v>0</v>
      </c>
      <c r="P109" s="65">
        <f t="shared" ca="1" si="28"/>
        <v>0</v>
      </c>
      <c r="Q109" s="45">
        <f t="shared" ca="1" si="29"/>
        <v>0</v>
      </c>
      <c r="R109" s="49"/>
      <c r="S109" s="46"/>
      <c r="T109" s="46">
        <f t="shared" ca="1" si="30"/>
        <v>0</v>
      </c>
      <c r="U109" s="46">
        <f t="shared" ca="1" si="31"/>
        <v>0</v>
      </c>
      <c r="V109" s="47">
        <v>7890</v>
      </c>
      <c r="W109" s="48" t="e">
        <f>PORTADA!Q24</f>
        <v>#DIV/0!</v>
      </c>
    </row>
    <row r="110" spans="1:23">
      <c r="A110">
        <v>5</v>
      </c>
      <c r="B110" s="70">
        <f ca="1">IF(DATOSAÑO!E105=0,0,((DATOSAÑO!C105/DATOSAÑO!E105)*1000)*DATOSAÑO!E105/24)</f>
        <v>12600.00000000097</v>
      </c>
      <c r="C110" s="71">
        <f ca="1">IF(DATOSAÑO!L105=0,0,((DATOSAÑO!J105/DATOSAÑO!L105)*1000)*DATOSAÑO!L105/24)</f>
        <v>6266.666666666727</v>
      </c>
      <c r="D110" s="83">
        <f t="shared" ca="1" si="24"/>
        <v>5.0692812490410049</v>
      </c>
      <c r="E110" s="45">
        <f t="shared" ca="1" si="25"/>
        <v>3.7979314059993148</v>
      </c>
      <c r="F110" s="52">
        <f ca="1">INDEX(J106:J116,H117)</f>
        <v>0</v>
      </c>
      <c r="G110" s="51">
        <f ca="1">INDEX(K106:K116,H117)</f>
        <v>2.5399641928845478</v>
      </c>
      <c r="H110" s="46">
        <f t="shared" ca="1" si="26"/>
        <v>1</v>
      </c>
      <c r="I110" s="46">
        <f t="shared" ca="1" si="27"/>
        <v>0</v>
      </c>
      <c r="J110" s="47">
        <v>10520</v>
      </c>
      <c r="K110" s="48">
        <f>PORTADA!K25</f>
        <v>4.9157155706313214</v>
      </c>
      <c r="M110">
        <v>5</v>
      </c>
      <c r="N110" s="70">
        <f ca="1">IF(DATOSAÑO!$E288=0,0,((DATOSAÑO!$C288/DATOSAÑO!$E288)*1000)*DATOSAÑO!$E288/24)</f>
        <v>0</v>
      </c>
      <c r="O110" s="71">
        <f ca="1">IF(DATOSAÑO!$L288=0,0,((DATOSAÑO!$J288/DATOSAÑO!$L288)*1000)*DATOSAÑO!$L288/24)</f>
        <v>0</v>
      </c>
      <c r="P110" s="65">
        <f t="shared" ca="1" si="28"/>
        <v>0</v>
      </c>
      <c r="Q110" s="45">
        <f t="shared" ca="1" si="29"/>
        <v>0</v>
      </c>
      <c r="R110" s="52">
        <f ca="1">INDEX(V106:V116,T117)</f>
        <v>0</v>
      </c>
      <c r="S110" s="51" t="e">
        <f ca="1">INDEX(W106:W116,T117)</f>
        <v>#DIV/0!</v>
      </c>
      <c r="T110" s="46">
        <f t="shared" ca="1" si="30"/>
        <v>0</v>
      </c>
      <c r="U110" s="46">
        <f t="shared" ca="1" si="31"/>
        <v>0</v>
      </c>
      <c r="V110" s="47">
        <v>10520</v>
      </c>
      <c r="W110" s="48" t="e">
        <f>PORTADA!Q25</f>
        <v>#DIV/0!</v>
      </c>
    </row>
    <row r="111" spans="1:23">
      <c r="A111">
        <v>6</v>
      </c>
      <c r="B111" s="70">
        <f ca="1">IF(DATOSAÑO!E106=0,0,((DATOSAÑO!C106/DATOSAÑO!E106)*1000)*DATOSAÑO!E106/24)</f>
        <v>12862.499999998059</v>
      </c>
      <c r="C111" s="71">
        <f ca="1">IF(DATOSAÑO!L106=0,0,((DATOSAÑO!J106/DATOSAÑO!L106)*1000)*DATOSAÑO!L106/24)</f>
        <v>6304.166666666636</v>
      </c>
      <c r="D111" s="83">
        <f t="shared" ca="1" si="24"/>
        <v>5.1219753543770095</v>
      </c>
      <c r="E111" s="45">
        <f t="shared" ca="1" si="25"/>
        <v>3.8054591353330949</v>
      </c>
      <c r="F111" s="52">
        <f ca="1">INDEX(J106:J116,H117+1)</f>
        <v>2630</v>
      </c>
      <c r="G111" s="51">
        <f ca="1">INDEX(K106:K116,H117+1)</f>
        <v>3.0679089434949423</v>
      </c>
      <c r="H111" s="46">
        <f t="shared" ca="1" si="26"/>
        <v>1</v>
      </c>
      <c r="I111" s="46">
        <f t="shared" ca="1" si="27"/>
        <v>0</v>
      </c>
      <c r="J111" s="47">
        <v>13150</v>
      </c>
      <c r="K111" s="48">
        <f>PORTADA!K26</f>
        <v>5.5316511130101143</v>
      </c>
      <c r="M111">
        <v>6</v>
      </c>
      <c r="N111" s="70">
        <f ca="1">IF(DATOSAÑO!$E289=0,0,((DATOSAÑO!$C289/DATOSAÑO!$E289)*1000)*DATOSAÑO!$E289/24)</f>
        <v>0</v>
      </c>
      <c r="O111" s="71">
        <f ca="1">IF(DATOSAÑO!$L289=0,0,((DATOSAÑO!$J289/DATOSAÑO!$L289)*1000)*DATOSAÑO!$L289/24)</f>
        <v>0</v>
      </c>
      <c r="P111" s="65">
        <f t="shared" ca="1" si="28"/>
        <v>0</v>
      </c>
      <c r="Q111" s="45">
        <f t="shared" ca="1" si="29"/>
        <v>0</v>
      </c>
      <c r="R111" s="52">
        <f ca="1">INDEX(V106:V116,T117+1)</f>
        <v>2630</v>
      </c>
      <c r="S111" s="51" t="e">
        <f ca="1">INDEX(W106:W116,T117+1)</f>
        <v>#DIV/0!</v>
      </c>
      <c r="T111" s="46">
        <f t="shared" ca="1" si="30"/>
        <v>0</v>
      </c>
      <c r="U111" s="46">
        <f t="shared" ca="1" si="31"/>
        <v>0</v>
      </c>
      <c r="V111" s="47">
        <v>13150</v>
      </c>
      <c r="W111" s="48" t="e">
        <f>PORTADA!Q26</f>
        <v>#DIV/0!</v>
      </c>
    </row>
    <row r="112" spans="1:23">
      <c r="A112">
        <v>7</v>
      </c>
      <c r="B112" s="70">
        <f ca="1">IF(DATOSAÑO!E107=0,0,((DATOSAÑO!C107/DATOSAÑO!E107)*1000)*DATOSAÑO!E107/24)</f>
        <v>13083.333333333334</v>
      </c>
      <c r="C112" s="71">
        <f ca="1">IF(DATOSAÑO!L107=0,0,((DATOSAÑO!J107/DATOSAÑO!L107)*1000)*DATOSAÑO!L107/24)</f>
        <v>6166.666666666667</v>
      </c>
      <c r="D112" s="83">
        <f t="shared" ca="1" si="24"/>
        <v>5.1663053160097672</v>
      </c>
      <c r="E112" s="45">
        <f t="shared" ca="1" si="25"/>
        <v>3.777857461109174</v>
      </c>
      <c r="F112" s="2155" t="s">
        <v>69</v>
      </c>
      <c r="G112" s="2156"/>
      <c r="H112" s="46">
        <f t="shared" ca="1" si="26"/>
        <v>1</v>
      </c>
      <c r="I112" s="46">
        <f t="shared" ca="1" si="27"/>
        <v>0</v>
      </c>
      <c r="J112" s="47">
        <v>15780</v>
      </c>
      <c r="K112" s="48">
        <f>PORTADA!K27</f>
        <v>6.1915820512731079</v>
      </c>
      <c r="M112">
        <v>7</v>
      </c>
      <c r="N112" s="70">
        <f ca="1">IF(DATOSAÑO!$E290=0,0,((DATOSAÑO!$C290/DATOSAÑO!$E290)*1000)*DATOSAÑO!$E290/24)</f>
        <v>0</v>
      </c>
      <c r="O112" s="71">
        <f ca="1">IF(DATOSAÑO!$L290=0,0,((DATOSAÑO!$J290/DATOSAÑO!$L290)*1000)*DATOSAÑO!$L290/24)</f>
        <v>0</v>
      </c>
      <c r="P112" s="65">
        <f t="shared" ca="1" si="28"/>
        <v>0</v>
      </c>
      <c r="Q112" s="45">
        <f t="shared" ca="1" si="29"/>
        <v>0</v>
      </c>
      <c r="R112" s="2155" t="s">
        <v>69</v>
      </c>
      <c r="S112" s="2156"/>
      <c r="T112" s="46">
        <f t="shared" ca="1" si="30"/>
        <v>0</v>
      </c>
      <c r="U112" s="46">
        <f t="shared" ca="1" si="31"/>
        <v>0</v>
      </c>
      <c r="V112" s="47">
        <v>15780</v>
      </c>
      <c r="W112" s="48" t="e">
        <f>PORTADA!Q27</f>
        <v>#DIV/0!</v>
      </c>
    </row>
    <row r="113" spans="1:23">
      <c r="A113">
        <v>8</v>
      </c>
      <c r="B113" s="70">
        <f ca="1">IF(DATOSAÑO!E108=0,0,((DATOSAÑO!C108/DATOSAÑO!E108)*1000)*DATOSAÑO!E108/24)</f>
        <v>12833.333333333334</v>
      </c>
      <c r="C113" s="71">
        <f ca="1">IF(DATOSAÑO!L108=0,0,((DATOSAÑO!J108/DATOSAÑO!L108)*1000)*DATOSAÑO!L108/24)</f>
        <v>6083.333333333333</v>
      </c>
      <c r="D113" s="83">
        <f t="shared" ca="1" si="24"/>
        <v>5.1161204537844451</v>
      </c>
      <c r="E113" s="45">
        <f t="shared" ca="1" si="25"/>
        <v>3.7611291737007324</v>
      </c>
      <c r="F113" s="49" t="s">
        <v>67</v>
      </c>
      <c r="G113" s="50">
        <f ca="1">INDEX(B106:C136,B105,2)</f>
        <v>0</v>
      </c>
      <c r="H113" s="46">
        <f t="shared" ca="1" si="26"/>
        <v>0</v>
      </c>
      <c r="I113" s="46">
        <f t="shared" ca="1" si="27"/>
        <v>0</v>
      </c>
      <c r="J113" s="47">
        <v>18410</v>
      </c>
      <c r="K113" s="48">
        <f>PORTADA!K28</f>
        <v>6.9395037813044986</v>
      </c>
      <c r="M113">
        <v>8</v>
      </c>
      <c r="N113" s="70">
        <f ca="1">IF(DATOSAÑO!$E291=0,0,((DATOSAÑO!$C291/DATOSAÑO!$E291)*1000)*DATOSAÑO!$E291/24)</f>
        <v>0</v>
      </c>
      <c r="O113" s="71">
        <f ca="1">IF(DATOSAÑO!$L291=0,0,((DATOSAÑO!$J291/DATOSAÑO!$L291)*1000)*DATOSAÑO!$L291/24)</f>
        <v>0</v>
      </c>
      <c r="P113" s="65">
        <f t="shared" ca="1" si="28"/>
        <v>0</v>
      </c>
      <c r="Q113" s="45">
        <f t="shared" ca="1" si="29"/>
        <v>0</v>
      </c>
      <c r="R113" s="49" t="s">
        <v>67</v>
      </c>
      <c r="S113" s="50">
        <f ca="1">INDEX(N106:O136,N105,2)</f>
        <v>0</v>
      </c>
      <c r="T113" s="46">
        <f t="shared" ca="1" si="30"/>
        <v>0</v>
      </c>
      <c r="U113" s="46">
        <f t="shared" ca="1" si="31"/>
        <v>0</v>
      </c>
      <c r="V113" s="47">
        <v>18410</v>
      </c>
      <c r="W113" s="48" t="e">
        <f>PORTADA!Q28</f>
        <v>#DIV/0!</v>
      </c>
    </row>
    <row r="114" spans="1:23">
      <c r="A114">
        <v>9</v>
      </c>
      <c r="B114" s="70">
        <f ca="1">IF(DATOSAÑO!E109=0,0,((DATOSAÑO!C109/DATOSAÑO!E109)*1000)*DATOSAÑO!E109/24)</f>
        <v>12458.333333333334</v>
      </c>
      <c r="C114" s="71">
        <f ca="1">IF(DATOSAÑO!L109=0,0,((DATOSAÑO!J109/DATOSAÑO!L109)*1000)*DATOSAÑO!L109/24)</f>
        <v>6208.333333333333</v>
      </c>
      <c r="D114" s="83">
        <f t="shared" ca="1" si="24"/>
        <v>5.0408431604464612</v>
      </c>
      <c r="E114" s="45">
        <f t="shared" ca="1" si="25"/>
        <v>3.7862216048133943</v>
      </c>
      <c r="F114" s="49" t="s">
        <v>68</v>
      </c>
      <c r="G114" s="51">
        <f ca="1">(G113-F116)/(F117-F116)*(G117-G116)+G116</f>
        <v>2.5399641928845478</v>
      </c>
      <c r="H114" s="46">
        <f t="shared" ca="1" si="26"/>
        <v>0</v>
      </c>
      <c r="I114" s="46">
        <f t="shared" ca="1" si="27"/>
        <v>0</v>
      </c>
      <c r="J114" s="47">
        <v>21040</v>
      </c>
      <c r="K114" s="48">
        <f>PORTADA!K29</f>
        <v>7.6434301154516913</v>
      </c>
      <c r="M114">
        <v>9</v>
      </c>
      <c r="N114" s="70">
        <f ca="1">IF(DATOSAÑO!$E292=0,0,((DATOSAÑO!$C292/DATOSAÑO!$E292)*1000)*DATOSAÑO!$E292/24)</f>
        <v>0</v>
      </c>
      <c r="O114" s="71">
        <f ca="1">IF(DATOSAÑO!$L292=0,0,((DATOSAÑO!$J292/DATOSAÑO!$L292)*1000)*DATOSAÑO!$L292/24)</f>
        <v>0</v>
      </c>
      <c r="P114" s="65">
        <f t="shared" ca="1" si="28"/>
        <v>0</v>
      </c>
      <c r="Q114" s="45">
        <f t="shared" ca="1" si="29"/>
        <v>0</v>
      </c>
      <c r="R114" s="49" t="s">
        <v>68</v>
      </c>
      <c r="S114" s="51" t="e">
        <f ca="1">(S113-R116)/(R117-R116)*(S117-S116)+S116</f>
        <v>#DIV/0!</v>
      </c>
      <c r="T114" s="46">
        <f t="shared" ca="1" si="30"/>
        <v>0</v>
      </c>
      <c r="U114" s="46">
        <f t="shared" ca="1" si="31"/>
        <v>0</v>
      </c>
      <c r="V114" s="47">
        <v>21040</v>
      </c>
      <c r="W114" s="48" t="e">
        <f>PORTADA!Q29</f>
        <v>#DIV/0!</v>
      </c>
    </row>
    <row r="115" spans="1:23">
      <c r="A115">
        <v>10</v>
      </c>
      <c r="B115" s="70">
        <f ca="1">IF(DATOSAÑO!E110=0,0,((DATOSAÑO!C110/DATOSAÑO!E110)*1000)*DATOSAÑO!E110/24)</f>
        <v>12625</v>
      </c>
      <c r="C115" s="71">
        <f ca="1">IF(DATOSAÑO!L110=0,0,((DATOSAÑO!J110/DATOSAÑO!L110)*1000)*DATOSAÑO!L110/24)</f>
        <v>6083.333333333333</v>
      </c>
      <c r="D115" s="83">
        <f t="shared" ca="1" si="24"/>
        <v>5.0742997352633425</v>
      </c>
      <c r="E115" s="45">
        <f t="shared" ca="1" si="25"/>
        <v>3.7611291737007324</v>
      </c>
      <c r="F115" s="49"/>
      <c r="G115" s="46"/>
      <c r="H115" s="46">
        <f t="shared" ca="1" si="26"/>
        <v>0</v>
      </c>
      <c r="I115" s="46">
        <f t="shared" ca="1" si="27"/>
        <v>0</v>
      </c>
      <c r="J115" s="47">
        <v>23670</v>
      </c>
      <c r="K115" s="48">
        <f>PORTADA!K30</f>
        <v>8.3473564495988857</v>
      </c>
      <c r="M115">
        <v>10</v>
      </c>
      <c r="N115" s="70">
        <f ca="1">IF(DATOSAÑO!$E293=0,0,((DATOSAÑO!$C293/DATOSAÑO!$E293)*1000)*DATOSAÑO!$E293/24)</f>
        <v>0</v>
      </c>
      <c r="O115" s="71">
        <f ca="1">IF(DATOSAÑO!$L293=0,0,((DATOSAÑO!$J293/DATOSAÑO!$L293)*1000)*DATOSAÑO!$L293/24)</f>
        <v>0</v>
      </c>
      <c r="P115" s="65">
        <f t="shared" ca="1" si="28"/>
        <v>0</v>
      </c>
      <c r="Q115" s="45">
        <f t="shared" ca="1" si="29"/>
        <v>0</v>
      </c>
      <c r="R115" s="49"/>
      <c r="S115" s="46"/>
      <c r="T115" s="46">
        <f t="shared" ca="1" si="30"/>
        <v>0</v>
      </c>
      <c r="U115" s="46">
        <f t="shared" ca="1" si="31"/>
        <v>0</v>
      </c>
      <c r="V115" s="47">
        <v>23670</v>
      </c>
      <c r="W115" s="48" t="e">
        <f>PORTADA!Q30</f>
        <v>#DIV/0!</v>
      </c>
    </row>
    <row r="116" spans="1:23">
      <c r="A116">
        <v>11</v>
      </c>
      <c r="B116" s="70">
        <f ca="1">IF(DATOSAÑO!E111=0,0,((DATOSAÑO!C111/DATOSAÑO!E111)*1000)*DATOSAÑO!E111/24)</f>
        <v>12333.333333333334</v>
      </c>
      <c r="C116" s="71">
        <f ca="1">IF(DATOSAÑO!L111=0,0,((DATOSAÑO!J111/DATOSAÑO!L111)*1000)*DATOSAÑO!L111/24)</f>
        <v>6208.333333333333</v>
      </c>
      <c r="D116" s="83">
        <f t="shared" ca="1" si="24"/>
        <v>5.0157507293337993</v>
      </c>
      <c r="E116" s="45">
        <f t="shared" ca="1" si="25"/>
        <v>3.7862216048133943</v>
      </c>
      <c r="F116" s="52">
        <f ca="1">INDEX(J106:J116,I117)</f>
        <v>0</v>
      </c>
      <c r="G116" s="51">
        <f ca="1">INDEX(K106:K116,I117)</f>
        <v>2.5399641928845478</v>
      </c>
      <c r="H116" s="46">
        <f t="shared" ca="1" si="26"/>
        <v>0</v>
      </c>
      <c r="I116" s="46">
        <f t="shared" ca="1" si="27"/>
        <v>0</v>
      </c>
      <c r="J116" s="47">
        <v>26300</v>
      </c>
      <c r="K116" s="48">
        <f>PORTADA!K31</f>
        <v>9.0512827837460765</v>
      </c>
      <c r="M116">
        <v>11</v>
      </c>
      <c r="N116" s="70">
        <f ca="1">IF(DATOSAÑO!$E294=0,0,((DATOSAÑO!$C294/DATOSAÑO!$E294)*1000)*DATOSAÑO!$E294/24)</f>
        <v>0</v>
      </c>
      <c r="O116" s="71">
        <f ca="1">IF(DATOSAÑO!$L294=0,0,((DATOSAÑO!$J294/DATOSAÑO!$L294)*1000)*DATOSAÑO!$L294/24)</f>
        <v>0</v>
      </c>
      <c r="P116" s="65">
        <f t="shared" ca="1" si="28"/>
        <v>0</v>
      </c>
      <c r="Q116" s="45">
        <f t="shared" ca="1" si="29"/>
        <v>0</v>
      </c>
      <c r="R116" s="52">
        <f ca="1">INDEX(V106:V116,U117)</f>
        <v>0</v>
      </c>
      <c r="S116" s="51" t="e">
        <f ca="1">INDEX(W106:W116,U117)</f>
        <v>#DIV/0!</v>
      </c>
      <c r="T116" s="46">
        <f t="shared" ca="1" si="30"/>
        <v>0</v>
      </c>
      <c r="U116" s="46">
        <f t="shared" ca="1" si="31"/>
        <v>0</v>
      </c>
      <c r="V116" s="47">
        <v>26300</v>
      </c>
      <c r="W116" s="48" t="e">
        <f>PORTADA!Q31</f>
        <v>#DIV/0!</v>
      </c>
    </row>
    <row r="117" spans="1:23" ht="15" thickBot="1">
      <c r="A117">
        <v>12</v>
      </c>
      <c r="B117" s="70">
        <f ca="1">IF(DATOSAÑO!E112=0,0,((DATOSAÑO!C112/DATOSAÑO!E112)*1000)*DATOSAÑO!E112/24)</f>
        <v>12166.666666666666</v>
      </c>
      <c r="C117" s="71">
        <f ca="1">IF(DATOSAÑO!L112=0,0,((DATOSAÑO!J112/DATOSAÑO!L112)*1000)*DATOSAÑO!L112/24)</f>
        <v>6166.666666666667</v>
      </c>
      <c r="D117" s="83">
        <f t="shared" ca="1" si="24"/>
        <v>4.9822941545169179</v>
      </c>
      <c r="E117" s="45">
        <f t="shared" ca="1" si="25"/>
        <v>3.777857461109174</v>
      </c>
      <c r="F117" s="53">
        <f ca="1">INDEX(J106:J116,I117+1)</f>
        <v>2630</v>
      </c>
      <c r="G117" s="54">
        <f ca="1">INDEX(K106:K116,I117+1)</f>
        <v>3.0679089434949423</v>
      </c>
      <c r="H117" s="55">
        <f t="shared" ca="1" si="26"/>
        <v>1</v>
      </c>
      <c r="I117" s="55">
        <f t="shared" ca="1" si="27"/>
        <v>1</v>
      </c>
      <c r="J117" s="55"/>
      <c r="K117" s="55"/>
      <c r="M117">
        <v>12</v>
      </c>
      <c r="N117" s="70">
        <f ca="1">IF(DATOSAÑO!$E295=0,0,((DATOSAÑO!$C295/DATOSAÑO!$E295)*1000)*DATOSAÑO!$E295/24)</f>
        <v>0</v>
      </c>
      <c r="O117" s="71">
        <f ca="1">IF(DATOSAÑO!$L295=0,0,((DATOSAÑO!$J295/DATOSAÑO!$L295)*1000)*DATOSAÑO!$L295/24)</f>
        <v>0</v>
      </c>
      <c r="P117" s="65">
        <f t="shared" ca="1" si="28"/>
        <v>0</v>
      </c>
      <c r="Q117" s="45">
        <f t="shared" ca="1" si="29"/>
        <v>0</v>
      </c>
      <c r="R117" s="53">
        <f ca="1">INDEX(V106:V116,U117+1)</f>
        <v>2630</v>
      </c>
      <c r="S117" s="54" t="e">
        <f ca="1">INDEX(W106:W116,U117+1)</f>
        <v>#DIV/0!</v>
      </c>
      <c r="T117" s="55">
        <f ca="1">SUM(T106:T116)</f>
        <v>1</v>
      </c>
      <c r="U117" s="55">
        <f ca="1">SUM(U106:U116)</f>
        <v>1</v>
      </c>
      <c r="V117" s="55"/>
      <c r="W117" s="55"/>
    </row>
    <row r="118" spans="1:23">
      <c r="A118">
        <v>13</v>
      </c>
      <c r="B118" s="70">
        <f ca="1">IF(DATOSAÑO!E113=0,0,((DATOSAÑO!C113/DATOSAÑO!E113)*1000)*DATOSAÑO!E113/24)</f>
        <v>12416.666666666666</v>
      </c>
      <c r="C118" s="71">
        <f ca="1">IF(DATOSAÑO!L113=0,0,((DATOSAÑO!J113/DATOSAÑO!L113)*1000)*DATOSAÑO!L113/24)</f>
        <v>6125</v>
      </c>
      <c r="D118" s="83">
        <f t="shared" ca="1" si="24"/>
        <v>5.03247901674224</v>
      </c>
      <c r="E118" s="45">
        <f t="shared" ca="1" si="25"/>
        <v>3.7694933174049532</v>
      </c>
      <c r="F118" s="56"/>
      <c r="G118" s="56"/>
      <c r="H118" s="56"/>
      <c r="I118" s="56"/>
      <c r="J118" s="56"/>
      <c r="K118" s="56"/>
      <c r="M118">
        <v>13</v>
      </c>
      <c r="N118" s="70">
        <f ca="1">IF(DATOSAÑO!$E296=0,0,((DATOSAÑO!$C296/DATOSAÑO!$E296)*1000)*DATOSAÑO!$E296/24)</f>
        <v>0</v>
      </c>
      <c r="O118" s="71">
        <f ca="1">IF(DATOSAÑO!$L296=0,0,((DATOSAÑO!$J296/DATOSAÑO!$L296)*1000)*DATOSAÑO!$L296/24)</f>
        <v>0</v>
      </c>
      <c r="P118" s="65">
        <f t="shared" ca="1" si="28"/>
        <v>0</v>
      </c>
      <c r="Q118" s="45">
        <f t="shared" ca="1" si="29"/>
        <v>0</v>
      </c>
      <c r="R118" s="56"/>
      <c r="S118" s="56"/>
      <c r="T118" s="56"/>
      <c r="U118" s="56"/>
      <c r="V118" s="56"/>
      <c r="W118" s="56"/>
    </row>
    <row r="119" spans="1:23">
      <c r="A119">
        <v>14</v>
      </c>
      <c r="B119" s="70">
        <f ca="1">IF(DATOSAÑO!E114=0,0,((DATOSAÑO!C114/DATOSAÑO!E114)*1000)*DATOSAÑO!E114/24)</f>
        <v>13333.333333333334</v>
      </c>
      <c r="C119" s="71">
        <f ca="1">IF(DATOSAÑO!L114=0,0,((DATOSAÑO!J114/DATOSAÑO!L114)*1000)*DATOSAÑO!L114/24)</f>
        <v>4875</v>
      </c>
      <c r="D119" s="83">
        <f t="shared" ca="1" si="24"/>
        <v>5.216490178235091</v>
      </c>
      <c r="E119" s="45">
        <f t="shared" ca="1" si="25"/>
        <v>3.5185690062783399</v>
      </c>
      <c r="F119" s="56"/>
      <c r="G119" s="56"/>
      <c r="H119" s="56"/>
      <c r="I119" s="56"/>
      <c r="J119" s="56"/>
      <c r="K119" s="56"/>
      <c r="M119">
        <v>14</v>
      </c>
      <c r="N119" s="70">
        <f ca="1">IF(DATOSAÑO!$E297=0,0,((DATOSAÑO!$C297/DATOSAÑO!$E297)*1000)*DATOSAÑO!$E297/24)</f>
        <v>0</v>
      </c>
      <c r="O119" s="71">
        <f ca="1">IF(DATOSAÑO!$L297=0,0,((DATOSAÑO!$J297/DATOSAÑO!$L297)*1000)*DATOSAÑO!$L297/24)</f>
        <v>0</v>
      </c>
      <c r="P119" s="65">
        <f t="shared" ca="1" si="28"/>
        <v>0</v>
      </c>
      <c r="Q119" s="45">
        <f t="shared" ca="1" si="29"/>
        <v>0</v>
      </c>
      <c r="R119" s="56"/>
      <c r="S119" s="56"/>
      <c r="T119" s="56"/>
      <c r="U119" s="56"/>
      <c r="V119" s="56"/>
      <c r="W119" s="56"/>
    </row>
    <row r="120" spans="1:23">
      <c r="A120">
        <v>15</v>
      </c>
      <c r="B120" s="70">
        <f ca="1">IF(DATOSAÑO!E115=0,0,((DATOSAÑO!C115/DATOSAÑO!E115)*1000)*DATOSAÑO!E115/24)</f>
        <v>15166.666666666666</v>
      </c>
      <c r="C120" s="71">
        <f ca="1">IF(DATOSAÑO!L115=0,0,((DATOSAÑO!J115/DATOSAÑO!L115)*1000)*DATOSAÑO!L115/24)</f>
        <v>3583.3333333333335</v>
      </c>
      <c r="D120" s="83">
        <f t="shared" ca="1" si="24"/>
        <v>5.5845125012207895</v>
      </c>
      <c r="E120" s="45">
        <f t="shared" ca="1" si="25"/>
        <v>3.2592805514475058</v>
      </c>
      <c r="F120" s="56"/>
      <c r="G120" s="56"/>
      <c r="H120" s="56"/>
      <c r="I120" s="56"/>
      <c r="J120" s="56"/>
      <c r="K120" s="56"/>
      <c r="M120">
        <v>15</v>
      </c>
      <c r="N120" s="70">
        <f ca="1">IF(DATOSAÑO!$E298=0,0,((DATOSAÑO!$C298/DATOSAÑO!$E298)*1000)*DATOSAÑO!$E298/24)</f>
        <v>0</v>
      </c>
      <c r="O120" s="71">
        <f ca="1">IF(DATOSAÑO!$L298=0,0,((DATOSAÑO!$J298/DATOSAÑO!$L298)*1000)*DATOSAÑO!$L298/24)</f>
        <v>0</v>
      </c>
      <c r="P120" s="65">
        <f t="shared" ca="1" si="28"/>
        <v>0</v>
      </c>
      <c r="Q120" s="45">
        <f t="shared" ca="1" si="29"/>
        <v>0</v>
      </c>
      <c r="R120" s="56"/>
      <c r="S120" s="56"/>
      <c r="T120" s="56"/>
      <c r="U120" s="56"/>
      <c r="V120" s="56"/>
      <c r="W120" s="56"/>
    </row>
    <row r="121" spans="1:23">
      <c r="A121">
        <v>16</v>
      </c>
      <c r="B121" s="70">
        <f ca="1">IF(DATOSAÑO!E116=0,0,((DATOSAÑO!C116/DATOSAÑO!E116)*1000)*DATOSAÑO!E116/24)</f>
        <v>15833.333333333334</v>
      </c>
      <c r="C121" s="71">
        <f ca="1">IF(DATOSAÑO!L116=0,0,((DATOSAÑO!J116/DATOSAÑO!L116)*1000)*DATOSAÑO!L116/24)</f>
        <v>2608.3333333332725</v>
      </c>
      <c r="D121" s="83">
        <f t="shared" ca="1" si="24"/>
        <v>5.7183388004883167</v>
      </c>
      <c r="E121" s="45">
        <f t="shared" ca="1" si="25"/>
        <v>3.0635595887687357</v>
      </c>
      <c r="F121" s="56"/>
      <c r="G121" s="56"/>
      <c r="H121" s="56"/>
      <c r="I121" s="56"/>
      <c r="J121" s="56"/>
      <c r="K121" s="56"/>
      <c r="M121">
        <v>16</v>
      </c>
      <c r="N121" s="70">
        <f ca="1">IF(DATOSAÑO!$E299=0,0,((DATOSAÑO!$C299/DATOSAÑO!$E299)*1000)*DATOSAÑO!$E299/24)</f>
        <v>0</v>
      </c>
      <c r="O121" s="71">
        <f ca="1">IF(DATOSAÑO!$L299=0,0,((DATOSAÑO!$J299/DATOSAÑO!$L299)*1000)*DATOSAÑO!$L299/24)</f>
        <v>0</v>
      </c>
      <c r="P121" s="65">
        <f t="shared" ca="1" si="28"/>
        <v>0</v>
      </c>
      <c r="Q121" s="45">
        <f t="shared" ca="1" si="29"/>
        <v>0</v>
      </c>
      <c r="R121" s="56"/>
      <c r="S121" s="56"/>
      <c r="T121" s="56"/>
      <c r="U121" s="56"/>
      <c r="V121" s="56"/>
      <c r="W121" s="56"/>
    </row>
    <row r="122" spans="1:23">
      <c r="A122">
        <v>17</v>
      </c>
      <c r="B122" s="70">
        <f ca="1">IF(DATOSAÑO!E117=0,0,((DATOSAÑO!C117/DATOSAÑO!E117)*1000)*DATOSAÑO!E117/24)</f>
        <v>17791.666666666668</v>
      </c>
      <c r="C122" s="71">
        <f ca="1">IF(DATOSAÑO!L117=0,0,((DATOSAÑO!J117/DATOSAÑO!L117)*1000)*DATOSAÑO!L117/24)</f>
        <v>0</v>
      </c>
      <c r="D122" s="83">
        <f t="shared" ca="1" si="24"/>
        <v>6.1114535545866779</v>
      </c>
      <c r="E122" s="45">
        <f t="shared" ca="1" si="25"/>
        <v>0</v>
      </c>
      <c r="F122" s="56"/>
      <c r="G122" s="56"/>
      <c r="H122" s="57"/>
      <c r="I122" s="56"/>
      <c r="J122" s="56"/>
      <c r="K122" s="56"/>
      <c r="M122">
        <v>17</v>
      </c>
      <c r="N122" s="70">
        <f ca="1">IF(DATOSAÑO!$E300=0,0,((DATOSAÑO!$C300/DATOSAÑO!$E300)*1000)*DATOSAÑO!$E300/24)</f>
        <v>0</v>
      </c>
      <c r="O122" s="71">
        <f ca="1">IF(DATOSAÑO!$L300=0,0,((DATOSAÑO!$J300/DATOSAÑO!$L300)*1000)*DATOSAÑO!$L300/24)</f>
        <v>0</v>
      </c>
      <c r="P122" s="65">
        <f t="shared" ca="1" si="28"/>
        <v>0</v>
      </c>
      <c r="Q122" s="45">
        <f t="shared" ca="1" si="29"/>
        <v>0</v>
      </c>
      <c r="R122" s="56"/>
      <c r="S122" s="56"/>
      <c r="T122" s="57"/>
      <c r="U122" s="56"/>
      <c r="V122" s="56"/>
      <c r="W122" s="56"/>
    </row>
    <row r="123" spans="1:23">
      <c r="A123">
        <v>18</v>
      </c>
      <c r="B123" s="70">
        <f ca="1">IF(DATOSAÑO!E118=0,0,((DATOSAÑO!C118/DATOSAÑO!E118)*1000)*DATOSAÑO!E118/24)</f>
        <v>18250</v>
      </c>
      <c r="C123" s="71">
        <f ca="1">IF(DATOSAÑO!L118=0,0,((DATOSAÑO!J118/DATOSAÑO!L118)*1000)*DATOSAÑO!L118/24)</f>
        <v>0</v>
      </c>
      <c r="D123" s="83">
        <f t="shared" ca="1" si="24"/>
        <v>6.2034591353331034</v>
      </c>
      <c r="E123" s="45">
        <f t="shared" ca="1" si="25"/>
        <v>0</v>
      </c>
      <c r="F123" s="56"/>
      <c r="G123" s="56"/>
      <c r="H123" s="56"/>
      <c r="I123" s="56"/>
      <c r="J123" s="56"/>
      <c r="K123" s="56"/>
      <c r="M123">
        <v>18</v>
      </c>
      <c r="N123" s="70">
        <f ca="1">IF(DATOSAÑO!$E301=0,0,((DATOSAÑO!$C301/DATOSAÑO!$E301)*1000)*DATOSAÑO!$E301/24)</f>
        <v>0</v>
      </c>
      <c r="O123" s="71">
        <f ca="1">IF(DATOSAÑO!$L301=0,0,((DATOSAÑO!$J301/DATOSAÑO!$L301)*1000)*DATOSAÑO!$L301/24)</f>
        <v>0</v>
      </c>
      <c r="P123" s="65">
        <f t="shared" ca="1" si="28"/>
        <v>0</v>
      </c>
      <c r="Q123" s="45">
        <f t="shared" ca="1" si="29"/>
        <v>0</v>
      </c>
      <c r="R123" s="56"/>
      <c r="S123" s="56"/>
      <c r="T123" s="56"/>
      <c r="U123" s="56"/>
      <c r="V123" s="56"/>
      <c r="W123" s="56"/>
    </row>
    <row r="124" spans="1:23">
      <c r="A124">
        <v>19</v>
      </c>
      <c r="B124" s="70">
        <f ca="1">IF(DATOSAÑO!E119=0,0,((DATOSAÑO!C119/DATOSAÑO!E119)*1000)*DATOSAÑO!E119/24)</f>
        <v>13583.333333333334</v>
      </c>
      <c r="C124" s="71">
        <f ca="1">IF(DATOSAÑO!L119=0,0,((DATOSAÑO!J119/DATOSAÑO!L119)*1000)*DATOSAÑO!L119/24)</f>
        <v>0</v>
      </c>
      <c r="D124" s="83">
        <f t="shared" ca="1" si="24"/>
        <v>5.266675040460413</v>
      </c>
      <c r="E124" s="45">
        <f t="shared" ca="1" si="25"/>
        <v>0</v>
      </c>
      <c r="F124" s="56"/>
      <c r="G124" s="56"/>
      <c r="H124" s="56"/>
      <c r="I124" s="56"/>
      <c r="J124" s="56"/>
      <c r="K124" s="58"/>
      <c r="M124">
        <v>19</v>
      </c>
      <c r="N124" s="70">
        <f ca="1">IF(DATOSAÑO!$E302=0,0,((DATOSAÑO!$C302/DATOSAÑO!$E302)*1000)*DATOSAÑO!$E302/24)</f>
        <v>0</v>
      </c>
      <c r="O124" s="71">
        <f ca="1">IF(DATOSAÑO!$L302=0,0,((DATOSAÑO!$J302/DATOSAÑO!$L302)*1000)*DATOSAÑO!$L302/24)</f>
        <v>0</v>
      </c>
      <c r="P124" s="65">
        <f t="shared" ca="1" si="28"/>
        <v>0</v>
      </c>
      <c r="Q124" s="45">
        <f t="shared" ca="1" si="29"/>
        <v>0</v>
      </c>
      <c r="R124" s="56"/>
      <c r="S124" s="56"/>
      <c r="T124" s="56"/>
      <c r="U124" s="56"/>
      <c r="V124" s="56"/>
      <c r="W124" s="58"/>
    </row>
    <row r="125" spans="1:23">
      <c r="A125">
        <v>20</v>
      </c>
      <c r="B125" s="70">
        <f ca="1">IF(DATOSAÑO!E120=0,0,((DATOSAÑO!C120/DATOSAÑO!E120)*1000)*DATOSAÑO!E120/24)</f>
        <v>11041.666666666666</v>
      </c>
      <c r="C125" s="71">
        <f ca="1">IF(DATOSAÑO!L120=0,0,((DATOSAÑO!J120/DATOSAÑO!L120)*1000)*DATOSAÑO!L120/24)</f>
        <v>4175.0000000001819</v>
      </c>
      <c r="D125" s="83">
        <f t="shared" ca="1" si="24"/>
        <v>4.7564622745029652</v>
      </c>
      <c r="E125" s="45">
        <f t="shared" ca="1" si="25"/>
        <v>3.3780513920474728</v>
      </c>
      <c r="F125" s="56"/>
      <c r="G125" s="56"/>
      <c r="H125" s="56"/>
      <c r="I125" s="56"/>
      <c r="J125" s="56"/>
      <c r="K125" s="56"/>
      <c r="M125">
        <v>20</v>
      </c>
      <c r="N125" s="70">
        <f ca="1">IF(DATOSAÑO!$E303=0,0,((DATOSAÑO!$C303/DATOSAÑO!$E303)*1000)*DATOSAÑO!$E303/24)</f>
        <v>0</v>
      </c>
      <c r="O125" s="71">
        <f ca="1">IF(DATOSAÑO!$L303=0,0,((DATOSAÑO!$J303/DATOSAÑO!$L303)*1000)*DATOSAÑO!$L303/24)</f>
        <v>0</v>
      </c>
      <c r="P125" s="65">
        <f t="shared" ca="1" si="28"/>
        <v>0</v>
      </c>
      <c r="Q125" s="45">
        <f t="shared" ca="1" si="29"/>
        <v>0</v>
      </c>
      <c r="R125" s="56"/>
      <c r="S125" s="56"/>
      <c r="T125" s="56"/>
      <c r="U125" s="56"/>
      <c r="V125" s="56"/>
      <c r="W125" s="56"/>
    </row>
    <row r="126" spans="1:23">
      <c r="A126">
        <v>21</v>
      </c>
      <c r="B126" s="70">
        <f ca="1">IF(DATOSAÑO!E121=0,0,((DATOSAÑO!C121/DATOSAÑO!E121)*1000)*DATOSAÑO!E121/24)</f>
        <v>9000</v>
      </c>
      <c r="C126" s="71">
        <f ca="1">IF(DATOSAÑO!L121=0,0,((DATOSAÑO!J121/DATOSAÑO!L121)*1000)*DATOSAÑO!L121/24)</f>
        <v>4741.6666666664851</v>
      </c>
      <c r="D126" s="83">
        <f t="shared" ca="1" si="24"/>
        <v>4.3466192329961642</v>
      </c>
      <c r="E126" s="45">
        <f t="shared" ca="1" si="25"/>
        <v>3.491803746424798</v>
      </c>
      <c r="F126" s="56"/>
      <c r="G126" s="56"/>
      <c r="H126" s="56"/>
      <c r="I126" s="56"/>
      <c r="J126" s="56"/>
      <c r="K126" s="56"/>
      <c r="M126">
        <v>21</v>
      </c>
      <c r="N126" s="70">
        <f ca="1">IF(DATOSAÑO!$E304=0,0,((DATOSAÑO!$C304/DATOSAÑO!$E304)*1000)*DATOSAÑO!$E304/24)</f>
        <v>0</v>
      </c>
      <c r="O126" s="71">
        <f ca="1">IF(DATOSAÑO!$L304=0,0,((DATOSAÑO!$J304/DATOSAÑO!$L304)*1000)*DATOSAÑO!$L304/24)</f>
        <v>0</v>
      </c>
      <c r="P126" s="65">
        <f t="shared" ca="1" si="28"/>
        <v>0</v>
      </c>
      <c r="Q126" s="45">
        <f t="shared" ca="1" si="29"/>
        <v>0</v>
      </c>
      <c r="R126" s="56"/>
      <c r="S126" s="56"/>
      <c r="T126" s="56"/>
      <c r="U126" s="56"/>
      <c r="V126" s="56"/>
      <c r="W126" s="56"/>
    </row>
    <row r="127" spans="1:23">
      <c r="A127">
        <v>22</v>
      </c>
      <c r="B127" s="70">
        <f ca="1">IF(DATOSAÑO!E122=0,0,((DATOSAÑO!C122/DATOSAÑO!E122)*1000)*DATOSAÑO!E122/24)</f>
        <v>12000</v>
      </c>
      <c r="C127" s="71">
        <f ca="1">IF(DATOSAÑO!L122=0,0,((DATOSAÑO!J122/DATOSAÑO!L122)*1000)*DATOSAÑO!L122/24)</f>
        <v>6375</v>
      </c>
      <c r="D127" s="83">
        <f t="shared" ca="1" si="24"/>
        <v>4.9488375797000357</v>
      </c>
      <c r="E127" s="45">
        <f t="shared" ca="1" si="25"/>
        <v>3.8196781796302757</v>
      </c>
      <c r="F127" s="56"/>
      <c r="G127" s="56"/>
      <c r="H127" s="56"/>
      <c r="I127" s="56"/>
      <c r="J127" s="56"/>
      <c r="K127" s="56"/>
      <c r="M127">
        <v>22</v>
      </c>
      <c r="N127" s="70">
        <f ca="1">IF(DATOSAÑO!$E305=0,0,((DATOSAÑO!$C305/DATOSAÑO!$E305)*1000)*DATOSAÑO!$E305/24)</f>
        <v>0</v>
      </c>
      <c r="O127" s="71">
        <f ca="1">IF(DATOSAÑO!$L305=0,0,((DATOSAÑO!$J305/DATOSAÑO!$L305)*1000)*DATOSAÑO!$L305/24)</f>
        <v>0</v>
      </c>
      <c r="P127" s="65">
        <f t="shared" ca="1" si="28"/>
        <v>0</v>
      </c>
      <c r="Q127" s="45">
        <f t="shared" ca="1" si="29"/>
        <v>0</v>
      </c>
      <c r="R127" s="56"/>
      <c r="S127" s="56"/>
      <c r="T127" s="56"/>
      <c r="U127" s="56"/>
      <c r="V127" s="56"/>
      <c r="W127" s="56"/>
    </row>
    <row r="128" spans="1:23">
      <c r="A128">
        <v>23</v>
      </c>
      <c r="B128" s="70">
        <f ca="1">IF(DATOSAÑO!E123=0,0,((DATOSAÑO!C123/DATOSAÑO!E123)*1000)*DATOSAÑO!E123/24)</f>
        <v>12291.666666666666</v>
      </c>
      <c r="C128" s="71">
        <f ca="1">IF(DATOSAÑO!L123=0,0,((DATOSAÑO!J123/DATOSAÑO!L123)*1000)*DATOSAÑO!L123/24)</f>
        <v>6475.0000000000609</v>
      </c>
      <c r="D128" s="83">
        <f t="shared" ca="1" si="24"/>
        <v>5.0073865856295789</v>
      </c>
      <c r="E128" s="45">
        <f t="shared" ca="1" si="25"/>
        <v>3.8397521245204169</v>
      </c>
      <c r="F128" s="56"/>
      <c r="G128" s="56"/>
      <c r="H128" s="56"/>
      <c r="I128" s="56"/>
      <c r="J128" s="56"/>
      <c r="K128" s="56"/>
      <c r="M128">
        <v>23</v>
      </c>
      <c r="N128" s="70">
        <f ca="1">IF(DATOSAÑO!$E306=0,0,((DATOSAÑO!$C306/DATOSAÑO!$E306)*1000)*DATOSAÑO!$E306/24)</f>
        <v>0</v>
      </c>
      <c r="O128" s="71">
        <f ca="1">IF(DATOSAÑO!$L306=0,0,((DATOSAÑO!$J306/DATOSAÑO!$L306)*1000)*DATOSAÑO!$L306/24)</f>
        <v>0</v>
      </c>
      <c r="P128" s="65">
        <f t="shared" ca="1" si="28"/>
        <v>0</v>
      </c>
      <c r="Q128" s="45">
        <f t="shared" ca="1" si="29"/>
        <v>0</v>
      </c>
      <c r="R128" s="56"/>
      <c r="S128" s="56"/>
      <c r="T128" s="56"/>
      <c r="U128" s="56"/>
      <c r="V128" s="56"/>
      <c r="W128" s="56"/>
    </row>
    <row r="129" spans="1:23">
      <c r="A129">
        <v>24</v>
      </c>
      <c r="B129" s="70">
        <f ca="1">IF(DATOSAÑO!E124=0,0,((DATOSAÑO!C124/DATOSAÑO!E124)*1000)*DATOSAÑO!E124/24)</f>
        <v>12583.333333333334</v>
      </c>
      <c r="C129" s="71">
        <f ca="1">IF(DATOSAÑO!L124=0,0,((DATOSAÑO!J124/DATOSAÑO!L124)*1000)*DATOSAÑO!L124/24)</f>
        <v>6375</v>
      </c>
      <c r="D129" s="83">
        <f t="shared" ca="1" si="24"/>
        <v>5.0659355915591222</v>
      </c>
      <c r="E129" s="45">
        <f t="shared" ca="1" si="25"/>
        <v>3.8196781796302757</v>
      </c>
      <c r="F129" s="56"/>
      <c r="G129" s="56"/>
      <c r="H129" s="56"/>
      <c r="I129" s="56"/>
      <c r="J129" s="56"/>
      <c r="K129" s="56"/>
      <c r="M129">
        <v>24</v>
      </c>
      <c r="N129" s="70">
        <f ca="1">IF(DATOSAÑO!$E307=0,0,((DATOSAÑO!$C307/DATOSAÑO!$E307)*1000)*DATOSAÑO!$E307/24)</f>
        <v>0</v>
      </c>
      <c r="O129" s="71">
        <f ca="1">IF(DATOSAÑO!$L307=0,0,((DATOSAÑO!$J307/DATOSAÑO!$L307)*1000)*DATOSAÑO!$L307/24)</f>
        <v>0</v>
      </c>
      <c r="P129" s="65">
        <f t="shared" ca="1" si="28"/>
        <v>0</v>
      </c>
      <c r="Q129" s="45">
        <f t="shared" ca="1" si="29"/>
        <v>0</v>
      </c>
      <c r="R129" s="56"/>
      <c r="S129" s="56"/>
      <c r="T129" s="56"/>
      <c r="U129" s="56"/>
      <c r="V129" s="56"/>
      <c r="W129" s="56"/>
    </row>
    <row r="130" spans="1:23">
      <c r="A130">
        <v>25</v>
      </c>
      <c r="B130" s="70">
        <f ca="1">IF(DATOSAÑO!E125=0,0,((DATOSAÑO!C125/DATOSAÑO!E125)*1000)*DATOSAÑO!E125/24)</f>
        <v>12125</v>
      </c>
      <c r="C130" s="71">
        <f ca="1">IF(DATOSAÑO!L125=0,0,((DATOSAÑO!J125/DATOSAÑO!L125)*1000)*DATOSAÑO!L125/24)</f>
        <v>6541.666666666667</v>
      </c>
      <c r="D130" s="83">
        <f t="shared" ca="1" si="24"/>
        <v>4.9739300108126976</v>
      </c>
      <c r="E130" s="45">
        <f t="shared" ca="1" si="25"/>
        <v>3.8531347544471579</v>
      </c>
      <c r="F130" s="56"/>
      <c r="G130" s="56"/>
      <c r="H130" s="56"/>
      <c r="I130" s="56"/>
      <c r="J130" s="56"/>
      <c r="K130" s="56"/>
      <c r="M130">
        <v>25</v>
      </c>
      <c r="N130" s="70">
        <f ca="1">IF(DATOSAÑO!$E308=0,0,((DATOSAÑO!$C308/DATOSAÑO!$E308)*1000)*DATOSAÑO!$E308/24)</f>
        <v>0</v>
      </c>
      <c r="O130" s="71">
        <f ca="1">IF(DATOSAÑO!$L308=0,0,((DATOSAÑO!$J308/DATOSAÑO!$L308)*1000)*DATOSAÑO!$L308/24)</f>
        <v>0</v>
      </c>
      <c r="P130" s="65">
        <f t="shared" ca="1" si="28"/>
        <v>0</v>
      </c>
      <c r="Q130" s="45">
        <f t="shared" ca="1" si="29"/>
        <v>0</v>
      </c>
      <c r="R130" s="56"/>
      <c r="S130" s="56"/>
      <c r="T130" s="56"/>
      <c r="U130" s="56"/>
      <c r="V130" s="56"/>
      <c r="W130" s="56"/>
    </row>
    <row r="131" spans="1:23">
      <c r="A131">
        <v>26</v>
      </c>
      <c r="B131" s="70">
        <f ca="1">IF(DATOSAÑO!E126=0,0,((DATOSAÑO!C126/DATOSAÑO!E126)*1000)*DATOSAÑO!E126/24)</f>
        <v>11755.416666666861</v>
      </c>
      <c r="C131" s="71">
        <f ca="1">IF(DATOSAÑO!L126=0,0,((DATOSAÑO!J126/DATOSAÑO!L126)*1000)*DATOSAÑO!L126/24)</f>
        <v>6204.5833333334785</v>
      </c>
      <c r="D131" s="83">
        <f t="shared" ca="1" si="24"/>
        <v>4.8997400561563005</v>
      </c>
      <c r="E131" s="45">
        <f t="shared" ca="1" si="25"/>
        <v>3.7854688318800433</v>
      </c>
      <c r="F131" s="56"/>
      <c r="G131" s="56"/>
      <c r="H131" s="56"/>
      <c r="I131" s="56"/>
      <c r="J131" s="56"/>
      <c r="K131" s="56"/>
      <c r="M131">
        <v>26</v>
      </c>
      <c r="N131" s="70">
        <f ca="1">IF(DATOSAÑO!$E309=0,0,((DATOSAÑO!$C309/DATOSAÑO!$E309)*1000)*DATOSAÑO!$E309/24)</f>
        <v>0</v>
      </c>
      <c r="O131" s="71">
        <f ca="1">IF(DATOSAÑO!$L309=0,0,((DATOSAÑO!$J309/DATOSAÑO!$L309)*1000)*DATOSAÑO!$L309/24)</f>
        <v>0</v>
      </c>
      <c r="P131" s="65">
        <f t="shared" ca="1" si="28"/>
        <v>0</v>
      </c>
      <c r="Q131" s="45">
        <f t="shared" ca="1" si="29"/>
        <v>0</v>
      </c>
      <c r="R131" s="56"/>
      <c r="S131" s="56"/>
      <c r="T131" s="56"/>
      <c r="U131" s="56"/>
      <c r="V131" s="56"/>
      <c r="W131" s="56"/>
    </row>
    <row r="132" spans="1:23">
      <c r="A132">
        <v>27</v>
      </c>
      <c r="B132" s="70">
        <f ca="1">IF(DATOSAÑO!E127=0,0,((DATOSAÑO!C127/DATOSAÑO!E127)*1000)*DATOSAÑO!E127/24)</f>
        <v>12812.916666667055</v>
      </c>
      <c r="C132" s="71">
        <f ca="1">IF(DATOSAÑO!L127=0,0,((DATOSAÑO!J127/DATOSAÑO!L127)*1000)*DATOSAÑO!L127/24)</f>
        <v>6298.3333333331757</v>
      </c>
      <c r="D132" s="83">
        <f t="shared" ca="1" si="24"/>
        <v>5.1120220233694544</v>
      </c>
      <c r="E132" s="45">
        <f t="shared" ca="1" si="25"/>
        <v>3.8042881552144783</v>
      </c>
      <c r="F132" s="56"/>
      <c r="G132" s="56"/>
      <c r="H132" s="56"/>
      <c r="I132" s="56"/>
      <c r="J132" s="56"/>
      <c r="K132" s="56"/>
      <c r="M132">
        <v>27</v>
      </c>
      <c r="N132" s="70">
        <f ca="1">IF(DATOSAÑO!$E310=0,0,((DATOSAÑO!$C310/DATOSAÑO!$E310)*1000)*DATOSAÑO!$E310/24)</f>
        <v>0</v>
      </c>
      <c r="O132" s="71">
        <f ca="1">IF(DATOSAÑO!$L310=0,0,((DATOSAÑO!$J310/DATOSAÑO!$L310)*1000)*DATOSAÑO!$L310/24)</f>
        <v>0</v>
      </c>
      <c r="P132" s="65">
        <f t="shared" ca="1" si="28"/>
        <v>0</v>
      </c>
      <c r="Q132" s="45">
        <f t="shared" ca="1" si="29"/>
        <v>0</v>
      </c>
      <c r="R132" s="56"/>
      <c r="S132" s="56"/>
      <c r="T132" s="56"/>
      <c r="U132" s="56"/>
      <c r="V132" s="56"/>
      <c r="W132" s="56"/>
    </row>
    <row r="133" spans="1:23">
      <c r="A133">
        <v>28</v>
      </c>
      <c r="B133" s="70">
        <f ca="1">IF(DATOSAÑO!E128=0,0,((DATOSAÑO!C128/DATOSAÑO!E128)*1000)*DATOSAÑO!E128/24)</f>
        <v>12452.499999999418</v>
      </c>
      <c r="C133" s="71">
        <f ca="1">IF(DATOSAÑO!L128=0,0,((DATOSAÑO!J128/DATOSAÑO!L128)*1000)*DATOSAÑO!L128/24)</f>
        <v>6330.8333333334303</v>
      </c>
      <c r="D133" s="83">
        <f t="shared" ca="1" si="24"/>
        <v>5.0396721803277522</v>
      </c>
      <c r="E133" s="45">
        <f t="shared" ca="1" si="25"/>
        <v>3.8108121873038217</v>
      </c>
      <c r="F133" s="56"/>
      <c r="G133" s="56"/>
      <c r="H133" s="56"/>
      <c r="I133" s="56"/>
      <c r="J133" s="56"/>
      <c r="K133" s="56"/>
      <c r="M133">
        <v>28</v>
      </c>
      <c r="N133" s="70">
        <f ca="1">IF(DATOSAÑO!$E311=0,0,((DATOSAÑO!$C311/DATOSAÑO!$E311)*1000)*DATOSAÑO!$E311/24)</f>
        <v>0</v>
      </c>
      <c r="O133" s="71">
        <f ca="1">IF(DATOSAÑO!$L311=0,0,((DATOSAÑO!$J311/DATOSAÑO!$L311)*1000)*DATOSAÑO!$L311/24)</f>
        <v>0</v>
      </c>
      <c r="P133" s="65">
        <f t="shared" ca="1" si="28"/>
        <v>0</v>
      </c>
      <c r="Q133" s="45">
        <f t="shared" ca="1" si="29"/>
        <v>0</v>
      </c>
      <c r="R133" s="56"/>
      <c r="S133" s="56"/>
      <c r="T133" s="56"/>
      <c r="U133" s="56"/>
      <c r="V133" s="56"/>
      <c r="W133" s="56"/>
    </row>
    <row r="134" spans="1:23">
      <c r="A134">
        <v>29</v>
      </c>
      <c r="B134" s="70">
        <f ca="1">IF(DATOSAÑO!E129=0,0,((DATOSAÑO!C129/DATOSAÑO!E129)*1000)*DATOSAÑO!E129/24)</f>
        <v>12152.500000001359</v>
      </c>
      <c r="C134" s="71">
        <f ca="1">IF(DATOSAÑO!L129=0,0,((DATOSAÑO!J129/DATOSAÑO!L129)*1000)*DATOSAÑO!L129/24)</f>
        <v>6162.0833333333094</v>
      </c>
      <c r="D134" s="83">
        <f t="shared" ca="1" si="24"/>
        <v>4.9794503456577548</v>
      </c>
      <c r="E134" s="45">
        <f t="shared" ca="1" si="25"/>
        <v>3.7769374053017044</v>
      </c>
      <c r="F134" s="56"/>
      <c r="G134" s="56"/>
      <c r="H134" s="56"/>
      <c r="I134" s="56"/>
      <c r="J134" s="56"/>
      <c r="K134" s="56"/>
      <c r="M134">
        <v>29</v>
      </c>
      <c r="N134" s="70">
        <f ca="1">IF(DATOSAÑO!$E312=0,0,((DATOSAÑO!$C312/DATOSAÑO!$E312)*1000)*DATOSAÑO!$E312/24)</f>
        <v>0</v>
      </c>
      <c r="O134" s="71">
        <f ca="1">IF(DATOSAÑO!$L312=0,0,((DATOSAÑO!$J312/DATOSAÑO!$L312)*1000)*DATOSAÑO!$L312/24)</f>
        <v>0</v>
      </c>
      <c r="P134" s="65">
        <f t="shared" ca="1" si="28"/>
        <v>0</v>
      </c>
      <c r="Q134" s="45">
        <f t="shared" ca="1" si="29"/>
        <v>0</v>
      </c>
      <c r="R134" s="56"/>
      <c r="S134" s="56"/>
      <c r="T134" s="56"/>
      <c r="U134" s="56"/>
      <c r="V134" s="56"/>
      <c r="W134" s="56"/>
    </row>
    <row r="135" spans="1:23">
      <c r="A135">
        <v>30</v>
      </c>
      <c r="B135" s="70">
        <f ca="1">IF(DATOSAÑO!E130=0,0,((DATOSAÑO!C130/DATOSAÑO!E130)*1000)*DATOSAÑO!E130/24)</f>
        <v>12624.583333332945</v>
      </c>
      <c r="C135" s="71">
        <f ca="1">IF(DATOSAÑO!L130=0,0,((DATOSAÑO!J130/DATOSAÑO!L130)*1000)*DATOSAÑO!L130/24)</f>
        <v>6000</v>
      </c>
      <c r="D135" s="83">
        <f t="shared" ca="1" si="24"/>
        <v>5.0742160938262222</v>
      </c>
      <c r="E135" s="45">
        <f t="shared" ca="1" si="25"/>
        <v>3.7444008862922917</v>
      </c>
      <c r="F135" s="56"/>
      <c r="G135" s="56"/>
      <c r="H135" s="56"/>
      <c r="I135" s="56"/>
      <c r="J135" s="56"/>
      <c r="K135" s="56"/>
      <c r="M135">
        <v>30</v>
      </c>
      <c r="N135" s="70">
        <f ca="1">IF(DATOSAÑO!$E313=0,0,((DATOSAÑO!$C313/DATOSAÑO!$E313)*1000)*DATOSAÑO!$E313/24)</f>
        <v>0</v>
      </c>
      <c r="O135" s="71">
        <f ca="1">IF(DATOSAÑO!$L313=0,0,((DATOSAÑO!$J313/DATOSAÑO!$L313)*1000)*DATOSAÑO!$L313/24)</f>
        <v>0</v>
      </c>
      <c r="P135" s="65">
        <f t="shared" ca="1" si="28"/>
        <v>0</v>
      </c>
      <c r="Q135" s="45">
        <f t="shared" ca="1" si="29"/>
        <v>0</v>
      </c>
      <c r="R135" s="56"/>
      <c r="S135" s="56"/>
      <c r="T135" s="56"/>
      <c r="U135" s="56"/>
      <c r="V135" s="56"/>
      <c r="W135" s="56"/>
    </row>
    <row r="136" spans="1:23" ht="15" thickBot="1">
      <c r="B136" s="72"/>
      <c r="C136" s="73"/>
      <c r="D136" s="84"/>
      <c r="E136" s="80"/>
      <c r="F136" s="56"/>
      <c r="G136" s="56"/>
      <c r="H136" s="56"/>
      <c r="I136" s="56"/>
      <c r="J136" s="56"/>
      <c r="K136" s="56"/>
      <c r="M136">
        <v>31</v>
      </c>
      <c r="N136" s="72">
        <f ca="1">IF(DATOSAÑO!$E314=0,0,((DATOSAÑO!$C314/DATOSAÑO!$E314)*1000)*DATOSAÑO!$E314/24)</f>
        <v>0</v>
      </c>
      <c r="O136" s="73">
        <f ca="1">IF(DATOSAÑO!$L314=0,0,((DATOSAÑO!$J314/DATOSAÑO!$L314)*1000)*DATOSAÑO!$L314/24)</f>
        <v>0</v>
      </c>
      <c r="P136" s="79">
        <f t="shared" ca="1" si="28"/>
        <v>0</v>
      </c>
      <c r="Q136" s="80">
        <f t="shared" ca="1" si="29"/>
        <v>0</v>
      </c>
      <c r="R136" s="56"/>
      <c r="S136" s="56"/>
      <c r="T136" s="56"/>
      <c r="U136" s="56"/>
      <c r="V136" s="56"/>
      <c r="W136" s="56"/>
    </row>
    <row r="137" spans="1:23" ht="15" thickTop="1"/>
    <row r="138" spans="1:23" ht="15" thickBot="1">
      <c r="B138" s="2157">
        <v>45047</v>
      </c>
      <c r="C138" s="2157"/>
      <c r="D138" s="2157"/>
      <c r="E138" s="2157"/>
      <c r="F138" s="2159" t="s">
        <v>60</v>
      </c>
      <c r="G138" s="2159"/>
      <c r="H138" s="2159"/>
      <c r="I138" s="2159"/>
      <c r="J138" s="2159"/>
      <c r="K138" s="2159"/>
      <c r="N138" s="2157">
        <v>45231</v>
      </c>
      <c r="O138" s="2157"/>
      <c r="P138" s="2157"/>
      <c r="Q138" s="2157"/>
      <c r="R138" s="2159" t="s">
        <v>60</v>
      </c>
      <c r="S138" s="2159"/>
      <c r="T138" s="2159"/>
      <c r="U138" s="2159"/>
      <c r="V138" s="2159"/>
      <c r="W138" s="2159"/>
    </row>
    <row r="139" spans="1:23" ht="44.4" thickTop="1" thickBot="1">
      <c r="A139" s="41">
        <f ca="1">ABS(TODAY()-1)</f>
        <v>45125</v>
      </c>
      <c r="B139" s="66">
        <f ca="1">DAY(A139)</f>
        <v>18</v>
      </c>
      <c r="C139" s="67"/>
      <c r="D139" s="75" t="s">
        <v>61</v>
      </c>
      <c r="E139" s="76" t="s">
        <v>62</v>
      </c>
      <c r="F139" s="42"/>
      <c r="G139" s="43"/>
      <c r="H139" s="43" t="s">
        <v>63</v>
      </c>
      <c r="I139" s="43" t="s">
        <v>64</v>
      </c>
      <c r="J139" s="44" t="s">
        <v>56</v>
      </c>
      <c r="K139" s="43" t="s">
        <v>65</v>
      </c>
      <c r="M139" s="41">
        <f ca="1">ABS(TODAY()-1)</f>
        <v>45125</v>
      </c>
      <c r="N139" s="66">
        <f ca="1">DAY(M139)</f>
        <v>18</v>
      </c>
      <c r="O139" s="67"/>
      <c r="P139" s="75" t="s">
        <v>61</v>
      </c>
      <c r="Q139" s="76" t="s">
        <v>62</v>
      </c>
      <c r="R139" s="42"/>
      <c r="S139" s="43"/>
      <c r="T139" s="43" t="s">
        <v>63</v>
      </c>
      <c r="U139" s="43" t="s">
        <v>64</v>
      </c>
      <c r="V139" s="44" t="s">
        <v>56</v>
      </c>
      <c r="W139" s="43" t="s">
        <v>65</v>
      </c>
    </row>
    <row r="140" spans="1:23" ht="15" thickTop="1">
      <c r="A140">
        <v>1</v>
      </c>
      <c r="B140" s="68">
        <f ca="1">IF(DATOSAÑO!E131=0,0,((DATOSAÑO!C131/DATOSAÑO!E131)*1000)*DATOSAÑO!E131/24)</f>
        <v>12797.916666667637</v>
      </c>
      <c r="C140" s="69">
        <f ca="1">IF(DATOSAÑO!L131=0,0,((DATOSAÑO!J131/DATOSAÑO!L131)*1000)*DATOSAÑO!L131/24)</f>
        <v>6045.833333333273</v>
      </c>
      <c r="D140" s="78">
        <f ca="1">IF(B140&gt;0,(B140-$F$150)/($F$151-$F$150)*($G$151-$G$150)+$G$150,0)</f>
        <v>5.2262848504997255</v>
      </c>
      <c r="E140" s="78">
        <f ca="1">IF(C140&gt;0,(C140-$F$150)/($F$151-$F$150)*($G$151-$G$150)+$G$150,0)</f>
        <v>3.8397628476450887</v>
      </c>
      <c r="F140" s="2155" t="s">
        <v>66</v>
      </c>
      <c r="G140" s="2156"/>
      <c r="H140" s="46">
        <f ca="1">IF($G$141&gt;=J140,1,0)</f>
        <v>1</v>
      </c>
      <c r="I140" s="46">
        <f ca="1">IF($G$147&gt;=J140,1,0)</f>
        <v>1</v>
      </c>
      <c r="J140" s="47">
        <v>0</v>
      </c>
      <c r="K140" s="48">
        <f>PORTADA!L21</f>
        <v>2.5982673671503327</v>
      </c>
      <c r="M140">
        <v>1</v>
      </c>
      <c r="N140" s="68">
        <f ca="1">IF(DATOSAÑO!$E315=0,0,((DATOSAÑO!$C315/DATOSAÑO!$E315)*1000)*DATOSAÑO!$E315/24)</f>
        <v>0</v>
      </c>
      <c r="O140" s="69">
        <f ca="1">IF(DATOSAÑO!$L315=0,0,((DATOSAÑO!$J315/DATOSAÑO!$L315)*1000)*DATOSAÑO!$L315/24)</f>
        <v>0</v>
      </c>
      <c r="P140" s="77">
        <f ca="1">IF(N140&gt;0,(N140-$R$144)/($R$145-$R$144)*($S$145-$S$144)+$S$144,0)</f>
        <v>0</v>
      </c>
      <c r="Q140" s="78">
        <f ca="1">IF(O140&gt;0,(O140-$R$150)/($R$151-$R$150)*($S$151-$S$150)+$S$150,0)</f>
        <v>0</v>
      </c>
      <c r="R140" s="2155" t="s">
        <v>66</v>
      </c>
      <c r="S140" s="2156"/>
      <c r="T140" s="46">
        <f ca="1">IF($S$141&gt;=V140,1,0)</f>
        <v>1</v>
      </c>
      <c r="U140" s="46">
        <f ca="1">IF($S$147&gt;=V140,1,0)</f>
        <v>1</v>
      </c>
      <c r="V140" s="47">
        <v>0</v>
      </c>
      <c r="W140" s="48" t="e">
        <f>PORTADA!R21</f>
        <v>#DIV/0!</v>
      </c>
    </row>
    <row r="141" spans="1:23">
      <c r="A141">
        <v>2</v>
      </c>
      <c r="B141" s="70">
        <f ca="1">IF(DATOSAÑO!E132=0,0,((DATOSAÑO!C132/DATOSAÑO!E132)*1000)*DATOSAÑO!E132/24)</f>
        <v>13029.166666664727</v>
      </c>
      <c r="C141" s="71">
        <f ca="1">IF(DATOSAÑO!L132=0,0,((DATOSAÑO!J132/DATOSAÑO!L132)*1000)*DATOSAÑO!L132/24)</f>
        <v>6166.666666666667</v>
      </c>
      <c r="D141" s="45">
        <f t="shared" ref="D141:E170" ca="1" si="32">IF(B141&gt;0,(B141-$F$150)/($F$151-$F$150)*($G$151-$G$150)+$G$150,0)</f>
        <v>5.2737714109177771</v>
      </c>
      <c r="E141" s="45">
        <f t="shared" ca="1" si="32"/>
        <v>3.8645756449809716</v>
      </c>
      <c r="F141" s="49" t="s">
        <v>67</v>
      </c>
      <c r="G141" s="50">
        <f ca="1">INDEX(B140:C170,B139,1)</f>
        <v>7365.6250000009704</v>
      </c>
      <c r="H141" s="46">
        <f t="shared" ref="H141:H150" ca="1" si="33">IF($G$141&gt;=J141,1,0)</f>
        <v>1</v>
      </c>
      <c r="I141" s="46">
        <f t="shared" ref="I141:I150" ca="1" si="34">IF($G$147&gt;=J141,1,0)</f>
        <v>1</v>
      </c>
      <c r="J141" s="47">
        <v>2630</v>
      </c>
      <c r="K141" s="48">
        <f>PORTADA!L22</f>
        <v>3.1383307353710754</v>
      </c>
      <c r="M141">
        <v>2</v>
      </c>
      <c r="N141" s="70">
        <f ca="1">IF(DATOSAÑO!$E316=0,0,((DATOSAÑO!$C316/DATOSAÑO!$E316)*1000)*DATOSAÑO!$E316/24)</f>
        <v>0</v>
      </c>
      <c r="O141" s="71">
        <f ca="1">IF(DATOSAÑO!$L316=0,0,((DATOSAÑO!$J316/DATOSAÑO!$L316)*1000)*DATOSAÑO!$L316/24)</f>
        <v>0</v>
      </c>
      <c r="P141" s="81">
        <f t="shared" ref="P141:P169" ca="1" si="35">IF(N141&gt;0,(N141-$R$144)/($R$145-$R$144)*($S$145-$S$144)+$S$144,0)</f>
        <v>0</v>
      </c>
      <c r="Q141" s="45">
        <f t="shared" ref="Q141:Q169" ca="1" si="36">IF(O141&gt;0,(O141-$R$150)/($R$151-$R$150)*($S$151-$S$150)+$S$150,0)</f>
        <v>0</v>
      </c>
      <c r="R141" s="49" t="s">
        <v>67</v>
      </c>
      <c r="S141" s="50">
        <f ca="1">INDEX(N140:O170,N139,1)</f>
        <v>0</v>
      </c>
      <c r="T141" s="46">
        <f t="shared" ref="T141:T150" ca="1" si="37">IF($S$141&gt;=V141,1,0)</f>
        <v>0</v>
      </c>
      <c r="U141" s="46">
        <f t="shared" ref="U141:U150" ca="1" si="38">IF($S$147&gt;=V141,1,0)</f>
        <v>0</v>
      </c>
      <c r="V141" s="47">
        <v>2630</v>
      </c>
      <c r="W141" s="48" t="e">
        <f>PORTADA!R22</f>
        <v>#DIV/0!</v>
      </c>
    </row>
    <row r="142" spans="1:23">
      <c r="A142">
        <v>3</v>
      </c>
      <c r="B142" s="70">
        <f ca="1">IF(DATOSAÑO!E133=0,0,((DATOSAÑO!C133/DATOSAÑO!E133)*1000)*DATOSAÑO!E133/24)</f>
        <v>11916.666666666666</v>
      </c>
      <c r="C142" s="71">
        <f ca="1">IF(DATOSAÑO!L133=0,0,((DATOSAÑO!J133/DATOSAÑO!L133)*1000)*DATOSAÑO!L133/24)</f>
        <v>6083.333333333333</v>
      </c>
      <c r="D142" s="45">
        <f t="shared" ca="1" si="32"/>
        <v>5.0453225526879191</v>
      </c>
      <c r="E142" s="45">
        <f t="shared" ca="1" si="32"/>
        <v>3.8474633709562331</v>
      </c>
      <c r="F142" s="49" t="s">
        <v>68</v>
      </c>
      <c r="G142" s="51">
        <f ca="1">(G141-F144)/(F145-F144)*(G145-G144)+G144</f>
        <v>4.1107784875120945</v>
      </c>
      <c r="H142" s="46">
        <f t="shared" ca="1" si="33"/>
        <v>1</v>
      </c>
      <c r="I142" s="46">
        <f t="shared" ca="1" si="34"/>
        <v>1</v>
      </c>
      <c r="J142" s="47">
        <v>5260</v>
      </c>
      <c r="K142" s="48">
        <f>PORTADA!L23</f>
        <v>3.7684046649619409</v>
      </c>
      <c r="M142">
        <v>3</v>
      </c>
      <c r="N142" s="70">
        <f ca="1">IF(DATOSAÑO!$E317=0,0,((DATOSAÑO!$C317/DATOSAÑO!$E317)*1000)*DATOSAÑO!$E317/24)</f>
        <v>0</v>
      </c>
      <c r="O142" s="71">
        <f ca="1">IF(DATOSAÑO!$L317=0,0,((DATOSAÑO!$J317/DATOSAÑO!$L317)*1000)*DATOSAÑO!$L317/24)</f>
        <v>0</v>
      </c>
      <c r="P142" s="81">
        <f t="shared" ca="1" si="35"/>
        <v>0</v>
      </c>
      <c r="Q142" s="45">
        <f t="shared" ca="1" si="36"/>
        <v>0</v>
      </c>
      <c r="R142" s="49" t="s">
        <v>68</v>
      </c>
      <c r="S142" s="51" t="e">
        <f ca="1">(S141-R144)/(R145-R144)*(S145-S144)+S144</f>
        <v>#DIV/0!</v>
      </c>
      <c r="T142" s="46">
        <f t="shared" ca="1" si="37"/>
        <v>0</v>
      </c>
      <c r="U142" s="46">
        <f t="shared" ca="1" si="38"/>
        <v>0</v>
      </c>
      <c r="V142" s="47">
        <v>5260</v>
      </c>
      <c r="W142" s="48" t="e">
        <f>PORTADA!R23</f>
        <v>#DIV/0!</v>
      </c>
    </row>
    <row r="143" spans="1:23">
      <c r="A143">
        <v>4</v>
      </c>
      <c r="B143" s="70">
        <f ca="1">IF(DATOSAÑO!E134=0,0,((DATOSAÑO!C134/DATOSAÑO!E134)*1000)*DATOSAÑO!E134/24)</f>
        <v>12291.666666666666</v>
      </c>
      <c r="C143" s="71">
        <f ca="1">IF(DATOSAÑO!L134=0,0,((DATOSAÑO!J134/DATOSAÑO!L134)*1000)*DATOSAÑO!L134/24)</f>
        <v>6250</v>
      </c>
      <c r="D143" s="45">
        <f t="shared" ca="1" si="32"/>
        <v>5.1223277857992411</v>
      </c>
      <c r="E143" s="45">
        <f t="shared" ca="1" si="32"/>
        <v>3.8816879190057101</v>
      </c>
      <c r="F143" s="49"/>
      <c r="G143" s="46"/>
      <c r="H143" s="46">
        <f t="shared" ca="1" si="33"/>
        <v>0</v>
      </c>
      <c r="I143" s="46">
        <f t="shared" ca="1" si="34"/>
        <v>1</v>
      </c>
      <c r="J143" s="47">
        <v>7890</v>
      </c>
      <c r="K143" s="48">
        <f>PORTADA!L24</f>
        <v>4.4434838752378694</v>
      </c>
      <c r="M143">
        <v>4</v>
      </c>
      <c r="N143" s="70">
        <f ca="1">IF(DATOSAÑO!$E318=0,0,((DATOSAÑO!$C318/DATOSAÑO!$E318)*1000)*DATOSAÑO!$E318/24)</f>
        <v>0</v>
      </c>
      <c r="O143" s="71">
        <f ca="1">IF(DATOSAÑO!$L318=0,0,((DATOSAÑO!$J318/DATOSAÑO!$L318)*1000)*DATOSAÑO!$L318/24)</f>
        <v>0</v>
      </c>
      <c r="P143" s="81">
        <f t="shared" ca="1" si="35"/>
        <v>0</v>
      </c>
      <c r="Q143" s="45">
        <f t="shared" ca="1" si="36"/>
        <v>0</v>
      </c>
      <c r="R143" s="49"/>
      <c r="S143" s="46"/>
      <c r="T143" s="46">
        <f t="shared" ca="1" si="37"/>
        <v>0</v>
      </c>
      <c r="U143" s="46">
        <f t="shared" ca="1" si="38"/>
        <v>0</v>
      </c>
      <c r="V143" s="47">
        <v>7890</v>
      </c>
      <c r="W143" s="48" t="e">
        <f>PORTADA!R24</f>
        <v>#DIV/0!</v>
      </c>
    </row>
    <row r="144" spans="1:23">
      <c r="A144">
        <v>5</v>
      </c>
      <c r="B144" s="70">
        <f ca="1">IF(DATOSAÑO!E135=0,0,((DATOSAÑO!C135/DATOSAÑO!E135)*1000)*DATOSAÑO!E135/24)</f>
        <v>13083.333333333334</v>
      </c>
      <c r="C144" s="71">
        <f ca="1">IF(DATOSAÑO!L135=0,0,((DATOSAÑO!J135/DATOSAÑO!L135)*1000)*DATOSAÑO!L135/24)</f>
        <v>6166.666666666667</v>
      </c>
      <c r="D144" s="45">
        <f t="shared" ca="1" si="32"/>
        <v>5.2848943890342559</v>
      </c>
      <c r="E144" s="45">
        <f t="shared" ca="1" si="32"/>
        <v>3.8645756449809716</v>
      </c>
      <c r="F144" s="52">
        <f>INDEX(J140:J150,H151)</f>
        <v>0</v>
      </c>
      <c r="G144" s="51">
        <f>INDEX(K140:K150,H151)</f>
        <v>2.5982673671503327</v>
      </c>
      <c r="H144" s="46">
        <f t="shared" ca="1" si="33"/>
        <v>0</v>
      </c>
      <c r="I144" s="46">
        <f t="shared" ca="1" si="34"/>
        <v>1</v>
      </c>
      <c r="J144" s="47">
        <v>10520</v>
      </c>
      <c r="K144" s="48">
        <f>PORTADA!L25</f>
        <v>5.0285525241436728</v>
      </c>
      <c r="M144">
        <v>5</v>
      </c>
      <c r="N144" s="70">
        <f ca="1">IF(DATOSAÑO!$E319=0,0,((DATOSAÑO!$C319/DATOSAÑO!$E319)*1000)*DATOSAÑO!$E319/24)</f>
        <v>0</v>
      </c>
      <c r="O144" s="71">
        <f ca="1">IF(DATOSAÑO!$L319=0,0,((DATOSAÑO!$J319/DATOSAÑO!$L319)*1000)*DATOSAÑO!$L319/24)</f>
        <v>0</v>
      </c>
      <c r="P144" s="81">
        <f t="shared" ca="1" si="35"/>
        <v>0</v>
      </c>
      <c r="Q144" s="45">
        <f t="shared" ca="1" si="36"/>
        <v>0</v>
      </c>
      <c r="R144" s="52">
        <f ca="1">INDEX(V140:V150,T151)</f>
        <v>0</v>
      </c>
      <c r="S144" s="51" t="e">
        <f ca="1">INDEX(W140:W150,T151)</f>
        <v>#DIV/0!</v>
      </c>
      <c r="T144" s="46">
        <f t="shared" ca="1" si="37"/>
        <v>0</v>
      </c>
      <c r="U144" s="46">
        <f t="shared" ca="1" si="38"/>
        <v>0</v>
      </c>
      <c r="V144" s="47">
        <v>10520</v>
      </c>
      <c r="W144" s="48" t="e">
        <f>PORTADA!R25</f>
        <v>#DIV/0!</v>
      </c>
    </row>
    <row r="145" spans="1:23">
      <c r="A145">
        <v>6</v>
      </c>
      <c r="B145" s="70">
        <f ca="1">IF(DATOSAÑO!E136=0,0,((DATOSAÑO!C136/DATOSAÑO!E136)*1000)*DATOSAÑO!E136/24)</f>
        <v>9000</v>
      </c>
      <c r="C145" s="71">
        <f ca="1">IF(DATOSAÑO!L136=0,0,((DATOSAÑO!J136/DATOSAÑO!L136)*1000)*DATOSAÑO!L136/24)</f>
        <v>9916.6666666666661</v>
      </c>
      <c r="D145" s="81">
        <f t="shared" ref="D145:D170" ca="1" si="39">IF(B145&gt;0,(B145-$F$144)/($F$145-$F$144)*($G$145-$G$144)+$G$144,0)</f>
        <v>4.4463929618220757</v>
      </c>
      <c r="E145" s="45">
        <f t="shared" ca="1" si="32"/>
        <v>4.6346279760941975</v>
      </c>
      <c r="F145" s="52">
        <f>INDEX(J140:J150,H151+1)</f>
        <v>2630</v>
      </c>
      <c r="G145" s="51">
        <f>INDEX(K140:K150,H151+1)</f>
        <v>3.1383307353710754</v>
      </c>
      <c r="H145" s="46">
        <f t="shared" ca="1" si="33"/>
        <v>0</v>
      </c>
      <c r="I145" s="46">
        <f t="shared" ca="1" si="34"/>
        <v>0</v>
      </c>
      <c r="J145" s="47">
        <v>13150</v>
      </c>
      <c r="K145" s="48">
        <f>PORTADA!L26</f>
        <v>5.6586264537345379</v>
      </c>
      <c r="M145">
        <v>6</v>
      </c>
      <c r="N145" s="70">
        <f ca="1">IF(DATOSAÑO!$E320=0,0,((DATOSAÑO!$C320/DATOSAÑO!$E320)*1000)*DATOSAÑO!$E320/24)</f>
        <v>0</v>
      </c>
      <c r="O145" s="71">
        <f ca="1">IF(DATOSAÑO!$L320=0,0,((DATOSAÑO!$J320/DATOSAÑO!$L320)*1000)*DATOSAÑO!$L320/24)</f>
        <v>0</v>
      </c>
      <c r="P145" s="81">
        <f t="shared" ca="1" si="35"/>
        <v>0</v>
      </c>
      <c r="Q145" s="45">
        <f t="shared" ca="1" si="36"/>
        <v>0</v>
      </c>
      <c r="R145" s="52">
        <f ca="1">INDEX(V140:V150,T151+1)</f>
        <v>2630</v>
      </c>
      <c r="S145" s="51" t="e">
        <f ca="1">INDEX(W140:W150,T151+1)</f>
        <v>#DIV/0!</v>
      </c>
      <c r="T145" s="46">
        <f t="shared" ca="1" si="37"/>
        <v>0</v>
      </c>
      <c r="U145" s="46">
        <f t="shared" ca="1" si="38"/>
        <v>0</v>
      </c>
      <c r="V145" s="47">
        <v>13150</v>
      </c>
      <c r="W145" s="48" t="e">
        <f>PORTADA!R26</f>
        <v>#DIV/0!</v>
      </c>
    </row>
    <row r="146" spans="1:23">
      <c r="A146">
        <v>7</v>
      </c>
      <c r="B146" s="70">
        <f ca="1">IF(DATOSAÑO!E137=0,0,((DATOSAÑO!C137/DATOSAÑO!E137)*1000)*DATOSAÑO!E137/24)</f>
        <v>6208.333333333333</v>
      </c>
      <c r="C146" s="71">
        <f ca="1">IF(DATOSAÑO!L137=0,0,((DATOSAÑO!J137/DATOSAÑO!L137)*1000)*DATOSAÑO!L137/24)</f>
        <v>12541.666666666666</v>
      </c>
      <c r="D146" s="81">
        <f t="shared" ca="1" si="39"/>
        <v>3.8731317819933411</v>
      </c>
      <c r="E146" s="45">
        <f t="shared" ca="1" si="32"/>
        <v>5.1736646078734561</v>
      </c>
      <c r="F146" s="2155" t="s">
        <v>69</v>
      </c>
      <c r="G146" s="2156"/>
      <c r="H146" s="46">
        <f t="shared" ca="1" si="33"/>
        <v>0</v>
      </c>
      <c r="I146" s="46">
        <f t="shared" ca="1" si="34"/>
        <v>0</v>
      </c>
      <c r="J146" s="47">
        <v>15780</v>
      </c>
      <c r="K146" s="48">
        <f>PORTADA!L27</f>
        <v>6.3337056640104663</v>
      </c>
      <c r="M146">
        <v>7</v>
      </c>
      <c r="N146" s="70">
        <f ca="1">IF(DATOSAÑO!$E321=0,0,((DATOSAÑO!$C321/DATOSAÑO!$E321)*1000)*DATOSAÑO!$E321/24)</f>
        <v>0</v>
      </c>
      <c r="O146" s="71">
        <f ca="1">IF(DATOSAÑO!$L321=0,0,((DATOSAÑO!$J321/DATOSAÑO!$L321)*1000)*DATOSAÑO!$L321/24)</f>
        <v>0</v>
      </c>
      <c r="P146" s="81">
        <f t="shared" ca="1" si="35"/>
        <v>0</v>
      </c>
      <c r="Q146" s="45">
        <f t="shared" ca="1" si="36"/>
        <v>0</v>
      </c>
      <c r="R146" s="2155" t="s">
        <v>69</v>
      </c>
      <c r="S146" s="2156"/>
      <c r="T146" s="46">
        <f t="shared" ca="1" si="37"/>
        <v>0</v>
      </c>
      <c r="U146" s="46">
        <f t="shared" ca="1" si="38"/>
        <v>0</v>
      </c>
      <c r="V146" s="47">
        <v>15780</v>
      </c>
      <c r="W146" s="48" t="e">
        <f>PORTADA!R27</f>
        <v>#DIV/0!</v>
      </c>
    </row>
    <row r="147" spans="1:23">
      <c r="A147">
        <v>8</v>
      </c>
      <c r="B147" s="70">
        <f ca="1">IF(DATOSAÑO!E138=0,0,((DATOSAÑO!C138/DATOSAÑO!E138)*1000)*DATOSAÑO!E138/24)</f>
        <v>6166.666666666667</v>
      </c>
      <c r="C147" s="71">
        <f ca="1">IF(DATOSAÑO!L138=0,0,((DATOSAÑO!J138/DATOSAÑO!L138)*1000)*DATOSAÑO!L138/24)</f>
        <v>12166.666666666666</v>
      </c>
      <c r="D147" s="81">
        <f t="shared" ca="1" si="39"/>
        <v>3.8645756449809716</v>
      </c>
      <c r="E147" s="45">
        <f t="shared" ca="1" si="32"/>
        <v>5.0966593747621332</v>
      </c>
      <c r="F147" s="49" t="s">
        <v>67</v>
      </c>
      <c r="G147" s="50">
        <f ca="1">INDEX(B140:C170,B139,2)</f>
        <v>11182.416666666844</v>
      </c>
      <c r="H147" s="46">
        <f t="shared" ca="1" si="33"/>
        <v>0</v>
      </c>
      <c r="I147" s="46">
        <f t="shared" ca="1" si="34"/>
        <v>0</v>
      </c>
      <c r="J147" s="47">
        <v>18410</v>
      </c>
      <c r="K147" s="48">
        <f>PORTADA!L28</f>
        <v>7.098795435656517</v>
      </c>
      <c r="M147">
        <v>8</v>
      </c>
      <c r="N147" s="70">
        <f ca="1">IF(DATOSAÑO!$E322=0,0,((DATOSAÑO!$C322/DATOSAÑO!$E322)*1000)*DATOSAÑO!$E322/24)</f>
        <v>0</v>
      </c>
      <c r="O147" s="71">
        <f ca="1">IF(DATOSAÑO!$L322=0,0,((DATOSAÑO!$J322/DATOSAÑO!$L322)*1000)*DATOSAÑO!$L322/24)</f>
        <v>0</v>
      </c>
      <c r="P147" s="81">
        <f t="shared" ca="1" si="35"/>
        <v>0</v>
      </c>
      <c r="Q147" s="45">
        <f t="shared" ca="1" si="36"/>
        <v>0</v>
      </c>
      <c r="R147" s="49" t="s">
        <v>67</v>
      </c>
      <c r="S147" s="50">
        <f ca="1">INDEX(N140:O170,N139,2)</f>
        <v>0</v>
      </c>
      <c r="T147" s="46">
        <f t="shared" ca="1" si="37"/>
        <v>0</v>
      </c>
      <c r="U147" s="46">
        <f t="shared" ca="1" si="38"/>
        <v>0</v>
      </c>
      <c r="V147" s="47">
        <v>18410</v>
      </c>
      <c r="W147" s="48" t="e">
        <f>PORTADA!R28</f>
        <v>#DIV/0!</v>
      </c>
    </row>
    <row r="148" spans="1:23">
      <c r="A148">
        <v>9</v>
      </c>
      <c r="B148" s="70">
        <f ca="1">IF(DATOSAÑO!E139=0,0,((DATOSAÑO!C139/DATOSAÑO!E139)*1000)*DATOSAÑO!E139/24)</f>
        <v>6345.8333333352739</v>
      </c>
      <c r="C148" s="71">
        <f ca="1">IF(DATOSAÑO!L139=0,0,((DATOSAÑO!J139/DATOSAÑO!L139)*1000)*DATOSAÑO!L139/24)</f>
        <v>12329.166666666728</v>
      </c>
      <c r="D148" s="81">
        <f t="shared" ca="1" si="39"/>
        <v>3.9013670341345574</v>
      </c>
      <c r="E148" s="45">
        <f t="shared" ca="1" si="32"/>
        <v>5.1300283091103864</v>
      </c>
      <c r="F148" s="49" t="s">
        <v>68</v>
      </c>
      <c r="G148" s="51">
        <f ca="1">(G147-F150)/(F151-F150)*(G151-G150)+G150</f>
        <v>4.894546306255986</v>
      </c>
      <c r="H148" s="46">
        <f t="shared" ca="1" si="33"/>
        <v>0</v>
      </c>
      <c r="I148" s="46">
        <f t="shared" ca="1" si="34"/>
        <v>0</v>
      </c>
      <c r="J148" s="47">
        <v>21040</v>
      </c>
      <c r="K148" s="48">
        <f>PORTADA!L29</f>
        <v>7.818879926617508</v>
      </c>
      <c r="M148">
        <v>9</v>
      </c>
      <c r="N148" s="70">
        <f ca="1">IF(DATOSAÑO!$E323=0,0,((DATOSAÑO!$C323/DATOSAÑO!$E323)*1000)*DATOSAÑO!$E323/24)</f>
        <v>0</v>
      </c>
      <c r="O148" s="71">
        <f ca="1">IF(DATOSAÑO!$L323=0,0,((DATOSAÑO!$J323/DATOSAÑO!$L323)*1000)*DATOSAÑO!$L323/24)</f>
        <v>0</v>
      </c>
      <c r="P148" s="81">
        <f t="shared" ca="1" si="35"/>
        <v>0</v>
      </c>
      <c r="Q148" s="45">
        <f t="shared" ca="1" si="36"/>
        <v>0</v>
      </c>
      <c r="R148" s="49" t="s">
        <v>68</v>
      </c>
      <c r="S148" s="51" t="e">
        <f ca="1">(S147-R150)/(R151-R150)*(S151-S150)+S150</f>
        <v>#DIV/0!</v>
      </c>
      <c r="T148" s="46">
        <f t="shared" ca="1" si="37"/>
        <v>0</v>
      </c>
      <c r="U148" s="46">
        <f t="shared" ca="1" si="38"/>
        <v>0</v>
      </c>
      <c r="V148" s="47">
        <v>21040</v>
      </c>
      <c r="W148" s="48" t="e">
        <f>PORTADA!R29</f>
        <v>#DIV/0!</v>
      </c>
    </row>
    <row r="149" spans="1:23">
      <c r="A149">
        <v>10</v>
      </c>
      <c r="B149" s="70">
        <f ca="1">IF(DATOSAÑO!E140=0,0,((DATOSAÑO!C140/DATOSAÑO!E140)*1000)*DATOSAÑO!E140/24)</f>
        <v>6149.9999999990296</v>
      </c>
      <c r="C149" s="71">
        <f ca="1">IF(DATOSAÑO!L140=0,0,((DATOSAÑO!J140/DATOSAÑO!L140)*1000)*DATOSAÑO!L140/24)</f>
        <v>12162.50000000006</v>
      </c>
      <c r="D149" s="81">
        <f t="shared" ca="1" si="39"/>
        <v>3.8611531901758243</v>
      </c>
      <c r="E149" s="45">
        <f t="shared" ca="1" si="32"/>
        <v>5.0958037610609095</v>
      </c>
      <c r="F149" s="49"/>
      <c r="G149" s="46"/>
      <c r="H149" s="46">
        <f t="shared" ca="1" si="33"/>
        <v>0</v>
      </c>
      <c r="I149" s="46">
        <f t="shared" ca="1" si="34"/>
        <v>0</v>
      </c>
      <c r="J149" s="47">
        <v>23670</v>
      </c>
      <c r="K149" s="48">
        <f>PORTADA!L30</f>
        <v>8.538964417578498</v>
      </c>
      <c r="M149">
        <v>10</v>
      </c>
      <c r="N149" s="70">
        <f ca="1">IF(DATOSAÑO!$E324=0,0,((DATOSAÑO!$C324/DATOSAÑO!$E324)*1000)*DATOSAÑO!$E324/24)</f>
        <v>0</v>
      </c>
      <c r="O149" s="71">
        <f ca="1">IF(DATOSAÑO!$L324=0,0,((DATOSAÑO!$J324/DATOSAÑO!$L324)*1000)*DATOSAÑO!$L324/24)</f>
        <v>0</v>
      </c>
      <c r="P149" s="81">
        <f t="shared" ca="1" si="35"/>
        <v>0</v>
      </c>
      <c r="Q149" s="45">
        <f t="shared" ca="1" si="36"/>
        <v>0</v>
      </c>
      <c r="R149" s="49"/>
      <c r="S149" s="46"/>
      <c r="T149" s="46">
        <f t="shared" ca="1" si="37"/>
        <v>0</v>
      </c>
      <c r="U149" s="46">
        <f t="shared" ca="1" si="38"/>
        <v>0</v>
      </c>
      <c r="V149" s="47">
        <v>23670</v>
      </c>
      <c r="W149" s="48" t="e">
        <f>PORTADA!R30</f>
        <v>#DIV/0!</v>
      </c>
    </row>
    <row r="150" spans="1:23">
      <c r="A150">
        <v>11</v>
      </c>
      <c r="B150" s="70">
        <f ca="1">IF(DATOSAÑO!E141=0,0,((DATOSAÑO!C141/DATOSAÑO!E141)*1000)*DATOSAÑO!E141/24)</f>
        <v>6212.4999999990296</v>
      </c>
      <c r="C150" s="71">
        <f ca="1">IF(DATOSAÑO!L141=0,0,((DATOSAÑO!J141/DATOSAÑO!L141)*1000)*DATOSAÑO!L141/24)</f>
        <v>12754.166666666606</v>
      </c>
      <c r="D150" s="81">
        <f t="shared" ca="1" si="39"/>
        <v>3.8739873956943782</v>
      </c>
      <c r="E150" s="45">
        <f t="shared" ca="1" si="32"/>
        <v>5.2173009066365266</v>
      </c>
      <c r="F150" s="52">
        <f ca="1">INDEX(J140:J150,I151)</f>
        <v>0</v>
      </c>
      <c r="G150" s="51">
        <f ca="1">INDEX(K140:K150,I151)</f>
        <v>2.5982673671503327</v>
      </c>
      <c r="H150" s="46">
        <f t="shared" ca="1" si="33"/>
        <v>0</v>
      </c>
      <c r="I150" s="46">
        <f t="shared" ca="1" si="34"/>
        <v>0</v>
      </c>
      <c r="J150" s="47">
        <v>26300</v>
      </c>
      <c r="K150" s="48">
        <f>PORTADA!L31</f>
        <v>9.2590489085394871</v>
      </c>
      <c r="M150">
        <v>11</v>
      </c>
      <c r="N150" s="70">
        <f ca="1">IF(DATOSAÑO!$E325=0,0,((DATOSAÑO!$C325/DATOSAÑO!$E325)*1000)*DATOSAÑO!$E325/24)</f>
        <v>0</v>
      </c>
      <c r="O150" s="71">
        <f ca="1">IF(DATOSAÑO!$L325=0,0,((DATOSAÑO!$J325/DATOSAÑO!$L325)*1000)*DATOSAÑO!$L325/24)</f>
        <v>0</v>
      </c>
      <c r="P150" s="81">
        <f t="shared" ca="1" si="35"/>
        <v>0</v>
      </c>
      <c r="Q150" s="45">
        <f t="shared" ca="1" si="36"/>
        <v>0</v>
      </c>
      <c r="R150" s="52">
        <f ca="1">INDEX(V140:V150,U151)</f>
        <v>0</v>
      </c>
      <c r="S150" s="51" t="e">
        <f ca="1">INDEX(W140:W150,U151)</f>
        <v>#DIV/0!</v>
      </c>
      <c r="T150" s="46">
        <f t="shared" ca="1" si="37"/>
        <v>0</v>
      </c>
      <c r="U150" s="46">
        <f t="shared" ca="1" si="38"/>
        <v>0</v>
      </c>
      <c r="V150" s="47">
        <v>26300</v>
      </c>
      <c r="W150" s="48" t="e">
        <f>PORTADA!R31</f>
        <v>#DIV/0!</v>
      </c>
    </row>
    <row r="151" spans="1:23" ht="15" thickBot="1">
      <c r="A151">
        <v>12</v>
      </c>
      <c r="B151" s="70">
        <f ca="1">IF(DATOSAÑO!E142=0,0,((DATOSAÑO!C142/DATOSAÑO!E142)*1000)*DATOSAÑO!E142/24)</f>
        <v>6250</v>
      </c>
      <c r="C151" s="71">
        <f ca="1">IF(DATOSAÑO!L142=0,0,((DATOSAÑO!J142/DATOSAÑO!L142)*1000)*DATOSAÑO!L142/24)</f>
        <v>12337.49999999994</v>
      </c>
      <c r="D151" s="81">
        <f t="shared" ca="1" si="39"/>
        <v>3.8816879190057101</v>
      </c>
      <c r="E151" s="45">
        <f t="shared" ca="1" si="32"/>
        <v>5.1317395365128355</v>
      </c>
      <c r="F151" s="53">
        <f ca="1">INDEX(J140:J150,I151+1)</f>
        <v>2630</v>
      </c>
      <c r="G151" s="54">
        <f ca="1">INDEX(K140:K150,I151+1)</f>
        <v>3.1383307353710754</v>
      </c>
      <c r="H151" s="55">
        <f>IF($G$140&gt;=J151,1,0)</f>
        <v>1</v>
      </c>
      <c r="I151" s="55">
        <f ca="1">IF($G$147&gt;=J151,1,0)</f>
        <v>1</v>
      </c>
      <c r="J151" s="55"/>
      <c r="K151" s="55"/>
      <c r="M151">
        <v>12</v>
      </c>
      <c r="N151" s="70">
        <f ca="1">IF(DATOSAÑO!$E326=0,0,((DATOSAÑO!$C326/DATOSAÑO!$E326)*1000)*DATOSAÑO!$E326/24)</f>
        <v>0</v>
      </c>
      <c r="O151" s="71">
        <f ca="1">IF(DATOSAÑO!$L326=0,0,((DATOSAÑO!$J326/DATOSAÑO!$L326)*1000)*DATOSAÑO!$L326/24)</f>
        <v>0</v>
      </c>
      <c r="P151" s="81">
        <f t="shared" ca="1" si="35"/>
        <v>0</v>
      </c>
      <c r="Q151" s="45">
        <f t="shared" ca="1" si="36"/>
        <v>0</v>
      </c>
      <c r="R151" s="53">
        <f ca="1">INDEX(V140:V150,U151+1)</f>
        <v>2630</v>
      </c>
      <c r="S151" s="54" t="e">
        <f ca="1">INDEX(W140:W150,U151+1)</f>
        <v>#DIV/0!</v>
      </c>
      <c r="T151" s="55">
        <f ca="1">SUM(T140:T150)</f>
        <v>1</v>
      </c>
      <c r="U151" s="55">
        <f ca="1">SUM(U140:U150)</f>
        <v>1</v>
      </c>
      <c r="V151" s="55"/>
      <c r="W151" s="55"/>
    </row>
    <row r="152" spans="1:23">
      <c r="A152">
        <v>13</v>
      </c>
      <c r="B152" s="70">
        <f ca="1">IF(DATOSAÑO!E143=0,0,((DATOSAÑO!C143/DATOSAÑO!E143)*1000)*DATOSAÑO!E143/24)</f>
        <v>6250</v>
      </c>
      <c r="C152" s="71">
        <f ca="1">IF(DATOSAÑO!L143=0,0,((DATOSAÑO!J143/DATOSAÑO!L143)*1000)*DATOSAÑO!L143/24)</f>
        <v>11666.666666666666</v>
      </c>
      <c r="D152" s="81">
        <f t="shared" ca="1" si="39"/>
        <v>3.8816879190057101</v>
      </c>
      <c r="E152" s="45">
        <f t="shared" ca="1" si="32"/>
        <v>4.9939857306137032</v>
      </c>
      <c r="F152" s="56"/>
      <c r="G152" s="56"/>
      <c r="H152" s="56"/>
      <c r="I152" s="56"/>
      <c r="J152" s="56"/>
      <c r="K152" s="56"/>
      <c r="M152">
        <v>13</v>
      </c>
      <c r="N152" s="70">
        <f ca="1">IF(DATOSAÑO!$E327=0,0,((DATOSAÑO!$C327/DATOSAÑO!$E327)*1000)*DATOSAÑO!$E327/24)</f>
        <v>0</v>
      </c>
      <c r="O152" s="71">
        <f ca="1">IF(DATOSAÑO!$L327=0,0,((DATOSAÑO!$J327/DATOSAÑO!$L327)*1000)*DATOSAÑO!$L327/24)</f>
        <v>0</v>
      </c>
      <c r="P152" s="81">
        <f t="shared" ca="1" si="35"/>
        <v>0</v>
      </c>
      <c r="Q152" s="45">
        <f t="shared" ca="1" si="36"/>
        <v>0</v>
      </c>
      <c r="R152" s="56"/>
      <c r="S152" s="56"/>
      <c r="T152" s="56"/>
      <c r="U152" s="56"/>
      <c r="V152" s="56"/>
      <c r="W152" s="56"/>
    </row>
    <row r="153" spans="1:23">
      <c r="A153">
        <v>14</v>
      </c>
      <c r="B153" s="70">
        <f ca="1">IF(DATOSAÑO!E144=0,0,((DATOSAÑO!C144/DATOSAÑO!E144)*1000)*DATOSAÑO!E144/24)</f>
        <v>1333.3333333333335</v>
      </c>
      <c r="C153" s="71">
        <f ca="1">IF(DATOSAÑO!L144=0,0,((DATOSAÑO!J144/DATOSAÑO!L144)*1000)*DATOSAÑO!L144/24)</f>
        <v>16416.666666666668</v>
      </c>
      <c r="D153" s="81">
        <f t="shared" ca="1" si="39"/>
        <v>2.8720637515461465</v>
      </c>
      <c r="E153" s="45">
        <f t="shared" ca="1" si="32"/>
        <v>5.9693853500237903</v>
      </c>
      <c r="F153" s="56"/>
      <c r="G153" s="56"/>
      <c r="H153" s="56"/>
      <c r="I153" s="56"/>
      <c r="J153" s="56"/>
      <c r="K153" s="56"/>
      <c r="M153">
        <v>14</v>
      </c>
      <c r="N153" s="70">
        <f ca="1">IF(DATOSAÑO!$E328=0,0,((DATOSAÑO!$C328/DATOSAÑO!$E328)*1000)*DATOSAÑO!$E328/24)</f>
        <v>0</v>
      </c>
      <c r="O153" s="71">
        <f ca="1">IF(DATOSAÑO!$L328=0,0,((DATOSAÑO!$J328/DATOSAÑO!$L328)*1000)*DATOSAÑO!$L328/24)</f>
        <v>0</v>
      </c>
      <c r="P153" s="81">
        <f t="shared" ca="1" si="35"/>
        <v>0</v>
      </c>
      <c r="Q153" s="45">
        <f t="shared" ca="1" si="36"/>
        <v>0</v>
      </c>
      <c r="R153" s="56"/>
      <c r="S153" s="56"/>
      <c r="T153" s="56"/>
      <c r="U153" s="56"/>
      <c r="V153" s="56"/>
      <c r="W153" s="56"/>
    </row>
    <row r="154" spans="1:23">
      <c r="A154">
        <v>15</v>
      </c>
      <c r="B154" s="70">
        <f ca="1">IF(DATOSAÑO!E145=0,0,((DATOSAÑO!C145/DATOSAÑO!E145)*1000)*DATOSAÑO!E145/24)</f>
        <v>6083.333333333333</v>
      </c>
      <c r="C154" s="71">
        <f ca="1">IF(DATOSAÑO!L145=0,0,((DATOSAÑO!J145/DATOSAÑO!L145)*1000)*DATOSAÑO!L145/24)</f>
        <v>12583.333333333334</v>
      </c>
      <c r="D154" s="81">
        <f t="shared" ca="1" si="39"/>
        <v>3.8474633709562331</v>
      </c>
      <c r="E154" s="45">
        <f t="shared" ca="1" si="32"/>
        <v>5.1822207448858251</v>
      </c>
      <c r="F154" s="56"/>
      <c r="G154" s="56"/>
      <c r="H154" s="56"/>
      <c r="I154" s="56"/>
      <c r="J154" s="56"/>
      <c r="K154" s="56"/>
      <c r="M154">
        <v>15</v>
      </c>
      <c r="N154" s="70">
        <f ca="1">IF(DATOSAÑO!$E329=0,0,((DATOSAÑO!$C329/DATOSAÑO!$E329)*1000)*DATOSAÑO!$E329/24)</f>
        <v>0</v>
      </c>
      <c r="O154" s="71">
        <f ca="1">IF(DATOSAÑO!$L329=0,0,((DATOSAÑO!$J329/DATOSAÑO!$L329)*1000)*DATOSAÑO!$L329/24)</f>
        <v>0</v>
      </c>
      <c r="P154" s="81">
        <f t="shared" ca="1" si="35"/>
        <v>0</v>
      </c>
      <c r="Q154" s="45">
        <f t="shared" ca="1" si="36"/>
        <v>0</v>
      </c>
      <c r="R154" s="56"/>
      <c r="S154" s="56"/>
      <c r="T154" s="56"/>
      <c r="U154" s="56"/>
      <c r="V154" s="56"/>
      <c r="W154" s="56"/>
    </row>
    <row r="155" spans="1:23">
      <c r="A155">
        <v>16</v>
      </c>
      <c r="B155" s="70">
        <f ca="1">IF(DATOSAÑO!E146=0,0,((DATOSAÑO!C146/DATOSAÑO!E146)*1000)*DATOSAÑO!E146/24)</f>
        <v>5750</v>
      </c>
      <c r="C155" s="71">
        <f ca="1">IF(DATOSAÑO!L146=0,0,((DATOSAÑO!J146/DATOSAÑO!L146)*1000)*DATOSAÑO!L146/24)</f>
        <v>12416.666666666666</v>
      </c>
      <c r="D155" s="81">
        <f t="shared" ca="1" si="39"/>
        <v>3.7790142748572797</v>
      </c>
      <c r="E155" s="45">
        <f t="shared" ca="1" si="32"/>
        <v>5.147996196836349</v>
      </c>
      <c r="F155" s="56"/>
      <c r="G155" s="56"/>
      <c r="H155" s="56"/>
      <c r="I155" s="56"/>
      <c r="J155" s="56"/>
      <c r="K155" s="56"/>
      <c r="M155">
        <v>16</v>
      </c>
      <c r="N155" s="70">
        <f ca="1">IF(DATOSAÑO!$E330=0,0,((DATOSAÑO!$C330/DATOSAÑO!$E330)*1000)*DATOSAÑO!$E330/24)</f>
        <v>0</v>
      </c>
      <c r="O155" s="71">
        <f ca="1">IF(DATOSAÑO!$L330=0,0,((DATOSAÑO!$J330/DATOSAÑO!$L330)*1000)*DATOSAÑO!$L330/24)</f>
        <v>0</v>
      </c>
      <c r="P155" s="81">
        <f t="shared" ca="1" si="35"/>
        <v>0</v>
      </c>
      <c r="Q155" s="45">
        <f t="shared" ca="1" si="36"/>
        <v>0</v>
      </c>
      <c r="R155" s="56"/>
      <c r="S155" s="56"/>
      <c r="T155" s="56"/>
      <c r="U155" s="56"/>
      <c r="V155" s="56"/>
      <c r="W155" s="56"/>
    </row>
    <row r="156" spans="1:23">
      <c r="A156">
        <v>17</v>
      </c>
      <c r="B156" s="70">
        <f ca="1">IF(DATOSAÑO!E147=0,0,((DATOSAÑO!C147/DATOSAÑO!E147)*1000)*DATOSAÑO!E147/24)</f>
        <v>5624.5833333329456</v>
      </c>
      <c r="C156" s="71">
        <f ca="1">IF(DATOSAÑO!L147=0,0,((DATOSAÑO!J147/DATOSAÑO!L147)*1000)*DATOSAÑO!L147/24)</f>
        <v>12685.416666666546</v>
      </c>
      <c r="D156" s="81">
        <f t="shared" ca="1" si="39"/>
        <v>3.7532603024499691</v>
      </c>
      <c r="E156" s="45">
        <f t="shared" ca="1" si="32"/>
        <v>5.2031832805661047</v>
      </c>
      <c r="F156" s="56"/>
      <c r="G156" s="56"/>
      <c r="H156" s="57"/>
      <c r="I156" s="56"/>
      <c r="J156" s="56"/>
      <c r="K156" s="56"/>
      <c r="M156">
        <v>17</v>
      </c>
      <c r="N156" s="70">
        <f ca="1">IF(DATOSAÑO!$E331=0,0,((DATOSAÑO!$C331/DATOSAÑO!$E331)*1000)*DATOSAÑO!$E331/24)</f>
        <v>0</v>
      </c>
      <c r="O156" s="71">
        <f ca="1">IF(DATOSAÑO!$L331=0,0,((DATOSAÑO!$J331/DATOSAÑO!$L331)*1000)*DATOSAÑO!$L331/24)</f>
        <v>0</v>
      </c>
      <c r="P156" s="81">
        <f t="shared" ca="1" si="35"/>
        <v>0</v>
      </c>
      <c r="Q156" s="45">
        <f t="shared" ca="1" si="36"/>
        <v>0</v>
      </c>
      <c r="R156" s="56"/>
      <c r="S156" s="56"/>
      <c r="T156" s="57"/>
      <c r="U156" s="56"/>
      <c r="V156" s="56"/>
      <c r="W156" s="56"/>
    </row>
    <row r="157" spans="1:23">
      <c r="A157">
        <v>18</v>
      </c>
      <c r="B157" s="70">
        <f ca="1">IF(DATOSAÑO!E148=0,0,((DATOSAÑO!C148/DATOSAÑO!E148)*1000)*DATOSAÑO!E148/24)</f>
        <v>7365.6250000009704</v>
      </c>
      <c r="C157" s="71">
        <f ca="1">IF(DATOSAÑO!L148=0,0,((DATOSAÑO!J148/DATOSAÑO!L148)*1000)*DATOSAÑO!L148/24)</f>
        <v>11182.416666666844</v>
      </c>
      <c r="D157" s="81">
        <f t="shared" ca="1" si="39"/>
        <v>4.1107784875120945</v>
      </c>
      <c r="E157" s="45">
        <f t="shared" ca="1" si="32"/>
        <v>4.894546306255986</v>
      </c>
      <c r="F157" s="56"/>
      <c r="G157" s="56"/>
      <c r="H157" s="56"/>
      <c r="I157" s="56"/>
      <c r="J157" s="56"/>
      <c r="K157" s="56"/>
      <c r="M157">
        <v>18</v>
      </c>
      <c r="N157" s="70">
        <f ca="1">IF(DATOSAÑO!$E332=0,0,((DATOSAÑO!$C332/DATOSAÑO!$E332)*1000)*DATOSAÑO!$E332/24)</f>
        <v>0</v>
      </c>
      <c r="O157" s="71">
        <f ca="1">IF(DATOSAÑO!$L332=0,0,((DATOSAÑO!$J332/DATOSAÑO!$L332)*1000)*DATOSAÑO!$L332/24)</f>
        <v>0</v>
      </c>
      <c r="P157" s="81">
        <f t="shared" ca="1" si="35"/>
        <v>0</v>
      </c>
      <c r="Q157" s="45">
        <f t="shared" ca="1" si="36"/>
        <v>0</v>
      </c>
      <c r="R157" s="56"/>
      <c r="S157" s="56"/>
      <c r="T157" s="56"/>
      <c r="U157" s="56"/>
      <c r="V157" s="56"/>
      <c r="W157" s="56"/>
    </row>
    <row r="158" spans="1:23">
      <c r="A158">
        <v>19</v>
      </c>
      <c r="B158" s="70">
        <f ca="1">IF(DATOSAÑO!E149=0,0,((DATOSAÑO!C149/DATOSAÑO!E149)*1000)*DATOSAÑO!E149/24)</f>
        <v>12148.541666664338</v>
      </c>
      <c r="C158" s="71">
        <f ca="1">IF(DATOSAÑO!L149=0,0,((DATOSAÑO!J149/DATOSAÑO!L149)*1000)*DATOSAÑO!L149/24)</f>
        <v>6145.9583333332075</v>
      </c>
      <c r="D158" s="81">
        <f t="shared" ca="1" si="39"/>
        <v>5.0929374551612749</v>
      </c>
      <c r="E158" s="45">
        <f t="shared" ca="1" si="32"/>
        <v>3.860323244885798</v>
      </c>
      <c r="F158" s="56"/>
      <c r="G158" s="56"/>
      <c r="H158" s="56"/>
      <c r="I158" s="56"/>
      <c r="J158" s="56"/>
      <c r="K158" s="58"/>
      <c r="M158">
        <v>19</v>
      </c>
      <c r="N158" s="70">
        <f ca="1">IF(DATOSAÑO!$E333=0,0,((DATOSAÑO!$C333/DATOSAÑO!$E333)*1000)*DATOSAÑO!$E333/24)</f>
        <v>0</v>
      </c>
      <c r="O158" s="71">
        <f ca="1">IF(DATOSAÑO!$L333=0,0,((DATOSAÑO!$J333/DATOSAÑO!$L333)*1000)*DATOSAÑO!$L333/24)</f>
        <v>0</v>
      </c>
      <c r="P158" s="81">
        <f t="shared" ca="1" si="35"/>
        <v>0</v>
      </c>
      <c r="Q158" s="45">
        <f t="shared" ca="1" si="36"/>
        <v>0</v>
      </c>
      <c r="R158" s="56"/>
      <c r="S158" s="56"/>
      <c r="T158" s="56"/>
      <c r="U158" s="56"/>
      <c r="V158" s="56"/>
      <c r="W158" s="58"/>
    </row>
    <row r="159" spans="1:23">
      <c r="A159">
        <v>20</v>
      </c>
      <c r="B159" s="70">
        <f ca="1">IF(DATOSAÑO!E150=0,0,((DATOSAÑO!C150/DATOSAÑO!E150)*1000)*DATOSAÑO!E150/24)</f>
        <v>12819.58333333508</v>
      </c>
      <c r="C159" s="71">
        <f ca="1">IF(DATOSAÑO!L150=0,0,((DATOSAÑO!J150/DATOSAÑO!L150)*1000)*DATOSAÑO!L150/24)</f>
        <v>6151.7499999999927</v>
      </c>
      <c r="D159" s="81">
        <f t="shared" ca="1" si="39"/>
        <v>5.2307340417463175</v>
      </c>
      <c r="E159" s="45">
        <f t="shared" ca="1" si="32"/>
        <v>3.8615125479305421</v>
      </c>
      <c r="F159" s="56"/>
      <c r="G159" s="56"/>
      <c r="H159" s="56"/>
      <c r="I159" s="56"/>
      <c r="J159" s="56"/>
      <c r="K159" s="56"/>
      <c r="M159">
        <v>20</v>
      </c>
      <c r="N159" s="70">
        <f ca="1">IF(DATOSAÑO!$E334=0,0,((DATOSAÑO!$C334/DATOSAÑO!$E334)*1000)*DATOSAÑO!$E334/24)</f>
        <v>0</v>
      </c>
      <c r="O159" s="71">
        <f ca="1">IF(DATOSAÑO!$L334=0,0,((DATOSAÑO!$J334/DATOSAÑO!$L334)*1000)*DATOSAÑO!$L334/24)</f>
        <v>0</v>
      </c>
      <c r="P159" s="81">
        <f t="shared" ca="1" si="35"/>
        <v>0</v>
      </c>
      <c r="Q159" s="45">
        <f t="shared" ca="1" si="36"/>
        <v>0</v>
      </c>
      <c r="R159" s="56"/>
      <c r="S159" s="56"/>
      <c r="T159" s="56"/>
      <c r="U159" s="56"/>
      <c r="V159" s="56"/>
      <c r="W159" s="56"/>
    </row>
    <row r="160" spans="1:23">
      <c r="A160">
        <v>21</v>
      </c>
      <c r="B160" s="70">
        <f ca="1">IF(DATOSAÑO!E151=0,0,((DATOSAÑO!C151/DATOSAÑO!E151)*1000)*DATOSAÑO!E151/24)</f>
        <v>12635.416666666666</v>
      </c>
      <c r="C160" s="71">
        <f ca="1">IF(DATOSAÑO!L151=0,0,((DATOSAÑO!J151/DATOSAÑO!L151)*1000)*DATOSAÑO!L151/24)</f>
        <v>6150.9583333333167</v>
      </c>
      <c r="D160" s="81">
        <f t="shared" ca="1" si="39"/>
        <v>5.1929159161512874</v>
      </c>
      <c r="E160" s="45">
        <f t="shared" ca="1" si="32"/>
        <v>3.8613499813273053</v>
      </c>
      <c r="F160" s="56"/>
      <c r="G160" s="56"/>
      <c r="H160" s="56"/>
      <c r="I160" s="56"/>
      <c r="J160" s="56"/>
      <c r="K160" s="56"/>
      <c r="M160">
        <v>21</v>
      </c>
      <c r="N160" s="70">
        <f ca="1">IF(DATOSAÑO!$E335=0,0,((DATOSAÑO!$C335/DATOSAÑO!$E335)*1000)*DATOSAÑO!$E335/24)</f>
        <v>0</v>
      </c>
      <c r="O160" s="71">
        <f ca="1">IF(DATOSAÑO!$L335=0,0,((DATOSAÑO!$J335/DATOSAÑO!$L335)*1000)*DATOSAÑO!$L335/24)</f>
        <v>0</v>
      </c>
      <c r="P160" s="81">
        <f t="shared" ca="1" si="35"/>
        <v>0</v>
      </c>
      <c r="Q160" s="45">
        <f t="shared" ca="1" si="36"/>
        <v>0</v>
      </c>
      <c r="R160" s="56"/>
      <c r="S160" s="56"/>
      <c r="T160" s="56"/>
      <c r="U160" s="56"/>
      <c r="V160" s="56"/>
      <c r="W160" s="56"/>
    </row>
    <row r="161" spans="1:23">
      <c r="A161">
        <v>22</v>
      </c>
      <c r="B161" s="70">
        <f ca="1">IF(DATOSAÑO!E152=0,0,((DATOSAÑO!C152/DATOSAÑO!E152)*1000)*DATOSAÑO!E152/24)</f>
        <v>12783.750000002328</v>
      </c>
      <c r="C161" s="71">
        <f ca="1">IF(DATOSAÑO!L152=0,0,((DATOSAÑO!J152/DATOSAÑO!L152)*1000)*DATOSAÑO!L152/24)</f>
        <v>6258.083333333464</v>
      </c>
      <c r="D161" s="81">
        <f t="shared" ca="1" si="39"/>
        <v>5.2233757639157989</v>
      </c>
      <c r="E161" s="45">
        <f t="shared" ca="1" si="32"/>
        <v>3.8833478095861365</v>
      </c>
      <c r="F161" s="56"/>
      <c r="G161" s="56"/>
      <c r="H161" s="56"/>
      <c r="I161" s="56"/>
      <c r="J161" s="56"/>
      <c r="K161" s="56"/>
      <c r="M161">
        <v>22</v>
      </c>
      <c r="N161" s="70">
        <f ca="1">IF(DATOSAÑO!$E336=0,0,((DATOSAÑO!$C336/DATOSAÑO!$E336)*1000)*DATOSAÑO!$E336/24)</f>
        <v>0</v>
      </c>
      <c r="O161" s="71">
        <f ca="1">IF(DATOSAÑO!$L336=0,0,((DATOSAÑO!$J336/DATOSAÑO!$L336)*1000)*DATOSAÑO!$L336/24)</f>
        <v>0</v>
      </c>
      <c r="P161" s="81">
        <f t="shared" ca="1" si="35"/>
        <v>0</v>
      </c>
      <c r="Q161" s="45">
        <f t="shared" ca="1" si="36"/>
        <v>0</v>
      </c>
      <c r="R161" s="56"/>
      <c r="S161" s="56"/>
      <c r="T161" s="56"/>
      <c r="U161" s="56"/>
      <c r="V161" s="56"/>
      <c r="W161" s="56"/>
    </row>
    <row r="162" spans="1:23">
      <c r="A162">
        <v>23</v>
      </c>
      <c r="B162" s="70">
        <f ca="1">IF(DATOSAÑO!E153=0,0,((DATOSAÑO!C153/DATOSAÑO!E153)*1000)*DATOSAÑO!E153/24)</f>
        <v>10289.166666664338</v>
      </c>
      <c r="C162" s="71">
        <f ca="1">IF(DATOSAÑO!L153=0,0,((DATOSAÑO!J153/DATOSAÑO!L153)*1000)*DATOSAÑO!L153/24)</f>
        <v>5300.4166666666306</v>
      </c>
      <c r="D162" s="81">
        <f t="shared" ca="1" si="39"/>
        <v>4.7111198409843</v>
      </c>
      <c r="E162" s="45">
        <f t="shared" ca="1" si="32"/>
        <v>3.6866935564938088</v>
      </c>
      <c r="F162" s="56"/>
      <c r="G162" s="56"/>
      <c r="H162" s="56"/>
      <c r="I162" s="56"/>
      <c r="J162" s="56"/>
      <c r="K162" s="56"/>
      <c r="M162">
        <v>23</v>
      </c>
      <c r="N162" s="70">
        <f ca="1">IF(DATOSAÑO!$E337=0,0,((DATOSAÑO!$C337/DATOSAÑO!$E337)*1000)*DATOSAÑO!$E337/24)</f>
        <v>0</v>
      </c>
      <c r="O162" s="71">
        <f ca="1">IF(DATOSAÑO!$L337=0,0,((DATOSAÑO!$J337/DATOSAÑO!$L337)*1000)*DATOSAÑO!$L337/24)</f>
        <v>0</v>
      </c>
      <c r="P162" s="81">
        <f t="shared" ca="1" si="35"/>
        <v>0</v>
      </c>
      <c r="Q162" s="45">
        <f t="shared" ca="1" si="36"/>
        <v>0</v>
      </c>
      <c r="R162" s="56"/>
      <c r="S162" s="56"/>
      <c r="T162" s="56"/>
      <c r="U162" s="56"/>
      <c r="V162" s="56"/>
      <c r="W162" s="56"/>
    </row>
    <row r="163" spans="1:23">
      <c r="A163">
        <v>24</v>
      </c>
      <c r="B163" s="70">
        <f ca="1">IF(DATOSAÑO!E154=0,0,((DATOSAÑO!C154/DATOSAÑO!E154)*1000)*DATOSAÑO!E154/24)</f>
        <v>6916.666666666667</v>
      </c>
      <c r="C163" s="71">
        <f ca="1">IF(DATOSAÑO!L154=0,0,((DATOSAÑO!J154/DATOSAÑO!L154)*1000)*DATOSAÑO!L154/24)</f>
        <v>3500</v>
      </c>
      <c r="D163" s="81">
        <f t="shared" ca="1" si="39"/>
        <v>4.018586111203617</v>
      </c>
      <c r="E163" s="45">
        <f t="shared" ca="1" si="32"/>
        <v>3.3169828761893441</v>
      </c>
      <c r="F163" s="56"/>
      <c r="G163" s="56"/>
      <c r="H163" s="56"/>
      <c r="I163" s="56"/>
      <c r="J163" s="56"/>
      <c r="K163" s="56"/>
      <c r="M163">
        <v>24</v>
      </c>
      <c r="N163" s="70">
        <f ca="1">IF(DATOSAÑO!$E338=0,0,((DATOSAÑO!$C338/DATOSAÑO!$E338)*1000)*DATOSAÑO!$E338/24)</f>
        <v>0</v>
      </c>
      <c r="O163" s="71">
        <f ca="1">IF(DATOSAÑO!$L338=0,0,((DATOSAÑO!$J338/DATOSAÑO!$L338)*1000)*DATOSAÑO!$L338/24)</f>
        <v>0</v>
      </c>
      <c r="P163" s="81">
        <f t="shared" ca="1" si="35"/>
        <v>0</v>
      </c>
      <c r="Q163" s="45">
        <f t="shared" ca="1" si="36"/>
        <v>0</v>
      </c>
      <c r="R163" s="56"/>
      <c r="S163" s="56"/>
      <c r="T163" s="56"/>
      <c r="U163" s="56"/>
      <c r="V163" s="56"/>
      <c r="W163" s="56"/>
    </row>
    <row r="164" spans="1:23">
      <c r="A164">
        <v>25</v>
      </c>
      <c r="B164" s="70">
        <f ca="1">IF(DATOSAÑO!E155=0,0,((DATOSAÑO!C155/DATOSAÑO!E155)*1000)*DATOSAÑO!E155/24)</f>
        <v>7833.333333333333</v>
      </c>
      <c r="C164" s="71">
        <f ca="1">IF(DATOSAÑO!L155=0,0,((DATOSAÑO!J155/DATOSAÑO!L155)*1000)*DATOSAÑO!L155/24)</f>
        <v>3500</v>
      </c>
      <c r="D164" s="81">
        <f t="shared" ca="1" si="39"/>
        <v>4.2068211254757388</v>
      </c>
      <c r="E164" s="45">
        <f t="shared" ca="1" si="32"/>
        <v>3.3169828761893441</v>
      </c>
      <c r="F164" s="56"/>
      <c r="G164" s="56"/>
      <c r="H164" s="56"/>
      <c r="I164" s="56"/>
      <c r="J164" s="56"/>
      <c r="K164" s="56"/>
      <c r="M164">
        <v>25</v>
      </c>
      <c r="N164" s="70">
        <f ca="1">IF(DATOSAÑO!$E339=0,0,((DATOSAÑO!$C339/DATOSAÑO!$E339)*1000)*DATOSAÑO!$E339/24)</f>
        <v>0</v>
      </c>
      <c r="O164" s="71">
        <f ca="1">IF(DATOSAÑO!$L339=0,0,((DATOSAÑO!$J339/DATOSAÑO!$L339)*1000)*DATOSAÑO!$L339/24)</f>
        <v>0</v>
      </c>
      <c r="P164" s="81">
        <f t="shared" ca="1" si="35"/>
        <v>0</v>
      </c>
      <c r="Q164" s="45">
        <f t="shared" ca="1" si="36"/>
        <v>0</v>
      </c>
      <c r="R164" s="56"/>
      <c r="S164" s="56"/>
      <c r="T164" s="56"/>
      <c r="U164" s="56"/>
      <c r="V164" s="56"/>
      <c r="W164" s="56"/>
    </row>
    <row r="165" spans="1:23">
      <c r="A165">
        <v>26</v>
      </c>
      <c r="B165" s="70">
        <f ca="1">IF(DATOSAÑO!E156=0,0,((DATOSAÑO!C156/DATOSAÑO!E156)*1000)*DATOSAÑO!E156/24)</f>
        <v>8083.333333333333</v>
      </c>
      <c r="C165" s="71">
        <f ca="1">IF(DATOSAÑO!L156=0,0,((DATOSAÑO!J156/DATOSAÑO!L156)*1000)*DATOSAÑO!L156/24)</f>
        <v>3500</v>
      </c>
      <c r="D165" s="81">
        <f t="shared" ca="1" si="39"/>
        <v>4.2581579475499538</v>
      </c>
      <c r="E165" s="45">
        <f t="shared" ca="1" si="32"/>
        <v>3.3169828761893441</v>
      </c>
      <c r="F165" s="56"/>
      <c r="G165" s="56"/>
      <c r="H165" s="56"/>
      <c r="I165" s="56"/>
      <c r="J165" s="56"/>
      <c r="K165" s="56"/>
      <c r="M165">
        <v>26</v>
      </c>
      <c r="N165" s="70">
        <f ca="1">IF(DATOSAÑO!$E340=0,0,((DATOSAÑO!$C340/DATOSAÑO!$E340)*1000)*DATOSAÑO!$E340/24)</f>
        <v>0</v>
      </c>
      <c r="O165" s="71">
        <f ca="1">IF(DATOSAÑO!$L340=0,0,((DATOSAÑO!$J340/DATOSAÑO!$L340)*1000)*DATOSAÑO!$L340/24)</f>
        <v>0</v>
      </c>
      <c r="P165" s="81">
        <f t="shared" ca="1" si="35"/>
        <v>0</v>
      </c>
      <c r="Q165" s="45">
        <f t="shared" ca="1" si="36"/>
        <v>0</v>
      </c>
      <c r="R165" s="56"/>
      <c r="S165" s="56"/>
      <c r="T165" s="56"/>
      <c r="U165" s="56"/>
      <c r="V165" s="56"/>
      <c r="W165" s="56"/>
    </row>
    <row r="166" spans="1:23">
      <c r="A166">
        <v>27</v>
      </c>
      <c r="B166" s="70">
        <f ca="1">IF(DATOSAÑO!E157=0,0,((DATOSAÑO!C157/DATOSAÑO!E157)*1000)*DATOSAÑO!E157/24)</f>
        <v>9250</v>
      </c>
      <c r="C166" s="71">
        <f ca="1">IF(DATOSAÑO!L157=0,0,((DATOSAÑO!J157/DATOSAÑO!L157)*1000)*DATOSAÑO!L157/24)</f>
        <v>4208.333333333333</v>
      </c>
      <c r="D166" s="81">
        <f t="shared" ca="1" si="39"/>
        <v>4.4977297838962915</v>
      </c>
      <c r="E166" s="45">
        <f t="shared" ca="1" si="32"/>
        <v>3.46243720539962</v>
      </c>
      <c r="F166" s="56"/>
      <c r="G166" s="56"/>
      <c r="H166" s="56"/>
      <c r="I166" s="56"/>
      <c r="J166" s="56"/>
      <c r="K166" s="56"/>
      <c r="M166">
        <v>27</v>
      </c>
      <c r="N166" s="70">
        <f ca="1">IF(DATOSAÑO!$E341=0,0,((DATOSAÑO!$C341/DATOSAÑO!$E341)*1000)*DATOSAÑO!$E341/24)</f>
        <v>0</v>
      </c>
      <c r="O166" s="71">
        <f ca="1">IF(DATOSAÑO!$L341=0,0,((DATOSAÑO!$J341/DATOSAÑO!$L341)*1000)*DATOSAÑO!$L341/24)</f>
        <v>0</v>
      </c>
      <c r="P166" s="81">
        <f t="shared" ca="1" si="35"/>
        <v>0</v>
      </c>
      <c r="Q166" s="45">
        <f t="shared" ca="1" si="36"/>
        <v>0</v>
      </c>
      <c r="R166" s="56"/>
      <c r="S166" s="56"/>
      <c r="T166" s="56"/>
      <c r="U166" s="56"/>
      <c r="V166" s="56"/>
      <c r="W166" s="56"/>
    </row>
    <row r="167" spans="1:23">
      <c r="A167">
        <v>28</v>
      </c>
      <c r="B167" s="70">
        <f ca="1">IF(DATOSAÑO!E158=0,0,((DATOSAÑO!C158/DATOSAÑO!E158)*1000)*DATOSAÑO!E158/24)</f>
        <v>12875</v>
      </c>
      <c r="C167" s="71">
        <f ca="1">IF(DATOSAÑO!L158=0,0,((DATOSAÑO!J158/DATOSAÑO!L158)*1000)*DATOSAÑO!L158/24)</f>
        <v>6024.9999999999391</v>
      </c>
      <c r="D167" s="81">
        <f t="shared" ca="1" si="39"/>
        <v>5.2421137039724091</v>
      </c>
      <c r="E167" s="45">
        <f t="shared" ca="1" si="32"/>
        <v>3.8354847791389037</v>
      </c>
      <c r="F167" s="56"/>
      <c r="G167" s="56"/>
      <c r="H167" s="56"/>
      <c r="I167" s="56"/>
      <c r="J167" s="56"/>
      <c r="K167" s="56"/>
      <c r="M167">
        <v>28</v>
      </c>
      <c r="N167" s="70">
        <f ca="1">IF(DATOSAÑO!$E342=0,0,((DATOSAÑO!$C342/DATOSAÑO!$E342)*1000)*DATOSAÑO!$E342/24)</f>
        <v>0</v>
      </c>
      <c r="O167" s="71">
        <f ca="1">IF(DATOSAÑO!$L342=0,0,((DATOSAÑO!$J342/DATOSAÑO!$L342)*1000)*DATOSAÑO!$L342/24)</f>
        <v>0</v>
      </c>
      <c r="P167" s="81">
        <f t="shared" ca="1" si="35"/>
        <v>0</v>
      </c>
      <c r="Q167" s="45">
        <f t="shared" ca="1" si="36"/>
        <v>0</v>
      </c>
      <c r="R167" s="56"/>
      <c r="S167" s="56"/>
      <c r="T167" s="56"/>
      <c r="U167" s="56"/>
      <c r="V167" s="56"/>
      <c r="W167" s="56"/>
    </row>
    <row r="168" spans="1:23">
      <c r="A168">
        <v>29</v>
      </c>
      <c r="B168" s="70">
        <f ca="1">IF(DATOSAÑO!E159=0,0,((DATOSAÑO!C159/DATOSAÑO!E159)*1000)*DATOSAÑO!E159/24)</f>
        <v>12583.333333333334</v>
      </c>
      <c r="C168" s="71">
        <f ca="1">IF(DATOSAÑO!L159=0,0,((DATOSAÑO!J159/DATOSAÑO!L159)*1000)*DATOSAÑO!L159/24)</f>
        <v>6179.1666666667879</v>
      </c>
      <c r="D168" s="81">
        <f t="shared" ca="1" si="39"/>
        <v>5.1822207448858251</v>
      </c>
      <c r="E168" s="45">
        <f t="shared" ca="1" si="32"/>
        <v>3.867142486084707</v>
      </c>
      <c r="F168" s="56"/>
      <c r="G168" s="56"/>
      <c r="H168" s="56"/>
      <c r="I168" s="56"/>
      <c r="J168" s="56"/>
      <c r="K168" s="56"/>
      <c r="M168">
        <v>29</v>
      </c>
      <c r="N168" s="70">
        <f ca="1">IF(DATOSAÑO!$E343=0,0,((DATOSAÑO!$C343/DATOSAÑO!$E343)*1000)*DATOSAÑO!$E343/24)</f>
        <v>0</v>
      </c>
      <c r="O168" s="71">
        <f ca="1">IF(DATOSAÑO!$L343=0,0,((DATOSAÑO!$J343/DATOSAÑO!$L343)*1000)*DATOSAÑO!$L343/24)</f>
        <v>0</v>
      </c>
      <c r="P168" s="81">
        <f t="shared" ca="1" si="35"/>
        <v>0</v>
      </c>
      <c r="Q168" s="45">
        <f t="shared" ca="1" si="36"/>
        <v>0</v>
      </c>
      <c r="R168" s="56"/>
      <c r="S168" s="56"/>
      <c r="T168" s="56"/>
      <c r="U168" s="56"/>
      <c r="V168" s="56"/>
      <c r="W168" s="56"/>
    </row>
    <row r="169" spans="1:23">
      <c r="A169">
        <v>30</v>
      </c>
      <c r="B169" s="70">
        <f ca="1">IF(DATOSAÑO!E160=0,0,((DATOSAÑO!C160/DATOSAÑO!E160)*1000)*DATOSAÑO!E160/24)</f>
        <v>12804.166666668607</v>
      </c>
      <c r="C169" s="71">
        <f ca="1">IF(DATOSAÑO!L160=0,0,((DATOSAÑO!J160/DATOSAÑO!L160)*1000)*DATOSAÑO!L160/24)</f>
        <v>6291.666666666667</v>
      </c>
      <c r="D169" s="81">
        <f t="shared" ca="1" si="39"/>
        <v>5.2275682710517799</v>
      </c>
      <c r="E169" s="45">
        <f t="shared" ca="1" si="32"/>
        <v>3.8902440560180791</v>
      </c>
      <c r="F169" s="56"/>
      <c r="G169" s="56"/>
      <c r="H169" s="56"/>
      <c r="I169" s="56"/>
      <c r="J169" s="56"/>
      <c r="K169" s="56"/>
      <c r="M169">
        <v>30</v>
      </c>
      <c r="N169" s="70">
        <f ca="1">IF(DATOSAÑO!$E344=0,0,((DATOSAÑO!$C344/DATOSAÑO!$E344)*1000)*DATOSAÑO!$E344/24)</f>
        <v>0</v>
      </c>
      <c r="O169" s="71">
        <f ca="1">IF(DATOSAÑO!$L344=0,0,((DATOSAÑO!$J344/DATOSAÑO!$L344)*1000)*DATOSAÑO!$L344/24)</f>
        <v>0</v>
      </c>
      <c r="P169" s="81">
        <f t="shared" ca="1" si="35"/>
        <v>0</v>
      </c>
      <c r="Q169" s="45">
        <f t="shared" ca="1" si="36"/>
        <v>0</v>
      </c>
      <c r="R169" s="56"/>
      <c r="S169" s="56"/>
      <c r="T169" s="56"/>
      <c r="U169" s="56"/>
      <c r="V169" s="56"/>
      <c r="W169" s="56"/>
    </row>
    <row r="170" spans="1:23" ht="15" thickBot="1">
      <c r="A170">
        <v>31</v>
      </c>
      <c r="B170" s="72">
        <f ca="1">IF(DATOSAÑO!E161=0,0,((DATOSAÑO!C161/DATOSAÑO!E161)*1000)*DATOSAÑO!E161/24)</f>
        <v>12570.833333331393</v>
      </c>
      <c r="C170" s="73">
        <f ca="1">IF(DATOSAÑO!L161=0,0,((DATOSAÑO!J161/DATOSAÑO!L161)*1000)*DATOSAÑO!L161/24)</f>
        <v>6212.4999999999391</v>
      </c>
      <c r="D170" s="79">
        <f t="shared" ca="1" si="39"/>
        <v>5.1796539037817162</v>
      </c>
      <c r="E170" s="80">
        <f t="shared" ca="1" si="32"/>
        <v>3.8739873956945652</v>
      </c>
      <c r="F170" s="56"/>
      <c r="G170" s="56"/>
      <c r="H170" s="56"/>
      <c r="I170" s="56"/>
      <c r="J170" s="56"/>
      <c r="K170" s="56"/>
      <c r="N170" s="72"/>
      <c r="O170" s="73"/>
      <c r="P170" s="79"/>
      <c r="Q170" s="80"/>
      <c r="R170" s="56"/>
      <c r="S170" s="56"/>
      <c r="T170" s="56"/>
      <c r="U170" s="56"/>
      <c r="V170" s="56"/>
      <c r="W170" s="56"/>
    </row>
    <row r="171" spans="1:23" ht="15" thickTop="1"/>
    <row r="172" spans="1:23" ht="15" thickBot="1">
      <c r="B172" s="2157">
        <v>45078</v>
      </c>
      <c r="C172" s="2158"/>
      <c r="D172" s="2158"/>
      <c r="E172" s="2158"/>
      <c r="F172" s="2159" t="s">
        <v>60</v>
      </c>
      <c r="G172" s="2159"/>
      <c r="H172" s="2159"/>
      <c r="I172" s="2159"/>
      <c r="J172" s="2159"/>
      <c r="K172" s="2159"/>
      <c r="N172" s="2157">
        <v>45261</v>
      </c>
      <c r="O172" s="2158"/>
      <c r="P172" s="2158"/>
      <c r="Q172" s="2158"/>
      <c r="R172" s="2159" t="s">
        <v>60</v>
      </c>
      <c r="S172" s="2159"/>
      <c r="T172" s="2159"/>
      <c r="U172" s="2159"/>
      <c r="V172" s="2159"/>
      <c r="W172" s="2159"/>
    </row>
    <row r="173" spans="1:23" ht="44.4" thickTop="1" thickBot="1">
      <c r="A173" s="41">
        <f ca="1">ABS(TODAY()-1)</f>
        <v>45125</v>
      </c>
      <c r="B173" s="66">
        <f ca="1">DAY(A173)</f>
        <v>18</v>
      </c>
      <c r="C173" s="67"/>
      <c r="D173" s="75" t="s">
        <v>61</v>
      </c>
      <c r="E173" s="76" t="s">
        <v>62</v>
      </c>
      <c r="F173" s="42"/>
      <c r="G173" s="43"/>
      <c r="H173" s="43" t="s">
        <v>63</v>
      </c>
      <c r="I173" s="43" t="s">
        <v>64</v>
      </c>
      <c r="J173" s="44" t="s">
        <v>56</v>
      </c>
      <c r="K173" s="43" t="s">
        <v>65</v>
      </c>
      <c r="M173" s="41">
        <f ca="1">ABS(TODAY()-1)</f>
        <v>45125</v>
      </c>
      <c r="N173" s="66">
        <f ca="1">DAY(M173)</f>
        <v>18</v>
      </c>
      <c r="O173" s="67"/>
      <c r="P173" s="75" t="s">
        <v>61</v>
      </c>
      <c r="Q173" s="76" t="s">
        <v>62</v>
      </c>
      <c r="R173" s="42"/>
      <c r="S173" s="43"/>
      <c r="T173" s="43" t="s">
        <v>63</v>
      </c>
      <c r="U173" s="43" t="s">
        <v>64</v>
      </c>
      <c r="V173" s="44" t="s">
        <v>56</v>
      </c>
      <c r="W173" s="43" t="s">
        <v>65</v>
      </c>
    </row>
    <row r="174" spans="1:23" ht="15" thickTop="1">
      <c r="A174">
        <v>1</v>
      </c>
      <c r="B174" s="68">
        <f ca="1">IF(DATOSAÑO!E162=0,0,((DATOSAÑO!C162/DATOSAÑO!E162)*1000)*DATOSAÑO!E162/24)</f>
        <v>12333.333333333334</v>
      </c>
      <c r="C174" s="69">
        <f ca="1">IF(DATOSAÑO!L162=0,0,((DATOSAÑO!J162/DATOSAÑO!L162)*1000)*DATOSAÑO!L162/24)</f>
        <v>6166.666666666667</v>
      </c>
      <c r="D174" s="77">
        <f ca="1">IF(B174&gt;0,(B174-$F$178)/($F$179-$F$178)*($G$179-$G$178)+$G$178,0)</f>
        <v>4.7912563330741911</v>
      </c>
      <c r="E174" s="78">
        <f ca="1">IF(C174&gt;0,(C174-$F$184)/($F$185-$F$184)*($G$185-$G$184)+$G$184,0)</f>
        <v>3.6087685498667268</v>
      </c>
      <c r="F174" s="2155" t="s">
        <v>66</v>
      </c>
      <c r="G174" s="2156"/>
      <c r="H174" s="46">
        <f ca="1">IF($G$175&gt;=J174,1,0)</f>
        <v>1</v>
      </c>
      <c r="I174" s="46">
        <f ca="1">IF($G$181&gt;=J174,1,0)</f>
        <v>1</v>
      </c>
      <c r="J174" s="47">
        <v>0</v>
      </c>
      <c r="K174" s="48">
        <f>PORTADA!M21</f>
        <v>2.4262807666592625</v>
      </c>
      <c r="M174">
        <v>1</v>
      </c>
      <c r="N174" s="68">
        <f ca="1">IF(DATOSAÑO!$E345=0,0,((DATOSAÑO!$C345/DATOSAÑO!$E345)*1000)*DATOSAÑO!$E345/24)</f>
        <v>0</v>
      </c>
      <c r="O174" s="69">
        <f ca="1">IF(DATOSAÑO!$L345=0,0,((DATOSAÑO!$J345/DATOSAÑO!$L345)*1000)*DATOSAÑO!$L345/24)</f>
        <v>0</v>
      </c>
      <c r="P174" s="77">
        <f ca="1">IF(N174&gt;0,(N174-$R$178)/($R$179-$R$178)*($S$179-$S$178)+$S$178,0)</f>
        <v>0</v>
      </c>
      <c r="Q174" s="78">
        <f ca="1">IF(O174&gt;0,(O174-$R$184)/($R$185-$R$184)*($S$185-$S$184)+$S$184,0)</f>
        <v>0</v>
      </c>
      <c r="R174" s="2155" t="s">
        <v>66</v>
      </c>
      <c r="S174" s="2156"/>
      <c r="T174" s="46">
        <f ca="1">IF($S$175&gt;=V174,1,0)</f>
        <v>1</v>
      </c>
      <c r="U174" s="46">
        <f ca="1">IF($S$181&gt;=V174,1,0)</f>
        <v>1</v>
      </c>
      <c r="V174" s="47">
        <v>0</v>
      </c>
      <c r="W174" s="48" t="e">
        <f>PORTADA!S21</f>
        <v>#DIV/0!</v>
      </c>
    </row>
    <row r="175" spans="1:23">
      <c r="A175">
        <v>2</v>
      </c>
      <c r="B175" s="70">
        <f ca="1">IF(DATOSAÑO!E163=0,0,((DATOSAÑO!C163/DATOSAÑO!E163)*1000)*DATOSAÑO!E163/24)</f>
        <v>12166.666666666666</v>
      </c>
      <c r="C175" s="71">
        <f ca="1">IF(DATOSAÑO!L163=0,0,((DATOSAÑO!J163/DATOSAÑO!L163)*1000)*DATOSAÑO!L163/24)</f>
        <v>6250</v>
      </c>
      <c r="D175" s="81">
        <f t="shared" ref="D175:D203" ca="1" si="40">IF(B175&gt;0,(B175-$F$178)/($F$179-$F$178)*($G$179-$G$178)+$G$178,0)</f>
        <v>4.7592972037983134</v>
      </c>
      <c r="E175" s="45">
        <f t="shared" ref="E175:E203" ca="1" si="41">IF(C175&gt;0,(C175-$F$184)/($F$185-$F$184)*($G$185-$G$184)+$G$184,0)</f>
        <v>3.6247481145046652</v>
      </c>
      <c r="F175" s="49" t="s">
        <v>67</v>
      </c>
      <c r="G175" s="50">
        <f ca="1">INDEX(B174:C204,B173,1)</f>
        <v>0</v>
      </c>
      <c r="H175" s="46">
        <f t="shared" ref="H175:H184" ca="1" si="42">IF($G$175&gt;=J175,1,0)</f>
        <v>0</v>
      </c>
      <c r="I175" s="46">
        <f t="shared" ref="I175:I184" ca="1" si="43">IF($G$181&gt;=J175,1,0)</f>
        <v>0</v>
      </c>
      <c r="J175" s="47">
        <v>2630</v>
      </c>
      <c r="K175" s="48">
        <f>PORTADA!M22</f>
        <v>2.930595826632608</v>
      </c>
      <c r="M175">
        <v>2</v>
      </c>
      <c r="N175" s="70">
        <f ca="1">IF(DATOSAÑO!$E346=0,0,((DATOSAÑO!$C346/DATOSAÑO!$E346)*1000)*DATOSAÑO!$E346/24)</f>
        <v>0</v>
      </c>
      <c r="O175" s="71">
        <f ca="1">IF(DATOSAÑO!$L346=0,0,((DATOSAÑO!$J346/DATOSAÑO!$L346)*1000)*DATOSAÑO!$L346/24)</f>
        <v>0</v>
      </c>
      <c r="P175" s="81">
        <f t="shared" ref="P175:P204" ca="1" si="44">IF(N175&gt;0,(N175-$R$178)/($R$179-$R$178)*($S$179-$S$178)+$S$178,0)</f>
        <v>0</v>
      </c>
      <c r="Q175" s="45">
        <f t="shared" ref="Q175:Q204" ca="1" si="45">IF(O175&gt;0,(O175-$R$184)/($R$185-$R$184)*($S$185-$S$184)+$S$184,0)</f>
        <v>0</v>
      </c>
      <c r="R175" s="49" t="s">
        <v>67</v>
      </c>
      <c r="S175" s="50">
        <f ca="1">INDEX(N174:O204,N173,1)</f>
        <v>0</v>
      </c>
      <c r="T175" s="46">
        <f t="shared" ref="T175:T184" ca="1" si="46">IF($S$175&gt;=V175,1,0)</f>
        <v>0</v>
      </c>
      <c r="U175" s="46">
        <f t="shared" ref="U175:U184" ca="1" si="47">IF($S$181&gt;=V175,1,0)</f>
        <v>0</v>
      </c>
      <c r="V175" s="47">
        <v>2630</v>
      </c>
      <c r="W175" s="48" t="e">
        <f>PORTADA!S22</f>
        <v>#DIV/0!</v>
      </c>
    </row>
    <row r="176" spans="1:23">
      <c r="A176">
        <v>3</v>
      </c>
      <c r="B176" s="70">
        <f ca="1">IF(DATOSAÑO!E164=0,0,((DATOSAÑO!C164/DATOSAÑO!E164)*1000)*DATOSAÑO!E164/24)</f>
        <v>12083.333333333334</v>
      </c>
      <c r="C176" s="71">
        <f ca="1">IF(DATOSAÑO!L164=0,0,((DATOSAÑO!J164/DATOSAÑO!L164)*1000)*DATOSAÑO!L164/24)</f>
        <v>6166.666666666667</v>
      </c>
      <c r="D176" s="81">
        <f t="shared" ca="1" si="40"/>
        <v>4.7433176391603737</v>
      </c>
      <c r="E176" s="45">
        <f t="shared" ca="1" si="41"/>
        <v>3.6087685498667268</v>
      </c>
      <c r="F176" s="49" t="s">
        <v>68</v>
      </c>
      <c r="G176" s="51">
        <f ca="1">(G175-F178)/(F179-F178)*(G179-G178)+G178</f>
        <v>2.4262807666592625</v>
      </c>
      <c r="H176" s="46">
        <f t="shared" ca="1" si="42"/>
        <v>0</v>
      </c>
      <c r="I176" s="46">
        <f t="shared" ca="1" si="43"/>
        <v>0</v>
      </c>
      <c r="J176" s="47">
        <v>5260</v>
      </c>
      <c r="K176" s="48">
        <f>PORTADA!M23</f>
        <v>3.5189633966015101</v>
      </c>
      <c r="M176">
        <v>3</v>
      </c>
      <c r="N176" s="70">
        <f ca="1">IF(DATOSAÑO!$E347=0,0,((DATOSAÑO!$C347/DATOSAÑO!$E347)*1000)*DATOSAÑO!$E347/24)</f>
        <v>0</v>
      </c>
      <c r="O176" s="71">
        <f ca="1">IF(DATOSAÑO!$L347=0,0,((DATOSAÑO!$J347/DATOSAÑO!$L347)*1000)*DATOSAÑO!$L347/24)</f>
        <v>0</v>
      </c>
      <c r="P176" s="81">
        <f t="shared" ca="1" si="44"/>
        <v>0</v>
      </c>
      <c r="Q176" s="45">
        <f t="shared" ca="1" si="45"/>
        <v>0</v>
      </c>
      <c r="R176" s="49" t="s">
        <v>68</v>
      </c>
      <c r="S176" s="51" t="e">
        <f ca="1">(S175-R178)/(R179-R178)*(S179-S178)+S178</f>
        <v>#DIV/0!</v>
      </c>
      <c r="T176" s="46">
        <f t="shared" ca="1" si="46"/>
        <v>0</v>
      </c>
      <c r="U176" s="46">
        <f t="shared" ca="1" si="47"/>
        <v>0</v>
      </c>
      <c r="V176" s="47">
        <v>5260</v>
      </c>
      <c r="W176" s="48" t="e">
        <f>PORTADA!S23</f>
        <v>#DIV/0!</v>
      </c>
    </row>
    <row r="177" spans="1:23">
      <c r="A177">
        <v>4</v>
      </c>
      <c r="B177" s="70">
        <f ca="1">IF(DATOSAÑO!E165=0,0,((DATOSAÑO!C165/DATOSAÑO!E165)*1000)*DATOSAÑO!E165/24)</f>
        <v>12416.666666666666</v>
      </c>
      <c r="C177" s="71">
        <f ca="1">IF(DATOSAÑO!L165=0,0,((DATOSAÑO!J165/DATOSAÑO!L165)*1000)*DATOSAÑO!L165/24)</f>
        <v>6250</v>
      </c>
      <c r="D177" s="81">
        <f t="shared" ca="1" si="40"/>
        <v>4.807235897712129</v>
      </c>
      <c r="E177" s="45">
        <f t="shared" ca="1" si="41"/>
        <v>3.6247481145046652</v>
      </c>
      <c r="F177" s="49"/>
      <c r="G177" s="46"/>
      <c r="H177" s="46">
        <f t="shared" ca="1" si="42"/>
        <v>0</v>
      </c>
      <c r="I177" s="46">
        <f t="shared" ca="1" si="43"/>
        <v>0</v>
      </c>
      <c r="J177" s="47">
        <v>7890</v>
      </c>
      <c r="K177" s="48">
        <f>PORTADA!M24</f>
        <v>4.1493572215681924</v>
      </c>
      <c r="M177">
        <v>4</v>
      </c>
      <c r="N177" s="70">
        <f ca="1">IF(DATOSAÑO!$E348=0,0,((DATOSAÑO!$C348/DATOSAÑO!$E348)*1000)*DATOSAÑO!$E348/24)</f>
        <v>0</v>
      </c>
      <c r="O177" s="71">
        <f ca="1">IF(DATOSAÑO!$L348=0,0,((DATOSAÑO!$J348/DATOSAÑO!$L348)*1000)*DATOSAÑO!$L348/24)</f>
        <v>0</v>
      </c>
      <c r="P177" s="81">
        <f t="shared" ca="1" si="44"/>
        <v>0</v>
      </c>
      <c r="Q177" s="45">
        <f t="shared" ca="1" si="45"/>
        <v>0</v>
      </c>
      <c r="R177" s="49"/>
      <c r="S177" s="46"/>
      <c r="T177" s="46">
        <f t="shared" ca="1" si="46"/>
        <v>0</v>
      </c>
      <c r="U177" s="46">
        <f t="shared" ca="1" si="47"/>
        <v>0</v>
      </c>
      <c r="V177" s="47">
        <v>7890</v>
      </c>
      <c r="W177" s="48" t="e">
        <f>PORTADA!S24</f>
        <v>#DIV/0!</v>
      </c>
    </row>
    <row r="178" spans="1:23">
      <c r="A178">
        <v>5</v>
      </c>
      <c r="B178" s="70">
        <f ca="1">IF(DATOSAÑO!E166=0,0,((DATOSAÑO!C166/DATOSAÑO!E166)*1000)*DATOSAÑO!E166/24)</f>
        <v>-24710166.666666668</v>
      </c>
      <c r="C178" s="71">
        <f ca="1">IF(DATOSAÑO!L166=0,0,((DATOSAÑO!J166/DATOSAÑO!L166)*1000)*DATOSAÑO!L166/24)</f>
        <v>-1722250</v>
      </c>
      <c r="D178" s="81">
        <f t="shared" ca="1" si="40"/>
        <v>0</v>
      </c>
      <c r="E178" s="45">
        <f t="shared" ca="1" si="41"/>
        <v>0</v>
      </c>
      <c r="F178" s="52">
        <f ca="1">INDEX(J174:J184,H185)</f>
        <v>0</v>
      </c>
      <c r="G178" s="51">
        <f ca="1">INDEX(K174:K184,H185)</f>
        <v>2.4262807666592625</v>
      </c>
      <c r="H178" s="46">
        <f t="shared" ca="1" si="42"/>
        <v>0</v>
      </c>
      <c r="I178" s="46">
        <f t="shared" ca="1" si="43"/>
        <v>0</v>
      </c>
      <c r="J178" s="47">
        <v>10520</v>
      </c>
      <c r="K178" s="48">
        <f>PORTADA!M25</f>
        <v>4.6956985365393162</v>
      </c>
      <c r="M178">
        <v>5</v>
      </c>
      <c r="N178" s="70">
        <f ca="1">IF(DATOSAÑO!$E349=0,0,((DATOSAÑO!$C349/DATOSAÑO!$E349)*1000)*DATOSAÑO!$E349/24)</f>
        <v>0</v>
      </c>
      <c r="O178" s="71">
        <f ca="1">IF(DATOSAÑO!$L349=0,0,((DATOSAÑO!$J349/DATOSAÑO!$L349)*1000)*DATOSAÑO!$L349/24)</f>
        <v>0</v>
      </c>
      <c r="P178" s="81">
        <f t="shared" ca="1" si="44"/>
        <v>0</v>
      </c>
      <c r="Q178" s="45">
        <f t="shared" ca="1" si="45"/>
        <v>0</v>
      </c>
      <c r="R178" s="52">
        <f ca="1">INDEX(V174:V184,T185)</f>
        <v>0</v>
      </c>
      <c r="S178" s="51" t="e">
        <f ca="1">INDEX(W174:W184,T185)</f>
        <v>#DIV/0!</v>
      </c>
      <c r="T178" s="46">
        <f t="shared" ca="1" si="46"/>
        <v>0</v>
      </c>
      <c r="U178" s="46">
        <f t="shared" ca="1" si="47"/>
        <v>0</v>
      </c>
      <c r="V178" s="47">
        <v>10520</v>
      </c>
      <c r="W178" s="48" t="e">
        <f>PORTADA!S25</f>
        <v>#DIV/0!</v>
      </c>
    </row>
    <row r="179" spans="1:23">
      <c r="A179">
        <v>6</v>
      </c>
      <c r="B179" s="70">
        <f ca="1">IF(DATOSAÑO!E167=0,0,((DATOSAÑO!C167/DATOSAÑO!E167)*1000)*DATOSAÑO!E167/24)</f>
        <v>0</v>
      </c>
      <c r="C179" s="71">
        <f ca="1">IF(DATOSAÑO!L167=0,0,((DATOSAÑO!J167/DATOSAÑO!L167)*1000)*DATOSAÑO!L167/24)</f>
        <v>0</v>
      </c>
      <c r="D179" s="81">
        <f t="shared" ca="1" si="40"/>
        <v>0</v>
      </c>
      <c r="E179" s="45">
        <f t="shared" ca="1" si="41"/>
        <v>0</v>
      </c>
      <c r="F179" s="52">
        <f ca="1">INDEX(J174:J184,H185+1)</f>
        <v>2630</v>
      </c>
      <c r="G179" s="51">
        <f ca="1">INDEX(K174:K184,H185+1)</f>
        <v>2.930595826632608</v>
      </c>
      <c r="H179" s="46">
        <f t="shared" ca="1" si="42"/>
        <v>0</v>
      </c>
      <c r="I179" s="46">
        <f t="shared" ca="1" si="43"/>
        <v>0</v>
      </c>
      <c r="J179" s="47">
        <v>13150</v>
      </c>
      <c r="K179" s="48">
        <f>PORTADA!M26</f>
        <v>5.2840661065082175</v>
      </c>
      <c r="M179">
        <v>6</v>
      </c>
      <c r="N179" s="70">
        <f ca="1">IF(DATOSAÑO!$E350=0,0,((DATOSAÑO!$C350/DATOSAÑO!$E350)*1000)*DATOSAÑO!$E350/24)</f>
        <v>0</v>
      </c>
      <c r="O179" s="71">
        <f ca="1">IF(DATOSAÑO!$L350=0,0,((DATOSAÑO!$J350/DATOSAÑO!$L350)*1000)*DATOSAÑO!$L350/24)</f>
        <v>0</v>
      </c>
      <c r="P179" s="81">
        <f t="shared" ca="1" si="44"/>
        <v>0</v>
      </c>
      <c r="Q179" s="45">
        <f t="shared" ca="1" si="45"/>
        <v>0</v>
      </c>
      <c r="R179" s="52">
        <f ca="1">INDEX(V174:V184,T185+1)</f>
        <v>2630</v>
      </c>
      <c r="S179" s="51" t="e">
        <f ca="1">INDEX(W174:W184,T185+1)</f>
        <v>#DIV/0!</v>
      </c>
      <c r="T179" s="46">
        <f t="shared" ca="1" si="46"/>
        <v>0</v>
      </c>
      <c r="U179" s="46">
        <f t="shared" ca="1" si="47"/>
        <v>0</v>
      </c>
      <c r="V179" s="47">
        <v>13150</v>
      </c>
      <c r="W179" s="48" t="e">
        <f>PORTADA!S26</f>
        <v>#DIV/0!</v>
      </c>
    </row>
    <row r="180" spans="1:23">
      <c r="A180">
        <v>7</v>
      </c>
      <c r="B180" s="70">
        <f ca="1">IF(DATOSAÑO!E168=0,0,((DATOSAÑO!C168/DATOSAÑO!E168)*1000)*DATOSAÑO!E168/24)</f>
        <v>0</v>
      </c>
      <c r="C180" s="71">
        <f ca="1">IF(DATOSAÑO!L168=0,0,((DATOSAÑO!J168/DATOSAÑO!L168)*1000)*DATOSAÑO!L168/24)</f>
        <v>0</v>
      </c>
      <c r="D180" s="81">
        <f t="shared" ca="1" si="40"/>
        <v>0</v>
      </c>
      <c r="E180" s="45">
        <f t="shared" ca="1" si="41"/>
        <v>0</v>
      </c>
      <c r="F180" s="2155" t="s">
        <v>69</v>
      </c>
      <c r="G180" s="2156"/>
      <c r="H180" s="46">
        <f t="shared" ca="1" si="42"/>
        <v>0</v>
      </c>
      <c r="I180" s="46">
        <f t="shared" ca="1" si="43"/>
        <v>0</v>
      </c>
      <c r="J180" s="47">
        <v>15780</v>
      </c>
      <c r="K180" s="48">
        <f>PORTADA!M27</f>
        <v>5.9144599314749007</v>
      </c>
      <c r="M180">
        <v>7</v>
      </c>
      <c r="N180" s="70">
        <f ca="1">IF(DATOSAÑO!$E351=0,0,((DATOSAÑO!$C351/DATOSAÑO!$E351)*1000)*DATOSAÑO!$E351/24)</f>
        <v>0</v>
      </c>
      <c r="O180" s="71">
        <f ca="1">IF(DATOSAÑO!$L351=0,0,((DATOSAÑO!$J351/DATOSAÑO!$L351)*1000)*DATOSAÑO!$L351/24)</f>
        <v>0</v>
      </c>
      <c r="P180" s="81">
        <f t="shared" ca="1" si="44"/>
        <v>0</v>
      </c>
      <c r="Q180" s="45">
        <f t="shared" ca="1" si="45"/>
        <v>0</v>
      </c>
      <c r="R180" s="2155" t="s">
        <v>69</v>
      </c>
      <c r="S180" s="2156"/>
      <c r="T180" s="46">
        <f t="shared" ca="1" si="46"/>
        <v>0</v>
      </c>
      <c r="U180" s="46">
        <f t="shared" ca="1" si="47"/>
        <v>0</v>
      </c>
      <c r="V180" s="47">
        <v>15780</v>
      </c>
      <c r="W180" s="48" t="e">
        <f>PORTADA!S27</f>
        <v>#DIV/0!</v>
      </c>
    </row>
    <row r="181" spans="1:23">
      <c r="A181">
        <v>8</v>
      </c>
      <c r="B181" s="70">
        <f ca="1">IF(DATOSAÑO!E169=0,0,((DATOSAÑO!C169/DATOSAÑO!E169)*1000)*DATOSAÑO!E169/24)</f>
        <v>0</v>
      </c>
      <c r="C181" s="71">
        <f ca="1">IF(DATOSAÑO!L169=0,0,((DATOSAÑO!J169/DATOSAÑO!L169)*1000)*DATOSAÑO!L169/24)</f>
        <v>0</v>
      </c>
      <c r="D181" s="81">
        <f t="shared" ca="1" si="40"/>
        <v>0</v>
      </c>
      <c r="E181" s="45">
        <f t="shared" ca="1" si="41"/>
        <v>0</v>
      </c>
      <c r="F181" s="49" t="s">
        <v>67</v>
      </c>
      <c r="G181" s="50">
        <f ca="1">INDEX(B174:C204,B173,2)</f>
        <v>0</v>
      </c>
      <c r="H181" s="46">
        <f t="shared" ca="1" si="42"/>
        <v>0</v>
      </c>
      <c r="I181" s="46">
        <f t="shared" ca="1" si="43"/>
        <v>0</v>
      </c>
      <c r="J181" s="47">
        <v>18410</v>
      </c>
      <c r="K181" s="48">
        <f>PORTADA!M28</f>
        <v>6.6289062664371379</v>
      </c>
      <c r="M181">
        <v>8</v>
      </c>
      <c r="N181" s="70">
        <f ca="1">IF(DATOSAÑO!$E352=0,0,((DATOSAÑO!$C352/DATOSAÑO!$E352)*1000)*DATOSAÑO!$E352/24)</f>
        <v>0</v>
      </c>
      <c r="O181" s="71">
        <f ca="1">IF(DATOSAÑO!$L352=0,0,((DATOSAÑO!$J352/DATOSAÑO!$L352)*1000)*DATOSAÑO!$L352/24)</f>
        <v>0</v>
      </c>
      <c r="P181" s="81">
        <f t="shared" ca="1" si="44"/>
        <v>0</v>
      </c>
      <c r="Q181" s="45">
        <f t="shared" ca="1" si="45"/>
        <v>0</v>
      </c>
      <c r="R181" s="49" t="s">
        <v>67</v>
      </c>
      <c r="S181" s="50">
        <f ca="1">INDEX(N174:O204,N173,2)</f>
        <v>0</v>
      </c>
      <c r="T181" s="46">
        <f t="shared" ca="1" si="46"/>
        <v>0</v>
      </c>
      <c r="U181" s="46">
        <f t="shared" ca="1" si="47"/>
        <v>0</v>
      </c>
      <c r="V181" s="47">
        <v>18410</v>
      </c>
      <c r="W181" s="48" t="e">
        <f>PORTADA!S28</f>
        <v>#DIV/0!</v>
      </c>
    </row>
    <row r="182" spans="1:23">
      <c r="A182">
        <v>9</v>
      </c>
      <c r="B182" s="70">
        <f ca="1">IF(DATOSAÑO!E170=0,0,((DATOSAÑO!C170/DATOSAÑO!E170)*1000)*DATOSAÑO!E170/24)</f>
        <v>0</v>
      </c>
      <c r="C182" s="71">
        <f ca="1">IF(DATOSAÑO!L170=0,0,((DATOSAÑO!J170/DATOSAÑO!L170)*1000)*DATOSAÑO!L170/24)</f>
        <v>0</v>
      </c>
      <c r="D182" s="81">
        <f t="shared" ca="1" si="40"/>
        <v>0</v>
      </c>
      <c r="E182" s="45">
        <f t="shared" ca="1" si="41"/>
        <v>0</v>
      </c>
      <c r="F182" s="49" t="s">
        <v>68</v>
      </c>
      <c r="G182" s="51">
        <f ca="1">(G181-F184)/(F185-F184)*(G185-G184)+G184</f>
        <v>2.4262807666592625</v>
      </c>
      <c r="H182" s="46">
        <f t="shared" ca="1" si="42"/>
        <v>0</v>
      </c>
      <c r="I182" s="46">
        <f t="shared" ca="1" si="43"/>
        <v>0</v>
      </c>
      <c r="J182" s="47">
        <v>21040</v>
      </c>
      <c r="K182" s="48">
        <f>PORTADA!M29</f>
        <v>7.3013263464015994</v>
      </c>
      <c r="M182">
        <v>9</v>
      </c>
      <c r="N182" s="70">
        <f ca="1">IF(DATOSAÑO!$E353=0,0,((DATOSAÑO!$C353/DATOSAÑO!$E353)*1000)*DATOSAÑO!$E353/24)</f>
        <v>0</v>
      </c>
      <c r="O182" s="71">
        <f ca="1">IF(DATOSAÑO!$L353=0,0,((DATOSAÑO!$J353/DATOSAÑO!$L353)*1000)*DATOSAÑO!$L353/24)</f>
        <v>0</v>
      </c>
      <c r="P182" s="81">
        <f t="shared" ca="1" si="44"/>
        <v>0</v>
      </c>
      <c r="Q182" s="45">
        <f t="shared" ca="1" si="45"/>
        <v>0</v>
      </c>
      <c r="R182" s="49" t="s">
        <v>68</v>
      </c>
      <c r="S182" s="51" t="e">
        <f ca="1">(S181-R184)/(R185-R184)*(S185-S184)+S184</f>
        <v>#DIV/0!</v>
      </c>
      <c r="T182" s="46">
        <f t="shared" ca="1" si="46"/>
        <v>0</v>
      </c>
      <c r="U182" s="46">
        <f t="shared" ca="1" si="47"/>
        <v>0</v>
      </c>
      <c r="V182" s="47">
        <v>21040</v>
      </c>
      <c r="W182" s="48" t="e">
        <f>PORTADA!S29</f>
        <v>#DIV/0!</v>
      </c>
    </row>
    <row r="183" spans="1:23">
      <c r="A183">
        <v>10</v>
      </c>
      <c r="B183" s="70">
        <f ca="1">IF(DATOSAÑO!E171=0,0,((DATOSAÑO!C171/DATOSAÑO!E171)*1000)*DATOSAÑO!E171/24)</f>
        <v>0</v>
      </c>
      <c r="C183" s="71">
        <f ca="1">IF(DATOSAÑO!L171=0,0,((DATOSAÑO!J171/DATOSAÑO!L171)*1000)*DATOSAÑO!L171/24)</f>
        <v>0</v>
      </c>
      <c r="D183" s="81">
        <f t="shared" ca="1" si="40"/>
        <v>0</v>
      </c>
      <c r="E183" s="45">
        <f t="shared" ca="1" si="41"/>
        <v>0</v>
      </c>
      <c r="F183" s="49"/>
      <c r="G183" s="46"/>
      <c r="H183" s="46">
        <f t="shared" ca="1" si="42"/>
        <v>0</v>
      </c>
      <c r="I183" s="46">
        <f t="shared" ca="1" si="43"/>
        <v>0</v>
      </c>
      <c r="J183" s="47">
        <v>23670</v>
      </c>
      <c r="K183" s="48">
        <f>PORTADA!M30</f>
        <v>7.9737464263660609</v>
      </c>
      <c r="M183">
        <v>10</v>
      </c>
      <c r="N183" s="70">
        <f ca="1">IF(DATOSAÑO!$E354=0,0,((DATOSAÑO!$C354/DATOSAÑO!$E354)*1000)*DATOSAÑO!$E354/24)</f>
        <v>0</v>
      </c>
      <c r="O183" s="71">
        <f ca="1">IF(DATOSAÑO!$L354=0,0,((DATOSAÑO!$J354/DATOSAÑO!$L354)*1000)*DATOSAÑO!$L354/24)</f>
        <v>0</v>
      </c>
      <c r="P183" s="81">
        <f t="shared" ca="1" si="44"/>
        <v>0</v>
      </c>
      <c r="Q183" s="45">
        <f t="shared" ca="1" si="45"/>
        <v>0</v>
      </c>
      <c r="R183" s="49"/>
      <c r="S183" s="46"/>
      <c r="T183" s="46">
        <f t="shared" ca="1" si="46"/>
        <v>0</v>
      </c>
      <c r="U183" s="46">
        <f t="shared" ca="1" si="47"/>
        <v>0</v>
      </c>
      <c r="V183" s="47">
        <v>23670</v>
      </c>
      <c r="W183" s="48" t="e">
        <f>PORTADA!S30</f>
        <v>#DIV/0!</v>
      </c>
    </row>
    <row r="184" spans="1:23">
      <c r="A184">
        <v>11</v>
      </c>
      <c r="B184" s="70">
        <f ca="1">IF(DATOSAÑO!E172=0,0,((DATOSAÑO!C172/DATOSAÑO!E172)*1000)*DATOSAÑO!E172/24)</f>
        <v>0</v>
      </c>
      <c r="C184" s="71">
        <f ca="1">IF(DATOSAÑO!L172=0,0,((DATOSAÑO!J172/DATOSAÑO!L172)*1000)*DATOSAÑO!L172/24)</f>
        <v>0</v>
      </c>
      <c r="D184" s="81">
        <f t="shared" ca="1" si="40"/>
        <v>0</v>
      </c>
      <c r="E184" s="45">
        <f t="shared" ca="1" si="41"/>
        <v>0</v>
      </c>
      <c r="F184" s="52">
        <f ca="1">INDEX(J174:J184,I185)</f>
        <v>0</v>
      </c>
      <c r="G184" s="51">
        <f ca="1">INDEX(K174:K184,I185)</f>
        <v>2.4262807666592625</v>
      </c>
      <c r="H184" s="46">
        <f t="shared" ca="1" si="42"/>
        <v>0</v>
      </c>
      <c r="I184" s="46">
        <f t="shared" ca="1" si="43"/>
        <v>0</v>
      </c>
      <c r="J184" s="47">
        <v>26300</v>
      </c>
      <c r="K184" s="48">
        <f>PORTADA!M31</f>
        <v>8.6461665063305198</v>
      </c>
      <c r="M184">
        <v>11</v>
      </c>
      <c r="N184" s="70">
        <f ca="1">IF(DATOSAÑO!$E355=0,0,((DATOSAÑO!$C355/DATOSAÑO!$E355)*1000)*DATOSAÑO!$E355/24)</f>
        <v>0</v>
      </c>
      <c r="O184" s="71">
        <f ca="1">IF(DATOSAÑO!$L355=0,0,((DATOSAÑO!$J355/DATOSAÑO!$L355)*1000)*DATOSAÑO!$L355/24)</f>
        <v>0</v>
      </c>
      <c r="P184" s="81">
        <f t="shared" ca="1" si="44"/>
        <v>0</v>
      </c>
      <c r="Q184" s="45">
        <f t="shared" ca="1" si="45"/>
        <v>0</v>
      </c>
      <c r="R184" s="52">
        <f ca="1">INDEX(V174:V184,U185)</f>
        <v>0</v>
      </c>
      <c r="S184" s="51" t="e">
        <f ca="1">INDEX(W174:W184,U185)</f>
        <v>#DIV/0!</v>
      </c>
      <c r="T184" s="46">
        <f t="shared" ca="1" si="46"/>
        <v>0</v>
      </c>
      <c r="U184" s="46">
        <f t="shared" ca="1" si="47"/>
        <v>0</v>
      </c>
      <c r="V184" s="47">
        <v>26300</v>
      </c>
      <c r="W184" s="48" t="e">
        <f>PORTADA!S31</f>
        <v>#DIV/0!</v>
      </c>
    </row>
    <row r="185" spans="1:23" ht="15" thickBot="1">
      <c r="A185">
        <v>12</v>
      </c>
      <c r="B185" s="70">
        <f ca="1">IF(DATOSAÑO!E173=0,0,((DATOSAÑO!C173/DATOSAÑO!E173)*1000)*DATOSAÑO!E173/24)</f>
        <v>0</v>
      </c>
      <c r="C185" s="71">
        <f ca="1">IF(DATOSAÑO!L173=0,0,((DATOSAÑO!J173/DATOSAÑO!L173)*1000)*DATOSAÑO!L173/24)</f>
        <v>0</v>
      </c>
      <c r="D185" s="81">
        <f t="shared" ca="1" si="40"/>
        <v>0</v>
      </c>
      <c r="E185" s="45">
        <f t="shared" ca="1" si="41"/>
        <v>0</v>
      </c>
      <c r="F185" s="53">
        <f ca="1">INDEX(J174:J184,I185+1)</f>
        <v>2630</v>
      </c>
      <c r="G185" s="54">
        <f ca="1">INDEX(K174:K184,I185+1)</f>
        <v>2.930595826632608</v>
      </c>
      <c r="H185" s="55">
        <f ca="1">SUM(H174:H184)</f>
        <v>1</v>
      </c>
      <c r="I185" s="55">
        <f ca="1">SUM(I174:I184)</f>
        <v>1</v>
      </c>
      <c r="J185" s="55"/>
      <c r="K185" s="55"/>
      <c r="M185">
        <v>12</v>
      </c>
      <c r="N185" s="70">
        <f ca="1">IF(DATOSAÑO!$E356=0,0,((DATOSAÑO!$C356/DATOSAÑO!$E356)*1000)*DATOSAÑO!$E356/24)</f>
        <v>0</v>
      </c>
      <c r="O185" s="71">
        <f ca="1">IF(DATOSAÑO!$L356=0,0,((DATOSAÑO!$J356/DATOSAÑO!$L356)*1000)*DATOSAÑO!$L356/24)</f>
        <v>0</v>
      </c>
      <c r="P185" s="81">
        <f t="shared" ca="1" si="44"/>
        <v>0</v>
      </c>
      <c r="Q185" s="45">
        <f t="shared" ca="1" si="45"/>
        <v>0</v>
      </c>
      <c r="R185" s="53">
        <f ca="1">INDEX(V174:V184,U185+1)</f>
        <v>2630</v>
      </c>
      <c r="S185" s="54" t="e">
        <f ca="1">INDEX(W174:W184,U185+1)</f>
        <v>#DIV/0!</v>
      </c>
      <c r="T185" s="55">
        <f ca="1">SUM(T174:T184)</f>
        <v>1</v>
      </c>
      <c r="U185" s="55">
        <f ca="1">SUM(U174:U184)</f>
        <v>1</v>
      </c>
      <c r="V185" s="55"/>
      <c r="W185" s="55"/>
    </row>
    <row r="186" spans="1:23">
      <c r="A186">
        <v>13</v>
      </c>
      <c r="B186" s="70">
        <f ca="1">IF(DATOSAÑO!E174=0,0,((DATOSAÑO!C174/DATOSAÑO!E174)*1000)*DATOSAÑO!E174/24)</f>
        <v>0</v>
      </c>
      <c r="C186" s="71">
        <f ca="1">IF(DATOSAÑO!L174=0,0,((DATOSAÑO!J174/DATOSAÑO!L174)*1000)*DATOSAÑO!L174/24)</f>
        <v>0</v>
      </c>
      <c r="D186" s="81">
        <f t="shared" ca="1" si="40"/>
        <v>0</v>
      </c>
      <c r="E186" s="45">
        <f t="shared" ca="1" si="41"/>
        <v>0</v>
      </c>
      <c r="F186" s="56"/>
      <c r="G186" s="56"/>
      <c r="H186" s="56"/>
      <c r="I186" s="56"/>
      <c r="J186" s="56"/>
      <c r="K186" s="56"/>
      <c r="M186">
        <v>13</v>
      </c>
      <c r="N186" s="70">
        <f ca="1">IF(DATOSAÑO!$E357=0,0,((DATOSAÑO!$C357/DATOSAÑO!$E357)*1000)*DATOSAÑO!$E357/24)</f>
        <v>0</v>
      </c>
      <c r="O186" s="71">
        <f ca="1">IF(DATOSAÑO!$L357=0,0,((DATOSAÑO!$J357/DATOSAÑO!$L357)*1000)*DATOSAÑO!$L357/24)</f>
        <v>0</v>
      </c>
      <c r="P186" s="81">
        <f t="shared" ca="1" si="44"/>
        <v>0</v>
      </c>
      <c r="Q186" s="45">
        <f t="shared" ca="1" si="45"/>
        <v>0</v>
      </c>
      <c r="R186" s="56"/>
      <c r="S186" s="56"/>
      <c r="T186" s="56"/>
      <c r="U186" s="56"/>
      <c r="V186" s="56"/>
      <c r="W186" s="56"/>
    </row>
    <row r="187" spans="1:23">
      <c r="A187">
        <v>14</v>
      </c>
      <c r="B187" s="70">
        <f ca="1">IF(DATOSAÑO!E175=0,0,((DATOSAÑO!C175/DATOSAÑO!E175)*1000)*DATOSAÑO!E175/24)</f>
        <v>0</v>
      </c>
      <c r="C187" s="71">
        <f ca="1">IF(DATOSAÑO!L175=0,0,((DATOSAÑO!J175/DATOSAÑO!L175)*1000)*DATOSAÑO!L175/24)</f>
        <v>0</v>
      </c>
      <c r="D187" s="81">
        <f t="shared" ca="1" si="40"/>
        <v>0</v>
      </c>
      <c r="E187" s="45">
        <f t="shared" ca="1" si="41"/>
        <v>0</v>
      </c>
      <c r="F187" s="56"/>
      <c r="G187" s="56"/>
      <c r="H187" s="56"/>
      <c r="I187" s="56"/>
      <c r="J187" s="56"/>
      <c r="K187" s="56"/>
      <c r="M187">
        <v>14</v>
      </c>
      <c r="N187" s="70">
        <f ca="1">IF(DATOSAÑO!$E358=0,0,((DATOSAÑO!$C358/DATOSAÑO!$E358)*1000)*DATOSAÑO!$E358/24)</f>
        <v>0</v>
      </c>
      <c r="O187" s="71">
        <f ca="1">IF(DATOSAÑO!$L358=0,0,((DATOSAÑO!$J358/DATOSAÑO!$L358)*1000)*DATOSAÑO!$L358/24)</f>
        <v>0</v>
      </c>
      <c r="P187" s="81">
        <f t="shared" ca="1" si="44"/>
        <v>0</v>
      </c>
      <c r="Q187" s="45">
        <f t="shared" ca="1" si="45"/>
        <v>0</v>
      </c>
      <c r="R187" s="56"/>
      <c r="S187" s="56"/>
      <c r="T187" s="56"/>
      <c r="U187" s="56"/>
      <c r="V187" s="56"/>
      <c r="W187" s="56"/>
    </row>
    <row r="188" spans="1:23">
      <c r="A188">
        <v>15</v>
      </c>
      <c r="B188" s="70">
        <f ca="1">IF(DATOSAÑO!E176=0,0,((DATOSAÑO!C176/DATOSAÑO!E176)*1000)*DATOSAÑO!E176/24)</f>
        <v>0</v>
      </c>
      <c r="C188" s="71">
        <f ca="1">IF(DATOSAÑO!L176=0,0,((DATOSAÑO!J176/DATOSAÑO!L176)*1000)*DATOSAÑO!L176/24)</f>
        <v>0</v>
      </c>
      <c r="D188" s="81">
        <f t="shared" ca="1" si="40"/>
        <v>0</v>
      </c>
      <c r="E188" s="45">
        <f t="shared" ca="1" si="41"/>
        <v>0</v>
      </c>
      <c r="F188" s="56"/>
      <c r="G188" s="56"/>
      <c r="H188" s="56"/>
      <c r="I188" s="56"/>
      <c r="J188" s="56"/>
      <c r="K188" s="56"/>
      <c r="M188">
        <v>15</v>
      </c>
      <c r="N188" s="70">
        <f ca="1">IF(DATOSAÑO!$E359=0,0,((DATOSAÑO!$C359/DATOSAÑO!$E359)*1000)*DATOSAÑO!$E359/24)</f>
        <v>0</v>
      </c>
      <c r="O188" s="71">
        <f ca="1">IF(DATOSAÑO!$L359=0,0,((DATOSAÑO!$J359/DATOSAÑO!$L359)*1000)*DATOSAÑO!$L359/24)</f>
        <v>0</v>
      </c>
      <c r="P188" s="81">
        <f t="shared" ca="1" si="44"/>
        <v>0</v>
      </c>
      <c r="Q188" s="45">
        <f t="shared" ca="1" si="45"/>
        <v>0</v>
      </c>
      <c r="R188" s="56"/>
      <c r="S188" s="56"/>
      <c r="T188" s="56"/>
      <c r="U188" s="56"/>
      <c r="V188" s="56"/>
      <c r="W188" s="56"/>
    </row>
    <row r="189" spans="1:23">
      <c r="A189">
        <v>16</v>
      </c>
      <c r="B189" s="70">
        <f ca="1">IF(DATOSAÑO!E177=0,0,((DATOSAÑO!C177/DATOSAÑO!E177)*1000)*DATOSAÑO!E177/24)</f>
        <v>0</v>
      </c>
      <c r="C189" s="71">
        <f ca="1">IF(DATOSAÑO!L177=0,0,((DATOSAÑO!J177/DATOSAÑO!L177)*1000)*DATOSAÑO!L177/24)</f>
        <v>0</v>
      </c>
      <c r="D189" s="81">
        <f t="shared" ca="1" si="40"/>
        <v>0</v>
      </c>
      <c r="E189" s="45">
        <f t="shared" ca="1" si="41"/>
        <v>0</v>
      </c>
      <c r="F189" s="56"/>
      <c r="G189" s="56"/>
      <c r="H189" s="56"/>
      <c r="I189" s="56"/>
      <c r="J189" s="56"/>
      <c r="K189" s="56"/>
      <c r="M189">
        <v>16</v>
      </c>
      <c r="N189" s="70">
        <f ca="1">IF(DATOSAÑO!$E360=0,0,((DATOSAÑO!$C360/DATOSAÑO!$E360)*1000)*DATOSAÑO!$E360/24)</f>
        <v>0</v>
      </c>
      <c r="O189" s="71">
        <f ca="1">IF(DATOSAÑO!$L360=0,0,((DATOSAÑO!$J360/DATOSAÑO!$L360)*1000)*DATOSAÑO!$L360/24)</f>
        <v>0</v>
      </c>
      <c r="P189" s="81">
        <f t="shared" ca="1" si="44"/>
        <v>0</v>
      </c>
      <c r="Q189" s="45">
        <f t="shared" ca="1" si="45"/>
        <v>0</v>
      </c>
      <c r="R189" s="56"/>
      <c r="S189" s="56"/>
      <c r="T189" s="56"/>
      <c r="U189" s="56"/>
      <c r="V189" s="56"/>
      <c r="W189" s="56"/>
    </row>
    <row r="190" spans="1:23">
      <c r="A190">
        <v>17</v>
      </c>
      <c r="B190" s="70">
        <f ca="1">IF(DATOSAÑO!E178=0,0,((DATOSAÑO!C178/DATOSAÑO!E178)*1000)*DATOSAÑO!E178/24)</f>
        <v>0</v>
      </c>
      <c r="C190" s="71">
        <f ca="1">IF(DATOSAÑO!L178=0,0,((DATOSAÑO!J178/DATOSAÑO!L178)*1000)*DATOSAÑO!L178/24)</f>
        <v>0</v>
      </c>
      <c r="D190" s="81">
        <f t="shared" ca="1" si="40"/>
        <v>0</v>
      </c>
      <c r="E190" s="45">
        <f t="shared" ca="1" si="41"/>
        <v>0</v>
      </c>
      <c r="F190" s="56"/>
      <c r="G190" s="56"/>
      <c r="H190" s="57"/>
      <c r="I190" s="56"/>
      <c r="J190" s="56"/>
      <c r="K190" s="56"/>
      <c r="M190">
        <v>17</v>
      </c>
      <c r="N190" s="70">
        <f ca="1">IF(DATOSAÑO!$E361=0,0,((DATOSAÑO!$C361/DATOSAÑO!$E361)*1000)*DATOSAÑO!$E361/24)</f>
        <v>0</v>
      </c>
      <c r="O190" s="71">
        <f ca="1">IF(DATOSAÑO!$L361=0,0,((DATOSAÑO!$J361/DATOSAÑO!$L361)*1000)*DATOSAÑO!$L361/24)</f>
        <v>0</v>
      </c>
      <c r="P190" s="81">
        <f t="shared" ca="1" si="44"/>
        <v>0</v>
      </c>
      <c r="Q190" s="45">
        <f t="shared" ca="1" si="45"/>
        <v>0</v>
      </c>
      <c r="R190" s="56"/>
      <c r="S190" s="56"/>
      <c r="T190" s="57"/>
      <c r="U190" s="56"/>
      <c r="V190" s="56"/>
      <c r="W190" s="56"/>
    </row>
    <row r="191" spans="1:23">
      <c r="A191">
        <v>18</v>
      </c>
      <c r="B191" s="70">
        <f ca="1">IF(DATOSAÑO!E179=0,0,((DATOSAÑO!C179/DATOSAÑO!E179)*1000)*DATOSAÑO!E179/24)</f>
        <v>0</v>
      </c>
      <c r="C191" s="71">
        <f ca="1">IF(DATOSAÑO!L179=0,0,((DATOSAÑO!J179/DATOSAÑO!L179)*1000)*DATOSAÑO!L179/24)</f>
        <v>0</v>
      </c>
      <c r="D191" s="81">
        <f t="shared" ca="1" si="40"/>
        <v>0</v>
      </c>
      <c r="E191" s="45">
        <f t="shared" ca="1" si="41"/>
        <v>0</v>
      </c>
      <c r="F191" s="56"/>
      <c r="G191" s="56"/>
      <c r="H191" s="56"/>
      <c r="I191" s="56"/>
      <c r="J191" s="56"/>
      <c r="K191" s="56"/>
      <c r="M191">
        <v>18</v>
      </c>
      <c r="N191" s="70">
        <f ca="1">IF(DATOSAÑO!$E362=0,0,((DATOSAÑO!$C362/DATOSAÑO!$E362)*1000)*DATOSAÑO!$E362/24)</f>
        <v>0</v>
      </c>
      <c r="O191" s="71">
        <f ca="1">IF(DATOSAÑO!$L362=0,0,((DATOSAÑO!$J362/DATOSAÑO!$L362)*1000)*DATOSAÑO!$L362/24)</f>
        <v>0</v>
      </c>
      <c r="P191" s="81">
        <f t="shared" ca="1" si="44"/>
        <v>0</v>
      </c>
      <c r="Q191" s="45">
        <f t="shared" ca="1" si="45"/>
        <v>0</v>
      </c>
      <c r="R191" s="56"/>
      <c r="S191" s="56"/>
      <c r="T191" s="56"/>
      <c r="U191" s="56"/>
      <c r="V191" s="56"/>
      <c r="W191" s="56"/>
    </row>
    <row r="192" spans="1:23">
      <c r="A192">
        <v>19</v>
      </c>
      <c r="B192" s="70">
        <f ca="1">IF(DATOSAÑO!E180=0,0,((DATOSAÑO!C180/DATOSAÑO!E180)*1000)*DATOSAÑO!E180/24)</f>
        <v>0</v>
      </c>
      <c r="C192" s="71">
        <f ca="1">IF(DATOSAÑO!L180=0,0,((DATOSAÑO!J180/DATOSAÑO!L180)*1000)*DATOSAÑO!L180/24)</f>
        <v>0</v>
      </c>
      <c r="D192" s="81">
        <f t="shared" ca="1" si="40"/>
        <v>0</v>
      </c>
      <c r="E192" s="45">
        <f t="shared" ca="1" si="41"/>
        <v>0</v>
      </c>
      <c r="F192" s="56"/>
      <c r="G192" s="56"/>
      <c r="H192" s="56"/>
      <c r="I192" s="56"/>
      <c r="J192" s="56"/>
      <c r="K192" s="58"/>
      <c r="M192">
        <v>19</v>
      </c>
      <c r="N192" s="70">
        <f ca="1">IF(DATOSAÑO!$E363=0,0,((DATOSAÑO!$C363/DATOSAÑO!$E363)*1000)*DATOSAÑO!$E363/24)</f>
        <v>0</v>
      </c>
      <c r="O192" s="71">
        <f ca="1">IF(DATOSAÑO!$L363=0,0,((DATOSAÑO!$J363/DATOSAÑO!$L363)*1000)*DATOSAÑO!$L363/24)</f>
        <v>0</v>
      </c>
      <c r="P192" s="81">
        <f t="shared" ca="1" si="44"/>
        <v>0</v>
      </c>
      <c r="Q192" s="45">
        <f t="shared" ca="1" si="45"/>
        <v>0</v>
      </c>
      <c r="R192" s="56"/>
      <c r="S192" s="56"/>
      <c r="T192" s="56"/>
      <c r="U192" s="56"/>
      <c r="V192" s="56"/>
      <c r="W192" s="58"/>
    </row>
    <row r="193" spans="1:23">
      <c r="A193">
        <v>20</v>
      </c>
      <c r="B193" s="70">
        <f ca="1">IF(DATOSAÑO!E181=0,0,((DATOSAÑO!C181/DATOSAÑO!E181)*1000)*DATOSAÑO!E181/24)</f>
        <v>0</v>
      </c>
      <c r="C193" s="71">
        <f ca="1">IF(DATOSAÑO!L181=0,0,((DATOSAÑO!J181/DATOSAÑO!L181)*1000)*DATOSAÑO!L181/24)</f>
        <v>0</v>
      </c>
      <c r="D193" s="81">
        <f t="shared" ca="1" si="40"/>
        <v>0</v>
      </c>
      <c r="E193" s="45">
        <f t="shared" ca="1" si="41"/>
        <v>0</v>
      </c>
      <c r="F193" s="56"/>
      <c r="G193" s="56"/>
      <c r="H193" s="56"/>
      <c r="I193" s="56"/>
      <c r="J193" s="56"/>
      <c r="K193" s="56"/>
      <c r="M193">
        <v>20</v>
      </c>
      <c r="N193" s="70">
        <f ca="1">IF(DATOSAÑO!$E364=0,0,((DATOSAÑO!$C364/DATOSAÑO!$E364)*1000)*DATOSAÑO!$E364/24)</f>
        <v>0</v>
      </c>
      <c r="O193" s="71">
        <f ca="1">IF(DATOSAÑO!$L364=0,0,((DATOSAÑO!$J364/DATOSAÑO!$L364)*1000)*DATOSAÑO!$L364/24)</f>
        <v>0</v>
      </c>
      <c r="P193" s="81">
        <f t="shared" ca="1" si="44"/>
        <v>0</v>
      </c>
      <c r="Q193" s="45">
        <f t="shared" ca="1" si="45"/>
        <v>0</v>
      </c>
      <c r="R193" s="56"/>
      <c r="S193" s="56"/>
      <c r="T193" s="56"/>
      <c r="U193" s="56"/>
      <c r="V193" s="56"/>
      <c r="W193" s="56"/>
    </row>
    <row r="194" spans="1:23">
      <c r="A194">
        <v>21</v>
      </c>
      <c r="B194" s="70">
        <f ca="1">IF(DATOSAÑO!E182=0,0,((DATOSAÑO!C182/DATOSAÑO!E182)*1000)*DATOSAÑO!E182/24)</f>
        <v>0</v>
      </c>
      <c r="C194" s="71">
        <f ca="1">IF(DATOSAÑO!L182=0,0,((DATOSAÑO!J182/DATOSAÑO!L182)*1000)*DATOSAÑO!L182/24)</f>
        <v>0</v>
      </c>
      <c r="D194" s="81">
        <f t="shared" ca="1" si="40"/>
        <v>0</v>
      </c>
      <c r="E194" s="45">
        <f t="shared" ca="1" si="41"/>
        <v>0</v>
      </c>
      <c r="F194" s="56"/>
      <c r="G194" s="56"/>
      <c r="H194" s="56"/>
      <c r="I194" s="56"/>
      <c r="J194" s="56"/>
      <c r="K194" s="56"/>
      <c r="M194">
        <v>21</v>
      </c>
      <c r="N194" s="70">
        <f ca="1">IF(DATOSAÑO!$E365=0,0,((DATOSAÑO!$C365/DATOSAÑO!$E365)*1000)*DATOSAÑO!$E365/24)</f>
        <v>0</v>
      </c>
      <c r="O194" s="71">
        <f ca="1">IF(DATOSAÑO!$L365=0,0,((DATOSAÑO!$J365/DATOSAÑO!$L365)*1000)*DATOSAÑO!$L365/24)</f>
        <v>0</v>
      </c>
      <c r="P194" s="81">
        <f t="shared" ca="1" si="44"/>
        <v>0</v>
      </c>
      <c r="Q194" s="45">
        <f t="shared" ca="1" si="45"/>
        <v>0</v>
      </c>
      <c r="R194" s="56"/>
      <c r="S194" s="56"/>
      <c r="T194" s="56"/>
      <c r="U194" s="56"/>
      <c r="V194" s="56"/>
      <c r="W194" s="56"/>
    </row>
    <row r="195" spans="1:23">
      <c r="A195">
        <v>22</v>
      </c>
      <c r="B195" s="70">
        <f ca="1">IF(DATOSAÑO!E183=0,0,((DATOSAÑO!C183/DATOSAÑO!E183)*1000)*DATOSAÑO!E183/24)</f>
        <v>0</v>
      </c>
      <c r="C195" s="71">
        <f ca="1">IF(DATOSAÑO!L183=0,0,((DATOSAÑO!J183/DATOSAÑO!L183)*1000)*DATOSAÑO!L183/24)</f>
        <v>0</v>
      </c>
      <c r="D195" s="81">
        <f t="shared" ca="1" si="40"/>
        <v>0</v>
      </c>
      <c r="E195" s="45">
        <f t="shared" ca="1" si="41"/>
        <v>0</v>
      </c>
      <c r="F195" s="56"/>
      <c r="G195" s="56"/>
      <c r="H195" s="56"/>
      <c r="I195" s="56"/>
      <c r="J195" s="56"/>
      <c r="K195" s="56"/>
      <c r="M195">
        <v>22</v>
      </c>
      <c r="N195" s="70">
        <f ca="1">IF(DATOSAÑO!$E366=0,0,((DATOSAÑO!$C366/DATOSAÑO!$E366)*1000)*DATOSAÑO!$E366/24)</f>
        <v>0</v>
      </c>
      <c r="O195" s="71">
        <f ca="1">IF(DATOSAÑO!$L366=0,0,((DATOSAÑO!$J366/DATOSAÑO!$L366)*1000)*DATOSAÑO!$L366/24)</f>
        <v>0</v>
      </c>
      <c r="P195" s="81">
        <f t="shared" ca="1" si="44"/>
        <v>0</v>
      </c>
      <c r="Q195" s="45">
        <f t="shared" ca="1" si="45"/>
        <v>0</v>
      </c>
      <c r="R195" s="56"/>
      <c r="S195" s="56"/>
      <c r="T195" s="56"/>
      <c r="U195" s="56"/>
      <c r="V195" s="56"/>
      <c r="W195" s="56"/>
    </row>
    <row r="196" spans="1:23">
      <c r="A196">
        <v>23</v>
      </c>
      <c r="B196" s="70">
        <f ca="1">IF(DATOSAÑO!E184=0,0,((DATOSAÑO!C184/DATOSAÑO!E184)*1000)*DATOSAÑO!E184/24)</f>
        <v>0</v>
      </c>
      <c r="C196" s="71">
        <f ca="1">IF(DATOSAÑO!L184=0,0,((DATOSAÑO!J184/DATOSAÑO!L184)*1000)*DATOSAÑO!L184/24)</f>
        <v>0</v>
      </c>
      <c r="D196" s="81">
        <f t="shared" ca="1" si="40"/>
        <v>0</v>
      </c>
      <c r="E196" s="45">
        <f t="shared" ca="1" si="41"/>
        <v>0</v>
      </c>
      <c r="F196" s="56"/>
      <c r="G196" s="56"/>
      <c r="H196" s="56"/>
      <c r="I196" s="56"/>
      <c r="J196" s="56"/>
      <c r="K196" s="56"/>
      <c r="M196">
        <v>23</v>
      </c>
      <c r="N196" s="70">
        <f ca="1">IF(DATOSAÑO!$E367=0,0,((DATOSAÑO!$C367/DATOSAÑO!$E367)*1000)*DATOSAÑO!$E367/24)</f>
        <v>0</v>
      </c>
      <c r="O196" s="71">
        <f ca="1">IF(DATOSAÑO!$L367=0,0,((DATOSAÑO!$J367/DATOSAÑO!$L367)*1000)*DATOSAÑO!$L367/24)</f>
        <v>0</v>
      </c>
      <c r="P196" s="81">
        <f t="shared" ca="1" si="44"/>
        <v>0</v>
      </c>
      <c r="Q196" s="45">
        <f t="shared" ca="1" si="45"/>
        <v>0</v>
      </c>
      <c r="R196" s="56"/>
      <c r="S196" s="56"/>
      <c r="T196" s="56"/>
      <c r="U196" s="56"/>
      <c r="V196" s="56"/>
      <c r="W196" s="56"/>
    </row>
    <row r="197" spans="1:23">
      <c r="A197">
        <v>24</v>
      </c>
      <c r="B197" s="70">
        <f ca="1">IF(DATOSAÑO!E185=0,0,((DATOSAÑO!C185/DATOSAÑO!E185)*1000)*DATOSAÑO!E185/24)</f>
        <v>0</v>
      </c>
      <c r="C197" s="71">
        <f ca="1">IF(DATOSAÑO!L185=0,0,((DATOSAÑO!J185/DATOSAÑO!L185)*1000)*DATOSAÑO!L185/24)</f>
        <v>0</v>
      </c>
      <c r="D197" s="81">
        <f t="shared" ca="1" si="40"/>
        <v>0</v>
      </c>
      <c r="E197" s="45">
        <f t="shared" ca="1" si="41"/>
        <v>0</v>
      </c>
      <c r="F197" s="56"/>
      <c r="G197" s="56"/>
      <c r="H197" s="56"/>
      <c r="I197" s="56"/>
      <c r="J197" s="56"/>
      <c r="K197" s="56"/>
      <c r="M197">
        <v>24</v>
      </c>
      <c r="N197" s="70">
        <f ca="1">IF(DATOSAÑO!$E368=0,0,((DATOSAÑO!$C368/DATOSAÑO!$E368)*1000)*DATOSAÑO!$E368/24)</f>
        <v>0</v>
      </c>
      <c r="O197" s="71">
        <f ca="1">IF(DATOSAÑO!$L368=0,0,((DATOSAÑO!$J368/DATOSAÑO!$L368)*1000)*DATOSAÑO!$L368/24)</f>
        <v>0</v>
      </c>
      <c r="P197" s="81">
        <f t="shared" ca="1" si="44"/>
        <v>0</v>
      </c>
      <c r="Q197" s="45">
        <f t="shared" ca="1" si="45"/>
        <v>0</v>
      </c>
      <c r="R197" s="56"/>
      <c r="S197" s="56"/>
      <c r="T197" s="56"/>
      <c r="U197" s="56"/>
      <c r="V197" s="56"/>
      <c r="W197" s="56"/>
    </row>
    <row r="198" spans="1:23">
      <c r="A198">
        <v>25</v>
      </c>
      <c r="B198" s="70">
        <f ca="1">IF(DATOSAÑO!E186=0,0,((DATOSAÑO!C186/DATOSAÑO!E186)*1000)*DATOSAÑO!E186/24)</f>
        <v>0</v>
      </c>
      <c r="C198" s="71">
        <f ca="1">IF(DATOSAÑO!L186=0,0,((DATOSAÑO!J186/DATOSAÑO!L186)*1000)*DATOSAÑO!L186/24)</f>
        <v>0</v>
      </c>
      <c r="D198" s="81">
        <f t="shared" ca="1" si="40"/>
        <v>0</v>
      </c>
      <c r="E198" s="45">
        <f t="shared" ca="1" si="41"/>
        <v>0</v>
      </c>
      <c r="F198" s="56"/>
      <c r="G198" s="56"/>
      <c r="H198" s="56"/>
      <c r="I198" s="56"/>
      <c r="J198" s="56"/>
      <c r="K198" s="56"/>
      <c r="M198">
        <v>25</v>
      </c>
      <c r="N198" s="70">
        <f ca="1">IF(DATOSAÑO!$E369=0,0,((DATOSAÑO!$C369/DATOSAÑO!$E369)*1000)*DATOSAÑO!$E369/24)</f>
        <v>0</v>
      </c>
      <c r="O198" s="71">
        <f ca="1">IF(DATOSAÑO!$L369=0,0,((DATOSAÑO!$J369/DATOSAÑO!$L369)*1000)*DATOSAÑO!$L369/24)</f>
        <v>0</v>
      </c>
      <c r="P198" s="81">
        <f t="shared" ca="1" si="44"/>
        <v>0</v>
      </c>
      <c r="Q198" s="45">
        <f t="shared" ca="1" si="45"/>
        <v>0</v>
      </c>
      <c r="R198" s="56"/>
      <c r="S198" s="56"/>
      <c r="T198" s="56"/>
      <c r="U198" s="56"/>
      <c r="V198" s="56"/>
      <c r="W198" s="56"/>
    </row>
    <row r="199" spans="1:23">
      <c r="A199">
        <v>26</v>
      </c>
      <c r="B199" s="70">
        <f ca="1">IF(DATOSAÑO!E187=0,0,((DATOSAÑO!C187/DATOSAÑO!E187)*1000)*DATOSAÑO!E187/24)</f>
        <v>0</v>
      </c>
      <c r="C199" s="71">
        <f ca="1">IF(DATOSAÑO!L187=0,0,((DATOSAÑO!J187/DATOSAÑO!L187)*1000)*DATOSAÑO!L187/24)</f>
        <v>0</v>
      </c>
      <c r="D199" s="81">
        <f t="shared" ca="1" si="40"/>
        <v>0</v>
      </c>
      <c r="E199" s="45">
        <f t="shared" ca="1" si="41"/>
        <v>0</v>
      </c>
      <c r="F199" s="56"/>
      <c r="G199" s="56"/>
      <c r="H199" s="56"/>
      <c r="I199" s="56"/>
      <c r="J199" s="56"/>
      <c r="K199" s="56"/>
      <c r="M199">
        <v>26</v>
      </c>
      <c r="N199" s="70">
        <f ca="1">IF(DATOSAÑO!$E370=0,0,((DATOSAÑO!$C370/DATOSAÑO!$E370)*1000)*DATOSAÑO!$E370/24)</f>
        <v>0</v>
      </c>
      <c r="O199" s="71">
        <f ca="1">IF(DATOSAÑO!$L370=0,0,((DATOSAÑO!$J370/DATOSAÑO!$L370)*1000)*DATOSAÑO!$L370/24)</f>
        <v>0</v>
      </c>
      <c r="P199" s="81">
        <f t="shared" ca="1" si="44"/>
        <v>0</v>
      </c>
      <c r="Q199" s="45">
        <f t="shared" ca="1" si="45"/>
        <v>0</v>
      </c>
      <c r="R199" s="56"/>
      <c r="S199" s="56"/>
      <c r="T199" s="56"/>
      <c r="U199" s="56"/>
      <c r="V199" s="56"/>
      <c r="W199" s="56"/>
    </row>
    <row r="200" spans="1:23">
      <c r="A200">
        <v>27</v>
      </c>
      <c r="B200" s="70">
        <f ca="1">IF(DATOSAÑO!E188=0,0,((DATOSAÑO!C188/DATOSAÑO!E188)*1000)*DATOSAÑO!E188/24)</f>
        <v>0</v>
      </c>
      <c r="C200" s="71">
        <f ca="1">IF(DATOSAÑO!L188=0,0,((DATOSAÑO!J188/DATOSAÑO!L188)*1000)*DATOSAÑO!L188/24)</f>
        <v>0</v>
      </c>
      <c r="D200" s="81">
        <f t="shared" ca="1" si="40"/>
        <v>0</v>
      </c>
      <c r="E200" s="45">
        <f t="shared" ca="1" si="41"/>
        <v>0</v>
      </c>
      <c r="F200" s="56"/>
      <c r="G200" s="56"/>
      <c r="H200" s="56"/>
      <c r="I200" s="56"/>
      <c r="J200" s="56"/>
      <c r="K200" s="56"/>
      <c r="M200">
        <v>27</v>
      </c>
      <c r="N200" s="70">
        <f ca="1">IF(DATOSAÑO!$E371=0,0,((DATOSAÑO!$C371/DATOSAÑO!$E371)*1000)*DATOSAÑO!$E371/24)</f>
        <v>0</v>
      </c>
      <c r="O200" s="71">
        <f ca="1">IF(DATOSAÑO!$L371=0,0,((DATOSAÑO!$J371/DATOSAÑO!$L371)*1000)*DATOSAÑO!$L371/24)</f>
        <v>0</v>
      </c>
      <c r="P200" s="81">
        <f t="shared" ca="1" si="44"/>
        <v>0</v>
      </c>
      <c r="Q200" s="45">
        <f t="shared" ca="1" si="45"/>
        <v>0</v>
      </c>
      <c r="R200" s="56"/>
      <c r="S200" s="56"/>
      <c r="T200" s="56"/>
      <c r="U200" s="56"/>
      <c r="V200" s="56"/>
      <c r="W200" s="56"/>
    </row>
    <row r="201" spans="1:23">
      <c r="A201">
        <v>28</v>
      </c>
      <c r="B201" s="70">
        <f ca="1">IF(DATOSAÑO!E189=0,0,((DATOSAÑO!C189/DATOSAÑO!E189)*1000)*DATOSAÑO!E189/24)</f>
        <v>0</v>
      </c>
      <c r="C201" s="71">
        <f ca="1">IF(DATOSAÑO!L189=0,0,((DATOSAÑO!J189/DATOSAÑO!L189)*1000)*DATOSAÑO!L189/24)</f>
        <v>0</v>
      </c>
      <c r="D201" s="81">
        <f t="shared" ca="1" si="40"/>
        <v>0</v>
      </c>
      <c r="E201" s="45">
        <f t="shared" ca="1" si="41"/>
        <v>0</v>
      </c>
      <c r="F201" s="56"/>
      <c r="G201" s="56"/>
      <c r="H201" s="56"/>
      <c r="I201" s="56"/>
      <c r="J201" s="56"/>
      <c r="K201" s="56"/>
      <c r="M201">
        <v>28</v>
      </c>
      <c r="N201" s="70">
        <f ca="1">IF(DATOSAÑO!$E372=0,0,((DATOSAÑO!$C372/DATOSAÑO!$E372)*1000)*DATOSAÑO!$E372/24)</f>
        <v>0</v>
      </c>
      <c r="O201" s="71">
        <f ca="1">IF(DATOSAÑO!$L372=0,0,((DATOSAÑO!$J372/DATOSAÑO!$L372)*1000)*DATOSAÑO!$L372/24)</f>
        <v>0</v>
      </c>
      <c r="P201" s="81">
        <f t="shared" ca="1" si="44"/>
        <v>0</v>
      </c>
      <c r="Q201" s="45">
        <f t="shared" ca="1" si="45"/>
        <v>0</v>
      </c>
      <c r="R201" s="56"/>
      <c r="S201" s="56"/>
      <c r="T201" s="56"/>
      <c r="U201" s="56"/>
      <c r="V201" s="56"/>
      <c r="W201" s="56"/>
    </row>
    <row r="202" spans="1:23">
      <c r="A202">
        <v>29</v>
      </c>
      <c r="B202" s="70">
        <f ca="1">IF(DATOSAÑO!E190=0,0,((DATOSAÑO!C190/DATOSAÑO!E190)*1000)*DATOSAÑO!E190/24)</f>
        <v>0</v>
      </c>
      <c r="C202" s="71">
        <f ca="1">IF(DATOSAÑO!L190=0,0,((DATOSAÑO!J190/DATOSAÑO!L190)*1000)*DATOSAÑO!L190/24)</f>
        <v>0</v>
      </c>
      <c r="D202" s="81">
        <f t="shared" ca="1" si="40"/>
        <v>0</v>
      </c>
      <c r="E202" s="45">
        <f t="shared" ca="1" si="41"/>
        <v>0</v>
      </c>
      <c r="F202" s="56"/>
      <c r="G202" s="56"/>
      <c r="H202" s="56"/>
      <c r="I202" s="56"/>
      <c r="J202" s="56"/>
      <c r="K202" s="56"/>
      <c r="M202">
        <v>29</v>
      </c>
      <c r="N202" s="70">
        <f ca="1">IF(DATOSAÑO!$E373=0,0,((DATOSAÑO!$C373/DATOSAÑO!$E373)*1000)*DATOSAÑO!$E373/24)</f>
        <v>0</v>
      </c>
      <c r="O202" s="71">
        <f ca="1">IF(DATOSAÑO!$L373=0,0,((DATOSAÑO!$J373/DATOSAÑO!$L373)*1000)*DATOSAÑO!$L373/24)</f>
        <v>0</v>
      </c>
      <c r="P202" s="81">
        <f t="shared" ca="1" si="44"/>
        <v>0</v>
      </c>
      <c r="Q202" s="45">
        <f t="shared" ca="1" si="45"/>
        <v>0</v>
      </c>
      <c r="R202" s="56"/>
      <c r="S202" s="56"/>
      <c r="T202" s="56"/>
      <c r="U202" s="56"/>
      <c r="V202" s="56"/>
      <c r="W202" s="56"/>
    </row>
    <row r="203" spans="1:23">
      <c r="A203">
        <v>30</v>
      </c>
      <c r="B203" s="70">
        <f ca="1">IF(DATOSAÑO!E191=0,0,((DATOSAÑO!C191/DATOSAÑO!E191)*1000)*DATOSAÑO!E191/24)</f>
        <v>0</v>
      </c>
      <c r="C203" s="71">
        <f ca="1">IF(DATOSAÑO!L191=0,0,((DATOSAÑO!J191/DATOSAÑO!L191)*1000)*DATOSAÑO!L191/24)</f>
        <v>0</v>
      </c>
      <c r="D203" s="81">
        <f t="shared" ca="1" si="40"/>
        <v>0</v>
      </c>
      <c r="E203" s="45">
        <f t="shared" ca="1" si="41"/>
        <v>0</v>
      </c>
      <c r="F203" s="56"/>
      <c r="G203" s="56"/>
      <c r="H203" s="56"/>
      <c r="I203" s="56"/>
      <c r="J203" s="56"/>
      <c r="K203" s="56"/>
      <c r="M203">
        <v>30</v>
      </c>
      <c r="N203" s="70">
        <f ca="1">IF(DATOSAÑO!$E374=0,0,((DATOSAÑO!$C374/DATOSAÑO!$E374)*1000)*DATOSAÑO!$E374/24)</f>
        <v>0</v>
      </c>
      <c r="O203" s="71">
        <f ca="1">IF(DATOSAÑO!$L374=0,0,((DATOSAÑO!$J374/DATOSAÑO!$L374)*1000)*DATOSAÑO!$L374/24)</f>
        <v>0</v>
      </c>
      <c r="P203" s="81">
        <f t="shared" ca="1" si="44"/>
        <v>0</v>
      </c>
      <c r="Q203" s="45">
        <f t="shared" ca="1" si="45"/>
        <v>0</v>
      </c>
      <c r="R203" s="56"/>
      <c r="S203" s="56"/>
      <c r="T203" s="56"/>
      <c r="U203" s="56"/>
      <c r="V203" s="56"/>
      <c r="W203" s="56"/>
    </row>
    <row r="204" spans="1:23" ht="15" thickBot="1">
      <c r="B204" s="72"/>
      <c r="C204" s="73"/>
      <c r="D204" s="79"/>
      <c r="E204" s="80"/>
      <c r="F204" s="56"/>
      <c r="G204" s="56"/>
      <c r="H204" s="56"/>
      <c r="I204" s="56"/>
      <c r="J204" s="56"/>
      <c r="K204" s="56"/>
      <c r="M204">
        <v>31</v>
      </c>
      <c r="N204" s="72">
        <f ca="1">IF(DATOSAÑO!$E375=0,0,((DATOSAÑO!$C375/DATOSAÑO!$E375)*1000)*DATOSAÑO!$E375/24)</f>
        <v>0</v>
      </c>
      <c r="O204" s="73">
        <f ca="1">IF(DATOSAÑO!$L375=0,0,((DATOSAÑO!$J375/DATOSAÑO!$L375)*1000)*DATOSAÑO!$L375/24)</f>
        <v>0</v>
      </c>
      <c r="P204" s="79">
        <f t="shared" ca="1" si="44"/>
        <v>0</v>
      </c>
      <c r="Q204" s="80">
        <f t="shared" ca="1" si="45"/>
        <v>0</v>
      </c>
      <c r="R204" s="56"/>
      <c r="S204" s="56"/>
      <c r="T204" s="56"/>
      <c r="U204" s="56"/>
      <c r="V204" s="56"/>
      <c r="W204" s="56"/>
    </row>
    <row r="205" spans="1:23" ht="15" thickTop="1"/>
    <row r="206" spans="1:23">
      <c r="D206" s="184"/>
      <c r="E206" s="184"/>
      <c r="F206" s="184"/>
    </row>
  </sheetData>
  <mergeCells count="48">
    <mergeCell ref="R174:S174"/>
    <mergeCell ref="R180:S180"/>
    <mergeCell ref="N138:Q138"/>
    <mergeCell ref="R138:W138"/>
    <mergeCell ref="R140:S140"/>
    <mergeCell ref="R146:S146"/>
    <mergeCell ref="N172:Q172"/>
    <mergeCell ref="R172:W172"/>
    <mergeCell ref="R78:S78"/>
    <mergeCell ref="N104:Q104"/>
    <mergeCell ref="R104:W104"/>
    <mergeCell ref="R106:S106"/>
    <mergeCell ref="R112:S112"/>
    <mergeCell ref="R38:S38"/>
    <mergeCell ref="R44:S44"/>
    <mergeCell ref="N70:Q70"/>
    <mergeCell ref="R70:W70"/>
    <mergeCell ref="R72:S72"/>
    <mergeCell ref="N2:Q2"/>
    <mergeCell ref="R2:W2"/>
    <mergeCell ref="R4:S4"/>
    <mergeCell ref="R10:S10"/>
    <mergeCell ref="N36:Q36"/>
    <mergeCell ref="R36:W36"/>
    <mergeCell ref="B172:E172"/>
    <mergeCell ref="F172:K172"/>
    <mergeCell ref="F146:G146"/>
    <mergeCell ref="F174:G174"/>
    <mergeCell ref="F180:G180"/>
    <mergeCell ref="F72:G72"/>
    <mergeCell ref="F78:G78"/>
    <mergeCell ref="B138:E138"/>
    <mergeCell ref="F138:K138"/>
    <mergeCell ref="F140:G140"/>
    <mergeCell ref="F112:G112"/>
    <mergeCell ref="B104:E104"/>
    <mergeCell ref="F104:K104"/>
    <mergeCell ref="F106:G106"/>
    <mergeCell ref="F38:G38"/>
    <mergeCell ref="F44:G44"/>
    <mergeCell ref="B70:E70"/>
    <mergeCell ref="F70:K70"/>
    <mergeCell ref="B2:E2"/>
    <mergeCell ref="F2:K2"/>
    <mergeCell ref="F4:G4"/>
    <mergeCell ref="F10:G10"/>
    <mergeCell ref="B36:E36"/>
    <mergeCell ref="F36:K3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60A680"/>
  </sheetPr>
  <dimension ref="A1:AS377"/>
  <sheetViews>
    <sheetView showGridLines="0" zoomScale="50" zoomScaleNormal="50" workbookViewId="0">
      <pane xSplit="2" ySplit="11" topLeftCell="C359" activePane="bottomRight" state="frozen"/>
      <selection activeCell="B24" sqref="B24"/>
      <selection pane="topRight" activeCell="B24" sqref="B24"/>
      <selection pane="bottomLeft" activeCell="B24" sqref="B24"/>
      <selection pane="bottomRight" activeCell="B4" sqref="B4"/>
    </sheetView>
  </sheetViews>
  <sheetFormatPr baseColWidth="10" defaultColWidth="9.21875" defaultRowHeight="14.4"/>
  <cols>
    <col min="1" max="1" width="1.21875" style="165" hidden="1" customWidth="1"/>
    <col min="2" max="2" width="14.5546875" style="1" customWidth="1"/>
    <col min="3" max="5" width="14" style="1" customWidth="1"/>
    <col min="6" max="6" width="18.21875" style="1" bestFit="1" customWidth="1"/>
    <col min="7" max="11" width="14" style="1" customWidth="1"/>
    <col min="12" max="12" width="13.77734375" style="1" customWidth="1"/>
    <col min="13" max="13" width="12.77734375" style="1" hidden="1" customWidth="1"/>
    <col min="14" max="14" width="12" style="1" hidden="1" customWidth="1"/>
    <col min="15" max="15" width="13.44140625" style="1" customWidth="1"/>
    <col min="16" max="16" width="16.21875" style="1" customWidth="1"/>
    <col min="17" max="34" width="14" style="1" customWidth="1"/>
    <col min="35" max="35" width="11.21875" style="1" customWidth="1"/>
    <col min="36" max="36" width="12.21875" style="1" customWidth="1"/>
    <col min="37" max="37" width="11.21875" style="1" customWidth="1"/>
    <col min="38" max="38" width="13.44140625" style="1" customWidth="1"/>
    <col min="39" max="39" width="11.77734375" style="1" customWidth="1"/>
    <col min="40" max="40" width="13.21875" style="1" customWidth="1"/>
    <col min="41" max="41" width="11" style="1" customWidth="1"/>
    <col min="42" max="42" width="13.77734375" style="1" customWidth="1"/>
    <col min="43" max="43" width="11.44140625" style="1" customWidth="1"/>
    <col min="44" max="44" width="13.21875" style="1" customWidth="1"/>
    <col min="45" max="45" width="9.21875" style="405"/>
    <col min="46" max="194" width="9.21875" style="1"/>
    <col min="195" max="195" width="0.77734375" style="1" customWidth="1"/>
    <col min="196" max="196" width="11.44140625" style="1" bestFit="1" customWidth="1"/>
    <col min="197" max="197" width="13.44140625" style="1" customWidth="1"/>
    <col min="198" max="200" width="13.21875" style="1" customWidth="1"/>
    <col min="201" max="214" width="13.44140625" style="1" customWidth="1"/>
    <col min="215" max="215" width="14" style="1" customWidth="1"/>
    <col min="216" max="216" width="13.5546875" style="1" customWidth="1"/>
    <col min="217" max="217" width="48.44140625" style="1" customWidth="1"/>
    <col min="218" max="450" width="9.21875" style="1"/>
    <col min="451" max="451" width="0.77734375" style="1" customWidth="1"/>
    <col min="452" max="452" width="11.44140625" style="1" bestFit="1" customWidth="1"/>
    <col min="453" max="453" width="13.44140625" style="1" customWidth="1"/>
    <col min="454" max="456" width="13.21875" style="1" customWidth="1"/>
    <col min="457" max="470" width="13.44140625" style="1" customWidth="1"/>
    <col min="471" max="471" width="14" style="1" customWidth="1"/>
    <col min="472" max="472" width="13.5546875" style="1" customWidth="1"/>
    <col min="473" max="473" width="48.44140625" style="1" customWidth="1"/>
    <col min="474" max="706" width="9.21875" style="1"/>
    <col min="707" max="707" width="0.77734375" style="1" customWidth="1"/>
    <col min="708" max="708" width="11.44140625" style="1" bestFit="1" customWidth="1"/>
    <col min="709" max="709" width="13.44140625" style="1" customWidth="1"/>
    <col min="710" max="712" width="13.21875" style="1" customWidth="1"/>
    <col min="713" max="726" width="13.44140625" style="1" customWidth="1"/>
    <col min="727" max="727" width="14" style="1" customWidth="1"/>
    <col min="728" max="728" width="13.5546875" style="1" customWidth="1"/>
    <col min="729" max="729" width="48.44140625" style="1" customWidth="1"/>
    <col min="730" max="962" width="9.21875" style="1"/>
    <col min="963" max="963" width="0.77734375" style="1" customWidth="1"/>
    <col min="964" max="964" width="11.44140625" style="1" bestFit="1" customWidth="1"/>
    <col min="965" max="965" width="13.44140625" style="1" customWidth="1"/>
    <col min="966" max="968" width="13.21875" style="1" customWidth="1"/>
    <col min="969" max="982" width="13.44140625" style="1" customWidth="1"/>
    <col min="983" max="983" width="14" style="1" customWidth="1"/>
    <col min="984" max="984" width="13.5546875" style="1" customWidth="1"/>
    <col min="985" max="985" width="48.44140625" style="1" customWidth="1"/>
    <col min="986" max="1218" width="9.21875" style="1"/>
    <col min="1219" max="1219" width="0.77734375" style="1" customWidth="1"/>
    <col min="1220" max="1220" width="11.44140625" style="1" bestFit="1" customWidth="1"/>
    <col min="1221" max="1221" width="13.44140625" style="1" customWidth="1"/>
    <col min="1222" max="1224" width="13.21875" style="1" customWidth="1"/>
    <col min="1225" max="1238" width="13.44140625" style="1" customWidth="1"/>
    <col min="1239" max="1239" width="14" style="1" customWidth="1"/>
    <col min="1240" max="1240" width="13.5546875" style="1" customWidth="1"/>
    <col min="1241" max="1241" width="48.44140625" style="1" customWidth="1"/>
    <col min="1242" max="1474" width="9.21875" style="1"/>
    <col min="1475" max="1475" width="0.77734375" style="1" customWidth="1"/>
    <col min="1476" max="1476" width="11.44140625" style="1" bestFit="1" customWidth="1"/>
    <col min="1477" max="1477" width="13.44140625" style="1" customWidth="1"/>
    <col min="1478" max="1480" width="13.21875" style="1" customWidth="1"/>
    <col min="1481" max="1494" width="13.44140625" style="1" customWidth="1"/>
    <col min="1495" max="1495" width="14" style="1" customWidth="1"/>
    <col min="1496" max="1496" width="13.5546875" style="1" customWidth="1"/>
    <col min="1497" max="1497" width="48.44140625" style="1" customWidth="1"/>
    <col min="1498" max="1730" width="9.21875" style="1"/>
    <col min="1731" max="1731" width="0.77734375" style="1" customWidth="1"/>
    <col min="1732" max="1732" width="11.44140625" style="1" bestFit="1" customWidth="1"/>
    <col min="1733" max="1733" width="13.44140625" style="1" customWidth="1"/>
    <col min="1734" max="1736" width="13.21875" style="1" customWidth="1"/>
    <col min="1737" max="1750" width="13.44140625" style="1" customWidth="1"/>
    <col min="1751" max="1751" width="14" style="1" customWidth="1"/>
    <col min="1752" max="1752" width="13.5546875" style="1" customWidth="1"/>
    <col min="1753" max="1753" width="48.44140625" style="1" customWidth="1"/>
    <col min="1754" max="1986" width="9.21875" style="1"/>
    <col min="1987" max="1987" width="0.77734375" style="1" customWidth="1"/>
    <col min="1988" max="1988" width="11.44140625" style="1" bestFit="1" customWidth="1"/>
    <col min="1989" max="1989" width="13.44140625" style="1" customWidth="1"/>
    <col min="1990" max="1992" width="13.21875" style="1" customWidth="1"/>
    <col min="1993" max="2006" width="13.44140625" style="1" customWidth="1"/>
    <col min="2007" max="2007" width="14" style="1" customWidth="1"/>
    <col min="2008" max="2008" width="13.5546875" style="1" customWidth="1"/>
    <col min="2009" max="2009" width="48.44140625" style="1" customWidth="1"/>
    <col min="2010" max="2242" width="9.21875" style="1"/>
    <col min="2243" max="2243" width="0.77734375" style="1" customWidth="1"/>
    <col min="2244" max="2244" width="11.44140625" style="1" bestFit="1" customWidth="1"/>
    <col min="2245" max="2245" width="13.44140625" style="1" customWidth="1"/>
    <col min="2246" max="2248" width="13.21875" style="1" customWidth="1"/>
    <col min="2249" max="2262" width="13.44140625" style="1" customWidth="1"/>
    <col min="2263" max="2263" width="14" style="1" customWidth="1"/>
    <col min="2264" max="2264" width="13.5546875" style="1" customWidth="1"/>
    <col min="2265" max="2265" width="48.44140625" style="1" customWidth="1"/>
    <col min="2266" max="2498" width="9.21875" style="1"/>
    <col min="2499" max="2499" width="0.77734375" style="1" customWidth="1"/>
    <col min="2500" max="2500" width="11.44140625" style="1" bestFit="1" customWidth="1"/>
    <col min="2501" max="2501" width="13.44140625" style="1" customWidth="1"/>
    <col min="2502" max="2504" width="13.21875" style="1" customWidth="1"/>
    <col min="2505" max="2518" width="13.44140625" style="1" customWidth="1"/>
    <col min="2519" max="2519" width="14" style="1" customWidth="1"/>
    <col min="2520" max="2520" width="13.5546875" style="1" customWidth="1"/>
    <col min="2521" max="2521" width="48.44140625" style="1" customWidth="1"/>
    <col min="2522" max="2754" width="9.21875" style="1"/>
    <col min="2755" max="2755" width="0.77734375" style="1" customWidth="1"/>
    <col min="2756" max="2756" width="11.44140625" style="1" bestFit="1" customWidth="1"/>
    <col min="2757" max="2757" width="13.44140625" style="1" customWidth="1"/>
    <col min="2758" max="2760" width="13.21875" style="1" customWidth="1"/>
    <col min="2761" max="2774" width="13.44140625" style="1" customWidth="1"/>
    <col min="2775" max="2775" width="14" style="1" customWidth="1"/>
    <col min="2776" max="2776" width="13.5546875" style="1" customWidth="1"/>
    <col min="2777" max="2777" width="48.44140625" style="1" customWidth="1"/>
    <col min="2778" max="3010" width="9.21875" style="1"/>
    <col min="3011" max="3011" width="0.77734375" style="1" customWidth="1"/>
    <col min="3012" max="3012" width="11.44140625" style="1" bestFit="1" customWidth="1"/>
    <col min="3013" max="3013" width="13.44140625" style="1" customWidth="1"/>
    <col min="3014" max="3016" width="13.21875" style="1" customWidth="1"/>
    <col min="3017" max="3030" width="13.44140625" style="1" customWidth="1"/>
    <col min="3031" max="3031" width="14" style="1" customWidth="1"/>
    <col min="3032" max="3032" width="13.5546875" style="1" customWidth="1"/>
    <col min="3033" max="3033" width="48.44140625" style="1" customWidth="1"/>
    <col min="3034" max="3266" width="9.21875" style="1"/>
    <col min="3267" max="3267" width="0.77734375" style="1" customWidth="1"/>
    <col min="3268" max="3268" width="11.44140625" style="1" bestFit="1" customWidth="1"/>
    <col min="3269" max="3269" width="13.44140625" style="1" customWidth="1"/>
    <col min="3270" max="3272" width="13.21875" style="1" customWidth="1"/>
    <col min="3273" max="3286" width="13.44140625" style="1" customWidth="1"/>
    <col min="3287" max="3287" width="14" style="1" customWidth="1"/>
    <col min="3288" max="3288" width="13.5546875" style="1" customWidth="1"/>
    <col min="3289" max="3289" width="48.44140625" style="1" customWidth="1"/>
    <col min="3290" max="3522" width="9.21875" style="1"/>
    <col min="3523" max="3523" width="0.77734375" style="1" customWidth="1"/>
    <col min="3524" max="3524" width="11.44140625" style="1" bestFit="1" customWidth="1"/>
    <col min="3525" max="3525" width="13.44140625" style="1" customWidth="1"/>
    <col min="3526" max="3528" width="13.21875" style="1" customWidth="1"/>
    <col min="3529" max="3542" width="13.44140625" style="1" customWidth="1"/>
    <col min="3543" max="3543" width="14" style="1" customWidth="1"/>
    <col min="3544" max="3544" width="13.5546875" style="1" customWidth="1"/>
    <col min="3545" max="3545" width="48.44140625" style="1" customWidth="1"/>
    <col min="3546" max="3778" width="9.21875" style="1"/>
    <col min="3779" max="3779" width="0.77734375" style="1" customWidth="1"/>
    <col min="3780" max="3780" width="11.44140625" style="1" bestFit="1" customWidth="1"/>
    <col min="3781" max="3781" width="13.44140625" style="1" customWidth="1"/>
    <col min="3782" max="3784" width="13.21875" style="1" customWidth="1"/>
    <col min="3785" max="3798" width="13.44140625" style="1" customWidth="1"/>
    <col min="3799" max="3799" width="14" style="1" customWidth="1"/>
    <col min="3800" max="3800" width="13.5546875" style="1" customWidth="1"/>
    <col min="3801" max="3801" width="48.44140625" style="1" customWidth="1"/>
    <col min="3802" max="4034" width="9.21875" style="1"/>
    <col min="4035" max="4035" width="0.77734375" style="1" customWidth="1"/>
    <col min="4036" max="4036" width="11.44140625" style="1" bestFit="1" customWidth="1"/>
    <col min="4037" max="4037" width="13.44140625" style="1" customWidth="1"/>
    <col min="4038" max="4040" width="13.21875" style="1" customWidth="1"/>
    <col min="4041" max="4054" width="13.44140625" style="1" customWidth="1"/>
    <col min="4055" max="4055" width="14" style="1" customWidth="1"/>
    <col min="4056" max="4056" width="13.5546875" style="1" customWidth="1"/>
    <col min="4057" max="4057" width="48.44140625" style="1" customWidth="1"/>
    <col min="4058" max="4290" width="9.21875" style="1"/>
    <col min="4291" max="4291" width="0.77734375" style="1" customWidth="1"/>
    <col min="4292" max="4292" width="11.44140625" style="1" bestFit="1" customWidth="1"/>
    <col min="4293" max="4293" width="13.44140625" style="1" customWidth="1"/>
    <col min="4294" max="4296" width="13.21875" style="1" customWidth="1"/>
    <col min="4297" max="4310" width="13.44140625" style="1" customWidth="1"/>
    <col min="4311" max="4311" width="14" style="1" customWidth="1"/>
    <col min="4312" max="4312" width="13.5546875" style="1" customWidth="1"/>
    <col min="4313" max="4313" width="48.44140625" style="1" customWidth="1"/>
    <col min="4314" max="4546" width="9.21875" style="1"/>
    <col min="4547" max="4547" width="0.77734375" style="1" customWidth="1"/>
    <col min="4548" max="4548" width="11.44140625" style="1" bestFit="1" customWidth="1"/>
    <col min="4549" max="4549" width="13.44140625" style="1" customWidth="1"/>
    <col min="4550" max="4552" width="13.21875" style="1" customWidth="1"/>
    <col min="4553" max="4566" width="13.44140625" style="1" customWidth="1"/>
    <col min="4567" max="4567" width="14" style="1" customWidth="1"/>
    <col min="4568" max="4568" width="13.5546875" style="1" customWidth="1"/>
    <col min="4569" max="4569" width="48.44140625" style="1" customWidth="1"/>
    <col min="4570" max="4802" width="9.21875" style="1"/>
    <col min="4803" max="4803" width="0.77734375" style="1" customWidth="1"/>
    <col min="4804" max="4804" width="11.44140625" style="1" bestFit="1" customWidth="1"/>
    <col min="4805" max="4805" width="13.44140625" style="1" customWidth="1"/>
    <col min="4806" max="4808" width="13.21875" style="1" customWidth="1"/>
    <col min="4809" max="4822" width="13.44140625" style="1" customWidth="1"/>
    <col min="4823" max="4823" width="14" style="1" customWidth="1"/>
    <col min="4824" max="4824" width="13.5546875" style="1" customWidth="1"/>
    <col min="4825" max="4825" width="48.44140625" style="1" customWidth="1"/>
    <col min="4826" max="5058" width="9.21875" style="1"/>
    <col min="5059" max="5059" width="0.77734375" style="1" customWidth="1"/>
    <col min="5060" max="5060" width="11.44140625" style="1" bestFit="1" customWidth="1"/>
    <col min="5061" max="5061" width="13.44140625" style="1" customWidth="1"/>
    <col min="5062" max="5064" width="13.21875" style="1" customWidth="1"/>
    <col min="5065" max="5078" width="13.44140625" style="1" customWidth="1"/>
    <col min="5079" max="5079" width="14" style="1" customWidth="1"/>
    <col min="5080" max="5080" width="13.5546875" style="1" customWidth="1"/>
    <col min="5081" max="5081" width="48.44140625" style="1" customWidth="1"/>
    <col min="5082" max="5314" width="9.21875" style="1"/>
    <col min="5315" max="5315" width="0.77734375" style="1" customWidth="1"/>
    <col min="5316" max="5316" width="11.44140625" style="1" bestFit="1" customWidth="1"/>
    <col min="5317" max="5317" width="13.44140625" style="1" customWidth="1"/>
    <col min="5318" max="5320" width="13.21875" style="1" customWidth="1"/>
    <col min="5321" max="5334" width="13.44140625" style="1" customWidth="1"/>
    <col min="5335" max="5335" width="14" style="1" customWidth="1"/>
    <col min="5336" max="5336" width="13.5546875" style="1" customWidth="1"/>
    <col min="5337" max="5337" width="48.44140625" style="1" customWidth="1"/>
    <col min="5338" max="5570" width="9.21875" style="1"/>
    <col min="5571" max="5571" width="0.77734375" style="1" customWidth="1"/>
    <col min="5572" max="5572" width="11.44140625" style="1" bestFit="1" customWidth="1"/>
    <col min="5573" max="5573" width="13.44140625" style="1" customWidth="1"/>
    <col min="5574" max="5576" width="13.21875" style="1" customWidth="1"/>
    <col min="5577" max="5590" width="13.44140625" style="1" customWidth="1"/>
    <col min="5591" max="5591" width="14" style="1" customWidth="1"/>
    <col min="5592" max="5592" width="13.5546875" style="1" customWidth="1"/>
    <col min="5593" max="5593" width="48.44140625" style="1" customWidth="1"/>
    <col min="5594" max="5826" width="9.21875" style="1"/>
    <col min="5827" max="5827" width="0.77734375" style="1" customWidth="1"/>
    <col min="5828" max="5828" width="11.44140625" style="1" bestFit="1" customWidth="1"/>
    <col min="5829" max="5829" width="13.44140625" style="1" customWidth="1"/>
    <col min="5830" max="5832" width="13.21875" style="1" customWidth="1"/>
    <col min="5833" max="5846" width="13.44140625" style="1" customWidth="1"/>
    <col min="5847" max="5847" width="14" style="1" customWidth="1"/>
    <col min="5848" max="5848" width="13.5546875" style="1" customWidth="1"/>
    <col min="5849" max="5849" width="48.44140625" style="1" customWidth="1"/>
    <col min="5850" max="6082" width="9.21875" style="1"/>
    <col min="6083" max="6083" width="0.77734375" style="1" customWidth="1"/>
    <col min="6084" max="6084" width="11.44140625" style="1" bestFit="1" customWidth="1"/>
    <col min="6085" max="6085" width="13.44140625" style="1" customWidth="1"/>
    <col min="6086" max="6088" width="13.21875" style="1" customWidth="1"/>
    <col min="6089" max="6102" width="13.44140625" style="1" customWidth="1"/>
    <col min="6103" max="6103" width="14" style="1" customWidth="1"/>
    <col min="6104" max="6104" width="13.5546875" style="1" customWidth="1"/>
    <col min="6105" max="6105" width="48.44140625" style="1" customWidth="1"/>
    <col min="6106" max="6338" width="9.21875" style="1"/>
    <col min="6339" max="6339" width="0.77734375" style="1" customWidth="1"/>
    <col min="6340" max="6340" width="11.44140625" style="1" bestFit="1" customWidth="1"/>
    <col min="6341" max="6341" width="13.44140625" style="1" customWidth="1"/>
    <col min="6342" max="6344" width="13.21875" style="1" customWidth="1"/>
    <col min="6345" max="6358" width="13.44140625" style="1" customWidth="1"/>
    <col min="6359" max="6359" width="14" style="1" customWidth="1"/>
    <col min="6360" max="6360" width="13.5546875" style="1" customWidth="1"/>
    <col min="6361" max="6361" width="48.44140625" style="1" customWidth="1"/>
    <col min="6362" max="6594" width="9.21875" style="1"/>
    <col min="6595" max="6595" width="0.77734375" style="1" customWidth="1"/>
    <col min="6596" max="6596" width="11.44140625" style="1" bestFit="1" customWidth="1"/>
    <col min="6597" max="6597" width="13.44140625" style="1" customWidth="1"/>
    <col min="6598" max="6600" width="13.21875" style="1" customWidth="1"/>
    <col min="6601" max="6614" width="13.44140625" style="1" customWidth="1"/>
    <col min="6615" max="6615" width="14" style="1" customWidth="1"/>
    <col min="6616" max="6616" width="13.5546875" style="1" customWidth="1"/>
    <col min="6617" max="6617" width="48.44140625" style="1" customWidth="1"/>
    <col min="6618" max="6850" width="9.21875" style="1"/>
    <col min="6851" max="6851" width="0.77734375" style="1" customWidth="1"/>
    <col min="6852" max="6852" width="11.44140625" style="1" bestFit="1" customWidth="1"/>
    <col min="6853" max="6853" width="13.44140625" style="1" customWidth="1"/>
    <col min="6854" max="6856" width="13.21875" style="1" customWidth="1"/>
    <col min="6857" max="6870" width="13.44140625" style="1" customWidth="1"/>
    <col min="6871" max="6871" width="14" style="1" customWidth="1"/>
    <col min="6872" max="6872" width="13.5546875" style="1" customWidth="1"/>
    <col min="6873" max="6873" width="48.44140625" style="1" customWidth="1"/>
    <col min="6874" max="7106" width="9.21875" style="1"/>
    <col min="7107" max="7107" width="0.77734375" style="1" customWidth="1"/>
    <col min="7108" max="7108" width="11.44140625" style="1" bestFit="1" customWidth="1"/>
    <col min="7109" max="7109" width="13.44140625" style="1" customWidth="1"/>
    <col min="7110" max="7112" width="13.21875" style="1" customWidth="1"/>
    <col min="7113" max="7126" width="13.44140625" style="1" customWidth="1"/>
    <col min="7127" max="7127" width="14" style="1" customWidth="1"/>
    <col min="7128" max="7128" width="13.5546875" style="1" customWidth="1"/>
    <col min="7129" max="7129" width="48.44140625" style="1" customWidth="1"/>
    <col min="7130" max="7362" width="9.21875" style="1"/>
    <col min="7363" max="7363" width="0.77734375" style="1" customWidth="1"/>
    <col min="7364" max="7364" width="11.44140625" style="1" bestFit="1" customWidth="1"/>
    <col min="7365" max="7365" width="13.44140625" style="1" customWidth="1"/>
    <col min="7366" max="7368" width="13.21875" style="1" customWidth="1"/>
    <col min="7369" max="7382" width="13.44140625" style="1" customWidth="1"/>
    <col min="7383" max="7383" width="14" style="1" customWidth="1"/>
    <col min="7384" max="7384" width="13.5546875" style="1" customWidth="1"/>
    <col min="7385" max="7385" width="48.44140625" style="1" customWidth="1"/>
    <col min="7386" max="7618" width="9.21875" style="1"/>
    <col min="7619" max="7619" width="0.77734375" style="1" customWidth="1"/>
    <col min="7620" max="7620" width="11.44140625" style="1" bestFit="1" customWidth="1"/>
    <col min="7621" max="7621" width="13.44140625" style="1" customWidth="1"/>
    <col min="7622" max="7624" width="13.21875" style="1" customWidth="1"/>
    <col min="7625" max="7638" width="13.44140625" style="1" customWidth="1"/>
    <col min="7639" max="7639" width="14" style="1" customWidth="1"/>
    <col min="7640" max="7640" width="13.5546875" style="1" customWidth="1"/>
    <col min="7641" max="7641" width="48.44140625" style="1" customWidth="1"/>
    <col min="7642" max="7874" width="9.21875" style="1"/>
    <col min="7875" max="7875" width="0.77734375" style="1" customWidth="1"/>
    <col min="7876" max="7876" width="11.44140625" style="1" bestFit="1" customWidth="1"/>
    <col min="7877" max="7877" width="13.44140625" style="1" customWidth="1"/>
    <col min="7878" max="7880" width="13.21875" style="1" customWidth="1"/>
    <col min="7881" max="7894" width="13.44140625" style="1" customWidth="1"/>
    <col min="7895" max="7895" width="14" style="1" customWidth="1"/>
    <col min="7896" max="7896" width="13.5546875" style="1" customWidth="1"/>
    <col min="7897" max="7897" width="48.44140625" style="1" customWidth="1"/>
    <col min="7898" max="8130" width="9.21875" style="1"/>
    <col min="8131" max="8131" width="0.77734375" style="1" customWidth="1"/>
    <col min="8132" max="8132" width="11.44140625" style="1" bestFit="1" customWidth="1"/>
    <col min="8133" max="8133" width="13.44140625" style="1" customWidth="1"/>
    <col min="8134" max="8136" width="13.21875" style="1" customWidth="1"/>
    <col min="8137" max="8150" width="13.44140625" style="1" customWidth="1"/>
    <col min="8151" max="8151" width="14" style="1" customWidth="1"/>
    <col min="8152" max="8152" width="13.5546875" style="1" customWidth="1"/>
    <col min="8153" max="8153" width="48.44140625" style="1" customWidth="1"/>
    <col min="8154" max="8386" width="9.21875" style="1"/>
    <col min="8387" max="8387" width="0.77734375" style="1" customWidth="1"/>
    <col min="8388" max="8388" width="11.44140625" style="1" bestFit="1" customWidth="1"/>
    <col min="8389" max="8389" width="13.44140625" style="1" customWidth="1"/>
    <col min="8390" max="8392" width="13.21875" style="1" customWidth="1"/>
    <col min="8393" max="8406" width="13.44140625" style="1" customWidth="1"/>
    <col min="8407" max="8407" width="14" style="1" customWidth="1"/>
    <col min="8408" max="8408" width="13.5546875" style="1" customWidth="1"/>
    <col min="8409" max="8409" width="48.44140625" style="1" customWidth="1"/>
    <col min="8410" max="8642" width="9.21875" style="1"/>
    <col min="8643" max="8643" width="0.77734375" style="1" customWidth="1"/>
    <col min="8644" max="8644" width="11.44140625" style="1" bestFit="1" customWidth="1"/>
    <col min="8645" max="8645" width="13.44140625" style="1" customWidth="1"/>
    <col min="8646" max="8648" width="13.21875" style="1" customWidth="1"/>
    <col min="8649" max="8662" width="13.44140625" style="1" customWidth="1"/>
    <col min="8663" max="8663" width="14" style="1" customWidth="1"/>
    <col min="8664" max="8664" width="13.5546875" style="1" customWidth="1"/>
    <col min="8665" max="8665" width="48.44140625" style="1" customWidth="1"/>
    <col min="8666" max="8898" width="9.21875" style="1"/>
    <col min="8899" max="8899" width="0.77734375" style="1" customWidth="1"/>
    <col min="8900" max="8900" width="11.44140625" style="1" bestFit="1" customWidth="1"/>
    <col min="8901" max="8901" width="13.44140625" style="1" customWidth="1"/>
    <col min="8902" max="8904" width="13.21875" style="1" customWidth="1"/>
    <col min="8905" max="8918" width="13.44140625" style="1" customWidth="1"/>
    <col min="8919" max="8919" width="14" style="1" customWidth="1"/>
    <col min="8920" max="8920" width="13.5546875" style="1" customWidth="1"/>
    <col min="8921" max="8921" width="48.44140625" style="1" customWidth="1"/>
    <col min="8922" max="9154" width="9.21875" style="1"/>
    <col min="9155" max="9155" width="0.77734375" style="1" customWidth="1"/>
    <col min="9156" max="9156" width="11.44140625" style="1" bestFit="1" customWidth="1"/>
    <col min="9157" max="9157" width="13.44140625" style="1" customWidth="1"/>
    <col min="9158" max="9160" width="13.21875" style="1" customWidth="1"/>
    <col min="9161" max="9174" width="13.44140625" style="1" customWidth="1"/>
    <col min="9175" max="9175" width="14" style="1" customWidth="1"/>
    <col min="9176" max="9176" width="13.5546875" style="1" customWidth="1"/>
    <col min="9177" max="9177" width="48.44140625" style="1" customWidth="1"/>
    <col min="9178" max="9410" width="9.21875" style="1"/>
    <col min="9411" max="9411" width="0.77734375" style="1" customWidth="1"/>
    <col min="9412" max="9412" width="11.44140625" style="1" bestFit="1" customWidth="1"/>
    <col min="9413" max="9413" width="13.44140625" style="1" customWidth="1"/>
    <col min="9414" max="9416" width="13.21875" style="1" customWidth="1"/>
    <col min="9417" max="9430" width="13.44140625" style="1" customWidth="1"/>
    <col min="9431" max="9431" width="14" style="1" customWidth="1"/>
    <col min="9432" max="9432" width="13.5546875" style="1" customWidth="1"/>
    <col min="9433" max="9433" width="48.44140625" style="1" customWidth="1"/>
    <col min="9434" max="9666" width="9.21875" style="1"/>
    <col min="9667" max="9667" width="0.77734375" style="1" customWidth="1"/>
    <col min="9668" max="9668" width="11.44140625" style="1" bestFit="1" customWidth="1"/>
    <col min="9669" max="9669" width="13.44140625" style="1" customWidth="1"/>
    <col min="9670" max="9672" width="13.21875" style="1" customWidth="1"/>
    <col min="9673" max="9686" width="13.44140625" style="1" customWidth="1"/>
    <col min="9687" max="9687" width="14" style="1" customWidth="1"/>
    <col min="9688" max="9688" width="13.5546875" style="1" customWidth="1"/>
    <col min="9689" max="9689" width="48.44140625" style="1" customWidth="1"/>
    <col min="9690" max="9922" width="9.21875" style="1"/>
    <col min="9923" max="9923" width="0.77734375" style="1" customWidth="1"/>
    <col min="9924" max="9924" width="11.44140625" style="1" bestFit="1" customWidth="1"/>
    <col min="9925" max="9925" width="13.44140625" style="1" customWidth="1"/>
    <col min="9926" max="9928" width="13.21875" style="1" customWidth="1"/>
    <col min="9929" max="9942" width="13.44140625" style="1" customWidth="1"/>
    <col min="9943" max="9943" width="14" style="1" customWidth="1"/>
    <col min="9944" max="9944" width="13.5546875" style="1" customWidth="1"/>
    <col min="9945" max="9945" width="48.44140625" style="1" customWidth="1"/>
    <col min="9946" max="10178" width="9.21875" style="1"/>
    <col min="10179" max="10179" width="0.77734375" style="1" customWidth="1"/>
    <col min="10180" max="10180" width="11.44140625" style="1" bestFit="1" customWidth="1"/>
    <col min="10181" max="10181" width="13.44140625" style="1" customWidth="1"/>
    <col min="10182" max="10184" width="13.21875" style="1" customWidth="1"/>
    <col min="10185" max="10198" width="13.44140625" style="1" customWidth="1"/>
    <col min="10199" max="10199" width="14" style="1" customWidth="1"/>
    <col min="10200" max="10200" width="13.5546875" style="1" customWidth="1"/>
    <col min="10201" max="10201" width="48.44140625" style="1" customWidth="1"/>
    <col min="10202" max="10434" width="9.21875" style="1"/>
    <col min="10435" max="10435" width="0.77734375" style="1" customWidth="1"/>
    <col min="10436" max="10436" width="11.44140625" style="1" bestFit="1" customWidth="1"/>
    <col min="10437" max="10437" width="13.44140625" style="1" customWidth="1"/>
    <col min="10438" max="10440" width="13.21875" style="1" customWidth="1"/>
    <col min="10441" max="10454" width="13.44140625" style="1" customWidth="1"/>
    <col min="10455" max="10455" width="14" style="1" customWidth="1"/>
    <col min="10456" max="10456" width="13.5546875" style="1" customWidth="1"/>
    <col min="10457" max="10457" width="48.44140625" style="1" customWidth="1"/>
    <col min="10458" max="10690" width="9.21875" style="1"/>
    <col min="10691" max="10691" width="0.77734375" style="1" customWidth="1"/>
    <col min="10692" max="10692" width="11.44140625" style="1" bestFit="1" customWidth="1"/>
    <col min="10693" max="10693" width="13.44140625" style="1" customWidth="1"/>
    <col min="10694" max="10696" width="13.21875" style="1" customWidth="1"/>
    <col min="10697" max="10710" width="13.44140625" style="1" customWidth="1"/>
    <col min="10711" max="10711" width="14" style="1" customWidth="1"/>
    <col min="10712" max="10712" width="13.5546875" style="1" customWidth="1"/>
    <col min="10713" max="10713" width="48.44140625" style="1" customWidth="1"/>
    <col min="10714" max="10946" width="9.21875" style="1"/>
    <col min="10947" max="10947" width="0.77734375" style="1" customWidth="1"/>
    <col min="10948" max="10948" width="11.44140625" style="1" bestFit="1" customWidth="1"/>
    <col min="10949" max="10949" width="13.44140625" style="1" customWidth="1"/>
    <col min="10950" max="10952" width="13.21875" style="1" customWidth="1"/>
    <col min="10953" max="10966" width="13.44140625" style="1" customWidth="1"/>
    <col min="10967" max="10967" width="14" style="1" customWidth="1"/>
    <col min="10968" max="10968" width="13.5546875" style="1" customWidth="1"/>
    <col min="10969" max="10969" width="48.44140625" style="1" customWidth="1"/>
    <col min="10970" max="11202" width="9.21875" style="1"/>
    <col min="11203" max="11203" width="0.77734375" style="1" customWidth="1"/>
    <col min="11204" max="11204" width="11.44140625" style="1" bestFit="1" customWidth="1"/>
    <col min="11205" max="11205" width="13.44140625" style="1" customWidth="1"/>
    <col min="11206" max="11208" width="13.21875" style="1" customWidth="1"/>
    <col min="11209" max="11222" width="13.44140625" style="1" customWidth="1"/>
    <col min="11223" max="11223" width="14" style="1" customWidth="1"/>
    <col min="11224" max="11224" width="13.5546875" style="1" customWidth="1"/>
    <col min="11225" max="11225" width="48.44140625" style="1" customWidth="1"/>
    <col min="11226" max="11458" width="9.21875" style="1"/>
    <col min="11459" max="11459" width="0.77734375" style="1" customWidth="1"/>
    <col min="11460" max="11460" width="11.44140625" style="1" bestFit="1" customWidth="1"/>
    <col min="11461" max="11461" width="13.44140625" style="1" customWidth="1"/>
    <col min="11462" max="11464" width="13.21875" style="1" customWidth="1"/>
    <col min="11465" max="11478" width="13.44140625" style="1" customWidth="1"/>
    <col min="11479" max="11479" width="14" style="1" customWidth="1"/>
    <col min="11480" max="11480" width="13.5546875" style="1" customWidth="1"/>
    <col min="11481" max="11481" width="48.44140625" style="1" customWidth="1"/>
    <col min="11482" max="11714" width="9.21875" style="1"/>
    <col min="11715" max="11715" width="0.77734375" style="1" customWidth="1"/>
    <col min="11716" max="11716" width="11.44140625" style="1" bestFit="1" customWidth="1"/>
    <col min="11717" max="11717" width="13.44140625" style="1" customWidth="1"/>
    <col min="11718" max="11720" width="13.21875" style="1" customWidth="1"/>
    <col min="11721" max="11734" width="13.44140625" style="1" customWidth="1"/>
    <col min="11735" max="11735" width="14" style="1" customWidth="1"/>
    <col min="11736" max="11736" width="13.5546875" style="1" customWidth="1"/>
    <col min="11737" max="11737" width="48.44140625" style="1" customWidth="1"/>
    <col min="11738" max="11970" width="9.21875" style="1"/>
    <col min="11971" max="11971" width="0.77734375" style="1" customWidth="1"/>
    <col min="11972" max="11972" width="11.44140625" style="1" bestFit="1" customWidth="1"/>
    <col min="11973" max="11973" width="13.44140625" style="1" customWidth="1"/>
    <col min="11974" max="11976" width="13.21875" style="1" customWidth="1"/>
    <col min="11977" max="11990" width="13.44140625" style="1" customWidth="1"/>
    <col min="11991" max="11991" width="14" style="1" customWidth="1"/>
    <col min="11992" max="11992" width="13.5546875" style="1" customWidth="1"/>
    <col min="11993" max="11993" width="48.44140625" style="1" customWidth="1"/>
    <col min="11994" max="12226" width="9.21875" style="1"/>
    <col min="12227" max="12227" width="0.77734375" style="1" customWidth="1"/>
    <col min="12228" max="12228" width="11.44140625" style="1" bestFit="1" customWidth="1"/>
    <col min="12229" max="12229" width="13.44140625" style="1" customWidth="1"/>
    <col min="12230" max="12232" width="13.21875" style="1" customWidth="1"/>
    <col min="12233" max="12246" width="13.44140625" style="1" customWidth="1"/>
    <col min="12247" max="12247" width="14" style="1" customWidth="1"/>
    <col min="12248" max="12248" width="13.5546875" style="1" customWidth="1"/>
    <col min="12249" max="12249" width="48.44140625" style="1" customWidth="1"/>
    <col min="12250" max="12482" width="9.21875" style="1"/>
    <col min="12483" max="12483" width="0.77734375" style="1" customWidth="1"/>
    <col min="12484" max="12484" width="11.44140625" style="1" bestFit="1" customWidth="1"/>
    <col min="12485" max="12485" width="13.44140625" style="1" customWidth="1"/>
    <col min="12486" max="12488" width="13.21875" style="1" customWidth="1"/>
    <col min="12489" max="12502" width="13.44140625" style="1" customWidth="1"/>
    <col min="12503" max="12503" width="14" style="1" customWidth="1"/>
    <col min="12504" max="12504" width="13.5546875" style="1" customWidth="1"/>
    <col min="12505" max="12505" width="48.44140625" style="1" customWidth="1"/>
    <col min="12506" max="12738" width="9.21875" style="1"/>
    <col min="12739" max="12739" width="0.77734375" style="1" customWidth="1"/>
    <col min="12740" max="12740" width="11.44140625" style="1" bestFit="1" customWidth="1"/>
    <col min="12741" max="12741" width="13.44140625" style="1" customWidth="1"/>
    <col min="12742" max="12744" width="13.21875" style="1" customWidth="1"/>
    <col min="12745" max="12758" width="13.44140625" style="1" customWidth="1"/>
    <col min="12759" max="12759" width="14" style="1" customWidth="1"/>
    <col min="12760" max="12760" width="13.5546875" style="1" customWidth="1"/>
    <col min="12761" max="12761" width="48.44140625" style="1" customWidth="1"/>
    <col min="12762" max="12994" width="9.21875" style="1"/>
    <col min="12995" max="12995" width="0.77734375" style="1" customWidth="1"/>
    <col min="12996" max="12996" width="11.44140625" style="1" bestFit="1" customWidth="1"/>
    <col min="12997" max="12997" width="13.44140625" style="1" customWidth="1"/>
    <col min="12998" max="13000" width="13.21875" style="1" customWidth="1"/>
    <col min="13001" max="13014" width="13.44140625" style="1" customWidth="1"/>
    <col min="13015" max="13015" width="14" style="1" customWidth="1"/>
    <col min="13016" max="13016" width="13.5546875" style="1" customWidth="1"/>
    <col min="13017" max="13017" width="48.44140625" style="1" customWidth="1"/>
    <col min="13018" max="13250" width="9.21875" style="1"/>
    <col min="13251" max="13251" width="0.77734375" style="1" customWidth="1"/>
    <col min="13252" max="13252" width="11.44140625" style="1" bestFit="1" customWidth="1"/>
    <col min="13253" max="13253" width="13.44140625" style="1" customWidth="1"/>
    <col min="13254" max="13256" width="13.21875" style="1" customWidth="1"/>
    <col min="13257" max="13270" width="13.44140625" style="1" customWidth="1"/>
    <col min="13271" max="13271" width="14" style="1" customWidth="1"/>
    <col min="13272" max="13272" width="13.5546875" style="1" customWidth="1"/>
    <col min="13273" max="13273" width="48.44140625" style="1" customWidth="1"/>
    <col min="13274" max="13506" width="9.21875" style="1"/>
    <col min="13507" max="13507" width="0.77734375" style="1" customWidth="1"/>
    <col min="13508" max="13508" width="11.44140625" style="1" bestFit="1" customWidth="1"/>
    <col min="13509" max="13509" width="13.44140625" style="1" customWidth="1"/>
    <col min="13510" max="13512" width="13.21875" style="1" customWidth="1"/>
    <col min="13513" max="13526" width="13.44140625" style="1" customWidth="1"/>
    <col min="13527" max="13527" width="14" style="1" customWidth="1"/>
    <col min="13528" max="13528" width="13.5546875" style="1" customWidth="1"/>
    <col min="13529" max="13529" width="48.44140625" style="1" customWidth="1"/>
    <col min="13530" max="13762" width="9.21875" style="1"/>
    <col min="13763" max="13763" width="0.77734375" style="1" customWidth="1"/>
    <col min="13764" max="13764" width="11.44140625" style="1" bestFit="1" customWidth="1"/>
    <col min="13765" max="13765" width="13.44140625" style="1" customWidth="1"/>
    <col min="13766" max="13768" width="13.21875" style="1" customWidth="1"/>
    <col min="13769" max="13782" width="13.44140625" style="1" customWidth="1"/>
    <col min="13783" max="13783" width="14" style="1" customWidth="1"/>
    <col min="13784" max="13784" width="13.5546875" style="1" customWidth="1"/>
    <col min="13785" max="13785" width="48.44140625" style="1" customWidth="1"/>
    <col min="13786" max="14018" width="9.21875" style="1"/>
    <col min="14019" max="14019" width="0.77734375" style="1" customWidth="1"/>
    <col min="14020" max="14020" width="11.44140625" style="1" bestFit="1" customWidth="1"/>
    <col min="14021" max="14021" width="13.44140625" style="1" customWidth="1"/>
    <col min="14022" max="14024" width="13.21875" style="1" customWidth="1"/>
    <col min="14025" max="14038" width="13.44140625" style="1" customWidth="1"/>
    <col min="14039" max="14039" width="14" style="1" customWidth="1"/>
    <col min="14040" max="14040" width="13.5546875" style="1" customWidth="1"/>
    <col min="14041" max="14041" width="48.44140625" style="1" customWidth="1"/>
    <col min="14042" max="14274" width="9.21875" style="1"/>
    <col min="14275" max="14275" width="0.77734375" style="1" customWidth="1"/>
    <col min="14276" max="14276" width="11.44140625" style="1" bestFit="1" customWidth="1"/>
    <col min="14277" max="14277" width="13.44140625" style="1" customWidth="1"/>
    <col min="14278" max="14280" width="13.21875" style="1" customWidth="1"/>
    <col min="14281" max="14294" width="13.44140625" style="1" customWidth="1"/>
    <col min="14295" max="14295" width="14" style="1" customWidth="1"/>
    <col min="14296" max="14296" width="13.5546875" style="1" customWidth="1"/>
    <col min="14297" max="14297" width="48.44140625" style="1" customWidth="1"/>
    <col min="14298" max="14530" width="9.21875" style="1"/>
    <col min="14531" max="14531" width="0.77734375" style="1" customWidth="1"/>
    <col min="14532" max="14532" width="11.44140625" style="1" bestFit="1" customWidth="1"/>
    <col min="14533" max="14533" width="13.44140625" style="1" customWidth="1"/>
    <col min="14534" max="14536" width="13.21875" style="1" customWidth="1"/>
    <col min="14537" max="14550" width="13.44140625" style="1" customWidth="1"/>
    <col min="14551" max="14551" width="14" style="1" customWidth="1"/>
    <col min="14552" max="14552" width="13.5546875" style="1" customWidth="1"/>
    <col min="14553" max="14553" width="48.44140625" style="1" customWidth="1"/>
    <col min="14554" max="14786" width="9.21875" style="1"/>
    <col min="14787" max="14787" width="0.77734375" style="1" customWidth="1"/>
    <col min="14788" max="14788" width="11.44140625" style="1" bestFit="1" customWidth="1"/>
    <col min="14789" max="14789" width="13.44140625" style="1" customWidth="1"/>
    <col min="14790" max="14792" width="13.21875" style="1" customWidth="1"/>
    <col min="14793" max="14806" width="13.44140625" style="1" customWidth="1"/>
    <col min="14807" max="14807" width="14" style="1" customWidth="1"/>
    <col min="14808" max="14808" width="13.5546875" style="1" customWidth="1"/>
    <col min="14809" max="14809" width="48.44140625" style="1" customWidth="1"/>
    <col min="14810" max="15042" width="9.21875" style="1"/>
    <col min="15043" max="15043" width="0.77734375" style="1" customWidth="1"/>
    <col min="15044" max="15044" width="11.44140625" style="1" bestFit="1" customWidth="1"/>
    <col min="15045" max="15045" width="13.44140625" style="1" customWidth="1"/>
    <col min="15046" max="15048" width="13.21875" style="1" customWidth="1"/>
    <col min="15049" max="15062" width="13.44140625" style="1" customWidth="1"/>
    <col min="15063" max="15063" width="14" style="1" customWidth="1"/>
    <col min="15064" max="15064" width="13.5546875" style="1" customWidth="1"/>
    <col min="15065" max="15065" width="48.44140625" style="1" customWidth="1"/>
    <col min="15066" max="15298" width="9.21875" style="1"/>
    <col min="15299" max="15299" width="0.77734375" style="1" customWidth="1"/>
    <col min="15300" max="15300" width="11.44140625" style="1" bestFit="1" customWidth="1"/>
    <col min="15301" max="15301" width="13.44140625" style="1" customWidth="1"/>
    <col min="15302" max="15304" width="13.21875" style="1" customWidth="1"/>
    <col min="15305" max="15318" width="13.44140625" style="1" customWidth="1"/>
    <col min="15319" max="15319" width="14" style="1" customWidth="1"/>
    <col min="15320" max="15320" width="13.5546875" style="1" customWidth="1"/>
    <col min="15321" max="15321" width="48.44140625" style="1" customWidth="1"/>
    <col min="15322" max="15554" width="9.21875" style="1"/>
    <col min="15555" max="15555" width="0.77734375" style="1" customWidth="1"/>
    <col min="15556" max="15556" width="11.44140625" style="1" bestFit="1" customWidth="1"/>
    <col min="15557" max="15557" width="13.44140625" style="1" customWidth="1"/>
    <col min="15558" max="15560" width="13.21875" style="1" customWidth="1"/>
    <col min="15561" max="15574" width="13.44140625" style="1" customWidth="1"/>
    <col min="15575" max="15575" width="14" style="1" customWidth="1"/>
    <col min="15576" max="15576" width="13.5546875" style="1" customWidth="1"/>
    <col min="15577" max="15577" width="48.44140625" style="1" customWidth="1"/>
    <col min="15578" max="15810" width="9.21875" style="1"/>
    <col min="15811" max="15811" width="0.77734375" style="1" customWidth="1"/>
    <col min="15812" max="15812" width="11.44140625" style="1" bestFit="1" customWidth="1"/>
    <col min="15813" max="15813" width="13.44140625" style="1" customWidth="1"/>
    <col min="15814" max="15816" width="13.21875" style="1" customWidth="1"/>
    <col min="15817" max="15830" width="13.44140625" style="1" customWidth="1"/>
    <col min="15831" max="15831" width="14" style="1" customWidth="1"/>
    <col min="15832" max="15832" width="13.5546875" style="1" customWidth="1"/>
    <col min="15833" max="15833" width="48.44140625" style="1" customWidth="1"/>
    <col min="15834" max="16066" width="9.21875" style="1"/>
    <col min="16067" max="16067" width="0.77734375" style="1" customWidth="1"/>
    <col min="16068" max="16068" width="11.44140625" style="1" bestFit="1" customWidth="1"/>
    <col min="16069" max="16069" width="13.44140625" style="1" customWidth="1"/>
    <col min="16070" max="16072" width="13.21875" style="1" customWidth="1"/>
    <col min="16073" max="16086" width="13.44140625" style="1" customWidth="1"/>
    <col min="16087" max="16087" width="14" style="1" customWidth="1"/>
    <col min="16088" max="16088" width="13.5546875" style="1" customWidth="1"/>
    <col min="16089" max="16089" width="48.44140625" style="1" customWidth="1"/>
    <col min="16090" max="16384" width="9.21875" style="1"/>
  </cols>
  <sheetData>
    <row r="1" spans="1:45" ht="12.75" customHeight="1"/>
    <row r="2" spans="1:45" ht="13.05" customHeight="1"/>
    <row r="3" spans="1:45" ht="13.05" customHeight="1">
      <c r="F3" s="26" t="s">
        <v>1</v>
      </c>
      <c r="G3" s="2175">
        <f>INICIO!D12</f>
        <v>45078</v>
      </c>
      <c r="H3" s="2175"/>
    </row>
    <row r="4" spans="1:45" ht="13.05" customHeight="1">
      <c r="F4" s="26" t="s">
        <v>2</v>
      </c>
      <c r="G4" s="2175">
        <f>INICIO!D13</f>
        <v>45107</v>
      </c>
      <c r="H4" s="2175"/>
      <c r="I4" s="2066"/>
      <c r="J4" s="2066"/>
      <c r="L4" s="165"/>
    </row>
    <row r="5" spans="1:45" ht="13.05" customHeight="1">
      <c r="F5" s="26" t="s">
        <v>18</v>
      </c>
      <c r="G5" s="2175">
        <f ca="1">TODAY()-1</f>
        <v>45125</v>
      </c>
      <c r="H5" s="2175"/>
      <c r="I5" s="2066"/>
      <c r="J5" s="2066"/>
      <c r="L5" s="165"/>
    </row>
    <row r="6" spans="1:45" ht="13.05" customHeight="1" thickBot="1">
      <c r="F6" s="1632" t="s">
        <v>1336</v>
      </c>
      <c r="G6" s="1633">
        <f ca="1">G5</f>
        <v>45125</v>
      </c>
    </row>
    <row r="7" spans="1:45" ht="15" hidden="1" thickBot="1">
      <c r="B7" s="161"/>
      <c r="C7" s="162">
        <v>30</v>
      </c>
      <c r="D7" s="162">
        <v>31</v>
      </c>
      <c r="E7" s="162">
        <v>32</v>
      </c>
      <c r="F7" s="162">
        <v>33</v>
      </c>
      <c r="G7" s="162">
        <v>34</v>
      </c>
      <c r="H7" s="162">
        <v>35</v>
      </c>
      <c r="I7" s="162">
        <v>36</v>
      </c>
      <c r="J7" s="162">
        <v>37</v>
      </c>
      <c r="K7" s="162">
        <v>38</v>
      </c>
      <c r="L7" s="162">
        <v>39</v>
      </c>
      <c r="M7" s="162"/>
      <c r="N7" s="162"/>
      <c r="O7" s="162"/>
      <c r="P7" s="162"/>
      <c r="Q7" s="162">
        <v>40</v>
      </c>
      <c r="R7" s="162">
        <v>41</v>
      </c>
      <c r="S7" s="162"/>
      <c r="T7" s="162"/>
      <c r="U7" s="162"/>
      <c r="V7" s="162"/>
      <c r="W7" s="162"/>
      <c r="X7" s="162"/>
      <c r="Y7" s="162"/>
      <c r="Z7" s="162"/>
      <c r="AA7" s="162"/>
      <c r="AB7" s="162"/>
      <c r="AC7" s="162"/>
      <c r="AD7" s="162"/>
    </row>
    <row r="8" spans="1:45" ht="39.75" customHeight="1" thickBot="1">
      <c r="B8" s="2162" t="s">
        <v>1504</v>
      </c>
      <c r="C8" s="2163"/>
      <c r="D8" s="2163"/>
      <c r="E8" s="2163"/>
      <c r="F8" s="2163"/>
      <c r="G8" s="2163"/>
      <c r="H8" s="2163"/>
      <c r="I8" s="2163"/>
      <c r="J8" s="2163"/>
      <c r="K8" s="2163"/>
      <c r="L8" s="2163"/>
      <c r="M8" s="2163"/>
      <c r="N8" s="2163"/>
      <c r="O8" s="2164"/>
      <c r="P8" s="2164"/>
      <c r="Q8" s="2163"/>
      <c r="R8" s="2163"/>
      <c r="S8" s="2163"/>
      <c r="T8" s="2163"/>
      <c r="U8" s="2163"/>
      <c r="V8" s="2163"/>
      <c r="W8" s="2163"/>
      <c r="X8" s="2163"/>
      <c r="Y8" s="2163"/>
      <c r="Z8" s="2163"/>
      <c r="AA8" s="2163"/>
      <c r="AB8" s="2163"/>
      <c r="AC8" s="2163"/>
      <c r="AD8" s="2163"/>
      <c r="AE8" s="2163"/>
      <c r="AF8" s="2163"/>
      <c r="AG8" s="2163"/>
      <c r="AH8" s="2165"/>
      <c r="AI8" s="2162" t="s">
        <v>1377</v>
      </c>
      <c r="AJ8" s="2164"/>
      <c r="AK8" s="2164"/>
      <c r="AL8" s="2164"/>
      <c r="AM8" s="2164"/>
      <c r="AN8" s="2164"/>
      <c r="AO8" s="2164"/>
      <c r="AP8" s="2164"/>
      <c r="AQ8" s="2164"/>
      <c r="AR8" s="2165"/>
    </row>
    <row r="9" spans="1:45" ht="32.25" customHeight="1" thickBot="1">
      <c r="B9" s="2166" t="s">
        <v>4</v>
      </c>
      <c r="C9" s="2169" t="s">
        <v>190</v>
      </c>
      <c r="D9" s="2170"/>
      <c r="E9" s="2170"/>
      <c r="F9" s="2170"/>
      <c r="G9" s="2170"/>
      <c r="H9" s="2170"/>
      <c r="I9" s="2170"/>
      <c r="J9" s="2170"/>
      <c r="K9" s="2170"/>
      <c r="L9" s="2170"/>
      <c r="M9" s="185"/>
      <c r="N9" s="185"/>
      <c r="O9" s="323"/>
      <c r="P9" s="323"/>
      <c r="Q9" s="2169" t="s">
        <v>191</v>
      </c>
      <c r="R9" s="2170"/>
      <c r="S9" s="2170"/>
      <c r="T9" s="2170"/>
      <c r="U9" s="2170"/>
      <c r="V9" s="2170"/>
      <c r="W9" s="2170"/>
      <c r="X9" s="2170"/>
      <c r="Y9" s="2170"/>
      <c r="Z9" s="2170"/>
      <c r="AA9" s="2170"/>
      <c r="AB9" s="2170"/>
      <c r="AC9" s="2170"/>
      <c r="AD9" s="2170"/>
      <c r="AE9" s="2170"/>
      <c r="AF9" s="2170"/>
      <c r="AG9" s="2170"/>
      <c r="AH9" s="2171"/>
      <c r="AI9" s="2169" t="s">
        <v>1241</v>
      </c>
      <c r="AJ9" s="2176"/>
      <c r="AK9" s="2176"/>
      <c r="AL9" s="2176"/>
      <c r="AM9" s="2176"/>
      <c r="AN9" s="2176"/>
      <c r="AO9" s="2176"/>
      <c r="AP9" s="2176"/>
      <c r="AQ9" s="2176"/>
      <c r="AR9" s="2171"/>
    </row>
    <row r="10" spans="1:45" ht="34.5" customHeight="1" thickBot="1">
      <c r="B10" s="2167"/>
      <c r="C10" s="2172" t="s">
        <v>76</v>
      </c>
      <c r="D10" s="2173"/>
      <c r="E10" s="2174"/>
      <c r="F10" s="2172" t="s">
        <v>192</v>
      </c>
      <c r="G10" s="2173"/>
      <c r="H10" s="2174"/>
      <c r="I10" s="2172" t="s">
        <v>193</v>
      </c>
      <c r="J10" s="2174"/>
      <c r="K10" s="2172" t="s">
        <v>194</v>
      </c>
      <c r="L10" s="2174"/>
      <c r="M10" s="2172" t="s">
        <v>195</v>
      </c>
      <c r="N10" s="2174"/>
      <c r="O10" s="1281" t="s">
        <v>193</v>
      </c>
      <c r="P10" s="1280" t="s">
        <v>194</v>
      </c>
      <c r="Q10" s="2172" t="s">
        <v>13</v>
      </c>
      <c r="R10" s="2174"/>
      <c r="S10" s="2172" t="s">
        <v>196</v>
      </c>
      <c r="T10" s="2174"/>
      <c r="U10" s="2160" t="s">
        <v>164</v>
      </c>
      <c r="V10" s="2161"/>
      <c r="W10" s="2160" t="s">
        <v>197</v>
      </c>
      <c r="X10" s="2161"/>
      <c r="Y10" s="2160" t="s">
        <v>161</v>
      </c>
      <c r="Z10" s="2161"/>
      <c r="AA10" s="2160" t="s">
        <v>162</v>
      </c>
      <c r="AB10" s="2161"/>
      <c r="AC10" s="2160" t="s">
        <v>198</v>
      </c>
      <c r="AD10" s="2161"/>
      <c r="AE10" s="2160" t="s">
        <v>199</v>
      </c>
      <c r="AF10" s="2161"/>
      <c r="AG10" s="2160" t="s">
        <v>200</v>
      </c>
      <c r="AH10" s="2161"/>
      <c r="AI10" s="2160" t="s">
        <v>1228</v>
      </c>
      <c r="AJ10" s="2161"/>
      <c r="AK10" s="2160" t="s">
        <v>1229</v>
      </c>
      <c r="AL10" s="2161"/>
      <c r="AM10" s="2160" t="s">
        <v>1230</v>
      </c>
      <c r="AN10" s="2161"/>
      <c r="AO10" s="2160" t="s">
        <v>1234</v>
      </c>
      <c r="AP10" s="2161"/>
      <c r="AQ10" s="2160" t="s">
        <v>1240</v>
      </c>
      <c r="AR10" s="2161"/>
    </row>
    <row r="11" spans="1:45" ht="40.5" customHeight="1" thickBot="1">
      <c r="A11" s="1370" t="s">
        <v>1336</v>
      </c>
      <c r="B11" s="2168"/>
      <c r="C11" s="186" t="s">
        <v>11</v>
      </c>
      <c r="D11" s="191" t="s">
        <v>9</v>
      </c>
      <c r="E11" s="192" t="s">
        <v>201</v>
      </c>
      <c r="F11" s="186" t="s">
        <v>11</v>
      </c>
      <c r="G11" s="191" t="s">
        <v>9</v>
      </c>
      <c r="H11" s="192" t="s">
        <v>201</v>
      </c>
      <c r="I11" s="186" t="s">
        <v>11</v>
      </c>
      <c r="J11" s="192" t="s">
        <v>201</v>
      </c>
      <c r="K11" s="186" t="s">
        <v>11</v>
      </c>
      <c r="L11" s="192" t="s">
        <v>201</v>
      </c>
      <c r="M11" s="186" t="s">
        <v>11</v>
      </c>
      <c r="N11" s="192" t="s">
        <v>201</v>
      </c>
      <c r="O11" s="186" t="s">
        <v>416</v>
      </c>
      <c r="P11" s="192" t="s">
        <v>581</v>
      </c>
      <c r="Q11" s="186" t="s">
        <v>11</v>
      </c>
      <c r="R11" s="192" t="s">
        <v>9</v>
      </c>
      <c r="S11" s="186" t="s">
        <v>11</v>
      </c>
      <c r="T11" s="192" t="s">
        <v>9</v>
      </c>
      <c r="U11" s="186" t="s">
        <v>11</v>
      </c>
      <c r="V11" s="192" t="s">
        <v>9</v>
      </c>
      <c r="W11" s="186" t="s">
        <v>11</v>
      </c>
      <c r="X11" s="192" t="s">
        <v>9</v>
      </c>
      <c r="Y11" s="186" t="s">
        <v>11</v>
      </c>
      <c r="Z11" s="192" t="s">
        <v>9</v>
      </c>
      <c r="AA11" s="186" t="s">
        <v>11</v>
      </c>
      <c r="AB11" s="192" t="s">
        <v>9</v>
      </c>
      <c r="AC11" s="186" t="s">
        <v>11</v>
      </c>
      <c r="AD11" s="192" t="s">
        <v>9</v>
      </c>
      <c r="AE11" s="186" t="s">
        <v>11</v>
      </c>
      <c r="AF11" s="192" t="s">
        <v>9</v>
      </c>
      <c r="AG11" s="186" t="s">
        <v>11</v>
      </c>
      <c r="AH11" s="192" t="s">
        <v>9</v>
      </c>
      <c r="AI11" s="186" t="s">
        <v>11</v>
      </c>
      <c r="AJ11" s="192" t="s">
        <v>9</v>
      </c>
      <c r="AK11" s="186" t="s">
        <v>11</v>
      </c>
      <c r="AL11" s="192" t="s">
        <v>9</v>
      </c>
      <c r="AM11" s="186" t="s">
        <v>11</v>
      </c>
      <c r="AN11" s="192" t="s">
        <v>9</v>
      </c>
      <c r="AO11" s="186" t="s">
        <v>11</v>
      </c>
      <c r="AP11" s="192" t="s">
        <v>9</v>
      </c>
      <c r="AQ11" s="186" t="s">
        <v>11</v>
      </c>
      <c r="AR11" s="192" t="s">
        <v>9</v>
      </c>
      <c r="AS11" s="1337" t="s">
        <v>1340</v>
      </c>
    </row>
    <row r="12" spans="1:45" ht="16.5" customHeight="1" thickBot="1">
      <c r="A12" s="1371">
        <v>44927</v>
      </c>
      <c r="B12" s="1021">
        <v>44927</v>
      </c>
      <c r="C12" s="173">
        <f ca="1">DATOSAÑO!I11</f>
        <v>143.53999999992084</v>
      </c>
      <c r="D12" s="174">
        <f ca="1">DATOSAÑO!$D11</f>
        <v>3.3164106404488516</v>
      </c>
      <c r="E12" s="175">
        <f ca="1">DATOSAÑO!$G11</f>
        <v>0</v>
      </c>
      <c r="F12" s="9">
        <f ca="1">DATOSAÑO!P11</f>
        <v>281.23999999999978</v>
      </c>
      <c r="G12" s="10">
        <f ca="1">DATOSAÑO!K11</f>
        <v>4.3375567078651684</v>
      </c>
      <c r="H12" s="11">
        <f ca="1">DATOSAÑO!N11</f>
        <v>0</v>
      </c>
      <c r="I12" s="9">
        <f ca="1">DATOSAÑO!Q11</f>
        <v>0</v>
      </c>
      <c r="J12" s="11">
        <f ca="1">DATOSAÑO!R11</f>
        <v>0</v>
      </c>
      <c r="K12" s="9">
        <f ca="1">DATOSAÑO!T11</f>
        <v>0</v>
      </c>
      <c r="L12" s="11">
        <f ca="1">K12*120</f>
        <v>0</v>
      </c>
      <c r="M12" s="9"/>
      <c r="N12" s="11">
        <f>M12*120</f>
        <v>0</v>
      </c>
      <c r="O12" s="9">
        <f>DATOSAÑO!CT11</f>
        <v>0</v>
      </c>
      <c r="P12" s="9">
        <f>DATOSAÑO!CU11</f>
        <v>0</v>
      </c>
      <c r="Q12" s="9">
        <f ca="1">DATOSAÑO!AD11</f>
        <v>157.19999999995343</v>
      </c>
      <c r="R12" s="11">
        <f ca="1">(Q12*DATOSAÑO!$Z$11)/DATOSAÑO!$Y$11</f>
        <v>2.8325337048703618</v>
      </c>
      <c r="S12" s="9">
        <f ca="1">DATOSAÑO!AF11</f>
        <v>134.70000000001164</v>
      </c>
      <c r="T12" s="11">
        <f ca="1">(S12*DATOSAÑO!$Z$11)/DATOSAÑO!$Y$11</f>
        <v>2.4271138043650367</v>
      </c>
      <c r="U12" s="9">
        <f ca="1">DATOSAÑO!AH11</f>
        <v>8.0999999999985448</v>
      </c>
      <c r="V12" s="11">
        <f ca="1">(U12*DATOSAÑO!$Z$11)/DATOSAÑO!$Y$11</f>
        <v>0.1459511641822685</v>
      </c>
      <c r="W12" s="9">
        <f ca="1">DATOSAÑO!AI11</f>
        <v>41.92000000000553</v>
      </c>
      <c r="X12" s="11">
        <f ca="1">(W12*DATOSAÑO!$Z$11)/DATOSAÑO!$Y$11</f>
        <v>0.75534232129908652</v>
      </c>
      <c r="Y12" s="9">
        <f ca="1">DATOSAÑO!AJ11</f>
        <v>7.2299999999959255</v>
      </c>
      <c r="Z12" s="11">
        <f ca="1">(Y12*DATOSAÑO!$Z$11)/DATOSAÑO!$Y$11</f>
        <v>0.13027492802930815</v>
      </c>
      <c r="AA12" s="9">
        <f ca="1">DATOSAÑO!AK11</f>
        <v>14.880000000004657</v>
      </c>
      <c r="AB12" s="11">
        <f ca="1">(AA12*DATOSAÑO!$Z$11)/DATOSAÑO!$Y$11</f>
        <v>0.26811769420163273</v>
      </c>
      <c r="AC12" s="9">
        <f ca="1">DATOSAÑO!AL11</f>
        <v>31.64999999997417</v>
      </c>
      <c r="AD12" s="11">
        <f ca="1">(AC12*DATOSAÑO!$Z$11)/DATOSAÑO!$Y$11</f>
        <v>0.5702906600451676</v>
      </c>
      <c r="AE12" s="9">
        <f ca="1">DATOSAÑO!AM11</f>
        <v>10.697999999976988</v>
      </c>
      <c r="AF12" s="11">
        <f ca="1">(AE12*DATOSAÑO!$Z$11)/DATOSAÑO!$Y$11</f>
        <v>0.19276364869368276</v>
      </c>
      <c r="AG12" s="9">
        <f ca="1">DATOSAÑO!AN11</f>
        <v>3.0980000000000185</v>
      </c>
      <c r="AH12" s="11">
        <f ca="1">(AG12*DATOSAÑO!$Z$11)/DATOSAÑO!$Y$11</f>
        <v>5.5821815634166876E-2</v>
      </c>
      <c r="AI12" s="9">
        <f ca="1">DATOSAÑO!BS11</f>
        <v>0</v>
      </c>
      <c r="AJ12" s="11">
        <f ca="1">(AI12*DATOSAÑO!$Z$11)/DATOSAÑO!$Y$11</f>
        <v>0</v>
      </c>
      <c r="AK12" s="9">
        <f ca="1">DATOSAÑO!BV11</f>
        <v>3.738</v>
      </c>
      <c r="AL12" s="11">
        <f ca="1">(AK12*DATOSAÑO!$Z$11)/DATOSAÑO!$Y$11</f>
        <v>6.7353759470792307E-2</v>
      </c>
      <c r="AM12" s="9">
        <f ca="1">DATOSAÑO!BY11</f>
        <v>3.1139999999999999</v>
      </c>
      <c r="AN12" s="11">
        <f ca="1">(AM12*DATOSAÑO!$Z$11)/DATOSAÑO!$Y$11</f>
        <v>5.6110114230082185E-2</v>
      </c>
      <c r="AO12" s="9">
        <f ca="1">DATOSAÑO!CF11</f>
        <v>12.418999999988202</v>
      </c>
      <c r="AP12" s="11">
        <f ca="1">(AO12*DATOSAÑO!$Z$11)/DATOSAÑO!$Y$11</f>
        <v>0.22377376641706126</v>
      </c>
      <c r="AQ12" s="9">
        <f ca="1">DATOSAÑO!CL11</f>
        <v>2.6212000000000071</v>
      </c>
      <c r="AR12" s="1300">
        <f ca="1">(AQ12*DATOSAÑO!$Z$11)/DATOSAÑO!$Y$11</f>
        <v>4.7230517475880487E-2</v>
      </c>
      <c r="AS12" s="1333">
        <f>WEEKNUM(B12,1)</f>
        <v>1</v>
      </c>
    </row>
    <row r="13" spans="1:45" ht="15" thickBot="1">
      <c r="A13" s="1371">
        <v>44928</v>
      </c>
      <c r="B13" s="1021">
        <v>44928</v>
      </c>
      <c r="C13" s="9">
        <f ca="1">DATOSAÑO!I12</f>
        <v>148.60000000009313</v>
      </c>
      <c r="D13" s="10">
        <f ca="1">DATOSAÑO!$D12</f>
        <v>3.3539342359557471</v>
      </c>
      <c r="E13" s="11">
        <f ca="1">DATOSAÑO!$G12</f>
        <v>0</v>
      </c>
      <c r="F13" s="9">
        <f ca="1">DATOSAÑO!P12</f>
        <v>294.14999999999964</v>
      </c>
      <c r="G13" s="10">
        <f ca="1">DATOSAÑO!K12</f>
        <v>4.4332937865168525</v>
      </c>
      <c r="H13" s="11">
        <f ca="1">DATOSAÑO!N12</f>
        <v>0</v>
      </c>
      <c r="I13" s="9">
        <f ca="1">DATOSAÑO!Q12</f>
        <v>0</v>
      </c>
      <c r="J13" s="11">
        <f ca="1">DATOSAÑO!R12</f>
        <v>0</v>
      </c>
      <c r="K13" s="9">
        <f ca="1">DATOSAÑO!T12</f>
        <v>0</v>
      </c>
      <c r="L13" s="11">
        <f t="shared" ref="L13:L75" ca="1" si="0">K13*120</f>
        <v>0</v>
      </c>
      <c r="M13" s="9"/>
      <c r="N13" s="11">
        <f t="shared" ref="N13:N75" si="1">M13*120</f>
        <v>0</v>
      </c>
      <c r="O13" s="9">
        <f>DATOSAÑO!CT12</f>
        <v>0</v>
      </c>
      <c r="P13" s="9">
        <f>DATOSAÑO!CU12</f>
        <v>0</v>
      </c>
      <c r="Q13" s="9">
        <f ca="1">DATOSAÑO!AD12</f>
        <v>162.30000000004657</v>
      </c>
      <c r="R13" s="11">
        <f ca="1">(Q13*DATOSAÑO!$Z$11)/DATOSAÑO!$Y$11</f>
        <v>2.9244288823201519</v>
      </c>
      <c r="S13" s="9">
        <f ca="1">DATOSAÑO!AF12</f>
        <v>142.09999999997672</v>
      </c>
      <c r="T13" s="11">
        <f ca="1">(S13*DATOSAÑO!$Z$11)/DATOSAÑO!$Y$11</f>
        <v>2.5604519049753924</v>
      </c>
      <c r="U13" s="9">
        <f ca="1">DATOSAÑO!AH12</f>
        <v>11.19999999999709</v>
      </c>
      <c r="V13" s="11">
        <f ca="1">(U13*DATOSAÑO!$Z$11)/DATOSAÑO!$Y$11</f>
        <v>0.20180901714089827</v>
      </c>
      <c r="W13" s="9">
        <f ca="1">DATOSAÑO!AI12</f>
        <v>43.020000000004075</v>
      </c>
      <c r="X13" s="11">
        <f ca="1">(W13*DATOSAÑO!$Z$11)/DATOSAÑO!$Y$11</f>
        <v>0.77516284976826089</v>
      </c>
      <c r="Y13" s="9">
        <f ca="1">DATOSAÑO!AJ12</f>
        <v>7.3600000000005821</v>
      </c>
      <c r="Z13" s="11">
        <f ca="1">(Y13*DATOSAÑO!$Z$11)/DATOSAÑO!$Y$11</f>
        <v>0.13261735412120668</v>
      </c>
      <c r="AA13" s="9">
        <f ca="1">DATOSAÑO!AK12</f>
        <v>16.100000000005821</v>
      </c>
      <c r="AB13" s="11">
        <f ca="1">(AA13*DATOSAÑO!$Z$11)/DATOSAÑO!$Y$11</f>
        <v>0.2901004621402215</v>
      </c>
      <c r="AC13" s="9">
        <f ca="1">DATOSAÑO!AL12</f>
        <v>33.070000000027051</v>
      </c>
      <c r="AD13" s="11">
        <f ca="1">(AC13*DATOSAÑO!$Z$11)/DATOSAÑO!$Y$11</f>
        <v>0.59587716043363392</v>
      </c>
      <c r="AE13" s="9">
        <f ca="1">DATOSAÑO!AM12</f>
        <v>7.6860000000346362</v>
      </c>
      <c r="AF13" s="11">
        <f ca="1">(AE13*DATOSAÑO!$Z$11)/DATOSAÑO!$Y$11</f>
        <v>0.13849143801360153</v>
      </c>
      <c r="AG13" s="9">
        <f ca="1">DATOSAÑO!AN12</f>
        <v>4.6330000000002913</v>
      </c>
      <c r="AH13" s="11">
        <f ca="1">(AG13*DATOSAÑO!$Z$11)/DATOSAÑO!$Y$11</f>
        <v>8.3480462179828879E-2</v>
      </c>
      <c r="AI13" s="9">
        <f ca="1">DATOSAÑO!BS12</f>
        <v>0</v>
      </c>
      <c r="AJ13" s="11">
        <f ca="1">(AI13*DATOSAÑO!$Z$11)/DATOSAÑO!$Y$11</f>
        <v>0</v>
      </c>
      <c r="AK13" s="9">
        <f ca="1">DATOSAÑO!BV12</f>
        <v>4.0359999999999996</v>
      </c>
      <c r="AL13" s="11">
        <f ca="1">(AK13*DATOSAÑO!$Z$11)/DATOSAÑO!$Y$11</f>
        <v>7.272332081972116E-2</v>
      </c>
      <c r="AM13" s="9">
        <f ca="1">DATOSAÑO!BY12</f>
        <v>2.948</v>
      </c>
      <c r="AN13" s="11">
        <f ca="1">(AM13*DATOSAÑO!$Z$11)/DATOSAÑO!$Y$11</f>
        <v>5.311901629745739E-2</v>
      </c>
      <c r="AO13" s="9">
        <f ca="1">DATOSAÑO!CF12</f>
        <v>11.093000000017318</v>
      </c>
      <c r="AP13" s="11">
        <f ca="1">(AO13*DATOSAÑO!$Z$11)/DATOSAÑO!$Y$11</f>
        <v>0.1998810202810769</v>
      </c>
      <c r="AQ13" s="9">
        <f ca="1">DATOSAÑO!CL12</f>
        <v>2.9002000000001162</v>
      </c>
      <c r="AR13" s="1300">
        <f ca="1">(AQ13*DATOSAÑO!$Z$11)/DATOSAÑO!$Y$11</f>
        <v>5.2257724242161491E-2</v>
      </c>
      <c r="AS13" s="1334">
        <f t="shared" ref="AS13:AS76" si="2">WEEKNUM(B13,1)</f>
        <v>1</v>
      </c>
    </row>
    <row r="14" spans="1:45" ht="16.5" customHeight="1" thickBot="1">
      <c r="A14" s="1371">
        <v>44929</v>
      </c>
      <c r="B14" s="1021">
        <v>44929</v>
      </c>
      <c r="C14" s="9">
        <f ca="1">DATOSAÑO!I13</f>
        <v>148.29999999993015</v>
      </c>
      <c r="D14" s="10">
        <f ca="1">DATOSAÑO!$D13</f>
        <v>3.3517095168534152</v>
      </c>
      <c r="E14" s="11">
        <f ca="1">DATOSAÑO!$G13</f>
        <v>0</v>
      </c>
      <c r="F14" s="9">
        <f ca="1">DATOSAÑO!P13</f>
        <v>298.82999999999993</v>
      </c>
      <c r="G14" s="10">
        <f ca="1">DATOSAÑO!K13</f>
        <v>4.4679994044943827</v>
      </c>
      <c r="H14" s="11">
        <f ca="1">DATOSAÑO!N13</f>
        <v>0</v>
      </c>
      <c r="I14" s="9">
        <f ca="1">DATOSAÑO!Q13</f>
        <v>0.21199999999998909</v>
      </c>
      <c r="J14" s="11">
        <f ca="1">DATOSAÑO!R13</f>
        <v>25.43999999999869</v>
      </c>
      <c r="K14" s="9">
        <f ca="1">DATOSAÑO!T13</f>
        <v>0.2239999999999327</v>
      </c>
      <c r="L14" s="11">
        <f t="shared" ca="1" si="0"/>
        <v>26.879999999991924</v>
      </c>
      <c r="M14" s="9"/>
      <c r="N14" s="11">
        <f t="shared" si="1"/>
        <v>0</v>
      </c>
      <c r="O14" s="9">
        <f>DATOSAÑO!CT13</f>
        <v>1</v>
      </c>
      <c r="P14" s="9">
        <f>DATOSAÑO!CU13</f>
        <v>1</v>
      </c>
      <c r="Q14" s="9">
        <f ca="1">DATOSAÑO!AD13</f>
        <v>162</v>
      </c>
      <c r="R14" s="11">
        <f ca="1">(Q14*DATOSAÑO!$Z$11)/DATOSAÑO!$Y$11</f>
        <v>2.919023283645894</v>
      </c>
      <c r="S14" s="9">
        <f ca="1">DATOSAÑO!AF13</f>
        <v>148.90000000002328</v>
      </c>
      <c r="T14" s="11">
        <f ca="1">(S14*DATOSAÑO!$Z$11)/DATOSAÑO!$Y$11</f>
        <v>2.6829788082403803</v>
      </c>
      <c r="U14" s="9">
        <f ca="1">DATOSAÑO!AH13</f>
        <v>8.7000000000043656</v>
      </c>
      <c r="V14" s="11">
        <f ca="1">(U14*DATOSAÑO!$Z$11)/DATOSAÑO!$Y$11</f>
        <v>0.15676236152921003</v>
      </c>
      <c r="W14" s="9">
        <f ca="1">DATOSAÑO!AI13</f>
        <v>43.669999999998254</v>
      </c>
      <c r="X14" s="11">
        <f ca="1">(W14*DATOSAÑO!$Z$11)/DATOSAÑO!$Y$11</f>
        <v>0.78687498022722913</v>
      </c>
      <c r="Y14" s="9">
        <f ca="1">DATOSAÑO!AJ13</f>
        <v>6.680000000007567</v>
      </c>
      <c r="Z14" s="11">
        <f ca="1">(Y14*DATOSAÑO!$Z$11)/DATOSAÑO!$Y$11</f>
        <v>0.12036466379491766</v>
      </c>
      <c r="AA14" s="9">
        <f ca="1">DATOSAÑO!AK13</f>
        <v>15.649999999994179</v>
      </c>
      <c r="AB14" s="11">
        <f ca="1">(AA14*DATOSAÑO!$Z$11)/DATOSAÑO!$Y$11</f>
        <v>0.28199206412988426</v>
      </c>
      <c r="AC14" s="9">
        <f ca="1">DATOSAÑO!AL13</f>
        <v>33.465999999889561</v>
      </c>
      <c r="AD14" s="11">
        <f ca="1">(AC14*DATOSAÑO!$Z$11)/DATOSAÑO!$Y$11</f>
        <v>0.60301255068006865</v>
      </c>
      <c r="AE14" s="9">
        <f ca="1">DATOSAÑO!AM13</f>
        <v>8.1400000000128117</v>
      </c>
      <c r="AF14" s="11">
        <f ca="1">(AE14*DATOSAÑO!$Z$11)/DATOSAÑO!$Y$11</f>
        <v>0.14667191067231466</v>
      </c>
      <c r="AG14" s="9">
        <f ca="1">DATOSAÑO!AN13</f>
        <v>3.9779999999996294</v>
      </c>
      <c r="AH14" s="11">
        <f ca="1">(AG14*DATOSAÑO!$Z$11)/DATOSAÑO!$Y$11</f>
        <v>7.1678238409520284E-2</v>
      </c>
      <c r="AI14" s="9">
        <f ca="1">DATOSAÑO!BS13</f>
        <v>0</v>
      </c>
      <c r="AJ14" s="11">
        <f ca="1">(AI14*DATOSAÑO!$Z$11)/DATOSAÑO!$Y$11</f>
        <v>0</v>
      </c>
      <c r="AK14" s="9">
        <f ca="1">DATOSAÑO!BV13</f>
        <v>4.218</v>
      </c>
      <c r="AL14" s="11">
        <f ca="1">(AK14*DATOSAÑO!$Z$11)/DATOSAÑO!$Y$11</f>
        <v>7.6002717348261625E-2</v>
      </c>
      <c r="AM14" s="9">
        <f ca="1">DATOSAÑO!BY13</f>
        <v>3.492</v>
      </c>
      <c r="AN14" s="11">
        <f ca="1">(AM14*DATOSAÑO!$Z$11)/DATOSAÑO!$Y$11</f>
        <v>6.2921168558589272E-2</v>
      </c>
      <c r="AO14" s="9">
        <f ca="1">DATOSAÑO!CF13</f>
        <v>11.250000000006697</v>
      </c>
      <c r="AP14" s="11">
        <f ca="1">(AO14*DATOSAÑO!$Z$11)/DATOSAÑO!$Y$11</f>
        <v>0.20270995025330776</v>
      </c>
      <c r="AQ14" s="9">
        <f ca="1">DATOSAÑO!CL13</f>
        <v>3.0831999999998518</v>
      </c>
      <c r="AR14" s="1300">
        <f ca="1">(AQ14*DATOSAÑO!$Z$11)/DATOSAÑO!$Y$11</f>
        <v>5.5555139432941908E-2</v>
      </c>
      <c r="AS14" s="1334">
        <f t="shared" si="2"/>
        <v>1</v>
      </c>
    </row>
    <row r="15" spans="1:45" ht="15" thickBot="1">
      <c r="A15" s="1371">
        <v>44930</v>
      </c>
      <c r="B15" s="1021">
        <v>44930</v>
      </c>
      <c r="C15" s="9">
        <f ca="1">DATOSAÑO!I14</f>
        <v>147.90000000002328</v>
      </c>
      <c r="D15" s="10">
        <f ca="1">DATOSAÑO!$D14</f>
        <v>3.3487432247192741</v>
      </c>
      <c r="E15" s="11">
        <f ca="1">DATOSAÑO!$G14</f>
        <v>0</v>
      </c>
      <c r="F15" s="9">
        <f ca="1">DATOSAÑO!P14</f>
        <v>300.38000000000102</v>
      </c>
      <c r="G15" s="10">
        <f ca="1">DATOSAÑO!K14</f>
        <v>4.4794937865168638</v>
      </c>
      <c r="H15" s="11">
        <f ca="1">DATOSAÑO!N14</f>
        <v>0</v>
      </c>
      <c r="I15" s="9">
        <f ca="1">DATOSAÑO!Q14</f>
        <v>0</v>
      </c>
      <c r="J15" s="11">
        <f ca="1">DATOSAÑO!R14</f>
        <v>0</v>
      </c>
      <c r="K15" s="9">
        <f ca="1">DATOSAÑO!T14</f>
        <v>0</v>
      </c>
      <c r="L15" s="11">
        <f t="shared" ca="1" si="0"/>
        <v>0</v>
      </c>
      <c r="M15" s="9"/>
      <c r="N15" s="11">
        <f t="shared" si="1"/>
        <v>0</v>
      </c>
      <c r="O15" s="9">
        <f>DATOSAÑO!CT14</f>
        <v>0</v>
      </c>
      <c r="P15" s="9">
        <f>DATOSAÑO!CU14</f>
        <v>0</v>
      </c>
      <c r="Q15" s="9">
        <f ca="1">DATOSAÑO!AD14</f>
        <v>162</v>
      </c>
      <c r="R15" s="11">
        <f ca="1">(Q15*DATOSAÑO!$Z$11)/DATOSAÑO!$Y$11</f>
        <v>2.919023283645894</v>
      </c>
      <c r="S15" s="9">
        <f ca="1">DATOSAÑO!AF14</f>
        <v>142.59999999997672</v>
      </c>
      <c r="T15" s="11">
        <f ca="1">(S15*DATOSAÑO!$Z$11)/DATOSAÑO!$Y$11</f>
        <v>2.5694612360977565</v>
      </c>
      <c r="U15" s="9">
        <f ca="1">DATOSAÑO!AH14</f>
        <v>13.19999999999709</v>
      </c>
      <c r="V15" s="11">
        <f ca="1">(U15*DATOSAÑO!$Z$11)/DATOSAÑO!$Y$11</f>
        <v>0.23784634163035376</v>
      </c>
      <c r="W15" s="9">
        <f ca="1">DATOSAÑO!AI14</f>
        <v>45.089999999996508</v>
      </c>
      <c r="X15" s="11">
        <f ca="1">(W15*DATOSAÑO!$Z$11)/DATOSAÑO!$Y$11</f>
        <v>0.81246148061471102</v>
      </c>
      <c r="Y15" s="9">
        <f ca="1">DATOSAÑO!AJ14</f>
        <v>8.9099999999889405</v>
      </c>
      <c r="Z15" s="11">
        <f ca="1">(Y15*DATOSAÑO!$Z$11)/DATOSAÑO!$Y$11</f>
        <v>0.16054628060032489</v>
      </c>
      <c r="AA15" s="9">
        <f ca="1">DATOSAÑO!AK14</f>
        <v>16.309999999997672</v>
      </c>
      <c r="AB15" s="11">
        <f ca="1">(AA15*DATOSAÑO!$Z$11)/DATOSAÑO!$Y$11</f>
        <v>0.29388438121146754</v>
      </c>
      <c r="AC15" s="9">
        <f ca="1">DATOSAÑO!AL14</f>
        <v>33.270000000080472</v>
      </c>
      <c r="AD15" s="11">
        <f ca="1">(AC15*DATOSAÑO!$Z$11)/DATOSAÑO!$Y$11</f>
        <v>0.599480892883542</v>
      </c>
      <c r="AE15" s="9">
        <f ca="1">DATOSAÑO!AM14</f>
        <v>7.3659999999864674</v>
      </c>
      <c r="AF15" s="11">
        <f ca="1">(AE15*DATOSAÑO!$Z$11)/DATOSAÑO!$Y$11</f>
        <v>0.13272546609442071</v>
      </c>
      <c r="AG15" s="9">
        <f ca="1">DATOSAÑO!AN14</f>
        <v>3.889000000000582</v>
      </c>
      <c r="AH15" s="11">
        <f ca="1">(AG15*DATOSAÑO!$Z$11)/DATOSAÑO!$Y$11</f>
        <v>7.0074577469756677E-2</v>
      </c>
      <c r="AI15" s="9">
        <f ca="1">DATOSAÑO!BS14</f>
        <v>0</v>
      </c>
      <c r="AJ15" s="11">
        <f ca="1">(AI15*DATOSAÑO!$Z$11)/DATOSAÑO!$Y$11</f>
        <v>0</v>
      </c>
      <c r="AK15" s="9">
        <f ca="1">DATOSAÑO!BV14</f>
        <v>3.3420000000000001</v>
      </c>
      <c r="AL15" s="11">
        <f ca="1">(AK15*DATOSAÑO!$Z$11)/DATOSAÑO!$Y$11</f>
        <v>6.0218369221880119E-2</v>
      </c>
      <c r="AM15" s="9">
        <f ca="1">DATOSAÑO!BY14</f>
        <v>2.9220000000000002</v>
      </c>
      <c r="AN15" s="11">
        <f ca="1">(AM15*DATOSAÑO!$Z$11)/DATOSAÑO!$Y$11</f>
        <v>5.2650531079094468E-2</v>
      </c>
      <c r="AO15" s="9">
        <f ca="1">DATOSAÑO!CF14</f>
        <v>11.592999999993088</v>
      </c>
      <c r="AP15" s="11">
        <f ca="1">(AO15*DATOSAÑO!$Z$11)/DATOSAÑO!$Y$11</f>
        <v>0.20889035140300416</v>
      </c>
      <c r="AQ15" s="9">
        <f ca="1">DATOSAÑO!CL14</f>
        <v>3.0266000000002329</v>
      </c>
      <c r="AR15" s="1300">
        <f ca="1">(AQ15*DATOSAÑO!$Z$11)/DATOSAÑO!$Y$11</f>
        <v>5.4535283149897182E-2</v>
      </c>
      <c r="AS15" s="1334">
        <f t="shared" si="2"/>
        <v>1</v>
      </c>
    </row>
    <row r="16" spans="1:45" ht="16.5" customHeight="1" thickBot="1">
      <c r="A16" s="1371">
        <v>44931</v>
      </c>
      <c r="B16" s="1021">
        <v>44931</v>
      </c>
      <c r="C16" s="9">
        <f ca="1">DATOSAÑO!I15</f>
        <v>146.5</v>
      </c>
      <c r="D16" s="10">
        <f ca="1">DATOSAÑO!$D15</f>
        <v>3.3383612022471914</v>
      </c>
      <c r="E16" s="11">
        <f ca="1">DATOSAÑO!$G15</f>
        <v>0</v>
      </c>
      <c r="F16" s="9">
        <f ca="1">DATOSAÑO!P15</f>
        <v>301.10000000000036</v>
      </c>
      <c r="G16" s="10">
        <f ca="1">DATOSAÑO!K15</f>
        <v>4.4848331123595546</v>
      </c>
      <c r="H16" s="11">
        <f ca="1">DATOSAÑO!N15</f>
        <v>0</v>
      </c>
      <c r="I16" s="9">
        <f ca="1">DATOSAÑO!Q15</f>
        <v>0.39999999999986358</v>
      </c>
      <c r="J16" s="11">
        <f ca="1">DATOSAÑO!R15</f>
        <v>47.999999999983629</v>
      </c>
      <c r="K16" s="9">
        <f ca="1">DATOSAÑO!T15</f>
        <v>0</v>
      </c>
      <c r="L16" s="11">
        <f t="shared" ca="1" si="0"/>
        <v>0</v>
      </c>
      <c r="M16" s="9"/>
      <c r="N16" s="11">
        <f t="shared" si="1"/>
        <v>0</v>
      </c>
      <c r="O16" s="9">
        <f>DATOSAÑO!CT15</f>
        <v>1</v>
      </c>
      <c r="P16" s="9">
        <f>DATOSAÑO!CU15</f>
        <v>0</v>
      </c>
      <c r="Q16" s="9">
        <f ca="1">DATOSAÑO!AD15</f>
        <v>161.90000000002328</v>
      </c>
      <c r="R16" s="11">
        <f ca="1">(Q16*DATOSAÑO!$Z$11)/DATOSAÑO!$Y$11</f>
        <v>2.9172214174218412</v>
      </c>
      <c r="S16" s="9">
        <f ca="1">DATOSAÑO!AF15</f>
        <v>149.70000000001164</v>
      </c>
      <c r="T16" s="11">
        <f ca="1">(S16*DATOSAÑO!$Z$11)/DATOSAÑO!$Y$11</f>
        <v>2.6973937380359527</v>
      </c>
      <c r="U16" s="9">
        <f ca="1">DATOSAÑO!AH15</f>
        <v>4.4000000000014552</v>
      </c>
      <c r="V16" s="11">
        <f ca="1">(U16*DATOSAÑO!$Z$11)/DATOSAÑO!$Y$11</f>
        <v>7.9282113876828292E-2</v>
      </c>
      <c r="W16" s="9">
        <f ca="1">DATOSAÑO!AI15</f>
        <v>46.279999999998836</v>
      </c>
      <c r="X16" s="11">
        <f ca="1">(W16*DATOSAÑO!$Z$11)/DATOSAÑO!$Y$11</f>
        <v>0.83390368868597897</v>
      </c>
      <c r="Y16" s="9">
        <f ca="1">DATOSAÑO!AJ15</f>
        <v>10.660000000003492</v>
      </c>
      <c r="Z16" s="11">
        <f ca="1">(Y16*DATOSAÑO!$Z$11)/DATOSAÑO!$Y$11</f>
        <v>0.19207893952886065</v>
      </c>
      <c r="AA16" s="9">
        <f ca="1">DATOSAÑO!AK15</f>
        <v>14.799999999988358</v>
      </c>
      <c r="AB16" s="11">
        <f ca="1">(AA16*DATOSAÑO!$Z$11)/DATOSAÑO!$Y$11</f>
        <v>0.26667620122176083</v>
      </c>
      <c r="AC16" s="9">
        <f ca="1">DATOSAÑO!AL15</f>
        <v>35.15999999994915</v>
      </c>
      <c r="AD16" s="11">
        <f ca="1">(AC16*DATOSAÑO!$Z$11)/DATOSAÑO!$Y$11</f>
        <v>0.6335361645237112</v>
      </c>
      <c r="AE16" s="9">
        <f ca="1">DATOSAÑO!AM15</f>
        <v>3.8860000000243557</v>
      </c>
      <c r="AF16" s="11">
        <f ca="1">(AE16*DATOSAÑO!$Z$11)/DATOSAÑO!$Y$11</f>
        <v>7.0020521483450865E-2</v>
      </c>
      <c r="AG16" s="9">
        <f ca="1">DATOSAÑO!AN15</f>
        <v>3.6429999999998364</v>
      </c>
      <c r="AH16" s="11">
        <f ca="1">(AG16*DATOSAÑO!$Z$11)/DATOSAÑO!$Y$11</f>
        <v>6.5641986557540222E-2</v>
      </c>
      <c r="AI16" s="9">
        <f ca="1">DATOSAÑO!BS15</f>
        <v>0</v>
      </c>
      <c r="AJ16" s="11">
        <f ca="1">(AI16*DATOSAÑO!$Z$11)/DATOSAÑO!$Y$11</f>
        <v>0</v>
      </c>
      <c r="AK16" s="9">
        <f ca="1">DATOSAÑO!BV15</f>
        <v>4.1310000000000002</v>
      </c>
      <c r="AL16" s="11">
        <f ca="1">(AK16*DATOSAÑO!$Z$11)/DATOSAÑO!$Y$11</f>
        <v>7.4435093732970317E-2</v>
      </c>
      <c r="AM16" s="9">
        <f ca="1">DATOSAÑO!BY15</f>
        <v>3.2029999999999998</v>
      </c>
      <c r="AN16" s="11">
        <f ca="1">(AM16*DATOSAÑO!$Z$11)/DATOSAÑO!$Y$11</f>
        <v>5.7713775169862959E-2</v>
      </c>
      <c r="AO16" s="9">
        <f ca="1">DATOSAÑO!CF15</f>
        <v>10.643000000011996</v>
      </c>
      <c r="AP16" s="11">
        <f ca="1">(AO16*DATOSAÑO!$Z$11)/DATOSAÑO!$Y$11</f>
        <v>0.19177262227085354</v>
      </c>
      <c r="AQ16" s="9">
        <f ca="1">DATOSAÑO!CL15</f>
        <v>2.9941999999999345</v>
      </c>
      <c r="AR16" s="1300">
        <f ca="1">(AQ16*DATOSAÑO!$Z$11)/DATOSAÑO!$Y$11</f>
        <v>5.3951478493162626E-2</v>
      </c>
      <c r="AS16" s="1334">
        <f t="shared" si="2"/>
        <v>1</v>
      </c>
    </row>
    <row r="17" spans="1:45" ht="15" thickBot="1">
      <c r="A17" s="1371">
        <v>44932</v>
      </c>
      <c r="B17" s="1021">
        <v>44932</v>
      </c>
      <c r="C17" s="9">
        <f ca="1">DATOSAÑO!I16</f>
        <v>108.80000000004657</v>
      </c>
      <c r="D17" s="10">
        <f ca="1">DATOSAÑO!$D16</f>
        <v>3.0587881685396714</v>
      </c>
      <c r="E17" s="11">
        <f ca="1">DATOSAÑO!$G16</f>
        <v>0</v>
      </c>
      <c r="F17" s="9">
        <f ca="1">DATOSAÑO!P16</f>
        <v>212.69999999999891</v>
      </c>
      <c r="G17" s="10">
        <f ca="1">DATOSAÑO!K16</f>
        <v>3.8292825505617909</v>
      </c>
      <c r="H17" s="11">
        <f ca="1">DATOSAÑO!N16</f>
        <v>0</v>
      </c>
      <c r="I17" s="9">
        <f ca="1">DATOSAÑO!Q16</f>
        <v>0</v>
      </c>
      <c r="J17" s="11">
        <f ca="1">DATOSAÑO!R16</f>
        <v>0</v>
      </c>
      <c r="K17" s="9">
        <f ca="1">DATOSAÑO!T16</f>
        <v>0</v>
      </c>
      <c r="L17" s="11">
        <f t="shared" ca="1" si="0"/>
        <v>0</v>
      </c>
      <c r="M17" s="9"/>
      <c r="N17" s="11">
        <f t="shared" si="1"/>
        <v>0</v>
      </c>
      <c r="O17" s="9">
        <f>DATOSAÑO!CT16</f>
        <v>0</v>
      </c>
      <c r="P17" s="9">
        <f>DATOSAÑO!CU16</f>
        <v>0</v>
      </c>
      <c r="Q17" s="9">
        <f ca="1">DATOSAÑO!AD16</f>
        <v>165.29999999993015</v>
      </c>
      <c r="R17" s="11">
        <f ca="1">(Q17*DATOSAÑO!$Z$11)/DATOSAÑO!$Y$11</f>
        <v>2.9784848690522372</v>
      </c>
      <c r="S17" s="9">
        <f ca="1">DATOSAÑO!AF16</f>
        <v>25.5</v>
      </c>
      <c r="T17" s="11">
        <f ca="1">(S17*DATOSAÑO!$Z$11)/DATOSAÑO!$Y$11</f>
        <v>0.45947588724055743</v>
      </c>
      <c r="U17" s="9">
        <f ca="1">DATOSAÑO!AH16</f>
        <v>10.599999999998545</v>
      </c>
      <c r="V17" s="11">
        <f ca="1">(U17*DATOSAÑO!$Z$11)/DATOSAÑO!$Y$11</f>
        <v>0.19099781979408784</v>
      </c>
      <c r="W17" s="9">
        <f ca="1">DATOSAÑO!AI16</f>
        <v>38.200000000004366</v>
      </c>
      <c r="X17" s="11">
        <f ca="1">(W17*DATOSAÑO!$Z$11)/DATOSAÑO!$Y$11</f>
        <v>0.68831289774867843</v>
      </c>
      <c r="Y17" s="9">
        <f ca="1">DATOSAÑO!AJ16</f>
        <v>10.5</v>
      </c>
      <c r="Z17" s="11">
        <f ca="1">(Y17*DATOSAÑO!$Z$11)/DATOSAÑO!$Y$11</f>
        <v>0.18919595356964131</v>
      </c>
      <c r="AA17" s="9">
        <f ca="1">DATOSAÑO!AK16</f>
        <v>15</v>
      </c>
      <c r="AB17" s="11">
        <f ca="1">(AA17*DATOSAÑO!$Z$11)/DATOSAÑO!$Y$11</f>
        <v>0.27027993367091613</v>
      </c>
      <c r="AC17" s="9">
        <f ca="1">DATOSAÑO!AL16</f>
        <v>33.200000000135333</v>
      </c>
      <c r="AD17" s="11">
        <f ca="1">(AC17*DATOSAÑO!$Z$11)/DATOSAÑO!$Y$11</f>
        <v>0.59821958652739959</v>
      </c>
      <c r="AE17" s="9">
        <f ca="1">DATOSAÑO!AM16</f>
        <v>6.1849999999770802</v>
      </c>
      <c r="AF17" s="11">
        <f ca="1">(AE17*DATOSAÑO!$Z$11)/DATOSAÑO!$Y$11</f>
        <v>0.1114454259832281</v>
      </c>
      <c r="AG17" s="9">
        <f ca="1">DATOSAÑO!AN16</f>
        <v>2.7639999999998182</v>
      </c>
      <c r="AH17" s="11">
        <f ca="1">(AG17*DATOSAÑO!$Z$11)/DATOSAÑO!$Y$11</f>
        <v>4.9803582444424205E-2</v>
      </c>
      <c r="AI17" s="9">
        <f ca="1">DATOSAÑO!BS16</f>
        <v>0</v>
      </c>
      <c r="AJ17" s="11">
        <f ca="1">(AI17*DATOSAÑO!$Z$11)/DATOSAÑO!$Y$11</f>
        <v>0</v>
      </c>
      <c r="AK17" s="9">
        <f ca="1">DATOSAÑO!BV16</f>
        <v>3.387</v>
      </c>
      <c r="AL17" s="11">
        <f ca="1">(AK17*DATOSAÑO!$Z$11)/DATOSAÑO!$Y$11</f>
        <v>6.1029209022892862E-2</v>
      </c>
      <c r="AM17" s="9">
        <f ca="1">DATOSAÑO!BY16</f>
        <v>2.6280000000000001</v>
      </c>
      <c r="AN17" s="11">
        <f ca="1">(AM17*DATOSAÑO!$Z$11)/DATOSAÑO!$Y$11</f>
        <v>4.7353044379144511E-2</v>
      </c>
      <c r="AO17" s="9">
        <f ca="1">DATOSAÑO!CF16</f>
        <v>9.892499999988722</v>
      </c>
      <c r="AP17" s="11">
        <f ca="1">(AO17*DATOSAÑO!$Z$11)/DATOSAÑO!$Y$11</f>
        <v>0.17824961625576596</v>
      </c>
      <c r="AQ17" s="9">
        <f ca="1">DATOSAÑO!CL16</f>
        <v>2.541599999999927</v>
      </c>
      <c r="AR17" s="1300">
        <f ca="1">(AQ17*DATOSAÑO!$Z$11)/DATOSAÑO!$Y$11</f>
        <v>4.5796231961198711E-2</v>
      </c>
      <c r="AS17" s="1334">
        <f t="shared" si="2"/>
        <v>1</v>
      </c>
    </row>
    <row r="18" spans="1:45" ht="16.5" customHeight="1" thickBot="1">
      <c r="A18" s="1371">
        <v>44933</v>
      </c>
      <c r="B18" s="1021">
        <v>44933</v>
      </c>
      <c r="C18" s="9">
        <f ca="1">DATOSAÑO!I17</f>
        <v>124.89999999990687</v>
      </c>
      <c r="D18" s="10">
        <f ca="1">DATOSAÑO!$D17</f>
        <v>3.1781814269656019</v>
      </c>
      <c r="E18" s="11">
        <f ca="1">DATOSAÑO!$G17</f>
        <v>0</v>
      </c>
      <c r="F18" s="9">
        <f ca="1">DATOSAÑO!P17</f>
        <v>246.20000000000073</v>
      </c>
      <c r="G18" s="10">
        <f ca="1">DATOSAÑO!K17</f>
        <v>4.0777095168539388</v>
      </c>
      <c r="H18" s="11">
        <f ca="1">DATOSAÑO!N17</f>
        <v>0</v>
      </c>
      <c r="I18" s="9">
        <f ca="1">DATOSAÑO!Q17</f>
        <v>0</v>
      </c>
      <c r="J18" s="11">
        <f ca="1">DATOSAÑO!R17</f>
        <v>0</v>
      </c>
      <c r="K18" s="9">
        <f ca="1">DATOSAÑO!T17</f>
        <v>1.0180000000000291</v>
      </c>
      <c r="L18" s="11">
        <f t="shared" ca="1" si="0"/>
        <v>122.16000000000349</v>
      </c>
      <c r="M18" s="9"/>
      <c r="N18" s="11">
        <f t="shared" si="1"/>
        <v>0</v>
      </c>
      <c r="O18" s="9">
        <f>DATOSAÑO!CT17</f>
        <v>0</v>
      </c>
      <c r="P18" s="9">
        <f>DATOSAÑO!CU17</f>
        <v>1</v>
      </c>
      <c r="Q18" s="9">
        <f ca="1">DATOSAÑO!AD17</f>
        <v>166.90000000002328</v>
      </c>
      <c r="R18" s="11">
        <f ca="1">(Q18*DATOSAÑO!$Z$11)/DATOSAÑO!$Y$11</f>
        <v>3.00731472864548</v>
      </c>
      <c r="S18" s="9">
        <f ca="1">DATOSAÑO!AF17</f>
        <v>95.200000000011642</v>
      </c>
      <c r="T18" s="11">
        <f ca="1">(S18*DATOSAÑO!$Z$11)/DATOSAÑO!$Y$11</f>
        <v>1.7153766456982908</v>
      </c>
      <c r="U18" s="9">
        <f ca="1">DATOSAÑO!AH17</f>
        <v>5.5</v>
      </c>
      <c r="V18" s="11">
        <f ca="1">(U18*DATOSAÑO!$Z$11)/DATOSAÑO!$Y$11</f>
        <v>9.9102642346002578E-2</v>
      </c>
      <c r="W18" s="9">
        <f ca="1">DATOSAÑO!AI17</f>
        <v>29.80000000000291</v>
      </c>
      <c r="X18" s="11">
        <f ca="1">(W18*DATOSAÑO!$Z$11)/DATOSAÑO!$Y$11</f>
        <v>0.53695613489293914</v>
      </c>
      <c r="Y18" s="9">
        <f ca="1">DATOSAÑO!AJ17</f>
        <v>11</v>
      </c>
      <c r="Z18" s="11">
        <f ca="1">(Y18*DATOSAÑO!$Z$11)/DATOSAÑO!$Y$11</f>
        <v>0.19820528469200516</v>
      </c>
      <c r="AA18" s="9">
        <f ca="1">DATOSAÑO!AK17</f>
        <v>14.899999999994179</v>
      </c>
      <c r="AB18" s="11">
        <f ca="1">(AA18*DATOSAÑO!$Z$11)/DATOSAÑO!$Y$11</f>
        <v>0.26847806744633845</v>
      </c>
      <c r="AC18" s="9">
        <f ca="1">DATOSAÑO!AL17</f>
        <v>32.217999999911626</v>
      </c>
      <c r="AD18" s="11">
        <f ca="1">(AC18*DATOSAÑO!$Z$11)/DATOSAÑO!$Y$11</f>
        <v>0.58052526019904604</v>
      </c>
      <c r="AE18" s="9">
        <f ca="1">DATOSAÑO!AM17</f>
        <v>4.4939999999637905</v>
      </c>
      <c r="AF18" s="11">
        <f ca="1">(AE18*DATOSAÑO!$Z$11)/DATOSAÑO!$Y$11</f>
        <v>8.097586812715403E-2</v>
      </c>
      <c r="AG18" s="9">
        <f ca="1">DATOSAÑO!AN17</f>
        <v>2.6330000000000102</v>
      </c>
      <c r="AH18" s="11">
        <f ca="1">(AG18*DATOSAÑO!$Z$11)/DATOSAÑO!$Y$11</f>
        <v>4.7443137690368328E-2</v>
      </c>
      <c r="AI18" s="9">
        <f ca="1">DATOSAÑO!BS17</f>
        <v>0</v>
      </c>
      <c r="AJ18" s="11">
        <f ca="1">(AI18*DATOSAÑO!$Z$11)/DATOSAÑO!$Y$11</f>
        <v>0</v>
      </c>
      <c r="AK18" s="9">
        <f ca="1">DATOSAÑO!BV17</f>
        <v>2.3380000000000001</v>
      </c>
      <c r="AL18" s="11">
        <f ca="1">(AK18*DATOSAÑO!$Z$11)/DATOSAÑO!$Y$11</f>
        <v>4.2127632328173466E-2</v>
      </c>
      <c r="AM18" s="9">
        <f ca="1">DATOSAÑO!BY17</f>
        <v>1.448</v>
      </c>
      <c r="AN18" s="11">
        <f ca="1">(AM18*DATOSAÑO!$Z$11)/DATOSAÑO!$Y$11</f>
        <v>2.6091022930365769E-2</v>
      </c>
      <c r="AO18" s="9">
        <f ca="1">DATOSAÑO!CF17</f>
        <v>6.5469999999820772</v>
      </c>
      <c r="AP18" s="11">
        <f ca="1">(AO18*DATOSAÑO!$Z$11)/DATOSAÑO!$Y$11</f>
        <v>0.11796818171590959</v>
      </c>
      <c r="AQ18" s="9">
        <f ca="1">DATOSAÑO!CL17</f>
        <v>2.4402000000000044</v>
      </c>
      <c r="AR18" s="1300">
        <f ca="1">(AQ18*DATOSAÑO!$Z$11)/DATOSAÑO!$Y$11</f>
        <v>4.396913960958472E-2</v>
      </c>
      <c r="AS18" s="1334">
        <f t="shared" si="2"/>
        <v>1</v>
      </c>
    </row>
    <row r="19" spans="1:45" ht="15" thickBot="1">
      <c r="A19" s="1371">
        <v>44934</v>
      </c>
      <c r="B19" s="1021">
        <v>44934</v>
      </c>
      <c r="C19" s="9">
        <f ca="1">DATOSAÑO!I18</f>
        <v>149.40000000002328</v>
      </c>
      <c r="D19" s="10">
        <f ca="1">DATOSAÑO!$D18</f>
        <v>3.3598668202248922</v>
      </c>
      <c r="E19" s="11">
        <f ca="1">DATOSAÑO!$G18</f>
        <v>0</v>
      </c>
      <c r="F19" s="9">
        <f ca="1">DATOSAÑO!P18</f>
        <v>291.39999999999964</v>
      </c>
      <c r="G19" s="10">
        <f ca="1">DATOSAÑO!K18</f>
        <v>4.412900528089887</v>
      </c>
      <c r="H19" s="11">
        <f ca="1">DATOSAÑO!N18</f>
        <v>0</v>
      </c>
      <c r="I19" s="9">
        <f ca="1">DATOSAÑO!Q18</f>
        <v>0</v>
      </c>
      <c r="J19" s="11">
        <f ca="1">DATOSAÑO!R18</f>
        <v>0</v>
      </c>
      <c r="K19" s="9">
        <f ca="1">DATOSAÑO!T18</f>
        <v>0</v>
      </c>
      <c r="L19" s="11">
        <f t="shared" ca="1" si="0"/>
        <v>0</v>
      </c>
      <c r="M19" s="9"/>
      <c r="N19" s="11">
        <f t="shared" si="1"/>
        <v>0</v>
      </c>
      <c r="O19" s="9">
        <f>DATOSAÑO!CT18</f>
        <v>0</v>
      </c>
      <c r="P19" s="9">
        <f>DATOSAÑO!CU18</f>
        <v>0</v>
      </c>
      <c r="Q19" s="9">
        <f ca="1">DATOSAÑO!AD18</f>
        <v>165.90000000002328</v>
      </c>
      <c r="R19" s="11">
        <f ca="1">(Q19*DATOSAÑO!$Z$11)/DATOSAÑO!$Y$11</f>
        <v>2.989296066400752</v>
      </c>
      <c r="S19" s="9">
        <f ca="1">DATOSAÑO!AF18</f>
        <v>146.09999999997672</v>
      </c>
      <c r="T19" s="11">
        <f ca="1">(S19*DATOSAÑO!$Z$11)/DATOSAÑO!$Y$11</f>
        <v>2.6325265539543037</v>
      </c>
      <c r="U19" s="9">
        <f ca="1">DATOSAÑO!AH18</f>
        <v>14.30000000000291</v>
      </c>
      <c r="V19" s="11">
        <f ca="1">(U19*DATOSAÑO!$Z$11)/DATOSAÑO!$Y$11</f>
        <v>0.25766687009965916</v>
      </c>
      <c r="W19" s="9">
        <f ca="1">DATOSAÑO!AI18</f>
        <v>31.19999999999709</v>
      </c>
      <c r="X19" s="11">
        <f ca="1">(W19*DATOSAÑO!$Z$11)/DATOSAÑO!$Y$11</f>
        <v>0.56218226203545307</v>
      </c>
      <c r="Y19" s="9">
        <f ca="1">DATOSAÑO!AJ18</f>
        <v>7.9000000000087311</v>
      </c>
      <c r="Z19" s="11">
        <f ca="1">(Y19*DATOSAÑO!$Z$11)/DATOSAÑO!$Y$11</f>
        <v>0.1423474317335065</v>
      </c>
      <c r="AA19" s="9">
        <f ca="1">DATOSAÑO!AK18</f>
        <v>15.5</v>
      </c>
      <c r="AB19" s="11">
        <f ca="1">(AA19*DATOSAÑO!$Z$11)/DATOSAÑO!$Y$11</f>
        <v>0.27928926479328003</v>
      </c>
      <c r="AC19" s="9">
        <f ca="1">DATOSAÑO!AL18</f>
        <v>32.099999999954946</v>
      </c>
      <c r="AD19" s="11">
        <f ca="1">(AC19*DATOSAÑO!$Z$11)/DATOSAÑO!$Y$11</f>
        <v>0.57839905805494873</v>
      </c>
      <c r="AE19" s="9">
        <f ca="1">DATOSAÑO!AM18</f>
        <v>8.4870000000600267</v>
      </c>
      <c r="AF19" s="11">
        <f ca="1">(AE19*DATOSAÑO!$Z$11)/DATOSAÑO!$Y$11</f>
        <v>0.15292438647208595</v>
      </c>
      <c r="AG19" s="9">
        <f ca="1">DATOSAÑO!AN18</f>
        <v>3.4329999999996361</v>
      </c>
      <c r="AH19" s="11">
        <f ca="1">(AG19*DATOSAÑO!$Z$11)/DATOSAÑO!$Y$11</f>
        <v>6.1858067486143788E-2</v>
      </c>
      <c r="AI19" s="9">
        <f ca="1">DATOSAÑO!BS18</f>
        <v>0</v>
      </c>
      <c r="AJ19" s="11">
        <f ca="1">(AI19*DATOSAÑO!$Z$11)/DATOSAÑO!$Y$11</f>
        <v>0</v>
      </c>
      <c r="AK19" s="9">
        <f ca="1">DATOSAÑO!BV18</f>
        <v>4.5460000000000003</v>
      </c>
      <c r="AL19" s="11">
        <f ca="1">(AK19*DATOSAÑO!$Z$11)/DATOSAÑO!$Y$11</f>
        <v>8.1912838564532325E-2</v>
      </c>
      <c r="AM19" s="9">
        <f ca="1">DATOSAÑO!BY18</f>
        <v>2.9670000000000001</v>
      </c>
      <c r="AN19" s="11">
        <f ca="1">(AM19*DATOSAÑO!$Z$11)/DATOSAÑO!$Y$11</f>
        <v>5.346137088010721E-2</v>
      </c>
      <c r="AO19" s="9">
        <f ca="1">DATOSAÑO!CF18</f>
        <v>11.14350000002965</v>
      </c>
      <c r="AP19" s="11">
        <f ca="1">(AO19*DATOSAÑO!$Z$11)/DATOSAÑO!$Y$11</f>
        <v>0.20079096272465785</v>
      </c>
      <c r="AQ19" s="9">
        <f ca="1">DATOSAÑO!CL18</f>
        <v>2.8401999999998546</v>
      </c>
      <c r="AR19" s="1300">
        <f ca="1">(AQ19*DATOSAÑO!$Z$11)/DATOSAÑO!$Y$11</f>
        <v>5.1176604507473113E-2</v>
      </c>
      <c r="AS19" s="1334">
        <f t="shared" si="2"/>
        <v>2</v>
      </c>
    </row>
    <row r="20" spans="1:45" ht="16.5" customHeight="1" thickBot="1">
      <c r="A20" s="1371">
        <v>44935</v>
      </c>
      <c r="B20" s="1021">
        <v>44935</v>
      </c>
      <c r="C20" s="9">
        <f ca="1">DATOSAÑO!I19</f>
        <v>148.30000000004657</v>
      </c>
      <c r="D20" s="10">
        <f ca="1">DATOSAÑO!$D19</f>
        <v>3.3517095168542781</v>
      </c>
      <c r="E20" s="11">
        <f ca="1">DATOSAÑO!$G19</f>
        <v>0</v>
      </c>
      <c r="F20" s="9">
        <f ca="1">DATOSAÑO!P19</f>
        <v>287.09999999999854</v>
      </c>
      <c r="G20" s="10">
        <f ca="1">DATOSAÑO!K19</f>
        <v>4.3810128876404395</v>
      </c>
      <c r="H20" s="11">
        <f ca="1">DATOSAÑO!N19</f>
        <v>0</v>
      </c>
      <c r="I20" s="9">
        <f ca="1">DATOSAÑO!Q19</f>
        <v>0.18200000000001637</v>
      </c>
      <c r="J20" s="11">
        <f ca="1">DATOSAÑO!R19</f>
        <v>21.840000000001965</v>
      </c>
      <c r="K20" s="9">
        <f ca="1">DATOSAÑO!T19</f>
        <v>0.42399999999997817</v>
      </c>
      <c r="L20" s="11">
        <f t="shared" ca="1" si="0"/>
        <v>50.879999999997381</v>
      </c>
      <c r="M20" s="9"/>
      <c r="N20" s="11">
        <f t="shared" si="1"/>
        <v>0</v>
      </c>
      <c r="O20" s="9">
        <f>DATOSAÑO!CT19</f>
        <v>1</v>
      </c>
      <c r="P20" s="9">
        <f>DATOSAÑO!CU19</f>
        <v>1</v>
      </c>
      <c r="Q20" s="9">
        <f ca="1">DATOSAÑO!AD19</f>
        <v>159.59999999997672</v>
      </c>
      <c r="R20" s="11">
        <f ca="1">(Q20*DATOSAÑO!$Z$11)/DATOSAÑO!$Y$11</f>
        <v>2.8757784942581281</v>
      </c>
      <c r="S20" s="9">
        <f ca="1">DATOSAÑO!AF19</f>
        <v>139.60000000003492</v>
      </c>
      <c r="T20" s="11">
        <f ca="1">(S20*DATOSAÑO!$Z$11)/DATOSAÑO!$Y$11</f>
        <v>2.5154052493646222</v>
      </c>
      <c r="U20" s="9">
        <f ca="1">DATOSAÑO!AH19</f>
        <v>15.399999999994179</v>
      </c>
      <c r="V20" s="11">
        <f ca="1">(U20*DATOSAÑO!$Z$11)/DATOSAÑO!$Y$11</f>
        <v>0.27748739856870236</v>
      </c>
      <c r="W20" s="9">
        <f ca="1">DATOSAÑO!AI19</f>
        <v>31.999999999992724</v>
      </c>
      <c r="X20" s="11">
        <f ca="1">(W20*DATOSAÑO!$Z$11)/DATOSAÑO!$Y$11</f>
        <v>0.57659719183115665</v>
      </c>
      <c r="Y20" s="9">
        <f ca="1">DATOSAÑO!AJ19</f>
        <v>7.7999999999883585</v>
      </c>
      <c r="Z20" s="11">
        <f ca="1">(Y20*DATOSAÑO!$Z$11)/DATOSAÑO!$Y$11</f>
        <v>0.14054556550866662</v>
      </c>
      <c r="AA20" s="9">
        <f ca="1">DATOSAÑO!AK19</f>
        <v>15.800000000017462</v>
      </c>
      <c r="AB20" s="11">
        <f ca="1">(AA20*DATOSAÑO!$Z$11)/DATOSAÑO!$Y$11</f>
        <v>0.284694863467013</v>
      </c>
      <c r="AC20" s="9">
        <f ca="1">DATOSAÑO!AL19</f>
        <v>37.406000000075608</v>
      </c>
      <c r="AD20" s="11">
        <f ca="1">(AC20*DATOSAÑO!$Z$11)/DATOSAÑO!$Y$11</f>
        <v>0.67400607992764827</v>
      </c>
      <c r="AE20" s="9">
        <f ca="1">DATOSAÑO!AM19</f>
        <v>8.0049999999646193</v>
      </c>
      <c r="AF20" s="11">
        <f ca="1">(AE20*DATOSAÑO!$Z$11)/DATOSAÑO!$Y$11</f>
        <v>0.14423939126840807</v>
      </c>
      <c r="AG20" s="9">
        <f ca="1">DATOSAÑO!AN19</f>
        <v>3.4690000000004551</v>
      </c>
      <c r="AH20" s="11">
        <f ca="1">(AG20*DATOSAÑO!$Z$11)/DATOSAÑO!$Y$11</f>
        <v>6.2506739326968735E-2</v>
      </c>
      <c r="AI20" s="9">
        <f ca="1">DATOSAÑO!BS19</f>
        <v>0</v>
      </c>
      <c r="AJ20" s="11">
        <f ca="1">(AI20*DATOSAÑO!$Z$11)/DATOSAÑO!$Y$11</f>
        <v>0</v>
      </c>
      <c r="AK20" s="9">
        <f ca="1">DATOSAÑO!BV19</f>
        <v>4.9219999999999997</v>
      </c>
      <c r="AL20" s="11">
        <f ca="1">(AK20*DATOSAÑO!$Z$11)/DATOSAÑO!$Y$11</f>
        <v>8.8687855568549953E-2</v>
      </c>
      <c r="AM20" s="9">
        <f ca="1">DATOSAÑO!BY19</f>
        <v>3.4729999999999999</v>
      </c>
      <c r="AN20" s="11">
        <f ca="1">(AM20*DATOSAÑO!$Z$11)/DATOSAÑO!$Y$11</f>
        <v>6.2578813975939451E-2</v>
      </c>
      <c r="AO20" s="9">
        <f ca="1">DATOSAÑO!CF19</f>
        <v>11.002499999982309</v>
      </c>
      <c r="AP20" s="11">
        <f ca="1">(AO20*DATOSAÑO!$Z$11)/DATOSAÑO!$Y$11</f>
        <v>0.19825033134729822</v>
      </c>
      <c r="AQ20" s="9">
        <f ca="1">DATOSAÑO!CL19</f>
        <v>2.9186000000001817</v>
      </c>
      <c r="AR20" s="1300">
        <f ca="1">(AQ20*DATOSAÑO!$Z$11)/DATOSAÑO!$Y$11</f>
        <v>5.2589267627465658E-2</v>
      </c>
      <c r="AS20" s="1334">
        <f t="shared" si="2"/>
        <v>2</v>
      </c>
    </row>
    <row r="21" spans="1:45" ht="15" thickBot="1">
      <c r="A21" s="1371">
        <v>44936</v>
      </c>
      <c r="B21" s="1021">
        <v>44936</v>
      </c>
      <c r="C21" s="9">
        <f ca="1">DATOSAÑO!I20</f>
        <v>146.59999999997672</v>
      </c>
      <c r="D21" s="10">
        <f ca="1">DATOSAÑO!$D20</f>
        <v>3.3391027752807272</v>
      </c>
      <c r="E21" s="11">
        <f ca="1">DATOSAÑO!$G20</f>
        <v>0</v>
      </c>
      <c r="F21" s="9">
        <f ca="1">DATOSAÑO!P20</f>
        <v>283.30000000000291</v>
      </c>
      <c r="G21" s="10">
        <f ca="1">DATOSAÑO!K20</f>
        <v>4.3528331123595736</v>
      </c>
      <c r="H21" s="11">
        <f ca="1">DATOSAÑO!N20</f>
        <v>0</v>
      </c>
      <c r="I21" s="9">
        <f ca="1">DATOSAÑO!Q20</f>
        <v>0</v>
      </c>
      <c r="J21" s="11">
        <f ca="1">DATOSAÑO!R20</f>
        <v>0</v>
      </c>
      <c r="K21" s="9">
        <f ca="1">DATOSAÑO!T20</f>
        <v>0</v>
      </c>
      <c r="L21" s="11">
        <f t="shared" ca="1" si="0"/>
        <v>0</v>
      </c>
      <c r="M21" s="9"/>
      <c r="N21" s="11">
        <f t="shared" si="1"/>
        <v>0</v>
      </c>
      <c r="O21" s="9">
        <f>DATOSAÑO!CT20</f>
        <v>0</v>
      </c>
      <c r="P21" s="9">
        <f>DATOSAÑO!CU20</f>
        <v>0</v>
      </c>
      <c r="Q21" s="9">
        <f ca="1">DATOSAÑO!AD20</f>
        <v>161.30000000004657</v>
      </c>
      <c r="R21" s="11">
        <f ca="1">(Q21*DATOSAÑO!$Z$11)/DATOSAÑO!$Y$11</f>
        <v>2.9064102200754238</v>
      </c>
      <c r="S21" s="9">
        <f ca="1">DATOSAÑO!AF20</f>
        <v>138.19999999995343</v>
      </c>
      <c r="T21" s="11">
        <f ca="1">(S21*DATOSAÑO!$Z$11)/DATOSAÑO!$Y$11</f>
        <v>2.4901791222205349</v>
      </c>
      <c r="U21" s="9">
        <f ca="1">DATOSAÑO!AH20</f>
        <v>8.9000000000014552</v>
      </c>
      <c r="V21" s="11">
        <f ca="1">(U21*DATOSAÑO!$Z$11)/DATOSAÑO!$Y$11</f>
        <v>0.16036609397810314</v>
      </c>
      <c r="W21" s="9">
        <f ca="1">DATOSAÑO!AI20</f>
        <v>39.300000000010186</v>
      </c>
      <c r="X21" s="11">
        <f ca="1">(W21*DATOSAÑO!$Z$11)/DATOSAÑO!$Y$11</f>
        <v>0.70813342621798381</v>
      </c>
      <c r="Y21" s="9">
        <f ca="1">DATOSAÑO!AJ20</f>
        <v>7.4000000000087311</v>
      </c>
      <c r="Z21" s="11">
        <f ca="1">(Y21*DATOSAÑO!$Z$11)/DATOSAÑO!$Y$11</f>
        <v>0.13333810061114262</v>
      </c>
      <c r="AA21" s="9">
        <f ca="1">DATOSAÑO!AK20</f>
        <v>14.399999999994179</v>
      </c>
      <c r="AB21" s="11">
        <f ca="1">(AA21*DATOSAÑO!$Z$11)/DATOSAÑO!$Y$11</f>
        <v>0.2594687363239746</v>
      </c>
      <c r="AC21" s="9">
        <f ca="1">DATOSAÑO!AL20</f>
        <v>32.399999999954218</v>
      </c>
      <c r="AD21" s="11">
        <f ca="1">(AC21*DATOSAÑO!$Z$11)/DATOSAÑO!$Y$11</f>
        <v>0.58380465672835391</v>
      </c>
      <c r="AE21" s="9">
        <f ca="1">DATOSAÑO!AM20</f>
        <v>8.0620000000107304</v>
      </c>
      <c r="AF21" s="11">
        <f ca="1">(AE21*DATOSAÑO!$Z$11)/DATOSAÑO!$Y$11</f>
        <v>0.14526645501718841</v>
      </c>
      <c r="AG21" s="9">
        <f ca="1">DATOSAÑO!AN20</f>
        <v>3.1499999999998183</v>
      </c>
      <c r="AH21" s="11">
        <f ca="1">(AG21*DATOSAÑO!$Z$11)/DATOSAÑO!$Y$11</f>
        <v>5.6758786070889113E-2</v>
      </c>
      <c r="AI21" s="9">
        <f ca="1">DATOSAÑO!BS20</f>
        <v>0</v>
      </c>
      <c r="AJ21" s="11">
        <f ca="1">(AI21*DATOSAÑO!$Z$11)/DATOSAÑO!$Y$11</f>
        <v>0</v>
      </c>
      <c r="AK21" s="9">
        <f ca="1">DATOSAÑO!BV20</f>
        <v>4.8390000000000004</v>
      </c>
      <c r="AL21" s="11">
        <f ca="1">(AK21*DATOSAÑO!$Z$11)/DATOSAÑO!$Y$11</f>
        <v>8.7192306602237549E-2</v>
      </c>
      <c r="AM21" s="9">
        <f ca="1">DATOSAÑO!BY20</f>
        <v>3.2989999999999999</v>
      </c>
      <c r="AN21" s="11">
        <f ca="1">(AM21*DATOSAÑO!$Z$11)/DATOSAÑO!$Y$11</f>
        <v>5.9443566745356821E-2</v>
      </c>
      <c r="AO21" s="9">
        <f ca="1">DATOSAÑO!CF20</f>
        <v>11.131000000005729</v>
      </c>
      <c r="AP21" s="11">
        <f ca="1">(AO21*DATOSAÑO!$Z$11)/DATOSAÑO!$Y$11</f>
        <v>0.20056572944616774</v>
      </c>
      <c r="AQ21" s="9">
        <f ca="1">DATOSAÑO!CL20</f>
        <v>2.8099999999999277</v>
      </c>
      <c r="AR21" s="1300">
        <f ca="1">(AQ21*DATOSAÑO!$Z$11)/DATOSAÑO!$Y$11</f>
        <v>5.0632440907683651E-2</v>
      </c>
      <c r="AS21" s="1334">
        <f t="shared" si="2"/>
        <v>2</v>
      </c>
    </row>
    <row r="22" spans="1:45" ht="16.5" customHeight="1" thickBot="1">
      <c r="A22" s="1371">
        <v>44937</v>
      </c>
      <c r="B22" s="1021">
        <v>44937</v>
      </c>
      <c r="C22" s="9">
        <f ca="1">DATOSAÑO!I21</f>
        <v>148.5</v>
      </c>
      <c r="D22" s="10">
        <f ca="1">DATOSAÑO!$D21</f>
        <v>3.3531926629213489</v>
      </c>
      <c r="E22" s="11">
        <f ca="1">DATOSAÑO!$G21</f>
        <v>0</v>
      </c>
      <c r="F22" s="9">
        <f ca="1">DATOSAÑO!P21</f>
        <v>283.69999999999709</v>
      </c>
      <c r="G22" s="10">
        <f ca="1">DATOSAÑO!K21</f>
        <v>4.3557994044943618</v>
      </c>
      <c r="H22" s="11">
        <f ca="1">DATOSAÑO!N21</f>
        <v>0</v>
      </c>
      <c r="I22" s="9">
        <f ca="1">DATOSAÑO!Q21</f>
        <v>0</v>
      </c>
      <c r="J22" s="11">
        <f ca="1">DATOSAÑO!R21</f>
        <v>0</v>
      </c>
      <c r="K22" s="9">
        <f ca="1">DATOSAÑO!T21</f>
        <v>0</v>
      </c>
      <c r="L22" s="11">
        <f t="shared" ca="1" si="0"/>
        <v>0</v>
      </c>
      <c r="M22" s="9"/>
      <c r="N22" s="11">
        <f t="shared" si="1"/>
        <v>0</v>
      </c>
      <c r="O22" s="9">
        <f>DATOSAÑO!CT21</f>
        <v>0</v>
      </c>
      <c r="P22" s="9">
        <f>DATOSAÑO!CU21</f>
        <v>0</v>
      </c>
      <c r="Q22" s="9">
        <f ca="1">DATOSAÑO!AD21</f>
        <v>162.59999999997672</v>
      </c>
      <c r="R22" s="11">
        <f ca="1">(Q22*DATOSAÑO!$Z$11)/DATOSAÑO!$Y$11</f>
        <v>2.9298344809923118</v>
      </c>
      <c r="S22" s="9">
        <f ca="1">DATOSAÑO!AF21</f>
        <v>138.80000000004657</v>
      </c>
      <c r="T22" s="11">
        <f ca="1">(S22*DATOSAÑO!$Z$11)/DATOSAÑO!$Y$11</f>
        <v>2.5009903195690497</v>
      </c>
      <c r="U22" s="9">
        <f ca="1">DATOSAÑO!AH21</f>
        <v>5.4000000000014552</v>
      </c>
      <c r="V22" s="11">
        <f ca="1">(U22*DATOSAÑO!$Z$11)/DATOSAÑO!$Y$11</f>
        <v>9.7300776121556021E-2</v>
      </c>
      <c r="W22" s="9">
        <f ca="1">DATOSAÑO!AI21</f>
        <v>43.799999999995634</v>
      </c>
      <c r="X22" s="11">
        <f ca="1">(W22*DATOSAÑO!$Z$11)/DATOSAÑO!$Y$11</f>
        <v>0.7892174063189964</v>
      </c>
      <c r="Y22" s="9">
        <f ca="1">DATOSAÑO!AJ21</f>
        <v>7.8999999999941792</v>
      </c>
      <c r="Z22" s="11">
        <f ca="1">(Y22*DATOSAÑO!$Z$11)/DATOSAÑO!$Y$11</f>
        <v>0.14234743173324427</v>
      </c>
      <c r="AA22" s="9">
        <f ca="1">DATOSAÑO!AK21</f>
        <v>13.899999999994179</v>
      </c>
      <c r="AB22" s="11">
        <f ca="1">(AA22*DATOSAÑO!$Z$11)/DATOSAÑO!$Y$11</f>
        <v>0.25045940520161075</v>
      </c>
      <c r="AC22" s="9">
        <f ca="1">DATOSAÑO!AL21</f>
        <v>30.699999999988052</v>
      </c>
      <c r="AD22" s="11">
        <f ca="1">(AC22*DATOSAÑO!$Z$11)/DATOSAÑO!$Y$11</f>
        <v>0.55317293091292641</v>
      </c>
      <c r="AE22" s="9">
        <f ca="1">DATOSAÑO!AM21</f>
        <v>9.8550000000001834</v>
      </c>
      <c r="AF22" s="11">
        <f ca="1">(AE22*DATOSAÑO!$Z$11)/DATOSAÑO!$Y$11</f>
        <v>0.17757391642179521</v>
      </c>
      <c r="AG22" s="9">
        <f ca="1">DATOSAÑO!AN21</f>
        <v>2.2640000000001819</v>
      </c>
      <c r="AH22" s="11">
        <f ca="1">(AG22*DATOSAÑO!$Z$11)/DATOSAÑO!$Y$11</f>
        <v>4.0794251322066884E-2</v>
      </c>
      <c r="AI22" s="9">
        <f ca="1">DATOSAÑO!BS21</f>
        <v>0</v>
      </c>
      <c r="AJ22" s="11">
        <f ca="1">(AI22*DATOSAÑO!$Z$11)/DATOSAÑO!$Y$11</f>
        <v>0</v>
      </c>
      <c r="AK22" s="9">
        <f ca="1">DATOSAÑO!BV21</f>
        <v>4.9009999999999998</v>
      </c>
      <c r="AL22" s="11">
        <f ca="1">(AK22*DATOSAÑO!$Z$11)/DATOSAÑO!$Y$11</f>
        <v>8.8309463661410653E-2</v>
      </c>
      <c r="AM22" s="9">
        <f ca="1">DATOSAÑO!BY21</f>
        <v>3.544</v>
      </c>
      <c r="AN22" s="11">
        <f ca="1">(AM22*DATOSAÑO!$Z$11)/DATOSAÑO!$Y$11</f>
        <v>6.3858138995315117E-2</v>
      </c>
      <c r="AO22" s="9">
        <f ca="1">DATOSAÑO!CF21</f>
        <v>11.927500000000091</v>
      </c>
      <c r="AP22" s="11">
        <f ca="1">(AO22*DATOSAÑO!$Z$11)/DATOSAÑO!$Y$11</f>
        <v>0.21491759392399176</v>
      </c>
      <c r="AQ22" s="9">
        <f ca="1">DATOSAÑO!CL21</f>
        <v>2.441600000000073</v>
      </c>
      <c r="AR22" s="1300">
        <f ca="1">(AQ22*DATOSAÑO!$Z$11)/DATOSAÑO!$Y$11</f>
        <v>4.3994365736728575E-2</v>
      </c>
      <c r="AS22" s="1334">
        <f t="shared" si="2"/>
        <v>2</v>
      </c>
    </row>
    <row r="23" spans="1:45" ht="15" thickBot="1">
      <c r="A23" s="1371">
        <v>44938</v>
      </c>
      <c r="B23" s="1021">
        <v>44938</v>
      </c>
      <c r="C23" s="9">
        <f ca="1">DATOSAÑO!I22</f>
        <v>151.5</v>
      </c>
      <c r="D23" s="10">
        <f ca="1">DATOSAÑO!$D22</f>
        <v>3.3754398539325852</v>
      </c>
      <c r="E23" s="11">
        <f ca="1">DATOSAÑO!$G22</f>
        <v>0</v>
      </c>
      <c r="F23" s="9">
        <f ca="1">DATOSAÑO!P22</f>
        <v>300.90000000000146</v>
      </c>
      <c r="G23" s="10">
        <f ca="1">DATOSAÑO!K22</f>
        <v>4.4833499662921472</v>
      </c>
      <c r="H23" s="11">
        <f ca="1">DATOSAÑO!N22</f>
        <v>0</v>
      </c>
      <c r="I23" s="9">
        <f ca="1">DATOSAÑO!Q22</f>
        <v>0</v>
      </c>
      <c r="J23" s="11">
        <f ca="1">DATOSAÑO!R22</f>
        <v>0</v>
      </c>
      <c r="K23" s="9">
        <f ca="1">DATOSAÑO!T22</f>
        <v>0</v>
      </c>
      <c r="L23" s="11">
        <f t="shared" ca="1" si="0"/>
        <v>0</v>
      </c>
      <c r="M23" s="9"/>
      <c r="N23" s="11">
        <f t="shared" si="1"/>
        <v>0</v>
      </c>
      <c r="O23" s="9">
        <f>DATOSAÑO!CT22</f>
        <v>0</v>
      </c>
      <c r="P23" s="9">
        <f>DATOSAÑO!CU22</f>
        <v>0</v>
      </c>
      <c r="Q23" s="9">
        <f ca="1">DATOSAÑO!AD22</f>
        <v>169.59999999997672</v>
      </c>
      <c r="R23" s="11">
        <f ca="1">(Q23*DATOSAÑO!$Z$11)/DATOSAÑO!$Y$11</f>
        <v>3.0559651167054054</v>
      </c>
      <c r="S23" s="9">
        <f ca="1">DATOSAÑO!AF22</f>
        <v>137.59999999997672</v>
      </c>
      <c r="T23" s="11">
        <f ca="1">(S23*DATOSAÑO!$Z$11)/DATOSAÑO!$Y$11</f>
        <v>2.4793679248741176</v>
      </c>
      <c r="U23" s="9">
        <f ca="1">DATOSAÑO!AH22</f>
        <v>9.1999999999970896</v>
      </c>
      <c r="V23" s="11">
        <f ca="1">(U23*DATOSAÑO!$Z$11)/DATOSAÑO!$Y$11</f>
        <v>0.16577169265144279</v>
      </c>
      <c r="W23" s="9">
        <f ca="1">DATOSAÑO!AI22</f>
        <v>42.69999999999709</v>
      </c>
      <c r="X23" s="11">
        <f ca="1">(W23*DATOSAÑO!$Z$11)/DATOSAÑO!$Y$11</f>
        <v>0.76939687784982214</v>
      </c>
      <c r="Y23" s="9">
        <f ca="1">DATOSAÑO!AJ22</f>
        <v>7.8000000000029104</v>
      </c>
      <c r="Z23" s="11">
        <f ca="1">(Y23*DATOSAÑO!$Z$11)/DATOSAÑO!$Y$11</f>
        <v>0.14054556550892883</v>
      </c>
      <c r="AA23" s="9">
        <f ca="1">DATOSAÑO!AK22</f>
        <v>15.100000000005821</v>
      </c>
      <c r="AB23" s="11">
        <f ca="1">(AA23*DATOSAÑO!$Z$11)/DATOSAÑO!$Y$11</f>
        <v>0.2720817998954938</v>
      </c>
      <c r="AC23" s="9">
        <f ca="1">DATOSAÑO!AL22</f>
        <v>39.800000000044747</v>
      </c>
      <c r="AD23" s="11">
        <f ca="1">(AC23*DATOSAÑO!$Z$11)/DATOSAÑO!$Y$11</f>
        <v>0.71714275734097044</v>
      </c>
      <c r="AE23" s="9">
        <f ca="1">DATOSAÑO!AM22</f>
        <v>10.730000000000921</v>
      </c>
      <c r="AF23" s="11">
        <f ca="1">(AE23*DATOSAÑO!$Z$11)/DATOSAÑO!$Y$11</f>
        <v>0.19334024588594526</v>
      </c>
      <c r="AG23" s="9">
        <f ca="1">DATOSAÑO!AN22</f>
        <v>2.4789999999999921</v>
      </c>
      <c r="AH23" s="11">
        <f ca="1">(AG23*DATOSAÑO!$Z$11)/DATOSAÑO!$Y$11</f>
        <v>4.4668263704679932E-2</v>
      </c>
      <c r="AI23" s="9">
        <f ca="1">DATOSAÑO!BS22</f>
        <v>0</v>
      </c>
      <c r="AJ23" s="11">
        <f ca="1">(AI23*DATOSAÑO!$Z$11)/DATOSAÑO!$Y$11</f>
        <v>0</v>
      </c>
      <c r="AK23" s="9">
        <f ca="1">DATOSAÑO!BV22</f>
        <v>5.0739999999999998</v>
      </c>
      <c r="AL23" s="11">
        <f ca="1">(AK23*DATOSAÑO!$Z$11)/DATOSAÑO!$Y$11</f>
        <v>9.1426692229748557E-2</v>
      </c>
      <c r="AM23" s="9">
        <f ca="1">DATOSAÑO!BY22</f>
        <v>3.6560000000000001</v>
      </c>
      <c r="AN23" s="11">
        <f ca="1">(AM23*DATOSAÑO!$Z$11)/DATOSAÑO!$Y$11</f>
        <v>6.5876229166724629E-2</v>
      </c>
      <c r="AO23" s="9">
        <f ca="1">DATOSAÑO!CF22</f>
        <v>12.464999999999915</v>
      </c>
      <c r="AP23" s="11">
        <f ca="1">(AO23*DATOSAÑO!$Z$11)/DATOSAÑO!$Y$11</f>
        <v>0.22460262488052976</v>
      </c>
      <c r="AQ23" s="9">
        <f ca="1">DATOSAÑO!CL22</f>
        <v>2.5525999999999969</v>
      </c>
      <c r="AR23" s="1300">
        <f ca="1">(AQ23*DATOSAÑO!$Z$11)/DATOSAÑO!$Y$11</f>
        <v>4.599443724589198E-2</v>
      </c>
      <c r="AS23" s="1334">
        <f t="shared" si="2"/>
        <v>2</v>
      </c>
    </row>
    <row r="24" spans="1:45" ht="16.5" customHeight="1" thickBot="1">
      <c r="A24" s="1371">
        <v>44939</v>
      </c>
      <c r="B24" s="1021">
        <v>44939</v>
      </c>
      <c r="C24" s="9">
        <f ca="1">DATOSAÑO!I23</f>
        <v>146</v>
      </c>
      <c r="D24" s="10">
        <f ca="1">DATOSAÑO!$D23</f>
        <v>3.3346533370786524</v>
      </c>
      <c r="E24" s="11">
        <f ca="1">DATOSAÑO!$G23</f>
        <v>0</v>
      </c>
      <c r="F24" s="9">
        <f ca="1">DATOSAÑO!P23</f>
        <v>308</v>
      </c>
      <c r="G24" s="10">
        <f ca="1">DATOSAÑO!K23</f>
        <v>4.5360016516853952</v>
      </c>
      <c r="H24" s="11">
        <f ca="1">DATOSAÑO!N23</f>
        <v>0</v>
      </c>
      <c r="I24" s="9">
        <f ca="1">DATOSAÑO!Q23</f>
        <v>0</v>
      </c>
      <c r="J24" s="11">
        <f ca="1">DATOSAÑO!R23</f>
        <v>0</v>
      </c>
      <c r="K24" s="9">
        <f ca="1">DATOSAÑO!T23</f>
        <v>0</v>
      </c>
      <c r="L24" s="11">
        <f t="shared" ca="1" si="0"/>
        <v>0</v>
      </c>
      <c r="M24" s="9"/>
      <c r="N24" s="11">
        <f t="shared" si="1"/>
        <v>0</v>
      </c>
      <c r="O24" s="9">
        <f>DATOSAÑO!CT23</f>
        <v>0</v>
      </c>
      <c r="P24" s="9">
        <f>DATOSAÑO!CU23</f>
        <v>0</v>
      </c>
      <c r="Q24" s="9">
        <f ca="1">DATOSAÑO!AD23</f>
        <v>167</v>
      </c>
      <c r="R24" s="11">
        <f ca="1">(Q24*DATOSAÑO!$Z$11)/DATOSAÑO!$Y$11</f>
        <v>3.0091165948695329</v>
      </c>
      <c r="S24" s="9">
        <f ca="1">DATOSAÑO!AF23</f>
        <v>143</v>
      </c>
      <c r="T24" s="11">
        <f ca="1">(S24*DATOSAÑO!$Z$11)/DATOSAÑO!$Y$11</f>
        <v>2.5766687009960672</v>
      </c>
      <c r="U24" s="9">
        <f ca="1">DATOSAÑO!AH23</f>
        <v>16.5</v>
      </c>
      <c r="V24" s="11">
        <f ca="1">(U24*DATOSAÑO!$Z$11)/DATOSAÑO!$Y$11</f>
        <v>0.29730792703800774</v>
      </c>
      <c r="W24" s="9">
        <f ca="1">DATOSAÑO!AI23</f>
        <v>41.700000000004366</v>
      </c>
      <c r="X24" s="11">
        <f ca="1">(W24*DATOSAÑO!$Z$11)/DATOSAÑO!$Y$11</f>
        <v>0.75137821560522555</v>
      </c>
      <c r="Y24" s="9">
        <f ca="1">DATOSAÑO!AJ23</f>
        <v>8.5</v>
      </c>
      <c r="Z24" s="11">
        <f ca="1">(Y24*DATOSAÑO!$Z$11)/DATOSAÑO!$Y$11</f>
        <v>0.15315862908018582</v>
      </c>
      <c r="AA24" s="9">
        <f ca="1">DATOSAÑO!AK23</f>
        <v>16.5</v>
      </c>
      <c r="AB24" s="11">
        <f ca="1">(AA24*DATOSAÑO!$Z$11)/DATOSAÑO!$Y$11</f>
        <v>0.29730792703800774</v>
      </c>
      <c r="AC24" s="9">
        <f ca="1">DATOSAÑO!AL23</f>
        <v>31.399999999995998</v>
      </c>
      <c r="AD24" s="11">
        <f ca="1">(AC24*DATOSAÑO!$Z$11)/DATOSAÑO!$Y$11</f>
        <v>0.56578599448437905</v>
      </c>
      <c r="AE24" s="9">
        <f ca="1">DATOSAÑO!AM23</f>
        <v>9.9509999999993521</v>
      </c>
      <c r="AF24" s="11">
        <f ca="1">(AE24*DATOSAÑO!$Z$11)/DATOSAÑO!$Y$11</f>
        <v>0.17930370799727408</v>
      </c>
      <c r="AG24" s="9">
        <f ca="1">DATOSAÑO!AN23</f>
        <v>2.6380000000002726</v>
      </c>
      <c r="AH24" s="11">
        <f ca="1">(AG24*DATOSAÑO!$Z$11)/DATOSAÑO!$Y$11</f>
        <v>4.7533231001596697E-2</v>
      </c>
      <c r="AI24" s="9">
        <f ca="1">DATOSAÑO!BS23</f>
        <v>1.8</v>
      </c>
      <c r="AJ24" s="11">
        <f ca="1">(AI24*DATOSAÑO!$Z$11)/DATOSAÑO!$Y$11</f>
        <v>3.243359204050994E-2</v>
      </c>
      <c r="AK24" s="9">
        <f ca="1">DATOSAÑO!BV23</f>
        <v>2.9329999999999998</v>
      </c>
      <c r="AL24" s="11">
        <f ca="1">(AK24*DATOSAÑO!$Z$11)/DATOSAÑO!$Y$11</f>
        <v>5.2848736363786467E-2</v>
      </c>
      <c r="AM24" s="9">
        <f ca="1">DATOSAÑO!BY23</f>
        <v>3.516</v>
      </c>
      <c r="AN24" s="11">
        <f ca="1">(AM24*DATOSAÑO!$Z$11)/DATOSAÑO!$Y$11</f>
        <v>6.3353616452462749E-2</v>
      </c>
      <c r="AO24" s="9">
        <f ca="1">DATOSAÑO!CF23</f>
        <v>11.975499999999677</v>
      </c>
      <c r="AP24" s="11">
        <f ca="1">(AO24*DATOSAÑO!$Z$11)/DATOSAÑO!$Y$11</f>
        <v>0.21578248971173125</v>
      </c>
      <c r="AQ24" s="9">
        <f ca="1">DATOSAÑO!CL23</f>
        <v>2.6172000000001092</v>
      </c>
      <c r="AR24" s="1300">
        <f ca="1">(AQ24*DATOSAÑO!$Z$11)/DATOSAÑO!$Y$11</f>
        <v>4.7158442826903416E-2</v>
      </c>
      <c r="AS24" s="1334">
        <f t="shared" si="2"/>
        <v>2</v>
      </c>
    </row>
    <row r="25" spans="1:45" ht="15" thickBot="1">
      <c r="A25" s="1371">
        <v>44940</v>
      </c>
      <c r="B25" s="1021">
        <v>44940</v>
      </c>
      <c r="C25" s="9">
        <f ca="1">DATOSAÑO!I24</f>
        <v>148</v>
      </c>
      <c r="D25" s="10">
        <f ca="1">DATOSAÑO!$D24</f>
        <v>3.3494847977528099</v>
      </c>
      <c r="E25" s="11">
        <f ca="1">DATOSAÑO!$G24</f>
        <v>0</v>
      </c>
      <c r="F25" s="9">
        <f ca="1">DATOSAÑO!P24</f>
        <v>300</v>
      </c>
      <c r="G25" s="10">
        <f ca="1">DATOSAÑO!K24</f>
        <v>4.4766758089887659</v>
      </c>
      <c r="H25" s="11">
        <f ca="1">DATOSAÑO!N24</f>
        <v>0</v>
      </c>
      <c r="I25" s="9">
        <f ca="1">DATOSAÑO!Q24</f>
        <v>0</v>
      </c>
      <c r="J25" s="11">
        <f ca="1">DATOSAÑO!R24</f>
        <v>0</v>
      </c>
      <c r="K25" s="9">
        <f ca="1">DATOSAÑO!T24</f>
        <v>0</v>
      </c>
      <c r="L25" s="11">
        <f t="shared" ca="1" si="0"/>
        <v>0</v>
      </c>
      <c r="M25" s="9"/>
      <c r="N25" s="11">
        <f t="shared" si="1"/>
        <v>0</v>
      </c>
      <c r="O25" s="9">
        <f>DATOSAÑO!CT24</f>
        <v>0</v>
      </c>
      <c r="P25" s="9">
        <f>DATOSAÑO!CU24</f>
        <v>0</v>
      </c>
      <c r="Q25" s="9">
        <f ca="1">DATOSAÑO!AD24</f>
        <v>168</v>
      </c>
      <c r="R25" s="11">
        <f ca="1">(Q25*DATOSAÑO!$Z$11)/DATOSAÑO!$Y$11</f>
        <v>3.0271352571142609</v>
      </c>
      <c r="S25" s="9">
        <f ca="1">DATOSAÑO!AF24</f>
        <v>143</v>
      </c>
      <c r="T25" s="11">
        <f ca="1">(S25*DATOSAÑO!$Z$11)/DATOSAÑO!$Y$11</f>
        <v>2.5766687009960672</v>
      </c>
      <c r="U25" s="9">
        <f ca="1">DATOSAÑO!AH24</f>
        <v>5</v>
      </c>
      <c r="V25" s="11">
        <f ca="1">(U25*DATOSAÑO!$Z$11)/DATOSAÑO!$Y$11</f>
        <v>9.0093311223638714E-2</v>
      </c>
      <c r="W25" s="9">
        <f ca="1">DATOSAÑO!AI24</f>
        <v>45.599999999998545</v>
      </c>
      <c r="X25" s="11">
        <f ca="1">(W25*DATOSAÑO!$Z$11)/DATOSAÑO!$Y$11</f>
        <v>0.82165099835955879</v>
      </c>
      <c r="Y25" s="9">
        <f ca="1">DATOSAÑO!AJ24</f>
        <v>8.8999999999941792</v>
      </c>
      <c r="Z25" s="11">
        <f ca="1">(Y25*DATOSAÑO!$Z$11)/DATOSAÑO!$Y$11</f>
        <v>0.16036609397797202</v>
      </c>
      <c r="AA25" s="9">
        <f ca="1">DATOSAÑO!AK24</f>
        <v>14.700000000011642</v>
      </c>
      <c r="AB25" s="11">
        <f ca="1">(AA25*DATOSAÑO!$Z$11)/DATOSAÑO!$Y$11</f>
        <v>0.26487433499770757</v>
      </c>
      <c r="AC25" s="9">
        <f ca="1">DATOSAÑO!AL24</f>
        <v>33.799999999995578</v>
      </c>
      <c r="AD25" s="11">
        <f ca="1">(AC25*DATOSAÑO!$Z$11)/DATOSAÑO!$Y$11</f>
        <v>0.60903078387171794</v>
      </c>
      <c r="AE25" s="9">
        <f ca="1">DATOSAÑO!AM24</f>
        <v>9.5560000000005587</v>
      </c>
      <c r="AF25" s="11">
        <f ca="1">(AE25*DATOSAÑO!$Z$11)/DATOSAÑO!$Y$11</f>
        <v>0.17218633641062839</v>
      </c>
      <c r="AG25" s="9">
        <f ca="1">DATOSAÑO!AN24</f>
        <v>2.7539999999992721</v>
      </c>
      <c r="AH25" s="11">
        <f ca="1">(AG25*DATOSAÑO!$Z$11)/DATOSAÑO!$Y$11</f>
        <v>4.9623395821967085E-2</v>
      </c>
      <c r="AI25" s="9">
        <f ca="1">DATOSAÑO!BS24</f>
        <v>4.2</v>
      </c>
      <c r="AJ25" s="11">
        <f ca="1">(AI25*DATOSAÑO!$Z$11)/DATOSAÑO!$Y$11</f>
        <v>7.5678381427856531E-2</v>
      </c>
      <c r="AK25" s="9">
        <f ca="1">DATOSAÑO!BV24</f>
        <v>0</v>
      </c>
      <c r="AL25" s="11">
        <f ca="1">(AK25*DATOSAÑO!$Z$11)/DATOSAÑO!$Y$11</f>
        <v>0</v>
      </c>
      <c r="AM25" s="9">
        <f ca="1">DATOSAÑO!BY24</f>
        <v>3.6440000000000001</v>
      </c>
      <c r="AN25" s="11">
        <f ca="1">(AM25*DATOSAÑO!$Z$11)/DATOSAÑO!$Y$11</f>
        <v>6.566000521978789E-2</v>
      </c>
      <c r="AO25" s="9">
        <f ca="1">DATOSAÑO!CF24</f>
        <v>12.078000000000461</v>
      </c>
      <c r="AP25" s="11">
        <f ca="1">(AO25*DATOSAÑO!$Z$11)/DATOSAÑO!$Y$11</f>
        <v>0.21762940259182997</v>
      </c>
      <c r="AQ25" s="9">
        <f ca="1">DATOSAÑO!CL24</f>
        <v>2.6475999999997089</v>
      </c>
      <c r="AR25" s="1300">
        <f ca="1">(AQ25*DATOSAÑO!$Z$11)/DATOSAÑO!$Y$11</f>
        <v>4.7706210159135926E-2</v>
      </c>
      <c r="AS25" s="1334">
        <f t="shared" si="2"/>
        <v>2</v>
      </c>
    </row>
    <row r="26" spans="1:45" ht="16.5" customHeight="1" thickBot="1">
      <c r="A26" s="1371">
        <v>44941</v>
      </c>
      <c r="B26" s="1021">
        <v>44941</v>
      </c>
      <c r="C26" s="9">
        <f ca="1">DATOSAÑO!I25</f>
        <v>150</v>
      </c>
      <c r="D26" s="10">
        <f ca="1">DATOSAÑO!$D25</f>
        <v>3.3643162584269666</v>
      </c>
      <c r="E26" s="11">
        <f ca="1">DATOSAÑO!$G25</f>
        <v>0</v>
      </c>
      <c r="F26" s="9">
        <f ca="1">DATOSAÑO!P25</f>
        <v>300</v>
      </c>
      <c r="G26" s="10">
        <f ca="1">DATOSAÑO!K25</f>
        <v>4.4766758089887659</v>
      </c>
      <c r="H26" s="11">
        <f ca="1">DATOSAÑO!N25</f>
        <v>0</v>
      </c>
      <c r="I26" s="9">
        <f ca="1">DATOSAÑO!Q25</f>
        <v>0</v>
      </c>
      <c r="J26" s="11">
        <f ca="1">DATOSAÑO!R25</f>
        <v>0</v>
      </c>
      <c r="K26" s="9">
        <f ca="1">DATOSAÑO!T25</f>
        <v>0</v>
      </c>
      <c r="L26" s="11">
        <f t="shared" ca="1" si="0"/>
        <v>0</v>
      </c>
      <c r="M26" s="9"/>
      <c r="N26" s="11">
        <f t="shared" si="1"/>
        <v>0</v>
      </c>
      <c r="O26" s="9">
        <f>DATOSAÑO!CT25</f>
        <v>0</v>
      </c>
      <c r="P26" s="9">
        <f>DATOSAÑO!CU25</f>
        <v>0</v>
      </c>
      <c r="Q26" s="9">
        <f ca="1">DATOSAÑO!AD25</f>
        <v>166</v>
      </c>
      <c r="R26" s="11">
        <f ca="1">(Q26*DATOSAÑO!$Z$11)/DATOSAÑO!$Y$11</f>
        <v>2.9910979326248053</v>
      </c>
      <c r="S26" s="9">
        <f ca="1">DATOSAÑO!AF25</f>
        <v>138</v>
      </c>
      <c r="T26" s="11">
        <f ca="1">(S26*DATOSAÑO!$Z$11)/DATOSAÑO!$Y$11</f>
        <v>2.4865753897724288</v>
      </c>
      <c r="U26" s="9">
        <f ca="1">DATOSAÑO!AH25</f>
        <v>12.80000000000291</v>
      </c>
      <c r="V26" s="11">
        <f ca="1">(U26*DATOSAÑO!$Z$11)/DATOSAÑO!$Y$11</f>
        <v>0.23063887673256753</v>
      </c>
      <c r="W26" s="9">
        <f ca="1">DATOSAÑO!AI25</f>
        <v>46.900000000001455</v>
      </c>
      <c r="X26" s="11">
        <f ca="1">(W26*DATOSAÑO!$Z$11)/DATOSAÑO!$Y$11</f>
        <v>0.84507525927775728</v>
      </c>
      <c r="Y26" s="9">
        <f ca="1">DATOSAÑO!AJ25</f>
        <v>8.2000000000116415</v>
      </c>
      <c r="Z26" s="11">
        <f ca="1">(Y26*DATOSAÑO!$Z$11)/DATOSAÑO!$Y$11</f>
        <v>0.14775303040697724</v>
      </c>
      <c r="AA26" s="9">
        <f ca="1">DATOSAÑO!AK25</f>
        <v>15.5</v>
      </c>
      <c r="AB26" s="11">
        <f ca="1">(AA26*DATOSAÑO!$Z$11)/DATOSAÑO!$Y$11</f>
        <v>0.27928926479328003</v>
      </c>
      <c r="AC26" s="9">
        <f ca="1">DATOSAÑO!AL25</f>
        <v>32.999999999983686</v>
      </c>
      <c r="AD26" s="11">
        <f ca="1">(AC26*DATOSAÑO!$Z$11)/DATOSAÑO!$Y$11</f>
        <v>0.59461585407572159</v>
      </c>
      <c r="AE26" s="9">
        <f ca="1">DATOSAÑO!AM25</f>
        <v>10.324000000000455</v>
      </c>
      <c r="AF26" s="11">
        <f ca="1">(AE26*DATOSAÑO!$Z$11)/DATOSAÑO!$Y$11</f>
        <v>0.1860246690145774</v>
      </c>
      <c r="AG26" s="9">
        <f ca="1">DATOSAÑO!AN25</f>
        <v>2.8580000000000911</v>
      </c>
      <c r="AH26" s="11">
        <f ca="1">(AG26*DATOSAÑO!$Z$11)/DATOSAÑO!$Y$11</f>
        <v>5.1497336695433528E-2</v>
      </c>
      <c r="AI26" s="9">
        <f ca="1">DATOSAÑO!BS25</f>
        <v>4</v>
      </c>
      <c r="AJ26" s="11">
        <f ca="1">(AI26*DATOSAÑO!$Z$11)/DATOSAÑO!$Y$11</f>
        <v>7.2074648978910971E-2</v>
      </c>
      <c r="AK26" s="9">
        <f ca="1">DATOSAÑO!BV25</f>
        <v>0</v>
      </c>
      <c r="AL26" s="11">
        <f ca="1">(AK26*DATOSAÑO!$Z$11)/DATOSAÑO!$Y$11</f>
        <v>0</v>
      </c>
      <c r="AM26" s="9">
        <f ca="1">DATOSAÑO!BY25</f>
        <v>3.6760000000000002</v>
      </c>
      <c r="AN26" s="11">
        <f ca="1">(AM26*DATOSAÑO!$Z$11)/DATOSAÑO!$Y$11</f>
        <v>6.6236602411619189E-2</v>
      </c>
      <c r="AO26" s="9">
        <f ca="1">DATOSAÑO!CF25</f>
        <v>12.362000000000045</v>
      </c>
      <c r="AP26" s="11">
        <f ca="1">(AO26*DATOSAÑO!$Z$11)/DATOSAÑO!$Y$11</f>
        <v>0.22274670266932514</v>
      </c>
      <c r="AQ26" s="9">
        <f ca="1">DATOSAÑO!CL25</f>
        <v>2.6852000000000364</v>
      </c>
      <c r="AR26" s="1300">
        <f ca="1">(AQ26*DATOSAÑO!$Z$11)/DATOSAÑO!$Y$11</f>
        <v>4.8383711859543592E-2</v>
      </c>
      <c r="AS26" s="1334">
        <f t="shared" si="2"/>
        <v>3</v>
      </c>
    </row>
    <row r="27" spans="1:45" ht="15" thickBot="1">
      <c r="A27" s="1371">
        <v>44942</v>
      </c>
      <c r="B27" s="1021">
        <v>44942</v>
      </c>
      <c r="C27" s="9">
        <f ca="1">DATOSAÑO!I26</f>
        <v>150</v>
      </c>
      <c r="D27" s="10">
        <f ca="1">DATOSAÑO!$D26</f>
        <v>3.3643162584269666</v>
      </c>
      <c r="E27" s="11">
        <f ca="1">DATOSAÑO!$G26</f>
        <v>0</v>
      </c>
      <c r="F27" s="9">
        <f ca="1">DATOSAÑO!P26</f>
        <v>304</v>
      </c>
      <c r="G27" s="10">
        <f ca="1">DATOSAÑO!K26</f>
        <v>4.5063387303370801</v>
      </c>
      <c r="H27" s="11">
        <f ca="1">DATOSAÑO!N26</f>
        <v>0</v>
      </c>
      <c r="I27" s="9">
        <f ca="1">DATOSAÑO!Q26</f>
        <v>0.48500000000012733</v>
      </c>
      <c r="J27" s="11">
        <f ca="1">DATOSAÑO!R26</f>
        <v>58.20000000001528</v>
      </c>
      <c r="K27" s="9">
        <f ca="1">DATOSAÑO!T26</f>
        <v>0.44600000000002638</v>
      </c>
      <c r="L27" s="11">
        <f t="shared" ca="1" si="0"/>
        <v>53.520000000003165</v>
      </c>
      <c r="M27" s="9"/>
      <c r="N27" s="11">
        <f t="shared" si="1"/>
        <v>0</v>
      </c>
      <c r="O27" s="9">
        <f>DATOSAÑO!CT26</f>
        <v>0.5</v>
      </c>
      <c r="P27" s="9">
        <f>DATOSAÑO!CU26</f>
        <v>0.4</v>
      </c>
      <c r="Q27" s="9">
        <f ca="1">DATOSAÑO!AD26</f>
        <v>165</v>
      </c>
      <c r="R27" s="11">
        <f ca="1">(Q27*DATOSAÑO!$Z$11)/DATOSAÑO!$Y$11</f>
        <v>2.9730792703800777</v>
      </c>
      <c r="S27" s="9">
        <f ca="1">DATOSAÑO!AF26</f>
        <v>144</v>
      </c>
      <c r="T27" s="11">
        <f ca="1">(S27*DATOSAÑO!$Z$11)/DATOSAÑO!$Y$11</f>
        <v>2.5946873632407947</v>
      </c>
      <c r="U27" s="9">
        <f ca="1">DATOSAÑO!AH26</f>
        <v>12</v>
      </c>
      <c r="V27" s="11">
        <f ca="1">(U27*DATOSAÑO!$Z$11)/DATOSAÑO!$Y$11</f>
        <v>0.21622394693673291</v>
      </c>
      <c r="W27" s="9">
        <f ca="1">DATOSAÑO!AI26</f>
        <v>45.099999999998545</v>
      </c>
      <c r="X27" s="11">
        <f ca="1">(W27*DATOSAÑO!$Z$11)/DATOSAÑO!$Y$11</f>
        <v>0.81264166723719489</v>
      </c>
      <c r="Y27" s="9">
        <f ca="1">DATOSAÑO!AJ26</f>
        <v>8.3999999999941792</v>
      </c>
      <c r="Z27" s="11">
        <f ca="1">(Y27*DATOSAÑO!$Z$11)/DATOSAÑO!$Y$11</f>
        <v>0.15135676285560815</v>
      </c>
      <c r="AA27" s="9">
        <f ca="1">DATOSAÑO!AK26</f>
        <v>15.399999999994179</v>
      </c>
      <c r="AB27" s="11">
        <f ca="1">(AA27*DATOSAÑO!$Z$11)/DATOSAÑO!$Y$11</f>
        <v>0.27748739856870236</v>
      </c>
      <c r="AC27" s="9">
        <f ca="1">DATOSAÑO!AL26</f>
        <v>36.331000000014342</v>
      </c>
      <c r="AD27" s="11">
        <f ca="1">(AC27*DATOSAÑO!$Z$11)/DATOSAÑO!$Y$11</f>
        <v>0.65463601801346205</v>
      </c>
      <c r="AE27" s="9">
        <f ca="1">DATOSAÑO!AM26</f>
        <v>9.6859999999989981</v>
      </c>
      <c r="AF27" s="11">
        <f ca="1">(AE27*DATOSAÑO!$Z$11)/DATOSAÑO!$Y$11</f>
        <v>0.17452876250241484</v>
      </c>
      <c r="AG27" s="9">
        <f ca="1">DATOSAÑO!AN26</f>
        <v>2.8440000000000909</v>
      </c>
      <c r="AH27" s="11">
        <f ca="1">(AG27*DATOSAÑO!$Z$11)/DATOSAÑO!$Y$11</f>
        <v>5.1245075424007337E-2</v>
      </c>
      <c r="AI27" s="9">
        <f ca="1">DATOSAÑO!BS26</f>
        <v>4</v>
      </c>
      <c r="AJ27" s="11">
        <f ca="1">(AI27*DATOSAÑO!$Z$11)/DATOSAÑO!$Y$11</f>
        <v>7.2074648978910971E-2</v>
      </c>
      <c r="AK27" s="9">
        <f ca="1">DATOSAÑO!BV26</f>
        <v>0</v>
      </c>
      <c r="AL27" s="11">
        <f ca="1">(AK27*DATOSAÑO!$Z$11)/DATOSAÑO!$Y$11</f>
        <v>0</v>
      </c>
      <c r="AM27" s="9">
        <f ca="1">DATOSAÑO!BY26</f>
        <v>3.4140000000000001</v>
      </c>
      <c r="AN27" s="11">
        <f ca="1">(AM27*DATOSAÑO!$Z$11)/DATOSAÑO!$Y$11</f>
        <v>6.1515712903500518E-2</v>
      </c>
      <c r="AO27" s="9">
        <f ca="1">DATOSAÑO!CF26</f>
        <v>12.042999999999317</v>
      </c>
      <c r="AP27" s="11">
        <f ca="1">(AO27*DATOSAÑO!$Z$11)/DATOSAÑO!$Y$11</f>
        <v>0.2169987494132439</v>
      </c>
      <c r="AQ27" s="9">
        <f ca="1">DATOSAÑO!CL26</f>
        <v>2.6936000000000364</v>
      </c>
      <c r="AR27" s="1300">
        <f ca="1">(AQ27*DATOSAÑO!$Z$11)/DATOSAÑO!$Y$11</f>
        <v>4.8535068622399306E-2</v>
      </c>
      <c r="AS27" s="1334">
        <f t="shared" si="2"/>
        <v>3</v>
      </c>
    </row>
    <row r="28" spans="1:45" ht="16.5" customHeight="1" thickBot="1">
      <c r="A28" s="1371">
        <v>44943</v>
      </c>
      <c r="B28" s="1021">
        <v>44943</v>
      </c>
      <c r="C28" s="9">
        <f ca="1">DATOSAÑO!I27</f>
        <v>150</v>
      </c>
      <c r="D28" s="10">
        <f ca="1">DATOSAÑO!$D27</f>
        <v>3.3643162584269666</v>
      </c>
      <c r="E28" s="11">
        <f ca="1">DATOSAÑO!$G27</f>
        <v>0</v>
      </c>
      <c r="F28" s="9">
        <f ca="1">DATOSAÑO!P27</f>
        <v>300</v>
      </c>
      <c r="G28" s="10">
        <f ca="1">DATOSAÑO!K27</f>
        <v>4.4766758089887659</v>
      </c>
      <c r="H28" s="11">
        <f ca="1">DATOSAÑO!N27</f>
        <v>0</v>
      </c>
      <c r="I28" s="9">
        <f ca="1">DATOSAÑO!Q27</f>
        <v>0</v>
      </c>
      <c r="J28" s="11">
        <f ca="1">DATOSAÑO!R27</f>
        <v>0</v>
      </c>
      <c r="K28" s="9">
        <f ca="1">DATOSAÑO!T27</f>
        <v>0</v>
      </c>
      <c r="L28" s="11">
        <f t="shared" ca="1" si="0"/>
        <v>0</v>
      </c>
      <c r="M28" s="9"/>
      <c r="N28" s="11">
        <f t="shared" si="1"/>
        <v>0</v>
      </c>
      <c r="O28" s="9">
        <f>DATOSAÑO!CT27</f>
        <v>0</v>
      </c>
      <c r="P28" s="9">
        <f>DATOSAÑO!CU27</f>
        <v>0</v>
      </c>
      <c r="Q28" s="9">
        <f ca="1">DATOSAÑO!AD27</f>
        <v>167</v>
      </c>
      <c r="R28" s="11">
        <f ca="1">(Q28*DATOSAÑO!$Z$11)/DATOSAÑO!$Y$11</f>
        <v>3.0091165948695329</v>
      </c>
      <c r="S28" s="9">
        <f ca="1">DATOSAÑO!AF27</f>
        <v>142</v>
      </c>
      <c r="T28" s="11">
        <f ca="1">(S28*DATOSAÑO!$Z$11)/DATOSAÑO!$Y$11</f>
        <v>2.5586500387513391</v>
      </c>
      <c r="U28" s="9">
        <f ca="1">DATOSAÑO!AH27</f>
        <v>9</v>
      </c>
      <c r="V28" s="11">
        <f ca="1">(U28*DATOSAÑO!$Z$11)/DATOSAÑO!$Y$11</f>
        <v>0.16216796020254967</v>
      </c>
      <c r="W28" s="9">
        <f ca="1">DATOSAÑO!AI27</f>
        <v>44.5</v>
      </c>
      <c r="X28" s="11">
        <f ca="1">(W28*DATOSAÑO!$Z$11)/DATOSAÑO!$Y$11</f>
        <v>0.80183046989038453</v>
      </c>
      <c r="Y28" s="9">
        <f ca="1">DATOSAÑO!AJ27</f>
        <v>9.3999999999941792</v>
      </c>
      <c r="Z28" s="11">
        <f ca="1">(Y28*DATOSAÑO!$Z$11)/DATOSAÑO!$Y$11</f>
        <v>0.1693754251003359</v>
      </c>
      <c r="AA28" s="9">
        <f ca="1">DATOSAÑO!AK27</f>
        <v>14.100000000005821</v>
      </c>
      <c r="AB28" s="11">
        <f ca="1">(AA28*DATOSAÑO!$Z$11)/DATOSAÑO!$Y$11</f>
        <v>0.25406313765076605</v>
      </c>
      <c r="AC28" s="9">
        <f ca="1">DATOSAÑO!AL27</f>
        <v>34.299999999999272</v>
      </c>
      <c r="AD28" s="11">
        <f ca="1">(AC28*DATOSAÑO!$Z$11)/DATOSAÑO!$Y$11</f>
        <v>0.61804011499414857</v>
      </c>
      <c r="AE28" s="9">
        <f ca="1">DATOSAÑO!AM27</f>
        <v>11.022000000000268</v>
      </c>
      <c r="AF28" s="11">
        <f ca="1">(AE28*DATOSAÑO!$Z$11)/DATOSAÑO!$Y$11</f>
        <v>0.19860169526139401</v>
      </c>
      <c r="AG28" s="9">
        <f ca="1">DATOSAÑO!AN27</f>
        <v>2.8640000000000829</v>
      </c>
      <c r="AH28" s="11">
        <f ca="1">(AG28*DATOSAÑO!$Z$11)/DATOSAÑO!$Y$11</f>
        <v>5.1605448668901745E-2</v>
      </c>
      <c r="AI28" s="9">
        <f ca="1">DATOSAÑO!BS27</f>
        <v>3.8</v>
      </c>
      <c r="AJ28" s="11">
        <f ca="1">(AI28*DATOSAÑO!$Z$11)/DATOSAÑO!$Y$11</f>
        <v>6.8470916529965425E-2</v>
      </c>
      <c r="AK28" s="9">
        <f ca="1">DATOSAÑO!BV27</f>
        <v>0</v>
      </c>
      <c r="AL28" s="11">
        <f ca="1">(AK28*DATOSAÑO!$Z$11)/DATOSAÑO!$Y$11</f>
        <v>0</v>
      </c>
      <c r="AM28" s="9">
        <f ca="1">DATOSAÑO!BY27</f>
        <v>3.3380000000000001</v>
      </c>
      <c r="AN28" s="11">
        <f ca="1">(AM28*DATOSAÑO!$Z$11)/DATOSAÑO!$Y$11</f>
        <v>6.0146294572901209E-2</v>
      </c>
      <c r="AO28" s="9">
        <f ca="1">DATOSAÑO!CF27</f>
        <v>12.611000000000498</v>
      </c>
      <c r="AP28" s="11">
        <f ca="1">(AO28*DATOSAÑO!$Z$11)/DATOSAÑO!$Y$11</f>
        <v>0.22723334956827052</v>
      </c>
      <c r="AQ28" s="9">
        <f ca="1">DATOSAÑO!CL27</f>
        <v>2.7216000000000333</v>
      </c>
      <c r="AR28" s="1300">
        <f ca="1">(AQ28*DATOSAÑO!$Z$11)/DATOSAÑO!$Y$11</f>
        <v>4.9039591165251625E-2</v>
      </c>
      <c r="AS28" s="1334">
        <f t="shared" si="2"/>
        <v>3</v>
      </c>
    </row>
    <row r="29" spans="1:45" ht="15" thickBot="1">
      <c r="A29" s="1371">
        <v>44944</v>
      </c>
      <c r="B29" s="1021">
        <v>44944</v>
      </c>
      <c r="C29" s="9">
        <f ca="1">DATOSAÑO!I28</f>
        <v>150</v>
      </c>
      <c r="D29" s="10">
        <f ca="1">DATOSAÑO!$D28</f>
        <v>3.3643162584269666</v>
      </c>
      <c r="E29" s="11">
        <f ca="1">DATOSAÑO!$G28</f>
        <v>0</v>
      </c>
      <c r="F29" s="9">
        <f ca="1">DATOSAÑO!P28</f>
        <v>296</v>
      </c>
      <c r="G29" s="10">
        <f ca="1">DATOSAÑO!K28</f>
        <v>4.4470128876404509</v>
      </c>
      <c r="H29" s="11">
        <f ca="1">DATOSAÑO!N28</f>
        <v>0</v>
      </c>
      <c r="I29" s="9">
        <f ca="1">DATOSAÑO!Q28</f>
        <v>0</v>
      </c>
      <c r="J29" s="11">
        <f ca="1">DATOSAÑO!R28</f>
        <v>0</v>
      </c>
      <c r="K29" s="9">
        <f ca="1">DATOSAÑO!T28</f>
        <v>0</v>
      </c>
      <c r="L29" s="11">
        <f t="shared" ca="1" si="0"/>
        <v>0</v>
      </c>
      <c r="M29" s="9"/>
      <c r="N29" s="11">
        <f t="shared" si="1"/>
        <v>0</v>
      </c>
      <c r="O29" s="9">
        <f>DATOSAÑO!CT28</f>
        <v>0</v>
      </c>
      <c r="P29" s="9">
        <f>DATOSAÑO!CU28</f>
        <v>0</v>
      </c>
      <c r="Q29" s="9">
        <f ca="1">DATOSAÑO!AD28</f>
        <v>164</v>
      </c>
      <c r="R29" s="11">
        <f ca="1">(Q29*DATOSAÑO!$Z$11)/DATOSAÑO!$Y$11</f>
        <v>2.9550606081353497</v>
      </c>
      <c r="S29" s="9">
        <f ca="1">DATOSAÑO!AF28</f>
        <v>143</v>
      </c>
      <c r="T29" s="11">
        <f ca="1">(S29*DATOSAÑO!$Z$11)/DATOSAÑO!$Y$11</f>
        <v>2.5766687009960672</v>
      </c>
      <c r="U29" s="9">
        <f ca="1">DATOSAÑO!AH28</f>
        <v>10.5</v>
      </c>
      <c r="V29" s="11">
        <f ca="1">(U29*DATOSAÑO!$Z$11)/DATOSAÑO!$Y$11</f>
        <v>0.18919595356964131</v>
      </c>
      <c r="W29" s="9">
        <f ca="1">DATOSAÑO!AI28</f>
        <v>43.400000000001455</v>
      </c>
      <c r="X29" s="11">
        <f ca="1">(W29*DATOSAÑO!$Z$11)/DATOSAÑO!$Y$11</f>
        <v>0.78200994142121028</v>
      </c>
      <c r="Y29" s="9">
        <f ca="1">DATOSAÑO!AJ28</f>
        <v>9</v>
      </c>
      <c r="Z29" s="11">
        <f ca="1">(Y29*DATOSAÑO!$Z$11)/DATOSAÑO!$Y$11</f>
        <v>0.16216796020254967</v>
      </c>
      <c r="AA29" s="9">
        <f ca="1">DATOSAÑO!AK28</f>
        <v>14.699999999982538</v>
      </c>
      <c r="AB29" s="11">
        <f ca="1">(AA29*DATOSAÑO!$Z$11)/DATOSAÑO!$Y$11</f>
        <v>0.26487433499718316</v>
      </c>
      <c r="AC29" s="9">
        <f ca="1">DATOSAÑO!AL28</f>
        <v>34.8000000000157</v>
      </c>
      <c r="AD29" s="11">
        <f ca="1">(AC29*DATOSAÑO!$Z$11)/DATOSAÑO!$Y$11</f>
        <v>0.62704944611680824</v>
      </c>
      <c r="AE29" s="9">
        <f ca="1">DATOSAÑO!AM28</f>
        <v>8.1739999999999071</v>
      </c>
      <c r="AF29" s="11">
        <f ca="1">(AE29*DATOSAÑO!$Z$11)/DATOSAÑO!$Y$11</f>
        <v>0.14728454518840289</v>
      </c>
      <c r="AG29" s="9">
        <f ca="1">DATOSAÑO!AN28</f>
        <v>2.482000000000455</v>
      </c>
      <c r="AH29" s="11">
        <f ca="1">(AG29*DATOSAÑO!$Z$11)/DATOSAÑO!$Y$11</f>
        <v>4.4722319691422451E-2</v>
      </c>
      <c r="AI29" s="9">
        <f ca="1">DATOSAÑO!BS28</f>
        <v>4</v>
      </c>
      <c r="AJ29" s="11">
        <f ca="1">(AI29*DATOSAÑO!$Z$11)/DATOSAÑO!$Y$11</f>
        <v>7.2074648978910971E-2</v>
      </c>
      <c r="AK29" s="9">
        <f ca="1">DATOSAÑO!BV28</f>
        <v>0</v>
      </c>
      <c r="AL29" s="11">
        <f ca="1">(AK29*DATOSAÑO!$Z$11)/DATOSAÑO!$Y$11</f>
        <v>0</v>
      </c>
      <c r="AM29" s="9">
        <f ca="1">DATOSAÑO!BY28</f>
        <v>3.4260000000000002</v>
      </c>
      <c r="AN29" s="11">
        <f ca="1">(AM29*DATOSAÑO!$Z$11)/DATOSAÑO!$Y$11</f>
        <v>6.1731936850437243E-2</v>
      </c>
      <c r="AO29" s="9">
        <f ca="1">DATOSAÑO!CF28</f>
        <v>11.086999999999954</v>
      </c>
      <c r="AP29" s="11">
        <f ca="1">(AO29*DATOSAÑO!$Z$11)/DATOSAÑO!$Y$11</f>
        <v>0.19977290830729563</v>
      </c>
      <c r="AQ29" s="9">
        <f ca="1">DATOSAÑO!CL28</f>
        <v>2.5108000000001818</v>
      </c>
      <c r="AR29" s="1300">
        <f ca="1">(AQ29*DATOSAÑO!$Z$11)/DATOSAÑO!$Y$11</f>
        <v>4.5241257164065692E-2</v>
      </c>
      <c r="AS29" s="1334">
        <f t="shared" si="2"/>
        <v>3</v>
      </c>
    </row>
    <row r="30" spans="1:45" ht="16.5" customHeight="1" thickBot="1">
      <c r="A30" s="1371">
        <v>44945</v>
      </c>
      <c r="B30" s="1021">
        <v>44945</v>
      </c>
      <c r="C30" s="9">
        <f ca="1">DATOSAÑO!I29</f>
        <v>146</v>
      </c>
      <c r="D30" s="10">
        <f ca="1">DATOSAÑO!$D29</f>
        <v>3.3346533370786524</v>
      </c>
      <c r="E30" s="11">
        <f ca="1">DATOSAÑO!$G29</f>
        <v>0</v>
      </c>
      <c r="F30" s="9">
        <f ca="1">DATOSAÑO!P29</f>
        <v>304</v>
      </c>
      <c r="G30" s="10">
        <f ca="1">DATOSAÑO!K29</f>
        <v>4.5063387303370801</v>
      </c>
      <c r="H30" s="11">
        <f ca="1">DATOSAÑO!N29</f>
        <v>0</v>
      </c>
      <c r="I30" s="9">
        <f ca="1">DATOSAÑO!Q29</f>
        <v>0</v>
      </c>
      <c r="J30" s="11">
        <f ca="1">DATOSAÑO!R29</f>
        <v>0</v>
      </c>
      <c r="K30" s="9">
        <f ca="1">DATOSAÑO!T29</f>
        <v>0</v>
      </c>
      <c r="L30" s="11">
        <f t="shared" ca="1" si="0"/>
        <v>0</v>
      </c>
      <c r="M30" s="9"/>
      <c r="N30" s="11">
        <f t="shared" si="1"/>
        <v>0</v>
      </c>
      <c r="O30" s="9">
        <f>DATOSAÑO!CT29</f>
        <v>0</v>
      </c>
      <c r="P30" s="9">
        <f>DATOSAÑO!CU29</f>
        <v>0</v>
      </c>
      <c r="Q30" s="9">
        <f ca="1">DATOSAÑO!AD29</f>
        <v>170.40000000002328</v>
      </c>
      <c r="R30" s="11">
        <f ca="1">(Q30*DATOSAÑO!$Z$11)/DATOSAÑO!$Y$11</f>
        <v>3.0703800465020268</v>
      </c>
      <c r="S30" s="9">
        <f ca="1">DATOSAÑO!AF29</f>
        <v>142</v>
      </c>
      <c r="T30" s="11">
        <f ca="1">(S30*DATOSAÑO!$Z$11)/DATOSAÑO!$Y$11</f>
        <v>2.5586500387513391</v>
      </c>
      <c r="U30" s="9">
        <f ca="1">DATOSAÑO!AH29</f>
        <v>10.099999999998545</v>
      </c>
      <c r="V30" s="11">
        <f ca="1">(U30*DATOSAÑO!$Z$11)/DATOSAÑO!$Y$11</f>
        <v>0.18198848867172399</v>
      </c>
      <c r="W30" s="9">
        <f ca="1">DATOSAÑO!AI29</f>
        <v>44.400000000001455</v>
      </c>
      <c r="X30" s="11">
        <f ca="1">(W30*DATOSAÑO!$Z$11)/DATOSAÑO!$Y$11</f>
        <v>0.80002860366593798</v>
      </c>
      <c r="Y30" s="9">
        <f ca="1">DATOSAÑO!AJ29</f>
        <v>9.2000000000116415</v>
      </c>
      <c r="Z30" s="11">
        <f ca="1">(Y30*DATOSAÑO!$Z$11)/DATOSAÑO!$Y$11</f>
        <v>0.16577169265170499</v>
      </c>
      <c r="AA30" s="9">
        <f ca="1">DATOSAÑO!AK29</f>
        <v>14.899999999994179</v>
      </c>
      <c r="AB30" s="11">
        <f ca="1">(AA30*DATOSAÑO!$Z$11)/DATOSAÑO!$Y$11</f>
        <v>0.26847806744633845</v>
      </c>
      <c r="AC30" s="9">
        <f ca="1">DATOSAÑO!AL29</f>
        <v>31.199999999971624</v>
      </c>
      <c r="AD30" s="11">
        <f ca="1">(AC30*DATOSAÑO!$Z$11)/DATOSAÑO!$Y$11</f>
        <v>0.56218226203499422</v>
      </c>
      <c r="AE30" s="9">
        <f ca="1">DATOSAÑO!AM29</f>
        <v>8.8319999999995531</v>
      </c>
      <c r="AF30" s="11">
        <f ca="1">(AE30*DATOSAÑO!$Z$11)/DATOSAÑO!$Y$11</f>
        <v>0.15914082494542736</v>
      </c>
      <c r="AG30" s="9">
        <f ca="1">DATOSAÑO!AN29</f>
        <v>2.6119999999999091</v>
      </c>
      <c r="AH30" s="11">
        <f ca="1">(AG30*DATOSAÑO!$Z$11)/DATOSAÑO!$Y$11</f>
        <v>4.7064745783227217E-2</v>
      </c>
      <c r="AI30" s="9">
        <f ca="1">DATOSAÑO!BS29</f>
        <v>4.2480000000000002</v>
      </c>
      <c r="AJ30" s="11">
        <f ca="1">(AI30*DATOSAÑO!$Z$11)/DATOSAÑO!$Y$11</f>
        <v>7.6543277215603445E-2</v>
      </c>
      <c r="AK30" s="9">
        <f ca="1">DATOSAÑO!BV29</f>
        <v>0</v>
      </c>
      <c r="AL30" s="11">
        <f ca="1">(AK30*DATOSAÑO!$Z$11)/DATOSAÑO!$Y$11</f>
        <v>0</v>
      </c>
      <c r="AM30" s="9">
        <f ca="1">DATOSAÑO!BY29</f>
        <v>3.42</v>
      </c>
      <c r="AN30" s="11">
        <f ca="1">(AM30*DATOSAÑO!$Z$11)/DATOSAÑO!$Y$11</f>
        <v>6.162382487696888E-2</v>
      </c>
      <c r="AO30" s="9">
        <f ca="1">DATOSAÑO!CF29</f>
        <v>11.615999999999595</v>
      </c>
      <c r="AP30" s="11">
        <f ca="1">(AO30*DATOSAÑO!$Z$11)/DATOSAÑO!$Y$11</f>
        <v>0.20930478063475016</v>
      </c>
      <c r="AQ30" s="9">
        <f ca="1">DATOSAÑO!CL29</f>
        <v>2.5327999999999635</v>
      </c>
      <c r="AR30" s="1300">
        <f ca="1">(AQ30*DATOSAÑO!$Z$11)/DATOSAÑO!$Y$11</f>
        <v>4.5637667733445769E-2</v>
      </c>
      <c r="AS30" s="1334">
        <f t="shared" si="2"/>
        <v>3</v>
      </c>
    </row>
    <row r="31" spans="1:45" ht="15" thickBot="1">
      <c r="A31" s="1371">
        <v>44946</v>
      </c>
      <c r="B31" s="1021">
        <v>44946</v>
      </c>
      <c r="C31" s="9">
        <f ca="1">DATOSAÑO!I30</f>
        <v>152</v>
      </c>
      <c r="D31" s="10">
        <f ca="1">DATOSAÑO!$D30</f>
        <v>3.3791477191011241</v>
      </c>
      <c r="E31" s="11">
        <f ca="1">DATOSAÑO!$G30</f>
        <v>0</v>
      </c>
      <c r="F31" s="9">
        <f ca="1">DATOSAÑO!P30</f>
        <v>300</v>
      </c>
      <c r="G31" s="10">
        <f ca="1">DATOSAÑO!K30</f>
        <v>4.4766758089887659</v>
      </c>
      <c r="H31" s="11">
        <f ca="1">DATOSAÑO!N30</f>
        <v>0</v>
      </c>
      <c r="I31" s="9">
        <f ca="1">DATOSAÑO!Q30</f>
        <v>0</v>
      </c>
      <c r="J31" s="11">
        <f ca="1">DATOSAÑO!R30</f>
        <v>0</v>
      </c>
      <c r="K31" s="9">
        <f ca="1">DATOSAÑO!T30</f>
        <v>0</v>
      </c>
      <c r="L31" s="11">
        <f t="shared" ca="1" si="0"/>
        <v>0</v>
      </c>
      <c r="M31" s="9"/>
      <c r="N31" s="11">
        <f t="shared" si="1"/>
        <v>0</v>
      </c>
      <c r="O31" s="9">
        <f>DATOSAÑO!CT30</f>
        <v>0</v>
      </c>
      <c r="P31" s="9">
        <f>DATOSAÑO!CU30</f>
        <v>0</v>
      </c>
      <c r="Q31" s="9">
        <f ca="1">DATOSAÑO!AD30</f>
        <v>168.59999999997672</v>
      </c>
      <c r="R31" s="11">
        <f ca="1">(Q31*DATOSAÑO!$Z$11)/DATOSAÑO!$Y$11</f>
        <v>3.0379464544606778</v>
      </c>
      <c r="S31" s="9">
        <f ca="1">DATOSAÑO!AF30</f>
        <v>141</v>
      </c>
      <c r="T31" s="11">
        <f ca="1">(S31*DATOSAÑO!$Z$11)/DATOSAÑO!$Y$11</f>
        <v>2.540631376506612</v>
      </c>
      <c r="U31" s="9">
        <f ca="1">DATOSAÑO!AH30</f>
        <v>11.5</v>
      </c>
      <c r="V31" s="11">
        <f ca="1">(U31*DATOSAÑO!$Z$11)/DATOSAÑO!$Y$11</f>
        <v>0.20721461581436901</v>
      </c>
      <c r="W31" s="9">
        <f ca="1">DATOSAÑO!AI30</f>
        <v>44.099999999998545</v>
      </c>
      <c r="X31" s="11">
        <f ca="1">(W31*DATOSAÑO!$Z$11)/DATOSAÑO!$Y$11</f>
        <v>0.79462300499246719</v>
      </c>
      <c r="Y31" s="9">
        <f ca="1">DATOSAÑO!AJ30</f>
        <v>8.5999999999912689</v>
      </c>
      <c r="Z31" s="11">
        <f ca="1">(Y31*DATOSAÑO!$Z$11)/DATOSAÑO!$Y$11</f>
        <v>0.15496049530450123</v>
      </c>
      <c r="AA31" s="9">
        <f ca="1">DATOSAÑO!AK30</f>
        <v>15.300000000017462</v>
      </c>
      <c r="AB31" s="11">
        <f ca="1">(AA31*DATOSAÑO!$Z$11)/DATOSAÑO!$Y$11</f>
        <v>0.2756855323446491</v>
      </c>
      <c r="AC31" s="9">
        <f ca="1">DATOSAÑO!AL30</f>
        <v>33.900000000016007</v>
      </c>
      <c r="AD31" s="11">
        <f ca="1">(AC31*DATOSAÑO!$Z$11)/DATOSAÑO!$Y$11</f>
        <v>0.61083265009655896</v>
      </c>
      <c r="AE31" s="9">
        <f ca="1">DATOSAÑO!AM30</f>
        <v>15</v>
      </c>
      <c r="AF31" s="11">
        <f ca="1">(AE31*DATOSAÑO!$Z$11)/DATOSAÑO!$Y$11</f>
        <v>0.27027993367091613</v>
      </c>
      <c r="AG31" s="9">
        <f ca="1">DATOSAÑO!AN30</f>
        <v>2.508</v>
      </c>
      <c r="AH31" s="11">
        <f ca="1">(AG31*DATOSAÑO!$Z$11)/DATOSAÑO!$Y$11</f>
        <v>4.5190804909777178E-2</v>
      </c>
      <c r="AI31" s="9">
        <f ca="1">DATOSAÑO!BS30</f>
        <v>2.4E-2</v>
      </c>
      <c r="AJ31" s="11">
        <f ca="1">(AI31*DATOSAÑO!$Z$11)/DATOSAÑO!$Y$11</f>
        <v>4.3244789387346583E-4</v>
      </c>
      <c r="AK31" s="9">
        <f ca="1">DATOSAÑO!BV30</f>
        <v>0</v>
      </c>
      <c r="AL31" s="11">
        <f ca="1">(AK31*DATOSAÑO!$Z$11)/DATOSAÑO!$Y$11</f>
        <v>0</v>
      </c>
      <c r="AM31" s="9">
        <f ca="1">DATOSAÑO!BY30</f>
        <v>3.476</v>
      </c>
      <c r="AN31" s="11">
        <f ca="1">(AM31*DATOSAÑO!$Z$11)/DATOSAÑO!$Y$11</f>
        <v>6.2632869962673629E-2</v>
      </c>
      <c r="AO31" s="9">
        <f ca="1">DATOSAÑO!CF30</f>
        <v>14</v>
      </c>
      <c r="AP31" s="11">
        <f ca="1">(AO31*DATOSAÑO!$Z$11)/DATOSAÑO!$Y$11</f>
        <v>0.25226127142618837</v>
      </c>
      <c r="AQ31" s="9">
        <f ca="1">DATOSAÑO!CL30</f>
        <v>2.4952000000000001</v>
      </c>
      <c r="AR31" s="1300">
        <f ca="1">(AQ31*DATOSAÑO!$Z$11)/DATOSAÑO!$Y$11</f>
        <v>4.4960166033044667E-2</v>
      </c>
      <c r="AS31" s="1334">
        <f t="shared" si="2"/>
        <v>3</v>
      </c>
    </row>
    <row r="32" spans="1:45" ht="16.5" customHeight="1" thickBot="1">
      <c r="A32" s="1371">
        <v>44947</v>
      </c>
      <c r="B32" s="1021">
        <v>44947</v>
      </c>
      <c r="C32" s="9">
        <f ca="1">DATOSAÑO!I31</f>
        <v>150</v>
      </c>
      <c r="D32" s="10">
        <f ca="1">DATOSAÑO!$D31</f>
        <v>3.3643162584269666</v>
      </c>
      <c r="E32" s="11">
        <f ca="1">DATOSAÑO!$G31</f>
        <v>0</v>
      </c>
      <c r="F32" s="9">
        <f ca="1">DATOSAÑO!P31</f>
        <v>300</v>
      </c>
      <c r="G32" s="10">
        <f ca="1">DATOSAÑO!K31</f>
        <v>4.4766758089887659</v>
      </c>
      <c r="H32" s="11">
        <f ca="1">DATOSAÑO!N31</f>
        <v>0</v>
      </c>
      <c r="I32" s="9">
        <f ca="1">DATOSAÑO!Q31</f>
        <v>0</v>
      </c>
      <c r="J32" s="11">
        <f ca="1">DATOSAÑO!R31</f>
        <v>0</v>
      </c>
      <c r="K32" s="9">
        <f ca="1">DATOSAÑO!T31</f>
        <v>0</v>
      </c>
      <c r="L32" s="11">
        <f t="shared" ca="1" si="0"/>
        <v>0</v>
      </c>
      <c r="M32" s="9"/>
      <c r="N32" s="11">
        <f t="shared" si="1"/>
        <v>0</v>
      </c>
      <c r="O32" s="9">
        <f>DATOSAÑO!CT31</f>
        <v>0</v>
      </c>
      <c r="P32" s="9">
        <f>DATOSAÑO!CU31</f>
        <v>0</v>
      </c>
      <c r="Q32" s="9">
        <f ca="1">DATOSAÑO!AD31</f>
        <v>170</v>
      </c>
      <c r="R32" s="11">
        <f ca="1">(Q32*DATOSAÑO!$Z$11)/DATOSAÑO!$Y$11</f>
        <v>3.0631725816037165</v>
      </c>
      <c r="S32" s="9">
        <f ca="1">DATOSAÑO!AF31</f>
        <v>143</v>
      </c>
      <c r="T32" s="11">
        <f ca="1">(S32*DATOSAÑO!$Z$11)/DATOSAÑO!$Y$11</f>
        <v>2.5766687009960672</v>
      </c>
      <c r="U32" s="9">
        <f ca="1">DATOSAÑO!AH31</f>
        <v>9.8000000000029104</v>
      </c>
      <c r="V32" s="11">
        <f ca="1">(U32*DATOSAÑO!$Z$11)/DATOSAÑO!$Y$11</f>
        <v>0.17658288999838434</v>
      </c>
      <c r="W32" s="9">
        <f ca="1">DATOSAÑO!AI31</f>
        <v>42.899999999994179</v>
      </c>
      <c r="X32" s="11">
        <f ca="1">(W32*DATOSAÑO!$Z$11)/DATOSAÑO!$Y$11</f>
        <v>0.77300061029871525</v>
      </c>
      <c r="Y32" s="9">
        <f ca="1">DATOSAÑO!AJ31</f>
        <v>9.1000000000058208</v>
      </c>
      <c r="Z32" s="11">
        <f ca="1">(Y32*DATOSAÑO!$Z$11)/DATOSAÑO!$Y$11</f>
        <v>0.16396982642712732</v>
      </c>
      <c r="AA32" s="9">
        <f ca="1">DATOSAÑO!AK31</f>
        <v>14.899999999994179</v>
      </c>
      <c r="AB32" s="11">
        <f ca="1">(AA32*DATOSAÑO!$Z$11)/DATOSAÑO!$Y$11</f>
        <v>0.26847806744633845</v>
      </c>
      <c r="AC32" s="9">
        <f ca="1">DATOSAÑO!AL31</f>
        <v>33.100000000002183</v>
      </c>
      <c r="AD32" s="11">
        <f ca="1">(AC32*DATOSAÑO!$Z$11)/DATOSAÑO!$Y$11</f>
        <v>0.59641772030052753</v>
      </c>
      <c r="AE32" s="9">
        <f ca="1">DATOSAÑO!AM31</f>
        <v>9.8505000000009897</v>
      </c>
      <c r="AF32" s="11">
        <f ca="1">(AE32*DATOSAÑO!$Z$11)/DATOSAÑO!$Y$11</f>
        <v>0.17749283244170846</v>
      </c>
      <c r="AG32" s="9">
        <f ca="1">DATOSAÑO!AN31</f>
        <v>2.6099999999999088</v>
      </c>
      <c r="AH32" s="11">
        <f ca="1">(AG32*DATOSAÑO!$Z$11)/DATOSAÑO!$Y$11</f>
        <v>4.7028708458737759E-2</v>
      </c>
      <c r="AI32" s="9">
        <f ca="1">DATOSAÑO!BS31</f>
        <v>1.6065</v>
      </c>
      <c r="AJ32" s="11">
        <f ca="1">(AI32*DATOSAÑO!$Z$11)/DATOSAÑO!$Y$11</f>
        <v>2.8946980896155119E-2</v>
      </c>
      <c r="AK32" s="9">
        <f ca="1">DATOSAÑO!BV31</f>
        <v>1.9890000000000001</v>
      </c>
      <c r="AL32" s="11">
        <f ca="1">(AK32*DATOSAÑO!$Z$11)/DATOSAÑO!$Y$11</f>
        <v>3.583911920476348E-2</v>
      </c>
      <c r="AM32" s="9">
        <f ca="1">DATOSAÑO!BY31</f>
        <v>3.4540000000000002</v>
      </c>
      <c r="AN32" s="11">
        <f ca="1">(AM32*DATOSAÑO!$Z$11)/DATOSAÑO!$Y$11</f>
        <v>6.2236459393289624E-2</v>
      </c>
      <c r="AO32" s="9">
        <f ca="1">DATOSAÑO!CF31</f>
        <v>11.125250000000314</v>
      </c>
      <c r="AP32" s="11">
        <f ca="1">(AO32*DATOSAÑO!$Z$11)/DATOSAÑO!$Y$11</f>
        <v>0.20046212213816295</v>
      </c>
      <c r="AQ32" s="9">
        <f ca="1">DATOSAÑO!CL31</f>
        <v>2.5339999999999634</v>
      </c>
      <c r="AR32" s="1300">
        <f ca="1">(AQ32*DATOSAÑO!$Z$11)/DATOSAÑO!$Y$11</f>
        <v>4.5659290128139435E-2</v>
      </c>
      <c r="AS32" s="1334">
        <f t="shared" si="2"/>
        <v>3</v>
      </c>
    </row>
    <row r="33" spans="1:45" ht="15" thickBot="1">
      <c r="A33" s="1371">
        <v>44948</v>
      </c>
      <c r="B33" s="1021">
        <v>44948</v>
      </c>
      <c r="C33" s="9">
        <f ca="1">DATOSAÑO!I32</f>
        <v>152</v>
      </c>
      <c r="D33" s="10">
        <f ca="1">DATOSAÑO!$D32</f>
        <v>3.3791477191011241</v>
      </c>
      <c r="E33" s="11">
        <f ca="1">DATOSAÑO!$G32</f>
        <v>0</v>
      </c>
      <c r="F33" s="9">
        <f ca="1">DATOSAÑO!P32</f>
        <v>294</v>
      </c>
      <c r="G33" s="10">
        <f ca="1">DATOSAÑO!K32</f>
        <v>4.4321814269662934</v>
      </c>
      <c r="H33" s="11">
        <f ca="1">DATOSAÑO!N32</f>
        <v>0</v>
      </c>
      <c r="I33" s="9">
        <f ca="1">DATOSAÑO!Q32</f>
        <v>0</v>
      </c>
      <c r="J33" s="11">
        <f ca="1">DATOSAÑO!R32</f>
        <v>0</v>
      </c>
      <c r="K33" s="9">
        <f ca="1">DATOSAÑO!T32</f>
        <v>0</v>
      </c>
      <c r="L33" s="11">
        <f t="shared" ca="1" si="0"/>
        <v>0</v>
      </c>
      <c r="M33" s="9"/>
      <c r="N33" s="11">
        <f t="shared" si="1"/>
        <v>0</v>
      </c>
      <c r="O33" s="9">
        <f>DATOSAÑO!CT32</f>
        <v>0</v>
      </c>
      <c r="P33" s="9">
        <f>DATOSAÑO!CU32</f>
        <v>0</v>
      </c>
      <c r="Q33" s="9">
        <f ca="1">DATOSAÑO!AD32</f>
        <v>166</v>
      </c>
      <c r="R33" s="11">
        <f ca="1">(Q33*DATOSAÑO!$Z$11)/DATOSAÑO!$Y$11</f>
        <v>2.9910979326248053</v>
      </c>
      <c r="S33" s="9">
        <f ca="1">DATOSAÑO!AF32</f>
        <v>144</v>
      </c>
      <c r="T33" s="11">
        <f ca="1">(S33*DATOSAÑO!$Z$11)/DATOSAÑO!$Y$11</f>
        <v>2.5946873632407947</v>
      </c>
      <c r="U33" s="9">
        <f ca="1">DATOSAÑO!AH32</f>
        <v>13.5</v>
      </c>
      <c r="V33" s="11">
        <f ca="1">(U33*DATOSAÑO!$Z$11)/DATOSAÑO!$Y$11</f>
        <v>0.24325194030382452</v>
      </c>
      <c r="W33" s="9">
        <f ca="1">DATOSAÑO!AI32</f>
        <v>38.700000000004366</v>
      </c>
      <c r="X33" s="11">
        <f ca="1">(W33*DATOSAÑO!$Z$11)/DATOSAÑO!$Y$11</f>
        <v>0.69732222887104223</v>
      </c>
      <c r="Y33" s="9">
        <f ca="1">DATOSAÑO!AJ32</f>
        <v>8.3999999999941792</v>
      </c>
      <c r="Z33" s="11">
        <f ca="1">(Y33*DATOSAÑO!$Z$11)/DATOSAÑO!$Y$11</f>
        <v>0.15135676285560815</v>
      </c>
      <c r="AA33" s="9">
        <f ca="1">DATOSAÑO!AK32</f>
        <v>15.200000000011642</v>
      </c>
      <c r="AB33" s="11">
        <f ca="1">(AA33*DATOSAÑO!$Z$11)/DATOSAÑO!$Y$11</f>
        <v>0.27388366612007142</v>
      </c>
      <c r="AC33" s="9">
        <f ca="1">DATOSAÑO!AL32</f>
        <v>32.999999999990905</v>
      </c>
      <c r="AD33" s="11">
        <f ca="1">(AC33*DATOSAÑO!$Z$11)/DATOSAÑO!$Y$11</f>
        <v>0.5946158540758516</v>
      </c>
      <c r="AE33" s="9">
        <f ca="1">DATOSAÑO!AM32</f>
        <v>8.4679999999988169</v>
      </c>
      <c r="AF33" s="11">
        <f ca="1">(AE33*DATOSAÑO!$Z$11)/DATOSAÑO!$Y$11</f>
        <v>0.15258203188833319</v>
      </c>
      <c r="AG33" s="9">
        <f ca="1">DATOSAÑO!AN32</f>
        <v>2.5539999999999088</v>
      </c>
      <c r="AH33" s="11">
        <f ca="1">(AG33*DATOSAÑO!$Z$11)/DATOSAÑO!$Y$11</f>
        <v>4.601966337303301E-2</v>
      </c>
      <c r="AI33" s="9">
        <f ca="1">DATOSAÑO!BS32</f>
        <v>0</v>
      </c>
      <c r="AJ33" s="11">
        <f ca="1">(AI33*DATOSAÑO!$Z$11)/DATOSAÑO!$Y$11</f>
        <v>0</v>
      </c>
      <c r="AK33" s="9">
        <f ca="1">DATOSAÑO!BV32</f>
        <v>4.7</v>
      </c>
      <c r="AL33" s="11">
        <f ca="1">(AK33*DATOSAÑO!$Z$11)/DATOSAÑO!$Y$11</f>
        <v>8.4687712550220381E-2</v>
      </c>
      <c r="AM33" s="9">
        <f ca="1">DATOSAÑO!BY32</f>
        <v>3.6320000000000001</v>
      </c>
      <c r="AN33" s="11">
        <f ca="1">(AM33*DATOSAÑO!$Z$11)/DATOSAÑO!$Y$11</f>
        <v>6.5443781272851165E-2</v>
      </c>
      <c r="AO33" s="9">
        <f ca="1">DATOSAÑO!CF32</f>
        <v>10.53399999999959</v>
      </c>
      <c r="AP33" s="11">
        <f ca="1">(AO33*DATOSAÑO!$Z$11)/DATOSAÑO!$Y$11</f>
        <v>0.18980858808595466</v>
      </c>
      <c r="AQ33" s="9">
        <f ca="1">DATOSAÑO!CL32</f>
        <v>2.5675999999999637</v>
      </c>
      <c r="AR33" s="1300">
        <f ca="1">(AQ33*DATOSAÑO!$Z$11)/DATOSAÑO!$Y$11</f>
        <v>4.6264717179562292E-2</v>
      </c>
      <c r="AS33" s="1334">
        <f t="shared" si="2"/>
        <v>4</v>
      </c>
    </row>
    <row r="34" spans="1:45" ht="16.5" customHeight="1" thickBot="1">
      <c r="A34" s="1371">
        <v>44949</v>
      </c>
      <c r="B34" s="1021">
        <v>44949</v>
      </c>
      <c r="C34" s="9">
        <f ca="1">DATOSAÑO!I33</f>
        <v>152</v>
      </c>
      <c r="D34" s="10">
        <f ca="1">DATOSAÑO!$D33</f>
        <v>3.3791477191011241</v>
      </c>
      <c r="E34" s="11">
        <f ca="1">DATOSAÑO!$G33</f>
        <v>0</v>
      </c>
      <c r="F34" s="9">
        <f ca="1">DATOSAÑO!P33</f>
        <v>294</v>
      </c>
      <c r="G34" s="10">
        <f ca="1">DATOSAÑO!K33</f>
        <v>4.4321814269662934</v>
      </c>
      <c r="H34" s="11">
        <f ca="1">DATOSAÑO!N33</f>
        <v>0</v>
      </c>
      <c r="I34" s="9">
        <f ca="1">DATOSAÑO!Q33</f>
        <v>0</v>
      </c>
      <c r="J34" s="11">
        <f ca="1">DATOSAÑO!R33</f>
        <v>0</v>
      </c>
      <c r="K34" s="9">
        <f ca="1">DATOSAÑO!T33</f>
        <v>0</v>
      </c>
      <c r="L34" s="11">
        <f t="shared" ca="1" si="0"/>
        <v>0</v>
      </c>
      <c r="M34" s="9"/>
      <c r="N34" s="11">
        <f t="shared" si="1"/>
        <v>0</v>
      </c>
      <c r="O34" s="9">
        <f>DATOSAÑO!CT33</f>
        <v>0</v>
      </c>
      <c r="P34" s="9">
        <f>DATOSAÑO!CU33</f>
        <v>0</v>
      </c>
      <c r="Q34" s="9">
        <f ca="1">DATOSAÑO!AD33</f>
        <v>168</v>
      </c>
      <c r="R34" s="11">
        <f ca="1">(Q34*DATOSAÑO!$Z$11)/DATOSAÑO!$Y$11</f>
        <v>3.0271352571142609</v>
      </c>
      <c r="S34" s="9">
        <f ca="1">DATOSAÑO!AF33</f>
        <v>142</v>
      </c>
      <c r="T34" s="11">
        <f ca="1">(S34*DATOSAÑO!$Z$11)/DATOSAÑO!$Y$11</f>
        <v>2.5586500387513391</v>
      </c>
      <c r="U34" s="9">
        <f ca="1">DATOSAÑO!AH33</f>
        <v>9.9000000000014552</v>
      </c>
      <c r="V34" s="11">
        <f ca="1">(U34*DATOSAÑO!$Z$11)/DATOSAÑO!$Y$11</f>
        <v>0.17838475622283087</v>
      </c>
      <c r="W34" s="9">
        <f ca="1">DATOSAÑO!AI33</f>
        <v>39.599999999998545</v>
      </c>
      <c r="X34" s="11">
        <f ca="1">(W34*DATOSAÑO!$Z$11)/DATOSAÑO!$Y$11</f>
        <v>0.71353902489119236</v>
      </c>
      <c r="Y34" s="9">
        <f ca="1">DATOSAÑO!AJ33</f>
        <v>8.9000000000087311</v>
      </c>
      <c r="Z34" s="11">
        <f ca="1">(Y34*DATOSAÑO!$Z$11)/DATOSAÑO!$Y$11</f>
        <v>0.1603660939782342</v>
      </c>
      <c r="AA34" s="9">
        <f ca="1">DATOSAÑO!AK33</f>
        <v>14.699999999982538</v>
      </c>
      <c r="AB34" s="11">
        <f ca="1">(AA34*DATOSAÑO!$Z$11)/DATOSAÑO!$Y$11</f>
        <v>0.26487433499718316</v>
      </c>
      <c r="AC34" s="9">
        <f ca="1">DATOSAÑO!AL33</f>
        <v>33.600000000007583</v>
      </c>
      <c r="AD34" s="11">
        <f ca="1">(AC34*DATOSAÑO!$Z$11)/DATOSAÑO!$Y$11</f>
        <v>0.6054270514229888</v>
      </c>
      <c r="AE34" s="9">
        <f ca="1">DATOSAÑO!AM33</f>
        <v>12.534000000001093</v>
      </c>
      <c r="AF34" s="11">
        <f ca="1">(AE34*DATOSAÑO!$Z$11)/DATOSAÑO!$Y$11</f>
        <v>0.22584591257543724</v>
      </c>
      <c r="AG34" s="9">
        <f ca="1">DATOSAÑO!AN33</f>
        <v>0.67599999999981808</v>
      </c>
      <c r="AH34" s="11">
        <f ca="1">(AG34*DATOSAÑO!$Z$11)/DATOSAÑO!$Y$11</f>
        <v>1.2180615677432675E-2</v>
      </c>
      <c r="AI34" s="9">
        <f ca="1">DATOSAÑO!BS33</f>
        <v>0</v>
      </c>
      <c r="AJ34" s="11">
        <f ca="1">(AI34*DATOSAÑO!$Z$11)/DATOSAÑO!$Y$11</f>
        <v>0</v>
      </c>
      <c r="AK34" s="9">
        <f ca="1">DATOSAÑO!BV33</f>
        <v>4.6100000000000003</v>
      </c>
      <c r="AL34" s="11">
        <f ca="1">(AK34*DATOSAÑO!$Z$11)/DATOSAÑO!$Y$11</f>
        <v>8.3066032948194896E-2</v>
      </c>
      <c r="AM34" s="9">
        <f ca="1">DATOSAÑO!BY33</f>
        <v>3.6560000000000001</v>
      </c>
      <c r="AN34" s="11">
        <f ca="1">(AM34*DATOSAÑO!$Z$11)/DATOSAÑO!$Y$11</f>
        <v>6.5876229166724629E-2</v>
      </c>
      <c r="AO34" s="9">
        <f ca="1">DATOSAÑO!CF33</f>
        <v>12.567000000000728</v>
      </c>
      <c r="AP34" s="11">
        <f ca="1">(AO34*DATOSAÑO!$Z$11)/DATOSAÑO!$Y$11</f>
        <v>0.22644052842950665</v>
      </c>
      <c r="AQ34" s="9">
        <f ca="1">DATOSAÑO!CL33</f>
        <v>1.7943999999999272</v>
      </c>
      <c r="AR34" s="1300">
        <f ca="1">(AQ34*DATOSAÑO!$Z$11)/DATOSAÑO!$Y$11</f>
        <v>3.2332687531938145E-2</v>
      </c>
      <c r="AS34" s="1334">
        <f t="shared" si="2"/>
        <v>4</v>
      </c>
    </row>
    <row r="35" spans="1:45" ht="15" thickBot="1">
      <c r="A35" s="1371">
        <v>44950</v>
      </c>
      <c r="B35" s="1021">
        <v>44950</v>
      </c>
      <c r="C35" s="9">
        <f ca="1">DATOSAÑO!I34</f>
        <v>225</v>
      </c>
      <c r="D35" s="10">
        <f ca="1">DATOSAÑO!$D34</f>
        <v>3.9204960337078663</v>
      </c>
      <c r="E35" s="11">
        <f ca="1">DATOSAÑO!$G34</f>
        <v>0</v>
      </c>
      <c r="F35" s="9">
        <f ca="1">DATOSAÑO!P34</f>
        <v>206</v>
      </c>
      <c r="G35" s="10">
        <f ca="1">DATOSAÑO!K34</f>
        <v>3.779597157303372</v>
      </c>
      <c r="H35" s="11">
        <f ca="1">DATOSAÑO!N34</f>
        <v>0</v>
      </c>
      <c r="I35" s="9">
        <f ca="1">DATOSAÑO!Q34</f>
        <v>0.33899999999994179</v>
      </c>
      <c r="J35" s="11">
        <f ca="1">DATOSAÑO!R34</f>
        <v>40.679999999993015</v>
      </c>
      <c r="K35" s="9">
        <f ca="1">DATOSAÑO!T34</f>
        <v>0.32000000000005002</v>
      </c>
      <c r="L35" s="11">
        <f t="shared" ca="1" si="0"/>
        <v>38.400000000006003</v>
      </c>
      <c r="M35" s="9"/>
      <c r="N35" s="11">
        <f t="shared" si="1"/>
        <v>0</v>
      </c>
      <c r="O35" s="9">
        <f>DATOSAÑO!CT34</f>
        <v>1</v>
      </c>
      <c r="P35" s="9">
        <f>DATOSAÑO!CU34</f>
        <v>1</v>
      </c>
      <c r="Q35" s="9">
        <f ca="1">DATOSAÑO!AD34</f>
        <v>162</v>
      </c>
      <c r="R35" s="11">
        <f ca="1">(Q35*DATOSAÑO!$Z$11)/DATOSAÑO!$Y$11</f>
        <v>2.919023283645894</v>
      </c>
      <c r="S35" s="9">
        <f ca="1">DATOSAÑO!AF34</f>
        <v>141</v>
      </c>
      <c r="T35" s="11">
        <f ca="1">(S35*DATOSAÑO!$Z$11)/DATOSAÑO!$Y$11</f>
        <v>2.540631376506612</v>
      </c>
      <c r="U35" s="9">
        <f ca="1">DATOSAÑO!AH34</f>
        <v>7.8999999999941792</v>
      </c>
      <c r="V35" s="11">
        <f ca="1">(U35*DATOSAÑO!$Z$11)/DATOSAÑO!$Y$11</f>
        <v>0.14234743173324427</v>
      </c>
      <c r="W35" s="9">
        <f ca="1">DATOSAÑO!AI34</f>
        <v>36.80000000000291</v>
      </c>
      <c r="X35" s="11">
        <f ca="1">(W35*DATOSAÑO!$Z$11)/DATOSAÑO!$Y$11</f>
        <v>0.66308677060603327</v>
      </c>
      <c r="Y35" s="9">
        <f ca="1">DATOSAÑO!AJ34</f>
        <v>9</v>
      </c>
      <c r="Z35" s="11">
        <f ca="1">(Y35*DATOSAÑO!$Z$11)/DATOSAÑO!$Y$11</f>
        <v>0.16216796020254967</v>
      </c>
      <c r="AA35" s="9">
        <f ca="1">DATOSAÑO!AK34</f>
        <v>13.899999999994179</v>
      </c>
      <c r="AB35" s="11">
        <f ca="1">(AA35*DATOSAÑO!$Z$11)/DATOSAÑO!$Y$11</f>
        <v>0.25045940520161075</v>
      </c>
      <c r="AC35" s="9">
        <f ca="1">DATOSAÑO!AL34</f>
        <v>34.15900000000903</v>
      </c>
      <c r="AD35" s="11">
        <f ca="1">(AC35*DATOSAÑO!$Z$11)/DATOSAÑO!$Y$11</f>
        <v>0.61549948361781759</v>
      </c>
      <c r="AE35" s="9">
        <f ca="1">DATOSAÑO!AM34</f>
        <v>5.9879999999989177</v>
      </c>
      <c r="AF35" s="11">
        <f ca="1">(AE35*DATOSAÑO!$Z$11)/DATOSAÑO!$Y$11</f>
        <v>0.10789574952141022</v>
      </c>
      <c r="AG35" s="9">
        <f ca="1">DATOSAÑO!AN34</f>
        <v>5.0860000000003556</v>
      </c>
      <c r="AH35" s="11">
        <f ca="1">(AG35*DATOSAÑO!$Z$11)/DATOSAÑO!$Y$11</f>
        <v>9.1642916176691694E-2</v>
      </c>
      <c r="AI35" s="9">
        <f ca="1">DATOSAÑO!BS34</f>
        <v>0</v>
      </c>
      <c r="AJ35" s="11">
        <f ca="1">(AI35*DATOSAÑO!$Z$11)/DATOSAÑO!$Y$11</f>
        <v>0</v>
      </c>
      <c r="AK35" s="9">
        <f ca="1">DATOSAÑO!BV34</f>
        <v>4.593</v>
      </c>
      <c r="AL35" s="11">
        <f ca="1">(AK35*DATOSAÑO!$Z$11)/DATOSAÑO!$Y$11</f>
        <v>8.2759715690034527E-2</v>
      </c>
      <c r="AM35" s="9">
        <f ca="1">DATOSAÑO!BY34</f>
        <v>3.5790000000000002</v>
      </c>
      <c r="AN35" s="11">
        <f ca="1">(AM35*DATOSAÑO!$Z$11)/DATOSAÑO!$Y$11</f>
        <v>6.4488792173880594E-2</v>
      </c>
      <c r="AO35" s="9">
        <f ca="1">DATOSAÑO!CF34</f>
        <v>9.0939999999998236</v>
      </c>
      <c r="AP35" s="11">
        <f ca="1">(AO35*DATOSAÑO!$Z$11)/DATOSAÑO!$Y$11</f>
        <v>0.16386171445355091</v>
      </c>
      <c r="AQ35" s="9">
        <f ca="1">DATOSAÑO!CL34</f>
        <v>3.5884000000001421</v>
      </c>
      <c r="AR35" s="1300">
        <f ca="1">(AQ35*DATOSAÑO!$Z$11)/DATOSAÑO!$Y$11</f>
        <v>6.4658167598983587E-2</v>
      </c>
      <c r="AS35" s="1334">
        <f t="shared" si="2"/>
        <v>4</v>
      </c>
    </row>
    <row r="36" spans="1:45" ht="16.5" customHeight="1" thickBot="1">
      <c r="A36" s="1371">
        <v>44951</v>
      </c>
      <c r="B36" s="1021">
        <v>44951</v>
      </c>
      <c r="C36" s="9">
        <f ca="1">DATOSAÑO!I35</f>
        <v>295</v>
      </c>
      <c r="D36" s="10">
        <f ca="1">DATOSAÑO!$D35</f>
        <v>4.4395971573033721</v>
      </c>
      <c r="E36" s="11">
        <f ca="1">DATOSAÑO!$G35</f>
        <v>0</v>
      </c>
      <c r="F36" s="9">
        <f ca="1">DATOSAÑO!P35</f>
        <v>151.29999999999927</v>
      </c>
      <c r="G36" s="10">
        <f ca="1">DATOSAÑO!K35</f>
        <v>3.3739567078651636</v>
      </c>
      <c r="H36" s="11">
        <f ca="1">DATOSAÑO!N35</f>
        <v>0</v>
      </c>
      <c r="I36" s="9">
        <f ca="1">DATOSAÑO!Q35</f>
        <v>0</v>
      </c>
      <c r="J36" s="11">
        <f ca="1">DATOSAÑO!R35</f>
        <v>0</v>
      </c>
      <c r="K36" s="9">
        <f ca="1">DATOSAÑO!T35</f>
        <v>0</v>
      </c>
      <c r="L36" s="11">
        <f t="shared" ca="1" si="0"/>
        <v>0</v>
      </c>
      <c r="M36" s="9"/>
      <c r="N36" s="11">
        <f t="shared" si="1"/>
        <v>0</v>
      </c>
      <c r="O36" s="9">
        <f>DATOSAÑO!CT35</f>
        <v>0</v>
      </c>
      <c r="P36" s="9">
        <f>DATOSAÑO!CU35</f>
        <v>0</v>
      </c>
      <c r="Q36" s="9">
        <f ca="1">DATOSAÑO!AD35</f>
        <v>167</v>
      </c>
      <c r="R36" s="11">
        <f ca="1">(Q36*DATOSAÑO!$Z$11)/DATOSAÑO!$Y$11</f>
        <v>3.0091165948695329</v>
      </c>
      <c r="S36" s="9">
        <f ca="1">DATOSAÑO!AF35</f>
        <v>143</v>
      </c>
      <c r="T36" s="11">
        <f ca="1">(S36*DATOSAÑO!$Z$11)/DATOSAÑO!$Y$11</f>
        <v>2.5766687009960672</v>
      </c>
      <c r="U36" s="9">
        <f ca="1">DATOSAÑO!AH35</f>
        <v>13.30000000000291</v>
      </c>
      <c r="V36" s="11">
        <f ca="1">(U36*DATOSAÑO!$Z$11)/DATOSAÑO!$Y$11</f>
        <v>0.23964820785493143</v>
      </c>
      <c r="W36" s="9">
        <f ca="1">DATOSAÑO!AI35</f>
        <v>38</v>
      </c>
      <c r="X36" s="11">
        <f ca="1">(W36*DATOSAÑO!$Z$11)/DATOSAÑO!$Y$11</f>
        <v>0.6847091652996542</v>
      </c>
      <c r="Y36" s="9">
        <f ca="1">DATOSAÑO!AJ35</f>
        <v>9</v>
      </c>
      <c r="Z36" s="11">
        <f ca="1">(Y36*DATOSAÑO!$Z$11)/DATOSAÑO!$Y$11</f>
        <v>0.16216796020254967</v>
      </c>
      <c r="AA36" s="9">
        <f ca="1">DATOSAÑO!AK35</f>
        <v>15.700000000011642</v>
      </c>
      <c r="AB36" s="11">
        <f ca="1">(AA36*DATOSAÑO!$Z$11)/DATOSAÑO!$Y$11</f>
        <v>0.28289299724243533</v>
      </c>
      <c r="AC36" s="9">
        <f ca="1">DATOSAÑO!AL35</f>
        <v>31.699999999984357</v>
      </c>
      <c r="AD36" s="11">
        <f ca="1">(AC36*DATOSAÑO!$Z$11)/DATOSAÑO!$Y$11</f>
        <v>0.57119159315758761</v>
      </c>
      <c r="AE36" s="9">
        <f ca="1">DATOSAÑO!AM35</f>
        <v>10.217000000000453</v>
      </c>
      <c r="AF36" s="11">
        <f ca="1">(AE36*DATOSAÑO!$Z$11)/DATOSAÑO!$Y$11</f>
        <v>0.18409667215439152</v>
      </c>
      <c r="AG36" s="9">
        <f ca="1">DATOSAÑO!AN35</f>
        <v>2.3770000000000913</v>
      </c>
      <c r="AH36" s="11">
        <f ca="1">(AG36*DATOSAÑO!$Z$11)/DATOSAÑO!$Y$11</f>
        <v>4.2830360155719491E-2</v>
      </c>
      <c r="AI36" s="9">
        <f ca="1">DATOSAÑO!BS35</f>
        <v>0</v>
      </c>
      <c r="AJ36" s="11">
        <f ca="1">(AI36*DATOSAÑO!$Z$11)/DATOSAÑO!$Y$11</f>
        <v>0</v>
      </c>
      <c r="AK36" s="9">
        <f ca="1">DATOSAÑO!BV35</f>
        <v>4.641</v>
      </c>
      <c r="AL36" s="11">
        <f ca="1">(AK36*DATOSAÑO!$Z$11)/DATOSAÑO!$Y$11</f>
        <v>8.3624611477781455E-2</v>
      </c>
      <c r="AM36" s="9">
        <f ca="1">DATOSAÑO!BY35</f>
        <v>3.6419999999999999</v>
      </c>
      <c r="AN36" s="11">
        <f ca="1">(AM36*DATOSAÑO!$Z$11)/DATOSAÑO!$Y$11</f>
        <v>6.5623967895298438E-2</v>
      </c>
      <c r="AO36" s="9">
        <f ca="1">DATOSAÑO!CF35</f>
        <v>11.308500000000045</v>
      </c>
      <c r="AP36" s="11">
        <f ca="1">(AO36*DATOSAÑO!$Z$11)/DATOSAÑO!$Y$11</f>
        <v>0.20376404199450449</v>
      </c>
      <c r="AQ36" s="9">
        <f ca="1">DATOSAÑO!CL35</f>
        <v>2.4738000000000362</v>
      </c>
      <c r="AR36" s="1300">
        <f ca="1">(AQ36*DATOSAÑO!$Z$11)/DATOSAÑO!$Y$11</f>
        <v>4.457456666100814E-2</v>
      </c>
      <c r="AS36" s="1334">
        <f t="shared" si="2"/>
        <v>4</v>
      </c>
    </row>
    <row r="37" spans="1:45" ht="15" thickBot="1">
      <c r="A37" s="1371">
        <v>44952</v>
      </c>
      <c r="B37" s="1021">
        <v>44952</v>
      </c>
      <c r="C37" s="9">
        <f ca="1">DATOSAÑO!I36</f>
        <v>284</v>
      </c>
      <c r="D37" s="10">
        <f ca="1">DATOSAÑO!$D36</f>
        <v>4.3580241235955075</v>
      </c>
      <c r="E37" s="11">
        <f ca="1">DATOSAÑO!$G36</f>
        <v>0</v>
      </c>
      <c r="F37" s="9">
        <f ca="1">DATOSAÑO!P36</f>
        <v>150.70000000000073</v>
      </c>
      <c r="G37" s="10">
        <f ca="1">DATOSAÑO!K36</f>
        <v>3.3695072696629271</v>
      </c>
      <c r="H37" s="11">
        <f ca="1">DATOSAÑO!N36</f>
        <v>0</v>
      </c>
      <c r="I37" s="9">
        <f ca="1">DATOSAÑO!Q36</f>
        <v>0</v>
      </c>
      <c r="J37" s="11">
        <f ca="1">DATOSAÑO!R36</f>
        <v>0</v>
      </c>
      <c r="K37" s="9">
        <f ca="1">DATOSAÑO!T36</f>
        <v>0</v>
      </c>
      <c r="L37" s="11">
        <f t="shared" ca="1" si="0"/>
        <v>0</v>
      </c>
      <c r="M37" s="9"/>
      <c r="N37" s="11">
        <f t="shared" si="1"/>
        <v>0</v>
      </c>
      <c r="O37" s="9">
        <f>DATOSAÑO!CT36</f>
        <v>0</v>
      </c>
      <c r="P37" s="9">
        <f>DATOSAÑO!CU36</f>
        <v>0</v>
      </c>
      <c r="Q37" s="9">
        <f ca="1">DATOSAÑO!AD36</f>
        <v>167.09999999997672</v>
      </c>
      <c r="R37" s="11">
        <f ca="1">(Q37*DATOSAÑO!$Z$11)/DATOSAÑO!$Y$11</f>
        <v>3.0109184610935862</v>
      </c>
      <c r="S37" s="9">
        <f ca="1">DATOSAÑO!AF36</f>
        <v>139</v>
      </c>
      <c r="T37" s="11">
        <f ca="1">(S37*DATOSAÑO!$Z$11)/DATOSAÑO!$Y$11</f>
        <v>2.5045940520171563</v>
      </c>
      <c r="U37" s="9">
        <f ca="1">DATOSAÑO!AH36</f>
        <v>9.6999999999970896</v>
      </c>
      <c r="V37" s="11">
        <f ca="1">(U37*DATOSAÑO!$Z$11)/DATOSAÑO!$Y$11</f>
        <v>0.17478102377380664</v>
      </c>
      <c r="W37" s="9">
        <f ca="1">DATOSAÑO!AI36</f>
        <v>36.900000000001455</v>
      </c>
      <c r="X37" s="11">
        <f ca="1">(W37*DATOSAÑO!$Z$11)/DATOSAÑO!$Y$11</f>
        <v>0.66488863683047994</v>
      </c>
      <c r="Y37" s="9">
        <f ca="1">DATOSAÑO!AJ36</f>
        <v>8.3999999999941792</v>
      </c>
      <c r="Z37" s="11">
        <f ca="1">(Y37*DATOSAÑO!$Z$11)/DATOSAÑO!$Y$11</f>
        <v>0.15135676285560815</v>
      </c>
      <c r="AA37" s="9">
        <f ca="1">DATOSAÑO!AK36</f>
        <v>14</v>
      </c>
      <c r="AB37" s="11">
        <f ca="1">(AA37*DATOSAÑO!$Z$11)/DATOSAÑO!$Y$11</f>
        <v>0.25226127142618837</v>
      </c>
      <c r="AC37" s="9">
        <f ca="1">DATOSAÑO!AL36</f>
        <v>33.600000000031287</v>
      </c>
      <c r="AD37" s="11">
        <f ca="1">(AC37*DATOSAÑO!$Z$11)/DATOSAÑO!$Y$11</f>
        <v>0.6054270514234158</v>
      </c>
      <c r="AE37" s="9">
        <f ca="1">DATOSAÑO!AM36</f>
        <v>8.9230000000007248</v>
      </c>
      <c r="AF37" s="11">
        <f ca="1">(AE37*DATOSAÑO!$Z$11)/DATOSAÑO!$Y$11</f>
        <v>0.1607805232097187</v>
      </c>
      <c r="AG37" s="9">
        <f ca="1">DATOSAÑO!AN36</f>
        <v>1.7029999999994543</v>
      </c>
      <c r="AH37" s="11">
        <f ca="1">(AG37*DATOSAÑO!$Z$11)/DATOSAÑO!$Y$11</f>
        <v>3.0685781802761512E-2</v>
      </c>
      <c r="AI37" s="9">
        <f ca="1">DATOSAÑO!BS36</f>
        <v>0</v>
      </c>
      <c r="AJ37" s="11">
        <f ca="1">(AI37*DATOSAÑO!$Z$11)/DATOSAÑO!$Y$11</f>
        <v>0</v>
      </c>
      <c r="AK37" s="9">
        <f ca="1">DATOSAÑO!BV36</f>
        <v>4.0590000000000002</v>
      </c>
      <c r="AL37" s="11">
        <f ca="1">(AK37*DATOSAÑO!$Z$11)/DATOSAÑO!$Y$11</f>
        <v>7.3137750051349912E-2</v>
      </c>
      <c r="AM37" s="9">
        <f ca="1">DATOSAÑO!BY36</f>
        <v>3.718</v>
      </c>
      <c r="AN37" s="11">
        <f ca="1">(AM37*DATOSAÑO!$Z$11)/DATOSAÑO!$Y$11</f>
        <v>6.6993386225897747E-2</v>
      </c>
      <c r="AO37" s="9">
        <f ca="1">DATOSAÑO!CF36</f>
        <v>10.661500000000181</v>
      </c>
      <c r="AP37" s="11">
        <f ca="1">(AO37*DATOSAÑO!$Z$11)/DATOSAÑO!$Y$11</f>
        <v>0.1921059675221681</v>
      </c>
      <c r="AQ37" s="9">
        <f ca="1">DATOSAÑO!CL36</f>
        <v>2.0781999999997818</v>
      </c>
      <c r="AR37" s="1300">
        <f ca="1">(AQ37*DATOSAÑO!$Z$11)/DATOSAÑO!$Y$11</f>
        <v>3.7446383876989259E-2</v>
      </c>
      <c r="AS37" s="1334">
        <f t="shared" si="2"/>
        <v>4</v>
      </c>
    </row>
    <row r="38" spans="1:45" ht="16.5" customHeight="1" thickBot="1">
      <c r="A38" s="1371">
        <v>44953</v>
      </c>
      <c r="B38" s="1021">
        <v>44953</v>
      </c>
      <c r="C38" s="9">
        <f ca="1">DATOSAÑO!I37</f>
        <v>286</v>
      </c>
      <c r="D38" s="10">
        <f ca="1">DATOSAÑO!$D37</f>
        <v>4.372855584269665</v>
      </c>
      <c r="E38" s="11">
        <f ca="1">DATOSAÑO!$G37</f>
        <v>0</v>
      </c>
      <c r="F38" s="9">
        <f ca="1">DATOSAÑO!P37</f>
        <v>148.40000000000146</v>
      </c>
      <c r="G38" s="10">
        <f ca="1">DATOSAÑO!K37</f>
        <v>3.3524510898876518</v>
      </c>
      <c r="H38" s="11">
        <f ca="1">DATOSAÑO!N37</f>
        <v>0</v>
      </c>
      <c r="I38" s="9">
        <f ca="1">DATOSAÑO!Q37</f>
        <v>0</v>
      </c>
      <c r="J38" s="11">
        <f ca="1">DATOSAÑO!R37</f>
        <v>0</v>
      </c>
      <c r="K38" s="9">
        <f ca="1">DATOSAÑO!T37</f>
        <v>0</v>
      </c>
      <c r="L38" s="11">
        <f t="shared" ca="1" si="0"/>
        <v>0</v>
      </c>
      <c r="M38" s="9"/>
      <c r="N38" s="11">
        <f t="shared" si="1"/>
        <v>0</v>
      </c>
      <c r="O38" s="9">
        <f>DATOSAÑO!CT37</f>
        <v>0</v>
      </c>
      <c r="P38" s="9">
        <f>DATOSAÑO!CU37</f>
        <v>0</v>
      </c>
      <c r="Q38" s="9">
        <f ca="1">DATOSAÑO!AD37</f>
        <v>162.09999999997672</v>
      </c>
      <c r="R38" s="11">
        <f ca="1">(Q38*DATOSAÑO!$Z$11)/DATOSAÑO!$Y$11</f>
        <v>2.9208251498699473</v>
      </c>
      <c r="S38" s="9">
        <f ca="1">DATOSAÑO!AF37</f>
        <v>143</v>
      </c>
      <c r="T38" s="11">
        <f ca="1">(S38*DATOSAÑO!$Z$11)/DATOSAÑO!$Y$11</f>
        <v>2.5766687009960672</v>
      </c>
      <c r="U38" s="9">
        <f ca="1">DATOSAÑO!AH37</f>
        <v>10.900000000001455</v>
      </c>
      <c r="V38" s="11">
        <f ca="1">(U38*DATOSAÑO!$Z$11)/DATOSAÑO!$Y$11</f>
        <v>0.19640341846755863</v>
      </c>
      <c r="W38" s="9">
        <f ca="1">DATOSAÑO!AI37</f>
        <v>37.299999999995634</v>
      </c>
      <c r="X38" s="11">
        <f ca="1">(W38*DATOSAÑO!$Z$11)/DATOSAÑO!$Y$11</f>
        <v>0.67209610172826617</v>
      </c>
      <c r="Y38" s="9">
        <f ca="1">DATOSAÑO!AJ37</f>
        <v>8.5</v>
      </c>
      <c r="Z38" s="11">
        <f ca="1">(Y38*DATOSAÑO!$Z$11)/DATOSAÑO!$Y$11</f>
        <v>0.15315862908018582</v>
      </c>
      <c r="AA38" s="9">
        <f ca="1">DATOSAÑO!AK37</f>
        <v>15</v>
      </c>
      <c r="AB38" s="11">
        <f ca="1">(AA38*DATOSAÑO!$Z$11)/DATOSAÑO!$Y$11</f>
        <v>0.27027993367091613</v>
      </c>
      <c r="AC38" s="9">
        <f ca="1">DATOSAÑO!AL37</f>
        <v>31.600000000027592</v>
      </c>
      <c r="AD38" s="11">
        <f ca="1">(AC38*DATOSAÑO!$Z$11)/DATOSAÑO!$Y$11</f>
        <v>0.56938972693389378</v>
      </c>
      <c r="AE38" s="9">
        <f ca="1">DATOSAÑO!AM37</f>
        <v>8.7140000000003628</v>
      </c>
      <c r="AF38" s="11">
        <f ca="1">(AE38*DATOSAÑO!$Z$11)/DATOSAÑO!$Y$11</f>
        <v>0.15701462280056411</v>
      </c>
      <c r="AG38" s="9">
        <f ca="1">DATOSAÑO!AN37</f>
        <v>1.8209999999998181</v>
      </c>
      <c r="AH38" s="11">
        <f ca="1">(AG38*DATOSAÑO!$Z$11)/DATOSAÑO!$Y$11</f>
        <v>3.2811983947645944E-2</v>
      </c>
      <c r="AI38" s="9">
        <f ca="1">DATOSAÑO!BS37</f>
        <v>0</v>
      </c>
      <c r="AJ38" s="11">
        <f ca="1">(AI38*DATOSAÑO!$Z$11)/DATOSAÑO!$Y$11</f>
        <v>0</v>
      </c>
      <c r="AK38" s="9">
        <f ca="1">DATOSAÑO!BV37</f>
        <v>4.4080000000000004</v>
      </c>
      <c r="AL38" s="11">
        <f ca="1">(AK38*DATOSAÑO!$Z$11)/DATOSAÑO!$Y$11</f>
        <v>7.9426263174759898E-2</v>
      </c>
      <c r="AM38" s="9">
        <f ca="1">DATOSAÑO!BY37</f>
        <v>3.4780000000000002</v>
      </c>
      <c r="AN38" s="11">
        <f ca="1">(AM38*DATOSAÑO!$Z$11)/DATOSAÑO!$Y$11</f>
        <v>6.2668907287163081E-2</v>
      </c>
      <c r="AO38" s="9">
        <f ca="1">DATOSAÑO!CF37</f>
        <v>10.556999999999999</v>
      </c>
      <c r="AP38" s="11">
        <f ca="1">(AO38*DATOSAÑO!$Z$11)/DATOSAÑO!$Y$11</f>
        <v>0.19022301731759075</v>
      </c>
      <c r="AQ38" s="9">
        <f ca="1">DATOSAÑO!CL37</f>
        <v>2.1073999999999273</v>
      </c>
      <c r="AR38" s="1300">
        <f ca="1">(AQ38*DATOSAÑO!$Z$11)/DATOSAÑO!$Y$11</f>
        <v>3.7972528814537936E-2</v>
      </c>
      <c r="AS38" s="1334">
        <f t="shared" si="2"/>
        <v>4</v>
      </c>
    </row>
    <row r="39" spans="1:45" ht="15" thickBot="1">
      <c r="A39" s="1371">
        <v>44954</v>
      </c>
      <c r="B39" s="1021">
        <v>44954</v>
      </c>
      <c r="C39" s="9">
        <f ca="1">DATOSAÑO!I38</f>
        <v>293</v>
      </c>
      <c r="D39" s="10">
        <f ca="1">DATOSAÑO!$D38</f>
        <v>4.4247656966292155</v>
      </c>
      <c r="E39" s="11">
        <f ca="1">DATOSAÑO!$G38</f>
        <v>0</v>
      </c>
      <c r="F39" s="9">
        <f ca="1">DATOSAÑO!P38</f>
        <v>149.69999999999709</v>
      </c>
      <c r="G39" s="10">
        <f ca="1">DATOSAÑO!K38</f>
        <v>3.3620915393258217</v>
      </c>
      <c r="H39" s="11">
        <f ca="1">DATOSAÑO!N38</f>
        <v>0</v>
      </c>
      <c r="I39" s="9">
        <f ca="1">DATOSAÑO!Q38</f>
        <v>8.0000000000381988E-3</v>
      </c>
      <c r="J39" s="11">
        <f ca="1">DATOSAÑO!R38</f>
        <v>0.96000000000458385</v>
      </c>
      <c r="K39" s="9">
        <f ca="1">DATOSAÑO!T38</f>
        <v>0</v>
      </c>
      <c r="L39" s="11">
        <f t="shared" ca="1" si="0"/>
        <v>0</v>
      </c>
      <c r="M39" s="9"/>
      <c r="N39" s="11">
        <f t="shared" si="1"/>
        <v>0</v>
      </c>
      <c r="O39" s="9">
        <f>DATOSAÑO!CT38</f>
        <v>1</v>
      </c>
      <c r="P39" s="9">
        <f>DATOSAÑO!CU38</f>
        <v>0</v>
      </c>
      <c r="Q39" s="9">
        <f ca="1">DATOSAÑO!AD38</f>
        <v>164.80000000004657</v>
      </c>
      <c r="R39" s="11">
        <f ca="1">(Q39*DATOSAÑO!$Z$11)/DATOSAÑO!$Y$11</f>
        <v>2.9694755379319711</v>
      </c>
      <c r="S39" s="9">
        <f ca="1">DATOSAÑO!AF38</f>
        <v>142</v>
      </c>
      <c r="T39" s="11">
        <f ca="1">(S39*DATOSAÑO!$Z$11)/DATOSAÑO!$Y$11</f>
        <v>2.5586500387513391</v>
      </c>
      <c r="U39" s="9">
        <f ca="1">DATOSAÑO!AH38</f>
        <v>13</v>
      </c>
      <c r="V39" s="11">
        <f ca="1">(U39*DATOSAÑO!$Z$11)/DATOSAÑO!$Y$11</f>
        <v>0.23424260918146064</v>
      </c>
      <c r="W39" s="9">
        <f ca="1">DATOSAÑO!AI38</f>
        <v>40.200000000004366</v>
      </c>
      <c r="X39" s="11">
        <f ca="1">(W39*DATOSAÑO!$Z$11)/DATOSAÑO!$Y$11</f>
        <v>0.72435022223813395</v>
      </c>
      <c r="Y39" s="9">
        <f ca="1">DATOSAÑO!AJ38</f>
        <v>7.5</v>
      </c>
      <c r="Z39" s="11">
        <f ca="1">(Y39*DATOSAÑO!$Z$11)/DATOSAÑO!$Y$11</f>
        <v>0.13513996683545806</v>
      </c>
      <c r="AA39" s="9">
        <f ca="1">DATOSAÑO!AK38</f>
        <v>16</v>
      </c>
      <c r="AB39" s="11">
        <f ca="1">(AA39*DATOSAÑO!$Z$11)/DATOSAÑO!$Y$11</f>
        <v>0.28829859591564388</v>
      </c>
      <c r="AC39" s="9">
        <f ca="1">DATOSAÑO!AL38</f>
        <v>30.607999999958508</v>
      </c>
      <c r="AD39" s="11">
        <f ca="1">(AC39*DATOSAÑO!$Z$11)/DATOSAÑO!$Y$11</f>
        <v>0.5515152139858791</v>
      </c>
      <c r="AE39" s="9">
        <f ca="1">DATOSAÑO!AM38</f>
        <v>11.007999999986811</v>
      </c>
      <c r="AF39" s="11">
        <f ca="1">(AE39*DATOSAÑO!$Z$11)/DATOSAÑO!$Y$11</f>
        <v>0.19834943398972532</v>
      </c>
      <c r="AG39" s="9">
        <f ca="1">DATOSAÑO!AN38</f>
        <v>1.9360000000006365</v>
      </c>
      <c r="AH39" s="11">
        <f ca="1">(AG39*DATOSAÑO!$Z$11)/DATOSAÑO!$Y$11</f>
        <v>3.4884130105804378E-2</v>
      </c>
      <c r="AI39" s="9">
        <f ca="1">DATOSAÑO!BS38</f>
        <v>0</v>
      </c>
      <c r="AJ39" s="11">
        <f ca="1">(AI39*DATOSAÑO!$Z$11)/DATOSAÑO!$Y$11</f>
        <v>0</v>
      </c>
      <c r="AK39" s="9">
        <f ca="1">DATOSAÑO!BV38</f>
        <v>4.4820000000000002</v>
      </c>
      <c r="AL39" s="11">
        <f ca="1">(AK39*DATOSAÑO!$Z$11)/DATOSAÑO!$Y$11</f>
        <v>8.0759644180869741E-2</v>
      </c>
      <c r="AM39" s="9">
        <f ca="1">DATOSAÑO!BY38</f>
        <v>3.51</v>
      </c>
      <c r="AN39" s="11">
        <f ca="1">(AM39*DATOSAÑO!$Z$11)/DATOSAÑO!$Y$11</f>
        <v>6.324550447899438E-2</v>
      </c>
      <c r="AO39" s="9">
        <f ca="1">DATOSAÑO!CF38</f>
        <v>11.803999999993588</v>
      </c>
      <c r="AP39" s="11">
        <f ca="1">(AO39*DATOSAÑO!$Z$11)/DATOSAÑO!$Y$11</f>
        <v>0.21269228913665073</v>
      </c>
      <c r="AQ39" s="9">
        <f ca="1">DATOSAÑO!CL38</f>
        <v>2.1384000000002548</v>
      </c>
      <c r="AR39" s="1300">
        <f ca="1">(AQ39*DATOSAÑO!$Z$11)/DATOSAÑO!$Y$11</f>
        <v>3.85311073441304E-2</v>
      </c>
      <c r="AS39" s="1334">
        <f t="shared" si="2"/>
        <v>4</v>
      </c>
    </row>
    <row r="40" spans="1:45" ht="16.5" customHeight="1" thickBot="1">
      <c r="A40" s="1371">
        <v>44955</v>
      </c>
      <c r="B40" s="1021">
        <v>44955</v>
      </c>
      <c r="C40" s="9">
        <f ca="1">DATOSAÑO!I39</f>
        <v>293</v>
      </c>
      <c r="D40" s="10">
        <f ca="1">DATOSAÑO!$D39</f>
        <v>4.4247656966292155</v>
      </c>
      <c r="E40" s="11">
        <f ca="1">DATOSAÑO!$G39</f>
        <v>0</v>
      </c>
      <c r="F40" s="9">
        <f ca="1">DATOSAÑO!P39</f>
        <v>150</v>
      </c>
      <c r="G40" s="10">
        <f ca="1">DATOSAÑO!K39</f>
        <v>3.3643162584269666</v>
      </c>
      <c r="H40" s="11">
        <f ca="1">DATOSAÑO!N39</f>
        <v>0</v>
      </c>
      <c r="I40" s="9">
        <f ca="1">DATOSAÑO!Q39</f>
        <v>0</v>
      </c>
      <c r="J40" s="11">
        <f ca="1">DATOSAÑO!R39</f>
        <v>0</v>
      </c>
      <c r="K40" s="9">
        <f ca="1">DATOSAÑO!T39</f>
        <v>0</v>
      </c>
      <c r="L40" s="11">
        <f t="shared" ca="1" si="0"/>
        <v>0</v>
      </c>
      <c r="M40" s="9"/>
      <c r="N40" s="11">
        <f t="shared" si="1"/>
        <v>0</v>
      </c>
      <c r="O40" s="9">
        <f>DATOSAÑO!CT39</f>
        <v>0</v>
      </c>
      <c r="P40" s="9">
        <f>DATOSAÑO!CU39</f>
        <v>0</v>
      </c>
      <c r="Q40" s="9">
        <f ca="1">DATOSAÑO!AD39</f>
        <v>167.90000000002328</v>
      </c>
      <c r="R40" s="11">
        <f ca="1">(Q40*DATOSAÑO!$Z$11)/DATOSAÑO!$Y$11</f>
        <v>3.0253333908902076</v>
      </c>
      <c r="S40" s="9">
        <f ca="1">DATOSAÑO!AF39</f>
        <v>144</v>
      </c>
      <c r="T40" s="11">
        <f ca="1">(S40*DATOSAÑO!$Z$11)/DATOSAÑO!$Y$11</f>
        <v>2.5946873632407947</v>
      </c>
      <c r="U40" s="9">
        <f ca="1">DATOSAÑO!AH39</f>
        <v>9.4000000000014552</v>
      </c>
      <c r="V40" s="11">
        <f ca="1">(U40*DATOSAÑO!$Z$11)/DATOSAÑO!$Y$11</f>
        <v>0.16937542510046699</v>
      </c>
      <c r="W40" s="9">
        <f ca="1">DATOSAÑO!AI39</f>
        <v>41.799999999995634</v>
      </c>
      <c r="X40" s="11">
        <f ca="1">(W40*DATOSAÑO!$Z$11)/DATOSAÑO!$Y$11</f>
        <v>0.75318008182954099</v>
      </c>
      <c r="Y40" s="9">
        <f ca="1">DATOSAÑO!AJ39</f>
        <v>6.1000000000058208</v>
      </c>
      <c r="Z40" s="11">
        <f ca="1">(Y40*DATOSAÑO!$Z$11)/DATOSAÑO!$Y$11</f>
        <v>0.1099138396929441</v>
      </c>
      <c r="AA40" s="9">
        <f ca="1">DATOSAÑO!AK39</f>
        <v>15.600000000005821</v>
      </c>
      <c r="AB40" s="11">
        <f ca="1">(AA40*DATOSAÑO!$Z$11)/DATOSAÑO!$Y$11</f>
        <v>0.28109113101785765</v>
      </c>
      <c r="AC40" s="9">
        <f ca="1">DATOSAÑO!AL39</f>
        <v>32.599999999956708</v>
      </c>
      <c r="AD40" s="11">
        <f ca="1">(AC40*DATOSAÑO!$Z$11)/DATOSAÑO!$Y$11</f>
        <v>0.58740838917734428</v>
      </c>
      <c r="AE40" s="9">
        <f ca="1">DATOSAÑO!AM39</f>
        <v>7.3650000000121842</v>
      </c>
      <c r="AF40" s="11">
        <f ca="1">(AE40*DATOSAÑO!$Z$11)/DATOSAÑO!$Y$11</f>
        <v>0.13270744743263937</v>
      </c>
      <c r="AG40" s="9">
        <f ca="1">DATOSAÑO!AN39</f>
        <v>2.1969999999994543</v>
      </c>
      <c r="AH40" s="11">
        <f ca="1">(AG40*DATOSAÑO!$Z$11)/DATOSAÑO!$Y$11</f>
        <v>3.9587000951657014E-2</v>
      </c>
      <c r="AI40" s="9">
        <f ca="1">DATOSAÑO!BS39</f>
        <v>0</v>
      </c>
      <c r="AJ40" s="11">
        <f ca="1">(AI40*DATOSAÑO!$Z$11)/DATOSAÑO!$Y$11</f>
        <v>0</v>
      </c>
      <c r="AK40" s="9">
        <f ca="1">DATOSAÑO!BV39</f>
        <v>4.5789999999999997</v>
      </c>
      <c r="AL40" s="11">
        <f ca="1">(AK40*DATOSAÑO!$Z$11)/DATOSAÑO!$Y$11</f>
        <v>8.2507454418608336E-2</v>
      </c>
      <c r="AM40" s="9">
        <f ca="1">DATOSAÑO!BY39</f>
        <v>3.6560000000000001</v>
      </c>
      <c r="AN40" s="11">
        <f ca="1">(AM40*DATOSAÑO!$Z$11)/DATOSAÑO!$Y$11</f>
        <v>6.5876229166724629E-2</v>
      </c>
      <c r="AO40" s="9">
        <f ca="1">DATOSAÑO!CF39</f>
        <v>10.082500000005728</v>
      </c>
      <c r="AP40" s="11">
        <f ca="1">(AO40*DATOSAÑO!$Z$11)/DATOSAÑO!$Y$11</f>
        <v>0.18167316208257067</v>
      </c>
      <c r="AQ40" s="9">
        <f ca="1">DATOSAÑO!CL39</f>
        <v>2.281799999999782</v>
      </c>
      <c r="AR40" s="1300">
        <f ca="1">(AQ40*DATOSAÑO!$Z$11)/DATOSAÑO!$Y$11</f>
        <v>4.1114983510015836E-2</v>
      </c>
      <c r="AS40" s="1334">
        <f t="shared" si="2"/>
        <v>5</v>
      </c>
    </row>
    <row r="41" spans="1:45" ht="15" thickBot="1">
      <c r="A41" s="1371">
        <v>44956</v>
      </c>
      <c r="B41" s="1021">
        <v>44956</v>
      </c>
      <c r="C41" s="9">
        <f ca="1">DATOSAÑO!I40</f>
        <v>287.09999999997672</v>
      </c>
      <c r="D41" s="10">
        <f ca="1">DATOSAÑO!$D40</f>
        <v>4.3810128876402779</v>
      </c>
      <c r="E41" s="11">
        <f ca="1">DATOSAÑO!$G40</f>
        <v>0</v>
      </c>
      <c r="F41" s="9">
        <f ca="1">DATOSAÑO!P40</f>
        <v>150</v>
      </c>
      <c r="G41" s="10">
        <f ca="1">DATOSAÑO!K40</f>
        <v>3.3643162584269666</v>
      </c>
      <c r="H41" s="11">
        <f ca="1">DATOSAÑO!N40</f>
        <v>0</v>
      </c>
      <c r="I41" s="9">
        <f ca="1">DATOSAÑO!Q40</f>
        <v>0.20399999999995089</v>
      </c>
      <c r="J41" s="11">
        <f ca="1">DATOSAÑO!R40</f>
        <v>24.479999999994106</v>
      </c>
      <c r="K41" s="9">
        <f ca="1">DATOSAÑO!T40</f>
        <v>0</v>
      </c>
      <c r="L41" s="11">
        <f t="shared" ca="1" si="0"/>
        <v>0</v>
      </c>
      <c r="M41" s="9"/>
      <c r="N41" s="11">
        <f t="shared" si="1"/>
        <v>0</v>
      </c>
      <c r="O41" s="9">
        <f>DATOSAÑO!CT40</f>
        <v>1</v>
      </c>
      <c r="P41" s="9">
        <f>DATOSAÑO!CU40</f>
        <v>0</v>
      </c>
      <c r="Q41" s="9">
        <f ca="1">DATOSAÑO!AD40</f>
        <v>165.19999999995343</v>
      </c>
      <c r="R41" s="11">
        <f ca="1">(Q41*DATOSAÑO!$Z$11)/DATOSAÑO!$Y$11</f>
        <v>2.9766830028281839</v>
      </c>
      <c r="S41" s="9">
        <f ca="1">DATOSAÑO!AF40</f>
        <v>141</v>
      </c>
      <c r="T41" s="11">
        <f ca="1">(S41*DATOSAÑO!$Z$11)/DATOSAÑO!$Y$11</f>
        <v>2.540631376506612</v>
      </c>
      <c r="U41" s="9">
        <f ca="1">DATOSAÑO!AH40</f>
        <v>8.3000000000029104</v>
      </c>
      <c r="V41" s="11">
        <f ca="1">(U41*DATOSAÑO!$Z$11)/DATOSAÑO!$Y$11</f>
        <v>0.14955489663129271</v>
      </c>
      <c r="W41" s="9">
        <f ca="1">DATOSAÑO!AI40</f>
        <v>40.900000000001455</v>
      </c>
      <c r="X41" s="11">
        <f ca="1">(W41*DATOSAÑO!$Z$11)/DATOSAÑO!$Y$11</f>
        <v>0.73696328580939097</v>
      </c>
      <c r="Y41" s="9">
        <f ca="1">DATOSAÑO!AJ40</f>
        <v>5.5</v>
      </c>
      <c r="Z41" s="11">
        <f ca="1">(Y41*DATOSAÑO!$Z$11)/DATOSAÑO!$Y$11</f>
        <v>9.9102642346002578E-2</v>
      </c>
      <c r="AA41" s="9">
        <f ca="1">DATOSAÑO!AK40</f>
        <v>15.399999999994179</v>
      </c>
      <c r="AB41" s="11">
        <f ca="1">(AA41*DATOSAÑO!$Z$11)/DATOSAÑO!$Y$11</f>
        <v>0.27748739856870236</v>
      </c>
      <c r="AC41" s="9">
        <f ca="1">DATOSAÑO!AL40</f>
        <v>33.004000000024632</v>
      </c>
      <c r="AD41" s="11">
        <f ca="1">(AC41*DATOSAÑO!$Z$11)/DATOSAÑO!$Y$11</f>
        <v>0.59468792872543819</v>
      </c>
      <c r="AE41" s="9">
        <f ca="1">DATOSAÑO!AM40</f>
        <v>8.7149999999991845</v>
      </c>
      <c r="AF41" s="11">
        <f ca="1">(AE41*DATOSAÑO!$Z$11)/DATOSAÑO!$Y$11</f>
        <v>0.15703264146278759</v>
      </c>
      <c r="AG41" s="9">
        <f ca="1">DATOSAÑO!AN40</f>
        <v>3.344000000000273</v>
      </c>
      <c r="AH41" s="11">
        <f ca="1">(AG41*DATOSAÑO!$Z$11)/DATOSAÑO!$Y$11</f>
        <v>6.0254406546374491E-2</v>
      </c>
      <c r="AI41" s="9">
        <f ca="1">DATOSAÑO!BS40</f>
        <v>0</v>
      </c>
      <c r="AJ41" s="11">
        <f ca="1">(AI41*DATOSAÑO!$Z$11)/DATOSAÑO!$Y$11</f>
        <v>0</v>
      </c>
      <c r="AK41" s="9">
        <f ca="1">DATOSAÑO!BV40</f>
        <v>4.5129999999999999</v>
      </c>
      <c r="AL41" s="11">
        <f ca="1">(AK41*DATOSAÑO!$Z$11)/DATOSAÑO!$Y$11</f>
        <v>8.13182227104563E-2</v>
      </c>
      <c r="AM41" s="9">
        <f ca="1">DATOSAÑO!BY40</f>
        <v>3.6720000000000002</v>
      </c>
      <c r="AN41" s="11">
        <f ca="1">(AM41*DATOSAÑO!$Z$11)/DATOSAÑO!$Y$11</f>
        <v>6.6164527762640271E-2</v>
      </c>
      <c r="AO41" s="9">
        <f ca="1">DATOSAÑO!CF40</f>
        <v>10.757500000000139</v>
      </c>
      <c r="AP41" s="11">
        <f ca="1">(AO41*DATOSAÑO!$Z$11)/DATOSAÑO!$Y$11</f>
        <v>0.19383575909766118</v>
      </c>
      <c r="AQ41" s="9">
        <f ca="1">DATOSAÑO!CL40</f>
        <v>2.6936000000001092</v>
      </c>
      <c r="AR41" s="1300">
        <f ca="1">(AQ41*DATOSAÑO!$Z$11)/DATOSAÑO!$Y$11</f>
        <v>4.8535068622400618E-2</v>
      </c>
      <c r="AS41" s="1334">
        <f t="shared" si="2"/>
        <v>5</v>
      </c>
    </row>
    <row r="42" spans="1:45" ht="16.5" customHeight="1" thickBot="1">
      <c r="A42" s="1371">
        <v>44957</v>
      </c>
      <c r="B42" s="1021">
        <v>44957</v>
      </c>
      <c r="C42" s="62">
        <f ca="1">DATOSAÑO!I41</f>
        <v>291.90000000002328</v>
      </c>
      <c r="D42" s="63">
        <f ca="1">DATOSAÑO!$D41</f>
        <v>4.4166083932586009</v>
      </c>
      <c r="E42" s="64">
        <f ca="1">DATOSAÑO!$G41</f>
        <v>0</v>
      </c>
      <c r="F42" s="62">
        <f ca="1">DATOSAÑO!P41</f>
        <v>149.30000000000291</v>
      </c>
      <c r="G42" s="63">
        <f ca="1">DATOSAÑO!K41</f>
        <v>3.3591252471910336</v>
      </c>
      <c r="H42" s="64">
        <f ca="1">DATOSAÑO!N41</f>
        <v>0</v>
      </c>
      <c r="I42" s="62">
        <f ca="1">DATOSAÑO!Q41</f>
        <v>0</v>
      </c>
      <c r="J42" s="64">
        <f ca="1">DATOSAÑO!R41</f>
        <v>0</v>
      </c>
      <c r="K42" s="193">
        <f ca="1">DATOSAÑO!T41</f>
        <v>0.125</v>
      </c>
      <c r="L42" s="64">
        <f t="shared" ca="1" si="0"/>
        <v>15</v>
      </c>
      <c r="M42" s="62"/>
      <c r="N42" s="64">
        <f t="shared" si="1"/>
        <v>0</v>
      </c>
      <c r="O42" s="62">
        <f>DATOSAÑO!CT41</f>
        <v>0</v>
      </c>
      <c r="P42" s="61">
        <f>DATOSAÑO!CU41</f>
        <v>0</v>
      </c>
      <c r="Q42" s="193">
        <f ca="1">DATOSAÑO!AD41</f>
        <v>166.40000000002328</v>
      </c>
      <c r="R42" s="64">
        <f ca="1">(Q42*DATOSAÑO!$Z$11)/DATOSAÑO!$Y$11</f>
        <v>2.9983053975231155</v>
      </c>
      <c r="S42" s="193">
        <f ca="1">DATOSAÑO!AF41</f>
        <v>143</v>
      </c>
      <c r="T42" s="64">
        <f ca="1">(S42*DATOSAÑO!$Z$11)/DATOSAÑO!$Y$11</f>
        <v>2.5766687009960672</v>
      </c>
      <c r="U42" s="193">
        <f ca="1">DATOSAÑO!AH41</f>
        <v>12.69999999999709</v>
      </c>
      <c r="V42" s="64">
        <f ca="1">(U42*DATOSAÑO!$Z$11)/DATOSAÑO!$Y$11</f>
        <v>0.22883701050798988</v>
      </c>
      <c r="W42" s="193">
        <f ca="1">DATOSAÑO!AI41</f>
        <v>39.799999999995634</v>
      </c>
      <c r="X42" s="64">
        <f ca="1">(W42*DATOSAÑO!$Z$11)/DATOSAÑO!$Y$11</f>
        <v>0.71714275734008548</v>
      </c>
      <c r="Y42" s="193">
        <f ca="1">DATOSAÑO!AJ41</f>
        <v>5.5999999999912689</v>
      </c>
      <c r="Z42" s="64">
        <f ca="1">(Y42*DATOSAÑO!$Z$11)/DATOSAÑO!$Y$11</f>
        <v>0.10090450857031805</v>
      </c>
      <c r="AA42" s="193">
        <f ca="1">DATOSAÑO!AK41</f>
        <v>16.5</v>
      </c>
      <c r="AB42" s="64">
        <f ca="1">(AA42*DATOSAÑO!$Z$11)/DATOSAÑO!$Y$11</f>
        <v>0.29730792703800774</v>
      </c>
      <c r="AC42" s="193">
        <f ca="1">DATOSAÑO!AL41</f>
        <v>30.72499999999485</v>
      </c>
      <c r="AD42" s="64">
        <f ca="1">(AC42*DATOSAÑO!$Z$11)/DATOSAÑO!$Y$11</f>
        <v>0.55362339746916711</v>
      </c>
      <c r="AE42" s="193">
        <f ca="1">DATOSAÑO!AM41</f>
        <v>9.016000000024011</v>
      </c>
      <c r="AF42" s="64">
        <f ca="1">(AE42*DATOSAÑO!$Z$11)/DATOSAÑO!$Y$11</f>
        <v>0.162456258798898</v>
      </c>
      <c r="AG42" s="62">
        <f ca="1">DATOSAÑO!AN41</f>
        <v>1.8449999999998181</v>
      </c>
      <c r="AH42" s="64">
        <f ca="1">(AG42*DATOSAÑO!$Z$11)/DATOSAÑO!$Y$11</f>
        <v>3.3244431841519408E-2</v>
      </c>
      <c r="AI42" s="62">
        <f ca="1">DATOSAÑO!BS41</f>
        <v>0</v>
      </c>
      <c r="AJ42" s="64">
        <f ca="1">(AI42*DATOSAÑO!$Z$11)/DATOSAÑO!$Y$11</f>
        <v>0</v>
      </c>
      <c r="AK42" s="62">
        <f ca="1">DATOSAÑO!BV41</f>
        <v>4.4710000000000001</v>
      </c>
      <c r="AL42" s="64">
        <f ca="1">(AK42*DATOSAÑO!$Z$11)/DATOSAÑO!$Y$11</f>
        <v>8.0561438896177728E-2</v>
      </c>
      <c r="AM42" s="62">
        <f ca="1">DATOSAÑO!BY41</f>
        <v>3.613</v>
      </c>
      <c r="AN42" s="64">
        <f ca="1">(AM42*DATOSAÑO!$Z$11)/DATOSAÑO!$Y$11</f>
        <v>6.5101426690201331E-2</v>
      </c>
      <c r="AO42" s="62">
        <f ca="1">DATOSAÑO!CF41</f>
        <v>10.808000000012187</v>
      </c>
      <c r="AP42" s="64">
        <f ca="1">(AO42*DATOSAÑO!$Z$11)/DATOSAÑO!$Y$11</f>
        <v>0.19474570154123702</v>
      </c>
      <c r="AQ42" s="62">
        <f ca="1">DATOSAÑO!CL41</f>
        <v>2.0929999999999271</v>
      </c>
      <c r="AR42" s="1077">
        <f ca="1">(AQ42*DATOSAÑO!$Z$11)/DATOSAÑO!$Y$11</f>
        <v>3.7713060078213852E-2</v>
      </c>
      <c r="AS42" s="1335">
        <f t="shared" si="2"/>
        <v>5</v>
      </c>
    </row>
    <row r="43" spans="1:45" ht="15" thickBot="1">
      <c r="A43" s="1371">
        <v>44958</v>
      </c>
      <c r="B43" s="1021">
        <v>44958</v>
      </c>
      <c r="C43" s="9">
        <f ca="1">DATOSAÑO!I42</f>
        <v>293.90000000002328</v>
      </c>
      <c r="D43" s="10">
        <f ca="1">DATOSAÑO!$D42</f>
        <v>4.8729764251872218</v>
      </c>
      <c r="E43" s="11">
        <f ca="1">DATOSAÑO!$G42</f>
        <v>0</v>
      </c>
      <c r="F43" s="9">
        <f ca="1">DATOSAÑO!P42</f>
        <v>158.59999999999854</v>
      </c>
      <c r="G43" s="10">
        <f ca="1">DATOSAÑO!K42</f>
        <v>3.769657223192008</v>
      </c>
      <c r="H43" s="11">
        <f ca="1">DATOSAÑO!N42</f>
        <v>0</v>
      </c>
      <c r="I43" s="9">
        <f ca="1">DATOSAÑO!Q42</f>
        <v>0</v>
      </c>
      <c r="J43" s="11">
        <f ca="1">DATOSAÑO!R42</f>
        <v>0</v>
      </c>
      <c r="K43" s="173">
        <f ca="1">DATOSAÑO!T42</f>
        <v>0</v>
      </c>
      <c r="L43" s="11">
        <f t="shared" ca="1" si="0"/>
        <v>0</v>
      </c>
      <c r="M43" s="9"/>
      <c r="N43" s="11">
        <f t="shared" si="1"/>
        <v>0</v>
      </c>
      <c r="O43" s="9">
        <f>DATOSAÑO!CT42</f>
        <v>0</v>
      </c>
      <c r="P43" s="9">
        <f>DATOSAÑO!CU42</f>
        <v>0</v>
      </c>
      <c r="Q43" s="173">
        <f ca="1">DATOSAÑO!AD42</f>
        <v>167.30000000004657</v>
      </c>
      <c r="R43" s="11">
        <f ca="1">(Q43*DATOSAÑO!$Z$11)/DATOSAÑO!$Y$11</f>
        <v>3.0145221935437903</v>
      </c>
      <c r="S43" s="173">
        <f ca="1">DATOSAÑO!AF42</f>
        <v>153.79999999998836</v>
      </c>
      <c r="T43" s="11">
        <f ca="1">(S43*DATOSAÑO!$Z$11)/DATOSAÑO!$Y$11</f>
        <v>2.7712702532389168</v>
      </c>
      <c r="U43" s="173">
        <f ca="1">DATOSAÑO!AH42</f>
        <v>7.5</v>
      </c>
      <c r="V43" s="11">
        <f ca="1">(U43*DATOSAÑO!$Z$11)/DATOSAÑO!$Y$11</f>
        <v>0.13513996683545806</v>
      </c>
      <c r="W43" s="173">
        <f ca="1">DATOSAÑO!AI42</f>
        <v>40.700000000004366</v>
      </c>
      <c r="X43" s="11">
        <f ca="1">(W43*DATOSAÑO!$Z$11)/DATOSAÑO!$Y$11</f>
        <v>0.73335955336049774</v>
      </c>
      <c r="Y43" s="173">
        <f ca="1">DATOSAÑO!AJ42</f>
        <v>8.3000000000029104</v>
      </c>
      <c r="Z43" s="11">
        <f ca="1">(Y43*DATOSAÑO!$Z$11)/DATOSAÑO!$Y$11</f>
        <v>0.14955489663129271</v>
      </c>
      <c r="AA43" s="173">
        <f ca="1">DATOSAÑO!AK42</f>
        <v>15.299999999988358</v>
      </c>
      <c r="AB43" s="11">
        <f ca="1">(AA43*DATOSAÑO!$Z$11)/DATOSAÑO!$Y$11</f>
        <v>0.27568553234412468</v>
      </c>
      <c r="AC43" s="173">
        <f ca="1">DATOSAÑO!AL42</f>
        <v>32.600000000014859</v>
      </c>
      <c r="AD43" s="11">
        <f ca="1">(AC43*DATOSAÑO!$Z$11)/DATOSAÑO!$Y$11</f>
        <v>0.58740838917839211</v>
      </c>
      <c r="AE43" s="173">
        <f ca="1">DATOSAÑO!AM42</f>
        <v>10.232999999975807</v>
      </c>
      <c r="AF43" s="11">
        <f ca="1">(AE43*DATOSAÑO!$Z$11)/DATOSAÑO!$Y$11</f>
        <v>0.18438497074986307</v>
      </c>
      <c r="AG43" s="9">
        <f ca="1">DATOSAÑO!AN42</f>
        <v>1.3630000000007276</v>
      </c>
      <c r="AH43" s="11">
        <f ca="1">(AG43*DATOSAÑO!$Z$11)/DATOSAÑO!$Y$11</f>
        <v>2.4559436639577024E-2</v>
      </c>
      <c r="AI43" s="9">
        <f ca="1">DATOSAÑO!BS42</f>
        <v>0</v>
      </c>
      <c r="AJ43" s="11">
        <f ca="1">(AI43*DATOSAÑO!$Z$11)/DATOSAÑO!$Y$11</f>
        <v>0</v>
      </c>
      <c r="AK43" s="9">
        <f ca="1">DATOSAÑO!BV42</f>
        <v>4.3440000000000003</v>
      </c>
      <c r="AL43" s="11">
        <f ca="1">(AK43*DATOSAÑO!$Z$11)/DATOSAÑO!$Y$11</f>
        <v>7.8273068791097314E-2</v>
      </c>
      <c r="AM43" s="9">
        <f ca="1">DATOSAÑO!BY42</f>
        <v>3.5230000000000001</v>
      </c>
      <c r="AN43" s="11">
        <f ca="1">(AM43*DATOSAÑO!$Z$11)/DATOSAÑO!$Y$11</f>
        <v>6.3479747088175845E-2</v>
      </c>
      <c r="AO43" s="9">
        <f ca="1">DATOSAÑO!CF42</f>
        <v>11.316499999987721</v>
      </c>
      <c r="AP43" s="11">
        <f ca="1">(AO43*DATOSAÑO!$Z$11)/DATOSAÑO!$Y$11</f>
        <v>0.20390819129224025</v>
      </c>
      <c r="AQ43" s="9">
        <f ca="1">DATOSAÑO!CL42</f>
        <v>1.882200000000291</v>
      </c>
      <c r="AR43" s="1300">
        <f ca="1">(AQ43*DATOSAÑO!$Z$11)/DATOSAÑO!$Y$11</f>
        <v>3.3914726077031797E-2</v>
      </c>
      <c r="AS43" s="1369">
        <f t="shared" si="2"/>
        <v>5</v>
      </c>
    </row>
    <row r="44" spans="1:45" ht="16.5" customHeight="1" thickBot="1">
      <c r="A44" s="1371">
        <v>44959</v>
      </c>
      <c r="B44" s="1021">
        <v>44959</v>
      </c>
      <c r="C44" s="9">
        <f ca="1">DATOSAÑO!I43</f>
        <v>221.69999999995343</v>
      </c>
      <c r="D44" s="10">
        <f ca="1">DATOSAÑO!$D43</f>
        <v>4.284213332917326</v>
      </c>
      <c r="E44" s="11">
        <f ca="1">DATOSAÑO!$G43</f>
        <v>0</v>
      </c>
      <c r="F44" s="9">
        <f ca="1">DATOSAÑO!P43</f>
        <v>113.20000000000073</v>
      </c>
      <c r="G44" s="10">
        <f ca="1">DATOSAÑO!K43</f>
        <v>3.3994377718204545</v>
      </c>
      <c r="H44" s="11">
        <f ca="1">DATOSAÑO!N43</f>
        <v>0</v>
      </c>
      <c r="I44" s="9">
        <f ca="1">DATOSAÑO!Q43</f>
        <v>0</v>
      </c>
      <c r="J44" s="11">
        <f ca="1">DATOSAÑO!R43</f>
        <v>0</v>
      </c>
      <c r="K44" s="9">
        <f ca="1">DATOSAÑO!T43</f>
        <v>0</v>
      </c>
      <c r="L44" s="11">
        <f t="shared" ca="1" si="0"/>
        <v>0</v>
      </c>
      <c r="M44" s="9"/>
      <c r="N44" s="11">
        <f t="shared" si="1"/>
        <v>0</v>
      </c>
      <c r="O44" s="9">
        <f>DATOSAÑO!CT43</f>
        <v>0</v>
      </c>
      <c r="P44" s="9">
        <f>DATOSAÑO!CU43</f>
        <v>0</v>
      </c>
      <c r="Q44" s="9">
        <f ca="1">DATOSAÑO!AD43</f>
        <v>62.699999999953434</v>
      </c>
      <c r="R44" s="11">
        <f ca="1">(Q44*DATOSAÑO!$Z$11)/DATOSAÑO!$Y$11</f>
        <v>1.1297701227435903</v>
      </c>
      <c r="S44" s="9">
        <f ca="1">DATOSAÑO!AF43</f>
        <v>145.10000000003492</v>
      </c>
      <c r="T44" s="11">
        <f ca="1">(S44*DATOSAÑO!$Z$11)/DATOSAÑO!$Y$11</f>
        <v>2.614507891710625</v>
      </c>
      <c r="U44" s="9">
        <f ca="1">DATOSAÑO!AH43</f>
        <v>10.30000000000291</v>
      </c>
      <c r="V44" s="11">
        <f ca="1">(U44*DATOSAÑO!$Z$11)/DATOSAÑO!$Y$11</f>
        <v>0.18559222112074819</v>
      </c>
      <c r="W44" s="9">
        <f ca="1">DATOSAÑO!AI43</f>
        <v>43.299999999995634</v>
      </c>
      <c r="X44" s="11">
        <f ca="1">(W44*DATOSAÑO!$Z$11)/DATOSAÑO!$Y$11</f>
        <v>0.78020807519663249</v>
      </c>
      <c r="Y44" s="9">
        <f ca="1">DATOSAÑO!AJ43</f>
        <v>5.5</v>
      </c>
      <c r="Z44" s="11">
        <f ca="1">(Y44*DATOSAÑO!$Z$11)/DATOSAÑO!$Y$11</f>
        <v>9.9102642346002578E-2</v>
      </c>
      <c r="AA44" s="9">
        <f ca="1">DATOSAÑO!AK43</f>
        <v>9.9000000000232831</v>
      </c>
      <c r="AB44" s="11">
        <f ca="1">(AA44*DATOSAÑO!$Z$11)/DATOSAÑO!$Y$11</f>
        <v>0.17838475622322419</v>
      </c>
      <c r="AC44" s="9">
        <f ca="1">DATOSAÑO!AL43</f>
        <v>30.999999999978229</v>
      </c>
      <c r="AD44" s="11">
        <f ca="1">(AC44*DATOSAÑO!$Z$11)/DATOSAÑO!$Y$11</f>
        <v>0.55857852958616772</v>
      </c>
      <c r="AE44" s="9">
        <f ca="1">DATOSAÑO!AM43</f>
        <v>10.475999999966168</v>
      </c>
      <c r="AF44" s="11">
        <f ca="1">(AE44*DATOSAÑO!$Z$11)/DATOSAÑO!$Y$11</f>
        <v>0.18876350567515821</v>
      </c>
      <c r="AG44" s="9">
        <f ca="1">DATOSAÑO!AN43</f>
        <v>1.6659999999994541</v>
      </c>
      <c r="AH44" s="11">
        <f ca="1">(AG44*DATOSAÑO!$Z$11)/DATOSAÑO!$Y$11</f>
        <v>3.0019091299706584E-2</v>
      </c>
      <c r="AI44" s="9">
        <f ca="1">DATOSAÑO!BS43</f>
        <v>0</v>
      </c>
      <c r="AJ44" s="11">
        <f ca="1">(AI44*DATOSAÑO!$Z$11)/DATOSAÑO!$Y$11</f>
        <v>0</v>
      </c>
      <c r="AK44" s="9">
        <f ca="1">DATOSAÑO!BV43</f>
        <v>4.3369999999999997</v>
      </c>
      <c r="AL44" s="11">
        <f ca="1">(AK44*DATOSAÑO!$Z$11)/DATOSAÑO!$Y$11</f>
        <v>7.8146938155384219E-2</v>
      </c>
      <c r="AM44" s="9">
        <f ca="1">DATOSAÑO!BY43</f>
        <v>3.387</v>
      </c>
      <c r="AN44" s="11">
        <f ca="1">(AM44*DATOSAÑO!$Z$11)/DATOSAÑO!$Y$11</f>
        <v>6.1029209022892862E-2</v>
      </c>
      <c r="AO44" s="9">
        <f ca="1">DATOSAÑO!CF43</f>
        <v>11.537999999983267</v>
      </c>
      <c r="AP44" s="11">
        <f ca="1">(AO44*DATOSAÑO!$Z$11)/DATOSAÑO!$Y$11</f>
        <v>0.20789932497936719</v>
      </c>
      <c r="AQ44" s="9">
        <f ca="1">DATOSAÑO!CL43</f>
        <v>1.6003999999997818</v>
      </c>
      <c r="AR44" s="1300">
        <f ca="1">(AQ44*DATOSAÑO!$Z$11)/DATOSAÑO!$Y$11</f>
        <v>2.8837067056458346E-2</v>
      </c>
      <c r="AS44" s="1334">
        <f t="shared" si="2"/>
        <v>5</v>
      </c>
    </row>
    <row r="45" spans="1:45" ht="15" thickBot="1">
      <c r="A45" s="1371">
        <v>44960</v>
      </c>
      <c r="B45" s="1021">
        <v>44960</v>
      </c>
      <c r="C45" s="9">
        <f ca="1">DATOSAÑO!I44</f>
        <v>293.39000000001397</v>
      </c>
      <c r="D45" s="10">
        <f ca="1">DATOSAÑO!$D44</f>
        <v>4.8688175723193163</v>
      </c>
      <c r="E45" s="11">
        <f ca="1">DATOSAÑO!$G44</f>
        <v>0</v>
      </c>
      <c r="F45" s="9">
        <f ca="1">DATOSAÑO!P44</f>
        <v>147.07999999999811</v>
      </c>
      <c r="G45" s="10">
        <f ca="1">DATOSAÑO!K44</f>
        <v>3.6757160760598349</v>
      </c>
      <c r="H45" s="11">
        <f ca="1">DATOSAÑO!N44</f>
        <v>0</v>
      </c>
      <c r="I45" s="9">
        <f ca="1">DATOSAÑO!Q44</f>
        <v>0</v>
      </c>
      <c r="J45" s="11">
        <f ca="1">DATOSAÑO!R44</f>
        <v>0</v>
      </c>
      <c r="K45" s="9">
        <f ca="1">DATOSAÑO!T44</f>
        <v>0</v>
      </c>
      <c r="L45" s="11">
        <f t="shared" ca="1" si="0"/>
        <v>0</v>
      </c>
      <c r="M45" s="9"/>
      <c r="N45" s="11">
        <f t="shared" si="1"/>
        <v>0</v>
      </c>
      <c r="O45" s="9">
        <f>DATOSAÑO!CT44</f>
        <v>0</v>
      </c>
      <c r="P45" s="9">
        <f>DATOSAÑO!CU44</f>
        <v>0</v>
      </c>
      <c r="Q45" s="9">
        <f ca="1">DATOSAÑO!AD44</f>
        <v>165</v>
      </c>
      <c r="R45" s="11">
        <f ca="1">(Q45*DATOSAÑO!$Z$11)/DATOSAÑO!$Y$11</f>
        <v>2.9730792703800777</v>
      </c>
      <c r="S45" s="9">
        <f ca="1">DATOSAÑO!AF44</f>
        <v>145.9199999999837</v>
      </c>
      <c r="T45" s="11">
        <f ca="1">(S45*DATOSAÑO!$Z$11)/DATOSAÑO!$Y$11</f>
        <v>2.6292831947503785</v>
      </c>
      <c r="U45" s="9">
        <f ca="1">DATOSAÑO!AH44</f>
        <v>11</v>
      </c>
      <c r="V45" s="11">
        <f ca="1">(U45*DATOSAÑO!$Z$11)/DATOSAÑO!$Y$11</f>
        <v>0.19820528469200516</v>
      </c>
      <c r="W45" s="9">
        <f ca="1">DATOSAÑO!AI44</f>
        <v>39.120000000002619</v>
      </c>
      <c r="X45" s="11">
        <f ca="1">(W45*DATOSAÑO!$Z$11)/DATOSAÑO!$Y$11</f>
        <v>0.70489006701379653</v>
      </c>
      <c r="Y45" s="9">
        <f ca="1">DATOSAÑO!AJ44</f>
        <v>8.8999999999941792</v>
      </c>
      <c r="Z45" s="11">
        <f ca="1">(Y45*DATOSAÑO!$Z$11)/DATOSAÑO!$Y$11</f>
        <v>0.16036609397797202</v>
      </c>
      <c r="AA45" s="9">
        <f ca="1">DATOSAÑO!AK44</f>
        <v>11.489999999990687</v>
      </c>
      <c r="AB45" s="11">
        <f ca="1">(AA45*DATOSAÑO!$Z$11)/DATOSAÑO!$Y$11</f>
        <v>0.20703442919175394</v>
      </c>
      <c r="AC45" s="9">
        <f ca="1">DATOSAÑO!AL44</f>
        <v>31.65999999999076</v>
      </c>
      <c r="AD45" s="11">
        <f ca="1">(AC45*DATOSAÑO!$Z$11)/DATOSAÑO!$Y$11</f>
        <v>0.57047084666791381</v>
      </c>
      <c r="AE45" s="9">
        <f ca="1">DATOSAÑO!AM44</f>
        <v>10.066000000051094</v>
      </c>
      <c r="AF45" s="11">
        <f ca="1">(AE45*DATOSAÑO!$Z$11)/DATOSAÑO!$Y$11</f>
        <v>0.1813758541563501</v>
      </c>
      <c r="AG45" s="9">
        <f ca="1">DATOSAÑO!AN44</f>
        <v>1.4629999999994725</v>
      </c>
      <c r="AH45" s="11">
        <f ca="1">(AG45*DATOSAÑO!$Z$11)/DATOSAÑO!$Y$11</f>
        <v>2.6361302864027183E-2</v>
      </c>
      <c r="AI45" s="9">
        <f ca="1">DATOSAÑO!BS44</f>
        <v>0</v>
      </c>
      <c r="AJ45" s="11">
        <f ca="1">(AI45*DATOSAÑO!$Z$11)/DATOSAÑO!$Y$11</f>
        <v>0</v>
      </c>
      <c r="AK45" s="9">
        <f ca="1">DATOSAÑO!BV44</f>
        <v>4.57</v>
      </c>
      <c r="AL45" s="11">
        <f ca="1">(AK45*DATOSAÑO!$Z$11)/DATOSAÑO!$Y$11</f>
        <v>8.2345286458405789E-2</v>
      </c>
      <c r="AM45" s="9">
        <f ca="1">DATOSAÑO!BY44</f>
        <v>3.6840000000000002</v>
      </c>
      <c r="AN45" s="11">
        <f ca="1">(AM45*DATOSAÑO!$Z$11)/DATOSAÑO!$Y$11</f>
        <v>6.6380751709576996E-2</v>
      </c>
      <c r="AO45" s="9">
        <f ca="1">DATOSAÑO!CF44</f>
        <v>11.51300000002511</v>
      </c>
      <c r="AP45" s="11">
        <f ca="1">(AO45*DATOSAÑO!$Z$11)/DATOSAÑO!$Y$11</f>
        <v>0.20744885842400296</v>
      </c>
      <c r="AQ45" s="9">
        <f ca="1">DATOSAÑO!CL44</f>
        <v>1.702199999999789</v>
      </c>
      <c r="AR45" s="1300">
        <f ca="1">(AQ45*DATOSAÑO!$Z$11)/DATOSAÑO!$Y$11</f>
        <v>3.0671366872971759E-2</v>
      </c>
      <c r="AS45" s="1334">
        <f t="shared" si="2"/>
        <v>5</v>
      </c>
    </row>
    <row r="46" spans="1:45" ht="16.5" customHeight="1" thickBot="1">
      <c r="A46" s="1371">
        <v>44961</v>
      </c>
      <c r="B46" s="1021">
        <v>44961</v>
      </c>
      <c r="C46" s="9">
        <f ca="1">DATOSAÑO!I45</f>
        <v>309.57999999995809</v>
      </c>
      <c r="D46" s="10">
        <f ca="1">DATOSAÑO!$D45</f>
        <v>5.0008407643388111</v>
      </c>
      <c r="E46" s="11">
        <f ca="1">DATOSAÑO!$G45</f>
        <v>0</v>
      </c>
      <c r="F46" s="9">
        <f ca="1">DATOSAÑO!P45</f>
        <v>145.28000000000247</v>
      </c>
      <c r="G46" s="10">
        <f ca="1">DATOSAÑO!K45</f>
        <v>3.6610377718204692</v>
      </c>
      <c r="H46" s="11">
        <f ca="1">DATOSAÑO!N45</f>
        <v>0</v>
      </c>
      <c r="I46" s="9">
        <f ca="1">DATOSAÑO!Q45</f>
        <v>0</v>
      </c>
      <c r="J46" s="11">
        <f ca="1">DATOSAÑO!R45</f>
        <v>0</v>
      </c>
      <c r="K46" s="9">
        <f ca="1">DATOSAÑO!T45</f>
        <v>0</v>
      </c>
      <c r="L46" s="11">
        <f t="shared" ca="1" si="0"/>
        <v>0</v>
      </c>
      <c r="M46" s="9"/>
      <c r="N46" s="11">
        <f t="shared" si="1"/>
        <v>0</v>
      </c>
      <c r="O46" s="9">
        <f>DATOSAÑO!CT45</f>
        <v>0</v>
      </c>
      <c r="P46" s="9">
        <f>DATOSAÑO!CU45</f>
        <v>0</v>
      </c>
      <c r="Q46" s="9">
        <f ca="1">DATOSAÑO!AD45</f>
        <v>164.68000000005122</v>
      </c>
      <c r="R46" s="11">
        <f ca="1">(Q46*DATOSAÑO!$Z$11)/DATOSAÑO!$Y$11</f>
        <v>2.9673132984626878</v>
      </c>
      <c r="S46" s="9">
        <f ca="1">DATOSAÑO!AF45</f>
        <v>150.52000000001863</v>
      </c>
      <c r="T46" s="11">
        <f ca="1">(S46*DATOSAÑO!$Z$11)/DATOSAÑO!$Y$11</f>
        <v>2.7121690410767556</v>
      </c>
      <c r="U46" s="9">
        <f ca="1">DATOSAÑO!AH45</f>
        <v>19.5</v>
      </c>
      <c r="V46" s="11">
        <f ca="1">(U46*DATOSAÑO!$Z$11)/DATOSAÑO!$Y$11</f>
        <v>0.35136391377219095</v>
      </c>
      <c r="W46" s="9">
        <f ca="1">DATOSAÑO!AI45</f>
        <v>38.760000000002037</v>
      </c>
      <c r="X46" s="11">
        <f ca="1">(W46*DATOSAÑO!$Z$11)/DATOSAÑO!$Y$11</f>
        <v>0.69840334860568398</v>
      </c>
      <c r="Y46" s="9">
        <f ca="1">DATOSAÑO!AJ45</f>
        <v>8.7200000000011642</v>
      </c>
      <c r="Z46" s="11">
        <f ca="1">(Y46*DATOSAÑO!$Z$11)/DATOSAÑO!$Y$11</f>
        <v>0.15712273477404687</v>
      </c>
      <c r="AA46" s="9">
        <f ca="1">DATOSAÑO!AK45</f>
        <v>13.85999999998603</v>
      </c>
      <c r="AB46" s="11">
        <f ca="1">(AA46*DATOSAÑO!$Z$11)/DATOSAÑO!$Y$11</f>
        <v>0.24973865871167478</v>
      </c>
      <c r="AC46" s="9">
        <f ca="1">DATOSAÑO!AL45</f>
        <v>30.539999999919019</v>
      </c>
      <c r="AD46" s="11">
        <f ca="1">(AC46*DATOSAÑO!$Z$11)/DATOSAÑO!$Y$11</f>
        <v>0.55028994495252603</v>
      </c>
      <c r="AE46" s="9">
        <f ca="1">DATOSAÑO!AM45</f>
        <v>9.456999999981333</v>
      </c>
      <c r="AF46" s="11">
        <f ca="1">(AE46*DATOSAÑO!$Z$11)/DATOSAÑO!$Y$11</f>
        <v>0.1704024888480539</v>
      </c>
      <c r="AG46" s="9">
        <f ca="1">DATOSAÑO!AN45</f>
        <v>3.2970000000006205</v>
      </c>
      <c r="AH46" s="11">
        <f ca="1">(AG46*DATOSAÑO!$Z$11)/DATOSAÑO!$Y$11</f>
        <v>5.9407529420878548E-2</v>
      </c>
      <c r="AI46" s="9">
        <f ca="1">DATOSAÑO!BS45</f>
        <v>0</v>
      </c>
      <c r="AJ46" s="11">
        <f ca="1">(AI46*DATOSAÑO!$Z$11)/DATOSAÑO!$Y$11</f>
        <v>0</v>
      </c>
      <c r="AK46" s="9">
        <f ca="1">DATOSAÑO!BV45</f>
        <v>4.5819999999999999</v>
      </c>
      <c r="AL46" s="11">
        <f ca="1">(AK46*DATOSAÑO!$Z$11)/DATOSAÑO!$Y$11</f>
        <v>8.2561510405342514E-2</v>
      </c>
      <c r="AM46" s="9">
        <f ca="1">DATOSAÑO!BY45</f>
        <v>3.6709999999999998</v>
      </c>
      <c r="AN46" s="11">
        <f ca="1">(AM46*DATOSAÑO!$Z$11)/DATOSAÑO!$Y$11</f>
        <v>6.6146509100395545E-2</v>
      </c>
      <c r="AO46" s="9">
        <f ca="1">DATOSAÑO!CF45</f>
        <v>11.168499999991177</v>
      </c>
      <c r="AP46" s="11">
        <f ca="1">(AO46*DATOSAÑO!$Z$11)/DATOSAÑO!$Y$11</f>
        <v>0.20124142928008282</v>
      </c>
      <c r="AQ46" s="9">
        <f ca="1">DATOSAÑO!CL45</f>
        <v>2.1518000000002484</v>
      </c>
      <c r="AR46" s="1300">
        <f ca="1">(AQ46*DATOSAÑO!$Z$11)/DATOSAÑO!$Y$11</f>
        <v>3.8772557418209633E-2</v>
      </c>
      <c r="AS46" s="1334">
        <f t="shared" si="2"/>
        <v>5</v>
      </c>
    </row>
    <row r="47" spans="1:45" ht="15" thickBot="1">
      <c r="A47" s="1371">
        <v>44962</v>
      </c>
      <c r="B47" s="1021">
        <v>44962</v>
      </c>
      <c r="C47" s="9">
        <f ca="1">DATOSAÑO!I46</f>
        <v>304.11000000010245</v>
      </c>
      <c r="D47" s="10">
        <f ca="1">DATOSAÑO!$D46</f>
        <v>4.9562350286791403</v>
      </c>
      <c r="E47" s="11">
        <f ca="1">DATOSAÑO!$G46</f>
        <v>0</v>
      </c>
      <c r="F47" s="9">
        <f ca="1">DATOSAÑO!P46</f>
        <v>147.07999999999811</v>
      </c>
      <c r="G47" s="10">
        <f ca="1">DATOSAÑO!K46</f>
        <v>3.6757160760598349</v>
      </c>
      <c r="H47" s="11">
        <f ca="1">DATOSAÑO!N46</f>
        <v>0</v>
      </c>
      <c r="I47" s="9">
        <f ca="1">DATOSAÑO!Q46</f>
        <v>0</v>
      </c>
      <c r="J47" s="11">
        <f ca="1">DATOSAÑO!R46</f>
        <v>0</v>
      </c>
      <c r="K47" s="9">
        <f ca="1">DATOSAÑO!T46</f>
        <v>0</v>
      </c>
      <c r="L47" s="11">
        <f t="shared" ca="1" si="0"/>
        <v>0</v>
      </c>
      <c r="M47" s="9"/>
      <c r="N47" s="11">
        <f t="shared" si="1"/>
        <v>0</v>
      </c>
      <c r="O47" s="9">
        <f>DATOSAÑO!CT46</f>
        <v>0</v>
      </c>
      <c r="P47" s="9">
        <f>DATOSAÑO!CU46</f>
        <v>0</v>
      </c>
      <c r="Q47" s="9">
        <f ca="1">DATOSAÑO!AD46</f>
        <v>165.71999999997206</v>
      </c>
      <c r="R47" s="11">
        <f ca="1">(Q47*DATOSAÑO!$Z$11)/DATOSAÑO!$Y$11</f>
        <v>2.9860527071957783</v>
      </c>
      <c r="S47" s="9">
        <f ca="1">DATOSAÑO!AF46</f>
        <v>152.85999999998603</v>
      </c>
      <c r="T47" s="11">
        <f ca="1">(S47*DATOSAÑO!$Z$11)/DATOSAÑO!$Y$11</f>
        <v>2.7543327107288311</v>
      </c>
      <c r="U47" s="9">
        <f ca="1">DATOSAÑO!AH46</f>
        <v>10.599999999998545</v>
      </c>
      <c r="V47" s="11">
        <f ca="1">(U47*DATOSAÑO!$Z$11)/DATOSAÑO!$Y$11</f>
        <v>0.19099781979408784</v>
      </c>
      <c r="W47" s="9">
        <f ca="1">DATOSAÑO!AI46</f>
        <v>39.209999999999127</v>
      </c>
      <c r="X47" s="11">
        <f ca="1">(W47*DATOSAÑO!$Z$11)/DATOSAÑO!$Y$11</f>
        <v>0.70651174661575911</v>
      </c>
      <c r="Y47" s="9">
        <f ca="1">DATOSAÑO!AJ46</f>
        <v>8.680000000007567</v>
      </c>
      <c r="Z47" s="11">
        <f ca="1">(Y47*DATOSAÑO!$Z$11)/DATOSAÑO!$Y$11</f>
        <v>0.15640198828437316</v>
      </c>
      <c r="AA47" s="9">
        <f ca="1">DATOSAÑO!AK46</f>
        <v>12.730000000010477</v>
      </c>
      <c r="AB47" s="11">
        <f ca="1">(AA47*DATOSAÑO!$Z$11)/DATOSAÑO!$Y$11</f>
        <v>0.22937757037557296</v>
      </c>
      <c r="AC47" s="9">
        <f ca="1">DATOSAÑO!AL46</f>
        <v>32.550000000135697</v>
      </c>
      <c r="AD47" s="11">
        <f ca="1">(AC47*DATOSAÑO!$Z$11)/DATOSAÑO!$Y$11</f>
        <v>0.5865074560683331</v>
      </c>
      <c r="AE47" s="9">
        <f ca="1">DATOSAÑO!AM46</f>
        <v>9.0479999999918856</v>
      </c>
      <c r="AF47" s="11">
        <f ca="1">(AE47*DATOSAÑO!$Z$11)/DATOSAÑO!$Y$11</f>
        <v>0.16303285599015038</v>
      </c>
      <c r="AG47" s="9">
        <f ca="1">DATOSAÑO!AN46</f>
        <v>4.1399999999996364</v>
      </c>
      <c r="AH47" s="11">
        <f ca="1">(AG47*DATOSAÑO!$Z$11)/DATOSAÑO!$Y$11</f>
        <v>7.45972616931663E-2</v>
      </c>
      <c r="AI47" s="9">
        <f ca="1">DATOSAÑO!BS46</f>
        <v>0</v>
      </c>
      <c r="AJ47" s="11">
        <f ca="1">(AI47*DATOSAÑO!$Z$11)/DATOSAÑO!$Y$11</f>
        <v>0</v>
      </c>
      <c r="AK47" s="9">
        <f ca="1">DATOSAÑO!BV46</f>
        <v>4.5919999999999996</v>
      </c>
      <c r="AL47" s="11">
        <f ca="1">(AK47*DATOSAÑO!$Z$11)/DATOSAÑO!$Y$11</f>
        <v>8.2741697027789787E-2</v>
      </c>
      <c r="AM47" s="9">
        <f ca="1">DATOSAÑO!BY46</f>
        <v>3.78</v>
      </c>
      <c r="AN47" s="11">
        <f ca="1">(AM47*DATOSAÑO!$Z$11)/DATOSAÑO!$Y$11</f>
        <v>6.8110543285070865E-2</v>
      </c>
      <c r="AO47" s="9">
        <f ca="1">DATOSAÑO!CF46</f>
        <v>11.043999999995471</v>
      </c>
      <c r="AP47" s="11">
        <f ca="1">(AO47*DATOSAÑO!$Z$11)/DATOSAÑO!$Y$11</f>
        <v>0.19899810583069158</v>
      </c>
      <c r="AQ47" s="9">
        <f ca="1">DATOSAÑO!CL46</f>
        <v>2.4159999999998547</v>
      </c>
      <c r="AR47" s="1300">
        <f ca="1">(AQ47*DATOSAÑO!$Z$11)/DATOSAÑO!$Y$11</f>
        <v>4.3533087983259611E-2</v>
      </c>
      <c r="AS47" s="1334">
        <f t="shared" si="2"/>
        <v>6</v>
      </c>
    </row>
    <row r="48" spans="1:45" ht="16.5" customHeight="1" thickBot="1">
      <c r="A48" s="1371">
        <v>44963</v>
      </c>
      <c r="B48" s="1021">
        <v>44963</v>
      </c>
      <c r="C48" s="9">
        <f ca="1">DATOSAÑO!I47</f>
        <v>303.55999999993946</v>
      </c>
      <c r="D48" s="10">
        <f ca="1">DATOSAÑO!$D47</f>
        <v>4.9517499912713276</v>
      </c>
      <c r="E48" s="11">
        <f ca="1">DATOSAÑO!$G47</f>
        <v>0</v>
      </c>
      <c r="F48" s="9">
        <f ca="1">DATOSAÑO!P47</f>
        <v>146.54000000000087</v>
      </c>
      <c r="G48" s="10">
        <f ca="1">DATOSAÑO!K47</f>
        <v>3.671312584788037</v>
      </c>
      <c r="H48" s="11">
        <f ca="1">DATOSAÑO!N47</f>
        <v>0</v>
      </c>
      <c r="I48" s="9">
        <f ca="1">DATOSAÑO!Q47</f>
        <v>0</v>
      </c>
      <c r="J48" s="11">
        <f ca="1">DATOSAÑO!R47</f>
        <v>0</v>
      </c>
      <c r="K48" s="9">
        <f ca="1">DATOSAÑO!T47</f>
        <v>0</v>
      </c>
      <c r="L48" s="11">
        <f t="shared" ca="1" si="0"/>
        <v>0</v>
      </c>
      <c r="M48" s="9"/>
      <c r="N48" s="11">
        <f t="shared" si="1"/>
        <v>0</v>
      </c>
      <c r="O48" s="9">
        <f>DATOSAÑO!CT47</f>
        <v>0</v>
      </c>
      <c r="P48" s="9">
        <f>DATOSAÑO!CU47</f>
        <v>0</v>
      </c>
      <c r="Q48" s="9">
        <f ca="1">DATOSAÑO!AD47</f>
        <v>164</v>
      </c>
      <c r="R48" s="11">
        <f ca="1">(Q48*DATOSAÑO!$Z$11)/DATOSAÑO!$Y$11</f>
        <v>2.9550606081353497</v>
      </c>
      <c r="S48" s="9">
        <f ca="1">DATOSAÑO!AF47</f>
        <v>152.42999999999302</v>
      </c>
      <c r="T48" s="11">
        <f ca="1">(S48*DATOSAÑO!$Z$11)/DATOSAÑO!$Y$11</f>
        <v>2.7465846859637235</v>
      </c>
      <c r="U48" s="9">
        <f ca="1">DATOSAÑO!AH47</f>
        <v>9.0999999999985448</v>
      </c>
      <c r="V48" s="11">
        <f ca="1">(U48*DATOSAÑO!$Z$11)/DATOSAÑO!$Y$11</f>
        <v>0.16396982642699626</v>
      </c>
      <c r="W48" s="9">
        <f ca="1">DATOSAÑO!AI47</f>
        <v>40.180000000000291</v>
      </c>
      <c r="X48" s="11">
        <f ca="1">(W48*DATOSAÑO!$Z$11)/DATOSAÑO!$Y$11</f>
        <v>0.72398984899316587</v>
      </c>
      <c r="Y48" s="9">
        <f ca="1">DATOSAÑO!AJ47</f>
        <v>8.9199999999982538</v>
      </c>
      <c r="Z48" s="11">
        <f ca="1">(Y48*DATOSAÑO!$Z$11)/DATOSAÑO!$Y$11</f>
        <v>0.16072646722293998</v>
      </c>
      <c r="AA48" s="9">
        <f ca="1">DATOSAÑO!AK47</f>
        <v>12.64000000001397</v>
      </c>
      <c r="AB48" s="11">
        <f ca="1">(AA48*DATOSAÑO!$Z$11)/DATOSAÑO!$Y$11</f>
        <v>0.22775589077361039</v>
      </c>
      <c r="AC48" s="9">
        <f ca="1">DATOSAÑO!AL47</f>
        <v>34.25999999990745</v>
      </c>
      <c r="AD48" s="11">
        <f ca="1">(AC48*DATOSAÑO!$Z$11)/DATOSAÑO!$Y$11</f>
        <v>0.61731936850270486</v>
      </c>
      <c r="AE48" s="9">
        <f ca="1">DATOSAÑO!AM47</f>
        <v>8.5970000000287747</v>
      </c>
      <c r="AF48" s="11">
        <f ca="1">(AE48*DATOSAÑO!$Z$11)/DATOSAÑO!$Y$11</f>
        <v>0.15490643931844289</v>
      </c>
      <c r="AG48" s="9">
        <f ca="1">DATOSAÑO!AN47</f>
        <v>4.4460000000000726</v>
      </c>
      <c r="AH48" s="11">
        <f ca="1">(AG48*DATOSAÑO!$Z$11)/DATOSAÑO!$Y$11</f>
        <v>8.0110972340060843E-2</v>
      </c>
      <c r="AI48" s="9">
        <f ca="1">DATOSAÑO!BS47</f>
        <v>0</v>
      </c>
      <c r="AJ48" s="11">
        <f ca="1">(AI48*DATOSAÑO!$Z$11)/DATOSAÑO!$Y$11</f>
        <v>0</v>
      </c>
      <c r="AK48" s="9">
        <f ca="1">DATOSAÑO!BV47</f>
        <v>4.5739999999999998</v>
      </c>
      <c r="AL48" s="11">
        <f ca="1">(AK48*DATOSAÑO!$Z$11)/DATOSAÑO!$Y$11</f>
        <v>8.2417361107384693E-2</v>
      </c>
      <c r="AM48" s="9">
        <f ca="1">DATOSAÑO!BY47</f>
        <v>3.6890000000000001</v>
      </c>
      <c r="AN48" s="11">
        <f ca="1">(AM48*DATOSAÑO!$Z$11)/DATOSAÑO!$Y$11</f>
        <v>6.647084502080064E-2</v>
      </c>
      <c r="AO48" s="9">
        <f ca="1">DATOSAÑO!CF47</f>
        <v>10.838500000014351</v>
      </c>
      <c r="AP48" s="11">
        <f ca="1">(AO48*DATOSAÑO!$Z$11)/DATOSAÑO!$Y$11</f>
        <v>0.19529527073974023</v>
      </c>
      <c r="AQ48" s="9">
        <f ca="1">DATOSAÑO!CL47</f>
        <v>2.502400000000029</v>
      </c>
      <c r="AR48" s="1300">
        <f ca="1">(AQ48*DATOSAÑO!$Z$11)/DATOSAÑO!$Y$11</f>
        <v>4.5089900401207222E-2</v>
      </c>
      <c r="AS48" s="1334">
        <f t="shared" si="2"/>
        <v>6</v>
      </c>
    </row>
    <row r="49" spans="1:45" ht="15" thickBot="1">
      <c r="A49" s="1371">
        <v>44964</v>
      </c>
      <c r="B49" s="1021">
        <v>44964</v>
      </c>
      <c r="C49" s="9">
        <f ca="1">DATOSAÑO!I48</f>
        <v>317.76000000000931</v>
      </c>
      <c r="D49" s="10">
        <f ca="1">DATOSAÑO!$D48</f>
        <v>5.0675455024938412</v>
      </c>
      <c r="E49" s="11">
        <f ca="1">DATOSAÑO!$G48</f>
        <v>0</v>
      </c>
      <c r="F49" s="9">
        <f ca="1">DATOSAÑO!P48</f>
        <v>148.81999999999971</v>
      </c>
      <c r="G49" s="10">
        <f ca="1">DATOSAÑO!K48</f>
        <v>3.6899051034912693</v>
      </c>
      <c r="H49" s="11">
        <f ca="1">DATOSAÑO!N48</f>
        <v>0</v>
      </c>
      <c r="I49" s="9">
        <f ca="1">DATOSAÑO!Q48</f>
        <v>0.33100000000013097</v>
      </c>
      <c r="J49" s="11">
        <f ca="1">DATOSAÑO!R48</f>
        <v>39.720000000015716</v>
      </c>
      <c r="K49" s="9">
        <f ca="1">DATOSAÑO!T48</f>
        <v>0.36499999999989541</v>
      </c>
      <c r="L49" s="11">
        <f t="shared" ca="1" si="0"/>
        <v>43.799999999987449</v>
      </c>
      <c r="M49" s="9"/>
      <c r="N49" s="11">
        <f t="shared" si="1"/>
        <v>0</v>
      </c>
      <c r="O49" s="9">
        <f>DATOSAÑO!CT48</f>
        <v>0.3</v>
      </c>
      <c r="P49" s="9">
        <f>DATOSAÑO!CU48</f>
        <v>0.4</v>
      </c>
      <c r="Q49" s="9">
        <f ca="1">DATOSAÑO!AD48</f>
        <v>164.69999999995343</v>
      </c>
      <c r="R49" s="11">
        <f ca="1">(Q49*DATOSAÑO!$Z$11)/DATOSAÑO!$Y$11</f>
        <v>2.9676736717058199</v>
      </c>
      <c r="S49" s="9">
        <f ca="1">DATOSAÑO!AF48</f>
        <v>155.36999999999534</v>
      </c>
      <c r="T49" s="11">
        <f ca="1">(S49*DATOSAÑO!$Z$11)/DATOSAÑO!$Y$11</f>
        <v>2.7995595529632658</v>
      </c>
      <c r="U49" s="9">
        <f ca="1">DATOSAÑO!AH48</f>
        <v>14</v>
      </c>
      <c r="V49" s="11">
        <f ca="1">(U49*DATOSAÑO!$Z$11)/DATOSAÑO!$Y$11</f>
        <v>0.25226127142618837</v>
      </c>
      <c r="W49" s="9">
        <f ca="1">DATOSAÑO!AI48</f>
        <v>42.129999999997381</v>
      </c>
      <c r="X49" s="11">
        <f ca="1">(W49*DATOSAÑO!$Z$11)/DATOSAÑO!$Y$11</f>
        <v>0.75912624037033261</v>
      </c>
      <c r="Y49" s="9">
        <f ca="1">DATOSAÑO!AJ48</f>
        <v>10.380000000004657</v>
      </c>
      <c r="Z49" s="11">
        <f ca="1">(Y49*DATOSAÑO!$Z$11)/DATOSAÑO!$Y$11</f>
        <v>0.18703371410035788</v>
      </c>
      <c r="AA49" s="9">
        <f ca="1">DATOSAÑO!AK48</f>
        <v>14.279999999998836</v>
      </c>
      <c r="AB49" s="11">
        <f ca="1">(AA49*DATOSAÑO!$Z$11)/DATOSAÑO!$Y$11</f>
        <v>0.2573064968546912</v>
      </c>
      <c r="AC49" s="9">
        <f ca="1">DATOSAÑO!AL48</f>
        <v>37.086000000077661</v>
      </c>
      <c r="AD49" s="11">
        <f ca="1">(AC49*DATOSAÑO!$Z$11)/DATOSAÑO!$Y$11</f>
        <v>0.66824010800937239</v>
      </c>
      <c r="AE49" s="9">
        <f ca="1">DATOSAÑO!AM48</f>
        <v>9.3149999999816426</v>
      </c>
      <c r="AF49" s="11">
        <f ca="1">(AE49*DATOSAÑO!$Z$11)/DATOSAÑO!$Y$11</f>
        <v>0.16784383880930814</v>
      </c>
      <c r="AG49" s="9">
        <f ca="1">DATOSAÑO!AN48</f>
        <v>4.3240000000002023</v>
      </c>
      <c r="AH49" s="11">
        <f ca="1">(AG49*DATOSAÑO!$Z$11)/DATOSAÑO!$Y$11</f>
        <v>7.7912695546206404E-2</v>
      </c>
      <c r="AI49" s="9">
        <f ca="1">DATOSAÑO!BS48</f>
        <v>0</v>
      </c>
      <c r="AJ49" s="11">
        <f ca="1">(AI49*DATOSAÑO!$Z$11)/DATOSAÑO!$Y$11</f>
        <v>0</v>
      </c>
      <c r="AK49" s="9">
        <f ca="1">DATOSAÑO!BV48</f>
        <v>4.641</v>
      </c>
      <c r="AL49" s="11">
        <f ca="1">(AK49*DATOSAÑO!$Z$11)/DATOSAÑO!$Y$11</f>
        <v>8.3624611477781455E-2</v>
      </c>
      <c r="AM49" s="9">
        <f ca="1">DATOSAÑO!BY48</f>
        <v>3.6640000000000001</v>
      </c>
      <c r="AN49" s="11">
        <f ca="1">(AM49*DATOSAÑO!$Z$11)/DATOSAÑO!$Y$11</f>
        <v>6.602037846468245E-2</v>
      </c>
      <c r="AO49" s="9">
        <f ca="1">DATOSAÑO!CF48</f>
        <v>11.277499999990713</v>
      </c>
      <c r="AP49" s="11">
        <f ca="1">(AO49*DATOSAÑO!$Z$11)/DATOSAÑO!$Y$11</f>
        <v>0.2032054634647498</v>
      </c>
      <c r="AQ49" s="9">
        <f ca="1">DATOSAÑO!CL48</f>
        <v>2.4956000000000813</v>
      </c>
      <c r="AR49" s="1300">
        <f ca="1">(AQ49*DATOSAÑO!$Z$11)/DATOSAÑO!$Y$11</f>
        <v>4.4967373497944017E-2</v>
      </c>
      <c r="AS49" s="1334">
        <f t="shared" si="2"/>
        <v>6</v>
      </c>
    </row>
    <row r="50" spans="1:45" ht="16.5" customHeight="1" thickBot="1">
      <c r="A50" s="1371">
        <v>44965</v>
      </c>
      <c r="B50" s="1021">
        <v>44965</v>
      </c>
      <c r="C50" s="9">
        <f ca="1">DATOSAÑO!I49</f>
        <v>314</v>
      </c>
      <c r="D50" s="10">
        <f ca="1">DATOSAÑO!$D49</f>
        <v>5.0368841558603492</v>
      </c>
      <c r="E50" s="11">
        <f ca="1">DATOSAÑO!$G49</f>
        <v>0</v>
      </c>
      <c r="F50" s="9">
        <f ca="1">DATOSAÑO!P49</f>
        <v>126</v>
      </c>
      <c r="G50" s="10">
        <f ca="1">DATOSAÑO!K49</f>
        <v>3.503816824189526</v>
      </c>
      <c r="H50" s="11">
        <f ca="1">DATOSAÑO!N49</f>
        <v>0</v>
      </c>
      <c r="I50" s="9">
        <f ca="1">DATOSAÑO!Q49</f>
        <v>0</v>
      </c>
      <c r="J50" s="11">
        <f ca="1">DATOSAÑO!R49</f>
        <v>0</v>
      </c>
      <c r="K50" s="9">
        <f ca="1">DATOSAÑO!T49</f>
        <v>2.2960000000000491</v>
      </c>
      <c r="L50" s="11">
        <f t="shared" ca="1" si="0"/>
        <v>275.52000000000589</v>
      </c>
      <c r="M50" s="9"/>
      <c r="N50" s="11">
        <f t="shared" si="1"/>
        <v>0</v>
      </c>
      <c r="O50" s="9">
        <f>DATOSAÑO!CT49</f>
        <v>0</v>
      </c>
      <c r="P50" s="9">
        <f>DATOSAÑO!CU49</f>
        <v>2.2999999999999998</v>
      </c>
      <c r="Q50" s="9">
        <f ca="1">DATOSAÑO!AD49</f>
        <v>152.80000000004657</v>
      </c>
      <c r="R50" s="11">
        <f ca="1">(Q50*DATOSAÑO!$Z$11)/DATOSAÑO!$Y$11</f>
        <v>2.7532515909952382</v>
      </c>
      <c r="S50" s="9">
        <f ca="1">DATOSAÑO!AF49</f>
        <v>154</v>
      </c>
      <c r="T50" s="11">
        <f ca="1">(S50*DATOSAÑO!$Z$11)/DATOSAÑO!$Y$11</f>
        <v>2.7748739856880724</v>
      </c>
      <c r="U50" s="9">
        <f ca="1">DATOSAÑO!AH49</f>
        <v>9.8000000000029104</v>
      </c>
      <c r="V50" s="11">
        <f ca="1">(U50*DATOSAÑO!$Z$11)/DATOSAÑO!$Y$11</f>
        <v>0.17658288999838434</v>
      </c>
      <c r="W50" s="9">
        <f ca="1">DATOSAÑO!AI49</f>
        <v>42.200000000004366</v>
      </c>
      <c r="X50" s="11">
        <f ca="1">(W50*DATOSAÑO!$Z$11)/DATOSAÑO!$Y$11</f>
        <v>0.76038754672758946</v>
      </c>
      <c r="Y50" s="9">
        <f ca="1">DATOSAÑO!AJ49</f>
        <v>9.7999999999883585</v>
      </c>
      <c r="Z50" s="11">
        <f ca="1">(Y50*DATOSAÑO!$Z$11)/DATOSAÑO!$Y$11</f>
        <v>0.17658288999812211</v>
      </c>
      <c r="AA50" s="9">
        <f ca="1">DATOSAÑO!AK49</f>
        <v>12.699999999982538</v>
      </c>
      <c r="AB50" s="11">
        <f ca="1">(AA50*DATOSAÑO!$Z$11)/DATOSAÑO!$Y$11</f>
        <v>0.22883701050772767</v>
      </c>
      <c r="AC50" s="9">
        <f ca="1">DATOSAÑO!AL49</f>
        <v>36.295999999974583</v>
      </c>
      <c r="AD50" s="11">
        <f ca="1">(AC50*DATOSAÑO!$Z$11)/DATOSAÑO!$Y$11</f>
        <v>0.65400536483418015</v>
      </c>
      <c r="AE50" s="9">
        <f ca="1">DATOSAÑO!AM49</f>
        <v>5.6100000000008095</v>
      </c>
      <c r="AF50" s="11">
        <f ca="1">(AE50*DATOSAÑO!$Z$11)/DATOSAÑO!$Y$11</f>
        <v>0.10108469519293722</v>
      </c>
      <c r="AG50" s="9">
        <f ca="1">DATOSAÑO!AN49</f>
        <v>3.8840000000000909</v>
      </c>
      <c r="AH50" s="11">
        <f ca="1">(AG50*DATOSAÑO!$Z$11)/DATOSAÑO!$Y$11</f>
        <v>6.9984484158524193E-2</v>
      </c>
      <c r="AI50" s="9">
        <f ca="1">DATOSAÑO!BS49</f>
        <v>2.0670000000000002</v>
      </c>
      <c r="AJ50" s="11">
        <f ca="1">(AI50*DATOSAÑO!$Z$11)/DATOSAÑO!$Y$11</f>
        <v>3.7244574859852247E-2</v>
      </c>
      <c r="AK50" s="9">
        <f ca="1">DATOSAÑO!BV49</f>
        <v>4.67</v>
      </c>
      <c r="AL50" s="11">
        <f ca="1">(AK50*DATOSAÑO!$Z$11)/DATOSAÑO!$Y$11</f>
        <v>8.4147152682878562E-2</v>
      </c>
      <c r="AM50" s="9">
        <f ca="1">DATOSAÑO!BY49</f>
        <v>1.2529999999999999</v>
      </c>
      <c r="AN50" s="11">
        <f ca="1">(AM50*DATOSAÑO!$Z$11)/DATOSAÑO!$Y$11</f>
        <v>2.257738379264386E-2</v>
      </c>
      <c r="AO50" s="9">
        <f ca="1">DATOSAÑO!CF49</f>
        <v>9.0050000000002228</v>
      </c>
      <c r="AP50" s="11">
        <f ca="1">(AO50*DATOSAÑO!$Z$11)/DATOSAÑO!$Y$11</f>
        <v>0.16225805351377734</v>
      </c>
      <c r="AQ50" s="9">
        <f ca="1">DATOSAÑO!CL49</f>
        <v>2.5696000000000367</v>
      </c>
      <c r="AR50" s="1300">
        <f ca="1">(AQ50*DATOSAÑO!$Z$11)/DATOSAÑO!$Y$11</f>
        <v>4.630075450405307E-2</v>
      </c>
      <c r="AS50" s="1334">
        <f t="shared" si="2"/>
        <v>6</v>
      </c>
    </row>
    <row r="51" spans="1:45" ht="15" thickBot="1">
      <c r="A51" s="1371">
        <v>44966</v>
      </c>
      <c r="B51" s="1021">
        <v>44966</v>
      </c>
      <c r="C51" s="9">
        <f ca="1">DATOSAÑO!I50</f>
        <v>303</v>
      </c>
      <c r="D51" s="10">
        <f ca="1">DATOSAÑO!$D50</f>
        <v>4.9471834077306731</v>
      </c>
      <c r="E51" s="11">
        <f ca="1">DATOSAÑO!$G50</f>
        <v>0</v>
      </c>
      <c r="F51" s="9">
        <f ca="1">DATOSAÑO!P50</f>
        <v>146</v>
      </c>
      <c r="G51" s="10">
        <f ca="1">DATOSAÑO!K50</f>
        <v>3.6669090935162094</v>
      </c>
      <c r="H51" s="11">
        <f ca="1">DATOSAÑO!N50</f>
        <v>0</v>
      </c>
      <c r="I51" s="9">
        <f ca="1">DATOSAÑO!Q50</f>
        <v>0</v>
      </c>
      <c r="J51" s="11">
        <f ca="1">DATOSAÑO!R50</f>
        <v>0</v>
      </c>
      <c r="K51" s="9">
        <f ca="1">DATOSAÑO!T50</f>
        <v>0</v>
      </c>
      <c r="L51" s="11">
        <f t="shared" ca="1" si="0"/>
        <v>0</v>
      </c>
      <c r="M51" s="9"/>
      <c r="N51" s="11">
        <f t="shared" si="1"/>
        <v>0</v>
      </c>
      <c r="O51" s="9">
        <f>DATOSAÑO!CT50</f>
        <v>0</v>
      </c>
      <c r="P51" s="9">
        <f>DATOSAÑO!CU50</f>
        <v>0</v>
      </c>
      <c r="Q51" s="9">
        <f ca="1">DATOSAÑO!AD50</f>
        <v>163.59999999997672</v>
      </c>
      <c r="R51" s="11">
        <f ca="1">(Q51*DATOSAÑO!$Z$11)/DATOSAÑO!$Y$11</f>
        <v>2.947853143237039</v>
      </c>
      <c r="S51" s="9">
        <f ca="1">DATOSAÑO!AF50</f>
        <v>152</v>
      </c>
      <c r="T51" s="11">
        <f ca="1">(S51*DATOSAÑO!$Z$11)/DATOSAÑO!$Y$11</f>
        <v>2.7388366611986168</v>
      </c>
      <c r="U51" s="9">
        <f ca="1">DATOSAÑO!AH50</f>
        <v>9.5999999999985448</v>
      </c>
      <c r="V51" s="11">
        <f ca="1">(U51*DATOSAÑO!$Z$11)/DATOSAÑO!$Y$11</f>
        <v>0.17297915754936011</v>
      </c>
      <c r="W51" s="9">
        <f ca="1">DATOSAÑO!AI50</f>
        <v>42.69999999999709</v>
      </c>
      <c r="X51" s="11">
        <f ca="1">(W51*DATOSAÑO!$Z$11)/DATOSAÑO!$Y$11</f>
        <v>0.76939687784982214</v>
      </c>
      <c r="Y51" s="9">
        <f ca="1">DATOSAÑO!AJ50</f>
        <v>10.100000000005821</v>
      </c>
      <c r="Z51" s="11">
        <f ca="1">(Y51*DATOSAÑO!$Z$11)/DATOSAÑO!$Y$11</f>
        <v>0.18198848867185508</v>
      </c>
      <c r="AA51" s="9">
        <f ca="1">DATOSAÑO!AK50</f>
        <v>12.800000000017462</v>
      </c>
      <c r="AB51" s="11">
        <f ca="1">(AA51*DATOSAÑO!$Z$11)/DATOSAÑO!$Y$11</f>
        <v>0.23063887673282976</v>
      </c>
      <c r="AC51" s="9">
        <f ca="1">DATOSAÑO!AL50</f>
        <v>28.900000000005093</v>
      </c>
      <c r="AD51" s="11">
        <f ca="1">(AC51*DATOSAÑO!$Z$11)/DATOSAÑO!$Y$11</f>
        <v>0.5207393388727235</v>
      </c>
      <c r="AE51" s="9">
        <f ca="1">DATOSAÑO!AM50</f>
        <v>10.759999999999195</v>
      </c>
      <c r="AF51" s="11">
        <f ca="1">(AE51*DATOSAÑO!$Z$11)/DATOSAÑO!$Y$11</f>
        <v>0.193880805753256</v>
      </c>
      <c r="AG51" s="9">
        <f ca="1">DATOSAÑO!AN50</f>
        <v>3.4379999999997226</v>
      </c>
      <c r="AH51" s="11">
        <f ca="1">(AG51*DATOSAÑO!$Z$11)/DATOSAÑO!$Y$11</f>
        <v>6.1948160797368979E-2</v>
      </c>
      <c r="AI51" s="9">
        <f ca="1">DATOSAÑO!BS50</f>
        <v>2.7839999999999998</v>
      </c>
      <c r="AJ51" s="11">
        <f ca="1">(AI51*DATOSAÑO!$Z$11)/DATOSAÑO!$Y$11</f>
        <v>5.0163955689322026E-2</v>
      </c>
      <c r="AK51" s="9">
        <f ca="1">DATOSAÑO!BV50</f>
        <v>4.726</v>
      </c>
      <c r="AL51" s="11">
        <f ca="1">(AK51*DATOSAÑO!$Z$11)/DATOSAÑO!$Y$11</f>
        <v>8.5156197768583311E-2</v>
      </c>
      <c r="AM51" s="9">
        <f ca="1">DATOSAÑO!BY50</f>
        <v>0</v>
      </c>
      <c r="AN51" s="11">
        <f ca="1">(AM51*DATOSAÑO!$Z$11)/DATOSAÑO!$Y$11</f>
        <v>0</v>
      </c>
      <c r="AO51" s="9">
        <f ca="1">DATOSAÑO!CF50</f>
        <v>11.479999999999961</v>
      </c>
      <c r="AP51" s="11">
        <f ca="1">(AO51*DATOSAÑO!$Z$11)/DATOSAÑO!$Y$11</f>
        <v>0.2068542425694738</v>
      </c>
      <c r="AQ51" s="9">
        <f ca="1">DATOSAÑO!CL50</f>
        <v>2.8671999999998894</v>
      </c>
      <c r="AR51" s="1300">
        <f ca="1">(AQ51*DATOSAÑO!$Z$11)/DATOSAÑO!$Y$11</f>
        <v>5.1663108388081393E-2</v>
      </c>
      <c r="AS51" s="1334">
        <f t="shared" si="2"/>
        <v>6</v>
      </c>
    </row>
    <row r="52" spans="1:45" ht="16.5" customHeight="1" thickBot="1">
      <c r="A52" s="1371">
        <v>44967</v>
      </c>
      <c r="B52" s="1021">
        <v>44967</v>
      </c>
      <c r="C52" s="9">
        <f ca="1">DATOSAÑO!I51</f>
        <v>290</v>
      </c>
      <c r="D52" s="10">
        <f ca="1">DATOSAÑO!$D51</f>
        <v>4.8411734326683291</v>
      </c>
      <c r="E52" s="11">
        <f ca="1">DATOSAÑO!$G51</f>
        <v>0</v>
      </c>
      <c r="F52" s="9">
        <f ca="1">DATOSAÑO!P51</f>
        <v>150</v>
      </c>
      <c r="G52" s="10">
        <f ca="1">DATOSAÑO!K51</f>
        <v>3.6995275473815461</v>
      </c>
      <c r="H52" s="11">
        <f ca="1">DATOSAÑO!N51</f>
        <v>0</v>
      </c>
      <c r="I52" s="9">
        <f ca="1">DATOSAÑO!Q51</f>
        <v>0</v>
      </c>
      <c r="J52" s="11">
        <f ca="1">DATOSAÑO!R51</f>
        <v>0</v>
      </c>
      <c r="K52" s="9">
        <f ca="1">DATOSAÑO!T51</f>
        <v>0</v>
      </c>
      <c r="L52" s="11">
        <f t="shared" ca="1" si="0"/>
        <v>0</v>
      </c>
      <c r="M52" s="9"/>
      <c r="N52" s="11">
        <f t="shared" si="1"/>
        <v>0</v>
      </c>
      <c r="O52" s="9">
        <f>DATOSAÑO!CT51</f>
        <v>0</v>
      </c>
      <c r="P52" s="9">
        <f>DATOSAÑO!CU51</f>
        <v>0</v>
      </c>
      <c r="Q52" s="9">
        <f ca="1">DATOSAÑO!AD51</f>
        <v>165</v>
      </c>
      <c r="R52" s="11">
        <f ca="1">(Q52*DATOSAÑO!$Z$11)/DATOSAÑO!$Y$11</f>
        <v>2.9730792703800777</v>
      </c>
      <c r="S52" s="9">
        <f ca="1">DATOSAÑO!AF51</f>
        <v>140</v>
      </c>
      <c r="T52" s="11">
        <f ca="1">(S52*DATOSAÑO!$Z$11)/DATOSAÑO!$Y$11</f>
        <v>2.5226127142618835</v>
      </c>
      <c r="U52" s="9">
        <f ca="1">DATOSAÑO!AH51</f>
        <v>9.1999999999970896</v>
      </c>
      <c r="V52" s="11">
        <f ca="1">(U52*DATOSAÑO!$Z$11)/DATOSAÑO!$Y$11</f>
        <v>0.16577169265144279</v>
      </c>
      <c r="W52" s="9">
        <f ca="1">DATOSAÑO!AI51</f>
        <v>43.900000000001455</v>
      </c>
      <c r="X52" s="11">
        <f ca="1">(W52*DATOSAÑO!$Z$11)/DATOSAÑO!$Y$11</f>
        <v>0.79101927254357418</v>
      </c>
      <c r="Y52" s="9">
        <f ca="1">DATOSAÑO!AJ51</f>
        <v>9.6999999999970896</v>
      </c>
      <c r="Z52" s="11">
        <f ca="1">(Y52*DATOSAÑO!$Z$11)/DATOSAÑO!$Y$11</f>
        <v>0.17478102377380664</v>
      </c>
      <c r="AA52" s="9">
        <f ca="1">DATOSAÑO!AK51</f>
        <v>12.5</v>
      </c>
      <c r="AB52" s="11">
        <f ca="1">(AA52*DATOSAÑO!$Z$11)/DATOSAÑO!$Y$11</f>
        <v>0.22523327805909676</v>
      </c>
      <c r="AC52" s="9">
        <f ca="1">DATOSAÑO!AL51</f>
        <v>32.800000000004729</v>
      </c>
      <c r="AD52" s="11">
        <f ca="1">(AC52*DATOSAÑO!$Z$11)/DATOSAÑO!$Y$11</f>
        <v>0.59101212162715522</v>
      </c>
      <c r="AE52" s="9">
        <f ca="1">DATOSAÑO!AM51</f>
        <v>11.703999999999727</v>
      </c>
      <c r="AF52" s="11">
        <f ca="1">(AE52*DATOSAÑO!$Z$11)/DATOSAÑO!$Y$11</f>
        <v>0.21089042291228857</v>
      </c>
      <c r="AG52" s="9">
        <f ca="1">DATOSAÑO!AN51</f>
        <v>3.0360000000000911</v>
      </c>
      <c r="AH52" s="11">
        <f ca="1">(AG52*DATOSAÑO!$Z$11)/DATOSAÑO!$Y$11</f>
        <v>5.4704658574995069E-2</v>
      </c>
      <c r="AI52" s="9">
        <f ca="1">DATOSAÑO!BS51</f>
        <v>0</v>
      </c>
      <c r="AJ52" s="11">
        <f ca="1">(AI52*DATOSAÑO!$Z$11)/DATOSAÑO!$Y$11</f>
        <v>0</v>
      </c>
      <c r="AK52" s="9">
        <f ca="1">DATOSAÑO!BV51</f>
        <v>4.5960000000000001</v>
      </c>
      <c r="AL52" s="11">
        <f ca="1">(AK52*DATOSAÑO!$Z$11)/DATOSAÑO!$Y$11</f>
        <v>8.2813771676768705E-2</v>
      </c>
      <c r="AM52" s="9">
        <f ca="1">DATOSAÑO!BY51</f>
        <v>0</v>
      </c>
      <c r="AN52" s="11">
        <f ca="1">(AM52*DATOSAÑO!$Z$11)/DATOSAÑO!$Y$11</f>
        <v>0</v>
      </c>
      <c r="AO52" s="9">
        <f ca="1">DATOSAÑO!CF51</f>
        <v>12.051999999999682</v>
      </c>
      <c r="AP52" s="11">
        <f ca="1">(AO52*DATOSAÑO!$Z$11)/DATOSAÑO!$Y$11</f>
        <v>0.21716091737345303</v>
      </c>
      <c r="AQ52" s="9">
        <f ca="1">DATOSAÑO!CL51</f>
        <v>2.5784000000000367</v>
      </c>
      <c r="AR52" s="1300">
        <f ca="1">(AQ52*DATOSAÑO!$Z$11)/DATOSAÑO!$Y$11</f>
        <v>4.645931873180667E-2</v>
      </c>
      <c r="AS52" s="1334">
        <f t="shared" si="2"/>
        <v>6</v>
      </c>
    </row>
    <row r="53" spans="1:45" ht="15" thickBot="1">
      <c r="A53" s="1371">
        <v>44968</v>
      </c>
      <c r="B53" s="1021">
        <v>44968</v>
      </c>
      <c r="C53" s="9">
        <f ca="1">DATOSAÑO!I52</f>
        <v>284</v>
      </c>
      <c r="D53" s="10">
        <f ca="1">DATOSAÑO!$D52</f>
        <v>4.7922457518703245</v>
      </c>
      <c r="E53" s="11">
        <f ca="1">DATOSAÑO!$G52</f>
        <v>0</v>
      </c>
      <c r="F53" s="9">
        <f ca="1">DATOSAÑO!P52</f>
        <v>148</v>
      </c>
      <c r="G53" s="10">
        <f ca="1">DATOSAÑO!K52</f>
        <v>3.6832183204488778</v>
      </c>
      <c r="H53" s="11">
        <f ca="1">DATOSAÑO!N52</f>
        <v>0</v>
      </c>
      <c r="I53" s="9">
        <f ca="1">DATOSAÑO!Q52</f>
        <v>0</v>
      </c>
      <c r="J53" s="11">
        <f ca="1">DATOSAÑO!R52</f>
        <v>0</v>
      </c>
      <c r="K53" s="9">
        <f ca="1">DATOSAÑO!T52</f>
        <v>0</v>
      </c>
      <c r="L53" s="11">
        <f t="shared" ca="1" si="0"/>
        <v>0</v>
      </c>
      <c r="M53" s="9"/>
      <c r="N53" s="11">
        <f t="shared" si="1"/>
        <v>0</v>
      </c>
      <c r="O53" s="9">
        <f>DATOSAÑO!CT52</f>
        <v>0</v>
      </c>
      <c r="P53" s="9">
        <f>DATOSAÑO!CU52</f>
        <v>0</v>
      </c>
      <c r="Q53" s="9">
        <f ca="1">DATOSAÑO!AD52</f>
        <v>166</v>
      </c>
      <c r="R53" s="11">
        <f ca="1">(Q53*DATOSAÑO!$Z$11)/DATOSAÑO!$Y$11</f>
        <v>2.9910979326248053</v>
      </c>
      <c r="S53" s="9">
        <f ca="1">DATOSAÑO!AF52</f>
        <v>132</v>
      </c>
      <c r="T53" s="11">
        <f ca="1">(S53*DATOSAÑO!$Z$11)/DATOSAÑO!$Y$11</f>
        <v>2.3784634163040619</v>
      </c>
      <c r="U53" s="9">
        <f ca="1">DATOSAÑO!AH52</f>
        <v>10</v>
      </c>
      <c r="V53" s="11">
        <f ca="1">(U53*DATOSAÑO!$Z$11)/DATOSAÑO!$Y$11</f>
        <v>0.18018662244727743</v>
      </c>
      <c r="W53" s="9">
        <f ca="1">DATOSAÑO!AI52</f>
        <v>42.900000000001455</v>
      </c>
      <c r="X53" s="11">
        <f ca="1">(W53*DATOSAÑO!$Z$11)/DATOSAÑO!$Y$11</f>
        <v>0.77300061029884637</v>
      </c>
      <c r="Y53" s="9">
        <f ca="1">DATOSAÑO!AJ52</f>
        <v>10.100000000005821</v>
      </c>
      <c r="Z53" s="11">
        <f ca="1">(Y53*DATOSAÑO!$Z$11)/DATOSAÑO!$Y$11</f>
        <v>0.18198848867185508</v>
      </c>
      <c r="AA53" s="9">
        <f ca="1">DATOSAÑO!AK52</f>
        <v>15</v>
      </c>
      <c r="AB53" s="11">
        <f ca="1">(AA53*DATOSAÑO!$Z$11)/DATOSAÑO!$Y$11</f>
        <v>0.27027993367091613</v>
      </c>
      <c r="AC53" s="9">
        <f ca="1">DATOSAÑO!AL52</f>
        <v>32.599999999991326</v>
      </c>
      <c r="AD53" s="11">
        <f ca="1">(AC53*DATOSAÑO!$Z$11)/DATOSAÑO!$Y$11</f>
        <v>0.58740838917796812</v>
      </c>
      <c r="AE53" s="9">
        <f ca="1">DATOSAÑO!AM52</f>
        <v>8.9860000000011802</v>
      </c>
      <c r="AF53" s="11">
        <f ca="1">(AE53*DATOSAÑO!$Z$11)/DATOSAÑO!$Y$11</f>
        <v>0.16191569893114477</v>
      </c>
      <c r="AG53" s="9">
        <f ca="1">DATOSAÑO!AN52</f>
        <v>2.2359999999999092</v>
      </c>
      <c r="AH53" s="11">
        <f ca="1">(AG53*DATOSAÑO!$Z$11)/DATOSAÑO!$Y$11</f>
        <v>4.0289728779209596E-2</v>
      </c>
      <c r="AI53" s="9">
        <f ca="1">DATOSAÑO!BS52</f>
        <v>0</v>
      </c>
      <c r="AJ53" s="11">
        <f ca="1">(AI53*DATOSAÑO!$Z$11)/DATOSAÑO!$Y$11</f>
        <v>0</v>
      </c>
      <c r="AK53" s="9">
        <f ca="1">DATOSAÑO!BV52</f>
        <v>4.7140000000000004</v>
      </c>
      <c r="AL53" s="11">
        <f ca="1">(AK53*DATOSAÑO!$Z$11)/DATOSAÑO!$Y$11</f>
        <v>8.4939973821646586E-2</v>
      </c>
      <c r="AM53" s="9">
        <f ca="1">DATOSAÑO!BY52</f>
        <v>0</v>
      </c>
      <c r="AN53" s="11">
        <f ca="1">(AM53*DATOSAÑO!$Z$11)/DATOSAÑO!$Y$11</f>
        <v>0</v>
      </c>
      <c r="AO53" s="9">
        <f ca="1">DATOSAÑO!CF52</f>
        <v>10.593000000000954</v>
      </c>
      <c r="AP53" s="11">
        <f ca="1">(AO53*DATOSAÑO!$Z$11)/DATOSAÑO!$Y$11</f>
        <v>0.19087168915841815</v>
      </c>
      <c r="AQ53" s="9">
        <f ca="1">DATOSAÑO!CL52</f>
        <v>2.2583999999999635</v>
      </c>
      <c r="AR53" s="1300">
        <f ca="1">(AQ53*DATOSAÑO!$Z$11)/DATOSAÑO!$Y$11</f>
        <v>4.0693346813492473E-2</v>
      </c>
      <c r="AS53" s="1334">
        <f t="shared" si="2"/>
        <v>6</v>
      </c>
    </row>
    <row r="54" spans="1:45" ht="16.5" customHeight="1" thickBot="1">
      <c r="A54" s="1371">
        <v>44969</v>
      </c>
      <c r="B54" s="1021">
        <v>44969</v>
      </c>
      <c r="C54" s="9">
        <f ca="1">DATOSAÑO!I53</f>
        <v>288</v>
      </c>
      <c r="D54" s="10">
        <f ca="1">DATOSAÑO!$D53</f>
        <v>4.8248642057356612</v>
      </c>
      <c r="E54" s="11">
        <f ca="1">DATOSAÑO!$G53</f>
        <v>0</v>
      </c>
      <c r="F54" s="9">
        <f ca="1">DATOSAÑO!P53</f>
        <v>150</v>
      </c>
      <c r="G54" s="10">
        <f ca="1">DATOSAÑO!K53</f>
        <v>3.6954502406483791</v>
      </c>
      <c r="H54" s="11">
        <f ca="1">DATOSAÑO!N53</f>
        <v>0</v>
      </c>
      <c r="I54" s="9">
        <f ca="1">DATOSAÑO!Q53</f>
        <v>0</v>
      </c>
      <c r="J54" s="11">
        <f ca="1">DATOSAÑO!R53</f>
        <v>0</v>
      </c>
      <c r="K54" s="9">
        <f ca="1">DATOSAÑO!T53</f>
        <v>0</v>
      </c>
      <c r="L54" s="11">
        <f t="shared" ca="1" si="0"/>
        <v>0</v>
      </c>
      <c r="M54" s="9"/>
      <c r="N54" s="11">
        <f t="shared" si="1"/>
        <v>0</v>
      </c>
      <c r="O54" s="9">
        <f>DATOSAÑO!CT53</f>
        <v>0</v>
      </c>
      <c r="P54" s="9">
        <f>DATOSAÑO!CU53</f>
        <v>0</v>
      </c>
      <c r="Q54" s="9">
        <f ca="1">DATOSAÑO!AD53</f>
        <v>160</v>
      </c>
      <c r="R54" s="11">
        <f ca="1">(Q54*DATOSAÑO!$Z$11)/DATOSAÑO!$Y$11</f>
        <v>2.8829859591564388</v>
      </c>
      <c r="S54" s="9">
        <f ca="1">DATOSAÑO!AF53</f>
        <v>142</v>
      </c>
      <c r="T54" s="11">
        <f ca="1">(S54*DATOSAÑO!$Z$11)/DATOSAÑO!$Y$11</f>
        <v>2.5586500387513391</v>
      </c>
      <c r="U54" s="9">
        <f ca="1">DATOSAÑO!AH53</f>
        <v>8.5999999999985448</v>
      </c>
      <c r="V54" s="11">
        <f ca="1">(U54*DATOSAÑO!$Z$11)/DATOSAÑO!$Y$11</f>
        <v>0.15496049530463235</v>
      </c>
      <c r="W54" s="9">
        <f ca="1">DATOSAÑO!AI53</f>
        <v>42.299999999995634</v>
      </c>
      <c r="X54" s="11">
        <f ca="1">(W54*DATOSAÑO!$Z$11)/DATOSAÑO!$Y$11</f>
        <v>0.7621894129519049</v>
      </c>
      <c r="Y54" s="9">
        <f ca="1">DATOSAÑO!AJ53</f>
        <v>8.3000000000029104</v>
      </c>
      <c r="Z54" s="11">
        <f ca="1">(Y54*DATOSAÑO!$Z$11)/DATOSAÑO!$Y$11</f>
        <v>0.14955489663129271</v>
      </c>
      <c r="AA54" s="9">
        <f ca="1">DATOSAÑO!AK53</f>
        <v>16.099999999976717</v>
      </c>
      <c r="AB54" s="11">
        <f ca="1">(AA54*DATOSAÑO!$Z$11)/DATOSAÑO!$Y$11</f>
        <v>0.29010046213969715</v>
      </c>
      <c r="AC54" s="9">
        <f ca="1">DATOSAÑO!AL53</f>
        <v>33.300000000028376</v>
      </c>
      <c r="AD54" s="11">
        <f ca="1">(AC54*DATOSAÑO!$Z$11)/DATOSAÑO!$Y$11</f>
        <v>0.60002145274994512</v>
      </c>
      <c r="AE54" s="9">
        <f ca="1">DATOSAÑO!AM53</f>
        <v>10.051999999997724</v>
      </c>
      <c r="AF54" s="11">
        <f ca="1">(AE54*DATOSAÑO!$Z$11)/DATOSAÑO!$Y$11</f>
        <v>0.18112359288396224</v>
      </c>
      <c r="AG54" s="9">
        <f ca="1">DATOSAÑO!AN53</f>
        <v>2.5940000000004551</v>
      </c>
      <c r="AH54" s="11">
        <f ca="1">(AG54*DATOSAÑO!$Z$11)/DATOSAÑO!$Y$11</f>
        <v>4.6740409862831962E-2</v>
      </c>
      <c r="AI54" s="9">
        <f ca="1">DATOSAÑO!BS53</f>
        <v>2.2559999999999998</v>
      </c>
      <c r="AJ54" s="11">
        <f ca="1">(AI54*DATOSAÑO!$Z$11)/DATOSAÑO!$Y$11</f>
        <v>4.065010202410578E-2</v>
      </c>
      <c r="AK54" s="9">
        <f ca="1">DATOSAÑO!BV53</f>
        <v>4.6920000000000002</v>
      </c>
      <c r="AL54" s="11">
        <f ca="1">(AK54*DATOSAÑO!$Z$11)/DATOSAÑO!$Y$11</f>
        <v>8.4543563252262574E-2</v>
      </c>
      <c r="AM54" s="9">
        <f ca="1">DATOSAÑO!BY53</f>
        <v>0</v>
      </c>
      <c r="AN54" s="11">
        <f ca="1">(AM54*DATOSAÑO!$Z$11)/DATOSAÑO!$Y$11</f>
        <v>0</v>
      </c>
      <c r="AO54" s="9">
        <f ca="1">DATOSAÑO!CF53</f>
        <v>11.425999999998499</v>
      </c>
      <c r="AP54" s="11">
        <f ca="1">(AO54*DATOSAÑO!$Z$11)/DATOSAÑO!$Y$11</f>
        <v>0.20588123480823214</v>
      </c>
      <c r="AQ54" s="9">
        <f ca="1">DATOSAÑO!CL53</f>
        <v>2.4436000000001821</v>
      </c>
      <c r="AR54" s="1300">
        <f ca="1">(AQ54*DATOSAÑO!$Z$11)/DATOSAÑO!$Y$11</f>
        <v>4.403040306121999E-2</v>
      </c>
      <c r="AS54" s="1334">
        <f t="shared" si="2"/>
        <v>7</v>
      </c>
    </row>
    <row r="55" spans="1:45" ht="15" thickBot="1">
      <c r="A55" s="1371">
        <v>44970</v>
      </c>
      <c r="B55" s="1021">
        <v>44970</v>
      </c>
      <c r="C55" s="9">
        <f ca="1">DATOSAÑO!I54</f>
        <v>282</v>
      </c>
      <c r="D55" s="10">
        <f ca="1">DATOSAÑO!$D54</f>
        <v>4.7759365249376557</v>
      </c>
      <c r="E55" s="11">
        <f ca="1">DATOSAÑO!$G54</f>
        <v>0</v>
      </c>
      <c r="F55" s="9">
        <f ca="1">DATOSAÑO!P54</f>
        <v>164</v>
      </c>
      <c r="G55" s="10">
        <f ca="1">DATOSAÑO!K54</f>
        <v>3.813692135910224</v>
      </c>
      <c r="H55" s="11">
        <f ca="1">DATOSAÑO!N54</f>
        <v>0</v>
      </c>
      <c r="I55" s="9">
        <f ca="1">DATOSAÑO!Q54</f>
        <v>0</v>
      </c>
      <c r="J55" s="11">
        <f ca="1">DATOSAÑO!R54</f>
        <v>0</v>
      </c>
      <c r="K55" s="9">
        <f ca="1">DATOSAÑO!T54</f>
        <v>0</v>
      </c>
      <c r="L55" s="11">
        <f t="shared" ca="1" si="0"/>
        <v>0</v>
      </c>
      <c r="M55" s="9"/>
      <c r="N55" s="11">
        <f t="shared" si="1"/>
        <v>0</v>
      </c>
      <c r="O55" s="9">
        <f>DATOSAÑO!CT54</f>
        <v>0</v>
      </c>
      <c r="P55" s="9">
        <f>DATOSAÑO!CU54</f>
        <v>0</v>
      </c>
      <c r="Q55" s="9">
        <f ca="1">DATOSAÑO!AD54</f>
        <v>162</v>
      </c>
      <c r="R55" s="11">
        <f ca="1">(Q55*DATOSAÑO!$Z$11)/DATOSAÑO!$Y$11</f>
        <v>2.919023283645894</v>
      </c>
      <c r="S55" s="9">
        <f ca="1">DATOSAÑO!AF54</f>
        <v>146</v>
      </c>
      <c r="T55" s="11">
        <f ca="1">(S55*DATOSAÑO!$Z$11)/DATOSAÑO!$Y$11</f>
        <v>2.6307246877302504</v>
      </c>
      <c r="U55" s="9">
        <f ca="1">DATOSAÑO!AH54</f>
        <v>9</v>
      </c>
      <c r="V55" s="11">
        <f ca="1">(U55*DATOSAÑO!$Z$11)/DATOSAÑO!$Y$11</f>
        <v>0.16216796020254967</v>
      </c>
      <c r="W55" s="9">
        <f ca="1">DATOSAÑO!AI54</f>
        <v>42.69999999999709</v>
      </c>
      <c r="X55" s="11">
        <f ca="1">(W55*DATOSAÑO!$Z$11)/DATOSAÑO!$Y$11</f>
        <v>0.76939687784982214</v>
      </c>
      <c r="Y55" s="9">
        <f ca="1">DATOSAÑO!AJ54</f>
        <v>8.7999999999883585</v>
      </c>
      <c r="Z55" s="11">
        <f ca="1">(Y55*DATOSAÑO!$Z$11)/DATOSAÑO!$Y$11</f>
        <v>0.15856422775339435</v>
      </c>
      <c r="AA55" s="9">
        <f ca="1">DATOSAÑO!AK54</f>
        <v>15.900000000023283</v>
      </c>
      <c r="AB55" s="11">
        <f ca="1">(AA55*DATOSAÑO!$Z$11)/DATOSAÑO!$Y$11</f>
        <v>0.28649672969159062</v>
      </c>
      <c r="AC55" s="9">
        <f ca="1">DATOSAÑO!AL54</f>
        <v>34.399999999990541</v>
      </c>
      <c r="AD55" s="11">
        <f ca="1">(AC55*DATOSAÑO!$Z$11)/DATOSAÑO!$Y$11</f>
        <v>0.6198419812184639</v>
      </c>
      <c r="AE55" s="9">
        <f ca="1">DATOSAÑO!AM54</f>
        <v>10.268000000000722</v>
      </c>
      <c r="AF55" s="11">
        <f ca="1">(AE55*DATOSAÑO!$Z$11)/DATOSAÑO!$Y$11</f>
        <v>0.18501562392887747</v>
      </c>
      <c r="AG55" s="9">
        <f ca="1">DATOSAÑO!AN54</f>
        <v>2.7039999999994544</v>
      </c>
      <c r="AH55" s="11">
        <f ca="1">(AG55*DATOSAÑO!$Z$11)/DATOSAÑO!$Y$11</f>
        <v>4.8722462709733981E-2</v>
      </c>
      <c r="AI55" s="9">
        <f ca="1">DATOSAÑO!BS54</f>
        <v>1.3939999999999999</v>
      </c>
      <c r="AJ55" s="11">
        <f ca="1">(AI55*DATOSAÑO!$Z$11)/DATOSAÑO!$Y$11</f>
        <v>2.5118015169150472E-2</v>
      </c>
      <c r="AK55" s="9">
        <f ca="1">DATOSAÑO!BV54</f>
        <v>5.0380000000000003</v>
      </c>
      <c r="AL55" s="11">
        <f ca="1">(AK55*DATOSAÑO!$Z$11)/DATOSAÑO!$Y$11</f>
        <v>9.0778020388938369E-2</v>
      </c>
      <c r="AM55" s="9">
        <f ca="1">DATOSAÑO!BY54</f>
        <v>0</v>
      </c>
      <c r="AN55" s="11">
        <f ca="1">(AM55*DATOSAÑO!$Z$11)/DATOSAÑO!$Y$11</f>
        <v>0</v>
      </c>
      <c r="AO55" s="9">
        <f ca="1">DATOSAÑO!CF54</f>
        <v>11.534000000000907</v>
      </c>
      <c r="AP55" s="11">
        <f ca="1">(AO55*DATOSAÑO!$Z$11)/DATOSAÑO!$Y$11</f>
        <v>0.20782725033070612</v>
      </c>
      <c r="AQ55" s="9">
        <f ca="1">DATOSAÑO!CL54</f>
        <v>2.4775999999997818</v>
      </c>
      <c r="AR55" s="1300">
        <f ca="1">(AQ55*DATOSAÑO!$Z$11)/DATOSAÑO!$Y$11</f>
        <v>4.4643037577533518E-2</v>
      </c>
      <c r="AS55" s="1334">
        <f t="shared" si="2"/>
        <v>7</v>
      </c>
    </row>
    <row r="56" spans="1:45" ht="16.5" customHeight="1" thickBot="1">
      <c r="A56" s="1371">
        <v>44971</v>
      </c>
      <c r="B56" s="1021">
        <v>44971</v>
      </c>
      <c r="C56" s="9">
        <f ca="1">DATOSAÑO!I55</f>
        <v>282</v>
      </c>
      <c r="D56" s="10">
        <f ca="1">DATOSAÑO!$D55</f>
        <v>4.7759365249376557</v>
      </c>
      <c r="E56" s="11">
        <f ca="1">DATOSAÑO!$G55</f>
        <v>0</v>
      </c>
      <c r="F56" s="9">
        <f ca="1">DATOSAÑO!P55</f>
        <v>150.70000000000073</v>
      </c>
      <c r="G56" s="10">
        <f ca="1">DATOSAÑO!K55</f>
        <v>3.705235776807986</v>
      </c>
      <c r="H56" s="11">
        <f ca="1">DATOSAÑO!N55</f>
        <v>0</v>
      </c>
      <c r="I56" s="9">
        <f ca="1">DATOSAÑO!Q55</f>
        <v>0</v>
      </c>
      <c r="J56" s="11">
        <f ca="1">DATOSAÑO!R55</f>
        <v>0</v>
      </c>
      <c r="K56" s="9">
        <f ca="1">DATOSAÑO!T55</f>
        <v>0</v>
      </c>
      <c r="L56" s="11">
        <f t="shared" ca="1" si="0"/>
        <v>0</v>
      </c>
      <c r="M56" s="9"/>
      <c r="N56" s="11">
        <f t="shared" si="1"/>
        <v>0</v>
      </c>
      <c r="O56" s="9">
        <f>DATOSAÑO!CT55</f>
        <v>0</v>
      </c>
      <c r="P56" s="9">
        <f>DATOSAÑO!CU55</f>
        <v>0</v>
      </c>
      <c r="Q56" s="9">
        <f ca="1">DATOSAÑO!AD55</f>
        <v>162.09999999997672</v>
      </c>
      <c r="R56" s="11">
        <f ca="1">(Q56*DATOSAÑO!$Z$11)/DATOSAÑO!$Y$11</f>
        <v>2.9208251498699473</v>
      </c>
      <c r="S56" s="9">
        <f ca="1">DATOSAÑO!AF55</f>
        <v>138</v>
      </c>
      <c r="T56" s="11">
        <f ca="1">(S56*DATOSAÑO!$Z$11)/DATOSAÑO!$Y$11</f>
        <v>2.4865753897724288</v>
      </c>
      <c r="U56" s="9">
        <f ca="1">DATOSAÑO!AH55</f>
        <v>7.9000000000014552</v>
      </c>
      <c r="V56" s="11">
        <f ca="1">(U56*DATOSAÑO!$Z$11)/DATOSAÑO!$Y$11</f>
        <v>0.14234743173337538</v>
      </c>
      <c r="W56" s="9">
        <f ca="1">DATOSAÑO!AI55</f>
        <v>40.900000000008731</v>
      </c>
      <c r="X56" s="11">
        <f ca="1">(W56*DATOSAÑO!$Z$11)/DATOSAÑO!$Y$11</f>
        <v>0.73696328580952197</v>
      </c>
      <c r="Y56" s="9">
        <f ca="1">DATOSAÑO!AJ55</f>
        <v>7.3000000000029104</v>
      </c>
      <c r="Z56" s="11">
        <f ca="1">(Y56*DATOSAÑO!$Z$11)/DATOSAÑO!$Y$11</f>
        <v>0.13153623438656495</v>
      </c>
      <c r="AA56" s="9">
        <f ca="1">DATOSAÑO!AK55</f>
        <v>15.299999999988358</v>
      </c>
      <c r="AB56" s="11">
        <f ca="1">(AA56*DATOSAÑO!$Z$11)/DATOSAÑO!$Y$11</f>
        <v>0.27568553234412468</v>
      </c>
      <c r="AC56" s="9">
        <f ca="1">DATOSAÑO!AL55</f>
        <v>34.300000000021043</v>
      </c>
      <c r="AD56" s="11">
        <f ca="1">(AC56*DATOSAÑO!$Z$11)/DATOSAÑO!$Y$11</f>
        <v>0.6180401149945407</v>
      </c>
      <c r="AE56" s="9">
        <f ca="1">DATOSAÑO!AM55</f>
        <v>10.32900000000218</v>
      </c>
      <c r="AF56" s="11">
        <f ca="1">(AE56*DATOSAÑO!$Z$11)/DATOSAÑO!$Y$11</f>
        <v>0.18611476232583213</v>
      </c>
      <c r="AG56" s="9">
        <f ca="1">DATOSAÑO!AN55</f>
        <v>2.2480000000000002</v>
      </c>
      <c r="AH56" s="11">
        <f ca="1">(AG56*DATOSAÑO!$Z$11)/DATOSAÑO!$Y$11</f>
        <v>4.0505952726147966E-2</v>
      </c>
      <c r="AI56" s="9">
        <f ca="1">DATOSAÑO!BS55</f>
        <v>0</v>
      </c>
      <c r="AJ56" s="11">
        <f ca="1">(AI56*DATOSAÑO!$Z$11)/DATOSAÑO!$Y$11</f>
        <v>0</v>
      </c>
      <c r="AK56" s="9">
        <f ca="1">DATOSAÑO!BV55</f>
        <v>5.5190000000000001</v>
      </c>
      <c r="AL56" s="11">
        <f ca="1">(AK56*DATOSAÑO!$Z$11)/DATOSAÑO!$Y$11</f>
        <v>9.9444996928652413E-2</v>
      </c>
      <c r="AM56" s="9">
        <f ca="1">DATOSAÑO!BY55</f>
        <v>1.252</v>
      </c>
      <c r="AN56" s="11">
        <f ca="1">(AM56*DATOSAÑO!$Z$11)/DATOSAÑO!$Y$11</f>
        <v>2.2559365130399134E-2</v>
      </c>
      <c r="AO56" s="9">
        <f ca="1">DATOSAÑO!CF55</f>
        <v>11.464500000000363</v>
      </c>
      <c r="AP56" s="11">
        <f ca="1">(AO56*DATOSAÑO!$Z$11)/DATOSAÑO!$Y$11</f>
        <v>0.20657495330468775</v>
      </c>
      <c r="AQ56" s="9">
        <f ca="1">DATOSAÑO!CL55</f>
        <v>2.1512000000000002</v>
      </c>
      <c r="AR56" s="1300">
        <f ca="1">(AQ56*DATOSAÑO!$Z$11)/DATOSAÑO!$Y$11</f>
        <v>3.8761746220858317E-2</v>
      </c>
      <c r="AS56" s="1334">
        <f t="shared" si="2"/>
        <v>7</v>
      </c>
    </row>
    <row r="57" spans="1:45" ht="15" thickBot="1">
      <c r="A57" s="1371">
        <v>44972</v>
      </c>
      <c r="B57" s="1021">
        <v>44972</v>
      </c>
      <c r="C57" s="9">
        <f ca="1">DATOSAÑO!I56</f>
        <v>300</v>
      </c>
      <c r="D57" s="10">
        <f ca="1">DATOSAÑO!$D56</f>
        <v>4.9227195673316713</v>
      </c>
      <c r="E57" s="11">
        <f ca="1">DATOSAÑO!$G56</f>
        <v>0</v>
      </c>
      <c r="F57" s="9">
        <f ca="1">DATOSAÑO!P56</f>
        <v>150.70000000000073</v>
      </c>
      <c r="G57" s="10">
        <f ca="1">DATOSAÑO!K56</f>
        <v>3.705235776807986</v>
      </c>
      <c r="H57" s="11">
        <f ca="1">DATOSAÑO!N56</f>
        <v>0</v>
      </c>
      <c r="I57" s="9">
        <f ca="1">DATOSAÑO!Q56</f>
        <v>0</v>
      </c>
      <c r="J57" s="11">
        <f ca="1">DATOSAÑO!R56</f>
        <v>0</v>
      </c>
      <c r="K57" s="9">
        <f ca="1">DATOSAÑO!T56</f>
        <v>0</v>
      </c>
      <c r="L57" s="11">
        <f t="shared" ca="1" si="0"/>
        <v>0</v>
      </c>
      <c r="M57" s="9"/>
      <c r="N57" s="11">
        <f t="shared" si="1"/>
        <v>0</v>
      </c>
      <c r="O57" s="9">
        <f>DATOSAÑO!CT56</f>
        <v>0</v>
      </c>
      <c r="P57" s="9">
        <f>DATOSAÑO!CU56</f>
        <v>0</v>
      </c>
      <c r="Q57" s="9">
        <f ca="1">DATOSAÑO!AD56</f>
        <v>163.90000000002328</v>
      </c>
      <c r="R57" s="11">
        <f ca="1">(Q57*DATOSAÑO!$Z$11)/DATOSAÑO!$Y$11</f>
        <v>2.9532587419112963</v>
      </c>
      <c r="S57" s="9">
        <f ca="1">DATOSAÑO!AF56</f>
        <v>146</v>
      </c>
      <c r="T57" s="11">
        <f ca="1">(S57*DATOSAÑO!$Z$11)/DATOSAÑO!$Y$11</f>
        <v>2.6307246877302504</v>
      </c>
      <c r="U57" s="9">
        <f ca="1">DATOSAÑO!AH56</f>
        <v>8.5999999999985448</v>
      </c>
      <c r="V57" s="11">
        <f ca="1">(U57*DATOSAÑO!$Z$11)/DATOSAÑO!$Y$11</f>
        <v>0.15496049530463235</v>
      </c>
      <c r="W57" s="9">
        <f ca="1">DATOSAÑO!AI56</f>
        <v>47.099999999998545</v>
      </c>
      <c r="X57" s="11">
        <f ca="1">(W57*DATOSAÑO!$Z$11)/DATOSAÑO!$Y$11</f>
        <v>0.84867899172665051</v>
      </c>
      <c r="Y57" s="9">
        <f ca="1">DATOSAÑO!AJ56</f>
        <v>7.1999999999970896</v>
      </c>
      <c r="Z57" s="11">
        <f ca="1">(Y57*DATOSAÑO!$Z$11)/DATOSAÑO!$Y$11</f>
        <v>0.1297343681619873</v>
      </c>
      <c r="AA57" s="9">
        <f ca="1">DATOSAÑO!AK56</f>
        <v>16.600000000005821</v>
      </c>
      <c r="AB57" s="11">
        <f ca="1">(AA57*DATOSAÑO!$Z$11)/DATOSAÑO!$Y$11</f>
        <v>0.29910979326258541</v>
      </c>
      <c r="AC57" s="9">
        <f ca="1">DATOSAÑO!AL56</f>
        <v>32.299999999966531</v>
      </c>
      <c r="AD57" s="11">
        <f ca="1">(AC57*DATOSAÑO!$Z$11)/DATOSAÑO!$Y$11</f>
        <v>0.58200279050410297</v>
      </c>
      <c r="AE57" s="9">
        <f ca="1">DATOSAÑO!AM56</f>
        <v>9.8590000000098215</v>
      </c>
      <c r="AF57" s="11">
        <f ca="1">(AE57*DATOSAÑO!$Z$11)/DATOSAÑO!$Y$11</f>
        <v>0.17764599107094778</v>
      </c>
      <c r="AG57" s="9">
        <f ca="1">DATOSAÑO!AN56</f>
        <v>2.7900000000005454</v>
      </c>
      <c r="AH57" s="11">
        <f ca="1">(AG57*DATOSAÑO!$Z$11)/DATOSAÑO!$Y$11</f>
        <v>5.0272067662800235E-2</v>
      </c>
      <c r="AI57" s="9">
        <f ca="1">DATOSAÑO!BS56</f>
        <v>0</v>
      </c>
      <c r="AJ57" s="11">
        <f ca="1">(AI57*DATOSAÑO!$Z$11)/DATOSAÑO!$Y$11</f>
        <v>0</v>
      </c>
      <c r="AK57" s="9">
        <f ca="1">DATOSAÑO!BV56</f>
        <v>4.6399999999999997</v>
      </c>
      <c r="AL57" s="11">
        <f ca="1">(AK57*DATOSAÑO!$Z$11)/DATOSAÑO!$Y$11</f>
        <v>8.3606592815536715E-2</v>
      </c>
      <c r="AM57" s="9">
        <f ca="1">DATOSAÑO!BY56</f>
        <v>3.7010000000000001</v>
      </c>
      <c r="AN57" s="11">
        <f ca="1">(AM57*DATOSAÑO!$Z$11)/DATOSAÑO!$Y$11</f>
        <v>6.6687068967737378E-2</v>
      </c>
      <c r="AO57" s="9">
        <f ca="1">DATOSAÑO!CF56</f>
        <v>11.329500000005456</v>
      </c>
      <c r="AP57" s="11">
        <f ca="1">(AO57*DATOSAÑO!$Z$11)/DATOSAÑO!$Y$11</f>
        <v>0.20414243390174128</v>
      </c>
      <c r="AQ57" s="9">
        <f ca="1">DATOSAÑO!CL56</f>
        <v>2.7260000000002185</v>
      </c>
      <c r="AR57" s="1300">
        <f ca="1">(AQ57*DATOSAÑO!$Z$11)/DATOSAÑO!$Y$11</f>
        <v>4.911887327913176E-2</v>
      </c>
      <c r="AS57" s="1334">
        <f t="shared" si="2"/>
        <v>7</v>
      </c>
    </row>
    <row r="58" spans="1:45" ht="16.5" customHeight="1" thickBot="1">
      <c r="A58" s="1371">
        <v>44973</v>
      </c>
      <c r="B58" s="1021">
        <v>44973</v>
      </c>
      <c r="C58" s="9">
        <f ca="1">DATOSAÑO!I57</f>
        <v>290</v>
      </c>
      <c r="D58" s="10">
        <f ca="1">DATOSAÑO!$D57</f>
        <v>4.8411734326683291</v>
      </c>
      <c r="E58" s="11">
        <f ca="1">DATOSAÑO!$G57</f>
        <v>0</v>
      </c>
      <c r="F58" s="9">
        <f ca="1">DATOSAÑO!P57</f>
        <v>145.69999999999709</v>
      </c>
      <c r="G58" s="10">
        <f ca="1">DATOSAÑO!K57</f>
        <v>3.6644627094762852</v>
      </c>
      <c r="H58" s="11">
        <f ca="1">DATOSAÑO!N57</f>
        <v>0</v>
      </c>
      <c r="I58" s="9">
        <f ca="1">DATOSAÑO!Q57</f>
        <v>0</v>
      </c>
      <c r="J58" s="11">
        <f ca="1">DATOSAÑO!R57</f>
        <v>0</v>
      </c>
      <c r="K58" s="9">
        <f ca="1">DATOSAÑO!T57</f>
        <v>0</v>
      </c>
      <c r="L58" s="11">
        <f t="shared" ca="1" si="0"/>
        <v>0</v>
      </c>
      <c r="M58" s="9"/>
      <c r="N58" s="11">
        <f t="shared" si="1"/>
        <v>0</v>
      </c>
      <c r="O58" s="9">
        <f>DATOSAÑO!CT57</f>
        <v>0</v>
      </c>
      <c r="P58" s="9">
        <f>DATOSAÑO!CU57</f>
        <v>0</v>
      </c>
      <c r="Q58" s="9">
        <f ca="1">DATOSAÑO!AD57</f>
        <v>158</v>
      </c>
      <c r="R58" s="11">
        <f ca="1">(Q58*DATOSAÑO!$Z$11)/DATOSAÑO!$Y$11</f>
        <v>2.8469486346669832</v>
      </c>
      <c r="S58" s="9">
        <f ca="1">DATOSAÑO!AF57</f>
        <v>142</v>
      </c>
      <c r="T58" s="11">
        <f ca="1">(S58*DATOSAÑO!$Z$11)/DATOSAÑO!$Y$11</f>
        <v>2.5586500387513391</v>
      </c>
      <c r="U58" s="9">
        <f ca="1">DATOSAÑO!AH57</f>
        <v>10</v>
      </c>
      <c r="V58" s="11">
        <f ca="1">(U58*DATOSAÑO!$Z$11)/DATOSAÑO!$Y$11</f>
        <v>0.18018662244727743</v>
      </c>
      <c r="W58" s="9">
        <f ca="1">DATOSAÑO!AI57</f>
        <v>43.599999999998545</v>
      </c>
      <c r="X58" s="11">
        <f ca="1">(W58*DATOSAÑO!$Z$11)/DATOSAÑO!$Y$11</f>
        <v>0.78561367387010339</v>
      </c>
      <c r="Y58" s="9">
        <f ca="1">DATOSAÑO!AJ57</f>
        <v>6</v>
      </c>
      <c r="Z58" s="11">
        <f ca="1">(Y58*DATOSAÑO!$Z$11)/DATOSAÑO!$Y$11</f>
        <v>0.10811197346836646</v>
      </c>
      <c r="AA58" s="9">
        <f ca="1">DATOSAÑO!AK57</f>
        <v>14.399999999994179</v>
      </c>
      <c r="AB58" s="11">
        <f ca="1">(AA58*DATOSAÑO!$Z$11)/DATOSAÑO!$Y$11</f>
        <v>0.2594687363239746</v>
      </c>
      <c r="AC58" s="9">
        <f ca="1">DATOSAÑO!AL57</f>
        <v>33.400000000016007</v>
      </c>
      <c r="AD58" s="11">
        <f ca="1">(AC58*DATOSAÑO!$Z$11)/DATOSAÑO!$Y$11</f>
        <v>0.60182331897419505</v>
      </c>
      <c r="AE58" s="9">
        <f ca="1">DATOSAÑO!AM57</f>
        <v>8.8469999999882667</v>
      </c>
      <c r="AF58" s="11">
        <f ca="1">(AE58*DATOSAÑO!$Z$11)/DATOSAÑO!$Y$11</f>
        <v>0.15941110487889493</v>
      </c>
      <c r="AG58" s="9">
        <f ca="1">DATOSAÑO!AN57</f>
        <v>3.7199999999999092</v>
      </c>
      <c r="AH58" s="11">
        <f ca="1">(AG58*DATOSAÑO!$Z$11)/DATOSAÑO!$Y$11</f>
        <v>6.7029423550385561E-2</v>
      </c>
      <c r="AI58" s="9">
        <f ca="1">DATOSAÑO!BS57</f>
        <v>0</v>
      </c>
      <c r="AJ58" s="11">
        <f ca="1">(AI58*DATOSAÑO!$Z$11)/DATOSAÑO!$Y$11</f>
        <v>0</v>
      </c>
      <c r="AK58" s="9">
        <f ca="1">DATOSAÑO!BV57</f>
        <v>4.5179999999999998</v>
      </c>
      <c r="AL58" s="11">
        <f ca="1">(AK58*DATOSAÑO!$Z$11)/DATOSAÑO!$Y$11</f>
        <v>8.140831602167993E-2</v>
      </c>
      <c r="AM58" s="9">
        <f ca="1">DATOSAÑO!BY57</f>
        <v>3.5350000000000001</v>
      </c>
      <c r="AN58" s="11">
        <f ca="1">(AM58*DATOSAÑO!$Z$11)/DATOSAÑO!$Y$11</f>
        <v>6.369597103511257E-2</v>
      </c>
      <c r="AO58" s="9">
        <f ca="1">DATOSAÑO!CF57</f>
        <v>10.723499999994315</v>
      </c>
      <c r="AP58" s="11">
        <f ca="1">(AO58*DATOSAÑO!$Z$11)/DATOSAÑO!$Y$11</f>
        <v>0.19322312458123553</v>
      </c>
      <c r="AQ58" s="9">
        <f ca="1">DATOSAÑO!CL57</f>
        <v>2.8679999999999639</v>
      </c>
      <c r="AR58" s="1300">
        <f ca="1">(AQ58*DATOSAÑO!$Z$11)/DATOSAÑO!$Y$11</f>
        <v>5.1677523317878511E-2</v>
      </c>
      <c r="AS58" s="1334">
        <f t="shared" si="2"/>
        <v>7</v>
      </c>
    </row>
    <row r="59" spans="1:45" ht="15" thickBot="1">
      <c r="A59" s="1371">
        <v>44974</v>
      </c>
      <c r="B59" s="1021">
        <v>44974</v>
      </c>
      <c r="C59" s="9">
        <f ca="1">DATOSAÑO!I58</f>
        <v>288</v>
      </c>
      <c r="D59" s="10">
        <f ca="1">DATOSAÑO!$D58</f>
        <v>4.8248642057356612</v>
      </c>
      <c r="E59" s="11">
        <f ca="1">DATOSAÑO!$G58</f>
        <v>0</v>
      </c>
      <c r="F59" s="9">
        <f ca="1">DATOSAÑO!P58</f>
        <v>141.90000000000146</v>
      </c>
      <c r="G59" s="10">
        <f ca="1">DATOSAÑO!K58</f>
        <v>3.6334751783042512</v>
      </c>
      <c r="H59" s="11">
        <f ca="1">DATOSAÑO!N58</f>
        <v>0</v>
      </c>
      <c r="I59" s="9">
        <f ca="1">DATOSAÑO!Q58</f>
        <v>0</v>
      </c>
      <c r="J59" s="11">
        <f ca="1">DATOSAÑO!R58</f>
        <v>0</v>
      </c>
      <c r="K59" s="9">
        <f ca="1">DATOSAÑO!T58</f>
        <v>0</v>
      </c>
      <c r="L59" s="11">
        <f t="shared" ca="1" si="0"/>
        <v>0</v>
      </c>
      <c r="M59" s="9"/>
      <c r="N59" s="11">
        <f t="shared" si="1"/>
        <v>0</v>
      </c>
      <c r="O59" s="9">
        <f>DATOSAÑO!CT58</f>
        <v>0</v>
      </c>
      <c r="P59" s="9">
        <f>DATOSAÑO!CU58</f>
        <v>0</v>
      </c>
      <c r="Q59" s="9">
        <f ca="1">DATOSAÑO!AD58</f>
        <v>163</v>
      </c>
      <c r="R59" s="11">
        <f ca="1">(Q59*DATOSAÑO!$Z$11)/DATOSAÑO!$Y$11</f>
        <v>2.9370419458906221</v>
      </c>
      <c r="S59" s="9">
        <f ca="1">DATOSAÑO!AF58</f>
        <v>135</v>
      </c>
      <c r="T59" s="11">
        <f ca="1">(S59*DATOSAÑO!$Z$11)/DATOSAÑO!$Y$11</f>
        <v>2.4325194030382451</v>
      </c>
      <c r="U59" s="9">
        <f ca="1">DATOSAÑO!AH58</f>
        <v>6.7000000000043656</v>
      </c>
      <c r="V59" s="11">
        <f ca="1">(U59*DATOSAÑO!$Z$11)/DATOSAÑO!$Y$11</f>
        <v>0.12072503703975454</v>
      </c>
      <c r="W59" s="9">
        <f ca="1">DATOSAÑO!AI58</f>
        <v>39.299999999995634</v>
      </c>
      <c r="X59" s="11">
        <f ca="1">(W59*DATOSAÑO!$Z$11)/DATOSAÑO!$Y$11</f>
        <v>0.70813342621772168</v>
      </c>
      <c r="Y59" s="9">
        <f ca="1">DATOSAÑO!AJ58</f>
        <v>8.7000000000116415</v>
      </c>
      <c r="Z59" s="11">
        <f ca="1">(Y59*DATOSAÑO!$Z$11)/DATOSAÑO!$Y$11</f>
        <v>0.15676236152934112</v>
      </c>
      <c r="AA59" s="9">
        <f ca="1">DATOSAÑO!AK58</f>
        <v>16</v>
      </c>
      <c r="AB59" s="11">
        <f ca="1">(AA59*DATOSAÑO!$Z$11)/DATOSAÑO!$Y$11</f>
        <v>0.28829859591564388</v>
      </c>
      <c r="AC59" s="9">
        <f ca="1">DATOSAÑO!AL58</f>
        <v>31.099999999991212</v>
      </c>
      <c r="AD59" s="11">
        <f ca="1">(AC59*DATOSAÑO!$Z$11)/DATOSAÑO!$Y$11</f>
        <v>0.5603803958108744</v>
      </c>
      <c r="AE59" s="9">
        <f ca="1">DATOSAÑO!AM58</f>
        <v>11.153999999998366</v>
      </c>
      <c r="AF59" s="11">
        <f ca="1">(AE59*DATOSAÑO!$Z$11)/DATOSAÑO!$Y$11</f>
        <v>0.20098015867766378</v>
      </c>
      <c r="AG59" s="9">
        <f ca="1">DATOSAÑO!AN58</f>
        <v>3.4310000000001821</v>
      </c>
      <c r="AH59" s="11">
        <f ca="1">(AG59*DATOSAÑO!$Z$11)/DATOSAÑO!$Y$11</f>
        <v>6.1822030161664161E-2</v>
      </c>
      <c r="AI59" s="9">
        <f ca="1">DATOSAÑO!BS58</f>
        <v>0</v>
      </c>
      <c r="AJ59" s="11">
        <f ca="1">(AI59*DATOSAÑO!$Z$11)/DATOSAÑO!$Y$11</f>
        <v>0</v>
      </c>
      <c r="AK59" s="9">
        <f ca="1">DATOSAÑO!BV58</f>
        <v>4.516</v>
      </c>
      <c r="AL59" s="11">
        <f ca="1">(AK59*DATOSAÑO!$Z$11)/DATOSAÑO!$Y$11</f>
        <v>8.1372278697190492E-2</v>
      </c>
      <c r="AM59" s="9">
        <f ca="1">DATOSAÑO!BY58</f>
        <v>3.63</v>
      </c>
      <c r="AN59" s="11">
        <f ca="1">(AM59*DATOSAÑO!$Z$11)/DATOSAÑO!$Y$11</f>
        <v>6.5407743948361699E-2</v>
      </c>
      <c r="AO59" s="9">
        <f ca="1">DATOSAÑO!CF58</f>
        <v>11.576999999999183</v>
      </c>
      <c r="AP59" s="11">
        <f ca="1">(AO59*DATOSAÑO!$Z$11)/DATOSAÑO!$Y$11</f>
        <v>0.20860205280719835</v>
      </c>
      <c r="AQ59" s="9">
        <f ca="1">DATOSAÑO!CL58</f>
        <v>2.7414000000000729</v>
      </c>
      <c r="AR59" s="1300">
        <f ca="1">(AQ59*DATOSAÑO!$Z$11)/DATOSAÑO!$Y$11</f>
        <v>4.9396360677697947E-2</v>
      </c>
      <c r="AS59" s="1334">
        <f t="shared" si="2"/>
        <v>7</v>
      </c>
    </row>
    <row r="60" spans="1:45" ht="16.5" customHeight="1" thickBot="1">
      <c r="A60" s="1371">
        <v>44975</v>
      </c>
      <c r="B60" s="1021">
        <v>44975</v>
      </c>
      <c r="C60" s="9">
        <f ca="1">DATOSAÑO!I59</f>
        <v>301</v>
      </c>
      <c r="D60" s="10">
        <f ca="1">DATOSAÑO!$D59</f>
        <v>4.9308741807980052</v>
      </c>
      <c r="E60" s="11">
        <f ca="1">DATOSAÑO!$G59</f>
        <v>0</v>
      </c>
      <c r="F60" s="9">
        <f ca="1">DATOSAÑO!P59</f>
        <v>150.40000000000146</v>
      </c>
      <c r="G60" s="10">
        <f ca="1">DATOSAÑO!K59</f>
        <v>3.7027893927680915</v>
      </c>
      <c r="H60" s="11">
        <f ca="1">DATOSAÑO!N59</f>
        <v>0</v>
      </c>
      <c r="I60" s="9">
        <f ca="1">DATOSAÑO!Q59</f>
        <v>0</v>
      </c>
      <c r="J60" s="11">
        <f ca="1">DATOSAÑO!R59</f>
        <v>0</v>
      </c>
      <c r="K60" s="9">
        <f ca="1">DATOSAÑO!T59</f>
        <v>0</v>
      </c>
      <c r="L60" s="11">
        <f t="shared" ca="1" si="0"/>
        <v>0</v>
      </c>
      <c r="M60" s="9"/>
      <c r="N60" s="11">
        <f t="shared" si="1"/>
        <v>0</v>
      </c>
      <c r="O60" s="9">
        <f>DATOSAÑO!CT59</f>
        <v>0</v>
      </c>
      <c r="P60" s="9">
        <f>DATOSAÑO!CU59</f>
        <v>0</v>
      </c>
      <c r="Q60" s="9">
        <f ca="1">DATOSAÑO!AD59</f>
        <v>165</v>
      </c>
      <c r="R60" s="11">
        <f ca="1">(Q60*DATOSAÑO!$Z$11)/DATOSAÑO!$Y$11</f>
        <v>2.9730792703800777</v>
      </c>
      <c r="S60" s="9">
        <f ca="1">DATOSAÑO!AF59</f>
        <v>148</v>
      </c>
      <c r="T60" s="11">
        <f ca="1">(S60*DATOSAÑO!$Z$11)/DATOSAÑO!$Y$11</f>
        <v>2.666762012219706</v>
      </c>
      <c r="U60" s="9">
        <f ca="1">DATOSAÑO!AH59</f>
        <v>11.099999999998545</v>
      </c>
      <c r="V60" s="11">
        <f ca="1">(U60*DATOSAÑO!$Z$11)/DATOSAÑO!$Y$11</f>
        <v>0.20000715091645174</v>
      </c>
      <c r="W60" s="9">
        <f ca="1">DATOSAÑO!AI59</f>
        <v>40.300000000010186</v>
      </c>
      <c r="X60" s="11">
        <f ca="1">(W60*DATOSAÑO!$Z$11)/DATOSAÑO!$Y$11</f>
        <v>0.72615208846271162</v>
      </c>
      <c r="Y60" s="9">
        <f ca="1">DATOSAÑO!AJ59</f>
        <v>9.1999999999970896</v>
      </c>
      <c r="Z60" s="11">
        <f ca="1">(Y60*DATOSAÑO!$Z$11)/DATOSAÑO!$Y$11</f>
        <v>0.16577169265144279</v>
      </c>
      <c r="AA60" s="9">
        <f ca="1">DATOSAÑO!AK59</f>
        <v>16</v>
      </c>
      <c r="AB60" s="11">
        <f ca="1">(AA60*DATOSAÑO!$Z$11)/DATOSAÑO!$Y$11</f>
        <v>0.28829859591564388</v>
      </c>
      <c r="AC60" s="9">
        <f ca="1">DATOSAÑO!AL59</f>
        <v>33.299999999995634</v>
      </c>
      <c r="AD60" s="11">
        <f ca="1">(AC60*DATOSAÑO!$Z$11)/DATOSAÑO!$Y$11</f>
        <v>0.60002145274935514</v>
      </c>
      <c r="AE60" s="9">
        <f ca="1">DATOSAÑO!AM59</f>
        <v>7.9819999999999975</v>
      </c>
      <c r="AF60" s="11">
        <f ca="1">(AE60*DATOSAÑO!$Z$11)/DATOSAÑO!$Y$11</f>
        <v>0.14382496203741679</v>
      </c>
      <c r="AG60" s="9">
        <f ca="1">DATOSAÑO!AN59</f>
        <v>3.9060000000001818</v>
      </c>
      <c r="AH60" s="11">
        <f ca="1">(AG60*DATOSAÑO!$Z$11)/DATOSAÑO!$Y$11</f>
        <v>7.0380894727909829E-2</v>
      </c>
      <c r="AI60" s="9">
        <f ca="1">DATOSAÑO!BS59</f>
        <v>0</v>
      </c>
      <c r="AJ60" s="11">
        <f ca="1">(AI60*DATOSAÑO!$Z$11)/DATOSAÑO!$Y$11</f>
        <v>0</v>
      </c>
      <c r="AK60" s="9">
        <f ca="1">DATOSAÑO!BV59</f>
        <v>4.6920000000000002</v>
      </c>
      <c r="AL60" s="11">
        <f ca="1">(AK60*DATOSAÑO!$Z$11)/DATOSAÑO!$Y$11</f>
        <v>8.4543563252262574E-2</v>
      </c>
      <c r="AM60" s="9">
        <f ca="1">DATOSAÑO!BY59</f>
        <v>3.8260000000000001</v>
      </c>
      <c r="AN60" s="11">
        <f ca="1">(AM60*DATOSAÑO!$Z$11)/DATOSAÑO!$Y$11</f>
        <v>6.8939401748328341E-2</v>
      </c>
      <c r="AO60" s="9">
        <f ca="1">DATOSAÑO!CF59</f>
        <v>10.690999999999818</v>
      </c>
      <c r="AP60" s="11">
        <f ca="1">(AO60*DATOSAÑO!$Z$11)/DATOSAÑO!$Y$11</f>
        <v>0.192637518058381</v>
      </c>
      <c r="AQ60" s="9">
        <f ca="1">DATOSAÑO!CL59</f>
        <v>2.9564000000000727</v>
      </c>
      <c r="AR60" s="1300">
        <f ca="1">(AQ60*DATOSAÑO!$Z$11)/DATOSAÑO!$Y$11</f>
        <v>5.3270373060314409E-2</v>
      </c>
      <c r="AS60" s="1334">
        <f t="shared" si="2"/>
        <v>7</v>
      </c>
    </row>
    <row r="61" spans="1:45" ht="15" thickBot="1">
      <c r="A61" s="1371">
        <v>44976</v>
      </c>
      <c r="B61" s="1021">
        <v>44976</v>
      </c>
      <c r="C61" s="9">
        <f ca="1">DATOSAÑO!I60</f>
        <v>294</v>
      </c>
      <c r="D61" s="10">
        <f ca="1">DATOSAÑO!$D60</f>
        <v>4.8737918865336667</v>
      </c>
      <c r="E61" s="11">
        <f ca="1">DATOSAÑO!$G60</f>
        <v>0</v>
      </c>
      <c r="F61" s="9">
        <f ca="1">DATOSAÑO!P60</f>
        <v>145.59999999999854</v>
      </c>
      <c r="G61" s="10">
        <f ca="1">DATOSAÑO!K60</f>
        <v>3.6636472481296636</v>
      </c>
      <c r="H61" s="11">
        <f ca="1">DATOSAÑO!N60</f>
        <v>0</v>
      </c>
      <c r="I61" s="9">
        <f ca="1">DATOSAÑO!Q60</f>
        <v>0</v>
      </c>
      <c r="J61" s="11">
        <f ca="1">DATOSAÑO!R60</f>
        <v>0</v>
      </c>
      <c r="K61" s="9">
        <f ca="1">DATOSAÑO!T60</f>
        <v>0</v>
      </c>
      <c r="L61" s="11">
        <f t="shared" ca="1" si="0"/>
        <v>0</v>
      </c>
      <c r="M61" s="9"/>
      <c r="N61" s="11">
        <f t="shared" si="1"/>
        <v>0</v>
      </c>
      <c r="O61" s="9">
        <f>DATOSAÑO!CT60</f>
        <v>0</v>
      </c>
      <c r="P61" s="9">
        <f>DATOSAÑO!CU60</f>
        <v>0</v>
      </c>
      <c r="Q61" s="9">
        <f ca="1">DATOSAÑO!AD60</f>
        <v>160</v>
      </c>
      <c r="R61" s="11">
        <f ca="1">(Q61*DATOSAÑO!$Z$11)/DATOSAÑO!$Y$11</f>
        <v>2.8829859591564388</v>
      </c>
      <c r="S61" s="9">
        <f ca="1">DATOSAÑO!AF60</f>
        <v>143</v>
      </c>
      <c r="T61" s="11">
        <f ca="1">(S61*DATOSAÑO!$Z$11)/DATOSAÑO!$Y$11</f>
        <v>2.5766687009960672</v>
      </c>
      <c r="U61" s="9">
        <f ca="1">DATOSAÑO!AH60</f>
        <v>11.400000000001455</v>
      </c>
      <c r="V61" s="11">
        <f ca="1">(U61*DATOSAÑO!$Z$11)/DATOSAÑO!$Y$11</f>
        <v>0.20541274958992248</v>
      </c>
      <c r="W61" s="9">
        <f ca="1">DATOSAÑO!AI60</f>
        <v>39.19999999999709</v>
      </c>
      <c r="X61" s="11">
        <f ca="1">(W61*DATOSAÑO!$Z$11)/DATOSAÑO!$Y$11</f>
        <v>0.70633155999327502</v>
      </c>
      <c r="Y61" s="9">
        <f ca="1">DATOSAÑO!AJ60</f>
        <v>9.1999999999970896</v>
      </c>
      <c r="Z61" s="11">
        <f ca="1">(Y61*DATOSAÑO!$Z$11)/DATOSAÑO!$Y$11</f>
        <v>0.16577169265144279</v>
      </c>
      <c r="AA61" s="9">
        <f ca="1">DATOSAÑO!AK60</f>
        <v>16</v>
      </c>
      <c r="AB61" s="11">
        <f ca="1">(AA61*DATOSAÑO!$Z$11)/DATOSAÑO!$Y$11</f>
        <v>0.28829859591564388</v>
      </c>
      <c r="AC61" s="9">
        <f ca="1">DATOSAÑO!AL60</f>
        <v>32.100000000002183</v>
      </c>
      <c r="AD61" s="11">
        <f ca="1">(AC61*DATOSAÑO!$Z$11)/DATOSAÑO!$Y$11</f>
        <v>0.57839905805579983</v>
      </c>
      <c r="AE61" s="9">
        <f ca="1">DATOSAÑO!AM60</f>
        <v>10.661000000001636</v>
      </c>
      <c r="AF61" s="11">
        <f ca="1">(AE61*DATOSAÑO!$Z$11)/DATOSAÑO!$Y$11</f>
        <v>0.19209695819107192</v>
      </c>
      <c r="AG61" s="9">
        <f ca="1">DATOSAÑO!AN60</f>
        <v>3.1769999999990906</v>
      </c>
      <c r="AH61" s="11">
        <f ca="1">(AG61*DATOSAÑO!$Z$11)/DATOSAÑO!$Y$11</f>
        <v>5.7245289951483654E-2</v>
      </c>
      <c r="AI61" s="9">
        <f ca="1">DATOSAÑO!BS60</f>
        <v>0</v>
      </c>
      <c r="AJ61" s="11">
        <f ca="1">(AI61*DATOSAÑO!$Z$11)/DATOSAÑO!$Y$11</f>
        <v>0</v>
      </c>
      <c r="AK61" s="9">
        <f ca="1">DATOSAÑO!BV60</f>
        <v>4.2240000000000002</v>
      </c>
      <c r="AL61" s="11">
        <f ca="1">(AK61*DATOSAÑO!$Z$11)/DATOSAÑO!$Y$11</f>
        <v>7.6110829321729981E-2</v>
      </c>
      <c r="AM61" s="9">
        <f ca="1">DATOSAÑO!BY60</f>
        <v>3.3149999999999999</v>
      </c>
      <c r="AN61" s="11">
        <f ca="1">(AM61*DATOSAÑO!$Z$11)/DATOSAÑO!$Y$11</f>
        <v>5.9731865341272464E-2</v>
      </c>
      <c r="AO61" s="9">
        <f ca="1">DATOSAÑO!CF60</f>
        <v>11.330500000000818</v>
      </c>
      <c r="AP61" s="11">
        <f ca="1">(AO61*DATOSAÑO!$Z$11)/DATOSAÑO!$Y$11</f>
        <v>0.20416045256390242</v>
      </c>
      <c r="AQ61" s="9">
        <f ca="1">DATOSAÑO!CL60</f>
        <v>2.5937999999996362</v>
      </c>
      <c r="AR61" s="1300">
        <f ca="1">(AQ61*DATOSAÑO!$Z$11)/DATOSAÑO!$Y$11</f>
        <v>4.6736806130368264E-2</v>
      </c>
      <c r="AS61" s="1334">
        <f t="shared" si="2"/>
        <v>8</v>
      </c>
    </row>
    <row r="62" spans="1:45" ht="16.5" customHeight="1" thickBot="1">
      <c r="A62" s="1371">
        <v>44977</v>
      </c>
      <c r="B62" s="1021">
        <v>44977</v>
      </c>
      <c r="C62" s="9">
        <f ca="1">DATOSAÑO!I61</f>
        <v>297</v>
      </c>
      <c r="D62" s="10">
        <f ca="1">DATOSAÑO!$D61</f>
        <v>4.8982557269326685</v>
      </c>
      <c r="E62" s="11">
        <f ca="1">DATOSAÑO!$G61</f>
        <v>0</v>
      </c>
      <c r="F62" s="9">
        <f ca="1">DATOSAÑO!P61</f>
        <v>148.59999999999854</v>
      </c>
      <c r="G62" s="10">
        <f ca="1">DATOSAÑO!K61</f>
        <v>3.6881110885286663</v>
      </c>
      <c r="H62" s="11">
        <f ca="1">DATOSAÑO!N61</f>
        <v>0</v>
      </c>
      <c r="I62" s="9">
        <f ca="1">DATOSAÑO!Q61</f>
        <v>0.8149999999998272</v>
      </c>
      <c r="J62" s="11">
        <f ca="1">DATOSAÑO!R61</f>
        <v>97.799999999979264</v>
      </c>
      <c r="K62" s="9">
        <f ca="1">DATOSAÑO!T61</f>
        <v>0.19200000000000728</v>
      </c>
      <c r="L62" s="11">
        <f t="shared" ca="1" si="0"/>
        <v>23.040000000000873</v>
      </c>
      <c r="M62" s="9"/>
      <c r="N62" s="11">
        <f t="shared" si="1"/>
        <v>0</v>
      </c>
      <c r="O62" s="9">
        <f>DATOSAÑO!CT61</f>
        <v>1</v>
      </c>
      <c r="P62" s="9">
        <f>DATOSAÑO!CU61</f>
        <v>1</v>
      </c>
      <c r="Q62" s="9">
        <f ca="1">DATOSAÑO!AD61</f>
        <v>155</v>
      </c>
      <c r="R62" s="11">
        <f ca="1">(Q62*DATOSAÑO!$Z$11)/DATOSAÑO!$Y$11</f>
        <v>2.7928926479328005</v>
      </c>
      <c r="S62" s="9">
        <f ca="1">DATOSAÑO!AF61</f>
        <v>147</v>
      </c>
      <c r="T62" s="11">
        <f ca="1">(S62*DATOSAÑO!$Z$11)/DATOSAÑO!$Y$11</f>
        <v>2.648743349974978</v>
      </c>
      <c r="U62" s="9">
        <f ca="1">DATOSAÑO!AH61</f>
        <v>10.5</v>
      </c>
      <c r="V62" s="11">
        <f ca="1">(U62*DATOSAÑO!$Z$11)/DATOSAÑO!$Y$11</f>
        <v>0.18919595356964131</v>
      </c>
      <c r="W62" s="9">
        <f ca="1">DATOSAÑO!AI61</f>
        <v>39.399999999994179</v>
      </c>
      <c r="X62" s="11">
        <f ca="1">(W62*DATOSAÑO!$Z$11)/DATOSAÑO!$Y$11</f>
        <v>0.70993529244216813</v>
      </c>
      <c r="Y62" s="9">
        <f ca="1">DATOSAÑO!AJ61</f>
        <v>9.6000000000058208</v>
      </c>
      <c r="Z62" s="11">
        <f ca="1">(Y62*DATOSAÑO!$Z$11)/DATOSAÑO!$Y$11</f>
        <v>0.17297915754949122</v>
      </c>
      <c r="AA62" s="9">
        <f ca="1">DATOSAÑO!AK61</f>
        <v>17</v>
      </c>
      <c r="AB62" s="11">
        <f ca="1">(AA62*DATOSAÑO!$Z$11)/DATOSAÑO!$Y$11</f>
        <v>0.30631725816037164</v>
      </c>
      <c r="AC62" s="9">
        <f ca="1">DATOSAÑO!AL61</f>
        <v>39.30699999999905</v>
      </c>
      <c r="AD62" s="11">
        <f ca="1">(AC62*DATOSAÑO!$Z$11)/DATOSAÑO!$Y$11</f>
        <v>0.70825955685349629</v>
      </c>
      <c r="AE62" s="9">
        <f ca="1">DATOSAÑO!AM61</f>
        <v>10.685999999999909</v>
      </c>
      <c r="AF62" s="11">
        <f ca="1">(AE62*DATOSAÑO!$Z$11)/DATOSAÑO!$Y$11</f>
        <v>0.19254742474715902</v>
      </c>
      <c r="AG62" s="9">
        <f ca="1">DATOSAÑO!AN61</f>
        <v>3.7259999999999089</v>
      </c>
      <c r="AH62" s="11">
        <f ca="1">(AG62*DATOSAÑO!$Z$11)/DATOSAÑO!$Y$11</f>
        <v>6.7137535523853931E-2</v>
      </c>
      <c r="AI62" s="9">
        <f ca="1">DATOSAÑO!BS61</f>
        <v>0</v>
      </c>
      <c r="AJ62" s="11">
        <f ca="1">(AI62*DATOSAÑO!$Z$11)/DATOSAÑO!$Y$11</f>
        <v>0</v>
      </c>
      <c r="AK62" s="9">
        <f ca="1">DATOSAÑO!BV61</f>
        <v>6.0570000000000004</v>
      </c>
      <c r="AL62" s="11">
        <f ca="1">(AK62*DATOSAÑO!$Z$11)/DATOSAÑO!$Y$11</f>
        <v>0.10913903721631593</v>
      </c>
      <c r="AM62" s="9">
        <f ca="1">DATOSAÑO!BY61</f>
        <v>2.3570000000000002</v>
      </c>
      <c r="AN62" s="11">
        <f ca="1">(AM62*DATOSAÑO!$Z$11)/DATOSAÑO!$Y$11</f>
        <v>4.2469986910823293E-2</v>
      </c>
      <c r="AO62" s="9">
        <f ca="1">DATOSAÑO!CF61</f>
        <v>9.9429999999994081</v>
      </c>
      <c r="AP62" s="11">
        <f ca="1">(AO62*DATOSAÑO!$Z$11)/DATOSAÑO!$Y$11</f>
        <v>0.1791595586993173</v>
      </c>
      <c r="AQ62" s="9">
        <f ca="1">DATOSAÑO!CL61</f>
        <v>2.8643999999999639</v>
      </c>
      <c r="AR62" s="1300">
        <f ca="1">(AQ62*DATOSAÑO!$Z$11)/DATOSAÑO!$Y$11</f>
        <v>5.1612656133797494E-2</v>
      </c>
      <c r="AS62" s="1334">
        <f t="shared" si="2"/>
        <v>8</v>
      </c>
    </row>
    <row r="63" spans="1:45" ht="15" thickBot="1">
      <c r="A63" s="1371">
        <v>44978</v>
      </c>
      <c r="B63" s="1021">
        <v>44978</v>
      </c>
      <c r="C63" s="9">
        <f ca="1">DATOSAÑO!I62</f>
        <v>303</v>
      </c>
      <c r="D63" s="10">
        <f ca="1">DATOSAÑO!$D62</f>
        <v>4.9471834077306731</v>
      </c>
      <c r="E63" s="11">
        <f ca="1">DATOSAÑO!$G62</f>
        <v>0</v>
      </c>
      <c r="F63" s="9">
        <f ca="1">DATOSAÑO!P62</f>
        <v>147.10000000000218</v>
      </c>
      <c r="G63" s="10">
        <f ca="1">DATOSAÑO!K62</f>
        <v>3.6758791683291951</v>
      </c>
      <c r="H63" s="11">
        <f ca="1">DATOSAÑO!N62</f>
        <v>0</v>
      </c>
      <c r="I63" s="9">
        <f ca="1">DATOSAÑO!Q62</f>
        <v>0</v>
      </c>
      <c r="J63" s="11">
        <f ca="1">DATOSAÑO!R62</f>
        <v>0</v>
      </c>
      <c r="K63" s="9">
        <f ca="1">DATOSAÑO!T62</f>
        <v>0</v>
      </c>
      <c r="L63" s="11">
        <f t="shared" ca="1" si="0"/>
        <v>0</v>
      </c>
      <c r="M63" s="9"/>
      <c r="N63" s="11">
        <f t="shared" si="1"/>
        <v>0</v>
      </c>
      <c r="O63" s="9">
        <f>DATOSAÑO!CT62</f>
        <v>0</v>
      </c>
      <c r="P63" s="9">
        <f>DATOSAÑO!CU62</f>
        <v>0</v>
      </c>
      <c r="Q63" s="9">
        <f ca="1">DATOSAÑO!AD62</f>
        <v>169.40000000002328</v>
      </c>
      <c r="R63" s="11">
        <f ca="1">(Q63*DATOSAÑO!$Z$11)/DATOSAÑO!$Y$11</f>
        <v>3.0523613842572992</v>
      </c>
      <c r="S63" s="9">
        <f ca="1">DATOSAÑO!AF62</f>
        <v>150.70000000001164</v>
      </c>
      <c r="T63" s="11">
        <f ca="1">(S63*DATOSAÑO!$Z$11)/DATOSAÑO!$Y$11</f>
        <v>2.7154124002806808</v>
      </c>
      <c r="U63" s="9">
        <f ca="1">DATOSAÑO!AH62</f>
        <v>8.7999999999956344</v>
      </c>
      <c r="V63" s="11">
        <f ca="1">(U63*DATOSAÑO!$Z$11)/DATOSAÑO!$Y$11</f>
        <v>0.15856422775352547</v>
      </c>
      <c r="W63" s="9">
        <f ca="1">DATOSAÑO!AI62</f>
        <v>38.69999999999709</v>
      </c>
      <c r="X63" s="11">
        <f ca="1">(W63*DATOSAÑO!$Z$11)/DATOSAÑO!$Y$11</f>
        <v>0.69732222887091111</v>
      </c>
      <c r="Y63" s="9">
        <f ca="1">DATOSAÑO!AJ62</f>
        <v>10.069999999992433</v>
      </c>
      <c r="Z63" s="11">
        <f ca="1">(Y63*DATOSAÑO!$Z$11)/DATOSAÑO!$Y$11</f>
        <v>0.18144792880427202</v>
      </c>
      <c r="AA63" s="9">
        <f ca="1">DATOSAÑO!AK62</f>
        <v>16.700000000011642</v>
      </c>
      <c r="AB63" s="11">
        <f ca="1">(AA63*DATOSAÑO!$Z$11)/DATOSAÑO!$Y$11</f>
        <v>0.30091165948716309</v>
      </c>
      <c r="AC63" s="9">
        <f ca="1">DATOSAÑO!AL62</f>
        <v>27.129999999993743</v>
      </c>
      <c r="AD63" s="11">
        <f ca="1">(AC63*DATOSAÑO!$Z$11)/DATOSAÑO!$Y$11</f>
        <v>0.48884630669935086</v>
      </c>
      <c r="AE63" s="9">
        <f ca="1">DATOSAÑO!AM62</f>
        <v>10.476999999976444</v>
      </c>
      <c r="AF63" s="11">
        <f ca="1">(AE63*DATOSAÑO!$Z$11)/DATOSAÑO!$Y$11</f>
        <v>0.18878152433758813</v>
      </c>
      <c r="AG63" s="9">
        <f ca="1">DATOSAÑO!AN62</f>
        <v>2.791000000000273</v>
      </c>
      <c r="AH63" s="11">
        <f ca="1">(AG63*DATOSAÑO!$Z$11)/DATOSAÑO!$Y$11</f>
        <v>5.0290086325040048E-2</v>
      </c>
      <c r="AI63" s="9">
        <f ca="1">DATOSAÑO!BS62</f>
        <v>0</v>
      </c>
      <c r="AJ63" s="11">
        <f ca="1">(AI63*DATOSAÑO!$Z$11)/DATOSAÑO!$Y$11</f>
        <v>0</v>
      </c>
      <c r="AK63" s="9">
        <f ca="1">DATOSAÑO!BV62</f>
        <v>5.1970000000000001</v>
      </c>
      <c r="AL63" s="11">
        <f ca="1">(AK63*DATOSAÑO!$Z$11)/DATOSAÑO!$Y$11</f>
        <v>9.3642987685850082E-2</v>
      </c>
      <c r="AM63" s="9">
        <f ca="1">DATOSAÑO!BY62</f>
        <v>2.726</v>
      </c>
      <c r="AN63" s="11">
        <f ca="1">(AM63*DATOSAÑO!$Z$11)/DATOSAÑO!$Y$11</f>
        <v>4.9118873279127825E-2</v>
      </c>
      <c r="AO63" s="9">
        <f ca="1">DATOSAÑO!CF62</f>
        <v>11.238499999988221</v>
      </c>
      <c r="AP63" s="11">
        <f ca="1">(AO63*DATOSAÑO!$Z$11)/DATOSAÑO!$Y$11</f>
        <v>0.20250273563716048</v>
      </c>
      <c r="AQ63" s="9">
        <f ca="1">DATOSAÑO!CL62</f>
        <v>2.5254000000001096</v>
      </c>
      <c r="AR63" s="1300">
        <f ca="1">(AQ63*DATOSAÑO!$Z$11)/DATOSAÑO!$Y$11</f>
        <v>4.5504329632837411E-2</v>
      </c>
      <c r="AS63" s="1334">
        <f t="shared" si="2"/>
        <v>8</v>
      </c>
    </row>
    <row r="64" spans="1:45" ht="16.5" customHeight="1" thickBot="1">
      <c r="A64" s="1371">
        <v>44979</v>
      </c>
      <c r="B64" s="1021">
        <v>44979</v>
      </c>
      <c r="C64" s="9">
        <f ca="1">DATOSAÑO!I63</f>
        <v>302.40000000002328</v>
      </c>
      <c r="D64" s="10">
        <f ca="1">DATOSAÑO!$D63</f>
        <v>4.9422906396510626</v>
      </c>
      <c r="E64" s="11">
        <f ca="1">DATOSAÑO!$G63</f>
        <v>0</v>
      </c>
      <c r="F64" s="9">
        <f ca="1">DATOSAÑO!P63</f>
        <v>147.29999999999927</v>
      </c>
      <c r="G64" s="10">
        <f ca="1">DATOSAÑO!K63</f>
        <v>3.6775100910224379</v>
      </c>
      <c r="H64" s="11">
        <f ca="1">DATOSAÑO!N63</f>
        <v>0</v>
      </c>
      <c r="I64" s="9">
        <f ca="1">DATOSAÑO!Q63</f>
        <v>0</v>
      </c>
      <c r="J64" s="11">
        <f ca="1">DATOSAÑO!R63</f>
        <v>0</v>
      </c>
      <c r="K64" s="9">
        <f ca="1">DATOSAÑO!T63</f>
        <v>0</v>
      </c>
      <c r="L64" s="11">
        <f t="shared" ca="1" si="0"/>
        <v>0</v>
      </c>
      <c r="M64" s="9"/>
      <c r="N64" s="11">
        <f t="shared" si="1"/>
        <v>0</v>
      </c>
      <c r="O64" s="9">
        <f>DATOSAÑO!CT63</f>
        <v>0</v>
      </c>
      <c r="P64" s="9">
        <f>DATOSAÑO!CU63</f>
        <v>0</v>
      </c>
      <c r="Q64" s="9">
        <f ca="1">DATOSAÑO!AD63</f>
        <v>163.90000000002328</v>
      </c>
      <c r="R64" s="11">
        <f ca="1">(Q64*DATOSAÑO!$Z$11)/DATOSAÑO!$Y$11</f>
        <v>2.9532587419112963</v>
      </c>
      <c r="S64" s="9">
        <f ca="1">DATOSAÑO!AF63</f>
        <v>150.20000000001164</v>
      </c>
      <c r="T64" s="11">
        <f ca="1">(S64*DATOSAÑO!$Z$11)/DATOSAÑO!$Y$11</f>
        <v>2.7064030691583167</v>
      </c>
      <c r="U64" s="9">
        <f ca="1">DATOSAÑO!AH63</f>
        <v>10.200000000004366</v>
      </c>
      <c r="V64" s="11">
        <f ca="1">(U64*DATOSAÑO!$Z$11)/DATOSAÑO!$Y$11</f>
        <v>0.18379035489630161</v>
      </c>
      <c r="W64" s="9">
        <f ca="1">DATOSAÑO!AI63</f>
        <v>36.30000000000291</v>
      </c>
      <c r="X64" s="11">
        <f ca="1">(W64*DATOSAÑO!$Z$11)/DATOSAÑO!$Y$11</f>
        <v>0.65407743948366959</v>
      </c>
      <c r="Y64" s="9">
        <f ca="1">DATOSAÑO!AJ63</f>
        <v>10.229999999995925</v>
      </c>
      <c r="Z64" s="11">
        <f ca="1">(Y64*DATOSAÑO!$Z$11)/DATOSAÑO!$Y$11</f>
        <v>0.18433091476349139</v>
      </c>
      <c r="AA64" s="9">
        <f ca="1">DATOSAÑO!AK63</f>
        <v>17</v>
      </c>
      <c r="AB64" s="11">
        <f ca="1">(AA64*DATOSAÑO!$Z$11)/DATOSAÑO!$Y$11</f>
        <v>0.30631725816037164</v>
      </c>
      <c r="AC64" s="9">
        <f ca="1">DATOSAÑO!AL63</f>
        <v>33.769999999993217</v>
      </c>
      <c r="AD64" s="11">
        <f ca="1">(AC64*DATOSAÑO!$Z$11)/DATOSAÑO!$Y$11</f>
        <v>0.60849022400433372</v>
      </c>
      <c r="AE64" s="9">
        <f ca="1">DATOSAÑO!AM63</f>
        <v>7.1569999999906333</v>
      </c>
      <c r="AF64" s="11">
        <f ca="1">(AE64*DATOSAÑO!$Z$11)/DATOSAÑO!$Y$11</f>
        <v>0.12895956568534769</v>
      </c>
      <c r="AG64" s="9">
        <f ca="1">DATOSAÑO!AN63</f>
        <v>1.8150000000002728</v>
      </c>
      <c r="AH64" s="11">
        <f ca="1">(AG64*DATOSAÑO!$Z$11)/DATOSAÑO!$Y$11</f>
        <v>3.2703871974185769E-2</v>
      </c>
      <c r="AI64" s="9">
        <f ca="1">DATOSAÑO!BS63</f>
        <v>0</v>
      </c>
      <c r="AJ64" s="11">
        <f ca="1">(AI64*DATOSAÑO!$Z$11)/DATOSAÑO!$Y$11</f>
        <v>0</v>
      </c>
      <c r="AK64" s="9">
        <f ca="1">DATOSAÑO!BV63</f>
        <v>2.4279999999999999</v>
      </c>
      <c r="AL64" s="11">
        <f ca="1">(AK64*DATOSAÑO!$Z$11)/DATOSAÑO!$Y$11</f>
        <v>4.3749311930198959E-2</v>
      </c>
      <c r="AM64" s="9">
        <f ca="1">DATOSAÑO!BY63</f>
        <v>6.2149999999999999</v>
      </c>
      <c r="AN64" s="11">
        <f ca="1">(AM64*DATOSAÑO!$Z$11)/DATOSAÑO!$Y$11</f>
        <v>0.11198598585098292</v>
      </c>
      <c r="AO64" s="9">
        <f ca="1">DATOSAÑO!CF63</f>
        <v>12.67849999999568</v>
      </c>
      <c r="AP64" s="11">
        <f ca="1">(AO64*DATOSAÑO!$Z$11)/DATOSAÑO!$Y$11</f>
        <v>0.22844960926970284</v>
      </c>
      <c r="AQ64" s="9">
        <f ca="1">DATOSAÑO!CL63</f>
        <v>2.111000000000109</v>
      </c>
      <c r="AR64" s="1300">
        <f ca="1">(AQ64*DATOSAÑO!$Z$11)/DATOSAÑO!$Y$11</f>
        <v>3.8037395998622228E-2</v>
      </c>
      <c r="AS64" s="1334">
        <f t="shared" si="2"/>
        <v>8</v>
      </c>
    </row>
    <row r="65" spans="1:45" ht="15" thickBot="1">
      <c r="A65" s="1371">
        <v>44980</v>
      </c>
      <c r="B65" s="1021">
        <v>44980</v>
      </c>
      <c r="C65" s="9">
        <f ca="1">DATOSAÑO!I64</f>
        <v>259.1600000000326</v>
      </c>
      <c r="D65" s="10">
        <f ca="1">DATOSAÑO!$D64</f>
        <v>4.5896851533668492</v>
      </c>
      <c r="E65" s="11">
        <f ca="1">DATOSAÑO!$G64</f>
        <v>0</v>
      </c>
      <c r="F65" s="9">
        <f ca="1">DATOSAÑO!P64</f>
        <v>133.54000000000087</v>
      </c>
      <c r="G65" s="10">
        <f ca="1">DATOSAÑO!K64</f>
        <v>3.565302609725693</v>
      </c>
      <c r="H65" s="11">
        <f ca="1">DATOSAÑO!N64</f>
        <v>0</v>
      </c>
      <c r="I65" s="9">
        <f ca="1">DATOSAÑO!Q64</f>
        <v>0</v>
      </c>
      <c r="J65" s="11">
        <f ca="1">DATOSAÑO!R64</f>
        <v>0</v>
      </c>
      <c r="K65" s="9">
        <f ca="1">DATOSAÑO!T64</f>
        <v>0</v>
      </c>
      <c r="L65" s="11">
        <f t="shared" ca="1" si="0"/>
        <v>0</v>
      </c>
      <c r="M65" s="9"/>
      <c r="N65" s="11">
        <f t="shared" si="1"/>
        <v>0</v>
      </c>
      <c r="O65" s="9">
        <f>DATOSAÑO!CT64</f>
        <v>0</v>
      </c>
      <c r="P65" s="9">
        <f>DATOSAÑO!CU64</f>
        <v>0</v>
      </c>
      <c r="Q65" s="9">
        <f ca="1">DATOSAÑO!AD64</f>
        <v>151.59999999997672</v>
      </c>
      <c r="R65" s="11">
        <f ca="1">(Q65*DATOSAÑO!$Z$11)/DATOSAÑO!$Y$11</f>
        <v>2.7316291963003061</v>
      </c>
      <c r="S65" s="9">
        <f ca="1">DATOSAÑO!AF64</f>
        <v>123.88999999995576</v>
      </c>
      <c r="T65" s="11">
        <f ca="1">(S65*DATOSAÑO!$Z$11)/DATOSAÑO!$Y$11</f>
        <v>2.232332065498523</v>
      </c>
      <c r="U65" s="9">
        <f ca="1">DATOSAÑO!AH64</f>
        <v>0.1000000000003638</v>
      </c>
      <c r="V65" s="11">
        <f ca="1">(U65*DATOSAÑO!$Z$11)/DATOSAÑO!$Y$11</f>
        <v>1.8018662244793293E-3</v>
      </c>
      <c r="W65" s="9">
        <f ca="1">DATOSAÑO!AI64</f>
        <v>33.110000000007858</v>
      </c>
      <c r="X65" s="11">
        <f ca="1">(W65*DATOSAÑO!$Z$11)/DATOSAÑO!$Y$11</f>
        <v>0.59659790692307713</v>
      </c>
      <c r="Y65" s="9">
        <f ca="1">DATOSAÑO!AJ64</f>
        <v>9.9500000000116415</v>
      </c>
      <c r="Z65" s="11">
        <f ca="1">(Y65*DATOSAÑO!$Z$11)/DATOSAÑO!$Y$11</f>
        <v>0.17928568933525083</v>
      </c>
      <c r="AA65" s="9">
        <f ca="1">DATOSAÑO!AK64</f>
        <v>14.470000000001164</v>
      </c>
      <c r="AB65" s="11">
        <f ca="1">(AA65*DATOSAÑO!$Z$11)/DATOSAÑO!$Y$11</f>
        <v>0.2607300426812314</v>
      </c>
      <c r="AC65" s="9">
        <f ca="1">DATOSAÑO!AL64</f>
        <v>35.470000000050334</v>
      </c>
      <c r="AD65" s="11">
        <f ca="1">(AC65*DATOSAÑO!$Z$11)/DATOSAÑO!$Y$11</f>
        <v>0.63912194982140003</v>
      </c>
      <c r="AE65" s="9">
        <f ca="1">DATOSAÑO!AM64</f>
        <v>6.2340000000294262</v>
      </c>
      <c r="AF65" s="11">
        <f ca="1">(AE65*DATOSAÑO!$Z$11)/DATOSAÑO!$Y$11</f>
        <v>0.11232834043416295</v>
      </c>
      <c r="AG65" s="9">
        <f ca="1">DATOSAÑO!AN64</f>
        <v>3.2670000000004036</v>
      </c>
      <c r="AH65" s="11">
        <f ca="1">(AG65*DATOSAÑO!$Z$11)/DATOSAÑO!$Y$11</f>
        <v>5.8866969553532808E-2</v>
      </c>
      <c r="AI65" s="9">
        <f ca="1">DATOSAÑO!BS64</f>
        <v>0</v>
      </c>
      <c r="AJ65" s="11">
        <f ca="1">(AI65*DATOSAÑO!$Z$11)/DATOSAÑO!$Y$11</f>
        <v>0</v>
      </c>
      <c r="AK65" s="9">
        <f ca="1">DATOSAÑO!BV64</f>
        <v>1.698</v>
      </c>
      <c r="AL65" s="11">
        <f ca="1">(AK65*DATOSAÑO!$Z$11)/DATOSAÑO!$Y$11</f>
        <v>3.0595688491547705E-2</v>
      </c>
      <c r="AM65" s="9">
        <f ca="1">DATOSAÑO!BY64</f>
        <v>4.3680000000000003</v>
      </c>
      <c r="AN65" s="11">
        <f ca="1">(AM65*DATOSAÑO!$Z$11)/DATOSAÑO!$Y$11</f>
        <v>7.8705516684970792E-2</v>
      </c>
      <c r="AO65" s="9">
        <f ca="1">DATOSAÑO!CF64</f>
        <v>10.527000000014567</v>
      </c>
      <c r="AP65" s="11">
        <f ca="1">(AO65*DATOSAÑO!$Z$11)/DATOSAÑO!$Y$11</f>
        <v>0.18968245745051143</v>
      </c>
      <c r="AQ65" s="9">
        <f ca="1">DATOSAÑO!CL64</f>
        <v>2.4398000000001616</v>
      </c>
      <c r="AR65" s="1300">
        <f ca="1">(AQ65*DATOSAÑO!$Z$11)/DATOSAÑO!$Y$11</f>
        <v>4.3961932144689658E-2</v>
      </c>
      <c r="AS65" s="1334">
        <f t="shared" si="2"/>
        <v>8</v>
      </c>
    </row>
    <row r="66" spans="1:45" ht="16.5" customHeight="1" thickBot="1">
      <c r="A66" s="1371">
        <v>44981</v>
      </c>
      <c r="B66" s="1021">
        <v>44981</v>
      </c>
      <c r="C66" s="9">
        <f ca="1">DATOSAÑO!I65</f>
        <v>285.06999999994878</v>
      </c>
      <c r="D66" s="10">
        <f ca="1">DATOSAÑO!$D65</f>
        <v>4.8009711882788846</v>
      </c>
      <c r="E66" s="11">
        <f>DATOSAÑO!$G65</f>
        <v>0</v>
      </c>
      <c r="F66" s="9">
        <f ca="1">DATOSAÑO!P65</f>
        <v>149.68000000000029</v>
      </c>
      <c r="G66" s="10">
        <f ca="1">DATOSAÑO!K65</f>
        <v>3.6969180710723215</v>
      </c>
      <c r="H66" s="11">
        <f ca="1">DATOSAÑO!N65</f>
        <v>0</v>
      </c>
      <c r="I66" s="9">
        <f ca="1">DATOSAÑO!Q65</f>
        <v>0</v>
      </c>
      <c r="J66" s="11">
        <f ca="1">DATOSAÑO!R65</f>
        <v>0</v>
      </c>
      <c r="K66" s="9">
        <f ca="1">DATOSAÑO!T65</f>
        <v>0</v>
      </c>
      <c r="L66" s="11">
        <f t="shared" ca="1" si="0"/>
        <v>0</v>
      </c>
      <c r="M66" s="9"/>
      <c r="N66" s="11">
        <f t="shared" si="1"/>
        <v>0</v>
      </c>
      <c r="O66" s="9">
        <f>DATOSAÑO!CT65</f>
        <v>0</v>
      </c>
      <c r="P66" s="9">
        <f>DATOSAÑO!CU65</f>
        <v>0</v>
      </c>
      <c r="Q66" s="9">
        <f ca="1">DATOSAÑO!AD65</f>
        <v>164.5</v>
      </c>
      <c r="R66" s="11">
        <f ca="1">(Q66*DATOSAÑO!$Z$11)/DATOSAÑO!$Y$11</f>
        <v>2.9640699392577132</v>
      </c>
      <c r="S66" s="9">
        <f ca="1">DATOSAÑO!AF65</f>
        <v>142.28000000002794</v>
      </c>
      <c r="T66" s="11">
        <f ca="1">(S66*DATOSAÑO!$Z$11)/DATOSAÑO!$Y$11</f>
        <v>2.563695264180367</v>
      </c>
      <c r="U66" s="9">
        <f ca="1">DATOSAÑO!AH65</f>
        <v>6.7999999999956344</v>
      </c>
      <c r="V66" s="11">
        <f ca="1">(U66*DATOSAÑO!$Z$11)/DATOSAÑO!$Y$11</f>
        <v>0.12252690326406998</v>
      </c>
      <c r="W66" s="9">
        <f ca="1">DATOSAÑO!AI65</f>
        <v>29.959999999999127</v>
      </c>
      <c r="X66" s="11">
        <f ca="1">(W66*DATOSAÑO!$Z$11)/DATOSAÑO!$Y$11</f>
        <v>0.53983912085202745</v>
      </c>
      <c r="Y66" s="9">
        <f ca="1">DATOSAÑO!AJ65</f>
        <v>8.3099999999976717</v>
      </c>
      <c r="Z66" s="11">
        <f ca="1">(Y66*DATOSAÑO!$Z$11)/DATOSAÑO!$Y$11</f>
        <v>0.1497350832536456</v>
      </c>
      <c r="AA66" s="9">
        <f ca="1">DATOSAÑO!AK65</f>
        <v>16.529999999998836</v>
      </c>
      <c r="AB66" s="11">
        <f ca="1">(AA66*DATOSAÑO!$Z$11)/DATOSAÑO!$Y$11</f>
        <v>0.29784848690532861</v>
      </c>
      <c r="AC66" s="9">
        <f ca="1">DATOSAÑO!AL65</f>
        <v>39.349999999922147</v>
      </c>
      <c r="AD66" s="11">
        <f ca="1">(AC66*DATOSAÑO!$Z$11)/DATOSAÑO!$Y$11</f>
        <v>0.7090343593286339</v>
      </c>
      <c r="AE66" s="9">
        <f ca="1">DATOSAÑO!AM65</f>
        <v>9.4820000000073854</v>
      </c>
      <c r="AF66" s="11">
        <f ca="1">(AE66*DATOSAÑO!$Z$11)/DATOSAÑO!$Y$11</f>
        <v>0.17085295540464152</v>
      </c>
      <c r="AG66" s="9">
        <f ca="1">DATOSAÑO!AN65</f>
        <v>2.1709999999997818</v>
      </c>
      <c r="AH66" s="11">
        <f ca="1">(AG66*DATOSAÑO!$Z$11)/DATOSAÑO!$Y$11</f>
        <v>3.9118515733299997E-2</v>
      </c>
      <c r="AI66" s="9">
        <f ca="1">DATOSAÑO!BS65</f>
        <v>0</v>
      </c>
      <c r="AJ66" s="11">
        <f ca="1">(AI66*DATOSAÑO!$Z$11)/DATOSAÑO!$Y$11</f>
        <v>0</v>
      </c>
      <c r="AK66" s="9">
        <f ca="1">DATOSAÑO!BV65</f>
        <v>5.8310000000000004</v>
      </c>
      <c r="AL66" s="11">
        <f ca="1">(AK66*DATOSAÑO!$Z$11)/DATOSAÑO!$Y$11</f>
        <v>0.10506681954900748</v>
      </c>
      <c r="AM66" s="9">
        <f ca="1">DATOSAÑO!BY65</f>
        <v>2.3170000000000002</v>
      </c>
      <c r="AN66" s="11">
        <f ca="1">(AM66*DATOSAÑO!$Z$11)/DATOSAÑO!$Y$11</f>
        <v>4.1749240421034187E-2</v>
      </c>
      <c r="AO66" s="9">
        <f ca="1">DATOSAÑO!CF65</f>
        <v>10.891000000004238</v>
      </c>
      <c r="AP66" s="11">
        <f ca="1">(AO66*DATOSAÑO!$Z$11)/DATOSAÑO!$Y$11</f>
        <v>0.19624125050740621</v>
      </c>
      <c r="AQ66" s="9">
        <f ca="1">DATOSAÑO!CL65</f>
        <v>1.9373999999999127</v>
      </c>
      <c r="AR66" s="1300">
        <f ca="1">(AQ66*DATOSAÑO!$Z$11)/DATOSAÑO!$Y$11</f>
        <v>3.4909356232933959E-2</v>
      </c>
      <c r="AS66" s="1334">
        <f t="shared" si="2"/>
        <v>8</v>
      </c>
    </row>
    <row r="67" spans="1:45" ht="15" thickBot="1">
      <c r="A67" s="1371">
        <v>44982</v>
      </c>
      <c r="B67" s="1021">
        <v>44982</v>
      </c>
      <c r="C67" s="9">
        <f ca="1">DATOSAÑO!I66</f>
        <v>281.48999999999069</v>
      </c>
      <c r="D67" s="10">
        <f ca="1">DATOSAÑO!$D66</f>
        <v>4.7717776720697493</v>
      </c>
      <c r="E67" s="11">
        <f ca="1">DATOSAÑO!$G66</f>
        <v>0</v>
      </c>
      <c r="F67" s="9">
        <f ca="1">DATOSAÑO!P66</f>
        <v>151.28999999999724</v>
      </c>
      <c r="G67" s="10">
        <f ca="1">DATOSAÑO!K66</f>
        <v>3.7100469987530946</v>
      </c>
      <c r="H67" s="11">
        <f ca="1">DATOSAÑO!N66</f>
        <v>0</v>
      </c>
      <c r="I67" s="9">
        <f ca="1">DATOSAÑO!Q66</f>
        <v>0</v>
      </c>
      <c r="J67" s="11">
        <f ca="1">DATOSAÑO!R66</f>
        <v>0</v>
      </c>
      <c r="K67" s="9">
        <f ca="1">DATOSAÑO!T66</f>
        <v>0</v>
      </c>
      <c r="L67" s="11">
        <f t="shared" ca="1" si="0"/>
        <v>0</v>
      </c>
      <c r="M67" s="9"/>
      <c r="N67" s="11">
        <f t="shared" si="1"/>
        <v>0</v>
      </c>
      <c r="O67" s="9">
        <f>DATOSAÑO!CT66</f>
        <v>0</v>
      </c>
      <c r="P67" s="9">
        <f>DATOSAÑO!CU66</f>
        <v>0</v>
      </c>
      <c r="Q67" s="9">
        <f ca="1">DATOSAÑO!AD66</f>
        <v>162.69999999995343</v>
      </c>
      <c r="R67" s="11">
        <f ca="1">(Q67*DATOSAÑO!$Z$11)/DATOSAÑO!$Y$11</f>
        <v>2.9316363472163642</v>
      </c>
      <c r="S67" s="9">
        <f ca="1">DATOSAÑO!AF66</f>
        <v>139.5800000000163</v>
      </c>
      <c r="T67" s="11">
        <f ca="1">(S67*DATOSAÑO!$Z$11)/DATOSAÑO!$Y$11</f>
        <v>2.5150448761193918</v>
      </c>
      <c r="U67" s="9">
        <f ca="1">DATOSAÑO!AH66</f>
        <v>17.600000000005821</v>
      </c>
      <c r="V67" s="11">
        <f ca="1">(U67*DATOSAÑO!$Z$11)/DATOSAÑO!$Y$11</f>
        <v>0.31712845550731317</v>
      </c>
      <c r="W67" s="9">
        <f ca="1">DATOSAÑO!AI66</f>
        <v>32.040000000000873</v>
      </c>
      <c r="X67" s="11">
        <f ca="1">(W67*DATOSAÑO!$Z$11)/DATOSAÑO!$Y$11</f>
        <v>0.57731793832109257</v>
      </c>
      <c r="Y67" s="9">
        <f ca="1">DATOSAÑO!AJ66</f>
        <v>8.9799999999959255</v>
      </c>
      <c r="Z67" s="11">
        <f ca="1">(Y67*DATOSAÑO!$Z$11)/DATOSAÑO!$Y$11</f>
        <v>0.16180758695758168</v>
      </c>
      <c r="AA67" s="9">
        <f ca="1">DATOSAÑO!AK66</f>
        <v>15.029999999998836</v>
      </c>
      <c r="AB67" s="11">
        <f ca="1">(AA67*DATOSAÑO!$Z$11)/DATOSAÑO!$Y$11</f>
        <v>0.27082049353823701</v>
      </c>
      <c r="AC67" s="9">
        <f ca="1">DATOSAÑO!AL66</f>
        <v>27.930000000022062</v>
      </c>
      <c r="AD67" s="11">
        <f ca="1">(AC67*DATOSAÑO!$Z$11)/DATOSAÑO!$Y$11</f>
        <v>0.50326123649564336</v>
      </c>
      <c r="AE67" s="9">
        <f ca="1">DATOSAÑO!AM66</f>
        <v>9.3029999999945971</v>
      </c>
      <c r="AF67" s="11">
        <f ca="1">(AE67*DATOSAÑO!$Z$11)/DATOSAÑO!$Y$11</f>
        <v>0.16762761486260483</v>
      </c>
      <c r="AG67" s="9">
        <f ca="1">DATOSAÑO!AN66</f>
        <v>3.4670000000002728</v>
      </c>
      <c r="AH67" s="11">
        <f ca="1">(AG67*DATOSAÑO!$Z$11)/DATOSAÑO!$Y$11</f>
        <v>6.2470702002476002E-2</v>
      </c>
      <c r="AI67" s="9">
        <f ca="1">DATOSAÑO!BS66</f>
        <v>0</v>
      </c>
      <c r="AJ67" s="11">
        <f ca="1">(AI67*DATOSAÑO!$Z$11)/DATOSAÑO!$Y$11</f>
        <v>0</v>
      </c>
      <c r="AK67" s="9">
        <f ca="1">DATOSAÑO!BV66</f>
        <v>6.0270000000000001</v>
      </c>
      <c r="AL67" s="11">
        <f ca="1">(AK67*DATOSAÑO!$Z$11)/DATOSAÑO!$Y$11</f>
        <v>0.10859847734897411</v>
      </c>
      <c r="AM67" s="9">
        <f ca="1">DATOSAÑO!BY66</f>
        <v>2.36</v>
      </c>
      <c r="AN67" s="11">
        <f ca="1">(AM67*DATOSAÑO!$Z$11)/DATOSAÑO!$Y$11</f>
        <v>4.2524042897557471E-2</v>
      </c>
      <c r="AO67" s="9">
        <f ca="1">DATOSAÑO!CF66</f>
        <v>10.931499999997044</v>
      </c>
      <c r="AP67" s="11">
        <f ca="1">(AO67*DATOSAÑO!$Z$11)/DATOSAÑO!$Y$11</f>
        <v>0.19697100632818804</v>
      </c>
      <c r="AQ67" s="9">
        <f ca="1">DATOSAÑO!CL66</f>
        <v>2.8698000000001094</v>
      </c>
      <c r="AR67" s="1300">
        <f ca="1">(AQ67*DATOSAÑO!$Z$11)/DATOSAÑO!$Y$11</f>
        <v>5.1709956909921646E-2</v>
      </c>
      <c r="AS67" s="1334">
        <f t="shared" si="2"/>
        <v>8</v>
      </c>
    </row>
    <row r="68" spans="1:45" ht="16.5" customHeight="1" thickBot="1">
      <c r="A68" s="1371">
        <v>44983</v>
      </c>
      <c r="B68" s="1021">
        <v>44983</v>
      </c>
      <c r="C68" s="9">
        <f ca="1">DATOSAÑO!I67</f>
        <v>276.72999999998137</v>
      </c>
      <c r="D68" s="10">
        <f ca="1">DATOSAÑO!$D67</f>
        <v>4.7329617119699225</v>
      </c>
      <c r="E68" s="11">
        <f ca="1">DATOSAÑO!$G67</f>
        <v>0</v>
      </c>
      <c r="F68" s="9">
        <f ca="1">DATOSAÑO!P67</f>
        <v>151.09000000000015</v>
      </c>
      <c r="G68" s="10">
        <f ca="1">DATOSAÑO!K67</f>
        <v>3.7084160760598515</v>
      </c>
      <c r="H68" s="11">
        <f ca="1">DATOSAÑO!N67</f>
        <v>0</v>
      </c>
      <c r="I68" s="9">
        <f ca="1">DATOSAÑO!Q67</f>
        <v>0</v>
      </c>
      <c r="J68" s="11">
        <f ca="1">DATOSAÑO!R67</f>
        <v>0</v>
      </c>
      <c r="K68" s="9">
        <f ca="1">DATOSAÑO!T67</f>
        <v>0</v>
      </c>
      <c r="L68" s="11">
        <f t="shared" ca="1" si="0"/>
        <v>0</v>
      </c>
      <c r="M68" s="9"/>
      <c r="N68" s="11">
        <f t="shared" si="1"/>
        <v>0</v>
      </c>
      <c r="O68" s="9">
        <f>DATOSAÑO!CT67</f>
        <v>0</v>
      </c>
      <c r="P68" s="9">
        <f>DATOSAÑO!CU67</f>
        <v>0</v>
      </c>
      <c r="Q68" s="9">
        <f ca="1">DATOSAÑO!AD67</f>
        <v>161.30000000004657</v>
      </c>
      <c r="R68" s="11">
        <f ca="1">(Q68*DATOSAÑO!$Z$11)/DATOSAÑO!$Y$11</f>
        <v>2.9064102200754238</v>
      </c>
      <c r="S68" s="9">
        <f ca="1">DATOSAÑO!AF67</f>
        <v>137.84999999997672</v>
      </c>
      <c r="T68" s="11">
        <f ca="1">(S68*DATOSAÑO!$Z$11)/DATOSAÑO!$Y$11</f>
        <v>2.4838725904352996</v>
      </c>
      <c r="U68" s="9">
        <f ca="1">DATOSAÑO!AH67</f>
        <v>10.199999999995271</v>
      </c>
      <c r="V68" s="11">
        <f ca="1">(U68*DATOSAÑO!$Z$11)/DATOSAÑO!$Y$11</f>
        <v>0.18379035489613776</v>
      </c>
      <c r="W68" s="9">
        <f ca="1">DATOSAÑO!AI67</f>
        <v>32.669999999998254</v>
      </c>
      <c r="X68" s="11">
        <f ca="1">(W68*DATOSAÑO!$Z$11)/DATOSAÑO!$Y$11</f>
        <v>0.58866969553522386</v>
      </c>
      <c r="Y68" s="9">
        <f ca="1">DATOSAÑO!AJ67</f>
        <v>8.6999999999970896</v>
      </c>
      <c r="Z68" s="11">
        <f ca="1">(Y68*DATOSAÑO!$Z$11)/DATOSAÑO!$Y$11</f>
        <v>0.15676236152907894</v>
      </c>
      <c r="AA68" s="9">
        <f ca="1">DATOSAÑO!AK67</f>
        <v>15.779999999998836</v>
      </c>
      <c r="AB68" s="11">
        <f ca="1">(AA68*DATOSAÑO!$Z$11)/DATOSAÑO!$Y$11</f>
        <v>0.28433449022178281</v>
      </c>
      <c r="AC68" s="9">
        <f ca="1">DATOSAÑO!AL67</f>
        <v>33.169999999967274</v>
      </c>
      <c r="AD68" s="11">
        <f ca="1">(AC68*DATOSAÑO!$Z$11)/DATOSAÑO!$Y$11</f>
        <v>0.59767902665702954</v>
      </c>
      <c r="AE68" s="9">
        <f ca="1">DATOSAÑO!AM67</f>
        <v>8.4150000000025269</v>
      </c>
      <c r="AF68" s="11">
        <f ca="1">(AE68*DATOSAÑO!$Z$11)/DATOSAÑO!$Y$11</f>
        <v>0.15162704278942948</v>
      </c>
      <c r="AG68" s="9">
        <f ca="1">DATOSAÑO!AN67</f>
        <v>3.8879999999992543</v>
      </c>
      <c r="AH68" s="11">
        <f ca="1">(AG68*DATOSAÑO!$Z$11)/DATOSAÑO!$Y$11</f>
        <v>7.0056558807488026E-2</v>
      </c>
      <c r="AI68" s="9">
        <f ca="1">DATOSAÑO!BS67</f>
        <v>0</v>
      </c>
      <c r="AJ68" s="11">
        <f ca="1">(AI68*DATOSAÑO!$Z$11)/DATOSAÑO!$Y$11</f>
        <v>0</v>
      </c>
      <c r="AK68" s="9">
        <f ca="1">DATOSAÑO!BV67</f>
        <v>5.72</v>
      </c>
      <c r="AL68" s="11">
        <f ca="1">(AK68*DATOSAÑO!$Z$11)/DATOSAÑO!$Y$11</f>
        <v>0.10306674803984268</v>
      </c>
      <c r="AM68" s="9">
        <f ca="1">DATOSAÑO!BY67</f>
        <v>2.335</v>
      </c>
      <c r="AN68" s="11">
        <f ca="1">(AM68*DATOSAÑO!$Z$11)/DATOSAÑO!$Y$11</f>
        <v>4.2073576341439281E-2</v>
      </c>
      <c r="AO68" s="9">
        <f ca="1">DATOSAÑO!CF67</f>
        <v>10.567500000000937</v>
      </c>
      <c r="AP68" s="11">
        <f ca="1">(AO68*DATOSAÑO!$Z$11)/DATOSAÑO!$Y$11</f>
        <v>0.19041221327117727</v>
      </c>
      <c r="AQ68" s="9">
        <f ca="1">DATOSAÑO!CL67</f>
        <v>2.9871999999997016</v>
      </c>
      <c r="AR68" s="1300">
        <f ca="1">(AQ68*DATOSAÑO!$Z$11)/DATOSAÑO!$Y$11</f>
        <v>5.382534785744534E-2</v>
      </c>
      <c r="AS68" s="1334">
        <f t="shared" si="2"/>
        <v>9</v>
      </c>
    </row>
    <row r="69" spans="1:45" ht="15" thickBot="1">
      <c r="A69" s="1371">
        <v>44984</v>
      </c>
      <c r="B69" s="1021">
        <v>44984</v>
      </c>
      <c r="C69" s="9">
        <f ca="1">DATOSAÑO!I68</f>
        <v>283.84999999997672</v>
      </c>
      <c r="D69" s="10">
        <f ca="1">DATOSAÑO!$D68</f>
        <v>4.7910225598501839</v>
      </c>
      <c r="E69" s="11">
        <f ca="1">DATOSAÑO!$G68</f>
        <v>0</v>
      </c>
      <c r="F69" s="9">
        <f ca="1">DATOSAÑO!P68</f>
        <v>151.35000000000218</v>
      </c>
      <c r="G69" s="10">
        <f ca="1">DATOSAÑO!K68</f>
        <v>3.7105362755611146</v>
      </c>
      <c r="H69" s="11">
        <f ca="1">DATOSAÑO!N68</f>
        <v>0</v>
      </c>
      <c r="I69" s="9">
        <f ca="1">DATOSAÑO!Q68</f>
        <v>0</v>
      </c>
      <c r="J69" s="11">
        <f ca="1">DATOSAÑO!R68</f>
        <v>0</v>
      </c>
      <c r="K69" s="9">
        <f ca="1">DATOSAÑO!T68</f>
        <v>0</v>
      </c>
      <c r="L69" s="11">
        <f t="shared" ca="1" si="0"/>
        <v>0</v>
      </c>
      <c r="M69" s="9"/>
      <c r="N69" s="11">
        <f t="shared" si="1"/>
        <v>0</v>
      </c>
      <c r="O69" s="9">
        <f>DATOSAÑO!CT68</f>
        <v>0</v>
      </c>
      <c r="P69" s="9">
        <f>DATOSAÑO!CU68</f>
        <v>0</v>
      </c>
      <c r="Q69" s="9">
        <f ca="1">DATOSAÑO!AD68</f>
        <v>159.79999999993015</v>
      </c>
      <c r="R69" s="11">
        <f ca="1">(Q69*DATOSAÑO!$Z$11)/DATOSAÑO!$Y$11</f>
        <v>2.8793822267062348</v>
      </c>
      <c r="S69" s="9">
        <f ca="1">DATOSAÑO!AF68</f>
        <v>139.03000000002794</v>
      </c>
      <c r="T69" s="11">
        <f ca="1">(S69*DATOSAÑO!$Z$11)/DATOSAÑO!$Y$11</f>
        <v>2.5051346118850013</v>
      </c>
      <c r="U69" s="9">
        <f ca="1">DATOSAÑO!AH68</f>
        <v>13.80000000000291</v>
      </c>
      <c r="V69" s="11">
        <f ca="1">(U69*DATOSAÑO!$Z$11)/DATOSAÑO!$Y$11</f>
        <v>0.24865753897729528</v>
      </c>
      <c r="W69" s="9">
        <f ca="1">DATOSAÑO!AI68</f>
        <v>32.489999999997963</v>
      </c>
      <c r="X69" s="11">
        <f ca="1">(W69*DATOSAÑO!$Z$11)/DATOSAÑO!$Y$11</f>
        <v>0.58542633633116758</v>
      </c>
      <c r="Y69" s="9">
        <f ca="1">DATOSAÑO!AJ68</f>
        <v>8.8500000000058208</v>
      </c>
      <c r="Z69" s="11">
        <f ca="1">(Y69*DATOSAÑO!$Z$11)/DATOSAÑO!$Y$11</f>
        <v>0.15946516086594542</v>
      </c>
      <c r="AA69" s="9">
        <f ca="1">DATOSAÑO!AK68</f>
        <v>16.319999999977881</v>
      </c>
      <c r="AB69" s="11">
        <f ca="1">(AA69*DATOSAÑO!$Z$11)/DATOSAÑO!$Y$11</f>
        <v>0.29406456783355822</v>
      </c>
      <c r="AC69" s="9">
        <f ca="1">DATOSAÑO!AL68</f>
        <v>35.240000000088912</v>
      </c>
      <c r="AD69" s="11">
        <f ca="1">(AC69*DATOSAÑO!$Z$11)/DATOSAÑO!$Y$11</f>
        <v>0.63497765750580781</v>
      </c>
      <c r="AE69" s="9">
        <f ca="1">DATOSAÑO!AM68</f>
        <v>9.8549999999475215</v>
      </c>
      <c r="AF69" s="11">
        <f ca="1">(AE69*DATOSAÑO!$Z$11)/DATOSAÑO!$Y$11</f>
        <v>0.1775739164208463</v>
      </c>
      <c r="AG69" s="9">
        <f ca="1">DATOSAÑO!AN68</f>
        <v>3.7630000000000181</v>
      </c>
      <c r="AH69" s="11">
        <f ca="1">(AG69*DATOSAÑO!$Z$11)/DATOSAÑO!$Y$11</f>
        <v>6.7804226026910816E-2</v>
      </c>
      <c r="AI69" s="9">
        <f ca="1">DATOSAÑO!BS68</f>
        <v>0</v>
      </c>
      <c r="AJ69" s="11">
        <f ca="1">(AI69*DATOSAÑO!$Z$11)/DATOSAÑO!$Y$11</f>
        <v>0</v>
      </c>
      <c r="AK69" s="9">
        <f ca="1">DATOSAÑO!BV68</f>
        <v>5.7350000000000003</v>
      </c>
      <c r="AL69" s="11">
        <f ca="1">(AK69*DATOSAÑO!$Z$11)/DATOSAÑO!$Y$11</f>
        <v>0.10333702797351361</v>
      </c>
      <c r="AM69" s="9">
        <f ca="1">DATOSAÑO!BY68</f>
        <v>2.36</v>
      </c>
      <c r="AN69" s="11">
        <f ca="1">(AM69*DATOSAÑO!$Z$11)/DATOSAÑO!$Y$11</f>
        <v>4.2524042897557471E-2</v>
      </c>
      <c r="AO69" s="9">
        <f ca="1">DATOSAÑO!CF68</f>
        <v>11.417499999973543</v>
      </c>
      <c r="AP69" s="11">
        <f ca="1">(AO69*DATOSAÑO!$Z$11)/DATOSAÑO!$Y$11</f>
        <v>0.20572807617870226</v>
      </c>
      <c r="AQ69" s="9">
        <f ca="1">DATOSAÑO!CL68</f>
        <v>2.9722000000000075</v>
      </c>
      <c r="AR69" s="1300">
        <f ca="1">(AQ69*DATOSAÑO!$Z$11)/DATOSAÑO!$Y$11</f>
        <v>5.3555067923779925E-2</v>
      </c>
      <c r="AS69" s="1334">
        <f t="shared" si="2"/>
        <v>9</v>
      </c>
    </row>
    <row r="70" spans="1:45" ht="16.5" customHeight="1" thickBot="1">
      <c r="A70" s="1371">
        <v>44985</v>
      </c>
      <c r="B70" s="1021">
        <v>44985</v>
      </c>
      <c r="C70" s="85">
        <f ca="1">DATOSAÑO!I69</f>
        <v>279.46000000007916</v>
      </c>
      <c r="D70" s="86">
        <f ca="1">DATOSAÑO!$D69</f>
        <v>4.7552238067338131</v>
      </c>
      <c r="E70" s="87">
        <f ca="1">DATOSAÑO!$G69</f>
        <v>0</v>
      </c>
      <c r="F70" s="85">
        <f ca="1">DATOSAÑO!P69</f>
        <v>152.43000000000029</v>
      </c>
      <c r="G70" s="86">
        <f ca="1">DATOSAÑO!K69</f>
        <v>3.7193432581047405</v>
      </c>
      <c r="H70" s="87">
        <f ca="1">DATOSAÑO!N69</f>
        <v>0</v>
      </c>
      <c r="I70" s="85">
        <f ca="1">DATOSAÑO!Q69</f>
        <v>7.0000000000618456E-3</v>
      </c>
      <c r="J70" s="87">
        <f ca="1">DATOSAÑO!R69</f>
        <v>0.84000000000742148</v>
      </c>
      <c r="K70" s="85">
        <f ca="1">DATOSAÑO!T69</f>
        <v>0.58799999999996544</v>
      </c>
      <c r="L70" s="87">
        <f t="shared" ca="1" si="0"/>
        <v>70.559999999995853</v>
      </c>
      <c r="M70" s="85"/>
      <c r="N70" s="87">
        <f t="shared" si="1"/>
        <v>0</v>
      </c>
      <c r="O70" s="62">
        <f>DATOSAÑO!CT69</f>
        <v>0</v>
      </c>
      <c r="P70" s="61">
        <f>DATOSAÑO!CU69</f>
        <v>0.6</v>
      </c>
      <c r="Q70" s="85">
        <f ca="1">DATOSAÑO!AD69</f>
        <v>165.40000000002328</v>
      </c>
      <c r="R70" s="87">
        <f ca="1">(Q70*DATOSAÑO!$Z$11)/DATOSAÑO!$Y$11</f>
        <v>2.9802867352783879</v>
      </c>
      <c r="S70" s="85">
        <f ca="1">DATOSAÑO!AF69</f>
        <v>139.46999999997206</v>
      </c>
      <c r="T70" s="87">
        <f ca="1">(S70*DATOSAÑO!$Z$11)/DATOSAÑO!$Y$11</f>
        <v>2.513062823271675</v>
      </c>
      <c r="U70" s="85">
        <f ca="1">DATOSAÑO!AH69</f>
        <v>8.5999999999985448</v>
      </c>
      <c r="V70" s="87">
        <f ca="1">(U70*DATOSAÑO!$Z$11)/DATOSAÑO!$Y$11</f>
        <v>0.15496049530463235</v>
      </c>
      <c r="W70" s="85">
        <f ca="1">DATOSAÑO!AI69</f>
        <v>32.190000000002328</v>
      </c>
      <c r="X70" s="87">
        <f ca="1">(W70*DATOSAÑO!$Z$11)/DATOSAÑO!$Y$11</f>
        <v>0.58002073765782802</v>
      </c>
      <c r="Y70" s="85">
        <f ca="1">DATOSAÑO!AJ69</f>
        <v>8.5999999999912689</v>
      </c>
      <c r="Z70" s="87">
        <f ca="1">(Y70*DATOSAÑO!$Z$11)/DATOSAÑO!$Y$11</f>
        <v>0.15496049530450123</v>
      </c>
      <c r="AA70" s="85">
        <f ca="1">DATOSAÑO!AK69</f>
        <v>15.170000000012806</v>
      </c>
      <c r="AB70" s="87">
        <f ca="1">(AA70*DATOSAÑO!$Z$11)/DATOSAÑO!$Y$11</f>
        <v>0.2733431062527506</v>
      </c>
      <c r="AC70" s="85">
        <f ca="1">DATOSAÑO!AL69</f>
        <v>33.025000000036698</v>
      </c>
      <c r="AD70" s="87">
        <f ca="1">(AC70*DATOSAÑO!$Z$11)/DATOSAÑO!$Y$11</f>
        <v>0.59506632063279497</v>
      </c>
      <c r="AE70" s="85">
        <f ca="1">DATOSAÑO!AM69</f>
        <v>9.8320000000413792</v>
      </c>
      <c r="AF70" s="87">
        <f ca="1">(AE70*DATOSAÑO!$Z$11)/DATOSAÑO!$Y$11</f>
        <v>0.17715948719090874</v>
      </c>
      <c r="AG70" s="85">
        <f ca="1">DATOSAÑO!AN69</f>
        <v>3.7370000000004922</v>
      </c>
      <c r="AH70" s="87">
        <f ca="1">(AG70*DATOSAÑO!$Z$11)/DATOSAÑO!$Y$11</f>
        <v>6.7335740808556435E-2</v>
      </c>
      <c r="AI70" s="1327">
        <f ca="1">DATOSAÑO!BS69</f>
        <v>0</v>
      </c>
      <c r="AJ70" s="1328">
        <f ca="1">(AI70*DATOSAÑO!$Z$11)/DATOSAÑO!$Y$11</f>
        <v>0</v>
      </c>
      <c r="AK70" s="1327">
        <f ca="1">DATOSAÑO!BV69</f>
        <v>5.4770000000000003</v>
      </c>
      <c r="AL70" s="1328">
        <f ca="1">(AK70*DATOSAÑO!$Z$11)/DATOSAÑO!$Y$11</f>
        <v>9.8688213114373841E-2</v>
      </c>
      <c r="AM70" s="1327">
        <f ca="1">DATOSAÑO!BY69</f>
        <v>2.911</v>
      </c>
      <c r="AN70" s="1328">
        <f ca="1">(AM70*DATOSAÑO!$Z$11)/DATOSAÑO!$Y$11</f>
        <v>5.2452325794402462E-2</v>
      </c>
      <c r="AO70" s="1327">
        <f ca="1">DATOSAÑO!CF69</f>
        <v>11.486000000021308</v>
      </c>
      <c r="AP70" s="1328">
        <f ca="1">(AO70*DATOSAÑO!$Z$11)/DATOSAÑO!$Y$11</f>
        <v>0.20696235454332679</v>
      </c>
      <c r="AQ70" s="1327">
        <f ca="1">DATOSAÑO!CL69</f>
        <v>2.997800000000197</v>
      </c>
      <c r="AR70" s="1329">
        <f ca="1">(AQ70*DATOSAÑO!$Z$11)/DATOSAÑO!$Y$11</f>
        <v>5.4016345677248376E-2</v>
      </c>
      <c r="AS70" s="1335">
        <f t="shared" si="2"/>
        <v>9</v>
      </c>
    </row>
    <row r="71" spans="1:45" ht="15" thickBot="1">
      <c r="A71" s="1371">
        <v>44986</v>
      </c>
      <c r="B71" s="1021">
        <v>44986</v>
      </c>
      <c r="C71" s="173">
        <f ca="1">DATOSAÑO!I70</f>
        <v>277.73999999999069</v>
      </c>
      <c r="D71" s="174">
        <f ca="1">DATOSAÑO!$D70</f>
        <v>4.7411978715709964</v>
      </c>
      <c r="E71" s="175">
        <f ca="1">DATOSAÑO!$G70</f>
        <v>0</v>
      </c>
      <c r="F71" s="173">
        <f ca="1">DATOSAÑO!P70</f>
        <v>153.31999999999971</v>
      </c>
      <c r="G71" s="174">
        <f ca="1">DATOSAÑO!K70</f>
        <v>3.7266008640897734</v>
      </c>
      <c r="H71" s="175">
        <f ca="1">DATOSAÑO!N70</f>
        <v>0</v>
      </c>
      <c r="I71" s="173">
        <f ca="1">DATOSAÑO!Q70</f>
        <v>0</v>
      </c>
      <c r="J71" s="175">
        <f ca="1">DATOSAÑO!R70</f>
        <v>0</v>
      </c>
      <c r="K71" s="173">
        <f ca="1">DATOSAÑO!T70</f>
        <v>0</v>
      </c>
      <c r="L71" s="175">
        <f t="shared" ca="1" si="0"/>
        <v>0</v>
      </c>
      <c r="M71" s="173"/>
      <c r="N71" s="175">
        <f t="shared" si="1"/>
        <v>0</v>
      </c>
      <c r="O71" s="9">
        <f>DATOSAÑO!CT70</f>
        <v>0</v>
      </c>
      <c r="P71" s="9">
        <f>DATOSAÑO!CU70</f>
        <v>0</v>
      </c>
      <c r="Q71" s="173">
        <f ca="1">DATOSAÑO!AD70</f>
        <v>158.80000000004657</v>
      </c>
      <c r="R71" s="175">
        <f ca="1">(Q71*DATOSAÑO!$Z$11)/DATOSAÑO!$Y$11</f>
        <v>2.8613635644636042</v>
      </c>
      <c r="S71" s="173">
        <f ca="1">DATOSAÑO!AF70</f>
        <v>139.79999999998836</v>
      </c>
      <c r="T71" s="175">
        <f ca="1">(S71*DATOSAÑO!$Z$11)/DATOSAÑO!$Y$11</f>
        <v>2.5190089818127284</v>
      </c>
      <c r="U71" s="173">
        <f ca="1">DATOSAÑO!AH70</f>
        <v>9</v>
      </c>
      <c r="V71" s="175">
        <f ca="1">(U71*DATOSAÑO!$Z$11)/DATOSAÑO!$Y$11</f>
        <v>0.16216796020254967</v>
      </c>
      <c r="W71" s="173">
        <f ca="1">DATOSAÑO!AI70</f>
        <v>32.839999999996508</v>
      </c>
      <c r="X71" s="175">
        <f ca="1">(W71*DATOSAÑO!$Z$11)/DATOSAÑO!$Y$11</f>
        <v>0.59173286811679615</v>
      </c>
      <c r="Y71" s="173">
        <f ca="1">DATOSAÑO!AJ70</f>
        <v>6.4100000000034925</v>
      </c>
      <c r="Z71" s="175">
        <f ca="1">(Y71*DATOSAÑO!$Z$11)/DATOSAÑO!$Y$11</f>
        <v>0.11549962498876776</v>
      </c>
      <c r="AA71" s="173">
        <f ca="1">DATOSAÑO!AK70</f>
        <v>15.200000000011642</v>
      </c>
      <c r="AB71" s="175">
        <f ca="1">(AA71*DATOSAÑO!$Z$11)/DATOSAÑO!$Y$11</f>
        <v>0.27388366612007142</v>
      </c>
      <c r="AC71" s="173">
        <f ca="1">DATOSAÑO!AL70</f>
        <v>38.909999999897934</v>
      </c>
      <c r="AD71" s="175">
        <f ca="1">(AC71*DATOSAÑO!$Z$11)/DATOSAÑO!$Y$11</f>
        <v>0.7011061479405174</v>
      </c>
      <c r="AE71" s="173">
        <f ca="1">DATOSAÑO!AM70</f>
        <v>10.532000000046983</v>
      </c>
      <c r="AF71" s="175">
        <f ca="1">(AE71*DATOSAÑO!$Z$11)/DATOSAÑO!$Y$11</f>
        <v>0.18977255076231914</v>
      </c>
      <c r="AG71" s="173">
        <f ca="1">DATOSAÑO!AN70</f>
        <v>2.8869999999995088</v>
      </c>
      <c r="AH71" s="175">
        <f ca="1">(AG71*DATOSAÑO!$Z$11)/DATOSAÑO!$Y$11</f>
        <v>5.2019877900520144E-2</v>
      </c>
      <c r="AI71" s="9">
        <f ca="1">DATOSAÑO!BS70</f>
        <v>0</v>
      </c>
      <c r="AJ71" s="11">
        <f ca="1">(AI71*DATOSAÑO!$Z$11)/DATOSAÑO!$Y$11</f>
        <v>0</v>
      </c>
      <c r="AK71" s="9">
        <f ca="1">DATOSAÑO!BV70</f>
        <v>2.4340000000000002</v>
      </c>
      <c r="AL71" s="11">
        <f ca="1">(AK71*DATOSAÑO!$Z$11)/DATOSAÑO!$Y$11</f>
        <v>4.3857423903667335E-2</v>
      </c>
      <c r="AM71" s="9">
        <f ca="1">DATOSAÑO!BY70</f>
        <v>6.3739999999999997</v>
      </c>
      <c r="AN71" s="11">
        <f ca="1">(AM71*DATOSAÑO!$Z$11)/DATOSAÑO!$Y$11</f>
        <v>0.11485095314789462</v>
      </c>
      <c r="AO71" s="9">
        <f ca="1">DATOSAÑO!CF70</f>
        <v>11.736000000022837</v>
      </c>
      <c r="AP71" s="11">
        <f ca="1">(AO71*DATOSAÑO!$Z$11)/DATOSAÑO!$Y$11</f>
        <v>0.2114670201045363</v>
      </c>
      <c r="AQ71" s="9">
        <f ca="1">DATOSAÑO!CL70</f>
        <v>2.5577999999998036</v>
      </c>
      <c r="AR71" s="1300">
        <f ca="1">(AQ71*DATOSAÑO!$Z$11)/DATOSAÑO!$Y$11</f>
        <v>4.6088134289561079E-2</v>
      </c>
      <c r="AS71" s="1369">
        <f t="shared" si="2"/>
        <v>9</v>
      </c>
    </row>
    <row r="72" spans="1:45" ht="16.5" customHeight="1" thickBot="1">
      <c r="A72" s="1371">
        <v>44987</v>
      </c>
      <c r="B72" s="1021">
        <v>44987</v>
      </c>
      <c r="C72" s="9">
        <f ca="1">DATOSAÑO!I71</f>
        <v>281.19999999995343</v>
      </c>
      <c r="D72" s="10">
        <f ca="1">DATOSAÑO!$D71</f>
        <v>4.7694128341642088</v>
      </c>
      <c r="E72" s="11">
        <f ca="1">DATOSAÑO!$G71</f>
        <v>0</v>
      </c>
      <c r="F72" s="9">
        <f ca="1">DATOSAÑO!P71</f>
        <v>151.09999999999854</v>
      </c>
      <c r="G72" s="10">
        <f ca="1">DATOSAÑO!K71</f>
        <v>3.7084976221945016</v>
      </c>
      <c r="H72" s="11">
        <f ca="1">DATOSAÑO!N71</f>
        <v>0</v>
      </c>
      <c r="I72" s="9">
        <f ca="1">DATOSAÑO!Q71</f>
        <v>0</v>
      </c>
      <c r="J72" s="11">
        <f ca="1">DATOSAÑO!R71</f>
        <v>0</v>
      </c>
      <c r="K72" s="9">
        <f ca="1">DATOSAÑO!T71</f>
        <v>0</v>
      </c>
      <c r="L72" s="11">
        <f t="shared" ca="1" si="0"/>
        <v>0</v>
      </c>
      <c r="M72" s="9"/>
      <c r="N72" s="11">
        <f t="shared" si="1"/>
        <v>0</v>
      </c>
      <c r="O72" s="9">
        <f>DATOSAÑO!CT71</f>
        <v>0</v>
      </c>
      <c r="P72" s="9">
        <f>DATOSAÑO!CU71</f>
        <v>0</v>
      </c>
      <c r="Q72" s="9">
        <f ca="1">DATOSAÑO!AD71</f>
        <v>167.40000000002328</v>
      </c>
      <c r="R72" s="11">
        <f ca="1">(Q72*DATOSAÑO!$Z$11)/DATOSAÑO!$Y$11</f>
        <v>3.0163240597678436</v>
      </c>
      <c r="S72" s="9">
        <f ca="1">DATOSAÑO!AF71</f>
        <v>139.20000000001164</v>
      </c>
      <c r="T72" s="11">
        <f ca="1">(S72*DATOSAÑO!$Z$11)/DATOSAÑO!$Y$11</f>
        <v>2.5081977844663115</v>
      </c>
      <c r="U72" s="9">
        <f ca="1">DATOSAÑO!AH71</f>
        <v>9.1000000000003638</v>
      </c>
      <c r="V72" s="11">
        <f ca="1">(U72*DATOSAÑO!$Z$11)/DATOSAÑO!$Y$11</f>
        <v>0.16396982642702901</v>
      </c>
      <c r="W72" s="9">
        <f ca="1">DATOSAÑO!AI71</f>
        <v>36.969999999993888</v>
      </c>
      <c r="X72" s="11">
        <f ca="1">(W72*DATOSAÑO!$Z$11)/DATOSAÑO!$Y$11</f>
        <v>0.66614994318747456</v>
      </c>
      <c r="Y72" s="9">
        <f ca="1">DATOSAÑO!AJ71</f>
        <v>7.4000000000087311</v>
      </c>
      <c r="Z72" s="11">
        <f ca="1">(Y72*DATOSAÑO!$Z$11)/DATOSAÑO!$Y$11</f>
        <v>0.13333810061114262</v>
      </c>
      <c r="AA72" s="9">
        <f ca="1">DATOSAÑO!AK71</f>
        <v>15.399999999994179</v>
      </c>
      <c r="AB72" s="11">
        <f ca="1">(AA72*DATOSAÑO!$Z$11)/DATOSAÑO!$Y$11</f>
        <v>0.27748739856870236</v>
      </c>
      <c r="AC72" s="9">
        <f ca="1">DATOSAÑO!AL71</f>
        <v>29.429999999980282</v>
      </c>
      <c r="AD72" s="11">
        <f ca="1">(AC72*DATOSAÑO!$Z$11)/DATOSAÑO!$Y$11</f>
        <v>0.53028922986198213</v>
      </c>
      <c r="AE72" s="9">
        <f ca="1">DATOSAÑO!AM71</f>
        <v>8.2769999999392994</v>
      </c>
      <c r="AF72" s="11">
        <f ca="1">(AE72*DATOSAÑO!$Z$11)/DATOSAÑO!$Y$11</f>
        <v>0.14914046739851777</v>
      </c>
      <c r="AG72" s="9">
        <f ca="1">DATOSAÑO!AN71</f>
        <v>2.4980000000002001</v>
      </c>
      <c r="AH72" s="11">
        <f ca="1">(AG72*DATOSAÑO!$Z$11)/DATOSAÑO!$Y$11</f>
        <v>4.5010618287333506E-2</v>
      </c>
      <c r="AI72" s="9">
        <f ca="1">DATOSAÑO!BS71</f>
        <v>0</v>
      </c>
      <c r="AJ72" s="11">
        <f ca="1">(AI72*DATOSAÑO!$Z$11)/DATOSAÑO!$Y$11</f>
        <v>0</v>
      </c>
      <c r="AK72" s="9">
        <f ca="1">DATOSAÑO!BV71</f>
        <v>2.431</v>
      </c>
      <c r="AL72" s="11">
        <f ca="1">(AK72*DATOSAÑO!$Z$11)/DATOSAÑO!$Y$11</f>
        <v>4.3803367916933143E-2</v>
      </c>
      <c r="AM72" s="9">
        <f ca="1">DATOSAÑO!BY71</f>
        <v>6.282</v>
      </c>
      <c r="AN72" s="11">
        <f ca="1">(AM72*DATOSAÑO!$Z$11)/DATOSAÑO!$Y$11</f>
        <v>0.11319323622137968</v>
      </c>
      <c r="AO72" s="9">
        <f ca="1">DATOSAÑO!CF71</f>
        <v>10.518499999969759</v>
      </c>
      <c r="AP72" s="11">
        <f ca="1">(AO72*DATOSAÑO!$Z$11)/DATOSAÑO!$Y$11</f>
        <v>0.18952929882062386</v>
      </c>
      <c r="AQ72" s="9">
        <f ca="1">DATOSAÑO!CL71</f>
        <v>2.5312000000000801</v>
      </c>
      <c r="AR72" s="1300">
        <f ca="1">(AQ72*DATOSAÑO!$Z$11)/DATOSAÑO!$Y$11</f>
        <v>4.5608837873856299E-2</v>
      </c>
      <c r="AS72" s="1334">
        <f t="shared" si="2"/>
        <v>9</v>
      </c>
    </row>
    <row r="73" spans="1:45" ht="15" thickBot="1">
      <c r="A73" s="1371">
        <v>44988</v>
      </c>
      <c r="B73" s="1021">
        <v>44988</v>
      </c>
      <c r="C73" s="9">
        <f ca="1">DATOSAÑO!I72</f>
        <v>280.03000000002794</v>
      </c>
      <c r="D73" s="10">
        <f ca="1">DATOSAÑO!$D72</f>
        <v>4.7598719364092057</v>
      </c>
      <c r="E73" s="11">
        <f ca="1">DATOSAÑO!$G72</f>
        <v>0</v>
      </c>
      <c r="F73" s="9">
        <f ca="1">DATOSAÑO!P72</f>
        <v>149.35000000000218</v>
      </c>
      <c r="G73" s="10">
        <f ca="1">DATOSAÑO!K72</f>
        <v>3.6942270486284468</v>
      </c>
      <c r="H73" s="11">
        <f ca="1">DATOSAÑO!N72</f>
        <v>0</v>
      </c>
      <c r="I73" s="9">
        <f ca="1">DATOSAÑO!Q72</f>
        <v>0</v>
      </c>
      <c r="J73" s="11">
        <f ca="1">DATOSAÑO!R72</f>
        <v>0</v>
      </c>
      <c r="K73" s="9">
        <f ca="1">DATOSAÑO!T72</f>
        <v>0</v>
      </c>
      <c r="L73" s="11">
        <f t="shared" ca="1" si="0"/>
        <v>0</v>
      </c>
      <c r="M73" s="9"/>
      <c r="N73" s="11">
        <f t="shared" si="1"/>
        <v>0</v>
      </c>
      <c r="O73" s="9">
        <f>DATOSAÑO!CT72</f>
        <v>0</v>
      </c>
      <c r="P73" s="9">
        <f>DATOSAÑO!CU72</f>
        <v>0</v>
      </c>
      <c r="Q73" s="9">
        <f ca="1">DATOSAÑO!AD72</f>
        <v>160.29999999993015</v>
      </c>
      <c r="R73" s="11">
        <f ca="1">(Q73*DATOSAÑO!$Z$11)/DATOSAÑO!$Y$11</f>
        <v>2.8883915578285984</v>
      </c>
      <c r="S73" s="9">
        <f ca="1">DATOSAÑO!AF72</f>
        <v>137.90000000002328</v>
      </c>
      <c r="T73" s="11">
        <f ca="1">(S73*DATOSAÑO!$Z$11)/DATOSAÑO!$Y$11</f>
        <v>2.4847735235483754</v>
      </c>
      <c r="U73" s="9">
        <f ca="1">DATOSAÑO!AH72</f>
        <v>10.599999999996726</v>
      </c>
      <c r="V73" s="11">
        <f ca="1">(U73*DATOSAÑO!$Z$11)/DATOSAÑO!$Y$11</f>
        <v>0.19099781979405508</v>
      </c>
      <c r="W73" s="9">
        <f ca="1">DATOSAÑO!AI72</f>
        <v>36.710000000006403</v>
      </c>
      <c r="X73" s="11">
        <f ca="1">(W73*DATOSAÑO!$Z$11)/DATOSAÑO!$Y$11</f>
        <v>0.66146509100407069</v>
      </c>
      <c r="Y73" s="9">
        <f ca="1">DATOSAÑO!AJ72</f>
        <v>7.1299999999901047</v>
      </c>
      <c r="Z73" s="11">
        <f ca="1">(Y73*DATOSAÑO!$Z$11)/DATOSAÑO!$Y$11</f>
        <v>0.1284730618047305</v>
      </c>
      <c r="AA73" s="9">
        <f ca="1">DATOSAÑO!AK72</f>
        <v>14.940000000002328</v>
      </c>
      <c r="AB73" s="11">
        <f ca="1">(AA73*DATOSAÑO!$Z$11)/DATOSAÑO!$Y$11</f>
        <v>0.26919881393627443</v>
      </c>
      <c r="AC73" s="9">
        <f ca="1">DATOSAÑO!AL72</f>
        <v>33.800000000066575</v>
      </c>
      <c r="AD73" s="11">
        <f ca="1">(AC73*DATOSAÑO!$Z$11)/DATOSAÑO!$Y$11</f>
        <v>0.60903078387299725</v>
      </c>
      <c r="AE73" s="9">
        <f ca="1">DATOSAÑO!AM72</f>
        <v>8.8450000000147515</v>
      </c>
      <c r="AF73" s="11">
        <f ca="1">(AE73*DATOSAÑO!$Z$11)/DATOSAÑO!$Y$11</f>
        <v>0.15937506755488268</v>
      </c>
      <c r="AG73" s="9">
        <f ca="1">DATOSAÑO!AN72</f>
        <v>2.6529999999998362</v>
      </c>
      <c r="AH73" s="11">
        <f ca="1">(AG73*DATOSAÑO!$Z$11)/DATOSAÑO!$Y$11</f>
        <v>4.7803510935259752E-2</v>
      </c>
      <c r="AI73" s="9">
        <f ca="1">DATOSAÑO!BS72</f>
        <v>0</v>
      </c>
      <c r="AJ73" s="11">
        <f ca="1">(AI73*DATOSAÑO!$Z$11)/DATOSAÑO!$Y$11</f>
        <v>0</v>
      </c>
      <c r="AK73" s="9">
        <f ca="1">DATOSAÑO!BV72</f>
        <v>2.39</v>
      </c>
      <c r="AL73" s="11">
        <f ca="1">(AK73*DATOSAÑO!$Z$11)/DATOSAÑO!$Y$11</f>
        <v>4.3064602764899311E-2</v>
      </c>
      <c r="AM73" s="9">
        <f ca="1">DATOSAÑO!BY72</f>
        <v>6.2949999999999999</v>
      </c>
      <c r="AN73" s="11">
        <f ca="1">(AM73*DATOSAÑO!$Z$11)/DATOSAÑO!$Y$11</f>
        <v>0.11342747883056113</v>
      </c>
      <c r="AO73" s="9">
        <f ca="1">DATOSAÑO!CF72</f>
        <v>10.712500000007338</v>
      </c>
      <c r="AP73" s="11">
        <f ca="1">(AO73*DATOSAÑO!$Z$11)/DATOSAÑO!$Y$11</f>
        <v>0.19302491929677817</v>
      </c>
      <c r="AQ73" s="9">
        <f ca="1">DATOSAÑO!CL72</f>
        <v>2.5881999999999343</v>
      </c>
      <c r="AR73" s="1300">
        <f ca="1">(AQ73*DATOSAÑO!$Z$11)/DATOSAÑO!$Y$11</f>
        <v>4.6635901621803165E-2</v>
      </c>
      <c r="AS73" s="1334">
        <f t="shared" si="2"/>
        <v>9</v>
      </c>
    </row>
    <row r="74" spans="1:45" ht="16.5" customHeight="1" thickBot="1">
      <c r="A74" s="1371">
        <v>44989</v>
      </c>
      <c r="B74" s="1021">
        <v>44989</v>
      </c>
      <c r="C74" s="9">
        <f ca="1">DATOSAÑO!I73</f>
        <v>290.34999999997672</v>
      </c>
      <c r="D74" s="10">
        <f ca="1">DATOSAÑO!$D73</f>
        <v>4.8440275473813568</v>
      </c>
      <c r="E74" s="11">
        <f ca="1">DATOSAÑO!$G73</f>
        <v>0</v>
      </c>
      <c r="F74" s="9">
        <f ca="1">DATOSAÑO!P73</f>
        <v>149.96999999999753</v>
      </c>
      <c r="G74" s="10">
        <f ca="1">DATOSAÑO!K73</f>
        <v>3.6992829089775361</v>
      </c>
      <c r="H74" s="11">
        <f ca="1">DATOSAÑO!N73</f>
        <v>0</v>
      </c>
      <c r="I74" s="9">
        <f ca="1">DATOSAÑO!Q73</f>
        <v>0</v>
      </c>
      <c r="J74" s="11">
        <f ca="1">DATOSAÑO!R73</f>
        <v>0</v>
      </c>
      <c r="K74" s="9">
        <f ca="1">DATOSAÑO!T73</f>
        <v>0</v>
      </c>
      <c r="L74" s="11">
        <f t="shared" ca="1" si="0"/>
        <v>0</v>
      </c>
      <c r="M74" s="9"/>
      <c r="N74" s="11">
        <f t="shared" si="1"/>
        <v>0</v>
      </c>
      <c r="O74" s="9">
        <f>DATOSAÑO!CT73</f>
        <v>0</v>
      </c>
      <c r="P74" s="9">
        <f>DATOSAÑO!CU73</f>
        <v>0</v>
      </c>
      <c r="Q74" s="9">
        <f ca="1">DATOSAÑO!AD73</f>
        <v>164.30000000004657</v>
      </c>
      <c r="R74" s="11">
        <f ca="1">(Q74*DATOSAÑO!$Z$11)/DATOSAÑO!$Y$11</f>
        <v>2.9604662068096075</v>
      </c>
      <c r="S74" s="9">
        <f ca="1">DATOSAÑO!AF73</f>
        <v>137.79999999998836</v>
      </c>
      <c r="T74" s="11">
        <f ca="1">(S74*DATOSAÑO!$Z$11)/DATOSAÑO!$Y$11</f>
        <v>2.4829716573232727</v>
      </c>
      <c r="U74" s="9">
        <f ca="1">DATOSAÑO!AH73</f>
        <v>11.900000000005093</v>
      </c>
      <c r="V74" s="11">
        <f ca="1">(U74*DATOSAÑO!$Z$11)/DATOSAÑO!$Y$11</f>
        <v>0.21442208071235191</v>
      </c>
      <c r="W74" s="9">
        <f ca="1">DATOSAÑO!AI73</f>
        <v>38.220000000001164</v>
      </c>
      <c r="X74" s="11">
        <f ca="1">(W74*DATOSAÑO!$Z$11)/DATOSAÑO!$Y$11</f>
        <v>0.68867327099351527</v>
      </c>
      <c r="Y74" s="9">
        <f ca="1">DATOSAÑO!AJ73</f>
        <v>8.4700000000011642</v>
      </c>
      <c r="Z74" s="11">
        <f ca="1">(Y74*DATOSAÑO!$Z$11)/DATOSAÑO!$Y$11</f>
        <v>0.15261806921286497</v>
      </c>
      <c r="AA74" s="9">
        <f ca="1">DATOSAÑO!AK73</f>
        <v>15.910000000003492</v>
      </c>
      <c r="AB74" s="11">
        <f ca="1">(AA74*DATOSAÑO!$Z$11)/DATOSAÑO!$Y$11</f>
        <v>0.28667691631368131</v>
      </c>
      <c r="AC74" s="9">
        <f ca="1">DATOSAÑO!AL73</f>
        <v>33.419999999929189</v>
      </c>
      <c r="AD74" s="11">
        <f ca="1">(AC74*DATOSAÑO!$Z$11)/DATOSAÑO!$Y$11</f>
        <v>0.60218369221752521</v>
      </c>
      <c r="AE74" s="9">
        <f ca="1">DATOSAÑO!AM73</f>
        <v>11.120999999999109</v>
      </c>
      <c r="AF74" s="11">
        <f ca="1">(AE74*DATOSAÑO!$Z$11)/DATOSAÑO!$Y$11</f>
        <v>0.20038554282360116</v>
      </c>
      <c r="AG74" s="9">
        <f ca="1">DATOSAÑO!AN73</f>
        <v>2.4979999999999452</v>
      </c>
      <c r="AH74" s="11">
        <f ca="1">(AG74*DATOSAÑO!$Z$11)/DATOSAÑO!$Y$11</f>
        <v>4.5010618287328913E-2</v>
      </c>
      <c r="AI74" s="9">
        <f ca="1">DATOSAÑO!BS73</f>
        <v>0</v>
      </c>
      <c r="AJ74" s="11">
        <f ca="1">(AI74*DATOSAÑO!$Z$11)/DATOSAÑO!$Y$11</f>
        <v>0</v>
      </c>
      <c r="AK74" s="9">
        <f ca="1">DATOSAÑO!BV73</f>
        <v>2.3879999999999999</v>
      </c>
      <c r="AL74" s="11">
        <f ca="1">(AK74*DATOSAÑO!$Z$11)/DATOSAÑO!$Y$11</f>
        <v>4.3028565440409852E-2</v>
      </c>
      <c r="AM74" s="9">
        <f ca="1">DATOSAÑO!BY73</f>
        <v>6.2210000000000001</v>
      </c>
      <c r="AN74" s="11">
        <f ca="1">(AM74*DATOSAÑO!$Z$11)/DATOSAÑO!$Y$11</f>
        <v>0.11209409782445127</v>
      </c>
      <c r="AO74" s="9">
        <f ca="1">DATOSAÑO!CF73</f>
        <v>12.070499999999772</v>
      </c>
      <c r="AP74" s="11">
        <f ca="1">(AO74*DATOSAÑO!$Z$11)/DATOSAÑO!$Y$11</f>
        <v>0.21749426262498212</v>
      </c>
      <c r="AQ74" s="9">
        <f ca="1">DATOSAÑO!CL73</f>
        <v>2.5611999999999782</v>
      </c>
      <c r="AR74" s="1300">
        <f ca="1">(AQ74*DATOSAÑO!$Z$11)/DATOSAÑO!$Y$11</f>
        <v>4.6149397741196301E-2</v>
      </c>
      <c r="AS74" s="1334">
        <f t="shared" si="2"/>
        <v>9</v>
      </c>
    </row>
    <row r="75" spans="1:45" ht="15" thickBot="1">
      <c r="A75" s="1371">
        <v>44990</v>
      </c>
      <c r="B75" s="1021">
        <v>44990</v>
      </c>
      <c r="C75" s="9">
        <f ca="1">DATOSAÑO!I74</f>
        <v>278.21999999997206</v>
      </c>
      <c r="D75" s="10">
        <f ca="1">DATOSAÑO!$D74</f>
        <v>4.7451120860346849</v>
      </c>
      <c r="E75" s="11">
        <f ca="1">DATOSAÑO!$G74</f>
        <v>0</v>
      </c>
      <c r="F75" s="9">
        <f ca="1">DATOSAÑO!P74</f>
        <v>150.53000000000247</v>
      </c>
      <c r="G75" s="10">
        <f ca="1">DATOSAÑO!K74</f>
        <v>3.7038494925187235</v>
      </c>
      <c r="H75" s="11">
        <f ca="1">DATOSAÑO!N74</f>
        <v>0</v>
      </c>
      <c r="I75" s="9">
        <f ca="1">DATOSAÑO!Q74</f>
        <v>0</v>
      </c>
      <c r="J75" s="11">
        <f ca="1">DATOSAÑO!R74</f>
        <v>0</v>
      </c>
      <c r="K75" s="9">
        <f ca="1">DATOSAÑO!T74</f>
        <v>0</v>
      </c>
      <c r="L75" s="11">
        <f t="shared" ca="1" si="0"/>
        <v>0</v>
      </c>
      <c r="M75" s="9"/>
      <c r="N75" s="11">
        <f t="shared" si="1"/>
        <v>0</v>
      </c>
      <c r="O75" s="9">
        <f>DATOSAÑO!CT74</f>
        <v>0</v>
      </c>
      <c r="P75" s="9">
        <f>DATOSAÑO!CU74</f>
        <v>0</v>
      </c>
      <c r="Q75" s="9">
        <f ca="1">DATOSAÑO!AD74</f>
        <v>162.40000000002328</v>
      </c>
      <c r="R75" s="11">
        <f ca="1">(Q75*DATOSAÑO!$Z$11)/DATOSAÑO!$Y$11</f>
        <v>2.9262307485442052</v>
      </c>
      <c r="S75" s="9">
        <f ca="1">DATOSAÑO!AF74</f>
        <v>139.29999999998836</v>
      </c>
      <c r="T75" s="11">
        <f ca="1">(S75*DATOSAÑO!$Z$11)/DATOSAÑO!$Y$11</f>
        <v>2.5099996506903648</v>
      </c>
      <c r="U75" s="9">
        <f ca="1">DATOSAÑO!AH74</f>
        <v>7.3999999999996362</v>
      </c>
      <c r="V75" s="11">
        <f ca="1">(U75*DATOSAÑO!$Z$11)/DATOSAÑO!$Y$11</f>
        <v>0.13333810061097873</v>
      </c>
      <c r="W75" s="9">
        <f ca="1">DATOSAÑO!AI74</f>
        <v>38.229999999995925</v>
      </c>
      <c r="X75" s="11">
        <f ca="1">(W75*DATOSAÑO!$Z$11)/DATOSAÑO!$Y$11</f>
        <v>0.68885345761586825</v>
      </c>
      <c r="Y75" s="9">
        <f ca="1">DATOSAÑO!AJ74</f>
        <v>5.6699999999982538</v>
      </c>
      <c r="Z75" s="11">
        <f ca="1">(Y75*DATOSAÑO!$Z$11)/DATOSAÑO!$Y$11</f>
        <v>0.10216581492757483</v>
      </c>
      <c r="AA75" s="9">
        <f ca="1">DATOSAÑO!AK74</f>
        <v>14.379999999975553</v>
      </c>
      <c r="AB75" s="11">
        <f ca="1">(AA75*DATOSAÑO!$Z$11)/DATOSAÑO!$Y$11</f>
        <v>0.25910836307874446</v>
      </c>
      <c r="AC75" s="9">
        <f ca="1">DATOSAÑO!AL74</f>
        <v>32.969999999959384</v>
      </c>
      <c r="AD75" s="11">
        <f ca="1">(AC75*DATOSAÑO!$Z$11)/DATOSAÑO!$Y$11</f>
        <v>0.59407529420794181</v>
      </c>
      <c r="AE75" s="9">
        <f ca="1">DATOSAÑO!AM74</f>
        <v>9.3650000000341613</v>
      </c>
      <c r="AF75" s="11">
        <f ca="1">(AE75*DATOSAÑO!$Z$11)/DATOSAÑO!$Y$11</f>
        <v>0.16874477192249085</v>
      </c>
      <c r="AG75" s="9">
        <f ca="1">DATOSAÑO!AN74</f>
        <v>2.4660000000001818</v>
      </c>
      <c r="AH75" s="11">
        <f ca="1">(AG75*DATOSAÑO!$Z$11)/DATOSAÑO!$Y$11</f>
        <v>4.4434021095501888E-2</v>
      </c>
      <c r="AI75" s="9">
        <f ca="1">DATOSAÑO!BS74</f>
        <v>0</v>
      </c>
      <c r="AJ75" s="11">
        <f ca="1">(AI75*DATOSAÑO!$Z$11)/DATOSAÑO!$Y$11</f>
        <v>0</v>
      </c>
      <c r="AK75" s="9">
        <f ca="1">DATOSAÑO!BV74</f>
        <v>2.4169999999999998</v>
      </c>
      <c r="AL75" s="11">
        <f ca="1">(AK75*DATOSAÑO!$Z$11)/DATOSAÑO!$Y$11</f>
        <v>4.3551106645506953E-2</v>
      </c>
      <c r="AM75" s="9">
        <f ca="1">DATOSAÑO!BY74</f>
        <v>6.1580000000000004</v>
      </c>
      <c r="AN75" s="11">
        <f ca="1">(AM75*DATOSAÑO!$Z$11)/DATOSAÑO!$Y$11</f>
        <v>0.11095892210303344</v>
      </c>
      <c r="AO75" s="9">
        <f ca="1">DATOSAÑO!CF74</f>
        <v>11.092500000016935</v>
      </c>
      <c r="AP75" s="11">
        <f ca="1">(AO75*DATOSAÑO!$Z$11)/DATOSAÑO!$Y$11</f>
        <v>0.19987201094994764</v>
      </c>
      <c r="AQ75" s="9">
        <f ca="1">DATOSAÑO!CL74</f>
        <v>2.5704000000000731</v>
      </c>
      <c r="AR75" s="1300">
        <f ca="1">(AQ75*DATOSAÑO!$Z$11)/DATOSAÑO!$Y$11</f>
        <v>4.6315169433849501E-2</v>
      </c>
      <c r="AS75" s="1334">
        <f t="shared" si="2"/>
        <v>10</v>
      </c>
    </row>
    <row r="76" spans="1:45" ht="16.5" customHeight="1" thickBot="1">
      <c r="A76" s="1371">
        <v>44991</v>
      </c>
      <c r="B76" s="1021">
        <v>44991</v>
      </c>
      <c r="C76" s="9">
        <f ca="1">DATOSAÑO!I75</f>
        <v>285.30000000004657</v>
      </c>
      <c r="D76" s="10">
        <f ca="1">DATOSAÑO!$D75</f>
        <v>4.8028467493769389</v>
      </c>
      <c r="E76" s="11">
        <f ca="1">DATOSAÑO!$G75</f>
        <v>0</v>
      </c>
      <c r="F76" s="9">
        <f ca="1">DATOSAÑO!P75</f>
        <v>148.64999999999782</v>
      </c>
      <c r="G76" s="10">
        <f ca="1">DATOSAÑO!K75</f>
        <v>3.6885188192019771</v>
      </c>
      <c r="H76" s="11">
        <f ca="1">DATOSAÑO!N75</f>
        <v>0</v>
      </c>
      <c r="I76" s="9">
        <f ca="1">DATOSAÑO!Q75</f>
        <v>0</v>
      </c>
      <c r="J76" s="11">
        <f ca="1">DATOSAÑO!R75</f>
        <v>0</v>
      </c>
      <c r="K76" s="9">
        <f ca="1">DATOSAÑO!T75</f>
        <v>0</v>
      </c>
      <c r="L76" s="11">
        <f t="shared" ref="L76:L139" ca="1" si="3">K76*120</f>
        <v>0</v>
      </c>
      <c r="M76" s="9"/>
      <c r="N76" s="11">
        <f t="shared" ref="N76:N139" si="4">M76*120</f>
        <v>0</v>
      </c>
      <c r="O76" s="9">
        <f>DATOSAÑO!CT75</f>
        <v>0</v>
      </c>
      <c r="P76" s="9">
        <f>DATOSAÑO!CU75</f>
        <v>0</v>
      </c>
      <c r="Q76" s="9">
        <f ca="1">DATOSAÑO!AD75</f>
        <v>162.19999999995343</v>
      </c>
      <c r="R76" s="11">
        <f ca="1">(Q76*DATOSAÑO!$Z$11)/DATOSAÑO!$Y$11</f>
        <v>2.9226270160940007</v>
      </c>
      <c r="S76" s="9">
        <f ca="1">DATOSAÑO!AF75</f>
        <v>136</v>
      </c>
      <c r="T76" s="11">
        <f ca="1">(S76*DATOSAÑO!$Z$11)/DATOSAÑO!$Y$11</f>
        <v>2.4505380652829731</v>
      </c>
      <c r="U76" s="9">
        <f ca="1">DATOSAÑO!AH75</f>
        <v>10.600000000000364</v>
      </c>
      <c r="V76" s="11">
        <f ca="1">(U76*DATOSAÑO!$Z$11)/DATOSAÑO!$Y$11</f>
        <v>0.19099781979412062</v>
      </c>
      <c r="W76" s="9">
        <f ca="1">DATOSAÑO!AI75</f>
        <v>37.270000000004075</v>
      </c>
      <c r="X76" s="11">
        <f ca="1">(W76*DATOSAÑO!$Z$11)/DATOSAÑO!$Y$11</f>
        <v>0.67155554186107635</v>
      </c>
      <c r="Y76" s="9">
        <f ca="1">DATOSAÑO!AJ75</f>
        <v>8.6300000000046566</v>
      </c>
      <c r="Z76" s="11">
        <f ca="1">(Y76*DATOSAÑO!$Z$11)/DATOSAÑO!$Y$11</f>
        <v>0.15550105517208432</v>
      </c>
      <c r="AA76" s="9">
        <f ca="1">DATOSAÑO!AK75</f>
        <v>15.170000000012806</v>
      </c>
      <c r="AB76" s="11">
        <f ca="1">(AA76*DATOSAÑO!$Z$11)/DATOSAÑO!$Y$11</f>
        <v>0.2733431062527506</v>
      </c>
      <c r="AC76" s="9">
        <f ca="1">DATOSAÑO!AL75</f>
        <v>34.680000000093116</v>
      </c>
      <c r="AD76" s="11">
        <f ca="1">(AC76*DATOSAÑO!$Z$11)/DATOSAÑO!$Y$11</f>
        <v>0.6248872066488359</v>
      </c>
      <c r="AE76" s="9">
        <f ca="1">DATOSAÑO!AM75</f>
        <v>9.3289999999753181</v>
      </c>
      <c r="AF76" s="11">
        <f ca="1">(AE76*DATOSAÑO!$Z$11)/DATOSAÑO!$Y$11</f>
        <v>0.1680961000806204</v>
      </c>
      <c r="AG76" s="9">
        <f ca="1">DATOSAÑO!AN75</f>
        <v>2.5759999999996541</v>
      </c>
      <c r="AH76" s="11">
        <f ca="1">(AG76*DATOSAÑO!$Z$11)/DATOSAÑO!$Y$11</f>
        <v>4.6416073942412435E-2</v>
      </c>
      <c r="AI76" s="9">
        <f ca="1">DATOSAÑO!BS75</f>
        <v>0</v>
      </c>
      <c r="AJ76" s="11">
        <f ca="1">(AI76*DATOSAÑO!$Z$11)/DATOSAÑO!$Y$11</f>
        <v>0</v>
      </c>
      <c r="AK76" s="9">
        <f ca="1">DATOSAÑO!BV75</f>
        <v>2.395</v>
      </c>
      <c r="AL76" s="11">
        <f ca="1">(AK76*DATOSAÑO!$Z$11)/DATOSAÑO!$Y$11</f>
        <v>4.3154696076122948E-2</v>
      </c>
      <c r="AM76" s="9">
        <f ca="1">DATOSAÑO!BY75</f>
        <v>6.1660000000000004</v>
      </c>
      <c r="AN76" s="11">
        <f ca="1">(AM76*DATOSAÑO!$Z$11)/DATOSAÑO!$Y$11</f>
        <v>0.11110307140099127</v>
      </c>
      <c r="AO76" s="9">
        <f ca="1">DATOSAÑO!CF75</f>
        <v>12.044499999988677</v>
      </c>
      <c r="AP76" s="11">
        <f ca="1">(AO76*DATOSAÑO!$Z$11)/DATOSAÑO!$Y$11</f>
        <v>0.21702577740641926</v>
      </c>
      <c r="AQ76" s="9">
        <f ca="1">DATOSAÑO!CL75</f>
        <v>2.5843999999998619</v>
      </c>
      <c r="AR76" s="1300">
        <f ca="1">(AQ76*DATOSAÑO!$Z$11)/DATOSAÑO!$Y$11</f>
        <v>4.6567430705271896E-2</v>
      </c>
      <c r="AS76" s="1334">
        <f t="shared" si="2"/>
        <v>10</v>
      </c>
    </row>
    <row r="77" spans="1:45" ht="15" thickBot="1">
      <c r="A77" s="1371">
        <v>44992</v>
      </c>
      <c r="B77" s="1021">
        <v>44992</v>
      </c>
      <c r="C77" s="9">
        <f ca="1">DATOSAÑO!I76</f>
        <v>299</v>
      </c>
      <c r="D77" s="10">
        <f ca="1">DATOSAÑO!$D76</f>
        <v>4.9145649538653373</v>
      </c>
      <c r="E77" s="11">
        <f ca="1">DATOSAÑO!$G76</f>
        <v>0</v>
      </c>
      <c r="F77" s="9">
        <f ca="1">DATOSAÑO!P76</f>
        <v>152.60000000000218</v>
      </c>
      <c r="G77" s="10">
        <f ca="1">DATOSAÑO!K76</f>
        <v>3.7207295423940328</v>
      </c>
      <c r="H77" s="11">
        <f ca="1">DATOSAÑO!N76</f>
        <v>0</v>
      </c>
      <c r="I77" s="9">
        <f ca="1">DATOSAÑO!Q76</f>
        <v>0</v>
      </c>
      <c r="J77" s="11">
        <f ca="1">DATOSAÑO!R76</f>
        <v>0</v>
      </c>
      <c r="K77" s="9">
        <f ca="1">DATOSAÑO!T76</f>
        <v>0</v>
      </c>
      <c r="L77" s="11">
        <f t="shared" ca="1" si="3"/>
        <v>0</v>
      </c>
      <c r="M77" s="9"/>
      <c r="N77" s="11">
        <f t="shared" si="4"/>
        <v>0</v>
      </c>
      <c r="O77" s="9">
        <f>DATOSAÑO!CT76</f>
        <v>0</v>
      </c>
      <c r="P77" s="9">
        <f>DATOSAÑO!CU76</f>
        <v>0</v>
      </c>
      <c r="Q77" s="9">
        <f ca="1">DATOSAÑO!AD76</f>
        <v>165</v>
      </c>
      <c r="R77" s="11">
        <f ca="1">(Q77*DATOSAÑO!$Z$11)/DATOSAÑO!$Y$11</f>
        <v>2.9730792703800777</v>
      </c>
      <c r="S77" s="9">
        <f ca="1">DATOSAÑO!AF76</f>
        <v>145</v>
      </c>
      <c r="T77" s="11">
        <f ca="1">(S77*DATOSAÑO!$Z$11)/DATOSAÑO!$Y$11</f>
        <v>2.6127060254855223</v>
      </c>
      <c r="U77" s="9">
        <f ca="1">DATOSAÑO!AH76</f>
        <v>10.600000000000364</v>
      </c>
      <c r="V77" s="11">
        <f ca="1">(U77*DATOSAÑO!$Z$11)/DATOSAÑO!$Y$11</f>
        <v>0.19099781979412062</v>
      </c>
      <c r="W77" s="9">
        <f ca="1">DATOSAÑO!AI76</f>
        <v>39</v>
      </c>
      <c r="X77" s="11">
        <f ca="1">(W77*DATOSAÑO!$Z$11)/DATOSAÑO!$Y$11</f>
        <v>0.7027278275443819</v>
      </c>
      <c r="Y77" s="9">
        <f ca="1">DATOSAÑO!AJ76</f>
        <v>9.8999999999941792</v>
      </c>
      <c r="Z77" s="11">
        <f ca="1">(Y77*DATOSAÑO!$Z$11)/DATOSAÑO!$Y$11</f>
        <v>0.17838475622269975</v>
      </c>
      <c r="AA77" s="9">
        <f ca="1">DATOSAÑO!AK76</f>
        <v>16</v>
      </c>
      <c r="AB77" s="11">
        <f ca="1">(AA77*DATOSAÑO!$Z$11)/DATOSAÑO!$Y$11</f>
        <v>0.28829859591564388</v>
      </c>
      <c r="AC77" s="9">
        <f ca="1">DATOSAÑO!AL76</f>
        <v>36.000000000005514</v>
      </c>
      <c r="AD77" s="11">
        <f ca="1">(AC77*DATOSAÑO!$Z$11)/DATOSAÑO!$Y$11</f>
        <v>0.64867184081029805</v>
      </c>
      <c r="AE77" s="9">
        <f ca="1">DATOSAÑO!AM76</f>
        <v>8.8180000000030923</v>
      </c>
      <c r="AF77" s="11">
        <f ca="1">(AE77*DATOSAÑO!$Z$11)/DATOSAÑO!$Y$11</f>
        <v>0.15888856367406495</v>
      </c>
      <c r="AG77" s="9">
        <f ca="1">DATOSAÑO!AN76</f>
        <v>2.5049999999998178</v>
      </c>
      <c r="AH77" s="11">
        <f ca="1">(AG77*DATOSAÑO!$Z$11)/DATOSAÑO!$Y$11</f>
        <v>4.5136748923039711E-2</v>
      </c>
      <c r="AI77" s="9">
        <f ca="1">DATOSAÑO!BS76</f>
        <v>0</v>
      </c>
      <c r="AJ77" s="11">
        <f ca="1">(AI77*DATOSAÑO!$Z$11)/DATOSAÑO!$Y$11</f>
        <v>0</v>
      </c>
      <c r="AK77" s="9">
        <f ca="1">DATOSAÑO!BV76</f>
        <v>2.4620000000000002</v>
      </c>
      <c r="AL77" s="11">
        <f ca="1">(AK77*DATOSAÑO!$Z$11)/DATOSAÑO!$Y$11</f>
        <v>4.4361946446519702E-2</v>
      </c>
      <c r="AM77" s="9">
        <f ca="1">DATOSAÑO!BY76</f>
        <v>6.32</v>
      </c>
      <c r="AN77" s="11">
        <f ca="1">(AM77*DATOSAÑO!$Z$11)/DATOSAÑO!$Y$11</f>
        <v>0.11387794538667934</v>
      </c>
      <c r="AO77" s="9">
        <f ca="1">DATOSAÑO!CF76</f>
        <v>12.709000000000819</v>
      </c>
      <c r="AP77" s="11">
        <f ca="1">(AO77*DATOSAÑO!$Z$11)/DATOSAÑO!$Y$11</f>
        <v>0.22899917846825962</v>
      </c>
      <c r="AQ77" s="9">
        <f ca="1">DATOSAÑO!CL76</f>
        <v>2.6969999999999272</v>
      </c>
      <c r="AR77" s="1300">
        <f ca="1">(AQ77*DATOSAÑO!$Z$11)/DATOSAÑO!$Y$11</f>
        <v>4.8596332074029407E-2</v>
      </c>
      <c r="AS77" s="1334">
        <f t="shared" ref="AS77:AS140" si="5">WEEKNUM(B77,1)</f>
        <v>10</v>
      </c>
    </row>
    <row r="78" spans="1:45" ht="16.5" customHeight="1" thickBot="1">
      <c r="A78" s="1371">
        <v>44993</v>
      </c>
      <c r="B78" s="1021">
        <v>44993</v>
      </c>
      <c r="C78" s="9">
        <f ca="1">DATOSAÑO!I77</f>
        <v>293</v>
      </c>
      <c r="D78" s="10">
        <f ca="1">DATOSAÑO!$D77</f>
        <v>4.8656372730673318</v>
      </c>
      <c r="E78" s="11">
        <f ca="1">DATOSAÑO!$G77</f>
        <v>0</v>
      </c>
      <c r="F78" s="9">
        <f ca="1">DATOSAÑO!P77</f>
        <v>151.89999999999782</v>
      </c>
      <c r="G78" s="10">
        <f ca="1">DATOSAÑO!K77</f>
        <v>3.7150213129675631</v>
      </c>
      <c r="H78" s="11">
        <f ca="1">DATOSAÑO!N77</f>
        <v>0</v>
      </c>
      <c r="I78" s="9">
        <f ca="1">DATOSAÑO!Q77</f>
        <v>0</v>
      </c>
      <c r="J78" s="11">
        <f ca="1">DATOSAÑO!R77</f>
        <v>0</v>
      </c>
      <c r="K78" s="9">
        <f ca="1">DATOSAÑO!T77</f>
        <v>0</v>
      </c>
      <c r="L78" s="11">
        <f t="shared" ca="1" si="3"/>
        <v>0</v>
      </c>
      <c r="M78" s="9"/>
      <c r="N78" s="11">
        <f t="shared" si="4"/>
        <v>0</v>
      </c>
      <c r="O78" s="9">
        <f>DATOSAÑO!CT77</f>
        <v>0</v>
      </c>
      <c r="P78" s="9">
        <f>DATOSAÑO!CU77</f>
        <v>0</v>
      </c>
      <c r="Q78" s="9">
        <f ca="1">DATOSAÑO!AD77</f>
        <v>152</v>
      </c>
      <c r="R78" s="11">
        <f ca="1">(Q78*DATOSAÑO!$Z$11)/DATOSAÑO!$Y$11</f>
        <v>2.7388366611986168</v>
      </c>
      <c r="S78" s="9">
        <f ca="1">DATOSAÑO!AF77</f>
        <v>147</v>
      </c>
      <c r="T78" s="11">
        <f ca="1">(S78*DATOSAÑO!$Z$11)/DATOSAÑO!$Y$11</f>
        <v>2.648743349974978</v>
      </c>
      <c r="U78" s="9">
        <f ca="1">DATOSAÑO!AH77</f>
        <v>11.599999999994907</v>
      </c>
      <c r="V78" s="11">
        <f ca="1">(U78*DATOSAÑO!$Z$11)/DATOSAÑO!$Y$11</f>
        <v>0.20901648203875006</v>
      </c>
      <c r="W78" s="9">
        <f ca="1">DATOSAÑO!AI77</f>
        <v>38.599999999998545</v>
      </c>
      <c r="X78" s="11">
        <f ca="1">(W78*DATOSAÑO!$Z$11)/DATOSAÑO!$Y$11</f>
        <v>0.69552036264646466</v>
      </c>
      <c r="Y78" s="9">
        <f ca="1">DATOSAÑO!AJ77</f>
        <v>9.5</v>
      </c>
      <c r="Z78" s="11">
        <f ca="1">(Y78*DATOSAÑO!$Z$11)/DATOSAÑO!$Y$11</f>
        <v>0.17117729132491355</v>
      </c>
      <c r="AA78" s="9">
        <f ca="1">DATOSAÑO!AK77</f>
        <v>17</v>
      </c>
      <c r="AB78" s="11">
        <f ca="1">(AA78*DATOSAÑO!$Z$11)/DATOSAÑO!$Y$11</f>
        <v>0.30631725816037164</v>
      </c>
      <c r="AC78" s="9">
        <f ca="1">DATOSAÑO!AL77</f>
        <v>38.200000000004366</v>
      </c>
      <c r="AD78" s="11">
        <f ca="1">(AC78*DATOSAÑO!$Z$11)/DATOSAÑO!$Y$11</f>
        <v>0.68831289774867843</v>
      </c>
      <c r="AE78" s="9">
        <f ca="1">DATOSAÑO!AM77</f>
        <v>9.2600000000000993</v>
      </c>
      <c r="AF78" s="11">
        <f ca="1">(AE78*DATOSAÑO!$Z$11)/DATOSAÑO!$Y$11</f>
        <v>0.16685281238618069</v>
      </c>
      <c r="AG78" s="9">
        <f ca="1">DATOSAÑO!AN77</f>
        <v>3.1760000000006254</v>
      </c>
      <c r="AH78" s="11">
        <f ca="1">(AG78*DATOSAÑO!$Z$11)/DATOSAÑO!$Y$11</f>
        <v>5.7227271289266579E-2</v>
      </c>
      <c r="AI78" s="9">
        <f ca="1">DATOSAÑO!BS77</f>
        <v>0</v>
      </c>
      <c r="AJ78" s="11">
        <f ca="1">(AI78*DATOSAÑO!$Z$11)/DATOSAÑO!$Y$11</f>
        <v>0</v>
      </c>
      <c r="AK78" s="9">
        <f ca="1">DATOSAÑO!BV77</f>
        <v>2.4249999999999998</v>
      </c>
      <c r="AL78" s="11">
        <f ca="1">(AK78*DATOSAÑO!$Z$11)/DATOSAÑO!$Y$11</f>
        <v>4.3695255943464767E-2</v>
      </c>
      <c r="AM78" s="9">
        <f ca="1">DATOSAÑO!BY77</f>
        <v>6.2649999999999997</v>
      </c>
      <c r="AN78" s="11">
        <f ca="1">(AM78*DATOSAÑO!$Z$11)/DATOSAÑO!$Y$11</f>
        <v>0.1128869189632193</v>
      </c>
      <c r="AO78" s="9">
        <f ca="1">DATOSAÑO!CF77</f>
        <v>12.929999999999321</v>
      </c>
      <c r="AP78" s="11">
        <f ca="1">(AO78*DATOSAÑO!$Z$11)/DATOSAÑO!$Y$11</f>
        <v>0.2329813028243175</v>
      </c>
      <c r="AQ78" s="9">
        <f ca="1">DATOSAÑO!CL77</f>
        <v>2.8444000000002503</v>
      </c>
      <c r="AR78" s="1300">
        <f ca="1">(AQ78*DATOSAÑO!$Z$11)/DATOSAÑO!$Y$11</f>
        <v>5.1252282888908103E-2</v>
      </c>
      <c r="AS78" s="1334">
        <f t="shared" si="5"/>
        <v>10</v>
      </c>
    </row>
    <row r="79" spans="1:45" ht="15" thickBot="1">
      <c r="A79" s="1371">
        <v>44994</v>
      </c>
      <c r="B79" s="1021">
        <v>44994</v>
      </c>
      <c r="C79" s="9">
        <f ca="1">DATOSAÑO!I78</f>
        <v>288</v>
      </c>
      <c r="D79" s="10">
        <f ca="1">DATOSAÑO!$D78</f>
        <v>4.8248642057356612</v>
      </c>
      <c r="E79" s="11">
        <f ca="1">DATOSAÑO!$G78</f>
        <v>0</v>
      </c>
      <c r="F79" s="9">
        <f ca="1">DATOSAÑO!P78</f>
        <v>146.10000000000218</v>
      </c>
      <c r="G79" s="10">
        <f ca="1">DATOSAÑO!K78</f>
        <v>3.6677245548628603</v>
      </c>
      <c r="H79" s="11">
        <f ca="1">DATOSAÑO!N78</f>
        <v>0</v>
      </c>
      <c r="I79" s="9">
        <f ca="1">DATOSAÑO!Q78</f>
        <v>0</v>
      </c>
      <c r="J79" s="11">
        <f ca="1">DATOSAÑO!R78</f>
        <v>0</v>
      </c>
      <c r="K79" s="9">
        <f ca="1">DATOSAÑO!T78</f>
        <v>0</v>
      </c>
      <c r="L79" s="11">
        <f t="shared" ca="1" si="3"/>
        <v>0</v>
      </c>
      <c r="M79" s="9"/>
      <c r="N79" s="11">
        <f t="shared" si="4"/>
        <v>0</v>
      </c>
      <c r="O79" s="9">
        <f>DATOSAÑO!CT78</f>
        <v>0</v>
      </c>
      <c r="P79" s="9">
        <f>DATOSAÑO!CU78</f>
        <v>0</v>
      </c>
      <c r="Q79" s="9">
        <f ca="1">DATOSAÑO!AD78</f>
        <v>164</v>
      </c>
      <c r="R79" s="11">
        <f ca="1">(Q79*DATOSAÑO!$Z$11)/DATOSAÑO!$Y$11</f>
        <v>2.9550606081353497</v>
      </c>
      <c r="S79" s="9">
        <f ca="1">DATOSAÑO!AF78</f>
        <v>137</v>
      </c>
      <c r="T79" s="11">
        <f ca="1">(S79*DATOSAÑO!$Z$11)/DATOSAÑO!$Y$11</f>
        <v>2.4685567275277007</v>
      </c>
      <c r="U79" s="9">
        <f ca="1">DATOSAÑO!AH78</f>
        <v>11.30000000000291</v>
      </c>
      <c r="V79" s="11">
        <f ca="1">(U79*DATOSAÑO!$Z$11)/DATOSAÑO!$Y$11</f>
        <v>0.20361088336547592</v>
      </c>
      <c r="W79" s="9">
        <f ca="1">DATOSAÑO!AI78</f>
        <v>40</v>
      </c>
      <c r="X79" s="11">
        <f ca="1">(W79*DATOSAÑO!$Z$11)/DATOSAÑO!$Y$11</f>
        <v>0.72074648978910971</v>
      </c>
      <c r="Y79" s="9">
        <f ca="1">DATOSAÑO!AJ78</f>
        <v>7.4000000000087311</v>
      </c>
      <c r="Z79" s="11">
        <f ca="1">(Y79*DATOSAÑO!$Z$11)/DATOSAÑO!$Y$11</f>
        <v>0.13333810061114262</v>
      </c>
      <c r="AA79" s="9">
        <f ca="1">DATOSAÑO!AK78</f>
        <v>15</v>
      </c>
      <c r="AB79" s="11">
        <f ca="1">(AA79*DATOSAÑO!$Z$11)/DATOSAÑO!$Y$11</f>
        <v>0.27027993367091613</v>
      </c>
      <c r="AC79" s="9">
        <f ca="1">DATOSAÑO!AL78</f>
        <v>30.699999999993508</v>
      </c>
      <c r="AD79" s="11">
        <f ca="1">(AC79*DATOSAÑO!$Z$11)/DATOSAÑO!$Y$11</f>
        <v>0.55317293091302466</v>
      </c>
      <c r="AE79" s="9">
        <f ca="1">DATOSAÑO!AM78</f>
        <v>8.0249999999970711</v>
      </c>
      <c r="AF79" s="11">
        <f ca="1">(AE79*DATOSAÑO!$Z$11)/DATOSAÑO!$Y$11</f>
        <v>0.14459976451388737</v>
      </c>
      <c r="AG79" s="9">
        <f ca="1">DATOSAÑO!AN78</f>
        <v>2.7300000000000182</v>
      </c>
      <c r="AH79" s="11">
        <f ca="1">(AG79*DATOSAÑO!$Z$11)/DATOSAÑO!$Y$11</f>
        <v>4.9190947928107062E-2</v>
      </c>
      <c r="AI79" s="9">
        <f ca="1">DATOSAÑO!BS78</f>
        <v>0</v>
      </c>
      <c r="AJ79" s="11">
        <f ca="1">(AI79*DATOSAÑO!$Z$11)/DATOSAÑO!$Y$11</f>
        <v>0</v>
      </c>
      <c r="AK79" s="9">
        <f ca="1">DATOSAÑO!BV78</f>
        <v>2.3769999999999998</v>
      </c>
      <c r="AL79" s="11">
        <f ca="1">(AK79*DATOSAÑO!$Z$11)/DATOSAÑO!$Y$11</f>
        <v>4.2830360155717832E-2</v>
      </c>
      <c r="AM79" s="9">
        <f ca="1">DATOSAÑO!BY78</f>
        <v>6.0679999999999996</v>
      </c>
      <c r="AN79" s="11">
        <f ca="1">(AM79*DATOSAÑO!$Z$11)/DATOSAÑO!$Y$11</f>
        <v>0.10933724250100793</v>
      </c>
      <c r="AO79" s="9">
        <f ca="1">DATOSAÑO!CF78</f>
        <v>12.012499999998536</v>
      </c>
      <c r="AP79" s="11">
        <f ca="1">(AO79*DATOSAÑO!$Z$11)/DATOSAÑO!$Y$11</f>
        <v>0.21644918021476561</v>
      </c>
      <c r="AQ79" s="9">
        <f ca="1">DATOSAÑO!CL78</f>
        <v>2.5920000000000076</v>
      </c>
      <c r="AR79" s="1300">
        <f ca="1">(AQ79*DATOSAÑO!$Z$11)/DATOSAÑO!$Y$11</f>
        <v>4.6704372538334447E-2</v>
      </c>
      <c r="AS79" s="1334">
        <f t="shared" si="5"/>
        <v>10</v>
      </c>
    </row>
    <row r="80" spans="1:45" ht="16.5" customHeight="1" thickBot="1">
      <c r="A80" s="1371">
        <v>44995</v>
      </c>
      <c r="B80" s="1021">
        <v>44995</v>
      </c>
      <c r="C80" s="9">
        <f ca="1">DATOSAÑO!I79</f>
        <v>293</v>
      </c>
      <c r="D80" s="10">
        <f ca="1">DATOSAÑO!$D79</f>
        <v>4.8656372730673318</v>
      </c>
      <c r="E80" s="11">
        <f ca="1">DATOSAÑO!$G79</f>
        <v>0</v>
      </c>
      <c r="F80" s="9">
        <f ca="1">DATOSAÑO!P79</f>
        <v>150.09999999999854</v>
      </c>
      <c r="G80" s="10">
        <f ca="1">DATOSAÑO!K79</f>
        <v>3.7003430087281677</v>
      </c>
      <c r="H80" s="11">
        <f ca="1">DATOSAÑO!N79</f>
        <v>0</v>
      </c>
      <c r="I80" s="9">
        <f ca="1">DATOSAÑO!Q79</f>
        <v>0</v>
      </c>
      <c r="J80" s="11">
        <f ca="1">DATOSAÑO!R79</f>
        <v>0</v>
      </c>
      <c r="K80" s="9">
        <f ca="1">DATOSAÑO!T79</f>
        <v>0</v>
      </c>
      <c r="L80" s="11">
        <f t="shared" ca="1" si="3"/>
        <v>0</v>
      </c>
      <c r="M80" s="9"/>
      <c r="N80" s="11">
        <f t="shared" si="4"/>
        <v>0</v>
      </c>
      <c r="O80" s="9">
        <f>DATOSAÑO!CT79</f>
        <v>0</v>
      </c>
      <c r="P80" s="9">
        <f>DATOSAÑO!CU79</f>
        <v>0</v>
      </c>
      <c r="Q80" s="9">
        <f ca="1">DATOSAÑO!AD79</f>
        <v>163</v>
      </c>
      <c r="R80" s="11">
        <f ca="1">(Q80*DATOSAÑO!$Z$11)/DATOSAÑO!$Y$11</f>
        <v>2.9370419458906221</v>
      </c>
      <c r="S80" s="9">
        <f ca="1">DATOSAÑO!AF79</f>
        <v>145</v>
      </c>
      <c r="T80" s="11">
        <f ca="1">(S80*DATOSAÑO!$Z$11)/DATOSAÑO!$Y$11</f>
        <v>2.6127060254855223</v>
      </c>
      <c r="U80" s="9">
        <f ca="1">DATOSAÑO!AH79</f>
        <v>7.0999999999985448</v>
      </c>
      <c r="V80" s="11">
        <f ca="1">(U80*DATOSAÑO!$Z$11)/DATOSAÑO!$Y$11</f>
        <v>0.12793250193754074</v>
      </c>
      <c r="W80" s="9">
        <f ca="1">DATOSAÑO!AI79</f>
        <v>41.80000000000291</v>
      </c>
      <c r="X80" s="11">
        <f ca="1">(W80*DATOSAÑO!$Z$11)/DATOSAÑO!$Y$11</f>
        <v>0.75318008182967211</v>
      </c>
      <c r="Y80" s="9">
        <f ca="1">DATOSAÑO!AJ79</f>
        <v>5.5999999999912689</v>
      </c>
      <c r="Z80" s="11">
        <f ca="1">(Y80*DATOSAÑO!$Z$11)/DATOSAÑO!$Y$11</f>
        <v>0.10090450857031805</v>
      </c>
      <c r="AA80" s="9">
        <f ca="1">DATOSAÑO!AK79</f>
        <v>14</v>
      </c>
      <c r="AB80" s="11">
        <f ca="1">(AA80*DATOSAÑO!$Z$11)/DATOSAÑO!$Y$11</f>
        <v>0.25226127142618837</v>
      </c>
      <c r="AC80" s="9">
        <f ca="1">DATOSAÑO!AL79</f>
        <v>36.100000000005821</v>
      </c>
      <c r="AD80" s="11">
        <f ca="1">(AC80*DATOSAÑO!$Z$11)/DATOSAÑO!$Y$11</f>
        <v>0.65047370703477636</v>
      </c>
      <c r="AE80" s="9">
        <f ca="1">DATOSAÑO!AM79</f>
        <v>9.7729999999985431</v>
      </c>
      <c r="AF80" s="11">
        <f ca="1">(AE80*DATOSAÑO!$Z$11)/DATOSAÑO!$Y$11</f>
        <v>0.17609638611769796</v>
      </c>
      <c r="AG80" s="9">
        <f ca="1">DATOSAÑO!AN79</f>
        <v>2.5380000000000003</v>
      </c>
      <c r="AH80" s="11">
        <f ca="1">(AG80*DATOSAÑO!$Z$11)/DATOSAÑO!$Y$11</f>
        <v>4.5731364777119012E-2</v>
      </c>
      <c r="AI80" s="9">
        <f ca="1">DATOSAÑO!BS79</f>
        <v>0</v>
      </c>
      <c r="AJ80" s="11">
        <f ca="1">(AI80*DATOSAÑO!$Z$11)/DATOSAÑO!$Y$11</f>
        <v>0</v>
      </c>
      <c r="AK80" s="9">
        <f ca="1">DATOSAÑO!BV79</f>
        <v>2.4369999999999998</v>
      </c>
      <c r="AL80" s="11">
        <f ca="1">(AK80*DATOSAÑO!$Z$11)/DATOSAÑO!$Y$11</f>
        <v>4.3911479890401506E-2</v>
      </c>
      <c r="AM80" s="9">
        <f ca="1">DATOSAÑO!BY79</f>
        <v>6.39</v>
      </c>
      <c r="AN80" s="11">
        <f ca="1">(AM80*DATOSAÑO!$Z$11)/DATOSAÑO!$Y$11</f>
        <v>0.11513925174381026</v>
      </c>
      <c r="AO80" s="9">
        <f ca="1">DATOSAÑO!CF79</f>
        <v>12.786500000000727</v>
      </c>
      <c r="AP80" s="11">
        <f ca="1">(AO80*DATOSAÑO!$Z$11)/DATOSAÑO!$Y$11</f>
        <v>0.23039562479222436</v>
      </c>
      <c r="AQ80" s="9">
        <f ca="1">DATOSAÑO!CL79</f>
        <v>2.4771999999999998</v>
      </c>
      <c r="AR80" s="1300">
        <f ca="1">(AQ80*DATOSAÑO!$Z$11)/DATOSAÑO!$Y$11</f>
        <v>4.4635830112639559E-2</v>
      </c>
      <c r="AS80" s="1334">
        <f t="shared" si="5"/>
        <v>10</v>
      </c>
    </row>
    <row r="81" spans="1:45" ht="15" thickBot="1">
      <c r="A81" s="1371">
        <v>44996</v>
      </c>
      <c r="B81" s="1021">
        <v>44996</v>
      </c>
      <c r="C81" s="9">
        <f ca="1">DATOSAÑO!I80</f>
        <v>259</v>
      </c>
      <c r="D81" s="10">
        <f ca="1">DATOSAÑO!$D80</f>
        <v>4.5883804152119705</v>
      </c>
      <c r="E81" s="11">
        <f ca="1">DATOSAÑO!$G80</f>
        <v>0</v>
      </c>
      <c r="F81" s="9">
        <f ca="1">DATOSAÑO!P80</f>
        <v>176.5</v>
      </c>
      <c r="G81" s="10">
        <f ca="1">DATOSAÑO!K80</f>
        <v>3.9156248042394015</v>
      </c>
      <c r="H81" s="11">
        <f ca="1">DATOSAÑO!N80</f>
        <v>0</v>
      </c>
      <c r="I81" s="9">
        <f ca="1">DATOSAÑO!Q80</f>
        <v>0</v>
      </c>
      <c r="J81" s="11">
        <f ca="1">DATOSAÑO!R80</f>
        <v>0</v>
      </c>
      <c r="K81" s="9">
        <f ca="1">DATOSAÑO!T80</f>
        <v>0</v>
      </c>
      <c r="L81" s="11">
        <f t="shared" ca="1" si="3"/>
        <v>0</v>
      </c>
      <c r="M81" s="9"/>
      <c r="N81" s="11">
        <f t="shared" si="4"/>
        <v>0</v>
      </c>
      <c r="O81" s="9">
        <f>DATOSAÑO!CT80</f>
        <v>0</v>
      </c>
      <c r="P81" s="9">
        <f>DATOSAÑO!CU80</f>
        <v>0</v>
      </c>
      <c r="Q81" s="9">
        <f ca="1">DATOSAÑO!AD80</f>
        <v>162</v>
      </c>
      <c r="R81" s="11">
        <f ca="1">(Q81*DATOSAÑO!$Z$11)/DATOSAÑO!$Y$11</f>
        <v>2.919023283645894</v>
      </c>
      <c r="S81" s="9">
        <f ca="1">DATOSAÑO!AF80</f>
        <v>145</v>
      </c>
      <c r="T81" s="11">
        <f ca="1">(S81*DATOSAÑO!$Z$11)/DATOSAÑO!$Y$11</f>
        <v>2.6127060254855223</v>
      </c>
      <c r="U81" s="9">
        <f ca="1">DATOSAÑO!AH80</f>
        <v>11.099999999998545</v>
      </c>
      <c r="V81" s="11">
        <f ca="1">(U81*DATOSAÑO!$Z$11)/DATOSAÑO!$Y$11</f>
        <v>0.20000715091645174</v>
      </c>
      <c r="W81" s="9">
        <f ca="1">DATOSAÑO!AI80</f>
        <v>36.5</v>
      </c>
      <c r="X81" s="11">
        <f ca="1">(W81*DATOSAÑO!$Z$11)/DATOSAÑO!$Y$11</f>
        <v>0.65768117193256259</v>
      </c>
      <c r="Y81" s="9">
        <f ca="1">DATOSAÑO!AJ80</f>
        <v>5.2000000000116415</v>
      </c>
      <c r="Z81" s="11">
        <f ca="1">(Y81*DATOSAÑO!$Z$11)/DATOSAÑO!$Y$11</f>
        <v>9.3697043672794023E-2</v>
      </c>
      <c r="AA81" s="9">
        <f ca="1">DATOSAÑO!AK80</f>
        <v>14</v>
      </c>
      <c r="AB81" s="11">
        <f ca="1">(AA81*DATOSAÑO!$Z$11)/DATOSAÑO!$Y$11</f>
        <v>0.25226127142618837</v>
      </c>
      <c r="AC81" s="9">
        <f ca="1">DATOSAÑO!AL80</f>
        <v>32.599999999987688</v>
      </c>
      <c r="AD81" s="11">
        <f ca="1">(AC81*DATOSAÑO!$Z$11)/DATOSAÑO!$Y$11</f>
        <v>0.5874083891779025</v>
      </c>
      <c r="AE81" s="9">
        <f ca="1">DATOSAÑO!AM80</f>
        <v>8.7120000000025346</v>
      </c>
      <c r="AF81" s="11">
        <f ca="1">(AE81*DATOSAÑO!$Z$11)/DATOSAÑO!$Y$11</f>
        <v>0.15697858547611376</v>
      </c>
      <c r="AG81" s="9">
        <f ca="1">DATOSAÑO!AN80</f>
        <v>2.621</v>
      </c>
      <c r="AH81" s="11">
        <f ca="1">(AG81*DATOSAÑO!$Z$11)/DATOSAÑO!$Y$11</f>
        <v>4.7226913743431416E-2</v>
      </c>
      <c r="AI81" s="9">
        <f ca="1">DATOSAÑO!BS80</f>
        <v>0.34799999999999998</v>
      </c>
      <c r="AJ81" s="11">
        <f ca="1">(AI81*DATOSAÑO!$Z$11)/DATOSAÑO!$Y$11</f>
        <v>6.2704944611652533E-3</v>
      </c>
      <c r="AK81" s="9">
        <f ca="1">DATOSAÑO!BV80</f>
        <v>2.988</v>
      </c>
      <c r="AL81" s="11">
        <f ca="1">(AK81*DATOSAÑO!$Z$11)/DATOSAÑO!$Y$11</f>
        <v>5.3839762787246497E-2</v>
      </c>
      <c r="AM81" s="9">
        <f ca="1">DATOSAÑO!BY80</f>
        <v>5.1520000000000001</v>
      </c>
      <c r="AN81" s="11">
        <f ca="1">(AM81*DATOSAÑO!$Z$11)/DATOSAÑO!$Y$11</f>
        <v>9.2832147884837318E-2</v>
      </c>
      <c r="AO81" s="9">
        <f ca="1">DATOSAÑO!CF80</f>
        <v>12.256000000000903</v>
      </c>
      <c r="AP81" s="11">
        <f ca="1">(AO81*DATOSAÑO!$Z$11)/DATOSAÑO!$Y$11</f>
        <v>0.22083672447139949</v>
      </c>
      <c r="AQ81" s="9">
        <f ca="1">DATOSAÑO!CL80</f>
        <v>2.4274</v>
      </c>
      <c r="AR81" s="1300">
        <f ca="1">(AQ81*DATOSAÑO!$Z$11)/DATOSAÑO!$Y$11</f>
        <v>4.3738500732852126E-2</v>
      </c>
      <c r="AS81" s="1334">
        <f t="shared" si="5"/>
        <v>10</v>
      </c>
    </row>
    <row r="82" spans="1:45" ht="16.5" customHeight="1" thickBot="1">
      <c r="A82" s="1371">
        <v>44997</v>
      </c>
      <c r="B82" s="1021">
        <v>44997</v>
      </c>
      <c r="C82" s="9">
        <f ca="1">DATOSAÑO!I81</f>
        <v>276</v>
      </c>
      <c r="D82" s="10">
        <f ca="1">DATOSAÑO!$D81</f>
        <v>4.7270088441396512</v>
      </c>
      <c r="E82" s="11">
        <f ca="1">DATOSAÑO!$G81</f>
        <v>0</v>
      </c>
      <c r="F82" s="9">
        <f ca="1">DATOSAÑO!P81</f>
        <v>155.5</v>
      </c>
      <c r="G82" s="10">
        <f ca="1">DATOSAÑO!K81</f>
        <v>3.7443779214463841</v>
      </c>
      <c r="H82" s="11">
        <f ca="1">DATOSAÑO!N81</f>
        <v>0</v>
      </c>
      <c r="I82" s="9">
        <f ca="1">DATOSAÑO!Q81</f>
        <v>0</v>
      </c>
      <c r="J82" s="11">
        <f ca="1">DATOSAÑO!R81</f>
        <v>0</v>
      </c>
      <c r="K82" s="9">
        <f ca="1">DATOSAÑO!T81</f>
        <v>0</v>
      </c>
      <c r="L82" s="11">
        <f t="shared" ca="1" si="3"/>
        <v>0</v>
      </c>
      <c r="M82" s="9"/>
      <c r="N82" s="11">
        <f t="shared" si="4"/>
        <v>0</v>
      </c>
      <c r="O82" s="9">
        <f>DATOSAÑO!CT81</f>
        <v>0</v>
      </c>
      <c r="P82" s="9">
        <f>DATOSAÑO!CU81</f>
        <v>0</v>
      </c>
      <c r="Q82" s="9">
        <f ca="1">DATOSAÑO!AD81</f>
        <v>161</v>
      </c>
      <c r="R82" s="11">
        <f ca="1">(Q82*DATOSAÑO!$Z$11)/DATOSAÑO!$Y$11</f>
        <v>2.9010046214011664</v>
      </c>
      <c r="S82" s="9">
        <f ca="1">DATOSAÑO!AF81</f>
        <v>144</v>
      </c>
      <c r="T82" s="11">
        <f ca="1">(S82*DATOSAÑO!$Z$11)/DATOSAÑO!$Y$11</f>
        <v>2.5946873632407947</v>
      </c>
      <c r="U82" s="9">
        <f ca="1">DATOSAÑO!AH81</f>
        <v>8.8000000000047294</v>
      </c>
      <c r="V82" s="11">
        <f ca="1">(U82*DATOSAÑO!$Z$11)/DATOSAÑO!$Y$11</f>
        <v>0.15856422775368936</v>
      </c>
      <c r="W82" s="9">
        <f ca="1">DATOSAÑO!AI81</f>
        <v>38.299999999995634</v>
      </c>
      <c r="X82" s="11">
        <f ca="1">(W82*DATOSAÑO!$Z$11)/DATOSAÑO!$Y$11</f>
        <v>0.69011476397299387</v>
      </c>
      <c r="Y82" s="9">
        <f ca="1">DATOSAÑO!AJ81</f>
        <v>5.1999999999970896</v>
      </c>
      <c r="Z82" s="11">
        <f ca="1">(Y82*DATOSAÑO!$Z$11)/DATOSAÑO!$Y$11</f>
        <v>9.369704367253183E-2</v>
      </c>
      <c r="AA82" s="9">
        <f ca="1">DATOSAÑO!AK81</f>
        <v>14</v>
      </c>
      <c r="AB82" s="11">
        <f ca="1">(AA82*DATOSAÑO!$Z$11)/DATOSAÑO!$Y$11</f>
        <v>0.25226127142618837</v>
      </c>
      <c r="AC82" s="9">
        <f ca="1">DATOSAÑO!AL81</f>
        <v>31.300000000004729</v>
      </c>
      <c r="AD82" s="11">
        <f ca="1">(AC82*DATOSAÑO!$Z$11)/DATOSAÑO!$Y$11</f>
        <v>0.56398412826006361</v>
      </c>
      <c r="AE82" s="9">
        <f ca="1">DATOSAÑO!AM81</f>
        <v>9.2669999999989159</v>
      </c>
      <c r="AF82" s="11">
        <f ca="1">(AE82*DATOSAÑO!$Z$11)/DATOSAÑO!$Y$11</f>
        <v>0.16697894302187247</v>
      </c>
      <c r="AG82" s="9">
        <f ca="1">DATOSAÑO!AN81</f>
        <v>2.1029999999996365</v>
      </c>
      <c r="AH82" s="11">
        <f ca="1">(AG82*DATOSAÑO!$Z$11)/DATOSAÑO!$Y$11</f>
        <v>3.7893246700655893E-2</v>
      </c>
      <c r="AI82" s="9">
        <f ca="1">DATOSAÑO!BS81</f>
        <v>2.0640000000000001</v>
      </c>
      <c r="AJ82" s="11">
        <f ca="1">(AI82*DATOSAÑO!$Z$11)/DATOSAÑO!$Y$11</f>
        <v>3.7190518873118063E-2</v>
      </c>
      <c r="AK82" s="9">
        <f ca="1">DATOSAÑO!BV81</f>
        <v>5.8689999999999998</v>
      </c>
      <c r="AL82" s="11">
        <f ca="1">(AK82*DATOSAÑO!$Z$11)/DATOSAÑO!$Y$11</f>
        <v>0.10575152871430711</v>
      </c>
      <c r="AM82" s="9">
        <f ca="1">DATOSAÑO!BY81</f>
        <v>0</v>
      </c>
      <c r="AN82" s="11">
        <f ca="1">(AM82*DATOSAÑO!$Z$11)/DATOSAÑO!$Y$11</f>
        <v>0</v>
      </c>
      <c r="AO82" s="9">
        <f ca="1">DATOSAÑO!CF81</f>
        <v>12.43349999999873</v>
      </c>
      <c r="AP82" s="11">
        <f ca="1">(AO82*DATOSAÑO!$Z$11)/DATOSAÑO!$Y$11</f>
        <v>0.22403503701979952</v>
      </c>
      <c r="AQ82" s="9">
        <f ca="1">DATOSAÑO!CL81</f>
        <v>2.6381999999998547</v>
      </c>
      <c r="AR82" s="1300">
        <f ca="1">(AQ82*DATOSAÑO!$Z$11)/DATOSAÑO!$Y$11</f>
        <v>4.7536834734038108E-2</v>
      </c>
      <c r="AS82" s="1334">
        <f t="shared" si="5"/>
        <v>11</v>
      </c>
    </row>
    <row r="83" spans="1:45" ht="15" thickBot="1">
      <c r="A83" s="1371">
        <v>44998</v>
      </c>
      <c r="B83" s="1021">
        <v>44998</v>
      </c>
      <c r="C83" s="9">
        <f ca="1">DATOSAÑO!I82</f>
        <v>299</v>
      </c>
      <c r="D83" s="10">
        <f ca="1">DATOSAÑO!$D82</f>
        <v>4.9145649538653373</v>
      </c>
      <c r="E83" s="11">
        <f ca="1">DATOSAÑO!$G82</f>
        <v>0</v>
      </c>
      <c r="F83" s="9">
        <f ca="1">DATOSAÑO!P82</f>
        <v>151.29999999999927</v>
      </c>
      <c r="G83" s="10">
        <f ca="1">DATOSAÑO!K82</f>
        <v>3.7101285448877741</v>
      </c>
      <c r="H83" s="11">
        <f ca="1">DATOSAÑO!N82</f>
        <v>0</v>
      </c>
      <c r="I83" s="9">
        <f ca="1">DATOSAÑO!Q82</f>
        <v>8.3000000000083674E-2</v>
      </c>
      <c r="J83" s="11">
        <f ca="1">DATOSAÑO!R82</f>
        <v>9.9600000000100408</v>
      </c>
      <c r="K83" s="9">
        <f ca="1">DATOSAÑO!T82</f>
        <v>0.38499999999999091</v>
      </c>
      <c r="L83" s="11">
        <f t="shared" ca="1" si="3"/>
        <v>46.199999999998909</v>
      </c>
      <c r="M83" s="9"/>
      <c r="N83" s="11">
        <f t="shared" si="4"/>
        <v>0</v>
      </c>
      <c r="O83" s="9">
        <f>DATOSAÑO!CT82</f>
        <v>1</v>
      </c>
      <c r="P83" s="9">
        <f>DATOSAÑO!CU82</f>
        <v>1</v>
      </c>
      <c r="Q83" s="9">
        <f ca="1">DATOSAÑO!AD82</f>
        <v>162</v>
      </c>
      <c r="R83" s="11">
        <f ca="1">(Q83*DATOSAÑO!$Z$11)/DATOSAÑO!$Y$11</f>
        <v>2.919023283645894</v>
      </c>
      <c r="S83" s="9">
        <f ca="1">DATOSAÑO!AF82</f>
        <v>144</v>
      </c>
      <c r="T83" s="11">
        <f ca="1">(S83*DATOSAÑO!$Z$11)/DATOSAÑO!$Y$11</f>
        <v>2.5946873632407947</v>
      </c>
      <c r="U83" s="9">
        <f ca="1">DATOSAÑO!AH82</f>
        <v>17</v>
      </c>
      <c r="V83" s="11">
        <f ca="1">(U83*DATOSAÑO!$Z$11)/DATOSAÑO!$Y$11</f>
        <v>0.30631725816037164</v>
      </c>
      <c r="W83" s="9">
        <f ca="1">DATOSAÑO!AI82</f>
        <v>38.30000000000291</v>
      </c>
      <c r="X83" s="11">
        <f ca="1">(W83*DATOSAÑO!$Z$11)/DATOSAÑO!$Y$11</f>
        <v>0.69011476397312499</v>
      </c>
      <c r="Y83" s="9">
        <f ca="1">DATOSAÑO!AJ82</f>
        <v>8.1999999999970896</v>
      </c>
      <c r="Z83" s="11">
        <f ca="1">(Y83*DATOSAÑO!$Z$11)/DATOSAÑO!$Y$11</f>
        <v>0.14775303040671506</v>
      </c>
      <c r="AA83" s="9">
        <f ca="1">DATOSAÑO!AK82</f>
        <v>15</v>
      </c>
      <c r="AB83" s="11">
        <f ca="1">(AA83*DATOSAÑO!$Z$11)/DATOSAÑO!$Y$11</f>
        <v>0.27027993367091613</v>
      </c>
      <c r="AC83" s="9">
        <f ca="1">DATOSAÑO!AL82</f>
        <v>36.96799999999638</v>
      </c>
      <c r="AD83" s="11">
        <f ca="1">(AC83*DATOSAÑO!$Z$11)/DATOSAÑO!$Y$11</f>
        <v>0.66611390586302999</v>
      </c>
      <c r="AE83" s="9">
        <f ca="1">DATOSAÑO!AM82</f>
        <v>9.0250000000030024</v>
      </c>
      <c r="AF83" s="11">
        <f ca="1">(AE83*DATOSAÑO!$Z$11)/DATOSAÑO!$Y$11</f>
        <v>0.16261842675872198</v>
      </c>
      <c r="AG83" s="9">
        <f ca="1">DATOSAÑO!AN82</f>
        <v>2.4649999999999093</v>
      </c>
      <c r="AH83" s="11">
        <f ca="1">(AG83*DATOSAÑO!$Z$11)/DATOSAÑO!$Y$11</f>
        <v>4.441600243325225E-2</v>
      </c>
      <c r="AI83" s="9">
        <f ca="1">DATOSAÑO!BS82</f>
        <v>2.1840000000000002</v>
      </c>
      <c r="AJ83" s="11">
        <f ca="1">(AI83*DATOSAÑO!$Z$11)/DATOSAÑO!$Y$11</f>
        <v>3.9352758342485396E-2</v>
      </c>
      <c r="AK83" s="9">
        <f ca="1">DATOSAÑO!BV82</f>
        <v>5.9909999999999997</v>
      </c>
      <c r="AL83" s="11">
        <f ca="1">(AK83*DATOSAÑO!$Z$11)/DATOSAÑO!$Y$11</f>
        <v>0.1079498055081639</v>
      </c>
      <c r="AM83" s="9">
        <f ca="1">DATOSAÑO!BY82</f>
        <v>0</v>
      </c>
      <c r="AN83" s="11">
        <f ca="1">(AM83*DATOSAÑO!$Z$11)/DATOSAÑO!$Y$11</f>
        <v>0</v>
      </c>
      <c r="AO83" s="9">
        <f ca="1">DATOSAÑO!CF82</f>
        <v>12.512500000001502</v>
      </c>
      <c r="AP83" s="11">
        <f ca="1">(AO83*DATOSAÑO!$Z$11)/DATOSAÑO!$Y$11</f>
        <v>0.22545851133718292</v>
      </c>
      <c r="AQ83" s="9">
        <f ca="1">DATOSAÑO!CL82</f>
        <v>2.620999999999964</v>
      </c>
      <c r="AR83" s="1300">
        <f ca="1">(AQ83*DATOSAÑO!$Z$11)/DATOSAÑO!$Y$11</f>
        <v>4.7226913743430764E-2</v>
      </c>
      <c r="AS83" s="1334">
        <f t="shared" si="5"/>
        <v>11</v>
      </c>
    </row>
    <row r="84" spans="1:45" ht="16.5" customHeight="1" thickBot="1">
      <c r="A84" s="1371">
        <v>44999</v>
      </c>
      <c r="B84" s="1021">
        <v>44999</v>
      </c>
      <c r="C84" s="9">
        <f ca="1">DATOSAÑO!I83</f>
        <v>288.69999999995343</v>
      </c>
      <c r="D84" s="10">
        <f ca="1">DATOSAÑO!$D83</f>
        <v>4.8305724351617156</v>
      </c>
      <c r="E84" s="11">
        <f ca="1">DATOSAÑO!$G83</f>
        <v>0</v>
      </c>
      <c r="F84" s="9">
        <f ca="1">DATOSAÑO!P83</f>
        <v>145.60000000000218</v>
      </c>
      <c r="G84" s="10">
        <f ca="1">DATOSAÑO!K83</f>
        <v>3.6636472481296938</v>
      </c>
      <c r="H84" s="11">
        <f ca="1">DATOSAÑO!N83</f>
        <v>0</v>
      </c>
      <c r="I84" s="9">
        <f ca="1">DATOSAÑO!Q83</f>
        <v>0</v>
      </c>
      <c r="J84" s="11">
        <f ca="1">DATOSAÑO!R83</f>
        <v>0</v>
      </c>
      <c r="K84" s="9">
        <f ca="1">DATOSAÑO!T83</f>
        <v>0</v>
      </c>
      <c r="L84" s="11">
        <f t="shared" ca="1" si="3"/>
        <v>0</v>
      </c>
      <c r="M84" s="9"/>
      <c r="N84" s="11">
        <f t="shared" si="4"/>
        <v>0</v>
      </c>
      <c r="O84" s="9">
        <f>DATOSAÑO!CT83</f>
        <v>0</v>
      </c>
      <c r="P84" s="9">
        <f>DATOSAÑO!CU83</f>
        <v>0</v>
      </c>
      <c r="Q84" s="9">
        <f ca="1">DATOSAÑO!AD83</f>
        <v>157.40000000002328</v>
      </c>
      <c r="R84" s="11">
        <f ca="1">(Q84*DATOSAÑO!$Z$11)/DATOSAÑO!$Y$11</f>
        <v>2.8361374373205663</v>
      </c>
      <c r="S84" s="9">
        <f ca="1">DATOSAÑO!AF83</f>
        <v>143.40000000002328</v>
      </c>
      <c r="T84" s="11">
        <f ca="1">(S84*DATOSAÑO!$Z$11)/DATOSAÑO!$Y$11</f>
        <v>2.5838761658943779</v>
      </c>
      <c r="U84" s="9">
        <f ca="1">DATOSAÑO!AH83</f>
        <v>7.1999999999970896</v>
      </c>
      <c r="V84" s="11">
        <f ca="1">(U84*DATOSAÑO!$Z$11)/DATOSAÑO!$Y$11</f>
        <v>0.1297343681619873</v>
      </c>
      <c r="W84" s="9">
        <f ca="1">DATOSAÑO!AI83</f>
        <v>39</v>
      </c>
      <c r="X84" s="11">
        <f ca="1">(W84*DATOSAÑO!$Z$11)/DATOSAÑO!$Y$11</f>
        <v>0.7027278275443819</v>
      </c>
      <c r="Y84" s="9">
        <f ca="1">DATOSAÑO!AJ83</f>
        <v>8.1000000000058208</v>
      </c>
      <c r="Z84" s="11">
        <f ca="1">(Y84*DATOSAÑO!$Z$11)/DATOSAÑO!$Y$11</f>
        <v>0.14595116418239959</v>
      </c>
      <c r="AA84" s="9">
        <f ca="1">DATOSAÑO!AK83</f>
        <v>15.700000000011642</v>
      </c>
      <c r="AB84" s="11">
        <f ca="1">(AA84*DATOSAÑO!$Z$11)/DATOSAÑO!$Y$11</f>
        <v>0.28289299724243533</v>
      </c>
      <c r="AC84" s="9">
        <f ca="1">DATOSAÑO!AL83</f>
        <v>33.299999999908266</v>
      </c>
      <c r="AD84" s="11">
        <f ca="1">(AC84*DATOSAÑO!$Z$11)/DATOSAÑO!$Y$11</f>
        <v>0.60002145274778096</v>
      </c>
      <c r="AE84" s="9">
        <f ca="1">DATOSAÑO!AM83</f>
        <v>10.750999999985178</v>
      </c>
      <c r="AF84" s="11">
        <f ca="1">(AE84*DATOSAÑO!$Z$11)/DATOSAÑO!$Y$11</f>
        <v>0.19371863779280088</v>
      </c>
      <c r="AG84" s="9">
        <f ca="1">DATOSAÑO!AN83</f>
        <v>3.289999999999909</v>
      </c>
      <c r="AH84" s="11">
        <f ca="1">(AG84*DATOSAÑO!$Z$11)/DATOSAÑO!$Y$11</f>
        <v>5.9281398785152636E-2</v>
      </c>
      <c r="AI84" s="9">
        <f ca="1">DATOSAÑO!BS83</f>
        <v>2.1840000000000002</v>
      </c>
      <c r="AJ84" s="11">
        <f ca="1">(AI84*DATOSAÑO!$Z$11)/DATOSAÑO!$Y$11</f>
        <v>3.9352758342485396E-2</v>
      </c>
      <c r="AK84" s="9">
        <f ca="1">DATOSAÑO!BV83</f>
        <v>5.8650000000000002</v>
      </c>
      <c r="AL84" s="11">
        <f ca="1">(AK84*DATOSAÑO!$Z$11)/DATOSAÑO!$Y$11</f>
        <v>0.10567945406532821</v>
      </c>
      <c r="AM84" s="9">
        <f ca="1">DATOSAÑO!BY83</f>
        <v>0</v>
      </c>
      <c r="AN84" s="11">
        <f ca="1">(AM84*DATOSAÑO!$Z$11)/DATOSAÑO!$Y$11</f>
        <v>0</v>
      </c>
      <c r="AO84" s="9">
        <f ca="1">DATOSAÑO!CF83</f>
        <v>12.675499999993679</v>
      </c>
      <c r="AP84" s="11">
        <f ca="1">(AO84*DATOSAÑO!$Z$11)/DATOSAÑO!$Y$11</f>
        <v>0.2283955532829326</v>
      </c>
      <c r="AQ84" s="9">
        <f ca="1">DATOSAÑO!CL83</f>
        <v>2.1259999999999639</v>
      </c>
      <c r="AR84" s="1300">
        <f ca="1">(AQ84*DATOSAÑO!$Z$11)/DATOSAÑO!$Y$11</f>
        <v>3.8307675932290529E-2</v>
      </c>
      <c r="AS84" s="1334">
        <f t="shared" si="5"/>
        <v>11</v>
      </c>
    </row>
    <row r="85" spans="1:45" ht="15" thickBot="1">
      <c r="A85" s="1371">
        <v>45000</v>
      </c>
      <c r="B85" s="1021">
        <v>45000</v>
      </c>
      <c r="C85" s="9">
        <f ca="1">DATOSAÑO!I84</f>
        <v>295.80000000004657</v>
      </c>
      <c r="D85" s="10">
        <f ca="1">DATOSAÑO!$D84</f>
        <v>4.8884701907734467</v>
      </c>
      <c r="E85" s="11">
        <f ca="1">DATOSAÑO!$G84</f>
        <v>0</v>
      </c>
      <c r="F85" s="9">
        <f ca="1">DATOSAÑO!P84</f>
        <v>148.59999999999854</v>
      </c>
      <c r="G85" s="10">
        <f ca="1">DATOSAÑO!K84</f>
        <v>3.6881110885286663</v>
      </c>
      <c r="H85" s="11">
        <f ca="1">DATOSAÑO!N84</f>
        <v>0</v>
      </c>
      <c r="I85" s="9">
        <f ca="1">DATOSAÑO!Q84</f>
        <v>0</v>
      </c>
      <c r="J85" s="11">
        <f ca="1">DATOSAÑO!R84</f>
        <v>0</v>
      </c>
      <c r="K85" s="9">
        <f ca="1">DATOSAÑO!T84</f>
        <v>0</v>
      </c>
      <c r="L85" s="11">
        <f t="shared" ca="1" si="3"/>
        <v>0</v>
      </c>
      <c r="M85" s="9"/>
      <c r="N85" s="11">
        <f t="shared" si="4"/>
        <v>0</v>
      </c>
      <c r="O85" s="9">
        <f>DATOSAÑO!CT84</f>
        <v>0</v>
      </c>
      <c r="P85" s="9">
        <f>DATOSAÑO!CU84</f>
        <v>0</v>
      </c>
      <c r="Q85" s="9">
        <f ca="1">DATOSAÑO!AD84</f>
        <v>170.69999999995343</v>
      </c>
      <c r="R85" s="11">
        <f ca="1">(Q85*DATOSAÑO!$Z$11)/DATOSAÑO!$Y$11</f>
        <v>3.0757856451741867</v>
      </c>
      <c r="S85" s="9">
        <f ca="1">DATOSAÑO!AF84</f>
        <v>143.79999999998836</v>
      </c>
      <c r="T85" s="11">
        <f ca="1">(S85*DATOSAÑO!$Z$11)/DATOSAÑO!$Y$11</f>
        <v>2.5910836307916396</v>
      </c>
      <c r="U85" s="9">
        <f ca="1">DATOSAÑO!AH84</f>
        <v>8.3000000000029104</v>
      </c>
      <c r="V85" s="11">
        <f ca="1">(U85*DATOSAÑO!$Z$11)/DATOSAÑO!$Y$11</f>
        <v>0.14955489663129271</v>
      </c>
      <c r="W85" s="9">
        <f ca="1">DATOSAÑO!AI84</f>
        <v>37.80000000000291</v>
      </c>
      <c r="X85" s="11">
        <f ca="1">(W85*DATOSAÑO!$Z$11)/DATOSAÑO!$Y$11</f>
        <v>0.68110543285076108</v>
      </c>
      <c r="Y85" s="9">
        <f ca="1">DATOSAÑO!AJ84</f>
        <v>6.6999999999970896</v>
      </c>
      <c r="Z85" s="11">
        <f ca="1">(Y85*DATOSAÑO!$Z$11)/DATOSAÑO!$Y$11</f>
        <v>0.12072503703962342</v>
      </c>
      <c r="AA85" s="9">
        <f ca="1">DATOSAÑO!AK84</f>
        <v>14.799999999988358</v>
      </c>
      <c r="AB85" s="11">
        <f ca="1">(AA85*DATOSAÑO!$Z$11)/DATOSAÑO!$Y$11</f>
        <v>0.26667620122176083</v>
      </c>
      <c r="AC85" s="9">
        <f ca="1">DATOSAÑO!AL84</f>
        <v>32.600000000122293</v>
      </c>
      <c r="AD85" s="11">
        <f ca="1">(AC85*DATOSAÑO!$Z$11)/DATOSAÑO!$Y$11</f>
        <v>0.58740838918032789</v>
      </c>
      <c r="AE85" s="9">
        <f ca="1">DATOSAÑO!AM84</f>
        <v>11.015999999989983</v>
      </c>
      <c r="AF85" s="11">
        <f ca="1">(AE85*DATOSAÑO!$Z$11)/DATOSAÑO!$Y$11</f>
        <v>0.19849358328774031</v>
      </c>
      <c r="AG85" s="9">
        <f ca="1">DATOSAÑO!AN84</f>
        <v>2.5200000000005458</v>
      </c>
      <c r="AH85" s="11">
        <f ca="1">(AG85*DATOSAÑO!$Z$11)/DATOSAÑO!$Y$11</f>
        <v>4.540702885672375E-2</v>
      </c>
      <c r="AI85" s="9">
        <f ca="1">DATOSAÑO!BS84</f>
        <v>2.6160000000000001</v>
      </c>
      <c r="AJ85" s="11">
        <f ca="1">(AI85*DATOSAÑO!$Z$11)/DATOSAÑO!$Y$11</f>
        <v>4.7136820432207779E-2</v>
      </c>
      <c r="AK85" s="9">
        <f ca="1">DATOSAÑO!BV84</f>
        <v>5.8680000000000003</v>
      </c>
      <c r="AL85" s="11">
        <f ca="1">(AK85*DATOSAÑO!$Z$11)/DATOSAÑO!$Y$11</f>
        <v>0.1057335100520624</v>
      </c>
      <c r="AM85" s="9">
        <f ca="1">DATOSAÑO!BY84</f>
        <v>0</v>
      </c>
      <c r="AN85" s="11">
        <f ca="1">(AM85*DATOSAÑO!$Z$11)/DATOSAÑO!$Y$11</f>
        <v>0</v>
      </c>
      <c r="AO85" s="9">
        <f ca="1">DATOSAÑO!CF84</f>
        <v>11.807999999994264</v>
      </c>
      <c r="AP85" s="11">
        <f ca="1">(AO85*DATOSAÑO!$Z$11)/DATOSAÑO!$Y$11</f>
        <v>0.21276436378564181</v>
      </c>
      <c r="AQ85" s="9">
        <f ca="1">DATOSAÑO!CL84</f>
        <v>2.3880000000002184</v>
      </c>
      <c r="AR85" s="1300">
        <f ca="1">(AQ85*DATOSAÑO!$Z$11)/DATOSAÑO!$Y$11</f>
        <v>4.302856544041378E-2</v>
      </c>
      <c r="AS85" s="1334">
        <f t="shared" si="5"/>
        <v>11</v>
      </c>
    </row>
    <row r="86" spans="1:45" ht="16.5" customHeight="1" thickBot="1">
      <c r="A86" s="1371">
        <v>45001</v>
      </c>
      <c r="B86" s="1021">
        <v>45001</v>
      </c>
      <c r="C86" s="9">
        <f ca="1">DATOSAÑO!I85</f>
        <v>290.5</v>
      </c>
      <c r="D86" s="10">
        <f ca="1">DATOSAÑO!$D85</f>
        <v>4.8452507394014965</v>
      </c>
      <c r="E86" s="11">
        <f ca="1">DATOSAÑO!$G85</f>
        <v>0</v>
      </c>
      <c r="F86" s="9">
        <f ca="1">DATOSAÑO!P85</f>
        <v>158.5</v>
      </c>
      <c r="G86" s="10">
        <f ca="1">DATOSAÑO!K85</f>
        <v>3.7688417618453864</v>
      </c>
      <c r="H86" s="11">
        <f ca="1">DATOSAÑO!N85</f>
        <v>0</v>
      </c>
      <c r="I86" s="9">
        <f ca="1">DATOSAÑO!Q85</f>
        <v>0</v>
      </c>
      <c r="J86" s="11">
        <f ca="1">DATOSAÑO!R85</f>
        <v>0</v>
      </c>
      <c r="K86" s="9">
        <f ca="1">DATOSAÑO!T85</f>
        <v>0</v>
      </c>
      <c r="L86" s="11">
        <f t="shared" ca="1" si="3"/>
        <v>0</v>
      </c>
      <c r="M86" s="9"/>
      <c r="N86" s="11">
        <f t="shared" si="4"/>
        <v>0</v>
      </c>
      <c r="O86" s="9">
        <f>DATOSAÑO!CT85</f>
        <v>0</v>
      </c>
      <c r="P86" s="9">
        <f>DATOSAÑO!CU85</f>
        <v>0</v>
      </c>
      <c r="Q86" s="9">
        <f ca="1">DATOSAÑO!AD85</f>
        <v>166.90000000002328</v>
      </c>
      <c r="R86" s="11">
        <f ca="1">(Q86*DATOSAÑO!$Z$11)/DATOSAÑO!$Y$11</f>
        <v>3.00731472864548</v>
      </c>
      <c r="S86" s="9">
        <f ca="1">DATOSAÑO!AF85</f>
        <v>144.79999999998836</v>
      </c>
      <c r="T86" s="11">
        <f ca="1">(S86*DATOSAÑO!$Z$11)/DATOSAÑO!$Y$11</f>
        <v>2.6091022930363672</v>
      </c>
      <c r="U86" s="9">
        <f ca="1">DATOSAÑO!AH85</f>
        <v>8.7999999999956344</v>
      </c>
      <c r="V86" s="11">
        <f ca="1">(U86*DATOSAÑO!$Z$11)/DATOSAÑO!$Y$11</f>
        <v>0.15856422775352547</v>
      </c>
      <c r="W86" s="9">
        <f ca="1">DATOSAÑO!AI85</f>
        <v>39.299999999995634</v>
      </c>
      <c r="X86" s="11">
        <f ca="1">(W86*DATOSAÑO!$Z$11)/DATOSAÑO!$Y$11</f>
        <v>0.70813342621772168</v>
      </c>
      <c r="Y86" s="9">
        <f ca="1">DATOSAÑO!AJ85</f>
        <v>6.8000000000029104</v>
      </c>
      <c r="Z86" s="11">
        <f ca="1">(Y86*DATOSAÑO!$Z$11)/DATOSAÑO!$Y$11</f>
        <v>0.12252690326420108</v>
      </c>
      <c r="AA86" s="9">
        <f ca="1">DATOSAÑO!AK85</f>
        <v>15.100000000005821</v>
      </c>
      <c r="AB86" s="11">
        <f ca="1">(AA86*DATOSAÑO!$Z$11)/DATOSAÑO!$Y$11</f>
        <v>0.2720817998954938</v>
      </c>
      <c r="AC86" s="9">
        <f ca="1">DATOSAÑO!AL85</f>
        <v>38.499999999967258</v>
      </c>
      <c r="AD86" s="11">
        <f ca="1">(AC86*DATOSAÑO!$Z$11)/DATOSAÑO!$Y$11</f>
        <v>0.69371849642142802</v>
      </c>
      <c r="AE86" s="9">
        <f ca="1">DATOSAÑO!AM85</f>
        <v>9.9215000000208207</v>
      </c>
      <c r="AF86" s="11">
        <f ca="1">(AE86*DATOSAÑO!$Z$11)/DATOSAÑO!$Y$11</f>
        <v>0.17877215746144146</v>
      </c>
      <c r="AG86" s="9">
        <f ca="1">DATOSAÑO!AN85</f>
        <v>2.6419999999995452</v>
      </c>
      <c r="AH86" s="11">
        <f ca="1">(AG86*DATOSAÑO!$Z$11)/DATOSAÑO!$Y$11</f>
        <v>4.76053056505625E-2</v>
      </c>
      <c r="AI86" s="9">
        <f ca="1">DATOSAÑO!BS85</f>
        <v>2.2244999999999999</v>
      </c>
      <c r="AJ86" s="11">
        <f ca="1">(AI86*DATOSAÑO!$Z$11)/DATOSAÑO!$Y$11</f>
        <v>4.0082514163396858E-2</v>
      </c>
      <c r="AK86" s="9">
        <f ca="1">DATOSAÑO!BV85</f>
        <v>5.9539999999999997</v>
      </c>
      <c r="AL86" s="11">
        <f ca="1">(AK86*DATOSAÑO!$Z$11)/DATOSAÑO!$Y$11</f>
        <v>0.10728311500510898</v>
      </c>
      <c r="AM86" s="9">
        <f ca="1">DATOSAÑO!BY85</f>
        <v>0</v>
      </c>
      <c r="AN86" s="11">
        <f ca="1">(AM86*DATOSAÑO!$Z$11)/DATOSAÑO!$Y$11</f>
        <v>0</v>
      </c>
      <c r="AO86" s="9">
        <f ca="1">DATOSAÑO!CF85</f>
        <v>11.660750000011138</v>
      </c>
      <c r="AP86" s="11">
        <f ca="1">(AO86*DATOSAÑO!$Z$11)/DATOSAÑO!$Y$11</f>
        <v>0.21011111577040972</v>
      </c>
      <c r="AQ86" s="9">
        <f ca="1">DATOSAÑO!CL85</f>
        <v>2.4147999999998184</v>
      </c>
      <c r="AR86" s="1300">
        <f ca="1">(AQ86*DATOSAÑO!$Z$11)/DATOSAÑO!$Y$11</f>
        <v>4.3511465588565279E-2</v>
      </c>
      <c r="AS86" s="1334">
        <f t="shared" si="5"/>
        <v>11</v>
      </c>
    </row>
    <row r="87" spans="1:45" ht="15" thickBot="1">
      <c r="A87" s="1371">
        <v>45002</v>
      </c>
      <c r="B87" s="1021">
        <v>45002</v>
      </c>
      <c r="C87" s="9">
        <f ca="1">DATOSAÑO!I86</f>
        <v>283</v>
      </c>
      <c r="D87" s="10">
        <f ca="1">DATOSAÑO!$D86</f>
        <v>4.7840911384039906</v>
      </c>
      <c r="E87" s="11">
        <f ca="1">DATOSAÑO!$G86</f>
        <v>0</v>
      </c>
      <c r="F87" s="9">
        <f ca="1">DATOSAÑO!P86</f>
        <v>162</v>
      </c>
      <c r="G87" s="10">
        <f ca="1">DATOSAÑO!K86</f>
        <v>3.7973829089775561</v>
      </c>
      <c r="H87" s="11">
        <f ca="1">DATOSAÑO!N86</f>
        <v>0</v>
      </c>
      <c r="I87" s="9">
        <f ca="1">DATOSAÑO!Q86</f>
        <v>0</v>
      </c>
      <c r="J87" s="11">
        <f ca="1">DATOSAÑO!R86</f>
        <v>0</v>
      </c>
      <c r="K87" s="9">
        <f ca="1">DATOSAÑO!T86</f>
        <v>0</v>
      </c>
      <c r="L87" s="11">
        <f t="shared" ca="1" si="3"/>
        <v>0</v>
      </c>
      <c r="M87" s="9"/>
      <c r="N87" s="11">
        <f t="shared" si="4"/>
        <v>0</v>
      </c>
      <c r="O87" s="9">
        <f>DATOSAÑO!CT86</f>
        <v>0</v>
      </c>
      <c r="P87" s="9">
        <f>DATOSAÑO!CU86</f>
        <v>0</v>
      </c>
      <c r="Q87" s="9">
        <f ca="1">DATOSAÑO!AD86</f>
        <v>167</v>
      </c>
      <c r="R87" s="11">
        <f ca="1">(Q87*DATOSAÑO!$Z$11)/DATOSAÑO!$Y$11</f>
        <v>3.0091165948695329</v>
      </c>
      <c r="S87" s="9">
        <f ca="1">DATOSAÑO!AF86</f>
        <v>144</v>
      </c>
      <c r="T87" s="11">
        <f ca="1">(S87*DATOSAÑO!$Z$11)/DATOSAÑO!$Y$11</f>
        <v>2.5946873632407947</v>
      </c>
      <c r="U87" s="9">
        <f ca="1">DATOSAÑO!AH86</f>
        <v>8.2000000000043656</v>
      </c>
      <c r="V87" s="11">
        <f ca="1">(U87*DATOSAÑO!$Z$11)/DATOSAÑO!$Y$11</f>
        <v>0.14775303040684615</v>
      </c>
      <c r="W87" s="9">
        <f ca="1">DATOSAÑO!AI86</f>
        <v>38.5</v>
      </c>
      <c r="X87" s="11">
        <f ca="1">(W87*DATOSAÑO!$Z$11)/DATOSAÑO!$Y$11</f>
        <v>0.6937184964220181</v>
      </c>
      <c r="Y87" s="9">
        <f ca="1">DATOSAÑO!AJ86</f>
        <v>7.3999999999941792</v>
      </c>
      <c r="Z87" s="11">
        <f ca="1">(Y87*DATOSAÑO!$Z$11)/DATOSAÑO!$Y$11</f>
        <v>0.13333810061088042</v>
      </c>
      <c r="AA87" s="9">
        <f ca="1">DATOSAÑO!AK86</f>
        <v>14.899999999994179</v>
      </c>
      <c r="AB87" s="11">
        <f ca="1">(AA87*DATOSAÑO!$Z$11)/DATOSAÑO!$Y$11</f>
        <v>0.26847806744633845</v>
      </c>
      <c r="AC87" s="9">
        <f ca="1">DATOSAÑO!AL86</f>
        <v>34.800000000006548</v>
      </c>
      <c r="AD87" s="11">
        <f ca="1">(AC87*DATOSAÑO!$Z$11)/DATOSAÑO!$Y$11</f>
        <v>0.62704944611664337</v>
      </c>
      <c r="AE87" s="9">
        <f ca="1">DATOSAÑO!AM86</f>
        <v>11.642000000001284</v>
      </c>
      <c r="AF87" s="11">
        <f ca="1">(AE87*DATOSAÑO!$Z$11)/DATOSAÑO!$Y$11</f>
        <v>0.20977326585314351</v>
      </c>
      <c r="AG87" s="9">
        <f ca="1">DATOSAÑO!AN86</f>
        <v>2.5120000000005458</v>
      </c>
      <c r="AH87" s="11">
        <f ca="1">(AG87*DATOSAÑO!$Z$11)/DATOSAÑO!$Y$11</f>
        <v>4.5262879558765921E-2</v>
      </c>
      <c r="AI87" s="9">
        <f ca="1">DATOSAÑO!BS86</f>
        <v>2.2000000000000002</v>
      </c>
      <c r="AJ87" s="11">
        <f ca="1">(AI87*DATOSAÑO!$Z$11)/DATOSAÑO!$Y$11</f>
        <v>3.9641056938401038E-2</v>
      </c>
      <c r="AK87" s="9">
        <f ca="1">DATOSAÑO!BV86</f>
        <v>5.758</v>
      </c>
      <c r="AL87" s="11">
        <f ca="1">(AK87*DATOSAÑO!$Z$11)/DATOSAÑO!$Y$11</f>
        <v>0.10375145720514234</v>
      </c>
      <c r="AM87" s="9">
        <f ca="1">DATOSAÑO!BY86</f>
        <v>0</v>
      </c>
      <c r="AN87" s="11">
        <f ca="1">(AM87*DATOSAÑO!$Z$11)/DATOSAÑO!$Y$11</f>
        <v>0</v>
      </c>
      <c r="AO87" s="9">
        <f ca="1">DATOSAÑO!CF86</f>
        <v>12.52099999999955</v>
      </c>
      <c r="AP87" s="11">
        <f ca="1">(AO87*DATOSAÑO!$Z$11)/DATOSAÑO!$Y$11</f>
        <v>0.22561166996622795</v>
      </c>
      <c r="AQ87" s="9">
        <f ca="1">DATOSAÑO!CL86</f>
        <v>2.3928000000002183</v>
      </c>
      <c r="AR87" s="1300">
        <f ca="1">(AQ87*DATOSAÑO!$Z$11)/DATOSAÑO!$Y$11</f>
        <v>4.3115055019188477E-2</v>
      </c>
      <c r="AS87" s="1334">
        <f t="shared" si="5"/>
        <v>11</v>
      </c>
    </row>
    <row r="88" spans="1:45" ht="16.5" customHeight="1" thickBot="1">
      <c r="A88" s="1371">
        <v>45003</v>
      </c>
      <c r="B88" s="1021">
        <v>45003</v>
      </c>
      <c r="C88" s="9">
        <f ca="1">DATOSAÑO!I87</f>
        <v>298</v>
      </c>
      <c r="D88" s="10">
        <f ca="1">DATOSAÑO!$D87</f>
        <v>4.9064103403990025</v>
      </c>
      <c r="E88" s="11">
        <f ca="1">DATOSAÑO!$G87</f>
        <v>0</v>
      </c>
      <c r="F88" s="9">
        <f ca="1">DATOSAÑO!P87</f>
        <v>151</v>
      </c>
      <c r="G88" s="10">
        <f ca="1">DATOSAÑO!K87</f>
        <v>3.70768216084788</v>
      </c>
      <c r="H88" s="11">
        <f ca="1">DATOSAÑO!N87</f>
        <v>0</v>
      </c>
      <c r="I88" s="9">
        <f ca="1">DATOSAÑO!Q87</f>
        <v>0</v>
      </c>
      <c r="J88" s="11">
        <f ca="1">DATOSAÑO!R87</f>
        <v>0</v>
      </c>
      <c r="K88" s="9">
        <f ca="1">DATOSAÑO!T87</f>
        <v>0</v>
      </c>
      <c r="L88" s="11">
        <f t="shared" ca="1" si="3"/>
        <v>0</v>
      </c>
      <c r="M88" s="9"/>
      <c r="N88" s="11">
        <f t="shared" si="4"/>
        <v>0</v>
      </c>
      <c r="O88" s="9">
        <f>DATOSAÑO!CT87</f>
        <v>0</v>
      </c>
      <c r="P88" s="9">
        <f>DATOSAÑO!CU87</f>
        <v>0</v>
      </c>
      <c r="Q88" s="9">
        <f ca="1">DATOSAÑO!AD87</f>
        <v>168</v>
      </c>
      <c r="R88" s="11">
        <f ca="1">(Q88*DATOSAÑO!$Z$11)/DATOSAÑO!$Y$11</f>
        <v>3.0271352571142609</v>
      </c>
      <c r="S88" s="9">
        <f ca="1">DATOSAÑO!AF87</f>
        <v>145</v>
      </c>
      <c r="T88" s="11">
        <f ca="1">(S88*DATOSAÑO!$Z$11)/DATOSAÑO!$Y$11</f>
        <v>2.6127060254855223</v>
      </c>
      <c r="U88" s="9">
        <f ca="1">DATOSAÑO!AH87</f>
        <v>10.099999999998545</v>
      </c>
      <c r="V88" s="11">
        <f ca="1">(U88*DATOSAÑO!$Z$11)/DATOSAÑO!$Y$11</f>
        <v>0.18198848867172399</v>
      </c>
      <c r="W88" s="9">
        <f ca="1">DATOSAÑO!AI87</f>
        <v>38.700000000004366</v>
      </c>
      <c r="X88" s="11">
        <f ca="1">(W88*DATOSAÑO!$Z$11)/DATOSAÑO!$Y$11</f>
        <v>0.69732222887104223</v>
      </c>
      <c r="Y88" s="9">
        <f ca="1">DATOSAÑO!AJ87</f>
        <v>9.3999999999941792</v>
      </c>
      <c r="Z88" s="11">
        <f ca="1">(Y88*DATOSAÑO!$Z$11)/DATOSAÑO!$Y$11</f>
        <v>0.1693754251003359</v>
      </c>
      <c r="AA88" s="9">
        <f ca="1">DATOSAÑO!AK87</f>
        <v>15.899999999994179</v>
      </c>
      <c r="AB88" s="11">
        <f ca="1">(AA88*DATOSAÑO!$Z$11)/DATOSAÑO!$Y$11</f>
        <v>0.28649672969106621</v>
      </c>
      <c r="AC88" s="9">
        <f ca="1">DATOSAÑO!AL87</f>
        <v>32.400000000008674</v>
      </c>
      <c r="AD88" s="11">
        <f ca="1">(AC88*DATOSAÑO!$Z$11)/DATOSAÑO!$Y$11</f>
        <v>0.58380465672933524</v>
      </c>
      <c r="AE88" s="9">
        <f ca="1">DATOSAÑO!AM87</f>
        <v>10.969000000000456</v>
      </c>
      <c r="AF88" s="11">
        <f ca="1">(AE88*DATOSAÑO!$Z$11)/DATOSAÑO!$Y$11</f>
        <v>0.19764670616242683</v>
      </c>
      <c r="AG88" s="9">
        <f ca="1">DATOSAÑO!AN87</f>
        <v>2.616999999999909</v>
      </c>
      <c r="AH88" s="11">
        <f ca="1">(AG88*DATOSAÑO!$Z$11)/DATOSAÑO!$Y$11</f>
        <v>4.7154839094450861E-2</v>
      </c>
      <c r="AI88" s="9">
        <f ca="1">DATOSAÑO!BS87</f>
        <v>2</v>
      </c>
      <c r="AJ88" s="11">
        <f ca="1">(AI88*DATOSAÑO!$Z$11)/DATOSAÑO!$Y$11</f>
        <v>3.6037324489455486E-2</v>
      </c>
      <c r="AK88" s="9">
        <f ca="1">DATOSAÑO!BV87</f>
        <v>6.0309999999999997</v>
      </c>
      <c r="AL88" s="11">
        <f ca="1">(AK88*DATOSAÑO!$Z$11)/DATOSAÑO!$Y$11</f>
        <v>0.108670551997953</v>
      </c>
      <c r="AM88" s="9">
        <f ca="1">DATOSAÑO!BY87</f>
        <v>0</v>
      </c>
      <c r="AN88" s="11">
        <f ca="1">(AM88*DATOSAÑO!$Z$11)/DATOSAÑO!$Y$11</f>
        <v>0</v>
      </c>
      <c r="AO88" s="9">
        <f ca="1">DATOSAÑO!CF87</f>
        <v>11.884499999999864</v>
      </c>
      <c r="AP88" s="11">
        <f ca="1">(AO88*DATOSAÑO!$Z$11)/DATOSAÑO!$Y$11</f>
        <v>0.2141427914474644</v>
      </c>
      <c r="AQ88" s="9">
        <f ca="1">DATOSAÑO!CL87</f>
        <v>2.5297999999999634</v>
      </c>
      <c r="AR88" s="1300">
        <f ca="1">(AQ88*DATOSAÑO!$Z$11)/DATOSAÑO!$Y$11</f>
        <v>4.5583611746711585E-2</v>
      </c>
      <c r="AS88" s="1334">
        <f t="shared" si="5"/>
        <v>11</v>
      </c>
    </row>
    <row r="89" spans="1:45" ht="15" thickBot="1">
      <c r="A89" s="1371">
        <v>45004</v>
      </c>
      <c r="B89" s="1021">
        <v>45004</v>
      </c>
      <c r="C89" s="9">
        <f ca="1">DATOSAÑO!I88</f>
        <v>290</v>
      </c>
      <c r="D89" s="10">
        <f ca="1">DATOSAÑO!$D88</f>
        <v>4.8411734326683291</v>
      </c>
      <c r="E89" s="11">
        <f ca="1">DATOSAÑO!$G88</f>
        <v>0</v>
      </c>
      <c r="F89" s="9">
        <f ca="1">DATOSAÑO!P88</f>
        <v>158</v>
      </c>
      <c r="G89" s="10">
        <f ca="1">DATOSAÑO!K88</f>
        <v>3.7647644551122195</v>
      </c>
      <c r="H89" s="11">
        <f ca="1">DATOSAÑO!N88</f>
        <v>0</v>
      </c>
      <c r="I89" s="9">
        <f ca="1">DATOSAÑO!Q88</f>
        <v>0</v>
      </c>
      <c r="J89" s="11">
        <f ca="1">DATOSAÑO!R88</f>
        <v>0</v>
      </c>
      <c r="K89" s="9">
        <f ca="1">DATOSAÑO!T88</f>
        <v>0</v>
      </c>
      <c r="L89" s="11">
        <f t="shared" ca="1" si="3"/>
        <v>0</v>
      </c>
      <c r="M89" s="9"/>
      <c r="N89" s="11">
        <f t="shared" si="4"/>
        <v>0</v>
      </c>
      <c r="O89" s="9">
        <f>DATOSAÑO!CT88</f>
        <v>0</v>
      </c>
      <c r="P89" s="9">
        <f>DATOSAÑO!CU88</f>
        <v>0</v>
      </c>
      <c r="Q89" s="9">
        <f ca="1">DATOSAÑO!AD88</f>
        <v>168</v>
      </c>
      <c r="R89" s="11">
        <f ca="1">(Q89*DATOSAÑO!$Z$11)/DATOSAÑO!$Y$11</f>
        <v>3.0271352571142609</v>
      </c>
      <c r="S89" s="9">
        <f ca="1">DATOSAÑO!AF88</f>
        <v>142</v>
      </c>
      <c r="T89" s="11">
        <f ca="1">(S89*DATOSAÑO!$Z$11)/DATOSAÑO!$Y$11</f>
        <v>2.5586500387513391</v>
      </c>
      <c r="U89" s="9">
        <f ca="1">DATOSAÑO!AH88</f>
        <v>7.9000000000014552</v>
      </c>
      <c r="V89" s="11">
        <f ca="1">(U89*DATOSAÑO!$Z$11)/DATOSAÑO!$Y$11</f>
        <v>0.14234743173337538</v>
      </c>
      <c r="W89" s="9">
        <f ca="1">DATOSAÑO!AI88</f>
        <v>38.899999999994179</v>
      </c>
      <c r="X89" s="11">
        <f ca="1">(W89*DATOSAÑO!$Z$11)/DATOSAÑO!$Y$11</f>
        <v>0.70092596131980434</v>
      </c>
      <c r="Y89" s="9">
        <f ca="1">DATOSAÑO!AJ88</f>
        <v>9</v>
      </c>
      <c r="Z89" s="11">
        <f ca="1">(Y89*DATOSAÑO!$Z$11)/DATOSAÑO!$Y$11</f>
        <v>0.16216796020254967</v>
      </c>
      <c r="AA89" s="9">
        <f ca="1">DATOSAÑO!AK88</f>
        <v>15.200000000011642</v>
      </c>
      <c r="AB89" s="11">
        <f ca="1">(AA89*DATOSAÑO!$Z$11)/DATOSAÑO!$Y$11</f>
        <v>0.27388366612007142</v>
      </c>
      <c r="AC89" s="9">
        <f ca="1">DATOSAÑO!AL88</f>
        <v>37.799999999991996</v>
      </c>
      <c r="AD89" s="11">
        <f ca="1">(AC89*DATOSAÑO!$Z$11)/DATOSAÑO!$Y$11</f>
        <v>0.68110543285056446</v>
      </c>
      <c r="AE89" s="9">
        <f ca="1">DATOSAÑO!AM88</f>
        <v>10.622999999999614</v>
      </c>
      <c r="AF89" s="11">
        <f ca="1">(AE89*DATOSAÑO!$Z$11)/DATOSAÑO!$Y$11</f>
        <v>0.19141224902573584</v>
      </c>
      <c r="AG89" s="9">
        <f ca="1">DATOSAÑO!AN88</f>
        <v>2.4969999999996473</v>
      </c>
      <c r="AH89" s="11">
        <f ca="1">(AG89*DATOSAÑO!$Z$11)/DATOSAÑO!$Y$11</f>
        <v>4.4992599625078816E-2</v>
      </c>
      <c r="AI89" s="9">
        <f ca="1">DATOSAÑO!BS88</f>
        <v>2.2999999999999998</v>
      </c>
      <c r="AJ89" s="11">
        <f ca="1">(AI89*DATOSAÑO!$Z$11)/DATOSAÑO!$Y$11</f>
        <v>4.1442923162873804E-2</v>
      </c>
      <c r="AK89" s="9">
        <f ca="1">DATOSAÑO!BV88</f>
        <v>5.9269999999999996</v>
      </c>
      <c r="AL89" s="11">
        <f ca="1">(AK89*DATOSAÑO!$Z$11)/DATOSAÑO!$Y$11</f>
        <v>0.10679661112450133</v>
      </c>
      <c r="AM89" s="9">
        <f ca="1">DATOSAÑO!BY88</f>
        <v>0</v>
      </c>
      <c r="AN89" s="11">
        <f ca="1">(AM89*DATOSAÑO!$Z$11)/DATOSAÑO!$Y$11</f>
        <v>0</v>
      </c>
      <c r="AO89" s="9">
        <f ca="1">DATOSAÑO!CF88</f>
        <v>11.711500000001262</v>
      </c>
      <c r="AP89" s="11">
        <f ca="1">(AO89*DATOSAÑO!$Z$11)/DATOSAÑO!$Y$11</f>
        <v>0.2110255628791517</v>
      </c>
      <c r="AQ89" s="9">
        <f ca="1">DATOSAÑO!CL88</f>
        <v>2.4517999999998592</v>
      </c>
      <c r="AR89" s="1300">
        <f ca="1">(AQ89*DATOSAÑO!$Z$11)/DATOSAÑO!$Y$11</f>
        <v>4.4178156091620936E-2</v>
      </c>
      <c r="AS89" s="1334">
        <f t="shared" si="5"/>
        <v>12</v>
      </c>
    </row>
    <row r="90" spans="1:45" ht="16.5" customHeight="1" thickBot="1">
      <c r="A90" s="1371">
        <v>45005</v>
      </c>
      <c r="B90" s="1021">
        <v>45005</v>
      </c>
      <c r="C90" s="9">
        <f ca="1">DATOSAÑO!I89</f>
        <v>300</v>
      </c>
      <c r="D90" s="10">
        <f ca="1">DATOSAÑO!$D89</f>
        <v>4.9227195673316713</v>
      </c>
      <c r="E90" s="11">
        <f ca="1">DATOSAÑO!$G89</f>
        <v>0</v>
      </c>
      <c r="F90" s="9">
        <f ca="1">DATOSAÑO!P89</f>
        <v>156</v>
      </c>
      <c r="G90" s="10">
        <f ca="1">DATOSAÑO!K89</f>
        <v>3.7484552281795511</v>
      </c>
      <c r="H90" s="11">
        <f ca="1">DATOSAÑO!N89</f>
        <v>0</v>
      </c>
      <c r="I90" s="9">
        <f ca="1">DATOSAÑO!Q89</f>
        <v>0</v>
      </c>
      <c r="J90" s="11">
        <f ca="1">DATOSAÑO!R89</f>
        <v>0</v>
      </c>
      <c r="K90" s="9">
        <f ca="1">DATOSAÑO!T89</f>
        <v>0</v>
      </c>
      <c r="L90" s="11">
        <f t="shared" ca="1" si="3"/>
        <v>0</v>
      </c>
      <c r="M90" s="9"/>
      <c r="N90" s="11">
        <f t="shared" si="4"/>
        <v>0</v>
      </c>
      <c r="O90" s="9">
        <f>DATOSAÑO!CT89</f>
        <v>0</v>
      </c>
      <c r="P90" s="9">
        <f>DATOSAÑO!CU89</f>
        <v>0</v>
      </c>
      <c r="Q90" s="9">
        <f ca="1">DATOSAÑO!AD89</f>
        <v>168</v>
      </c>
      <c r="R90" s="11">
        <f ca="1">(Q90*DATOSAÑO!$Z$11)/DATOSAÑO!$Y$11</f>
        <v>3.0271352571142609</v>
      </c>
      <c r="S90" s="9">
        <f ca="1">DATOSAÑO!AF89</f>
        <v>144</v>
      </c>
      <c r="T90" s="11">
        <f ca="1">(S90*DATOSAÑO!$Z$11)/DATOSAÑO!$Y$11</f>
        <v>2.5946873632407947</v>
      </c>
      <c r="U90" s="9">
        <f ca="1">DATOSAÑO!AH89</f>
        <v>11.5</v>
      </c>
      <c r="V90" s="11">
        <f ca="1">(U90*DATOSAÑO!$Z$11)/DATOSAÑO!$Y$11</f>
        <v>0.20721461581436901</v>
      </c>
      <c r="W90" s="9">
        <f ca="1">DATOSAÑO!AI89</f>
        <v>41.599999999998545</v>
      </c>
      <c r="X90" s="11">
        <f ca="1">(W90*DATOSAÑO!$Z$11)/DATOSAÑO!$Y$11</f>
        <v>0.74957634938064788</v>
      </c>
      <c r="Y90" s="9">
        <f ca="1">DATOSAÑO!AJ89</f>
        <v>8.8000000000029104</v>
      </c>
      <c r="Z90" s="11">
        <f ca="1">(Y90*DATOSAÑO!$Z$11)/DATOSAÑO!$Y$11</f>
        <v>0.15856422775365658</v>
      </c>
      <c r="AA90" s="9">
        <f ca="1">DATOSAÑO!AK89</f>
        <v>16.199999999982538</v>
      </c>
      <c r="AB90" s="11">
        <f ca="1">(AA90*DATOSAÑO!$Z$11)/DATOSAÑO!$Y$11</f>
        <v>0.29190232836427477</v>
      </c>
      <c r="AC90" s="9">
        <f ca="1">DATOSAÑO!AL89</f>
        <v>35.500000000014552</v>
      </c>
      <c r="AD90" s="11">
        <f ca="1">(AC90*DATOSAÑO!$Z$11)/DATOSAÑO!$Y$11</f>
        <v>0.63966250968809713</v>
      </c>
      <c r="AE90" s="9">
        <f ca="1">DATOSAÑO!AM89</f>
        <v>10.622000000002924</v>
      </c>
      <c r="AF90" s="11">
        <f ca="1">(AE90*DATOSAÑO!$Z$11)/DATOSAÑO!$Y$11</f>
        <v>0.19139423036355074</v>
      </c>
      <c r="AG90" s="9">
        <f ca="1">DATOSAÑO!AN89</f>
        <v>2.9349999999996363</v>
      </c>
      <c r="AH90" s="11">
        <f ca="1">(AG90*DATOSAÑO!$Z$11)/DATOSAÑO!$Y$11</f>
        <v>5.2884773688269375E-2</v>
      </c>
      <c r="AI90" s="9">
        <f ca="1">DATOSAÑO!BS89</f>
        <v>2.2000000000000002</v>
      </c>
      <c r="AJ90" s="11">
        <f ca="1">(AI90*DATOSAÑO!$Z$11)/DATOSAÑO!$Y$11</f>
        <v>3.9641056938401038E-2</v>
      </c>
      <c r="AK90" s="9">
        <f ca="1">DATOSAÑO!BV89</f>
        <v>5.9779999999999998</v>
      </c>
      <c r="AL90" s="11">
        <f ca="1">(AK90*DATOSAÑO!$Z$11)/DATOSAÑO!$Y$11</f>
        <v>0.10771556289898244</v>
      </c>
      <c r="AM90" s="9">
        <f ca="1">DATOSAÑO!BY89</f>
        <v>0</v>
      </c>
      <c r="AN90" s="11">
        <f ca="1">(AM90*DATOSAÑO!$Z$11)/DATOSAÑO!$Y$11</f>
        <v>0</v>
      </c>
      <c r="AO90" s="9">
        <f ca="1">DATOSAÑO!CF89</f>
        <v>12.51100000000037</v>
      </c>
      <c r="AP90" s="11">
        <f ca="1">(AO90*DATOSAÑO!$Z$11)/DATOSAÑO!$Y$11</f>
        <v>0.22543148334379545</v>
      </c>
      <c r="AQ90" s="9">
        <f ca="1">DATOSAÑO!CL89</f>
        <v>2.6389999999998546</v>
      </c>
      <c r="AR90" s="1300">
        <f ca="1">(AQ90*DATOSAÑO!$Z$11)/DATOSAÑO!$Y$11</f>
        <v>4.7551249663833894E-2</v>
      </c>
      <c r="AS90" s="1334">
        <f t="shared" si="5"/>
        <v>12</v>
      </c>
    </row>
    <row r="91" spans="1:45" ht="15" thickBot="1">
      <c r="A91" s="1371">
        <v>45006</v>
      </c>
      <c r="B91" s="1021">
        <v>45006</v>
      </c>
      <c r="C91" s="9">
        <f ca="1">DATOSAÑO!I90</f>
        <v>303</v>
      </c>
      <c r="D91" s="10">
        <f ca="1">DATOSAÑO!$D90</f>
        <v>4.9471834077306731</v>
      </c>
      <c r="E91" s="11">
        <f ca="1">DATOSAÑO!$G90</f>
        <v>0</v>
      </c>
      <c r="F91" s="9">
        <f ca="1">DATOSAÑO!P90</f>
        <v>154</v>
      </c>
      <c r="G91" s="10">
        <f ca="1">DATOSAÑO!K90</f>
        <v>3.7321460012468828</v>
      </c>
      <c r="H91" s="11">
        <f ca="1">DATOSAÑO!N90</f>
        <v>0</v>
      </c>
      <c r="I91" s="9">
        <f ca="1">DATOSAÑO!Q90</f>
        <v>0.2419999999999618</v>
      </c>
      <c r="J91" s="11">
        <f ca="1">DATOSAÑO!R90</f>
        <v>29.039999999995416</v>
      </c>
      <c r="K91" s="9">
        <f ca="1">DATOSAÑO!T90</f>
        <v>0.31100000000003547</v>
      </c>
      <c r="L91" s="11">
        <f t="shared" ca="1" si="3"/>
        <v>37.320000000004256</v>
      </c>
      <c r="M91" s="9"/>
      <c r="N91" s="11">
        <f t="shared" si="4"/>
        <v>0</v>
      </c>
      <c r="O91" s="9">
        <f>DATOSAÑO!CT90</f>
        <v>0.2</v>
      </c>
      <c r="P91" s="9">
        <f>DATOSAÑO!CU90</f>
        <v>0.3</v>
      </c>
      <c r="Q91" s="9">
        <f ca="1">DATOSAÑO!AD90</f>
        <v>170</v>
      </c>
      <c r="R91" s="11">
        <f ca="1">(Q91*DATOSAÑO!$Z$11)/DATOSAÑO!$Y$11</f>
        <v>3.0631725816037165</v>
      </c>
      <c r="S91" s="9">
        <f ca="1">DATOSAÑO!AF90</f>
        <v>149</v>
      </c>
      <c r="T91" s="11">
        <f ca="1">(S91*DATOSAÑO!$Z$11)/DATOSAÑO!$Y$11</f>
        <v>2.6847806744644336</v>
      </c>
      <c r="U91" s="9">
        <f ca="1">DATOSAÑO!AH90</f>
        <v>11.399999999994179</v>
      </c>
      <c r="V91" s="11">
        <f ca="1">(U91*DATOSAÑO!$Z$11)/DATOSAÑO!$Y$11</f>
        <v>0.20541274958979139</v>
      </c>
      <c r="W91" s="9">
        <f ca="1">DATOSAÑO!AI90</f>
        <v>43.600000000005821</v>
      </c>
      <c r="X91" s="11">
        <f ca="1">(W91*DATOSAÑO!$Z$11)/DATOSAÑO!$Y$11</f>
        <v>0.78561367387023451</v>
      </c>
      <c r="Y91" s="9">
        <f ca="1">DATOSAÑO!AJ90</f>
        <v>8.5</v>
      </c>
      <c r="Z91" s="11">
        <f ca="1">(Y91*DATOSAÑO!$Z$11)/DATOSAÑO!$Y$11</f>
        <v>0.15315862908018582</v>
      </c>
      <c r="AA91" s="9">
        <f ca="1">DATOSAÑO!AK90</f>
        <v>16.5</v>
      </c>
      <c r="AB91" s="11">
        <f ca="1">(AA91*DATOSAÑO!$Z$11)/DATOSAÑO!$Y$11</f>
        <v>0.29730792703800774</v>
      </c>
      <c r="AC91" s="9">
        <f ca="1">DATOSAÑO!AL90</f>
        <v>31.052999999999884</v>
      </c>
      <c r="AD91" s="11">
        <f ca="1">(AC91*DATOSAÑO!$Z$11)/DATOSAÑO!$Y$11</f>
        <v>0.55953351868552847</v>
      </c>
      <c r="AE91" s="9">
        <f ca="1">DATOSAÑO!AM90</f>
        <v>7.8379999999991137</v>
      </c>
      <c r="AF91" s="11">
        <f ca="1">(AE91*DATOSAÑO!$Z$11)/DATOSAÑO!$Y$11</f>
        <v>0.14123027467416008</v>
      </c>
      <c r="AG91" s="9">
        <f ca="1">DATOSAÑO!AN90</f>
        <v>2.5640000000008927</v>
      </c>
      <c r="AH91" s="11">
        <f ca="1">(AG91*DATOSAÑO!$Z$11)/DATOSAÑO!$Y$11</f>
        <v>4.6199849995498019E-2</v>
      </c>
      <c r="AI91" s="9">
        <f ca="1">DATOSAÑO!BS90</f>
        <v>2.1</v>
      </c>
      <c r="AJ91" s="11">
        <f ca="1">(AI91*DATOSAÑO!$Z$11)/DATOSAÑO!$Y$11</f>
        <v>3.7839190713928265E-2</v>
      </c>
      <c r="AK91" s="9">
        <f ca="1">DATOSAÑO!BV90</f>
        <v>6.0119999999999996</v>
      </c>
      <c r="AL91" s="11">
        <f ca="1">(AK91*DATOSAÑO!$Z$11)/DATOSAÑO!$Y$11</f>
        <v>0.10832819741530318</v>
      </c>
      <c r="AM91" s="9">
        <f ca="1">DATOSAÑO!BY90</f>
        <v>0</v>
      </c>
      <c r="AN91" s="11">
        <f ca="1">(AM91*DATOSAÑO!$Z$11)/DATOSAÑO!$Y$11</f>
        <v>0</v>
      </c>
      <c r="AO91" s="9">
        <f ca="1">DATOSAÑO!CF90</f>
        <v>11.418999999999556</v>
      </c>
      <c r="AP91" s="11">
        <f ca="1">(AO91*DATOSAÑO!$Z$11)/DATOSAÑO!$Y$11</f>
        <v>0.20575510417253812</v>
      </c>
      <c r="AQ91" s="9">
        <f ca="1">DATOSAÑO!CL90</f>
        <v>2.5116000000003571</v>
      </c>
      <c r="AR91" s="1300">
        <f ca="1">(AQ91*DATOSAÑO!$Z$11)/DATOSAÑO!$Y$11</f>
        <v>4.5255672093864628E-2</v>
      </c>
      <c r="AS91" s="1334">
        <f t="shared" si="5"/>
        <v>12</v>
      </c>
    </row>
    <row r="92" spans="1:45" ht="16.5" customHeight="1" thickBot="1">
      <c r="A92" s="1371">
        <v>45007</v>
      </c>
      <c r="B92" s="1021">
        <v>45007</v>
      </c>
      <c r="C92" s="9">
        <f ca="1">DATOSAÑO!I91</f>
        <v>298</v>
      </c>
      <c r="D92" s="10">
        <f ca="1">DATOSAÑO!$D91</f>
        <v>4.9064103403990025</v>
      </c>
      <c r="E92" s="11">
        <f ca="1">DATOSAÑO!$G91</f>
        <v>0</v>
      </c>
      <c r="F92" s="9">
        <f ca="1">DATOSAÑO!P91</f>
        <v>154</v>
      </c>
      <c r="G92" s="10">
        <f ca="1">DATOSAÑO!K91</f>
        <v>3.7321460012468828</v>
      </c>
      <c r="H92" s="11">
        <f ca="1">DATOSAÑO!N91</f>
        <v>0</v>
      </c>
      <c r="I92" s="9">
        <f ca="1">DATOSAÑO!Q91</f>
        <v>0</v>
      </c>
      <c r="J92" s="11">
        <f ca="1">DATOSAÑO!R91</f>
        <v>0</v>
      </c>
      <c r="K92" s="9">
        <f ca="1">DATOSAÑO!T91</f>
        <v>0</v>
      </c>
      <c r="L92" s="11">
        <f t="shared" ca="1" si="3"/>
        <v>0</v>
      </c>
      <c r="M92" s="9"/>
      <c r="N92" s="11">
        <f t="shared" si="4"/>
        <v>0</v>
      </c>
      <c r="O92" s="9">
        <f>DATOSAÑO!CT91</f>
        <v>0</v>
      </c>
      <c r="P92" s="9">
        <f>DATOSAÑO!CU91</f>
        <v>0</v>
      </c>
      <c r="Q92" s="9">
        <f ca="1">DATOSAÑO!AD91</f>
        <v>166</v>
      </c>
      <c r="R92" s="11">
        <f ca="1">(Q92*DATOSAÑO!$Z$11)/DATOSAÑO!$Y$11</f>
        <v>2.9910979326248053</v>
      </c>
      <c r="S92" s="9">
        <f ca="1">DATOSAÑO!AF91</f>
        <v>139</v>
      </c>
      <c r="T92" s="11">
        <f ca="1">(S92*DATOSAÑO!$Z$11)/DATOSAÑO!$Y$11</f>
        <v>2.5045940520171563</v>
      </c>
      <c r="U92" s="9">
        <f ca="1">DATOSAÑO!AH91</f>
        <v>14.100000000005821</v>
      </c>
      <c r="V92" s="11">
        <f ca="1">(U92*DATOSAÑO!$Z$11)/DATOSAÑO!$Y$11</f>
        <v>0.25406313765076605</v>
      </c>
      <c r="W92" s="9">
        <f ca="1">DATOSAÑO!AI91</f>
        <v>39.19999999999709</v>
      </c>
      <c r="X92" s="11">
        <f ca="1">(W92*DATOSAÑO!$Z$11)/DATOSAÑO!$Y$11</f>
        <v>0.70633155999327502</v>
      </c>
      <c r="Y92" s="9">
        <f ca="1">DATOSAÑO!AJ91</f>
        <v>8</v>
      </c>
      <c r="Z92" s="11">
        <f ca="1">(Y92*DATOSAÑO!$Z$11)/DATOSAÑO!$Y$11</f>
        <v>0.14414929795782194</v>
      </c>
      <c r="AA92" s="9">
        <f ca="1">DATOSAÑO!AK91</f>
        <v>15.700000000011642</v>
      </c>
      <c r="AB92" s="11">
        <f ca="1">(AA92*DATOSAÑO!$Z$11)/DATOSAÑO!$Y$11</f>
        <v>0.28289299724243533</v>
      </c>
      <c r="AC92" s="9">
        <f ca="1">DATOSAÑO!AL91</f>
        <v>39.699999999986233</v>
      </c>
      <c r="AD92" s="11">
        <f ca="1">(AC92*DATOSAÑO!$Z$11)/DATOSAÑO!$Y$11</f>
        <v>0.7153408911154433</v>
      </c>
      <c r="AE92" s="9">
        <f ca="1">DATOSAÑO!AM91</f>
        <v>11.434999999998739</v>
      </c>
      <c r="AF92" s="11">
        <f ca="1">(AE92*DATOSAÑO!$Z$11)/DATOSAÑO!$Y$11</f>
        <v>0.20604340276843902</v>
      </c>
      <c r="AG92" s="9">
        <f ca="1">DATOSAÑO!AN91</f>
        <v>2.3209999999998181</v>
      </c>
      <c r="AH92" s="11">
        <f ca="1">(AG92*DATOSAÑO!$Z$11)/DATOSAÑO!$Y$11</f>
        <v>4.1821315070009815E-2</v>
      </c>
      <c r="AI92" s="9">
        <f ca="1">DATOSAÑO!BS91</f>
        <v>2.2000000000000002</v>
      </c>
      <c r="AJ92" s="11">
        <f ca="1">(AI92*DATOSAÑO!$Z$11)/DATOSAÑO!$Y$11</f>
        <v>3.9641056938401038E-2</v>
      </c>
      <c r="AK92" s="9">
        <f ca="1">DATOSAÑO!BV91</f>
        <v>5.7649999999999997</v>
      </c>
      <c r="AL92" s="11">
        <f ca="1">(AK92*DATOSAÑO!$Z$11)/DATOSAÑO!$Y$11</f>
        <v>0.10387758784085542</v>
      </c>
      <c r="AM92" s="9">
        <f ca="1">DATOSAÑO!BY91</f>
        <v>0</v>
      </c>
      <c r="AN92" s="11">
        <f ca="1">(AM92*DATOSAÑO!$Z$11)/DATOSAÑO!$Y$11</f>
        <v>0</v>
      </c>
      <c r="AO92" s="9">
        <f ca="1">DATOSAÑO!CF91</f>
        <v>12.917500000000096</v>
      </c>
      <c r="AP92" s="11">
        <f ca="1">(AO92*DATOSAÑO!$Z$11)/DATOSAÑO!$Y$11</f>
        <v>0.23275606954627234</v>
      </c>
      <c r="AQ92" s="9">
        <f ca="1">DATOSAÑO!CL91</f>
        <v>2.3073999999999275</v>
      </c>
      <c r="AR92" s="1300">
        <f ca="1">(AQ92*DATOSAÑO!$Z$11)/DATOSAÑO!$Y$11</f>
        <v>4.1576261263483481E-2</v>
      </c>
      <c r="AS92" s="1334">
        <f t="shared" si="5"/>
        <v>12</v>
      </c>
    </row>
    <row r="93" spans="1:45" ht="15" thickBot="1">
      <c r="A93" s="1371">
        <v>45008</v>
      </c>
      <c r="B93" s="1021">
        <v>45008</v>
      </c>
      <c r="C93" s="9">
        <f ca="1">DATOSAÑO!I92</f>
        <v>300</v>
      </c>
      <c r="D93" s="10">
        <f ca="1">DATOSAÑO!$D92</f>
        <v>4.9227195673316713</v>
      </c>
      <c r="E93" s="11">
        <f ca="1">DATOSAÑO!$G92</f>
        <v>0</v>
      </c>
      <c r="F93" s="9">
        <f ca="1">DATOSAÑO!P92</f>
        <v>149</v>
      </c>
      <c r="G93" s="10">
        <f ca="1">DATOSAÑO!K92</f>
        <v>3.6913729339152122</v>
      </c>
      <c r="H93" s="11">
        <f ca="1">DATOSAÑO!N92</f>
        <v>0</v>
      </c>
      <c r="I93" s="9">
        <f ca="1">DATOSAÑO!Q92</f>
        <v>0</v>
      </c>
      <c r="J93" s="11">
        <f ca="1">DATOSAÑO!R92</f>
        <v>0</v>
      </c>
      <c r="K93" s="9">
        <f ca="1">DATOSAÑO!T92</f>
        <v>0</v>
      </c>
      <c r="L93" s="11">
        <f t="shared" ca="1" si="3"/>
        <v>0</v>
      </c>
      <c r="M93" s="9"/>
      <c r="N93" s="11">
        <f t="shared" si="4"/>
        <v>0</v>
      </c>
      <c r="O93" s="9">
        <f>DATOSAÑO!CT92</f>
        <v>0</v>
      </c>
      <c r="P93" s="9">
        <f>DATOSAÑO!CU92</f>
        <v>0</v>
      </c>
      <c r="Q93" s="9">
        <f ca="1">DATOSAÑO!AD92</f>
        <v>170</v>
      </c>
      <c r="R93" s="11">
        <f ca="1">(Q93*DATOSAÑO!$Z$11)/DATOSAÑO!$Y$11</f>
        <v>3.0631725816037165</v>
      </c>
      <c r="S93" s="9">
        <f ca="1">DATOSAÑO!AF92</f>
        <v>143</v>
      </c>
      <c r="T93" s="11">
        <f ca="1">(S93*DATOSAÑO!$Z$11)/DATOSAÑO!$Y$11</f>
        <v>2.5766687009960672</v>
      </c>
      <c r="U93" s="9">
        <f ca="1">DATOSAÑO!AH92</f>
        <v>11.599999999998545</v>
      </c>
      <c r="V93" s="11">
        <f ca="1">(U93*DATOSAÑO!$Z$11)/DATOSAÑO!$Y$11</f>
        <v>0.20901648203881559</v>
      </c>
      <c r="W93" s="9">
        <f ca="1">DATOSAÑO!AI92</f>
        <v>39.30000000000291</v>
      </c>
      <c r="X93" s="11">
        <f ca="1">(W93*DATOSAÑO!$Z$11)/DATOSAÑO!$Y$11</f>
        <v>0.7081334262178528</v>
      </c>
      <c r="Y93" s="9">
        <f ca="1">DATOSAÑO!AJ92</f>
        <v>8.3000000000029104</v>
      </c>
      <c r="Z93" s="11">
        <f ca="1">(Y93*DATOSAÑO!$Z$11)/DATOSAÑO!$Y$11</f>
        <v>0.14955489663129271</v>
      </c>
      <c r="AA93" s="9">
        <f ca="1">DATOSAÑO!AK92</f>
        <v>15.399999999994179</v>
      </c>
      <c r="AB93" s="11">
        <f ca="1">(AA93*DATOSAÑO!$Z$11)/DATOSAÑO!$Y$11</f>
        <v>0.27748739856870236</v>
      </c>
      <c r="AC93" s="9">
        <f ca="1">DATOSAÑO!AL92</f>
        <v>32.300000000002854</v>
      </c>
      <c r="AD93" s="11">
        <f ca="1">(AC93*DATOSAÑO!$Z$11)/DATOSAÑO!$Y$11</f>
        <v>0.58200279050475745</v>
      </c>
      <c r="AE93" s="9">
        <f ca="1">DATOSAÑO!AM92</f>
        <v>9.7559999999984548</v>
      </c>
      <c r="AF93" s="11">
        <f ca="1">(AE93*DATOSAÑO!$Z$11)/DATOSAÑO!$Y$11</f>
        <v>0.17579006885953602</v>
      </c>
      <c r="AG93" s="9">
        <f ca="1">DATOSAÑO!AN92</f>
        <v>2.4049999999997271</v>
      </c>
      <c r="AH93" s="11">
        <f ca="1">(AG93*DATOSAÑO!$Z$11)/DATOSAÑO!$Y$11</f>
        <v>4.3334882698565308E-2</v>
      </c>
      <c r="AI93" s="9">
        <f ca="1">DATOSAÑO!BS92</f>
        <v>2</v>
      </c>
      <c r="AJ93" s="11">
        <f ca="1">(AI93*DATOSAÑO!$Z$11)/DATOSAÑO!$Y$11</f>
        <v>3.6037324489455486E-2</v>
      </c>
      <c r="AK93" s="9">
        <f ca="1">DATOSAÑO!BV92</f>
        <v>5.944</v>
      </c>
      <c r="AL93" s="11">
        <f ca="1">(AK93*DATOSAÑO!$Z$11)/DATOSAÑO!$Y$11</f>
        <v>0.10710292838266169</v>
      </c>
      <c r="AM93" s="9">
        <f ca="1">DATOSAÑO!BY92</f>
        <v>0</v>
      </c>
      <c r="AN93" s="11">
        <f ca="1">(AM93*DATOSAÑO!$Z$11)/DATOSAÑO!$Y$11</f>
        <v>0</v>
      </c>
      <c r="AO93" s="9">
        <f ca="1">DATOSAÑO!CF92</f>
        <v>12.477999999999591</v>
      </c>
      <c r="AP93" s="11">
        <f ca="1">(AO93*DATOSAÑO!$Z$11)/DATOSAÑO!$Y$11</f>
        <v>0.22483686748970538</v>
      </c>
      <c r="AQ93" s="9">
        <f ca="1">DATOSAÑO!CL92</f>
        <v>2.356999999999891</v>
      </c>
      <c r="AR93" s="1300">
        <f ca="1">(AQ93*DATOSAÑO!$Z$11)/DATOSAÑO!$Y$11</f>
        <v>4.2469986910821322E-2</v>
      </c>
      <c r="AS93" s="1334">
        <f t="shared" si="5"/>
        <v>12</v>
      </c>
    </row>
    <row r="94" spans="1:45" ht="16.5" customHeight="1" thickBot="1">
      <c r="A94" s="1371">
        <v>45009</v>
      </c>
      <c r="B94" s="1021">
        <v>45009</v>
      </c>
      <c r="C94" s="9">
        <f ca="1">DATOSAÑO!I93</f>
        <v>299</v>
      </c>
      <c r="D94" s="10">
        <f ca="1">DATOSAÑO!$D93</f>
        <v>4.9145649538653373</v>
      </c>
      <c r="E94" s="11">
        <f ca="1">DATOSAÑO!$G93</f>
        <v>0</v>
      </c>
      <c r="F94" s="9">
        <f ca="1">DATOSAÑO!P93</f>
        <v>146</v>
      </c>
      <c r="G94" s="10">
        <f ca="1">DATOSAÑO!K93</f>
        <v>3.6669090935162094</v>
      </c>
      <c r="H94" s="11">
        <f ca="1">DATOSAÑO!N93</f>
        <v>0</v>
      </c>
      <c r="I94" s="9">
        <f ca="1">DATOSAÑO!Q93</f>
        <v>0</v>
      </c>
      <c r="J94" s="11">
        <f ca="1">DATOSAÑO!R93</f>
        <v>0</v>
      </c>
      <c r="K94" s="9">
        <f ca="1">DATOSAÑO!T93</f>
        <v>0</v>
      </c>
      <c r="L94" s="11">
        <f t="shared" ca="1" si="3"/>
        <v>0</v>
      </c>
      <c r="M94" s="9"/>
      <c r="N94" s="11">
        <f t="shared" si="4"/>
        <v>0</v>
      </c>
      <c r="O94" s="9">
        <f>DATOSAÑO!CT93</f>
        <v>0</v>
      </c>
      <c r="P94" s="9">
        <f>DATOSAÑO!CU93</f>
        <v>0</v>
      </c>
      <c r="Q94" s="9">
        <f ca="1">DATOSAÑO!AD93</f>
        <v>168</v>
      </c>
      <c r="R94" s="11">
        <f ca="1">(Q94*DATOSAÑO!$Z$11)/DATOSAÑO!$Y$11</f>
        <v>3.0271352571142609</v>
      </c>
      <c r="S94" s="9">
        <f ca="1">DATOSAÑO!AF93</f>
        <v>146</v>
      </c>
      <c r="T94" s="11">
        <f ca="1">(S94*DATOSAÑO!$Z$11)/DATOSAÑO!$Y$11</f>
        <v>2.6307246877302504</v>
      </c>
      <c r="U94" s="9">
        <f ca="1">DATOSAÑO!AH93</f>
        <v>4.2999999999956344</v>
      </c>
      <c r="V94" s="11">
        <f ca="1">(U94*DATOSAÑO!$Z$11)/DATOSAÑO!$Y$11</f>
        <v>7.7480247652250617E-2</v>
      </c>
      <c r="W94" s="9">
        <f ca="1">DATOSAÑO!AI93</f>
        <v>40.299999999995634</v>
      </c>
      <c r="X94" s="11">
        <f ca="1">(W94*DATOSAÑO!$Z$11)/DATOSAÑO!$Y$11</f>
        <v>0.72615208846244927</v>
      </c>
      <c r="Y94" s="9">
        <f ca="1">DATOSAÑO!AJ93</f>
        <v>8.3000000000029104</v>
      </c>
      <c r="Z94" s="11">
        <f ca="1">(Y94*DATOSAÑO!$Z$11)/DATOSAÑO!$Y$11</f>
        <v>0.14955489663129271</v>
      </c>
      <c r="AA94" s="9">
        <f ca="1">DATOSAÑO!AK93</f>
        <v>14.200000000011642</v>
      </c>
      <c r="AB94" s="11">
        <f ca="1">(AA94*DATOSAÑO!$Z$11)/DATOSAÑO!$Y$11</f>
        <v>0.25586500387534372</v>
      </c>
      <c r="AC94" s="9">
        <f ca="1">DATOSAÑO!AL93</f>
        <v>34.699999999993452</v>
      </c>
      <c r="AD94" s="11">
        <f ca="1">(AC94*DATOSAÑO!$Z$11)/DATOSAÑO!$Y$11</f>
        <v>0.62524757989193469</v>
      </c>
      <c r="AE94" s="9">
        <f ca="1">DATOSAÑO!AM93</f>
        <v>9.8540000000025465</v>
      </c>
      <c r="AF94" s="11">
        <f ca="1">(AE94*DATOSAÑO!$Z$11)/DATOSAÑO!$Y$11</f>
        <v>0.17755589775959307</v>
      </c>
      <c r="AG94" s="9">
        <f ca="1">DATOSAÑO!AN93</f>
        <v>2.4879999999996363</v>
      </c>
      <c r="AH94" s="11">
        <f ca="1">(AG94*DATOSAÑO!$Z$11)/DATOSAÑO!$Y$11</f>
        <v>4.4830431664876068E-2</v>
      </c>
      <c r="AI94" s="9">
        <f ca="1">DATOSAÑO!BS93</f>
        <v>2</v>
      </c>
      <c r="AJ94" s="11">
        <f ca="1">(AI94*DATOSAÑO!$Z$11)/DATOSAÑO!$Y$11</f>
        <v>3.6037324489455486E-2</v>
      </c>
      <c r="AK94" s="9">
        <f ca="1">DATOSAÑO!BV93</f>
        <v>5.8460000000000001</v>
      </c>
      <c r="AL94" s="11">
        <f ca="1">(AK94*DATOSAÑO!$Z$11)/DATOSAÑO!$Y$11</f>
        <v>0.10533709948267837</v>
      </c>
      <c r="AM94" s="9">
        <f ca="1">DATOSAÑO!BY93</f>
        <v>0</v>
      </c>
      <c r="AN94" s="11">
        <f ca="1">(AM94*DATOSAÑO!$Z$11)/DATOSAÑO!$Y$11</f>
        <v>0</v>
      </c>
      <c r="AO94" s="9">
        <f ca="1">DATOSAÑO!CF93</f>
        <v>12.526999999999818</v>
      </c>
      <c r="AP94" s="11">
        <f ca="1">(AO94*DATOSAÑO!$Z$11)/DATOSAÑO!$Y$11</f>
        <v>0.22571978193970116</v>
      </c>
      <c r="AQ94" s="9">
        <f ca="1">DATOSAÑO!CL93</f>
        <v>2.4071999999998543</v>
      </c>
      <c r="AR94" s="1300">
        <f ca="1">(AQ94*DATOSAÑO!$Z$11)/DATOSAÑO!$Y$11</f>
        <v>4.3374523755506003E-2</v>
      </c>
      <c r="AS94" s="1334">
        <f t="shared" si="5"/>
        <v>12</v>
      </c>
    </row>
    <row r="95" spans="1:45" ht="15" thickBot="1">
      <c r="A95" s="1371">
        <v>45010</v>
      </c>
      <c r="B95" s="1021">
        <v>45010</v>
      </c>
      <c r="C95" s="9">
        <f ca="1">DATOSAÑO!I94</f>
        <v>300</v>
      </c>
      <c r="D95" s="10">
        <f ca="1">DATOSAÑO!$D94</f>
        <v>4.9227195673316713</v>
      </c>
      <c r="E95" s="11">
        <f ca="1">DATOSAÑO!$G94</f>
        <v>0</v>
      </c>
      <c r="F95" s="9">
        <f ca="1">DATOSAÑO!P94</f>
        <v>146</v>
      </c>
      <c r="G95" s="10">
        <f ca="1">DATOSAÑO!K94</f>
        <v>3.6669090935162094</v>
      </c>
      <c r="H95" s="11">
        <f ca="1">DATOSAÑO!N94</f>
        <v>0</v>
      </c>
      <c r="I95" s="9">
        <f ca="1">DATOSAÑO!Q94</f>
        <v>0</v>
      </c>
      <c r="J95" s="11">
        <f ca="1">DATOSAÑO!R94</f>
        <v>0</v>
      </c>
      <c r="K95" s="9">
        <f ca="1">DATOSAÑO!T94</f>
        <v>0</v>
      </c>
      <c r="L95" s="11">
        <f t="shared" ca="1" si="3"/>
        <v>0</v>
      </c>
      <c r="M95" s="9"/>
      <c r="N95" s="11">
        <f t="shared" si="4"/>
        <v>0</v>
      </c>
      <c r="O95" s="9">
        <f>DATOSAÑO!CT94</f>
        <v>0</v>
      </c>
      <c r="P95" s="9">
        <f>DATOSAÑO!CU94</f>
        <v>0</v>
      </c>
      <c r="Q95" s="9">
        <f ca="1">DATOSAÑO!AD94</f>
        <v>164</v>
      </c>
      <c r="R95" s="11">
        <f ca="1">(Q95*DATOSAÑO!$Z$11)/DATOSAÑO!$Y$11</f>
        <v>2.9550606081353497</v>
      </c>
      <c r="S95" s="9">
        <f ca="1">DATOSAÑO!AF94</f>
        <v>145</v>
      </c>
      <c r="T95" s="11">
        <f ca="1">(S95*DATOSAÑO!$Z$11)/DATOSAÑO!$Y$11</f>
        <v>2.6127060254855223</v>
      </c>
      <c r="U95" s="9">
        <f ca="1">DATOSAÑO!AH94</f>
        <v>11.100000000005821</v>
      </c>
      <c r="V95" s="11">
        <f ca="1">(U95*DATOSAÑO!$Z$11)/DATOSAÑO!$Y$11</f>
        <v>0.20000715091658283</v>
      </c>
      <c r="W95" s="9">
        <f ca="1">DATOSAÑO!AI94</f>
        <v>40.099999999998545</v>
      </c>
      <c r="X95" s="11">
        <f ca="1">(W95*DATOSAÑO!$Z$11)/DATOSAÑO!$Y$11</f>
        <v>0.72254835601355616</v>
      </c>
      <c r="Y95" s="9">
        <f ca="1">DATOSAÑO!AJ94</f>
        <v>7.6999999999970896</v>
      </c>
      <c r="Z95" s="11">
        <f ca="1">(Y95*DATOSAÑO!$Z$11)/DATOSAÑO!$Y$11</f>
        <v>0.13874369928435118</v>
      </c>
      <c r="AA95" s="9">
        <f ca="1">DATOSAÑO!AK94</f>
        <v>14.5</v>
      </c>
      <c r="AB95" s="11">
        <f ca="1">(AA95*DATOSAÑO!$Z$11)/DATOSAÑO!$Y$11</f>
        <v>0.26127060254855228</v>
      </c>
      <c r="AC95" s="9">
        <f ca="1">DATOSAÑO!AL94</f>
        <v>35.299999999999272</v>
      </c>
      <c r="AD95" s="11">
        <f ca="1">(AC95*DATOSAÑO!$Z$11)/DATOSAÑO!$Y$11</f>
        <v>0.63605877723887616</v>
      </c>
      <c r="AE95" s="9">
        <f ca="1">DATOSAÑO!AM94</f>
        <v>9.6349999999982696</v>
      </c>
      <c r="AF95" s="11">
        <f ca="1">(AE95*DATOSAÑO!$Z$11)/DATOSAÑO!$Y$11</f>
        <v>0.17360981072792062</v>
      </c>
      <c r="AG95" s="9">
        <f ca="1">DATOSAÑO!AN94</f>
        <v>2.394000000000637</v>
      </c>
      <c r="AH95" s="11">
        <f ca="1">(AG95*DATOSAÑO!$Z$11)/DATOSAÑO!$Y$11</f>
        <v>4.3136677413889692E-2</v>
      </c>
      <c r="AI95" s="9">
        <f ca="1">DATOSAÑO!BS94</f>
        <v>2</v>
      </c>
      <c r="AJ95" s="11">
        <f ca="1">(AI95*DATOSAÑO!$Z$11)/DATOSAÑO!$Y$11</f>
        <v>3.6037324489455486E-2</v>
      </c>
      <c r="AK95" s="9">
        <f ca="1">DATOSAÑO!BV94</f>
        <v>5.7649999999999997</v>
      </c>
      <c r="AL95" s="11">
        <f ca="1">(AK95*DATOSAÑO!$Z$11)/DATOSAÑO!$Y$11</f>
        <v>0.10387758784085542</v>
      </c>
      <c r="AM95" s="9">
        <f ca="1">DATOSAÑO!BY94</f>
        <v>0</v>
      </c>
      <c r="AN95" s="11">
        <f ca="1">(AM95*DATOSAÑO!$Z$11)/DATOSAÑO!$Y$11</f>
        <v>0</v>
      </c>
      <c r="AO95" s="9">
        <f ca="1">DATOSAÑO!CF94</f>
        <v>11.917499999999499</v>
      </c>
      <c r="AP95" s="11">
        <f ca="1">(AO95*DATOSAÑO!$Z$11)/DATOSAÑO!$Y$11</f>
        <v>0.21473740730153387</v>
      </c>
      <c r="AQ95" s="9">
        <f ca="1">DATOSAÑO!CL94</f>
        <v>2.3636000000002548</v>
      </c>
      <c r="AR95" s="1300">
        <f ca="1">(AQ95*DATOSAÑO!$Z$11)/DATOSAÑO!$Y$11</f>
        <v>4.2588910081643082E-2</v>
      </c>
      <c r="AS95" s="1334">
        <f t="shared" si="5"/>
        <v>12</v>
      </c>
    </row>
    <row r="96" spans="1:45" ht="16.5" customHeight="1" thickBot="1">
      <c r="A96" s="1371">
        <v>45011</v>
      </c>
      <c r="B96" s="1021">
        <v>45011</v>
      </c>
      <c r="C96" s="9">
        <f ca="1">DATOSAÑO!I95</f>
        <v>296</v>
      </c>
      <c r="D96" s="10">
        <f ca="1">DATOSAÑO!$D95</f>
        <v>4.8901011134663346</v>
      </c>
      <c r="E96" s="11">
        <f ca="1">DATOSAÑO!$G95</f>
        <v>0</v>
      </c>
      <c r="F96" s="9">
        <f ca="1">DATOSAÑO!P95</f>
        <v>146</v>
      </c>
      <c r="G96" s="10">
        <f ca="1">DATOSAÑO!K95</f>
        <v>3.6669090935162094</v>
      </c>
      <c r="H96" s="11">
        <f ca="1">DATOSAÑO!N95</f>
        <v>0</v>
      </c>
      <c r="I96" s="9">
        <f ca="1">DATOSAÑO!Q95</f>
        <v>0</v>
      </c>
      <c r="J96" s="11">
        <f ca="1">DATOSAÑO!R95</f>
        <v>0</v>
      </c>
      <c r="K96" s="9">
        <f ca="1">DATOSAÑO!T95</f>
        <v>0</v>
      </c>
      <c r="L96" s="11">
        <f t="shared" ca="1" si="3"/>
        <v>0</v>
      </c>
      <c r="M96" s="9"/>
      <c r="N96" s="11">
        <f t="shared" si="4"/>
        <v>0</v>
      </c>
      <c r="O96" s="9">
        <f>DATOSAÑO!CT95</f>
        <v>0</v>
      </c>
      <c r="P96" s="9">
        <f>DATOSAÑO!CU95</f>
        <v>0</v>
      </c>
      <c r="Q96" s="9">
        <f ca="1">DATOSAÑO!AD95</f>
        <v>160</v>
      </c>
      <c r="R96" s="11">
        <f ca="1">(Q96*DATOSAÑO!$Z$11)/DATOSAÑO!$Y$11</f>
        <v>2.8829859591564388</v>
      </c>
      <c r="S96" s="9">
        <f ca="1">DATOSAÑO!AF95</f>
        <v>146</v>
      </c>
      <c r="T96" s="11">
        <f ca="1">(S96*DATOSAÑO!$Z$11)/DATOSAÑO!$Y$11</f>
        <v>2.6307246877302504</v>
      </c>
      <c r="U96" s="9">
        <f ca="1">DATOSAÑO!AH95</f>
        <v>8</v>
      </c>
      <c r="V96" s="11">
        <f ca="1">(U96*DATOSAÑO!$Z$11)/DATOSAÑO!$Y$11</f>
        <v>0.14414929795782194</v>
      </c>
      <c r="W96" s="9">
        <f ca="1">DATOSAÑO!AI95</f>
        <v>40.900000000001455</v>
      </c>
      <c r="X96" s="11">
        <f ca="1">(W96*DATOSAÑO!$Z$11)/DATOSAÑO!$Y$11</f>
        <v>0.73696328580939097</v>
      </c>
      <c r="Y96" s="9">
        <f ca="1">DATOSAÑO!AJ95</f>
        <v>8.1000000000058208</v>
      </c>
      <c r="Z96" s="11">
        <f ca="1">(Y96*DATOSAÑO!$Z$11)/DATOSAÑO!$Y$11</f>
        <v>0.14595116418239959</v>
      </c>
      <c r="AA96" s="9">
        <f ca="1">DATOSAÑO!AK95</f>
        <v>14.199999999982538</v>
      </c>
      <c r="AB96" s="11">
        <f ca="1">(AA96*DATOSAÑO!$Z$11)/DATOSAÑO!$Y$11</f>
        <v>0.25586500387481931</v>
      </c>
      <c r="AC96" s="9">
        <f ca="1">DATOSAÑO!AL95</f>
        <v>35.500000000010857</v>
      </c>
      <c r="AD96" s="11">
        <f ca="1">(AC96*DATOSAÑO!$Z$11)/DATOSAÑO!$Y$11</f>
        <v>0.63966250968803051</v>
      </c>
      <c r="AE96" s="9">
        <f ca="1">DATOSAÑO!AM95</f>
        <v>10.921999999998269</v>
      </c>
      <c r="AF96" s="11">
        <f ca="1">(AE96*DATOSAÑO!$Z$11)/DATOSAÑO!$Y$11</f>
        <v>0.1967998290368852</v>
      </c>
      <c r="AG96" s="9">
        <f ca="1">DATOSAÑO!AN95</f>
        <v>2.8060000000002727</v>
      </c>
      <c r="AH96" s="11">
        <f ca="1">(AG96*DATOSAÑO!$Z$11)/DATOSAÑO!$Y$11</f>
        <v>5.0560366258710958E-2</v>
      </c>
      <c r="AI96" s="9">
        <f ca="1">DATOSAÑO!BS95</f>
        <v>2</v>
      </c>
      <c r="AJ96" s="11">
        <f ca="1">(AI96*DATOSAÑO!$Z$11)/DATOSAÑO!$Y$11</f>
        <v>3.6037324489455486E-2</v>
      </c>
      <c r="AK96" s="9">
        <f ca="1">DATOSAÑO!BV95</f>
        <v>1.524</v>
      </c>
      <c r="AL96" s="11">
        <f ca="1">(AK96*DATOSAÑO!$Z$11)/DATOSAÑO!$Y$11</f>
        <v>2.7460441260965082E-2</v>
      </c>
      <c r="AM96" s="9">
        <f ca="1">DATOSAÑO!BY95</f>
        <v>4.4539999999999997</v>
      </c>
      <c r="AN96" s="11">
        <f ca="1">(AM96*DATOSAÑO!$Z$11)/DATOSAÑO!$Y$11</f>
        <v>8.025512163801736E-2</v>
      </c>
      <c r="AO96" s="9">
        <f ca="1">DATOSAÑO!CF95</f>
        <v>11.660999999999863</v>
      </c>
      <c r="AP96" s="11">
        <f ca="1">(AO96*DATOSAÑO!$Z$11)/DATOSAÑO!$Y$11</f>
        <v>0.21011562043576773</v>
      </c>
      <c r="AQ96" s="9">
        <f ca="1">DATOSAÑO!CL95</f>
        <v>2.5164000000001092</v>
      </c>
      <c r="AR96" s="1300">
        <f ca="1">(AQ96*DATOSAÑO!$Z$11)/DATOSAÑO!$Y$11</f>
        <v>4.5342161672634856E-2</v>
      </c>
      <c r="AS96" s="1334">
        <f t="shared" si="5"/>
        <v>13</v>
      </c>
    </row>
    <row r="97" spans="1:45" ht="15" thickBot="1">
      <c r="A97" s="1371">
        <v>45012</v>
      </c>
      <c r="B97" s="1021">
        <v>45012</v>
      </c>
      <c r="C97" s="9">
        <f ca="1">DATOSAÑO!I96</f>
        <v>294</v>
      </c>
      <c r="D97" s="10">
        <f ca="1">DATOSAÑO!$D96</f>
        <v>4.8737918865336667</v>
      </c>
      <c r="E97" s="11">
        <f ca="1">DATOSAÑO!$G96</f>
        <v>0</v>
      </c>
      <c r="F97" s="9">
        <f ca="1">DATOSAÑO!P96</f>
        <v>152</v>
      </c>
      <c r="G97" s="10">
        <f ca="1">DATOSAÑO!K96</f>
        <v>3.715836774314214</v>
      </c>
      <c r="H97" s="11">
        <f ca="1">DATOSAÑO!N96</f>
        <v>0</v>
      </c>
      <c r="I97" s="9">
        <f ca="1">DATOSAÑO!Q96</f>
        <v>0.32099999999991269</v>
      </c>
      <c r="J97" s="11">
        <f ca="1">DATOSAÑO!R96</f>
        <v>38.519999999989523</v>
      </c>
      <c r="K97" s="9">
        <f ca="1">DATOSAÑO!T96</f>
        <v>0</v>
      </c>
      <c r="L97" s="11">
        <f t="shared" ca="1" si="3"/>
        <v>0</v>
      </c>
      <c r="M97" s="9"/>
      <c r="N97" s="11">
        <f t="shared" si="4"/>
        <v>0</v>
      </c>
      <c r="O97" s="9">
        <f>DATOSAÑO!CT96</f>
        <v>0.3</v>
      </c>
      <c r="P97" s="9">
        <f>DATOSAÑO!CU96</f>
        <v>0</v>
      </c>
      <c r="Q97" s="9">
        <f ca="1">DATOSAÑO!AD96</f>
        <v>162</v>
      </c>
      <c r="R97" s="11">
        <f ca="1">(Q97*DATOSAÑO!$Z$11)/DATOSAÑO!$Y$11</f>
        <v>2.919023283645894</v>
      </c>
      <c r="S97" s="9">
        <f ca="1">DATOSAÑO!AF96</f>
        <v>146</v>
      </c>
      <c r="T97" s="11">
        <f ca="1">(S97*DATOSAÑO!$Z$11)/DATOSAÑO!$Y$11</f>
        <v>2.6307246877302504</v>
      </c>
      <c r="U97" s="9">
        <f ca="1">DATOSAÑO!AH96</f>
        <v>9</v>
      </c>
      <c r="V97" s="11">
        <f ca="1">(U97*DATOSAÑO!$Z$11)/DATOSAÑO!$Y$11</f>
        <v>0.16216796020254967</v>
      </c>
      <c r="W97" s="9">
        <f ca="1">DATOSAÑO!AI96</f>
        <v>42</v>
      </c>
      <c r="X97" s="11">
        <f ca="1">(W97*DATOSAÑO!$Z$11)/DATOSAÑO!$Y$11</f>
        <v>0.75678381427856523</v>
      </c>
      <c r="Y97" s="9">
        <f ca="1">DATOSAÑO!AJ96</f>
        <v>8</v>
      </c>
      <c r="Z97" s="11">
        <f ca="1">(Y97*DATOSAÑO!$Z$11)/DATOSAÑO!$Y$11</f>
        <v>0.14414929795782194</v>
      </c>
      <c r="AA97" s="9">
        <f ca="1">DATOSAÑO!AK96</f>
        <v>14.200000000011642</v>
      </c>
      <c r="AB97" s="11">
        <f ca="1">(AA97*DATOSAÑO!$Z$11)/DATOSAÑO!$Y$11</f>
        <v>0.25586500387534372</v>
      </c>
      <c r="AC97" s="9">
        <f ca="1">DATOSAÑO!AL96</f>
        <v>36.320999999985361</v>
      </c>
      <c r="AD97" s="11">
        <f ca="1">(AC97*DATOSAÑO!$Z$11)/DATOSAÑO!$Y$11</f>
        <v>0.65445583139049257</v>
      </c>
      <c r="AE97" s="9">
        <f ca="1">DATOSAÑO!AM96</f>
        <v>10.844000000003001</v>
      </c>
      <c r="AF97" s="11">
        <f ca="1">(AE97*DATOSAÑO!$Z$11)/DATOSAÑO!$Y$11</f>
        <v>0.1953943733818817</v>
      </c>
      <c r="AG97" s="9">
        <f ca="1">DATOSAÑO!AN96</f>
        <v>2.6379999999995452</v>
      </c>
      <c r="AH97" s="11">
        <f ca="1">(AG97*DATOSAÑO!$Z$11)/DATOSAÑO!$Y$11</f>
        <v>4.753323100158359E-2</v>
      </c>
      <c r="AI97" s="9">
        <f ca="1">DATOSAÑO!BS96</f>
        <v>2</v>
      </c>
      <c r="AJ97" s="11">
        <f ca="1">(AI97*DATOSAÑO!$Z$11)/DATOSAÑO!$Y$11</f>
        <v>3.6037324489455486E-2</v>
      </c>
      <c r="AK97" s="9">
        <f ca="1">DATOSAÑO!BV96</f>
        <v>0</v>
      </c>
      <c r="AL97" s="11">
        <f ca="1">(AK97*DATOSAÑO!$Z$11)/DATOSAÑO!$Y$11</f>
        <v>0</v>
      </c>
      <c r="AM97" s="9">
        <f ca="1">DATOSAÑO!BY96</f>
        <v>6.3559999999999999</v>
      </c>
      <c r="AN97" s="11">
        <f ca="1">(AM97*DATOSAÑO!$Z$11)/DATOSAÑO!$Y$11</f>
        <v>0.11452661722748952</v>
      </c>
      <c r="AO97" s="9">
        <f ca="1">DATOSAÑO!CF96</f>
        <v>11.022000000001864</v>
      </c>
      <c r="AP97" s="11">
        <f ca="1">(AO97*DATOSAÑO!$Z$11)/DATOSAÑO!$Y$11</f>
        <v>0.19860169526142274</v>
      </c>
      <c r="AQ97" s="9">
        <f ca="1">DATOSAÑO!CL96</f>
        <v>2.4171999999998182</v>
      </c>
      <c r="AR97" s="1300">
        <f ca="1">(AQ97*DATOSAÑO!$Z$11)/DATOSAÑO!$Y$11</f>
        <v>4.3554710377952624E-2</v>
      </c>
      <c r="AS97" s="1334">
        <f t="shared" si="5"/>
        <v>13</v>
      </c>
    </row>
    <row r="98" spans="1:45" ht="16.5" customHeight="1" thickBot="1">
      <c r="A98" s="1371">
        <v>45013</v>
      </c>
      <c r="B98" s="1021">
        <v>45013</v>
      </c>
      <c r="C98" s="9">
        <f ca="1">DATOSAÑO!I97</f>
        <v>297</v>
      </c>
      <c r="D98" s="10">
        <f ca="1">DATOSAÑO!$D97</f>
        <v>4.8982557269326685</v>
      </c>
      <c r="E98" s="11">
        <f ca="1">DATOSAÑO!$G97</f>
        <v>0</v>
      </c>
      <c r="F98" s="9">
        <f ca="1">DATOSAÑO!P97</f>
        <v>147</v>
      </c>
      <c r="G98" s="10">
        <f ca="1">DATOSAÑO!K97</f>
        <v>3.6750637069825434</v>
      </c>
      <c r="H98" s="11">
        <f ca="1">DATOSAÑO!N97</f>
        <v>0</v>
      </c>
      <c r="I98" s="9">
        <f ca="1">DATOSAÑO!Q97</f>
        <v>0</v>
      </c>
      <c r="J98" s="11">
        <f ca="1">DATOSAÑO!R97</f>
        <v>0</v>
      </c>
      <c r="K98" s="9">
        <f ca="1">DATOSAÑO!T97</f>
        <v>0.36199999999996635</v>
      </c>
      <c r="L98" s="11">
        <f t="shared" ca="1" si="3"/>
        <v>43.439999999995962</v>
      </c>
      <c r="M98" s="9"/>
      <c r="N98" s="11">
        <f t="shared" si="4"/>
        <v>0</v>
      </c>
      <c r="O98" s="9">
        <f>DATOSAÑO!CT97</f>
        <v>0</v>
      </c>
      <c r="P98" s="9">
        <f>DATOSAÑO!CU97</f>
        <v>0.4</v>
      </c>
      <c r="Q98" s="9">
        <f ca="1">DATOSAÑO!AD97</f>
        <v>165</v>
      </c>
      <c r="R98" s="11">
        <f ca="1">(Q98*DATOSAÑO!$Z$11)/DATOSAÑO!$Y$11</f>
        <v>2.9730792703800777</v>
      </c>
      <c r="S98" s="9">
        <f ca="1">DATOSAÑO!AF97</f>
        <v>148</v>
      </c>
      <c r="T98" s="11">
        <f ca="1">(S98*DATOSAÑO!$Z$11)/DATOSAÑO!$Y$11</f>
        <v>2.666762012219706</v>
      </c>
      <c r="U98" s="9">
        <f ca="1">DATOSAÑO!AH97</f>
        <v>6.6999999999970896</v>
      </c>
      <c r="V98" s="11">
        <f ca="1">(U98*DATOSAÑO!$Z$11)/DATOSAÑO!$Y$11</f>
        <v>0.12072503703962342</v>
      </c>
      <c r="W98" s="9">
        <f ca="1">DATOSAÑO!AI97</f>
        <v>41.30000000000291</v>
      </c>
      <c r="X98" s="11">
        <f ca="1">(W98*DATOSAÑO!$Z$11)/DATOSAÑO!$Y$11</f>
        <v>0.7441707507073082</v>
      </c>
      <c r="Y98" s="9">
        <f ca="1">DATOSAÑO!AJ97</f>
        <v>7.1999999999970896</v>
      </c>
      <c r="Z98" s="11">
        <f ca="1">(Y98*DATOSAÑO!$Z$11)/DATOSAÑO!$Y$11</f>
        <v>0.1297343681619873</v>
      </c>
      <c r="AA98" s="9">
        <f ca="1">DATOSAÑO!AK97</f>
        <v>13.5</v>
      </c>
      <c r="AB98" s="11">
        <f ca="1">(AA98*DATOSAÑO!$Z$11)/DATOSAÑO!$Y$11</f>
        <v>0.24325194030382452</v>
      </c>
      <c r="AC98" s="9">
        <f ca="1">DATOSAÑO!AL97</f>
        <v>32.062000000004275</v>
      </c>
      <c r="AD98" s="11">
        <f ca="1">(AC98*DATOSAÑO!$Z$11)/DATOSAÑO!$Y$11</f>
        <v>0.57771434889053785</v>
      </c>
      <c r="AE98" s="9">
        <f ca="1">DATOSAÑO!AM97</f>
        <v>11.491999999998908</v>
      </c>
      <c r="AF98" s="11">
        <f ca="1">(AE98*DATOSAÑO!$Z$11)/DATOSAÑO!$Y$11</f>
        <v>0.20707046651639155</v>
      </c>
      <c r="AG98" s="9">
        <f ca="1">DATOSAÑO!AN97</f>
        <v>2.9969999999996362</v>
      </c>
      <c r="AH98" s="11">
        <f ca="1">(AG98*DATOSAÑO!$Z$11)/DATOSAÑO!$Y$11</f>
        <v>5.4001930747442486E-2</v>
      </c>
      <c r="AI98" s="9">
        <f ca="1">DATOSAÑO!BS97</f>
        <v>1</v>
      </c>
      <c r="AJ98" s="11">
        <f ca="1">(AI98*DATOSAÑO!$Z$11)/DATOSAÑO!$Y$11</f>
        <v>1.8018662244727743E-2</v>
      </c>
      <c r="AK98" s="9">
        <f ca="1">DATOSAÑO!BV97</f>
        <v>3.637</v>
      </c>
      <c r="AL98" s="11">
        <f ca="1">(AK98*DATOSAÑO!$Z$11)/DATOSAÑO!$Y$11</f>
        <v>6.5533874584074794E-2</v>
      </c>
      <c r="AM98" s="9">
        <f ca="1">DATOSAÑO!BY97</f>
        <v>4.5709999999999997</v>
      </c>
      <c r="AN98" s="11">
        <f ca="1">(AM98*DATOSAÑO!$Z$11)/DATOSAÑO!$Y$11</f>
        <v>8.2363305120650515E-2</v>
      </c>
      <c r="AO98" s="9">
        <f ca="1">DATOSAÑO!CF97</f>
        <v>11.245999999999455</v>
      </c>
      <c r="AP98" s="11">
        <f ca="1">(AO98*DATOSAÑO!$Z$11)/DATOSAÑO!$Y$11</f>
        <v>0.20263787560419838</v>
      </c>
      <c r="AQ98" s="9">
        <f ca="1">DATOSAÑO!CL97</f>
        <v>2.6017999999998542</v>
      </c>
      <c r="AR98" s="1300">
        <f ca="1">(AQ98*DATOSAÑO!$Z$11)/DATOSAÑO!$Y$11</f>
        <v>4.6880955428330012E-2</v>
      </c>
      <c r="AS98" s="1334">
        <f t="shared" si="5"/>
        <v>13</v>
      </c>
    </row>
    <row r="99" spans="1:45" ht="15" thickBot="1">
      <c r="A99" s="1371">
        <v>45014</v>
      </c>
      <c r="B99" s="1021">
        <v>45014</v>
      </c>
      <c r="C99" s="9">
        <f ca="1">DATOSAÑO!I98</f>
        <v>295</v>
      </c>
      <c r="D99" s="10">
        <f ca="1">DATOSAÑO!$D98</f>
        <v>4.8819464999999997</v>
      </c>
      <c r="E99" s="11">
        <f ca="1">DATOSAÑO!$G98</f>
        <v>0</v>
      </c>
      <c r="F99" s="9">
        <f ca="1">DATOSAÑO!P98</f>
        <v>151</v>
      </c>
      <c r="G99" s="10">
        <f ca="1">DATOSAÑO!K98</f>
        <v>3.70768216084788</v>
      </c>
      <c r="H99" s="11">
        <f ca="1">DATOSAÑO!N98</f>
        <v>0</v>
      </c>
      <c r="I99" s="9">
        <f ca="1">DATOSAÑO!Q98</f>
        <v>0</v>
      </c>
      <c r="J99" s="11">
        <f ca="1">DATOSAÑO!R98</f>
        <v>0</v>
      </c>
      <c r="K99" s="9">
        <f ca="1">DATOSAÑO!T98</f>
        <v>0</v>
      </c>
      <c r="L99" s="11">
        <f t="shared" ca="1" si="3"/>
        <v>0</v>
      </c>
      <c r="M99" s="9"/>
      <c r="N99" s="11">
        <f t="shared" si="4"/>
        <v>0</v>
      </c>
      <c r="O99" s="9">
        <f>DATOSAÑO!CT98</f>
        <v>0</v>
      </c>
      <c r="P99" s="9">
        <f>DATOSAÑO!CU98</f>
        <v>0</v>
      </c>
      <c r="Q99" s="9">
        <f ca="1">DATOSAÑO!AD98</f>
        <v>163</v>
      </c>
      <c r="R99" s="11">
        <f ca="1">(Q99*DATOSAÑO!$Z$11)/DATOSAÑO!$Y$11</f>
        <v>2.9370419458906221</v>
      </c>
      <c r="S99" s="9">
        <f ca="1">DATOSAÑO!AF98</f>
        <v>148</v>
      </c>
      <c r="T99" s="11">
        <f ca="1">(S99*DATOSAÑO!$Z$11)/DATOSAÑO!$Y$11</f>
        <v>2.666762012219706</v>
      </c>
      <c r="U99" s="9">
        <f ca="1">DATOSAÑO!AH98</f>
        <v>9</v>
      </c>
      <c r="V99" s="11">
        <f ca="1">(U99*DATOSAÑO!$Z$11)/DATOSAÑO!$Y$11</f>
        <v>0.16216796020254967</v>
      </c>
      <c r="W99" s="9">
        <f ca="1">DATOSAÑO!AI98</f>
        <v>40</v>
      </c>
      <c r="X99" s="11">
        <f ca="1">(W99*DATOSAÑO!$Z$11)/DATOSAÑO!$Y$11</f>
        <v>0.72074648978910971</v>
      </c>
      <c r="Y99" s="9">
        <f ca="1">DATOSAÑO!AJ98</f>
        <v>7.5999999999912689</v>
      </c>
      <c r="Z99" s="11">
        <f ca="1">(Y99*DATOSAÑO!$Z$11)/DATOSAÑO!$Y$11</f>
        <v>0.13694183305977353</v>
      </c>
      <c r="AA99" s="9">
        <f ca="1">DATOSAÑO!AK98</f>
        <v>14</v>
      </c>
      <c r="AB99" s="11">
        <f ca="1">(AA99*DATOSAÑO!$Z$11)/DATOSAÑO!$Y$11</f>
        <v>0.25226127142618837</v>
      </c>
      <c r="AC99" s="9">
        <f ca="1">DATOSAÑO!AL98</f>
        <v>36.000000000007333</v>
      </c>
      <c r="AD99" s="11">
        <f ca="1">(AC99*DATOSAÑO!$Z$11)/DATOSAÑO!$Y$11</f>
        <v>0.6486718408103308</v>
      </c>
      <c r="AE99" s="9">
        <f ca="1">DATOSAÑO!AM98</f>
        <v>10.322000000002546</v>
      </c>
      <c r="AF99" s="11">
        <f ca="1">(AE99*DATOSAÑO!$Z$11)/DATOSAÑO!$Y$11</f>
        <v>0.18598863169012564</v>
      </c>
      <c r="AG99" s="9">
        <f ca="1">DATOSAÑO!AN98</f>
        <v>3.231000000000364</v>
      </c>
      <c r="AH99" s="11">
        <f ca="1">(AG99*DATOSAÑO!$Z$11)/DATOSAÑO!$Y$11</f>
        <v>5.8218297712721891E-2</v>
      </c>
      <c r="AI99" s="9">
        <f ca="1">DATOSAÑO!BS98</f>
        <v>3</v>
      </c>
      <c r="AJ99" s="11">
        <f ca="1">(AI99*DATOSAÑO!$Z$11)/DATOSAÑO!$Y$11</f>
        <v>5.4055986734183228E-2</v>
      </c>
      <c r="AK99" s="9">
        <f ca="1">DATOSAÑO!BV98</f>
        <v>0.151</v>
      </c>
      <c r="AL99" s="11">
        <f ca="1">(AK99*DATOSAÑO!$Z$11)/DATOSAÑO!$Y$11</f>
        <v>2.7208179989538887E-3</v>
      </c>
      <c r="AM99" s="9">
        <f ca="1">DATOSAÑO!BY98</f>
        <v>4.7270000000000003</v>
      </c>
      <c r="AN99" s="11">
        <f ca="1">(AM99*DATOSAÑO!$Z$11)/DATOSAÑO!$Y$11</f>
        <v>8.5174216430828037E-2</v>
      </c>
      <c r="AO99" s="9">
        <f ca="1">DATOSAÑO!CF98</f>
        <v>10.760999999999818</v>
      </c>
      <c r="AP99" s="11">
        <f ca="1">(AO99*DATOSAÑO!$Z$11)/DATOSAÑO!$Y$11</f>
        <v>0.19389882441551196</v>
      </c>
      <c r="AQ99" s="9">
        <f ca="1">DATOSAÑO!CL98</f>
        <v>2.6614000000001456</v>
      </c>
      <c r="AR99" s="1300">
        <f ca="1">(AQ99*DATOSAÑO!$Z$11)/DATOSAÑO!$Y$11</f>
        <v>4.7954867698121038E-2</v>
      </c>
      <c r="AS99" s="1334">
        <f t="shared" si="5"/>
        <v>13</v>
      </c>
    </row>
    <row r="100" spans="1:45" ht="16.5" customHeight="1" thickBot="1">
      <c r="A100" s="1371">
        <v>45015</v>
      </c>
      <c r="B100" s="1021">
        <v>45015</v>
      </c>
      <c r="C100" s="9">
        <f ca="1">DATOSAÑO!I99</f>
        <v>285</v>
      </c>
      <c r="D100" s="10">
        <f ca="1">DATOSAÑO!$D99</f>
        <v>4.8004003653366585</v>
      </c>
      <c r="E100" s="11">
        <f ca="1">DATOSAÑO!$G99</f>
        <v>0</v>
      </c>
      <c r="F100" s="9">
        <f ca="1">DATOSAÑO!P99</f>
        <v>145.79999999999927</v>
      </c>
      <c r="G100" s="10">
        <f ca="1">DATOSAÑO!K99</f>
        <v>3.6652781708229365</v>
      </c>
      <c r="H100" s="11">
        <f ca="1">DATOSAÑO!N99</f>
        <v>0</v>
      </c>
      <c r="I100" s="9">
        <f ca="1">DATOSAÑO!Q99</f>
        <v>0</v>
      </c>
      <c r="J100" s="11">
        <f ca="1">DATOSAÑO!R99</f>
        <v>0</v>
      </c>
      <c r="K100" s="9">
        <f ca="1">DATOSAÑO!T99</f>
        <v>0</v>
      </c>
      <c r="L100" s="11">
        <f t="shared" ca="1" si="3"/>
        <v>0</v>
      </c>
      <c r="M100" s="9"/>
      <c r="N100" s="11">
        <f t="shared" si="4"/>
        <v>0</v>
      </c>
      <c r="O100" s="9">
        <f>DATOSAÑO!CT99</f>
        <v>0</v>
      </c>
      <c r="P100" s="9">
        <f>DATOSAÑO!CU99</f>
        <v>0</v>
      </c>
      <c r="Q100" s="9">
        <f ca="1">DATOSAÑO!AD99</f>
        <v>160</v>
      </c>
      <c r="R100" s="11">
        <f ca="1">(Q100*DATOSAÑO!$Z$11)/DATOSAÑO!$Y$11</f>
        <v>2.8829859591564388</v>
      </c>
      <c r="S100" s="9">
        <f ca="1">DATOSAÑO!AF99</f>
        <v>146</v>
      </c>
      <c r="T100" s="11">
        <f ca="1">(S100*DATOSAÑO!$Z$11)/DATOSAÑO!$Y$11</f>
        <v>2.6307246877302504</v>
      </c>
      <c r="U100" s="9">
        <f ca="1">DATOSAÑO!AH99</f>
        <v>0.69999999999708962</v>
      </c>
      <c r="V100" s="11">
        <f ca="1">(U100*DATOSAÑO!$Z$11)/DATOSAÑO!$Y$11</f>
        <v>1.2613063571256978E-2</v>
      </c>
      <c r="W100" s="9">
        <f ca="1">DATOSAÑO!AI99</f>
        <v>39.299999999995634</v>
      </c>
      <c r="X100" s="11">
        <f ca="1">(W100*DATOSAÑO!$Z$11)/DATOSAÑO!$Y$11</f>
        <v>0.70813342621772168</v>
      </c>
      <c r="Y100" s="9">
        <f ca="1">DATOSAÑO!AJ99</f>
        <v>7.9000000000087311</v>
      </c>
      <c r="Z100" s="11">
        <f ca="1">(Y100*DATOSAÑO!$Z$11)/DATOSAÑO!$Y$11</f>
        <v>0.1423474317335065</v>
      </c>
      <c r="AA100" s="9">
        <f ca="1">DATOSAÑO!AK99</f>
        <v>13</v>
      </c>
      <c r="AB100" s="11">
        <f ca="1">(AA100*DATOSAÑO!$Z$11)/DATOSAÑO!$Y$11</f>
        <v>0.23424260918146064</v>
      </c>
      <c r="AC100" s="9">
        <f ca="1">DATOSAÑO!AL99</f>
        <v>35.39999999999776</v>
      </c>
      <c r="AD100" s="11">
        <f ca="1">(AC100*DATOSAÑO!$Z$11)/DATOSAÑO!$Y$11</f>
        <v>0.63786064346332172</v>
      </c>
      <c r="AE100" s="9">
        <f ca="1">DATOSAÑO!AM99</f>
        <v>10.690999999998184</v>
      </c>
      <c r="AF100" s="11">
        <f ca="1">(AE100*DATOSAÑO!$Z$11)/DATOSAÑO!$Y$11</f>
        <v>0.19263751805835158</v>
      </c>
      <c r="AG100" s="9">
        <f ca="1">DATOSAÑO!AN99</f>
        <v>3.2220000000003637</v>
      </c>
      <c r="AH100" s="11">
        <f ca="1">(AG100*DATOSAÑO!$Z$11)/DATOSAÑO!$Y$11</f>
        <v>5.8056129752519336E-2</v>
      </c>
      <c r="AI100" s="9">
        <f ca="1">DATOSAÑO!BS99</f>
        <v>2.952</v>
      </c>
      <c r="AJ100" s="11">
        <f ca="1">(AI100*DATOSAÑO!$Z$11)/DATOSAÑO!$Y$11</f>
        <v>5.3191090946436294E-2</v>
      </c>
      <c r="AK100" s="9">
        <f ca="1">DATOSAÑO!BV99</f>
        <v>0</v>
      </c>
      <c r="AL100" s="11">
        <f ca="1">(AK100*DATOSAÑO!$Z$11)/DATOSAÑO!$Y$11</f>
        <v>0</v>
      </c>
      <c r="AM100" s="9">
        <f ca="1">DATOSAÑO!BY99</f>
        <v>4.8570000000000002</v>
      </c>
      <c r="AN100" s="11">
        <f ca="1">(AM100*DATOSAÑO!$Z$11)/DATOSAÑO!$Y$11</f>
        <v>8.7516642522642643E-2</v>
      </c>
      <c r="AO100" s="9">
        <f ca="1">DATOSAÑO!CF99</f>
        <v>10.745500000000547</v>
      </c>
      <c r="AP100" s="11">
        <f ca="1">(AO100*DATOSAÑO!$Z$11)/DATOSAÑO!$Y$11</f>
        <v>0.1936195351507318</v>
      </c>
      <c r="AQ100" s="9">
        <f ca="1">DATOSAÑO!CL99</f>
        <v>2.6668000000001455</v>
      </c>
      <c r="AR100" s="1300">
        <f ca="1">(AQ100*DATOSAÑO!$Z$11)/DATOSAÑO!$Y$11</f>
        <v>4.8052168474242561E-2</v>
      </c>
      <c r="AS100" s="1334">
        <f t="shared" si="5"/>
        <v>13</v>
      </c>
    </row>
    <row r="101" spans="1:45" ht="15" thickBot="1">
      <c r="A101" s="1371">
        <v>45016</v>
      </c>
      <c r="B101" s="1021">
        <v>45016</v>
      </c>
      <c r="C101" s="62">
        <f ca="1">DATOSAÑO!I100</f>
        <v>310</v>
      </c>
      <c r="D101" s="63">
        <f ca="1">DATOSAÑO!$D100</f>
        <v>5.0042657019950134</v>
      </c>
      <c r="E101" s="64">
        <f ca="1">DATOSAÑO!$G100</f>
        <v>0</v>
      </c>
      <c r="F101" s="62">
        <f ca="1">DATOSAÑO!P100</f>
        <v>148</v>
      </c>
      <c r="G101" s="63">
        <f ca="1">DATOSAÑO!K100</f>
        <v>3.6832183204488778</v>
      </c>
      <c r="H101" s="64">
        <f ca="1">DATOSAÑO!N100</f>
        <v>0</v>
      </c>
      <c r="I101" s="62">
        <f ca="1">DATOSAÑO!Q100</f>
        <v>0</v>
      </c>
      <c r="J101" s="64">
        <f ca="1">DATOSAÑO!R100</f>
        <v>0</v>
      </c>
      <c r="K101" s="62">
        <f ca="1">DATOSAÑO!T100</f>
        <v>0</v>
      </c>
      <c r="L101" s="64">
        <f t="shared" ca="1" si="3"/>
        <v>0</v>
      </c>
      <c r="M101" s="62"/>
      <c r="N101" s="64">
        <f t="shared" si="4"/>
        <v>0</v>
      </c>
      <c r="O101" s="62">
        <f>DATOSAÑO!CT100</f>
        <v>0</v>
      </c>
      <c r="P101" s="61">
        <f>DATOSAÑO!CU100</f>
        <v>0</v>
      </c>
      <c r="Q101" s="9">
        <f ca="1">DATOSAÑO!AD100</f>
        <v>164</v>
      </c>
      <c r="R101" s="64">
        <f ca="1">(Q101*DATOSAÑO!$Z$11)/DATOSAÑO!$Y$11</f>
        <v>2.9550606081353497</v>
      </c>
      <c r="S101" s="9">
        <f ca="1">DATOSAÑO!AF100</f>
        <v>148</v>
      </c>
      <c r="T101" s="64">
        <f ca="1">(S101*DATOSAÑO!$Z$11)/DATOSAÑO!$Y$11</f>
        <v>2.666762012219706</v>
      </c>
      <c r="U101" s="9">
        <f ca="1">DATOSAÑO!AH100</f>
        <v>16.80000000000291</v>
      </c>
      <c r="V101" s="64">
        <f ca="1">(U101*DATOSAÑO!$Z$11)/DATOSAÑO!$Y$11</f>
        <v>0.30271352571147847</v>
      </c>
      <c r="W101" s="9">
        <f ca="1">DATOSAÑO!AI100</f>
        <v>40</v>
      </c>
      <c r="X101" s="64">
        <f ca="1">(W101*DATOSAÑO!$Z$11)/DATOSAÑO!$Y$11</f>
        <v>0.72074648978910971</v>
      </c>
      <c r="Y101" s="9">
        <f ca="1">DATOSAÑO!AJ100</f>
        <v>7.0999999999912689</v>
      </c>
      <c r="Z101" s="64">
        <f ca="1">(Y101*DATOSAÑO!$Z$11)/DATOSAÑO!$Y$11</f>
        <v>0.12793250193740965</v>
      </c>
      <c r="AA101" s="9">
        <f ca="1">DATOSAÑO!AK100</f>
        <v>6.6000000000058208</v>
      </c>
      <c r="AB101" s="64">
        <f ca="1">(AA101*DATOSAÑO!$Z$11)/DATOSAÑO!$Y$11</f>
        <v>0.11892317081530798</v>
      </c>
      <c r="AC101" s="9">
        <f ca="1">DATOSAÑO!AL100</f>
        <v>44.800000000002854</v>
      </c>
      <c r="AD101" s="64">
        <f ca="1">(AC101*DATOSAÑO!$Z$11)/DATOSAÑO!$Y$11</f>
        <v>0.80723606856385433</v>
      </c>
      <c r="AE101" s="9">
        <f ca="1">DATOSAÑO!AM100</f>
        <v>12.624999999998717</v>
      </c>
      <c r="AF101" s="64">
        <f ca="1">(AE101*DATOSAÑO!$Z$11)/DATOSAÑO!$Y$11</f>
        <v>0.22748561083966462</v>
      </c>
      <c r="AG101" s="62">
        <f ca="1">DATOSAÑO!AN100</f>
        <v>2.7729999999998181</v>
      </c>
      <c r="AH101" s="64">
        <f ca="1">(AG101*DATOSAÑO!$Z$11)/DATOSAÑO!$Y$11</f>
        <v>4.9965750404626752E-2</v>
      </c>
      <c r="AI101" s="62">
        <f ca="1">DATOSAÑO!BS100</f>
        <v>3.2160000000000002</v>
      </c>
      <c r="AJ101" s="64">
        <f ca="1">(AI101*DATOSAÑO!$Z$11)/DATOSAÑO!$Y$11</f>
        <v>5.7948017779044424E-2</v>
      </c>
      <c r="AK101" s="62">
        <f ca="1">DATOSAÑO!BV100</f>
        <v>0</v>
      </c>
      <c r="AL101" s="64">
        <f ca="1">(AK101*DATOSAÑO!$Z$11)/DATOSAÑO!$Y$11</f>
        <v>0</v>
      </c>
      <c r="AM101" s="62">
        <f ca="1">DATOSAÑO!BY100</f>
        <v>5.0590000000000002</v>
      </c>
      <c r="AN101" s="64">
        <f ca="1">(AM101*DATOSAÑO!$Z$11)/DATOSAÑO!$Y$11</f>
        <v>9.1156412296077655E-2</v>
      </c>
      <c r="AO101" s="62">
        <f ca="1">DATOSAÑO!CF100</f>
        <v>11.912499999997904</v>
      </c>
      <c r="AP101" s="64">
        <f ca="1">(AO101*DATOSAÑO!$Z$11)/DATOSAÑO!$Y$11</f>
        <v>0.21464731399028147</v>
      </c>
      <c r="AQ101" s="62">
        <f ca="1">DATOSAÑO!CL100</f>
        <v>2.5361999999999272</v>
      </c>
      <c r="AR101" s="1077">
        <f ca="1">(AQ101*DATOSAÑO!$Z$11)/DATOSAÑO!$Y$11</f>
        <v>4.5698931185077188E-2</v>
      </c>
      <c r="AS101" s="1335">
        <f t="shared" si="5"/>
        <v>13</v>
      </c>
    </row>
    <row r="102" spans="1:45" ht="16.5" customHeight="1" thickBot="1">
      <c r="A102" s="1371">
        <v>45017</v>
      </c>
      <c r="B102" s="1021">
        <v>45017</v>
      </c>
      <c r="C102" s="9">
        <f ca="1">DATOSAÑO!I101</f>
        <v>307</v>
      </c>
      <c r="D102" s="10">
        <f ca="1">DATOSAÑO!$D101</f>
        <v>5.1077563100802248</v>
      </c>
      <c r="E102" s="11">
        <f ca="1">DATOSAÑO!$G101</f>
        <v>0</v>
      </c>
      <c r="F102" s="9">
        <f ca="1">DATOSAÑO!P101</f>
        <v>147.20000000000073</v>
      </c>
      <c r="G102" s="10">
        <f ca="1">DATOSAÑO!K101</f>
        <v>3.7711661461458035</v>
      </c>
      <c r="H102" s="11">
        <f ca="1">DATOSAÑO!N101</f>
        <v>0</v>
      </c>
      <c r="I102" s="9">
        <f ca="1">DATOSAÑO!Q101</f>
        <v>0</v>
      </c>
      <c r="J102" s="11">
        <f ca="1">DATOSAÑO!R101</f>
        <v>0</v>
      </c>
      <c r="K102" s="9">
        <f ca="1">DATOSAÑO!T101</f>
        <v>0</v>
      </c>
      <c r="L102" s="11">
        <f t="shared" ca="1" si="3"/>
        <v>0</v>
      </c>
      <c r="M102" s="9"/>
      <c r="N102" s="11">
        <f t="shared" si="4"/>
        <v>0</v>
      </c>
      <c r="O102" s="9">
        <f>DATOSAÑO!CT101</f>
        <v>0</v>
      </c>
      <c r="P102" s="9">
        <f>DATOSAÑO!CU101</f>
        <v>0</v>
      </c>
      <c r="Q102" s="173">
        <f ca="1">DATOSAÑO!AD101</f>
        <v>166</v>
      </c>
      <c r="R102" s="11">
        <f ca="1">(Q102*DATOSAÑO!$Z$11)/DATOSAÑO!$Y$11</f>
        <v>2.9910979326248053</v>
      </c>
      <c r="S102" s="173">
        <f ca="1">DATOSAÑO!AF101</f>
        <v>153</v>
      </c>
      <c r="T102" s="11">
        <f ca="1">(S102*DATOSAÑO!$Z$11)/DATOSAÑO!$Y$11</f>
        <v>2.7568553234433448</v>
      </c>
      <c r="U102" s="173">
        <f ca="1">DATOSAÑO!AH101</f>
        <v>10.400000000001455</v>
      </c>
      <c r="V102" s="11">
        <f ca="1">(U102*DATOSAÑO!$Z$11)/DATOSAÑO!$Y$11</f>
        <v>0.18739408734519472</v>
      </c>
      <c r="W102" s="173">
        <f ca="1">DATOSAÑO!AI101</f>
        <v>39.100000000005821</v>
      </c>
      <c r="X102" s="11">
        <f ca="1">(W102*DATOSAÑO!$Z$11)/DATOSAÑO!$Y$11</f>
        <v>0.70452969376895958</v>
      </c>
      <c r="Y102" s="173">
        <f ca="1">DATOSAÑO!AJ101</f>
        <v>7</v>
      </c>
      <c r="Z102" s="11">
        <f ca="1">(Y102*DATOSAÑO!$Z$11)/DATOSAÑO!$Y$11</f>
        <v>0.12613063571309419</v>
      </c>
      <c r="AA102" s="173">
        <f ca="1">DATOSAÑO!AK101</f>
        <v>24.399999999994179</v>
      </c>
      <c r="AB102" s="11">
        <f ca="1">(AA102*DATOSAÑO!$Z$11)/DATOSAÑO!$Y$11</f>
        <v>0.43965535877125206</v>
      </c>
      <c r="AC102" s="173">
        <f ca="1">DATOSAÑO!AL101</f>
        <v>24.499999999996362</v>
      </c>
      <c r="AD102" s="11">
        <f ca="1">(AC102*DATOSAÑO!$Z$11)/DATOSAÑO!$Y$11</f>
        <v>0.44145722499576417</v>
      </c>
      <c r="AE102" s="173">
        <f ca="1">DATOSAÑO!AM101</f>
        <v>11.078000000002262</v>
      </c>
      <c r="AF102" s="11">
        <f ca="1">(AE102*DATOSAÑO!$Z$11)/DATOSAÑO!$Y$11</f>
        <v>0.19961074034713472</v>
      </c>
      <c r="AG102" s="9">
        <f ca="1">DATOSAÑO!AN101</f>
        <v>2.7820000000006369</v>
      </c>
      <c r="AH102" s="11">
        <f ca="1">(AG102*DATOSAÑO!$Z$11)/DATOSAÑO!$Y$11</f>
        <v>5.0127918364844051E-2</v>
      </c>
      <c r="AI102" s="9">
        <f ca="1">DATOSAÑO!BS101</f>
        <v>3.3359999999999999</v>
      </c>
      <c r="AJ102" s="11">
        <f ca="1">(AI102*DATOSAÑO!$Z$11)/DATOSAÑO!$Y$11</f>
        <v>6.011025724841175E-2</v>
      </c>
      <c r="AK102" s="9">
        <f ca="1">DATOSAÑO!BV101</f>
        <v>0</v>
      </c>
      <c r="AL102" s="11">
        <f ca="1">(AK102*DATOSAÑO!$Z$11)/DATOSAÑO!$Y$11</f>
        <v>0</v>
      </c>
      <c r="AM102" s="9">
        <f ca="1">DATOSAÑO!BY101</f>
        <v>5.0860000000000003</v>
      </c>
      <c r="AN102" s="11">
        <f ca="1">(AM102*DATOSAÑO!$Z$11)/DATOSAÑO!$Y$11</f>
        <v>9.164291617668531E-2</v>
      </c>
      <c r="AO102" s="9">
        <f ca="1">DATOSAÑO!CF101</f>
        <v>11.039000000001131</v>
      </c>
      <c r="AP102" s="11">
        <f ca="1">(AO102*DATOSAÑO!$Z$11)/DATOSAÑO!$Y$11</f>
        <v>0.19890801251956994</v>
      </c>
      <c r="AQ102" s="9">
        <f ca="1">DATOSAÑO!CL101</f>
        <v>3.1308000000002547</v>
      </c>
      <c r="AR102" s="1300">
        <f ca="1">(AQ102*DATOSAÑO!$Z$11)/DATOSAÑO!$Y$11</f>
        <v>5.6412827755798201E-2</v>
      </c>
      <c r="AS102" s="1369">
        <f t="shared" si="5"/>
        <v>13</v>
      </c>
    </row>
    <row r="103" spans="1:45" ht="15" thickBot="1">
      <c r="A103" s="1371">
        <v>45018</v>
      </c>
      <c r="B103" s="1021">
        <v>45018</v>
      </c>
      <c r="C103" s="85">
        <f ca="1">DATOSAÑO!I102</f>
        <v>308</v>
      </c>
      <c r="D103" s="86">
        <f ca="1">DATOSAÑO!$D102</f>
        <v>5.1161204537844451</v>
      </c>
      <c r="E103" s="87">
        <f ca="1">DATOSAÑO!$G102</f>
        <v>0</v>
      </c>
      <c r="F103" s="9">
        <f ca="1">DATOSAÑO!P102</f>
        <v>147</v>
      </c>
      <c r="G103" s="10">
        <f ca="1">DATOSAÑO!K102</f>
        <v>3.7694933174049532</v>
      </c>
      <c r="H103" s="11">
        <f ca="1">DATOSAÑO!N102</f>
        <v>0</v>
      </c>
      <c r="I103" s="9">
        <f ca="1">DATOSAÑO!Q102</f>
        <v>0</v>
      </c>
      <c r="J103" s="11">
        <f ca="1">DATOSAÑO!R102</f>
        <v>0</v>
      </c>
      <c r="K103" s="9">
        <f ca="1">DATOSAÑO!T102</f>
        <v>0</v>
      </c>
      <c r="L103" s="11">
        <f t="shared" ca="1" si="3"/>
        <v>0</v>
      </c>
      <c r="M103" s="9"/>
      <c r="N103" s="11">
        <f t="shared" si="4"/>
        <v>0</v>
      </c>
      <c r="O103" s="9">
        <f>DATOSAÑO!CT102</f>
        <v>0</v>
      </c>
      <c r="P103" s="9">
        <f>DATOSAÑO!CU102</f>
        <v>0</v>
      </c>
      <c r="Q103" s="9">
        <f ca="1">DATOSAÑO!AD102</f>
        <v>165</v>
      </c>
      <c r="R103" s="11">
        <f ca="1">(Q103*DATOSAÑO!$Z$11)/DATOSAÑO!$Y$11</f>
        <v>2.9730792703800777</v>
      </c>
      <c r="S103" s="9">
        <f ca="1">DATOSAÑO!AF102</f>
        <v>153</v>
      </c>
      <c r="T103" s="11">
        <f ca="1">(S103*DATOSAÑO!$Z$11)/DATOSAÑO!$Y$11</f>
        <v>2.7568553234433448</v>
      </c>
      <c r="U103" s="9">
        <f ca="1">DATOSAÑO!AH102</f>
        <v>12.19999999999709</v>
      </c>
      <c r="V103" s="11">
        <f ca="1">(U103*DATOSAÑO!$Z$11)/DATOSAÑO!$Y$11</f>
        <v>0.21982767938562603</v>
      </c>
      <c r="W103" s="9">
        <f ca="1">DATOSAÑO!AI102</f>
        <v>39.099999999998545</v>
      </c>
      <c r="X103" s="11">
        <f ca="1">(W103*DATOSAÑO!$Z$11)/DATOSAÑO!$Y$11</f>
        <v>0.70452969376882857</v>
      </c>
      <c r="Y103" s="9">
        <f ca="1">DATOSAÑO!AJ102</f>
        <v>7</v>
      </c>
      <c r="Z103" s="11">
        <f ca="1">(Y103*DATOSAÑO!$Z$11)/DATOSAÑO!$Y$11</f>
        <v>0.12613063571309419</v>
      </c>
      <c r="AA103" s="9">
        <f ca="1">DATOSAÑO!AK102</f>
        <v>16</v>
      </c>
      <c r="AB103" s="11">
        <f ca="1">(AA103*DATOSAÑO!$Z$11)/DATOSAÑO!$Y$11</f>
        <v>0.28829859591564388</v>
      </c>
      <c r="AC103" s="9">
        <f ca="1">DATOSAÑO!AL102</f>
        <v>34.300000000006605</v>
      </c>
      <c r="AD103" s="11">
        <f ca="1">(AC103*DATOSAÑO!$Z$11)/DATOSAÑO!$Y$11</f>
        <v>0.61804011499428058</v>
      </c>
      <c r="AE103" s="9">
        <f ca="1">DATOSAÑO!AM102</f>
        <v>10.455399999997457</v>
      </c>
      <c r="AF103" s="11">
        <f ca="1">(AE103*DATOSAÑO!$Z$11)/DATOSAÑO!$Y$11</f>
        <v>0.18839232123348063</v>
      </c>
      <c r="AG103" s="9">
        <f ca="1">DATOSAÑO!AN102</f>
        <v>3.8970000000002729</v>
      </c>
      <c r="AH103" s="11">
        <f ca="1">(AG103*DATOSAÑO!$Z$11)/DATOSAÑO!$Y$11</f>
        <v>7.0218726767708933E-2</v>
      </c>
      <c r="AI103" s="9">
        <f ca="1">DATOSAÑO!BS102</f>
        <v>1.8486000000000931</v>
      </c>
      <c r="AJ103" s="11">
        <f ca="1">(AI103*DATOSAÑO!$Z$11)/DATOSAÑO!$Y$11</f>
        <v>3.3309299025605379E-2</v>
      </c>
      <c r="AK103" s="9">
        <f ca="1">DATOSAÑO!BV102</f>
        <v>1.859</v>
      </c>
      <c r="AL103" s="11">
        <f ca="1">(AK103*DATOSAÑO!$Z$11)/DATOSAÑO!$Y$11</f>
        <v>3.3496693112948873E-2</v>
      </c>
      <c r="AM103" s="9">
        <f ca="1">DATOSAÑO!BY102</f>
        <v>4.0369999999999999</v>
      </c>
      <c r="AN103" s="11">
        <f ca="1">(AM103*DATOSAÑO!$Z$11)/DATOSAÑO!$Y$11</f>
        <v>7.27413394819659E-2</v>
      </c>
      <c r="AO103" s="9">
        <f ca="1">DATOSAÑO!CF102</f>
        <v>10.727699999998729</v>
      </c>
      <c r="AP103" s="11">
        <f ca="1">(AO103*DATOSAÑO!$Z$11)/DATOSAÑO!$Y$11</f>
        <v>0.1932988029627429</v>
      </c>
      <c r="AQ103" s="9">
        <f ca="1">DATOSAÑO!CL102</f>
        <v>2.3618000000001094</v>
      </c>
      <c r="AR103" s="1300">
        <f ca="1">(AQ103*DATOSAÑO!$Z$11)/DATOSAÑO!$Y$11</f>
        <v>4.2556476489599947E-2</v>
      </c>
      <c r="AS103" s="1334">
        <f t="shared" si="5"/>
        <v>14</v>
      </c>
    </row>
    <row r="104" spans="1:45" ht="16.5" customHeight="1" thickBot="1">
      <c r="A104" s="1371">
        <v>45019</v>
      </c>
      <c r="B104" s="1021">
        <v>45019</v>
      </c>
      <c r="C104" s="85">
        <f ca="1">DATOSAÑO!I103</f>
        <v>303</v>
      </c>
      <c r="D104" s="86">
        <f ca="1">DATOSAÑO!$D103</f>
        <v>5.0742997352633425</v>
      </c>
      <c r="E104" s="87">
        <f ca="1">DATOSAÑO!$G103</f>
        <v>0</v>
      </c>
      <c r="F104" s="9">
        <f ca="1">DATOSAÑO!P103</f>
        <v>147.20000000000073</v>
      </c>
      <c r="G104" s="10">
        <f ca="1">DATOSAÑO!K103</f>
        <v>3.7711661461458035</v>
      </c>
      <c r="H104" s="11">
        <f ca="1">DATOSAÑO!N103</f>
        <v>0</v>
      </c>
      <c r="I104" s="9">
        <f ca="1">DATOSAÑO!Q103</f>
        <v>0.14499999999998181</v>
      </c>
      <c r="J104" s="11">
        <f ca="1">DATOSAÑO!R103</f>
        <v>17.399999999997817</v>
      </c>
      <c r="K104" s="9">
        <f ca="1">DATOSAÑO!T103</f>
        <v>0.28600000000005821</v>
      </c>
      <c r="L104" s="11">
        <f t="shared" ca="1" si="3"/>
        <v>34.320000000006985</v>
      </c>
      <c r="M104" s="9"/>
      <c r="N104" s="11">
        <f t="shared" si="4"/>
        <v>0</v>
      </c>
      <c r="O104" s="9">
        <f>DATOSAÑO!CT103</f>
        <v>0.6</v>
      </c>
      <c r="P104" s="9">
        <f>DATOSAÑO!CU103</f>
        <v>0.4</v>
      </c>
      <c r="Q104" s="9">
        <f ca="1">DATOSAÑO!AD103</f>
        <v>169</v>
      </c>
      <c r="R104" s="11">
        <f ca="1">(Q104*DATOSAÑO!$Z$11)/DATOSAÑO!$Y$11</f>
        <v>3.0451539193589885</v>
      </c>
      <c r="S104" s="9">
        <f ca="1">DATOSAÑO!AF103</f>
        <v>153</v>
      </c>
      <c r="T104" s="11">
        <f ca="1">(S104*DATOSAÑO!$Z$11)/DATOSAÑO!$Y$11</f>
        <v>2.7568553234433448</v>
      </c>
      <c r="U104" s="9">
        <f ca="1">DATOSAÑO!AH103</f>
        <v>5</v>
      </c>
      <c r="V104" s="11">
        <f ca="1">(U104*DATOSAÑO!$Z$11)/DATOSAÑO!$Y$11</f>
        <v>9.0093311223638714E-2</v>
      </c>
      <c r="W104" s="9">
        <f ca="1">DATOSAÑO!AI103</f>
        <v>38.400000000001455</v>
      </c>
      <c r="X104" s="11">
        <f ca="1">(W104*DATOSAÑO!$Z$11)/DATOSAÑO!$Y$11</f>
        <v>0.69191663019757155</v>
      </c>
      <c r="Y104" s="9">
        <f ca="1">DATOSAÑO!AJ103</f>
        <v>8.9000000000087311</v>
      </c>
      <c r="Z104" s="11">
        <f ca="1">(Y104*DATOSAÑO!$Z$11)/DATOSAÑO!$Y$11</f>
        <v>0.1603660939782342</v>
      </c>
      <c r="AA104" s="9">
        <f ca="1">DATOSAÑO!AK103</f>
        <v>15.100000000005821</v>
      </c>
      <c r="AB104" s="11">
        <f ca="1">(AA104*DATOSAÑO!$Z$11)/DATOSAÑO!$Y$11</f>
        <v>0.2720817998954938</v>
      </c>
      <c r="AC104" s="9">
        <f ca="1">DATOSAÑO!AL103</f>
        <v>32.930999999985431</v>
      </c>
      <c r="AD104" s="11">
        <f ca="1">(AC104*DATOSAÑO!$Z$11)/DATOSAÑO!$Y$11</f>
        <v>0.59337256638086677</v>
      </c>
      <c r="AE104" s="9">
        <f ca="1">DATOSAÑO!AM103</f>
        <v>8.1400000000002759</v>
      </c>
      <c r="AF104" s="11">
        <f ca="1">(AE104*DATOSAÑO!$Z$11)/DATOSAÑO!$Y$11</f>
        <v>0.14667191067208879</v>
      </c>
      <c r="AG104" s="9">
        <f ca="1">DATOSAÑO!AN103</f>
        <v>2.7589999999989994</v>
      </c>
      <c r="AH104" s="11">
        <f ca="1">(AG104*DATOSAÑO!$Z$11)/DATOSAÑO!$Y$11</f>
        <v>4.9713489133185816E-2</v>
      </c>
      <c r="AI104" s="9">
        <f ca="1">DATOSAÑO!BS103</f>
        <v>0</v>
      </c>
      <c r="AJ104" s="11">
        <f ca="1">(AI104*DATOSAÑO!$Z$11)/DATOSAÑO!$Y$11</f>
        <v>0</v>
      </c>
      <c r="AK104" s="9">
        <f ca="1">DATOSAÑO!BV103</f>
        <v>5.9429999999999996</v>
      </c>
      <c r="AL104" s="11">
        <f ca="1">(AK104*DATOSAÑO!$Z$11)/DATOSAÑO!$Y$11</f>
        <v>0.10708490972041697</v>
      </c>
      <c r="AM104" s="9">
        <f ca="1">DATOSAÑO!BY103</f>
        <v>2.617</v>
      </c>
      <c r="AN104" s="11">
        <f ca="1">(AM104*DATOSAÑO!$Z$11)/DATOSAÑO!$Y$11</f>
        <v>4.7154839094452498E-2</v>
      </c>
      <c r="AO104" s="9">
        <f ca="1">DATOSAÑO!CF103</f>
        <v>11.570000000000139</v>
      </c>
      <c r="AP104" s="11">
        <f ca="1">(AO104*DATOSAÑO!$Z$11)/DATOSAÑO!$Y$11</f>
        <v>0.20847592217150246</v>
      </c>
      <c r="AQ104" s="9">
        <f ca="1">DATOSAÑO!CL103</f>
        <v>2.4445999999995998</v>
      </c>
      <c r="AR104" s="1300">
        <f ca="1">(AQ104*DATOSAÑO!$Z$11)/DATOSAÑO!$Y$11</f>
        <v>4.4048421723454224E-2</v>
      </c>
      <c r="AS104" s="1334">
        <f t="shared" si="5"/>
        <v>14</v>
      </c>
    </row>
    <row r="105" spans="1:45" ht="15" thickBot="1">
      <c r="A105" s="1371">
        <v>45020</v>
      </c>
      <c r="B105" s="1021">
        <v>45020</v>
      </c>
      <c r="C105" s="85">
        <f ca="1">DATOSAÑO!I104</f>
        <v>322.90000000002328</v>
      </c>
      <c r="D105" s="86">
        <f ca="1">DATOSAÑO!$D104</f>
        <v>5.2407461949775236</v>
      </c>
      <c r="E105" s="87">
        <f ca="1">DATOSAÑO!$G104</f>
        <v>0</v>
      </c>
      <c r="F105" s="9">
        <f ca="1">DATOSAÑO!P104</f>
        <v>148.09999999999854</v>
      </c>
      <c r="G105" s="10">
        <f ca="1">DATOSAÑO!K104</f>
        <v>3.7786938754795836</v>
      </c>
      <c r="H105" s="11">
        <f ca="1">DATOSAÑO!N104</f>
        <v>0</v>
      </c>
      <c r="I105" s="9">
        <f ca="1">DATOSAÑO!Q104</f>
        <v>0.25600000000008549</v>
      </c>
      <c r="J105" s="11">
        <f ca="1">DATOSAÑO!R104</f>
        <v>30.720000000010259</v>
      </c>
      <c r="K105" s="9">
        <f ca="1">DATOSAÑO!T104</f>
        <v>0</v>
      </c>
      <c r="L105" s="11">
        <f t="shared" ca="1" si="3"/>
        <v>0</v>
      </c>
      <c r="M105" s="9"/>
      <c r="N105" s="11">
        <f t="shared" si="4"/>
        <v>0</v>
      </c>
      <c r="O105" s="9">
        <f>DATOSAÑO!CT104</f>
        <v>1</v>
      </c>
      <c r="P105" s="9">
        <f>DATOSAÑO!CU104</f>
        <v>0</v>
      </c>
      <c r="Q105" s="9">
        <f ca="1">DATOSAÑO!AD104</f>
        <v>168.90000000002328</v>
      </c>
      <c r="R105" s="11">
        <f ca="1">(Q105*DATOSAÑO!$Z$11)/DATOSAÑO!$Y$11</f>
        <v>3.0433520531349352</v>
      </c>
      <c r="S105" s="9">
        <f ca="1">DATOSAÑO!AF104</f>
        <v>152.79999999998836</v>
      </c>
      <c r="T105" s="11">
        <f ca="1">(S105*DATOSAÑO!$Z$11)/DATOSAÑO!$Y$11</f>
        <v>2.7532515909941893</v>
      </c>
      <c r="U105" s="9">
        <f ca="1">DATOSAÑO!AH104</f>
        <v>18.900000000001455</v>
      </c>
      <c r="V105" s="11">
        <f ca="1">(U105*DATOSAÑO!$Z$11)/DATOSAÑO!$Y$11</f>
        <v>0.34055271642538054</v>
      </c>
      <c r="W105" s="9">
        <f ca="1">DATOSAÑO!AI104</f>
        <v>36.899999999994179</v>
      </c>
      <c r="X105" s="11">
        <f ca="1">(W105*DATOSAÑO!$Z$11)/DATOSAÑO!$Y$11</f>
        <v>0.66488863683034871</v>
      </c>
      <c r="Y105" s="9">
        <f ca="1">DATOSAÑO!AJ104</f>
        <v>9.8999999999941792</v>
      </c>
      <c r="Z105" s="11">
        <f ca="1">(Y105*DATOSAÑO!$Z$11)/DATOSAÑO!$Y$11</f>
        <v>0.17838475622269975</v>
      </c>
      <c r="AA105" s="9">
        <f ca="1">DATOSAÑO!AK104</f>
        <v>17.299999999988358</v>
      </c>
      <c r="AB105" s="11">
        <f ca="1">(AA105*DATOSAÑO!$Z$11)/DATOSAÑO!$Y$11</f>
        <v>0.3117228568335802</v>
      </c>
      <c r="AC105" s="9">
        <f ca="1">DATOSAÑO!AL104</f>
        <v>35.756000000007475</v>
      </c>
      <c r="AD105" s="11">
        <f ca="1">(AC105*DATOSAÑO!$Z$11)/DATOSAÑO!$Y$11</f>
        <v>0.64427528722261984</v>
      </c>
      <c r="AE105" s="9">
        <f ca="1">DATOSAÑO!AM104</f>
        <v>9.6510000000245597</v>
      </c>
      <c r="AF105" s="11">
        <f ca="1">(AE105*DATOSAÑO!$Z$11)/DATOSAÑO!$Y$11</f>
        <v>0.17389810932430996</v>
      </c>
      <c r="AG105" s="9">
        <f ca="1">DATOSAÑO!AN104</f>
        <v>2.9220000000001751</v>
      </c>
      <c r="AH105" s="11">
        <f ca="1">(AG105*DATOSAÑO!$Z$11)/DATOSAÑO!$Y$11</f>
        <v>5.2650531079097618E-2</v>
      </c>
      <c r="AI105" s="9">
        <f ca="1">DATOSAÑO!BS104</f>
        <v>0.09</v>
      </c>
      <c r="AJ105" s="11">
        <f ca="1">(AI105*DATOSAÑO!$Z$11)/DATOSAÑO!$Y$11</f>
        <v>1.6216796020254967E-3</v>
      </c>
      <c r="AK105" s="9">
        <f ca="1">DATOSAÑO!BV104</f>
        <v>6.0389999999999997</v>
      </c>
      <c r="AL105" s="11">
        <f ca="1">(AK105*DATOSAÑO!$Z$11)/DATOSAÑO!$Y$11</f>
        <v>0.10881470129591082</v>
      </c>
      <c r="AM105" s="9">
        <f ca="1">DATOSAÑO!BY104</f>
        <v>2.65</v>
      </c>
      <c r="AN105" s="11">
        <f ca="1">(AM105*DATOSAÑO!$Z$11)/DATOSAÑO!$Y$11</f>
        <v>4.7749454948528516E-2</v>
      </c>
      <c r="AO105" s="9">
        <f ca="1">DATOSAÑO!CF104</f>
        <v>12.82550000001228</v>
      </c>
      <c r="AP105" s="11">
        <f ca="1">(AO105*DATOSAÑO!$Z$11)/DATOSAÑO!$Y$11</f>
        <v>0.23109835261997691</v>
      </c>
      <c r="AQ105" s="9">
        <f ca="1">DATOSAÑO!CL104</f>
        <v>2.6168000000000697</v>
      </c>
      <c r="AR105" s="1300">
        <f ca="1">(AQ105*DATOSAÑO!$Z$11)/DATOSAÑO!$Y$11</f>
        <v>4.7151235362004815E-2</v>
      </c>
      <c r="AS105" s="1334">
        <f t="shared" si="5"/>
        <v>14</v>
      </c>
    </row>
    <row r="106" spans="1:45" ht="16.5" customHeight="1" thickBot="1">
      <c r="A106" s="1371">
        <v>45021</v>
      </c>
      <c r="B106" s="1021">
        <v>45021</v>
      </c>
      <c r="C106" s="85">
        <f ca="1">DATOSAÑO!I105</f>
        <v>302.40000000002328</v>
      </c>
      <c r="D106" s="86">
        <f ca="1">DATOSAÑO!$D105</f>
        <v>5.0692812490410049</v>
      </c>
      <c r="E106" s="87">
        <f ca="1">DATOSAÑO!$G105</f>
        <v>0</v>
      </c>
      <c r="F106" s="9">
        <f ca="1">DATOSAÑO!P105</f>
        <v>150.40000000000146</v>
      </c>
      <c r="G106" s="10">
        <f ca="1">DATOSAÑO!K105</f>
        <v>3.7979314059993148</v>
      </c>
      <c r="H106" s="11">
        <f ca="1">DATOSAÑO!N105</f>
        <v>0</v>
      </c>
      <c r="I106" s="9">
        <f ca="1">DATOSAÑO!Q105</f>
        <v>0</v>
      </c>
      <c r="J106" s="11">
        <f ca="1">DATOSAÑO!R105</f>
        <v>0</v>
      </c>
      <c r="K106" s="9">
        <f ca="1">DATOSAÑO!T105</f>
        <v>0</v>
      </c>
      <c r="L106" s="11">
        <f t="shared" ca="1" si="3"/>
        <v>0</v>
      </c>
      <c r="M106" s="9"/>
      <c r="N106" s="11">
        <f t="shared" si="4"/>
        <v>0</v>
      </c>
      <c r="O106" s="9">
        <f>DATOSAÑO!CT105</f>
        <v>0</v>
      </c>
      <c r="P106" s="9">
        <f>DATOSAÑO!CU105</f>
        <v>0</v>
      </c>
      <c r="Q106" s="9">
        <f ca="1">DATOSAÑO!AD105</f>
        <v>168.29999999993015</v>
      </c>
      <c r="R106" s="11">
        <f ca="1">(Q106*DATOSAÑO!$Z$11)/DATOSAÑO!$Y$11</f>
        <v>3.0325408557864209</v>
      </c>
      <c r="S106" s="9">
        <f ca="1">DATOSAÑO!AF105</f>
        <v>152.40000000002328</v>
      </c>
      <c r="T106" s="11">
        <f ca="1">(S106*DATOSAÑO!$Z$11)/DATOSAÑO!$Y$11</f>
        <v>2.7460441260969275</v>
      </c>
      <c r="U106" s="9">
        <f ca="1">DATOSAÑO!AH105</f>
        <v>7.3000000000029104</v>
      </c>
      <c r="V106" s="11">
        <f ca="1">(U106*DATOSAÑO!$Z$11)/DATOSAÑO!$Y$11</f>
        <v>0.13153623438656495</v>
      </c>
      <c r="W106" s="9">
        <f ca="1">DATOSAÑO!AI105</f>
        <v>37.30000000000291</v>
      </c>
      <c r="X106" s="11">
        <f ca="1">(W106*DATOSAÑO!$Z$11)/DATOSAÑO!$Y$11</f>
        <v>0.67209610172839718</v>
      </c>
      <c r="Y106" s="9">
        <f ca="1">DATOSAÑO!AJ105</f>
        <v>9.1000000000058208</v>
      </c>
      <c r="Z106" s="11">
        <f ca="1">(Y106*DATOSAÑO!$Z$11)/DATOSAÑO!$Y$11</f>
        <v>0.16396982642712732</v>
      </c>
      <c r="AA106" s="9">
        <f ca="1">DATOSAÑO!AK105</f>
        <v>15.100000000005821</v>
      </c>
      <c r="AB106" s="11">
        <f ca="1">(AA106*DATOSAÑO!$Z$11)/DATOSAÑO!$Y$11</f>
        <v>0.2720817998954938</v>
      </c>
      <c r="AC106" s="9">
        <f ca="1">DATOSAÑO!AL105</f>
        <v>34.700000000066154</v>
      </c>
      <c r="AD106" s="11">
        <f ca="1">(AC106*DATOSAÑO!$Z$11)/DATOSAÑO!$Y$11</f>
        <v>0.62524757989324464</v>
      </c>
      <c r="AE106" s="9">
        <f ca="1">DATOSAÑO!AM105</f>
        <v>8.9688999999871832</v>
      </c>
      <c r="AF106" s="11">
        <f ca="1">(AE106*DATOSAÑO!$Z$11)/DATOSAÑO!$Y$11</f>
        <v>0.1616075798065077</v>
      </c>
      <c r="AG106" s="9">
        <f ca="1">DATOSAÑO!AN105</f>
        <v>3.207000000000364</v>
      </c>
      <c r="AH106" s="11">
        <f ca="1">(AG106*DATOSAÑO!$Z$11)/DATOSAÑO!$Y$11</f>
        <v>5.7785849818848434E-2</v>
      </c>
      <c r="AI106" s="9">
        <f ca="1">DATOSAÑO!BS105</f>
        <v>1.8921000000000932</v>
      </c>
      <c r="AJ106" s="11">
        <f ca="1">(AI106*DATOSAÑO!$Z$11)/DATOSAÑO!$Y$11</f>
        <v>3.409311083325104E-2</v>
      </c>
      <c r="AK106" s="9">
        <f ca="1">DATOSAÑO!BV105</f>
        <v>1.6679999999999999</v>
      </c>
      <c r="AL106" s="11">
        <f ca="1">(AK106*DATOSAÑO!$Z$11)/DATOSAÑO!$Y$11</f>
        <v>3.0055128624205875E-2</v>
      </c>
      <c r="AM106" s="9">
        <f ca="1">DATOSAÑO!BY105</f>
        <v>4.4710000000000001</v>
      </c>
      <c r="AN106" s="11">
        <f ca="1">(AM106*DATOSAÑO!$Z$11)/DATOSAÑO!$Y$11</f>
        <v>8.0561438896177728E-2</v>
      </c>
      <c r="AO106" s="9">
        <f ca="1">DATOSAÑO!CF105</f>
        <v>11.484449999993592</v>
      </c>
      <c r="AP106" s="11">
        <f ca="1">(AO106*DATOSAÑO!$Z$11)/DATOSAÑO!$Y$11</f>
        <v>0.20693442561634806</v>
      </c>
      <c r="AQ106" s="9">
        <f ca="1">DATOSAÑO!CL105</f>
        <v>2.6758000000001454</v>
      </c>
      <c r="AR106" s="1300">
        <f ca="1">(AQ106*DATOSAÑO!$Z$11)/DATOSAÑO!$Y$11</f>
        <v>4.8214336434445108E-2</v>
      </c>
      <c r="AS106" s="1334">
        <f t="shared" si="5"/>
        <v>14</v>
      </c>
    </row>
    <row r="107" spans="1:45" ht="15" thickBot="1">
      <c r="A107" s="1371">
        <v>45022</v>
      </c>
      <c r="B107" s="1021">
        <v>45022</v>
      </c>
      <c r="C107" s="85">
        <f ca="1">DATOSAÑO!I106</f>
        <v>308.69999999995343</v>
      </c>
      <c r="D107" s="86">
        <f ca="1">DATOSAÑO!$D106</f>
        <v>5.1219753543770095</v>
      </c>
      <c r="E107" s="87">
        <f ca="1">DATOSAÑO!$G106</f>
        <v>0</v>
      </c>
      <c r="F107" s="9">
        <f ca="1">DATOSAÑO!P106</f>
        <v>151.29999999999927</v>
      </c>
      <c r="G107" s="10">
        <f ca="1">DATOSAÑO!K106</f>
        <v>3.8054591353330949</v>
      </c>
      <c r="H107" s="11">
        <f ca="1">DATOSAÑO!N106</f>
        <v>0</v>
      </c>
      <c r="I107" s="9">
        <f ca="1">DATOSAÑO!Q106</f>
        <v>0</v>
      </c>
      <c r="J107" s="11">
        <f ca="1">DATOSAÑO!R106</f>
        <v>0</v>
      </c>
      <c r="K107" s="9">
        <f ca="1">DATOSAÑO!T106</f>
        <v>0</v>
      </c>
      <c r="L107" s="11">
        <f t="shared" ca="1" si="3"/>
        <v>0</v>
      </c>
      <c r="M107" s="9"/>
      <c r="N107" s="11">
        <f t="shared" si="4"/>
        <v>0</v>
      </c>
      <c r="O107" s="9">
        <f>DATOSAÑO!CT106</f>
        <v>0</v>
      </c>
      <c r="P107" s="9">
        <f>DATOSAÑO!CU106</f>
        <v>0</v>
      </c>
      <c r="Q107" s="9">
        <f ca="1">DATOSAÑO!AD106</f>
        <v>168.80000000004657</v>
      </c>
      <c r="R107" s="11">
        <f ca="1">(Q107*DATOSAÑO!$Z$11)/DATOSAÑO!$Y$11</f>
        <v>3.0415501869108823</v>
      </c>
      <c r="S107" s="9">
        <f ca="1">DATOSAÑO!AF106</f>
        <v>153.79999999998836</v>
      </c>
      <c r="T107" s="11">
        <f ca="1">(S107*DATOSAÑO!$Z$11)/DATOSAÑO!$Y$11</f>
        <v>2.7712702532389168</v>
      </c>
      <c r="U107" s="9">
        <f ca="1">DATOSAÑO!AH106</f>
        <v>10.099999999998545</v>
      </c>
      <c r="V107" s="11">
        <f ca="1">(U107*DATOSAÑO!$Z$11)/DATOSAÑO!$Y$11</f>
        <v>0.18198848867172399</v>
      </c>
      <c r="W107" s="9">
        <f ca="1">DATOSAÑO!AI106</f>
        <v>39.69999999999709</v>
      </c>
      <c r="X107" s="11">
        <f ca="1">(W107*DATOSAÑO!$Z$11)/DATOSAÑO!$Y$11</f>
        <v>0.71534089111563892</v>
      </c>
      <c r="Y107" s="9">
        <f ca="1">DATOSAÑO!AJ106</f>
        <v>9.1999999999970896</v>
      </c>
      <c r="Z107" s="11">
        <f ca="1">(Y107*DATOSAÑO!$Z$11)/DATOSAÑO!$Y$11</f>
        <v>0.16577169265144279</v>
      </c>
      <c r="AA107" s="9">
        <f ca="1">DATOSAÑO!AK106</f>
        <v>15.299999999988358</v>
      </c>
      <c r="AB107" s="11">
        <f ca="1">(AA107*DATOSAÑO!$Z$11)/DATOSAÑO!$Y$11</f>
        <v>0.27568553234412468</v>
      </c>
      <c r="AC107" s="9">
        <f ca="1">DATOSAÑO!AL106</f>
        <v>35.099999999947556</v>
      </c>
      <c r="AD107" s="11">
        <f ca="1">(AC107*DATOSAÑO!$Z$11)/DATOSAÑO!$Y$11</f>
        <v>0.63245504478899872</v>
      </c>
      <c r="AE107" s="9">
        <f ca="1">DATOSAÑO!AM106</f>
        <v>8.3826999999883505</v>
      </c>
      <c r="AF107" s="11">
        <f ca="1">(AE107*DATOSAÑO!$Z$11)/DATOSAÑO!$Y$11</f>
        <v>0.15104503999866933</v>
      </c>
      <c r="AG107" s="9">
        <f ca="1">DATOSAÑO!AN106</f>
        <v>3.1250000000002061</v>
      </c>
      <c r="AH107" s="11">
        <f ca="1">(AG107*DATOSAÑO!$Z$11)/DATOSAÑO!$Y$11</f>
        <v>5.630831951477791E-2</v>
      </c>
      <c r="AI107" s="9">
        <f ca="1">DATOSAÑO!BS106</f>
        <v>2.1652999999998137</v>
      </c>
      <c r="AJ107" s="11">
        <f ca="1">(AI107*DATOSAÑO!$Z$11)/DATOSAÑO!$Y$11</f>
        <v>3.901580935850562E-2</v>
      </c>
      <c r="AK107" s="9">
        <f ca="1">DATOSAÑO!BV106</f>
        <v>0</v>
      </c>
      <c r="AL107" s="11">
        <f ca="1">(AK107*DATOSAÑO!$Z$11)/DATOSAÑO!$Y$11</f>
        <v>0</v>
      </c>
      <c r="AM107" s="9">
        <f ca="1">DATOSAÑO!BY106</f>
        <v>4.8220000000000001</v>
      </c>
      <c r="AN107" s="11">
        <f ca="1">(AM107*DATOSAÑO!$Z$11)/DATOSAÑO!$Y$11</f>
        <v>8.688598934407718E-2</v>
      </c>
      <c r="AO107" s="9">
        <f ca="1">DATOSAÑO!CF106</f>
        <v>12.391349999994903</v>
      </c>
      <c r="AP107" s="11">
        <f ca="1">(AO107*DATOSAÑO!$Z$11)/DATOSAÑO!$Y$11</f>
        <v>0.22327555040611524</v>
      </c>
      <c r="AQ107" s="9">
        <f ca="1">DATOSAÑO!CL106</f>
        <v>2.5550000000000823</v>
      </c>
      <c r="AR107" s="1300">
        <f ca="1">(AQ107*DATOSAÑO!$Z$11)/DATOSAÑO!$Y$11</f>
        <v>4.6037682035280872E-2</v>
      </c>
      <c r="AS107" s="1334">
        <f t="shared" si="5"/>
        <v>14</v>
      </c>
    </row>
    <row r="108" spans="1:45" ht="16.5" customHeight="1" thickBot="1">
      <c r="A108" s="1371">
        <v>45023</v>
      </c>
      <c r="B108" s="1021">
        <v>45023</v>
      </c>
      <c r="C108" s="85">
        <f ca="1">DATOSAÑO!I107</f>
        <v>314</v>
      </c>
      <c r="D108" s="86">
        <f ca="1">DATOSAÑO!$D107</f>
        <v>5.1663053160097672</v>
      </c>
      <c r="E108" s="87">
        <f ca="1">DATOSAÑO!$G107</f>
        <v>0</v>
      </c>
      <c r="F108" s="9">
        <f ca="1">DATOSAÑO!P107</f>
        <v>148</v>
      </c>
      <c r="G108" s="10">
        <f ca="1">DATOSAÑO!K107</f>
        <v>3.777857461109174</v>
      </c>
      <c r="H108" s="11">
        <f ca="1">DATOSAÑO!N107</f>
        <v>0</v>
      </c>
      <c r="I108" s="9">
        <f ca="1">DATOSAÑO!Q107</f>
        <v>0</v>
      </c>
      <c r="J108" s="11">
        <f ca="1">DATOSAÑO!R107</f>
        <v>0</v>
      </c>
      <c r="K108" s="9">
        <f ca="1">DATOSAÑO!T107</f>
        <v>0</v>
      </c>
      <c r="L108" s="11">
        <f t="shared" ca="1" si="3"/>
        <v>0</v>
      </c>
      <c r="M108" s="9"/>
      <c r="N108" s="11">
        <f t="shared" si="4"/>
        <v>0</v>
      </c>
      <c r="O108" s="9">
        <f>DATOSAÑO!CT107</f>
        <v>0</v>
      </c>
      <c r="P108" s="9">
        <f>DATOSAÑO!CU107</f>
        <v>0</v>
      </c>
      <c r="Q108" s="9">
        <f ca="1">DATOSAÑO!AD107</f>
        <v>166</v>
      </c>
      <c r="R108" s="11">
        <f ca="1">(Q108*DATOSAÑO!$Z$11)/DATOSAÑO!$Y$11</f>
        <v>2.9910979326248053</v>
      </c>
      <c r="S108" s="9">
        <f ca="1">DATOSAÑO!AF107</f>
        <v>154</v>
      </c>
      <c r="T108" s="11">
        <f ca="1">(S108*DATOSAÑO!$Z$11)/DATOSAÑO!$Y$11</f>
        <v>2.7748739856880724</v>
      </c>
      <c r="U108" s="9">
        <f ca="1">DATOSAÑO!AH107</f>
        <v>12.399999999995998</v>
      </c>
      <c r="V108" s="11">
        <f ca="1">(U108*DATOSAÑO!$Z$11)/DATOSAÑO!$Y$11</f>
        <v>0.2234314118345519</v>
      </c>
      <c r="W108" s="9">
        <f ca="1">DATOSAÑO!AI107</f>
        <v>42.30000000000291</v>
      </c>
      <c r="X108" s="11">
        <f ca="1">(W108*DATOSAÑO!$Z$11)/DATOSAÑO!$Y$11</f>
        <v>0.76218941295203591</v>
      </c>
      <c r="Y108" s="9">
        <f ca="1">DATOSAÑO!AJ107</f>
        <v>10</v>
      </c>
      <c r="Z108" s="11">
        <f ca="1">(Y108*DATOSAÑO!$Z$11)/DATOSAÑO!$Y$11</f>
        <v>0.18018662244727743</v>
      </c>
      <c r="AA108" s="9">
        <f ca="1">DATOSAÑO!AK107</f>
        <v>14.900000000023283</v>
      </c>
      <c r="AB108" s="11">
        <f ca="1">(AA108*DATOSAÑO!$Z$11)/DATOSAÑO!$Y$11</f>
        <v>0.26847806744686287</v>
      </c>
      <c r="AC108" s="9">
        <f ca="1">DATOSAÑO!AL107</f>
        <v>33.799999999979264</v>
      </c>
      <c r="AD108" s="11">
        <f ca="1">(AC108*DATOSAÑO!$Z$11)/DATOSAÑO!$Y$11</f>
        <v>0.60903078387142395</v>
      </c>
      <c r="AE108" s="9">
        <f ca="1">DATOSAÑO!AM107</f>
        <v>9.1009999999980931</v>
      </c>
      <c r="AF108" s="11">
        <f ca="1">(AE108*DATOSAÑO!$Z$11)/DATOSAÑO!$Y$11</f>
        <v>0.16398784508923284</v>
      </c>
      <c r="AG108" s="9">
        <f ca="1">DATOSAÑO!AN107</f>
        <v>3.3859999999997275</v>
      </c>
      <c r="AH108" s="11">
        <f ca="1">(AG108*DATOSAÑO!$Z$11)/DATOSAÑO!$Y$11</f>
        <v>6.1011190360643223E-2</v>
      </c>
      <c r="AI108" s="9">
        <f ca="1">DATOSAÑO!BS107</f>
        <v>2</v>
      </c>
      <c r="AJ108" s="11">
        <f ca="1">(AI108*DATOSAÑO!$Z$11)/DATOSAÑO!$Y$11</f>
        <v>3.6037324489455486E-2</v>
      </c>
      <c r="AK108" s="9">
        <f ca="1">DATOSAÑO!BV107</f>
        <v>0</v>
      </c>
      <c r="AL108" s="11">
        <f ca="1">(AK108*DATOSAÑO!$Z$11)/DATOSAÑO!$Y$11</f>
        <v>0</v>
      </c>
      <c r="AM108" s="9">
        <f ca="1">DATOSAÑO!BY107</f>
        <v>4.9989999999999997</v>
      </c>
      <c r="AN108" s="11">
        <f ca="1">(AM108*DATOSAÑO!$Z$11)/DATOSAÑO!$Y$11</f>
        <v>9.0075292561393974E-2</v>
      </c>
      <c r="AO108" s="9">
        <f ca="1">DATOSAÑO!CF107</f>
        <v>12.250499999999775</v>
      </c>
      <c r="AP108" s="11">
        <f ca="1">(AO108*DATOSAÑO!$Z$11)/DATOSAÑO!$Y$11</f>
        <v>0.22073762182903314</v>
      </c>
      <c r="AQ108" s="9">
        <f ca="1">DATOSAÑO!CL107</f>
        <v>2.7683999999998909</v>
      </c>
      <c r="AR108" s="1300">
        <f ca="1">(AQ108*DATOSAÑO!$Z$11)/DATOSAÑO!$Y$11</f>
        <v>4.9882864558302313E-2</v>
      </c>
      <c r="AS108" s="1334">
        <f t="shared" si="5"/>
        <v>14</v>
      </c>
    </row>
    <row r="109" spans="1:45" ht="15" thickBot="1">
      <c r="A109" s="1371">
        <v>45024</v>
      </c>
      <c r="B109" s="1021">
        <v>45024</v>
      </c>
      <c r="C109" s="85">
        <f ca="1">DATOSAÑO!I108</f>
        <v>308</v>
      </c>
      <c r="D109" s="86">
        <f ca="1">DATOSAÑO!$D108</f>
        <v>5.1161204537844451</v>
      </c>
      <c r="E109" s="87">
        <f ca="1">DATOSAÑO!$G108</f>
        <v>0</v>
      </c>
      <c r="F109" s="9">
        <f ca="1">DATOSAÑO!P108</f>
        <v>146</v>
      </c>
      <c r="G109" s="10">
        <f ca="1">DATOSAÑO!K108</f>
        <v>3.7611291737007324</v>
      </c>
      <c r="H109" s="11">
        <f ca="1">DATOSAÑO!N108</f>
        <v>0</v>
      </c>
      <c r="I109" s="9">
        <f ca="1">DATOSAÑO!Q108</f>
        <v>0</v>
      </c>
      <c r="J109" s="11">
        <f ca="1">DATOSAÑO!R108</f>
        <v>0</v>
      </c>
      <c r="K109" s="9">
        <f ca="1">DATOSAÑO!T108</f>
        <v>0</v>
      </c>
      <c r="L109" s="11">
        <f t="shared" ca="1" si="3"/>
        <v>0</v>
      </c>
      <c r="M109" s="9"/>
      <c r="N109" s="11">
        <f t="shared" si="4"/>
        <v>0</v>
      </c>
      <c r="O109" s="9">
        <f>DATOSAÑO!CT108</f>
        <v>0</v>
      </c>
      <c r="P109" s="9">
        <f>DATOSAÑO!CU108</f>
        <v>0</v>
      </c>
      <c r="Q109" s="9">
        <f ca="1">DATOSAÑO!AD108</f>
        <v>162</v>
      </c>
      <c r="R109" s="11">
        <f ca="1">(Q109*DATOSAÑO!$Z$11)/DATOSAÑO!$Y$11</f>
        <v>2.919023283645894</v>
      </c>
      <c r="S109" s="9">
        <f ca="1">DATOSAÑO!AF108</f>
        <v>150</v>
      </c>
      <c r="T109" s="11">
        <f ca="1">(S109*DATOSAÑO!$Z$11)/DATOSAÑO!$Y$11</f>
        <v>2.7027993367091616</v>
      </c>
      <c r="U109" s="9">
        <f ca="1">DATOSAÑO!AH108</f>
        <v>13.700000000004366</v>
      </c>
      <c r="V109" s="11">
        <f ca="1">(U109*DATOSAÑO!$Z$11)/DATOSAÑO!$Y$11</f>
        <v>0.24685567275284873</v>
      </c>
      <c r="W109" s="9">
        <f ca="1">DATOSAÑO!AI108</f>
        <v>41.69999999999709</v>
      </c>
      <c r="X109" s="11">
        <f ca="1">(W109*DATOSAÑO!$Z$11)/DATOSAÑO!$Y$11</f>
        <v>0.75137821560509432</v>
      </c>
      <c r="Y109" s="9">
        <f ca="1">DATOSAÑO!AJ108</f>
        <v>7.3000000000029104</v>
      </c>
      <c r="Z109" s="11">
        <f ca="1">(Y109*DATOSAÑO!$Z$11)/DATOSAÑO!$Y$11</f>
        <v>0.13153623438656495</v>
      </c>
      <c r="AA109" s="9">
        <f ca="1">DATOSAÑO!AK108</f>
        <v>14.599999999976717</v>
      </c>
      <c r="AB109" s="11">
        <f ca="1">(AA109*DATOSAÑO!$Z$11)/DATOSAÑO!$Y$11</f>
        <v>0.26307246877260548</v>
      </c>
      <c r="AC109" s="9">
        <f ca="1">DATOSAÑO!AL108</f>
        <v>36.600000000016621</v>
      </c>
      <c r="AD109" s="11">
        <f ca="1">(AC109*DATOSAÑO!$Z$11)/DATOSAÑO!$Y$11</f>
        <v>0.65948303815733478</v>
      </c>
      <c r="AE109" s="9">
        <f ca="1">DATOSAÑO!AM108</f>
        <v>8.6800000000018258</v>
      </c>
      <c r="AF109" s="11">
        <f ca="1">(AE109*DATOSAÑO!$Z$11)/DATOSAÑO!$Y$11</f>
        <v>0.15640198828426971</v>
      </c>
      <c r="AG109" s="9">
        <f ca="1">DATOSAÑO!AN108</f>
        <v>3.7250000000003638</v>
      </c>
      <c r="AH109" s="11">
        <f ca="1">(AG109*DATOSAÑO!$Z$11)/DATOSAÑO!$Y$11</f>
        <v>6.7119516861617393E-2</v>
      </c>
      <c r="AI109" s="9">
        <f ca="1">DATOSAÑO!BS108</f>
        <v>2.1</v>
      </c>
      <c r="AJ109" s="11">
        <f ca="1">(AI109*DATOSAÑO!$Z$11)/DATOSAÑO!$Y$11</f>
        <v>3.7839190713928265E-2</v>
      </c>
      <c r="AK109" s="9">
        <f ca="1">DATOSAÑO!BV108</f>
        <v>0</v>
      </c>
      <c r="AL109" s="11">
        <f ca="1">(AK109*DATOSAÑO!$Z$11)/DATOSAÑO!$Y$11</f>
        <v>0</v>
      </c>
      <c r="AM109" s="9">
        <f ca="1">DATOSAÑO!BY108</f>
        <v>4.72</v>
      </c>
      <c r="AN109" s="11">
        <f ca="1">(AM109*DATOSAÑO!$Z$11)/DATOSAÑO!$Y$11</f>
        <v>8.5048085795114942E-2</v>
      </c>
      <c r="AO109" s="9">
        <f ca="1">DATOSAÑO!CF108</f>
        <v>11.840000000000913</v>
      </c>
      <c r="AP109" s="11">
        <f ca="1">(AO109*DATOSAÑO!$Z$11)/DATOSAÑO!$Y$11</f>
        <v>0.21334096097759292</v>
      </c>
      <c r="AQ109" s="9">
        <f ca="1">DATOSAÑO!CL108</f>
        <v>2.8650000000001459</v>
      </c>
      <c r="AR109" s="1300">
        <f ca="1">(AQ109*DATOSAÑO!$Z$11)/DATOSAÑO!$Y$11</f>
        <v>5.1623467331147616E-2</v>
      </c>
      <c r="AS109" s="1334">
        <f t="shared" si="5"/>
        <v>14</v>
      </c>
    </row>
    <row r="110" spans="1:45" ht="16.5" customHeight="1" thickBot="1">
      <c r="A110" s="1371">
        <v>45025</v>
      </c>
      <c r="B110" s="1021">
        <v>45025</v>
      </c>
      <c r="C110" s="85">
        <f ca="1">DATOSAÑO!I109</f>
        <v>299</v>
      </c>
      <c r="D110" s="86">
        <f ca="1">DATOSAÑO!$D109</f>
        <v>5.0408431604464612</v>
      </c>
      <c r="E110" s="87">
        <f ca="1">DATOSAÑO!$G109</f>
        <v>0</v>
      </c>
      <c r="F110" s="9">
        <f ca="1">DATOSAÑO!P109</f>
        <v>149</v>
      </c>
      <c r="G110" s="10">
        <f ca="1">DATOSAÑO!K109</f>
        <v>3.7862216048133943</v>
      </c>
      <c r="H110" s="11">
        <f ca="1">DATOSAÑO!N109</f>
        <v>0</v>
      </c>
      <c r="I110" s="9">
        <f ca="1">DATOSAÑO!Q109</f>
        <v>0</v>
      </c>
      <c r="J110" s="11">
        <f ca="1">DATOSAÑO!R109</f>
        <v>0</v>
      </c>
      <c r="K110" s="9">
        <f ca="1">DATOSAÑO!T109</f>
        <v>0</v>
      </c>
      <c r="L110" s="11">
        <f t="shared" ca="1" si="3"/>
        <v>0</v>
      </c>
      <c r="M110" s="9"/>
      <c r="N110" s="11">
        <f t="shared" si="4"/>
        <v>0</v>
      </c>
      <c r="O110" s="9">
        <f>DATOSAÑO!CT109</f>
        <v>0</v>
      </c>
      <c r="P110" s="9">
        <f>DATOSAÑO!CU109</f>
        <v>0</v>
      </c>
      <c r="Q110" s="9">
        <f ca="1">DATOSAÑO!AD109</f>
        <v>166</v>
      </c>
      <c r="R110" s="11">
        <f ca="1">(Q110*DATOSAÑO!$Z$11)/DATOSAÑO!$Y$11</f>
        <v>2.9910979326248053</v>
      </c>
      <c r="S110" s="9">
        <f ca="1">DATOSAÑO!AF109</f>
        <v>149</v>
      </c>
      <c r="T110" s="11">
        <f ca="1">(S110*DATOSAÑO!$Z$11)/DATOSAÑO!$Y$11</f>
        <v>2.6847806744644336</v>
      </c>
      <c r="U110" s="9">
        <f ca="1">DATOSAÑO!AH109</f>
        <v>12.19999999999709</v>
      </c>
      <c r="V110" s="11">
        <f ca="1">(U110*DATOSAÑO!$Z$11)/DATOSAÑO!$Y$11</f>
        <v>0.21982767938562603</v>
      </c>
      <c r="W110" s="9">
        <f ca="1">DATOSAÑO!AI109</f>
        <v>40.400000000001455</v>
      </c>
      <c r="X110" s="11">
        <f ca="1">(W110*DATOSAÑO!$Z$11)/DATOSAÑO!$Y$11</f>
        <v>0.72795395468702706</v>
      </c>
      <c r="Y110" s="9">
        <f ca="1">DATOSAÑO!AJ109</f>
        <v>6.3000000000029104</v>
      </c>
      <c r="Z110" s="11">
        <f ca="1">(Y110*DATOSAÑO!$Z$11)/DATOSAÑO!$Y$11</f>
        <v>0.11351757214183721</v>
      </c>
      <c r="AA110" s="9">
        <f ca="1">DATOSAÑO!AK109</f>
        <v>14.5</v>
      </c>
      <c r="AB110" s="11">
        <f ca="1">(AA110*DATOSAÑO!$Z$11)/DATOSAÑO!$Y$11</f>
        <v>0.26127060254855228</v>
      </c>
      <c r="AC110" s="9">
        <f ca="1">DATOSAÑO!AL109</f>
        <v>34.299999999999272</v>
      </c>
      <c r="AD110" s="11">
        <f ca="1">(AC110*DATOSAÑO!$Z$11)/DATOSAÑO!$Y$11</f>
        <v>0.61804011499414857</v>
      </c>
      <c r="AE110" s="9">
        <f ca="1">DATOSAÑO!AM109</f>
        <v>5.4280000000011857</v>
      </c>
      <c r="AF110" s="11">
        <f ca="1">(AE110*DATOSAÑO!$Z$11)/DATOSAÑO!$Y$11</f>
        <v>9.7805298664403545E-2</v>
      </c>
      <c r="AG110" s="9">
        <f ca="1">DATOSAÑO!AN109</f>
        <v>3.6039999999995476</v>
      </c>
      <c r="AH110" s="11">
        <f ca="1">(AG110*DATOSAÑO!$Z$11)/DATOSAÑO!$Y$11</f>
        <v>6.4939258729990623E-2</v>
      </c>
      <c r="AI110" s="9">
        <f ca="1">DATOSAÑO!BS109</f>
        <v>2.1</v>
      </c>
      <c r="AJ110" s="11">
        <f ca="1">(AI110*DATOSAÑO!$Z$11)/DATOSAÑO!$Y$11</f>
        <v>3.7839190713928265E-2</v>
      </c>
      <c r="AK110" s="9">
        <f ca="1">DATOSAÑO!BV109</f>
        <v>0</v>
      </c>
      <c r="AL110" s="11">
        <f ca="1">(AK110*DATOSAÑO!$Z$11)/DATOSAÑO!$Y$11</f>
        <v>0</v>
      </c>
      <c r="AM110" s="9">
        <f ca="1">DATOSAÑO!BY109</f>
        <v>4.8620000000000001</v>
      </c>
      <c r="AN110" s="11">
        <f ca="1">(AM110*DATOSAÑO!$Z$11)/DATOSAÑO!$Y$11</f>
        <v>8.7606735833866287E-2</v>
      </c>
      <c r="AO110" s="9">
        <f ca="1">DATOSAÑO!CF109</f>
        <v>10.313999999999137</v>
      </c>
      <c r="AP110" s="11">
        <f ca="1">(AO110*DATOSAÑO!$Z$11)/DATOSAÑO!$Y$11</f>
        <v>0.18584448239210638</v>
      </c>
      <c r="AQ110" s="9">
        <f ca="1">DATOSAÑO!CL109</f>
        <v>3.147599999999819</v>
      </c>
      <c r="AR110" s="1300">
        <f ca="1">(AQ110*DATOSAÑO!$Z$11)/DATOSAÑO!$Y$11</f>
        <v>5.6715541281501775E-2</v>
      </c>
      <c r="AS110" s="1334">
        <f t="shared" si="5"/>
        <v>15</v>
      </c>
    </row>
    <row r="111" spans="1:45" ht="15" thickBot="1">
      <c r="A111" s="1371">
        <v>45026</v>
      </c>
      <c r="B111" s="1021">
        <v>45026</v>
      </c>
      <c r="C111" s="85">
        <f ca="1">DATOSAÑO!I110</f>
        <v>303</v>
      </c>
      <c r="D111" s="86">
        <f ca="1">DATOSAÑO!$D110</f>
        <v>5.0742997352633425</v>
      </c>
      <c r="E111" s="87">
        <f ca="1">DATOSAÑO!$G110</f>
        <v>0</v>
      </c>
      <c r="F111" s="9">
        <f ca="1">DATOSAÑO!P110</f>
        <v>146</v>
      </c>
      <c r="G111" s="10">
        <f ca="1">DATOSAÑO!K110</f>
        <v>3.7611291737007324</v>
      </c>
      <c r="H111" s="11">
        <f ca="1">DATOSAÑO!N110</f>
        <v>0</v>
      </c>
      <c r="I111" s="9">
        <f ca="1">DATOSAÑO!Q110</f>
        <v>0</v>
      </c>
      <c r="J111" s="11">
        <f ca="1">DATOSAÑO!R110</f>
        <v>0</v>
      </c>
      <c r="K111" s="9">
        <f ca="1">DATOSAÑO!T110</f>
        <v>0</v>
      </c>
      <c r="L111" s="11">
        <f t="shared" ca="1" si="3"/>
        <v>0</v>
      </c>
      <c r="M111" s="9"/>
      <c r="N111" s="11">
        <f t="shared" si="4"/>
        <v>0</v>
      </c>
      <c r="O111" s="9">
        <f>DATOSAÑO!CT110</f>
        <v>0</v>
      </c>
      <c r="P111" s="9">
        <f>DATOSAÑO!CU110</f>
        <v>0</v>
      </c>
      <c r="Q111" s="9">
        <f ca="1">DATOSAÑO!AD110</f>
        <v>162</v>
      </c>
      <c r="R111" s="11">
        <f ca="1">(Q111*DATOSAÑO!$Z$11)/DATOSAÑO!$Y$11</f>
        <v>2.919023283645894</v>
      </c>
      <c r="S111" s="9">
        <f ca="1">DATOSAÑO!AF110</f>
        <v>150</v>
      </c>
      <c r="T111" s="11">
        <f ca="1">(S111*DATOSAÑO!$Z$11)/DATOSAÑO!$Y$11</f>
        <v>2.7027993367091616</v>
      </c>
      <c r="U111" s="9">
        <f ca="1">DATOSAÑO!AH110</f>
        <v>11.200000000004366</v>
      </c>
      <c r="V111" s="11">
        <f ca="1">(U111*DATOSAÑO!$Z$11)/DATOSAÑO!$Y$11</f>
        <v>0.20180901714102936</v>
      </c>
      <c r="W111" s="9">
        <f ca="1">DATOSAÑO!AI110</f>
        <v>40.099999999998545</v>
      </c>
      <c r="X111" s="11">
        <f ca="1">(W111*DATOSAÑO!$Z$11)/DATOSAÑO!$Y$11</f>
        <v>0.72254835601355616</v>
      </c>
      <c r="Y111" s="9">
        <f ca="1">DATOSAÑO!AJ110</f>
        <v>7.5999999999912689</v>
      </c>
      <c r="Z111" s="11">
        <f ca="1">(Y111*DATOSAÑO!$Z$11)/DATOSAÑO!$Y$11</f>
        <v>0.13694183305977353</v>
      </c>
      <c r="AA111" s="9">
        <f ca="1">DATOSAÑO!AK110</f>
        <v>14.600000000005821</v>
      </c>
      <c r="AB111" s="11">
        <f ca="1">(AA111*DATOSAÑO!$Z$11)/DATOSAÑO!$Y$11</f>
        <v>0.2630724687731299</v>
      </c>
      <c r="AC111" s="9">
        <f ca="1">DATOSAÑO!AL110</f>
        <v>33.299999999999216</v>
      </c>
      <c r="AD111" s="11">
        <f ca="1">(AC111*DATOSAÑO!$Z$11)/DATOSAÑO!$Y$11</f>
        <v>0.60002145274941965</v>
      </c>
      <c r="AE111" s="9">
        <f ca="1">DATOSAÑO!AM110</f>
        <v>10.845999999999625</v>
      </c>
      <c r="AF111" s="11">
        <f ca="1">(AE111*DATOSAÑO!$Z$11)/DATOSAÑO!$Y$11</f>
        <v>0.19543041070631034</v>
      </c>
      <c r="AG111" s="9">
        <f ca="1">DATOSAÑO!AN110</f>
        <v>3.7180000000003641</v>
      </c>
      <c r="AH111" s="11">
        <f ca="1">(AG111*DATOSAÑO!$Z$11)/DATOSAÑO!$Y$11</f>
        <v>6.6993386225904311E-2</v>
      </c>
      <c r="AI111" s="9">
        <f ca="1">DATOSAÑO!BS110</f>
        <v>2.2999999999999998</v>
      </c>
      <c r="AJ111" s="11">
        <f ca="1">(AI111*DATOSAÑO!$Z$11)/DATOSAÑO!$Y$11</f>
        <v>4.1442923162873804E-2</v>
      </c>
      <c r="AK111" s="9">
        <f ca="1">DATOSAÑO!BV110</f>
        <v>0</v>
      </c>
      <c r="AL111" s="11">
        <f ca="1">(AK111*DATOSAÑO!$Z$11)/DATOSAÑO!$Y$11</f>
        <v>0</v>
      </c>
      <c r="AM111" s="9">
        <f ca="1">DATOSAÑO!BY110</f>
        <v>4.7539999999999996</v>
      </c>
      <c r="AN111" s="11">
        <f ca="1">(AM111*DATOSAÑO!$Z$11)/DATOSAÑO!$Y$11</f>
        <v>8.5660720311435665E-2</v>
      </c>
      <c r="AO111" s="9">
        <f ca="1">DATOSAÑO!CF110</f>
        <v>12.623000000000541</v>
      </c>
      <c r="AP111" s="11">
        <f ca="1">(AO111*DATOSAÑO!$Z$11)/DATOSAÑO!$Y$11</f>
        <v>0.22744957351520803</v>
      </c>
      <c r="AQ111" s="9">
        <f ca="1">DATOSAÑO!CL110</f>
        <v>2.8692000000001459</v>
      </c>
      <c r="AR111" s="1300">
        <f ca="1">(AQ111*DATOSAÑO!$Z$11)/DATOSAÑO!$Y$11</f>
        <v>5.1699145712575466E-2</v>
      </c>
      <c r="AS111" s="1334">
        <f t="shared" si="5"/>
        <v>15</v>
      </c>
    </row>
    <row r="112" spans="1:45" ht="16.5" customHeight="1" thickBot="1">
      <c r="A112" s="1371">
        <v>45027</v>
      </c>
      <c r="B112" s="1021">
        <v>45027</v>
      </c>
      <c r="C112" s="85">
        <f ca="1">DATOSAÑO!I111</f>
        <v>296</v>
      </c>
      <c r="D112" s="86">
        <f ca="1">DATOSAÑO!$D111</f>
        <v>5.0157507293337993</v>
      </c>
      <c r="E112" s="87">
        <f ca="1">DATOSAÑO!$G111</f>
        <v>0</v>
      </c>
      <c r="F112" s="9">
        <f ca="1">DATOSAÑO!P111</f>
        <v>149</v>
      </c>
      <c r="G112" s="10">
        <f ca="1">DATOSAÑO!K111</f>
        <v>3.7862216048133943</v>
      </c>
      <c r="H112" s="11">
        <f ca="1">DATOSAÑO!N111</f>
        <v>0</v>
      </c>
      <c r="I112" s="9">
        <f ca="1">DATOSAÑO!Q111</f>
        <v>0.32999999999992724</v>
      </c>
      <c r="J112" s="11">
        <f ca="1">DATOSAÑO!R111</f>
        <v>39.599999999991269</v>
      </c>
      <c r="K112" s="9">
        <f ca="1">DATOSAÑO!T111</f>
        <v>0.40300000000002001</v>
      </c>
      <c r="L112" s="11">
        <f t="shared" ca="1" si="3"/>
        <v>48.360000000002401</v>
      </c>
      <c r="M112" s="9"/>
      <c r="N112" s="11">
        <f t="shared" si="4"/>
        <v>0</v>
      </c>
      <c r="O112" s="9">
        <f>DATOSAÑO!CT111</f>
        <v>0.6</v>
      </c>
      <c r="P112" s="9">
        <f>DATOSAÑO!CU111</f>
        <v>0.5</v>
      </c>
      <c r="Q112" s="9">
        <f ca="1">DATOSAÑO!AD111</f>
        <v>163</v>
      </c>
      <c r="R112" s="11">
        <f ca="1">(Q112*DATOSAÑO!$Z$11)/DATOSAÑO!$Y$11</f>
        <v>2.9370419458906221</v>
      </c>
      <c r="S112" s="9">
        <f ca="1">DATOSAÑO!AF111</f>
        <v>152</v>
      </c>
      <c r="T112" s="11">
        <f ca="1">(S112*DATOSAÑO!$Z$11)/DATOSAÑO!$Y$11</f>
        <v>2.7388366611986168</v>
      </c>
      <c r="U112" s="9">
        <f ca="1">DATOSAÑO!AH111</f>
        <v>8.0999999999985448</v>
      </c>
      <c r="V112" s="11">
        <f ca="1">(U112*DATOSAÑO!$Z$11)/DATOSAÑO!$Y$11</f>
        <v>0.1459511641822685</v>
      </c>
      <c r="W112" s="9">
        <f ca="1">DATOSAÑO!AI111</f>
        <v>40.30000000000291</v>
      </c>
      <c r="X112" s="11">
        <f ca="1">(W112*DATOSAÑO!$Z$11)/DATOSAÑO!$Y$11</f>
        <v>0.72615208846258039</v>
      </c>
      <c r="Y112" s="9">
        <f ca="1">DATOSAÑO!AJ111</f>
        <v>5.6000000000058208</v>
      </c>
      <c r="Z112" s="11">
        <f ca="1">(Y112*DATOSAÑO!$Z$11)/DATOSAÑO!$Y$11</f>
        <v>0.10090450857058024</v>
      </c>
      <c r="AA112" s="9">
        <f ca="1">DATOSAÑO!AK111</f>
        <v>14.200000000011642</v>
      </c>
      <c r="AB112" s="11">
        <f ca="1">(AA112*DATOSAÑO!$Z$11)/DATOSAÑO!$Y$11</f>
        <v>0.25586500387534372</v>
      </c>
      <c r="AC112" s="9">
        <f ca="1">DATOSAÑO!AL111</f>
        <v>34.232999999981757</v>
      </c>
      <c r="AD112" s="11">
        <f ca="1">(AC112*DATOSAÑO!$Z$11)/DATOSAÑO!$Y$11</f>
        <v>0.61683286462343612</v>
      </c>
      <c r="AE112" s="9">
        <f ca="1">DATOSAÑO!AM111</f>
        <v>8.6980000000002935</v>
      </c>
      <c r="AF112" s="11">
        <f ca="1">(AE112*DATOSAÑO!$Z$11)/DATOSAÑO!$Y$11</f>
        <v>0.15672632420464719</v>
      </c>
      <c r="AG112" s="9">
        <f ca="1">DATOSAÑO!AN111</f>
        <v>3.9379999999997191</v>
      </c>
      <c r="AH112" s="11">
        <f ca="1">(AG112*DATOSAÑO!$Z$11)/DATOSAÑO!$Y$11</f>
        <v>7.0957491919732787E-2</v>
      </c>
      <c r="AI112" s="9">
        <f ca="1">DATOSAÑO!BS111</f>
        <v>2.2000000000000002</v>
      </c>
      <c r="AJ112" s="11">
        <f ca="1">(AI112*DATOSAÑO!$Z$11)/DATOSAÑO!$Y$11</f>
        <v>3.9641056938401038E-2</v>
      </c>
      <c r="AK112" s="9">
        <f ca="1">DATOSAÑO!BV111</f>
        <v>0</v>
      </c>
      <c r="AL112" s="11">
        <f ca="1">(AK112*DATOSAÑO!$Z$11)/DATOSAÑO!$Y$11</f>
        <v>0</v>
      </c>
      <c r="AM112" s="9">
        <f ca="1">DATOSAÑO!BY111</f>
        <v>4.7619999999999996</v>
      </c>
      <c r="AN112" s="11">
        <f ca="1">(AM112*DATOSAÑO!$Z$11)/DATOSAÑO!$Y$11</f>
        <v>8.58048696093935E-2</v>
      </c>
      <c r="AO112" s="9">
        <f ca="1">DATOSAÑO!CF111</f>
        <v>11.648999999999418</v>
      </c>
      <c r="AP112" s="11">
        <f ca="1">(AO112*DATOSAÑO!$Z$11)/DATOSAÑO!$Y$11</f>
        <v>0.209899396488823</v>
      </c>
      <c r="AQ112" s="9">
        <f ca="1">DATOSAÑO!CL111</f>
        <v>2.9771999999998879</v>
      </c>
      <c r="AR112" s="1300">
        <f ca="1">(AQ112*DATOSAÑO!$Z$11)/DATOSAÑO!$Y$11</f>
        <v>5.3645161235001418E-2</v>
      </c>
      <c r="AS112" s="1334">
        <f t="shared" si="5"/>
        <v>15</v>
      </c>
    </row>
    <row r="113" spans="1:45" ht="15" thickBot="1">
      <c r="A113" s="1371">
        <v>45028</v>
      </c>
      <c r="B113" s="1021">
        <v>45028</v>
      </c>
      <c r="C113" s="85">
        <f ca="1">DATOSAÑO!I112</f>
        <v>292</v>
      </c>
      <c r="D113" s="86">
        <f ca="1">DATOSAÑO!$D112</f>
        <v>4.9822941545169179</v>
      </c>
      <c r="E113" s="87">
        <f ca="1">DATOSAÑO!$G112</f>
        <v>0</v>
      </c>
      <c r="F113" s="9">
        <f ca="1">DATOSAÑO!P112</f>
        <v>148</v>
      </c>
      <c r="G113" s="10">
        <f ca="1">DATOSAÑO!K112</f>
        <v>3.777857461109174</v>
      </c>
      <c r="H113" s="11">
        <f ca="1">DATOSAÑO!N112</f>
        <v>0</v>
      </c>
      <c r="I113" s="9">
        <f ca="1">DATOSAÑO!Q112</f>
        <v>0</v>
      </c>
      <c r="J113" s="11">
        <f ca="1">DATOSAÑO!R112</f>
        <v>0</v>
      </c>
      <c r="K113" s="9">
        <f ca="1">DATOSAÑO!T112</f>
        <v>0</v>
      </c>
      <c r="L113" s="11">
        <f t="shared" ca="1" si="3"/>
        <v>0</v>
      </c>
      <c r="M113" s="9"/>
      <c r="N113" s="11">
        <f t="shared" si="4"/>
        <v>0</v>
      </c>
      <c r="O113" s="9">
        <f>DATOSAÑO!CT112</f>
        <v>0</v>
      </c>
      <c r="P113" s="9">
        <f>DATOSAÑO!CU112</f>
        <v>0</v>
      </c>
      <c r="Q113" s="9">
        <f ca="1">DATOSAÑO!AD112</f>
        <v>162</v>
      </c>
      <c r="R113" s="11">
        <f ca="1">(Q113*DATOSAÑO!$Z$11)/DATOSAÑO!$Y$11</f>
        <v>2.919023283645894</v>
      </c>
      <c r="S113" s="9">
        <f ca="1">DATOSAÑO!AF112</f>
        <v>150</v>
      </c>
      <c r="T113" s="11">
        <f ca="1">(S113*DATOSAÑO!$Z$11)/DATOSAÑO!$Y$11</f>
        <v>2.7027993367091616</v>
      </c>
      <c r="U113" s="9">
        <f ca="1">DATOSAÑO!AH112</f>
        <v>9.9000000000014552</v>
      </c>
      <c r="V113" s="11">
        <f ca="1">(U113*DATOSAÑO!$Z$11)/DATOSAÑO!$Y$11</f>
        <v>0.17838475622283087</v>
      </c>
      <c r="W113" s="9">
        <f ca="1">DATOSAÑO!AI112</f>
        <v>38.400000000001455</v>
      </c>
      <c r="X113" s="11">
        <f ca="1">(W113*DATOSAÑO!$Z$11)/DATOSAÑO!$Y$11</f>
        <v>0.69191663019757155</v>
      </c>
      <c r="Y113" s="9">
        <f ca="1">DATOSAÑO!AJ112</f>
        <v>5.6999999999970896</v>
      </c>
      <c r="Z113" s="11">
        <f ca="1">(Y113*DATOSAÑO!$Z$11)/DATOSAÑO!$Y$11</f>
        <v>0.10270637479489569</v>
      </c>
      <c r="AA113" s="9">
        <f ca="1">DATOSAÑO!AK112</f>
        <v>14.199999999982538</v>
      </c>
      <c r="AB113" s="11">
        <f ca="1">(AA113*DATOSAÑO!$Z$11)/DATOSAÑO!$Y$11</f>
        <v>0.25586500387481931</v>
      </c>
      <c r="AC113" s="9">
        <f ca="1">DATOSAÑO!AL112</f>
        <v>33.400000000016007</v>
      </c>
      <c r="AD113" s="11">
        <f ca="1">(AC113*DATOSAÑO!$Z$11)/DATOSAÑO!$Y$11</f>
        <v>0.60182331897419505</v>
      </c>
      <c r="AE113" s="9">
        <f ca="1">DATOSAÑO!AM112</f>
        <v>7.67900000000009</v>
      </c>
      <c r="AF113" s="11">
        <f ca="1">(AE113*DATOSAÑO!$Z$11)/DATOSAÑO!$Y$11</f>
        <v>0.13836530737726596</v>
      </c>
      <c r="AG113" s="9">
        <f ca="1">DATOSAÑO!AN112</f>
        <v>3.8790000000006364</v>
      </c>
      <c r="AH113" s="11">
        <f ca="1">(AG113*DATOSAÑO!$Z$11)/DATOSAÑO!$Y$11</f>
        <v>6.9894390847310375E-2</v>
      </c>
      <c r="AI113" s="9">
        <f ca="1">DATOSAÑO!BS112</f>
        <v>2</v>
      </c>
      <c r="AJ113" s="11">
        <f ca="1">(AI113*DATOSAÑO!$Z$11)/DATOSAÑO!$Y$11</f>
        <v>3.6037324489455486E-2</v>
      </c>
      <c r="AK113" s="9">
        <f ca="1">DATOSAÑO!BV112</f>
        <v>0</v>
      </c>
      <c r="AL113" s="11">
        <f ca="1">(AK113*DATOSAÑO!$Z$11)/DATOSAÑO!$Y$11</f>
        <v>0</v>
      </c>
      <c r="AM113" s="9">
        <f ca="1">DATOSAÑO!BY112</f>
        <v>4.7210000000000001</v>
      </c>
      <c r="AN113" s="11">
        <f ca="1">(AM113*DATOSAÑO!$Z$11)/DATOSAÑO!$Y$11</f>
        <v>8.5066104457359681E-2</v>
      </c>
      <c r="AO113" s="9">
        <f ca="1">DATOSAÑO!CF112</f>
        <v>10.539500000000773</v>
      </c>
      <c r="AP113" s="11">
        <f ca="1">(AO113*DATOSAÑO!$Z$11)/DATOSAÑO!$Y$11</f>
        <v>0.18990769072832198</v>
      </c>
      <c r="AQ113" s="9">
        <f ca="1">DATOSAÑO!CL112</f>
        <v>2.9726000000002548</v>
      </c>
      <c r="AR113" s="1300">
        <f ca="1">(AQ113*DATOSAÑO!$Z$11)/DATOSAÑO!$Y$11</f>
        <v>5.356227538868228E-2</v>
      </c>
      <c r="AS113" s="1334">
        <f t="shared" si="5"/>
        <v>15</v>
      </c>
    </row>
    <row r="114" spans="1:45" ht="16.5" customHeight="1" thickBot="1">
      <c r="A114" s="1371">
        <v>45029</v>
      </c>
      <c r="B114" s="1021">
        <v>45029</v>
      </c>
      <c r="C114" s="85">
        <f ca="1">DATOSAÑO!I113</f>
        <v>298</v>
      </c>
      <c r="D114" s="86">
        <f ca="1">DATOSAÑO!$D113</f>
        <v>5.03247901674224</v>
      </c>
      <c r="E114" s="87">
        <f ca="1">DATOSAÑO!$G113</f>
        <v>0</v>
      </c>
      <c r="F114" s="9">
        <f ca="1">DATOSAÑO!P113</f>
        <v>147</v>
      </c>
      <c r="G114" s="10">
        <f ca="1">DATOSAÑO!K113</f>
        <v>3.7694933174049532</v>
      </c>
      <c r="H114" s="11">
        <f ca="1">DATOSAÑO!N113</f>
        <v>0</v>
      </c>
      <c r="I114" s="9">
        <f ca="1">DATOSAÑO!Q113</f>
        <v>0</v>
      </c>
      <c r="J114" s="11">
        <f ca="1">DATOSAÑO!R113</f>
        <v>0</v>
      </c>
      <c r="K114" s="9">
        <f ca="1">DATOSAÑO!T113</f>
        <v>0</v>
      </c>
      <c r="L114" s="11">
        <f t="shared" ca="1" si="3"/>
        <v>0</v>
      </c>
      <c r="M114" s="9"/>
      <c r="N114" s="11">
        <f t="shared" si="4"/>
        <v>0</v>
      </c>
      <c r="O114" s="9">
        <f>DATOSAÑO!CT113</f>
        <v>0</v>
      </c>
      <c r="P114" s="9">
        <f>DATOSAÑO!CU113</f>
        <v>0</v>
      </c>
      <c r="Q114" s="9">
        <f ca="1">DATOSAÑO!AD113</f>
        <v>163</v>
      </c>
      <c r="R114" s="11">
        <f ca="1">(Q114*DATOSAÑO!$Z$11)/DATOSAÑO!$Y$11</f>
        <v>2.9370419458906221</v>
      </c>
      <c r="S114" s="9">
        <f ca="1">DATOSAÑO!AF113</f>
        <v>149</v>
      </c>
      <c r="T114" s="11">
        <f ca="1">(S114*DATOSAÑO!$Z$11)/DATOSAÑO!$Y$11</f>
        <v>2.6847806744644336</v>
      </c>
      <c r="U114" s="9">
        <f ca="1">DATOSAÑO!AH113</f>
        <v>12</v>
      </c>
      <c r="V114" s="11">
        <f ca="1">(U114*DATOSAÑO!$Z$11)/DATOSAÑO!$Y$11</f>
        <v>0.21622394693673291</v>
      </c>
      <c r="W114" s="9">
        <f ca="1">DATOSAÑO!AI113</f>
        <v>38</v>
      </c>
      <c r="X114" s="11">
        <f ca="1">(W114*DATOSAÑO!$Z$11)/DATOSAÑO!$Y$11</f>
        <v>0.6847091652996542</v>
      </c>
      <c r="Y114" s="9">
        <f ca="1">DATOSAÑO!AJ113</f>
        <v>7.3999999999941792</v>
      </c>
      <c r="Z114" s="11">
        <f ca="1">(Y114*DATOSAÑO!$Z$11)/DATOSAÑO!$Y$11</f>
        <v>0.13333810061088042</v>
      </c>
      <c r="AA114" s="9">
        <f ca="1">DATOSAÑO!AK113</f>
        <v>15</v>
      </c>
      <c r="AB114" s="11">
        <f ca="1">(AA114*DATOSAÑO!$Z$11)/DATOSAÑO!$Y$11</f>
        <v>0.27027993367091613</v>
      </c>
      <c r="AC114" s="9">
        <f ca="1">DATOSAÑO!AL113</f>
        <v>32.400000000008788</v>
      </c>
      <c r="AD114" s="11">
        <f ca="1">(AC114*DATOSAÑO!$Z$11)/DATOSAÑO!$Y$11</f>
        <v>0.58380465672933723</v>
      </c>
      <c r="AE114" s="9">
        <f ca="1">DATOSAÑO!AM113</f>
        <v>9.8479999999977235</v>
      </c>
      <c r="AF114" s="11">
        <f ca="1">(AE114*DATOSAÑO!$Z$11)/DATOSAÑO!$Y$11</f>
        <v>0.17744778578603779</v>
      </c>
      <c r="AG114" s="9">
        <f ca="1">DATOSAÑO!AN113</f>
        <v>3.7119999999989997</v>
      </c>
      <c r="AH114" s="11">
        <f ca="1">(AG114*DATOSAÑO!$Z$11)/DATOSAÑO!$Y$11</f>
        <v>6.6885274252411364E-2</v>
      </c>
      <c r="AI114" s="9">
        <f ca="1">DATOSAÑO!BS113</f>
        <v>3</v>
      </c>
      <c r="AJ114" s="11">
        <f ca="1">(AI114*DATOSAÑO!$Z$11)/DATOSAÑO!$Y$11</f>
        <v>5.4055986734183228E-2</v>
      </c>
      <c r="AK114" s="9">
        <f ca="1">DATOSAÑO!BV113</f>
        <v>0</v>
      </c>
      <c r="AL114" s="11">
        <f ca="1">(AK114*DATOSAÑO!$Z$11)/DATOSAÑO!$Y$11</f>
        <v>0</v>
      </c>
      <c r="AM114" s="9">
        <f ca="1">DATOSAÑO!BY113</f>
        <v>4.6520000000000001</v>
      </c>
      <c r="AN114" s="11">
        <f ca="1">(AM114*DATOSAÑO!$Z$11)/DATOSAÑO!$Y$11</f>
        <v>8.3822816762473468E-2</v>
      </c>
      <c r="AO114" s="9">
        <f ca="1">DATOSAÑO!CF113</f>
        <v>10.523999999999226</v>
      </c>
      <c r="AP114" s="11">
        <f ca="1">(AO114*DATOSAÑO!$Z$11)/DATOSAÑO!$Y$11</f>
        <v>0.18962840146350082</v>
      </c>
      <c r="AQ114" s="9">
        <f ca="1">DATOSAÑO!CL113</f>
        <v>2.8727999999996001</v>
      </c>
      <c r="AR114" s="1300">
        <f ca="1">(AQ114*DATOSAÑO!$Z$11)/DATOSAÑO!$Y$11</f>
        <v>5.1764012896646651E-2</v>
      </c>
      <c r="AS114" s="1334">
        <f t="shared" si="5"/>
        <v>15</v>
      </c>
    </row>
    <row r="115" spans="1:45" ht="15" thickBot="1">
      <c r="A115" s="1371">
        <v>45030</v>
      </c>
      <c r="B115" s="1021">
        <v>45030</v>
      </c>
      <c r="C115" s="85">
        <f ca="1">DATOSAÑO!I114</f>
        <v>320</v>
      </c>
      <c r="D115" s="86">
        <f ca="1">DATOSAÑO!$D114</f>
        <v>5.216490178235091</v>
      </c>
      <c r="E115" s="87">
        <f ca="1">DATOSAÑO!$G114</f>
        <v>0</v>
      </c>
      <c r="F115" s="9">
        <f ca="1">DATOSAÑO!P114</f>
        <v>117</v>
      </c>
      <c r="G115" s="10">
        <f ca="1">DATOSAÑO!K114</f>
        <v>3.5185690062783399</v>
      </c>
      <c r="H115" s="11">
        <f ca="1">DATOSAÑO!N114</f>
        <v>0</v>
      </c>
      <c r="I115" s="9">
        <f ca="1">DATOSAÑO!Q114</f>
        <v>0</v>
      </c>
      <c r="J115" s="11">
        <f ca="1">DATOSAÑO!R114</f>
        <v>0</v>
      </c>
      <c r="K115" s="9">
        <f ca="1">DATOSAÑO!T114</f>
        <v>0</v>
      </c>
      <c r="L115" s="11">
        <f t="shared" ca="1" si="3"/>
        <v>0</v>
      </c>
      <c r="M115" s="9"/>
      <c r="N115" s="11">
        <f t="shared" si="4"/>
        <v>0</v>
      </c>
      <c r="O115" s="9">
        <f>DATOSAÑO!CT114</f>
        <v>0</v>
      </c>
      <c r="P115" s="9">
        <f>DATOSAÑO!CU114</f>
        <v>0</v>
      </c>
      <c r="Q115" s="9">
        <f ca="1">DATOSAÑO!AD114</f>
        <v>160</v>
      </c>
      <c r="R115" s="11">
        <f ca="1">(Q115*DATOSAÑO!$Z$11)/DATOSAÑO!$Y$11</f>
        <v>2.8829859591564388</v>
      </c>
      <c r="S115" s="9">
        <f ca="1">DATOSAÑO!AF114</f>
        <v>150</v>
      </c>
      <c r="T115" s="11">
        <f ca="1">(S115*DATOSAÑO!$Z$11)/DATOSAÑO!$Y$11</f>
        <v>2.7027993367091616</v>
      </c>
      <c r="U115" s="9">
        <f ca="1">DATOSAÑO!AH114</f>
        <v>5.8999999999941792</v>
      </c>
      <c r="V115" s="11">
        <f ca="1">(U115*DATOSAÑO!$Z$11)/DATOSAÑO!$Y$11</f>
        <v>0.1063101072437888</v>
      </c>
      <c r="W115" s="9">
        <f ca="1">DATOSAÑO!AI114</f>
        <v>39.69999999999709</v>
      </c>
      <c r="X115" s="11">
        <f ca="1">(W115*DATOSAÑO!$Z$11)/DATOSAÑO!$Y$11</f>
        <v>0.71534089111563892</v>
      </c>
      <c r="Y115" s="9">
        <f ca="1">DATOSAÑO!AJ114</f>
        <v>7.6000000000058208</v>
      </c>
      <c r="Z115" s="11">
        <f ca="1">(Y115*DATOSAÑO!$Z$11)/DATOSAÑO!$Y$11</f>
        <v>0.13694183306003571</v>
      </c>
      <c r="AA115" s="9">
        <f ca="1">DATOSAÑO!AK114</f>
        <v>14.300000000017462</v>
      </c>
      <c r="AB115" s="11">
        <f ca="1">(AA115*DATOSAÑO!$Z$11)/DATOSAÑO!$Y$11</f>
        <v>0.25766687009992134</v>
      </c>
      <c r="AC115" s="9">
        <f ca="1">DATOSAÑO!AL114</f>
        <v>31.199999999982538</v>
      </c>
      <c r="AD115" s="11">
        <f ca="1">(AC115*DATOSAÑO!$Z$11)/DATOSAÑO!$Y$11</f>
        <v>0.56218226203519084</v>
      </c>
      <c r="AE115" s="9">
        <f ca="1">DATOSAÑO!AM114</f>
        <v>10.83100000000208</v>
      </c>
      <c r="AF115" s="11">
        <f ca="1">(AE115*DATOSAÑO!$Z$11)/DATOSAÑO!$Y$11</f>
        <v>0.19516013077268365</v>
      </c>
      <c r="AG115" s="9">
        <f ca="1">DATOSAÑO!AN114</f>
        <v>3.7000000000008186</v>
      </c>
      <c r="AH115" s="11">
        <f ca="1">(AG115*DATOSAÑO!$Z$11)/DATOSAÑO!$Y$11</f>
        <v>6.6669050305507405E-2</v>
      </c>
      <c r="AI115" s="9">
        <f ca="1">DATOSAÑO!BS114</f>
        <v>2.2999999999999998</v>
      </c>
      <c r="AJ115" s="11">
        <f ca="1">(AI115*DATOSAÑO!$Z$11)/DATOSAÑO!$Y$11</f>
        <v>4.1442923162873804E-2</v>
      </c>
      <c r="AK115" s="9">
        <f ca="1">DATOSAÑO!BV114</f>
        <v>0</v>
      </c>
      <c r="AL115" s="11">
        <f ca="1">(AK115*DATOSAÑO!$Z$11)/DATOSAÑO!$Y$11</f>
        <v>0</v>
      </c>
      <c r="AM115" s="9">
        <f ca="1">DATOSAÑO!BY114</f>
        <v>4.569</v>
      </c>
      <c r="AN115" s="11">
        <f ca="1">(AM115*DATOSAÑO!$Z$11)/DATOSAÑO!$Y$11</f>
        <v>8.2327267796161049E-2</v>
      </c>
      <c r="AO115" s="9">
        <f ca="1">DATOSAÑO!CF114</f>
        <v>10.915500000001039</v>
      </c>
      <c r="AP115" s="11">
        <f ca="1">(AO115*DATOSAÑO!$Z$11)/DATOSAÑO!$Y$11</f>
        <v>0.19668270773234439</v>
      </c>
      <c r="AQ115" s="9">
        <f ca="1">DATOSAÑO!CL114</f>
        <v>2.8800000000003276</v>
      </c>
      <c r="AR115" s="1300">
        <f ca="1">(AQ115*DATOSAÑO!$Z$11)/DATOSAÑO!$Y$11</f>
        <v>5.18937472648218E-2</v>
      </c>
      <c r="AS115" s="1334">
        <f t="shared" si="5"/>
        <v>15</v>
      </c>
    </row>
    <row r="116" spans="1:45" ht="16.5" customHeight="1" thickBot="1">
      <c r="A116" s="1371">
        <v>45031</v>
      </c>
      <c r="B116" s="1021">
        <v>45031</v>
      </c>
      <c r="C116" s="85">
        <f ca="1">DATOSAÑO!I115</f>
        <v>364</v>
      </c>
      <c r="D116" s="86">
        <f ca="1">DATOSAÑO!$D115</f>
        <v>5.5845125012207895</v>
      </c>
      <c r="E116" s="87">
        <f ca="1">DATOSAÑO!$G115</f>
        <v>0</v>
      </c>
      <c r="F116" s="9">
        <f ca="1">DATOSAÑO!P115</f>
        <v>86</v>
      </c>
      <c r="G116" s="10">
        <f ca="1">DATOSAÑO!K115</f>
        <v>3.2592805514475058</v>
      </c>
      <c r="H116" s="11">
        <f ca="1">DATOSAÑO!N115</f>
        <v>0</v>
      </c>
      <c r="I116" s="9">
        <f ca="1">DATOSAÑO!Q115</f>
        <v>0</v>
      </c>
      <c r="J116" s="11">
        <f ca="1">DATOSAÑO!R115</f>
        <v>0</v>
      </c>
      <c r="K116" s="9">
        <f ca="1">DATOSAÑO!T115</f>
        <v>0</v>
      </c>
      <c r="L116" s="11">
        <f t="shared" ca="1" si="3"/>
        <v>0</v>
      </c>
      <c r="M116" s="9"/>
      <c r="N116" s="11">
        <f t="shared" si="4"/>
        <v>0</v>
      </c>
      <c r="O116" s="9">
        <f>DATOSAÑO!CT115</f>
        <v>0</v>
      </c>
      <c r="P116" s="9">
        <f>DATOSAÑO!CU115</f>
        <v>0</v>
      </c>
      <c r="Q116" s="9">
        <f ca="1">DATOSAÑO!AD115</f>
        <v>162</v>
      </c>
      <c r="R116" s="11">
        <f ca="1">(Q116*DATOSAÑO!$Z$11)/DATOSAÑO!$Y$11</f>
        <v>2.919023283645894</v>
      </c>
      <c r="S116" s="9">
        <f ca="1">DATOSAÑO!AF115</f>
        <v>150</v>
      </c>
      <c r="T116" s="11">
        <f ca="1">(S116*DATOSAÑO!$Z$11)/DATOSAÑO!$Y$11</f>
        <v>2.7027993367091616</v>
      </c>
      <c r="U116" s="9">
        <f ca="1">DATOSAÑO!AH115</f>
        <v>12.200000000004366</v>
      </c>
      <c r="V116" s="11">
        <f ca="1">(U116*DATOSAÑO!$Z$11)/DATOSAÑO!$Y$11</f>
        <v>0.21982767938575712</v>
      </c>
      <c r="W116" s="9">
        <f ca="1">DATOSAÑO!AI115</f>
        <v>41.099999999998545</v>
      </c>
      <c r="X116" s="11">
        <f ca="1">(W116*DATOSAÑO!$Z$11)/DATOSAÑO!$Y$11</f>
        <v>0.74056701825828397</v>
      </c>
      <c r="Y116" s="9">
        <f ca="1">DATOSAÑO!AJ115</f>
        <v>8</v>
      </c>
      <c r="Z116" s="11">
        <f ca="1">(Y116*DATOSAÑO!$Z$11)/DATOSAÑO!$Y$11</f>
        <v>0.14414929795782194</v>
      </c>
      <c r="AA116" s="9">
        <f ca="1">DATOSAÑO!AK115</f>
        <v>15.199999999982538</v>
      </c>
      <c r="AB116" s="11">
        <f ca="1">(AA116*DATOSAÑO!$Z$11)/DATOSAÑO!$Y$11</f>
        <v>0.27388366611954706</v>
      </c>
      <c r="AC116" s="9">
        <f ca="1">DATOSAÑO!AL115</f>
        <v>33.200000000015223</v>
      </c>
      <c r="AD116" s="11">
        <f ca="1">(AC116*DATOSAÑO!$Z$11)/DATOSAÑO!$Y$11</f>
        <v>0.59821958652523533</v>
      </c>
      <c r="AE116" s="9">
        <f ca="1">DATOSAÑO!AM115</f>
        <v>10.508999999999212</v>
      </c>
      <c r="AF116" s="11">
        <f ca="1">(AE116*DATOSAÑO!$Z$11)/DATOSAÑO!$Y$11</f>
        <v>0.18935812152982964</v>
      </c>
      <c r="AG116" s="9">
        <f ca="1">DATOSAÑO!AN115</f>
        <v>3.88699999999971</v>
      </c>
      <c r="AH116" s="11">
        <f ca="1">(AG116*DATOSAÑO!$Z$11)/DATOSAÑO!$Y$11</f>
        <v>7.0038540145251516E-2</v>
      </c>
      <c r="AI116" s="9">
        <f ca="1">DATOSAÑO!BS115</f>
        <v>2.2000000000000002</v>
      </c>
      <c r="AJ116" s="11">
        <f ca="1">(AI116*DATOSAÑO!$Z$11)/DATOSAÑO!$Y$11</f>
        <v>3.9641056938401038E-2</v>
      </c>
      <c r="AK116" s="9">
        <f ca="1">DATOSAÑO!BV115</f>
        <v>0</v>
      </c>
      <c r="AL116" s="11">
        <f ca="1">(AK116*DATOSAÑO!$Z$11)/DATOSAÑO!$Y$11</f>
        <v>0</v>
      </c>
      <c r="AM116" s="9">
        <f ca="1">DATOSAÑO!BY115</f>
        <v>4.641</v>
      </c>
      <c r="AN116" s="11">
        <f ca="1">(AM116*DATOSAÑO!$Z$11)/DATOSAÑO!$Y$11</f>
        <v>8.3624611477781455E-2</v>
      </c>
      <c r="AO116" s="9">
        <f ca="1">DATOSAÑO!CF115</f>
        <v>10.85449999999997</v>
      </c>
      <c r="AP116" s="11">
        <f ca="1">(AO116*DATOSAÑO!$Z$11)/DATOSAÑO!$Y$11</f>
        <v>0.19558356933539672</v>
      </c>
      <c r="AQ116" s="9">
        <f ca="1">DATOSAÑO!CL115</f>
        <v>3.0177999999998839</v>
      </c>
      <c r="AR116" s="1300">
        <f ca="1">(AQ116*DATOSAÑO!$Z$11)/DATOSAÑO!$Y$11</f>
        <v>5.4376718922137288E-2</v>
      </c>
      <c r="AS116" s="1334">
        <f t="shared" si="5"/>
        <v>15</v>
      </c>
    </row>
    <row r="117" spans="1:45" ht="15" thickBot="1">
      <c r="A117" s="1371">
        <v>45032</v>
      </c>
      <c r="B117" s="1021">
        <v>45032</v>
      </c>
      <c r="C117" s="85">
        <f ca="1">DATOSAÑO!I116</f>
        <v>380</v>
      </c>
      <c r="D117" s="86">
        <f ca="1">DATOSAÑO!$D116</f>
        <v>5.7183388004883167</v>
      </c>
      <c r="E117" s="87">
        <f ca="1">DATOSAÑO!$G116</f>
        <v>0</v>
      </c>
      <c r="F117" s="9">
        <f ca="1">DATOSAÑO!P116</f>
        <v>62.599999999998545</v>
      </c>
      <c r="G117" s="10">
        <f ca="1">DATOSAÑO!K116</f>
        <v>3.0635595887687357</v>
      </c>
      <c r="H117" s="11">
        <f ca="1">DATOSAÑO!N116</f>
        <v>0</v>
      </c>
      <c r="I117" s="9">
        <f ca="1">DATOSAÑO!Q116</f>
        <v>0</v>
      </c>
      <c r="J117" s="11">
        <f ca="1">DATOSAÑO!R116</f>
        <v>0</v>
      </c>
      <c r="K117" s="9">
        <f ca="1">DATOSAÑO!T116</f>
        <v>3.6359999999999673</v>
      </c>
      <c r="L117" s="11">
        <f t="shared" ca="1" si="3"/>
        <v>436.31999999999607</v>
      </c>
      <c r="M117" s="9"/>
      <c r="N117" s="11">
        <f t="shared" si="4"/>
        <v>0</v>
      </c>
      <c r="O117" s="9">
        <f>DATOSAÑO!CT116</f>
        <v>0</v>
      </c>
      <c r="P117" s="9">
        <f>DATOSAÑO!CU116</f>
        <v>1</v>
      </c>
      <c r="Q117" s="9">
        <f ca="1">DATOSAÑO!AD116</f>
        <v>162</v>
      </c>
      <c r="R117" s="11">
        <f ca="1">(Q117*DATOSAÑO!$Z$11)/DATOSAÑO!$Y$11</f>
        <v>2.919023283645894</v>
      </c>
      <c r="S117" s="9">
        <f ca="1">DATOSAÑO!AF116</f>
        <v>150</v>
      </c>
      <c r="T117" s="11">
        <f ca="1">(S117*DATOSAÑO!$Z$11)/DATOSAÑO!$Y$11</f>
        <v>2.7027993367091616</v>
      </c>
      <c r="U117" s="9">
        <f ca="1">DATOSAÑO!AH116</f>
        <v>9.1999999999970896</v>
      </c>
      <c r="V117" s="11">
        <f ca="1">(U117*DATOSAÑO!$Z$11)/DATOSAÑO!$Y$11</f>
        <v>0.16577169265144279</v>
      </c>
      <c r="W117" s="9">
        <f ca="1">DATOSAÑO!AI116</f>
        <v>41.30000000000291</v>
      </c>
      <c r="X117" s="11">
        <f ca="1">(W117*DATOSAÑO!$Z$11)/DATOSAÑO!$Y$11</f>
        <v>0.7441707507073082</v>
      </c>
      <c r="Y117" s="9">
        <f ca="1">DATOSAÑO!AJ116</f>
        <v>7</v>
      </c>
      <c r="Z117" s="11">
        <f ca="1">(Y117*DATOSAÑO!$Z$11)/DATOSAÑO!$Y$11</f>
        <v>0.12613063571309419</v>
      </c>
      <c r="AA117" s="9">
        <f ca="1">DATOSAÑO!AK116</f>
        <v>14.5</v>
      </c>
      <c r="AB117" s="11">
        <f ca="1">(AA117*DATOSAÑO!$Z$11)/DATOSAÑO!$Y$11</f>
        <v>0.26127060254855228</v>
      </c>
      <c r="AC117" s="9">
        <f ca="1">DATOSAÑO!AL116</f>
        <v>36.935999999999183</v>
      </c>
      <c r="AD117" s="11">
        <f ca="1">(AC117*DATOSAÑO!$Z$11)/DATOSAÑO!$Y$11</f>
        <v>0.66553730867124916</v>
      </c>
      <c r="AE117" s="9">
        <f ca="1">DATOSAÑO!AM116</f>
        <v>7.2760000000002609</v>
      </c>
      <c r="AF117" s="11">
        <f ca="1">(AE117*DATOSAÑO!$Z$11)/DATOSAÑO!$Y$11</f>
        <v>0.13110378649264376</v>
      </c>
      <c r="AG117" s="9">
        <f ca="1">DATOSAÑO!AN116</f>
        <v>3.8579999999993633</v>
      </c>
      <c r="AH117" s="11">
        <f ca="1">(AG117*DATOSAÑO!$Z$11)/DATOSAÑO!$Y$11</f>
        <v>6.9515998940148149E-2</v>
      </c>
      <c r="AI117" s="9">
        <f ca="1">DATOSAÑO!BS116</f>
        <v>2.2999999999999998</v>
      </c>
      <c r="AJ117" s="11">
        <f ca="1">(AI117*DATOSAÑO!$Z$11)/DATOSAÑO!$Y$11</f>
        <v>4.1442923162873804E-2</v>
      </c>
      <c r="AK117" s="9">
        <f ca="1">DATOSAÑO!BV116</f>
        <v>0</v>
      </c>
      <c r="AL117" s="11">
        <f ca="1">(AK117*DATOSAÑO!$Z$11)/DATOSAÑO!$Y$11</f>
        <v>0</v>
      </c>
      <c r="AM117" s="9">
        <f ca="1">DATOSAÑO!BY116</f>
        <v>4.6239999999999997</v>
      </c>
      <c r="AN117" s="11">
        <f ca="1">(AM117*DATOSAÑO!$Z$11)/DATOSAÑO!$Y$11</f>
        <v>8.3318294219621072E-2</v>
      </c>
      <c r="AO117" s="9">
        <f ca="1">DATOSAÑO!CF116</f>
        <v>9.5379999999997658</v>
      </c>
      <c r="AP117" s="11">
        <f ca="1">(AO117*DATOSAÑO!$Z$11)/DATOSAÑO!$Y$11</f>
        <v>0.171862000490209</v>
      </c>
      <c r="AQ117" s="9">
        <f ca="1">DATOSAÑO!CL116</f>
        <v>2.8851999999997453</v>
      </c>
      <c r="AR117" s="1300">
        <f ca="1">(AQ117*DATOSAÑO!$Z$11)/DATOSAÑO!$Y$11</f>
        <v>5.1987444308483892E-2</v>
      </c>
      <c r="AS117" s="1334">
        <f t="shared" si="5"/>
        <v>16</v>
      </c>
    </row>
    <row r="118" spans="1:45" ht="16.5" customHeight="1" thickBot="1">
      <c r="A118" s="1371">
        <v>45033</v>
      </c>
      <c r="B118" s="1021">
        <v>45033</v>
      </c>
      <c r="C118" s="85">
        <f ca="1">DATOSAÑO!I117</f>
        <v>427</v>
      </c>
      <c r="D118" s="86">
        <f ca="1">DATOSAÑO!$D117</f>
        <v>6.1114535545866779</v>
      </c>
      <c r="E118" s="87">
        <f ca="1">DATOSAÑO!$G117</f>
        <v>0</v>
      </c>
      <c r="F118" s="9">
        <f ca="1">DATOSAÑO!P117</f>
        <v>0</v>
      </c>
      <c r="G118" s="10">
        <f ca="1">DATOSAÑO!K117</f>
        <v>0</v>
      </c>
      <c r="H118" s="11">
        <f ca="1">DATOSAÑO!N117</f>
        <v>0</v>
      </c>
      <c r="I118" s="9">
        <f ca="1">DATOSAÑO!Q117</f>
        <v>1.7300000000000182</v>
      </c>
      <c r="J118" s="11">
        <f ca="1">DATOSAÑO!R117</f>
        <v>207.60000000000218</v>
      </c>
      <c r="K118" s="9">
        <f ca="1">DATOSAÑO!T117</f>
        <v>7.9139999999999873</v>
      </c>
      <c r="L118" s="11">
        <f t="shared" ca="1" si="3"/>
        <v>949.67999999999847</v>
      </c>
      <c r="M118" s="9"/>
      <c r="N118" s="11">
        <f t="shared" si="4"/>
        <v>0</v>
      </c>
      <c r="O118" s="9">
        <f>DATOSAÑO!CT117</f>
        <v>0.4</v>
      </c>
      <c r="P118" s="9">
        <f>DATOSAÑO!CU117</f>
        <v>1</v>
      </c>
      <c r="Q118" s="9">
        <f ca="1">DATOSAÑO!AD117</f>
        <v>163</v>
      </c>
      <c r="R118" s="11">
        <f ca="1">(Q118*DATOSAÑO!$Z$11)/DATOSAÑO!$Y$11</f>
        <v>2.9370419458906221</v>
      </c>
      <c r="S118" s="9">
        <f ca="1">DATOSAÑO!AF117</f>
        <v>147</v>
      </c>
      <c r="T118" s="11">
        <f ca="1">(S118*DATOSAÑO!$Z$11)/DATOSAÑO!$Y$11</f>
        <v>2.648743349974978</v>
      </c>
      <c r="U118" s="9">
        <f ca="1">DATOSAÑO!AH117</f>
        <v>7.5999999999985448</v>
      </c>
      <c r="V118" s="11">
        <f ca="1">(U118*DATOSAÑO!$Z$11)/DATOSAÑO!$Y$11</f>
        <v>0.13694183305990462</v>
      </c>
      <c r="W118" s="9">
        <f ca="1">DATOSAÑO!AI117</f>
        <v>39.30000000000291</v>
      </c>
      <c r="X118" s="11">
        <f ca="1">(W118*DATOSAÑO!$Z$11)/DATOSAÑO!$Y$11</f>
        <v>0.7081334262178528</v>
      </c>
      <c r="Y118" s="9">
        <f ca="1">DATOSAÑO!AJ117</f>
        <v>7</v>
      </c>
      <c r="Z118" s="11">
        <f ca="1">(Y118*DATOSAÑO!$Z$11)/DATOSAÑO!$Y$11</f>
        <v>0.12613063571309419</v>
      </c>
      <c r="AA118" s="9">
        <f ca="1">DATOSAÑO!AK117</f>
        <v>13.800000000017462</v>
      </c>
      <c r="AB118" s="11">
        <f ca="1">(AA118*DATOSAÑO!$Z$11)/DATOSAÑO!$Y$11</f>
        <v>0.24865753897755752</v>
      </c>
      <c r="AC118" s="9">
        <f ca="1">DATOSAÑO!AL117</f>
        <v>38.543999999979633</v>
      </c>
      <c r="AD118" s="11">
        <f ca="1">(AC118*DATOSAÑO!$Z$11)/DATOSAÑO!$Y$11</f>
        <v>0.69451131756041906</v>
      </c>
      <c r="AE118" s="9">
        <f ca="1">DATOSAÑO!AM117</f>
        <v>3.0390000000022841</v>
      </c>
      <c r="AF118" s="11">
        <f ca="1">(AE118*DATOSAÑO!$Z$11)/DATOSAÑO!$Y$11</f>
        <v>5.4758714561768763E-2</v>
      </c>
      <c r="AG118" s="9">
        <f ca="1">DATOSAÑO!AN117</f>
        <v>3.844000000000273</v>
      </c>
      <c r="AH118" s="11">
        <f ca="1">(AG118*DATOSAÑO!$Z$11)/DATOSAÑO!$Y$11</f>
        <v>6.9263737668738362E-2</v>
      </c>
      <c r="AI118" s="9">
        <f ca="1">DATOSAÑO!BS117</f>
        <v>2.2000000000000002</v>
      </c>
      <c r="AJ118" s="11">
        <f ca="1">(AI118*DATOSAÑO!$Z$11)/DATOSAÑO!$Y$11</f>
        <v>3.9641056938401038E-2</v>
      </c>
      <c r="AK118" s="9">
        <f ca="1">DATOSAÑO!BV117</f>
        <v>0</v>
      </c>
      <c r="AL118" s="11">
        <f ca="1">(AK118*DATOSAÑO!$Z$11)/DATOSAÑO!$Y$11</f>
        <v>0</v>
      </c>
      <c r="AM118" s="9">
        <f ca="1">DATOSAÑO!BY117</f>
        <v>4.7610000000000001</v>
      </c>
      <c r="AN118" s="11">
        <f ca="1">(AM118*DATOSAÑO!$Z$11)/DATOSAÑO!$Y$11</f>
        <v>8.5786850947148788E-2</v>
      </c>
      <c r="AO118" s="9">
        <f ca="1">DATOSAÑO!CF117</f>
        <v>6.7195000000000507</v>
      </c>
      <c r="AP118" s="11">
        <f ca="1">(AO118*DATOSAÑO!$Z$11)/DATOSAÑO!$Y$11</f>
        <v>0.12107640095344897</v>
      </c>
      <c r="AQ118" s="9">
        <f ca="1">DATOSAÑO!CL117</f>
        <v>2.8936000000001094</v>
      </c>
      <c r="AR118" s="1300">
        <f ca="1">(AQ118*DATOSAÑO!$Z$11)/DATOSAÑO!$Y$11</f>
        <v>5.2138801071346164E-2</v>
      </c>
      <c r="AS118" s="1334">
        <f t="shared" si="5"/>
        <v>16</v>
      </c>
    </row>
    <row r="119" spans="1:45" ht="15" thickBot="1">
      <c r="A119" s="1371">
        <v>45034</v>
      </c>
      <c r="B119" s="1021">
        <v>45034</v>
      </c>
      <c r="C119" s="85">
        <f ca="1">DATOSAÑO!I118</f>
        <v>438</v>
      </c>
      <c r="D119" s="86">
        <f ca="1">DATOSAÑO!$D118</f>
        <v>6.2034591353331034</v>
      </c>
      <c r="E119" s="87">
        <f ca="1">DATOSAÑO!$G118</f>
        <v>0</v>
      </c>
      <c r="F119" s="9">
        <f ca="1">DATOSAÑO!P118</f>
        <v>0</v>
      </c>
      <c r="G119" s="10">
        <f ca="1">DATOSAÑO!K118</f>
        <v>0</v>
      </c>
      <c r="H119" s="11">
        <f ca="1">DATOSAÑO!N118</f>
        <v>0</v>
      </c>
      <c r="I119" s="9">
        <f ca="1">DATOSAÑO!Q118</f>
        <v>0</v>
      </c>
      <c r="J119" s="11">
        <f ca="1">DATOSAÑO!R118</f>
        <v>0</v>
      </c>
      <c r="K119" s="9">
        <f ca="1">DATOSAÑO!T118</f>
        <v>10.381999999999948</v>
      </c>
      <c r="L119" s="11">
        <f t="shared" ca="1" si="3"/>
        <v>1245.8399999999938</v>
      </c>
      <c r="M119" s="9"/>
      <c r="N119" s="11">
        <f t="shared" si="4"/>
        <v>0</v>
      </c>
      <c r="O119" s="9">
        <f>DATOSAÑO!CT118</f>
        <v>0</v>
      </c>
      <c r="P119" s="9">
        <f>DATOSAÑO!CU118</f>
        <v>1</v>
      </c>
      <c r="Q119" s="9">
        <f ca="1">DATOSAÑO!AD118</f>
        <v>166</v>
      </c>
      <c r="R119" s="11">
        <f ca="1">(Q119*DATOSAÑO!$Z$11)/DATOSAÑO!$Y$11</f>
        <v>2.9910979326248053</v>
      </c>
      <c r="S119" s="9">
        <f ca="1">DATOSAÑO!AF118</f>
        <v>147</v>
      </c>
      <c r="T119" s="11">
        <f ca="1">(S119*DATOSAÑO!$Z$11)/DATOSAÑO!$Y$11</f>
        <v>2.648743349974978</v>
      </c>
      <c r="U119" s="9">
        <f ca="1">DATOSAÑO!AH118</f>
        <v>15.600000000005821</v>
      </c>
      <c r="V119" s="11">
        <f ca="1">(U119*DATOSAÑO!$Z$11)/DATOSAÑO!$Y$11</f>
        <v>0.28109113101785765</v>
      </c>
      <c r="W119" s="9">
        <f ca="1">DATOSAÑO!AI118</f>
        <v>39.799999999995634</v>
      </c>
      <c r="X119" s="11">
        <f ca="1">(W119*DATOSAÑO!$Z$11)/DATOSAÑO!$Y$11</f>
        <v>0.71714275734008548</v>
      </c>
      <c r="Y119" s="9">
        <f ca="1">DATOSAÑO!AJ118</f>
        <v>5.6000000000058208</v>
      </c>
      <c r="Z119" s="11">
        <f ca="1">(Y119*DATOSAÑO!$Z$11)/DATOSAÑO!$Y$11</f>
        <v>0.10090450857058024</v>
      </c>
      <c r="AA119" s="9">
        <f ca="1">DATOSAÑO!AK118</f>
        <v>14.399999999994179</v>
      </c>
      <c r="AB119" s="11">
        <f ca="1">(AA119*DATOSAÑO!$Z$11)/DATOSAÑO!$Y$11</f>
        <v>0.2594687363239746</v>
      </c>
      <c r="AC119" s="9">
        <f ca="1">DATOSAÑO!AL118</f>
        <v>41.78200000000146</v>
      </c>
      <c r="AD119" s="11">
        <f ca="1">(AC119*DATOSAÑO!$Z$11)/DATOSAÑO!$Y$11</f>
        <v>0.75285574590924087</v>
      </c>
      <c r="AE119" s="9">
        <f ca="1">DATOSAÑO!AM118</f>
        <v>0.56299999999673722</v>
      </c>
      <c r="AF119" s="11">
        <f ca="1">(AE119*DATOSAÑO!$Z$11)/DATOSAÑO!$Y$11</f>
        <v>1.0144506843722928E-2</v>
      </c>
      <c r="AG119" s="9">
        <f ca="1">DATOSAÑO!AN118</f>
        <v>3.7020000000003641</v>
      </c>
      <c r="AH119" s="11">
        <f ca="1">(AG119*DATOSAÑO!$Z$11)/DATOSAÑO!$Y$11</f>
        <v>6.6705087629988669E-2</v>
      </c>
      <c r="AI119" s="9">
        <f ca="1">DATOSAÑO!BS118</f>
        <v>2.2000000000000002</v>
      </c>
      <c r="AJ119" s="11">
        <f ca="1">(AI119*DATOSAÑO!$Z$11)/DATOSAÑO!$Y$11</f>
        <v>3.9641056938401038E-2</v>
      </c>
      <c r="AK119" s="9">
        <f ca="1">DATOSAÑO!BV118</f>
        <v>0</v>
      </c>
      <c r="AL119" s="11">
        <f ca="1">(AK119*DATOSAÑO!$Z$11)/DATOSAÑO!$Y$11</f>
        <v>0</v>
      </c>
      <c r="AM119" s="9">
        <f ca="1">DATOSAÑO!BY118</f>
        <v>4.8369999999999997</v>
      </c>
      <c r="AN119" s="11">
        <f ca="1">(AM119*DATOSAÑO!$Z$11)/DATOSAÑO!$Y$11</f>
        <v>8.7156269277748083E-2</v>
      </c>
      <c r="AO119" s="9">
        <f ca="1">DATOSAÑO!CF118</f>
        <v>5.7814999999983687</v>
      </c>
      <c r="AP119" s="11">
        <f ca="1">(AO119*DATOSAÑO!$Z$11)/DATOSAÑO!$Y$11</f>
        <v>0.10417489576786405</v>
      </c>
      <c r="AQ119" s="9">
        <f ca="1">DATOSAÑO!CL118</f>
        <v>2.8788000000001457</v>
      </c>
      <c r="AR119" s="1300">
        <f ca="1">(AQ119*DATOSAÑO!$Z$11)/DATOSAÑO!$Y$11</f>
        <v>5.1872124870124846E-2</v>
      </c>
      <c r="AS119" s="1334">
        <f t="shared" si="5"/>
        <v>16</v>
      </c>
    </row>
    <row r="120" spans="1:45" ht="16.5" customHeight="1" thickBot="1">
      <c r="A120" s="1371">
        <v>45035</v>
      </c>
      <c r="B120" s="1021">
        <v>45035</v>
      </c>
      <c r="C120" s="85">
        <f ca="1">DATOSAÑO!I119</f>
        <v>326</v>
      </c>
      <c r="D120" s="86">
        <f ca="1">DATOSAÑO!$D119</f>
        <v>5.266675040460413</v>
      </c>
      <c r="E120" s="87">
        <f ca="1">DATOSAÑO!$G119</f>
        <v>0</v>
      </c>
      <c r="F120" s="9">
        <f ca="1">DATOSAÑO!P119</f>
        <v>0</v>
      </c>
      <c r="G120" s="10">
        <f ca="1">DATOSAÑO!K119</f>
        <v>0</v>
      </c>
      <c r="H120" s="11">
        <f ca="1">DATOSAÑO!N119</f>
        <v>0</v>
      </c>
      <c r="I120" s="9">
        <f ca="1">DATOSAÑO!Q119</f>
        <v>0</v>
      </c>
      <c r="J120" s="11">
        <f ca="1">DATOSAÑO!R119</f>
        <v>0</v>
      </c>
      <c r="K120" s="9">
        <f ca="1">DATOSAÑO!T119</f>
        <v>2.94500000000005</v>
      </c>
      <c r="L120" s="11">
        <f t="shared" ca="1" si="3"/>
        <v>353.400000000006</v>
      </c>
      <c r="M120" s="9"/>
      <c r="N120" s="11">
        <f t="shared" si="4"/>
        <v>0</v>
      </c>
      <c r="O120" s="9">
        <f>DATOSAÑO!CT119</f>
        <v>0</v>
      </c>
      <c r="P120" s="9">
        <f>DATOSAÑO!CU119</f>
        <v>0</v>
      </c>
      <c r="Q120" s="9">
        <f ca="1">DATOSAÑO!AD119</f>
        <v>166</v>
      </c>
      <c r="R120" s="11">
        <f ca="1">(Q120*DATOSAÑO!$Z$11)/DATOSAÑO!$Y$11</f>
        <v>2.9910979326248053</v>
      </c>
      <c r="S120" s="9">
        <f ca="1">DATOSAÑO!AF119</f>
        <v>41</v>
      </c>
      <c r="T120" s="11">
        <f ca="1">(S120*DATOSAÑO!$Z$11)/DATOSAÑO!$Y$11</f>
        <v>0.73876515203383741</v>
      </c>
      <c r="U120" s="9">
        <f ca="1">DATOSAÑO!AH119</f>
        <v>7.1999999999970896</v>
      </c>
      <c r="V120" s="11">
        <f ca="1">(U120*DATOSAÑO!$Z$11)/DATOSAÑO!$Y$11</f>
        <v>0.1297343681619873</v>
      </c>
      <c r="W120" s="9">
        <f ca="1">DATOSAÑO!AI119</f>
        <v>40.5</v>
      </c>
      <c r="X120" s="11">
        <f ca="1">(W120*DATOSAÑO!$Z$11)/DATOSAÑO!$Y$11</f>
        <v>0.72975582091147351</v>
      </c>
      <c r="Y120" s="9">
        <f ca="1">DATOSAÑO!AJ119</f>
        <v>6.5999999999912689</v>
      </c>
      <c r="Z120" s="11">
        <f ca="1">(Y120*DATOSAÑO!$Z$11)/DATOSAÑO!$Y$11</f>
        <v>0.11892317081504578</v>
      </c>
      <c r="AA120" s="9">
        <f ca="1">DATOSAÑO!AK119</f>
        <v>10</v>
      </c>
      <c r="AB120" s="11">
        <f ca="1">(AA120*DATOSAÑO!$Z$11)/DATOSAÑO!$Y$11</f>
        <v>0.18018662244727743</v>
      </c>
      <c r="AC120" s="9">
        <f ca="1">DATOSAÑO!AL119</f>
        <v>35.645000000011692</v>
      </c>
      <c r="AD120" s="11">
        <f ca="1">(AC120*DATOSAÑO!$Z$11)/DATOSAÑO!$Y$11</f>
        <v>0.64227521571353097</v>
      </c>
      <c r="AE120" s="9">
        <f ca="1">DATOSAÑO!AM119</f>
        <v>4.6059999999995425</v>
      </c>
      <c r="AF120" s="11">
        <f ca="1">(AE120*DATOSAÑO!$Z$11)/DATOSAÑO!$Y$11</f>
        <v>8.2993958299207735E-2</v>
      </c>
      <c r="AG120" s="9">
        <f ca="1">DATOSAÑO!AN119</f>
        <v>3.5840000000000911</v>
      </c>
      <c r="AH120" s="11">
        <f ca="1">(AG120*DATOSAÑO!$Z$11)/DATOSAÑO!$Y$11</f>
        <v>6.4578885485105875E-2</v>
      </c>
      <c r="AI120" s="9">
        <f ca="1">DATOSAÑO!BS119</f>
        <v>2.2000000000000002</v>
      </c>
      <c r="AJ120" s="11">
        <f ca="1">(AI120*DATOSAÑO!$Z$11)/DATOSAÑO!$Y$11</f>
        <v>3.9641056938401038E-2</v>
      </c>
      <c r="AK120" s="9">
        <f ca="1">DATOSAÑO!BV119</f>
        <v>0</v>
      </c>
      <c r="AL120" s="11">
        <f ca="1">(AK120*DATOSAÑO!$Z$11)/DATOSAÑO!$Y$11</f>
        <v>0</v>
      </c>
      <c r="AM120" s="9">
        <f ca="1">DATOSAÑO!BY119</f>
        <v>4.694</v>
      </c>
      <c r="AN120" s="11">
        <f ca="1">(AM120*DATOSAÑO!$Z$11)/DATOSAÑO!$Y$11</f>
        <v>8.4579600576752026E-2</v>
      </c>
      <c r="AO120" s="9">
        <f ca="1">DATOSAÑO!CF119</f>
        <v>7.9030000000001355</v>
      </c>
      <c r="AP120" s="11">
        <f ca="1">(AO120*DATOSAÑO!$Z$11)/DATOSAÑO!$Y$11</f>
        <v>0.14240148772008579</v>
      </c>
      <c r="AQ120" s="9">
        <f ca="1">DATOSAÑO!CL119</f>
        <v>2.7496000000000365</v>
      </c>
      <c r="AR120" s="1300">
        <f ca="1">(AQ120*DATOSAÑO!$Z$11)/DATOSAÑO!$Y$11</f>
        <v>4.9544113708104055E-2</v>
      </c>
      <c r="AS120" s="1334">
        <f t="shared" si="5"/>
        <v>16</v>
      </c>
    </row>
    <row r="121" spans="1:45" ht="15" thickBot="1">
      <c r="A121" s="1371">
        <v>45036</v>
      </c>
      <c r="B121" s="1021">
        <v>45036</v>
      </c>
      <c r="C121" s="85">
        <f ca="1">DATOSAÑO!I120</f>
        <v>265</v>
      </c>
      <c r="D121" s="86">
        <f ca="1">DATOSAÑO!$D120</f>
        <v>4.7564622745029652</v>
      </c>
      <c r="E121" s="87">
        <f ca="1">DATOSAÑO!$G120</f>
        <v>0</v>
      </c>
      <c r="F121" s="9">
        <f ca="1">DATOSAÑO!P120</f>
        <v>100.20000000000437</v>
      </c>
      <c r="G121" s="10">
        <f ca="1">DATOSAÑO!K120</f>
        <v>3.3780513920474728</v>
      </c>
      <c r="H121" s="11">
        <f ca="1">DATOSAÑO!N120</f>
        <v>0</v>
      </c>
      <c r="I121" s="9">
        <f ca="1">DATOSAÑO!Q120</f>
        <v>0</v>
      </c>
      <c r="J121" s="11">
        <f ca="1">DATOSAÑO!R120</f>
        <v>0</v>
      </c>
      <c r="K121" s="9">
        <f ca="1">DATOSAÑO!T120</f>
        <v>0</v>
      </c>
      <c r="L121" s="11">
        <f t="shared" ca="1" si="3"/>
        <v>0</v>
      </c>
      <c r="M121" s="9"/>
      <c r="N121" s="11">
        <f t="shared" si="4"/>
        <v>0</v>
      </c>
      <c r="O121" s="9">
        <f>DATOSAÑO!CT120</f>
        <v>0</v>
      </c>
      <c r="P121" s="9">
        <f>DATOSAÑO!CU120</f>
        <v>0</v>
      </c>
      <c r="Q121" s="9">
        <f ca="1">DATOSAÑO!AD120</f>
        <v>163.46900000004098</v>
      </c>
      <c r="R121" s="11">
        <f ca="1">(Q121*DATOSAÑO!$Z$11)/DATOSAÑO!$Y$11</f>
        <v>2.9454926984841374</v>
      </c>
      <c r="S121" s="9">
        <f ca="1">DATOSAÑO!AF120</f>
        <v>78</v>
      </c>
      <c r="T121" s="11">
        <f ca="1">(S121*DATOSAÑO!$Z$11)/DATOSAÑO!$Y$11</f>
        <v>1.4054556550887638</v>
      </c>
      <c r="U121" s="9">
        <f ca="1">DATOSAÑO!AH120</f>
        <v>7.1999999999970896</v>
      </c>
      <c r="V121" s="11">
        <f ca="1">(U121*DATOSAÑO!$Z$11)/DATOSAÑO!$Y$11</f>
        <v>0.1297343681619873</v>
      </c>
      <c r="W121" s="9">
        <f ca="1">DATOSAÑO!AI120</f>
        <v>39.400000000001455</v>
      </c>
      <c r="X121" s="11">
        <f ca="1">(W121*DATOSAÑO!$Z$11)/DATOSAÑO!$Y$11</f>
        <v>0.70993529244229925</v>
      </c>
      <c r="Y121" s="9">
        <f ca="1">DATOSAÑO!AJ120</f>
        <v>6.6000000000058208</v>
      </c>
      <c r="Z121" s="11">
        <f ca="1">(Y121*DATOSAÑO!$Z$11)/DATOSAÑO!$Y$11</f>
        <v>0.11892317081530798</v>
      </c>
      <c r="AA121" s="9">
        <f ca="1">DATOSAÑO!AK120</f>
        <v>10</v>
      </c>
      <c r="AB121" s="11">
        <f ca="1">(AA121*DATOSAÑO!$Z$11)/DATOSAÑO!$Y$11</f>
        <v>0.18018662244727743</v>
      </c>
      <c r="AC121" s="9">
        <f ca="1">DATOSAÑO!AL120</f>
        <v>32.330999999958294</v>
      </c>
      <c r="AD121" s="11">
        <f ca="1">(AC121*DATOSAÑO!$Z$11)/DATOSAÑO!$Y$11</f>
        <v>0.58256136903354117</v>
      </c>
      <c r="AE121" s="9">
        <f ca="1">DATOSAÑO!AM120</f>
        <v>12.005000000001733</v>
      </c>
      <c r="AF121" s="11">
        <f ca="1">(AE121*DATOSAÑO!$Z$11)/DATOSAÑO!$Y$11</f>
        <v>0.21631404024798778</v>
      </c>
      <c r="AG121" s="9">
        <f ca="1">DATOSAÑO!AN120</f>
        <v>2.7989999999993636</v>
      </c>
      <c r="AH121" s="11">
        <f ca="1">(AG121*DATOSAÑO!$Z$11)/DATOSAÑO!$Y$11</f>
        <v>5.0434235622981487E-2</v>
      </c>
      <c r="AI121" s="9">
        <f ca="1">DATOSAÑO!BS120</f>
        <v>2.16</v>
      </c>
      <c r="AJ121" s="11">
        <f ca="1">(AI121*DATOSAÑO!$Z$11)/DATOSAÑO!$Y$11</f>
        <v>3.8920310448611925E-2</v>
      </c>
      <c r="AK121" s="9">
        <f ca="1">DATOSAÑO!BV120</f>
        <v>0</v>
      </c>
      <c r="AL121" s="11">
        <f ca="1">(AK121*DATOSAÑO!$Z$11)/DATOSAÑO!$Y$11</f>
        <v>0</v>
      </c>
      <c r="AM121" s="9">
        <f ca="1">DATOSAÑO!BY120</f>
        <v>4.4349999999999996</v>
      </c>
      <c r="AN121" s="11">
        <f ca="1">(AM121*DATOSAÑO!$Z$11)/DATOSAÑO!$Y$11</f>
        <v>7.9912767055367526E-2</v>
      </c>
      <c r="AO121" s="9">
        <f ca="1">DATOSAÑO!CF120</f>
        <v>11.402500000000503</v>
      </c>
      <c r="AP121" s="11">
        <f ca="1">(AO121*DATOSAÑO!$Z$11)/DATOSAÑO!$Y$11</f>
        <v>0.20545779624551713</v>
      </c>
      <c r="AQ121" s="9">
        <f ca="1">DATOSAÑO!CL120</f>
        <v>2.5205999999997455</v>
      </c>
      <c r="AR121" s="1300">
        <f ca="1">(AQ121*DATOSAÑO!$Z$11)/DATOSAÑO!$Y$11</f>
        <v>4.5417840054056163E-2</v>
      </c>
      <c r="AS121" s="1334">
        <f t="shared" si="5"/>
        <v>16</v>
      </c>
    </row>
    <row r="122" spans="1:45" ht="16.5" customHeight="1" thickBot="1">
      <c r="A122" s="1371">
        <v>45037</v>
      </c>
      <c r="B122" s="1021">
        <v>45037</v>
      </c>
      <c r="C122" s="85">
        <f ca="1">DATOSAÑO!I121</f>
        <v>216</v>
      </c>
      <c r="D122" s="86">
        <f ca="1">DATOSAÑO!$D121</f>
        <v>4.3466192329961642</v>
      </c>
      <c r="E122" s="87">
        <f ca="1">DATOSAÑO!$G121</f>
        <v>0</v>
      </c>
      <c r="F122" s="9">
        <f ca="1">DATOSAÑO!P121</f>
        <v>113.79999999999563</v>
      </c>
      <c r="G122" s="10">
        <f ca="1">DATOSAÑO!K121</f>
        <v>3.491803746424798</v>
      </c>
      <c r="H122" s="11">
        <f ca="1">DATOSAÑO!N121</f>
        <v>0</v>
      </c>
      <c r="I122" s="9">
        <f ca="1">DATOSAÑO!Q121</f>
        <v>2.3489999999999327</v>
      </c>
      <c r="J122" s="11">
        <f ca="1">DATOSAÑO!R121</f>
        <v>281.87999999999192</v>
      </c>
      <c r="K122" s="9">
        <f ca="1">DATOSAÑO!T121</f>
        <v>0.24500000000000455</v>
      </c>
      <c r="L122" s="11">
        <f t="shared" ca="1" si="3"/>
        <v>29.400000000000546</v>
      </c>
      <c r="M122" s="9"/>
      <c r="N122" s="11">
        <f t="shared" si="4"/>
        <v>0</v>
      </c>
      <c r="O122" s="9">
        <f>DATOSAÑO!CT121</f>
        <v>2.2999999999999998</v>
      </c>
      <c r="P122" s="9">
        <f>DATOSAÑO!CU121</f>
        <v>0.2</v>
      </c>
      <c r="Q122" s="9">
        <f ca="1">DATOSAÑO!AD121</f>
        <v>125.53099999995902</v>
      </c>
      <c r="R122" s="11">
        <f ca="1">(Q122*DATOSAÑO!$Z$11)/DATOSAÑO!$Y$11</f>
        <v>2.2619006902421797</v>
      </c>
      <c r="S122" s="9">
        <f ca="1">DATOSAÑO!AF121</f>
        <v>84</v>
      </c>
      <c r="T122" s="11">
        <f ca="1">(S122*DATOSAÑO!$Z$11)/DATOSAÑO!$Y$11</f>
        <v>1.5135676285571305</v>
      </c>
      <c r="U122" s="9">
        <f ca="1">DATOSAÑO!AH121</f>
        <v>14.30000000000291</v>
      </c>
      <c r="V122" s="11">
        <f ca="1">(U122*DATOSAÑO!$Z$11)/DATOSAÑO!$Y$11</f>
        <v>0.25766687009965916</v>
      </c>
      <c r="W122" s="9">
        <f ca="1">DATOSAÑO!AI121</f>
        <v>37.900000000001455</v>
      </c>
      <c r="X122" s="11">
        <f ca="1">(W122*DATOSAÑO!$Z$11)/DATOSAÑO!$Y$11</f>
        <v>0.68290729907520764</v>
      </c>
      <c r="Y122" s="9">
        <f ca="1">DATOSAÑO!AJ121</f>
        <v>6.3000000000029104</v>
      </c>
      <c r="Z122" s="11">
        <f ca="1">(Y122*DATOSAÑO!$Z$11)/DATOSAÑO!$Y$11</f>
        <v>0.11351757214183721</v>
      </c>
      <c r="AA122" s="9">
        <f ca="1">DATOSAÑO!AK121</f>
        <v>12</v>
      </c>
      <c r="AB122" s="11">
        <f ca="1">(AA122*DATOSAÑO!$Z$11)/DATOSAÑO!$Y$11</f>
        <v>0.21622394693673291</v>
      </c>
      <c r="AC122" s="9">
        <f ca="1">DATOSAÑO!AL121</f>
        <v>33.263000000027091</v>
      </c>
      <c r="AD122" s="11">
        <f ca="1">(AC122*DATOSAÑO!$Z$11)/DATOSAÑO!$Y$11</f>
        <v>0.59935476224686701</v>
      </c>
      <c r="AE122" s="9">
        <f ca="1">DATOSAÑO!AM121</f>
        <v>8.8635000000006396</v>
      </c>
      <c r="AF122" s="11">
        <f ca="1">(AE122*DATOSAÑO!$Z$11)/DATOSAÑO!$Y$11</f>
        <v>0.15970841280615586</v>
      </c>
      <c r="AG122" s="9">
        <f ca="1">DATOSAÑO!AN121</f>
        <v>0.52400000000081848</v>
      </c>
      <c r="AH122" s="11">
        <f ca="1">(AG122*DATOSAÑO!$Z$11)/DATOSAÑO!$Y$11</f>
        <v>9.4417790162520856E-3</v>
      </c>
      <c r="AI122" s="9">
        <f ca="1">DATOSAÑO!BS121</f>
        <v>1.8414999999999999</v>
      </c>
      <c r="AJ122" s="11">
        <f ca="1">(AI122*DATOSAÑO!$Z$11)/DATOSAÑO!$Y$11</f>
        <v>3.3181366523666135E-2</v>
      </c>
      <c r="AK122" s="9">
        <f ca="1">DATOSAÑO!BV121</f>
        <v>0</v>
      </c>
      <c r="AL122" s="11">
        <f ca="1">(AK122*DATOSAÑO!$Z$11)/DATOSAÑO!$Y$11</f>
        <v>0</v>
      </c>
      <c r="AM122" s="9">
        <f ca="1">DATOSAÑO!BY121</f>
        <v>2.5950000000000002</v>
      </c>
      <c r="AN122" s="11">
        <f ca="1">(AM122*DATOSAÑO!$Z$11)/DATOSAÑO!$Y$11</f>
        <v>4.6758428525068493E-2</v>
      </c>
      <c r="AO122" s="9">
        <f ca="1">DATOSAÑO!CF121</f>
        <v>8.6317500000010483</v>
      </c>
      <c r="AP122" s="11">
        <f ca="1">(AO122*DATOSAÑO!$Z$11)/DATOSAÑO!$Y$11</f>
        <v>0.15553258783094759</v>
      </c>
      <c r="AQ122" s="9">
        <f ca="1">DATOSAÑO!CL121</f>
        <v>1.2856000000003274</v>
      </c>
      <c r="AR122" s="1300">
        <f ca="1">(AQ122*DATOSAÑO!$Z$11)/DATOSAÑO!$Y$11</f>
        <v>2.3164792181827886E-2</v>
      </c>
      <c r="AS122" s="1334">
        <f t="shared" si="5"/>
        <v>16</v>
      </c>
    </row>
    <row r="123" spans="1:45" ht="15" thickBot="1">
      <c r="A123" s="1371">
        <v>45038</v>
      </c>
      <c r="B123" s="1021">
        <v>45038</v>
      </c>
      <c r="C123" s="85">
        <f ca="1">DATOSAÑO!I122</f>
        <v>288</v>
      </c>
      <c r="D123" s="86">
        <f ca="1">DATOSAÑO!$D122</f>
        <v>4.9488375797000357</v>
      </c>
      <c r="E123" s="87">
        <f ca="1">DATOSAÑO!$G122</f>
        <v>0</v>
      </c>
      <c r="F123" s="9">
        <f ca="1">DATOSAÑO!P122</f>
        <v>153</v>
      </c>
      <c r="G123" s="10">
        <f ca="1">DATOSAÑO!K122</f>
        <v>3.8196781796302757</v>
      </c>
      <c r="H123" s="11">
        <f ca="1">DATOSAÑO!N122</f>
        <v>0</v>
      </c>
      <c r="I123" s="9">
        <f ca="1">DATOSAÑO!Q122</f>
        <v>0</v>
      </c>
      <c r="J123" s="11">
        <f ca="1">DATOSAÑO!R122</f>
        <v>0</v>
      </c>
      <c r="K123" s="9">
        <f ca="1">DATOSAÑO!T122</f>
        <v>0</v>
      </c>
      <c r="L123" s="11">
        <f t="shared" ca="1" si="3"/>
        <v>0</v>
      </c>
      <c r="M123" s="9"/>
      <c r="N123" s="11">
        <f t="shared" si="4"/>
        <v>0</v>
      </c>
      <c r="O123" s="9">
        <f>DATOSAÑO!CT122</f>
        <v>0</v>
      </c>
      <c r="P123" s="9">
        <f>DATOSAÑO!CU122</f>
        <v>0</v>
      </c>
      <c r="Q123" s="9">
        <f ca="1">DATOSAÑO!AD122</f>
        <v>165.80000000004657</v>
      </c>
      <c r="R123" s="11">
        <f ca="1">(Q123*DATOSAÑO!$Z$11)/DATOSAÑO!$Y$11</f>
        <v>2.9874942001766986</v>
      </c>
      <c r="S123" s="9">
        <f ca="1">DATOSAÑO!AF122</f>
        <v>149</v>
      </c>
      <c r="T123" s="11">
        <f ca="1">(S123*DATOSAÑO!$Z$11)/DATOSAÑO!$Y$11</f>
        <v>2.6847806744644336</v>
      </c>
      <c r="U123" s="9">
        <f ca="1">DATOSAÑO!AH122</f>
        <v>10</v>
      </c>
      <c r="V123" s="11">
        <f ca="1">(U123*DATOSAÑO!$Z$11)/DATOSAÑO!$Y$11</f>
        <v>0.18018662244727743</v>
      </c>
      <c r="W123" s="9">
        <f ca="1">DATOSAÑO!AI122</f>
        <v>35.599999999998545</v>
      </c>
      <c r="X123" s="11">
        <f ca="1">(W123*DATOSAÑO!$Z$11)/DATOSAÑO!$Y$11</f>
        <v>0.64146437591228145</v>
      </c>
      <c r="Y123" s="9">
        <f ca="1">DATOSAÑO!AJ122</f>
        <v>6.2999999999883585</v>
      </c>
      <c r="Z123" s="11">
        <f ca="1">(Y123*DATOSAÑO!$Z$11)/DATOSAÑO!$Y$11</f>
        <v>0.11351757214157501</v>
      </c>
      <c r="AA123" s="9">
        <f ca="1">DATOSAÑO!AK122</f>
        <v>13</v>
      </c>
      <c r="AB123" s="11">
        <f ca="1">(AA123*DATOSAÑO!$Z$11)/DATOSAÑO!$Y$11</f>
        <v>0.23424260918146064</v>
      </c>
      <c r="AC123" s="9">
        <f ca="1">DATOSAÑO!AL122</f>
        <v>32.399999999943191</v>
      </c>
      <c r="AD123" s="11">
        <f ca="1">(AC123*DATOSAÑO!$Z$11)/DATOSAÑO!$Y$11</f>
        <v>0.58380465672815529</v>
      </c>
      <c r="AE123" s="9">
        <f ca="1">DATOSAÑO!AM122</f>
        <v>9.4140000000234778</v>
      </c>
      <c r="AF123" s="11">
        <f ca="1">(AE123*DATOSAÑO!$Z$11)/DATOSAÑO!$Y$11</f>
        <v>0.16962768637229</v>
      </c>
      <c r="AG123" s="9">
        <f ca="1">DATOSAÑO!AN122</f>
        <v>2.8039999999998182</v>
      </c>
      <c r="AH123" s="11">
        <f ca="1">(AG123*DATOSAÑO!$Z$11)/DATOSAÑO!$Y$11</f>
        <v>5.0524328934213311E-2</v>
      </c>
      <c r="AI123" s="9">
        <f ca="1">DATOSAÑO!BS122</f>
        <v>3.3839999999999999</v>
      </c>
      <c r="AJ123" s="11">
        <f ca="1">(AI123*DATOSAÑO!$Z$11)/DATOSAÑO!$Y$11</f>
        <v>6.0975153036158677E-2</v>
      </c>
      <c r="AK123" s="9">
        <f ca="1">DATOSAÑO!BV122</f>
        <v>0</v>
      </c>
      <c r="AL123" s="11">
        <f ca="1">(AK123*DATOSAÑO!$Z$11)/DATOSAÑO!$Y$11</f>
        <v>0</v>
      </c>
      <c r="AM123" s="9">
        <f ca="1">DATOSAÑO!BY122</f>
        <v>4.9020000000000001</v>
      </c>
      <c r="AN123" s="11">
        <f ca="1">(AM123*DATOSAÑO!$Z$11)/DATOSAÑO!$Y$11</f>
        <v>8.8327482323655393E-2</v>
      </c>
      <c r="AO123" s="9">
        <f ca="1">DATOSAÑO!CF122</f>
        <v>11.707000000011739</v>
      </c>
      <c r="AP123" s="11">
        <f ca="1">(AO123*DATOSAÑO!$Z$11)/DATOSAÑO!$Y$11</f>
        <v>0.21094447889923917</v>
      </c>
      <c r="AQ123" s="9">
        <f ca="1">DATOSAÑO!CL122</f>
        <v>2.517599999999927</v>
      </c>
      <c r="AR123" s="1300">
        <f ca="1">(AQ123*DATOSAÑO!$Z$11)/DATOSAÑO!$Y$11</f>
        <v>4.5363784067325254E-2</v>
      </c>
      <c r="AS123" s="1334">
        <f t="shared" si="5"/>
        <v>16</v>
      </c>
    </row>
    <row r="124" spans="1:45" ht="16.5" customHeight="1" thickBot="1">
      <c r="A124" s="1371">
        <v>45039</v>
      </c>
      <c r="B124" s="1021">
        <v>45039</v>
      </c>
      <c r="C124" s="85">
        <f ca="1">DATOSAÑO!I123</f>
        <v>295</v>
      </c>
      <c r="D124" s="86">
        <f ca="1">DATOSAÑO!$D123</f>
        <v>5.0073865856295789</v>
      </c>
      <c r="E124" s="87">
        <f ca="1">DATOSAÑO!$G123</f>
        <v>0</v>
      </c>
      <c r="F124" s="9">
        <f ca="1">DATOSAÑO!P123</f>
        <v>155.40000000000146</v>
      </c>
      <c r="G124" s="10">
        <f ca="1">DATOSAÑO!K123</f>
        <v>3.8397521245204169</v>
      </c>
      <c r="H124" s="11">
        <f ca="1">DATOSAÑO!N123</f>
        <v>0</v>
      </c>
      <c r="I124" s="9">
        <f ca="1">DATOSAÑO!Q123</f>
        <v>0</v>
      </c>
      <c r="J124" s="11">
        <f ca="1">DATOSAÑO!R123</f>
        <v>0</v>
      </c>
      <c r="K124" s="9">
        <f ca="1">DATOSAÑO!T123</f>
        <v>0</v>
      </c>
      <c r="L124" s="11">
        <f t="shared" ca="1" si="3"/>
        <v>0</v>
      </c>
      <c r="M124" s="9"/>
      <c r="N124" s="11">
        <f t="shared" si="4"/>
        <v>0</v>
      </c>
      <c r="O124" s="9">
        <f>DATOSAÑO!CT123</f>
        <v>0</v>
      </c>
      <c r="P124" s="9">
        <f>DATOSAÑO!CU123</f>
        <v>0</v>
      </c>
      <c r="Q124" s="9">
        <f ca="1">DATOSAÑO!AD123</f>
        <v>170.19999999995343</v>
      </c>
      <c r="R124" s="11">
        <f ca="1">(Q124*DATOSAÑO!$Z$11)/DATOSAÑO!$Y$11</f>
        <v>3.0667763140518223</v>
      </c>
      <c r="S124" s="9">
        <f ca="1">DATOSAÑO!AF123</f>
        <v>156.5</v>
      </c>
      <c r="T124" s="11">
        <f ca="1">(S124*DATOSAÑO!$Z$11)/DATOSAÑO!$Y$11</f>
        <v>2.8199206412998916</v>
      </c>
      <c r="U124" s="9">
        <f ca="1">DATOSAÑO!AH123</f>
        <v>6.6999999999970896</v>
      </c>
      <c r="V124" s="11">
        <f ca="1">(U124*DATOSAÑO!$Z$11)/DATOSAÑO!$Y$11</f>
        <v>0.12072503703962342</v>
      </c>
      <c r="W124" s="9">
        <f ca="1">DATOSAÑO!AI123</f>
        <v>35.400000000001455</v>
      </c>
      <c r="X124" s="11">
        <f ca="1">(W124*DATOSAÑO!$Z$11)/DATOSAÑO!$Y$11</f>
        <v>0.63786064346338833</v>
      </c>
      <c r="Y124" s="9">
        <f ca="1">DATOSAÑO!AJ123</f>
        <v>6.2000000000116415</v>
      </c>
      <c r="Z124" s="11">
        <f ca="1">(Y124*DATOSAÑO!$Z$11)/DATOSAÑO!$Y$11</f>
        <v>0.11171570591752177</v>
      </c>
      <c r="AA124" s="9">
        <f ca="1">DATOSAÑO!AK123</f>
        <v>13</v>
      </c>
      <c r="AB124" s="11">
        <f ca="1">(AA124*DATOSAÑO!$Z$11)/DATOSAÑO!$Y$11</f>
        <v>0.23424260918146064</v>
      </c>
      <c r="AC124" s="9">
        <f ca="1">DATOSAÑO!AL123</f>
        <v>33.900000000063301</v>
      </c>
      <c r="AD124" s="11">
        <f ca="1">(AC124*DATOSAÑO!$Z$11)/DATOSAÑO!$Y$11</f>
        <v>0.61083265009741106</v>
      </c>
      <c r="AE124" s="9">
        <f ca="1">DATOSAÑO!AM123</f>
        <v>9.6929999999750667</v>
      </c>
      <c r="AF124" s="11">
        <f ca="1">(AE124*DATOSAÑO!$Z$11)/DATOSAÑO!$Y$11</f>
        <v>0.17465489313769675</v>
      </c>
      <c r="AG124" s="9">
        <f ca="1">DATOSAÑO!AN123</f>
        <v>2.3940000000001822</v>
      </c>
      <c r="AH124" s="11">
        <f ca="1">(AG124*DATOSAÑO!$Z$11)/DATOSAÑO!$Y$11</f>
        <v>4.3136677413881497E-2</v>
      </c>
      <c r="AI124" s="9">
        <f ca="1">DATOSAÑO!BS123</f>
        <v>3.2879999999999998</v>
      </c>
      <c r="AJ124" s="11">
        <f ca="1">(AI124*DATOSAÑO!$Z$11)/DATOSAÑO!$Y$11</f>
        <v>5.9245361460664815E-2</v>
      </c>
      <c r="AK124" s="9">
        <f ca="1">DATOSAÑO!BV123</f>
        <v>0</v>
      </c>
      <c r="AL124" s="11">
        <f ca="1">(AK124*DATOSAÑO!$Z$11)/DATOSAÑO!$Y$11</f>
        <v>0</v>
      </c>
      <c r="AM124" s="9">
        <f ca="1">DATOSAÑO!BY123</f>
        <v>4.9189999999999996</v>
      </c>
      <c r="AN124" s="11">
        <f ca="1">(AM124*DATOSAÑO!$Z$11)/DATOSAÑO!$Y$11</f>
        <v>8.8633799581815748E-2</v>
      </c>
      <c r="AO124" s="9">
        <f ca="1">DATOSAÑO!CF123</f>
        <v>11.646499999986805</v>
      </c>
      <c r="AP124" s="11">
        <f ca="1">(AO124*DATOSAÑO!$Z$11)/DATOSAÑO!$Y$11</f>
        <v>0.2098543498329839</v>
      </c>
      <c r="AQ124" s="9">
        <f ca="1">DATOSAÑO!CL123</f>
        <v>2.3636000000000728</v>
      </c>
      <c r="AR124" s="1300">
        <f ca="1">(AQ124*DATOSAÑO!$Z$11)/DATOSAÑO!$Y$11</f>
        <v>4.2588910081639807E-2</v>
      </c>
      <c r="AS124" s="1334">
        <f t="shared" si="5"/>
        <v>17</v>
      </c>
    </row>
    <row r="125" spans="1:45" ht="15" thickBot="1">
      <c r="A125" s="1371">
        <v>45040</v>
      </c>
      <c r="B125" s="1021">
        <v>45040</v>
      </c>
      <c r="C125" s="85">
        <f ca="1">DATOSAÑO!I124</f>
        <v>302</v>
      </c>
      <c r="D125" s="86">
        <f ca="1">DATOSAÑO!$D124</f>
        <v>5.0659355915591222</v>
      </c>
      <c r="E125" s="87">
        <f ca="1">DATOSAÑO!$G124</f>
        <v>0</v>
      </c>
      <c r="F125" s="9">
        <f ca="1">DATOSAÑO!P124</f>
        <v>153</v>
      </c>
      <c r="G125" s="10">
        <f ca="1">DATOSAÑO!K124</f>
        <v>3.8196781796302757</v>
      </c>
      <c r="H125" s="11">
        <f ca="1">DATOSAÑO!N124</f>
        <v>0</v>
      </c>
      <c r="I125" s="9">
        <f ca="1">DATOSAÑO!Q124</f>
        <v>0</v>
      </c>
      <c r="J125" s="11">
        <f ca="1">DATOSAÑO!R124</f>
        <v>0</v>
      </c>
      <c r="K125" s="9">
        <f ca="1">DATOSAÑO!T124</f>
        <v>0</v>
      </c>
      <c r="L125" s="11">
        <f t="shared" ca="1" si="3"/>
        <v>0</v>
      </c>
      <c r="M125" s="9"/>
      <c r="N125" s="11">
        <f t="shared" si="4"/>
        <v>0</v>
      </c>
      <c r="O125" s="9">
        <f>DATOSAÑO!CT124</f>
        <v>0</v>
      </c>
      <c r="P125" s="9">
        <f>DATOSAÑO!CU124</f>
        <v>0</v>
      </c>
      <c r="Q125" s="9">
        <f ca="1">DATOSAÑO!AD124</f>
        <v>163.09999999997672</v>
      </c>
      <c r="R125" s="11">
        <f ca="1">(Q125*DATOSAÑO!$Z$11)/DATOSAÑO!$Y$11</f>
        <v>2.9388438121146754</v>
      </c>
      <c r="S125" s="9">
        <f ca="1">DATOSAÑO!AF124</f>
        <v>154.5</v>
      </c>
      <c r="T125" s="11">
        <f ca="1">(S125*DATOSAÑO!$Z$11)/DATOSAÑO!$Y$11</f>
        <v>2.783883316810436</v>
      </c>
      <c r="U125" s="9">
        <f ca="1">DATOSAÑO!AH124</f>
        <v>18.80000000000291</v>
      </c>
      <c r="V125" s="11">
        <f ca="1">(U125*DATOSAÑO!$Z$11)/DATOSAÑO!$Y$11</f>
        <v>0.33875085020093398</v>
      </c>
      <c r="W125" s="9">
        <f ca="1">DATOSAÑO!AI124</f>
        <v>34.900000000001455</v>
      </c>
      <c r="X125" s="11">
        <f ca="1">(W125*DATOSAÑO!$Z$11)/DATOSAÑO!$Y$11</f>
        <v>0.62885131234102443</v>
      </c>
      <c r="Y125" s="9">
        <f ca="1">DATOSAÑO!AJ124</f>
        <v>5.8999999999941792</v>
      </c>
      <c r="Z125" s="11">
        <f ca="1">(Y125*DATOSAÑO!$Z$11)/DATOSAÑO!$Y$11</f>
        <v>0.1063101072437888</v>
      </c>
      <c r="AA125" s="9">
        <f ca="1">DATOSAÑO!AK124</f>
        <v>14.299999999988358</v>
      </c>
      <c r="AB125" s="11">
        <f ca="1">(AA125*DATOSAÑO!$Z$11)/DATOSAÑO!$Y$11</f>
        <v>0.25766687009939698</v>
      </c>
      <c r="AC125" s="9">
        <f ca="1">DATOSAÑO!AL124</f>
        <v>35.400000000034197</v>
      </c>
      <c r="AD125" s="11">
        <f ca="1">(AC125*DATOSAÑO!$Z$11)/DATOSAÑO!$Y$11</f>
        <v>0.63786064346397819</v>
      </c>
      <c r="AE125" s="9">
        <f ca="1">DATOSAÑO!AM124</f>
        <v>10.152000000002342</v>
      </c>
      <c r="AF125" s="11">
        <f ca="1">(AE125*DATOSAÑO!$Z$11)/DATOSAÑO!$Y$11</f>
        <v>0.18292545910851823</v>
      </c>
      <c r="AG125" s="9">
        <f ca="1">DATOSAÑO!AN124</f>
        <v>3.0119999999998361</v>
      </c>
      <c r="AH125" s="11">
        <f ca="1">(AG125*DATOSAÑO!$Z$11)/DATOSAÑO!$Y$11</f>
        <v>5.4272210681117004E-2</v>
      </c>
      <c r="AI125" s="9">
        <f ca="1">DATOSAÑO!BS124</f>
        <v>3.12</v>
      </c>
      <c r="AJ125" s="11">
        <f ca="1">(AI125*DATOSAÑO!$Z$11)/DATOSAÑO!$Y$11</f>
        <v>5.6218226203550554E-2</v>
      </c>
      <c r="AK125" s="9">
        <f ca="1">DATOSAÑO!BV124</f>
        <v>0</v>
      </c>
      <c r="AL125" s="11">
        <f ca="1">(AK125*DATOSAÑO!$Z$11)/DATOSAÑO!$Y$11</f>
        <v>0</v>
      </c>
      <c r="AM125" s="9">
        <f ca="1">DATOSAÑO!BY124</f>
        <v>4.8979999999999997</v>
      </c>
      <c r="AN125" s="11">
        <f ca="1">(AM125*DATOSAÑO!$Z$11)/DATOSAÑO!$Y$11</f>
        <v>8.8255407674676475E-2</v>
      </c>
      <c r="AO125" s="9">
        <f ca="1">DATOSAÑO!CF124</f>
        <v>10.576000000001171</v>
      </c>
      <c r="AP125" s="11">
        <f ca="1">(AO125*DATOSAÑO!$Z$11)/DATOSAÑO!$Y$11</f>
        <v>0.19056537190026171</v>
      </c>
      <c r="AQ125" s="9">
        <f ca="1">DATOSAÑO!CL124</f>
        <v>2.6227999999999345</v>
      </c>
      <c r="AR125" s="1300">
        <f ca="1">(AQ125*DATOSAÑO!$Z$11)/DATOSAÑO!$Y$11</f>
        <v>4.7259347335470742E-2</v>
      </c>
      <c r="AS125" s="1334">
        <f t="shared" si="5"/>
        <v>17</v>
      </c>
    </row>
    <row r="126" spans="1:45" ht="16.5" customHeight="1" thickBot="1">
      <c r="A126" s="1371">
        <v>45041</v>
      </c>
      <c r="B126" s="1021">
        <v>45041</v>
      </c>
      <c r="C126" s="85">
        <f ca="1">DATOSAÑO!I125</f>
        <v>291</v>
      </c>
      <c r="D126" s="86">
        <f ca="1">DATOSAÑO!$D125</f>
        <v>4.9739300108126976</v>
      </c>
      <c r="E126" s="87">
        <f ca="1">DATOSAÑO!$G125</f>
        <v>0</v>
      </c>
      <c r="F126" s="9">
        <f ca="1">DATOSAÑO!P125</f>
        <v>157</v>
      </c>
      <c r="G126" s="10">
        <f ca="1">DATOSAÑO!K125</f>
        <v>3.8531347544471579</v>
      </c>
      <c r="H126" s="11">
        <f ca="1">DATOSAÑO!N125</f>
        <v>0</v>
      </c>
      <c r="I126" s="9">
        <f ca="1">DATOSAÑO!Q125</f>
        <v>0.38200000000006185</v>
      </c>
      <c r="J126" s="11">
        <f ca="1">DATOSAÑO!R125</f>
        <v>45.840000000007421</v>
      </c>
      <c r="K126" s="9">
        <f ca="1">DATOSAÑO!T125</f>
        <v>0.69000000000005457</v>
      </c>
      <c r="L126" s="11">
        <f t="shared" ca="1" si="3"/>
        <v>82.800000000006548</v>
      </c>
      <c r="M126" s="9"/>
      <c r="N126" s="11">
        <f t="shared" si="4"/>
        <v>0</v>
      </c>
      <c r="O126" s="9">
        <f>DATOSAÑO!CT125</f>
        <v>0.4</v>
      </c>
      <c r="P126" s="9">
        <f>DATOSAÑO!CU125</f>
        <v>0.7</v>
      </c>
      <c r="Q126" s="9">
        <f ca="1">DATOSAÑO!AD125</f>
        <v>168.5</v>
      </c>
      <c r="R126" s="11">
        <f ca="1">(Q126*DATOSAÑO!$Z$11)/DATOSAÑO!$Y$11</f>
        <v>3.0361445882366245</v>
      </c>
      <c r="S126" s="9">
        <f ca="1">DATOSAÑO!AF125</f>
        <v>159</v>
      </c>
      <c r="T126" s="11">
        <f ca="1">(S126*DATOSAÑO!$Z$11)/DATOSAÑO!$Y$11</f>
        <v>2.8649672969117108</v>
      </c>
      <c r="U126" s="9">
        <f ca="1">DATOSAÑO!AH125</f>
        <v>5</v>
      </c>
      <c r="V126" s="11">
        <f ca="1">(U126*DATOSAÑO!$Z$11)/DATOSAÑO!$Y$11</f>
        <v>9.0093311223638714E-2</v>
      </c>
      <c r="W126" s="9">
        <f ca="1">DATOSAÑO!AI125</f>
        <v>36.099999999991269</v>
      </c>
      <c r="X126" s="11">
        <f ca="1">(W126*DATOSAÑO!$Z$11)/DATOSAÑO!$Y$11</f>
        <v>0.65047370703451413</v>
      </c>
      <c r="Y126" s="9">
        <f ca="1">DATOSAÑO!AJ125</f>
        <v>5.3000000000029104</v>
      </c>
      <c r="Z126" s="11">
        <f ca="1">(Y126*DATOSAÑO!$Z$11)/DATOSAÑO!$Y$11</f>
        <v>9.5498909897109477E-2</v>
      </c>
      <c r="AA126" s="9">
        <f ca="1">DATOSAÑO!AK125</f>
        <v>11.700000000011642</v>
      </c>
      <c r="AB126" s="11">
        <f ca="1">(AA126*DATOSAÑO!$Z$11)/DATOSAÑO!$Y$11</f>
        <v>0.21081834826352436</v>
      </c>
      <c r="AC126" s="9">
        <f ca="1">DATOSAÑO!AL125</f>
        <v>34.071999999996535</v>
      </c>
      <c r="AD126" s="11">
        <f ca="1">(AC126*DATOSAÑO!$Z$11)/DATOSAÑO!$Y$11</f>
        <v>0.61393186000230127</v>
      </c>
      <c r="AE126" s="9">
        <f ca="1">DATOSAÑO!AM125</f>
        <v>8.8559999999976515</v>
      </c>
      <c r="AF126" s="11">
        <f ca="1">(AE126*DATOSAÑO!$Z$11)/DATOSAÑO!$Y$11</f>
        <v>0.15957327283926656</v>
      </c>
      <c r="AG126" s="9">
        <f ca="1">DATOSAÑO!AN125</f>
        <v>3.3179999999998113</v>
      </c>
      <c r="AH126" s="11">
        <f ca="1">(AG126*DATOSAÑO!$Z$11)/DATOSAÑO!$Y$11</f>
        <v>5.9785921328003248E-2</v>
      </c>
      <c r="AI126" s="9">
        <f ca="1">DATOSAÑO!BS125</f>
        <v>2.7360000000000002</v>
      </c>
      <c r="AJ126" s="11">
        <f ca="1">(AI126*DATOSAÑO!$Z$11)/DATOSAÑO!$Y$11</f>
        <v>4.9299059901575105E-2</v>
      </c>
      <c r="AK126" s="9">
        <f ca="1">DATOSAÑO!BV125</f>
        <v>0</v>
      </c>
      <c r="AL126" s="11">
        <f ca="1">(AK126*DATOSAÑO!$Z$11)/DATOSAÑO!$Y$11</f>
        <v>0</v>
      </c>
      <c r="AM126" s="9">
        <f ca="1">DATOSAÑO!BY125</f>
        <v>4.9379999999999997</v>
      </c>
      <c r="AN126" s="11">
        <f ca="1">(AM126*DATOSAÑO!$Z$11)/DATOSAÑO!$Y$11</f>
        <v>8.8976154164465582E-2</v>
      </c>
      <c r="AO126" s="9">
        <f ca="1">DATOSAÑO!CF125</f>
        <v>12.527999999999189</v>
      </c>
      <c r="AP126" s="11">
        <f ca="1">(AO126*DATOSAÑO!$Z$11)/DATOSAÑO!$Y$11</f>
        <v>0.22573780060193455</v>
      </c>
      <c r="AQ126" s="9">
        <f ca="1">DATOSAÑO!CL125</f>
        <v>2.7791999999999248</v>
      </c>
      <c r="AR126" s="1300">
        <f ca="1">(AQ126*DATOSAÑO!$Z$11)/DATOSAÑO!$Y$11</f>
        <v>5.007746611054599E-2</v>
      </c>
      <c r="AS126" s="1334">
        <f t="shared" si="5"/>
        <v>17</v>
      </c>
    </row>
    <row r="127" spans="1:45" ht="15" thickBot="1">
      <c r="A127" s="1371">
        <v>45042</v>
      </c>
      <c r="B127" s="1021">
        <v>45042</v>
      </c>
      <c r="C127" s="85">
        <f ca="1">DATOSAÑO!I126</f>
        <v>282.13000000000466</v>
      </c>
      <c r="D127" s="86">
        <f ca="1">DATOSAÑO!$D126</f>
        <v>4.8997400561563005</v>
      </c>
      <c r="E127" s="87">
        <f ca="1">DATOSAÑO!$G126</f>
        <v>0</v>
      </c>
      <c r="F127" s="9">
        <f ca="1">DATOSAÑO!P126</f>
        <v>148.91000000000349</v>
      </c>
      <c r="G127" s="10">
        <f ca="1">DATOSAÑO!K126</f>
        <v>3.7854688318800433</v>
      </c>
      <c r="H127" s="11">
        <f ca="1">DATOSAÑO!N126</f>
        <v>0</v>
      </c>
      <c r="I127" s="9">
        <f ca="1">DATOSAÑO!Q126</f>
        <v>0</v>
      </c>
      <c r="J127" s="11">
        <f ca="1">DATOSAÑO!R126</f>
        <v>0</v>
      </c>
      <c r="K127" s="9">
        <f ca="1">DATOSAÑO!T126</f>
        <v>0</v>
      </c>
      <c r="L127" s="11">
        <f t="shared" ca="1" si="3"/>
        <v>0</v>
      </c>
      <c r="M127" s="9"/>
      <c r="N127" s="11">
        <f t="shared" si="4"/>
        <v>0</v>
      </c>
      <c r="O127" s="9">
        <f>DATOSAÑO!CT126</f>
        <v>0</v>
      </c>
      <c r="P127" s="9">
        <f>DATOSAÑO!CU126</f>
        <v>0</v>
      </c>
      <c r="Q127" s="9">
        <f ca="1">DATOSAÑO!AD126</f>
        <v>160.40000000002328</v>
      </c>
      <c r="R127" s="11">
        <f ca="1">(Q127*DATOSAÑO!$Z$11)/DATOSAÑO!$Y$11</f>
        <v>2.8901934240547495</v>
      </c>
      <c r="S127" s="9">
        <f ca="1">DATOSAÑO!AF126</f>
        <v>151.01000000000931</v>
      </c>
      <c r="T127" s="11">
        <f ca="1">(S127*DATOSAÑO!$Z$11)/DATOSAÑO!$Y$11</f>
        <v>2.7209981855765042</v>
      </c>
      <c r="U127" s="9">
        <f ca="1">DATOSAÑO!AH126</f>
        <v>4.5999999999985448</v>
      </c>
      <c r="V127" s="11">
        <f ca="1">(U127*DATOSAÑO!$Z$11)/DATOSAÑO!$Y$11</f>
        <v>8.2885846325721393E-2</v>
      </c>
      <c r="W127" s="9">
        <f ca="1">DATOSAÑO!AI126</f>
        <v>34.660000000003492</v>
      </c>
      <c r="X127" s="11">
        <f ca="1">(W127*DATOSAÑO!$Z$11)/DATOSAÑO!$Y$11</f>
        <v>0.62452683340232651</v>
      </c>
      <c r="Y127" s="9">
        <f ca="1">DATOSAÑO!AJ126</f>
        <v>6.3499999999912689</v>
      </c>
      <c r="Z127" s="11">
        <f ca="1">(Y127*DATOSAÑO!$Z$11)/DATOSAÑO!$Y$11</f>
        <v>0.11441850525386384</v>
      </c>
      <c r="AA127" s="9">
        <f ca="1">DATOSAÑO!AK126</f>
        <v>11.260000000009313</v>
      </c>
      <c r="AB127" s="11">
        <f ca="1">(AA127*DATOSAÑO!$Z$11)/DATOSAÑO!$Y$11</f>
        <v>0.20289013687580218</v>
      </c>
      <c r="AC127" s="9">
        <f ca="1">DATOSAÑO!AL126</f>
        <v>33.769999999993161</v>
      </c>
      <c r="AD127" s="11">
        <f ca="1">(AC127*DATOSAÑO!$Z$11)/DATOSAÑO!$Y$11</f>
        <v>0.60849022400433261</v>
      </c>
      <c r="AE127" s="9">
        <f ca="1">DATOSAÑO!AM126</f>
        <v>8.1939999999792708</v>
      </c>
      <c r="AF127" s="11">
        <f ca="1">(AE127*DATOSAÑO!$Z$11)/DATOSAÑO!$Y$11</f>
        <v>0.1476449184329256</v>
      </c>
      <c r="AG127" s="9">
        <f ca="1">DATOSAÑO!AN126</f>
        <v>3.5460000000003635</v>
      </c>
      <c r="AH127" s="11">
        <f ca="1">(AG127*DATOSAÑO!$Z$11)/DATOSAÑO!$Y$11</f>
        <v>6.3894176319811119E-2</v>
      </c>
      <c r="AI127" s="9">
        <f ca="1">DATOSAÑO!BS126</f>
        <v>2.8079999999999998</v>
      </c>
      <c r="AJ127" s="11">
        <f ca="1">(AI127*DATOSAÑO!$Z$11)/DATOSAÑO!$Y$11</f>
        <v>5.0596403583195497E-2</v>
      </c>
      <c r="AK127" s="9">
        <f ca="1">DATOSAÑO!BV126</f>
        <v>0</v>
      </c>
      <c r="AL127" s="11">
        <f ca="1">(AK127*DATOSAÑO!$Z$11)/DATOSAÑO!$Y$11</f>
        <v>0</v>
      </c>
      <c r="AM127" s="9">
        <f ca="1">DATOSAÑO!BY126</f>
        <v>4.798</v>
      </c>
      <c r="AN127" s="11">
        <f ca="1">(AM127*DATOSAÑO!$Z$11)/DATOSAÑO!$Y$11</f>
        <v>8.6453541450203716E-2</v>
      </c>
      <c r="AO127" s="9">
        <f ca="1">DATOSAÑO!CF126</f>
        <v>12.43699999998978</v>
      </c>
      <c r="AP127" s="11">
        <f ca="1">(AO127*DATOSAÑO!$Z$11)/DATOSAÑO!$Y$11</f>
        <v>0.22409810233749478</v>
      </c>
      <c r="AQ127" s="9">
        <f ca="1">DATOSAÑO!CL126</f>
        <v>2.7224000000001456</v>
      </c>
      <c r="AR127" s="1300">
        <f ca="1">(AQ127*DATOSAÑO!$Z$11)/DATOSAÑO!$Y$11</f>
        <v>4.9054006095049424E-2</v>
      </c>
      <c r="AS127" s="1334">
        <f t="shared" si="5"/>
        <v>17</v>
      </c>
    </row>
    <row r="128" spans="1:45" ht="16.5" customHeight="1" thickBot="1">
      <c r="A128" s="1371">
        <v>45043</v>
      </c>
      <c r="B128" s="1021">
        <v>45043</v>
      </c>
      <c r="C128" s="85">
        <f ca="1">DATOSAÑO!I127</f>
        <v>307.51000000000931</v>
      </c>
      <c r="D128" s="86">
        <f ca="1">DATOSAÑO!$D127</f>
        <v>5.1120220233694544</v>
      </c>
      <c r="E128" s="87">
        <f ca="1">DATOSAÑO!$G127</f>
        <v>0</v>
      </c>
      <c r="F128" s="9">
        <f ca="1">DATOSAÑO!P127</f>
        <v>151.15999999999622</v>
      </c>
      <c r="G128" s="10">
        <f ca="1">DATOSAÑO!K127</f>
        <v>3.8042881552144783</v>
      </c>
      <c r="H128" s="11">
        <f ca="1">DATOSAÑO!N127</f>
        <v>0</v>
      </c>
      <c r="I128" s="9">
        <f ca="1">DATOSAÑO!Q127</f>
        <v>0</v>
      </c>
      <c r="J128" s="11">
        <f ca="1">DATOSAÑO!R127</f>
        <v>0</v>
      </c>
      <c r="K128" s="9">
        <f ca="1">DATOSAÑO!T127</f>
        <v>0</v>
      </c>
      <c r="L128" s="11">
        <f t="shared" ca="1" si="3"/>
        <v>0</v>
      </c>
      <c r="M128" s="9"/>
      <c r="N128" s="11">
        <f t="shared" si="4"/>
        <v>0</v>
      </c>
      <c r="O128" s="9">
        <f>DATOSAÑO!CT127</f>
        <v>0</v>
      </c>
      <c r="P128" s="9">
        <f>DATOSAÑO!CU127</f>
        <v>0</v>
      </c>
      <c r="Q128" s="9">
        <f ca="1">DATOSAÑO!AD127</f>
        <v>165.28000000002794</v>
      </c>
      <c r="R128" s="11">
        <f ca="1">(Q128*DATOSAÑO!$Z$11)/DATOSAÑO!$Y$11</f>
        <v>2.9781244958091047</v>
      </c>
      <c r="S128" s="9">
        <f ca="1">DATOSAÑO!AF127</f>
        <v>156.89000000001397</v>
      </c>
      <c r="T128" s="11">
        <f ca="1">(S128*DATOSAÑO!$Z$11)/DATOSAÑO!$Y$11</f>
        <v>2.8269479195755869</v>
      </c>
      <c r="U128" s="9">
        <f ca="1">DATOSAÑO!AH127</f>
        <v>13.400000000001455</v>
      </c>
      <c r="V128" s="11">
        <f ca="1">(U128*DATOSAÑO!$Z$11)/DATOSAÑO!$Y$11</f>
        <v>0.24145007407937796</v>
      </c>
      <c r="W128" s="9">
        <f ca="1">DATOSAÑO!AI127</f>
        <v>39.380000000004657</v>
      </c>
      <c r="X128" s="11">
        <f ca="1">(W128*DATOSAÑO!$Z$11)/DATOSAÑO!$Y$11</f>
        <v>0.70957491919746241</v>
      </c>
      <c r="Y128" s="9">
        <f ca="1">DATOSAÑO!AJ127</f>
        <v>6.5600000000122236</v>
      </c>
      <c r="Z128" s="11">
        <f ca="1">(Y128*DATOSAÑO!$Z$11)/DATOSAÑO!$Y$11</f>
        <v>0.11820242432563424</v>
      </c>
      <c r="AA128" s="9">
        <f ca="1">DATOSAÑO!AK127</f>
        <v>12.979999999981374</v>
      </c>
      <c r="AB128" s="11">
        <f ca="1">(AA128*DATOSAÑO!$Z$11)/DATOSAÑO!$Y$11</f>
        <v>0.23388223593623048</v>
      </c>
      <c r="AC128" s="9">
        <f ca="1">DATOSAÑO!AL127</f>
        <v>35.269999999953143</v>
      </c>
      <c r="AD128" s="11">
        <f ca="1">(AC128*DATOSAÑO!$Z$11)/DATOSAÑO!$Y$11</f>
        <v>0.63551821737070313</v>
      </c>
      <c r="AE128" s="9">
        <f ca="1">DATOSAÑO!AM127</f>
        <v>9.9250000000113072</v>
      </c>
      <c r="AF128" s="11">
        <f ca="1">(AE128*DATOSAÑO!$Z$11)/DATOSAÑO!$Y$11</f>
        <v>0.17883522277912658</v>
      </c>
      <c r="AG128" s="9">
        <f ca="1">DATOSAÑO!AN127</f>
        <v>0.79599999999923043</v>
      </c>
      <c r="AH128" s="11">
        <f ca="1">(AG128*DATOSAÑO!$Z$11)/DATOSAÑO!$Y$11</f>
        <v>1.4342855146789416E-2</v>
      </c>
      <c r="AI128" s="9">
        <f ca="1">DATOSAÑO!BS127</f>
        <v>2.52</v>
      </c>
      <c r="AJ128" s="11">
        <f ca="1">(AI128*DATOSAÑO!$Z$11)/DATOSAÑO!$Y$11</f>
        <v>4.540702885671391E-2</v>
      </c>
      <c r="AK128" s="9">
        <f ca="1">DATOSAÑO!BV127</f>
        <v>0</v>
      </c>
      <c r="AL128" s="11">
        <f ca="1">(AK128*DATOSAÑO!$Z$11)/DATOSAÑO!$Y$11</f>
        <v>0</v>
      </c>
      <c r="AM128" s="9">
        <f ca="1">DATOSAÑO!BY127</f>
        <v>5.0149999999999997</v>
      </c>
      <c r="AN128" s="11">
        <f ca="1">(AM128*DATOSAÑO!$Z$11)/DATOSAÑO!$Y$11</f>
        <v>9.0363591157309617E-2</v>
      </c>
      <c r="AO128" s="9">
        <f ca="1">DATOSAÑO!CF127</f>
        <v>13.722500000005873</v>
      </c>
      <c r="AP128" s="11">
        <f ca="1">(AO128*DATOSAÑO!$Z$11)/DATOSAÑO!$Y$11</f>
        <v>0.24726109265338225</v>
      </c>
      <c r="AQ128" s="9">
        <f ca="1">DATOSAÑO!CL127</f>
        <v>2.2123999999996919</v>
      </c>
      <c r="AR128" s="1300">
        <f ca="1">(AQ128*DATOSAÑO!$Z$11)/DATOSAÑO!$Y$11</f>
        <v>3.9864488350230105E-2</v>
      </c>
      <c r="AS128" s="1334">
        <f t="shared" si="5"/>
        <v>17</v>
      </c>
    </row>
    <row r="129" spans="1:45" ht="15" thickBot="1">
      <c r="A129" s="1371">
        <v>45044</v>
      </c>
      <c r="B129" s="1021">
        <v>45044</v>
      </c>
      <c r="C129" s="85">
        <f ca="1">DATOSAÑO!I128</f>
        <v>298.85999999998603</v>
      </c>
      <c r="D129" s="86">
        <f ca="1">DATOSAÑO!$D128</f>
        <v>5.0396721803277522</v>
      </c>
      <c r="E129" s="87">
        <f ca="1">DATOSAÑO!$G128</f>
        <v>0</v>
      </c>
      <c r="F129" s="9">
        <f ca="1">DATOSAÑO!P128</f>
        <v>151.94000000000233</v>
      </c>
      <c r="G129" s="10">
        <f ca="1">DATOSAÑO!K128</f>
        <v>3.8108121873038217</v>
      </c>
      <c r="H129" s="11">
        <f ca="1">DATOSAÑO!N128</f>
        <v>0</v>
      </c>
      <c r="I129" s="9">
        <f ca="1">DATOSAÑO!Q128</f>
        <v>0</v>
      </c>
      <c r="J129" s="11">
        <f ca="1">DATOSAÑO!R128</f>
        <v>0</v>
      </c>
      <c r="K129" s="9">
        <f ca="1">DATOSAÑO!T128</f>
        <v>0</v>
      </c>
      <c r="L129" s="11">
        <f t="shared" ca="1" si="3"/>
        <v>0</v>
      </c>
      <c r="M129" s="9"/>
      <c r="N129" s="11">
        <f t="shared" si="4"/>
        <v>0</v>
      </c>
      <c r="O129" s="9">
        <f>DATOSAÑO!CT128</f>
        <v>0</v>
      </c>
      <c r="P129" s="9">
        <f>DATOSAÑO!CU128</f>
        <v>0</v>
      </c>
      <c r="Q129" s="9">
        <f ca="1">DATOSAÑO!AD128</f>
        <v>166.93000000005122</v>
      </c>
      <c r="R129" s="11">
        <f ca="1">(Q129*DATOSAÑO!$Z$11)/DATOSAÑO!$Y$11</f>
        <v>3.007855288513325</v>
      </c>
      <c r="S129" s="9">
        <f ca="1">DATOSAÑO!AF128</f>
        <v>154.79999999998836</v>
      </c>
      <c r="T129" s="11">
        <f ca="1">(S129*DATOSAÑO!$Z$11)/DATOSAÑO!$Y$11</f>
        <v>2.7892889154836444</v>
      </c>
      <c r="U129" s="9">
        <f ca="1">DATOSAÑO!AH128</f>
        <v>10.69999999999709</v>
      </c>
      <c r="V129" s="11">
        <f ca="1">(U129*DATOSAÑO!$Z$11)/DATOSAÑO!$Y$11</f>
        <v>0.19279968601853439</v>
      </c>
      <c r="W129" s="9">
        <f ca="1">DATOSAÑO!AI128</f>
        <v>38.209999999991851</v>
      </c>
      <c r="X129" s="11">
        <f ca="1">(W129*DATOSAÑO!$Z$11)/DATOSAÑO!$Y$11</f>
        <v>0.68849308437090018</v>
      </c>
      <c r="Y129" s="9">
        <f ca="1">DATOSAÑO!AJ128</f>
        <v>6.3899999999994179</v>
      </c>
      <c r="Z129" s="11">
        <f ca="1">(Y129*DATOSAÑO!$Z$11)/DATOSAÑO!$Y$11</f>
        <v>0.11513925174379978</v>
      </c>
      <c r="AA129" s="9">
        <f ca="1">DATOSAÑO!AK128</f>
        <v>10.930000000022119</v>
      </c>
      <c r="AB129" s="11">
        <f ca="1">(AA129*DATOSAÑO!$Z$11)/DATOSAÑO!$Y$11</f>
        <v>0.19694397833527277</v>
      </c>
      <c r="AC129" s="9">
        <f ca="1">DATOSAÑO!AL128</f>
        <v>34.439999999962367</v>
      </c>
      <c r="AD129" s="11">
        <f ca="1">(AC129*DATOSAÑO!$Z$11)/DATOSAÑO!$Y$11</f>
        <v>0.62056272770774534</v>
      </c>
      <c r="AE129" s="9">
        <f ca="1">DATOSAÑO!AM128</f>
        <v>4.6899999999754325</v>
      </c>
      <c r="AF129" s="11">
        <f ca="1">(AE129*DATOSAÑO!$Z$11)/DATOSAÑO!$Y$11</f>
        <v>8.4507525927330435E-2</v>
      </c>
      <c r="AG129" s="9">
        <f ca="1">DATOSAÑO!AN128</f>
        <v>5.4790000000006369</v>
      </c>
      <c r="AH129" s="11">
        <f ca="1">(AG129*DATOSAÑO!$Z$11)/DATOSAÑO!$Y$11</f>
        <v>9.8724250438874783E-2</v>
      </c>
      <c r="AI129" s="9">
        <f ca="1">DATOSAÑO!BS128</f>
        <v>2.76</v>
      </c>
      <c r="AJ129" s="11">
        <f ca="1">(AI129*DATOSAÑO!$Z$11)/DATOSAÑO!$Y$11</f>
        <v>4.9731507795448569E-2</v>
      </c>
      <c r="AK129" s="9">
        <f ca="1">DATOSAÑO!BV128</f>
        <v>0</v>
      </c>
      <c r="AL129" s="11">
        <f ca="1">(AK129*DATOSAÑO!$Z$11)/DATOSAÑO!$Y$11</f>
        <v>0</v>
      </c>
      <c r="AM129" s="9">
        <f ca="1">DATOSAÑO!BY128</f>
        <v>5.07</v>
      </c>
      <c r="AN129" s="11">
        <f ca="1">(AM129*DATOSAÑO!$Z$11)/DATOSAÑO!$Y$11</f>
        <v>9.1354617580769654E-2</v>
      </c>
      <c r="AO129" s="9">
        <f ca="1">DATOSAÑO!CF128</f>
        <v>11.174999999987644</v>
      </c>
      <c r="AP129" s="11">
        <f ca="1">(AO129*DATOSAÑO!$Z$11)/DATOSAÑO!$Y$11</f>
        <v>0.20135855058460989</v>
      </c>
      <c r="AQ129" s="9">
        <f ca="1">DATOSAÑO!CL128</f>
        <v>3.7626000000002549</v>
      </c>
      <c r="AR129" s="1300">
        <f ca="1">(AQ129*DATOSAÑO!$Z$11)/DATOSAÑO!$Y$11</f>
        <v>6.7797018562017197E-2</v>
      </c>
      <c r="AS129" s="1334">
        <f t="shared" si="5"/>
        <v>17</v>
      </c>
    </row>
    <row r="130" spans="1:45" ht="16.5" customHeight="1" thickBot="1">
      <c r="A130" s="1371">
        <v>45045</v>
      </c>
      <c r="B130" s="1021">
        <v>45045</v>
      </c>
      <c r="C130" s="85">
        <f ca="1">DATOSAÑO!I129</f>
        <v>291.6600000000326</v>
      </c>
      <c r="D130" s="86">
        <f ca="1">DATOSAÑO!$D129</f>
        <v>4.9794503456577548</v>
      </c>
      <c r="E130" s="87">
        <f ca="1">DATOSAÑO!$G129</f>
        <v>0</v>
      </c>
      <c r="F130" s="9">
        <f ca="1">DATOSAÑO!P129</f>
        <v>147.88999999999942</v>
      </c>
      <c r="G130" s="10">
        <f ca="1">DATOSAÑO!K129</f>
        <v>3.7769374053017044</v>
      </c>
      <c r="H130" s="11">
        <f ca="1">DATOSAÑO!N129</f>
        <v>0</v>
      </c>
      <c r="I130" s="9">
        <f ca="1">DATOSAÑO!Q129</f>
        <v>0</v>
      </c>
      <c r="J130" s="11">
        <f ca="1">DATOSAÑO!R129</f>
        <v>0</v>
      </c>
      <c r="K130" s="9">
        <f ca="1">DATOSAÑO!T129</f>
        <v>0</v>
      </c>
      <c r="L130" s="11">
        <f t="shared" ca="1" si="3"/>
        <v>0</v>
      </c>
      <c r="M130" s="9"/>
      <c r="N130" s="11">
        <f t="shared" si="4"/>
        <v>0</v>
      </c>
      <c r="O130" s="9">
        <f>DATOSAÑO!CT129</f>
        <v>0</v>
      </c>
      <c r="P130" s="9">
        <f>DATOSAÑO!CU129</f>
        <v>0</v>
      </c>
      <c r="Q130" s="9">
        <f ca="1">DATOSAÑO!AD129</f>
        <v>165.54000000003725</v>
      </c>
      <c r="R130" s="11">
        <f ca="1">(Q130*DATOSAÑO!$Z$11)/DATOSAÑO!$Y$11</f>
        <v>2.9828093479929016</v>
      </c>
      <c r="S130" s="9">
        <f ca="1">DATOSAÑO!AF129</f>
        <v>143.85999999998603</v>
      </c>
      <c r="T130" s="11">
        <f ca="1">(S130*DATOSAÑO!$Z$11)/DATOSAÑO!$Y$11</f>
        <v>2.5921647505262815</v>
      </c>
      <c r="U130" s="9">
        <f ca="1">DATOSAÑO!AH129</f>
        <v>9.2000000000043656</v>
      </c>
      <c r="V130" s="11">
        <f ca="1">(U130*DATOSAÑO!$Z$11)/DATOSAÑO!$Y$11</f>
        <v>0.1657716926515739</v>
      </c>
      <c r="W130" s="9">
        <f ca="1">DATOSAÑO!AI129</f>
        <v>38.160000000003492</v>
      </c>
      <c r="X130" s="11">
        <f ca="1">(W130*DATOSAÑO!$Z$11)/DATOSAÑO!$Y$11</f>
        <v>0.68759215125887363</v>
      </c>
      <c r="Y130" s="9">
        <f ca="1">DATOSAÑO!AJ129</f>
        <v>6.5299999999988358</v>
      </c>
      <c r="Z130" s="11">
        <f ca="1">(Y130*DATOSAÑO!$Z$11)/DATOSAÑO!$Y$11</f>
        <v>0.11766186445805117</v>
      </c>
      <c r="AA130" s="9">
        <f ca="1">DATOSAÑO!AK129</f>
        <v>12.5</v>
      </c>
      <c r="AB130" s="11">
        <f ca="1">(AA130*DATOSAÑO!$Z$11)/DATOSAÑO!$Y$11</f>
        <v>0.22523327805909676</v>
      </c>
      <c r="AC130" s="9">
        <f ca="1">DATOSAÑO!AL129</f>
        <v>33.81999999996691</v>
      </c>
      <c r="AD130" s="11">
        <f ca="1">(AC130*DATOSAÑO!$Z$11)/DATOSAÑO!$Y$11</f>
        <v>0.60939115711609604</v>
      </c>
      <c r="AE130" s="9">
        <f ca="1">DATOSAÑO!AM129</f>
        <v>9.1390000000349723</v>
      </c>
      <c r="AF130" s="11">
        <f ca="1">(AE130*DATOSAÑO!$Z$11)/DATOSAÑO!$Y$11</f>
        <v>0.164672554255197</v>
      </c>
      <c r="AG130" s="9">
        <f ca="1">DATOSAÑO!AN129</f>
        <v>3.5149999999997457</v>
      </c>
      <c r="AH130" s="11">
        <f ca="1">(AG130*DATOSAÑO!$Z$11)/DATOSAÑO!$Y$11</f>
        <v>6.333559779021343E-2</v>
      </c>
      <c r="AI130" s="9">
        <f ca="1">DATOSAÑO!BS129</f>
        <v>1.968</v>
      </c>
      <c r="AJ130" s="11">
        <f ca="1">(AI130*DATOSAÑO!$Z$11)/DATOSAÑO!$Y$11</f>
        <v>3.5460727297624194E-2</v>
      </c>
      <c r="AK130" s="9">
        <f ca="1">DATOSAÑO!BV129</f>
        <v>0</v>
      </c>
      <c r="AL130" s="11">
        <f ca="1">(AK130*DATOSAÑO!$Z$11)/DATOSAÑO!$Y$11</f>
        <v>0</v>
      </c>
      <c r="AM130" s="9">
        <f ca="1">DATOSAÑO!BY129</f>
        <v>4.9530000000000003</v>
      </c>
      <c r="AN130" s="11">
        <f ca="1">(AM130*DATOSAÑO!$Z$11)/DATOSAÑO!$Y$11</f>
        <v>8.9246434098136512E-2</v>
      </c>
      <c r="AO130" s="9">
        <f ca="1">DATOSAÑO!CF129</f>
        <v>13.41950000001785</v>
      </c>
      <c r="AP130" s="11">
        <f ca="1">(AO130*DATOSAÑO!$Z$11)/DATOSAÑO!$Y$11</f>
        <v>0.24180143799344558</v>
      </c>
      <c r="AQ130" s="9">
        <f ca="1">DATOSAÑO!CL129</f>
        <v>2.9209999999998981</v>
      </c>
      <c r="AR130" s="1300">
        <f ca="1">(AQ130*DATOSAÑO!$Z$11)/DATOSAÑO!$Y$11</f>
        <v>5.2632512416847896E-2</v>
      </c>
      <c r="AS130" s="1334">
        <f t="shared" si="5"/>
        <v>17</v>
      </c>
    </row>
    <row r="131" spans="1:45" ht="15" thickBot="1">
      <c r="A131" s="1371">
        <v>45046</v>
      </c>
      <c r="B131" s="1021">
        <v>45046</v>
      </c>
      <c r="C131" s="62">
        <f ca="1">DATOSAÑO!I130</f>
        <v>302.98999999999069</v>
      </c>
      <c r="D131" s="63">
        <f ca="1">DATOSAÑO!$D130</f>
        <v>5.0742160938262222</v>
      </c>
      <c r="E131" s="64">
        <f ca="1">DATOSAÑO!$G130</f>
        <v>0</v>
      </c>
      <c r="F131" s="62">
        <f ca="1">DATOSAÑO!P130</f>
        <v>144</v>
      </c>
      <c r="G131" s="63">
        <f ca="1">DATOSAÑO!K130</f>
        <v>3.7444008862922917</v>
      </c>
      <c r="H131" s="64">
        <f ca="1">DATOSAÑO!N130</f>
        <v>0</v>
      </c>
      <c r="I131" s="62">
        <f ca="1">DATOSAÑO!Q130</f>
        <v>0</v>
      </c>
      <c r="J131" s="64">
        <f ca="1">DATOSAÑO!R130</f>
        <v>0</v>
      </c>
      <c r="K131" s="9">
        <f ca="1">DATOSAÑO!T130</f>
        <v>0</v>
      </c>
      <c r="L131" s="64">
        <f t="shared" ca="1" si="3"/>
        <v>0</v>
      </c>
      <c r="M131" s="62"/>
      <c r="N131" s="64">
        <f t="shared" si="4"/>
        <v>0</v>
      </c>
      <c r="O131" s="62">
        <f>DATOSAÑO!CT130</f>
        <v>0</v>
      </c>
      <c r="P131" s="61">
        <f>DATOSAÑO!CU130</f>
        <v>0</v>
      </c>
      <c r="Q131" s="9">
        <f ca="1">DATOSAÑO!AD130</f>
        <v>163.19999999995343</v>
      </c>
      <c r="R131" s="64">
        <f ca="1">(Q131*DATOSAÑO!$Z$11)/DATOSAÑO!$Y$11</f>
        <v>2.9406456783387287</v>
      </c>
      <c r="S131" s="9">
        <f ca="1">DATOSAÑO!AF130</f>
        <v>152.64000000001397</v>
      </c>
      <c r="T131" s="64">
        <f ca="1">(S131*DATOSAÑO!$Z$11)/DATOSAÑO!$Y$11</f>
        <v>2.7503686050354945</v>
      </c>
      <c r="U131" s="9">
        <f ca="1">DATOSAÑO!AH130</f>
        <v>13.19999999999709</v>
      </c>
      <c r="V131" s="64">
        <f ca="1">(U131*DATOSAÑO!$Z$11)/DATOSAÑO!$Y$11</f>
        <v>0.23784634163035376</v>
      </c>
      <c r="W131" s="9">
        <f ca="1">DATOSAÑO!AI130</f>
        <v>38.279999999998836</v>
      </c>
      <c r="X131" s="64">
        <f ca="1">(W131*DATOSAÑO!$Z$11)/DATOSAÑO!$Y$11</f>
        <v>0.68975439072815703</v>
      </c>
      <c r="Y131" s="9">
        <f ca="1">DATOSAÑO!AJ130</f>
        <v>6.6999999999970896</v>
      </c>
      <c r="Z131" s="64">
        <f ca="1">(Y131*DATOSAÑO!$Z$11)/DATOSAÑO!$Y$11</f>
        <v>0.12072503703962342</v>
      </c>
      <c r="AA131" s="9">
        <f ca="1">DATOSAÑO!AK130</f>
        <v>12.429999999993015</v>
      </c>
      <c r="AB131" s="64">
        <f ca="1">(AA131*DATOSAÑO!$Z$11)/DATOSAÑO!$Y$11</f>
        <v>0.22397197170183999</v>
      </c>
      <c r="AC131" s="9">
        <f ca="1">DATOSAÑO!AL130</f>
        <v>33.280000000071539</v>
      </c>
      <c r="AD131" s="64">
        <f ca="1">(AC131*DATOSAÑO!$Z$11)/DATOSAÑO!$Y$11</f>
        <v>0.59966107950582825</v>
      </c>
      <c r="AE131" s="9">
        <f ca="1">DATOSAÑO!AM130</f>
        <v>6.5129999999666826</v>
      </c>
      <c r="AF131" s="64">
        <f ca="1">(AE131*DATOSAÑO!$Z$11)/DATOSAÑO!$Y$11</f>
        <v>0.11735554719931145</v>
      </c>
      <c r="AG131" s="62">
        <f ca="1">DATOSAÑO!AN130</f>
        <v>2.6749999999996361</v>
      </c>
      <c r="AH131" s="64">
        <f ca="1">(AG131*DATOSAÑO!$Z$11)/DATOSAÑO!$Y$11</f>
        <v>4.8199921504640149E-2</v>
      </c>
      <c r="AI131" s="62">
        <f ca="1">DATOSAÑO!BS130</f>
        <v>2.9039999999999999</v>
      </c>
      <c r="AJ131" s="64">
        <f ca="1">(AI131*DATOSAÑO!$Z$11)/DATOSAÑO!$Y$11</f>
        <v>5.2326195158689366E-2</v>
      </c>
      <c r="AK131" s="62">
        <f ca="1">DATOSAÑO!BV130</f>
        <v>0</v>
      </c>
      <c r="AL131" s="64">
        <f ca="1">(AK131*DATOSAÑO!$Z$11)/DATOSAÑO!$Y$11</f>
        <v>0</v>
      </c>
      <c r="AM131" s="62">
        <f ca="1">DATOSAÑO!BY130</f>
        <v>4.9729999999999999</v>
      </c>
      <c r="AN131" s="64">
        <f ca="1">(AM131*DATOSAÑO!$Z$11)/DATOSAÑO!$Y$11</f>
        <v>8.9606807343031072E-2</v>
      </c>
      <c r="AO131" s="62">
        <f ca="1">DATOSAÑO!CF130</f>
        <v>11.976499999982686</v>
      </c>
      <c r="AP131" s="64">
        <f ca="1">(AO131*DATOSAÑO!$Z$11)/DATOSAÑO!$Y$11</f>
        <v>0.21580050837366982</v>
      </c>
      <c r="AQ131" s="62">
        <f ca="1">DATOSAÑO!CL130</f>
        <v>2.5449999999998543</v>
      </c>
      <c r="AR131" s="1077">
        <f ca="1">(AQ131*DATOSAÑO!$Z$11)/DATOSAÑO!$Y$11</f>
        <v>4.5857495412829477E-2</v>
      </c>
      <c r="AS131" s="1335">
        <f t="shared" si="5"/>
        <v>18</v>
      </c>
    </row>
    <row r="132" spans="1:45" ht="16.5" customHeight="1" thickBot="1">
      <c r="A132" s="1371">
        <v>45047</v>
      </c>
      <c r="B132" s="1021">
        <v>45047</v>
      </c>
      <c r="C132" s="9">
        <f ca="1">DATOSAÑO!I131</f>
        <v>307.15000000002328</v>
      </c>
      <c r="D132" s="10">
        <f ca="1">DATOSAÑO!$D131</f>
        <v>5.2262848504997255</v>
      </c>
      <c r="E132" s="11">
        <f ca="1">DATOSAÑO!$G131</f>
        <v>0</v>
      </c>
      <c r="F132" s="9">
        <f ca="1">DATOSAÑO!P131</f>
        <v>145.09999999999854</v>
      </c>
      <c r="G132" s="10">
        <f ca="1">DATOSAÑO!K131</f>
        <v>3.8397628476450887</v>
      </c>
      <c r="H132" s="175">
        <f ca="1">DATOSAÑO!N131</f>
        <v>0</v>
      </c>
      <c r="I132" s="173">
        <f ca="1">DATOSAÑO!Q131</f>
        <v>0</v>
      </c>
      <c r="J132" s="175">
        <f ca="1">DATOSAÑO!R131</f>
        <v>0</v>
      </c>
      <c r="K132" s="173">
        <f ca="1">DATOSAÑO!T131</f>
        <v>0</v>
      </c>
      <c r="L132" s="175">
        <f t="shared" ca="1" si="3"/>
        <v>0</v>
      </c>
      <c r="M132" s="173"/>
      <c r="N132" s="175">
        <f t="shared" si="4"/>
        <v>0</v>
      </c>
      <c r="O132" s="9">
        <f>DATOSAÑO!CT131</f>
        <v>0</v>
      </c>
      <c r="P132" s="9">
        <f>DATOSAÑO!CU131</f>
        <v>0</v>
      </c>
      <c r="Q132" s="173">
        <f ca="1">DATOSAÑO!AD131</f>
        <v>163.69999999999982</v>
      </c>
      <c r="R132" s="175">
        <f ca="1">(Q132*DATOSAÑO!$Z$11)/DATOSAÑO!$Y$11</f>
        <v>2.949655009461928</v>
      </c>
      <c r="S132" s="173">
        <f ca="1">DATOSAÑO!AF131</f>
        <v>153.05999999999767</v>
      </c>
      <c r="T132" s="175">
        <f ca="1">(S132*DATOSAÑO!$Z$11)/DATOSAÑO!$Y$11</f>
        <v>2.7579364431779863</v>
      </c>
      <c r="U132" s="173">
        <f ca="1">DATOSAÑO!AH131</f>
        <v>12.900000000001455</v>
      </c>
      <c r="V132" s="175">
        <f ca="1">(U132*DATOSAÑO!$Z$11)/DATOSAÑO!$Y$11</f>
        <v>0.23244074295701411</v>
      </c>
      <c r="W132" s="173">
        <f ca="1">DATOSAÑO!AI131</f>
        <v>38.180000000007567</v>
      </c>
      <c r="X132" s="175">
        <f ca="1">(W132*DATOSAÑO!$Z$11)/DATOSAÑO!$Y$11</f>
        <v>0.68795252450384159</v>
      </c>
      <c r="Y132" s="173">
        <f ca="1">DATOSAÑO!AJ131</f>
        <v>8.1699999999982538</v>
      </c>
      <c r="Z132" s="175">
        <f ca="1">(Y132*DATOSAÑO!$Z$11)/DATOSAÑO!$Y$11</f>
        <v>0.14721247053939418</v>
      </c>
      <c r="AA132" s="173">
        <f ca="1">DATOSAÑO!AK131</f>
        <v>13.619999999995343</v>
      </c>
      <c r="AB132" s="175">
        <f ca="1">(AA132*DATOSAÑO!$Z$11)/DATOSAÑO!$Y$11</f>
        <v>0.24541417977310795</v>
      </c>
      <c r="AC132" s="173">
        <f ca="1">DATOSAÑO!AL131</f>
        <v>34.080000000020846</v>
      </c>
      <c r="AD132" s="175">
        <f ca="1">(AC132*DATOSAÑO!$Z$11)/DATOSAÑO!$Y$11</f>
        <v>0.61407600930069706</v>
      </c>
      <c r="AE132" s="173">
        <f ca="1">DATOSAÑO!AM131</f>
        <v>7.1299999999998773</v>
      </c>
      <c r="AF132" s="175">
        <f ca="1">(AE132*DATOSAÑO!$Z$11)/DATOSAÑO!$Y$11</f>
        <v>0.12847306180490659</v>
      </c>
      <c r="AG132" s="173">
        <f ca="1">DATOSAÑO!AN131</f>
        <v>3.1980000000001274</v>
      </c>
      <c r="AH132" s="175">
        <f ca="1">(AG132*DATOSAÑO!$Z$11)/DATOSAÑO!$Y$11</f>
        <v>5.7623681858641619E-2</v>
      </c>
      <c r="AI132" s="9">
        <f ca="1">DATOSAÑO!BS131</f>
        <v>2.8559999999999999</v>
      </c>
      <c r="AJ132" s="11">
        <f ca="1">(AI132*DATOSAÑO!$Z$11)/DATOSAÑO!$Y$11</f>
        <v>5.1461299370942432E-2</v>
      </c>
      <c r="AK132" s="9">
        <f ca="1">DATOSAÑO!BV131</f>
        <v>0</v>
      </c>
      <c r="AL132" s="11">
        <f ca="1">(AK132*DATOSAÑO!$Z$11)/DATOSAÑO!$Y$11</f>
        <v>0</v>
      </c>
      <c r="AM132" s="9">
        <f ca="1">DATOSAÑO!BY131</f>
        <v>5.1539999999999999</v>
      </c>
      <c r="AN132" s="11">
        <f ca="1">(AM132*DATOSAÑO!$Z$11)/DATOSAÑO!$Y$11</f>
        <v>9.2868185209326784E-2</v>
      </c>
      <c r="AO132" s="9">
        <f ca="1">DATOSAÑO!CF131</f>
        <v>12.355000000000812</v>
      </c>
      <c r="AP132" s="11">
        <f ca="1">(AO132*DATOSAÑO!$Z$11)/DATOSAÑO!$Y$11</f>
        <v>0.2226205720336259</v>
      </c>
      <c r="AQ132" s="9">
        <f ca="1">DATOSAÑO!CL131</f>
        <v>2.6912000000000509</v>
      </c>
      <c r="AR132" s="1300">
        <f ca="1">(AQ132*DATOSAÑO!$Z$11)/DATOSAÑO!$Y$11</f>
        <v>4.8491823833012218E-2</v>
      </c>
      <c r="AS132" s="1369">
        <f t="shared" si="5"/>
        <v>18</v>
      </c>
    </row>
    <row r="133" spans="1:45" ht="15" thickBot="1">
      <c r="A133" s="1371">
        <v>45048</v>
      </c>
      <c r="B133" s="1021">
        <v>45048</v>
      </c>
      <c r="C133" s="187">
        <f ca="1">DATOSAÑO!I132</f>
        <v>312.69999999995343</v>
      </c>
      <c r="D133" s="188">
        <f ca="1">DATOSAÑO!$D132</f>
        <v>5.2737714109177771</v>
      </c>
      <c r="E133" s="189">
        <f ca="1">DATOSAÑO!$G132</f>
        <v>0</v>
      </c>
      <c r="F133" s="85">
        <f ca="1">DATOSAÑO!P132</f>
        <v>148</v>
      </c>
      <c r="G133" s="10">
        <f ca="1">DATOSAÑO!K132</f>
        <v>3.8645756449809716</v>
      </c>
      <c r="H133" s="11">
        <f ca="1">DATOSAÑO!N132</f>
        <v>0</v>
      </c>
      <c r="I133" s="9">
        <f ca="1">DATOSAÑO!Q132</f>
        <v>0.17599999999993088</v>
      </c>
      <c r="J133" s="11">
        <f ca="1">DATOSAÑO!R132</f>
        <v>21.119999999991705</v>
      </c>
      <c r="K133" s="9">
        <f ca="1">DATOSAÑO!T132</f>
        <v>0.20299999999997453</v>
      </c>
      <c r="L133" s="11">
        <f t="shared" ca="1" si="3"/>
        <v>24.359999999996944</v>
      </c>
      <c r="M133" s="9"/>
      <c r="N133" s="11">
        <f t="shared" si="4"/>
        <v>0</v>
      </c>
      <c r="O133" s="9">
        <f>DATOSAÑO!CT132</f>
        <v>1</v>
      </c>
      <c r="P133" s="9">
        <f>DATOSAÑO!CU132</f>
        <v>1</v>
      </c>
      <c r="Q133" s="9">
        <f ca="1">DATOSAÑO!AD132</f>
        <v>167.59999999999991</v>
      </c>
      <c r="R133" s="11">
        <f ca="1">(Q133*DATOSAÑO!$Z$11)/DATOSAÑO!$Y$11</f>
        <v>3.0199277922163676</v>
      </c>
      <c r="S133" s="9">
        <f ca="1">DATOSAÑO!AF132</f>
        <v>153.73999999999069</v>
      </c>
      <c r="T133" s="11">
        <f ca="1">(S133*DATOSAÑO!$Z$11)/DATOSAÑO!$Y$11</f>
        <v>2.7701891335042754</v>
      </c>
      <c r="U133" s="9">
        <f ca="1">DATOSAÑO!AH132</f>
        <v>14.30000000000291</v>
      </c>
      <c r="V133" s="11">
        <f ca="1">(U133*DATOSAÑO!$Z$11)/DATOSAÑO!$Y$11</f>
        <v>0.25766687009965916</v>
      </c>
      <c r="W133" s="9">
        <f ca="1">DATOSAÑO!AI132</f>
        <v>38.529999999998836</v>
      </c>
      <c r="X133" s="11">
        <f ca="1">(W133*DATOSAÑO!$Z$11)/DATOSAÑO!$Y$11</f>
        <v>0.69425905628933893</v>
      </c>
      <c r="Y133" s="9">
        <f ca="1">DATOSAÑO!AJ132</f>
        <v>7.1000000000058208</v>
      </c>
      <c r="Z133" s="11">
        <f ca="1">(Y133*DATOSAÑO!$Z$11)/DATOSAÑO!$Y$11</f>
        <v>0.12793250193767186</v>
      </c>
      <c r="AA133" s="9">
        <f ca="1">DATOSAÑO!AK132</f>
        <v>14.880000000004657</v>
      </c>
      <c r="AB133" s="11">
        <f ca="1">(AA133*DATOSAÑO!$Z$11)/DATOSAÑO!$Y$11</f>
        <v>0.26811769420163273</v>
      </c>
      <c r="AC133" s="9">
        <f ca="1">DATOSAÑO!AL132</f>
        <v>36.068999999917196</v>
      </c>
      <c r="AD133" s="11">
        <f ca="1">(AC133*DATOSAÑO!$Z$11)/DATOSAÑO!$Y$11</f>
        <v>0.6499151285035929</v>
      </c>
      <c r="AE133" s="9">
        <f ca="1">DATOSAÑO!AM132</f>
        <v>7.4810000000343138</v>
      </c>
      <c r="AF133" s="11">
        <f ca="1">(AE133*DATOSAÑO!$Z$11)/DATOSAÑO!$Y$11</f>
        <v>0.13479761225342654</v>
      </c>
      <c r="AG133" s="9">
        <f ca="1">DATOSAÑO!AN132</f>
        <v>3.1139999999998906</v>
      </c>
      <c r="AH133" s="11">
        <f ca="1">(AG133*DATOSAÑO!$Z$11)/DATOSAÑO!$Y$11</f>
        <v>5.6110114230080214E-2</v>
      </c>
      <c r="AI133" s="9">
        <f ca="1">DATOSAÑO!BS132</f>
        <v>2.8319999999999999</v>
      </c>
      <c r="AJ133" s="11">
        <f ca="1">(AI133*DATOSAÑO!$Z$11)/DATOSAÑO!$Y$11</f>
        <v>5.1028851477068961E-2</v>
      </c>
      <c r="AK133" s="9">
        <f ca="1">DATOSAÑO!BV132</f>
        <v>0</v>
      </c>
      <c r="AL133" s="11">
        <f ca="1">(AK133*DATOSAÑO!$Z$11)/DATOSAÑO!$Y$11</f>
        <v>0</v>
      </c>
      <c r="AM133" s="9">
        <f ca="1">DATOSAÑO!BY132</f>
        <v>5.2169999999999996</v>
      </c>
      <c r="AN133" s="11">
        <f ca="1">(AM133*DATOSAÑO!$Z$11)/DATOSAÑO!$Y$11</f>
        <v>9.4003360930744628E-2</v>
      </c>
      <c r="AO133" s="9">
        <f ca="1">DATOSAÑO!CF132</f>
        <v>12.450500000016284</v>
      </c>
      <c r="AP133" s="11">
        <f ca="1">(AO133*DATOSAÑO!$Z$11)/DATOSAÑO!$Y$11</f>
        <v>0.22434135427827617</v>
      </c>
      <c r="AQ133" s="9">
        <f ca="1">DATOSAÑO!CL132</f>
        <v>2.7515999999999563</v>
      </c>
      <c r="AR133" s="1300">
        <f ca="1">(AQ133*DATOSAÑO!$Z$11)/DATOSAÑO!$Y$11</f>
        <v>4.9580151032592064E-2</v>
      </c>
      <c r="AS133" s="1334">
        <f t="shared" si="5"/>
        <v>18</v>
      </c>
    </row>
    <row r="134" spans="1:45" ht="16.5" customHeight="1" thickBot="1">
      <c r="A134" s="1371">
        <v>45049</v>
      </c>
      <c r="B134" s="1021">
        <v>45049</v>
      </c>
      <c r="C134" s="9">
        <f ca="1">DATOSAÑO!I133</f>
        <v>286</v>
      </c>
      <c r="D134" s="10">
        <f ca="1">DATOSAÑO!$D133</f>
        <v>5.0453225526879191</v>
      </c>
      <c r="E134" s="11">
        <f ca="1">DATOSAÑO!$G133</f>
        <v>0</v>
      </c>
      <c r="F134" s="85">
        <f ca="1">DATOSAÑO!P133</f>
        <v>146</v>
      </c>
      <c r="G134" s="10">
        <f ca="1">DATOSAÑO!K133</f>
        <v>3.8474633709562331</v>
      </c>
      <c r="H134" s="11">
        <f ca="1">DATOSAÑO!N133</f>
        <v>0</v>
      </c>
      <c r="I134" s="9">
        <f ca="1">DATOSAÑO!Q133</f>
        <v>0</v>
      </c>
      <c r="J134" s="11">
        <f ca="1">DATOSAÑO!R133</f>
        <v>0</v>
      </c>
      <c r="K134" s="9">
        <f ca="1">DATOSAÑO!T133</f>
        <v>0</v>
      </c>
      <c r="L134" s="11">
        <f t="shared" ca="1" si="3"/>
        <v>0</v>
      </c>
      <c r="M134" s="9"/>
      <c r="N134" s="11">
        <f t="shared" si="4"/>
        <v>0</v>
      </c>
      <c r="O134" s="9">
        <f>DATOSAÑO!CT133</f>
        <v>0</v>
      </c>
      <c r="P134" s="9">
        <f>DATOSAÑO!CU133</f>
        <v>0</v>
      </c>
      <c r="Q134" s="9">
        <f ca="1">DATOSAÑO!AD133</f>
        <v>155</v>
      </c>
      <c r="R134" s="11">
        <f ca="1">(Q134*DATOSAÑO!$Z$11)/DATOSAÑO!$Y$11</f>
        <v>2.7928926479328005</v>
      </c>
      <c r="S134" s="9">
        <f ca="1">DATOSAÑO!AF133</f>
        <v>152</v>
      </c>
      <c r="T134" s="11">
        <f ca="1">(S134*DATOSAÑO!$Z$11)/DATOSAÑO!$Y$11</f>
        <v>2.7388366611986168</v>
      </c>
      <c r="U134" s="9">
        <f ca="1">DATOSAÑO!AH133</f>
        <v>6.1999999999989086</v>
      </c>
      <c r="V134" s="11">
        <f ca="1">(U134*DATOSAÑO!$Z$11)/DATOSAÑO!$Y$11</f>
        <v>0.11171570591729234</v>
      </c>
      <c r="W134" s="9">
        <f ca="1">DATOSAÑO!AI133</f>
        <v>38.5</v>
      </c>
      <c r="X134" s="11">
        <f ca="1">(W134*DATOSAÑO!$Z$11)/DATOSAÑO!$Y$11</f>
        <v>0.6937184964220181</v>
      </c>
      <c r="Y134" s="9">
        <f ca="1">DATOSAÑO!AJ133</f>
        <v>4.1999999999970896</v>
      </c>
      <c r="Z134" s="11">
        <f ca="1">(Y134*DATOSAÑO!$Z$11)/DATOSAÑO!$Y$11</f>
        <v>7.5678381427804073E-2</v>
      </c>
      <c r="AA134" s="9">
        <f ca="1">DATOSAÑO!AK133</f>
        <v>13.399999999994179</v>
      </c>
      <c r="AB134" s="11">
        <f ca="1">(AA134*DATOSAÑO!$Z$11)/DATOSAÑO!$Y$11</f>
        <v>0.24145007407924685</v>
      </c>
      <c r="AC134" s="9">
        <f ca="1">DATOSAÑO!AL133</f>
        <v>33.000000000009095</v>
      </c>
      <c r="AD134" s="11">
        <f ca="1">(AC134*DATOSAÑO!$Z$11)/DATOSAÑO!$Y$11</f>
        <v>0.59461585407617945</v>
      </c>
      <c r="AE134" s="9">
        <f ca="1">DATOSAÑO!AM133</f>
        <v>7.9159999999999133</v>
      </c>
      <c r="AF134" s="11">
        <f ca="1">(AE134*DATOSAÑO!$Z$11)/DATOSAÑO!$Y$11</f>
        <v>0.14263573032926324</v>
      </c>
      <c r="AG134" s="9">
        <f ca="1">DATOSAÑO!AN133</f>
        <v>3.355000000000091</v>
      </c>
      <c r="AH134" s="11">
        <f ca="1">(AG134*DATOSAÑO!$Z$11)/DATOSAÑO!$Y$11</f>
        <v>6.0452611831063215E-2</v>
      </c>
      <c r="AI134" s="9">
        <f ca="1">DATOSAÑO!BS133</f>
        <v>2.88</v>
      </c>
      <c r="AJ134" s="11">
        <f ca="1">(AI134*DATOSAÑO!$Z$11)/DATOSAÑO!$Y$11</f>
        <v>5.1893747264815895E-2</v>
      </c>
      <c r="AK134" s="9">
        <f ca="1">DATOSAÑO!BV133</f>
        <v>0</v>
      </c>
      <c r="AL134" s="11">
        <f ca="1">(AK134*DATOSAÑO!$Z$11)/DATOSAÑO!$Y$11</f>
        <v>0</v>
      </c>
      <c r="AM134" s="9">
        <f ca="1">DATOSAÑO!BY133</f>
        <v>5.3040000000000003</v>
      </c>
      <c r="AN134" s="11">
        <f ca="1">(AM134*DATOSAÑO!$Z$11)/DATOSAÑO!$Y$11</f>
        <v>9.557098454603595E-2</v>
      </c>
      <c r="AO134" s="9">
        <f ca="1">DATOSAÑO!CF133</f>
        <v>12.658000000000683</v>
      </c>
      <c r="AP134" s="11">
        <f ca="1">(AO134*DATOSAÑO!$Z$11)/DATOSAÑO!$Y$11</f>
        <v>0.22808022669377606</v>
      </c>
      <c r="AQ134" s="9">
        <f ca="1">DATOSAÑO!CL133</f>
        <v>2.8870000000000364</v>
      </c>
      <c r="AR134" s="1300">
        <f ca="1">(AQ134*DATOSAÑO!$Z$11)/DATOSAÑO!$Y$11</f>
        <v>5.201987790052965E-2</v>
      </c>
      <c r="AS134" s="1334">
        <f t="shared" si="5"/>
        <v>18</v>
      </c>
    </row>
    <row r="135" spans="1:45" ht="15" thickBot="1">
      <c r="A135" s="1371">
        <v>45050</v>
      </c>
      <c r="B135" s="1021">
        <v>45050</v>
      </c>
      <c r="C135" s="9">
        <f ca="1">DATOSAÑO!I134</f>
        <v>295</v>
      </c>
      <c r="D135" s="10">
        <f ca="1">DATOSAÑO!$D134</f>
        <v>5.1223277857992411</v>
      </c>
      <c r="E135" s="11">
        <f ca="1">DATOSAÑO!$G134</f>
        <v>0</v>
      </c>
      <c r="F135" s="85">
        <f ca="1">DATOSAÑO!P134</f>
        <v>150</v>
      </c>
      <c r="G135" s="10">
        <f ca="1">DATOSAÑO!K134</f>
        <v>3.8816879190057101</v>
      </c>
      <c r="H135" s="11">
        <f ca="1">DATOSAÑO!N134</f>
        <v>0</v>
      </c>
      <c r="I135" s="9">
        <f ca="1">DATOSAÑO!Q134</f>
        <v>0</v>
      </c>
      <c r="J135" s="11">
        <f ca="1">DATOSAÑO!R134</f>
        <v>0</v>
      </c>
      <c r="K135" s="9">
        <f ca="1">DATOSAÑO!T134</f>
        <v>0</v>
      </c>
      <c r="L135" s="11">
        <f t="shared" ca="1" si="3"/>
        <v>0</v>
      </c>
      <c r="M135" s="9"/>
      <c r="N135" s="11">
        <f t="shared" si="4"/>
        <v>0</v>
      </c>
      <c r="O135" s="9">
        <f>DATOSAÑO!CT134</f>
        <v>0</v>
      </c>
      <c r="P135" s="9">
        <f>DATOSAÑO!CU134</f>
        <v>0</v>
      </c>
      <c r="Q135" s="9">
        <f ca="1">DATOSAÑO!AD134</f>
        <v>165.40000000000009</v>
      </c>
      <c r="R135" s="11">
        <f ca="1">(Q135*DATOSAÑO!$Z$11)/DATOSAÑO!$Y$11</f>
        <v>2.9802867352779701</v>
      </c>
      <c r="S135" s="9">
        <f ca="1">DATOSAÑO!AF134</f>
        <v>154</v>
      </c>
      <c r="T135" s="11">
        <f ca="1">(S135*DATOSAÑO!$Z$11)/DATOSAÑO!$Y$11</f>
        <v>2.7748739856880724</v>
      </c>
      <c r="U135" s="9">
        <f ca="1">DATOSAÑO!AH134</f>
        <v>7.2999999999956344</v>
      </c>
      <c r="V135" s="11">
        <f ca="1">(U135*DATOSAÑO!$Z$11)/DATOSAÑO!$Y$11</f>
        <v>0.13153623438643386</v>
      </c>
      <c r="W135" s="9">
        <f ca="1">DATOSAÑO!AI134</f>
        <v>38.599999999991269</v>
      </c>
      <c r="X135" s="11">
        <f ca="1">(W135*DATOSAÑO!$Z$11)/DATOSAÑO!$Y$11</f>
        <v>0.69552036264633355</v>
      </c>
      <c r="Y135" s="9">
        <f ca="1">DATOSAÑO!AJ134</f>
        <v>4.8000000000029104</v>
      </c>
      <c r="Z135" s="11">
        <f ca="1">(Y135*DATOSAÑO!$Z$11)/DATOSAÑO!$Y$11</f>
        <v>8.6489578774745612E-2</v>
      </c>
      <c r="AA135" s="9">
        <f ca="1">DATOSAÑO!AK134</f>
        <v>12.700000000011642</v>
      </c>
      <c r="AB135" s="11">
        <f ca="1">(AA135*DATOSAÑO!$Z$11)/DATOSAÑO!$Y$11</f>
        <v>0.22883701050825211</v>
      </c>
      <c r="AC135" s="9">
        <f ca="1">DATOSAÑO!AL134</f>
        <v>34.099999999999966</v>
      </c>
      <c r="AD135" s="11">
        <f ca="1">(AC135*DATOSAÑO!$Z$11)/DATOSAÑO!$Y$11</f>
        <v>0.61443638254521538</v>
      </c>
      <c r="AE135" s="9">
        <f ca="1">DATOSAÑO!AM134</f>
        <v>5.9519999999990141</v>
      </c>
      <c r="AF135" s="11">
        <f ca="1">(AE135*DATOSAÑO!$Z$11)/DATOSAÑO!$Y$11</f>
        <v>0.10724707768060175</v>
      </c>
      <c r="AG135" s="9">
        <f ca="1">DATOSAÑO!AN134</f>
        <v>3.863999999999908</v>
      </c>
      <c r="AH135" s="11">
        <f ca="1">(AG135*DATOSAÑO!$Z$11)/DATOSAÑO!$Y$11</f>
        <v>6.962411091362633E-2</v>
      </c>
      <c r="AI135" s="9">
        <f ca="1">DATOSAÑO!BS134</f>
        <v>2.64</v>
      </c>
      <c r="AJ135" s="11">
        <f ca="1">(AI135*DATOSAÑO!$Z$11)/DATOSAÑO!$Y$11</f>
        <v>4.7569268326081236E-2</v>
      </c>
      <c r="AK135" s="9">
        <f ca="1">DATOSAÑO!BV134</f>
        <v>0</v>
      </c>
      <c r="AL135" s="11">
        <f ca="1">(AK135*DATOSAÑO!$Z$11)/DATOSAÑO!$Y$11</f>
        <v>0</v>
      </c>
      <c r="AM135" s="9">
        <f ca="1">DATOSAÑO!BY134</f>
        <v>5.2880000000000003</v>
      </c>
      <c r="AN135" s="11">
        <f ca="1">(AM135*DATOSAÑO!$Z$11)/DATOSAÑO!$Y$11</f>
        <v>9.5282685950120308E-2</v>
      </c>
      <c r="AO135" s="9">
        <f ca="1">DATOSAÑO!CF134</f>
        <v>11.875999999999143</v>
      </c>
      <c r="AP135" s="11">
        <f ca="1">(AO135*DATOSAÑO!$Z$11)/DATOSAÑO!$Y$11</f>
        <v>0.21398963281837122</v>
      </c>
      <c r="AQ135" s="9">
        <f ca="1">DATOSAÑO!CL134</f>
        <v>3.0015999999999634</v>
      </c>
      <c r="AR135" s="1300">
        <f ca="1">(AQ135*DATOSAÑO!$Z$11)/DATOSAÑO!$Y$11</f>
        <v>5.4084816593774128E-2</v>
      </c>
      <c r="AS135" s="1334">
        <f t="shared" si="5"/>
        <v>18</v>
      </c>
    </row>
    <row r="136" spans="1:45" ht="16.5" customHeight="1" thickBot="1">
      <c r="A136" s="1371">
        <v>45051</v>
      </c>
      <c r="B136" s="1021">
        <v>45051</v>
      </c>
      <c r="C136" s="9">
        <f ca="1">DATOSAÑO!I135</f>
        <v>314</v>
      </c>
      <c r="D136" s="10">
        <f ca="1">DATOSAÑO!$D135</f>
        <v>5.2848943890342559</v>
      </c>
      <c r="E136" s="11">
        <f ca="1">DATOSAÑO!$G135</f>
        <v>0</v>
      </c>
      <c r="F136" s="85">
        <f ca="1">DATOSAÑO!P135</f>
        <v>148</v>
      </c>
      <c r="G136" s="10">
        <f ca="1">DATOSAÑO!K135</f>
        <v>3.8645756449809716</v>
      </c>
      <c r="H136" s="11">
        <f ca="1">DATOSAÑO!N135</f>
        <v>0</v>
      </c>
      <c r="I136" s="9">
        <f ca="1">DATOSAÑO!Q135</f>
        <v>0</v>
      </c>
      <c r="J136" s="11">
        <f ca="1">DATOSAÑO!R135</f>
        <v>0</v>
      </c>
      <c r="K136" s="9">
        <f ca="1">DATOSAÑO!T135</f>
        <v>0</v>
      </c>
      <c r="L136" s="11">
        <f t="shared" ca="1" si="3"/>
        <v>0</v>
      </c>
      <c r="M136" s="9"/>
      <c r="N136" s="11">
        <f t="shared" si="4"/>
        <v>0</v>
      </c>
      <c r="O136" s="9">
        <f>DATOSAÑO!CT135</f>
        <v>0</v>
      </c>
      <c r="P136" s="9">
        <f>DATOSAÑO!CU135</f>
        <v>0</v>
      </c>
      <c r="Q136" s="9">
        <f ca="1">DATOSAÑO!AD135</f>
        <v>164</v>
      </c>
      <c r="R136" s="11">
        <f ca="1">(Q136*DATOSAÑO!$Z$11)/DATOSAÑO!$Y$11</f>
        <v>2.9550606081353497</v>
      </c>
      <c r="S136" s="9">
        <f ca="1">DATOSAÑO!AF135</f>
        <v>152</v>
      </c>
      <c r="T136" s="11">
        <f ca="1">(S136*DATOSAÑO!$Z$11)/DATOSAÑO!$Y$11</f>
        <v>2.7388366611986168</v>
      </c>
      <c r="U136" s="9">
        <f ca="1">DATOSAÑO!AH135</f>
        <v>20.100000000005821</v>
      </c>
      <c r="V136" s="11">
        <f ca="1">(U136*DATOSAÑO!$Z$11)/DATOSAÑO!$Y$11</f>
        <v>0.36217511111913248</v>
      </c>
      <c r="W136" s="9">
        <f ca="1">DATOSAÑO!AI135</f>
        <v>38.80000000000291</v>
      </c>
      <c r="X136" s="11">
        <f ca="1">(W136*DATOSAÑO!$Z$11)/DATOSAÑO!$Y$11</f>
        <v>0.6991240950954889</v>
      </c>
      <c r="Y136" s="9">
        <f ca="1">DATOSAÑO!AJ135</f>
        <v>8.0999999999912689</v>
      </c>
      <c r="Z136" s="11">
        <f ca="1">(Y136*DATOSAÑO!$Z$11)/DATOSAÑO!$Y$11</f>
        <v>0.14595116418213738</v>
      </c>
      <c r="AA136" s="9">
        <f ca="1">DATOSAÑO!AK135</f>
        <v>15.099999999976717</v>
      </c>
      <c r="AB136" s="11">
        <f ca="1">(AA136*DATOSAÑO!$Z$11)/DATOSAÑO!$Y$11</f>
        <v>0.27208179989496939</v>
      </c>
      <c r="AC136" s="9">
        <f ca="1">DATOSAÑO!AL135</f>
        <v>34.90000000002334</v>
      </c>
      <c r="AD136" s="11">
        <f ca="1">(AC136*DATOSAÑO!$Z$11)/DATOSAÑO!$Y$11</f>
        <v>0.62885131234141878</v>
      </c>
      <c r="AE136" s="9">
        <f ca="1">DATOSAÑO!AM135</f>
        <v>6.8239999999996446</v>
      </c>
      <c r="AF136" s="11">
        <f ca="1">(AE136*DATOSAÑO!$Z$11)/DATOSAÑO!$Y$11</f>
        <v>0.12295935115801572</v>
      </c>
      <c r="AG136" s="9">
        <f ca="1">DATOSAÑO!AN135</f>
        <v>3.5610000000003641</v>
      </c>
      <c r="AH136" s="11">
        <f ca="1">(AG136*DATOSAÑO!$Z$11)/DATOSAÑO!$Y$11</f>
        <v>6.416445625348205E-2</v>
      </c>
      <c r="AI136" s="9">
        <f ca="1">DATOSAÑO!BS135</f>
        <v>2.8079999999999998</v>
      </c>
      <c r="AJ136" s="11">
        <f ca="1">(AI136*DATOSAÑO!$Z$11)/DATOSAÑO!$Y$11</f>
        <v>5.0596403583195497E-2</v>
      </c>
      <c r="AK136" s="9">
        <f ca="1">DATOSAÑO!BV135</f>
        <v>0</v>
      </c>
      <c r="AL136" s="11">
        <f ca="1">(AK136*DATOSAÑO!$Z$11)/DATOSAÑO!$Y$11</f>
        <v>0</v>
      </c>
      <c r="AM136" s="9">
        <f ca="1">DATOSAÑO!BY135</f>
        <v>5.2679999999999998</v>
      </c>
      <c r="AN136" s="11">
        <f ca="1">(AM136*DATOSAÑO!$Z$11)/DATOSAÑO!$Y$11</f>
        <v>9.4922312705225748E-2</v>
      </c>
      <c r="AO136" s="9">
        <f ca="1">DATOSAÑO!CF135</f>
        <v>12.411999999999821</v>
      </c>
      <c r="AP136" s="11">
        <f ca="1">(AO136*DATOSAÑO!$Z$11)/DATOSAÑO!$Y$11</f>
        <v>0.22364763578155752</v>
      </c>
      <c r="AQ136" s="9">
        <f ca="1">DATOSAÑO!CL135</f>
        <v>2.9634000000001457</v>
      </c>
      <c r="AR136" s="1300">
        <f ca="1">(AQ136*DATOSAÑO!$Z$11)/DATOSAÑO!$Y$11</f>
        <v>5.3396503696028816E-2</v>
      </c>
      <c r="AS136" s="1334">
        <f t="shared" si="5"/>
        <v>18</v>
      </c>
    </row>
    <row r="137" spans="1:45" ht="15" thickBot="1">
      <c r="A137" s="1371">
        <v>45052</v>
      </c>
      <c r="B137" s="1021">
        <v>45052</v>
      </c>
      <c r="C137" s="9">
        <f ca="1">DATOSAÑO!I136</f>
        <v>216</v>
      </c>
      <c r="D137" s="10">
        <f ca="1">DATOSAÑO!$D136</f>
        <v>4.4463929618220757</v>
      </c>
      <c r="E137" s="11">
        <f ca="1">DATOSAÑO!$G136</f>
        <v>0</v>
      </c>
      <c r="F137" s="85">
        <f ca="1">DATOSAÑO!P136</f>
        <v>238</v>
      </c>
      <c r="G137" s="10">
        <f ca="1">DATOSAÑO!K136</f>
        <v>4.6346279760941975</v>
      </c>
      <c r="H137" s="11">
        <f ca="1">DATOSAÑO!N136</f>
        <v>0</v>
      </c>
      <c r="I137" s="9">
        <f ca="1">DATOSAÑO!Q136</f>
        <v>0</v>
      </c>
      <c r="J137" s="11">
        <f ca="1">DATOSAÑO!R136</f>
        <v>0</v>
      </c>
      <c r="K137" s="9">
        <f ca="1">DATOSAÑO!T136</f>
        <v>0</v>
      </c>
      <c r="L137" s="11">
        <f t="shared" ca="1" si="3"/>
        <v>0</v>
      </c>
      <c r="M137" s="9"/>
      <c r="N137" s="11">
        <f t="shared" si="4"/>
        <v>0</v>
      </c>
      <c r="O137" s="9">
        <f>DATOSAÑO!CT136</f>
        <v>0</v>
      </c>
      <c r="P137" s="9">
        <f>DATOSAÑO!CU136</f>
        <v>0</v>
      </c>
      <c r="Q137" s="9">
        <f ca="1">DATOSAÑO!AD136</f>
        <v>165</v>
      </c>
      <c r="R137" s="11">
        <f ca="1">(Q137*DATOSAÑO!$Z$11)/DATOSAÑO!$Y$11</f>
        <v>2.9730792703800777</v>
      </c>
      <c r="S137" s="9">
        <f ca="1">DATOSAÑO!AF136</f>
        <v>152</v>
      </c>
      <c r="T137" s="11">
        <f ca="1">(S137*DATOSAÑO!$Z$11)/DATOSAÑO!$Y$11</f>
        <v>2.7388366611986168</v>
      </c>
      <c r="U137" s="9">
        <f ca="1">DATOSAÑO!AH136</f>
        <v>12.19999999999709</v>
      </c>
      <c r="V137" s="11">
        <f ca="1">(U137*DATOSAÑO!$Z$11)/DATOSAÑO!$Y$11</f>
        <v>0.21982767938562603</v>
      </c>
      <c r="W137" s="9">
        <f ca="1">DATOSAÑO!AI136</f>
        <v>40.5</v>
      </c>
      <c r="X137" s="11">
        <f ca="1">(W137*DATOSAÑO!$Z$11)/DATOSAÑO!$Y$11</f>
        <v>0.72975582091147351</v>
      </c>
      <c r="Y137" s="9">
        <f ca="1">DATOSAÑO!AJ136</f>
        <v>7.8000000000029104</v>
      </c>
      <c r="Z137" s="11">
        <f ca="1">(Y137*DATOSAÑO!$Z$11)/DATOSAÑO!$Y$11</f>
        <v>0.14054556550892883</v>
      </c>
      <c r="AA137" s="9">
        <f ca="1">DATOSAÑO!AK136</f>
        <v>13.5</v>
      </c>
      <c r="AB137" s="11">
        <f ca="1">(AA137*DATOSAÑO!$Z$11)/DATOSAÑO!$Y$11</f>
        <v>0.24325194030382452</v>
      </c>
      <c r="AC137" s="9">
        <f ca="1">DATOSAÑO!AL136</f>
        <v>34</v>
      </c>
      <c r="AD137" s="11">
        <f ca="1">(AC137*DATOSAÑO!$Z$11)/DATOSAÑO!$Y$11</f>
        <v>0.61263451632074328</v>
      </c>
      <c r="AE137" s="9">
        <f ca="1">DATOSAÑO!AM136</f>
        <v>7.0479999999999929</v>
      </c>
      <c r="AF137" s="11">
        <f ca="1">(AE137*DATOSAÑO!$Z$11)/DATOSAÑO!$Y$11</f>
        <v>0.126995531500841</v>
      </c>
      <c r="AG137" s="9">
        <f ca="1">DATOSAÑO!AN136</f>
        <v>3.090000000000364</v>
      </c>
      <c r="AH137" s="11">
        <f ca="1">(AG137*DATOSAÑO!$Z$11)/DATOSAÑO!$Y$11</f>
        <v>5.5677666336215285E-2</v>
      </c>
      <c r="AI137" s="9">
        <f ca="1">DATOSAÑO!BS136</f>
        <v>3.12</v>
      </c>
      <c r="AJ137" s="11">
        <f ca="1">(AI137*DATOSAÑO!$Z$11)/DATOSAÑO!$Y$11</f>
        <v>5.6218226203550554E-2</v>
      </c>
      <c r="AK137" s="9">
        <f ca="1">DATOSAÑO!BV136</f>
        <v>0</v>
      </c>
      <c r="AL137" s="11">
        <f ca="1">(AK137*DATOSAÑO!$Z$11)/DATOSAÑO!$Y$11</f>
        <v>0</v>
      </c>
      <c r="AM137" s="9">
        <f ca="1">DATOSAÑO!BY136</f>
        <v>5.3319999999999999</v>
      </c>
      <c r="AN137" s="11">
        <f ca="1">(AM137*DATOSAÑO!$Z$11)/DATOSAÑO!$Y$11</f>
        <v>9.6075507088888318E-2</v>
      </c>
      <c r="AO137" s="9">
        <f ca="1">DATOSAÑO!CF136</f>
        <v>12.423999999999634</v>
      </c>
      <c r="AP137" s="11">
        <f ca="1">(AO137*DATOSAÑO!$Z$11)/DATOSAÑO!$Y$11</f>
        <v>0.22386385972849085</v>
      </c>
      <c r="AQ137" s="9">
        <f ca="1">DATOSAÑO!CL136</f>
        <v>2.7460000000001457</v>
      </c>
      <c r="AR137" s="1300">
        <f ca="1">(AQ137*DATOSAÑO!$Z$11)/DATOSAÑO!$Y$11</f>
        <v>4.9479246524025008E-2</v>
      </c>
      <c r="AS137" s="1334">
        <f t="shared" si="5"/>
        <v>18</v>
      </c>
    </row>
    <row r="138" spans="1:45" ht="16.5" customHeight="1" thickBot="1">
      <c r="A138" s="1371">
        <v>45053</v>
      </c>
      <c r="B138" s="1021">
        <v>45053</v>
      </c>
      <c r="C138" s="9">
        <f ca="1">DATOSAÑO!I137</f>
        <v>149</v>
      </c>
      <c r="D138" s="10">
        <f ca="1">DATOSAÑO!$D137</f>
        <v>3.8731317819933411</v>
      </c>
      <c r="E138" s="11">
        <f ca="1">DATOSAÑO!$G137</f>
        <v>0</v>
      </c>
      <c r="F138" s="85">
        <f ca="1">DATOSAÑO!P137</f>
        <v>301</v>
      </c>
      <c r="G138" s="10">
        <f ca="1">DATOSAÑO!K137</f>
        <v>5.1736646078734561</v>
      </c>
      <c r="H138" s="11">
        <f ca="1">DATOSAÑO!N137</f>
        <v>0</v>
      </c>
      <c r="I138" s="9">
        <f ca="1">DATOSAÑO!Q137</f>
        <v>0</v>
      </c>
      <c r="J138" s="11">
        <f ca="1">DATOSAÑO!R137</f>
        <v>0</v>
      </c>
      <c r="K138" s="9">
        <f ca="1">DATOSAÑO!T137</f>
        <v>0</v>
      </c>
      <c r="L138" s="11">
        <f t="shared" ca="1" si="3"/>
        <v>0</v>
      </c>
      <c r="M138" s="9"/>
      <c r="N138" s="11">
        <f t="shared" si="4"/>
        <v>0</v>
      </c>
      <c r="O138" s="9">
        <f>DATOSAÑO!CT137</f>
        <v>0</v>
      </c>
      <c r="P138" s="9">
        <f>DATOSAÑO!CU137</f>
        <v>0</v>
      </c>
      <c r="Q138" s="9">
        <f ca="1">DATOSAÑO!AD137</f>
        <v>168</v>
      </c>
      <c r="R138" s="11">
        <f ca="1">(Q138*DATOSAÑO!$Z$11)/DATOSAÑO!$Y$11</f>
        <v>3.0271352571142609</v>
      </c>
      <c r="S138" s="9">
        <f ca="1">DATOSAÑO!AF137</f>
        <v>152</v>
      </c>
      <c r="T138" s="11">
        <f ca="1">(S138*DATOSAÑO!$Z$11)/DATOSAÑO!$Y$11</f>
        <v>2.7388366611986168</v>
      </c>
      <c r="U138" s="9">
        <f ca="1">DATOSAÑO!AH137</f>
        <v>7.4000000000014552</v>
      </c>
      <c r="V138" s="11">
        <f ca="1">(U138*DATOSAÑO!$Z$11)/DATOSAÑO!$Y$11</f>
        <v>0.13333810061101151</v>
      </c>
      <c r="W138" s="9">
        <f ca="1">DATOSAÑO!AI137</f>
        <v>40.30000000000291</v>
      </c>
      <c r="X138" s="11">
        <f ca="1">(W138*DATOSAÑO!$Z$11)/DATOSAÑO!$Y$11</f>
        <v>0.72615208846258039</v>
      </c>
      <c r="Y138" s="9">
        <f ca="1">DATOSAÑO!AJ137</f>
        <v>7.3000000000029104</v>
      </c>
      <c r="Z138" s="11">
        <f ca="1">(Y138*DATOSAÑO!$Z$11)/DATOSAÑO!$Y$11</f>
        <v>0.13153623438656495</v>
      </c>
      <c r="AA138" s="9">
        <f ca="1">DATOSAÑO!AK137</f>
        <v>12.5</v>
      </c>
      <c r="AB138" s="11">
        <f ca="1">(AA138*DATOSAÑO!$Z$11)/DATOSAÑO!$Y$11</f>
        <v>0.22523327805909676</v>
      </c>
      <c r="AC138" s="9">
        <f ca="1">DATOSAÑO!AL137</f>
        <v>32.499999999992781</v>
      </c>
      <c r="AD138" s="11">
        <f ca="1">(AC138*DATOSAÑO!$Z$11)/DATOSAÑO!$Y$11</f>
        <v>0.58560652295352156</v>
      </c>
      <c r="AE138" s="9">
        <f ca="1">DATOSAÑO!AM137</f>
        <v>9.1479999999989232</v>
      </c>
      <c r="AF138" s="11">
        <f ca="1">(AE138*DATOSAÑO!$Z$11)/DATOSAÑO!$Y$11</f>
        <v>0.16483472221474998</v>
      </c>
      <c r="AG138" s="9">
        <f ca="1">DATOSAÑO!AN137</f>
        <v>2.5060000000000002</v>
      </c>
      <c r="AH138" s="11">
        <f ca="1">(AG138*DATOSAÑO!$Z$11)/DATOSAÑO!$Y$11</f>
        <v>4.5154767585287726E-2</v>
      </c>
      <c r="AI138" s="9">
        <f ca="1">DATOSAÑO!BS137</f>
        <v>2.64</v>
      </c>
      <c r="AJ138" s="11">
        <f ca="1">(AI138*DATOSAÑO!$Z$11)/DATOSAÑO!$Y$11</f>
        <v>4.7569268326081236E-2</v>
      </c>
      <c r="AK138" s="9">
        <f ca="1">DATOSAÑO!BV137</f>
        <v>0</v>
      </c>
      <c r="AL138" s="11">
        <f ca="1">(AK138*DATOSAÑO!$Z$11)/DATOSAÑO!$Y$11</f>
        <v>0</v>
      </c>
      <c r="AM138" s="9">
        <f ca="1">DATOSAÑO!BY137</f>
        <v>5.4119999999999999</v>
      </c>
      <c r="AN138" s="11">
        <f ca="1">(AM138*DATOSAÑO!$Z$11)/DATOSAÑO!$Y$11</f>
        <v>9.7517000068466531E-2</v>
      </c>
      <c r="AO138" s="9">
        <f ca="1">DATOSAÑO!CF137</f>
        <v>13.374000000000553</v>
      </c>
      <c r="AP138" s="11">
        <f ca="1">(AO138*DATOSAÑO!$Z$11)/DATOSAÑO!$Y$11</f>
        <v>0.2409815888609988</v>
      </c>
      <c r="AQ138" s="9">
        <f ca="1">DATOSAÑO!CL137</f>
        <v>2.4964000000000004</v>
      </c>
      <c r="AR138" s="1300">
        <f ca="1">(AQ138*DATOSAÑO!$Z$11)/DATOSAÑO!$Y$11</f>
        <v>4.4981788427738346E-2</v>
      </c>
      <c r="AS138" s="1334">
        <f t="shared" si="5"/>
        <v>19</v>
      </c>
    </row>
    <row r="139" spans="1:45" ht="15" thickBot="1">
      <c r="A139" s="1371">
        <v>45054</v>
      </c>
      <c r="B139" s="1021">
        <v>45054</v>
      </c>
      <c r="C139" s="9">
        <f ca="1">DATOSAÑO!I138</f>
        <v>148</v>
      </c>
      <c r="D139" s="10">
        <f ca="1">DATOSAÑO!$D138</f>
        <v>3.8645756449809716</v>
      </c>
      <c r="E139" s="11">
        <f ca="1">DATOSAÑO!$G138</f>
        <v>0</v>
      </c>
      <c r="F139" s="85">
        <f ca="1">DATOSAÑO!P138</f>
        <v>292</v>
      </c>
      <c r="G139" s="10">
        <f ca="1">DATOSAÑO!K138</f>
        <v>5.0966593747621332</v>
      </c>
      <c r="H139" s="11">
        <f ca="1">DATOSAÑO!N138</f>
        <v>0</v>
      </c>
      <c r="I139" s="9">
        <f ca="1">DATOSAÑO!Q138</f>
        <v>0.36800000000016553</v>
      </c>
      <c r="J139" s="11">
        <f ca="1">DATOSAÑO!R138</f>
        <v>44.160000000019863</v>
      </c>
      <c r="K139" s="9">
        <f ca="1">DATOSAÑO!T138</f>
        <v>0.32699999999999818</v>
      </c>
      <c r="L139" s="11">
        <f t="shared" ca="1" si="3"/>
        <v>39.239999999999782</v>
      </c>
      <c r="M139" s="9"/>
      <c r="N139" s="11">
        <f t="shared" si="4"/>
        <v>0</v>
      </c>
      <c r="O139" s="9">
        <f>DATOSAÑO!CT138</f>
        <v>1</v>
      </c>
      <c r="P139" s="9">
        <f>DATOSAÑO!CU138</f>
        <v>1</v>
      </c>
      <c r="Q139" s="9">
        <f ca="1">DATOSAÑO!AD138</f>
        <v>156</v>
      </c>
      <c r="R139" s="11">
        <f ca="1">(Q139*DATOSAÑO!$Z$11)/DATOSAÑO!$Y$11</f>
        <v>2.8109113101775276</v>
      </c>
      <c r="S139" s="9">
        <f ca="1">DATOSAÑO!AF138</f>
        <v>152</v>
      </c>
      <c r="T139" s="11">
        <f ca="1">(S139*DATOSAÑO!$Z$11)/DATOSAÑO!$Y$11</f>
        <v>2.7388366611986168</v>
      </c>
      <c r="U139" s="9">
        <f ca="1">DATOSAÑO!AH138</f>
        <v>12</v>
      </c>
      <c r="V139" s="11">
        <f ca="1">(U139*DATOSAÑO!$Z$11)/DATOSAÑO!$Y$11</f>
        <v>0.21622394693673291</v>
      </c>
      <c r="W139" s="9">
        <f ca="1">DATOSAÑO!AI138</f>
        <v>38.600000000005821</v>
      </c>
      <c r="X139" s="11">
        <f ca="1">(W139*DATOSAÑO!$Z$11)/DATOSAÑO!$Y$11</f>
        <v>0.69552036264659567</v>
      </c>
      <c r="Y139" s="9">
        <f ca="1">DATOSAÑO!AJ138</f>
        <v>6.5999999999912689</v>
      </c>
      <c r="Z139" s="11">
        <f ca="1">(Y139*DATOSAÑO!$Z$11)/DATOSAÑO!$Y$11</f>
        <v>0.11892317081504578</v>
      </c>
      <c r="AA139" s="9">
        <f ca="1">DATOSAÑO!AK138</f>
        <v>13.400000000023283</v>
      </c>
      <c r="AB139" s="11">
        <f ca="1">(AA139*DATOSAÑO!$Z$11)/DATOSAÑO!$Y$11</f>
        <v>0.24145007407977129</v>
      </c>
      <c r="AC139" s="9">
        <f ca="1">DATOSAÑO!AL138</f>
        <v>34.094999999979848</v>
      </c>
      <c r="AD139" s="11">
        <f ca="1">(AC139*DATOSAÑO!$Z$11)/DATOSAÑO!$Y$11</f>
        <v>0.61434628923362933</v>
      </c>
      <c r="AE139" s="9">
        <f ca="1">DATOSAÑO!AM138</f>
        <v>6.5360000000010912</v>
      </c>
      <c r="AF139" s="11">
        <f ca="1">(AE139*DATOSAÑO!$Z$11)/DATOSAÑO!$Y$11</f>
        <v>0.11776997643156017</v>
      </c>
      <c r="AG139" s="9">
        <f ca="1">DATOSAÑO!AN138</f>
        <v>3.2659999999992726</v>
      </c>
      <c r="AH139" s="11">
        <f ca="1">(AG139*DATOSAÑO!$Z$11)/DATOSAÑO!$Y$11</f>
        <v>5.8848950891267696E-2</v>
      </c>
      <c r="AI139" s="9">
        <f ca="1">DATOSAÑO!BS138</f>
        <v>2.2559999999999998</v>
      </c>
      <c r="AJ139" s="11">
        <f ca="1">(AI139*DATOSAÑO!$Z$11)/DATOSAÑO!$Y$11</f>
        <v>4.065010202410578E-2</v>
      </c>
      <c r="AK139" s="9">
        <f ca="1">DATOSAÑO!BV138</f>
        <v>0</v>
      </c>
      <c r="AL139" s="11">
        <f ca="1">(AK139*DATOSAÑO!$Z$11)/DATOSAÑO!$Y$11</f>
        <v>0</v>
      </c>
      <c r="AM139" s="9">
        <f ca="1">DATOSAÑO!BY138</f>
        <v>5.508</v>
      </c>
      <c r="AN139" s="11">
        <f ca="1">(AM139*DATOSAÑO!$Z$11)/DATOSAÑO!$Y$11</f>
        <v>9.92467916439604E-2</v>
      </c>
      <c r="AO139" s="9">
        <f ca="1">DATOSAÑO!CF138</f>
        <v>12.168000000000182</v>
      </c>
      <c r="AP139" s="11">
        <f ca="1">(AO139*DATOSAÑO!$Z$11)/DATOSAÑO!$Y$11</f>
        <v>0.21925108219385045</v>
      </c>
      <c r="AQ139" s="9">
        <f ca="1">DATOSAÑO!CL138</f>
        <v>2.8403999999997094</v>
      </c>
      <c r="AR139" s="1300">
        <f ca="1">(AQ139*DATOSAÑO!$Z$11)/DATOSAÑO!$Y$11</f>
        <v>5.1180208239919443E-2</v>
      </c>
      <c r="AS139" s="1334">
        <f t="shared" si="5"/>
        <v>19</v>
      </c>
    </row>
    <row r="140" spans="1:45" ht="16.5" customHeight="1" thickBot="1">
      <c r="A140" s="1371">
        <v>45055</v>
      </c>
      <c r="B140" s="1021">
        <v>45055</v>
      </c>
      <c r="C140" s="9">
        <f ca="1">DATOSAÑO!I139</f>
        <v>152.30000000004657</v>
      </c>
      <c r="D140" s="10">
        <f ca="1">DATOSAÑO!$D139</f>
        <v>3.9013670341345574</v>
      </c>
      <c r="E140" s="11">
        <f ca="1">DATOSAÑO!$G139</f>
        <v>0</v>
      </c>
      <c r="F140" s="85">
        <f ca="1">DATOSAÑO!P139</f>
        <v>295.90000000000146</v>
      </c>
      <c r="G140" s="10">
        <f ca="1">DATOSAÑO!K139</f>
        <v>5.1300283091103864</v>
      </c>
      <c r="H140" s="11">
        <f ca="1">DATOSAÑO!N139</f>
        <v>0</v>
      </c>
      <c r="I140" s="9">
        <f ca="1">DATOSAÑO!Q139</f>
        <v>0</v>
      </c>
      <c r="J140" s="11">
        <f ca="1">DATOSAÑO!R139</f>
        <v>0</v>
      </c>
      <c r="K140" s="9">
        <f ca="1">DATOSAÑO!T139</f>
        <v>0</v>
      </c>
      <c r="L140" s="11">
        <f t="shared" ref="L140:L203" ca="1" si="6">K140*120</f>
        <v>0</v>
      </c>
      <c r="M140" s="9"/>
      <c r="N140" s="11">
        <f t="shared" ref="N140:N203" si="7">M140*120</f>
        <v>0</v>
      </c>
      <c r="O140" s="9">
        <f>DATOSAÑO!CT139</f>
        <v>0</v>
      </c>
      <c r="P140" s="9">
        <f>DATOSAÑO!CU139</f>
        <v>0</v>
      </c>
      <c r="Q140" s="9">
        <f ca="1">DATOSAÑO!AD139</f>
        <v>167.80000000000018</v>
      </c>
      <c r="R140" s="11">
        <f ca="1">(Q140*DATOSAÑO!$Z$11)/DATOSAÑO!$Y$11</f>
        <v>3.0235315246653185</v>
      </c>
      <c r="S140" s="9">
        <f ca="1">DATOSAÑO!AF139</f>
        <v>152.20000000001164</v>
      </c>
      <c r="T140" s="11">
        <f ca="1">(S140*DATOSAÑO!$Z$11)/DATOSAÑO!$Y$11</f>
        <v>2.7424403936477724</v>
      </c>
      <c r="U140" s="9">
        <f ca="1">DATOSAÑO!AH139</f>
        <v>5.5</v>
      </c>
      <c r="V140" s="11">
        <f ca="1">(U140*DATOSAÑO!$Z$11)/DATOSAÑO!$Y$11</f>
        <v>9.9102642346002578E-2</v>
      </c>
      <c r="W140" s="9">
        <f ca="1">DATOSAÑO!AI139</f>
        <v>38.19999999999709</v>
      </c>
      <c r="X140" s="11">
        <f ca="1">(W140*DATOSAÑO!$Z$11)/DATOSAÑO!$Y$11</f>
        <v>0.68831289774854731</v>
      </c>
      <c r="Y140" s="9">
        <f ca="1">DATOSAÑO!AJ139</f>
        <v>5.3000000000029104</v>
      </c>
      <c r="Z140" s="11">
        <f ca="1">(Y140*DATOSAÑO!$Z$11)/DATOSAÑO!$Y$11</f>
        <v>9.5498909897109477E-2</v>
      </c>
      <c r="AA140" s="9">
        <f ca="1">DATOSAÑO!AK139</f>
        <v>12.099999999976717</v>
      </c>
      <c r="AB140" s="11">
        <f ca="1">(AA140*DATOSAÑO!$Z$11)/DATOSAÑO!$Y$11</f>
        <v>0.21802581316078615</v>
      </c>
      <c r="AC140" s="9">
        <f ca="1">DATOSAÑO!AL139</f>
        <v>36.400000000084219</v>
      </c>
      <c r="AD140" s="11">
        <f ca="1">(AC140*DATOSAÑO!$Z$11)/DATOSAÑO!$Y$11</f>
        <v>0.65587930570960729</v>
      </c>
      <c r="AE140" s="9">
        <f ca="1">DATOSAÑO!AM139</f>
        <v>10.635999999975702</v>
      </c>
      <c r="AF140" s="11">
        <f ca="1">(AE140*DATOSAÑO!$Z$11)/DATOSAÑO!$Y$11</f>
        <v>0.19164649163448647</v>
      </c>
      <c r="AG140" s="9">
        <f ca="1">DATOSAÑO!AN139</f>
        <v>3.2500000000002727</v>
      </c>
      <c r="AH140" s="11">
        <f ca="1">(AG140*DATOSAÑO!$Z$11)/DATOSAÑO!$Y$11</f>
        <v>5.856065229537008E-2</v>
      </c>
      <c r="AI140" s="9">
        <f ca="1">DATOSAÑO!BS139</f>
        <v>2.6160000000000001</v>
      </c>
      <c r="AJ140" s="11">
        <f ca="1">(AI140*DATOSAÑO!$Z$11)/DATOSAÑO!$Y$11</f>
        <v>4.7136820432207779E-2</v>
      </c>
      <c r="AK140" s="9">
        <f ca="1">DATOSAÑO!BV139</f>
        <v>0</v>
      </c>
      <c r="AL140" s="11">
        <f ca="1">(AK140*DATOSAÑO!$Z$11)/DATOSAÑO!$Y$11</f>
        <v>0</v>
      </c>
      <c r="AM140" s="9">
        <f ca="1">DATOSAÑO!BY139</f>
        <v>5.4480000000000004</v>
      </c>
      <c r="AN140" s="11">
        <f ca="1">(AM140*DATOSAÑO!$Z$11)/DATOSAÑO!$Y$11</f>
        <v>9.8165671909276761E-2</v>
      </c>
      <c r="AO140" s="9">
        <f ca="1">DATOSAÑO!CF139</f>
        <v>12.617999999987124</v>
      </c>
      <c r="AP140" s="11">
        <f ca="1">(AO140*DATOSAÑO!$Z$11)/DATOSAÑO!$Y$11</f>
        <v>0.22735948020374264</v>
      </c>
      <c r="AQ140" s="9">
        <f ca="1">DATOSAÑO!CL139</f>
        <v>2.7500000000001092</v>
      </c>
      <c r="AR140" s="1300">
        <f ca="1">(AQ140*DATOSAÑO!$Z$11)/DATOSAÑO!$Y$11</f>
        <v>4.9551321173003267E-2</v>
      </c>
      <c r="AS140" s="1334">
        <f t="shared" si="5"/>
        <v>19</v>
      </c>
    </row>
    <row r="141" spans="1:45" ht="15" thickBot="1">
      <c r="A141" s="1371">
        <v>45056</v>
      </c>
      <c r="B141" s="1021">
        <v>45056</v>
      </c>
      <c r="C141" s="9">
        <f ca="1">DATOSAÑO!I140</f>
        <v>147.59999999997672</v>
      </c>
      <c r="D141" s="10">
        <f ca="1">DATOSAÑO!$D140</f>
        <v>3.8611531901758243</v>
      </c>
      <c r="E141" s="11">
        <f ca="1">DATOSAÑO!$G140</f>
        <v>0</v>
      </c>
      <c r="F141" s="85">
        <f ca="1">DATOSAÑO!P140</f>
        <v>291.90000000000146</v>
      </c>
      <c r="G141" s="10">
        <f ca="1">DATOSAÑO!K140</f>
        <v>5.0958037610609095</v>
      </c>
      <c r="H141" s="11">
        <f ca="1">DATOSAÑO!N140</f>
        <v>0</v>
      </c>
      <c r="I141" s="9">
        <f ca="1">DATOSAÑO!Q140</f>
        <v>0</v>
      </c>
      <c r="J141" s="11">
        <f ca="1">DATOSAÑO!R140</f>
        <v>0</v>
      </c>
      <c r="K141" s="9">
        <f ca="1">DATOSAÑO!T140</f>
        <v>0</v>
      </c>
      <c r="L141" s="11">
        <f t="shared" ca="1" si="6"/>
        <v>0</v>
      </c>
      <c r="M141" s="9"/>
      <c r="N141" s="11">
        <f t="shared" si="7"/>
        <v>0</v>
      </c>
      <c r="O141" s="9">
        <f>DATOSAÑO!CT140</f>
        <v>0</v>
      </c>
      <c r="P141" s="9">
        <f>DATOSAÑO!CU140</f>
        <v>0</v>
      </c>
      <c r="Q141" s="9">
        <f ca="1">DATOSAÑO!AD140</f>
        <v>165.39999999999964</v>
      </c>
      <c r="R141" s="11">
        <f ca="1">(Q141*DATOSAÑO!$Z$11)/DATOSAÑO!$Y$11</f>
        <v>2.9802867352779621</v>
      </c>
      <c r="S141" s="9">
        <f ca="1">DATOSAÑO!AF140</f>
        <v>147.5</v>
      </c>
      <c r="T141" s="11">
        <f ca="1">(S141*DATOSAÑO!$Z$11)/DATOSAÑO!$Y$11</f>
        <v>2.6577526810973415</v>
      </c>
      <c r="U141" s="9">
        <f ca="1">DATOSAÑO!AH140</f>
        <v>12.299999999995634</v>
      </c>
      <c r="V141" s="11">
        <f ca="1">(U141*DATOSAÑO!$Z$11)/DATOSAÑO!$Y$11</f>
        <v>0.22162954561007256</v>
      </c>
      <c r="W141" s="9">
        <f ca="1">DATOSAÑO!AI140</f>
        <v>37.099999999991269</v>
      </c>
      <c r="X141" s="11">
        <f ca="1">(W141*DATOSAÑO!$Z$11)/DATOSAÑO!$Y$11</f>
        <v>0.66849236927924194</v>
      </c>
      <c r="Y141" s="9">
        <f ca="1">DATOSAÑO!AJ140</f>
        <v>5.1999999999970896</v>
      </c>
      <c r="Z141" s="11">
        <f ca="1">(Y141*DATOSAÑO!$Z$11)/DATOSAÑO!$Y$11</f>
        <v>9.369704367253183E-2</v>
      </c>
      <c r="AA141" s="9">
        <f ca="1">DATOSAÑO!AK140</f>
        <v>10.800000000017462</v>
      </c>
      <c r="AB141" s="11">
        <f ca="1">(AA141*DATOSAÑO!$Z$11)/DATOSAÑO!$Y$11</f>
        <v>0.19460155224337428</v>
      </c>
      <c r="AC141" s="9">
        <f ca="1">DATOSAÑO!AL140</f>
        <v>33.499999999939917</v>
      </c>
      <c r="AD141" s="11">
        <f ca="1">(AC141*DATOSAÑO!$Z$11)/DATOSAÑO!$Y$11</f>
        <v>0.6036251851972968</v>
      </c>
      <c r="AE141" s="9">
        <f ca="1">DATOSAÑO!AM140</f>
        <v>8.5955000000369317</v>
      </c>
      <c r="AF141" s="11">
        <f ca="1">(AE141*DATOSAÑO!$Z$11)/DATOSAÑO!$Y$11</f>
        <v>0.15487941132522279</v>
      </c>
      <c r="AG141" s="9">
        <f ca="1">DATOSAÑO!AN140</f>
        <v>3.3189999999998179</v>
      </c>
      <c r="AH141" s="11">
        <f ca="1">(AG141*DATOSAÑO!$Z$11)/DATOSAÑO!$Y$11</f>
        <v>5.9803939990248099E-2</v>
      </c>
      <c r="AI141" s="9">
        <f ca="1">DATOSAÑO!BS140</f>
        <v>0.34649999999999997</v>
      </c>
      <c r="AJ141" s="11">
        <f ca="1">(AI141*DATOSAÑO!$Z$11)/DATOSAÑO!$Y$11</f>
        <v>6.2434664677981627E-3</v>
      </c>
      <c r="AK141" s="9">
        <f ca="1">DATOSAÑO!BV140</f>
        <v>4.0330000000000004</v>
      </c>
      <c r="AL141" s="11">
        <f ca="1">(AK141*DATOSAÑO!$Z$11)/DATOSAÑO!$Y$11</f>
        <v>7.2669264832986996E-2</v>
      </c>
      <c r="AM141" s="9">
        <f ca="1">DATOSAÑO!BY140</f>
        <v>3.9249999999999998</v>
      </c>
      <c r="AN141" s="11">
        <f ca="1">(AM141*DATOSAÑO!$Z$11)/DATOSAÑO!$Y$11</f>
        <v>7.0723249310556388E-2</v>
      </c>
      <c r="AO141" s="9">
        <f ca="1">DATOSAÑO!CF140</f>
        <v>10.39775000001883</v>
      </c>
      <c r="AP141" s="11">
        <f ca="1">(AO141*DATOSAÑO!$Z$11)/DATOSAÑO!$Y$11</f>
        <v>0.18735354535545715</v>
      </c>
      <c r="AQ141" s="9">
        <f ca="1">DATOSAÑO!CL140</f>
        <v>2.7085999999999273</v>
      </c>
      <c r="AR141" s="1300">
        <f ca="1">(AQ141*DATOSAÑO!$Z$11)/DATOSAÑO!$Y$11</f>
        <v>4.8805348556068252E-2</v>
      </c>
      <c r="AS141" s="1334">
        <f t="shared" ref="AS141:AS204" si="8">WEEKNUM(B141,1)</f>
        <v>19</v>
      </c>
    </row>
    <row r="142" spans="1:45" ht="16.5" customHeight="1" thickBot="1">
      <c r="A142" s="1371">
        <v>45057</v>
      </c>
      <c r="B142" s="1021">
        <v>45057</v>
      </c>
      <c r="C142" s="9">
        <f ca="1">DATOSAÑO!I141</f>
        <v>149.09999999997672</v>
      </c>
      <c r="D142" s="10">
        <f ca="1">DATOSAÑO!$D141</f>
        <v>3.8739873956943782</v>
      </c>
      <c r="E142" s="11">
        <f ca="1">DATOSAÑO!$G141</f>
        <v>0</v>
      </c>
      <c r="F142" s="85">
        <f ca="1">DATOSAÑO!P141</f>
        <v>306.09999999999854</v>
      </c>
      <c r="G142" s="10">
        <f ca="1">DATOSAÑO!K141</f>
        <v>5.2173009066365266</v>
      </c>
      <c r="H142" s="11">
        <f ca="1">DATOSAÑO!N141</f>
        <v>0</v>
      </c>
      <c r="I142" s="9">
        <f ca="1">DATOSAÑO!Q141</f>
        <v>0</v>
      </c>
      <c r="J142" s="11">
        <f ca="1">DATOSAÑO!R141</f>
        <v>0</v>
      </c>
      <c r="K142" s="9">
        <f ca="1">DATOSAÑO!T141</f>
        <v>0</v>
      </c>
      <c r="L142" s="11">
        <f t="shared" ca="1" si="6"/>
        <v>0</v>
      </c>
      <c r="M142" s="9"/>
      <c r="N142" s="11">
        <f t="shared" si="7"/>
        <v>0</v>
      </c>
      <c r="O142" s="9">
        <f>DATOSAÑO!CT141</f>
        <v>0</v>
      </c>
      <c r="P142" s="9">
        <f>DATOSAÑO!CU141</f>
        <v>0</v>
      </c>
      <c r="Q142" s="9">
        <f ca="1">DATOSAÑO!AD141</f>
        <v>168.40000000000055</v>
      </c>
      <c r="R142" s="11">
        <f ca="1">(Q142*DATOSAÑO!$Z$11)/DATOSAÑO!$Y$11</f>
        <v>3.0343427220121617</v>
      </c>
      <c r="S142" s="9">
        <f ca="1">DATOSAÑO!AF141</f>
        <v>147.39999999996508</v>
      </c>
      <c r="T142" s="11">
        <f ca="1">(S142*DATOSAÑO!$Z$11)/DATOSAÑO!$Y$11</f>
        <v>2.6559508148722397</v>
      </c>
      <c r="U142" s="9">
        <f ca="1">DATOSAÑO!AH141</f>
        <v>17.80000000000291</v>
      </c>
      <c r="V142" s="11">
        <f ca="1">(U142*DATOSAÑO!$Z$11)/DATOSAÑO!$Y$11</f>
        <v>0.32073218795620628</v>
      </c>
      <c r="W142" s="9">
        <f ca="1">DATOSAÑO!AI141</f>
        <v>37.900000000008731</v>
      </c>
      <c r="X142" s="11">
        <f ca="1">(W142*DATOSAÑO!$Z$11)/DATOSAÑO!$Y$11</f>
        <v>0.68290729907533865</v>
      </c>
      <c r="Y142" s="9">
        <f ca="1">DATOSAÑO!AJ141</f>
        <v>6.1000000000058208</v>
      </c>
      <c r="Z142" s="11">
        <f ca="1">(Y142*DATOSAÑO!$Z$11)/DATOSAÑO!$Y$11</f>
        <v>0.1099138396929441</v>
      </c>
      <c r="AA142" s="9">
        <f ca="1">DATOSAÑO!AK141</f>
        <v>13.399999999994179</v>
      </c>
      <c r="AB142" s="11">
        <f ca="1">(AA142*DATOSAÑO!$Z$11)/DATOSAÑO!$Y$11</f>
        <v>0.24145007407924685</v>
      </c>
      <c r="AC142" s="9">
        <f ca="1">DATOSAÑO!AL141</f>
        <v>35.100000000010368</v>
      </c>
      <c r="AD142" s="11">
        <f ca="1">(AC142*DATOSAÑO!$Z$11)/DATOSAÑO!$Y$11</f>
        <v>0.63245504479013059</v>
      </c>
      <c r="AE142" s="9">
        <f ca="1">DATOSAÑO!AM141</f>
        <v>9.4489999999878105</v>
      </c>
      <c r="AF142" s="11">
        <f ca="1">(AE142*DATOSAÑO!$Z$11)/DATOSAÑO!$Y$11</f>
        <v>0.1702583395502128</v>
      </c>
      <c r="AG142" s="9">
        <f ca="1">DATOSAÑO!AN141</f>
        <v>3.3720000000005457</v>
      </c>
      <c r="AH142" s="11">
        <f ca="1">(AG142*DATOSAÑO!$Z$11)/DATOSAÑO!$Y$11</f>
        <v>6.0758929089231778E-2</v>
      </c>
      <c r="AI142" s="9">
        <f ca="1">DATOSAÑO!BS141</f>
        <v>0</v>
      </c>
      <c r="AJ142" s="11">
        <f ca="1">(AI142*DATOSAÑO!$Z$11)/DATOSAÑO!$Y$11</f>
        <v>0</v>
      </c>
      <c r="AK142" s="9">
        <f ca="1">DATOSAÑO!BV141</f>
        <v>4.7729999999999997</v>
      </c>
      <c r="AL142" s="11">
        <f ca="1">(AK142*DATOSAÑO!$Z$11)/DATOSAÑO!$Y$11</f>
        <v>8.6003074894085499E-2</v>
      </c>
      <c r="AM142" s="9">
        <f ca="1">DATOSAÑO!BY141</f>
        <v>3.6779999999999999</v>
      </c>
      <c r="AN142" s="11">
        <f ca="1">(AM142*DATOSAÑO!$Z$11)/DATOSAÑO!$Y$11</f>
        <v>6.6272639736108641E-2</v>
      </c>
      <c r="AO142" s="9">
        <f ca="1">DATOSAÑO!CF141</f>
        <v>11.024499999993179</v>
      </c>
      <c r="AP142" s="11">
        <f ca="1">(AO142*DATOSAÑO!$Z$11)/DATOSAÑO!$Y$11</f>
        <v>0.19864674191687809</v>
      </c>
      <c r="AQ142" s="9">
        <f ca="1">DATOSAÑO!CL141</f>
        <v>2.8768000000002183</v>
      </c>
      <c r="AR142" s="1300">
        <f ca="1">(AQ142*DATOSAÑO!$Z$11)/DATOSAÑO!$Y$11</f>
        <v>5.1836087545636698E-2</v>
      </c>
      <c r="AS142" s="1334">
        <f t="shared" si="8"/>
        <v>19</v>
      </c>
    </row>
    <row r="143" spans="1:45" ht="15" thickBot="1">
      <c r="A143" s="1371">
        <v>45058</v>
      </c>
      <c r="B143" s="1021">
        <v>45058</v>
      </c>
      <c r="C143" s="9">
        <f ca="1">DATOSAÑO!I142</f>
        <v>150</v>
      </c>
      <c r="D143" s="10">
        <f ca="1">DATOSAÑO!$D142</f>
        <v>3.8816879190057101</v>
      </c>
      <c r="E143" s="11">
        <f ca="1">DATOSAÑO!$G142</f>
        <v>0</v>
      </c>
      <c r="F143" s="85">
        <f ca="1">DATOSAÑO!P142</f>
        <v>296.09999999999854</v>
      </c>
      <c r="G143" s="10">
        <f ca="1">DATOSAÑO!K142</f>
        <v>5.1317395365128355</v>
      </c>
      <c r="H143" s="11">
        <f ca="1">DATOSAÑO!N142</f>
        <v>0</v>
      </c>
      <c r="I143" s="9">
        <f ca="1">DATOSAÑO!Q142</f>
        <v>0</v>
      </c>
      <c r="J143" s="11">
        <f ca="1">DATOSAÑO!R142</f>
        <v>0</v>
      </c>
      <c r="K143" s="9">
        <f ca="1">DATOSAÑO!T142</f>
        <v>0</v>
      </c>
      <c r="L143" s="11">
        <f t="shared" ca="1" si="6"/>
        <v>0</v>
      </c>
      <c r="M143" s="9"/>
      <c r="N143" s="11">
        <f t="shared" si="7"/>
        <v>0</v>
      </c>
      <c r="O143" s="9">
        <f>DATOSAÑO!CT142</f>
        <v>0</v>
      </c>
      <c r="P143" s="9">
        <f>DATOSAÑO!CU142</f>
        <v>0</v>
      </c>
      <c r="Q143" s="9">
        <f ca="1">DATOSAÑO!AD142</f>
        <v>169.39999999999964</v>
      </c>
      <c r="R143" s="11">
        <f ca="1">(Q143*DATOSAÑO!$Z$11)/DATOSAÑO!$Y$11</f>
        <v>3.0523613842568733</v>
      </c>
      <c r="S143" s="9">
        <f ca="1">DATOSAÑO!AF142</f>
        <v>146.90000000002328</v>
      </c>
      <c r="T143" s="11">
        <f ca="1">(S143*DATOSAÑO!$Z$11)/DATOSAÑO!$Y$11</f>
        <v>2.6469414837509246</v>
      </c>
      <c r="U143" s="9">
        <f ca="1">DATOSAÑO!AH142</f>
        <v>10.69999999999709</v>
      </c>
      <c r="V143" s="11">
        <f ca="1">(U143*DATOSAÑO!$Z$11)/DATOSAÑO!$Y$11</f>
        <v>0.19279968601853439</v>
      </c>
      <c r="W143" s="9">
        <f ca="1">DATOSAÑO!AI142</f>
        <v>36.899999999994179</v>
      </c>
      <c r="X143" s="11">
        <f ca="1">(W143*DATOSAÑO!$Z$11)/DATOSAÑO!$Y$11</f>
        <v>0.66488863683034871</v>
      </c>
      <c r="Y143" s="9">
        <f ca="1">DATOSAÑO!AJ142</f>
        <v>5.8999999999941792</v>
      </c>
      <c r="Z143" s="11">
        <f ca="1">(Y143*DATOSAÑO!$Z$11)/DATOSAÑO!$Y$11</f>
        <v>0.1063101072437888</v>
      </c>
      <c r="AA143" s="9">
        <f ca="1">DATOSAÑO!AK142</f>
        <v>12</v>
      </c>
      <c r="AB143" s="11">
        <f ca="1">(AA143*DATOSAÑO!$Z$11)/DATOSAÑO!$Y$11</f>
        <v>0.21622394693673291</v>
      </c>
      <c r="AC143" s="9">
        <f ca="1">DATOSAÑO!AL142</f>
        <v>34.099999999989507</v>
      </c>
      <c r="AD143" s="11">
        <f ca="1">(AC143*DATOSAÑO!$Z$11)/DATOSAÑO!$Y$11</f>
        <v>0.61443638254502686</v>
      </c>
      <c r="AE143" s="9">
        <f ca="1">DATOSAÑO!AM142</f>
        <v>10.684000000000003</v>
      </c>
      <c r="AF143" s="11">
        <f ca="1">(AE143*DATOSAÑO!$Z$11)/DATOSAÑO!$Y$11</f>
        <v>0.19251138742267127</v>
      </c>
      <c r="AG143" s="9">
        <f ca="1">DATOSAÑO!AN142</f>
        <v>3.3379999999996359</v>
      </c>
      <c r="AH143" s="11">
        <f ca="1">(AG143*DATOSAÑO!$Z$11)/DATOSAÑO!$Y$11</f>
        <v>6.0146294572894644E-2</v>
      </c>
      <c r="AI143" s="9">
        <f ca="1">DATOSAÑO!BS142</f>
        <v>0</v>
      </c>
      <c r="AJ143" s="11">
        <f ca="1">(AI143*DATOSAÑO!$Z$11)/DATOSAÑO!$Y$11</f>
        <v>0</v>
      </c>
      <c r="AK143" s="9">
        <f ca="1">DATOSAÑO!BV142</f>
        <v>4.657</v>
      </c>
      <c r="AL143" s="11">
        <f ca="1">(AK143*DATOSAÑO!$Z$11)/DATOSAÑO!$Y$11</f>
        <v>8.3912910073697097E-2</v>
      </c>
      <c r="AM143" s="9">
        <f ca="1">DATOSAÑO!BY142</f>
        <v>3.6589999999999998</v>
      </c>
      <c r="AN143" s="11">
        <f ca="1">(AM143*DATOSAÑO!$Z$11)/DATOSAÑO!$Y$11</f>
        <v>6.5930285153458806E-2</v>
      </c>
      <c r="AO143" s="9">
        <f ca="1">DATOSAÑO!CF142</f>
        <v>11.642000000001094</v>
      </c>
      <c r="AP143" s="11">
        <f ca="1">(AO143*DATOSAÑO!$Z$11)/DATOSAÑO!$Y$11</f>
        <v>0.20977326585314007</v>
      </c>
      <c r="AQ143" s="9">
        <f ca="1">DATOSAÑO!CL142</f>
        <v>2.8971999999998546</v>
      </c>
      <c r="AR143" s="1300">
        <f ca="1">(AQ143*DATOSAÑO!$Z$11)/DATOSAÑO!$Y$11</f>
        <v>5.2203668255422594E-2</v>
      </c>
      <c r="AS143" s="1334">
        <f t="shared" si="8"/>
        <v>19</v>
      </c>
    </row>
    <row r="144" spans="1:45" ht="16.5" customHeight="1" thickBot="1">
      <c r="A144" s="1371">
        <v>45059</v>
      </c>
      <c r="B144" s="1021">
        <v>45059</v>
      </c>
      <c r="C144" s="9">
        <f ca="1">DATOSAÑO!I143</f>
        <v>150</v>
      </c>
      <c r="D144" s="10">
        <f ca="1">DATOSAÑO!$D143</f>
        <v>3.8816879190057101</v>
      </c>
      <c r="E144" s="11">
        <f ca="1">DATOSAÑO!$G143</f>
        <v>0</v>
      </c>
      <c r="F144" s="85">
        <f ca="1">DATOSAÑO!P143</f>
        <v>280</v>
      </c>
      <c r="G144" s="10">
        <f ca="1">DATOSAÑO!K143</f>
        <v>4.9939857306137032</v>
      </c>
      <c r="H144" s="11">
        <f ca="1">DATOSAÑO!N143</f>
        <v>0</v>
      </c>
      <c r="I144" s="9">
        <f ca="1">DATOSAÑO!Q143</f>
        <v>0</v>
      </c>
      <c r="J144" s="11">
        <f ca="1">DATOSAÑO!R143</f>
        <v>0</v>
      </c>
      <c r="K144" s="9">
        <f ca="1">DATOSAÑO!T143</f>
        <v>0</v>
      </c>
      <c r="L144" s="11">
        <f t="shared" ca="1" si="6"/>
        <v>0</v>
      </c>
      <c r="M144" s="9"/>
      <c r="N144" s="11">
        <f t="shared" si="7"/>
        <v>0</v>
      </c>
      <c r="O144" s="9">
        <f>DATOSAÑO!CT143</f>
        <v>0</v>
      </c>
      <c r="P144" s="9">
        <f>DATOSAÑO!CU143</f>
        <v>0</v>
      </c>
      <c r="Q144" s="9">
        <f ca="1">DATOSAÑO!AD143</f>
        <v>168</v>
      </c>
      <c r="R144" s="11">
        <f ca="1">(Q144*DATOSAÑO!$Z$11)/DATOSAÑO!$Y$11</f>
        <v>3.0271352571142609</v>
      </c>
      <c r="S144" s="9">
        <f ca="1">DATOSAÑO!AF143</f>
        <v>148</v>
      </c>
      <c r="T144" s="11">
        <f ca="1">(S144*DATOSAÑO!$Z$11)/DATOSAÑO!$Y$11</f>
        <v>2.666762012219706</v>
      </c>
      <c r="U144" s="9">
        <f ca="1">DATOSAÑO!AH143</f>
        <v>0</v>
      </c>
      <c r="V144" s="11">
        <f ca="1">(U144*DATOSAÑO!$Z$11)/DATOSAÑO!$Y$11</f>
        <v>0</v>
      </c>
      <c r="W144" s="9">
        <f ca="1">DATOSAÑO!AI143</f>
        <v>36.900000000008731</v>
      </c>
      <c r="X144" s="11">
        <f ca="1">(W144*DATOSAÑO!$Z$11)/DATOSAÑO!$Y$11</f>
        <v>0.66488863683061106</v>
      </c>
      <c r="Y144" s="9">
        <f ca="1">DATOSAÑO!AJ143</f>
        <v>4.7000000000116415</v>
      </c>
      <c r="Z144" s="11">
        <f ca="1">(Y144*DATOSAÑO!$Z$11)/DATOSAÑO!$Y$11</f>
        <v>8.4687712550430144E-2</v>
      </c>
      <c r="AA144" s="9">
        <f ca="1">DATOSAÑO!AK143</f>
        <v>9.7999999999883585</v>
      </c>
      <c r="AB144" s="11">
        <f ca="1">(AA144*DATOSAÑO!$Z$11)/DATOSAÑO!$Y$11</f>
        <v>0.17658288999812211</v>
      </c>
      <c r="AC144" s="9">
        <f ca="1">DATOSAÑO!AL143</f>
        <v>35.199999999993452</v>
      </c>
      <c r="AD144" s="11">
        <f ca="1">(AC144*DATOSAÑO!$Z$11)/DATOSAÑO!$Y$11</f>
        <v>0.6342569110142986</v>
      </c>
      <c r="AE144" s="9">
        <f ca="1">DATOSAÑO!AM143</f>
        <v>8.2639999999984521</v>
      </c>
      <c r="AF144" s="11">
        <f ca="1">(AE144*DATOSAÑO!$Z$11)/DATOSAÑO!$Y$11</f>
        <v>0.14890622479040219</v>
      </c>
      <c r="AG144" s="9">
        <f ca="1">DATOSAÑO!AN143</f>
        <v>2.8370000000000912</v>
      </c>
      <c r="AH144" s="11">
        <f ca="1">(AG144*DATOSAÑO!$Z$11)/DATOSAÑO!$Y$11</f>
        <v>5.1118944788294249E-2</v>
      </c>
      <c r="AI144" s="9">
        <f ca="1">DATOSAÑO!BS143</f>
        <v>0</v>
      </c>
      <c r="AJ144" s="11">
        <f ca="1">(AI144*DATOSAÑO!$Z$11)/DATOSAÑO!$Y$11</f>
        <v>0</v>
      </c>
      <c r="AK144" s="9">
        <f ca="1">DATOSAÑO!BV143</f>
        <v>4.6719999999999997</v>
      </c>
      <c r="AL144" s="11">
        <f ca="1">(AK144*DATOSAÑO!$Z$11)/DATOSAÑO!$Y$11</f>
        <v>8.4183190007368E-2</v>
      </c>
      <c r="AM144" s="9">
        <f ca="1">DATOSAÑO!BY143</f>
        <v>3.7639999999999998</v>
      </c>
      <c r="AN144" s="11">
        <f ca="1">(AM144*DATOSAÑO!$Z$11)/DATOSAÑO!$Y$11</f>
        <v>6.7822244689155209E-2</v>
      </c>
      <c r="AO144" s="9">
        <f ca="1">DATOSAÑO!CF143</f>
        <v>10.431999999998499</v>
      </c>
      <c r="AP144" s="11">
        <f ca="1">(AO144*DATOSAÑO!$Z$11)/DATOSAÑO!$Y$11</f>
        <v>0.18797068453697277</v>
      </c>
      <c r="AQ144" s="9">
        <f ca="1">DATOSAÑO!CL143</f>
        <v>2.6978000000000364</v>
      </c>
      <c r="AR144" s="1300">
        <f ca="1">(AQ144*DATOSAÑO!$Z$11)/DATOSAÑO!$Y$11</f>
        <v>4.8610747003827157E-2</v>
      </c>
      <c r="AS144" s="1334">
        <f t="shared" si="8"/>
        <v>19</v>
      </c>
    </row>
    <row r="145" spans="1:45" ht="15" thickBot="1">
      <c r="A145" s="1371">
        <v>45060</v>
      </c>
      <c r="B145" s="1021">
        <v>45060</v>
      </c>
      <c r="C145" s="9">
        <f ca="1">DATOSAÑO!I144</f>
        <v>32</v>
      </c>
      <c r="D145" s="10">
        <f ca="1">DATOSAÑO!$D144</f>
        <v>2.8720637515461465</v>
      </c>
      <c r="E145" s="11">
        <f ca="1">DATOSAÑO!$G144</f>
        <v>0</v>
      </c>
      <c r="F145" s="85">
        <f ca="1">DATOSAÑO!P144</f>
        <v>394</v>
      </c>
      <c r="G145" s="10">
        <f ca="1">DATOSAÑO!K144</f>
        <v>5.9693853500237903</v>
      </c>
      <c r="H145" s="11">
        <f ca="1">DATOSAÑO!N144</f>
        <v>0</v>
      </c>
      <c r="I145" s="9">
        <f ca="1">DATOSAÑO!Q144</f>
        <v>0</v>
      </c>
      <c r="J145" s="11">
        <f ca="1">DATOSAÑO!R144</f>
        <v>0</v>
      </c>
      <c r="K145" s="9">
        <f ca="1">DATOSAÑO!T144</f>
        <v>1.8809999999999718</v>
      </c>
      <c r="L145" s="11">
        <f t="shared" ca="1" si="6"/>
        <v>225.71999999999662</v>
      </c>
      <c r="M145" s="9"/>
      <c r="N145" s="11">
        <f t="shared" si="7"/>
        <v>0</v>
      </c>
      <c r="O145" s="9">
        <f>DATOSAÑO!CT144</f>
        <v>0</v>
      </c>
      <c r="P145" s="9">
        <f>DATOSAÑO!CU144</f>
        <v>1.88</v>
      </c>
      <c r="Q145" s="9">
        <f ca="1">DATOSAÑO!AD144</f>
        <v>156</v>
      </c>
      <c r="R145" s="11">
        <f ca="1">(Q145*DATOSAÑO!$Z$11)/DATOSAÑO!$Y$11</f>
        <v>2.8109113101775276</v>
      </c>
      <c r="S145" s="9">
        <f ca="1">DATOSAÑO!AF144</f>
        <v>150</v>
      </c>
      <c r="T145" s="11">
        <f ca="1">(S145*DATOSAÑO!$Z$11)/DATOSAÑO!$Y$11</f>
        <v>2.7027993367091616</v>
      </c>
      <c r="U145" s="9">
        <f ca="1">DATOSAÑO!AH144</f>
        <v>10.600000000000364</v>
      </c>
      <c r="V145" s="11">
        <f ca="1">(U145*DATOSAÑO!$Z$11)/DATOSAÑO!$Y$11</f>
        <v>0.19099781979412062</v>
      </c>
      <c r="W145" s="9">
        <f ca="1">DATOSAÑO!AI144</f>
        <v>35.899999999994179</v>
      </c>
      <c r="X145" s="11">
        <f ca="1">(W145*DATOSAÑO!$Z$11)/DATOSAÑO!$Y$11</f>
        <v>0.64686997458562112</v>
      </c>
      <c r="Y145" s="9">
        <f ca="1">DATOSAÑO!AJ144</f>
        <v>3.8999999999941792</v>
      </c>
      <c r="Z145" s="11">
        <f ca="1">(Y145*DATOSAÑO!$Z$11)/DATOSAÑO!$Y$11</f>
        <v>7.027278275433331E-2</v>
      </c>
      <c r="AA145" s="9">
        <f ca="1">DATOSAÑO!AK144</f>
        <v>11.900000000023283</v>
      </c>
      <c r="AB145" s="11">
        <f ca="1">(AA145*DATOSAÑO!$Z$11)/DATOSAÑO!$Y$11</f>
        <v>0.21442208071267968</v>
      </c>
      <c r="AC145" s="9">
        <f ca="1">DATOSAÑO!AL144</f>
        <v>31.58099999998791</v>
      </c>
      <c r="AD145" s="11">
        <f ca="1">(AC145*DATOSAÑO!$Z$11)/DATOSAÑO!$Y$11</f>
        <v>0.56904737235052893</v>
      </c>
      <c r="AE145" s="9">
        <f ca="1">DATOSAÑO!AM144</f>
        <v>8.666999999999998</v>
      </c>
      <c r="AF145" s="11">
        <f ca="1">(AE145*DATOSAÑO!$Z$11)/DATOSAÑO!$Y$11</f>
        <v>0.15616774567505531</v>
      </c>
      <c r="AG145" s="9">
        <f ca="1">DATOSAÑO!AN144</f>
        <v>2.5830000000003639</v>
      </c>
      <c r="AH145" s="11">
        <f ca="1">(AG145*DATOSAÑO!$Z$11)/DATOSAÑO!$Y$11</f>
        <v>4.6542204578138319E-2</v>
      </c>
      <c r="AI145" s="9">
        <f ca="1">DATOSAÑO!BS144</f>
        <v>0</v>
      </c>
      <c r="AJ145" s="11">
        <f ca="1">(AI145*DATOSAÑO!$Z$11)/DATOSAÑO!$Y$11</f>
        <v>0</v>
      </c>
      <c r="AK145" s="9">
        <f ca="1">DATOSAÑO!BV144</f>
        <v>4.625</v>
      </c>
      <c r="AL145" s="11">
        <f ca="1">(AK145*DATOSAÑO!$Z$11)/DATOSAÑO!$Y$11</f>
        <v>8.3336312881865812E-2</v>
      </c>
      <c r="AM145" s="9">
        <f ca="1">DATOSAÑO!BY144</f>
        <v>3.7080000000000002</v>
      </c>
      <c r="AN145" s="11">
        <f ca="1">(AM145*DATOSAÑO!$Z$11)/DATOSAÑO!$Y$11</f>
        <v>6.6813199603450474E-2</v>
      </c>
      <c r="AO145" s="9">
        <f ca="1">DATOSAÑO!CF144</f>
        <v>10.733499999999635</v>
      </c>
      <c r="AP145" s="11">
        <f ca="1">(AO145*DATOSAÑO!$Z$11)/DATOSAÑO!$Y$11</f>
        <v>0.19340331120377866</v>
      </c>
      <c r="AQ145" s="9">
        <f ca="1">DATOSAÑO!CL144</f>
        <v>3.0502000000001455</v>
      </c>
      <c r="AR145" s="1300">
        <f ca="1">(AQ145*DATOSAÑO!$Z$11)/DATOSAÑO!$Y$11</f>
        <v>5.4960523578871184E-2</v>
      </c>
      <c r="AS145" s="1334">
        <f t="shared" si="8"/>
        <v>20</v>
      </c>
    </row>
    <row r="146" spans="1:45" ht="16.5" customHeight="1" thickBot="1">
      <c r="A146" s="1371">
        <v>45061</v>
      </c>
      <c r="B146" s="1021">
        <v>45061</v>
      </c>
      <c r="C146" s="9">
        <f ca="1">DATOSAÑO!I145</f>
        <v>146</v>
      </c>
      <c r="D146" s="10">
        <f ca="1">DATOSAÑO!$D145</f>
        <v>3.8474633709562331</v>
      </c>
      <c r="E146" s="11">
        <f ca="1">DATOSAÑO!$G145</f>
        <v>0</v>
      </c>
      <c r="F146" s="85">
        <f ca="1">DATOSAÑO!P145</f>
        <v>302</v>
      </c>
      <c r="G146" s="10">
        <f ca="1">DATOSAÑO!K145</f>
        <v>5.1822207448858251</v>
      </c>
      <c r="H146" s="11">
        <f ca="1">DATOSAÑO!N145</f>
        <v>0</v>
      </c>
      <c r="I146" s="9">
        <f ca="1">DATOSAÑO!Q145</f>
        <v>0</v>
      </c>
      <c r="J146" s="11">
        <f ca="1">DATOSAÑO!R145</f>
        <v>0</v>
      </c>
      <c r="K146" s="9">
        <f ca="1">DATOSAÑO!T145</f>
        <v>0</v>
      </c>
      <c r="L146" s="11">
        <f t="shared" ca="1" si="6"/>
        <v>0</v>
      </c>
      <c r="M146" s="9"/>
      <c r="N146" s="11">
        <f t="shared" si="7"/>
        <v>0</v>
      </c>
      <c r="O146" s="9">
        <f>DATOSAÑO!CT145</f>
        <v>0</v>
      </c>
      <c r="P146" s="9">
        <f>DATOSAÑO!CU145</f>
        <v>0</v>
      </c>
      <c r="Q146" s="9">
        <f ca="1">DATOSAÑO!AD145</f>
        <v>163</v>
      </c>
      <c r="R146" s="11">
        <f ca="1">(Q146*DATOSAÑO!$Z$11)/DATOSAÑO!$Y$11</f>
        <v>2.9370419458906221</v>
      </c>
      <c r="S146" s="9">
        <f ca="1">DATOSAÑO!AF145</f>
        <v>146</v>
      </c>
      <c r="T146" s="11">
        <f ca="1">(S146*DATOSAÑO!$Z$11)/DATOSAÑO!$Y$11</f>
        <v>2.6307246877302504</v>
      </c>
      <c r="U146" s="9">
        <f ca="1">DATOSAÑO!AH145</f>
        <v>21.100000000005821</v>
      </c>
      <c r="V146" s="11">
        <f ca="1">(U146*DATOSAÑO!$Z$11)/DATOSAÑO!$Y$11</f>
        <v>0.38019377336386029</v>
      </c>
      <c r="W146" s="9">
        <f ca="1">DATOSAÑO!AI145</f>
        <v>34.899999999994179</v>
      </c>
      <c r="X146" s="11">
        <f ca="1">(W146*DATOSAÑO!$Z$11)/DATOSAÑO!$Y$11</f>
        <v>0.62885131234089331</v>
      </c>
      <c r="Y146" s="9">
        <f ca="1">DATOSAÑO!AJ145</f>
        <v>5.5</v>
      </c>
      <c r="Z146" s="11">
        <f ca="1">(Y146*DATOSAÑO!$Z$11)/DATOSAÑO!$Y$11</f>
        <v>9.9102642346002578E-2</v>
      </c>
      <c r="AA146" s="9">
        <f ca="1">DATOSAÑO!AK145</f>
        <v>13.799999999988358</v>
      </c>
      <c r="AB146" s="11">
        <f ca="1">(AA146*DATOSAÑO!$Z$11)/DATOSAÑO!$Y$11</f>
        <v>0.24865753897703308</v>
      </c>
      <c r="AC146" s="9">
        <f ca="1">DATOSAÑO!AL145</f>
        <v>35.900000000008731</v>
      </c>
      <c r="AD146" s="11">
        <f ca="1">(AC146*DATOSAÑO!$Z$11)/DATOSAÑO!$Y$11</f>
        <v>0.64686997458588325</v>
      </c>
      <c r="AE146" s="9">
        <f ca="1">DATOSAÑO!AM145</f>
        <v>8.7380000000019091</v>
      </c>
      <c r="AF146" s="11">
        <f ca="1">(AE146*DATOSAÑO!$Z$11)/DATOSAÑO!$Y$11</f>
        <v>0.1574470706944654</v>
      </c>
      <c r="AG146" s="9">
        <f ca="1">DATOSAÑO!AN145</f>
        <v>3.777999999999909</v>
      </c>
      <c r="AH146" s="11">
        <f ca="1">(AG146*DATOSAÑO!$Z$11)/DATOSAÑO!$Y$11</f>
        <v>6.8074505960579776E-2</v>
      </c>
      <c r="AI146" s="9">
        <f ca="1">DATOSAÑO!BS145</f>
        <v>0</v>
      </c>
      <c r="AJ146" s="11">
        <f ca="1">(AI146*DATOSAÑO!$Z$11)/DATOSAÑO!$Y$11</f>
        <v>0</v>
      </c>
      <c r="AK146" s="9">
        <f ca="1">DATOSAÑO!BV145</f>
        <v>4.5910000000000002</v>
      </c>
      <c r="AL146" s="11">
        <f ca="1">(AK146*DATOSAÑO!$Z$11)/DATOSAÑO!$Y$11</f>
        <v>8.2723678365545061E-2</v>
      </c>
      <c r="AM146" s="9">
        <f ca="1">DATOSAÑO!BY145</f>
        <v>3.5710000000000002</v>
      </c>
      <c r="AN146" s="11">
        <f ca="1">(AM146*DATOSAÑO!$Z$11)/DATOSAÑO!$Y$11</f>
        <v>6.4344642875922772E-2</v>
      </c>
      <c r="AO146" s="9">
        <f ca="1">DATOSAÑO!CF145</f>
        <v>10.669000000002047</v>
      </c>
      <c r="AP146" s="11">
        <f ca="1">(AO146*DATOSAÑO!$Z$11)/DATOSAÑO!$Y$11</f>
        <v>0.19224110748903717</v>
      </c>
      <c r="AQ146" s="9">
        <f ca="1">DATOSAÑO!CL145</f>
        <v>2.3331999999999637</v>
      </c>
      <c r="AR146" s="1300">
        <f ca="1">(AQ146*DATOSAÑO!$Z$11)/DATOSAÑO!$Y$11</f>
        <v>4.204114274939811E-2</v>
      </c>
      <c r="AS146" s="1334">
        <f t="shared" si="8"/>
        <v>20</v>
      </c>
    </row>
    <row r="147" spans="1:45" ht="15" thickBot="1">
      <c r="A147" s="1371">
        <v>45062</v>
      </c>
      <c r="B147" s="1021">
        <v>45062</v>
      </c>
      <c r="C147" s="9">
        <f ca="1">DATOSAÑO!I146</f>
        <v>138</v>
      </c>
      <c r="D147" s="10">
        <f ca="1">DATOSAÑO!$D146</f>
        <v>3.7790142748572797</v>
      </c>
      <c r="E147" s="11">
        <f ca="1">DATOSAÑO!$G146</f>
        <v>0</v>
      </c>
      <c r="F147" s="85">
        <f ca="1">DATOSAÑO!P146</f>
        <v>298</v>
      </c>
      <c r="G147" s="10">
        <f ca="1">DATOSAÑO!K146</f>
        <v>5.147996196836349</v>
      </c>
      <c r="H147" s="11">
        <f ca="1">DATOSAÑO!N146</f>
        <v>0</v>
      </c>
      <c r="I147" s="9">
        <f ca="1">DATOSAÑO!Q146</f>
        <v>0.68799999999987449</v>
      </c>
      <c r="J147" s="11">
        <f ca="1">DATOSAÑO!R146</f>
        <v>82.559999999984939</v>
      </c>
      <c r="K147" s="9">
        <f ca="1">DATOSAÑO!T146</f>
        <v>0</v>
      </c>
      <c r="L147" s="11">
        <f t="shared" ca="1" si="6"/>
        <v>0</v>
      </c>
      <c r="M147" s="9"/>
      <c r="N147" s="11">
        <f t="shared" si="7"/>
        <v>0</v>
      </c>
      <c r="O147" s="9">
        <f>DATOSAÑO!CT146</f>
        <v>0.7</v>
      </c>
      <c r="P147" s="9">
        <f>DATOSAÑO!CU146</f>
        <v>0</v>
      </c>
      <c r="Q147" s="9">
        <f ca="1">DATOSAÑO!AD146</f>
        <v>166</v>
      </c>
      <c r="R147" s="11">
        <f ca="1">(Q147*DATOSAÑO!$Z$11)/DATOSAÑO!$Y$11</f>
        <v>2.9910979326248053</v>
      </c>
      <c r="S147" s="9">
        <f ca="1">DATOSAÑO!AF146</f>
        <v>147</v>
      </c>
      <c r="T147" s="11">
        <f ca="1">(S147*DATOSAÑO!$Z$11)/DATOSAÑO!$Y$11</f>
        <v>2.648743349974978</v>
      </c>
      <c r="U147" s="9">
        <f ca="1">DATOSAÑO!AH146</f>
        <v>6.5</v>
      </c>
      <c r="V147" s="11">
        <f ca="1">(U147*DATOSAÑO!$Z$11)/DATOSAÑO!$Y$11</f>
        <v>0.11712130459073032</v>
      </c>
      <c r="W147" s="9">
        <f ca="1">DATOSAÑO!AI146</f>
        <v>35.100000000005821</v>
      </c>
      <c r="X147" s="11">
        <f ca="1">(W147*DATOSAÑO!$Z$11)/DATOSAÑO!$Y$11</f>
        <v>0.63245504479004866</v>
      </c>
      <c r="Y147" s="9">
        <f ca="1">DATOSAÑO!AJ146</f>
        <v>6.6999999999970896</v>
      </c>
      <c r="Z147" s="11">
        <f ca="1">(Y147*DATOSAÑO!$Z$11)/DATOSAÑO!$Y$11</f>
        <v>0.12072503703962342</v>
      </c>
      <c r="AA147" s="9">
        <f ca="1">DATOSAÑO!AK146</f>
        <v>12.299999999988358</v>
      </c>
      <c r="AB147" s="11">
        <f ca="1">(AA147*DATOSAÑO!$Z$11)/DATOSAÑO!$Y$11</f>
        <v>0.22162954560994144</v>
      </c>
      <c r="AC147" s="9">
        <f ca="1">DATOSAÑO!AL146</f>
        <v>33.888000000011459</v>
      </c>
      <c r="AD147" s="11">
        <f ca="1">(AC147*DATOSAÑO!$Z$11)/DATOSAÑO!$Y$11</f>
        <v>0.61061642614954015</v>
      </c>
      <c r="AE147" s="9">
        <f ca="1">DATOSAÑO!AM146</f>
        <v>8.2869999999977164</v>
      </c>
      <c r="AF147" s="11">
        <f ca="1">(AE147*DATOSAÑO!$Z$11)/DATOSAÑO!$Y$11</f>
        <v>0.14932065402201763</v>
      </c>
      <c r="AG147" s="9">
        <f ca="1">DATOSAÑO!AN146</f>
        <v>4.0069999999997341</v>
      </c>
      <c r="AH147" s="11">
        <f ca="1">(AG147*DATOSAÑO!$Z$11)/DATOSAÑO!$Y$11</f>
        <v>7.2200779614619279E-2</v>
      </c>
      <c r="AI147" s="9">
        <f ca="1">DATOSAÑO!BS146</f>
        <v>0</v>
      </c>
      <c r="AJ147" s="11">
        <f ca="1">(AI147*DATOSAÑO!$Z$11)/DATOSAÑO!$Y$11</f>
        <v>0</v>
      </c>
      <c r="AK147" s="9">
        <f ca="1">DATOSAÑO!BV146</f>
        <v>4.548</v>
      </c>
      <c r="AL147" s="11">
        <f ca="1">(AK147*DATOSAÑO!$Z$11)/DATOSAÑO!$Y$11</f>
        <v>8.1948875889021777E-2</v>
      </c>
      <c r="AM147" s="9">
        <f ca="1">DATOSAÑO!BY146</f>
        <v>3.4849999999999999</v>
      </c>
      <c r="AN147" s="11">
        <f ca="1">(AM147*DATOSAÑO!$Z$11)/DATOSAÑO!$Y$11</f>
        <v>6.2795037922876176E-2</v>
      </c>
      <c r="AO147" s="9">
        <f ca="1">DATOSAÑO!CF146</f>
        <v>11.543499999998495</v>
      </c>
      <c r="AP147" s="11">
        <f ca="1">(AO147*DATOSAÑO!$Z$11)/DATOSAÑO!$Y$11</f>
        <v>0.20799842762198759</v>
      </c>
      <c r="AQ147" s="9">
        <f ca="1">DATOSAÑO!CL146</f>
        <v>3.0757999999998935</v>
      </c>
      <c r="AR147" s="1300">
        <f ca="1">(AQ147*DATOSAÑO!$Z$11)/DATOSAÑO!$Y$11</f>
        <v>5.5421801332331676E-2</v>
      </c>
      <c r="AS147" s="1334">
        <f t="shared" si="8"/>
        <v>20</v>
      </c>
    </row>
    <row r="148" spans="1:45" ht="16.5" customHeight="1" thickBot="1">
      <c r="A148" s="1371">
        <v>45063</v>
      </c>
      <c r="B148" s="1021">
        <v>45063</v>
      </c>
      <c r="C148" s="9">
        <f ca="1">DATOSAÑO!I147</f>
        <v>134.98999999999069</v>
      </c>
      <c r="D148" s="10">
        <f ca="1">DATOSAÑO!$D147</f>
        <v>3.7532603024499691</v>
      </c>
      <c r="E148" s="11">
        <f ca="1">DATOSAÑO!$G147</f>
        <v>0</v>
      </c>
      <c r="F148" s="85">
        <f ca="1">DATOSAÑO!P147</f>
        <v>304.44999999999709</v>
      </c>
      <c r="G148" s="10">
        <f ca="1">DATOSAÑO!K147</f>
        <v>5.2031832805661047</v>
      </c>
      <c r="H148" s="11">
        <f ca="1">DATOSAÑO!N147</f>
        <v>0</v>
      </c>
      <c r="I148" s="9">
        <f ca="1">DATOSAÑO!Q147</f>
        <v>0</v>
      </c>
      <c r="J148" s="11">
        <f ca="1">DATOSAÑO!R147</f>
        <v>0</v>
      </c>
      <c r="K148" s="9">
        <f ca="1">DATOSAÑO!T147</f>
        <v>0</v>
      </c>
      <c r="L148" s="11">
        <f t="shared" ca="1" si="6"/>
        <v>0</v>
      </c>
      <c r="M148" s="9"/>
      <c r="N148" s="11">
        <f t="shared" si="7"/>
        <v>0</v>
      </c>
      <c r="O148" s="9">
        <f>DATOSAÑO!CT147</f>
        <v>0</v>
      </c>
      <c r="P148" s="9">
        <f>DATOSAÑO!CU147</f>
        <v>0</v>
      </c>
      <c r="Q148" s="9">
        <f ca="1">DATOSAÑO!AD147</f>
        <v>165.77000000000044</v>
      </c>
      <c r="R148" s="11">
        <f ca="1">(Q148*DATOSAÑO!$Z$11)/DATOSAÑO!$Y$11</f>
        <v>2.9869536403085259</v>
      </c>
      <c r="S148" s="9">
        <f ca="1">DATOSAÑO!AF147</f>
        <v>146.95000000001164</v>
      </c>
      <c r="T148" s="11">
        <f ca="1">(S148*DATOSAÑO!$Z$11)/DATOSAÑO!$Y$11</f>
        <v>2.6478424168629515</v>
      </c>
      <c r="U148" s="9">
        <f ca="1">DATOSAÑO!AH147</f>
        <v>10</v>
      </c>
      <c r="V148" s="11">
        <f ca="1">(U148*DATOSAÑO!$Z$11)/DATOSAÑO!$Y$11</f>
        <v>0.18018662244727743</v>
      </c>
      <c r="W148" s="9">
        <f ca="1">DATOSAÑO!AI147</f>
        <v>35.600000000005821</v>
      </c>
      <c r="X148" s="11">
        <f ca="1">(W148*DATOSAÑO!$Z$11)/DATOSAÑO!$Y$11</f>
        <v>0.64146437591241257</v>
      </c>
      <c r="Y148" s="9">
        <f ca="1">DATOSAÑO!AJ147</f>
        <v>5.3700000000098953</v>
      </c>
      <c r="Z148" s="11">
        <f ca="1">(Y148*DATOSAÑO!$Z$11)/DATOSAÑO!$Y$11</f>
        <v>9.6760216254366274E-2</v>
      </c>
      <c r="AA148" s="9">
        <f ca="1">DATOSAÑO!AK147</f>
        <v>13.220000000001164</v>
      </c>
      <c r="AB148" s="11">
        <f ca="1">(AA148*DATOSAÑO!$Z$11)/DATOSAÑO!$Y$11</f>
        <v>0.23820671487532175</v>
      </c>
      <c r="AC148" s="9">
        <f ca="1">DATOSAÑO!AL147</f>
        <v>34.679999999982158</v>
      </c>
      <c r="AD148" s="11">
        <f ca="1">(AC148*DATOSAÑO!$Z$11)/DATOSAÑO!$Y$11</f>
        <v>0.62488720664683661</v>
      </c>
      <c r="AE148" s="9">
        <f ca="1">DATOSAÑO!AM147</f>
        <v>8.2939999999772667</v>
      </c>
      <c r="AF148" s="11">
        <f ca="1">(AE148*DATOSAÑO!$Z$11)/DATOSAÑO!$Y$11</f>
        <v>0.14944678465736227</v>
      </c>
      <c r="AG148" s="9">
        <f ca="1">DATOSAÑO!AN147</f>
        <v>3.3459999999997407</v>
      </c>
      <c r="AH148" s="11">
        <f ca="1">(AG148*DATOSAÑO!$Z$11)/DATOSAÑO!$Y$11</f>
        <v>6.029044387085436E-2</v>
      </c>
      <c r="AI148" s="9">
        <f ca="1">DATOSAÑO!BS147</f>
        <v>0</v>
      </c>
      <c r="AJ148" s="11">
        <f ca="1">(AI148*DATOSAÑO!$Z$11)/DATOSAÑO!$Y$11</f>
        <v>0</v>
      </c>
      <c r="AK148" s="9">
        <f ca="1">DATOSAÑO!BV147</f>
        <v>4.5369999999999999</v>
      </c>
      <c r="AL148" s="11">
        <f ca="1">(AK148*DATOSAÑO!$Z$11)/DATOSAÑO!$Y$11</f>
        <v>8.1750670604329764E-2</v>
      </c>
      <c r="AM148" s="9">
        <f ca="1">DATOSAÑO!BY147</f>
        <v>3.5390000000000001</v>
      </c>
      <c r="AN148" s="11">
        <f ca="1">(AM148*DATOSAÑO!$Z$11)/DATOSAÑO!$Y$11</f>
        <v>6.3768045684091487E-2</v>
      </c>
      <c r="AO148" s="9">
        <f ca="1">DATOSAÑO!CF147</f>
        <v>11.216999999988342</v>
      </c>
      <c r="AP148" s="11">
        <f ca="1">(AO148*DATOSAÑO!$Z$11)/DATOSAÑO!$Y$11</f>
        <v>0.20211533439890103</v>
      </c>
      <c r="AQ148" s="9">
        <f ca="1">DATOSAÑO!CL147</f>
        <v>2.4023999999998962</v>
      </c>
      <c r="AR148" s="1300">
        <f ca="1">(AQ148*DATOSAÑO!$Z$11)/DATOSAÑO!$Y$11</f>
        <v>4.3288034176732056E-2</v>
      </c>
      <c r="AS148" s="1334">
        <f t="shared" si="8"/>
        <v>20</v>
      </c>
    </row>
    <row r="149" spans="1:45" ht="15" thickBot="1">
      <c r="A149" s="1371">
        <v>45064</v>
      </c>
      <c r="B149" s="1021">
        <v>45064</v>
      </c>
      <c r="C149" s="9">
        <f ca="1">DATOSAÑO!I148</f>
        <v>176.77500000002328</v>
      </c>
      <c r="D149" s="10">
        <f ca="1">DATOSAÑO!$D148</f>
        <v>4.1107784875120945</v>
      </c>
      <c r="E149" s="11">
        <f ca="1">DATOSAÑO!$G148</f>
        <v>0</v>
      </c>
      <c r="F149" s="85">
        <f ca="1">DATOSAÑO!P148</f>
        <v>268.37800000000425</v>
      </c>
      <c r="G149" s="10">
        <f ca="1">DATOSAÑO!K148</f>
        <v>4.894546306255986</v>
      </c>
      <c r="H149" s="11">
        <f ca="1">DATOSAÑO!N148</f>
        <v>0</v>
      </c>
      <c r="I149" s="9">
        <f ca="1">DATOSAÑO!Q148</f>
        <v>0</v>
      </c>
      <c r="J149" s="11">
        <f ca="1">DATOSAÑO!R148</f>
        <v>0</v>
      </c>
      <c r="K149" s="9">
        <f ca="1">DATOSAÑO!T148</f>
        <v>0</v>
      </c>
      <c r="L149" s="11">
        <f t="shared" ca="1" si="6"/>
        <v>0</v>
      </c>
      <c r="M149" s="9"/>
      <c r="N149" s="11">
        <f t="shared" si="7"/>
        <v>0</v>
      </c>
      <c r="O149" s="9">
        <f>DATOSAÑO!CT148</f>
        <v>0</v>
      </c>
      <c r="P149" s="9">
        <f>DATOSAÑO!CU148</f>
        <v>0</v>
      </c>
      <c r="Q149" s="9">
        <f ca="1">DATOSAÑO!AD148</f>
        <v>167.73199999999997</v>
      </c>
      <c r="R149" s="11">
        <f ca="1">(Q149*DATOSAÑO!$Z$11)/DATOSAÑO!$Y$11</f>
        <v>3.0223062556326727</v>
      </c>
      <c r="S149" s="9">
        <f ca="1">DATOSAÑO!AF148</f>
        <v>150.64999999996508</v>
      </c>
      <c r="T149" s="11">
        <f ca="1">(S149*DATOSAÑO!$Z$11)/DATOSAÑO!$Y$11</f>
        <v>2.7145114671676054</v>
      </c>
      <c r="U149" s="9">
        <f ca="1">DATOSAÑO!AH148</f>
        <v>10.399999999994179</v>
      </c>
      <c r="V149" s="11">
        <f ca="1">(U149*DATOSAÑO!$Z$11)/DATOSAÑO!$Y$11</f>
        <v>0.18739408734506366</v>
      </c>
      <c r="W149" s="9">
        <f ca="1">DATOSAÑO!AI148</f>
        <v>36.720000000001164</v>
      </c>
      <c r="X149" s="11">
        <f ca="1">(W149*DATOSAÑO!$Z$11)/DATOSAÑO!$Y$11</f>
        <v>0.66164527762642367</v>
      </c>
      <c r="Y149" s="9">
        <f ca="1">DATOSAÑO!AJ148</f>
        <v>4.8799999999901047</v>
      </c>
      <c r="Z149" s="11">
        <f ca="1">(Y149*DATOSAÑO!$Z$11)/DATOSAÑO!$Y$11</f>
        <v>8.7931071754093079E-2</v>
      </c>
      <c r="AA149" s="9">
        <f ca="1">DATOSAÑO!AK148</f>
        <v>12.550000000017462</v>
      </c>
      <c r="AB149" s="11">
        <f ca="1">(AA149*DATOSAÑO!$Z$11)/DATOSAÑO!$Y$11</f>
        <v>0.22613421117164781</v>
      </c>
      <c r="AC149" s="9">
        <f ca="1">DATOSAÑO!AL148</f>
        <v>35.570999999999913</v>
      </c>
      <c r="AD149" s="11">
        <f ca="1">(AC149*DATOSAÑO!$Z$11)/DATOSAÑO!$Y$11</f>
        <v>0.640941834707209</v>
      </c>
      <c r="AE149" s="9">
        <f ca="1">DATOSAÑO!AM148</f>
        <v>7.7509000000595369</v>
      </c>
      <c r="AF149" s="11">
        <f ca="1">(AE149*DATOSAÑO!$Z$11)/DATOSAÑO!$Y$11</f>
        <v>0.13966084919373303</v>
      </c>
      <c r="AG149" s="9">
        <f ca="1">DATOSAÑO!AN148</f>
        <v>3.0290000000003294</v>
      </c>
      <c r="AH149" s="11">
        <f ca="1">(AG149*DATOSAÑO!$Z$11)/DATOSAÑO!$Y$11</f>
        <v>5.4578527939286268E-2</v>
      </c>
      <c r="AI149" s="9">
        <f ca="1">DATOSAÑO!BS148</f>
        <v>1.1541000000000932</v>
      </c>
      <c r="AJ149" s="11">
        <f ca="1">(AI149*DATOSAÑO!$Z$11)/DATOSAÑO!$Y$11</f>
        <v>2.0795338096641969E-2</v>
      </c>
      <c r="AK149" s="9">
        <f ca="1">DATOSAÑO!BV148</f>
        <v>2.0030000000000001</v>
      </c>
      <c r="AL149" s="11">
        <f ca="1">(AK149*DATOSAÑO!$Z$11)/DATOSAÑO!$Y$11</f>
        <v>3.609138047618967E-2</v>
      </c>
      <c r="AM149" s="9">
        <f ca="1">DATOSAÑO!BY148</f>
        <v>4.7220000000000004</v>
      </c>
      <c r="AN149" s="11">
        <f ca="1">(AM149*DATOSAÑO!$Z$11)/DATOSAÑO!$Y$11</f>
        <v>8.5084123119604393E-2</v>
      </c>
      <c r="AO149" s="9">
        <f ca="1">DATOSAÑO!CF148</f>
        <v>10.445450000029478</v>
      </c>
      <c r="AP149" s="11">
        <f ca="1">(AO149*DATOSAÑO!$Z$11)/DATOSAÑO!$Y$11</f>
        <v>0.18821303554472255</v>
      </c>
      <c r="AQ149" s="9">
        <f ca="1">DATOSAÑO!CL148</f>
        <v>2.6326000000001319</v>
      </c>
      <c r="AR149" s="1300">
        <f ca="1">(AQ149*DATOSAÑO!$Z$11)/DATOSAÑO!$Y$11</f>
        <v>4.7435930225472628E-2</v>
      </c>
      <c r="AS149" s="1334">
        <f t="shared" si="8"/>
        <v>20</v>
      </c>
    </row>
    <row r="150" spans="1:45" ht="16.5" customHeight="1" thickBot="1">
      <c r="A150" s="1371">
        <v>45065</v>
      </c>
      <c r="B150" s="1021">
        <v>45065</v>
      </c>
      <c r="C150" s="9">
        <f ca="1">DATOSAÑO!I149</f>
        <v>291.56499999994412</v>
      </c>
      <c r="D150" s="10">
        <f ca="1">DATOSAÑO!$D149</f>
        <v>5.0929374551612749</v>
      </c>
      <c r="E150" s="11">
        <f ca="1">DATOSAÑO!$G149</f>
        <v>0</v>
      </c>
      <c r="F150" s="85">
        <f ca="1">DATOSAÑO!P149</f>
        <v>147.50299999999697</v>
      </c>
      <c r="G150" s="10">
        <f ca="1">DATOSAÑO!K149</f>
        <v>3.860323244885798</v>
      </c>
      <c r="H150" s="11">
        <f ca="1">DATOSAÑO!N149</f>
        <v>0</v>
      </c>
      <c r="I150" s="9">
        <f ca="1">DATOSAÑO!Q149</f>
        <v>0</v>
      </c>
      <c r="J150" s="11">
        <f ca="1">DATOSAÑO!R149</f>
        <v>0</v>
      </c>
      <c r="K150" s="9">
        <f ca="1">DATOSAÑO!T149</f>
        <v>0</v>
      </c>
      <c r="L150" s="11">
        <f t="shared" ca="1" si="6"/>
        <v>0</v>
      </c>
      <c r="M150" s="9"/>
      <c r="N150" s="11">
        <f t="shared" si="7"/>
        <v>0</v>
      </c>
      <c r="O150" s="9">
        <f>DATOSAÑO!CT149</f>
        <v>0</v>
      </c>
      <c r="P150" s="9">
        <f>DATOSAÑO!CU149</f>
        <v>0</v>
      </c>
      <c r="Q150" s="9">
        <f ca="1">DATOSAÑO!AD149</f>
        <v>165.33799999999974</v>
      </c>
      <c r="R150" s="11">
        <f ca="1">(Q150*DATOSAÑO!$Z$11)/DATOSAÑO!$Y$11</f>
        <v>2.9791695782187904</v>
      </c>
      <c r="S150" s="9">
        <f ca="1">DATOSAÑO!AF149</f>
        <v>145.50900000002002</v>
      </c>
      <c r="T150" s="11">
        <f ca="1">(S150*DATOSAÑO!$Z$11)/DATOSAÑO!$Y$11</f>
        <v>2.62187752456845</v>
      </c>
      <c r="U150" s="9">
        <f ca="1">DATOSAÑO!AH149</f>
        <v>10.400000000001455</v>
      </c>
      <c r="V150" s="11">
        <f ca="1">(U150*DATOSAÑO!$Z$11)/DATOSAÑO!$Y$11</f>
        <v>0.18739408734519472</v>
      </c>
      <c r="W150" s="9">
        <f ca="1">DATOSAÑO!AI149</f>
        <v>34.969999999986612</v>
      </c>
      <c r="X150" s="11">
        <f ca="1">(W150*DATOSAÑO!$Z$11)/DATOSAÑO!$Y$11</f>
        <v>0.63011261869788793</v>
      </c>
      <c r="Y150" s="9">
        <f ca="1">DATOSAÑO!AJ149</f>
        <v>6.8700000000098953</v>
      </c>
      <c r="Z150" s="11">
        <f ca="1">(Y150*DATOSAÑO!$Z$11)/DATOSAÑO!$Y$11</f>
        <v>0.12378820962145788</v>
      </c>
      <c r="AA150" s="9">
        <f ca="1">DATOSAÑO!AK149</f>
        <v>12.299999999988358</v>
      </c>
      <c r="AB150" s="11">
        <f ca="1">(AA150*DATOSAÑO!$Z$11)/DATOSAÑO!$Y$11</f>
        <v>0.22162954560994144</v>
      </c>
      <c r="AC150" s="9">
        <f ca="1">DATOSAÑO!AL149</f>
        <v>34.189999999976976</v>
      </c>
      <c r="AD150" s="11">
        <f ca="1">(AC150*DATOSAÑO!$Z$11)/DATOSAÑO!$Y$11</f>
        <v>0.61605806214682657</v>
      </c>
      <c r="AE150" s="9">
        <f ca="1">DATOSAÑO!AM149</f>
        <v>13.237999999957811</v>
      </c>
      <c r="AF150" s="11">
        <f ca="1">(AE150*DATOSAÑO!$Z$11)/DATOSAÑO!$Y$11</f>
        <v>0.23853105079494569</v>
      </c>
      <c r="AG150" s="9">
        <f ca="1">DATOSAÑO!AN149</f>
        <v>0.78299999999931891</v>
      </c>
      <c r="AH150" s="11">
        <f ca="1">(AG150*DATOSAÑO!$Z$11)/DATOSAÑO!$Y$11</f>
        <v>1.4108612537609548E-2</v>
      </c>
      <c r="AI150" s="9">
        <f ca="1">DATOSAÑO!BS149</f>
        <v>2.2559999999999998</v>
      </c>
      <c r="AJ150" s="11">
        <f ca="1">(AI150*DATOSAÑO!$Z$11)/DATOSAÑO!$Y$11</f>
        <v>4.065010202410578E-2</v>
      </c>
      <c r="AK150" s="9">
        <f ca="1">DATOSAÑO!BV149</f>
        <v>0</v>
      </c>
      <c r="AL150" s="11">
        <f ca="1">(AK150*DATOSAÑO!$Z$11)/DATOSAÑO!$Y$11</f>
        <v>0</v>
      </c>
      <c r="AM150" s="9">
        <f ca="1">DATOSAÑO!BY149</f>
        <v>5.0869999999999997</v>
      </c>
      <c r="AN150" s="11">
        <f ca="1">(AM150*DATOSAÑO!$Z$11)/DATOSAÑO!$Y$11</f>
        <v>9.1660934838930022E-2</v>
      </c>
      <c r="AO150" s="9">
        <f ca="1">DATOSAÑO!CF149</f>
        <v>13.248999999979924</v>
      </c>
      <c r="AP150" s="11">
        <f ca="1">(AO150*DATOSAÑO!$Z$11)/DATOSAÑO!$Y$11</f>
        <v>0.23872925608003612</v>
      </c>
      <c r="AQ150" s="9">
        <f ca="1">DATOSAÑO!CL149</f>
        <v>1.8101999999997278</v>
      </c>
      <c r="AR150" s="1300">
        <f ca="1">(AQ150*DATOSAÑO!$Z$11)/DATOSAÑO!$Y$11</f>
        <v>3.2617382395401254E-2</v>
      </c>
      <c r="AS150" s="1334">
        <f t="shared" si="8"/>
        <v>20</v>
      </c>
    </row>
    <row r="151" spans="1:45" ht="15" thickBot="1">
      <c r="A151" s="1371">
        <v>45066</v>
      </c>
      <c r="B151" s="1021">
        <v>45066</v>
      </c>
      <c r="C151" s="9">
        <f ca="1">DATOSAÑO!I150</f>
        <v>307.67000000004191</v>
      </c>
      <c r="D151" s="10">
        <f ca="1">DATOSAÑO!$D150</f>
        <v>5.2307340417463175</v>
      </c>
      <c r="E151" s="11">
        <f ca="1">DATOSAÑO!$G150</f>
        <v>0</v>
      </c>
      <c r="F151" s="85">
        <f ca="1">DATOSAÑO!P150</f>
        <v>147.64199999999983</v>
      </c>
      <c r="G151" s="10">
        <f ca="1">DATOSAÑO!K150</f>
        <v>3.8615125479305421</v>
      </c>
      <c r="H151" s="11">
        <f ca="1">DATOSAÑO!N150</f>
        <v>0</v>
      </c>
      <c r="I151" s="9">
        <f ca="1">DATOSAÑO!Q150</f>
        <v>0</v>
      </c>
      <c r="J151" s="11">
        <f ca="1">DATOSAÑO!R150</f>
        <v>0</v>
      </c>
      <c r="K151" s="9">
        <f ca="1">DATOSAÑO!T150</f>
        <v>0</v>
      </c>
      <c r="L151" s="11">
        <f t="shared" ca="1" si="6"/>
        <v>0</v>
      </c>
      <c r="M151" s="9"/>
      <c r="N151" s="11">
        <f t="shared" si="7"/>
        <v>0</v>
      </c>
      <c r="O151" s="9">
        <f>DATOSAÑO!CT150</f>
        <v>0</v>
      </c>
      <c r="P151" s="9">
        <f>DATOSAÑO!CU150</f>
        <v>0</v>
      </c>
      <c r="Q151" s="9">
        <f ca="1">DATOSAÑO!AD150</f>
        <v>173.96000000000004</v>
      </c>
      <c r="R151" s="11">
        <f ca="1">(Q151*DATOSAÑO!$Z$11)/DATOSAÑO!$Y$11</f>
        <v>3.1345264840928384</v>
      </c>
      <c r="S151" s="9">
        <f ca="1">DATOSAÑO!AF150</f>
        <v>150.39100000000326</v>
      </c>
      <c r="T151" s="11">
        <f ca="1">(S151*DATOSAÑO!$Z$11)/DATOSAÑO!$Y$11</f>
        <v>2.7098446336469086</v>
      </c>
      <c r="U151" s="9">
        <f ca="1">DATOSAÑO!AH150</f>
        <v>13.30000000000291</v>
      </c>
      <c r="V151" s="11">
        <f ca="1">(U151*DATOSAÑO!$Z$11)/DATOSAÑO!$Y$11</f>
        <v>0.23964820785493143</v>
      </c>
      <c r="W151" s="9">
        <f ca="1">DATOSAÑO!AI150</f>
        <v>34.690000000002328</v>
      </c>
      <c r="X151" s="11">
        <f ca="1">(W151*DATOSAÑO!$Z$11)/DATOSAÑO!$Y$11</f>
        <v>0.62506739326964733</v>
      </c>
      <c r="Y151" s="9">
        <f ca="1">DATOSAÑO!AJ150</f>
        <v>10.369999999995343</v>
      </c>
      <c r="Z151" s="11">
        <f ca="1">(Y151*DATOSAÑO!$Z$11)/DATOSAÑO!$Y$11</f>
        <v>0.18685352747774281</v>
      </c>
      <c r="AA151" s="9">
        <f ca="1">DATOSAÑO!AK150</f>
        <v>14.540000000008149</v>
      </c>
      <c r="AB151" s="11">
        <f ca="1">(AA151*DATOSAÑO!$Z$11)/DATOSAÑO!$Y$11</f>
        <v>0.2619913490384882</v>
      </c>
      <c r="AC151" s="9">
        <f ca="1">DATOSAÑO!AL150</f>
        <v>35.052000000009684</v>
      </c>
      <c r="AD151" s="11">
        <f ca="1">(AC151*DATOSAÑO!$Z$11)/DATOSAÑO!$Y$11</f>
        <v>0.63159014900237143</v>
      </c>
      <c r="AE151" s="9">
        <f ca="1">DATOSAÑO!AM150</f>
        <v>9.887100000020272</v>
      </c>
      <c r="AF151" s="11">
        <f ca="1">(AE151*DATOSAÑO!$Z$11)/DATOSAÑO!$Y$11</f>
        <v>0.17815231548021296</v>
      </c>
      <c r="AG151" s="9">
        <f ca="1">DATOSAÑO!AN150</f>
        <v>0.2250000000003638</v>
      </c>
      <c r="AH151" s="11">
        <f ca="1">(AG151*DATOSAÑO!$Z$11)/DATOSAÑO!$Y$11</f>
        <v>4.0541990050702971E-3</v>
      </c>
      <c r="AI151" s="9">
        <f ca="1">DATOSAÑO!BS150</f>
        <v>2.067899999999907</v>
      </c>
      <c r="AJ151" s="11">
        <f ca="1">(AI151*DATOSAÑO!$Z$11)/DATOSAÑO!$Y$11</f>
        <v>3.7260791655870824E-2</v>
      </c>
      <c r="AK151" s="9">
        <f ca="1">DATOSAÑO!BV150</f>
        <v>1.1399999999999999</v>
      </c>
      <c r="AL151" s="11">
        <f ca="1">(AK151*DATOSAÑO!$Z$11)/DATOSAÑO!$Y$11</f>
        <v>2.0541274958989626E-2</v>
      </c>
      <c r="AM151" s="9">
        <f ca="1">DATOSAÑO!BY150</f>
        <v>2.254</v>
      </c>
      <c r="AN151" s="11">
        <f ca="1">(AM151*DATOSAÑO!$Z$11)/DATOSAÑO!$Y$11</f>
        <v>4.0614064699616328E-2</v>
      </c>
      <c r="AO151" s="9">
        <f ca="1">DATOSAÑO!CF150</f>
        <v>11.503550000009627</v>
      </c>
      <c r="AP151" s="11">
        <f ca="1">(AO151*DATOSAÑO!$Z$11)/DATOSAÑO!$Y$11</f>
        <v>0.20727858206551128</v>
      </c>
      <c r="AQ151" s="9">
        <f ca="1">DATOSAÑO!CL150</f>
        <v>0.96500000000014552</v>
      </c>
      <c r="AR151" s="1300">
        <f ca="1">(AQ151*DATOSAÑO!$Z$11)/DATOSAÑO!$Y$11</f>
        <v>1.7388009066164896E-2</v>
      </c>
      <c r="AS151" s="1334">
        <f t="shared" si="8"/>
        <v>20</v>
      </c>
    </row>
    <row r="152" spans="1:45" ht="16.5" customHeight="1" thickBot="1">
      <c r="A152" s="1371">
        <v>45067</v>
      </c>
      <c r="B152" s="1021">
        <v>45067</v>
      </c>
      <c r="C152" s="9">
        <f ca="1">DATOSAÑO!I151</f>
        <v>303.25</v>
      </c>
      <c r="D152" s="10">
        <f ca="1">DATOSAÑO!$D151</f>
        <v>5.1929159161512874</v>
      </c>
      <c r="E152" s="11">
        <f ca="1">DATOSAÑO!$G151</f>
        <v>0</v>
      </c>
      <c r="F152" s="85">
        <f ca="1">DATOSAÑO!P151</f>
        <v>147.62299999999959</v>
      </c>
      <c r="G152" s="10">
        <f ca="1">DATOSAÑO!K151</f>
        <v>3.8613499813273053</v>
      </c>
      <c r="H152" s="11">
        <f ca="1">DATOSAÑO!N151</f>
        <v>0</v>
      </c>
      <c r="I152" s="9">
        <f ca="1">DATOSAÑO!Q151</f>
        <v>0</v>
      </c>
      <c r="J152" s="11">
        <f ca="1">DATOSAÑO!R151</f>
        <v>0</v>
      </c>
      <c r="K152" s="9">
        <f ca="1">DATOSAÑO!T151</f>
        <v>0</v>
      </c>
      <c r="L152" s="11">
        <f t="shared" ca="1" si="6"/>
        <v>0</v>
      </c>
      <c r="M152" s="9"/>
      <c r="N152" s="11">
        <f t="shared" si="7"/>
        <v>0</v>
      </c>
      <c r="O152" s="9">
        <f>DATOSAÑO!CT151</f>
        <v>0</v>
      </c>
      <c r="P152" s="9">
        <f>DATOSAÑO!CU151</f>
        <v>0</v>
      </c>
      <c r="Q152" s="9">
        <f ca="1">DATOSAÑO!AD151</f>
        <v>177.59999999999945</v>
      </c>
      <c r="R152" s="11">
        <f ca="1">(Q152*DATOSAÑO!$Z$11)/DATOSAÑO!$Y$11</f>
        <v>3.2001144146636373</v>
      </c>
      <c r="S152" s="9">
        <f ca="1">DATOSAÑO!AF151</f>
        <v>147.09999999997672</v>
      </c>
      <c r="T152" s="11">
        <f ca="1">(S152*DATOSAÑO!$Z$11)/DATOSAÑO!$Y$11</f>
        <v>2.6505452161990313</v>
      </c>
      <c r="U152" s="9">
        <f ca="1">DATOSAÑO!AH151</f>
        <v>11</v>
      </c>
      <c r="V152" s="11">
        <f ca="1">(U152*DATOSAÑO!$Z$11)/DATOSAÑO!$Y$11</f>
        <v>0.19820528469200516</v>
      </c>
      <c r="W152" s="9">
        <f ca="1">DATOSAÑO!AI151</f>
        <v>34.669999999998254</v>
      </c>
      <c r="X152" s="11">
        <f ca="1">(W152*DATOSAÑO!$Z$11)/DATOSAÑO!$Y$11</f>
        <v>0.62470702002467937</v>
      </c>
      <c r="Y152" s="9">
        <f ca="1">DATOSAÑO!AJ151</f>
        <v>8.6499999999941792</v>
      </c>
      <c r="Z152" s="11">
        <f ca="1">(Y152*DATOSAÑO!$Z$11)/DATOSAÑO!$Y$11</f>
        <v>0.1558614284167901</v>
      </c>
      <c r="AA152" s="9">
        <f ca="1">DATOSAÑO!AK151</f>
        <v>14.049999999988358</v>
      </c>
      <c r="AB152" s="11">
        <f ca="1">(AA152*DATOSAÑO!$Z$11)/DATOSAÑO!$Y$11</f>
        <v>0.25316220453821503</v>
      </c>
      <c r="AC152" s="9">
        <f ca="1">DATOSAÑO!AL151</f>
        <v>31.303000000057239</v>
      </c>
      <c r="AD152" s="11">
        <f ca="1">(AC152*DATOSAÑO!$Z$11)/DATOSAÑO!$Y$11</f>
        <v>0.56403818424774388</v>
      </c>
      <c r="AE152" s="9">
        <f ca="1">DATOSAÑO!AM151</f>
        <v>10.589999999986318</v>
      </c>
      <c r="AF152" s="11">
        <f ca="1">(AE152*DATOSAÑO!$Z$11)/DATOSAÑO!$Y$11</f>
        <v>0.19081763317142025</v>
      </c>
      <c r="AG152" s="9">
        <f ca="1">DATOSAÑO!AN151</f>
        <v>1.2279999999997271</v>
      </c>
      <c r="AH152" s="11">
        <f ca="1">(AG152*DATOSAÑO!$Z$11)/DATOSAÑO!$Y$11</f>
        <v>2.212691723652075E-2</v>
      </c>
      <c r="AI152" s="9">
        <f ca="1">DATOSAÑO!BS151</f>
        <v>2.6640000000000001</v>
      </c>
      <c r="AJ152" s="11">
        <f ca="1">(AI152*DATOSAÑO!$Z$11)/DATOSAÑO!$Y$11</f>
        <v>4.8001716219954707E-2</v>
      </c>
      <c r="AK152" s="9">
        <f ca="1">DATOSAÑO!BV151</f>
        <v>4.4109999999999996</v>
      </c>
      <c r="AL152" s="11">
        <f ca="1">(AK152*DATOSAÑO!$Z$11)/DATOSAÑO!$Y$11</f>
        <v>7.9480319161494076E-2</v>
      </c>
      <c r="AM152" s="9">
        <f ca="1">DATOSAÑO!BY151</f>
        <v>0.14499999999999999</v>
      </c>
      <c r="AN152" s="11">
        <f ca="1">(AM152*DATOSAÑO!$Z$11)/DATOSAÑO!$Y$11</f>
        <v>2.6127060254855223E-3</v>
      </c>
      <c r="AO152" s="9">
        <f ca="1">DATOSAÑO!CF151</f>
        <v>11.684999999992577</v>
      </c>
      <c r="AP152" s="11">
        <f ca="1">(AO152*DATOSAÑO!$Z$11)/DATOSAÑO!$Y$11</f>
        <v>0.2105480683295099</v>
      </c>
      <c r="AQ152" s="9">
        <f ca="1">DATOSAÑO!CL151</f>
        <v>1.5631999999998909</v>
      </c>
      <c r="AR152" s="1300">
        <f ca="1">(AQ152*DATOSAÑO!$Z$11)/DATOSAÑO!$Y$11</f>
        <v>2.8166772820956441E-2</v>
      </c>
      <c r="AS152" s="1334">
        <f t="shared" si="8"/>
        <v>21</v>
      </c>
    </row>
    <row r="153" spans="1:45" ht="15" thickBot="1">
      <c r="A153" s="1371">
        <v>45068</v>
      </c>
      <c r="B153" s="1021">
        <v>45068</v>
      </c>
      <c r="C153" s="9">
        <f ca="1">DATOSAÑO!I152</f>
        <v>306.81000000005588</v>
      </c>
      <c r="D153" s="10">
        <f ca="1">DATOSAÑO!$D152</f>
        <v>5.2233757639157989</v>
      </c>
      <c r="E153" s="11">
        <f ca="1">DATOSAÑO!$G152</f>
        <v>0</v>
      </c>
      <c r="F153" s="85">
        <f ca="1">DATOSAÑO!P152</f>
        <v>150.19400000000314</v>
      </c>
      <c r="G153" s="10">
        <f ca="1">DATOSAÑO!K152</f>
        <v>3.8833478095861365</v>
      </c>
      <c r="H153" s="11">
        <f ca="1">DATOSAÑO!N152</f>
        <v>0</v>
      </c>
      <c r="I153" s="9">
        <f ca="1">DATOSAÑO!Q152</f>
        <v>0.24500000000011823</v>
      </c>
      <c r="J153" s="11">
        <f ca="1">DATOSAÑO!R152</f>
        <v>29.400000000014188</v>
      </c>
      <c r="K153" s="9">
        <f ca="1">DATOSAÑO!T152</f>
        <v>0.40899999999999181</v>
      </c>
      <c r="L153" s="11">
        <f t="shared" ca="1" si="6"/>
        <v>49.079999999999018</v>
      </c>
      <c r="M153" s="9"/>
      <c r="N153" s="11">
        <f t="shared" si="7"/>
        <v>0</v>
      </c>
      <c r="O153" s="9">
        <f>DATOSAÑO!CT152</f>
        <v>0.2</v>
      </c>
      <c r="P153" s="9">
        <f>DATOSAÑO!CU152</f>
        <v>0.4</v>
      </c>
      <c r="Q153" s="9">
        <f ca="1">DATOSAÑO!AD152</f>
        <v>178</v>
      </c>
      <c r="R153" s="11">
        <f ca="1">(Q153*DATOSAÑO!$Z$11)/DATOSAÑO!$Y$11</f>
        <v>3.2073218795615381</v>
      </c>
      <c r="S153" s="9">
        <f ca="1">DATOSAÑO!AF152</f>
        <v>147.20000000001164</v>
      </c>
      <c r="T153" s="11">
        <f ca="1">(S153*DATOSAÑO!$Z$11)/DATOSAÑO!$Y$11</f>
        <v>2.6523470824241331</v>
      </c>
      <c r="U153" s="9">
        <f ca="1">DATOSAÑO!AH152</f>
        <v>14.099999999998545</v>
      </c>
      <c r="V153" s="11">
        <f ca="1">(U153*DATOSAÑO!$Z$11)/DATOSAÑO!$Y$11</f>
        <v>0.25406313765063493</v>
      </c>
      <c r="W153" s="9">
        <f ca="1">DATOSAÑO!AI152</f>
        <v>32.389999999999418</v>
      </c>
      <c r="X153" s="11">
        <f ca="1">(W153*DATOSAÑO!$Z$11)/DATOSAÑO!$Y$11</f>
        <v>0.58362447010672103</v>
      </c>
      <c r="Y153" s="9">
        <f ca="1">DATOSAÑO!AJ152</f>
        <v>8.6699999999982538</v>
      </c>
      <c r="Z153" s="11">
        <f ca="1">(Y153*DATOSAÑO!$Z$11)/DATOSAÑO!$Y$11</f>
        <v>0.15622180166175806</v>
      </c>
      <c r="AA153" s="9">
        <f ca="1">DATOSAÑO!AK152</f>
        <v>13.990000000019791</v>
      </c>
      <c r="AB153" s="11">
        <f ca="1">(AA153*DATOSAÑO!$Z$11)/DATOSAÑO!$Y$11</f>
        <v>0.25208108480409769</v>
      </c>
      <c r="AC153" s="9">
        <f ca="1">DATOSAÑO!AL152</f>
        <v>40.108000000030813</v>
      </c>
      <c r="AD153" s="11">
        <f ca="1">(AC153*DATOSAÑO!$Z$11)/DATOSAÑO!$Y$11</f>
        <v>0.7226925053120955</v>
      </c>
      <c r="AE153" s="9">
        <f ca="1">DATOSAÑO!AM152</f>
        <v>7.044000000000092</v>
      </c>
      <c r="AF153" s="11">
        <f ca="1">(AE153*DATOSAÑO!$Z$11)/DATOSAÑO!$Y$11</f>
        <v>0.12692345685186388</v>
      </c>
      <c r="AG153" s="9">
        <f ca="1">DATOSAÑO!AN152</f>
        <v>1.0220000000002729</v>
      </c>
      <c r="AH153" s="11">
        <f ca="1">(AG153*DATOSAÑO!$Z$11)/DATOSAÑO!$Y$11</f>
        <v>1.8415072814116671E-2</v>
      </c>
      <c r="AI153" s="9">
        <f ca="1">DATOSAÑO!BS152</f>
        <v>2.2559999999999998</v>
      </c>
      <c r="AJ153" s="11">
        <f ca="1">(AI153*DATOSAÑO!$Z$11)/DATOSAÑO!$Y$11</f>
        <v>4.065010202410578E-2</v>
      </c>
      <c r="AK153" s="9">
        <f ca="1">DATOSAÑO!BV152</f>
        <v>4.3040000000000003</v>
      </c>
      <c r="AL153" s="11">
        <f ca="1">(AK153*DATOSAÑO!$Z$11)/DATOSAÑO!$Y$11</f>
        <v>7.7552322301308207E-2</v>
      </c>
      <c r="AM153" s="9">
        <f ca="1">DATOSAÑO!BY152</f>
        <v>1.046</v>
      </c>
      <c r="AN153" s="11">
        <f ca="1">(AM153*DATOSAÑO!$Z$11)/DATOSAÑO!$Y$11</f>
        <v>1.8847520707985219E-2</v>
      </c>
      <c r="AO153" s="9">
        <f ca="1">DATOSAÑO!CF152</f>
        <v>9.6220000000004102</v>
      </c>
      <c r="AP153" s="11">
        <f ca="1">(AO153*DATOSAÑO!$Z$11)/DATOSAÑO!$Y$11</f>
        <v>0.17337556811877772</v>
      </c>
      <c r="AQ153" s="9">
        <f ca="1">DATOSAÑO!CL152</f>
        <v>1.836800000000109</v>
      </c>
      <c r="AR153" s="1300">
        <f ca="1">(AQ153*DATOSAÑO!$Z$11)/DATOSAÑO!$Y$11</f>
        <v>3.3096678811117879E-2</v>
      </c>
      <c r="AS153" s="1334">
        <f t="shared" si="8"/>
        <v>21</v>
      </c>
    </row>
    <row r="154" spans="1:45" ht="16.5" customHeight="1" thickBot="1">
      <c r="A154" s="1371">
        <v>45069</v>
      </c>
      <c r="B154" s="1021">
        <v>45069</v>
      </c>
      <c r="C154" s="9">
        <f ca="1">DATOSAÑO!I153</f>
        <v>246.93999999994412</v>
      </c>
      <c r="D154" s="10">
        <f ca="1">DATOSAÑO!$D153</f>
        <v>4.7111198409843</v>
      </c>
      <c r="E154" s="11">
        <f ca="1">DATOSAÑO!$G153</f>
        <v>0</v>
      </c>
      <c r="F154" s="85">
        <f ca="1">DATOSAÑO!P153</f>
        <v>127.20999999999913</v>
      </c>
      <c r="G154" s="10">
        <f ca="1">DATOSAÑO!K153</f>
        <v>3.6866935564938088</v>
      </c>
      <c r="H154" s="11">
        <f ca="1">DATOSAÑO!N153</f>
        <v>0</v>
      </c>
      <c r="I154" s="9">
        <f ca="1">DATOSAÑO!Q153</f>
        <v>0</v>
      </c>
      <c r="J154" s="11">
        <f ca="1">DATOSAÑO!R153</f>
        <v>0</v>
      </c>
      <c r="K154" s="9">
        <f ca="1">DATOSAÑO!T153</f>
        <v>0</v>
      </c>
      <c r="L154" s="11">
        <f t="shared" ca="1" si="6"/>
        <v>0</v>
      </c>
      <c r="M154" s="9"/>
      <c r="N154" s="11">
        <f t="shared" si="7"/>
        <v>0</v>
      </c>
      <c r="O154" s="9">
        <f>DATOSAÑO!CT153</f>
        <v>0</v>
      </c>
      <c r="P154" s="9">
        <f>DATOSAÑO!CU153</f>
        <v>0</v>
      </c>
      <c r="Q154" s="9">
        <f ca="1">DATOSAÑO!AD153</f>
        <v>103.10000000000036</v>
      </c>
      <c r="R154" s="11">
        <f ca="1">(Q154*DATOSAÑO!$Z$11)/DATOSAÑO!$Y$11</f>
        <v>1.8577240774314367</v>
      </c>
      <c r="S154" s="9">
        <f ca="1">DATOSAÑO!AF153</f>
        <v>143.20000000001164</v>
      </c>
      <c r="T154" s="11">
        <f ca="1">(S154*DATOSAÑO!$Z$11)/DATOSAÑO!$Y$11</f>
        <v>2.5802724334452227</v>
      </c>
      <c r="U154" s="9">
        <f ca="1">DATOSAÑO!AH153</f>
        <v>9.0999999999985448</v>
      </c>
      <c r="V154" s="11">
        <f ca="1">(U154*DATOSAÑO!$Z$11)/DATOSAÑO!$Y$11</f>
        <v>0.16396982642699626</v>
      </c>
      <c r="W154" s="9">
        <f ca="1">DATOSAÑO!AI153</f>
        <v>32.760000000009313</v>
      </c>
      <c r="X154" s="11">
        <f ca="1">(W154*DATOSAÑO!$Z$11)/DATOSAÑO!$Y$11</f>
        <v>0.59029137513744867</v>
      </c>
      <c r="Y154" s="9">
        <f ca="1">DATOSAÑO!AJ153</f>
        <v>7.9900000000052387</v>
      </c>
      <c r="Z154" s="11">
        <f ca="1">(Y154*DATOSAÑO!$Z$11)/DATOSAÑO!$Y$11</f>
        <v>0.14396911133546905</v>
      </c>
      <c r="AA154" s="9">
        <f ca="1">DATOSAÑO!AK153</f>
        <v>12.049999999988358</v>
      </c>
      <c r="AB154" s="11">
        <f ca="1">(AA154*DATOSAÑO!$Z$11)/DATOSAÑO!$Y$11</f>
        <v>0.21712488004875954</v>
      </c>
      <c r="AC154" s="9">
        <f ca="1">DATOSAÑO!AL153</f>
        <v>35.049999999928275</v>
      </c>
      <c r="AD154" s="11">
        <f ca="1">(AC154*DATOSAÑO!$Z$11)/DATOSAÑO!$Y$11</f>
        <v>0.63155411167641495</v>
      </c>
      <c r="AE154" s="9">
        <f ca="1">DATOSAÑO!AM153</f>
        <v>12.837000000001993</v>
      </c>
      <c r="AF154" s="11">
        <f ca="1">(AE154*DATOSAÑO!$Z$11)/DATOSAÑO!$Y$11</f>
        <v>0.23130556723560594</v>
      </c>
      <c r="AG154" s="9">
        <f ca="1">DATOSAÑO!AN153</f>
        <v>3.1339999999998942</v>
      </c>
      <c r="AH154" s="11">
        <f ca="1">(AG154*DATOSAÑO!$Z$11)/DATOSAÑO!$Y$11</f>
        <v>5.6470487474974837E-2</v>
      </c>
      <c r="AI154" s="9">
        <f ca="1">DATOSAÑO!BS153</f>
        <v>2.4180000000000001</v>
      </c>
      <c r="AJ154" s="11">
        <f ca="1">(AI154*DATOSAÑO!$Z$11)/DATOSAÑO!$Y$11</f>
        <v>4.3569125307751685E-2</v>
      </c>
      <c r="AK154" s="9">
        <f ca="1">DATOSAÑO!BV153</f>
        <v>4.4550000000000001</v>
      </c>
      <c r="AL154" s="11">
        <f ca="1">(AK154*DATOSAÑO!$Z$11)/DATOSAÑO!$Y$11</f>
        <v>8.02731403002621E-2</v>
      </c>
      <c r="AM154" s="9">
        <f ca="1">DATOSAÑO!BY153</f>
        <v>0</v>
      </c>
      <c r="AN154" s="11">
        <f ca="1">(AM154*DATOSAÑO!$Z$11)/DATOSAÑO!$Y$11</f>
        <v>0</v>
      </c>
      <c r="AO154" s="9">
        <f ca="1">DATOSAÑO!CF153</f>
        <v>12.89850000000056</v>
      </c>
      <c r="AP154" s="11">
        <f ca="1">(AO154*DATOSAÑO!$Z$11)/DATOSAÑO!$Y$11</f>
        <v>0.23241371496363086</v>
      </c>
      <c r="AQ154" s="9">
        <f ca="1">DATOSAÑO!CL153</f>
        <v>2.8295999999999579</v>
      </c>
      <c r="AR154" s="1300">
        <f ca="1">(AQ154*DATOSAÑO!$Z$11)/DATOSAÑO!$Y$11</f>
        <v>5.0985606687680859E-2</v>
      </c>
      <c r="AS154" s="1334">
        <f t="shared" si="8"/>
        <v>21</v>
      </c>
    </row>
    <row r="155" spans="1:45" ht="15" thickBot="1">
      <c r="A155" s="1371">
        <v>45070</v>
      </c>
      <c r="B155" s="1021">
        <v>45070</v>
      </c>
      <c r="C155" s="9">
        <f ca="1">DATOSAÑO!I154</f>
        <v>166</v>
      </c>
      <c r="D155" s="10">
        <f ca="1">DATOSAÑO!$D154</f>
        <v>4.018586111203617</v>
      </c>
      <c r="E155" s="11">
        <f ca="1">DATOSAÑO!$G154</f>
        <v>0</v>
      </c>
      <c r="F155" s="85">
        <f ca="1">DATOSAÑO!P154</f>
        <v>84</v>
      </c>
      <c r="G155" s="10">
        <f ca="1">DATOSAÑO!K154</f>
        <v>3.3169828761893441</v>
      </c>
      <c r="H155" s="11">
        <f ca="1">DATOSAÑO!N154</f>
        <v>0</v>
      </c>
      <c r="I155" s="9">
        <f ca="1">DATOSAÑO!Q154</f>
        <v>0</v>
      </c>
      <c r="J155" s="11">
        <f ca="1">DATOSAÑO!R154</f>
        <v>0</v>
      </c>
      <c r="K155" s="9">
        <f ca="1">DATOSAÑO!T154</f>
        <v>0</v>
      </c>
      <c r="L155" s="11">
        <f t="shared" ca="1" si="6"/>
        <v>0</v>
      </c>
      <c r="M155" s="9"/>
      <c r="N155" s="11">
        <f t="shared" si="7"/>
        <v>0</v>
      </c>
      <c r="O155" s="9">
        <f>DATOSAÑO!CT154</f>
        <v>0</v>
      </c>
      <c r="P155" s="9">
        <f>DATOSAÑO!CU154</f>
        <v>0</v>
      </c>
      <c r="Q155" s="9">
        <f ca="1">DATOSAÑO!AD154</f>
        <v>0</v>
      </c>
      <c r="R155" s="11">
        <f ca="1">(Q155*DATOSAÑO!$Z$11)/DATOSAÑO!$Y$11</f>
        <v>0</v>
      </c>
      <c r="S155" s="9">
        <f ca="1">DATOSAÑO!AF154</f>
        <v>134</v>
      </c>
      <c r="T155" s="11">
        <f ca="1">(S155*DATOSAÑO!$Z$11)/DATOSAÑO!$Y$11</f>
        <v>2.4145007407935175</v>
      </c>
      <c r="U155" s="9">
        <f ca="1">DATOSAÑO!AH154</f>
        <v>5.2000000000043656</v>
      </c>
      <c r="V155" s="11">
        <f ca="1">(U155*DATOSAÑO!$Z$11)/DATOSAÑO!$Y$11</f>
        <v>9.3697043672662919E-2</v>
      </c>
      <c r="W155" s="9">
        <f ca="1">DATOSAÑO!AI154</f>
        <v>34.80000000000291</v>
      </c>
      <c r="X155" s="11">
        <f ca="1">(W155*DATOSAÑO!$Z$11)/DATOSAÑO!$Y$11</f>
        <v>0.62704944611657787</v>
      </c>
      <c r="Y155" s="9">
        <f ca="1">DATOSAÑO!AJ154</f>
        <v>5.3000000000029104</v>
      </c>
      <c r="Z155" s="11">
        <f ca="1">(Y155*DATOSAÑO!$Z$11)/DATOSAÑO!$Y$11</f>
        <v>9.5498909897109477E-2</v>
      </c>
      <c r="AA155" s="9">
        <f ca="1">DATOSAÑO!AK154</f>
        <v>12</v>
      </c>
      <c r="AB155" s="11">
        <f ca="1">(AA155*DATOSAÑO!$Z$11)/DATOSAÑO!$Y$11</f>
        <v>0.21622394693673291</v>
      </c>
      <c r="AC155" s="9">
        <f ca="1">DATOSAÑO!AL154</f>
        <v>31.599999999991297</v>
      </c>
      <c r="AD155" s="11">
        <f ca="1">(AC155*DATOSAÑO!$Z$11)/DATOSAÑO!$Y$11</f>
        <v>0.56938972693323986</v>
      </c>
      <c r="AE155" s="9">
        <f ca="1">DATOSAÑO!AM154</f>
        <v>9.7829999999969139</v>
      </c>
      <c r="AF155" s="11">
        <f ca="1">(AE155*DATOSAÑO!$Z$11)/DATOSAÑO!$Y$11</f>
        <v>0.17627657274011591</v>
      </c>
      <c r="AG155" s="9">
        <f ca="1">DATOSAÑO!AN154</f>
        <v>2.9560000000005457</v>
      </c>
      <c r="AH155" s="11">
        <f ca="1">(AG155*DATOSAÑO!$Z$11)/DATOSAÑO!$Y$11</f>
        <v>5.3263165595425044E-2</v>
      </c>
      <c r="AI155" s="9">
        <f ca="1">DATOSAÑO!BS154</f>
        <v>2.1</v>
      </c>
      <c r="AJ155" s="11">
        <f ca="1">(AI155*DATOSAÑO!$Z$11)/DATOSAÑO!$Y$11</f>
        <v>3.7839190713928265E-2</v>
      </c>
      <c r="AK155" s="9">
        <f ca="1">DATOSAÑO!BV154</f>
        <v>4.0170000000000003</v>
      </c>
      <c r="AL155" s="11">
        <f ca="1">(AK155*DATOSAÑO!$Z$11)/DATOSAÑO!$Y$11</f>
        <v>7.2380966237071354E-2</v>
      </c>
      <c r="AM155" s="9">
        <f ca="1">DATOSAÑO!BY154</f>
        <v>0</v>
      </c>
      <c r="AN155" s="11">
        <f ca="1">(AM155*DATOSAÑO!$Z$11)/DATOSAÑO!$Y$11</f>
        <v>0</v>
      </c>
      <c r="AO155" s="9">
        <f ca="1">DATOSAÑO!CF154</f>
        <v>11.191499999999548</v>
      </c>
      <c r="AP155" s="11">
        <f ca="1">(AO155*DATOSAÑO!$Z$11)/DATOSAÑO!$Y$11</f>
        <v>0.20165585851186238</v>
      </c>
      <c r="AQ155" s="9">
        <f ca="1">DATOSAÑO!CL154</f>
        <v>3.1264000000002183</v>
      </c>
      <c r="AR155" s="1300">
        <f ca="1">(AQ155*DATOSAÑO!$Z$11)/DATOSAÑO!$Y$11</f>
        <v>5.6333545641920751E-2</v>
      </c>
      <c r="AS155" s="1334">
        <f t="shared" si="8"/>
        <v>21</v>
      </c>
    </row>
    <row r="156" spans="1:45" ht="16.5" customHeight="1" thickBot="1">
      <c r="A156" s="1371">
        <v>45071</v>
      </c>
      <c r="B156" s="1021">
        <v>45071</v>
      </c>
      <c r="C156" s="9">
        <f ca="1">DATOSAÑO!I155</f>
        <v>188</v>
      </c>
      <c r="D156" s="10">
        <f ca="1">DATOSAÑO!$D155</f>
        <v>4.2068211254757388</v>
      </c>
      <c r="E156" s="11">
        <f ca="1">DATOSAÑO!$G155</f>
        <v>0</v>
      </c>
      <c r="F156" s="85">
        <f ca="1">DATOSAÑO!P155</f>
        <v>84</v>
      </c>
      <c r="G156" s="10">
        <f ca="1">DATOSAÑO!K155</f>
        <v>3.3169828761893441</v>
      </c>
      <c r="H156" s="11">
        <f ca="1">DATOSAÑO!N155</f>
        <v>0</v>
      </c>
      <c r="I156" s="9">
        <f ca="1">DATOSAÑO!Q155</f>
        <v>0</v>
      </c>
      <c r="J156" s="11">
        <f ca="1">DATOSAÑO!R155</f>
        <v>0</v>
      </c>
      <c r="K156" s="9">
        <f ca="1">DATOSAÑO!T155</f>
        <v>0</v>
      </c>
      <c r="L156" s="11">
        <f t="shared" ca="1" si="6"/>
        <v>0</v>
      </c>
      <c r="M156" s="9"/>
      <c r="N156" s="11">
        <f t="shared" si="7"/>
        <v>0</v>
      </c>
      <c r="O156" s="9">
        <f>DATOSAÑO!CT155</f>
        <v>0</v>
      </c>
      <c r="P156" s="9">
        <f>DATOSAÑO!CU155</f>
        <v>0</v>
      </c>
      <c r="Q156" s="9">
        <f ca="1">DATOSAÑO!AD155</f>
        <v>0</v>
      </c>
      <c r="R156" s="11">
        <f ca="1">(Q156*DATOSAÑO!$Z$11)/DATOSAÑO!$Y$11</f>
        <v>0</v>
      </c>
      <c r="S156" s="9">
        <f ca="1">DATOSAÑO!AF155</f>
        <v>147</v>
      </c>
      <c r="T156" s="11">
        <f ca="1">(S156*DATOSAÑO!$Z$11)/DATOSAÑO!$Y$11</f>
        <v>2.648743349974978</v>
      </c>
      <c r="U156" s="9">
        <f ca="1">DATOSAÑO!AH155</f>
        <v>9.0999999999985448</v>
      </c>
      <c r="V156" s="11">
        <f ca="1">(U156*DATOSAÑO!$Z$11)/DATOSAÑO!$Y$11</f>
        <v>0.16396982642699626</v>
      </c>
      <c r="W156" s="9">
        <f ca="1">DATOSAÑO!AI155</f>
        <v>36.399999999994179</v>
      </c>
      <c r="X156" s="11">
        <f ca="1">(W156*DATOSAÑO!$Z$11)/DATOSAÑO!$Y$11</f>
        <v>0.65587930570798503</v>
      </c>
      <c r="Y156" s="9">
        <f ca="1">DATOSAÑO!AJ155</f>
        <v>6.3000000000029104</v>
      </c>
      <c r="Z156" s="11">
        <f ca="1">(Y156*DATOSAÑO!$Z$11)/DATOSAÑO!$Y$11</f>
        <v>0.11351757214183721</v>
      </c>
      <c r="AA156" s="9">
        <f ca="1">DATOSAÑO!AK155</f>
        <v>11</v>
      </c>
      <c r="AB156" s="11">
        <f ca="1">(AA156*DATOSAÑO!$Z$11)/DATOSAÑO!$Y$11</f>
        <v>0.19820528469200516</v>
      </c>
      <c r="AC156" s="9">
        <f ca="1">DATOSAÑO!AL155</f>
        <v>33.600000000002183</v>
      </c>
      <c r="AD156" s="11">
        <f ca="1">(AC156*DATOSAÑO!$Z$11)/DATOSAÑO!$Y$11</f>
        <v>0.60542705142289144</v>
      </c>
      <c r="AE156" s="9">
        <f ca="1">DATOSAÑO!AM155</f>
        <v>10.510000000003453</v>
      </c>
      <c r="AF156" s="11">
        <f ca="1">(AE156*DATOSAÑO!$Z$11)/DATOSAÑO!$Y$11</f>
        <v>0.18937614019215079</v>
      </c>
      <c r="AG156" s="9">
        <f ca="1">DATOSAÑO!AN155</f>
        <v>4.1589999999994545</v>
      </c>
      <c r="AH156" s="11">
        <f ca="1">(AG156*DATOSAÑO!$Z$11)/DATOSAÑO!$Y$11</f>
        <v>7.4939616275812859E-2</v>
      </c>
      <c r="AI156" s="9">
        <f ca="1">DATOSAÑO!BS155</f>
        <v>2</v>
      </c>
      <c r="AJ156" s="11">
        <f ca="1">(AI156*DATOSAÑO!$Z$11)/DATOSAÑO!$Y$11</f>
        <v>3.6037324489455486E-2</v>
      </c>
      <c r="AK156" s="9">
        <f ca="1">DATOSAÑO!BV155</f>
        <v>4.1900000000000004</v>
      </c>
      <c r="AL156" s="11">
        <f ca="1">(AK156*DATOSAÑO!$Z$11)/DATOSAÑO!$Y$11</f>
        <v>7.5498194805409244E-2</v>
      </c>
      <c r="AM156" s="9">
        <f ca="1">DATOSAÑO!BY155</f>
        <v>0</v>
      </c>
      <c r="AN156" s="11">
        <f ca="1">(AM156*DATOSAÑO!$Z$11)/DATOSAÑO!$Y$11</f>
        <v>0</v>
      </c>
      <c r="AO156" s="9">
        <f ca="1">DATOSAÑO!CF155</f>
        <v>11.555000000000998</v>
      </c>
      <c r="AP156" s="11">
        <f ca="1">(AO156*DATOSAÑO!$Z$11)/DATOSAÑO!$Y$11</f>
        <v>0.20820564223784704</v>
      </c>
      <c r="AQ156" s="9">
        <f ca="1">DATOSAÑO!CL155</f>
        <v>3.104599999999782</v>
      </c>
      <c r="AR156" s="1300">
        <f ca="1">(AQ156*DATOSAÑO!$Z$11)/DATOSAÑO!$Y$11</f>
        <v>5.5940738804977824E-2</v>
      </c>
      <c r="AS156" s="1334">
        <f t="shared" si="8"/>
        <v>21</v>
      </c>
    </row>
    <row r="157" spans="1:45" ht="15" thickBot="1">
      <c r="A157" s="1371">
        <v>45072</v>
      </c>
      <c r="B157" s="1021">
        <v>45072</v>
      </c>
      <c r="C157" s="9">
        <f ca="1">DATOSAÑO!I156</f>
        <v>194</v>
      </c>
      <c r="D157" s="10">
        <f ca="1">DATOSAÑO!$D156</f>
        <v>4.2581579475499538</v>
      </c>
      <c r="E157" s="11">
        <f ca="1">DATOSAÑO!$G156</f>
        <v>0</v>
      </c>
      <c r="F157" s="85">
        <f ca="1">DATOSAÑO!P156</f>
        <v>84</v>
      </c>
      <c r="G157" s="10">
        <f ca="1">DATOSAÑO!K156</f>
        <v>3.3169828761893441</v>
      </c>
      <c r="H157" s="11">
        <f ca="1">DATOSAÑO!N156</f>
        <v>0</v>
      </c>
      <c r="I157" s="9">
        <f ca="1">DATOSAÑO!Q156</f>
        <v>0</v>
      </c>
      <c r="J157" s="11">
        <f ca="1">DATOSAÑO!R156</f>
        <v>0</v>
      </c>
      <c r="K157" s="9">
        <f ca="1">DATOSAÑO!T156</f>
        <v>0</v>
      </c>
      <c r="L157" s="11">
        <f t="shared" ca="1" si="6"/>
        <v>0</v>
      </c>
      <c r="M157" s="9"/>
      <c r="N157" s="11">
        <f t="shared" si="7"/>
        <v>0</v>
      </c>
      <c r="O157" s="9">
        <f>DATOSAÑO!CT156</f>
        <v>0</v>
      </c>
      <c r="P157" s="9">
        <f>DATOSAÑO!CU156</f>
        <v>0</v>
      </c>
      <c r="Q157" s="9">
        <f ca="1">DATOSAÑO!AD156</f>
        <v>0</v>
      </c>
      <c r="R157" s="11">
        <f ca="1">(Q157*DATOSAÑO!$Z$11)/DATOSAÑO!$Y$11</f>
        <v>0</v>
      </c>
      <c r="S157" s="9">
        <f ca="1">DATOSAÑO!AF156</f>
        <v>153</v>
      </c>
      <c r="T157" s="11">
        <f ca="1">(S157*DATOSAÑO!$Z$11)/DATOSAÑO!$Y$11</f>
        <v>2.7568553234433448</v>
      </c>
      <c r="U157" s="9">
        <f ca="1">DATOSAÑO!AH156</f>
        <v>16.299999999995634</v>
      </c>
      <c r="V157" s="11">
        <f ca="1">(U157*DATOSAÑO!$Z$11)/DATOSAÑO!$Y$11</f>
        <v>0.2937041945889835</v>
      </c>
      <c r="W157" s="9">
        <f ca="1">DATOSAÑO!AI156</f>
        <v>34</v>
      </c>
      <c r="X157" s="11">
        <f ca="1">(W157*DATOSAÑO!$Z$11)/DATOSAÑO!$Y$11</f>
        <v>0.61263451632074328</v>
      </c>
      <c r="Y157" s="9">
        <f ca="1">DATOSAÑO!AJ156</f>
        <v>7.6999999999970896</v>
      </c>
      <c r="Z157" s="11">
        <f ca="1">(Y157*DATOSAÑO!$Z$11)/DATOSAÑO!$Y$11</f>
        <v>0.13874369928435118</v>
      </c>
      <c r="AA157" s="9">
        <f ca="1">DATOSAÑO!AK156</f>
        <v>12</v>
      </c>
      <c r="AB157" s="11">
        <f ca="1">(AA157*DATOSAÑO!$Z$11)/DATOSAÑO!$Y$11</f>
        <v>0.21622394693673291</v>
      </c>
      <c r="AC157" s="9">
        <f ca="1">DATOSAÑO!AL156</f>
        <v>27.500000000007276</v>
      </c>
      <c r="AD157" s="11">
        <f ca="1">(AC157*DATOSAÑO!$Z$11)/DATOSAÑO!$Y$11</f>
        <v>0.49551321173014407</v>
      </c>
      <c r="AE157" s="9">
        <f ca="1">DATOSAÑO!AM156</f>
        <v>9.6729999999989094</v>
      </c>
      <c r="AF157" s="11">
        <f ca="1">(AE157*DATOSAÑO!$Z$11)/DATOSAÑO!$Y$11</f>
        <v>0.17429451989323178</v>
      </c>
      <c r="AG157" s="9">
        <f ca="1">DATOSAÑO!AN156</f>
        <v>4.2280000000007281</v>
      </c>
      <c r="AH157" s="11">
        <f ca="1">(AG157*DATOSAÑO!$Z$11)/DATOSAÑO!$Y$11</f>
        <v>7.6182903970722013E-2</v>
      </c>
      <c r="AI157" s="9">
        <f ca="1">DATOSAÑO!BS156</f>
        <v>2</v>
      </c>
      <c r="AJ157" s="11">
        <f ca="1">(AI157*DATOSAÑO!$Z$11)/DATOSAÑO!$Y$11</f>
        <v>3.6037324489455486E-2</v>
      </c>
      <c r="AK157" s="9">
        <f ca="1">DATOSAÑO!BV156</f>
        <v>4.0270000000000001</v>
      </c>
      <c r="AL157" s="11">
        <f ca="1">(AK157*DATOSAÑO!$Z$11)/DATOSAÑO!$Y$11</f>
        <v>7.2561152859518613E-2</v>
      </c>
      <c r="AM157" s="9">
        <f ca="1">DATOSAÑO!BY156</f>
        <v>0</v>
      </c>
      <c r="AN157" s="11">
        <f ca="1">(AM157*DATOSAÑO!$Z$11)/DATOSAÑO!$Y$11</f>
        <v>0</v>
      </c>
      <c r="AO157" s="9">
        <f ca="1">DATOSAÑO!CF156</f>
        <v>10.936499999999818</v>
      </c>
      <c r="AP157" s="11">
        <f ca="1">(AO157*DATOSAÑO!$Z$11)/DATOSAÑO!$Y$11</f>
        <v>0.19706109963946167</v>
      </c>
      <c r="AQ157" s="9">
        <f ca="1">DATOSAÑO!CL156</f>
        <v>3.1632000000002911</v>
      </c>
      <c r="AR157" s="1300">
        <f ca="1">(AQ157*DATOSAÑO!$Z$11)/DATOSAÑO!$Y$11</f>
        <v>5.6996632412528038E-2</v>
      </c>
      <c r="AS157" s="1334">
        <f t="shared" si="8"/>
        <v>21</v>
      </c>
    </row>
    <row r="158" spans="1:45" ht="16.5" customHeight="1" thickBot="1">
      <c r="A158" s="1371">
        <v>45073</v>
      </c>
      <c r="B158" s="1021">
        <v>45073</v>
      </c>
      <c r="C158" s="9">
        <f ca="1">DATOSAÑO!I157</f>
        <v>222</v>
      </c>
      <c r="D158" s="10">
        <f ca="1">DATOSAÑO!$D157</f>
        <v>4.4977297838962915</v>
      </c>
      <c r="E158" s="11">
        <f ca="1">DATOSAÑO!$G157</f>
        <v>0</v>
      </c>
      <c r="F158" s="85">
        <f ca="1">DATOSAÑO!P157</f>
        <v>101</v>
      </c>
      <c r="G158" s="10">
        <f ca="1">DATOSAÑO!K157</f>
        <v>3.46243720539962</v>
      </c>
      <c r="H158" s="11">
        <f ca="1">DATOSAÑO!N157</f>
        <v>0</v>
      </c>
      <c r="I158" s="9">
        <f ca="1">DATOSAÑO!Q157</f>
        <v>0</v>
      </c>
      <c r="J158" s="11">
        <f ca="1">DATOSAÑO!R157</f>
        <v>0</v>
      </c>
      <c r="K158" s="9">
        <f ca="1">DATOSAÑO!T157</f>
        <v>0</v>
      </c>
      <c r="L158" s="11">
        <f t="shared" ca="1" si="6"/>
        <v>0</v>
      </c>
      <c r="M158" s="9"/>
      <c r="N158" s="11">
        <f t="shared" si="7"/>
        <v>0</v>
      </c>
      <c r="O158" s="9">
        <f>DATOSAÑO!CT157</f>
        <v>0</v>
      </c>
      <c r="P158" s="9">
        <f>DATOSAÑO!CU157</f>
        <v>0</v>
      </c>
      <c r="Q158" s="9">
        <f ca="1">DATOSAÑO!AD157</f>
        <v>43</v>
      </c>
      <c r="R158" s="11">
        <f ca="1">(Q158*DATOSAÑO!$Z$11)/DATOSAÑO!$Y$11</f>
        <v>0.77480247652329293</v>
      </c>
      <c r="S158" s="9">
        <f ca="1">DATOSAÑO!AF157</f>
        <v>158</v>
      </c>
      <c r="T158" s="11">
        <f ca="1">(S158*DATOSAÑO!$Z$11)/DATOSAÑO!$Y$11</f>
        <v>2.8469486346669832</v>
      </c>
      <c r="U158" s="9">
        <f ca="1">DATOSAÑO!AH157</f>
        <v>9.5</v>
      </c>
      <c r="V158" s="11">
        <f ca="1">(U158*DATOSAÑO!$Z$11)/DATOSAÑO!$Y$11</f>
        <v>0.17117729132491355</v>
      </c>
      <c r="W158" s="9">
        <f ca="1">DATOSAÑO!AI157</f>
        <v>34.19999999999709</v>
      </c>
      <c r="X158" s="11">
        <f ca="1">(W158*DATOSAÑO!$Z$11)/DATOSAÑO!$Y$11</f>
        <v>0.61623824876963629</v>
      </c>
      <c r="Y158" s="9">
        <f ca="1">DATOSAÑO!AJ157</f>
        <v>8.3999999999941792</v>
      </c>
      <c r="Z158" s="11">
        <f ca="1">(Y158*DATOSAÑO!$Z$11)/DATOSAÑO!$Y$11</f>
        <v>0.15135676285560815</v>
      </c>
      <c r="AA158" s="9">
        <f ca="1">DATOSAÑO!AK157</f>
        <v>9</v>
      </c>
      <c r="AB158" s="11">
        <f ca="1">(AA158*DATOSAÑO!$Z$11)/DATOSAÑO!$Y$11</f>
        <v>0.16216796020254967</v>
      </c>
      <c r="AC158" s="9">
        <f ca="1">DATOSAÑO!AL157</f>
        <v>32.500000000010914</v>
      </c>
      <c r="AD158" s="11">
        <f ca="1">(AC158*DATOSAÑO!$Z$11)/DATOSAÑO!$Y$11</f>
        <v>0.5856065229538483</v>
      </c>
      <c r="AE158" s="9">
        <f ca="1">DATOSAÑO!AM157</f>
        <v>8.2499999999991953</v>
      </c>
      <c r="AF158" s="11">
        <f ca="1">(AE158*DATOSAÑO!$Z$11)/DATOSAÑO!$Y$11</f>
        <v>0.14865396351898938</v>
      </c>
      <c r="AG158" s="9">
        <f ca="1">DATOSAÑO!AN157</f>
        <v>4.8189999999993471</v>
      </c>
      <c r="AH158" s="11">
        <f ca="1">(AG158*DATOSAÑO!$Z$11)/DATOSAÑO!$Y$11</f>
        <v>8.683193335733122E-2</v>
      </c>
      <c r="AI158" s="9">
        <f ca="1">DATOSAÑO!BS157</f>
        <v>3</v>
      </c>
      <c r="AJ158" s="11">
        <f ca="1">(AI158*DATOSAÑO!$Z$11)/DATOSAÑO!$Y$11</f>
        <v>5.4055986734183228E-2</v>
      </c>
      <c r="AK158" s="9">
        <f ca="1">DATOSAÑO!BV157</f>
        <v>4.57</v>
      </c>
      <c r="AL158" s="11">
        <f ca="1">(AK158*DATOSAÑO!$Z$11)/DATOSAÑO!$Y$11</f>
        <v>8.2345286458405789E-2</v>
      </c>
      <c r="AM158" s="9">
        <f ca="1">DATOSAÑO!BY157</f>
        <v>0</v>
      </c>
      <c r="AN158" s="11">
        <f ca="1">(AM158*DATOSAÑO!$Z$11)/DATOSAÑO!$Y$11</f>
        <v>0</v>
      </c>
      <c r="AO158" s="9">
        <f ca="1">DATOSAÑO!CF157</f>
        <v>10.424999999998871</v>
      </c>
      <c r="AP158" s="11">
        <f ca="1">(AO158*DATOSAÑO!$Z$11)/DATOSAÑO!$Y$11</f>
        <v>0.18784455390126636</v>
      </c>
      <c r="AQ158" s="9">
        <f ca="1">DATOSAÑO!CL157</f>
        <v>3.3885999999997392</v>
      </c>
      <c r="AR158" s="1300">
        <f ca="1">(AQ158*DATOSAÑO!$Z$11)/DATOSAÑO!$Y$11</f>
        <v>6.105803888247973E-2</v>
      </c>
      <c r="AS158" s="1334">
        <f t="shared" si="8"/>
        <v>21</v>
      </c>
    </row>
    <row r="159" spans="1:45" ht="15" thickBot="1">
      <c r="A159" s="1371">
        <v>45074</v>
      </c>
      <c r="B159" s="1021">
        <v>45074</v>
      </c>
      <c r="C159" s="9">
        <f ca="1">DATOSAÑO!I158</f>
        <v>309</v>
      </c>
      <c r="D159" s="10">
        <f ca="1">DATOSAÑO!$D158</f>
        <v>5.2421137039724091</v>
      </c>
      <c r="E159" s="11">
        <f ca="1">DATOSAÑO!$G158</f>
        <v>0</v>
      </c>
      <c r="F159" s="85">
        <f ca="1">DATOSAÑO!P158</f>
        <v>144.59999999999854</v>
      </c>
      <c r="G159" s="10">
        <f ca="1">DATOSAÑO!K158</f>
        <v>3.8354847791389037</v>
      </c>
      <c r="H159" s="11">
        <f ca="1">DATOSAÑO!N158</f>
        <v>0</v>
      </c>
      <c r="I159" s="9">
        <f ca="1">DATOSAÑO!Q158</f>
        <v>0</v>
      </c>
      <c r="J159" s="11">
        <f ca="1">DATOSAÑO!R158</f>
        <v>0</v>
      </c>
      <c r="K159" s="9">
        <f ca="1">DATOSAÑO!T158</f>
        <v>0</v>
      </c>
      <c r="L159" s="11">
        <f t="shared" ca="1" si="6"/>
        <v>0</v>
      </c>
      <c r="M159" s="9"/>
      <c r="N159" s="11">
        <f t="shared" si="7"/>
        <v>0</v>
      </c>
      <c r="O159" s="9">
        <f>DATOSAÑO!CT158</f>
        <v>0</v>
      </c>
      <c r="P159" s="9">
        <f>DATOSAÑO!CU158</f>
        <v>0</v>
      </c>
      <c r="Q159" s="9">
        <f ca="1">DATOSAÑO!AD158</f>
        <v>166.16499999999996</v>
      </c>
      <c r="R159" s="11">
        <f ca="1">(Q159*DATOSAÑO!$Z$11)/DATOSAÑO!$Y$11</f>
        <v>2.9940710118951848</v>
      </c>
      <c r="S159" s="9">
        <f ca="1">DATOSAÑO!AF158</f>
        <v>155</v>
      </c>
      <c r="T159" s="11">
        <f ca="1">(S159*DATOSAÑO!$Z$11)/DATOSAÑO!$Y$11</f>
        <v>2.7928926479328005</v>
      </c>
      <c r="U159" s="9">
        <f ca="1">DATOSAÑO!AH158</f>
        <v>11.799999999999272</v>
      </c>
      <c r="V159" s="11">
        <f ca="1">(U159*DATOSAÑO!$Z$11)/DATOSAÑO!$Y$11</f>
        <v>0.21262021448777424</v>
      </c>
      <c r="W159" s="9">
        <f ca="1">DATOSAÑO!AI158</f>
        <v>35.19999999999709</v>
      </c>
      <c r="X159" s="11">
        <f ca="1">(W159*DATOSAÑO!$Z$11)/DATOSAÑO!$Y$11</f>
        <v>0.6342569110143641</v>
      </c>
      <c r="Y159" s="9">
        <f ca="1">DATOSAÑO!AJ158</f>
        <v>7.1000000000058208</v>
      </c>
      <c r="Z159" s="11">
        <f ca="1">(Y159*DATOSAÑO!$Z$11)/DATOSAÑO!$Y$11</f>
        <v>0.12793250193767186</v>
      </c>
      <c r="AA159" s="9">
        <f ca="1">DATOSAÑO!AK158</f>
        <v>13</v>
      </c>
      <c r="AB159" s="11">
        <f ca="1">(AA159*DATOSAÑO!$Z$11)/DATOSAÑO!$Y$11</f>
        <v>0.23424260918146064</v>
      </c>
      <c r="AC159" s="9">
        <f ca="1">DATOSAÑO!AL158</f>
        <v>34.834999999996398</v>
      </c>
      <c r="AD159" s="11">
        <f ca="1">(AC159*DATOSAÑO!$Z$11)/DATOSAÑO!$Y$11</f>
        <v>0.62768009929502599</v>
      </c>
      <c r="AE159" s="9">
        <f ca="1">DATOSAÑO!AM158</f>
        <v>11.207999999998286</v>
      </c>
      <c r="AF159" s="11">
        <f ca="1">(AE159*DATOSAÑO!$Z$11)/DATOSAÑO!$Y$11</f>
        <v>0.20195316643887765</v>
      </c>
      <c r="AG159" s="9">
        <f ca="1">DATOSAÑO!AN158</f>
        <v>4.4330000000002734</v>
      </c>
      <c r="AH159" s="11">
        <f ca="1">(AG159*DATOSAÑO!$Z$11)/DATOSAÑO!$Y$11</f>
        <v>7.9876729730883E-2</v>
      </c>
      <c r="AI159" s="9">
        <f ca="1">DATOSAÑO!BS158</f>
        <v>2.64</v>
      </c>
      <c r="AJ159" s="11">
        <f ca="1">(AI159*DATOSAÑO!$Z$11)/DATOSAÑO!$Y$11</f>
        <v>4.7569268326081236E-2</v>
      </c>
      <c r="AK159" s="9">
        <f ca="1">DATOSAÑO!BV158</f>
        <v>4.5519999999999996</v>
      </c>
      <c r="AL159" s="11">
        <f ca="1">(AK159*DATOSAÑO!$Z$11)/DATOSAÑO!$Y$11</f>
        <v>8.2020950538000681E-2</v>
      </c>
      <c r="AM159" s="9">
        <f ca="1">DATOSAÑO!BY158</f>
        <v>0</v>
      </c>
      <c r="AN159" s="11">
        <f ca="1">(AM159*DATOSAÑO!$Z$11)/DATOSAÑO!$Y$11</f>
        <v>0</v>
      </c>
      <c r="AO159" s="9">
        <f ca="1">DATOSAÑO!CF158</f>
        <v>12.004000000000598</v>
      </c>
      <c r="AP159" s="11">
        <f ca="1">(AO159*DATOSAÑO!$Z$11)/DATOSAÑO!$Y$11</f>
        <v>0.21629602158572261</v>
      </c>
      <c r="AQ159" s="9">
        <f ca="1">DATOSAÑO!CL158</f>
        <v>3.0402000000001093</v>
      </c>
      <c r="AR159" s="1300">
        <f ca="1">(AQ159*DATOSAÑO!$Z$11)/DATOSAÑO!$Y$11</f>
        <v>5.4780336956423252E-2</v>
      </c>
      <c r="AS159" s="1334">
        <f t="shared" si="8"/>
        <v>22</v>
      </c>
    </row>
    <row r="160" spans="1:45" ht="16.5" customHeight="1" thickBot="1">
      <c r="A160" s="1371">
        <v>45075</v>
      </c>
      <c r="B160" s="1021">
        <v>45075</v>
      </c>
      <c r="C160" s="9">
        <f ca="1">DATOSAÑO!I159</f>
        <v>302</v>
      </c>
      <c r="D160" s="10">
        <f ca="1">DATOSAÑO!$D159</f>
        <v>5.1822207448858251</v>
      </c>
      <c r="E160" s="11">
        <f ca="1">DATOSAÑO!$G159</f>
        <v>0</v>
      </c>
      <c r="F160" s="85">
        <f ca="1">DATOSAÑO!P159</f>
        <v>148.30000000000291</v>
      </c>
      <c r="G160" s="10">
        <f ca="1">DATOSAÑO!K159</f>
        <v>3.867142486084707</v>
      </c>
      <c r="H160" s="11">
        <f ca="1">DATOSAÑO!N159</f>
        <v>0</v>
      </c>
      <c r="I160" s="9">
        <f ca="1">DATOSAÑO!Q159</f>
        <v>0</v>
      </c>
      <c r="J160" s="11">
        <f ca="1">DATOSAÑO!R159</f>
        <v>0</v>
      </c>
      <c r="K160" s="9">
        <f ca="1">DATOSAÑO!T159</f>
        <v>0</v>
      </c>
      <c r="L160" s="11">
        <f t="shared" ca="1" si="6"/>
        <v>0</v>
      </c>
      <c r="M160" s="9"/>
      <c r="N160" s="11">
        <f t="shared" si="7"/>
        <v>0</v>
      </c>
      <c r="O160" s="9">
        <f>DATOSAÑO!CT159</f>
        <v>0</v>
      </c>
      <c r="P160" s="9">
        <f>DATOSAÑO!CU159</f>
        <v>0</v>
      </c>
      <c r="Q160" s="9">
        <f ca="1">DATOSAÑO!AD159</f>
        <v>164.55599999999959</v>
      </c>
      <c r="R160" s="11">
        <f ca="1">(Q160*DATOSAÑO!$Z$11)/DATOSAÑO!$Y$11</f>
        <v>2.9650789843434104</v>
      </c>
      <c r="S160" s="9">
        <f ca="1">DATOSAÑO!AF159</f>
        <v>154</v>
      </c>
      <c r="T160" s="11">
        <f ca="1">(S160*DATOSAÑO!$Z$11)/DATOSAÑO!$Y$11</f>
        <v>2.7748739856880724</v>
      </c>
      <c r="U160" s="9">
        <f ca="1">DATOSAÑO!AH159</f>
        <v>11</v>
      </c>
      <c r="V160" s="11">
        <f ca="1">(U160*DATOSAÑO!$Z$11)/DATOSAÑO!$Y$11</f>
        <v>0.19820528469200516</v>
      </c>
      <c r="W160" s="9">
        <f ca="1">DATOSAÑO!AI159</f>
        <v>35.400000000008731</v>
      </c>
      <c r="X160" s="11">
        <f ca="1">(W160*DATOSAÑO!$Z$11)/DATOSAÑO!$Y$11</f>
        <v>0.63786064346351934</v>
      </c>
      <c r="Y160" s="9">
        <f ca="1">DATOSAÑO!AJ159</f>
        <v>6.5</v>
      </c>
      <c r="Z160" s="11">
        <f ca="1">(Y160*DATOSAÑO!$Z$11)/DATOSAÑO!$Y$11</f>
        <v>0.11712130459073032</v>
      </c>
      <c r="AA160" s="9">
        <f ca="1">DATOSAÑO!AK159</f>
        <v>12</v>
      </c>
      <c r="AB160" s="11">
        <f ca="1">(AA160*DATOSAÑO!$Z$11)/DATOSAÑO!$Y$11</f>
        <v>0.21622394693673291</v>
      </c>
      <c r="AC160" s="9">
        <f ca="1">DATOSAÑO!AL159</f>
        <v>35.343999999994651</v>
      </c>
      <c r="AD160" s="11">
        <f ca="1">(AC160*DATOSAÑO!$Z$11)/DATOSAÑO!$Y$11</f>
        <v>0.636851598377561</v>
      </c>
      <c r="AE160" s="9">
        <f ca="1">DATOSAÑO!AM159</f>
        <v>13.812000000001275</v>
      </c>
      <c r="AF160" s="11">
        <f ca="1">(AE160*DATOSAÑO!$Z$11)/DATOSAÑO!$Y$11</f>
        <v>0.24887376292420255</v>
      </c>
      <c r="AG160" s="9">
        <f ca="1">DATOSAÑO!AN159</f>
        <v>4.2829999999998183</v>
      </c>
      <c r="AH160" s="11">
        <f ca="1">(AG160*DATOSAÑO!$Z$11)/DATOSAÑO!$Y$11</f>
        <v>7.7173930394165632E-2</v>
      </c>
      <c r="AI160" s="9">
        <f ca="1">DATOSAÑO!BS159</f>
        <v>0</v>
      </c>
      <c r="AJ160" s="11">
        <f ca="1">(AI160*DATOSAÑO!$Z$11)/DATOSAÑO!$Y$11</f>
        <v>0</v>
      </c>
      <c r="AK160" s="9">
        <f ca="1">DATOSAÑO!BV159</f>
        <v>4.008</v>
      </c>
      <c r="AL160" s="11">
        <f ca="1">(AK160*DATOSAÑO!$Z$11)/DATOSAÑO!$Y$11</f>
        <v>7.2218798276868792E-2</v>
      </c>
      <c r="AM160" s="9">
        <f ca="1">DATOSAÑO!BY159</f>
        <v>1.78</v>
      </c>
      <c r="AN160" s="11">
        <f ca="1">(AM160*DATOSAÑO!$Z$11)/DATOSAÑO!$Y$11</f>
        <v>3.2073218795615387E-2</v>
      </c>
      <c r="AO160" s="9">
        <f ca="1">DATOSAÑO!CF159</f>
        <v>13.105999999999547</v>
      </c>
      <c r="AP160" s="11">
        <f ca="1">(AO160*DATOSAÑO!$Z$11)/DATOSAÑO!$Y$11</f>
        <v>0.23615258737939362</v>
      </c>
      <c r="AQ160" s="9">
        <f ca="1">DATOSAÑO!CL159</f>
        <v>3.1301999999999275</v>
      </c>
      <c r="AR160" s="1300">
        <f ca="1">(AQ160*DATOSAÑO!$Z$11)/DATOSAÑO!$Y$11</f>
        <v>5.640201655844547E-2</v>
      </c>
      <c r="AS160" s="1334">
        <f t="shared" si="8"/>
        <v>22</v>
      </c>
    </row>
    <row r="161" spans="1:45" ht="15" thickBot="1">
      <c r="A161" s="1371">
        <v>45076</v>
      </c>
      <c r="B161" s="1021">
        <v>45076</v>
      </c>
      <c r="C161" s="9">
        <f ca="1">DATOSAÑO!I160</f>
        <v>307.30000000004657</v>
      </c>
      <c r="D161" s="10">
        <f ca="1">DATOSAÑO!$D160</f>
        <v>5.2275682710517799</v>
      </c>
      <c r="E161" s="11">
        <f ca="1">DATOSAÑO!$G160</f>
        <v>0</v>
      </c>
      <c r="F161" s="85">
        <f ca="1">DATOSAÑO!P160</f>
        <v>151</v>
      </c>
      <c r="G161" s="10">
        <f ca="1">DATOSAÑO!K160</f>
        <v>3.8902440560180791</v>
      </c>
      <c r="H161" s="11">
        <f ca="1">DATOSAÑO!N160</f>
        <v>0</v>
      </c>
      <c r="I161" s="9">
        <f ca="1">DATOSAÑO!Q160</f>
        <v>0</v>
      </c>
      <c r="J161" s="11">
        <f ca="1">DATOSAÑO!R160</f>
        <v>0</v>
      </c>
      <c r="K161" s="9">
        <f ca="1">DATOSAÑO!T160</f>
        <v>0</v>
      </c>
      <c r="L161" s="11">
        <f t="shared" ca="1" si="6"/>
        <v>0</v>
      </c>
      <c r="M161" s="9"/>
      <c r="N161" s="11">
        <f t="shared" si="7"/>
        <v>0</v>
      </c>
      <c r="O161" s="9">
        <f>DATOSAÑO!CT160</f>
        <v>0</v>
      </c>
      <c r="P161" s="9">
        <f>DATOSAÑO!CU160</f>
        <v>0</v>
      </c>
      <c r="Q161" s="9">
        <f ca="1">DATOSAÑO!AD160</f>
        <v>163.8690000000006</v>
      </c>
      <c r="R161" s="11">
        <f ca="1">(Q161*DATOSAÑO!$Z$11)/DATOSAÑO!$Y$11</f>
        <v>2.9527001633813015</v>
      </c>
      <c r="S161" s="9">
        <f ca="1">DATOSAÑO!AF160</f>
        <v>160</v>
      </c>
      <c r="T161" s="11">
        <f ca="1">(S161*DATOSAÑO!$Z$11)/DATOSAÑO!$Y$11</f>
        <v>2.8829859591564388</v>
      </c>
      <c r="U161" s="9">
        <f ca="1">DATOSAÑO!AH160</f>
        <v>11.5</v>
      </c>
      <c r="V161" s="11">
        <f ca="1">(U161*DATOSAÑO!$Z$11)/DATOSAÑO!$Y$11</f>
        <v>0.20721461581436901</v>
      </c>
      <c r="W161" s="9">
        <f ca="1">DATOSAÑO!AI160</f>
        <v>35.5</v>
      </c>
      <c r="X161" s="11">
        <f ca="1">(W161*DATOSAÑO!$Z$11)/DATOSAÑO!$Y$11</f>
        <v>0.63966250968783478</v>
      </c>
      <c r="Y161" s="9">
        <f ca="1">DATOSAÑO!AJ160</f>
        <v>7.8000000000029104</v>
      </c>
      <c r="Z161" s="11">
        <f ca="1">(Y161*DATOSAÑO!$Z$11)/DATOSAÑO!$Y$11</f>
        <v>0.14054556550892883</v>
      </c>
      <c r="AA161" s="9">
        <f ca="1">DATOSAÑO!AK160</f>
        <v>14.399999999994179</v>
      </c>
      <c r="AB161" s="11">
        <f ca="1">(AA161*DATOSAÑO!$Z$11)/DATOSAÑO!$Y$11</f>
        <v>0.2594687363239746</v>
      </c>
      <c r="AC161" s="9">
        <f ca="1">DATOSAÑO!AL160</f>
        <v>35.431000000035056</v>
      </c>
      <c r="AD161" s="11">
        <f ca="1">(AC161*DATOSAÑO!$Z$11)/DATOSAÑO!$Y$11</f>
        <v>0.63841922199358025</v>
      </c>
      <c r="AE161" s="9">
        <f ca="1">DATOSAÑO!AM160</f>
        <v>9.6518000000130932</v>
      </c>
      <c r="AF161" s="11">
        <f ca="1">(AE161*DATOSAÑO!$Z$11)/DATOSAÑO!$Y$11</f>
        <v>0.17391252425389916</v>
      </c>
      <c r="AG161" s="9">
        <f ca="1">DATOSAÑO!AN160</f>
        <v>4.3470000000001816</v>
      </c>
      <c r="AH161" s="11">
        <f ca="1">(AG161*DATOSAÑO!$Z$11)/DATOSAÑO!$Y$11</f>
        <v>7.8327124777834767E-2</v>
      </c>
      <c r="AI161" s="9">
        <f ca="1">DATOSAÑO!BS160</f>
        <v>0.83520000000018624</v>
      </c>
      <c r="AJ161" s="11">
        <f ca="1">(AI161*DATOSAÑO!$Z$11)/DATOSAÑO!$Y$11</f>
        <v>1.5049186706799967E-2</v>
      </c>
      <c r="AK161" s="9">
        <f ca="1">DATOSAÑO!BV160</f>
        <v>3.262</v>
      </c>
      <c r="AL161" s="11">
        <f ca="1">(AK161*DATOSAÑO!$Z$11)/DATOSAÑO!$Y$11</f>
        <v>5.8776876242301893E-2</v>
      </c>
      <c r="AM161" s="9">
        <f ca="1">DATOSAÑO!BY160</f>
        <v>3.6509999999999998</v>
      </c>
      <c r="AN161" s="11">
        <f ca="1">(AM161*DATOSAÑO!$Z$11)/DATOSAÑO!$Y$11</f>
        <v>6.5786135855500985E-2</v>
      </c>
      <c r="AO161" s="9">
        <f ca="1">DATOSAÑO!CF160</f>
        <v>11.42590000000691</v>
      </c>
      <c r="AP161" s="11">
        <f ca="1">(AO161*DATOSAÑO!$Z$11)/DATOSAÑO!$Y$11</f>
        <v>0.20587943294215924</v>
      </c>
      <c r="AQ161" s="9">
        <f ca="1">DATOSAÑO!CL160</f>
        <v>3.1918000000000726</v>
      </c>
      <c r="AR161" s="1300">
        <f ca="1">(AQ161*DATOSAÑO!$Z$11)/DATOSAÑO!$Y$11</f>
        <v>5.7511966152723318E-2</v>
      </c>
      <c r="AS161" s="1334">
        <f t="shared" si="8"/>
        <v>22</v>
      </c>
    </row>
    <row r="162" spans="1:45" ht="16.5" customHeight="1" thickBot="1">
      <c r="A162" s="1371">
        <v>45077</v>
      </c>
      <c r="B162" s="1021">
        <v>45077</v>
      </c>
      <c r="C162" s="62">
        <f ca="1">DATOSAÑO!I161</f>
        <v>301.69999999995343</v>
      </c>
      <c r="D162" s="63">
        <f ca="1">DATOSAÑO!$D161</f>
        <v>5.1796539037817162</v>
      </c>
      <c r="E162" s="64">
        <f ca="1">DATOSAÑO!$G161</f>
        <v>0</v>
      </c>
      <c r="F162" s="62">
        <f ca="1">DATOSAÑO!P161</f>
        <v>149.09999999999854</v>
      </c>
      <c r="G162" s="63">
        <f ca="1">DATOSAÑO!K161</f>
        <v>3.8739873956945652</v>
      </c>
      <c r="H162" s="64">
        <f ca="1">DATOSAÑO!N161</f>
        <v>0</v>
      </c>
      <c r="I162" s="62">
        <f ca="1">DATOSAÑO!Q161</f>
        <v>0</v>
      </c>
      <c r="J162" s="64">
        <f ca="1">DATOSAÑO!R161</f>
        <v>0</v>
      </c>
      <c r="K162" s="9">
        <f ca="1">DATOSAÑO!T161</f>
        <v>0</v>
      </c>
      <c r="L162" s="64">
        <f t="shared" ca="1" si="6"/>
        <v>0</v>
      </c>
      <c r="M162" s="62"/>
      <c r="N162" s="64">
        <f t="shared" si="7"/>
        <v>0</v>
      </c>
      <c r="O162" s="62">
        <f>DATOSAÑO!CT161</f>
        <v>0</v>
      </c>
      <c r="P162" s="61">
        <f>DATOSAÑO!CU161</f>
        <v>0</v>
      </c>
      <c r="Q162" s="9">
        <f ca="1">DATOSAÑO!AD161</f>
        <v>164.90999999999985</v>
      </c>
      <c r="R162" s="64">
        <f ca="1">(Q162*DATOSAÑO!$Z$11)/DATOSAÑO!$Y$11</f>
        <v>2.9714575907780496</v>
      </c>
      <c r="S162" s="9">
        <f ca="1">DATOSAÑO!AF161</f>
        <v>153</v>
      </c>
      <c r="T162" s="64">
        <f ca="1">(S162*DATOSAÑO!$Z$11)/DATOSAÑO!$Y$11</f>
        <v>2.7568553234433448</v>
      </c>
      <c r="U162" s="9">
        <f ca="1">DATOSAÑO!AH161</f>
        <v>11.100000000005821</v>
      </c>
      <c r="V162" s="64">
        <f ca="1">(U162*DATOSAÑO!$Z$11)/DATOSAÑO!$Y$11</f>
        <v>0.20000715091658283</v>
      </c>
      <c r="W162" s="9">
        <f ca="1">DATOSAÑO!AI161</f>
        <v>36.30000000000291</v>
      </c>
      <c r="X162" s="64">
        <f ca="1">(W162*DATOSAÑO!$Z$11)/DATOSAÑO!$Y$11</f>
        <v>0.65407743948366959</v>
      </c>
      <c r="Y162" s="9">
        <f ca="1">DATOSAÑO!AJ161</f>
        <v>6.7999999999883585</v>
      </c>
      <c r="Z162" s="64">
        <f ca="1">(Y162*DATOSAÑO!$Z$11)/DATOSAÑO!$Y$11</f>
        <v>0.12252690326393889</v>
      </c>
      <c r="AA162" s="9">
        <f ca="1">DATOSAÑO!AK161</f>
        <v>13.200000000011642</v>
      </c>
      <c r="AB162" s="64">
        <f ca="1">(AA162*DATOSAÑO!$Z$11)/DATOSAÑO!$Y$11</f>
        <v>0.23784634163061597</v>
      </c>
      <c r="AC162" s="9">
        <f ca="1">DATOSAÑO!AL161</f>
        <v>35.389999999955762</v>
      </c>
      <c r="AD162" s="64">
        <f ca="1">(AC162*DATOSAÑO!$Z$11)/DATOSAÑO!$Y$11</f>
        <v>0.63768045684011776</v>
      </c>
      <c r="AE162" s="9">
        <f ca="1">DATOSAÑO!AM161</f>
        <v>10.07019999998837</v>
      </c>
      <c r="AF162" s="64">
        <f ca="1">(AE162*DATOSAÑO!$Z$11)/DATOSAÑO!$Y$11</f>
        <v>0.18145153253664775</v>
      </c>
      <c r="AG162" s="62">
        <f ca="1">DATOSAÑO!AN161</f>
        <v>4.8339999999998104</v>
      </c>
      <c r="AH162" s="64">
        <f ca="1">(AG162*DATOSAÑO!$Z$11)/DATOSAÑO!$Y$11</f>
        <v>8.7102213291010491E-2</v>
      </c>
      <c r="AI162" s="62">
        <f ca="1">DATOSAÑO!BS161</f>
        <v>2.8247999999998137</v>
      </c>
      <c r="AJ162" s="64">
        <f ca="1">(AI162*DATOSAÑO!$Z$11)/DATOSAÑO!$Y$11</f>
        <v>5.0899117108903567E-2</v>
      </c>
      <c r="AK162" s="62">
        <f ca="1">DATOSAÑO!BV161</f>
        <v>4.5650000000000004</v>
      </c>
      <c r="AL162" s="64">
        <f ca="1">(AK162*DATOSAÑO!$Z$11)/DATOSAÑO!$Y$11</f>
        <v>8.225519314718216E-2</v>
      </c>
      <c r="AM162" s="62">
        <f ca="1">DATOSAÑO!BY161</f>
        <v>0</v>
      </c>
      <c r="AN162" s="64">
        <f ca="1">(AM162*DATOSAÑO!$Z$11)/DATOSAÑO!$Y$11</f>
        <v>0</v>
      </c>
      <c r="AO162" s="62">
        <f ca="1">DATOSAÑO!CF161</f>
        <v>11.43509999999382</v>
      </c>
      <c r="AP162" s="64">
        <f ca="1">(AO162*DATOSAÑO!$Z$11)/DATOSAÑO!$Y$11</f>
        <v>0.20604520463457485</v>
      </c>
      <c r="AQ162" s="62">
        <f ca="1">DATOSAÑO!CL161</f>
        <v>3.3395999999999244</v>
      </c>
      <c r="AR162" s="1077">
        <f ca="1">(AQ162*DATOSAÑO!$Z$11)/DATOSAÑO!$Y$11</f>
        <v>6.0175124432491407E-2</v>
      </c>
      <c r="AS162" s="1335">
        <f t="shared" si="8"/>
        <v>22</v>
      </c>
    </row>
    <row r="163" spans="1:45" ht="15" thickBot="1">
      <c r="A163" s="1371">
        <v>45078</v>
      </c>
      <c r="B163" s="1021">
        <v>45078</v>
      </c>
      <c r="C163" s="9">
        <f ca="1">DATOSAÑO!I162</f>
        <v>296</v>
      </c>
      <c r="D163" s="10">
        <f ca="1">DATOSAÑO!$D162</f>
        <v>4.7912563330741911</v>
      </c>
      <c r="E163" s="11">
        <f ca="1">DATOSAÑO!$G162</f>
        <v>0</v>
      </c>
      <c r="F163" s="9">
        <f ca="1">DATOSAÑO!P162</f>
        <v>148</v>
      </c>
      <c r="G163" s="10">
        <f ca="1">DATOSAÑO!K162</f>
        <v>3.6087685498667268</v>
      </c>
      <c r="H163" s="175">
        <f ca="1">DATOSAÑO!N162</f>
        <v>0</v>
      </c>
      <c r="I163" s="173">
        <f ca="1">DATOSAÑO!Q162</f>
        <v>0</v>
      </c>
      <c r="J163" s="175">
        <f ca="1">DATOSAÑO!R162</f>
        <v>0</v>
      </c>
      <c r="K163" s="173">
        <f ca="1">DATOSAÑO!T162</f>
        <v>0</v>
      </c>
      <c r="L163" s="175">
        <f t="shared" ca="1" si="6"/>
        <v>0</v>
      </c>
      <c r="M163" s="173"/>
      <c r="N163" s="175">
        <f t="shared" si="7"/>
        <v>0</v>
      </c>
      <c r="O163" s="9">
        <f>DATOSAÑO!CT162</f>
        <v>0</v>
      </c>
      <c r="P163" s="9">
        <f>DATOSAÑO!CU162</f>
        <v>0</v>
      </c>
      <c r="Q163" s="173">
        <f ca="1">DATOSAÑO!AD162</f>
        <v>166</v>
      </c>
      <c r="R163" s="175">
        <f ca="1">(Q163*DATOSAÑO!$Z$11)/DATOSAÑO!$Y$11</f>
        <v>2.9910979326248053</v>
      </c>
      <c r="S163" s="173">
        <f ca="1">DATOSAÑO!AF162</f>
        <v>145</v>
      </c>
      <c r="T163" s="175">
        <f ca="1">(S163*DATOSAÑO!$Z$11)/DATOSAÑO!$Y$11</f>
        <v>2.6127060254855223</v>
      </c>
      <c r="U163" s="173">
        <f ca="1">DATOSAÑO!AH162</f>
        <v>12.599999999998545</v>
      </c>
      <c r="V163" s="175">
        <f ca="1">(U163*DATOSAÑO!$Z$11)/DATOSAÑO!$Y$11</f>
        <v>0.22703514428354335</v>
      </c>
      <c r="W163" s="173">
        <f ca="1">DATOSAÑO!AI162</f>
        <v>36.69999999999709</v>
      </c>
      <c r="X163" s="175">
        <f ca="1">(W163*DATOSAÑO!$Z$11)/DATOSAÑO!$Y$11</f>
        <v>0.66128490438145571</v>
      </c>
      <c r="Y163" s="173">
        <f ca="1">DATOSAÑO!AJ162</f>
        <v>5.4000000000087311</v>
      </c>
      <c r="Z163" s="175">
        <f ca="1">(Y163*DATOSAÑO!$Z$11)/DATOSAÑO!$Y$11</f>
        <v>9.7300776121687138E-2</v>
      </c>
      <c r="AA163" s="173">
        <f ca="1">DATOSAÑO!AK162</f>
        <v>13</v>
      </c>
      <c r="AB163" s="175">
        <f ca="1">(AA163*DATOSAÑO!$Z$11)/DATOSAÑO!$Y$11</f>
        <v>0.23424260918146064</v>
      </c>
      <c r="AC163" s="173">
        <f ca="1">DATOSAÑO!AL162</f>
        <v>34.999999999996362</v>
      </c>
      <c r="AD163" s="175">
        <f ca="1">(AC163*DATOSAÑO!$Z$11)/DATOSAÑO!$Y$11</f>
        <v>0.63065317856540548</v>
      </c>
      <c r="AE163" s="173">
        <f ca="1">DATOSAÑO!AM162</f>
        <v>11.255999999998364</v>
      </c>
      <c r="AF163" s="175">
        <f ca="1">(AE163*DATOSAÑO!$Z$11)/DATOSAÑO!$Y$11</f>
        <v>0.20281806222662599</v>
      </c>
      <c r="AG163" s="173">
        <f ca="1">DATOSAÑO!AN162</f>
        <v>4.3469999999998183</v>
      </c>
      <c r="AH163" s="175">
        <f ca="1">(AG163*DATOSAÑO!$Z$11)/DATOSAÑO!$Y$11</f>
        <v>7.8327124777828216E-2</v>
      </c>
      <c r="AI163" s="9">
        <f ca="1">DATOSAÑO!BS162</f>
        <v>2.5</v>
      </c>
      <c r="AJ163" s="11">
        <f ca="1">(AI163*DATOSAÑO!$Z$11)/DATOSAÑO!$Y$11</f>
        <v>4.5046655611819357E-2</v>
      </c>
      <c r="AK163" s="9">
        <f ca="1">DATOSAÑO!BV162</f>
        <v>4.5439999999999996</v>
      </c>
      <c r="AL163" s="11">
        <f ca="1">(AK163*DATOSAÑO!$Z$11)/DATOSAÑO!$Y$11</f>
        <v>8.1876801240042846E-2</v>
      </c>
      <c r="AM163" s="9">
        <f ca="1">DATOSAÑO!BY162</f>
        <v>0</v>
      </c>
      <c r="AN163" s="11">
        <f ca="1">(AM163*DATOSAÑO!$Z$11)/DATOSAÑO!$Y$11</f>
        <v>0</v>
      </c>
      <c r="AO163" s="9">
        <f ca="1">DATOSAÑO!CF162</f>
        <v>11.928000000000274</v>
      </c>
      <c r="AP163" s="11">
        <f ca="1">(AO163*DATOSAÑO!$Z$11)/DATOSAÑO!$Y$11</f>
        <v>0.21492660325511745</v>
      </c>
      <c r="AQ163" s="9">
        <f ca="1">DATOSAÑO!CL162</f>
        <v>3.0917999999999273</v>
      </c>
      <c r="AR163" s="1300">
        <f ca="1">(AQ163*DATOSAÑO!$Z$11)/DATOSAÑO!$Y$11</f>
        <v>5.5710099928247922E-2</v>
      </c>
      <c r="AS163" s="1369">
        <f t="shared" si="8"/>
        <v>22</v>
      </c>
    </row>
    <row r="164" spans="1:45" ht="16.5" customHeight="1" thickBot="1">
      <c r="A164" s="1371">
        <v>45079</v>
      </c>
      <c r="B164" s="1021">
        <v>45079</v>
      </c>
      <c r="C164" s="187">
        <f ca="1">DATOSAÑO!I163</f>
        <v>292</v>
      </c>
      <c r="D164" s="188">
        <f ca="1">DATOSAÑO!$D163</f>
        <v>4.7592972037983134</v>
      </c>
      <c r="E164" s="189">
        <f ca="1">DATOSAÑO!$G163</f>
        <v>0</v>
      </c>
      <c r="F164" s="9">
        <f ca="1">DATOSAÑO!P163</f>
        <v>150</v>
      </c>
      <c r="G164" s="10">
        <f ca="1">DATOSAÑO!K163</f>
        <v>3.6247481145046652</v>
      </c>
      <c r="H164" s="11">
        <f ca="1">DATOSAÑO!N163</f>
        <v>0</v>
      </c>
      <c r="I164" s="9">
        <f ca="1">DATOSAÑO!Q163</f>
        <v>0</v>
      </c>
      <c r="J164" s="11">
        <f ca="1">DATOSAÑO!R163</f>
        <v>0</v>
      </c>
      <c r="K164" s="9">
        <f ca="1">DATOSAÑO!T163</f>
        <v>0</v>
      </c>
      <c r="L164" s="11">
        <f t="shared" ca="1" si="6"/>
        <v>0</v>
      </c>
      <c r="M164" s="9"/>
      <c r="N164" s="11">
        <f t="shared" si="7"/>
        <v>0</v>
      </c>
      <c r="O164" s="9">
        <f>DATOSAÑO!CT163</f>
        <v>0</v>
      </c>
      <c r="P164" s="9">
        <f>DATOSAÑO!CU163</f>
        <v>0</v>
      </c>
      <c r="Q164" s="9">
        <f ca="1">DATOSAÑO!AD163</f>
        <v>170</v>
      </c>
      <c r="R164" s="11">
        <f ca="1">(Q164*DATOSAÑO!$Z$11)/DATOSAÑO!$Y$11</f>
        <v>3.0631725816037165</v>
      </c>
      <c r="S164" s="9">
        <f ca="1">DATOSAÑO!AF163</f>
        <v>147</v>
      </c>
      <c r="T164" s="11">
        <f ca="1">(S164*DATOSAÑO!$Z$11)/DATOSAÑO!$Y$11</f>
        <v>2.648743349974978</v>
      </c>
      <c r="U164" s="9">
        <f ca="1">DATOSAÑO!AH163</f>
        <v>9.6999999999970896</v>
      </c>
      <c r="V164" s="11">
        <f ca="1">(U164*DATOSAÑO!$Z$11)/DATOSAÑO!$Y$11</f>
        <v>0.17478102377380664</v>
      </c>
      <c r="W164" s="9">
        <f ca="1">DATOSAÑO!AI163</f>
        <v>35.599999999991269</v>
      </c>
      <c r="X164" s="11">
        <f ca="1">(W164*DATOSAÑO!$Z$11)/DATOSAÑO!$Y$11</f>
        <v>0.64146437591215033</v>
      </c>
      <c r="Y164" s="9">
        <f ca="1">DATOSAÑO!AJ163</f>
        <v>5.5</v>
      </c>
      <c r="Z164" s="11">
        <f ca="1">(Y164*DATOSAÑO!$Z$11)/DATOSAÑO!$Y$11</f>
        <v>9.9102642346002578E-2</v>
      </c>
      <c r="AA164" s="9">
        <f ca="1">DATOSAÑO!AK163</f>
        <v>13</v>
      </c>
      <c r="AB164" s="11">
        <f ca="1">(AA164*DATOSAÑO!$Z$11)/DATOSAÑO!$Y$11</f>
        <v>0.23424260918146064</v>
      </c>
      <c r="AC164" s="9">
        <f ca="1">DATOSAÑO!AL163</f>
        <v>32.700000000011698</v>
      </c>
      <c r="AD164" s="11">
        <f ca="1">(AC164*DATOSAÑO!$Z$11)/DATOSAÑO!$Y$11</f>
        <v>0.58921025540280791</v>
      </c>
      <c r="AE164" s="9">
        <f ca="1">DATOSAÑO!AM163</f>
        <v>9.0070000000001045</v>
      </c>
      <c r="AF164" s="11">
        <f ca="1">(AE164*DATOSAÑO!$Z$11)/DATOSAÑO!$Y$11</f>
        <v>0.16229409083826465</v>
      </c>
      <c r="AG164" s="9">
        <f ca="1">DATOSAÑO!AN163</f>
        <v>4.8100000000002732</v>
      </c>
      <c r="AH164" s="11">
        <f ca="1">(AG164*DATOSAÑO!$Z$11)/DATOSAÑO!$Y$11</f>
        <v>8.6669765397145368E-2</v>
      </c>
      <c r="AI164" s="9">
        <f ca="1">DATOSAÑO!BS163</f>
        <v>2.2000000000000002</v>
      </c>
      <c r="AJ164" s="11">
        <f ca="1">(AI164*DATOSAÑO!$Z$11)/DATOSAÑO!$Y$11</f>
        <v>3.9641056938401038E-2</v>
      </c>
      <c r="AK164" s="9">
        <f ca="1">DATOSAÑO!BV163</f>
        <v>4.6929999999999996</v>
      </c>
      <c r="AL164" s="11">
        <f ca="1">(AK164*DATOSAÑO!$Z$11)/DATOSAÑO!$Y$11</f>
        <v>8.4561581914507286E-2</v>
      </c>
      <c r="AM164" s="9">
        <f ca="1">DATOSAÑO!BY163</f>
        <v>0</v>
      </c>
      <c r="AN164" s="11">
        <f ca="1">(AM164*DATOSAÑO!$Z$11)/DATOSAÑO!$Y$11</f>
        <v>0</v>
      </c>
      <c r="AO164" s="9">
        <f ca="1">DATOSAÑO!CF163</f>
        <v>10.903499999999688</v>
      </c>
      <c r="AP164" s="11">
        <f ca="1">(AO164*DATOSAÑO!$Z$11)/DATOSAÑO!$Y$11</f>
        <v>0.19646648378538331</v>
      </c>
      <c r="AQ164" s="9">
        <f ca="1">DATOSAÑO!CL163</f>
        <v>3.3140000000001093</v>
      </c>
      <c r="AR164" s="1300">
        <f ca="1">(AQ164*DATOSAÑO!$Z$11)/DATOSAÑO!$Y$11</f>
        <v>5.9713846679029708E-2</v>
      </c>
      <c r="AS164" s="1334">
        <f t="shared" si="8"/>
        <v>22</v>
      </c>
    </row>
    <row r="165" spans="1:45" ht="15" thickBot="1">
      <c r="A165" s="1371">
        <v>45080</v>
      </c>
      <c r="B165" s="1021">
        <v>45080</v>
      </c>
      <c r="C165" s="9">
        <f ca="1">DATOSAÑO!I164</f>
        <v>290</v>
      </c>
      <c r="D165" s="10">
        <f ca="1">DATOSAÑO!$D164</f>
        <v>4.7433176391603737</v>
      </c>
      <c r="E165" s="11">
        <f ca="1">DATOSAÑO!$G164</f>
        <v>0</v>
      </c>
      <c r="F165" s="9">
        <f ca="1">DATOSAÑO!P164</f>
        <v>148</v>
      </c>
      <c r="G165" s="10">
        <f ca="1">DATOSAÑO!K164</f>
        <v>3.6087685498667268</v>
      </c>
      <c r="H165" s="11">
        <f ca="1">DATOSAÑO!N164</f>
        <v>0</v>
      </c>
      <c r="I165" s="9">
        <f ca="1">DATOSAÑO!Q164</f>
        <v>0</v>
      </c>
      <c r="J165" s="11">
        <f ca="1">DATOSAÑO!R164</f>
        <v>0</v>
      </c>
      <c r="K165" s="9">
        <f ca="1">DATOSAÑO!T164</f>
        <v>0</v>
      </c>
      <c r="L165" s="11">
        <f t="shared" ca="1" si="6"/>
        <v>0</v>
      </c>
      <c r="M165" s="9"/>
      <c r="N165" s="11">
        <f t="shared" si="7"/>
        <v>0</v>
      </c>
      <c r="O165" s="9">
        <f>DATOSAÑO!CT164</f>
        <v>0</v>
      </c>
      <c r="P165" s="9">
        <f>DATOSAÑO!CU164</f>
        <v>0</v>
      </c>
      <c r="Q165" s="9">
        <f ca="1">DATOSAÑO!AD164</f>
        <v>164</v>
      </c>
      <c r="R165" s="11">
        <f ca="1">(Q165*DATOSAÑO!$Z$11)/DATOSAÑO!$Y$11</f>
        <v>2.9550606081353497</v>
      </c>
      <c r="S165" s="9">
        <f ca="1">DATOSAÑO!AF164</f>
        <v>145</v>
      </c>
      <c r="T165" s="11">
        <f ca="1">(S165*DATOSAÑO!$Z$11)/DATOSAÑO!$Y$11</f>
        <v>2.6127060254855223</v>
      </c>
      <c r="U165" s="9">
        <f ca="1">DATOSAÑO!AH164</f>
        <v>9.8000000000047294</v>
      </c>
      <c r="V165" s="11">
        <f ca="1">(U165*DATOSAÑO!$Z$11)/DATOSAÑO!$Y$11</f>
        <v>0.17658288999841709</v>
      </c>
      <c r="W165" s="9">
        <f ca="1">DATOSAÑO!AI164</f>
        <v>35</v>
      </c>
      <c r="X165" s="11">
        <f ca="1">(W165*DATOSAÑO!$Z$11)/DATOSAÑO!$Y$11</f>
        <v>0.63065317856547087</v>
      </c>
      <c r="Y165" s="9">
        <f ca="1">DATOSAÑO!AJ164</f>
        <v>5.6999999999970896</v>
      </c>
      <c r="Z165" s="11">
        <f ca="1">(Y165*DATOSAÑO!$Z$11)/DATOSAÑO!$Y$11</f>
        <v>0.10270637479489569</v>
      </c>
      <c r="AA165" s="9">
        <f ca="1">DATOSAÑO!AK164</f>
        <v>13</v>
      </c>
      <c r="AB165" s="11">
        <f ca="1">(AA165*DATOSAÑO!$Z$11)/DATOSAÑO!$Y$11</f>
        <v>0.23424260918146064</v>
      </c>
      <c r="AC165" s="9">
        <f ca="1">DATOSAÑO!AL164</f>
        <v>36.399999999999636</v>
      </c>
      <c r="AD165" s="11">
        <f ca="1">(AC165*DATOSAÑO!$Z$11)/DATOSAÑO!$Y$11</f>
        <v>0.65587930570808317</v>
      </c>
      <c r="AE165" s="9">
        <f ca="1">DATOSAÑO!AM164</f>
        <v>10.273999999999633</v>
      </c>
      <c r="AF165" s="11">
        <f ca="1">(AE165*DATOSAÑO!$Z$11)/DATOSAÑO!$Y$11</f>
        <v>0.18512373590232623</v>
      </c>
      <c r="AG165" s="9">
        <f ca="1">DATOSAÑO!AN164</f>
        <v>4.6340000000000128</v>
      </c>
      <c r="AH165" s="11">
        <f ca="1">(AG165*DATOSAÑO!$Z$11)/DATOSAÑO!$Y$11</f>
        <v>8.3498480842068581E-2</v>
      </c>
      <c r="AI165" s="9">
        <f ca="1">DATOSAÑO!BS164</f>
        <v>2.2000000000000002</v>
      </c>
      <c r="AJ165" s="11">
        <f ca="1">(AI165*DATOSAÑO!$Z$11)/DATOSAÑO!$Y$11</f>
        <v>3.9641056938401038E-2</v>
      </c>
      <c r="AK165" s="9">
        <f ca="1">DATOSAÑO!BV164</f>
        <v>4.3460000000000001</v>
      </c>
      <c r="AL165" s="11">
        <f ca="1">(AK165*DATOSAÑO!$Z$11)/DATOSAÑO!$Y$11</f>
        <v>7.830910611558678E-2</v>
      </c>
      <c r="AM165" s="9">
        <f ca="1">DATOSAÑO!BY164</f>
        <v>0</v>
      </c>
      <c r="AN165" s="11">
        <f ca="1">(AM165*DATOSAÑO!$Z$11)/DATOSAÑO!$Y$11</f>
        <v>0</v>
      </c>
      <c r="AO165" s="9">
        <f ca="1">DATOSAÑO!CF164</f>
        <v>11.336999999998724</v>
      </c>
      <c r="AP165" s="11">
        <f ca="1">(AO165*DATOSAÑO!$Z$11)/DATOSAÑO!$Y$11</f>
        <v>0.20427757386845544</v>
      </c>
      <c r="AQ165" s="9">
        <f ca="1">DATOSAÑO!CL164</f>
        <v>3.2996000000000052</v>
      </c>
      <c r="AR165" s="1300">
        <f ca="1">(AQ165*DATOSAÑO!$Z$11)/DATOSAÑO!$Y$11</f>
        <v>5.9454377942703758E-2</v>
      </c>
      <c r="AS165" s="1334">
        <f t="shared" si="8"/>
        <v>22</v>
      </c>
    </row>
    <row r="166" spans="1:45" ht="16.5" customHeight="1" thickBot="1">
      <c r="A166" s="1371">
        <v>45081</v>
      </c>
      <c r="B166" s="1021">
        <v>45081</v>
      </c>
      <c r="C166" s="9">
        <f ca="1">DATOSAÑO!I165</f>
        <v>298</v>
      </c>
      <c r="D166" s="10">
        <f ca="1">DATOSAÑO!$D165</f>
        <v>4.807235897712129</v>
      </c>
      <c r="E166" s="11">
        <f ca="1">DATOSAÑO!$G165</f>
        <v>0</v>
      </c>
      <c r="F166" s="9">
        <f ca="1">DATOSAÑO!P165</f>
        <v>150</v>
      </c>
      <c r="G166" s="10">
        <f ca="1">DATOSAÑO!K165</f>
        <v>3.6247481145046652</v>
      </c>
      <c r="H166" s="11">
        <f ca="1">DATOSAÑO!N165</f>
        <v>0</v>
      </c>
      <c r="I166" s="9">
        <f ca="1">DATOSAÑO!Q165</f>
        <v>0</v>
      </c>
      <c r="J166" s="11">
        <f ca="1">DATOSAÑO!R165</f>
        <v>0</v>
      </c>
      <c r="K166" s="9">
        <f ca="1">DATOSAÑO!T165</f>
        <v>0</v>
      </c>
      <c r="L166" s="11">
        <f t="shared" ca="1" si="6"/>
        <v>0</v>
      </c>
      <c r="M166" s="9"/>
      <c r="N166" s="11">
        <f t="shared" si="7"/>
        <v>0</v>
      </c>
      <c r="O166" s="9">
        <f>DATOSAÑO!CT165</f>
        <v>0</v>
      </c>
      <c r="P166" s="9">
        <f>DATOSAÑO!CU165</f>
        <v>0</v>
      </c>
      <c r="Q166" s="9">
        <f ca="1">DATOSAÑO!AD165</f>
        <v>164</v>
      </c>
      <c r="R166" s="11">
        <f ca="1">(Q166*DATOSAÑO!$Z$11)/DATOSAÑO!$Y$11</f>
        <v>2.9550606081353497</v>
      </c>
      <c r="S166" s="9">
        <f ca="1">DATOSAÑO!AF165</f>
        <v>152</v>
      </c>
      <c r="T166" s="11">
        <f ca="1">(S166*DATOSAÑO!$Z$11)/DATOSAÑO!$Y$11</f>
        <v>2.7388366611986168</v>
      </c>
      <c r="U166" s="9">
        <f ca="1">DATOSAÑO!AH165</f>
        <v>10.69999999999709</v>
      </c>
      <c r="V166" s="11">
        <f ca="1">(U166*DATOSAÑO!$Z$11)/DATOSAÑO!$Y$11</f>
        <v>0.19279968601853439</v>
      </c>
      <c r="W166" s="9">
        <f ca="1">DATOSAÑO!AI165</f>
        <v>37.30000000000291</v>
      </c>
      <c r="X166" s="11">
        <f ca="1">(W166*DATOSAÑO!$Z$11)/DATOSAÑO!$Y$11</f>
        <v>0.67209610172839718</v>
      </c>
      <c r="Y166" s="9">
        <f ca="1">DATOSAÑO!AJ165</f>
        <v>7.5</v>
      </c>
      <c r="Z166" s="11">
        <f ca="1">(Y166*DATOSAÑO!$Z$11)/DATOSAÑO!$Y$11</f>
        <v>0.13513996683545806</v>
      </c>
      <c r="AA166" s="9">
        <f ca="1">DATOSAÑO!AK165</f>
        <v>12.899999999994179</v>
      </c>
      <c r="AB166" s="11">
        <f ca="1">(AA166*DATOSAÑO!$Z$11)/DATOSAÑO!$Y$11</f>
        <v>0.232440742956883</v>
      </c>
      <c r="AC166" s="9">
        <f ca="1">DATOSAÑO!AL165</f>
        <v>32.600000000005878</v>
      </c>
      <c r="AD166" s="11">
        <f ca="1">(AC166*DATOSAÑO!$Z$11)/DATOSAÑO!$Y$11</f>
        <v>0.58740838917823035</v>
      </c>
      <c r="AE166" s="9">
        <f ca="1">DATOSAÑO!AM165</f>
        <v>11.238999999999727</v>
      </c>
      <c r="AF166" s="11">
        <f ca="1">(AE166*DATOSAÑO!$Z$11)/DATOSAÑO!$Y$11</f>
        <v>0.20251174496849017</v>
      </c>
      <c r="AG166" s="9">
        <f ca="1">DATOSAÑO!AN165</f>
        <v>4.7370000000002728</v>
      </c>
      <c r="AH166" s="11">
        <f ca="1">(AG166*DATOSAÑO!$Z$11)/DATOSAÑO!$Y$11</f>
        <v>8.5354403053280237E-2</v>
      </c>
      <c r="AI166" s="9">
        <f ca="1">DATOSAÑO!BS165</f>
        <v>2</v>
      </c>
      <c r="AJ166" s="11">
        <f ca="1">(AI166*DATOSAÑO!$Z$11)/DATOSAÑO!$Y$11</f>
        <v>3.6037324489455486E-2</v>
      </c>
      <c r="AK166" s="9">
        <f ca="1">DATOSAÑO!BV165</f>
        <v>5.0609999999999999</v>
      </c>
      <c r="AL166" s="11">
        <f ca="1">(AK166*DATOSAÑO!$Z$11)/DATOSAÑO!$Y$11</f>
        <v>9.1192449620567093E-2</v>
      </c>
      <c r="AM166" s="9">
        <f ca="1">DATOSAÑO!BY165</f>
        <v>0</v>
      </c>
      <c r="AN166" s="11">
        <f ca="1">(AM166*DATOSAÑO!$Z$11)/DATOSAÑO!$Y$11</f>
        <v>0</v>
      </c>
      <c r="AO166" s="9">
        <f ca="1">DATOSAÑO!CF165</f>
        <v>12.119499999999864</v>
      </c>
      <c r="AP166" s="11">
        <f ca="1">(AO166*DATOSAÑO!$Z$11)/DATOSAÑO!$Y$11</f>
        <v>0.21837717707497542</v>
      </c>
      <c r="AQ166" s="9">
        <f ca="1">DATOSAÑO!CL165</f>
        <v>3.3578000000001094</v>
      </c>
      <c r="AR166" s="1300">
        <f ca="1">(AQ166*DATOSAÑO!$Z$11)/DATOSAÑO!$Y$11</f>
        <v>6.0503064085348779E-2</v>
      </c>
      <c r="AS166" s="1334">
        <f t="shared" si="8"/>
        <v>23</v>
      </c>
    </row>
    <row r="167" spans="1:45" ht="15" thickBot="1">
      <c r="A167" s="1371">
        <v>45082</v>
      </c>
      <c r="B167" s="1021">
        <v>45082</v>
      </c>
      <c r="C167" s="9">
        <f ca="1">DATOSAÑO!I166</f>
        <v>-593044</v>
      </c>
      <c r="D167" s="10">
        <f ca="1">DATOSAÑO!$D166</f>
        <v>0</v>
      </c>
      <c r="E167" s="11">
        <f ca="1">DATOSAÑO!$G166</f>
        <v>0</v>
      </c>
      <c r="F167" s="9">
        <f ca="1">DATOSAÑO!P166</f>
        <v>-41334</v>
      </c>
      <c r="G167" s="10">
        <f ca="1">DATOSAÑO!K166</f>
        <v>0</v>
      </c>
      <c r="H167" s="11">
        <f ca="1">DATOSAÑO!N166</f>
        <v>0</v>
      </c>
      <c r="I167" s="9">
        <f ca="1">DATOSAÑO!Q166</f>
        <v>0</v>
      </c>
      <c r="J167" s="11">
        <f ca="1">DATOSAÑO!R166</f>
        <v>0</v>
      </c>
      <c r="K167" s="9">
        <f ca="1">DATOSAÑO!T166</f>
        <v>0</v>
      </c>
      <c r="L167" s="11">
        <f t="shared" ca="1" si="6"/>
        <v>0</v>
      </c>
      <c r="M167" s="9"/>
      <c r="N167" s="11">
        <f t="shared" si="7"/>
        <v>0</v>
      </c>
      <c r="O167" s="9">
        <f>DATOSAÑO!CT166</f>
        <v>0</v>
      </c>
      <c r="P167" s="9">
        <f>DATOSAÑO!CU166</f>
        <v>0</v>
      </c>
      <c r="Q167" s="9">
        <f ca="1">DATOSAÑO!AD166</f>
        <v>-7966</v>
      </c>
      <c r="R167" s="11">
        <f ca="1">(Q167*DATOSAÑO!$Z$11)/DATOSAÑO!$Y$11</f>
        <v>-143.53666344150119</v>
      </c>
      <c r="S167" s="9">
        <f ca="1">DATOSAÑO!AF166</f>
        <v>-464667</v>
      </c>
      <c r="T167" s="11">
        <f ca="1">(S167*DATOSAÑO!$Z$11)/DATOSAÑO!$Y$11</f>
        <v>-8372.6777292709066</v>
      </c>
      <c r="U167" s="9">
        <f ca="1">DATOSAÑO!AH166</f>
        <v>-59846.5</v>
      </c>
      <c r="V167" s="11">
        <f ca="1">(U167*DATOSAÑO!$Z$11)/DATOSAÑO!$Y$11</f>
        <v>-1078.3538700290987</v>
      </c>
      <c r="W167" s="9">
        <f ca="1">DATOSAÑO!AI166</f>
        <v>-67065.7</v>
      </c>
      <c r="X167" s="11">
        <f ca="1">(W167*DATOSAÑO!$Z$11)/DATOSAÑO!$Y$11</f>
        <v>-1208.4341965062372</v>
      </c>
      <c r="Y167" s="9">
        <f ca="1">DATOSAÑO!AJ166</f>
        <v>-82690</v>
      </c>
      <c r="Z167" s="11">
        <f ca="1">(Y167*DATOSAÑO!$Z$11)/DATOSAÑO!$Y$11</f>
        <v>-1489.963181016537</v>
      </c>
      <c r="AA167" s="9">
        <f ca="1">DATOSAÑO!AK166</f>
        <v>-138128.5</v>
      </c>
      <c r="AB167" s="11">
        <f ca="1">(AA167*DATOSAÑO!$Z$11)/DATOSAÑO!$Y$11</f>
        <v>-2488.890787870876</v>
      </c>
      <c r="AC167" s="9">
        <f ca="1">DATOSAÑO!AL166</f>
        <v>237466.79999999993</v>
      </c>
      <c r="AD167" s="11">
        <f ca="1">(AC167*DATOSAÑO!$Z$11)/DATOSAÑO!$Y$11</f>
        <v>4278.8340635363129</v>
      </c>
      <c r="AE167" s="9">
        <f ca="1">DATOSAÑO!AM166</f>
        <v>-28926.668999999962</v>
      </c>
      <c r="AF167" s="11">
        <f ca="1">(AE167*DATOSAÑO!$Z$11)/DATOSAÑO!$Y$11</f>
        <v>-521.21987857603574</v>
      </c>
      <c r="AG167" s="9">
        <f ca="1">DATOSAÑO!AN166</f>
        <v>-5886.3280000000004</v>
      </c>
      <c r="AH167" s="11">
        <f ca="1">(AG167*DATOSAÑO!$Z$11)/DATOSAÑO!$Y$11</f>
        <v>-106.06375609368376</v>
      </c>
      <c r="AI167" s="9">
        <f ca="1">DATOSAÑO!BS166</f>
        <v>-2637.2</v>
      </c>
      <c r="AJ167" s="11">
        <f ca="1">(AI167*DATOSAÑO!$Z$11)/DATOSAÑO!$Y$11</f>
        <v>-47.518816071795996</v>
      </c>
      <c r="AK167" s="9">
        <f ca="1">DATOSAÑO!BV166</f>
        <v>-3345.1309999999999</v>
      </c>
      <c r="AL167" s="11">
        <f ca="1">(AK167*DATOSAÑO!$Z$11)/DATOSAÑO!$Y$11</f>
        <v>-60.274785653368355</v>
      </c>
      <c r="AM167" s="9">
        <f ca="1">DATOSAÑO!BY166</f>
        <v>0</v>
      </c>
      <c r="AN167" s="11">
        <f ca="1">(AM167*DATOSAÑO!$Z$11)/DATOSAÑO!$Y$11</f>
        <v>0</v>
      </c>
      <c r="AO167" s="9">
        <f ca="1">DATOSAÑO!CF166</f>
        <v>-23280.634499999978</v>
      </c>
      <c r="AP167" s="11">
        <f ca="1">(AO167*DATOSAÑO!$Z$11)/DATOSAÑO!$Y$11</f>
        <v>-419.48588989845575</v>
      </c>
      <c r="AQ167" s="9">
        <f ca="1">DATOSAÑO!CL166</f>
        <v>-4223.0032000000001</v>
      </c>
      <c r="AR167" s="1300">
        <f ca="1">(AQ167*DATOSAÑO!$Z$11)/DATOSAÑO!$Y$11</f>
        <v>-76.092868319204442</v>
      </c>
      <c r="AS167" s="1334">
        <f t="shared" si="8"/>
        <v>23</v>
      </c>
    </row>
    <row r="168" spans="1:45" ht="16.5" customHeight="1" thickBot="1">
      <c r="A168" s="1371">
        <v>45083</v>
      </c>
      <c r="B168" s="1021">
        <v>45083</v>
      </c>
      <c r="C168" s="9">
        <f ca="1">DATOSAÑO!I167</f>
        <v>0</v>
      </c>
      <c r="D168" s="10">
        <f ca="1">DATOSAÑO!$D167</f>
        <v>0</v>
      </c>
      <c r="E168" s="11">
        <f ca="1">DATOSAÑO!$G167</f>
        <v>0</v>
      </c>
      <c r="F168" s="9">
        <f ca="1">DATOSAÑO!P167</f>
        <v>0</v>
      </c>
      <c r="G168" s="10">
        <f ca="1">DATOSAÑO!K167</f>
        <v>0</v>
      </c>
      <c r="H168" s="11">
        <f ca="1">DATOSAÑO!N167</f>
        <v>0</v>
      </c>
      <c r="I168" s="9">
        <f ca="1">DATOSAÑO!Q167</f>
        <v>-1067.998</v>
      </c>
      <c r="J168" s="11">
        <f ca="1">DATOSAÑO!R167</f>
        <v>-128159.76000000001</v>
      </c>
      <c r="K168" s="9">
        <f ca="1">DATOSAÑO!T167</f>
        <v>0</v>
      </c>
      <c r="L168" s="11">
        <f t="shared" ca="1" si="6"/>
        <v>0</v>
      </c>
      <c r="M168" s="9"/>
      <c r="N168" s="11">
        <f t="shared" si="7"/>
        <v>0</v>
      </c>
      <c r="O168" s="9">
        <f>DATOSAÑO!CT167</f>
        <v>0</v>
      </c>
      <c r="P168" s="9">
        <f>DATOSAÑO!CU167</f>
        <v>0</v>
      </c>
      <c r="Q168" s="9">
        <f ca="1">DATOSAÑO!AD167</f>
        <v>0</v>
      </c>
      <c r="R168" s="11">
        <f ca="1">(Q168*DATOSAÑO!$Z$11)/DATOSAÑO!$Y$11</f>
        <v>0</v>
      </c>
      <c r="S168" s="9">
        <f ca="1">DATOSAÑO!AF167</f>
        <v>0</v>
      </c>
      <c r="T168" s="11">
        <f ca="1">(S168*DATOSAÑO!$Z$11)/DATOSAÑO!$Y$11</f>
        <v>0</v>
      </c>
      <c r="U168" s="9">
        <f ca="1">DATOSAÑO!AH167</f>
        <v>-14963.1</v>
      </c>
      <c r="V168" s="11">
        <f ca="1">(U168*DATOSAÑO!$Z$11)/DATOSAÑO!$Y$11</f>
        <v>-269.61504503408571</v>
      </c>
      <c r="W168" s="9">
        <f ca="1">DATOSAÑO!AI167</f>
        <v>-46196.1</v>
      </c>
      <c r="X168" s="11">
        <f ca="1">(W168*DATOSAÑO!$Z$11)/DATOSAÑO!$Y$11</f>
        <v>-832.39192292366715</v>
      </c>
      <c r="Y168" s="9">
        <f ca="1">DATOSAÑO!AJ167</f>
        <v>0</v>
      </c>
      <c r="Z168" s="11">
        <f ca="1">(Y168*DATOSAÑO!$Z$11)/DATOSAÑO!$Y$11</f>
        <v>0</v>
      </c>
      <c r="AA168" s="9">
        <f ca="1">DATOSAÑO!AK167</f>
        <v>0</v>
      </c>
      <c r="AB168" s="11">
        <f ca="1">(AA168*DATOSAÑO!$Z$11)/DATOSAÑO!$Y$11</f>
        <v>0</v>
      </c>
      <c r="AC168" s="9">
        <f ca="1">DATOSAÑO!AL167</f>
        <v>60091.201999999997</v>
      </c>
      <c r="AD168" s="11">
        <f ca="1">(AC168*DATOSAÑO!$Z$11)/DATOSAÑO!$Y$11</f>
        <v>1082.7630727177082</v>
      </c>
      <c r="AE168" s="9">
        <f ca="1">DATOSAÑO!AM167</f>
        <v>0</v>
      </c>
      <c r="AF168" s="11">
        <f ca="1">(AE168*DATOSAÑO!$Z$11)/DATOSAÑO!$Y$11</f>
        <v>0</v>
      </c>
      <c r="AG168" s="9">
        <f ca="1">DATOSAÑO!AN167</f>
        <v>0</v>
      </c>
      <c r="AH168" s="11">
        <f ca="1">(AG168*DATOSAÑO!$Z$11)/DATOSAÑO!$Y$11</f>
        <v>0</v>
      </c>
      <c r="AI168" s="9">
        <f ca="1">DATOSAÑO!BS167</f>
        <v>0</v>
      </c>
      <c r="AJ168" s="11">
        <f ca="1">(AI168*DATOSAÑO!$Z$11)/DATOSAÑO!$Y$11</f>
        <v>0</v>
      </c>
      <c r="AK168" s="9">
        <f ca="1">DATOSAÑO!BV167</f>
        <v>0</v>
      </c>
      <c r="AL168" s="11">
        <f ca="1">(AK168*DATOSAÑO!$Z$11)/DATOSAÑO!$Y$11</f>
        <v>0</v>
      </c>
      <c r="AM168" s="9">
        <f ca="1">DATOSAÑO!BY167</f>
        <v>0</v>
      </c>
      <c r="AN168" s="11">
        <f ca="1">(AM168*DATOSAÑO!$Z$11)/DATOSAÑO!$Y$11</f>
        <v>0</v>
      </c>
      <c r="AO168" s="9">
        <f ca="1">DATOSAÑO!CF167</f>
        <v>0</v>
      </c>
      <c r="AP168" s="11">
        <f ca="1">(AO168*DATOSAÑO!$Z$11)/DATOSAÑO!$Y$11</f>
        <v>0</v>
      </c>
      <c r="AQ168" s="9">
        <f ca="1">DATOSAÑO!CL167</f>
        <v>0</v>
      </c>
      <c r="AR168" s="1300">
        <f ca="1">(AQ168*DATOSAÑO!$Z$11)/DATOSAÑO!$Y$11</f>
        <v>0</v>
      </c>
      <c r="AS168" s="1334">
        <f t="shared" si="8"/>
        <v>23</v>
      </c>
    </row>
    <row r="169" spans="1:45" ht="15" thickBot="1">
      <c r="A169" s="1371">
        <v>45084</v>
      </c>
      <c r="B169" s="1021">
        <v>45084</v>
      </c>
      <c r="C169" s="9">
        <f ca="1">DATOSAÑO!I168</f>
        <v>0</v>
      </c>
      <c r="D169" s="10">
        <f ca="1">DATOSAÑO!$D168</f>
        <v>0</v>
      </c>
      <c r="E169" s="11">
        <f ca="1">DATOSAÑO!$G168</f>
        <v>0</v>
      </c>
      <c r="F169" s="9">
        <f ca="1">DATOSAÑO!P168</f>
        <v>0</v>
      </c>
      <c r="G169" s="10">
        <f ca="1">DATOSAÑO!K168</f>
        <v>0</v>
      </c>
      <c r="H169" s="11">
        <f ca="1">DATOSAÑO!N168</f>
        <v>0</v>
      </c>
      <c r="I169" s="9">
        <f ca="1">DATOSAÑO!Q168</f>
        <v>0</v>
      </c>
      <c r="J169" s="11">
        <f ca="1">DATOSAÑO!R168</f>
        <v>0</v>
      </c>
      <c r="K169" s="9">
        <f ca="1">DATOSAÑO!T168</f>
        <v>-822.90899999999999</v>
      </c>
      <c r="L169" s="11">
        <f t="shared" ca="1" si="6"/>
        <v>-98749.08</v>
      </c>
      <c r="M169" s="9"/>
      <c r="N169" s="11">
        <f t="shared" si="7"/>
        <v>0</v>
      </c>
      <c r="O169" s="9">
        <f>DATOSAÑO!CT168</f>
        <v>0</v>
      </c>
      <c r="P169" s="9">
        <f>DATOSAÑO!CU168</f>
        <v>0</v>
      </c>
      <c r="Q169" s="9">
        <f ca="1">DATOSAÑO!AD168</f>
        <v>0</v>
      </c>
      <c r="R169" s="11">
        <f ca="1">(Q169*DATOSAÑO!$Z$11)/DATOSAÑO!$Y$11</f>
        <v>0</v>
      </c>
      <c r="S169" s="9">
        <f ca="1">DATOSAÑO!AF168</f>
        <v>0</v>
      </c>
      <c r="T169" s="11">
        <f ca="1">(S169*DATOSAÑO!$Z$11)/DATOSAÑO!$Y$11</f>
        <v>0</v>
      </c>
      <c r="U169" s="9">
        <f ca="1">DATOSAÑO!AH168</f>
        <v>0</v>
      </c>
      <c r="V169" s="11">
        <f ca="1">(U169*DATOSAÑO!$Z$11)/DATOSAÑO!$Y$11</f>
        <v>0</v>
      </c>
      <c r="W169" s="9">
        <f ca="1">DATOSAÑO!AI168</f>
        <v>0</v>
      </c>
      <c r="X169" s="11">
        <f ca="1">(W169*DATOSAÑO!$Z$11)/DATOSAÑO!$Y$11</f>
        <v>0</v>
      </c>
      <c r="Y169" s="9">
        <f ca="1">DATOSAÑO!AJ168</f>
        <v>0</v>
      </c>
      <c r="Z169" s="11">
        <f ca="1">(Y169*DATOSAÑO!$Z$11)/DATOSAÑO!$Y$11</f>
        <v>0</v>
      </c>
      <c r="AA169" s="9">
        <f ca="1">DATOSAÑO!AK168</f>
        <v>0</v>
      </c>
      <c r="AB169" s="11">
        <f ca="1">(AA169*DATOSAÑO!$Z$11)/DATOSAÑO!$Y$11</f>
        <v>0</v>
      </c>
      <c r="AC169" s="9">
        <f ca="1">DATOSAÑO!AL168</f>
        <v>-822.90899999999999</v>
      </c>
      <c r="AD169" s="11">
        <f ca="1">(AC169*DATOSAÑO!$Z$11)/DATOSAÑO!$Y$11</f>
        <v>-14.82771932914666</v>
      </c>
      <c r="AE169" s="9">
        <f ca="1">DATOSAÑO!AM168</f>
        <v>3120.6680000000001</v>
      </c>
      <c r="AF169" s="11">
        <f ca="1">(AE169*DATOSAÑO!$Z$11)/DATOSAÑO!$Y$11</f>
        <v>56.230262669930035</v>
      </c>
      <c r="AG169" s="9">
        <f ca="1">DATOSAÑO!AN168</f>
        <v>0</v>
      </c>
      <c r="AH169" s="11">
        <f ca="1">(AG169*DATOSAÑO!$Z$11)/DATOSAÑO!$Y$11</f>
        <v>0</v>
      </c>
      <c r="AI169" s="9">
        <f ca="1">DATOSAÑO!BS168</f>
        <v>0</v>
      </c>
      <c r="AJ169" s="11">
        <f ca="1">(AI169*DATOSAÑO!$Z$11)/DATOSAÑO!$Y$11</f>
        <v>0</v>
      </c>
      <c r="AK169" s="9">
        <f ca="1">DATOSAÑO!BV168</f>
        <v>0</v>
      </c>
      <c r="AL169" s="11">
        <f ca="1">(AK169*DATOSAÑO!$Z$11)/DATOSAÑO!$Y$11</f>
        <v>0</v>
      </c>
      <c r="AM169" s="9">
        <f ca="1">DATOSAÑO!BY168</f>
        <v>-3120.6680000000001</v>
      </c>
      <c r="AN169" s="11">
        <f ca="1">(AM169*DATOSAÑO!$Z$11)/DATOSAÑO!$Y$11</f>
        <v>-56.230262669930035</v>
      </c>
      <c r="AO169" s="9">
        <f ca="1">DATOSAÑO!CF168</f>
        <v>1560.3340000000001</v>
      </c>
      <c r="AP169" s="11">
        <f ca="1">(AO169*DATOSAÑO!$Z$11)/DATOSAÑO!$Y$11</f>
        <v>28.115131334965017</v>
      </c>
      <c r="AQ169" s="9">
        <f ca="1">DATOSAÑO!CL168</f>
        <v>0</v>
      </c>
      <c r="AR169" s="1300">
        <f ca="1">(AQ169*DATOSAÑO!$Z$11)/DATOSAÑO!$Y$11</f>
        <v>0</v>
      </c>
      <c r="AS169" s="1334">
        <f t="shared" si="8"/>
        <v>23</v>
      </c>
    </row>
    <row r="170" spans="1:45" ht="16.5" customHeight="1" thickBot="1">
      <c r="A170" s="1371">
        <v>45085</v>
      </c>
      <c r="B170" s="1021">
        <v>45085</v>
      </c>
      <c r="C170" s="9">
        <f ca="1">DATOSAÑO!I169</f>
        <v>0</v>
      </c>
      <c r="D170" s="10">
        <f ca="1">DATOSAÑO!$D169</f>
        <v>0</v>
      </c>
      <c r="E170" s="11">
        <f ca="1">DATOSAÑO!$G169</f>
        <v>0</v>
      </c>
      <c r="F170" s="9">
        <f ca="1">DATOSAÑO!P169</f>
        <v>0</v>
      </c>
      <c r="G170" s="10">
        <f ca="1">DATOSAÑO!K169</f>
        <v>0</v>
      </c>
      <c r="H170" s="11">
        <f ca="1">DATOSAÑO!N169</f>
        <v>0</v>
      </c>
      <c r="I170" s="9">
        <f ca="1">DATOSAÑO!Q169</f>
        <v>0</v>
      </c>
      <c r="J170" s="11">
        <f ca="1">DATOSAÑO!R169</f>
        <v>0</v>
      </c>
      <c r="K170" s="9">
        <f ca="1">DATOSAÑO!T169</f>
        <v>0</v>
      </c>
      <c r="L170" s="11">
        <f t="shared" ca="1" si="6"/>
        <v>0</v>
      </c>
      <c r="M170" s="9"/>
      <c r="N170" s="11">
        <f t="shared" si="7"/>
        <v>0</v>
      </c>
      <c r="O170" s="9">
        <f>DATOSAÑO!CT169</f>
        <v>0</v>
      </c>
      <c r="P170" s="9">
        <f>DATOSAÑO!CU169</f>
        <v>0</v>
      </c>
      <c r="Q170" s="9">
        <f ca="1">DATOSAÑO!AD169</f>
        <v>0</v>
      </c>
      <c r="R170" s="11">
        <f ca="1">(Q170*DATOSAÑO!$Z$11)/DATOSAÑO!$Y$11</f>
        <v>0</v>
      </c>
      <c r="S170" s="9">
        <f ca="1">DATOSAÑO!AF169</f>
        <v>0</v>
      </c>
      <c r="T170" s="11">
        <f ca="1">(S170*DATOSAÑO!$Z$11)/DATOSAÑO!$Y$11</f>
        <v>0</v>
      </c>
      <c r="U170" s="9">
        <f ca="1">DATOSAÑO!AH169</f>
        <v>0</v>
      </c>
      <c r="V170" s="11">
        <f ca="1">(U170*DATOSAÑO!$Z$11)/DATOSAÑO!$Y$11</f>
        <v>0</v>
      </c>
      <c r="W170" s="9">
        <f ca="1">DATOSAÑO!AI169</f>
        <v>0</v>
      </c>
      <c r="X170" s="11">
        <f ca="1">(W170*DATOSAÑO!$Z$11)/DATOSAÑO!$Y$11</f>
        <v>0</v>
      </c>
      <c r="Y170" s="9">
        <f ca="1">DATOSAÑO!AJ169</f>
        <v>0</v>
      </c>
      <c r="Z170" s="11">
        <f ca="1">(Y170*DATOSAÑO!$Z$11)/DATOSAÑO!$Y$11</f>
        <v>0</v>
      </c>
      <c r="AA170" s="9">
        <f ca="1">DATOSAÑO!AK169</f>
        <v>0</v>
      </c>
      <c r="AB170" s="11">
        <f ca="1">(AA170*DATOSAÑO!$Z$11)/DATOSAÑO!$Y$11</f>
        <v>0</v>
      </c>
      <c r="AC170" s="9">
        <f ca="1">DATOSAÑO!AL169</f>
        <v>0</v>
      </c>
      <c r="AD170" s="11">
        <f ca="1">(AC170*DATOSAÑO!$Z$11)/DATOSAÑO!$Y$11</f>
        <v>0</v>
      </c>
      <c r="AE170" s="9">
        <f ca="1">DATOSAÑO!AM169</f>
        <v>0</v>
      </c>
      <c r="AF170" s="11">
        <f ca="1">(AE170*DATOSAÑO!$Z$11)/DATOSAÑO!$Y$11</f>
        <v>0</v>
      </c>
      <c r="AG170" s="9">
        <f ca="1">DATOSAÑO!AN169</f>
        <v>0</v>
      </c>
      <c r="AH170" s="11">
        <f ca="1">(AG170*DATOSAÑO!$Z$11)/DATOSAÑO!$Y$11</f>
        <v>0</v>
      </c>
      <c r="AI170" s="9">
        <f ca="1">DATOSAÑO!BS169</f>
        <v>0</v>
      </c>
      <c r="AJ170" s="11">
        <f ca="1">(AI170*DATOSAÑO!$Z$11)/DATOSAÑO!$Y$11</f>
        <v>0</v>
      </c>
      <c r="AK170" s="9">
        <f ca="1">DATOSAÑO!BV169</f>
        <v>0</v>
      </c>
      <c r="AL170" s="11">
        <f ca="1">(AK170*DATOSAÑO!$Z$11)/DATOSAÑO!$Y$11</f>
        <v>0</v>
      </c>
      <c r="AM170" s="9">
        <f ca="1">DATOSAÑO!BY169</f>
        <v>0</v>
      </c>
      <c r="AN170" s="11">
        <f ca="1">(AM170*DATOSAÑO!$Z$11)/DATOSAÑO!$Y$11</f>
        <v>0</v>
      </c>
      <c r="AO170" s="9">
        <f ca="1">DATOSAÑO!CF169</f>
        <v>0</v>
      </c>
      <c r="AP170" s="11">
        <f ca="1">(AO170*DATOSAÑO!$Z$11)/DATOSAÑO!$Y$11</f>
        <v>0</v>
      </c>
      <c r="AQ170" s="9">
        <f ca="1">DATOSAÑO!CL169</f>
        <v>0</v>
      </c>
      <c r="AR170" s="1300">
        <f ca="1">(AQ170*DATOSAÑO!$Z$11)/DATOSAÑO!$Y$11</f>
        <v>0</v>
      </c>
      <c r="AS170" s="1334">
        <f t="shared" si="8"/>
        <v>23</v>
      </c>
    </row>
    <row r="171" spans="1:45" ht="15" thickBot="1">
      <c r="A171" s="1371">
        <v>45086</v>
      </c>
      <c r="B171" s="1021">
        <v>45086</v>
      </c>
      <c r="C171" s="9">
        <f ca="1">DATOSAÑO!I170</f>
        <v>0</v>
      </c>
      <c r="D171" s="10">
        <f ca="1">DATOSAÑO!$D170</f>
        <v>0</v>
      </c>
      <c r="E171" s="11">
        <f ca="1">DATOSAÑO!$G170</f>
        <v>0</v>
      </c>
      <c r="F171" s="9">
        <f ca="1">DATOSAÑO!P170</f>
        <v>0</v>
      </c>
      <c r="G171" s="10">
        <f ca="1">DATOSAÑO!K170</f>
        <v>0</v>
      </c>
      <c r="H171" s="11">
        <f ca="1">DATOSAÑO!N170</f>
        <v>0</v>
      </c>
      <c r="I171" s="9">
        <f ca="1">DATOSAÑO!Q170</f>
        <v>0</v>
      </c>
      <c r="J171" s="11">
        <f ca="1">DATOSAÑO!R170</f>
        <v>0</v>
      </c>
      <c r="K171" s="9">
        <f ca="1">DATOSAÑO!T170</f>
        <v>0</v>
      </c>
      <c r="L171" s="11">
        <f t="shared" ca="1" si="6"/>
        <v>0</v>
      </c>
      <c r="M171" s="9"/>
      <c r="N171" s="11">
        <f t="shared" si="7"/>
        <v>0</v>
      </c>
      <c r="O171" s="9">
        <f>DATOSAÑO!CT170</f>
        <v>0</v>
      </c>
      <c r="P171" s="9">
        <f>DATOSAÑO!CU170</f>
        <v>0</v>
      </c>
      <c r="Q171" s="9">
        <f ca="1">DATOSAÑO!AD170</f>
        <v>0</v>
      </c>
      <c r="R171" s="11">
        <f ca="1">(Q171*DATOSAÑO!$Z$11)/DATOSAÑO!$Y$11</f>
        <v>0</v>
      </c>
      <c r="S171" s="9">
        <f ca="1">DATOSAÑO!AF170</f>
        <v>0</v>
      </c>
      <c r="T171" s="11">
        <f ca="1">(S171*DATOSAÑO!$Z$11)/DATOSAÑO!$Y$11</f>
        <v>0</v>
      </c>
      <c r="U171" s="9">
        <f ca="1">DATOSAÑO!AH170</f>
        <v>0</v>
      </c>
      <c r="V171" s="11">
        <f ca="1">(U171*DATOSAÑO!$Z$11)/DATOSAÑO!$Y$11</f>
        <v>0</v>
      </c>
      <c r="W171" s="9">
        <f ca="1">DATOSAÑO!AI170</f>
        <v>0</v>
      </c>
      <c r="X171" s="11">
        <f ca="1">(W171*DATOSAÑO!$Z$11)/DATOSAÑO!$Y$11</f>
        <v>0</v>
      </c>
      <c r="Y171" s="9">
        <f ca="1">DATOSAÑO!AJ170</f>
        <v>0</v>
      </c>
      <c r="Z171" s="11">
        <f ca="1">(Y171*DATOSAÑO!$Z$11)/DATOSAÑO!$Y$11</f>
        <v>0</v>
      </c>
      <c r="AA171" s="9">
        <f ca="1">DATOSAÑO!AK170</f>
        <v>0</v>
      </c>
      <c r="AB171" s="11">
        <f ca="1">(AA171*DATOSAÑO!$Z$11)/DATOSAÑO!$Y$11</f>
        <v>0</v>
      </c>
      <c r="AC171" s="9">
        <f ca="1">DATOSAÑO!AL170</f>
        <v>0</v>
      </c>
      <c r="AD171" s="11">
        <f ca="1">(AC171*DATOSAÑO!$Z$11)/DATOSAÑO!$Y$11</f>
        <v>0</v>
      </c>
      <c r="AE171" s="9">
        <f ca="1">DATOSAÑO!AM170</f>
        <v>0</v>
      </c>
      <c r="AF171" s="11">
        <f ca="1">(AE171*DATOSAÑO!$Z$11)/DATOSAÑO!$Y$11</f>
        <v>0</v>
      </c>
      <c r="AG171" s="9">
        <f ca="1">DATOSAÑO!AN170</f>
        <v>0</v>
      </c>
      <c r="AH171" s="11">
        <f ca="1">(AG171*DATOSAÑO!$Z$11)/DATOSAÑO!$Y$11</f>
        <v>0</v>
      </c>
      <c r="AI171" s="9">
        <f ca="1">DATOSAÑO!BS170</f>
        <v>0</v>
      </c>
      <c r="AJ171" s="11">
        <f ca="1">(AI171*DATOSAÑO!$Z$11)/DATOSAÑO!$Y$11</f>
        <v>0</v>
      </c>
      <c r="AK171" s="9">
        <f ca="1">DATOSAÑO!BV170</f>
        <v>0</v>
      </c>
      <c r="AL171" s="11">
        <f ca="1">(AK171*DATOSAÑO!$Z$11)/DATOSAÑO!$Y$11</f>
        <v>0</v>
      </c>
      <c r="AM171" s="9">
        <f ca="1">DATOSAÑO!BY170</f>
        <v>0</v>
      </c>
      <c r="AN171" s="11">
        <f ca="1">(AM171*DATOSAÑO!$Z$11)/DATOSAÑO!$Y$11</f>
        <v>0</v>
      </c>
      <c r="AO171" s="9">
        <f ca="1">DATOSAÑO!CF170</f>
        <v>0</v>
      </c>
      <c r="AP171" s="11">
        <f ca="1">(AO171*DATOSAÑO!$Z$11)/DATOSAÑO!$Y$11</f>
        <v>0</v>
      </c>
      <c r="AQ171" s="9">
        <f ca="1">DATOSAÑO!CL170</f>
        <v>0</v>
      </c>
      <c r="AR171" s="1300">
        <f ca="1">(AQ171*DATOSAÑO!$Z$11)/DATOSAÑO!$Y$11</f>
        <v>0</v>
      </c>
      <c r="AS171" s="1334">
        <f t="shared" si="8"/>
        <v>23</v>
      </c>
    </row>
    <row r="172" spans="1:45" ht="16.5" customHeight="1" thickBot="1">
      <c r="A172" s="1371">
        <v>45087</v>
      </c>
      <c r="B172" s="1021">
        <v>45087</v>
      </c>
      <c r="C172" s="9">
        <f ca="1">DATOSAÑO!I171</f>
        <v>0</v>
      </c>
      <c r="D172" s="10">
        <f ca="1">DATOSAÑO!$D171</f>
        <v>0</v>
      </c>
      <c r="E172" s="11">
        <f ca="1">DATOSAÑO!$G171</f>
        <v>0</v>
      </c>
      <c r="F172" s="9">
        <f ca="1">DATOSAÑO!P171</f>
        <v>0</v>
      </c>
      <c r="G172" s="10">
        <f ca="1">DATOSAÑO!K171</f>
        <v>0</v>
      </c>
      <c r="H172" s="11">
        <f ca="1">DATOSAÑO!N171</f>
        <v>0</v>
      </c>
      <c r="I172" s="9">
        <f ca="1">DATOSAÑO!Q171</f>
        <v>0</v>
      </c>
      <c r="J172" s="11">
        <f ca="1">DATOSAÑO!R171</f>
        <v>0</v>
      </c>
      <c r="K172" s="9">
        <f ca="1">DATOSAÑO!T171</f>
        <v>0</v>
      </c>
      <c r="L172" s="11">
        <f t="shared" ca="1" si="6"/>
        <v>0</v>
      </c>
      <c r="M172" s="9"/>
      <c r="N172" s="11">
        <f t="shared" si="7"/>
        <v>0</v>
      </c>
      <c r="O172" s="9">
        <f>DATOSAÑO!CT171</f>
        <v>0</v>
      </c>
      <c r="P172" s="9">
        <f>DATOSAÑO!CU171</f>
        <v>0</v>
      </c>
      <c r="Q172" s="9">
        <f ca="1">DATOSAÑO!AD171</f>
        <v>0</v>
      </c>
      <c r="R172" s="11">
        <f ca="1">(Q172*DATOSAÑO!$Z$11)/DATOSAÑO!$Y$11</f>
        <v>0</v>
      </c>
      <c r="S172" s="9">
        <f ca="1">DATOSAÑO!AF171</f>
        <v>0</v>
      </c>
      <c r="T172" s="11">
        <f ca="1">(S172*DATOSAÑO!$Z$11)/DATOSAÑO!$Y$11</f>
        <v>0</v>
      </c>
      <c r="U172" s="9">
        <f ca="1">DATOSAÑO!AH171</f>
        <v>0</v>
      </c>
      <c r="V172" s="11">
        <f ca="1">(U172*DATOSAÑO!$Z$11)/DATOSAÑO!$Y$11</f>
        <v>0</v>
      </c>
      <c r="W172" s="9">
        <f ca="1">DATOSAÑO!AI171</f>
        <v>0</v>
      </c>
      <c r="X172" s="11">
        <f ca="1">(W172*DATOSAÑO!$Z$11)/DATOSAÑO!$Y$11</f>
        <v>0</v>
      </c>
      <c r="Y172" s="9">
        <f ca="1">DATOSAÑO!AJ171</f>
        <v>0</v>
      </c>
      <c r="Z172" s="11">
        <f ca="1">(Y172*DATOSAÑO!$Z$11)/DATOSAÑO!$Y$11</f>
        <v>0</v>
      </c>
      <c r="AA172" s="9">
        <f ca="1">DATOSAÑO!AK171</f>
        <v>0</v>
      </c>
      <c r="AB172" s="11">
        <f ca="1">(AA172*DATOSAÑO!$Z$11)/DATOSAÑO!$Y$11</f>
        <v>0</v>
      </c>
      <c r="AC172" s="9">
        <f ca="1">DATOSAÑO!AL171</f>
        <v>0</v>
      </c>
      <c r="AD172" s="11">
        <f ca="1">(AC172*DATOSAÑO!$Z$11)/DATOSAÑO!$Y$11</f>
        <v>0</v>
      </c>
      <c r="AE172" s="9">
        <f ca="1">DATOSAÑO!AM171</f>
        <v>0</v>
      </c>
      <c r="AF172" s="11">
        <f ca="1">(AE172*DATOSAÑO!$Z$11)/DATOSAÑO!$Y$11</f>
        <v>0</v>
      </c>
      <c r="AG172" s="9">
        <f ca="1">DATOSAÑO!AN171</f>
        <v>0</v>
      </c>
      <c r="AH172" s="11">
        <f ca="1">(AG172*DATOSAÑO!$Z$11)/DATOSAÑO!$Y$11</f>
        <v>0</v>
      </c>
      <c r="AI172" s="9">
        <f ca="1">DATOSAÑO!BS171</f>
        <v>0</v>
      </c>
      <c r="AJ172" s="11">
        <f ca="1">(AI172*DATOSAÑO!$Z$11)/DATOSAÑO!$Y$11</f>
        <v>0</v>
      </c>
      <c r="AK172" s="9">
        <f ca="1">DATOSAÑO!BV171</f>
        <v>0</v>
      </c>
      <c r="AL172" s="11">
        <f ca="1">(AK172*DATOSAÑO!$Z$11)/DATOSAÑO!$Y$11</f>
        <v>0</v>
      </c>
      <c r="AM172" s="9">
        <f ca="1">DATOSAÑO!BY171</f>
        <v>0</v>
      </c>
      <c r="AN172" s="11">
        <f ca="1">(AM172*DATOSAÑO!$Z$11)/DATOSAÑO!$Y$11</f>
        <v>0</v>
      </c>
      <c r="AO172" s="9">
        <f ca="1">DATOSAÑO!CF171</f>
        <v>0</v>
      </c>
      <c r="AP172" s="11">
        <f ca="1">(AO172*DATOSAÑO!$Z$11)/DATOSAÑO!$Y$11</f>
        <v>0</v>
      </c>
      <c r="AQ172" s="9">
        <f ca="1">DATOSAÑO!CL171</f>
        <v>0</v>
      </c>
      <c r="AR172" s="1300">
        <f ca="1">(AQ172*DATOSAÑO!$Z$11)/DATOSAÑO!$Y$11</f>
        <v>0</v>
      </c>
      <c r="AS172" s="1334">
        <f t="shared" si="8"/>
        <v>23</v>
      </c>
    </row>
    <row r="173" spans="1:45" ht="15" thickBot="1">
      <c r="A173" s="1371">
        <v>45088</v>
      </c>
      <c r="B173" s="1021">
        <v>45088</v>
      </c>
      <c r="C173" s="9">
        <f ca="1">DATOSAÑO!I172</f>
        <v>0</v>
      </c>
      <c r="D173" s="10">
        <f ca="1">DATOSAÑO!$D172</f>
        <v>0</v>
      </c>
      <c r="E173" s="11">
        <f ca="1">DATOSAÑO!$G172</f>
        <v>0</v>
      </c>
      <c r="F173" s="9">
        <f ca="1">DATOSAÑO!P172</f>
        <v>0</v>
      </c>
      <c r="G173" s="10">
        <f ca="1">DATOSAÑO!K172</f>
        <v>0</v>
      </c>
      <c r="H173" s="11">
        <f ca="1">DATOSAÑO!N172</f>
        <v>0</v>
      </c>
      <c r="I173" s="9">
        <f ca="1">DATOSAÑO!Q172</f>
        <v>0</v>
      </c>
      <c r="J173" s="11">
        <f ca="1">DATOSAÑO!R172</f>
        <v>0</v>
      </c>
      <c r="K173" s="9">
        <f ca="1">DATOSAÑO!T172</f>
        <v>0</v>
      </c>
      <c r="L173" s="11">
        <f t="shared" ca="1" si="6"/>
        <v>0</v>
      </c>
      <c r="M173" s="9"/>
      <c r="N173" s="11">
        <f t="shared" si="7"/>
        <v>0</v>
      </c>
      <c r="O173" s="9">
        <f>DATOSAÑO!CT172</f>
        <v>0</v>
      </c>
      <c r="P173" s="9">
        <f>DATOSAÑO!CU172</f>
        <v>0</v>
      </c>
      <c r="Q173" s="9">
        <f ca="1">DATOSAÑO!AD172</f>
        <v>0</v>
      </c>
      <c r="R173" s="11">
        <f ca="1">(Q173*DATOSAÑO!$Z$11)/DATOSAÑO!$Y$11</f>
        <v>0</v>
      </c>
      <c r="S173" s="9">
        <f ca="1">DATOSAÑO!AF172</f>
        <v>0</v>
      </c>
      <c r="T173" s="11">
        <f ca="1">(S173*DATOSAÑO!$Z$11)/DATOSAÑO!$Y$11</f>
        <v>0</v>
      </c>
      <c r="U173" s="9">
        <f ca="1">DATOSAÑO!AH172</f>
        <v>0</v>
      </c>
      <c r="V173" s="11">
        <f ca="1">(U173*DATOSAÑO!$Z$11)/DATOSAÑO!$Y$11</f>
        <v>0</v>
      </c>
      <c r="W173" s="9">
        <f ca="1">DATOSAÑO!AI172</f>
        <v>0</v>
      </c>
      <c r="X173" s="11">
        <f ca="1">(W173*DATOSAÑO!$Z$11)/DATOSAÑO!$Y$11</f>
        <v>0</v>
      </c>
      <c r="Y173" s="9">
        <f ca="1">DATOSAÑO!AJ172</f>
        <v>0</v>
      </c>
      <c r="Z173" s="11">
        <f ca="1">(Y173*DATOSAÑO!$Z$11)/DATOSAÑO!$Y$11</f>
        <v>0</v>
      </c>
      <c r="AA173" s="9">
        <f ca="1">DATOSAÑO!AK172</f>
        <v>0</v>
      </c>
      <c r="AB173" s="11">
        <f ca="1">(AA173*DATOSAÑO!$Z$11)/DATOSAÑO!$Y$11</f>
        <v>0</v>
      </c>
      <c r="AC173" s="9">
        <f ca="1">DATOSAÑO!AL172</f>
        <v>0</v>
      </c>
      <c r="AD173" s="11">
        <f ca="1">(AC173*DATOSAÑO!$Z$11)/DATOSAÑO!$Y$11</f>
        <v>0</v>
      </c>
      <c r="AE173" s="9">
        <f ca="1">DATOSAÑO!AM172</f>
        <v>0</v>
      </c>
      <c r="AF173" s="11">
        <f ca="1">(AE173*DATOSAÑO!$Z$11)/DATOSAÑO!$Y$11</f>
        <v>0</v>
      </c>
      <c r="AG173" s="9">
        <f ca="1">DATOSAÑO!AN172</f>
        <v>0</v>
      </c>
      <c r="AH173" s="11">
        <f ca="1">(AG173*DATOSAÑO!$Z$11)/DATOSAÑO!$Y$11</f>
        <v>0</v>
      </c>
      <c r="AI173" s="9">
        <f ca="1">DATOSAÑO!BS172</f>
        <v>0</v>
      </c>
      <c r="AJ173" s="11">
        <f ca="1">(AI173*DATOSAÑO!$Z$11)/DATOSAÑO!$Y$11</f>
        <v>0</v>
      </c>
      <c r="AK173" s="9">
        <f ca="1">DATOSAÑO!BV172</f>
        <v>0</v>
      </c>
      <c r="AL173" s="11">
        <f ca="1">(AK173*DATOSAÑO!$Z$11)/DATOSAÑO!$Y$11</f>
        <v>0</v>
      </c>
      <c r="AM173" s="9">
        <f ca="1">DATOSAÑO!BY172</f>
        <v>0</v>
      </c>
      <c r="AN173" s="11">
        <f ca="1">(AM173*DATOSAÑO!$Z$11)/DATOSAÑO!$Y$11</f>
        <v>0</v>
      </c>
      <c r="AO173" s="9">
        <f ca="1">DATOSAÑO!CF172</f>
        <v>0</v>
      </c>
      <c r="AP173" s="11">
        <f ca="1">(AO173*DATOSAÑO!$Z$11)/DATOSAÑO!$Y$11</f>
        <v>0</v>
      </c>
      <c r="AQ173" s="9">
        <f ca="1">DATOSAÑO!CL172</f>
        <v>0</v>
      </c>
      <c r="AR173" s="1300">
        <f ca="1">(AQ173*DATOSAÑO!$Z$11)/DATOSAÑO!$Y$11</f>
        <v>0</v>
      </c>
      <c r="AS173" s="1334">
        <f t="shared" si="8"/>
        <v>24</v>
      </c>
    </row>
    <row r="174" spans="1:45" ht="16.5" customHeight="1" thickBot="1">
      <c r="A174" s="1371">
        <v>45089</v>
      </c>
      <c r="B174" s="1021">
        <v>45089</v>
      </c>
      <c r="C174" s="9">
        <f ca="1">DATOSAÑO!I173</f>
        <v>0</v>
      </c>
      <c r="D174" s="10">
        <f ca="1">DATOSAÑO!$D173</f>
        <v>0</v>
      </c>
      <c r="E174" s="11">
        <f ca="1">DATOSAÑO!$G173</f>
        <v>0</v>
      </c>
      <c r="F174" s="9">
        <f ca="1">DATOSAÑO!P173</f>
        <v>0</v>
      </c>
      <c r="G174" s="10">
        <f ca="1">DATOSAÑO!K173</f>
        <v>0</v>
      </c>
      <c r="H174" s="11">
        <f ca="1">DATOSAÑO!N173</f>
        <v>0</v>
      </c>
      <c r="I174" s="9">
        <f ca="1">DATOSAÑO!Q173</f>
        <v>0</v>
      </c>
      <c r="J174" s="11">
        <f ca="1">DATOSAÑO!R173</f>
        <v>0</v>
      </c>
      <c r="K174" s="9">
        <f ca="1">DATOSAÑO!T173</f>
        <v>0</v>
      </c>
      <c r="L174" s="11">
        <f t="shared" ca="1" si="6"/>
        <v>0</v>
      </c>
      <c r="M174" s="9"/>
      <c r="N174" s="11">
        <f t="shared" si="7"/>
        <v>0</v>
      </c>
      <c r="O174" s="9">
        <f>DATOSAÑO!CT173</f>
        <v>0</v>
      </c>
      <c r="P174" s="9">
        <f>DATOSAÑO!CU173</f>
        <v>0</v>
      </c>
      <c r="Q174" s="9">
        <f ca="1">DATOSAÑO!AD173</f>
        <v>0</v>
      </c>
      <c r="R174" s="11">
        <f ca="1">(Q174*DATOSAÑO!$Z$11)/DATOSAÑO!$Y$11</f>
        <v>0</v>
      </c>
      <c r="S174" s="9">
        <f ca="1">DATOSAÑO!AF173</f>
        <v>0</v>
      </c>
      <c r="T174" s="11">
        <f ca="1">(S174*DATOSAÑO!$Z$11)/DATOSAÑO!$Y$11</f>
        <v>0</v>
      </c>
      <c r="U174" s="9">
        <f ca="1">DATOSAÑO!AH173</f>
        <v>0</v>
      </c>
      <c r="V174" s="11">
        <f ca="1">(U174*DATOSAÑO!$Z$11)/DATOSAÑO!$Y$11</f>
        <v>0</v>
      </c>
      <c r="W174" s="9">
        <f ca="1">DATOSAÑO!AI173</f>
        <v>0</v>
      </c>
      <c r="X174" s="11">
        <f ca="1">(W174*DATOSAÑO!$Z$11)/DATOSAÑO!$Y$11</f>
        <v>0</v>
      </c>
      <c r="Y174" s="9">
        <f ca="1">DATOSAÑO!AJ173</f>
        <v>0</v>
      </c>
      <c r="Z174" s="11">
        <f ca="1">(Y174*DATOSAÑO!$Z$11)/DATOSAÑO!$Y$11</f>
        <v>0</v>
      </c>
      <c r="AA174" s="9">
        <f ca="1">DATOSAÑO!AK173</f>
        <v>0</v>
      </c>
      <c r="AB174" s="11">
        <f ca="1">(AA174*DATOSAÑO!$Z$11)/DATOSAÑO!$Y$11</f>
        <v>0</v>
      </c>
      <c r="AC174" s="9">
        <f ca="1">DATOSAÑO!AL173</f>
        <v>0</v>
      </c>
      <c r="AD174" s="11">
        <f ca="1">(AC174*DATOSAÑO!$Z$11)/DATOSAÑO!$Y$11</f>
        <v>0</v>
      </c>
      <c r="AE174" s="9">
        <f ca="1">DATOSAÑO!AM173</f>
        <v>0</v>
      </c>
      <c r="AF174" s="11">
        <f ca="1">(AE174*DATOSAÑO!$Z$11)/DATOSAÑO!$Y$11</f>
        <v>0</v>
      </c>
      <c r="AG174" s="9">
        <f ca="1">DATOSAÑO!AN173</f>
        <v>0</v>
      </c>
      <c r="AH174" s="11">
        <f ca="1">(AG174*DATOSAÑO!$Z$11)/DATOSAÑO!$Y$11</f>
        <v>0</v>
      </c>
      <c r="AI174" s="9">
        <f ca="1">DATOSAÑO!BS173</f>
        <v>0</v>
      </c>
      <c r="AJ174" s="11">
        <f ca="1">(AI174*DATOSAÑO!$Z$11)/DATOSAÑO!$Y$11</f>
        <v>0</v>
      </c>
      <c r="AK174" s="9">
        <f ca="1">DATOSAÑO!BV173</f>
        <v>0</v>
      </c>
      <c r="AL174" s="11">
        <f ca="1">(AK174*DATOSAÑO!$Z$11)/DATOSAÑO!$Y$11</f>
        <v>0</v>
      </c>
      <c r="AM174" s="9">
        <f ca="1">DATOSAÑO!BY173</f>
        <v>0</v>
      </c>
      <c r="AN174" s="11">
        <f ca="1">(AM174*DATOSAÑO!$Z$11)/DATOSAÑO!$Y$11</f>
        <v>0</v>
      </c>
      <c r="AO174" s="9">
        <f ca="1">DATOSAÑO!CF173</f>
        <v>0</v>
      </c>
      <c r="AP174" s="11">
        <f ca="1">(AO174*DATOSAÑO!$Z$11)/DATOSAÑO!$Y$11</f>
        <v>0</v>
      </c>
      <c r="AQ174" s="9">
        <f ca="1">DATOSAÑO!CL173</f>
        <v>0</v>
      </c>
      <c r="AR174" s="1300">
        <f ca="1">(AQ174*DATOSAÑO!$Z$11)/DATOSAÑO!$Y$11</f>
        <v>0</v>
      </c>
      <c r="AS174" s="1334">
        <f t="shared" si="8"/>
        <v>24</v>
      </c>
    </row>
    <row r="175" spans="1:45" ht="15" thickBot="1">
      <c r="A175" s="1371">
        <v>45090</v>
      </c>
      <c r="B175" s="1021">
        <v>45090</v>
      </c>
      <c r="C175" s="9">
        <f ca="1">DATOSAÑO!I174</f>
        <v>0</v>
      </c>
      <c r="D175" s="10">
        <f ca="1">DATOSAÑO!$D174</f>
        <v>0</v>
      </c>
      <c r="E175" s="11">
        <f ca="1">DATOSAÑO!$G174</f>
        <v>0</v>
      </c>
      <c r="F175" s="9">
        <f ca="1">DATOSAÑO!P174</f>
        <v>0</v>
      </c>
      <c r="G175" s="10">
        <f ca="1">DATOSAÑO!K174</f>
        <v>0</v>
      </c>
      <c r="H175" s="11">
        <f ca="1">DATOSAÑO!N174</f>
        <v>0</v>
      </c>
      <c r="I175" s="9">
        <f ca="1">DATOSAÑO!Q174</f>
        <v>0</v>
      </c>
      <c r="J175" s="11">
        <f ca="1">DATOSAÑO!R174</f>
        <v>0</v>
      </c>
      <c r="K175" s="9">
        <f ca="1">DATOSAÑO!T174</f>
        <v>0</v>
      </c>
      <c r="L175" s="11">
        <f t="shared" ca="1" si="6"/>
        <v>0</v>
      </c>
      <c r="M175" s="9"/>
      <c r="N175" s="11">
        <f t="shared" si="7"/>
        <v>0</v>
      </c>
      <c r="O175" s="9">
        <f>DATOSAÑO!CT174</f>
        <v>0</v>
      </c>
      <c r="P175" s="9">
        <f>DATOSAÑO!CU174</f>
        <v>0</v>
      </c>
      <c r="Q175" s="9">
        <f ca="1">DATOSAÑO!AD174</f>
        <v>0</v>
      </c>
      <c r="R175" s="11">
        <f ca="1">(Q175*DATOSAÑO!$Z$11)/DATOSAÑO!$Y$11</f>
        <v>0</v>
      </c>
      <c r="S175" s="9">
        <f ca="1">DATOSAÑO!AF174</f>
        <v>0</v>
      </c>
      <c r="T175" s="11">
        <f ca="1">(S175*DATOSAÑO!$Z$11)/DATOSAÑO!$Y$11</f>
        <v>0</v>
      </c>
      <c r="U175" s="9">
        <f ca="1">DATOSAÑO!AH174</f>
        <v>0</v>
      </c>
      <c r="V175" s="11">
        <f ca="1">(U175*DATOSAÑO!$Z$11)/DATOSAÑO!$Y$11</f>
        <v>0</v>
      </c>
      <c r="W175" s="9">
        <f ca="1">DATOSAÑO!AI174</f>
        <v>0</v>
      </c>
      <c r="X175" s="11">
        <f ca="1">(W175*DATOSAÑO!$Z$11)/DATOSAÑO!$Y$11</f>
        <v>0</v>
      </c>
      <c r="Y175" s="9">
        <f ca="1">DATOSAÑO!AJ174</f>
        <v>0</v>
      </c>
      <c r="Z175" s="11">
        <f ca="1">(Y175*DATOSAÑO!$Z$11)/DATOSAÑO!$Y$11</f>
        <v>0</v>
      </c>
      <c r="AA175" s="9">
        <f ca="1">DATOSAÑO!AK174</f>
        <v>0</v>
      </c>
      <c r="AB175" s="11">
        <f ca="1">(AA175*DATOSAÑO!$Z$11)/DATOSAÑO!$Y$11</f>
        <v>0</v>
      </c>
      <c r="AC175" s="9">
        <f ca="1">DATOSAÑO!AL174</f>
        <v>0</v>
      </c>
      <c r="AD175" s="11">
        <f ca="1">(AC175*DATOSAÑO!$Z$11)/DATOSAÑO!$Y$11</f>
        <v>0</v>
      </c>
      <c r="AE175" s="9">
        <f ca="1">DATOSAÑO!AM174</f>
        <v>0</v>
      </c>
      <c r="AF175" s="11">
        <f ca="1">(AE175*DATOSAÑO!$Z$11)/DATOSAÑO!$Y$11</f>
        <v>0</v>
      </c>
      <c r="AG175" s="9">
        <f ca="1">DATOSAÑO!AN174</f>
        <v>0</v>
      </c>
      <c r="AH175" s="11">
        <f ca="1">(AG175*DATOSAÑO!$Z$11)/DATOSAÑO!$Y$11</f>
        <v>0</v>
      </c>
      <c r="AI175" s="9">
        <f ca="1">DATOSAÑO!BS174</f>
        <v>0</v>
      </c>
      <c r="AJ175" s="11">
        <f ca="1">(AI175*DATOSAÑO!$Z$11)/DATOSAÑO!$Y$11</f>
        <v>0</v>
      </c>
      <c r="AK175" s="9">
        <f ca="1">DATOSAÑO!BV174</f>
        <v>0</v>
      </c>
      <c r="AL175" s="11">
        <f ca="1">(AK175*DATOSAÑO!$Z$11)/DATOSAÑO!$Y$11</f>
        <v>0</v>
      </c>
      <c r="AM175" s="9">
        <f ca="1">DATOSAÑO!BY174</f>
        <v>0</v>
      </c>
      <c r="AN175" s="11">
        <f ca="1">(AM175*DATOSAÑO!$Z$11)/DATOSAÑO!$Y$11</f>
        <v>0</v>
      </c>
      <c r="AO175" s="9">
        <f ca="1">DATOSAÑO!CF174</f>
        <v>0</v>
      </c>
      <c r="AP175" s="11">
        <f ca="1">(AO175*DATOSAÑO!$Z$11)/DATOSAÑO!$Y$11</f>
        <v>0</v>
      </c>
      <c r="AQ175" s="9">
        <f ca="1">DATOSAÑO!CL174</f>
        <v>0</v>
      </c>
      <c r="AR175" s="1300">
        <f ca="1">(AQ175*DATOSAÑO!$Z$11)/DATOSAÑO!$Y$11</f>
        <v>0</v>
      </c>
      <c r="AS175" s="1334">
        <f t="shared" si="8"/>
        <v>24</v>
      </c>
    </row>
    <row r="176" spans="1:45" ht="16.5" customHeight="1" thickBot="1">
      <c r="A176" s="1371">
        <v>45091</v>
      </c>
      <c r="B176" s="1021">
        <v>45091</v>
      </c>
      <c r="C176" s="9">
        <f ca="1">DATOSAÑO!I175</f>
        <v>0</v>
      </c>
      <c r="D176" s="10">
        <f ca="1">DATOSAÑO!$D175</f>
        <v>0</v>
      </c>
      <c r="E176" s="11">
        <f ca="1">DATOSAÑO!$G175</f>
        <v>0</v>
      </c>
      <c r="F176" s="9">
        <f ca="1">DATOSAÑO!P175</f>
        <v>0</v>
      </c>
      <c r="G176" s="10">
        <f ca="1">DATOSAÑO!K175</f>
        <v>0</v>
      </c>
      <c r="H176" s="11">
        <f ca="1">DATOSAÑO!N175</f>
        <v>0</v>
      </c>
      <c r="I176" s="9">
        <f ca="1">DATOSAÑO!Q175</f>
        <v>0</v>
      </c>
      <c r="J176" s="11">
        <f ca="1">DATOSAÑO!R175</f>
        <v>0</v>
      </c>
      <c r="K176" s="9">
        <f ca="1">DATOSAÑO!T175</f>
        <v>0</v>
      </c>
      <c r="L176" s="11">
        <f t="shared" ca="1" si="6"/>
        <v>0</v>
      </c>
      <c r="M176" s="9"/>
      <c r="N176" s="11">
        <f t="shared" si="7"/>
        <v>0</v>
      </c>
      <c r="O176" s="9">
        <f>DATOSAÑO!CT175</f>
        <v>0</v>
      </c>
      <c r="P176" s="9">
        <f>DATOSAÑO!CU175</f>
        <v>0</v>
      </c>
      <c r="Q176" s="9">
        <f ca="1">DATOSAÑO!AD175</f>
        <v>0</v>
      </c>
      <c r="R176" s="11">
        <f ca="1">(Q176*DATOSAÑO!$Z$11)/DATOSAÑO!$Y$11</f>
        <v>0</v>
      </c>
      <c r="S176" s="9">
        <f ca="1">DATOSAÑO!AF175</f>
        <v>0</v>
      </c>
      <c r="T176" s="11">
        <f ca="1">(S176*DATOSAÑO!$Z$11)/DATOSAÑO!$Y$11</f>
        <v>0</v>
      </c>
      <c r="U176" s="9">
        <f ca="1">DATOSAÑO!AH175</f>
        <v>0</v>
      </c>
      <c r="V176" s="11">
        <f ca="1">(U176*DATOSAÑO!$Z$11)/DATOSAÑO!$Y$11</f>
        <v>0</v>
      </c>
      <c r="W176" s="9">
        <f ca="1">DATOSAÑO!AI175</f>
        <v>0</v>
      </c>
      <c r="X176" s="11">
        <f ca="1">(W176*DATOSAÑO!$Z$11)/DATOSAÑO!$Y$11</f>
        <v>0</v>
      </c>
      <c r="Y176" s="9">
        <f ca="1">DATOSAÑO!AJ175</f>
        <v>0</v>
      </c>
      <c r="Z176" s="11">
        <f ca="1">(Y176*DATOSAÑO!$Z$11)/DATOSAÑO!$Y$11</f>
        <v>0</v>
      </c>
      <c r="AA176" s="9">
        <f ca="1">DATOSAÑO!AK175</f>
        <v>0</v>
      </c>
      <c r="AB176" s="11">
        <f ca="1">(AA176*DATOSAÑO!$Z$11)/DATOSAÑO!$Y$11</f>
        <v>0</v>
      </c>
      <c r="AC176" s="9">
        <f ca="1">DATOSAÑO!AL175</f>
        <v>0</v>
      </c>
      <c r="AD176" s="11">
        <f ca="1">(AC176*DATOSAÑO!$Z$11)/DATOSAÑO!$Y$11</f>
        <v>0</v>
      </c>
      <c r="AE176" s="9">
        <f ca="1">DATOSAÑO!AM175</f>
        <v>0</v>
      </c>
      <c r="AF176" s="11">
        <f ca="1">(AE176*DATOSAÑO!$Z$11)/DATOSAÑO!$Y$11</f>
        <v>0</v>
      </c>
      <c r="AG176" s="9">
        <f ca="1">DATOSAÑO!AN175</f>
        <v>0</v>
      </c>
      <c r="AH176" s="11">
        <f ca="1">(AG176*DATOSAÑO!$Z$11)/DATOSAÑO!$Y$11</f>
        <v>0</v>
      </c>
      <c r="AI176" s="9">
        <f ca="1">DATOSAÑO!BS175</f>
        <v>0</v>
      </c>
      <c r="AJ176" s="11">
        <f ca="1">(AI176*DATOSAÑO!$Z$11)/DATOSAÑO!$Y$11</f>
        <v>0</v>
      </c>
      <c r="AK176" s="9">
        <f ca="1">DATOSAÑO!BV175</f>
        <v>0</v>
      </c>
      <c r="AL176" s="11">
        <f ca="1">(AK176*DATOSAÑO!$Z$11)/DATOSAÑO!$Y$11</f>
        <v>0</v>
      </c>
      <c r="AM176" s="9">
        <f ca="1">DATOSAÑO!BY175</f>
        <v>0</v>
      </c>
      <c r="AN176" s="11">
        <f ca="1">(AM176*DATOSAÑO!$Z$11)/DATOSAÑO!$Y$11</f>
        <v>0</v>
      </c>
      <c r="AO176" s="9">
        <f ca="1">DATOSAÑO!CF175</f>
        <v>0</v>
      </c>
      <c r="AP176" s="11">
        <f ca="1">(AO176*DATOSAÑO!$Z$11)/DATOSAÑO!$Y$11</f>
        <v>0</v>
      </c>
      <c r="AQ176" s="9">
        <f ca="1">DATOSAÑO!CL175</f>
        <v>0</v>
      </c>
      <c r="AR176" s="1300">
        <f ca="1">(AQ176*DATOSAÑO!$Z$11)/DATOSAÑO!$Y$11</f>
        <v>0</v>
      </c>
      <c r="AS176" s="1334">
        <f t="shared" si="8"/>
        <v>24</v>
      </c>
    </row>
    <row r="177" spans="1:45" ht="15" thickBot="1">
      <c r="A177" s="1371">
        <v>45092</v>
      </c>
      <c r="B177" s="1021">
        <v>45092</v>
      </c>
      <c r="C177" s="9">
        <f ca="1">DATOSAÑO!I176</f>
        <v>0</v>
      </c>
      <c r="D177" s="10">
        <f ca="1">DATOSAÑO!$D176</f>
        <v>0</v>
      </c>
      <c r="E177" s="11">
        <f ca="1">DATOSAÑO!$G176</f>
        <v>0</v>
      </c>
      <c r="F177" s="9">
        <f ca="1">DATOSAÑO!P176</f>
        <v>0</v>
      </c>
      <c r="G177" s="10">
        <f ca="1">DATOSAÑO!K176</f>
        <v>0</v>
      </c>
      <c r="H177" s="11">
        <f ca="1">DATOSAÑO!N176</f>
        <v>0</v>
      </c>
      <c r="I177" s="9">
        <f ca="1">DATOSAÑO!Q176</f>
        <v>0</v>
      </c>
      <c r="J177" s="11">
        <f ca="1">DATOSAÑO!R176</f>
        <v>0</v>
      </c>
      <c r="K177" s="9">
        <f ca="1">DATOSAÑO!T176</f>
        <v>0</v>
      </c>
      <c r="L177" s="11">
        <f t="shared" ca="1" si="6"/>
        <v>0</v>
      </c>
      <c r="M177" s="9"/>
      <c r="N177" s="11">
        <f t="shared" si="7"/>
        <v>0</v>
      </c>
      <c r="O177" s="9">
        <f>DATOSAÑO!CT176</f>
        <v>0</v>
      </c>
      <c r="P177" s="9">
        <f>DATOSAÑO!CU176</f>
        <v>0</v>
      </c>
      <c r="Q177" s="9">
        <f ca="1">DATOSAÑO!AD176</f>
        <v>0</v>
      </c>
      <c r="R177" s="11">
        <f ca="1">(Q177*DATOSAÑO!$Z$11)/DATOSAÑO!$Y$11</f>
        <v>0</v>
      </c>
      <c r="S177" s="9">
        <f ca="1">DATOSAÑO!AF176</f>
        <v>0</v>
      </c>
      <c r="T177" s="11">
        <f ca="1">(S177*DATOSAÑO!$Z$11)/DATOSAÑO!$Y$11</f>
        <v>0</v>
      </c>
      <c r="U177" s="9">
        <f ca="1">DATOSAÑO!AH176</f>
        <v>0</v>
      </c>
      <c r="V177" s="11">
        <f ca="1">(U177*DATOSAÑO!$Z$11)/DATOSAÑO!$Y$11</f>
        <v>0</v>
      </c>
      <c r="W177" s="9">
        <f ca="1">DATOSAÑO!AI176</f>
        <v>0</v>
      </c>
      <c r="X177" s="11">
        <f ca="1">(W177*DATOSAÑO!$Z$11)/DATOSAÑO!$Y$11</f>
        <v>0</v>
      </c>
      <c r="Y177" s="9">
        <f ca="1">DATOSAÑO!AJ176</f>
        <v>0</v>
      </c>
      <c r="Z177" s="11">
        <f ca="1">(Y177*DATOSAÑO!$Z$11)/DATOSAÑO!$Y$11</f>
        <v>0</v>
      </c>
      <c r="AA177" s="9">
        <f ca="1">DATOSAÑO!AK176</f>
        <v>0</v>
      </c>
      <c r="AB177" s="11">
        <f ca="1">(AA177*DATOSAÑO!$Z$11)/DATOSAÑO!$Y$11</f>
        <v>0</v>
      </c>
      <c r="AC177" s="9">
        <f ca="1">DATOSAÑO!AL176</f>
        <v>0</v>
      </c>
      <c r="AD177" s="11">
        <f ca="1">(AC177*DATOSAÑO!$Z$11)/DATOSAÑO!$Y$11</f>
        <v>0</v>
      </c>
      <c r="AE177" s="9">
        <f ca="1">DATOSAÑO!AM176</f>
        <v>0</v>
      </c>
      <c r="AF177" s="11">
        <f ca="1">(AE177*DATOSAÑO!$Z$11)/DATOSAÑO!$Y$11</f>
        <v>0</v>
      </c>
      <c r="AG177" s="9">
        <f ca="1">DATOSAÑO!AN176</f>
        <v>0</v>
      </c>
      <c r="AH177" s="11">
        <f ca="1">(AG177*DATOSAÑO!$Z$11)/DATOSAÑO!$Y$11</f>
        <v>0</v>
      </c>
      <c r="AI177" s="9">
        <f ca="1">DATOSAÑO!BS176</f>
        <v>0</v>
      </c>
      <c r="AJ177" s="11">
        <f ca="1">(AI177*DATOSAÑO!$Z$11)/DATOSAÑO!$Y$11</f>
        <v>0</v>
      </c>
      <c r="AK177" s="9">
        <f ca="1">DATOSAÑO!BV176</f>
        <v>0</v>
      </c>
      <c r="AL177" s="11">
        <f ca="1">(AK177*DATOSAÑO!$Z$11)/DATOSAÑO!$Y$11</f>
        <v>0</v>
      </c>
      <c r="AM177" s="9">
        <f ca="1">DATOSAÑO!BY176</f>
        <v>0</v>
      </c>
      <c r="AN177" s="11">
        <f ca="1">(AM177*DATOSAÑO!$Z$11)/DATOSAÑO!$Y$11</f>
        <v>0</v>
      </c>
      <c r="AO177" s="9">
        <f ca="1">DATOSAÑO!CF176</f>
        <v>0</v>
      </c>
      <c r="AP177" s="11">
        <f ca="1">(AO177*DATOSAÑO!$Z$11)/DATOSAÑO!$Y$11</f>
        <v>0</v>
      </c>
      <c r="AQ177" s="9">
        <f ca="1">DATOSAÑO!CL176</f>
        <v>0</v>
      </c>
      <c r="AR177" s="1300">
        <f ca="1">(AQ177*DATOSAÑO!$Z$11)/DATOSAÑO!$Y$11</f>
        <v>0</v>
      </c>
      <c r="AS177" s="1334">
        <f t="shared" si="8"/>
        <v>24</v>
      </c>
    </row>
    <row r="178" spans="1:45" ht="16.5" customHeight="1" thickBot="1">
      <c r="A178" s="1371">
        <v>45093</v>
      </c>
      <c r="B178" s="1021">
        <v>45093</v>
      </c>
      <c r="C178" s="9">
        <f ca="1">DATOSAÑO!I177</f>
        <v>0</v>
      </c>
      <c r="D178" s="10">
        <f ca="1">DATOSAÑO!$D177</f>
        <v>0</v>
      </c>
      <c r="E178" s="11">
        <f ca="1">DATOSAÑO!$G177</f>
        <v>0</v>
      </c>
      <c r="F178" s="9">
        <f ca="1">DATOSAÑO!P177</f>
        <v>0</v>
      </c>
      <c r="G178" s="10">
        <f ca="1">DATOSAÑO!K177</f>
        <v>0</v>
      </c>
      <c r="H178" s="11">
        <f ca="1">DATOSAÑO!N177</f>
        <v>0</v>
      </c>
      <c r="I178" s="9">
        <f ca="1">DATOSAÑO!Q177</f>
        <v>0</v>
      </c>
      <c r="J178" s="11">
        <f ca="1">DATOSAÑO!R177</f>
        <v>0</v>
      </c>
      <c r="K178" s="9">
        <f ca="1">DATOSAÑO!T177</f>
        <v>0</v>
      </c>
      <c r="L178" s="11">
        <f t="shared" ca="1" si="6"/>
        <v>0</v>
      </c>
      <c r="M178" s="9"/>
      <c r="N178" s="11">
        <f t="shared" si="7"/>
        <v>0</v>
      </c>
      <c r="O178" s="9">
        <f>DATOSAÑO!CT177</f>
        <v>0</v>
      </c>
      <c r="P178" s="9">
        <f>DATOSAÑO!CU177</f>
        <v>0</v>
      </c>
      <c r="Q178" s="9">
        <f ca="1">DATOSAÑO!AD177</f>
        <v>0</v>
      </c>
      <c r="R178" s="11">
        <f ca="1">(Q178*DATOSAÑO!$Z$11)/DATOSAÑO!$Y$11</f>
        <v>0</v>
      </c>
      <c r="S178" s="9">
        <f ca="1">DATOSAÑO!AF177</f>
        <v>0</v>
      </c>
      <c r="T178" s="11">
        <f ca="1">(S178*DATOSAÑO!$Z$11)/DATOSAÑO!$Y$11</f>
        <v>0</v>
      </c>
      <c r="U178" s="9">
        <f ca="1">DATOSAÑO!AH177</f>
        <v>0</v>
      </c>
      <c r="V178" s="11">
        <f ca="1">(U178*DATOSAÑO!$Z$11)/DATOSAÑO!$Y$11</f>
        <v>0</v>
      </c>
      <c r="W178" s="9">
        <f ca="1">DATOSAÑO!AI177</f>
        <v>0</v>
      </c>
      <c r="X178" s="11">
        <f ca="1">(W178*DATOSAÑO!$Z$11)/DATOSAÑO!$Y$11</f>
        <v>0</v>
      </c>
      <c r="Y178" s="9">
        <f ca="1">DATOSAÑO!AJ177</f>
        <v>0</v>
      </c>
      <c r="Z178" s="11">
        <f ca="1">(Y178*DATOSAÑO!$Z$11)/DATOSAÑO!$Y$11</f>
        <v>0</v>
      </c>
      <c r="AA178" s="9">
        <f ca="1">DATOSAÑO!AK177</f>
        <v>0</v>
      </c>
      <c r="AB178" s="11">
        <f ca="1">(AA178*DATOSAÑO!$Z$11)/DATOSAÑO!$Y$11</f>
        <v>0</v>
      </c>
      <c r="AC178" s="9">
        <f ca="1">DATOSAÑO!AL177</f>
        <v>0</v>
      </c>
      <c r="AD178" s="11">
        <f ca="1">(AC178*DATOSAÑO!$Z$11)/DATOSAÑO!$Y$11</f>
        <v>0</v>
      </c>
      <c r="AE178" s="9">
        <f ca="1">DATOSAÑO!AM177</f>
        <v>0</v>
      </c>
      <c r="AF178" s="11">
        <f ca="1">(AE178*DATOSAÑO!$Z$11)/DATOSAÑO!$Y$11</f>
        <v>0</v>
      </c>
      <c r="AG178" s="9">
        <f ca="1">DATOSAÑO!AN177</f>
        <v>0</v>
      </c>
      <c r="AH178" s="11">
        <f ca="1">(AG178*DATOSAÑO!$Z$11)/DATOSAÑO!$Y$11</f>
        <v>0</v>
      </c>
      <c r="AI178" s="9">
        <f ca="1">DATOSAÑO!BS177</f>
        <v>0</v>
      </c>
      <c r="AJ178" s="11">
        <f ca="1">(AI178*DATOSAÑO!$Z$11)/DATOSAÑO!$Y$11</f>
        <v>0</v>
      </c>
      <c r="AK178" s="9">
        <f ca="1">DATOSAÑO!BV177</f>
        <v>0</v>
      </c>
      <c r="AL178" s="11">
        <f ca="1">(AK178*DATOSAÑO!$Z$11)/DATOSAÑO!$Y$11</f>
        <v>0</v>
      </c>
      <c r="AM178" s="9">
        <f ca="1">DATOSAÑO!BY177</f>
        <v>0</v>
      </c>
      <c r="AN178" s="11">
        <f ca="1">(AM178*DATOSAÑO!$Z$11)/DATOSAÑO!$Y$11</f>
        <v>0</v>
      </c>
      <c r="AO178" s="9">
        <f ca="1">DATOSAÑO!CF177</f>
        <v>0</v>
      </c>
      <c r="AP178" s="11">
        <f ca="1">(AO178*DATOSAÑO!$Z$11)/DATOSAÑO!$Y$11</f>
        <v>0</v>
      </c>
      <c r="AQ178" s="9">
        <f ca="1">DATOSAÑO!CL177</f>
        <v>0</v>
      </c>
      <c r="AR178" s="1300">
        <f ca="1">(AQ178*DATOSAÑO!$Z$11)/DATOSAÑO!$Y$11</f>
        <v>0</v>
      </c>
      <c r="AS178" s="1334">
        <f t="shared" si="8"/>
        <v>24</v>
      </c>
    </row>
    <row r="179" spans="1:45" ht="15" thickBot="1">
      <c r="A179" s="1371">
        <v>45094</v>
      </c>
      <c r="B179" s="1021">
        <v>45094</v>
      </c>
      <c r="C179" s="9">
        <f ca="1">DATOSAÑO!I178</f>
        <v>0</v>
      </c>
      <c r="D179" s="10">
        <f ca="1">DATOSAÑO!$D178</f>
        <v>0</v>
      </c>
      <c r="E179" s="11">
        <f ca="1">DATOSAÑO!$G178</f>
        <v>0</v>
      </c>
      <c r="F179" s="9">
        <f ca="1">DATOSAÑO!P178</f>
        <v>0</v>
      </c>
      <c r="G179" s="10">
        <f ca="1">DATOSAÑO!K178</f>
        <v>0</v>
      </c>
      <c r="H179" s="11">
        <f ca="1">DATOSAÑO!N178</f>
        <v>0</v>
      </c>
      <c r="I179" s="9">
        <f ca="1">DATOSAÑO!Q178</f>
        <v>0</v>
      </c>
      <c r="J179" s="11">
        <f ca="1">DATOSAÑO!R178</f>
        <v>0</v>
      </c>
      <c r="K179" s="9">
        <f ca="1">DATOSAÑO!T178</f>
        <v>0</v>
      </c>
      <c r="L179" s="11">
        <f t="shared" ca="1" si="6"/>
        <v>0</v>
      </c>
      <c r="M179" s="9"/>
      <c r="N179" s="11">
        <f t="shared" si="7"/>
        <v>0</v>
      </c>
      <c r="O179" s="9">
        <f>DATOSAÑO!CT178</f>
        <v>0</v>
      </c>
      <c r="P179" s="9">
        <f>DATOSAÑO!CU178</f>
        <v>0</v>
      </c>
      <c r="Q179" s="9">
        <f ca="1">DATOSAÑO!AD178</f>
        <v>0</v>
      </c>
      <c r="R179" s="11">
        <f ca="1">(Q179*DATOSAÑO!$Z$11)/DATOSAÑO!$Y$11</f>
        <v>0</v>
      </c>
      <c r="S179" s="9">
        <f ca="1">DATOSAÑO!AF178</f>
        <v>0</v>
      </c>
      <c r="T179" s="11">
        <f ca="1">(S179*DATOSAÑO!$Z$11)/DATOSAÑO!$Y$11</f>
        <v>0</v>
      </c>
      <c r="U179" s="9">
        <f ca="1">DATOSAÑO!AH178</f>
        <v>0</v>
      </c>
      <c r="V179" s="11">
        <f ca="1">(U179*DATOSAÑO!$Z$11)/DATOSAÑO!$Y$11</f>
        <v>0</v>
      </c>
      <c r="W179" s="9">
        <f ca="1">DATOSAÑO!AI178</f>
        <v>0</v>
      </c>
      <c r="X179" s="11">
        <f ca="1">(W179*DATOSAÑO!$Z$11)/DATOSAÑO!$Y$11</f>
        <v>0</v>
      </c>
      <c r="Y179" s="9">
        <f ca="1">DATOSAÑO!AJ178</f>
        <v>0</v>
      </c>
      <c r="Z179" s="11">
        <f ca="1">(Y179*DATOSAÑO!$Z$11)/DATOSAÑO!$Y$11</f>
        <v>0</v>
      </c>
      <c r="AA179" s="9">
        <f ca="1">DATOSAÑO!AK178</f>
        <v>0</v>
      </c>
      <c r="AB179" s="11">
        <f ca="1">(AA179*DATOSAÑO!$Z$11)/DATOSAÑO!$Y$11</f>
        <v>0</v>
      </c>
      <c r="AC179" s="9">
        <f ca="1">DATOSAÑO!AL178</f>
        <v>0</v>
      </c>
      <c r="AD179" s="11">
        <f ca="1">(AC179*DATOSAÑO!$Z$11)/DATOSAÑO!$Y$11</f>
        <v>0</v>
      </c>
      <c r="AE179" s="9">
        <f ca="1">DATOSAÑO!AM178</f>
        <v>0</v>
      </c>
      <c r="AF179" s="11">
        <f ca="1">(AE179*DATOSAÑO!$Z$11)/DATOSAÑO!$Y$11</f>
        <v>0</v>
      </c>
      <c r="AG179" s="9">
        <f ca="1">DATOSAÑO!AN178</f>
        <v>0</v>
      </c>
      <c r="AH179" s="11">
        <f ca="1">(AG179*DATOSAÑO!$Z$11)/DATOSAÑO!$Y$11</f>
        <v>0</v>
      </c>
      <c r="AI179" s="9">
        <f ca="1">DATOSAÑO!BS178</f>
        <v>0</v>
      </c>
      <c r="AJ179" s="11">
        <f ca="1">(AI179*DATOSAÑO!$Z$11)/DATOSAÑO!$Y$11</f>
        <v>0</v>
      </c>
      <c r="AK179" s="9">
        <f ca="1">DATOSAÑO!BV178</f>
        <v>0</v>
      </c>
      <c r="AL179" s="11">
        <f ca="1">(AK179*DATOSAÑO!$Z$11)/DATOSAÑO!$Y$11</f>
        <v>0</v>
      </c>
      <c r="AM179" s="9">
        <f ca="1">DATOSAÑO!BY178</f>
        <v>0</v>
      </c>
      <c r="AN179" s="11">
        <f ca="1">(AM179*DATOSAÑO!$Z$11)/DATOSAÑO!$Y$11</f>
        <v>0</v>
      </c>
      <c r="AO179" s="9">
        <f ca="1">DATOSAÑO!CF178</f>
        <v>0</v>
      </c>
      <c r="AP179" s="11">
        <f ca="1">(AO179*DATOSAÑO!$Z$11)/DATOSAÑO!$Y$11</f>
        <v>0</v>
      </c>
      <c r="AQ179" s="9">
        <f ca="1">DATOSAÑO!CL178</f>
        <v>0</v>
      </c>
      <c r="AR179" s="1300">
        <f ca="1">(AQ179*DATOSAÑO!$Z$11)/DATOSAÑO!$Y$11</f>
        <v>0</v>
      </c>
      <c r="AS179" s="1334">
        <f t="shared" si="8"/>
        <v>24</v>
      </c>
    </row>
    <row r="180" spans="1:45" ht="16.5" customHeight="1" thickBot="1">
      <c r="A180" s="1371">
        <v>45095</v>
      </c>
      <c r="B180" s="1021">
        <v>45095</v>
      </c>
      <c r="C180" s="9">
        <f ca="1">DATOSAÑO!I179</f>
        <v>0</v>
      </c>
      <c r="D180" s="10">
        <f ca="1">DATOSAÑO!$D179</f>
        <v>0</v>
      </c>
      <c r="E180" s="11">
        <f ca="1">DATOSAÑO!$G179</f>
        <v>0</v>
      </c>
      <c r="F180" s="9">
        <f ca="1">DATOSAÑO!P179</f>
        <v>0</v>
      </c>
      <c r="G180" s="10">
        <f ca="1">DATOSAÑO!K179</f>
        <v>0</v>
      </c>
      <c r="H180" s="11">
        <f ca="1">DATOSAÑO!N179</f>
        <v>0</v>
      </c>
      <c r="I180" s="9">
        <f ca="1">DATOSAÑO!Q179</f>
        <v>0</v>
      </c>
      <c r="J180" s="11">
        <f ca="1">DATOSAÑO!R179</f>
        <v>0</v>
      </c>
      <c r="K180" s="9">
        <f ca="1">DATOSAÑO!T179</f>
        <v>0</v>
      </c>
      <c r="L180" s="11">
        <f t="shared" ca="1" si="6"/>
        <v>0</v>
      </c>
      <c r="M180" s="9"/>
      <c r="N180" s="11">
        <f t="shared" si="7"/>
        <v>0</v>
      </c>
      <c r="O180" s="9">
        <f>DATOSAÑO!CT179</f>
        <v>0</v>
      </c>
      <c r="P180" s="9">
        <f>DATOSAÑO!CU179</f>
        <v>0</v>
      </c>
      <c r="Q180" s="9">
        <f ca="1">DATOSAÑO!AD179</f>
        <v>0</v>
      </c>
      <c r="R180" s="11">
        <f ca="1">(Q180*DATOSAÑO!$Z$11)/DATOSAÑO!$Y$11</f>
        <v>0</v>
      </c>
      <c r="S180" s="9">
        <f ca="1">DATOSAÑO!AF179</f>
        <v>0</v>
      </c>
      <c r="T180" s="11">
        <f ca="1">(S180*DATOSAÑO!$Z$11)/DATOSAÑO!$Y$11</f>
        <v>0</v>
      </c>
      <c r="U180" s="9">
        <f ca="1">DATOSAÑO!AH179</f>
        <v>0</v>
      </c>
      <c r="V180" s="11">
        <f ca="1">(U180*DATOSAÑO!$Z$11)/DATOSAÑO!$Y$11</f>
        <v>0</v>
      </c>
      <c r="W180" s="9">
        <f ca="1">DATOSAÑO!AI179</f>
        <v>0</v>
      </c>
      <c r="X180" s="11">
        <f ca="1">(W180*DATOSAÑO!$Z$11)/DATOSAÑO!$Y$11</f>
        <v>0</v>
      </c>
      <c r="Y180" s="9">
        <f ca="1">DATOSAÑO!AJ179</f>
        <v>0</v>
      </c>
      <c r="Z180" s="11">
        <f ca="1">(Y180*DATOSAÑO!$Z$11)/DATOSAÑO!$Y$11</f>
        <v>0</v>
      </c>
      <c r="AA180" s="9">
        <f ca="1">DATOSAÑO!AK179</f>
        <v>0</v>
      </c>
      <c r="AB180" s="11">
        <f ca="1">(AA180*DATOSAÑO!$Z$11)/DATOSAÑO!$Y$11</f>
        <v>0</v>
      </c>
      <c r="AC180" s="9">
        <f ca="1">DATOSAÑO!AL179</f>
        <v>0</v>
      </c>
      <c r="AD180" s="11">
        <f ca="1">(AC180*DATOSAÑO!$Z$11)/DATOSAÑO!$Y$11</f>
        <v>0</v>
      </c>
      <c r="AE180" s="9">
        <f ca="1">DATOSAÑO!AM179</f>
        <v>0</v>
      </c>
      <c r="AF180" s="11">
        <f ca="1">(AE180*DATOSAÑO!$Z$11)/DATOSAÑO!$Y$11</f>
        <v>0</v>
      </c>
      <c r="AG180" s="9">
        <f ca="1">DATOSAÑO!AN179</f>
        <v>0</v>
      </c>
      <c r="AH180" s="11">
        <f ca="1">(AG180*DATOSAÑO!$Z$11)/DATOSAÑO!$Y$11</f>
        <v>0</v>
      </c>
      <c r="AI180" s="9">
        <f ca="1">DATOSAÑO!BS179</f>
        <v>0</v>
      </c>
      <c r="AJ180" s="11">
        <f ca="1">(AI180*DATOSAÑO!$Z$11)/DATOSAÑO!$Y$11</f>
        <v>0</v>
      </c>
      <c r="AK180" s="9">
        <f ca="1">DATOSAÑO!BV179</f>
        <v>0</v>
      </c>
      <c r="AL180" s="11">
        <f ca="1">(AK180*DATOSAÑO!$Z$11)/DATOSAÑO!$Y$11</f>
        <v>0</v>
      </c>
      <c r="AM180" s="9">
        <f ca="1">DATOSAÑO!BY179</f>
        <v>0</v>
      </c>
      <c r="AN180" s="11">
        <f ca="1">(AM180*DATOSAÑO!$Z$11)/DATOSAÑO!$Y$11</f>
        <v>0</v>
      </c>
      <c r="AO180" s="9">
        <f ca="1">DATOSAÑO!CF179</f>
        <v>0</v>
      </c>
      <c r="AP180" s="11">
        <f ca="1">(AO180*DATOSAÑO!$Z$11)/DATOSAÑO!$Y$11</f>
        <v>0</v>
      </c>
      <c r="AQ180" s="9">
        <f ca="1">DATOSAÑO!CL179</f>
        <v>0</v>
      </c>
      <c r="AR180" s="1300">
        <f ca="1">(AQ180*DATOSAÑO!$Z$11)/DATOSAÑO!$Y$11</f>
        <v>0</v>
      </c>
      <c r="AS180" s="1334">
        <f t="shared" si="8"/>
        <v>25</v>
      </c>
    </row>
    <row r="181" spans="1:45" ht="15" thickBot="1">
      <c r="A181" s="1371">
        <v>45096</v>
      </c>
      <c r="B181" s="1021">
        <v>45096</v>
      </c>
      <c r="C181" s="9">
        <f ca="1">DATOSAÑO!I180</f>
        <v>0</v>
      </c>
      <c r="D181" s="10">
        <f ca="1">DATOSAÑO!$D180</f>
        <v>0</v>
      </c>
      <c r="E181" s="11">
        <f ca="1">DATOSAÑO!$G180</f>
        <v>0</v>
      </c>
      <c r="F181" s="9">
        <f ca="1">DATOSAÑO!P180</f>
        <v>0</v>
      </c>
      <c r="G181" s="10">
        <f ca="1">DATOSAÑO!K180</f>
        <v>0</v>
      </c>
      <c r="H181" s="11">
        <f ca="1">DATOSAÑO!N180</f>
        <v>0</v>
      </c>
      <c r="I181" s="9">
        <f ca="1">DATOSAÑO!Q180</f>
        <v>0</v>
      </c>
      <c r="J181" s="11">
        <f ca="1">DATOSAÑO!R180</f>
        <v>0</v>
      </c>
      <c r="K181" s="9">
        <f ca="1">DATOSAÑO!T180</f>
        <v>0</v>
      </c>
      <c r="L181" s="11">
        <f t="shared" ca="1" si="6"/>
        <v>0</v>
      </c>
      <c r="M181" s="9"/>
      <c r="N181" s="11">
        <f t="shared" si="7"/>
        <v>0</v>
      </c>
      <c r="O181" s="9">
        <f>DATOSAÑO!CT180</f>
        <v>0</v>
      </c>
      <c r="P181" s="9">
        <f>DATOSAÑO!CU180</f>
        <v>0</v>
      </c>
      <c r="Q181" s="9">
        <f ca="1">DATOSAÑO!AD180</f>
        <v>0</v>
      </c>
      <c r="R181" s="11">
        <f ca="1">(Q181*DATOSAÑO!$Z$11)/DATOSAÑO!$Y$11</f>
        <v>0</v>
      </c>
      <c r="S181" s="9">
        <f ca="1">DATOSAÑO!AF180</f>
        <v>0</v>
      </c>
      <c r="T181" s="11">
        <f ca="1">(S181*DATOSAÑO!$Z$11)/DATOSAÑO!$Y$11</f>
        <v>0</v>
      </c>
      <c r="U181" s="9">
        <f ca="1">DATOSAÑO!AH180</f>
        <v>0</v>
      </c>
      <c r="V181" s="11">
        <f ca="1">(U181*DATOSAÑO!$Z$11)/DATOSAÑO!$Y$11</f>
        <v>0</v>
      </c>
      <c r="W181" s="9">
        <f ca="1">DATOSAÑO!AI180</f>
        <v>0</v>
      </c>
      <c r="X181" s="11">
        <f ca="1">(W181*DATOSAÑO!$Z$11)/DATOSAÑO!$Y$11</f>
        <v>0</v>
      </c>
      <c r="Y181" s="9">
        <f ca="1">DATOSAÑO!AJ180</f>
        <v>0</v>
      </c>
      <c r="Z181" s="11">
        <f ca="1">(Y181*DATOSAÑO!$Z$11)/DATOSAÑO!$Y$11</f>
        <v>0</v>
      </c>
      <c r="AA181" s="9">
        <f ca="1">DATOSAÑO!AK180</f>
        <v>0</v>
      </c>
      <c r="AB181" s="11">
        <f ca="1">(AA181*DATOSAÑO!$Z$11)/DATOSAÑO!$Y$11</f>
        <v>0</v>
      </c>
      <c r="AC181" s="9">
        <f ca="1">DATOSAÑO!AL180</f>
        <v>0</v>
      </c>
      <c r="AD181" s="11">
        <f ca="1">(AC181*DATOSAÑO!$Z$11)/DATOSAÑO!$Y$11</f>
        <v>0</v>
      </c>
      <c r="AE181" s="9">
        <f ca="1">DATOSAÑO!AM180</f>
        <v>0</v>
      </c>
      <c r="AF181" s="11">
        <f ca="1">(AE181*DATOSAÑO!$Z$11)/DATOSAÑO!$Y$11</f>
        <v>0</v>
      </c>
      <c r="AG181" s="9">
        <f ca="1">DATOSAÑO!AN180</f>
        <v>0</v>
      </c>
      <c r="AH181" s="11">
        <f ca="1">(AG181*DATOSAÑO!$Z$11)/DATOSAÑO!$Y$11</f>
        <v>0</v>
      </c>
      <c r="AI181" s="9">
        <f ca="1">DATOSAÑO!BS180</f>
        <v>0</v>
      </c>
      <c r="AJ181" s="11">
        <f ca="1">(AI181*DATOSAÑO!$Z$11)/DATOSAÑO!$Y$11</f>
        <v>0</v>
      </c>
      <c r="AK181" s="9">
        <f ca="1">DATOSAÑO!BV180</f>
        <v>0</v>
      </c>
      <c r="AL181" s="11">
        <f ca="1">(AK181*DATOSAÑO!$Z$11)/DATOSAÑO!$Y$11</f>
        <v>0</v>
      </c>
      <c r="AM181" s="9">
        <f ca="1">DATOSAÑO!BY180</f>
        <v>0</v>
      </c>
      <c r="AN181" s="11">
        <f ca="1">(AM181*DATOSAÑO!$Z$11)/DATOSAÑO!$Y$11</f>
        <v>0</v>
      </c>
      <c r="AO181" s="9">
        <f ca="1">DATOSAÑO!CF180</f>
        <v>0</v>
      </c>
      <c r="AP181" s="11">
        <f ca="1">(AO181*DATOSAÑO!$Z$11)/DATOSAÑO!$Y$11</f>
        <v>0</v>
      </c>
      <c r="AQ181" s="9">
        <f ca="1">DATOSAÑO!CL180</f>
        <v>0</v>
      </c>
      <c r="AR181" s="1300">
        <f ca="1">(AQ181*DATOSAÑO!$Z$11)/DATOSAÑO!$Y$11</f>
        <v>0</v>
      </c>
      <c r="AS181" s="1334">
        <f t="shared" si="8"/>
        <v>25</v>
      </c>
    </row>
    <row r="182" spans="1:45" ht="16.5" customHeight="1" thickBot="1">
      <c r="A182" s="1371">
        <v>45097</v>
      </c>
      <c r="B182" s="1021">
        <v>45097</v>
      </c>
      <c r="C182" s="9">
        <f ca="1">DATOSAÑO!I181</f>
        <v>0</v>
      </c>
      <c r="D182" s="10">
        <f ca="1">DATOSAÑO!$D181</f>
        <v>0</v>
      </c>
      <c r="E182" s="11">
        <f ca="1">DATOSAÑO!$G181</f>
        <v>0</v>
      </c>
      <c r="F182" s="9">
        <f ca="1">DATOSAÑO!P181</f>
        <v>0</v>
      </c>
      <c r="G182" s="10">
        <f ca="1">DATOSAÑO!K181</f>
        <v>0</v>
      </c>
      <c r="H182" s="11">
        <f ca="1">DATOSAÑO!N181</f>
        <v>0</v>
      </c>
      <c r="I182" s="9">
        <f ca="1">DATOSAÑO!Q181</f>
        <v>0</v>
      </c>
      <c r="J182" s="11">
        <f ca="1">DATOSAÑO!R181</f>
        <v>0</v>
      </c>
      <c r="K182" s="9">
        <f ca="1">DATOSAÑO!T181</f>
        <v>0</v>
      </c>
      <c r="L182" s="11">
        <f t="shared" ca="1" si="6"/>
        <v>0</v>
      </c>
      <c r="M182" s="9"/>
      <c r="N182" s="11">
        <f t="shared" si="7"/>
        <v>0</v>
      </c>
      <c r="O182" s="9">
        <f>DATOSAÑO!CT181</f>
        <v>0</v>
      </c>
      <c r="P182" s="9">
        <f>DATOSAÑO!CU181</f>
        <v>0</v>
      </c>
      <c r="Q182" s="9">
        <f ca="1">DATOSAÑO!AD181</f>
        <v>0</v>
      </c>
      <c r="R182" s="11">
        <f ca="1">(Q182*DATOSAÑO!$Z$11)/DATOSAÑO!$Y$11</f>
        <v>0</v>
      </c>
      <c r="S182" s="9">
        <f ca="1">DATOSAÑO!AF181</f>
        <v>0</v>
      </c>
      <c r="T182" s="11">
        <f ca="1">(S182*DATOSAÑO!$Z$11)/DATOSAÑO!$Y$11</f>
        <v>0</v>
      </c>
      <c r="U182" s="9">
        <f ca="1">DATOSAÑO!AH181</f>
        <v>0</v>
      </c>
      <c r="V182" s="11">
        <f ca="1">(U182*DATOSAÑO!$Z$11)/DATOSAÑO!$Y$11</f>
        <v>0</v>
      </c>
      <c r="W182" s="9">
        <f ca="1">DATOSAÑO!AI181</f>
        <v>0</v>
      </c>
      <c r="X182" s="11">
        <f ca="1">(W182*DATOSAÑO!$Z$11)/DATOSAÑO!$Y$11</f>
        <v>0</v>
      </c>
      <c r="Y182" s="9">
        <f ca="1">DATOSAÑO!AJ181</f>
        <v>0</v>
      </c>
      <c r="Z182" s="11">
        <f ca="1">(Y182*DATOSAÑO!$Z$11)/DATOSAÑO!$Y$11</f>
        <v>0</v>
      </c>
      <c r="AA182" s="9">
        <f ca="1">DATOSAÑO!AK181</f>
        <v>0</v>
      </c>
      <c r="AB182" s="11">
        <f ca="1">(AA182*DATOSAÑO!$Z$11)/DATOSAÑO!$Y$11</f>
        <v>0</v>
      </c>
      <c r="AC182" s="9">
        <f ca="1">DATOSAÑO!AL181</f>
        <v>0</v>
      </c>
      <c r="AD182" s="11">
        <f ca="1">(AC182*DATOSAÑO!$Z$11)/DATOSAÑO!$Y$11</f>
        <v>0</v>
      </c>
      <c r="AE182" s="9">
        <f ca="1">DATOSAÑO!AM181</f>
        <v>0</v>
      </c>
      <c r="AF182" s="11">
        <f ca="1">(AE182*DATOSAÑO!$Z$11)/DATOSAÑO!$Y$11</f>
        <v>0</v>
      </c>
      <c r="AG182" s="9">
        <f ca="1">DATOSAÑO!AN181</f>
        <v>0</v>
      </c>
      <c r="AH182" s="11">
        <f ca="1">(AG182*DATOSAÑO!$Z$11)/DATOSAÑO!$Y$11</f>
        <v>0</v>
      </c>
      <c r="AI182" s="9">
        <f ca="1">DATOSAÑO!BS181</f>
        <v>0</v>
      </c>
      <c r="AJ182" s="11">
        <f ca="1">(AI182*DATOSAÑO!$Z$11)/DATOSAÑO!$Y$11</f>
        <v>0</v>
      </c>
      <c r="AK182" s="9">
        <f ca="1">DATOSAÑO!BV181</f>
        <v>0</v>
      </c>
      <c r="AL182" s="11">
        <f ca="1">(AK182*DATOSAÑO!$Z$11)/DATOSAÑO!$Y$11</f>
        <v>0</v>
      </c>
      <c r="AM182" s="9">
        <f ca="1">DATOSAÑO!BY181</f>
        <v>0</v>
      </c>
      <c r="AN182" s="11">
        <f ca="1">(AM182*DATOSAÑO!$Z$11)/DATOSAÑO!$Y$11</f>
        <v>0</v>
      </c>
      <c r="AO182" s="9">
        <f ca="1">DATOSAÑO!CF181</f>
        <v>0</v>
      </c>
      <c r="AP182" s="11">
        <f ca="1">(AO182*DATOSAÑO!$Z$11)/DATOSAÑO!$Y$11</f>
        <v>0</v>
      </c>
      <c r="AQ182" s="9">
        <f ca="1">DATOSAÑO!CL181</f>
        <v>0</v>
      </c>
      <c r="AR182" s="1300">
        <f ca="1">(AQ182*DATOSAÑO!$Z$11)/DATOSAÑO!$Y$11</f>
        <v>0</v>
      </c>
      <c r="AS182" s="1334">
        <f t="shared" si="8"/>
        <v>25</v>
      </c>
    </row>
    <row r="183" spans="1:45" ht="15" thickBot="1">
      <c r="A183" s="1371">
        <v>45098</v>
      </c>
      <c r="B183" s="1021">
        <v>45098</v>
      </c>
      <c r="C183" s="9">
        <f ca="1">DATOSAÑO!I182</f>
        <v>0</v>
      </c>
      <c r="D183" s="10">
        <f ca="1">DATOSAÑO!$D182</f>
        <v>0</v>
      </c>
      <c r="E183" s="11">
        <f ca="1">DATOSAÑO!$G182</f>
        <v>0</v>
      </c>
      <c r="F183" s="9">
        <f ca="1">DATOSAÑO!P182</f>
        <v>0</v>
      </c>
      <c r="G183" s="10">
        <f ca="1">DATOSAÑO!K182</f>
        <v>0</v>
      </c>
      <c r="H183" s="11">
        <f ca="1">DATOSAÑO!N182</f>
        <v>0</v>
      </c>
      <c r="I183" s="9">
        <f ca="1">DATOSAÑO!Q182</f>
        <v>0</v>
      </c>
      <c r="J183" s="11">
        <f ca="1">DATOSAÑO!R182</f>
        <v>0</v>
      </c>
      <c r="K183" s="9">
        <f ca="1">DATOSAÑO!T182</f>
        <v>0</v>
      </c>
      <c r="L183" s="11">
        <f t="shared" ca="1" si="6"/>
        <v>0</v>
      </c>
      <c r="M183" s="9"/>
      <c r="N183" s="11">
        <f t="shared" si="7"/>
        <v>0</v>
      </c>
      <c r="O183" s="9">
        <f>DATOSAÑO!CT182</f>
        <v>0</v>
      </c>
      <c r="P183" s="9">
        <f>DATOSAÑO!CU182</f>
        <v>0</v>
      </c>
      <c r="Q183" s="9">
        <f ca="1">DATOSAÑO!AD182</f>
        <v>0</v>
      </c>
      <c r="R183" s="11">
        <f ca="1">(Q183*DATOSAÑO!$Z$11)/DATOSAÑO!$Y$11</f>
        <v>0</v>
      </c>
      <c r="S183" s="9">
        <f ca="1">DATOSAÑO!AF182</f>
        <v>0</v>
      </c>
      <c r="T183" s="11">
        <f ca="1">(S183*DATOSAÑO!$Z$11)/DATOSAÑO!$Y$11</f>
        <v>0</v>
      </c>
      <c r="U183" s="9">
        <f ca="1">DATOSAÑO!AH182</f>
        <v>0</v>
      </c>
      <c r="V183" s="11">
        <f ca="1">(U183*DATOSAÑO!$Z$11)/DATOSAÑO!$Y$11</f>
        <v>0</v>
      </c>
      <c r="W183" s="9">
        <f ca="1">DATOSAÑO!AI182</f>
        <v>0</v>
      </c>
      <c r="X183" s="11">
        <f ca="1">(W183*DATOSAÑO!$Z$11)/DATOSAÑO!$Y$11</f>
        <v>0</v>
      </c>
      <c r="Y183" s="9">
        <f ca="1">DATOSAÑO!AJ182</f>
        <v>0</v>
      </c>
      <c r="Z183" s="11">
        <f ca="1">(Y183*DATOSAÑO!$Z$11)/DATOSAÑO!$Y$11</f>
        <v>0</v>
      </c>
      <c r="AA183" s="9">
        <f ca="1">DATOSAÑO!AK182</f>
        <v>0</v>
      </c>
      <c r="AB183" s="11">
        <f ca="1">(AA183*DATOSAÑO!$Z$11)/DATOSAÑO!$Y$11</f>
        <v>0</v>
      </c>
      <c r="AC183" s="9">
        <f ca="1">DATOSAÑO!AL182</f>
        <v>0</v>
      </c>
      <c r="AD183" s="11">
        <f ca="1">(AC183*DATOSAÑO!$Z$11)/DATOSAÑO!$Y$11</f>
        <v>0</v>
      </c>
      <c r="AE183" s="9">
        <f ca="1">DATOSAÑO!AM182</f>
        <v>0</v>
      </c>
      <c r="AF183" s="11">
        <f ca="1">(AE183*DATOSAÑO!$Z$11)/DATOSAÑO!$Y$11</f>
        <v>0</v>
      </c>
      <c r="AG183" s="9">
        <f ca="1">DATOSAÑO!AN182</f>
        <v>0</v>
      </c>
      <c r="AH183" s="11">
        <f ca="1">(AG183*DATOSAÑO!$Z$11)/DATOSAÑO!$Y$11</f>
        <v>0</v>
      </c>
      <c r="AI183" s="9">
        <f ca="1">DATOSAÑO!BS182</f>
        <v>0</v>
      </c>
      <c r="AJ183" s="11">
        <f ca="1">(AI183*DATOSAÑO!$Z$11)/DATOSAÑO!$Y$11</f>
        <v>0</v>
      </c>
      <c r="AK183" s="9">
        <f ca="1">DATOSAÑO!BV182</f>
        <v>0</v>
      </c>
      <c r="AL183" s="11">
        <f ca="1">(AK183*DATOSAÑO!$Z$11)/DATOSAÑO!$Y$11</f>
        <v>0</v>
      </c>
      <c r="AM183" s="9">
        <f ca="1">DATOSAÑO!BY182</f>
        <v>0</v>
      </c>
      <c r="AN183" s="11">
        <f ca="1">(AM183*DATOSAÑO!$Z$11)/DATOSAÑO!$Y$11</f>
        <v>0</v>
      </c>
      <c r="AO183" s="9">
        <f ca="1">DATOSAÑO!CF182</f>
        <v>0</v>
      </c>
      <c r="AP183" s="11">
        <f ca="1">(AO183*DATOSAÑO!$Z$11)/DATOSAÑO!$Y$11</f>
        <v>0</v>
      </c>
      <c r="AQ183" s="9">
        <f ca="1">DATOSAÑO!CL182</f>
        <v>0</v>
      </c>
      <c r="AR183" s="1300">
        <f ca="1">(AQ183*DATOSAÑO!$Z$11)/DATOSAÑO!$Y$11</f>
        <v>0</v>
      </c>
      <c r="AS183" s="1334">
        <f t="shared" si="8"/>
        <v>25</v>
      </c>
    </row>
    <row r="184" spans="1:45" ht="16.5" customHeight="1" thickBot="1">
      <c r="A184" s="1371">
        <v>45099</v>
      </c>
      <c r="B184" s="1021">
        <v>45099</v>
      </c>
      <c r="C184" s="9">
        <f ca="1">DATOSAÑO!I183</f>
        <v>0</v>
      </c>
      <c r="D184" s="10">
        <f ca="1">DATOSAÑO!$D183</f>
        <v>0</v>
      </c>
      <c r="E184" s="11">
        <f ca="1">DATOSAÑO!$G183</f>
        <v>0</v>
      </c>
      <c r="F184" s="9">
        <f ca="1">DATOSAÑO!P183</f>
        <v>0</v>
      </c>
      <c r="G184" s="10">
        <f ca="1">DATOSAÑO!K183</f>
        <v>0</v>
      </c>
      <c r="H184" s="11">
        <f ca="1">DATOSAÑO!N183</f>
        <v>0</v>
      </c>
      <c r="I184" s="9">
        <f ca="1">DATOSAÑO!Q183</f>
        <v>0</v>
      </c>
      <c r="J184" s="11">
        <f ca="1">DATOSAÑO!R183</f>
        <v>0</v>
      </c>
      <c r="K184" s="9">
        <f ca="1">DATOSAÑO!T183</f>
        <v>0</v>
      </c>
      <c r="L184" s="11">
        <f t="shared" ca="1" si="6"/>
        <v>0</v>
      </c>
      <c r="M184" s="9"/>
      <c r="N184" s="11">
        <f t="shared" si="7"/>
        <v>0</v>
      </c>
      <c r="O184" s="9">
        <f>DATOSAÑO!CT183</f>
        <v>0</v>
      </c>
      <c r="P184" s="9">
        <f>DATOSAÑO!CU183</f>
        <v>0</v>
      </c>
      <c r="Q184" s="9">
        <f ca="1">DATOSAÑO!AD183</f>
        <v>0</v>
      </c>
      <c r="R184" s="11">
        <f ca="1">(Q184*DATOSAÑO!$Z$11)/DATOSAÑO!$Y$11</f>
        <v>0</v>
      </c>
      <c r="S184" s="9">
        <f ca="1">DATOSAÑO!AF183</f>
        <v>0</v>
      </c>
      <c r="T184" s="11">
        <f ca="1">(S184*DATOSAÑO!$Z$11)/DATOSAÑO!$Y$11</f>
        <v>0</v>
      </c>
      <c r="U184" s="9">
        <f ca="1">DATOSAÑO!AH183</f>
        <v>0</v>
      </c>
      <c r="V184" s="11">
        <f ca="1">(U184*DATOSAÑO!$Z$11)/DATOSAÑO!$Y$11</f>
        <v>0</v>
      </c>
      <c r="W184" s="9">
        <f ca="1">DATOSAÑO!AI183</f>
        <v>0</v>
      </c>
      <c r="X184" s="11">
        <f ca="1">(W184*DATOSAÑO!$Z$11)/DATOSAÑO!$Y$11</f>
        <v>0</v>
      </c>
      <c r="Y184" s="9">
        <f ca="1">DATOSAÑO!AJ183</f>
        <v>0</v>
      </c>
      <c r="Z184" s="11">
        <f ca="1">(Y184*DATOSAÑO!$Z$11)/DATOSAÑO!$Y$11</f>
        <v>0</v>
      </c>
      <c r="AA184" s="9">
        <f ca="1">DATOSAÑO!AK183</f>
        <v>0</v>
      </c>
      <c r="AB184" s="11">
        <f ca="1">(AA184*DATOSAÑO!$Z$11)/DATOSAÑO!$Y$11</f>
        <v>0</v>
      </c>
      <c r="AC184" s="9">
        <f ca="1">DATOSAÑO!AL183</f>
        <v>0</v>
      </c>
      <c r="AD184" s="11">
        <f ca="1">(AC184*DATOSAÑO!$Z$11)/DATOSAÑO!$Y$11</f>
        <v>0</v>
      </c>
      <c r="AE184" s="9">
        <f ca="1">DATOSAÑO!AM183</f>
        <v>0</v>
      </c>
      <c r="AF184" s="11">
        <f ca="1">(AE184*DATOSAÑO!$Z$11)/DATOSAÑO!$Y$11</f>
        <v>0</v>
      </c>
      <c r="AG184" s="9">
        <f ca="1">DATOSAÑO!AN183</f>
        <v>0</v>
      </c>
      <c r="AH184" s="11">
        <f ca="1">(AG184*DATOSAÑO!$Z$11)/DATOSAÑO!$Y$11</f>
        <v>0</v>
      </c>
      <c r="AI184" s="9">
        <f ca="1">DATOSAÑO!BS183</f>
        <v>0</v>
      </c>
      <c r="AJ184" s="11">
        <f ca="1">(AI184*DATOSAÑO!$Z$11)/DATOSAÑO!$Y$11</f>
        <v>0</v>
      </c>
      <c r="AK184" s="9">
        <f ca="1">DATOSAÑO!BV183</f>
        <v>0</v>
      </c>
      <c r="AL184" s="11">
        <f ca="1">(AK184*DATOSAÑO!$Z$11)/DATOSAÑO!$Y$11</f>
        <v>0</v>
      </c>
      <c r="AM184" s="9">
        <f ca="1">DATOSAÑO!BY183</f>
        <v>0</v>
      </c>
      <c r="AN184" s="11">
        <f ca="1">(AM184*DATOSAÑO!$Z$11)/DATOSAÑO!$Y$11</f>
        <v>0</v>
      </c>
      <c r="AO184" s="9">
        <f ca="1">DATOSAÑO!CF183</f>
        <v>0</v>
      </c>
      <c r="AP184" s="11">
        <f ca="1">(AO184*DATOSAÑO!$Z$11)/DATOSAÑO!$Y$11</f>
        <v>0</v>
      </c>
      <c r="AQ184" s="9">
        <f ca="1">DATOSAÑO!CL183</f>
        <v>0</v>
      </c>
      <c r="AR184" s="1300">
        <f ca="1">(AQ184*DATOSAÑO!$Z$11)/DATOSAÑO!$Y$11</f>
        <v>0</v>
      </c>
      <c r="AS184" s="1334">
        <f t="shared" si="8"/>
        <v>25</v>
      </c>
    </row>
    <row r="185" spans="1:45" ht="15" thickBot="1">
      <c r="A185" s="1371">
        <v>45100</v>
      </c>
      <c r="B185" s="1021">
        <v>45100</v>
      </c>
      <c r="C185" s="9">
        <f ca="1">DATOSAÑO!I184</f>
        <v>0</v>
      </c>
      <c r="D185" s="10">
        <f ca="1">DATOSAÑO!$D184</f>
        <v>0</v>
      </c>
      <c r="E185" s="11">
        <f ca="1">DATOSAÑO!$G184</f>
        <v>0</v>
      </c>
      <c r="F185" s="9">
        <f ca="1">DATOSAÑO!P184</f>
        <v>0</v>
      </c>
      <c r="G185" s="10">
        <f ca="1">DATOSAÑO!K184</f>
        <v>0</v>
      </c>
      <c r="H185" s="11">
        <f ca="1">DATOSAÑO!N184</f>
        <v>0</v>
      </c>
      <c r="I185" s="9">
        <f ca="1">DATOSAÑO!Q184</f>
        <v>0</v>
      </c>
      <c r="J185" s="11">
        <f ca="1">DATOSAÑO!R184</f>
        <v>0</v>
      </c>
      <c r="K185" s="9">
        <f ca="1">DATOSAÑO!T184</f>
        <v>0</v>
      </c>
      <c r="L185" s="11">
        <f t="shared" ca="1" si="6"/>
        <v>0</v>
      </c>
      <c r="M185" s="9"/>
      <c r="N185" s="11">
        <f t="shared" si="7"/>
        <v>0</v>
      </c>
      <c r="O185" s="9">
        <f>DATOSAÑO!CT184</f>
        <v>0</v>
      </c>
      <c r="P185" s="9">
        <f>DATOSAÑO!CU184</f>
        <v>0</v>
      </c>
      <c r="Q185" s="9">
        <f ca="1">DATOSAÑO!AD184</f>
        <v>0</v>
      </c>
      <c r="R185" s="11">
        <f ca="1">(Q185*DATOSAÑO!$Z$11)/DATOSAÑO!$Y$11</f>
        <v>0</v>
      </c>
      <c r="S185" s="9">
        <f ca="1">DATOSAÑO!AF184</f>
        <v>0</v>
      </c>
      <c r="T185" s="11">
        <f ca="1">(S185*DATOSAÑO!$Z$11)/DATOSAÑO!$Y$11</f>
        <v>0</v>
      </c>
      <c r="U185" s="9">
        <f ca="1">DATOSAÑO!AH184</f>
        <v>0</v>
      </c>
      <c r="V185" s="11">
        <f ca="1">(U185*DATOSAÑO!$Z$11)/DATOSAÑO!$Y$11</f>
        <v>0</v>
      </c>
      <c r="W185" s="9">
        <f ca="1">DATOSAÑO!AI184</f>
        <v>0</v>
      </c>
      <c r="X185" s="11">
        <f ca="1">(W185*DATOSAÑO!$Z$11)/DATOSAÑO!$Y$11</f>
        <v>0</v>
      </c>
      <c r="Y185" s="9">
        <f ca="1">DATOSAÑO!AJ184</f>
        <v>0</v>
      </c>
      <c r="Z185" s="11">
        <f ca="1">(Y185*DATOSAÑO!$Z$11)/DATOSAÑO!$Y$11</f>
        <v>0</v>
      </c>
      <c r="AA185" s="9">
        <f ca="1">DATOSAÑO!AK184</f>
        <v>0</v>
      </c>
      <c r="AB185" s="11">
        <f ca="1">(AA185*DATOSAÑO!$Z$11)/DATOSAÑO!$Y$11</f>
        <v>0</v>
      </c>
      <c r="AC185" s="9">
        <f ca="1">DATOSAÑO!AL184</f>
        <v>0</v>
      </c>
      <c r="AD185" s="11">
        <f ca="1">(AC185*DATOSAÑO!$Z$11)/DATOSAÑO!$Y$11</f>
        <v>0</v>
      </c>
      <c r="AE185" s="9">
        <f ca="1">DATOSAÑO!AM184</f>
        <v>0</v>
      </c>
      <c r="AF185" s="11">
        <f ca="1">(AE185*DATOSAÑO!$Z$11)/DATOSAÑO!$Y$11</f>
        <v>0</v>
      </c>
      <c r="AG185" s="9">
        <f ca="1">DATOSAÑO!AN184</f>
        <v>0</v>
      </c>
      <c r="AH185" s="11">
        <f ca="1">(AG185*DATOSAÑO!$Z$11)/DATOSAÑO!$Y$11</f>
        <v>0</v>
      </c>
      <c r="AI185" s="9">
        <f ca="1">DATOSAÑO!BS184</f>
        <v>0</v>
      </c>
      <c r="AJ185" s="11">
        <f ca="1">(AI185*DATOSAÑO!$Z$11)/DATOSAÑO!$Y$11</f>
        <v>0</v>
      </c>
      <c r="AK185" s="9">
        <f ca="1">DATOSAÑO!BV184</f>
        <v>0</v>
      </c>
      <c r="AL185" s="11">
        <f ca="1">(AK185*DATOSAÑO!$Z$11)/DATOSAÑO!$Y$11</f>
        <v>0</v>
      </c>
      <c r="AM185" s="9">
        <f ca="1">DATOSAÑO!BY184</f>
        <v>0</v>
      </c>
      <c r="AN185" s="11">
        <f ca="1">(AM185*DATOSAÑO!$Z$11)/DATOSAÑO!$Y$11</f>
        <v>0</v>
      </c>
      <c r="AO185" s="9">
        <f ca="1">DATOSAÑO!CF184</f>
        <v>0</v>
      </c>
      <c r="AP185" s="11">
        <f ca="1">(AO185*DATOSAÑO!$Z$11)/DATOSAÑO!$Y$11</f>
        <v>0</v>
      </c>
      <c r="AQ185" s="9">
        <f ca="1">DATOSAÑO!CL184</f>
        <v>0</v>
      </c>
      <c r="AR185" s="1300">
        <f ca="1">(AQ185*DATOSAÑO!$Z$11)/DATOSAÑO!$Y$11</f>
        <v>0</v>
      </c>
      <c r="AS185" s="1334">
        <f t="shared" si="8"/>
        <v>25</v>
      </c>
    </row>
    <row r="186" spans="1:45" ht="16.5" customHeight="1" thickBot="1">
      <c r="A186" s="1371">
        <v>45101</v>
      </c>
      <c r="B186" s="1021">
        <v>45101</v>
      </c>
      <c r="C186" s="9">
        <f ca="1">DATOSAÑO!I185</f>
        <v>0</v>
      </c>
      <c r="D186" s="10">
        <f ca="1">DATOSAÑO!$D185</f>
        <v>0</v>
      </c>
      <c r="E186" s="11">
        <f ca="1">DATOSAÑO!$G185</f>
        <v>0</v>
      </c>
      <c r="F186" s="9">
        <f ca="1">DATOSAÑO!P185</f>
        <v>0</v>
      </c>
      <c r="G186" s="10">
        <f ca="1">DATOSAÑO!K185</f>
        <v>0</v>
      </c>
      <c r="H186" s="11">
        <f ca="1">DATOSAÑO!N185</f>
        <v>0</v>
      </c>
      <c r="I186" s="9">
        <f ca="1">DATOSAÑO!Q185</f>
        <v>0</v>
      </c>
      <c r="J186" s="11">
        <f ca="1">DATOSAÑO!R185</f>
        <v>0</v>
      </c>
      <c r="K186" s="9">
        <f ca="1">DATOSAÑO!T185</f>
        <v>0</v>
      </c>
      <c r="L186" s="11">
        <f t="shared" ca="1" si="6"/>
        <v>0</v>
      </c>
      <c r="M186" s="9"/>
      <c r="N186" s="11">
        <f t="shared" si="7"/>
        <v>0</v>
      </c>
      <c r="O186" s="9">
        <f>DATOSAÑO!CT185</f>
        <v>0</v>
      </c>
      <c r="P186" s="9">
        <f>DATOSAÑO!CU185</f>
        <v>0</v>
      </c>
      <c r="Q186" s="9">
        <f ca="1">DATOSAÑO!AD185</f>
        <v>0</v>
      </c>
      <c r="R186" s="11">
        <f ca="1">(Q186*DATOSAÑO!$Z$11)/DATOSAÑO!$Y$11</f>
        <v>0</v>
      </c>
      <c r="S186" s="9">
        <f ca="1">DATOSAÑO!AF185</f>
        <v>0</v>
      </c>
      <c r="T186" s="11">
        <f ca="1">(S186*DATOSAÑO!$Z$11)/DATOSAÑO!$Y$11</f>
        <v>0</v>
      </c>
      <c r="U186" s="9">
        <f ca="1">DATOSAÑO!AH185</f>
        <v>0</v>
      </c>
      <c r="V186" s="11">
        <f ca="1">(U186*DATOSAÑO!$Z$11)/DATOSAÑO!$Y$11</f>
        <v>0</v>
      </c>
      <c r="W186" s="9">
        <f ca="1">DATOSAÑO!AI185</f>
        <v>0</v>
      </c>
      <c r="X186" s="11">
        <f ca="1">(W186*DATOSAÑO!$Z$11)/DATOSAÑO!$Y$11</f>
        <v>0</v>
      </c>
      <c r="Y186" s="9">
        <f ca="1">DATOSAÑO!AJ185</f>
        <v>0</v>
      </c>
      <c r="Z186" s="11">
        <f ca="1">(Y186*DATOSAÑO!$Z$11)/DATOSAÑO!$Y$11</f>
        <v>0</v>
      </c>
      <c r="AA186" s="9">
        <f ca="1">DATOSAÑO!AK185</f>
        <v>0</v>
      </c>
      <c r="AB186" s="11">
        <f ca="1">(AA186*DATOSAÑO!$Z$11)/DATOSAÑO!$Y$11</f>
        <v>0</v>
      </c>
      <c r="AC186" s="9">
        <f ca="1">DATOSAÑO!AL185</f>
        <v>0</v>
      </c>
      <c r="AD186" s="11">
        <f ca="1">(AC186*DATOSAÑO!$Z$11)/DATOSAÑO!$Y$11</f>
        <v>0</v>
      </c>
      <c r="AE186" s="9">
        <f ca="1">DATOSAÑO!AM185</f>
        <v>0</v>
      </c>
      <c r="AF186" s="11">
        <f ca="1">(AE186*DATOSAÑO!$Z$11)/DATOSAÑO!$Y$11</f>
        <v>0</v>
      </c>
      <c r="AG186" s="9">
        <f ca="1">DATOSAÑO!AN185</f>
        <v>0</v>
      </c>
      <c r="AH186" s="11">
        <f ca="1">(AG186*DATOSAÑO!$Z$11)/DATOSAÑO!$Y$11</f>
        <v>0</v>
      </c>
      <c r="AI186" s="9">
        <f ca="1">DATOSAÑO!BS185</f>
        <v>0</v>
      </c>
      <c r="AJ186" s="11">
        <f ca="1">(AI186*DATOSAÑO!$Z$11)/DATOSAÑO!$Y$11</f>
        <v>0</v>
      </c>
      <c r="AK186" s="9">
        <f ca="1">DATOSAÑO!BV185</f>
        <v>0</v>
      </c>
      <c r="AL186" s="11">
        <f ca="1">(AK186*DATOSAÑO!$Z$11)/DATOSAÑO!$Y$11</f>
        <v>0</v>
      </c>
      <c r="AM186" s="9">
        <f ca="1">DATOSAÑO!BY185</f>
        <v>0</v>
      </c>
      <c r="AN186" s="11">
        <f ca="1">(AM186*DATOSAÑO!$Z$11)/DATOSAÑO!$Y$11</f>
        <v>0</v>
      </c>
      <c r="AO186" s="9">
        <f ca="1">DATOSAÑO!CF185</f>
        <v>0</v>
      </c>
      <c r="AP186" s="11">
        <f ca="1">(AO186*DATOSAÑO!$Z$11)/DATOSAÑO!$Y$11</f>
        <v>0</v>
      </c>
      <c r="AQ186" s="9">
        <f ca="1">DATOSAÑO!CL185</f>
        <v>0</v>
      </c>
      <c r="AR186" s="1300">
        <f ca="1">(AQ186*DATOSAÑO!$Z$11)/DATOSAÑO!$Y$11</f>
        <v>0</v>
      </c>
      <c r="AS186" s="1334">
        <f t="shared" si="8"/>
        <v>25</v>
      </c>
    </row>
    <row r="187" spans="1:45" ht="15" thickBot="1">
      <c r="A187" s="1371">
        <v>45102</v>
      </c>
      <c r="B187" s="1021">
        <v>45102</v>
      </c>
      <c r="C187" s="9">
        <f ca="1">DATOSAÑO!I186</f>
        <v>0</v>
      </c>
      <c r="D187" s="10">
        <f ca="1">DATOSAÑO!$D186</f>
        <v>0</v>
      </c>
      <c r="E187" s="11">
        <f ca="1">DATOSAÑO!$G186</f>
        <v>0</v>
      </c>
      <c r="F187" s="9">
        <f ca="1">DATOSAÑO!P186</f>
        <v>0</v>
      </c>
      <c r="G187" s="10">
        <f ca="1">DATOSAÑO!K186</f>
        <v>0</v>
      </c>
      <c r="H187" s="11">
        <f ca="1">DATOSAÑO!N186</f>
        <v>0</v>
      </c>
      <c r="I187" s="9">
        <f ca="1">DATOSAÑO!Q186</f>
        <v>0</v>
      </c>
      <c r="J187" s="11">
        <f ca="1">DATOSAÑO!R186</f>
        <v>0</v>
      </c>
      <c r="K187" s="9">
        <f ca="1">DATOSAÑO!T186</f>
        <v>0</v>
      </c>
      <c r="L187" s="11">
        <f t="shared" ca="1" si="6"/>
        <v>0</v>
      </c>
      <c r="M187" s="9"/>
      <c r="N187" s="11">
        <f t="shared" si="7"/>
        <v>0</v>
      </c>
      <c r="O187" s="9">
        <f>DATOSAÑO!CT186</f>
        <v>0</v>
      </c>
      <c r="P187" s="9">
        <f>DATOSAÑO!CU186</f>
        <v>0</v>
      </c>
      <c r="Q187" s="9">
        <f ca="1">DATOSAÑO!AD186</f>
        <v>0</v>
      </c>
      <c r="R187" s="11">
        <f ca="1">(Q187*DATOSAÑO!$Z$11)/DATOSAÑO!$Y$11</f>
        <v>0</v>
      </c>
      <c r="S187" s="9">
        <f ca="1">DATOSAÑO!AF186</f>
        <v>0</v>
      </c>
      <c r="T187" s="11">
        <f ca="1">(S187*DATOSAÑO!$Z$11)/DATOSAÑO!$Y$11</f>
        <v>0</v>
      </c>
      <c r="U187" s="9">
        <f ca="1">DATOSAÑO!AH186</f>
        <v>0</v>
      </c>
      <c r="V187" s="11">
        <f ca="1">(U187*DATOSAÑO!$Z$11)/DATOSAÑO!$Y$11</f>
        <v>0</v>
      </c>
      <c r="W187" s="9">
        <f ca="1">DATOSAÑO!AI186</f>
        <v>0</v>
      </c>
      <c r="X187" s="11">
        <f ca="1">(W187*DATOSAÑO!$Z$11)/DATOSAÑO!$Y$11</f>
        <v>0</v>
      </c>
      <c r="Y187" s="9">
        <f ca="1">DATOSAÑO!AJ186</f>
        <v>0</v>
      </c>
      <c r="Z187" s="11">
        <f ca="1">(Y187*DATOSAÑO!$Z$11)/DATOSAÑO!$Y$11</f>
        <v>0</v>
      </c>
      <c r="AA187" s="9">
        <f ca="1">DATOSAÑO!AK186</f>
        <v>0</v>
      </c>
      <c r="AB187" s="11">
        <f ca="1">(AA187*DATOSAÑO!$Z$11)/DATOSAÑO!$Y$11</f>
        <v>0</v>
      </c>
      <c r="AC187" s="9">
        <f ca="1">DATOSAÑO!AL186</f>
        <v>0</v>
      </c>
      <c r="AD187" s="11">
        <f ca="1">(AC187*DATOSAÑO!$Z$11)/DATOSAÑO!$Y$11</f>
        <v>0</v>
      </c>
      <c r="AE187" s="9">
        <f ca="1">DATOSAÑO!AM186</f>
        <v>0</v>
      </c>
      <c r="AF187" s="11">
        <f ca="1">(AE187*DATOSAÑO!$Z$11)/DATOSAÑO!$Y$11</f>
        <v>0</v>
      </c>
      <c r="AG187" s="9">
        <f ca="1">DATOSAÑO!AN186</f>
        <v>0</v>
      </c>
      <c r="AH187" s="11">
        <f ca="1">(AG187*DATOSAÑO!$Z$11)/DATOSAÑO!$Y$11</f>
        <v>0</v>
      </c>
      <c r="AI187" s="9">
        <f ca="1">DATOSAÑO!BS186</f>
        <v>0</v>
      </c>
      <c r="AJ187" s="11">
        <f ca="1">(AI187*DATOSAÑO!$Z$11)/DATOSAÑO!$Y$11</f>
        <v>0</v>
      </c>
      <c r="AK187" s="9">
        <f ca="1">DATOSAÑO!BV186</f>
        <v>0</v>
      </c>
      <c r="AL187" s="11">
        <f ca="1">(AK187*DATOSAÑO!$Z$11)/DATOSAÑO!$Y$11</f>
        <v>0</v>
      </c>
      <c r="AM187" s="9">
        <f ca="1">DATOSAÑO!BY186</f>
        <v>0</v>
      </c>
      <c r="AN187" s="11">
        <f ca="1">(AM187*DATOSAÑO!$Z$11)/DATOSAÑO!$Y$11</f>
        <v>0</v>
      </c>
      <c r="AO187" s="9">
        <f ca="1">DATOSAÑO!CF186</f>
        <v>0</v>
      </c>
      <c r="AP187" s="11">
        <f ca="1">(AO187*DATOSAÑO!$Z$11)/DATOSAÑO!$Y$11</f>
        <v>0</v>
      </c>
      <c r="AQ187" s="9">
        <f ca="1">DATOSAÑO!CL186</f>
        <v>0</v>
      </c>
      <c r="AR187" s="1300">
        <f ca="1">(AQ187*DATOSAÑO!$Z$11)/DATOSAÑO!$Y$11</f>
        <v>0</v>
      </c>
      <c r="AS187" s="1334">
        <f t="shared" si="8"/>
        <v>26</v>
      </c>
    </row>
    <row r="188" spans="1:45" ht="16.5" customHeight="1" thickBot="1">
      <c r="A188" s="1371">
        <v>45103</v>
      </c>
      <c r="B188" s="1021">
        <v>45103</v>
      </c>
      <c r="C188" s="9">
        <f ca="1">DATOSAÑO!I187</f>
        <v>0</v>
      </c>
      <c r="D188" s="10">
        <f ca="1">DATOSAÑO!$D187</f>
        <v>0</v>
      </c>
      <c r="E188" s="11">
        <f ca="1">DATOSAÑO!$G187</f>
        <v>0</v>
      </c>
      <c r="F188" s="9">
        <f ca="1">DATOSAÑO!P187</f>
        <v>0</v>
      </c>
      <c r="G188" s="10">
        <f ca="1">DATOSAÑO!K187</f>
        <v>0</v>
      </c>
      <c r="H188" s="11">
        <f ca="1">DATOSAÑO!N187</f>
        <v>0</v>
      </c>
      <c r="I188" s="9">
        <f ca="1">DATOSAÑO!Q187</f>
        <v>0</v>
      </c>
      <c r="J188" s="11">
        <f ca="1">DATOSAÑO!R187</f>
        <v>0</v>
      </c>
      <c r="K188" s="9">
        <f ca="1">DATOSAÑO!T187</f>
        <v>0</v>
      </c>
      <c r="L188" s="11">
        <f t="shared" ca="1" si="6"/>
        <v>0</v>
      </c>
      <c r="M188" s="9"/>
      <c r="N188" s="11">
        <f t="shared" si="7"/>
        <v>0</v>
      </c>
      <c r="O188" s="9">
        <f>DATOSAÑO!CT187</f>
        <v>0</v>
      </c>
      <c r="P188" s="9">
        <f>DATOSAÑO!CU187</f>
        <v>0</v>
      </c>
      <c r="Q188" s="9">
        <f ca="1">DATOSAÑO!AD187</f>
        <v>0</v>
      </c>
      <c r="R188" s="11">
        <f ca="1">(Q188*DATOSAÑO!$Z$11)/DATOSAÑO!$Y$11</f>
        <v>0</v>
      </c>
      <c r="S188" s="9">
        <f ca="1">DATOSAÑO!AF187</f>
        <v>0</v>
      </c>
      <c r="T188" s="11">
        <f ca="1">(S188*DATOSAÑO!$Z$11)/DATOSAÑO!$Y$11</f>
        <v>0</v>
      </c>
      <c r="U188" s="9">
        <f ca="1">DATOSAÑO!AH187</f>
        <v>0</v>
      </c>
      <c r="V188" s="11">
        <f ca="1">(U188*DATOSAÑO!$Z$11)/DATOSAÑO!$Y$11</f>
        <v>0</v>
      </c>
      <c r="W188" s="9">
        <f ca="1">DATOSAÑO!AI187</f>
        <v>0</v>
      </c>
      <c r="X188" s="11">
        <f ca="1">(W188*DATOSAÑO!$Z$11)/DATOSAÑO!$Y$11</f>
        <v>0</v>
      </c>
      <c r="Y188" s="9">
        <f ca="1">DATOSAÑO!AJ187</f>
        <v>0</v>
      </c>
      <c r="Z188" s="11">
        <f ca="1">(Y188*DATOSAÑO!$Z$11)/DATOSAÑO!$Y$11</f>
        <v>0</v>
      </c>
      <c r="AA188" s="9">
        <f ca="1">DATOSAÑO!AK187</f>
        <v>0</v>
      </c>
      <c r="AB188" s="11">
        <f ca="1">(AA188*DATOSAÑO!$Z$11)/DATOSAÑO!$Y$11</f>
        <v>0</v>
      </c>
      <c r="AC188" s="9">
        <f ca="1">DATOSAÑO!AL187</f>
        <v>0</v>
      </c>
      <c r="AD188" s="11">
        <f ca="1">(AC188*DATOSAÑO!$Z$11)/DATOSAÑO!$Y$11</f>
        <v>0</v>
      </c>
      <c r="AE188" s="9">
        <f ca="1">DATOSAÑO!AM187</f>
        <v>0</v>
      </c>
      <c r="AF188" s="11">
        <f ca="1">(AE188*DATOSAÑO!$Z$11)/DATOSAÑO!$Y$11</f>
        <v>0</v>
      </c>
      <c r="AG188" s="9">
        <f ca="1">DATOSAÑO!AN187</f>
        <v>0</v>
      </c>
      <c r="AH188" s="11">
        <f ca="1">(AG188*DATOSAÑO!$Z$11)/DATOSAÑO!$Y$11</f>
        <v>0</v>
      </c>
      <c r="AI188" s="9">
        <f ca="1">DATOSAÑO!BS187</f>
        <v>0</v>
      </c>
      <c r="AJ188" s="11">
        <f ca="1">(AI188*DATOSAÑO!$Z$11)/DATOSAÑO!$Y$11</f>
        <v>0</v>
      </c>
      <c r="AK188" s="9">
        <f ca="1">DATOSAÑO!BV187</f>
        <v>0</v>
      </c>
      <c r="AL188" s="11">
        <f ca="1">(AK188*DATOSAÑO!$Z$11)/DATOSAÑO!$Y$11</f>
        <v>0</v>
      </c>
      <c r="AM188" s="9">
        <f ca="1">DATOSAÑO!BY187</f>
        <v>0</v>
      </c>
      <c r="AN188" s="11">
        <f ca="1">(AM188*DATOSAÑO!$Z$11)/DATOSAÑO!$Y$11</f>
        <v>0</v>
      </c>
      <c r="AO188" s="9">
        <f ca="1">DATOSAÑO!CF187</f>
        <v>0</v>
      </c>
      <c r="AP188" s="11">
        <f ca="1">(AO188*DATOSAÑO!$Z$11)/DATOSAÑO!$Y$11</f>
        <v>0</v>
      </c>
      <c r="AQ188" s="9">
        <f ca="1">DATOSAÑO!CL187</f>
        <v>0</v>
      </c>
      <c r="AR188" s="1300">
        <f ca="1">(AQ188*DATOSAÑO!$Z$11)/DATOSAÑO!$Y$11</f>
        <v>0</v>
      </c>
      <c r="AS188" s="1334">
        <f t="shared" si="8"/>
        <v>26</v>
      </c>
    </row>
    <row r="189" spans="1:45" ht="15" thickBot="1">
      <c r="A189" s="1371">
        <v>45104</v>
      </c>
      <c r="B189" s="1021">
        <v>45104</v>
      </c>
      <c r="C189" s="9">
        <f ca="1">DATOSAÑO!I188</f>
        <v>0</v>
      </c>
      <c r="D189" s="10">
        <f ca="1">DATOSAÑO!$D188</f>
        <v>0</v>
      </c>
      <c r="E189" s="11">
        <f ca="1">DATOSAÑO!$G188</f>
        <v>0</v>
      </c>
      <c r="F189" s="9">
        <f ca="1">DATOSAÑO!P188</f>
        <v>0</v>
      </c>
      <c r="G189" s="10">
        <f ca="1">DATOSAÑO!K188</f>
        <v>0</v>
      </c>
      <c r="H189" s="11">
        <f ca="1">DATOSAÑO!N188</f>
        <v>0</v>
      </c>
      <c r="I189" s="9">
        <f ca="1">DATOSAÑO!Q188</f>
        <v>0</v>
      </c>
      <c r="J189" s="11">
        <f ca="1">DATOSAÑO!R188</f>
        <v>0</v>
      </c>
      <c r="K189" s="9">
        <f ca="1">DATOSAÑO!T188</f>
        <v>0</v>
      </c>
      <c r="L189" s="11">
        <f t="shared" ca="1" si="6"/>
        <v>0</v>
      </c>
      <c r="M189" s="9"/>
      <c r="N189" s="11">
        <f t="shared" si="7"/>
        <v>0</v>
      </c>
      <c r="O189" s="9">
        <f>DATOSAÑO!CT188</f>
        <v>0</v>
      </c>
      <c r="P189" s="9">
        <f>DATOSAÑO!CU188</f>
        <v>0</v>
      </c>
      <c r="Q189" s="9">
        <f ca="1">DATOSAÑO!AD188</f>
        <v>0</v>
      </c>
      <c r="R189" s="11">
        <f ca="1">(Q189*DATOSAÑO!$Z$11)/DATOSAÑO!$Y$11</f>
        <v>0</v>
      </c>
      <c r="S189" s="9">
        <f ca="1">DATOSAÑO!AF188</f>
        <v>0</v>
      </c>
      <c r="T189" s="11">
        <f ca="1">(S189*DATOSAÑO!$Z$11)/DATOSAÑO!$Y$11</f>
        <v>0</v>
      </c>
      <c r="U189" s="9">
        <f ca="1">DATOSAÑO!AH188</f>
        <v>0</v>
      </c>
      <c r="V189" s="11">
        <f ca="1">(U189*DATOSAÑO!$Z$11)/DATOSAÑO!$Y$11</f>
        <v>0</v>
      </c>
      <c r="W189" s="9">
        <f ca="1">DATOSAÑO!AI188</f>
        <v>0</v>
      </c>
      <c r="X189" s="11">
        <f ca="1">(W189*DATOSAÑO!$Z$11)/DATOSAÑO!$Y$11</f>
        <v>0</v>
      </c>
      <c r="Y189" s="9">
        <f ca="1">DATOSAÑO!AJ188</f>
        <v>0</v>
      </c>
      <c r="Z189" s="11">
        <f ca="1">(Y189*DATOSAÑO!$Z$11)/DATOSAÑO!$Y$11</f>
        <v>0</v>
      </c>
      <c r="AA189" s="9">
        <f ca="1">DATOSAÑO!AK188</f>
        <v>0</v>
      </c>
      <c r="AB189" s="11">
        <f ca="1">(AA189*DATOSAÑO!$Z$11)/DATOSAÑO!$Y$11</f>
        <v>0</v>
      </c>
      <c r="AC189" s="9">
        <f ca="1">DATOSAÑO!AL188</f>
        <v>0</v>
      </c>
      <c r="AD189" s="11">
        <f ca="1">(AC189*DATOSAÑO!$Z$11)/DATOSAÑO!$Y$11</f>
        <v>0</v>
      </c>
      <c r="AE189" s="9">
        <f ca="1">DATOSAÑO!AM188</f>
        <v>0</v>
      </c>
      <c r="AF189" s="11">
        <f ca="1">(AE189*DATOSAÑO!$Z$11)/DATOSAÑO!$Y$11</f>
        <v>0</v>
      </c>
      <c r="AG189" s="9">
        <f ca="1">DATOSAÑO!AN188</f>
        <v>0</v>
      </c>
      <c r="AH189" s="11">
        <f ca="1">(AG189*DATOSAÑO!$Z$11)/DATOSAÑO!$Y$11</f>
        <v>0</v>
      </c>
      <c r="AI189" s="9">
        <f ca="1">DATOSAÑO!BS188</f>
        <v>0</v>
      </c>
      <c r="AJ189" s="11">
        <f ca="1">(AI189*DATOSAÑO!$Z$11)/DATOSAÑO!$Y$11</f>
        <v>0</v>
      </c>
      <c r="AK189" s="9">
        <f ca="1">DATOSAÑO!BV188</f>
        <v>0</v>
      </c>
      <c r="AL189" s="11">
        <f ca="1">(AK189*DATOSAÑO!$Z$11)/DATOSAÑO!$Y$11</f>
        <v>0</v>
      </c>
      <c r="AM189" s="9">
        <f ca="1">DATOSAÑO!BY188</f>
        <v>0</v>
      </c>
      <c r="AN189" s="11">
        <f ca="1">(AM189*DATOSAÑO!$Z$11)/DATOSAÑO!$Y$11</f>
        <v>0</v>
      </c>
      <c r="AO189" s="9">
        <f ca="1">DATOSAÑO!CF188</f>
        <v>0</v>
      </c>
      <c r="AP189" s="11">
        <f ca="1">(AO189*DATOSAÑO!$Z$11)/DATOSAÑO!$Y$11</f>
        <v>0</v>
      </c>
      <c r="AQ189" s="9">
        <f ca="1">DATOSAÑO!CL188</f>
        <v>0</v>
      </c>
      <c r="AR189" s="1300">
        <f ca="1">(AQ189*DATOSAÑO!$Z$11)/DATOSAÑO!$Y$11</f>
        <v>0</v>
      </c>
      <c r="AS189" s="1334">
        <f t="shared" si="8"/>
        <v>26</v>
      </c>
    </row>
    <row r="190" spans="1:45" ht="16.5" customHeight="1" thickBot="1">
      <c r="A190" s="1371">
        <v>45105</v>
      </c>
      <c r="B190" s="1021">
        <v>45105</v>
      </c>
      <c r="C190" s="9">
        <f ca="1">DATOSAÑO!I189</f>
        <v>0</v>
      </c>
      <c r="D190" s="10">
        <f ca="1">DATOSAÑO!$D189</f>
        <v>0</v>
      </c>
      <c r="E190" s="11">
        <f ca="1">DATOSAÑO!$G189</f>
        <v>0</v>
      </c>
      <c r="F190" s="9">
        <f ca="1">DATOSAÑO!P189</f>
        <v>0</v>
      </c>
      <c r="G190" s="10">
        <f ca="1">DATOSAÑO!K189</f>
        <v>0</v>
      </c>
      <c r="H190" s="11">
        <f ca="1">DATOSAÑO!N189</f>
        <v>0</v>
      </c>
      <c r="I190" s="9">
        <f ca="1">DATOSAÑO!Q189</f>
        <v>0</v>
      </c>
      <c r="J190" s="11">
        <f ca="1">DATOSAÑO!R189</f>
        <v>0</v>
      </c>
      <c r="K190" s="9">
        <f ca="1">DATOSAÑO!T189</f>
        <v>0</v>
      </c>
      <c r="L190" s="11">
        <f t="shared" ca="1" si="6"/>
        <v>0</v>
      </c>
      <c r="M190" s="9"/>
      <c r="N190" s="11">
        <f t="shared" si="7"/>
        <v>0</v>
      </c>
      <c r="O190" s="9">
        <f>DATOSAÑO!CT189</f>
        <v>0</v>
      </c>
      <c r="P190" s="9">
        <f>DATOSAÑO!CU189</f>
        <v>0</v>
      </c>
      <c r="Q190" s="9">
        <f ca="1">DATOSAÑO!AD189</f>
        <v>0</v>
      </c>
      <c r="R190" s="11">
        <f ca="1">(Q190*DATOSAÑO!$Z$11)/DATOSAÑO!$Y$11</f>
        <v>0</v>
      </c>
      <c r="S190" s="9">
        <f ca="1">DATOSAÑO!AF189</f>
        <v>0</v>
      </c>
      <c r="T190" s="11">
        <f ca="1">(S190*DATOSAÑO!$Z$11)/DATOSAÑO!$Y$11</f>
        <v>0</v>
      </c>
      <c r="U190" s="9">
        <f ca="1">DATOSAÑO!AH189</f>
        <v>0</v>
      </c>
      <c r="V190" s="11">
        <f ca="1">(U190*DATOSAÑO!$Z$11)/DATOSAÑO!$Y$11</f>
        <v>0</v>
      </c>
      <c r="W190" s="9">
        <f ca="1">DATOSAÑO!AI189</f>
        <v>0</v>
      </c>
      <c r="X190" s="11">
        <f ca="1">(W190*DATOSAÑO!$Z$11)/DATOSAÑO!$Y$11</f>
        <v>0</v>
      </c>
      <c r="Y190" s="9">
        <f ca="1">DATOSAÑO!AJ189</f>
        <v>0</v>
      </c>
      <c r="Z190" s="11">
        <f ca="1">(Y190*DATOSAÑO!$Z$11)/DATOSAÑO!$Y$11</f>
        <v>0</v>
      </c>
      <c r="AA190" s="9">
        <f ca="1">DATOSAÑO!AK189</f>
        <v>0</v>
      </c>
      <c r="AB190" s="11">
        <f ca="1">(AA190*DATOSAÑO!$Z$11)/DATOSAÑO!$Y$11</f>
        <v>0</v>
      </c>
      <c r="AC190" s="9">
        <f ca="1">DATOSAÑO!AL189</f>
        <v>0</v>
      </c>
      <c r="AD190" s="11">
        <f ca="1">(AC190*DATOSAÑO!$Z$11)/DATOSAÑO!$Y$11</f>
        <v>0</v>
      </c>
      <c r="AE190" s="9">
        <f ca="1">DATOSAÑO!AM189</f>
        <v>0</v>
      </c>
      <c r="AF190" s="11">
        <f ca="1">(AE190*DATOSAÑO!$Z$11)/DATOSAÑO!$Y$11</f>
        <v>0</v>
      </c>
      <c r="AG190" s="9">
        <f ca="1">DATOSAÑO!AN189</f>
        <v>0</v>
      </c>
      <c r="AH190" s="11">
        <f ca="1">(AG190*DATOSAÑO!$Z$11)/DATOSAÑO!$Y$11</f>
        <v>0</v>
      </c>
      <c r="AI190" s="9">
        <f ca="1">DATOSAÑO!BS189</f>
        <v>0</v>
      </c>
      <c r="AJ190" s="11">
        <f ca="1">(AI190*DATOSAÑO!$Z$11)/DATOSAÑO!$Y$11</f>
        <v>0</v>
      </c>
      <c r="AK190" s="9">
        <f ca="1">DATOSAÑO!BV189</f>
        <v>0</v>
      </c>
      <c r="AL190" s="11">
        <f ca="1">(AK190*DATOSAÑO!$Z$11)/DATOSAÑO!$Y$11</f>
        <v>0</v>
      </c>
      <c r="AM190" s="9">
        <f ca="1">DATOSAÑO!BY189</f>
        <v>0</v>
      </c>
      <c r="AN190" s="11">
        <f ca="1">(AM190*DATOSAÑO!$Z$11)/DATOSAÑO!$Y$11</f>
        <v>0</v>
      </c>
      <c r="AO190" s="9">
        <f ca="1">DATOSAÑO!CF189</f>
        <v>0</v>
      </c>
      <c r="AP190" s="11">
        <f ca="1">(AO190*DATOSAÑO!$Z$11)/DATOSAÑO!$Y$11</f>
        <v>0</v>
      </c>
      <c r="AQ190" s="9">
        <f ca="1">DATOSAÑO!CL189</f>
        <v>0</v>
      </c>
      <c r="AR190" s="1300">
        <f ca="1">(AQ190*DATOSAÑO!$Z$11)/DATOSAÑO!$Y$11</f>
        <v>0</v>
      </c>
      <c r="AS190" s="1334">
        <f t="shared" si="8"/>
        <v>26</v>
      </c>
    </row>
    <row r="191" spans="1:45" ht="15" thickBot="1">
      <c r="A191" s="1371">
        <v>45106</v>
      </c>
      <c r="B191" s="1021">
        <v>45106</v>
      </c>
      <c r="C191" s="9">
        <f ca="1">DATOSAÑO!I190</f>
        <v>0</v>
      </c>
      <c r="D191" s="10">
        <f ca="1">DATOSAÑO!$D190</f>
        <v>0</v>
      </c>
      <c r="E191" s="11">
        <f ca="1">DATOSAÑO!$G190</f>
        <v>0</v>
      </c>
      <c r="F191" s="9">
        <f ca="1">DATOSAÑO!P190</f>
        <v>0</v>
      </c>
      <c r="G191" s="10">
        <f ca="1">DATOSAÑO!K190</f>
        <v>0</v>
      </c>
      <c r="H191" s="11">
        <f ca="1">DATOSAÑO!N190</f>
        <v>0</v>
      </c>
      <c r="I191" s="9">
        <f ca="1">DATOSAÑO!Q190</f>
        <v>0</v>
      </c>
      <c r="J191" s="11">
        <f ca="1">DATOSAÑO!R190</f>
        <v>0</v>
      </c>
      <c r="K191" s="9">
        <f ca="1">DATOSAÑO!T190</f>
        <v>0</v>
      </c>
      <c r="L191" s="11">
        <f t="shared" ca="1" si="6"/>
        <v>0</v>
      </c>
      <c r="M191" s="9"/>
      <c r="N191" s="11">
        <f t="shared" si="7"/>
        <v>0</v>
      </c>
      <c r="O191" s="9">
        <f>DATOSAÑO!CT190</f>
        <v>0</v>
      </c>
      <c r="P191" s="9">
        <f>DATOSAÑO!CU190</f>
        <v>0</v>
      </c>
      <c r="Q191" s="9">
        <f ca="1">DATOSAÑO!AD190</f>
        <v>0</v>
      </c>
      <c r="R191" s="11">
        <f ca="1">(Q191*DATOSAÑO!$Z$11)/DATOSAÑO!$Y$11</f>
        <v>0</v>
      </c>
      <c r="S191" s="9">
        <f ca="1">DATOSAÑO!AF190</f>
        <v>0</v>
      </c>
      <c r="T191" s="11">
        <f ca="1">(S191*DATOSAÑO!$Z$11)/DATOSAÑO!$Y$11</f>
        <v>0</v>
      </c>
      <c r="U191" s="9">
        <f ca="1">DATOSAÑO!AH190</f>
        <v>0</v>
      </c>
      <c r="V191" s="11">
        <f ca="1">(U191*DATOSAÑO!$Z$11)/DATOSAÑO!$Y$11</f>
        <v>0</v>
      </c>
      <c r="W191" s="9">
        <f ca="1">DATOSAÑO!AI190</f>
        <v>0</v>
      </c>
      <c r="X191" s="11">
        <f ca="1">(W191*DATOSAÑO!$Z$11)/DATOSAÑO!$Y$11</f>
        <v>0</v>
      </c>
      <c r="Y191" s="9">
        <f ca="1">DATOSAÑO!AJ190</f>
        <v>0</v>
      </c>
      <c r="Z191" s="11">
        <f ca="1">(Y191*DATOSAÑO!$Z$11)/DATOSAÑO!$Y$11</f>
        <v>0</v>
      </c>
      <c r="AA191" s="9">
        <f ca="1">DATOSAÑO!AK190</f>
        <v>0</v>
      </c>
      <c r="AB191" s="11">
        <f ca="1">(AA191*DATOSAÑO!$Z$11)/DATOSAÑO!$Y$11</f>
        <v>0</v>
      </c>
      <c r="AC191" s="9">
        <f ca="1">DATOSAÑO!AL190</f>
        <v>0</v>
      </c>
      <c r="AD191" s="11">
        <f ca="1">(AC191*DATOSAÑO!$Z$11)/DATOSAÑO!$Y$11</f>
        <v>0</v>
      </c>
      <c r="AE191" s="9">
        <f ca="1">DATOSAÑO!AM190</f>
        <v>0</v>
      </c>
      <c r="AF191" s="11">
        <f ca="1">(AE191*DATOSAÑO!$Z$11)/DATOSAÑO!$Y$11</f>
        <v>0</v>
      </c>
      <c r="AG191" s="9">
        <f ca="1">DATOSAÑO!AN190</f>
        <v>0</v>
      </c>
      <c r="AH191" s="11">
        <f ca="1">(AG191*DATOSAÑO!$Z$11)/DATOSAÑO!$Y$11</f>
        <v>0</v>
      </c>
      <c r="AI191" s="9">
        <f ca="1">DATOSAÑO!BS190</f>
        <v>0</v>
      </c>
      <c r="AJ191" s="11">
        <f ca="1">(AI191*DATOSAÑO!$Z$11)/DATOSAÑO!$Y$11</f>
        <v>0</v>
      </c>
      <c r="AK191" s="9">
        <f ca="1">DATOSAÑO!BV190</f>
        <v>0</v>
      </c>
      <c r="AL191" s="11">
        <f ca="1">(AK191*DATOSAÑO!$Z$11)/DATOSAÑO!$Y$11</f>
        <v>0</v>
      </c>
      <c r="AM191" s="9">
        <f ca="1">DATOSAÑO!BY190</f>
        <v>0</v>
      </c>
      <c r="AN191" s="11">
        <f ca="1">(AM191*DATOSAÑO!$Z$11)/DATOSAÑO!$Y$11</f>
        <v>0</v>
      </c>
      <c r="AO191" s="9">
        <f ca="1">DATOSAÑO!CF190</f>
        <v>0</v>
      </c>
      <c r="AP191" s="11">
        <f ca="1">(AO191*DATOSAÑO!$Z$11)/DATOSAÑO!$Y$11</f>
        <v>0</v>
      </c>
      <c r="AQ191" s="9">
        <f ca="1">DATOSAÑO!CL190</f>
        <v>0</v>
      </c>
      <c r="AR191" s="1300">
        <f ca="1">(AQ191*DATOSAÑO!$Z$11)/DATOSAÑO!$Y$11</f>
        <v>0</v>
      </c>
      <c r="AS191" s="1334">
        <f t="shared" si="8"/>
        <v>26</v>
      </c>
    </row>
    <row r="192" spans="1:45" ht="16.5" customHeight="1" thickBot="1">
      <c r="A192" s="1371">
        <v>45107</v>
      </c>
      <c r="B192" s="1021">
        <v>45107</v>
      </c>
      <c r="C192" s="62">
        <f ca="1">DATOSAÑO!I191</f>
        <v>0</v>
      </c>
      <c r="D192" s="63">
        <f ca="1">DATOSAÑO!$D191</f>
        <v>0</v>
      </c>
      <c r="E192" s="64">
        <f ca="1">DATOSAÑO!$G191</f>
        <v>0</v>
      </c>
      <c r="F192" s="62">
        <f ca="1">DATOSAÑO!P191</f>
        <v>0</v>
      </c>
      <c r="G192" s="63">
        <f ca="1">DATOSAÑO!K191</f>
        <v>0</v>
      </c>
      <c r="H192" s="64">
        <f ca="1">DATOSAÑO!N191</f>
        <v>0</v>
      </c>
      <c r="I192" s="62">
        <f ca="1">DATOSAÑO!Q191</f>
        <v>0</v>
      </c>
      <c r="J192" s="64">
        <f ca="1">DATOSAÑO!R191</f>
        <v>0</v>
      </c>
      <c r="K192" s="9">
        <f ca="1">DATOSAÑO!T191</f>
        <v>0</v>
      </c>
      <c r="L192" s="64">
        <f t="shared" ca="1" si="6"/>
        <v>0</v>
      </c>
      <c r="M192" s="62"/>
      <c r="N192" s="64">
        <f t="shared" si="7"/>
        <v>0</v>
      </c>
      <c r="O192" s="62">
        <f>DATOSAÑO!CT191</f>
        <v>0</v>
      </c>
      <c r="P192" s="61">
        <f>DATOSAÑO!CU191</f>
        <v>0</v>
      </c>
      <c r="Q192" s="9">
        <f ca="1">DATOSAÑO!AD191</f>
        <v>0</v>
      </c>
      <c r="R192" s="64">
        <f ca="1">(Q192*DATOSAÑO!$Z$11)/DATOSAÑO!$Y$11</f>
        <v>0</v>
      </c>
      <c r="S192" s="9">
        <f ca="1">DATOSAÑO!AF191</f>
        <v>0</v>
      </c>
      <c r="T192" s="64">
        <f ca="1">(S192*DATOSAÑO!$Z$11)/DATOSAÑO!$Y$11</f>
        <v>0</v>
      </c>
      <c r="U192" s="9">
        <f ca="1">DATOSAÑO!AH191</f>
        <v>0</v>
      </c>
      <c r="V192" s="64">
        <f ca="1">(U192*DATOSAÑO!$Z$11)/DATOSAÑO!$Y$11</f>
        <v>0</v>
      </c>
      <c r="W192" s="9">
        <f ca="1">DATOSAÑO!AI191</f>
        <v>0</v>
      </c>
      <c r="X192" s="64">
        <f ca="1">(W192*DATOSAÑO!$Z$11)/DATOSAÑO!$Y$11</f>
        <v>0</v>
      </c>
      <c r="Y192" s="9">
        <f ca="1">DATOSAÑO!AJ191</f>
        <v>0</v>
      </c>
      <c r="Z192" s="64">
        <f ca="1">(Y192*DATOSAÑO!$Z$11)/DATOSAÑO!$Y$11</f>
        <v>0</v>
      </c>
      <c r="AA192" s="9">
        <f ca="1">DATOSAÑO!AK191</f>
        <v>0</v>
      </c>
      <c r="AB192" s="64">
        <f ca="1">(AA192*DATOSAÑO!$Z$11)/DATOSAÑO!$Y$11</f>
        <v>0</v>
      </c>
      <c r="AC192" s="9">
        <f ca="1">DATOSAÑO!AL191</f>
        <v>0</v>
      </c>
      <c r="AD192" s="64">
        <f ca="1">(AC192*DATOSAÑO!$Z$11)/DATOSAÑO!$Y$11</f>
        <v>0</v>
      </c>
      <c r="AE192" s="9">
        <f ca="1">DATOSAÑO!AM191</f>
        <v>0</v>
      </c>
      <c r="AF192" s="64">
        <f ca="1">(AE192*DATOSAÑO!$Z$11)/DATOSAÑO!$Y$11</f>
        <v>0</v>
      </c>
      <c r="AG192" s="62">
        <f ca="1">DATOSAÑO!AN191</f>
        <v>0</v>
      </c>
      <c r="AH192" s="64">
        <f ca="1">(AG192*DATOSAÑO!$Z$11)/DATOSAÑO!$Y$11</f>
        <v>0</v>
      </c>
      <c r="AI192" s="62">
        <f ca="1">DATOSAÑO!BS191</f>
        <v>0</v>
      </c>
      <c r="AJ192" s="64">
        <f ca="1">(AI192*DATOSAÑO!$Z$11)/DATOSAÑO!$Y$11</f>
        <v>0</v>
      </c>
      <c r="AK192" s="62">
        <f ca="1">DATOSAÑO!BV191</f>
        <v>0</v>
      </c>
      <c r="AL192" s="64">
        <f ca="1">(AK192*DATOSAÑO!$Z$11)/DATOSAÑO!$Y$11</f>
        <v>0</v>
      </c>
      <c r="AM192" s="62">
        <f ca="1">DATOSAÑO!BY191</f>
        <v>0</v>
      </c>
      <c r="AN192" s="64">
        <f ca="1">(AM192*DATOSAÑO!$Z$11)/DATOSAÑO!$Y$11</f>
        <v>0</v>
      </c>
      <c r="AO192" s="62">
        <f ca="1">DATOSAÑO!CF191</f>
        <v>0</v>
      </c>
      <c r="AP192" s="64">
        <f ca="1">(AO192*DATOSAÑO!$Z$11)/DATOSAÑO!$Y$11</f>
        <v>0</v>
      </c>
      <c r="AQ192" s="62">
        <f ca="1">DATOSAÑO!CL191</f>
        <v>0</v>
      </c>
      <c r="AR192" s="1077">
        <f ca="1">(AQ192*DATOSAÑO!$Z$11)/DATOSAÑO!$Y$11</f>
        <v>0</v>
      </c>
      <c r="AS192" s="1335">
        <f t="shared" si="8"/>
        <v>26</v>
      </c>
    </row>
    <row r="193" spans="1:45" ht="15" thickBot="1">
      <c r="A193" s="1371">
        <v>45108</v>
      </c>
      <c r="B193" s="1021">
        <v>45108</v>
      </c>
      <c r="C193" s="9">
        <f ca="1">DATOSAÑO!I192</f>
        <v>0</v>
      </c>
      <c r="D193" s="10">
        <f ca="1">DATOSAÑO!$D192</f>
        <v>0</v>
      </c>
      <c r="E193" s="11">
        <f ca="1">DATOSAÑO!$G192</f>
        <v>0</v>
      </c>
      <c r="F193" s="9">
        <f ca="1">DATOSAÑO!P192</f>
        <v>0</v>
      </c>
      <c r="G193" s="10">
        <f ca="1">DATOSAÑO!K192</f>
        <v>0</v>
      </c>
      <c r="H193" s="175">
        <f ca="1">DATOSAÑO!N192</f>
        <v>0</v>
      </c>
      <c r="I193" s="173">
        <f ca="1">DATOSAÑO!Q192</f>
        <v>0</v>
      </c>
      <c r="J193" s="175">
        <f ca="1">DATOSAÑO!R192</f>
        <v>0</v>
      </c>
      <c r="K193" s="173">
        <f ca="1">DATOSAÑO!T192</f>
        <v>0</v>
      </c>
      <c r="L193" s="175">
        <f t="shared" ca="1" si="6"/>
        <v>0</v>
      </c>
      <c r="M193" s="173"/>
      <c r="N193" s="175">
        <f t="shared" si="7"/>
        <v>0</v>
      </c>
      <c r="O193" s="9">
        <f>DATOSAÑO!CT192</f>
        <v>0</v>
      </c>
      <c r="P193" s="9">
        <f>DATOSAÑO!CU192</f>
        <v>0</v>
      </c>
      <c r="Q193" s="173">
        <f ca="1">DATOSAÑO!AD192</f>
        <v>0</v>
      </c>
      <c r="R193" s="175">
        <f ca="1">(Q193*DATOSAÑO!$Z$11)/DATOSAÑO!$Y$11</f>
        <v>0</v>
      </c>
      <c r="S193" s="173">
        <f ca="1">DATOSAÑO!AF192</f>
        <v>0</v>
      </c>
      <c r="T193" s="175">
        <f ca="1">(S193*DATOSAÑO!$Z$11)/DATOSAÑO!$Y$11</f>
        <v>0</v>
      </c>
      <c r="U193" s="173">
        <f ca="1">DATOSAÑO!AH192</f>
        <v>0</v>
      </c>
      <c r="V193" s="175">
        <f ca="1">(U193*DATOSAÑO!$Z$11)/DATOSAÑO!$Y$11</f>
        <v>0</v>
      </c>
      <c r="W193" s="173">
        <f ca="1">DATOSAÑO!AI192</f>
        <v>0</v>
      </c>
      <c r="X193" s="175">
        <f ca="1">(W193*DATOSAÑO!$Z$11)/DATOSAÑO!$Y$11</f>
        <v>0</v>
      </c>
      <c r="Y193" s="173">
        <f ca="1">DATOSAÑO!AJ192</f>
        <v>0</v>
      </c>
      <c r="Z193" s="175">
        <f ca="1">(Y193*DATOSAÑO!$Z$11)/DATOSAÑO!$Y$11</f>
        <v>0</v>
      </c>
      <c r="AA193" s="173">
        <f ca="1">DATOSAÑO!AK192</f>
        <v>0</v>
      </c>
      <c r="AB193" s="175">
        <f ca="1">(AA193*DATOSAÑO!$Z$11)/DATOSAÑO!$Y$11</f>
        <v>0</v>
      </c>
      <c r="AC193" s="173">
        <f ca="1">DATOSAÑO!AL192</f>
        <v>0</v>
      </c>
      <c r="AD193" s="175">
        <f ca="1">(AC193*DATOSAÑO!$Z$11)/DATOSAÑO!$Y$11</f>
        <v>0</v>
      </c>
      <c r="AE193" s="173">
        <f ca="1">DATOSAÑO!AM192</f>
        <v>0</v>
      </c>
      <c r="AF193" s="175">
        <f ca="1">(AE193*DATOSAÑO!$Z$11)/DATOSAÑO!$Y$11</f>
        <v>0</v>
      </c>
      <c r="AG193" s="173">
        <f ca="1">DATOSAÑO!AN192</f>
        <v>0</v>
      </c>
      <c r="AH193" s="175">
        <f ca="1">(AG193*DATOSAÑO!$Z$11)/DATOSAÑO!$Y$11</f>
        <v>0</v>
      </c>
      <c r="AI193" s="9">
        <f ca="1">DATOSAÑO!BS192</f>
        <v>0</v>
      </c>
      <c r="AJ193" s="11">
        <f ca="1">(AI193*DATOSAÑO!$Z$11)/DATOSAÑO!$Y$11</f>
        <v>0</v>
      </c>
      <c r="AK193" s="9">
        <f ca="1">DATOSAÑO!BV192</f>
        <v>0</v>
      </c>
      <c r="AL193" s="11">
        <f ca="1">(AK193*DATOSAÑO!$Z$11)/DATOSAÑO!$Y$11</f>
        <v>0</v>
      </c>
      <c r="AM193" s="9">
        <f ca="1">DATOSAÑO!BY192</f>
        <v>0</v>
      </c>
      <c r="AN193" s="11">
        <f ca="1">(AM193*DATOSAÑO!$Z$11)/DATOSAÑO!$Y$11</f>
        <v>0</v>
      </c>
      <c r="AO193" s="9">
        <f ca="1">DATOSAÑO!CF192</f>
        <v>0</v>
      </c>
      <c r="AP193" s="11">
        <f ca="1">(AO193*DATOSAÑO!$Z$11)/DATOSAÑO!$Y$11</f>
        <v>0</v>
      </c>
      <c r="AQ193" s="9">
        <f ca="1">DATOSAÑO!CL192</f>
        <v>0</v>
      </c>
      <c r="AR193" s="1300">
        <f ca="1">(AQ193*DATOSAÑO!$Z$11)/DATOSAÑO!$Y$11</f>
        <v>0</v>
      </c>
      <c r="AS193" s="1369">
        <f t="shared" si="8"/>
        <v>26</v>
      </c>
    </row>
    <row r="194" spans="1:45" ht="16.5" customHeight="1" thickBot="1">
      <c r="A194" s="1371">
        <v>45109</v>
      </c>
      <c r="B194" s="1021">
        <v>45109</v>
      </c>
      <c r="C194" s="9">
        <f ca="1">DATOSAÑO!I193</f>
        <v>0</v>
      </c>
      <c r="D194" s="10">
        <f ca="1">DATOSAÑO!$D193</f>
        <v>0</v>
      </c>
      <c r="E194" s="189">
        <f ca="1">DATOSAÑO!$G193</f>
        <v>0</v>
      </c>
      <c r="F194" s="9">
        <f ca="1">DATOSAÑO!P193</f>
        <v>0</v>
      </c>
      <c r="G194" s="10">
        <f ca="1">DATOSAÑO!K193</f>
        <v>0</v>
      </c>
      <c r="H194" s="11">
        <f ca="1">DATOSAÑO!N193</f>
        <v>0</v>
      </c>
      <c r="I194" s="9">
        <f ca="1">DATOSAÑO!Q193</f>
        <v>0</v>
      </c>
      <c r="J194" s="11">
        <f ca="1">DATOSAÑO!R193</f>
        <v>0</v>
      </c>
      <c r="K194" s="9">
        <f ca="1">DATOSAÑO!T193</f>
        <v>0</v>
      </c>
      <c r="L194" s="11">
        <f t="shared" ca="1" si="6"/>
        <v>0</v>
      </c>
      <c r="M194" s="9"/>
      <c r="N194" s="11">
        <f t="shared" si="7"/>
        <v>0</v>
      </c>
      <c r="O194" s="9">
        <f>DATOSAÑO!CT193</f>
        <v>0</v>
      </c>
      <c r="P194" s="9">
        <f>DATOSAÑO!CU193</f>
        <v>0</v>
      </c>
      <c r="Q194" s="9">
        <f ca="1">DATOSAÑO!AD193</f>
        <v>0</v>
      </c>
      <c r="R194" s="11">
        <f ca="1">(Q194*DATOSAÑO!$Z$11)/DATOSAÑO!$Y$11</f>
        <v>0</v>
      </c>
      <c r="S194" s="9">
        <f ca="1">DATOSAÑO!AF193</f>
        <v>0</v>
      </c>
      <c r="T194" s="11">
        <f ca="1">(S194*DATOSAÑO!$Z$11)/DATOSAÑO!$Y$11</f>
        <v>0</v>
      </c>
      <c r="U194" s="9">
        <f ca="1">DATOSAÑO!AH193</f>
        <v>0</v>
      </c>
      <c r="V194" s="11">
        <f ca="1">(U194*DATOSAÑO!$Z$11)/DATOSAÑO!$Y$11</f>
        <v>0</v>
      </c>
      <c r="W194" s="9">
        <f ca="1">DATOSAÑO!AI193</f>
        <v>0</v>
      </c>
      <c r="X194" s="11">
        <f ca="1">(W194*DATOSAÑO!$Z$11)/DATOSAÑO!$Y$11</f>
        <v>0</v>
      </c>
      <c r="Y194" s="9">
        <f ca="1">DATOSAÑO!AJ193</f>
        <v>0</v>
      </c>
      <c r="Z194" s="11">
        <f ca="1">(Y194*DATOSAÑO!$Z$11)/DATOSAÑO!$Y$11</f>
        <v>0</v>
      </c>
      <c r="AA194" s="9">
        <f ca="1">DATOSAÑO!AK193</f>
        <v>0</v>
      </c>
      <c r="AB194" s="11">
        <f ca="1">(AA194*DATOSAÑO!$Z$11)/DATOSAÑO!$Y$11</f>
        <v>0</v>
      </c>
      <c r="AC194" s="9">
        <f ca="1">DATOSAÑO!AL193</f>
        <v>0</v>
      </c>
      <c r="AD194" s="11">
        <f ca="1">(AC194*DATOSAÑO!$Z$11)/DATOSAÑO!$Y$11</f>
        <v>0</v>
      </c>
      <c r="AE194" s="9">
        <f ca="1">DATOSAÑO!AM193</f>
        <v>0</v>
      </c>
      <c r="AF194" s="11">
        <f ca="1">(AE194*DATOSAÑO!$Z$11)/DATOSAÑO!$Y$11</f>
        <v>0</v>
      </c>
      <c r="AG194" s="9">
        <f ca="1">DATOSAÑO!AN193</f>
        <v>0</v>
      </c>
      <c r="AH194" s="11">
        <f ca="1">(AG194*DATOSAÑO!$Z$11)/DATOSAÑO!$Y$11</f>
        <v>0</v>
      </c>
      <c r="AI194" s="9">
        <f ca="1">DATOSAÑO!BS193</f>
        <v>0</v>
      </c>
      <c r="AJ194" s="11">
        <f ca="1">(AI194*DATOSAÑO!$Z$11)/DATOSAÑO!$Y$11</f>
        <v>0</v>
      </c>
      <c r="AK194" s="9">
        <f ca="1">DATOSAÑO!BV193</f>
        <v>0</v>
      </c>
      <c r="AL194" s="11">
        <f ca="1">(AK194*DATOSAÑO!$Z$11)/DATOSAÑO!$Y$11</f>
        <v>0</v>
      </c>
      <c r="AM194" s="9">
        <f ca="1">DATOSAÑO!BY193</f>
        <v>0</v>
      </c>
      <c r="AN194" s="11">
        <f ca="1">(AM194*DATOSAÑO!$Z$11)/DATOSAÑO!$Y$11</f>
        <v>0</v>
      </c>
      <c r="AO194" s="9">
        <f ca="1">DATOSAÑO!CF193</f>
        <v>0</v>
      </c>
      <c r="AP194" s="11">
        <f ca="1">(AO194*DATOSAÑO!$Z$11)/DATOSAÑO!$Y$11</f>
        <v>0</v>
      </c>
      <c r="AQ194" s="9">
        <f ca="1">DATOSAÑO!CL193</f>
        <v>0</v>
      </c>
      <c r="AR194" s="1300">
        <f ca="1">(AQ194*DATOSAÑO!$Z$11)/DATOSAÑO!$Y$11</f>
        <v>0</v>
      </c>
      <c r="AS194" s="1334">
        <f t="shared" si="8"/>
        <v>27</v>
      </c>
    </row>
    <row r="195" spans="1:45" ht="15" thickBot="1">
      <c r="A195" s="1371">
        <v>45110</v>
      </c>
      <c r="B195" s="1021">
        <v>45110</v>
      </c>
      <c r="C195" s="9">
        <f ca="1">DATOSAÑO!I194</f>
        <v>0</v>
      </c>
      <c r="D195" s="10">
        <f ca="1">DATOSAÑO!$D194</f>
        <v>0</v>
      </c>
      <c r="E195" s="11">
        <f ca="1">DATOSAÑO!$G194</f>
        <v>0</v>
      </c>
      <c r="F195" s="9">
        <f ca="1">DATOSAÑO!P194</f>
        <v>0</v>
      </c>
      <c r="G195" s="10">
        <f ca="1">DATOSAÑO!K194</f>
        <v>0</v>
      </c>
      <c r="H195" s="11">
        <f ca="1">DATOSAÑO!N194</f>
        <v>0</v>
      </c>
      <c r="I195" s="9">
        <f ca="1">DATOSAÑO!Q194</f>
        <v>0</v>
      </c>
      <c r="J195" s="11">
        <f ca="1">DATOSAÑO!R194</f>
        <v>0</v>
      </c>
      <c r="K195" s="9">
        <f ca="1">DATOSAÑO!T194</f>
        <v>0</v>
      </c>
      <c r="L195" s="11">
        <f t="shared" ca="1" si="6"/>
        <v>0</v>
      </c>
      <c r="M195" s="9"/>
      <c r="N195" s="11">
        <f t="shared" si="7"/>
        <v>0</v>
      </c>
      <c r="O195" s="9">
        <f>DATOSAÑO!CT194</f>
        <v>0</v>
      </c>
      <c r="P195" s="9">
        <f>DATOSAÑO!CU194</f>
        <v>0</v>
      </c>
      <c r="Q195" s="9">
        <f ca="1">DATOSAÑO!AD194</f>
        <v>0</v>
      </c>
      <c r="R195" s="11">
        <f ca="1">(Q195*DATOSAÑO!$Z$11)/DATOSAÑO!$Y$11</f>
        <v>0</v>
      </c>
      <c r="S195" s="9">
        <f ca="1">DATOSAÑO!AF194</f>
        <v>0</v>
      </c>
      <c r="T195" s="11">
        <f ca="1">(S195*DATOSAÑO!$Z$11)/DATOSAÑO!$Y$11</f>
        <v>0</v>
      </c>
      <c r="U195" s="9">
        <f ca="1">DATOSAÑO!AH194</f>
        <v>0</v>
      </c>
      <c r="V195" s="11">
        <f ca="1">(U195*DATOSAÑO!$Z$11)/DATOSAÑO!$Y$11</f>
        <v>0</v>
      </c>
      <c r="W195" s="9">
        <f ca="1">DATOSAÑO!AI194</f>
        <v>0</v>
      </c>
      <c r="X195" s="11">
        <f ca="1">(W195*DATOSAÑO!$Z$11)/DATOSAÑO!$Y$11</f>
        <v>0</v>
      </c>
      <c r="Y195" s="9">
        <f ca="1">DATOSAÑO!AJ194</f>
        <v>0</v>
      </c>
      <c r="Z195" s="11">
        <f ca="1">(Y195*DATOSAÑO!$Z$11)/DATOSAÑO!$Y$11</f>
        <v>0</v>
      </c>
      <c r="AA195" s="9">
        <f ca="1">DATOSAÑO!AK194</f>
        <v>0</v>
      </c>
      <c r="AB195" s="11">
        <f ca="1">(AA195*DATOSAÑO!$Z$11)/DATOSAÑO!$Y$11</f>
        <v>0</v>
      </c>
      <c r="AC195" s="9">
        <f ca="1">DATOSAÑO!AL194</f>
        <v>0</v>
      </c>
      <c r="AD195" s="11">
        <f ca="1">(AC195*DATOSAÑO!$Z$11)/DATOSAÑO!$Y$11</f>
        <v>0</v>
      </c>
      <c r="AE195" s="9">
        <f ca="1">DATOSAÑO!AM194</f>
        <v>0</v>
      </c>
      <c r="AF195" s="11">
        <f ca="1">(AE195*DATOSAÑO!$Z$11)/DATOSAÑO!$Y$11</f>
        <v>0</v>
      </c>
      <c r="AG195" s="9">
        <f ca="1">DATOSAÑO!AN194</f>
        <v>0</v>
      </c>
      <c r="AH195" s="11">
        <f ca="1">(AG195*DATOSAÑO!$Z$11)/DATOSAÑO!$Y$11</f>
        <v>0</v>
      </c>
      <c r="AI195" s="9">
        <f ca="1">DATOSAÑO!BS194</f>
        <v>0</v>
      </c>
      <c r="AJ195" s="11">
        <f ca="1">(AI195*DATOSAÑO!$Z$11)/DATOSAÑO!$Y$11</f>
        <v>0</v>
      </c>
      <c r="AK195" s="9">
        <f ca="1">DATOSAÑO!BV194</f>
        <v>0</v>
      </c>
      <c r="AL195" s="11">
        <f ca="1">(AK195*DATOSAÑO!$Z$11)/DATOSAÑO!$Y$11</f>
        <v>0</v>
      </c>
      <c r="AM195" s="9">
        <f ca="1">DATOSAÑO!BY194</f>
        <v>0</v>
      </c>
      <c r="AN195" s="11">
        <f ca="1">(AM195*DATOSAÑO!$Z$11)/DATOSAÑO!$Y$11</f>
        <v>0</v>
      </c>
      <c r="AO195" s="9">
        <f ca="1">DATOSAÑO!CF194</f>
        <v>0</v>
      </c>
      <c r="AP195" s="11">
        <f ca="1">(AO195*DATOSAÑO!$Z$11)/DATOSAÑO!$Y$11</f>
        <v>0</v>
      </c>
      <c r="AQ195" s="9">
        <f ca="1">DATOSAÑO!CL194</f>
        <v>0</v>
      </c>
      <c r="AR195" s="1300">
        <f ca="1">(AQ195*DATOSAÑO!$Z$11)/DATOSAÑO!$Y$11</f>
        <v>0</v>
      </c>
      <c r="AS195" s="1334">
        <f t="shared" si="8"/>
        <v>27</v>
      </c>
    </row>
    <row r="196" spans="1:45" ht="16.5" customHeight="1" thickBot="1">
      <c r="A196" s="1371">
        <v>45111</v>
      </c>
      <c r="B196" s="1021">
        <v>45111</v>
      </c>
      <c r="C196" s="9">
        <f ca="1">DATOSAÑO!I195</f>
        <v>0</v>
      </c>
      <c r="D196" s="10">
        <f ca="1">DATOSAÑO!$D195</f>
        <v>0</v>
      </c>
      <c r="E196" s="11">
        <f ca="1">DATOSAÑO!$G195</f>
        <v>0</v>
      </c>
      <c r="F196" s="9">
        <f ca="1">DATOSAÑO!P195</f>
        <v>0</v>
      </c>
      <c r="G196" s="10">
        <f ca="1">DATOSAÑO!K195</f>
        <v>0</v>
      </c>
      <c r="H196" s="11">
        <f ca="1">DATOSAÑO!N195</f>
        <v>0</v>
      </c>
      <c r="I196" s="9">
        <f ca="1">DATOSAÑO!Q195</f>
        <v>0</v>
      </c>
      <c r="J196" s="11">
        <f ca="1">DATOSAÑO!R195</f>
        <v>0</v>
      </c>
      <c r="K196" s="9">
        <f ca="1">DATOSAÑO!T195</f>
        <v>0</v>
      </c>
      <c r="L196" s="11">
        <f t="shared" ca="1" si="6"/>
        <v>0</v>
      </c>
      <c r="M196" s="9"/>
      <c r="N196" s="11">
        <f t="shared" si="7"/>
        <v>0</v>
      </c>
      <c r="O196" s="9">
        <f>DATOSAÑO!CT195</f>
        <v>0</v>
      </c>
      <c r="P196" s="9">
        <f>DATOSAÑO!CU195</f>
        <v>0</v>
      </c>
      <c r="Q196" s="9">
        <f ca="1">DATOSAÑO!AD195</f>
        <v>0</v>
      </c>
      <c r="R196" s="11">
        <f ca="1">(Q196*DATOSAÑO!$Z$11)/DATOSAÑO!$Y$11</f>
        <v>0</v>
      </c>
      <c r="S196" s="9">
        <f ca="1">DATOSAÑO!AF195</f>
        <v>0</v>
      </c>
      <c r="T196" s="11">
        <f ca="1">(S196*DATOSAÑO!$Z$11)/DATOSAÑO!$Y$11</f>
        <v>0</v>
      </c>
      <c r="U196" s="9">
        <f ca="1">DATOSAÑO!AH195</f>
        <v>0</v>
      </c>
      <c r="V196" s="11">
        <f ca="1">(U196*DATOSAÑO!$Z$11)/DATOSAÑO!$Y$11</f>
        <v>0</v>
      </c>
      <c r="W196" s="9">
        <f ca="1">DATOSAÑO!AI195</f>
        <v>0</v>
      </c>
      <c r="X196" s="11">
        <f ca="1">(W196*DATOSAÑO!$Z$11)/DATOSAÑO!$Y$11</f>
        <v>0</v>
      </c>
      <c r="Y196" s="9">
        <f ca="1">DATOSAÑO!AJ195</f>
        <v>0</v>
      </c>
      <c r="Z196" s="11">
        <f ca="1">(Y196*DATOSAÑO!$Z$11)/DATOSAÑO!$Y$11</f>
        <v>0</v>
      </c>
      <c r="AA196" s="9">
        <f ca="1">DATOSAÑO!AK195</f>
        <v>0</v>
      </c>
      <c r="AB196" s="11">
        <f ca="1">(AA196*DATOSAÑO!$Z$11)/DATOSAÑO!$Y$11</f>
        <v>0</v>
      </c>
      <c r="AC196" s="9">
        <f ca="1">DATOSAÑO!AL195</f>
        <v>0</v>
      </c>
      <c r="AD196" s="11">
        <f ca="1">(AC196*DATOSAÑO!$Z$11)/DATOSAÑO!$Y$11</f>
        <v>0</v>
      </c>
      <c r="AE196" s="9">
        <f ca="1">DATOSAÑO!AM195</f>
        <v>0</v>
      </c>
      <c r="AF196" s="11">
        <f ca="1">(AE196*DATOSAÑO!$Z$11)/DATOSAÑO!$Y$11</f>
        <v>0</v>
      </c>
      <c r="AG196" s="9">
        <f ca="1">DATOSAÑO!AN195</f>
        <v>0</v>
      </c>
      <c r="AH196" s="11">
        <f ca="1">(AG196*DATOSAÑO!$Z$11)/DATOSAÑO!$Y$11</f>
        <v>0</v>
      </c>
      <c r="AI196" s="9">
        <f ca="1">DATOSAÑO!BS195</f>
        <v>0</v>
      </c>
      <c r="AJ196" s="11">
        <f ca="1">(AI196*DATOSAÑO!$Z$11)/DATOSAÑO!$Y$11</f>
        <v>0</v>
      </c>
      <c r="AK196" s="9">
        <f ca="1">DATOSAÑO!BV195</f>
        <v>0</v>
      </c>
      <c r="AL196" s="11">
        <f ca="1">(AK196*DATOSAÑO!$Z$11)/DATOSAÑO!$Y$11</f>
        <v>0</v>
      </c>
      <c r="AM196" s="9">
        <f ca="1">DATOSAÑO!BY195</f>
        <v>0</v>
      </c>
      <c r="AN196" s="11">
        <f ca="1">(AM196*DATOSAÑO!$Z$11)/DATOSAÑO!$Y$11</f>
        <v>0</v>
      </c>
      <c r="AO196" s="9">
        <f ca="1">DATOSAÑO!CF195</f>
        <v>0</v>
      </c>
      <c r="AP196" s="11">
        <f ca="1">(AO196*DATOSAÑO!$Z$11)/DATOSAÑO!$Y$11</f>
        <v>0</v>
      </c>
      <c r="AQ196" s="9">
        <f ca="1">DATOSAÑO!CL195</f>
        <v>0</v>
      </c>
      <c r="AR196" s="1300">
        <f ca="1">(AQ196*DATOSAÑO!$Z$11)/DATOSAÑO!$Y$11</f>
        <v>0</v>
      </c>
      <c r="AS196" s="1334">
        <f t="shared" si="8"/>
        <v>27</v>
      </c>
    </row>
    <row r="197" spans="1:45" ht="15" thickBot="1">
      <c r="A197" s="1371">
        <v>45112</v>
      </c>
      <c r="B197" s="1021">
        <v>45112</v>
      </c>
      <c r="C197" s="9">
        <f ca="1">DATOSAÑO!I196</f>
        <v>0</v>
      </c>
      <c r="D197" s="10">
        <f ca="1">DATOSAÑO!$D196</f>
        <v>0</v>
      </c>
      <c r="E197" s="11">
        <f ca="1">DATOSAÑO!$G196</f>
        <v>0</v>
      </c>
      <c r="F197" s="9">
        <f ca="1">DATOSAÑO!P196</f>
        <v>0</v>
      </c>
      <c r="G197" s="10">
        <f ca="1">DATOSAÑO!K196</f>
        <v>0</v>
      </c>
      <c r="H197" s="11">
        <f ca="1">DATOSAÑO!N196</f>
        <v>0</v>
      </c>
      <c r="I197" s="9">
        <f ca="1">DATOSAÑO!Q196</f>
        <v>0</v>
      </c>
      <c r="J197" s="11">
        <f ca="1">DATOSAÑO!R196</f>
        <v>0</v>
      </c>
      <c r="K197" s="9">
        <f ca="1">DATOSAÑO!T196</f>
        <v>0</v>
      </c>
      <c r="L197" s="11">
        <f t="shared" ca="1" si="6"/>
        <v>0</v>
      </c>
      <c r="M197" s="9"/>
      <c r="N197" s="11">
        <f t="shared" si="7"/>
        <v>0</v>
      </c>
      <c r="O197" s="9">
        <f>DATOSAÑO!CT196</f>
        <v>0</v>
      </c>
      <c r="P197" s="9">
        <f>DATOSAÑO!CU196</f>
        <v>0</v>
      </c>
      <c r="Q197" s="9">
        <f ca="1">DATOSAÑO!AD196</f>
        <v>0</v>
      </c>
      <c r="R197" s="11">
        <f ca="1">(Q197*DATOSAÑO!$Z$11)/DATOSAÑO!$Y$11</f>
        <v>0</v>
      </c>
      <c r="S197" s="9">
        <f ca="1">DATOSAÑO!AF196</f>
        <v>0</v>
      </c>
      <c r="T197" s="11">
        <f ca="1">(S197*DATOSAÑO!$Z$11)/DATOSAÑO!$Y$11</f>
        <v>0</v>
      </c>
      <c r="U197" s="9">
        <f ca="1">DATOSAÑO!AH196</f>
        <v>0</v>
      </c>
      <c r="V197" s="11">
        <f ca="1">(U197*DATOSAÑO!$Z$11)/DATOSAÑO!$Y$11</f>
        <v>0</v>
      </c>
      <c r="W197" s="9">
        <f ca="1">DATOSAÑO!AI196</f>
        <v>0</v>
      </c>
      <c r="X197" s="11">
        <f ca="1">(W197*DATOSAÑO!$Z$11)/DATOSAÑO!$Y$11</f>
        <v>0</v>
      </c>
      <c r="Y197" s="9">
        <f ca="1">DATOSAÑO!AJ196</f>
        <v>0</v>
      </c>
      <c r="Z197" s="11">
        <f ca="1">(Y197*DATOSAÑO!$Z$11)/DATOSAÑO!$Y$11</f>
        <v>0</v>
      </c>
      <c r="AA197" s="9">
        <f ca="1">DATOSAÑO!AK196</f>
        <v>0</v>
      </c>
      <c r="AB197" s="11">
        <f ca="1">(AA197*DATOSAÑO!$Z$11)/DATOSAÑO!$Y$11</f>
        <v>0</v>
      </c>
      <c r="AC197" s="9">
        <f ca="1">DATOSAÑO!AL196</f>
        <v>0</v>
      </c>
      <c r="AD197" s="11">
        <f ca="1">(AC197*DATOSAÑO!$Z$11)/DATOSAÑO!$Y$11</f>
        <v>0</v>
      </c>
      <c r="AE197" s="9">
        <f ca="1">DATOSAÑO!AM196</f>
        <v>0</v>
      </c>
      <c r="AF197" s="11">
        <f ca="1">(AE197*DATOSAÑO!$Z$11)/DATOSAÑO!$Y$11</f>
        <v>0</v>
      </c>
      <c r="AG197" s="9">
        <f ca="1">DATOSAÑO!AN196</f>
        <v>0</v>
      </c>
      <c r="AH197" s="11">
        <f ca="1">(AG197*DATOSAÑO!$Z$11)/DATOSAÑO!$Y$11</f>
        <v>0</v>
      </c>
      <c r="AI197" s="9">
        <f ca="1">DATOSAÑO!BS196</f>
        <v>0</v>
      </c>
      <c r="AJ197" s="11">
        <f ca="1">(AI197*DATOSAÑO!$Z$11)/DATOSAÑO!$Y$11</f>
        <v>0</v>
      </c>
      <c r="AK197" s="9">
        <f ca="1">DATOSAÑO!BV196</f>
        <v>0</v>
      </c>
      <c r="AL197" s="11">
        <f ca="1">(AK197*DATOSAÑO!$Z$11)/DATOSAÑO!$Y$11</f>
        <v>0</v>
      </c>
      <c r="AM197" s="9">
        <f ca="1">DATOSAÑO!BY196</f>
        <v>0</v>
      </c>
      <c r="AN197" s="11">
        <f ca="1">(AM197*DATOSAÑO!$Z$11)/DATOSAÑO!$Y$11</f>
        <v>0</v>
      </c>
      <c r="AO197" s="9">
        <f ca="1">DATOSAÑO!CF196</f>
        <v>0</v>
      </c>
      <c r="AP197" s="11">
        <f ca="1">(AO197*DATOSAÑO!$Z$11)/DATOSAÑO!$Y$11</f>
        <v>0</v>
      </c>
      <c r="AQ197" s="9">
        <f ca="1">DATOSAÑO!CL196</f>
        <v>0</v>
      </c>
      <c r="AR197" s="1300">
        <f ca="1">(AQ197*DATOSAÑO!$Z$11)/DATOSAÑO!$Y$11</f>
        <v>0</v>
      </c>
      <c r="AS197" s="1334">
        <f t="shared" si="8"/>
        <v>27</v>
      </c>
    </row>
    <row r="198" spans="1:45" ht="16.5" customHeight="1" thickBot="1">
      <c r="A198" s="1371">
        <v>45113</v>
      </c>
      <c r="B198" s="1021">
        <v>45113</v>
      </c>
      <c r="C198" s="9">
        <f ca="1">DATOSAÑO!I197</f>
        <v>0</v>
      </c>
      <c r="D198" s="10">
        <f ca="1">DATOSAÑO!$D197</f>
        <v>0</v>
      </c>
      <c r="E198" s="11">
        <f ca="1">DATOSAÑO!$G197</f>
        <v>0</v>
      </c>
      <c r="F198" s="9">
        <f ca="1">DATOSAÑO!P197</f>
        <v>0</v>
      </c>
      <c r="G198" s="10">
        <f ca="1">DATOSAÑO!K197</f>
        <v>0</v>
      </c>
      <c r="H198" s="11">
        <f ca="1">DATOSAÑO!N197</f>
        <v>0</v>
      </c>
      <c r="I198" s="9">
        <f ca="1">DATOSAÑO!Q197</f>
        <v>0</v>
      </c>
      <c r="J198" s="11">
        <f ca="1">DATOSAÑO!R197</f>
        <v>0</v>
      </c>
      <c r="K198" s="9">
        <f ca="1">DATOSAÑO!T197</f>
        <v>0</v>
      </c>
      <c r="L198" s="11">
        <f t="shared" ca="1" si="6"/>
        <v>0</v>
      </c>
      <c r="M198" s="9"/>
      <c r="N198" s="11">
        <f t="shared" si="7"/>
        <v>0</v>
      </c>
      <c r="O198" s="9">
        <f>DATOSAÑO!CT197</f>
        <v>0</v>
      </c>
      <c r="P198" s="9">
        <f>DATOSAÑO!CU197</f>
        <v>0</v>
      </c>
      <c r="Q198" s="9">
        <f ca="1">DATOSAÑO!AD197</f>
        <v>0</v>
      </c>
      <c r="R198" s="11">
        <f ca="1">(Q198*DATOSAÑO!$Z$11)/DATOSAÑO!$Y$11</f>
        <v>0</v>
      </c>
      <c r="S198" s="9">
        <f ca="1">DATOSAÑO!AF197</f>
        <v>0</v>
      </c>
      <c r="T198" s="11">
        <f ca="1">(S198*DATOSAÑO!$Z$11)/DATOSAÑO!$Y$11</f>
        <v>0</v>
      </c>
      <c r="U198" s="9">
        <f ca="1">DATOSAÑO!AH197</f>
        <v>0</v>
      </c>
      <c r="V198" s="11">
        <f ca="1">(U198*DATOSAÑO!$Z$11)/DATOSAÑO!$Y$11</f>
        <v>0</v>
      </c>
      <c r="W198" s="9">
        <f ca="1">DATOSAÑO!AI197</f>
        <v>0</v>
      </c>
      <c r="X198" s="11">
        <f ca="1">(W198*DATOSAÑO!$Z$11)/DATOSAÑO!$Y$11</f>
        <v>0</v>
      </c>
      <c r="Y198" s="9">
        <f ca="1">DATOSAÑO!AJ197</f>
        <v>0</v>
      </c>
      <c r="Z198" s="11">
        <f ca="1">(Y198*DATOSAÑO!$Z$11)/DATOSAÑO!$Y$11</f>
        <v>0</v>
      </c>
      <c r="AA198" s="9">
        <f ca="1">DATOSAÑO!AK197</f>
        <v>0</v>
      </c>
      <c r="AB198" s="11">
        <f ca="1">(AA198*DATOSAÑO!$Z$11)/DATOSAÑO!$Y$11</f>
        <v>0</v>
      </c>
      <c r="AC198" s="9">
        <f ca="1">DATOSAÑO!AL197</f>
        <v>0</v>
      </c>
      <c r="AD198" s="11">
        <f ca="1">(AC198*DATOSAÑO!$Z$11)/DATOSAÑO!$Y$11</f>
        <v>0</v>
      </c>
      <c r="AE198" s="9">
        <f ca="1">DATOSAÑO!AM197</f>
        <v>0</v>
      </c>
      <c r="AF198" s="11">
        <f ca="1">(AE198*DATOSAÑO!$Z$11)/DATOSAÑO!$Y$11</f>
        <v>0</v>
      </c>
      <c r="AG198" s="9">
        <f ca="1">DATOSAÑO!AN197</f>
        <v>0</v>
      </c>
      <c r="AH198" s="11">
        <f ca="1">(AG198*DATOSAÑO!$Z$11)/DATOSAÑO!$Y$11</f>
        <v>0</v>
      </c>
      <c r="AI198" s="9">
        <f ca="1">DATOSAÑO!BS197</f>
        <v>0</v>
      </c>
      <c r="AJ198" s="11">
        <f ca="1">(AI198*DATOSAÑO!$Z$11)/DATOSAÑO!$Y$11</f>
        <v>0</v>
      </c>
      <c r="AK198" s="9">
        <f ca="1">DATOSAÑO!BV197</f>
        <v>0</v>
      </c>
      <c r="AL198" s="11">
        <f ca="1">(AK198*DATOSAÑO!$Z$11)/DATOSAÑO!$Y$11</f>
        <v>0</v>
      </c>
      <c r="AM198" s="9">
        <f ca="1">DATOSAÑO!BY197</f>
        <v>0</v>
      </c>
      <c r="AN198" s="11">
        <f ca="1">(AM198*DATOSAÑO!$Z$11)/DATOSAÑO!$Y$11</f>
        <v>0</v>
      </c>
      <c r="AO198" s="9">
        <f ca="1">DATOSAÑO!CF197</f>
        <v>0</v>
      </c>
      <c r="AP198" s="11">
        <f ca="1">(AO198*DATOSAÑO!$Z$11)/DATOSAÑO!$Y$11</f>
        <v>0</v>
      </c>
      <c r="AQ198" s="9">
        <f ca="1">DATOSAÑO!CL197</f>
        <v>0</v>
      </c>
      <c r="AR198" s="1300">
        <f ca="1">(AQ198*DATOSAÑO!$Z$11)/DATOSAÑO!$Y$11</f>
        <v>0</v>
      </c>
      <c r="AS198" s="1334">
        <f t="shared" si="8"/>
        <v>27</v>
      </c>
    </row>
    <row r="199" spans="1:45" ht="15" thickBot="1">
      <c r="A199" s="1371">
        <v>45114</v>
      </c>
      <c r="B199" s="1021">
        <v>45114</v>
      </c>
      <c r="C199" s="9">
        <f ca="1">DATOSAÑO!I198</f>
        <v>0</v>
      </c>
      <c r="D199" s="10">
        <f ca="1">DATOSAÑO!$D198</f>
        <v>0</v>
      </c>
      <c r="E199" s="11">
        <f ca="1">DATOSAÑO!$G198</f>
        <v>0</v>
      </c>
      <c r="F199" s="9">
        <f ca="1">DATOSAÑO!P198</f>
        <v>0</v>
      </c>
      <c r="G199" s="10">
        <f ca="1">DATOSAÑO!K198</f>
        <v>0</v>
      </c>
      <c r="H199" s="11">
        <f ca="1">DATOSAÑO!N198</f>
        <v>0</v>
      </c>
      <c r="I199" s="9">
        <f ca="1">DATOSAÑO!Q198</f>
        <v>0</v>
      </c>
      <c r="J199" s="11">
        <f ca="1">DATOSAÑO!R198</f>
        <v>0</v>
      </c>
      <c r="K199" s="9">
        <f ca="1">DATOSAÑO!T198</f>
        <v>0</v>
      </c>
      <c r="L199" s="11">
        <f t="shared" ca="1" si="6"/>
        <v>0</v>
      </c>
      <c r="M199" s="9"/>
      <c r="N199" s="11">
        <f t="shared" si="7"/>
        <v>0</v>
      </c>
      <c r="O199" s="9">
        <f>DATOSAÑO!CT198</f>
        <v>0</v>
      </c>
      <c r="P199" s="9">
        <f>DATOSAÑO!CU198</f>
        <v>0</v>
      </c>
      <c r="Q199" s="9">
        <f ca="1">DATOSAÑO!AD198</f>
        <v>0</v>
      </c>
      <c r="R199" s="11">
        <f ca="1">(Q199*DATOSAÑO!$Z$11)/DATOSAÑO!$Y$11</f>
        <v>0</v>
      </c>
      <c r="S199" s="9">
        <f ca="1">DATOSAÑO!AF198</f>
        <v>0</v>
      </c>
      <c r="T199" s="11">
        <f ca="1">(S199*DATOSAÑO!$Z$11)/DATOSAÑO!$Y$11</f>
        <v>0</v>
      </c>
      <c r="U199" s="9">
        <f ca="1">DATOSAÑO!AH198</f>
        <v>0</v>
      </c>
      <c r="V199" s="11">
        <f ca="1">(U199*DATOSAÑO!$Z$11)/DATOSAÑO!$Y$11</f>
        <v>0</v>
      </c>
      <c r="W199" s="9">
        <f ca="1">DATOSAÑO!AI198</f>
        <v>0</v>
      </c>
      <c r="X199" s="11">
        <f ca="1">(W199*DATOSAÑO!$Z$11)/DATOSAÑO!$Y$11</f>
        <v>0</v>
      </c>
      <c r="Y199" s="9">
        <f ca="1">DATOSAÑO!AJ198</f>
        <v>0</v>
      </c>
      <c r="Z199" s="11">
        <f ca="1">(Y199*DATOSAÑO!$Z$11)/DATOSAÑO!$Y$11</f>
        <v>0</v>
      </c>
      <c r="AA199" s="9">
        <f ca="1">DATOSAÑO!AK198</f>
        <v>0</v>
      </c>
      <c r="AB199" s="11">
        <f ca="1">(AA199*DATOSAÑO!$Z$11)/DATOSAÑO!$Y$11</f>
        <v>0</v>
      </c>
      <c r="AC199" s="9">
        <f ca="1">DATOSAÑO!AL198</f>
        <v>0</v>
      </c>
      <c r="AD199" s="11">
        <f ca="1">(AC199*DATOSAÑO!$Z$11)/DATOSAÑO!$Y$11</f>
        <v>0</v>
      </c>
      <c r="AE199" s="9">
        <f ca="1">DATOSAÑO!AM198</f>
        <v>0</v>
      </c>
      <c r="AF199" s="11">
        <f ca="1">(AE199*DATOSAÑO!$Z$11)/DATOSAÑO!$Y$11</f>
        <v>0</v>
      </c>
      <c r="AG199" s="9">
        <f ca="1">DATOSAÑO!AN198</f>
        <v>0</v>
      </c>
      <c r="AH199" s="11">
        <f ca="1">(AG199*DATOSAÑO!$Z$11)/DATOSAÑO!$Y$11</f>
        <v>0</v>
      </c>
      <c r="AI199" s="9">
        <f ca="1">DATOSAÑO!BS198</f>
        <v>0</v>
      </c>
      <c r="AJ199" s="11">
        <f ca="1">(AI199*DATOSAÑO!$Z$11)/DATOSAÑO!$Y$11</f>
        <v>0</v>
      </c>
      <c r="AK199" s="9">
        <f ca="1">DATOSAÑO!BV198</f>
        <v>0</v>
      </c>
      <c r="AL199" s="11">
        <f ca="1">(AK199*DATOSAÑO!$Z$11)/DATOSAÑO!$Y$11</f>
        <v>0</v>
      </c>
      <c r="AM199" s="9">
        <f ca="1">DATOSAÑO!BY198</f>
        <v>0</v>
      </c>
      <c r="AN199" s="11">
        <f ca="1">(AM199*DATOSAÑO!$Z$11)/DATOSAÑO!$Y$11</f>
        <v>0</v>
      </c>
      <c r="AO199" s="9">
        <f ca="1">DATOSAÑO!CF198</f>
        <v>0</v>
      </c>
      <c r="AP199" s="11">
        <f ca="1">(AO199*DATOSAÑO!$Z$11)/DATOSAÑO!$Y$11</f>
        <v>0</v>
      </c>
      <c r="AQ199" s="9">
        <f ca="1">DATOSAÑO!CL198</f>
        <v>0</v>
      </c>
      <c r="AR199" s="1300">
        <f ca="1">(AQ199*DATOSAÑO!$Z$11)/DATOSAÑO!$Y$11</f>
        <v>0</v>
      </c>
      <c r="AS199" s="1334">
        <f t="shared" si="8"/>
        <v>27</v>
      </c>
    </row>
    <row r="200" spans="1:45" ht="16.5" customHeight="1" thickBot="1">
      <c r="A200" s="1371">
        <v>45115</v>
      </c>
      <c r="B200" s="1021">
        <v>45115</v>
      </c>
      <c r="C200" s="9">
        <f ca="1">DATOSAÑO!I199</f>
        <v>0</v>
      </c>
      <c r="D200" s="10">
        <f ca="1">DATOSAÑO!$D199</f>
        <v>0</v>
      </c>
      <c r="E200" s="11">
        <f ca="1">DATOSAÑO!$G199</f>
        <v>0</v>
      </c>
      <c r="F200" s="9">
        <f ca="1">DATOSAÑO!P199</f>
        <v>0</v>
      </c>
      <c r="G200" s="10">
        <f ca="1">DATOSAÑO!K199</f>
        <v>0</v>
      </c>
      <c r="H200" s="11">
        <f ca="1">DATOSAÑO!N199</f>
        <v>0</v>
      </c>
      <c r="I200" s="9">
        <f ca="1">DATOSAÑO!Q199</f>
        <v>0</v>
      </c>
      <c r="J200" s="11">
        <f ca="1">DATOSAÑO!R199</f>
        <v>0</v>
      </c>
      <c r="K200" s="9">
        <f ca="1">DATOSAÑO!T199</f>
        <v>0</v>
      </c>
      <c r="L200" s="11">
        <f t="shared" ca="1" si="6"/>
        <v>0</v>
      </c>
      <c r="M200" s="9"/>
      <c r="N200" s="11">
        <f t="shared" si="7"/>
        <v>0</v>
      </c>
      <c r="O200" s="9">
        <f>DATOSAÑO!CT199</f>
        <v>0</v>
      </c>
      <c r="P200" s="9">
        <f>DATOSAÑO!CU199</f>
        <v>0</v>
      </c>
      <c r="Q200" s="9">
        <f ca="1">DATOSAÑO!AD199</f>
        <v>0</v>
      </c>
      <c r="R200" s="11">
        <f ca="1">(Q200*DATOSAÑO!$Z$11)/DATOSAÑO!$Y$11</f>
        <v>0</v>
      </c>
      <c r="S200" s="9">
        <f ca="1">DATOSAÑO!AF199</f>
        <v>0</v>
      </c>
      <c r="T200" s="11">
        <f ca="1">(S200*DATOSAÑO!$Z$11)/DATOSAÑO!$Y$11</f>
        <v>0</v>
      </c>
      <c r="U200" s="9">
        <f ca="1">DATOSAÑO!AH199</f>
        <v>0</v>
      </c>
      <c r="V200" s="11">
        <f ca="1">(U200*DATOSAÑO!$Z$11)/DATOSAÑO!$Y$11</f>
        <v>0</v>
      </c>
      <c r="W200" s="9">
        <f ca="1">DATOSAÑO!AI199</f>
        <v>0</v>
      </c>
      <c r="X200" s="11">
        <f ca="1">(W200*DATOSAÑO!$Z$11)/DATOSAÑO!$Y$11</f>
        <v>0</v>
      </c>
      <c r="Y200" s="9">
        <f ca="1">DATOSAÑO!AJ199</f>
        <v>0</v>
      </c>
      <c r="Z200" s="11">
        <f ca="1">(Y200*DATOSAÑO!$Z$11)/DATOSAÑO!$Y$11</f>
        <v>0</v>
      </c>
      <c r="AA200" s="9">
        <f ca="1">DATOSAÑO!AK199</f>
        <v>0</v>
      </c>
      <c r="AB200" s="11">
        <f ca="1">(AA200*DATOSAÑO!$Z$11)/DATOSAÑO!$Y$11</f>
        <v>0</v>
      </c>
      <c r="AC200" s="9">
        <f ca="1">DATOSAÑO!AL199</f>
        <v>0</v>
      </c>
      <c r="AD200" s="11">
        <f ca="1">(AC200*DATOSAÑO!$Z$11)/DATOSAÑO!$Y$11</f>
        <v>0</v>
      </c>
      <c r="AE200" s="9">
        <f ca="1">DATOSAÑO!AM199</f>
        <v>0</v>
      </c>
      <c r="AF200" s="11">
        <f ca="1">(AE200*DATOSAÑO!$Z$11)/DATOSAÑO!$Y$11</f>
        <v>0</v>
      </c>
      <c r="AG200" s="9">
        <f ca="1">DATOSAÑO!AN199</f>
        <v>0</v>
      </c>
      <c r="AH200" s="11">
        <f ca="1">(AG200*DATOSAÑO!$Z$11)/DATOSAÑO!$Y$11</f>
        <v>0</v>
      </c>
      <c r="AI200" s="9">
        <f ca="1">DATOSAÑO!BS199</f>
        <v>0</v>
      </c>
      <c r="AJ200" s="11">
        <f ca="1">(AI200*DATOSAÑO!$Z$11)/DATOSAÑO!$Y$11</f>
        <v>0</v>
      </c>
      <c r="AK200" s="9">
        <f ca="1">DATOSAÑO!BV199</f>
        <v>0</v>
      </c>
      <c r="AL200" s="11">
        <f ca="1">(AK200*DATOSAÑO!$Z$11)/DATOSAÑO!$Y$11</f>
        <v>0</v>
      </c>
      <c r="AM200" s="9">
        <f ca="1">DATOSAÑO!BY199</f>
        <v>0</v>
      </c>
      <c r="AN200" s="11">
        <f ca="1">(AM200*DATOSAÑO!$Z$11)/DATOSAÑO!$Y$11</f>
        <v>0</v>
      </c>
      <c r="AO200" s="9">
        <f ca="1">DATOSAÑO!CF199</f>
        <v>0</v>
      </c>
      <c r="AP200" s="11">
        <f ca="1">(AO200*DATOSAÑO!$Z$11)/DATOSAÑO!$Y$11</f>
        <v>0</v>
      </c>
      <c r="AQ200" s="9">
        <f ca="1">DATOSAÑO!CL199</f>
        <v>0</v>
      </c>
      <c r="AR200" s="1300">
        <f ca="1">(AQ200*DATOSAÑO!$Z$11)/DATOSAÑO!$Y$11</f>
        <v>0</v>
      </c>
      <c r="AS200" s="1334">
        <f t="shared" si="8"/>
        <v>27</v>
      </c>
    </row>
    <row r="201" spans="1:45" ht="15" thickBot="1">
      <c r="A201" s="1371">
        <v>45116</v>
      </c>
      <c r="B201" s="1021">
        <v>45116</v>
      </c>
      <c r="C201" s="9">
        <f ca="1">DATOSAÑO!I200</f>
        <v>0</v>
      </c>
      <c r="D201" s="10">
        <f ca="1">DATOSAÑO!$D200</f>
        <v>0</v>
      </c>
      <c r="E201" s="11">
        <f ca="1">DATOSAÑO!$G200</f>
        <v>0</v>
      </c>
      <c r="F201" s="9">
        <f ca="1">DATOSAÑO!P200</f>
        <v>0</v>
      </c>
      <c r="G201" s="10">
        <f ca="1">DATOSAÑO!K200</f>
        <v>0</v>
      </c>
      <c r="H201" s="11">
        <f ca="1">DATOSAÑO!N200</f>
        <v>0</v>
      </c>
      <c r="I201" s="9">
        <f ca="1">DATOSAÑO!Q200</f>
        <v>0</v>
      </c>
      <c r="J201" s="11">
        <f ca="1">DATOSAÑO!R200</f>
        <v>0</v>
      </c>
      <c r="K201" s="9">
        <f ca="1">DATOSAÑO!T200</f>
        <v>0</v>
      </c>
      <c r="L201" s="11">
        <f t="shared" ca="1" si="6"/>
        <v>0</v>
      </c>
      <c r="M201" s="9"/>
      <c r="N201" s="11">
        <f t="shared" si="7"/>
        <v>0</v>
      </c>
      <c r="O201" s="9">
        <f>DATOSAÑO!CT200</f>
        <v>0</v>
      </c>
      <c r="P201" s="9">
        <f>DATOSAÑO!CU200</f>
        <v>0</v>
      </c>
      <c r="Q201" s="9">
        <f ca="1">DATOSAÑO!AD200</f>
        <v>0</v>
      </c>
      <c r="R201" s="11">
        <f ca="1">(Q201*DATOSAÑO!$Z$11)/DATOSAÑO!$Y$11</f>
        <v>0</v>
      </c>
      <c r="S201" s="9">
        <f ca="1">DATOSAÑO!AF200</f>
        <v>0</v>
      </c>
      <c r="T201" s="11">
        <f ca="1">(S201*DATOSAÑO!$Z$11)/DATOSAÑO!$Y$11</f>
        <v>0</v>
      </c>
      <c r="U201" s="9">
        <f ca="1">DATOSAÑO!AH200</f>
        <v>0</v>
      </c>
      <c r="V201" s="11">
        <f ca="1">(U201*DATOSAÑO!$Z$11)/DATOSAÑO!$Y$11</f>
        <v>0</v>
      </c>
      <c r="W201" s="9">
        <f ca="1">DATOSAÑO!AI200</f>
        <v>0</v>
      </c>
      <c r="X201" s="11">
        <f ca="1">(W201*DATOSAÑO!$Z$11)/DATOSAÑO!$Y$11</f>
        <v>0</v>
      </c>
      <c r="Y201" s="9">
        <f ca="1">DATOSAÑO!AJ200</f>
        <v>0</v>
      </c>
      <c r="Z201" s="11">
        <f ca="1">(Y201*DATOSAÑO!$Z$11)/DATOSAÑO!$Y$11</f>
        <v>0</v>
      </c>
      <c r="AA201" s="9">
        <f ca="1">DATOSAÑO!AK200</f>
        <v>0</v>
      </c>
      <c r="AB201" s="11">
        <f ca="1">(AA201*DATOSAÑO!$Z$11)/DATOSAÑO!$Y$11</f>
        <v>0</v>
      </c>
      <c r="AC201" s="9">
        <f ca="1">DATOSAÑO!AL200</f>
        <v>0</v>
      </c>
      <c r="AD201" s="11">
        <f ca="1">(AC201*DATOSAÑO!$Z$11)/DATOSAÑO!$Y$11</f>
        <v>0</v>
      </c>
      <c r="AE201" s="9">
        <f ca="1">DATOSAÑO!AM200</f>
        <v>0</v>
      </c>
      <c r="AF201" s="11">
        <f ca="1">(AE201*DATOSAÑO!$Z$11)/DATOSAÑO!$Y$11</f>
        <v>0</v>
      </c>
      <c r="AG201" s="9">
        <f ca="1">DATOSAÑO!AN200</f>
        <v>0</v>
      </c>
      <c r="AH201" s="11">
        <f ca="1">(AG201*DATOSAÑO!$Z$11)/DATOSAÑO!$Y$11</f>
        <v>0</v>
      </c>
      <c r="AI201" s="9">
        <f ca="1">DATOSAÑO!BS200</f>
        <v>0</v>
      </c>
      <c r="AJ201" s="11">
        <f ca="1">(AI201*DATOSAÑO!$Z$11)/DATOSAÑO!$Y$11</f>
        <v>0</v>
      </c>
      <c r="AK201" s="9">
        <f ca="1">DATOSAÑO!BV200</f>
        <v>0</v>
      </c>
      <c r="AL201" s="11">
        <f ca="1">(AK201*DATOSAÑO!$Z$11)/DATOSAÑO!$Y$11</f>
        <v>0</v>
      </c>
      <c r="AM201" s="9">
        <f ca="1">DATOSAÑO!BY200</f>
        <v>0</v>
      </c>
      <c r="AN201" s="11">
        <f ca="1">(AM201*DATOSAÑO!$Z$11)/DATOSAÑO!$Y$11</f>
        <v>0</v>
      </c>
      <c r="AO201" s="9">
        <f ca="1">DATOSAÑO!CF200</f>
        <v>0</v>
      </c>
      <c r="AP201" s="11">
        <f ca="1">(AO201*DATOSAÑO!$Z$11)/DATOSAÑO!$Y$11</f>
        <v>0</v>
      </c>
      <c r="AQ201" s="9">
        <f ca="1">DATOSAÑO!CL200</f>
        <v>0</v>
      </c>
      <c r="AR201" s="1300">
        <f ca="1">(AQ201*DATOSAÑO!$Z$11)/DATOSAÑO!$Y$11</f>
        <v>0</v>
      </c>
      <c r="AS201" s="1334">
        <f t="shared" si="8"/>
        <v>28</v>
      </c>
    </row>
    <row r="202" spans="1:45" ht="16.5" customHeight="1" thickBot="1">
      <c r="A202" s="1371">
        <v>45117</v>
      </c>
      <c r="B202" s="1021">
        <v>45117</v>
      </c>
      <c r="C202" s="9">
        <f ca="1">DATOSAÑO!I201</f>
        <v>0</v>
      </c>
      <c r="D202" s="10">
        <f ca="1">DATOSAÑO!$D201</f>
        <v>0</v>
      </c>
      <c r="E202" s="11">
        <f ca="1">DATOSAÑO!$G201</f>
        <v>0</v>
      </c>
      <c r="F202" s="9">
        <f ca="1">DATOSAÑO!P201</f>
        <v>0</v>
      </c>
      <c r="G202" s="10">
        <f ca="1">DATOSAÑO!K201</f>
        <v>0</v>
      </c>
      <c r="H202" s="11">
        <f ca="1">DATOSAÑO!N201</f>
        <v>0</v>
      </c>
      <c r="I202" s="9">
        <f ca="1">DATOSAÑO!Q201</f>
        <v>0</v>
      </c>
      <c r="J202" s="11">
        <f ca="1">DATOSAÑO!R201</f>
        <v>0</v>
      </c>
      <c r="K202" s="9">
        <f ca="1">DATOSAÑO!T201</f>
        <v>0</v>
      </c>
      <c r="L202" s="11">
        <f t="shared" ca="1" si="6"/>
        <v>0</v>
      </c>
      <c r="M202" s="9"/>
      <c r="N202" s="11">
        <f t="shared" si="7"/>
        <v>0</v>
      </c>
      <c r="O202" s="9">
        <f>DATOSAÑO!CT201</f>
        <v>0</v>
      </c>
      <c r="P202" s="9">
        <f>DATOSAÑO!CU201</f>
        <v>0</v>
      </c>
      <c r="Q202" s="9">
        <f ca="1">DATOSAÑO!AD201</f>
        <v>0</v>
      </c>
      <c r="R202" s="11">
        <f ca="1">(Q202*DATOSAÑO!$Z$11)/DATOSAÑO!$Y$11</f>
        <v>0</v>
      </c>
      <c r="S202" s="9">
        <f ca="1">DATOSAÑO!AF201</f>
        <v>0</v>
      </c>
      <c r="T202" s="11">
        <f ca="1">(S202*DATOSAÑO!$Z$11)/DATOSAÑO!$Y$11</f>
        <v>0</v>
      </c>
      <c r="U202" s="9">
        <f ca="1">DATOSAÑO!AH201</f>
        <v>0</v>
      </c>
      <c r="V202" s="11">
        <f ca="1">(U202*DATOSAÑO!$Z$11)/DATOSAÑO!$Y$11</f>
        <v>0</v>
      </c>
      <c r="W202" s="9">
        <f ca="1">DATOSAÑO!AI201</f>
        <v>0</v>
      </c>
      <c r="X202" s="11">
        <f ca="1">(W202*DATOSAÑO!$Z$11)/DATOSAÑO!$Y$11</f>
        <v>0</v>
      </c>
      <c r="Y202" s="9">
        <f ca="1">DATOSAÑO!AJ201</f>
        <v>0</v>
      </c>
      <c r="Z202" s="11">
        <f ca="1">(Y202*DATOSAÑO!$Z$11)/DATOSAÑO!$Y$11</f>
        <v>0</v>
      </c>
      <c r="AA202" s="9">
        <f ca="1">DATOSAÑO!AK201</f>
        <v>0</v>
      </c>
      <c r="AB202" s="11">
        <f ca="1">(AA202*DATOSAÑO!$Z$11)/DATOSAÑO!$Y$11</f>
        <v>0</v>
      </c>
      <c r="AC202" s="9">
        <f ca="1">DATOSAÑO!AL201</f>
        <v>0</v>
      </c>
      <c r="AD202" s="11">
        <f ca="1">(AC202*DATOSAÑO!$Z$11)/DATOSAÑO!$Y$11</f>
        <v>0</v>
      </c>
      <c r="AE202" s="9">
        <f ca="1">DATOSAÑO!AM201</f>
        <v>0</v>
      </c>
      <c r="AF202" s="11">
        <f ca="1">(AE202*DATOSAÑO!$Z$11)/DATOSAÑO!$Y$11</f>
        <v>0</v>
      </c>
      <c r="AG202" s="9">
        <f ca="1">DATOSAÑO!AN201</f>
        <v>0</v>
      </c>
      <c r="AH202" s="11">
        <f ca="1">(AG202*DATOSAÑO!$Z$11)/DATOSAÑO!$Y$11</f>
        <v>0</v>
      </c>
      <c r="AI202" s="9">
        <f ca="1">DATOSAÑO!BS201</f>
        <v>0</v>
      </c>
      <c r="AJ202" s="11">
        <f ca="1">(AI202*DATOSAÑO!$Z$11)/DATOSAÑO!$Y$11</f>
        <v>0</v>
      </c>
      <c r="AK202" s="9">
        <f ca="1">DATOSAÑO!BV201</f>
        <v>0</v>
      </c>
      <c r="AL202" s="11">
        <f ca="1">(AK202*DATOSAÑO!$Z$11)/DATOSAÑO!$Y$11</f>
        <v>0</v>
      </c>
      <c r="AM202" s="9">
        <f ca="1">DATOSAÑO!BY201</f>
        <v>0</v>
      </c>
      <c r="AN202" s="11">
        <f ca="1">(AM202*DATOSAÑO!$Z$11)/DATOSAÑO!$Y$11</f>
        <v>0</v>
      </c>
      <c r="AO202" s="9">
        <f ca="1">DATOSAÑO!CF201</f>
        <v>0</v>
      </c>
      <c r="AP202" s="11">
        <f ca="1">(AO202*DATOSAÑO!$Z$11)/DATOSAÑO!$Y$11</f>
        <v>0</v>
      </c>
      <c r="AQ202" s="9">
        <f ca="1">DATOSAÑO!CL201</f>
        <v>0</v>
      </c>
      <c r="AR202" s="1300">
        <f ca="1">(AQ202*DATOSAÑO!$Z$11)/DATOSAÑO!$Y$11</f>
        <v>0</v>
      </c>
      <c r="AS202" s="1334">
        <f t="shared" si="8"/>
        <v>28</v>
      </c>
    </row>
    <row r="203" spans="1:45" ht="15" thickBot="1">
      <c r="A203" s="1371">
        <v>45118</v>
      </c>
      <c r="B203" s="1021">
        <v>45118</v>
      </c>
      <c r="C203" s="9">
        <f ca="1">DATOSAÑO!I202</f>
        <v>0</v>
      </c>
      <c r="D203" s="10">
        <f ca="1">DATOSAÑO!$D202</f>
        <v>0</v>
      </c>
      <c r="E203" s="11">
        <f ca="1">DATOSAÑO!$G202</f>
        <v>0</v>
      </c>
      <c r="F203" s="9">
        <f ca="1">DATOSAÑO!P202</f>
        <v>0</v>
      </c>
      <c r="G203" s="10">
        <f ca="1">DATOSAÑO!K202</f>
        <v>0</v>
      </c>
      <c r="H203" s="11">
        <f ca="1">DATOSAÑO!N202</f>
        <v>0</v>
      </c>
      <c r="I203" s="9">
        <f ca="1">DATOSAÑO!Q202</f>
        <v>0</v>
      </c>
      <c r="J203" s="11">
        <f ca="1">DATOSAÑO!R202</f>
        <v>0</v>
      </c>
      <c r="K203" s="9">
        <f ca="1">DATOSAÑO!T202</f>
        <v>0</v>
      </c>
      <c r="L203" s="11">
        <f t="shared" ca="1" si="6"/>
        <v>0</v>
      </c>
      <c r="M203" s="9"/>
      <c r="N203" s="11">
        <f t="shared" si="7"/>
        <v>0</v>
      </c>
      <c r="O203" s="9">
        <f>DATOSAÑO!CT202</f>
        <v>0</v>
      </c>
      <c r="P203" s="9">
        <f>DATOSAÑO!CU202</f>
        <v>0</v>
      </c>
      <c r="Q203" s="9">
        <f ca="1">DATOSAÑO!AD202</f>
        <v>0</v>
      </c>
      <c r="R203" s="11">
        <f ca="1">(Q203*DATOSAÑO!$Z$11)/DATOSAÑO!$Y$11</f>
        <v>0</v>
      </c>
      <c r="S203" s="9">
        <f ca="1">DATOSAÑO!AF202</f>
        <v>0</v>
      </c>
      <c r="T203" s="11">
        <f ca="1">(S203*DATOSAÑO!$Z$11)/DATOSAÑO!$Y$11</f>
        <v>0</v>
      </c>
      <c r="U203" s="9">
        <f ca="1">DATOSAÑO!AH202</f>
        <v>0</v>
      </c>
      <c r="V203" s="11">
        <f ca="1">(U203*DATOSAÑO!$Z$11)/DATOSAÑO!$Y$11</f>
        <v>0</v>
      </c>
      <c r="W203" s="9">
        <f ca="1">DATOSAÑO!AI202</f>
        <v>0</v>
      </c>
      <c r="X203" s="11">
        <f ca="1">(W203*DATOSAÑO!$Z$11)/DATOSAÑO!$Y$11</f>
        <v>0</v>
      </c>
      <c r="Y203" s="9">
        <f ca="1">DATOSAÑO!AJ202</f>
        <v>0</v>
      </c>
      <c r="Z203" s="11">
        <f ca="1">(Y203*DATOSAÑO!$Z$11)/DATOSAÑO!$Y$11</f>
        <v>0</v>
      </c>
      <c r="AA203" s="9">
        <f ca="1">DATOSAÑO!AK202</f>
        <v>0</v>
      </c>
      <c r="AB203" s="11">
        <f ca="1">(AA203*DATOSAÑO!$Z$11)/DATOSAÑO!$Y$11</f>
        <v>0</v>
      </c>
      <c r="AC203" s="9">
        <f ca="1">DATOSAÑO!AL202</f>
        <v>0</v>
      </c>
      <c r="AD203" s="11">
        <f ca="1">(AC203*DATOSAÑO!$Z$11)/DATOSAÑO!$Y$11</f>
        <v>0</v>
      </c>
      <c r="AE203" s="9">
        <f ca="1">DATOSAÑO!AM202</f>
        <v>0</v>
      </c>
      <c r="AF203" s="11">
        <f ca="1">(AE203*DATOSAÑO!$Z$11)/DATOSAÑO!$Y$11</f>
        <v>0</v>
      </c>
      <c r="AG203" s="9">
        <f ca="1">DATOSAÑO!AN202</f>
        <v>0</v>
      </c>
      <c r="AH203" s="11">
        <f ca="1">(AG203*DATOSAÑO!$Z$11)/DATOSAÑO!$Y$11</f>
        <v>0</v>
      </c>
      <c r="AI203" s="9">
        <f ca="1">DATOSAÑO!BS202</f>
        <v>0</v>
      </c>
      <c r="AJ203" s="11">
        <f ca="1">(AI203*DATOSAÑO!$Z$11)/DATOSAÑO!$Y$11</f>
        <v>0</v>
      </c>
      <c r="AK203" s="9">
        <f ca="1">DATOSAÑO!BV202</f>
        <v>0</v>
      </c>
      <c r="AL203" s="11">
        <f ca="1">(AK203*DATOSAÑO!$Z$11)/DATOSAÑO!$Y$11</f>
        <v>0</v>
      </c>
      <c r="AM203" s="9">
        <f ca="1">DATOSAÑO!BY202</f>
        <v>0</v>
      </c>
      <c r="AN203" s="11">
        <f ca="1">(AM203*DATOSAÑO!$Z$11)/DATOSAÑO!$Y$11</f>
        <v>0</v>
      </c>
      <c r="AO203" s="9">
        <f ca="1">DATOSAÑO!CF202</f>
        <v>0</v>
      </c>
      <c r="AP203" s="11">
        <f ca="1">(AO203*DATOSAÑO!$Z$11)/DATOSAÑO!$Y$11</f>
        <v>0</v>
      </c>
      <c r="AQ203" s="9">
        <f ca="1">DATOSAÑO!CL202</f>
        <v>0</v>
      </c>
      <c r="AR203" s="1300">
        <f ca="1">(AQ203*DATOSAÑO!$Z$11)/DATOSAÑO!$Y$11</f>
        <v>0</v>
      </c>
      <c r="AS203" s="1334">
        <f t="shared" si="8"/>
        <v>28</v>
      </c>
    </row>
    <row r="204" spans="1:45" ht="16.5" customHeight="1" thickBot="1">
      <c r="A204" s="1371">
        <v>45119</v>
      </c>
      <c r="B204" s="1021">
        <v>45119</v>
      </c>
      <c r="C204" s="9">
        <f ca="1">DATOSAÑO!I203</f>
        <v>0</v>
      </c>
      <c r="D204" s="10">
        <f ca="1">DATOSAÑO!$D203</f>
        <v>0</v>
      </c>
      <c r="E204" s="11">
        <f ca="1">DATOSAÑO!$G203</f>
        <v>0</v>
      </c>
      <c r="F204" s="9">
        <f ca="1">DATOSAÑO!P203</f>
        <v>0</v>
      </c>
      <c r="G204" s="10">
        <f ca="1">DATOSAÑO!K203</f>
        <v>0</v>
      </c>
      <c r="H204" s="11">
        <f ca="1">DATOSAÑO!N203</f>
        <v>0</v>
      </c>
      <c r="I204" s="9">
        <f ca="1">DATOSAÑO!Q203</f>
        <v>0</v>
      </c>
      <c r="J204" s="11">
        <f ca="1">DATOSAÑO!R203</f>
        <v>0</v>
      </c>
      <c r="K204" s="9">
        <f ca="1">DATOSAÑO!T203</f>
        <v>0</v>
      </c>
      <c r="L204" s="11">
        <f t="shared" ref="L204:L267" ca="1" si="9">K204*120</f>
        <v>0</v>
      </c>
      <c r="M204" s="9"/>
      <c r="N204" s="11">
        <f t="shared" ref="N204:N267" si="10">M204*120</f>
        <v>0</v>
      </c>
      <c r="O204" s="9">
        <f>DATOSAÑO!CT203</f>
        <v>0</v>
      </c>
      <c r="P204" s="9">
        <f>DATOSAÑO!CU203</f>
        <v>0</v>
      </c>
      <c r="Q204" s="9">
        <f ca="1">DATOSAÑO!AD203</f>
        <v>0</v>
      </c>
      <c r="R204" s="11">
        <f ca="1">(Q204*DATOSAÑO!$Z$11)/DATOSAÑO!$Y$11</f>
        <v>0</v>
      </c>
      <c r="S204" s="9">
        <f ca="1">DATOSAÑO!AF203</f>
        <v>0</v>
      </c>
      <c r="T204" s="11">
        <f ca="1">(S204*DATOSAÑO!$Z$11)/DATOSAÑO!$Y$11</f>
        <v>0</v>
      </c>
      <c r="U204" s="9">
        <f ca="1">DATOSAÑO!AH203</f>
        <v>0</v>
      </c>
      <c r="V204" s="11">
        <f ca="1">(U204*DATOSAÑO!$Z$11)/DATOSAÑO!$Y$11</f>
        <v>0</v>
      </c>
      <c r="W204" s="9">
        <f ca="1">DATOSAÑO!AI203</f>
        <v>0</v>
      </c>
      <c r="X204" s="11">
        <f ca="1">(W204*DATOSAÑO!$Z$11)/DATOSAÑO!$Y$11</f>
        <v>0</v>
      </c>
      <c r="Y204" s="9">
        <f ca="1">DATOSAÑO!AJ203</f>
        <v>0</v>
      </c>
      <c r="Z204" s="11">
        <f ca="1">(Y204*DATOSAÑO!$Z$11)/DATOSAÑO!$Y$11</f>
        <v>0</v>
      </c>
      <c r="AA204" s="9">
        <f ca="1">DATOSAÑO!AK203</f>
        <v>0</v>
      </c>
      <c r="AB204" s="11">
        <f ca="1">(AA204*DATOSAÑO!$Z$11)/DATOSAÑO!$Y$11</f>
        <v>0</v>
      </c>
      <c r="AC204" s="9">
        <f ca="1">DATOSAÑO!AL203</f>
        <v>0</v>
      </c>
      <c r="AD204" s="11">
        <f ca="1">(AC204*DATOSAÑO!$Z$11)/DATOSAÑO!$Y$11</f>
        <v>0</v>
      </c>
      <c r="AE204" s="9">
        <f ca="1">DATOSAÑO!AM203</f>
        <v>0</v>
      </c>
      <c r="AF204" s="11">
        <f ca="1">(AE204*DATOSAÑO!$Z$11)/DATOSAÑO!$Y$11</f>
        <v>0</v>
      </c>
      <c r="AG204" s="9">
        <f ca="1">DATOSAÑO!AN203</f>
        <v>0</v>
      </c>
      <c r="AH204" s="11">
        <f ca="1">(AG204*DATOSAÑO!$Z$11)/DATOSAÑO!$Y$11</f>
        <v>0</v>
      </c>
      <c r="AI204" s="9">
        <f ca="1">DATOSAÑO!BS203</f>
        <v>0</v>
      </c>
      <c r="AJ204" s="11">
        <f ca="1">(AI204*DATOSAÑO!$Z$11)/DATOSAÑO!$Y$11</f>
        <v>0</v>
      </c>
      <c r="AK204" s="9">
        <f ca="1">DATOSAÑO!BV203</f>
        <v>0</v>
      </c>
      <c r="AL204" s="11">
        <f ca="1">(AK204*DATOSAÑO!$Z$11)/DATOSAÑO!$Y$11</f>
        <v>0</v>
      </c>
      <c r="AM204" s="9">
        <f ca="1">DATOSAÑO!BY203</f>
        <v>0</v>
      </c>
      <c r="AN204" s="11">
        <f ca="1">(AM204*DATOSAÑO!$Z$11)/DATOSAÑO!$Y$11</f>
        <v>0</v>
      </c>
      <c r="AO204" s="9">
        <f ca="1">DATOSAÑO!CF203</f>
        <v>0</v>
      </c>
      <c r="AP204" s="11">
        <f ca="1">(AO204*DATOSAÑO!$Z$11)/DATOSAÑO!$Y$11</f>
        <v>0</v>
      </c>
      <c r="AQ204" s="9">
        <f ca="1">DATOSAÑO!CL203</f>
        <v>0</v>
      </c>
      <c r="AR204" s="1300">
        <f ca="1">(AQ204*DATOSAÑO!$Z$11)/DATOSAÑO!$Y$11</f>
        <v>0</v>
      </c>
      <c r="AS204" s="1334">
        <f t="shared" si="8"/>
        <v>28</v>
      </c>
    </row>
    <row r="205" spans="1:45" ht="15" thickBot="1">
      <c r="A205" s="1371">
        <v>45120</v>
      </c>
      <c r="B205" s="1021">
        <v>45120</v>
      </c>
      <c r="C205" s="9">
        <f ca="1">DATOSAÑO!I204</f>
        <v>0</v>
      </c>
      <c r="D205" s="10">
        <f ca="1">DATOSAÑO!$D204</f>
        <v>0</v>
      </c>
      <c r="E205" s="11">
        <f ca="1">DATOSAÑO!$G204</f>
        <v>0</v>
      </c>
      <c r="F205" s="9">
        <f ca="1">DATOSAÑO!P204</f>
        <v>0</v>
      </c>
      <c r="G205" s="10">
        <f ca="1">DATOSAÑO!K204</f>
        <v>0</v>
      </c>
      <c r="H205" s="11">
        <f ca="1">DATOSAÑO!N204</f>
        <v>0</v>
      </c>
      <c r="I205" s="9">
        <f ca="1">DATOSAÑO!Q204</f>
        <v>0</v>
      </c>
      <c r="J205" s="11">
        <f ca="1">DATOSAÑO!R204</f>
        <v>0</v>
      </c>
      <c r="K205" s="9">
        <f ca="1">DATOSAÑO!T204</f>
        <v>0</v>
      </c>
      <c r="L205" s="11">
        <f t="shared" ca="1" si="9"/>
        <v>0</v>
      </c>
      <c r="M205" s="9"/>
      <c r="N205" s="11">
        <f t="shared" si="10"/>
        <v>0</v>
      </c>
      <c r="O205" s="9">
        <f>DATOSAÑO!CT204</f>
        <v>0</v>
      </c>
      <c r="P205" s="9">
        <f>DATOSAÑO!CU204</f>
        <v>0</v>
      </c>
      <c r="Q205" s="9">
        <f ca="1">DATOSAÑO!AD204</f>
        <v>0</v>
      </c>
      <c r="R205" s="11">
        <f ca="1">(Q205*DATOSAÑO!$Z$11)/DATOSAÑO!$Y$11</f>
        <v>0</v>
      </c>
      <c r="S205" s="9">
        <f ca="1">DATOSAÑO!AF204</f>
        <v>0</v>
      </c>
      <c r="T205" s="11">
        <f ca="1">(S205*DATOSAÑO!$Z$11)/DATOSAÑO!$Y$11</f>
        <v>0</v>
      </c>
      <c r="U205" s="9">
        <f ca="1">DATOSAÑO!AH204</f>
        <v>0</v>
      </c>
      <c r="V205" s="11">
        <f ca="1">(U205*DATOSAÑO!$Z$11)/DATOSAÑO!$Y$11</f>
        <v>0</v>
      </c>
      <c r="W205" s="9">
        <f ca="1">DATOSAÑO!AI204</f>
        <v>0</v>
      </c>
      <c r="X205" s="11">
        <f ca="1">(W205*DATOSAÑO!$Z$11)/DATOSAÑO!$Y$11</f>
        <v>0</v>
      </c>
      <c r="Y205" s="9">
        <f ca="1">DATOSAÑO!AJ204</f>
        <v>0</v>
      </c>
      <c r="Z205" s="11">
        <f ca="1">(Y205*DATOSAÑO!$Z$11)/DATOSAÑO!$Y$11</f>
        <v>0</v>
      </c>
      <c r="AA205" s="9">
        <f ca="1">DATOSAÑO!AK204</f>
        <v>0</v>
      </c>
      <c r="AB205" s="11">
        <f ca="1">(AA205*DATOSAÑO!$Z$11)/DATOSAÑO!$Y$11</f>
        <v>0</v>
      </c>
      <c r="AC205" s="9">
        <f ca="1">DATOSAÑO!AL204</f>
        <v>0</v>
      </c>
      <c r="AD205" s="11">
        <f ca="1">(AC205*DATOSAÑO!$Z$11)/DATOSAÑO!$Y$11</f>
        <v>0</v>
      </c>
      <c r="AE205" s="9">
        <f ca="1">DATOSAÑO!AM204</f>
        <v>0</v>
      </c>
      <c r="AF205" s="11">
        <f ca="1">(AE205*DATOSAÑO!$Z$11)/DATOSAÑO!$Y$11</f>
        <v>0</v>
      </c>
      <c r="AG205" s="9">
        <f ca="1">DATOSAÑO!AN204</f>
        <v>0</v>
      </c>
      <c r="AH205" s="11">
        <f ca="1">(AG205*DATOSAÑO!$Z$11)/DATOSAÑO!$Y$11</f>
        <v>0</v>
      </c>
      <c r="AI205" s="9">
        <f ca="1">DATOSAÑO!BS204</f>
        <v>0</v>
      </c>
      <c r="AJ205" s="11">
        <f ca="1">(AI205*DATOSAÑO!$Z$11)/DATOSAÑO!$Y$11</f>
        <v>0</v>
      </c>
      <c r="AK205" s="9">
        <f ca="1">DATOSAÑO!BV204</f>
        <v>0</v>
      </c>
      <c r="AL205" s="11">
        <f ca="1">(AK205*DATOSAÑO!$Z$11)/DATOSAÑO!$Y$11</f>
        <v>0</v>
      </c>
      <c r="AM205" s="9">
        <f ca="1">DATOSAÑO!BY204</f>
        <v>0</v>
      </c>
      <c r="AN205" s="11">
        <f ca="1">(AM205*DATOSAÑO!$Z$11)/DATOSAÑO!$Y$11</f>
        <v>0</v>
      </c>
      <c r="AO205" s="9">
        <f ca="1">DATOSAÑO!CF204</f>
        <v>0</v>
      </c>
      <c r="AP205" s="11">
        <f ca="1">(AO205*DATOSAÑO!$Z$11)/DATOSAÑO!$Y$11</f>
        <v>0</v>
      </c>
      <c r="AQ205" s="9">
        <f ca="1">DATOSAÑO!CL204</f>
        <v>0</v>
      </c>
      <c r="AR205" s="1300">
        <f ca="1">(AQ205*DATOSAÑO!$Z$11)/DATOSAÑO!$Y$11</f>
        <v>0</v>
      </c>
      <c r="AS205" s="1334">
        <f t="shared" ref="AS205:AS268" si="11">WEEKNUM(B205,1)</f>
        <v>28</v>
      </c>
    </row>
    <row r="206" spans="1:45" ht="16.5" customHeight="1" thickBot="1">
      <c r="A206" s="1371">
        <v>45121</v>
      </c>
      <c r="B206" s="1021">
        <v>45121</v>
      </c>
      <c r="C206" s="9">
        <f ca="1">DATOSAÑO!I205</f>
        <v>0</v>
      </c>
      <c r="D206" s="10">
        <f ca="1">DATOSAÑO!$D205</f>
        <v>0</v>
      </c>
      <c r="E206" s="11">
        <f ca="1">DATOSAÑO!$G205</f>
        <v>0</v>
      </c>
      <c r="F206" s="9">
        <f ca="1">DATOSAÑO!P205</f>
        <v>0</v>
      </c>
      <c r="G206" s="10">
        <f ca="1">DATOSAÑO!K205</f>
        <v>0</v>
      </c>
      <c r="H206" s="11">
        <f ca="1">DATOSAÑO!N205</f>
        <v>0</v>
      </c>
      <c r="I206" s="9">
        <f ca="1">DATOSAÑO!Q205</f>
        <v>0</v>
      </c>
      <c r="J206" s="11">
        <f ca="1">DATOSAÑO!R205</f>
        <v>0</v>
      </c>
      <c r="K206" s="9">
        <f ca="1">DATOSAÑO!T205</f>
        <v>0</v>
      </c>
      <c r="L206" s="11">
        <f t="shared" ca="1" si="9"/>
        <v>0</v>
      </c>
      <c r="M206" s="9"/>
      <c r="N206" s="11">
        <f t="shared" si="10"/>
        <v>0</v>
      </c>
      <c r="O206" s="9">
        <f>DATOSAÑO!CT205</f>
        <v>0</v>
      </c>
      <c r="P206" s="9">
        <f>DATOSAÑO!CU205</f>
        <v>0</v>
      </c>
      <c r="Q206" s="9">
        <f ca="1">DATOSAÑO!AD205</f>
        <v>0</v>
      </c>
      <c r="R206" s="11">
        <f ca="1">(Q206*DATOSAÑO!$Z$11)/DATOSAÑO!$Y$11</f>
        <v>0</v>
      </c>
      <c r="S206" s="9">
        <f ca="1">DATOSAÑO!AF205</f>
        <v>0</v>
      </c>
      <c r="T206" s="11">
        <f ca="1">(S206*DATOSAÑO!$Z$11)/DATOSAÑO!$Y$11</f>
        <v>0</v>
      </c>
      <c r="U206" s="9">
        <f ca="1">DATOSAÑO!AH205</f>
        <v>0</v>
      </c>
      <c r="V206" s="11">
        <f ca="1">(U206*DATOSAÑO!$Z$11)/DATOSAÑO!$Y$11</f>
        <v>0</v>
      </c>
      <c r="W206" s="9">
        <f ca="1">DATOSAÑO!AI205</f>
        <v>0</v>
      </c>
      <c r="X206" s="11">
        <f ca="1">(W206*DATOSAÑO!$Z$11)/DATOSAÑO!$Y$11</f>
        <v>0</v>
      </c>
      <c r="Y206" s="9">
        <f ca="1">DATOSAÑO!AJ205</f>
        <v>0</v>
      </c>
      <c r="Z206" s="11">
        <f ca="1">(Y206*DATOSAÑO!$Z$11)/DATOSAÑO!$Y$11</f>
        <v>0</v>
      </c>
      <c r="AA206" s="9">
        <f ca="1">DATOSAÑO!AK205</f>
        <v>0</v>
      </c>
      <c r="AB206" s="11">
        <f ca="1">(AA206*DATOSAÑO!$Z$11)/DATOSAÑO!$Y$11</f>
        <v>0</v>
      </c>
      <c r="AC206" s="9">
        <f ca="1">DATOSAÑO!AL205</f>
        <v>0</v>
      </c>
      <c r="AD206" s="11">
        <f ca="1">(AC206*DATOSAÑO!$Z$11)/DATOSAÑO!$Y$11</f>
        <v>0</v>
      </c>
      <c r="AE206" s="9">
        <f ca="1">DATOSAÑO!AM205</f>
        <v>0</v>
      </c>
      <c r="AF206" s="11">
        <f ca="1">(AE206*DATOSAÑO!$Z$11)/DATOSAÑO!$Y$11</f>
        <v>0</v>
      </c>
      <c r="AG206" s="9">
        <f ca="1">DATOSAÑO!AN205</f>
        <v>0</v>
      </c>
      <c r="AH206" s="11">
        <f ca="1">(AG206*DATOSAÑO!$Z$11)/DATOSAÑO!$Y$11</f>
        <v>0</v>
      </c>
      <c r="AI206" s="9">
        <f ca="1">DATOSAÑO!BS205</f>
        <v>0</v>
      </c>
      <c r="AJ206" s="11">
        <f ca="1">(AI206*DATOSAÑO!$Z$11)/DATOSAÑO!$Y$11</f>
        <v>0</v>
      </c>
      <c r="AK206" s="9">
        <f ca="1">DATOSAÑO!BV205</f>
        <v>0</v>
      </c>
      <c r="AL206" s="11">
        <f ca="1">(AK206*DATOSAÑO!$Z$11)/DATOSAÑO!$Y$11</f>
        <v>0</v>
      </c>
      <c r="AM206" s="9">
        <f ca="1">DATOSAÑO!BY205</f>
        <v>0</v>
      </c>
      <c r="AN206" s="11">
        <f ca="1">(AM206*DATOSAÑO!$Z$11)/DATOSAÑO!$Y$11</f>
        <v>0</v>
      </c>
      <c r="AO206" s="9">
        <f ca="1">DATOSAÑO!CF205</f>
        <v>0</v>
      </c>
      <c r="AP206" s="11">
        <f ca="1">(AO206*DATOSAÑO!$Z$11)/DATOSAÑO!$Y$11</f>
        <v>0</v>
      </c>
      <c r="AQ206" s="9">
        <f ca="1">DATOSAÑO!CL205</f>
        <v>0</v>
      </c>
      <c r="AR206" s="1300">
        <f ca="1">(AQ206*DATOSAÑO!$Z$11)/DATOSAÑO!$Y$11</f>
        <v>0</v>
      </c>
      <c r="AS206" s="1334">
        <f t="shared" si="11"/>
        <v>28</v>
      </c>
    </row>
    <row r="207" spans="1:45" ht="15" thickBot="1">
      <c r="A207" s="1371">
        <v>45122</v>
      </c>
      <c r="B207" s="1021">
        <v>45122</v>
      </c>
      <c r="C207" s="9">
        <f ca="1">DATOSAÑO!I206</f>
        <v>0</v>
      </c>
      <c r="D207" s="10">
        <f ca="1">DATOSAÑO!$D206</f>
        <v>0</v>
      </c>
      <c r="E207" s="11">
        <f ca="1">DATOSAÑO!$G206</f>
        <v>0</v>
      </c>
      <c r="F207" s="9">
        <f ca="1">DATOSAÑO!P206</f>
        <v>0</v>
      </c>
      <c r="G207" s="10">
        <f ca="1">DATOSAÑO!K206</f>
        <v>0</v>
      </c>
      <c r="H207" s="11">
        <f ca="1">DATOSAÑO!N206</f>
        <v>0</v>
      </c>
      <c r="I207" s="9">
        <f ca="1">DATOSAÑO!Q206</f>
        <v>0</v>
      </c>
      <c r="J207" s="11">
        <f ca="1">DATOSAÑO!R206</f>
        <v>0</v>
      </c>
      <c r="K207" s="9">
        <f ca="1">DATOSAÑO!T206</f>
        <v>0</v>
      </c>
      <c r="L207" s="11">
        <f t="shared" ca="1" si="9"/>
        <v>0</v>
      </c>
      <c r="M207" s="9"/>
      <c r="N207" s="11">
        <f t="shared" si="10"/>
        <v>0</v>
      </c>
      <c r="O207" s="9">
        <f>DATOSAÑO!CT206</f>
        <v>0</v>
      </c>
      <c r="P207" s="9">
        <f>DATOSAÑO!CU206</f>
        <v>0</v>
      </c>
      <c r="Q207" s="9">
        <f ca="1">DATOSAÑO!AD206</f>
        <v>0</v>
      </c>
      <c r="R207" s="11">
        <f ca="1">(Q207*DATOSAÑO!$Z$11)/DATOSAÑO!$Y$11</f>
        <v>0</v>
      </c>
      <c r="S207" s="9">
        <f ca="1">DATOSAÑO!AF206</f>
        <v>0</v>
      </c>
      <c r="T207" s="11">
        <f ca="1">(S207*DATOSAÑO!$Z$11)/DATOSAÑO!$Y$11</f>
        <v>0</v>
      </c>
      <c r="U207" s="9">
        <f ca="1">DATOSAÑO!AH206</f>
        <v>0</v>
      </c>
      <c r="V207" s="11">
        <f ca="1">(U207*DATOSAÑO!$Z$11)/DATOSAÑO!$Y$11</f>
        <v>0</v>
      </c>
      <c r="W207" s="9">
        <f ca="1">DATOSAÑO!AI206</f>
        <v>0</v>
      </c>
      <c r="X207" s="11">
        <f ca="1">(W207*DATOSAÑO!$Z$11)/DATOSAÑO!$Y$11</f>
        <v>0</v>
      </c>
      <c r="Y207" s="9">
        <f ca="1">DATOSAÑO!AJ206</f>
        <v>0</v>
      </c>
      <c r="Z207" s="11">
        <f ca="1">(Y207*DATOSAÑO!$Z$11)/DATOSAÑO!$Y$11</f>
        <v>0</v>
      </c>
      <c r="AA207" s="9">
        <f ca="1">DATOSAÑO!AK206</f>
        <v>0</v>
      </c>
      <c r="AB207" s="11">
        <f ca="1">(AA207*DATOSAÑO!$Z$11)/DATOSAÑO!$Y$11</f>
        <v>0</v>
      </c>
      <c r="AC207" s="9">
        <f ca="1">DATOSAÑO!AL206</f>
        <v>0</v>
      </c>
      <c r="AD207" s="11">
        <f ca="1">(AC207*DATOSAÑO!$Z$11)/DATOSAÑO!$Y$11</f>
        <v>0</v>
      </c>
      <c r="AE207" s="9">
        <f ca="1">DATOSAÑO!AM206</f>
        <v>0</v>
      </c>
      <c r="AF207" s="11">
        <f ca="1">(AE207*DATOSAÑO!$Z$11)/DATOSAÑO!$Y$11</f>
        <v>0</v>
      </c>
      <c r="AG207" s="9">
        <f ca="1">DATOSAÑO!AN206</f>
        <v>0</v>
      </c>
      <c r="AH207" s="11">
        <f ca="1">(AG207*DATOSAÑO!$Z$11)/DATOSAÑO!$Y$11</f>
        <v>0</v>
      </c>
      <c r="AI207" s="9">
        <f ca="1">DATOSAÑO!BS206</f>
        <v>0</v>
      </c>
      <c r="AJ207" s="11">
        <f ca="1">(AI207*DATOSAÑO!$Z$11)/DATOSAÑO!$Y$11</f>
        <v>0</v>
      </c>
      <c r="AK207" s="9">
        <f ca="1">DATOSAÑO!BV206</f>
        <v>0</v>
      </c>
      <c r="AL207" s="11">
        <f ca="1">(AK207*DATOSAÑO!$Z$11)/DATOSAÑO!$Y$11</f>
        <v>0</v>
      </c>
      <c r="AM207" s="9">
        <f ca="1">DATOSAÑO!BY206</f>
        <v>0</v>
      </c>
      <c r="AN207" s="11">
        <f ca="1">(AM207*DATOSAÑO!$Z$11)/DATOSAÑO!$Y$11</f>
        <v>0</v>
      </c>
      <c r="AO207" s="9">
        <f ca="1">DATOSAÑO!CF206</f>
        <v>0</v>
      </c>
      <c r="AP207" s="11">
        <f ca="1">(AO207*DATOSAÑO!$Z$11)/DATOSAÑO!$Y$11</f>
        <v>0</v>
      </c>
      <c r="AQ207" s="9">
        <f ca="1">DATOSAÑO!CL206</f>
        <v>0</v>
      </c>
      <c r="AR207" s="1300">
        <f ca="1">(AQ207*DATOSAÑO!$Z$11)/DATOSAÑO!$Y$11</f>
        <v>0</v>
      </c>
      <c r="AS207" s="1334">
        <f t="shared" si="11"/>
        <v>28</v>
      </c>
    </row>
    <row r="208" spans="1:45" ht="16.5" customHeight="1" thickBot="1">
      <c r="A208" s="1371">
        <v>45123</v>
      </c>
      <c r="B208" s="1021">
        <v>45123</v>
      </c>
      <c r="C208" s="9">
        <f ca="1">DATOSAÑO!I207</f>
        <v>0</v>
      </c>
      <c r="D208" s="10">
        <f ca="1">DATOSAÑO!$D207</f>
        <v>0</v>
      </c>
      <c r="E208" s="11">
        <f ca="1">DATOSAÑO!$G207</f>
        <v>0</v>
      </c>
      <c r="F208" s="9">
        <f ca="1">DATOSAÑO!P207</f>
        <v>0</v>
      </c>
      <c r="G208" s="10">
        <f ca="1">DATOSAÑO!K207</f>
        <v>0</v>
      </c>
      <c r="H208" s="11">
        <f ca="1">DATOSAÑO!N207</f>
        <v>0</v>
      </c>
      <c r="I208" s="9">
        <f ca="1">DATOSAÑO!Q207</f>
        <v>0</v>
      </c>
      <c r="J208" s="11">
        <f ca="1">DATOSAÑO!R207</f>
        <v>0</v>
      </c>
      <c r="K208" s="9">
        <f ca="1">DATOSAÑO!T207</f>
        <v>0</v>
      </c>
      <c r="L208" s="11">
        <f t="shared" ca="1" si="9"/>
        <v>0</v>
      </c>
      <c r="M208" s="9"/>
      <c r="N208" s="11">
        <f t="shared" si="10"/>
        <v>0</v>
      </c>
      <c r="O208" s="9">
        <f>DATOSAÑO!CT207</f>
        <v>0</v>
      </c>
      <c r="P208" s="9">
        <f>DATOSAÑO!CU207</f>
        <v>0</v>
      </c>
      <c r="Q208" s="9">
        <f ca="1">DATOSAÑO!AD207</f>
        <v>0</v>
      </c>
      <c r="R208" s="11">
        <f ca="1">(Q208*DATOSAÑO!$Z$11)/DATOSAÑO!$Y$11</f>
        <v>0</v>
      </c>
      <c r="S208" s="9">
        <f ca="1">DATOSAÑO!AF207</f>
        <v>0</v>
      </c>
      <c r="T208" s="11">
        <f ca="1">(S208*DATOSAÑO!$Z$11)/DATOSAÑO!$Y$11</f>
        <v>0</v>
      </c>
      <c r="U208" s="9">
        <f ca="1">DATOSAÑO!AH207</f>
        <v>0</v>
      </c>
      <c r="V208" s="11">
        <f ca="1">(U208*DATOSAÑO!$Z$11)/DATOSAÑO!$Y$11</f>
        <v>0</v>
      </c>
      <c r="W208" s="9">
        <f ca="1">DATOSAÑO!AI207</f>
        <v>0</v>
      </c>
      <c r="X208" s="11">
        <f ca="1">(W208*DATOSAÑO!$Z$11)/DATOSAÑO!$Y$11</f>
        <v>0</v>
      </c>
      <c r="Y208" s="9">
        <f ca="1">DATOSAÑO!AJ207</f>
        <v>0</v>
      </c>
      <c r="Z208" s="11">
        <f ca="1">(Y208*DATOSAÑO!$Z$11)/DATOSAÑO!$Y$11</f>
        <v>0</v>
      </c>
      <c r="AA208" s="9">
        <f ca="1">DATOSAÑO!AK207</f>
        <v>0</v>
      </c>
      <c r="AB208" s="11">
        <f ca="1">(AA208*DATOSAÑO!$Z$11)/DATOSAÑO!$Y$11</f>
        <v>0</v>
      </c>
      <c r="AC208" s="9">
        <f ca="1">DATOSAÑO!AL207</f>
        <v>0</v>
      </c>
      <c r="AD208" s="11">
        <f ca="1">(AC208*DATOSAÑO!$Z$11)/DATOSAÑO!$Y$11</f>
        <v>0</v>
      </c>
      <c r="AE208" s="9">
        <f ca="1">DATOSAÑO!AM207</f>
        <v>0</v>
      </c>
      <c r="AF208" s="11">
        <f ca="1">(AE208*DATOSAÑO!$Z$11)/DATOSAÑO!$Y$11</f>
        <v>0</v>
      </c>
      <c r="AG208" s="9">
        <f ca="1">DATOSAÑO!AN207</f>
        <v>0</v>
      </c>
      <c r="AH208" s="11">
        <f ca="1">(AG208*DATOSAÑO!$Z$11)/DATOSAÑO!$Y$11</f>
        <v>0</v>
      </c>
      <c r="AI208" s="9">
        <f ca="1">DATOSAÑO!BS207</f>
        <v>0</v>
      </c>
      <c r="AJ208" s="11">
        <f ca="1">(AI208*DATOSAÑO!$Z$11)/DATOSAÑO!$Y$11</f>
        <v>0</v>
      </c>
      <c r="AK208" s="9">
        <f ca="1">DATOSAÑO!BV207</f>
        <v>0</v>
      </c>
      <c r="AL208" s="11">
        <f ca="1">(AK208*DATOSAÑO!$Z$11)/DATOSAÑO!$Y$11</f>
        <v>0</v>
      </c>
      <c r="AM208" s="9">
        <f ca="1">DATOSAÑO!BY207</f>
        <v>0</v>
      </c>
      <c r="AN208" s="11">
        <f ca="1">(AM208*DATOSAÑO!$Z$11)/DATOSAÑO!$Y$11</f>
        <v>0</v>
      </c>
      <c r="AO208" s="9">
        <f ca="1">DATOSAÑO!CF207</f>
        <v>0</v>
      </c>
      <c r="AP208" s="11">
        <f ca="1">(AO208*DATOSAÑO!$Z$11)/DATOSAÑO!$Y$11</f>
        <v>0</v>
      </c>
      <c r="AQ208" s="9">
        <f ca="1">DATOSAÑO!CL207</f>
        <v>0</v>
      </c>
      <c r="AR208" s="1300">
        <f ca="1">(AQ208*DATOSAÑO!$Z$11)/DATOSAÑO!$Y$11</f>
        <v>0</v>
      </c>
      <c r="AS208" s="1334">
        <f t="shared" si="11"/>
        <v>29</v>
      </c>
    </row>
    <row r="209" spans="1:45" ht="15" thickBot="1">
      <c r="A209" s="1371">
        <v>45124</v>
      </c>
      <c r="B209" s="1021">
        <v>45124</v>
      </c>
      <c r="C209" s="9">
        <f ca="1">DATOSAÑO!I208</f>
        <v>0</v>
      </c>
      <c r="D209" s="10">
        <f ca="1">DATOSAÑO!$D208</f>
        <v>0</v>
      </c>
      <c r="E209" s="11">
        <f ca="1">DATOSAÑO!$G208</f>
        <v>0</v>
      </c>
      <c r="F209" s="9">
        <f ca="1">DATOSAÑO!P208</f>
        <v>0</v>
      </c>
      <c r="G209" s="10">
        <f ca="1">DATOSAÑO!K208</f>
        <v>0</v>
      </c>
      <c r="H209" s="11">
        <f ca="1">DATOSAÑO!N208</f>
        <v>0</v>
      </c>
      <c r="I209" s="9">
        <f ca="1">DATOSAÑO!Q208</f>
        <v>0</v>
      </c>
      <c r="J209" s="11">
        <f ca="1">DATOSAÑO!R208</f>
        <v>0</v>
      </c>
      <c r="K209" s="9">
        <f ca="1">DATOSAÑO!T208</f>
        <v>0</v>
      </c>
      <c r="L209" s="11">
        <f t="shared" ca="1" si="9"/>
        <v>0</v>
      </c>
      <c r="M209" s="9"/>
      <c r="N209" s="11">
        <f t="shared" si="10"/>
        <v>0</v>
      </c>
      <c r="O209" s="9">
        <f>DATOSAÑO!CT208</f>
        <v>0</v>
      </c>
      <c r="P209" s="9">
        <f>DATOSAÑO!CU208</f>
        <v>0</v>
      </c>
      <c r="Q209" s="9">
        <f ca="1">DATOSAÑO!AD208</f>
        <v>0</v>
      </c>
      <c r="R209" s="11">
        <f ca="1">(Q209*DATOSAÑO!$Z$11)/DATOSAÑO!$Y$11</f>
        <v>0</v>
      </c>
      <c r="S209" s="9">
        <f ca="1">DATOSAÑO!AF208</f>
        <v>0</v>
      </c>
      <c r="T209" s="11">
        <f ca="1">(S209*DATOSAÑO!$Z$11)/DATOSAÑO!$Y$11</f>
        <v>0</v>
      </c>
      <c r="U209" s="9">
        <f ca="1">DATOSAÑO!AH208</f>
        <v>0</v>
      </c>
      <c r="V209" s="11">
        <f ca="1">(U209*DATOSAÑO!$Z$11)/DATOSAÑO!$Y$11</f>
        <v>0</v>
      </c>
      <c r="W209" s="9">
        <f ca="1">DATOSAÑO!AI208</f>
        <v>0</v>
      </c>
      <c r="X209" s="11">
        <f ca="1">(W209*DATOSAÑO!$Z$11)/DATOSAÑO!$Y$11</f>
        <v>0</v>
      </c>
      <c r="Y209" s="9">
        <f ca="1">DATOSAÑO!AJ208</f>
        <v>0</v>
      </c>
      <c r="Z209" s="11">
        <f ca="1">(Y209*DATOSAÑO!$Z$11)/DATOSAÑO!$Y$11</f>
        <v>0</v>
      </c>
      <c r="AA209" s="9">
        <f ca="1">DATOSAÑO!AK208</f>
        <v>0</v>
      </c>
      <c r="AB209" s="11">
        <f ca="1">(AA209*DATOSAÑO!$Z$11)/DATOSAÑO!$Y$11</f>
        <v>0</v>
      </c>
      <c r="AC209" s="9">
        <f ca="1">DATOSAÑO!AL208</f>
        <v>0</v>
      </c>
      <c r="AD209" s="11">
        <f ca="1">(AC209*DATOSAÑO!$Z$11)/DATOSAÑO!$Y$11</f>
        <v>0</v>
      </c>
      <c r="AE209" s="9">
        <f ca="1">DATOSAÑO!AM208</f>
        <v>0</v>
      </c>
      <c r="AF209" s="11">
        <f ca="1">(AE209*DATOSAÑO!$Z$11)/DATOSAÑO!$Y$11</f>
        <v>0</v>
      </c>
      <c r="AG209" s="9">
        <f ca="1">DATOSAÑO!AN208</f>
        <v>0</v>
      </c>
      <c r="AH209" s="11">
        <f ca="1">(AG209*DATOSAÑO!$Z$11)/DATOSAÑO!$Y$11</f>
        <v>0</v>
      </c>
      <c r="AI209" s="9">
        <f ca="1">DATOSAÑO!BS208</f>
        <v>0</v>
      </c>
      <c r="AJ209" s="11">
        <f ca="1">(AI209*DATOSAÑO!$Z$11)/DATOSAÑO!$Y$11</f>
        <v>0</v>
      </c>
      <c r="AK209" s="9">
        <f ca="1">DATOSAÑO!BV208</f>
        <v>0</v>
      </c>
      <c r="AL209" s="11">
        <f ca="1">(AK209*DATOSAÑO!$Z$11)/DATOSAÑO!$Y$11</f>
        <v>0</v>
      </c>
      <c r="AM209" s="9">
        <f ca="1">DATOSAÑO!BY208</f>
        <v>0</v>
      </c>
      <c r="AN209" s="11">
        <f ca="1">(AM209*DATOSAÑO!$Z$11)/DATOSAÑO!$Y$11</f>
        <v>0</v>
      </c>
      <c r="AO209" s="9">
        <f ca="1">DATOSAÑO!CF208</f>
        <v>0</v>
      </c>
      <c r="AP209" s="11">
        <f ca="1">(AO209*DATOSAÑO!$Z$11)/DATOSAÑO!$Y$11</f>
        <v>0</v>
      </c>
      <c r="AQ209" s="9">
        <f ca="1">DATOSAÑO!CL208</f>
        <v>0</v>
      </c>
      <c r="AR209" s="1300">
        <f ca="1">(AQ209*DATOSAÑO!$Z$11)/DATOSAÑO!$Y$11</f>
        <v>0</v>
      </c>
      <c r="AS209" s="1334">
        <f t="shared" si="11"/>
        <v>29</v>
      </c>
    </row>
    <row r="210" spans="1:45" ht="16.5" customHeight="1" thickBot="1">
      <c r="A210" s="1371">
        <v>45125</v>
      </c>
      <c r="B210" s="1021">
        <v>45125</v>
      </c>
      <c r="C210" s="9">
        <f ca="1">DATOSAÑO!I209</f>
        <v>0</v>
      </c>
      <c r="D210" s="10">
        <f ca="1">DATOSAÑO!$D209</f>
        <v>0</v>
      </c>
      <c r="E210" s="11">
        <f ca="1">DATOSAÑO!$G209</f>
        <v>0</v>
      </c>
      <c r="F210" s="9">
        <f ca="1">DATOSAÑO!P209</f>
        <v>0</v>
      </c>
      <c r="G210" s="10">
        <f ca="1">DATOSAÑO!K209</f>
        <v>0</v>
      </c>
      <c r="H210" s="11">
        <f ca="1">DATOSAÑO!N209</f>
        <v>0</v>
      </c>
      <c r="I210" s="9">
        <f ca="1">DATOSAÑO!Q209</f>
        <v>0</v>
      </c>
      <c r="J210" s="11">
        <f ca="1">DATOSAÑO!R209</f>
        <v>0</v>
      </c>
      <c r="K210" s="9">
        <f ca="1">DATOSAÑO!T209</f>
        <v>0</v>
      </c>
      <c r="L210" s="11">
        <f t="shared" ca="1" si="9"/>
        <v>0</v>
      </c>
      <c r="M210" s="9"/>
      <c r="N210" s="11">
        <f t="shared" si="10"/>
        <v>0</v>
      </c>
      <c r="O210" s="9">
        <f>DATOSAÑO!CT209</f>
        <v>0</v>
      </c>
      <c r="P210" s="9">
        <f>DATOSAÑO!CU209</f>
        <v>0</v>
      </c>
      <c r="Q210" s="9">
        <f ca="1">DATOSAÑO!AD209</f>
        <v>0</v>
      </c>
      <c r="R210" s="11">
        <f ca="1">(Q210*DATOSAÑO!$Z$11)/DATOSAÑO!$Y$11</f>
        <v>0</v>
      </c>
      <c r="S210" s="9">
        <f ca="1">DATOSAÑO!AF209</f>
        <v>0</v>
      </c>
      <c r="T210" s="11">
        <f ca="1">(S210*DATOSAÑO!$Z$11)/DATOSAÑO!$Y$11</f>
        <v>0</v>
      </c>
      <c r="U210" s="9">
        <f ca="1">DATOSAÑO!AH209</f>
        <v>0</v>
      </c>
      <c r="V210" s="11">
        <f ca="1">(U210*DATOSAÑO!$Z$11)/DATOSAÑO!$Y$11</f>
        <v>0</v>
      </c>
      <c r="W210" s="9">
        <f ca="1">DATOSAÑO!AI209</f>
        <v>0</v>
      </c>
      <c r="X210" s="11">
        <f ca="1">(W210*DATOSAÑO!$Z$11)/DATOSAÑO!$Y$11</f>
        <v>0</v>
      </c>
      <c r="Y210" s="9">
        <f ca="1">DATOSAÑO!AJ209</f>
        <v>0</v>
      </c>
      <c r="Z210" s="11">
        <f ca="1">(Y210*DATOSAÑO!$Z$11)/DATOSAÑO!$Y$11</f>
        <v>0</v>
      </c>
      <c r="AA210" s="9">
        <f ca="1">DATOSAÑO!AK209</f>
        <v>0</v>
      </c>
      <c r="AB210" s="11">
        <f ca="1">(AA210*DATOSAÑO!$Z$11)/DATOSAÑO!$Y$11</f>
        <v>0</v>
      </c>
      <c r="AC210" s="9">
        <f ca="1">DATOSAÑO!AL209</f>
        <v>0</v>
      </c>
      <c r="AD210" s="11">
        <f ca="1">(AC210*DATOSAÑO!$Z$11)/DATOSAÑO!$Y$11</f>
        <v>0</v>
      </c>
      <c r="AE210" s="9">
        <f ca="1">DATOSAÑO!AM209</f>
        <v>0</v>
      </c>
      <c r="AF210" s="11">
        <f ca="1">(AE210*DATOSAÑO!$Z$11)/DATOSAÑO!$Y$11</f>
        <v>0</v>
      </c>
      <c r="AG210" s="9">
        <f ca="1">DATOSAÑO!AN209</f>
        <v>0</v>
      </c>
      <c r="AH210" s="11">
        <f ca="1">(AG210*DATOSAÑO!$Z$11)/DATOSAÑO!$Y$11</f>
        <v>0</v>
      </c>
      <c r="AI210" s="9">
        <f ca="1">DATOSAÑO!BS209</f>
        <v>0</v>
      </c>
      <c r="AJ210" s="11">
        <f ca="1">(AI210*DATOSAÑO!$Z$11)/DATOSAÑO!$Y$11</f>
        <v>0</v>
      </c>
      <c r="AK210" s="9">
        <f ca="1">DATOSAÑO!BV209</f>
        <v>0</v>
      </c>
      <c r="AL210" s="11">
        <f ca="1">(AK210*DATOSAÑO!$Z$11)/DATOSAÑO!$Y$11</f>
        <v>0</v>
      </c>
      <c r="AM210" s="9">
        <f ca="1">DATOSAÑO!BY209</f>
        <v>0</v>
      </c>
      <c r="AN210" s="11">
        <f ca="1">(AM210*DATOSAÑO!$Z$11)/DATOSAÑO!$Y$11</f>
        <v>0</v>
      </c>
      <c r="AO210" s="9">
        <f ca="1">DATOSAÑO!CF209</f>
        <v>0</v>
      </c>
      <c r="AP210" s="11">
        <f ca="1">(AO210*DATOSAÑO!$Z$11)/DATOSAÑO!$Y$11</f>
        <v>0</v>
      </c>
      <c r="AQ210" s="9">
        <f ca="1">DATOSAÑO!CL209</f>
        <v>0</v>
      </c>
      <c r="AR210" s="1300">
        <f ca="1">(AQ210*DATOSAÑO!$Z$11)/DATOSAÑO!$Y$11</f>
        <v>0</v>
      </c>
      <c r="AS210" s="1334">
        <f t="shared" si="11"/>
        <v>29</v>
      </c>
    </row>
    <row r="211" spans="1:45" ht="15" thickBot="1">
      <c r="A211" s="1371">
        <v>45126</v>
      </c>
      <c r="B211" s="1021">
        <v>45126</v>
      </c>
      <c r="C211" s="9">
        <f ca="1">DATOSAÑO!I210</f>
        <v>0</v>
      </c>
      <c r="D211" s="10">
        <f ca="1">DATOSAÑO!$D210</f>
        <v>0</v>
      </c>
      <c r="E211" s="11">
        <f ca="1">DATOSAÑO!$G210</f>
        <v>0</v>
      </c>
      <c r="F211" s="9">
        <f ca="1">DATOSAÑO!P210</f>
        <v>0</v>
      </c>
      <c r="G211" s="10">
        <f ca="1">DATOSAÑO!K210</f>
        <v>0</v>
      </c>
      <c r="H211" s="11">
        <f ca="1">DATOSAÑO!N210</f>
        <v>0</v>
      </c>
      <c r="I211" s="9">
        <f ca="1">DATOSAÑO!Q210</f>
        <v>0</v>
      </c>
      <c r="J211" s="11">
        <f ca="1">DATOSAÑO!R210</f>
        <v>0</v>
      </c>
      <c r="K211" s="9">
        <f ca="1">DATOSAÑO!T210</f>
        <v>0</v>
      </c>
      <c r="L211" s="11">
        <f t="shared" ca="1" si="9"/>
        <v>0</v>
      </c>
      <c r="M211" s="9"/>
      <c r="N211" s="11">
        <f t="shared" si="10"/>
        <v>0</v>
      </c>
      <c r="O211" s="9">
        <f>DATOSAÑO!CT210</f>
        <v>0</v>
      </c>
      <c r="P211" s="9">
        <f>DATOSAÑO!CU210</f>
        <v>0</v>
      </c>
      <c r="Q211" s="9">
        <f ca="1">DATOSAÑO!AD210</f>
        <v>0</v>
      </c>
      <c r="R211" s="11">
        <f ca="1">(Q211*DATOSAÑO!$Z$11)/DATOSAÑO!$Y$11</f>
        <v>0</v>
      </c>
      <c r="S211" s="9">
        <f ca="1">DATOSAÑO!AF210</f>
        <v>0</v>
      </c>
      <c r="T211" s="11">
        <f ca="1">(S211*DATOSAÑO!$Z$11)/DATOSAÑO!$Y$11</f>
        <v>0</v>
      </c>
      <c r="U211" s="9">
        <f ca="1">DATOSAÑO!AH210</f>
        <v>0</v>
      </c>
      <c r="V211" s="11">
        <f ca="1">(U211*DATOSAÑO!$Z$11)/DATOSAÑO!$Y$11</f>
        <v>0</v>
      </c>
      <c r="W211" s="9">
        <f ca="1">DATOSAÑO!AI210</f>
        <v>0</v>
      </c>
      <c r="X211" s="11">
        <f ca="1">(W211*DATOSAÑO!$Z$11)/DATOSAÑO!$Y$11</f>
        <v>0</v>
      </c>
      <c r="Y211" s="9">
        <f ca="1">DATOSAÑO!AJ210</f>
        <v>0</v>
      </c>
      <c r="Z211" s="11">
        <f ca="1">(Y211*DATOSAÑO!$Z$11)/DATOSAÑO!$Y$11</f>
        <v>0</v>
      </c>
      <c r="AA211" s="9">
        <f ca="1">DATOSAÑO!AK210</f>
        <v>0</v>
      </c>
      <c r="AB211" s="11">
        <f ca="1">(AA211*DATOSAÑO!$Z$11)/DATOSAÑO!$Y$11</f>
        <v>0</v>
      </c>
      <c r="AC211" s="9">
        <f ca="1">DATOSAÑO!AL210</f>
        <v>0</v>
      </c>
      <c r="AD211" s="11">
        <f ca="1">(AC211*DATOSAÑO!$Z$11)/DATOSAÑO!$Y$11</f>
        <v>0</v>
      </c>
      <c r="AE211" s="9">
        <f ca="1">DATOSAÑO!AM210</f>
        <v>0</v>
      </c>
      <c r="AF211" s="11">
        <f ca="1">(AE211*DATOSAÑO!$Z$11)/DATOSAÑO!$Y$11</f>
        <v>0</v>
      </c>
      <c r="AG211" s="9">
        <f ca="1">DATOSAÑO!AN210</f>
        <v>0</v>
      </c>
      <c r="AH211" s="11">
        <f ca="1">(AG211*DATOSAÑO!$Z$11)/DATOSAÑO!$Y$11</f>
        <v>0</v>
      </c>
      <c r="AI211" s="9">
        <f ca="1">DATOSAÑO!BS210</f>
        <v>0</v>
      </c>
      <c r="AJ211" s="11">
        <f ca="1">(AI211*DATOSAÑO!$Z$11)/DATOSAÑO!$Y$11</f>
        <v>0</v>
      </c>
      <c r="AK211" s="9">
        <f ca="1">DATOSAÑO!BV210</f>
        <v>0</v>
      </c>
      <c r="AL211" s="11">
        <f ca="1">(AK211*DATOSAÑO!$Z$11)/DATOSAÑO!$Y$11</f>
        <v>0</v>
      </c>
      <c r="AM211" s="9">
        <f ca="1">DATOSAÑO!BY210</f>
        <v>0</v>
      </c>
      <c r="AN211" s="11">
        <f ca="1">(AM211*DATOSAÑO!$Z$11)/DATOSAÑO!$Y$11</f>
        <v>0</v>
      </c>
      <c r="AO211" s="9">
        <f ca="1">DATOSAÑO!CF210</f>
        <v>0</v>
      </c>
      <c r="AP211" s="11">
        <f ca="1">(AO211*DATOSAÑO!$Z$11)/DATOSAÑO!$Y$11</f>
        <v>0</v>
      </c>
      <c r="AQ211" s="9">
        <f ca="1">DATOSAÑO!CL210</f>
        <v>0</v>
      </c>
      <c r="AR211" s="1300">
        <f ca="1">(AQ211*DATOSAÑO!$Z$11)/DATOSAÑO!$Y$11</f>
        <v>0</v>
      </c>
      <c r="AS211" s="1334">
        <f t="shared" si="11"/>
        <v>29</v>
      </c>
    </row>
    <row r="212" spans="1:45" ht="16.5" customHeight="1" thickBot="1">
      <c r="A212" s="1371">
        <v>45127</v>
      </c>
      <c r="B212" s="1021">
        <v>45127</v>
      </c>
      <c r="C212" s="9">
        <f ca="1">DATOSAÑO!I211</f>
        <v>0</v>
      </c>
      <c r="D212" s="10">
        <f ca="1">DATOSAÑO!$D211</f>
        <v>0</v>
      </c>
      <c r="E212" s="11">
        <f ca="1">DATOSAÑO!$G211</f>
        <v>0</v>
      </c>
      <c r="F212" s="9">
        <f ca="1">DATOSAÑO!P211</f>
        <v>0</v>
      </c>
      <c r="G212" s="10">
        <f ca="1">DATOSAÑO!K211</f>
        <v>0</v>
      </c>
      <c r="H212" s="11">
        <f ca="1">DATOSAÑO!N211</f>
        <v>0</v>
      </c>
      <c r="I212" s="9">
        <f ca="1">DATOSAÑO!Q211</f>
        <v>0</v>
      </c>
      <c r="J212" s="11">
        <f ca="1">DATOSAÑO!R211</f>
        <v>0</v>
      </c>
      <c r="K212" s="9">
        <f ca="1">DATOSAÑO!T211</f>
        <v>0</v>
      </c>
      <c r="L212" s="11">
        <f t="shared" ca="1" si="9"/>
        <v>0</v>
      </c>
      <c r="M212" s="9"/>
      <c r="N212" s="11">
        <f t="shared" si="10"/>
        <v>0</v>
      </c>
      <c r="O212" s="9">
        <f>DATOSAÑO!CT211</f>
        <v>0</v>
      </c>
      <c r="P212" s="9">
        <f>DATOSAÑO!CU211</f>
        <v>0</v>
      </c>
      <c r="Q212" s="9">
        <f ca="1">DATOSAÑO!AD211</f>
        <v>0</v>
      </c>
      <c r="R212" s="11">
        <f ca="1">(Q212*DATOSAÑO!$Z$11)/DATOSAÑO!$Y$11</f>
        <v>0</v>
      </c>
      <c r="S212" s="9">
        <f ca="1">DATOSAÑO!AF211</f>
        <v>0</v>
      </c>
      <c r="T212" s="11">
        <f ca="1">(S212*DATOSAÑO!$Z$11)/DATOSAÑO!$Y$11</f>
        <v>0</v>
      </c>
      <c r="U212" s="9">
        <f ca="1">DATOSAÑO!AH211</f>
        <v>0</v>
      </c>
      <c r="V212" s="11">
        <f ca="1">(U212*DATOSAÑO!$Z$11)/DATOSAÑO!$Y$11</f>
        <v>0</v>
      </c>
      <c r="W212" s="9">
        <f ca="1">DATOSAÑO!AI211</f>
        <v>0</v>
      </c>
      <c r="X212" s="11">
        <f ca="1">(W212*DATOSAÑO!$Z$11)/DATOSAÑO!$Y$11</f>
        <v>0</v>
      </c>
      <c r="Y212" s="9">
        <f ca="1">DATOSAÑO!AJ211</f>
        <v>0</v>
      </c>
      <c r="Z212" s="11">
        <f ca="1">(Y212*DATOSAÑO!$Z$11)/DATOSAÑO!$Y$11</f>
        <v>0</v>
      </c>
      <c r="AA212" s="9">
        <f ca="1">DATOSAÑO!AK211</f>
        <v>0</v>
      </c>
      <c r="AB212" s="11">
        <f ca="1">(AA212*DATOSAÑO!$Z$11)/DATOSAÑO!$Y$11</f>
        <v>0</v>
      </c>
      <c r="AC212" s="9">
        <f ca="1">DATOSAÑO!AL211</f>
        <v>0</v>
      </c>
      <c r="AD212" s="11">
        <f ca="1">(AC212*DATOSAÑO!$Z$11)/DATOSAÑO!$Y$11</f>
        <v>0</v>
      </c>
      <c r="AE212" s="9">
        <f ca="1">DATOSAÑO!AM211</f>
        <v>0</v>
      </c>
      <c r="AF212" s="11">
        <f ca="1">(AE212*DATOSAÑO!$Z$11)/DATOSAÑO!$Y$11</f>
        <v>0</v>
      </c>
      <c r="AG212" s="9">
        <f ca="1">DATOSAÑO!AN211</f>
        <v>0</v>
      </c>
      <c r="AH212" s="11">
        <f ca="1">(AG212*DATOSAÑO!$Z$11)/DATOSAÑO!$Y$11</f>
        <v>0</v>
      </c>
      <c r="AI212" s="9">
        <f ca="1">DATOSAÑO!BS211</f>
        <v>0</v>
      </c>
      <c r="AJ212" s="11">
        <f ca="1">(AI212*DATOSAÑO!$Z$11)/DATOSAÑO!$Y$11</f>
        <v>0</v>
      </c>
      <c r="AK212" s="9">
        <f ca="1">DATOSAÑO!BV211</f>
        <v>0</v>
      </c>
      <c r="AL212" s="11">
        <f ca="1">(AK212*DATOSAÑO!$Z$11)/DATOSAÑO!$Y$11</f>
        <v>0</v>
      </c>
      <c r="AM212" s="9">
        <f ca="1">DATOSAÑO!BY211</f>
        <v>0</v>
      </c>
      <c r="AN212" s="11">
        <f ca="1">(AM212*DATOSAÑO!$Z$11)/DATOSAÑO!$Y$11</f>
        <v>0</v>
      </c>
      <c r="AO212" s="9">
        <f ca="1">DATOSAÑO!CF211</f>
        <v>0</v>
      </c>
      <c r="AP212" s="11">
        <f ca="1">(AO212*DATOSAÑO!$Z$11)/DATOSAÑO!$Y$11</f>
        <v>0</v>
      </c>
      <c r="AQ212" s="9">
        <f ca="1">DATOSAÑO!CL211</f>
        <v>0</v>
      </c>
      <c r="AR212" s="1300">
        <f ca="1">(AQ212*DATOSAÑO!$Z$11)/DATOSAÑO!$Y$11</f>
        <v>0</v>
      </c>
      <c r="AS212" s="1334">
        <f t="shared" si="11"/>
        <v>29</v>
      </c>
    </row>
    <row r="213" spans="1:45" ht="15" thickBot="1">
      <c r="A213" s="1371">
        <v>45128</v>
      </c>
      <c r="B213" s="1021">
        <v>45128</v>
      </c>
      <c r="C213" s="9">
        <f ca="1">DATOSAÑO!I212</f>
        <v>0</v>
      </c>
      <c r="D213" s="10">
        <f ca="1">DATOSAÑO!$D212</f>
        <v>0</v>
      </c>
      <c r="E213" s="11">
        <f ca="1">DATOSAÑO!$G212</f>
        <v>0</v>
      </c>
      <c r="F213" s="9">
        <f ca="1">DATOSAÑO!P212</f>
        <v>0</v>
      </c>
      <c r="G213" s="10">
        <f ca="1">DATOSAÑO!K212</f>
        <v>0</v>
      </c>
      <c r="H213" s="11">
        <f ca="1">DATOSAÑO!N212</f>
        <v>0</v>
      </c>
      <c r="I213" s="9">
        <f ca="1">DATOSAÑO!Q212</f>
        <v>0</v>
      </c>
      <c r="J213" s="11">
        <f ca="1">DATOSAÑO!R212</f>
        <v>0</v>
      </c>
      <c r="K213" s="9">
        <f ca="1">DATOSAÑO!T212</f>
        <v>0</v>
      </c>
      <c r="L213" s="11">
        <f t="shared" ca="1" si="9"/>
        <v>0</v>
      </c>
      <c r="M213" s="9"/>
      <c r="N213" s="11">
        <f t="shared" si="10"/>
        <v>0</v>
      </c>
      <c r="O213" s="9">
        <f>DATOSAÑO!CT212</f>
        <v>0</v>
      </c>
      <c r="P213" s="9">
        <f>DATOSAÑO!CU212</f>
        <v>0</v>
      </c>
      <c r="Q213" s="9">
        <f ca="1">DATOSAÑO!AD212</f>
        <v>0</v>
      </c>
      <c r="R213" s="11">
        <f ca="1">(Q213*DATOSAÑO!$Z$11)/DATOSAÑO!$Y$11</f>
        <v>0</v>
      </c>
      <c r="S213" s="9">
        <f ca="1">DATOSAÑO!AF212</f>
        <v>0</v>
      </c>
      <c r="T213" s="11">
        <f ca="1">(S213*DATOSAÑO!$Z$11)/DATOSAÑO!$Y$11</f>
        <v>0</v>
      </c>
      <c r="U213" s="9">
        <f ca="1">DATOSAÑO!AH212</f>
        <v>0</v>
      </c>
      <c r="V213" s="11">
        <f ca="1">(U213*DATOSAÑO!$Z$11)/DATOSAÑO!$Y$11</f>
        <v>0</v>
      </c>
      <c r="W213" s="9">
        <f ca="1">DATOSAÑO!AI212</f>
        <v>0</v>
      </c>
      <c r="X213" s="11">
        <f ca="1">(W213*DATOSAÑO!$Z$11)/DATOSAÑO!$Y$11</f>
        <v>0</v>
      </c>
      <c r="Y213" s="9">
        <f ca="1">DATOSAÑO!AJ212</f>
        <v>0</v>
      </c>
      <c r="Z213" s="11">
        <f ca="1">(Y213*DATOSAÑO!$Z$11)/DATOSAÑO!$Y$11</f>
        <v>0</v>
      </c>
      <c r="AA213" s="9">
        <f ca="1">DATOSAÑO!AK212</f>
        <v>0</v>
      </c>
      <c r="AB213" s="11">
        <f ca="1">(AA213*DATOSAÑO!$Z$11)/DATOSAÑO!$Y$11</f>
        <v>0</v>
      </c>
      <c r="AC213" s="9">
        <f ca="1">DATOSAÑO!AL212</f>
        <v>0</v>
      </c>
      <c r="AD213" s="11">
        <f ca="1">(AC213*DATOSAÑO!$Z$11)/DATOSAÑO!$Y$11</f>
        <v>0</v>
      </c>
      <c r="AE213" s="9">
        <f ca="1">DATOSAÑO!AM212</f>
        <v>0</v>
      </c>
      <c r="AF213" s="11">
        <f ca="1">(AE213*DATOSAÑO!$Z$11)/DATOSAÑO!$Y$11</f>
        <v>0</v>
      </c>
      <c r="AG213" s="9">
        <f ca="1">DATOSAÑO!AN212</f>
        <v>0</v>
      </c>
      <c r="AH213" s="11">
        <f ca="1">(AG213*DATOSAÑO!$Z$11)/DATOSAÑO!$Y$11</f>
        <v>0</v>
      </c>
      <c r="AI213" s="9">
        <f ca="1">DATOSAÑO!BS212</f>
        <v>0</v>
      </c>
      <c r="AJ213" s="11">
        <f ca="1">(AI213*DATOSAÑO!$Z$11)/DATOSAÑO!$Y$11</f>
        <v>0</v>
      </c>
      <c r="AK213" s="9">
        <f ca="1">DATOSAÑO!BV212</f>
        <v>0</v>
      </c>
      <c r="AL213" s="11">
        <f ca="1">(AK213*DATOSAÑO!$Z$11)/DATOSAÑO!$Y$11</f>
        <v>0</v>
      </c>
      <c r="AM213" s="9">
        <f ca="1">DATOSAÑO!BY212</f>
        <v>0</v>
      </c>
      <c r="AN213" s="11">
        <f ca="1">(AM213*DATOSAÑO!$Z$11)/DATOSAÑO!$Y$11</f>
        <v>0</v>
      </c>
      <c r="AO213" s="9">
        <f ca="1">DATOSAÑO!CF212</f>
        <v>0</v>
      </c>
      <c r="AP213" s="11">
        <f ca="1">(AO213*DATOSAÑO!$Z$11)/DATOSAÑO!$Y$11</f>
        <v>0</v>
      </c>
      <c r="AQ213" s="9">
        <f ca="1">DATOSAÑO!CL212</f>
        <v>0</v>
      </c>
      <c r="AR213" s="1300">
        <f ca="1">(AQ213*DATOSAÑO!$Z$11)/DATOSAÑO!$Y$11</f>
        <v>0</v>
      </c>
      <c r="AS213" s="1334">
        <f t="shared" si="11"/>
        <v>29</v>
      </c>
    </row>
    <row r="214" spans="1:45" ht="16.5" customHeight="1" thickBot="1">
      <c r="A214" s="1371">
        <v>45129</v>
      </c>
      <c r="B214" s="1021">
        <v>45129</v>
      </c>
      <c r="C214" s="9">
        <f ca="1">DATOSAÑO!I213</f>
        <v>0</v>
      </c>
      <c r="D214" s="10">
        <f ca="1">DATOSAÑO!$D213</f>
        <v>0</v>
      </c>
      <c r="E214" s="11">
        <f ca="1">DATOSAÑO!$G213</f>
        <v>0</v>
      </c>
      <c r="F214" s="9">
        <f ca="1">DATOSAÑO!P213</f>
        <v>0</v>
      </c>
      <c r="G214" s="10">
        <f ca="1">DATOSAÑO!K213</f>
        <v>0</v>
      </c>
      <c r="H214" s="11">
        <f ca="1">DATOSAÑO!N213</f>
        <v>0</v>
      </c>
      <c r="I214" s="9">
        <f ca="1">DATOSAÑO!Q213</f>
        <v>0</v>
      </c>
      <c r="J214" s="11">
        <f ca="1">DATOSAÑO!R213</f>
        <v>0</v>
      </c>
      <c r="K214" s="9">
        <f ca="1">DATOSAÑO!T213</f>
        <v>0</v>
      </c>
      <c r="L214" s="11">
        <f t="shared" ca="1" si="9"/>
        <v>0</v>
      </c>
      <c r="M214" s="9"/>
      <c r="N214" s="11">
        <f t="shared" si="10"/>
        <v>0</v>
      </c>
      <c r="O214" s="9">
        <f>DATOSAÑO!CT213</f>
        <v>0</v>
      </c>
      <c r="P214" s="9">
        <f>DATOSAÑO!CU213</f>
        <v>0</v>
      </c>
      <c r="Q214" s="9">
        <f ca="1">DATOSAÑO!AD213</f>
        <v>0</v>
      </c>
      <c r="R214" s="11">
        <f ca="1">(Q214*DATOSAÑO!$Z$11)/DATOSAÑO!$Y$11</f>
        <v>0</v>
      </c>
      <c r="S214" s="9">
        <f ca="1">DATOSAÑO!AF213</f>
        <v>0</v>
      </c>
      <c r="T214" s="11">
        <f ca="1">(S214*DATOSAÑO!$Z$11)/DATOSAÑO!$Y$11</f>
        <v>0</v>
      </c>
      <c r="U214" s="9">
        <f ca="1">DATOSAÑO!AH213</f>
        <v>0</v>
      </c>
      <c r="V214" s="11">
        <f ca="1">(U214*DATOSAÑO!$Z$11)/DATOSAÑO!$Y$11</f>
        <v>0</v>
      </c>
      <c r="W214" s="9">
        <f ca="1">DATOSAÑO!AI213</f>
        <v>0</v>
      </c>
      <c r="X214" s="11">
        <f ca="1">(W214*DATOSAÑO!$Z$11)/DATOSAÑO!$Y$11</f>
        <v>0</v>
      </c>
      <c r="Y214" s="9">
        <f ca="1">DATOSAÑO!AJ213</f>
        <v>0</v>
      </c>
      <c r="Z214" s="11">
        <f ca="1">(Y214*DATOSAÑO!$Z$11)/DATOSAÑO!$Y$11</f>
        <v>0</v>
      </c>
      <c r="AA214" s="9">
        <f ca="1">DATOSAÑO!AK213</f>
        <v>0</v>
      </c>
      <c r="AB214" s="11">
        <f ca="1">(AA214*DATOSAÑO!$Z$11)/DATOSAÑO!$Y$11</f>
        <v>0</v>
      </c>
      <c r="AC214" s="9">
        <f ca="1">DATOSAÑO!AL213</f>
        <v>0</v>
      </c>
      <c r="AD214" s="11">
        <f ca="1">(AC214*DATOSAÑO!$Z$11)/DATOSAÑO!$Y$11</f>
        <v>0</v>
      </c>
      <c r="AE214" s="9">
        <f ca="1">DATOSAÑO!AM213</f>
        <v>0</v>
      </c>
      <c r="AF214" s="11">
        <f ca="1">(AE214*DATOSAÑO!$Z$11)/DATOSAÑO!$Y$11</f>
        <v>0</v>
      </c>
      <c r="AG214" s="9">
        <f ca="1">DATOSAÑO!AN213</f>
        <v>0</v>
      </c>
      <c r="AH214" s="11">
        <f ca="1">(AG214*DATOSAÑO!$Z$11)/DATOSAÑO!$Y$11</f>
        <v>0</v>
      </c>
      <c r="AI214" s="9">
        <f ca="1">DATOSAÑO!BS213</f>
        <v>0</v>
      </c>
      <c r="AJ214" s="11">
        <f ca="1">(AI214*DATOSAÑO!$Z$11)/DATOSAÑO!$Y$11</f>
        <v>0</v>
      </c>
      <c r="AK214" s="9">
        <f ca="1">DATOSAÑO!BV213</f>
        <v>0</v>
      </c>
      <c r="AL214" s="11">
        <f ca="1">(AK214*DATOSAÑO!$Z$11)/DATOSAÑO!$Y$11</f>
        <v>0</v>
      </c>
      <c r="AM214" s="9">
        <f ca="1">DATOSAÑO!BY213</f>
        <v>0</v>
      </c>
      <c r="AN214" s="11">
        <f ca="1">(AM214*DATOSAÑO!$Z$11)/DATOSAÑO!$Y$11</f>
        <v>0</v>
      </c>
      <c r="AO214" s="9">
        <f ca="1">DATOSAÑO!CF213</f>
        <v>0</v>
      </c>
      <c r="AP214" s="11">
        <f ca="1">(AO214*DATOSAÑO!$Z$11)/DATOSAÑO!$Y$11</f>
        <v>0</v>
      </c>
      <c r="AQ214" s="9">
        <f ca="1">DATOSAÑO!CL213</f>
        <v>0</v>
      </c>
      <c r="AR214" s="1300">
        <f ca="1">(AQ214*DATOSAÑO!$Z$11)/DATOSAÑO!$Y$11</f>
        <v>0</v>
      </c>
      <c r="AS214" s="1334">
        <f t="shared" si="11"/>
        <v>29</v>
      </c>
    </row>
    <row r="215" spans="1:45" ht="15" thickBot="1">
      <c r="A215" s="1371">
        <v>45130</v>
      </c>
      <c r="B215" s="1021">
        <v>45130</v>
      </c>
      <c r="C215" s="9">
        <f ca="1">DATOSAÑO!I214</f>
        <v>0</v>
      </c>
      <c r="D215" s="10">
        <f ca="1">DATOSAÑO!$D214</f>
        <v>0</v>
      </c>
      <c r="E215" s="11">
        <f ca="1">DATOSAÑO!$G214</f>
        <v>0</v>
      </c>
      <c r="F215" s="9">
        <f ca="1">DATOSAÑO!P214</f>
        <v>0</v>
      </c>
      <c r="G215" s="10">
        <f ca="1">DATOSAÑO!K214</f>
        <v>0</v>
      </c>
      <c r="H215" s="11">
        <f ca="1">DATOSAÑO!N214</f>
        <v>0</v>
      </c>
      <c r="I215" s="9">
        <f ca="1">DATOSAÑO!Q214</f>
        <v>0</v>
      </c>
      <c r="J215" s="11">
        <f ca="1">DATOSAÑO!R214</f>
        <v>0</v>
      </c>
      <c r="K215" s="9">
        <f ca="1">DATOSAÑO!T214</f>
        <v>0</v>
      </c>
      <c r="L215" s="11">
        <f t="shared" ca="1" si="9"/>
        <v>0</v>
      </c>
      <c r="M215" s="9"/>
      <c r="N215" s="11">
        <f t="shared" si="10"/>
        <v>0</v>
      </c>
      <c r="O215" s="9">
        <f>DATOSAÑO!CT214</f>
        <v>0</v>
      </c>
      <c r="P215" s="9">
        <f>DATOSAÑO!CU214</f>
        <v>0</v>
      </c>
      <c r="Q215" s="9">
        <f ca="1">DATOSAÑO!AD214</f>
        <v>0</v>
      </c>
      <c r="R215" s="11">
        <f ca="1">(Q215*DATOSAÑO!$Z$11)/DATOSAÑO!$Y$11</f>
        <v>0</v>
      </c>
      <c r="S215" s="9">
        <f ca="1">DATOSAÑO!AF214</f>
        <v>0</v>
      </c>
      <c r="T215" s="11">
        <f ca="1">(S215*DATOSAÑO!$Z$11)/DATOSAÑO!$Y$11</f>
        <v>0</v>
      </c>
      <c r="U215" s="9">
        <f ca="1">DATOSAÑO!AH214</f>
        <v>0</v>
      </c>
      <c r="V215" s="11">
        <f ca="1">(U215*DATOSAÑO!$Z$11)/DATOSAÑO!$Y$11</f>
        <v>0</v>
      </c>
      <c r="W215" s="9">
        <f ca="1">DATOSAÑO!AI214</f>
        <v>0</v>
      </c>
      <c r="X215" s="11">
        <f ca="1">(W215*DATOSAÑO!$Z$11)/DATOSAÑO!$Y$11</f>
        <v>0</v>
      </c>
      <c r="Y215" s="9">
        <f ca="1">DATOSAÑO!AJ214</f>
        <v>0</v>
      </c>
      <c r="Z215" s="11">
        <f ca="1">(Y215*DATOSAÑO!$Z$11)/DATOSAÑO!$Y$11</f>
        <v>0</v>
      </c>
      <c r="AA215" s="9">
        <f ca="1">DATOSAÑO!AK214</f>
        <v>0</v>
      </c>
      <c r="AB215" s="11">
        <f ca="1">(AA215*DATOSAÑO!$Z$11)/DATOSAÑO!$Y$11</f>
        <v>0</v>
      </c>
      <c r="AC215" s="9">
        <f ca="1">DATOSAÑO!AL214</f>
        <v>0</v>
      </c>
      <c r="AD215" s="11">
        <f ca="1">(AC215*DATOSAÑO!$Z$11)/DATOSAÑO!$Y$11</f>
        <v>0</v>
      </c>
      <c r="AE215" s="9">
        <f ca="1">DATOSAÑO!AM214</f>
        <v>0</v>
      </c>
      <c r="AF215" s="11">
        <f ca="1">(AE215*DATOSAÑO!$Z$11)/DATOSAÑO!$Y$11</f>
        <v>0</v>
      </c>
      <c r="AG215" s="9">
        <f ca="1">DATOSAÑO!AN214</f>
        <v>0</v>
      </c>
      <c r="AH215" s="11">
        <f ca="1">(AG215*DATOSAÑO!$Z$11)/DATOSAÑO!$Y$11</f>
        <v>0</v>
      </c>
      <c r="AI215" s="9">
        <f ca="1">DATOSAÑO!BS214</f>
        <v>0</v>
      </c>
      <c r="AJ215" s="11">
        <f ca="1">(AI215*DATOSAÑO!$Z$11)/DATOSAÑO!$Y$11</f>
        <v>0</v>
      </c>
      <c r="AK215" s="9">
        <f ca="1">DATOSAÑO!BV214</f>
        <v>0</v>
      </c>
      <c r="AL215" s="11">
        <f ca="1">(AK215*DATOSAÑO!$Z$11)/DATOSAÑO!$Y$11</f>
        <v>0</v>
      </c>
      <c r="AM215" s="9">
        <f ca="1">DATOSAÑO!BY214</f>
        <v>0</v>
      </c>
      <c r="AN215" s="11">
        <f ca="1">(AM215*DATOSAÑO!$Z$11)/DATOSAÑO!$Y$11</f>
        <v>0</v>
      </c>
      <c r="AO215" s="9">
        <f ca="1">DATOSAÑO!CF214</f>
        <v>0</v>
      </c>
      <c r="AP215" s="11">
        <f ca="1">(AO215*DATOSAÑO!$Z$11)/DATOSAÑO!$Y$11</f>
        <v>0</v>
      </c>
      <c r="AQ215" s="9">
        <f ca="1">DATOSAÑO!CL214</f>
        <v>0</v>
      </c>
      <c r="AR215" s="1300">
        <f ca="1">(AQ215*DATOSAÑO!$Z$11)/DATOSAÑO!$Y$11</f>
        <v>0</v>
      </c>
      <c r="AS215" s="1334">
        <f t="shared" si="11"/>
        <v>30</v>
      </c>
    </row>
    <row r="216" spans="1:45" ht="16.5" customHeight="1" thickBot="1">
      <c r="A216" s="1371">
        <v>45131</v>
      </c>
      <c r="B216" s="1021">
        <v>45131</v>
      </c>
      <c r="C216" s="9">
        <f ca="1">DATOSAÑO!I215</f>
        <v>0</v>
      </c>
      <c r="D216" s="10">
        <f ca="1">DATOSAÑO!$D215</f>
        <v>0</v>
      </c>
      <c r="E216" s="11">
        <f ca="1">DATOSAÑO!$G215</f>
        <v>0</v>
      </c>
      <c r="F216" s="9">
        <f ca="1">DATOSAÑO!P215</f>
        <v>0</v>
      </c>
      <c r="G216" s="10">
        <f ca="1">DATOSAÑO!K215</f>
        <v>0</v>
      </c>
      <c r="H216" s="11">
        <f ca="1">DATOSAÑO!N215</f>
        <v>0</v>
      </c>
      <c r="I216" s="9">
        <f ca="1">DATOSAÑO!Q215</f>
        <v>0</v>
      </c>
      <c r="J216" s="11">
        <f ca="1">DATOSAÑO!R215</f>
        <v>0</v>
      </c>
      <c r="K216" s="9">
        <f ca="1">DATOSAÑO!T215</f>
        <v>0</v>
      </c>
      <c r="L216" s="11">
        <f t="shared" ca="1" si="9"/>
        <v>0</v>
      </c>
      <c r="M216" s="9"/>
      <c r="N216" s="11">
        <f t="shared" si="10"/>
        <v>0</v>
      </c>
      <c r="O216" s="9">
        <f>DATOSAÑO!CT215</f>
        <v>0</v>
      </c>
      <c r="P216" s="9">
        <f>DATOSAÑO!CU215</f>
        <v>0</v>
      </c>
      <c r="Q216" s="9">
        <f ca="1">DATOSAÑO!AD215</f>
        <v>0</v>
      </c>
      <c r="R216" s="11">
        <f ca="1">(Q216*DATOSAÑO!$Z$11)/DATOSAÑO!$Y$11</f>
        <v>0</v>
      </c>
      <c r="S216" s="9">
        <f ca="1">DATOSAÑO!AF215</f>
        <v>0</v>
      </c>
      <c r="T216" s="11">
        <f ca="1">(S216*DATOSAÑO!$Z$11)/DATOSAÑO!$Y$11</f>
        <v>0</v>
      </c>
      <c r="U216" s="9">
        <f ca="1">DATOSAÑO!AH215</f>
        <v>0</v>
      </c>
      <c r="V216" s="11">
        <f ca="1">(U216*DATOSAÑO!$Z$11)/DATOSAÑO!$Y$11</f>
        <v>0</v>
      </c>
      <c r="W216" s="9">
        <f ca="1">DATOSAÑO!AI215</f>
        <v>0</v>
      </c>
      <c r="X216" s="11">
        <f ca="1">(W216*DATOSAÑO!$Z$11)/DATOSAÑO!$Y$11</f>
        <v>0</v>
      </c>
      <c r="Y216" s="9">
        <f ca="1">DATOSAÑO!AJ215</f>
        <v>0</v>
      </c>
      <c r="Z216" s="11">
        <f ca="1">(Y216*DATOSAÑO!$Z$11)/DATOSAÑO!$Y$11</f>
        <v>0</v>
      </c>
      <c r="AA216" s="9">
        <f ca="1">DATOSAÑO!AK215</f>
        <v>0</v>
      </c>
      <c r="AB216" s="11">
        <f ca="1">(AA216*DATOSAÑO!$Z$11)/DATOSAÑO!$Y$11</f>
        <v>0</v>
      </c>
      <c r="AC216" s="9">
        <f ca="1">DATOSAÑO!AL215</f>
        <v>0</v>
      </c>
      <c r="AD216" s="11">
        <f ca="1">(AC216*DATOSAÑO!$Z$11)/DATOSAÑO!$Y$11</f>
        <v>0</v>
      </c>
      <c r="AE216" s="9">
        <f ca="1">DATOSAÑO!AM215</f>
        <v>0</v>
      </c>
      <c r="AF216" s="11">
        <f ca="1">(AE216*DATOSAÑO!$Z$11)/DATOSAÑO!$Y$11</f>
        <v>0</v>
      </c>
      <c r="AG216" s="9">
        <f ca="1">DATOSAÑO!AN215</f>
        <v>0</v>
      </c>
      <c r="AH216" s="11">
        <f ca="1">(AG216*DATOSAÑO!$Z$11)/DATOSAÑO!$Y$11</f>
        <v>0</v>
      </c>
      <c r="AI216" s="9">
        <f ca="1">DATOSAÑO!BS215</f>
        <v>0</v>
      </c>
      <c r="AJ216" s="11">
        <f ca="1">(AI216*DATOSAÑO!$Z$11)/DATOSAÑO!$Y$11</f>
        <v>0</v>
      </c>
      <c r="AK216" s="9">
        <f ca="1">DATOSAÑO!BV215</f>
        <v>0</v>
      </c>
      <c r="AL216" s="11">
        <f ca="1">(AK216*DATOSAÑO!$Z$11)/DATOSAÑO!$Y$11</f>
        <v>0</v>
      </c>
      <c r="AM216" s="9">
        <f ca="1">DATOSAÑO!BY215</f>
        <v>0</v>
      </c>
      <c r="AN216" s="11">
        <f ca="1">(AM216*DATOSAÑO!$Z$11)/DATOSAÑO!$Y$11</f>
        <v>0</v>
      </c>
      <c r="AO216" s="9">
        <f ca="1">DATOSAÑO!CF215</f>
        <v>0</v>
      </c>
      <c r="AP216" s="11">
        <f ca="1">(AO216*DATOSAÑO!$Z$11)/DATOSAÑO!$Y$11</f>
        <v>0</v>
      </c>
      <c r="AQ216" s="9">
        <f ca="1">DATOSAÑO!CL215</f>
        <v>0</v>
      </c>
      <c r="AR216" s="1300">
        <f ca="1">(AQ216*DATOSAÑO!$Z$11)/DATOSAÑO!$Y$11</f>
        <v>0</v>
      </c>
      <c r="AS216" s="1334">
        <f t="shared" si="11"/>
        <v>30</v>
      </c>
    </row>
    <row r="217" spans="1:45" ht="15" thickBot="1">
      <c r="A217" s="1371">
        <v>45132</v>
      </c>
      <c r="B217" s="1021">
        <v>45132</v>
      </c>
      <c r="C217" s="9">
        <f ca="1">DATOSAÑO!I216</f>
        <v>0</v>
      </c>
      <c r="D217" s="10">
        <f ca="1">DATOSAÑO!$D216</f>
        <v>0</v>
      </c>
      <c r="E217" s="11">
        <f ca="1">DATOSAÑO!$G216</f>
        <v>0</v>
      </c>
      <c r="F217" s="9">
        <f ca="1">DATOSAÑO!P216</f>
        <v>0</v>
      </c>
      <c r="G217" s="10">
        <f ca="1">DATOSAÑO!K216</f>
        <v>0</v>
      </c>
      <c r="H217" s="11">
        <f ca="1">DATOSAÑO!N216</f>
        <v>0</v>
      </c>
      <c r="I217" s="9">
        <f ca="1">DATOSAÑO!Q216</f>
        <v>0</v>
      </c>
      <c r="J217" s="11">
        <f ca="1">DATOSAÑO!R216</f>
        <v>0</v>
      </c>
      <c r="K217" s="9">
        <f ca="1">DATOSAÑO!T216</f>
        <v>0</v>
      </c>
      <c r="L217" s="11">
        <f t="shared" ca="1" si="9"/>
        <v>0</v>
      </c>
      <c r="M217" s="9"/>
      <c r="N217" s="11">
        <f t="shared" si="10"/>
        <v>0</v>
      </c>
      <c r="O217" s="9">
        <f>DATOSAÑO!CT216</f>
        <v>0</v>
      </c>
      <c r="P217" s="9">
        <f>DATOSAÑO!CU216</f>
        <v>0</v>
      </c>
      <c r="Q217" s="9">
        <f ca="1">DATOSAÑO!AD216</f>
        <v>0</v>
      </c>
      <c r="R217" s="11">
        <f ca="1">(Q217*DATOSAÑO!$Z$11)/DATOSAÑO!$Y$11</f>
        <v>0</v>
      </c>
      <c r="S217" s="9">
        <f ca="1">DATOSAÑO!AF216</f>
        <v>0</v>
      </c>
      <c r="T217" s="11">
        <f ca="1">(S217*DATOSAÑO!$Z$11)/DATOSAÑO!$Y$11</f>
        <v>0</v>
      </c>
      <c r="U217" s="9">
        <f ca="1">DATOSAÑO!AH216</f>
        <v>0</v>
      </c>
      <c r="V217" s="11">
        <f ca="1">(U217*DATOSAÑO!$Z$11)/DATOSAÑO!$Y$11</f>
        <v>0</v>
      </c>
      <c r="W217" s="9">
        <f ca="1">DATOSAÑO!AI216</f>
        <v>0</v>
      </c>
      <c r="X217" s="11">
        <f ca="1">(W217*DATOSAÑO!$Z$11)/DATOSAÑO!$Y$11</f>
        <v>0</v>
      </c>
      <c r="Y217" s="9">
        <f ca="1">DATOSAÑO!AJ216</f>
        <v>0</v>
      </c>
      <c r="Z217" s="11">
        <f ca="1">(Y217*DATOSAÑO!$Z$11)/DATOSAÑO!$Y$11</f>
        <v>0</v>
      </c>
      <c r="AA217" s="9">
        <f ca="1">DATOSAÑO!AK216</f>
        <v>0</v>
      </c>
      <c r="AB217" s="11">
        <f ca="1">(AA217*DATOSAÑO!$Z$11)/DATOSAÑO!$Y$11</f>
        <v>0</v>
      </c>
      <c r="AC217" s="9">
        <f ca="1">DATOSAÑO!AL216</f>
        <v>0</v>
      </c>
      <c r="AD217" s="11">
        <f ca="1">(AC217*DATOSAÑO!$Z$11)/DATOSAÑO!$Y$11</f>
        <v>0</v>
      </c>
      <c r="AE217" s="9">
        <f ca="1">DATOSAÑO!AM216</f>
        <v>0</v>
      </c>
      <c r="AF217" s="11">
        <f ca="1">(AE217*DATOSAÑO!$Z$11)/DATOSAÑO!$Y$11</f>
        <v>0</v>
      </c>
      <c r="AG217" s="9">
        <f ca="1">DATOSAÑO!AN216</f>
        <v>0</v>
      </c>
      <c r="AH217" s="11">
        <f ca="1">(AG217*DATOSAÑO!$Z$11)/DATOSAÑO!$Y$11</f>
        <v>0</v>
      </c>
      <c r="AI217" s="9">
        <f ca="1">DATOSAÑO!BS216</f>
        <v>0</v>
      </c>
      <c r="AJ217" s="11">
        <f ca="1">(AI217*DATOSAÑO!$Z$11)/DATOSAÑO!$Y$11</f>
        <v>0</v>
      </c>
      <c r="AK217" s="9">
        <f ca="1">DATOSAÑO!BV216</f>
        <v>0</v>
      </c>
      <c r="AL217" s="11">
        <f ca="1">(AK217*DATOSAÑO!$Z$11)/DATOSAÑO!$Y$11</f>
        <v>0</v>
      </c>
      <c r="AM217" s="9">
        <f ca="1">DATOSAÑO!BY216</f>
        <v>0</v>
      </c>
      <c r="AN217" s="11">
        <f ca="1">(AM217*DATOSAÑO!$Z$11)/DATOSAÑO!$Y$11</f>
        <v>0</v>
      </c>
      <c r="AO217" s="9">
        <f ca="1">DATOSAÑO!CF216</f>
        <v>0</v>
      </c>
      <c r="AP217" s="11">
        <f ca="1">(AO217*DATOSAÑO!$Z$11)/DATOSAÑO!$Y$11</f>
        <v>0</v>
      </c>
      <c r="AQ217" s="9">
        <f ca="1">DATOSAÑO!CL216</f>
        <v>0</v>
      </c>
      <c r="AR217" s="1300">
        <f ca="1">(AQ217*DATOSAÑO!$Z$11)/DATOSAÑO!$Y$11</f>
        <v>0</v>
      </c>
      <c r="AS217" s="1334">
        <f t="shared" si="11"/>
        <v>30</v>
      </c>
    </row>
    <row r="218" spans="1:45" ht="16.5" customHeight="1" thickBot="1">
      <c r="A218" s="1371">
        <v>45133</v>
      </c>
      <c r="B218" s="1021">
        <v>45133</v>
      </c>
      <c r="C218" s="9">
        <f ca="1">DATOSAÑO!I217</f>
        <v>0</v>
      </c>
      <c r="D218" s="10">
        <f ca="1">DATOSAÑO!$D217</f>
        <v>0</v>
      </c>
      <c r="E218" s="11">
        <f ca="1">DATOSAÑO!$G217</f>
        <v>0</v>
      </c>
      <c r="F218" s="9">
        <f ca="1">DATOSAÑO!P217</f>
        <v>0</v>
      </c>
      <c r="G218" s="10">
        <f ca="1">DATOSAÑO!K217</f>
        <v>0</v>
      </c>
      <c r="H218" s="11">
        <f ca="1">DATOSAÑO!N217</f>
        <v>0</v>
      </c>
      <c r="I218" s="9">
        <f ca="1">DATOSAÑO!Q217</f>
        <v>0</v>
      </c>
      <c r="J218" s="11">
        <f ca="1">DATOSAÑO!R217</f>
        <v>0</v>
      </c>
      <c r="K218" s="9">
        <f ca="1">DATOSAÑO!T217</f>
        <v>0</v>
      </c>
      <c r="L218" s="11">
        <f t="shared" ca="1" si="9"/>
        <v>0</v>
      </c>
      <c r="M218" s="9"/>
      <c r="N218" s="11">
        <f t="shared" si="10"/>
        <v>0</v>
      </c>
      <c r="O218" s="9">
        <f>DATOSAÑO!CT217</f>
        <v>0</v>
      </c>
      <c r="P218" s="9">
        <f>DATOSAÑO!CU217</f>
        <v>0</v>
      </c>
      <c r="Q218" s="9">
        <f ca="1">DATOSAÑO!AD217</f>
        <v>0</v>
      </c>
      <c r="R218" s="11">
        <f ca="1">(Q218*DATOSAÑO!$Z$11)/DATOSAÑO!$Y$11</f>
        <v>0</v>
      </c>
      <c r="S218" s="9">
        <f ca="1">DATOSAÑO!AF217</f>
        <v>0</v>
      </c>
      <c r="T218" s="11">
        <f ca="1">(S218*DATOSAÑO!$Z$11)/DATOSAÑO!$Y$11</f>
        <v>0</v>
      </c>
      <c r="U218" s="9">
        <f ca="1">DATOSAÑO!AH217</f>
        <v>0</v>
      </c>
      <c r="V218" s="11">
        <f ca="1">(U218*DATOSAÑO!$Z$11)/DATOSAÑO!$Y$11</f>
        <v>0</v>
      </c>
      <c r="W218" s="9">
        <f ca="1">DATOSAÑO!AI217</f>
        <v>0</v>
      </c>
      <c r="X218" s="11">
        <f ca="1">(W218*DATOSAÑO!$Z$11)/DATOSAÑO!$Y$11</f>
        <v>0</v>
      </c>
      <c r="Y218" s="9">
        <f ca="1">DATOSAÑO!AJ217</f>
        <v>0</v>
      </c>
      <c r="Z218" s="11">
        <f ca="1">(Y218*DATOSAÑO!$Z$11)/DATOSAÑO!$Y$11</f>
        <v>0</v>
      </c>
      <c r="AA218" s="9">
        <f ca="1">DATOSAÑO!AK217</f>
        <v>0</v>
      </c>
      <c r="AB218" s="11">
        <f ca="1">(AA218*DATOSAÑO!$Z$11)/DATOSAÑO!$Y$11</f>
        <v>0</v>
      </c>
      <c r="AC218" s="9">
        <f ca="1">DATOSAÑO!AL217</f>
        <v>0</v>
      </c>
      <c r="AD218" s="11">
        <f ca="1">(AC218*DATOSAÑO!$Z$11)/DATOSAÑO!$Y$11</f>
        <v>0</v>
      </c>
      <c r="AE218" s="9">
        <f ca="1">DATOSAÑO!AM217</f>
        <v>0</v>
      </c>
      <c r="AF218" s="11">
        <f ca="1">(AE218*DATOSAÑO!$Z$11)/DATOSAÑO!$Y$11</f>
        <v>0</v>
      </c>
      <c r="AG218" s="9">
        <f ca="1">DATOSAÑO!AN217</f>
        <v>0</v>
      </c>
      <c r="AH218" s="11">
        <f ca="1">(AG218*DATOSAÑO!$Z$11)/DATOSAÑO!$Y$11</f>
        <v>0</v>
      </c>
      <c r="AI218" s="9">
        <f ca="1">DATOSAÑO!BS217</f>
        <v>0</v>
      </c>
      <c r="AJ218" s="11">
        <f ca="1">(AI218*DATOSAÑO!$Z$11)/DATOSAÑO!$Y$11</f>
        <v>0</v>
      </c>
      <c r="AK218" s="9">
        <f ca="1">DATOSAÑO!BV217</f>
        <v>0</v>
      </c>
      <c r="AL218" s="11">
        <f ca="1">(AK218*DATOSAÑO!$Z$11)/DATOSAÑO!$Y$11</f>
        <v>0</v>
      </c>
      <c r="AM218" s="9">
        <f ca="1">DATOSAÑO!BY217</f>
        <v>0</v>
      </c>
      <c r="AN218" s="11">
        <f ca="1">(AM218*DATOSAÑO!$Z$11)/DATOSAÑO!$Y$11</f>
        <v>0</v>
      </c>
      <c r="AO218" s="9">
        <f ca="1">DATOSAÑO!CF217</f>
        <v>0</v>
      </c>
      <c r="AP218" s="11">
        <f ca="1">(AO218*DATOSAÑO!$Z$11)/DATOSAÑO!$Y$11</f>
        <v>0</v>
      </c>
      <c r="AQ218" s="9">
        <f ca="1">DATOSAÑO!CL217</f>
        <v>0</v>
      </c>
      <c r="AR218" s="1300">
        <f ca="1">(AQ218*DATOSAÑO!$Z$11)/DATOSAÑO!$Y$11</f>
        <v>0</v>
      </c>
      <c r="AS218" s="1334">
        <f t="shared" si="11"/>
        <v>30</v>
      </c>
    </row>
    <row r="219" spans="1:45" ht="15" thickBot="1">
      <c r="A219" s="1371">
        <v>45134</v>
      </c>
      <c r="B219" s="1021">
        <v>45134</v>
      </c>
      <c r="C219" s="9">
        <f ca="1">DATOSAÑO!I218</f>
        <v>0</v>
      </c>
      <c r="D219" s="10">
        <f ca="1">DATOSAÑO!$D218</f>
        <v>0</v>
      </c>
      <c r="E219" s="11">
        <f ca="1">DATOSAÑO!$G218</f>
        <v>0</v>
      </c>
      <c r="F219" s="9">
        <f ca="1">DATOSAÑO!P218</f>
        <v>0</v>
      </c>
      <c r="G219" s="10">
        <f ca="1">DATOSAÑO!K218</f>
        <v>0</v>
      </c>
      <c r="H219" s="11">
        <f ca="1">DATOSAÑO!N218</f>
        <v>0</v>
      </c>
      <c r="I219" s="9">
        <f ca="1">DATOSAÑO!Q218</f>
        <v>0</v>
      </c>
      <c r="J219" s="11">
        <f ca="1">DATOSAÑO!R218</f>
        <v>0</v>
      </c>
      <c r="K219" s="9">
        <f ca="1">DATOSAÑO!T218</f>
        <v>0</v>
      </c>
      <c r="L219" s="11">
        <f t="shared" ca="1" si="9"/>
        <v>0</v>
      </c>
      <c r="M219" s="9"/>
      <c r="N219" s="11">
        <f t="shared" si="10"/>
        <v>0</v>
      </c>
      <c r="O219" s="9">
        <f>DATOSAÑO!CT218</f>
        <v>0</v>
      </c>
      <c r="P219" s="9">
        <f>DATOSAÑO!CU218</f>
        <v>0</v>
      </c>
      <c r="Q219" s="9">
        <f ca="1">DATOSAÑO!AD218</f>
        <v>0</v>
      </c>
      <c r="R219" s="11">
        <f ca="1">(Q219*DATOSAÑO!$Z$11)/DATOSAÑO!$Y$11</f>
        <v>0</v>
      </c>
      <c r="S219" s="9">
        <f ca="1">DATOSAÑO!AF218</f>
        <v>0</v>
      </c>
      <c r="T219" s="11">
        <f ca="1">(S219*DATOSAÑO!$Z$11)/DATOSAÑO!$Y$11</f>
        <v>0</v>
      </c>
      <c r="U219" s="9">
        <f ca="1">DATOSAÑO!AH218</f>
        <v>0</v>
      </c>
      <c r="V219" s="11">
        <f ca="1">(U219*DATOSAÑO!$Z$11)/DATOSAÑO!$Y$11</f>
        <v>0</v>
      </c>
      <c r="W219" s="9">
        <f ca="1">DATOSAÑO!AI218</f>
        <v>0</v>
      </c>
      <c r="X219" s="11">
        <f ca="1">(W219*DATOSAÑO!$Z$11)/DATOSAÑO!$Y$11</f>
        <v>0</v>
      </c>
      <c r="Y219" s="9">
        <f ca="1">DATOSAÑO!AJ218</f>
        <v>0</v>
      </c>
      <c r="Z219" s="11">
        <f ca="1">(Y219*DATOSAÑO!$Z$11)/DATOSAÑO!$Y$11</f>
        <v>0</v>
      </c>
      <c r="AA219" s="9">
        <f ca="1">DATOSAÑO!AK218</f>
        <v>0</v>
      </c>
      <c r="AB219" s="11">
        <f ca="1">(AA219*DATOSAÑO!$Z$11)/DATOSAÑO!$Y$11</f>
        <v>0</v>
      </c>
      <c r="AC219" s="9">
        <f ca="1">DATOSAÑO!AL218</f>
        <v>0</v>
      </c>
      <c r="AD219" s="11">
        <f ca="1">(AC219*DATOSAÑO!$Z$11)/DATOSAÑO!$Y$11</f>
        <v>0</v>
      </c>
      <c r="AE219" s="9">
        <f ca="1">DATOSAÑO!AM218</f>
        <v>0</v>
      </c>
      <c r="AF219" s="11">
        <f ca="1">(AE219*DATOSAÑO!$Z$11)/DATOSAÑO!$Y$11</f>
        <v>0</v>
      </c>
      <c r="AG219" s="9">
        <f ca="1">DATOSAÑO!AN218</f>
        <v>0</v>
      </c>
      <c r="AH219" s="11">
        <f ca="1">(AG219*DATOSAÑO!$Z$11)/DATOSAÑO!$Y$11</f>
        <v>0</v>
      </c>
      <c r="AI219" s="9">
        <f ca="1">DATOSAÑO!BS218</f>
        <v>0</v>
      </c>
      <c r="AJ219" s="11">
        <f ca="1">(AI219*DATOSAÑO!$Z$11)/DATOSAÑO!$Y$11</f>
        <v>0</v>
      </c>
      <c r="AK219" s="9">
        <f ca="1">DATOSAÑO!BV218</f>
        <v>0</v>
      </c>
      <c r="AL219" s="11">
        <f ca="1">(AK219*DATOSAÑO!$Z$11)/DATOSAÑO!$Y$11</f>
        <v>0</v>
      </c>
      <c r="AM219" s="9">
        <f ca="1">DATOSAÑO!BY218</f>
        <v>0</v>
      </c>
      <c r="AN219" s="11">
        <f ca="1">(AM219*DATOSAÑO!$Z$11)/DATOSAÑO!$Y$11</f>
        <v>0</v>
      </c>
      <c r="AO219" s="9">
        <f ca="1">DATOSAÑO!CF218</f>
        <v>0</v>
      </c>
      <c r="AP219" s="11">
        <f ca="1">(AO219*DATOSAÑO!$Z$11)/DATOSAÑO!$Y$11</f>
        <v>0</v>
      </c>
      <c r="AQ219" s="9">
        <f ca="1">DATOSAÑO!CL218</f>
        <v>0</v>
      </c>
      <c r="AR219" s="1300">
        <f ca="1">(AQ219*DATOSAÑO!$Z$11)/DATOSAÑO!$Y$11</f>
        <v>0</v>
      </c>
      <c r="AS219" s="1334">
        <f t="shared" si="11"/>
        <v>30</v>
      </c>
    </row>
    <row r="220" spans="1:45" ht="16.5" customHeight="1" thickBot="1">
      <c r="A220" s="1371">
        <v>45135</v>
      </c>
      <c r="B220" s="1021">
        <v>45135</v>
      </c>
      <c r="C220" s="9">
        <f ca="1">DATOSAÑO!I219</f>
        <v>0</v>
      </c>
      <c r="D220" s="10">
        <f ca="1">DATOSAÑO!$D219</f>
        <v>0</v>
      </c>
      <c r="E220" s="11">
        <f ca="1">DATOSAÑO!$G219</f>
        <v>0</v>
      </c>
      <c r="F220" s="9">
        <f ca="1">DATOSAÑO!P219</f>
        <v>0</v>
      </c>
      <c r="G220" s="10">
        <f ca="1">DATOSAÑO!K219</f>
        <v>0</v>
      </c>
      <c r="H220" s="11">
        <f ca="1">DATOSAÑO!N219</f>
        <v>0</v>
      </c>
      <c r="I220" s="9">
        <f ca="1">DATOSAÑO!Q219</f>
        <v>0</v>
      </c>
      <c r="J220" s="11">
        <f ca="1">DATOSAÑO!R219</f>
        <v>0</v>
      </c>
      <c r="K220" s="9">
        <f ca="1">DATOSAÑO!T219</f>
        <v>0</v>
      </c>
      <c r="L220" s="11">
        <f t="shared" ca="1" si="9"/>
        <v>0</v>
      </c>
      <c r="M220" s="9"/>
      <c r="N220" s="11">
        <f t="shared" si="10"/>
        <v>0</v>
      </c>
      <c r="O220" s="9">
        <f>DATOSAÑO!CT219</f>
        <v>0</v>
      </c>
      <c r="P220" s="9">
        <f>DATOSAÑO!CU219</f>
        <v>0</v>
      </c>
      <c r="Q220" s="9">
        <f ca="1">DATOSAÑO!AD219</f>
        <v>0</v>
      </c>
      <c r="R220" s="11">
        <f ca="1">(Q220*DATOSAÑO!$Z$11)/DATOSAÑO!$Y$11</f>
        <v>0</v>
      </c>
      <c r="S220" s="9">
        <f ca="1">DATOSAÑO!AF219</f>
        <v>0</v>
      </c>
      <c r="T220" s="11">
        <f ca="1">(S220*DATOSAÑO!$Z$11)/DATOSAÑO!$Y$11</f>
        <v>0</v>
      </c>
      <c r="U220" s="9">
        <f ca="1">DATOSAÑO!AH219</f>
        <v>0</v>
      </c>
      <c r="V220" s="11">
        <f ca="1">(U220*DATOSAÑO!$Z$11)/DATOSAÑO!$Y$11</f>
        <v>0</v>
      </c>
      <c r="W220" s="9">
        <f ca="1">DATOSAÑO!AI219</f>
        <v>0</v>
      </c>
      <c r="X220" s="11">
        <f ca="1">(W220*DATOSAÑO!$Z$11)/DATOSAÑO!$Y$11</f>
        <v>0</v>
      </c>
      <c r="Y220" s="9">
        <f ca="1">DATOSAÑO!AJ219</f>
        <v>0</v>
      </c>
      <c r="Z220" s="11">
        <f ca="1">(Y220*DATOSAÑO!$Z$11)/DATOSAÑO!$Y$11</f>
        <v>0</v>
      </c>
      <c r="AA220" s="9">
        <f ca="1">DATOSAÑO!AK219</f>
        <v>0</v>
      </c>
      <c r="AB220" s="11">
        <f ca="1">(AA220*DATOSAÑO!$Z$11)/DATOSAÑO!$Y$11</f>
        <v>0</v>
      </c>
      <c r="AC220" s="9">
        <f ca="1">DATOSAÑO!AL219</f>
        <v>0</v>
      </c>
      <c r="AD220" s="11">
        <f ca="1">(AC220*DATOSAÑO!$Z$11)/DATOSAÑO!$Y$11</f>
        <v>0</v>
      </c>
      <c r="AE220" s="9">
        <f ca="1">DATOSAÑO!AM219</f>
        <v>0</v>
      </c>
      <c r="AF220" s="11">
        <f ca="1">(AE220*DATOSAÑO!$Z$11)/DATOSAÑO!$Y$11</f>
        <v>0</v>
      </c>
      <c r="AG220" s="9">
        <f ca="1">DATOSAÑO!AN219</f>
        <v>0</v>
      </c>
      <c r="AH220" s="11">
        <f ca="1">(AG220*DATOSAÑO!$Z$11)/DATOSAÑO!$Y$11</f>
        <v>0</v>
      </c>
      <c r="AI220" s="9">
        <f ca="1">DATOSAÑO!BS219</f>
        <v>0</v>
      </c>
      <c r="AJ220" s="11">
        <f ca="1">(AI220*DATOSAÑO!$Z$11)/DATOSAÑO!$Y$11</f>
        <v>0</v>
      </c>
      <c r="AK220" s="9">
        <f ca="1">DATOSAÑO!BV219</f>
        <v>0</v>
      </c>
      <c r="AL220" s="11">
        <f ca="1">(AK220*DATOSAÑO!$Z$11)/DATOSAÑO!$Y$11</f>
        <v>0</v>
      </c>
      <c r="AM220" s="9">
        <f ca="1">DATOSAÑO!BY219</f>
        <v>0</v>
      </c>
      <c r="AN220" s="11">
        <f ca="1">(AM220*DATOSAÑO!$Z$11)/DATOSAÑO!$Y$11</f>
        <v>0</v>
      </c>
      <c r="AO220" s="9">
        <f ca="1">DATOSAÑO!CF219</f>
        <v>0</v>
      </c>
      <c r="AP220" s="11">
        <f ca="1">(AO220*DATOSAÑO!$Z$11)/DATOSAÑO!$Y$11</f>
        <v>0</v>
      </c>
      <c r="AQ220" s="9">
        <f ca="1">DATOSAÑO!CL219</f>
        <v>0</v>
      </c>
      <c r="AR220" s="1300">
        <f ca="1">(AQ220*DATOSAÑO!$Z$11)/DATOSAÑO!$Y$11</f>
        <v>0</v>
      </c>
      <c r="AS220" s="1334">
        <f t="shared" si="11"/>
        <v>30</v>
      </c>
    </row>
    <row r="221" spans="1:45" ht="15" thickBot="1">
      <c r="A221" s="1371">
        <v>45136</v>
      </c>
      <c r="B221" s="1021">
        <v>45136</v>
      </c>
      <c r="C221" s="9">
        <f ca="1">DATOSAÑO!I220</f>
        <v>0</v>
      </c>
      <c r="D221" s="10">
        <f ca="1">DATOSAÑO!$D220</f>
        <v>0</v>
      </c>
      <c r="E221" s="11">
        <f ca="1">DATOSAÑO!$G220</f>
        <v>0</v>
      </c>
      <c r="F221" s="9">
        <f ca="1">DATOSAÑO!P220</f>
        <v>0</v>
      </c>
      <c r="G221" s="10">
        <f ca="1">DATOSAÑO!K220</f>
        <v>0</v>
      </c>
      <c r="H221" s="11">
        <f ca="1">DATOSAÑO!N220</f>
        <v>0</v>
      </c>
      <c r="I221" s="9">
        <f ca="1">DATOSAÑO!Q220</f>
        <v>0</v>
      </c>
      <c r="J221" s="11">
        <f ca="1">DATOSAÑO!R220</f>
        <v>0</v>
      </c>
      <c r="K221" s="9">
        <f ca="1">DATOSAÑO!T220</f>
        <v>0</v>
      </c>
      <c r="L221" s="11">
        <f t="shared" ca="1" si="9"/>
        <v>0</v>
      </c>
      <c r="M221" s="9"/>
      <c r="N221" s="11">
        <f t="shared" si="10"/>
        <v>0</v>
      </c>
      <c r="O221" s="9">
        <f>DATOSAÑO!CT220</f>
        <v>0</v>
      </c>
      <c r="P221" s="9">
        <f>DATOSAÑO!CU220</f>
        <v>0</v>
      </c>
      <c r="Q221" s="9">
        <f ca="1">DATOSAÑO!AD220</f>
        <v>0</v>
      </c>
      <c r="R221" s="11">
        <f ca="1">(Q221*DATOSAÑO!$Z$11)/DATOSAÑO!$Y$11</f>
        <v>0</v>
      </c>
      <c r="S221" s="9">
        <f ca="1">DATOSAÑO!AF220</f>
        <v>0</v>
      </c>
      <c r="T221" s="11">
        <f ca="1">(S221*DATOSAÑO!$Z$11)/DATOSAÑO!$Y$11</f>
        <v>0</v>
      </c>
      <c r="U221" s="9">
        <f ca="1">DATOSAÑO!AH220</f>
        <v>0</v>
      </c>
      <c r="V221" s="11">
        <f ca="1">(U221*DATOSAÑO!$Z$11)/DATOSAÑO!$Y$11</f>
        <v>0</v>
      </c>
      <c r="W221" s="9">
        <f ca="1">DATOSAÑO!AI220</f>
        <v>0</v>
      </c>
      <c r="X221" s="11">
        <f ca="1">(W221*DATOSAÑO!$Z$11)/DATOSAÑO!$Y$11</f>
        <v>0</v>
      </c>
      <c r="Y221" s="9">
        <f ca="1">DATOSAÑO!AJ220</f>
        <v>0</v>
      </c>
      <c r="Z221" s="11">
        <f ca="1">(Y221*DATOSAÑO!$Z$11)/DATOSAÑO!$Y$11</f>
        <v>0</v>
      </c>
      <c r="AA221" s="9">
        <f ca="1">DATOSAÑO!AK220</f>
        <v>0</v>
      </c>
      <c r="AB221" s="11">
        <f ca="1">(AA221*DATOSAÑO!$Z$11)/DATOSAÑO!$Y$11</f>
        <v>0</v>
      </c>
      <c r="AC221" s="9">
        <f ca="1">DATOSAÑO!AL220</f>
        <v>0</v>
      </c>
      <c r="AD221" s="11">
        <f ca="1">(AC221*DATOSAÑO!$Z$11)/DATOSAÑO!$Y$11</f>
        <v>0</v>
      </c>
      <c r="AE221" s="9">
        <f ca="1">DATOSAÑO!AM220</f>
        <v>0</v>
      </c>
      <c r="AF221" s="11">
        <f ca="1">(AE221*DATOSAÑO!$Z$11)/DATOSAÑO!$Y$11</f>
        <v>0</v>
      </c>
      <c r="AG221" s="9">
        <f ca="1">DATOSAÑO!AN220</f>
        <v>0</v>
      </c>
      <c r="AH221" s="11">
        <f ca="1">(AG221*DATOSAÑO!$Z$11)/DATOSAÑO!$Y$11</f>
        <v>0</v>
      </c>
      <c r="AI221" s="9">
        <f ca="1">DATOSAÑO!BS220</f>
        <v>0</v>
      </c>
      <c r="AJ221" s="11">
        <f ca="1">(AI221*DATOSAÑO!$Z$11)/DATOSAÑO!$Y$11</f>
        <v>0</v>
      </c>
      <c r="AK221" s="9">
        <f ca="1">DATOSAÑO!BV220</f>
        <v>0</v>
      </c>
      <c r="AL221" s="11">
        <f ca="1">(AK221*DATOSAÑO!$Z$11)/DATOSAÑO!$Y$11</f>
        <v>0</v>
      </c>
      <c r="AM221" s="9">
        <f ca="1">DATOSAÑO!BY220</f>
        <v>0</v>
      </c>
      <c r="AN221" s="11">
        <f ca="1">(AM221*DATOSAÑO!$Z$11)/DATOSAÑO!$Y$11</f>
        <v>0</v>
      </c>
      <c r="AO221" s="9">
        <f ca="1">DATOSAÑO!CF220</f>
        <v>0</v>
      </c>
      <c r="AP221" s="11">
        <f ca="1">(AO221*DATOSAÑO!$Z$11)/DATOSAÑO!$Y$11</f>
        <v>0</v>
      </c>
      <c r="AQ221" s="9">
        <f ca="1">DATOSAÑO!CL220</f>
        <v>0</v>
      </c>
      <c r="AR221" s="1300">
        <f ca="1">(AQ221*DATOSAÑO!$Z$11)/DATOSAÑO!$Y$11</f>
        <v>0</v>
      </c>
      <c r="AS221" s="1334">
        <f t="shared" si="11"/>
        <v>30</v>
      </c>
    </row>
    <row r="222" spans="1:45" ht="16.5" customHeight="1" thickBot="1">
      <c r="A222" s="1371">
        <v>45137</v>
      </c>
      <c r="B222" s="1021">
        <v>45137</v>
      </c>
      <c r="C222" s="9">
        <f ca="1">DATOSAÑO!I221</f>
        <v>0</v>
      </c>
      <c r="D222" s="10">
        <f ca="1">DATOSAÑO!$D221</f>
        <v>0</v>
      </c>
      <c r="E222" s="11">
        <f ca="1">DATOSAÑO!$G221</f>
        <v>0</v>
      </c>
      <c r="F222" s="9">
        <f ca="1">DATOSAÑO!P221</f>
        <v>0</v>
      </c>
      <c r="G222" s="10">
        <f ca="1">DATOSAÑO!K221</f>
        <v>0</v>
      </c>
      <c r="H222" s="11">
        <f ca="1">DATOSAÑO!N221</f>
        <v>0</v>
      </c>
      <c r="I222" s="9">
        <f ca="1">DATOSAÑO!Q221</f>
        <v>0</v>
      </c>
      <c r="J222" s="11">
        <f ca="1">DATOSAÑO!R221</f>
        <v>0</v>
      </c>
      <c r="K222" s="9">
        <f ca="1">DATOSAÑO!T221</f>
        <v>0</v>
      </c>
      <c r="L222" s="11">
        <f t="shared" ca="1" si="9"/>
        <v>0</v>
      </c>
      <c r="M222" s="9"/>
      <c r="N222" s="11">
        <f t="shared" si="10"/>
        <v>0</v>
      </c>
      <c r="O222" s="9">
        <f>DATOSAÑO!CT221</f>
        <v>0</v>
      </c>
      <c r="P222" s="9">
        <f>DATOSAÑO!CU221</f>
        <v>0</v>
      </c>
      <c r="Q222" s="9">
        <f ca="1">DATOSAÑO!AD221</f>
        <v>0</v>
      </c>
      <c r="R222" s="11">
        <f ca="1">(Q222*DATOSAÑO!$Z$11)/DATOSAÑO!$Y$11</f>
        <v>0</v>
      </c>
      <c r="S222" s="9">
        <f ca="1">DATOSAÑO!AF221</f>
        <v>0</v>
      </c>
      <c r="T222" s="11">
        <f ca="1">(S222*DATOSAÑO!$Z$11)/DATOSAÑO!$Y$11</f>
        <v>0</v>
      </c>
      <c r="U222" s="9">
        <f ca="1">DATOSAÑO!AH221</f>
        <v>0</v>
      </c>
      <c r="V222" s="11">
        <f ca="1">(U222*DATOSAÑO!$Z$11)/DATOSAÑO!$Y$11</f>
        <v>0</v>
      </c>
      <c r="W222" s="9">
        <f ca="1">DATOSAÑO!AI221</f>
        <v>0</v>
      </c>
      <c r="X222" s="11">
        <f ca="1">(W222*DATOSAÑO!$Z$11)/DATOSAÑO!$Y$11</f>
        <v>0</v>
      </c>
      <c r="Y222" s="9">
        <f ca="1">DATOSAÑO!AJ221</f>
        <v>0</v>
      </c>
      <c r="Z222" s="11">
        <f ca="1">(Y222*DATOSAÑO!$Z$11)/DATOSAÑO!$Y$11</f>
        <v>0</v>
      </c>
      <c r="AA222" s="9">
        <f ca="1">DATOSAÑO!AK221</f>
        <v>0</v>
      </c>
      <c r="AB222" s="11">
        <f ca="1">(AA222*DATOSAÑO!$Z$11)/DATOSAÑO!$Y$11</f>
        <v>0</v>
      </c>
      <c r="AC222" s="9">
        <f ca="1">DATOSAÑO!AL221</f>
        <v>0</v>
      </c>
      <c r="AD222" s="11">
        <f ca="1">(AC222*DATOSAÑO!$Z$11)/DATOSAÑO!$Y$11</f>
        <v>0</v>
      </c>
      <c r="AE222" s="9">
        <f ca="1">DATOSAÑO!AM221</f>
        <v>0</v>
      </c>
      <c r="AF222" s="11">
        <f ca="1">(AE222*DATOSAÑO!$Z$11)/DATOSAÑO!$Y$11</f>
        <v>0</v>
      </c>
      <c r="AG222" s="9">
        <f ca="1">DATOSAÑO!AN221</f>
        <v>0</v>
      </c>
      <c r="AH222" s="11">
        <f ca="1">(AG222*DATOSAÑO!$Z$11)/DATOSAÑO!$Y$11</f>
        <v>0</v>
      </c>
      <c r="AI222" s="9">
        <f ca="1">DATOSAÑO!BS221</f>
        <v>0</v>
      </c>
      <c r="AJ222" s="11">
        <f ca="1">(AI222*DATOSAÑO!$Z$11)/DATOSAÑO!$Y$11</f>
        <v>0</v>
      </c>
      <c r="AK222" s="9">
        <f ca="1">DATOSAÑO!BV221</f>
        <v>0</v>
      </c>
      <c r="AL222" s="11">
        <f ca="1">(AK222*DATOSAÑO!$Z$11)/DATOSAÑO!$Y$11</f>
        <v>0</v>
      </c>
      <c r="AM222" s="9">
        <f ca="1">DATOSAÑO!BY221</f>
        <v>0</v>
      </c>
      <c r="AN222" s="11">
        <f ca="1">(AM222*DATOSAÑO!$Z$11)/DATOSAÑO!$Y$11</f>
        <v>0</v>
      </c>
      <c r="AO222" s="9">
        <f ca="1">DATOSAÑO!CF221</f>
        <v>0</v>
      </c>
      <c r="AP222" s="11">
        <f ca="1">(AO222*DATOSAÑO!$Z$11)/DATOSAÑO!$Y$11</f>
        <v>0</v>
      </c>
      <c r="AQ222" s="9">
        <f ca="1">DATOSAÑO!CL221</f>
        <v>0</v>
      </c>
      <c r="AR222" s="1300">
        <f ca="1">(AQ222*DATOSAÑO!$Z$11)/DATOSAÑO!$Y$11</f>
        <v>0</v>
      </c>
      <c r="AS222" s="1334">
        <f t="shared" si="11"/>
        <v>31</v>
      </c>
    </row>
    <row r="223" spans="1:45" ht="15" thickBot="1">
      <c r="A223" s="1371">
        <v>45138</v>
      </c>
      <c r="B223" s="1021">
        <v>45138</v>
      </c>
      <c r="C223" s="62">
        <f ca="1">DATOSAÑO!I222</f>
        <v>0</v>
      </c>
      <c r="D223" s="63">
        <f ca="1">DATOSAÑO!$D222</f>
        <v>0</v>
      </c>
      <c r="E223" s="64">
        <f ca="1">DATOSAÑO!$G222</f>
        <v>0</v>
      </c>
      <c r="F223" s="62">
        <f ca="1">DATOSAÑO!P222</f>
        <v>0</v>
      </c>
      <c r="G223" s="63">
        <f ca="1">DATOSAÑO!K222</f>
        <v>0</v>
      </c>
      <c r="H223" s="64">
        <f ca="1">DATOSAÑO!N222</f>
        <v>0</v>
      </c>
      <c r="I223" s="62">
        <f ca="1">DATOSAÑO!Q222</f>
        <v>0</v>
      </c>
      <c r="J223" s="64">
        <f ca="1">DATOSAÑO!R222</f>
        <v>0</v>
      </c>
      <c r="K223" s="9">
        <f ca="1">DATOSAÑO!T222</f>
        <v>0</v>
      </c>
      <c r="L223" s="64">
        <f t="shared" ca="1" si="9"/>
        <v>0</v>
      </c>
      <c r="M223" s="62"/>
      <c r="N223" s="64">
        <f t="shared" si="10"/>
        <v>0</v>
      </c>
      <c r="O223" s="62">
        <f>DATOSAÑO!CT222</f>
        <v>0</v>
      </c>
      <c r="P223" s="61">
        <f>DATOSAÑO!CU222</f>
        <v>0</v>
      </c>
      <c r="Q223" s="9">
        <f ca="1">DATOSAÑO!AD222</f>
        <v>0</v>
      </c>
      <c r="R223" s="64">
        <f ca="1">(Q223*DATOSAÑO!$Z$11)/DATOSAÑO!$Y$11</f>
        <v>0</v>
      </c>
      <c r="S223" s="9">
        <f ca="1">DATOSAÑO!AF222</f>
        <v>0</v>
      </c>
      <c r="T223" s="64">
        <f ca="1">(S223*DATOSAÑO!$Z$11)/DATOSAÑO!$Y$11</f>
        <v>0</v>
      </c>
      <c r="U223" s="9">
        <f ca="1">DATOSAÑO!AH222</f>
        <v>0</v>
      </c>
      <c r="V223" s="64">
        <f ca="1">(U223*DATOSAÑO!$Z$11)/DATOSAÑO!$Y$11</f>
        <v>0</v>
      </c>
      <c r="W223" s="9">
        <f ca="1">DATOSAÑO!AI222</f>
        <v>0</v>
      </c>
      <c r="X223" s="64">
        <f ca="1">(W223*DATOSAÑO!$Z$11)/DATOSAÑO!$Y$11</f>
        <v>0</v>
      </c>
      <c r="Y223" s="9">
        <f ca="1">DATOSAÑO!AJ222</f>
        <v>0</v>
      </c>
      <c r="Z223" s="64">
        <f ca="1">(Y223*DATOSAÑO!$Z$11)/DATOSAÑO!$Y$11</f>
        <v>0</v>
      </c>
      <c r="AA223" s="9">
        <f ca="1">DATOSAÑO!AK222</f>
        <v>0</v>
      </c>
      <c r="AB223" s="64">
        <f ca="1">(AA223*DATOSAÑO!$Z$11)/DATOSAÑO!$Y$11</f>
        <v>0</v>
      </c>
      <c r="AC223" s="9">
        <f ca="1">DATOSAÑO!AL222</f>
        <v>0</v>
      </c>
      <c r="AD223" s="64">
        <f ca="1">(AC223*DATOSAÑO!$Z$11)/DATOSAÑO!$Y$11</f>
        <v>0</v>
      </c>
      <c r="AE223" s="9">
        <f ca="1">DATOSAÑO!AM222</f>
        <v>0</v>
      </c>
      <c r="AF223" s="64">
        <f ca="1">(AE223*DATOSAÑO!$Z$11)/DATOSAÑO!$Y$11</f>
        <v>0</v>
      </c>
      <c r="AG223" s="62">
        <f ca="1">DATOSAÑO!AN222</f>
        <v>0</v>
      </c>
      <c r="AH223" s="64">
        <f ca="1">(AG223*DATOSAÑO!$Z$11)/DATOSAÑO!$Y$11</f>
        <v>0</v>
      </c>
      <c r="AI223" s="62">
        <f ca="1">DATOSAÑO!BS222</f>
        <v>0</v>
      </c>
      <c r="AJ223" s="64">
        <f ca="1">(AI223*DATOSAÑO!$Z$11)/DATOSAÑO!$Y$11</f>
        <v>0</v>
      </c>
      <c r="AK223" s="62">
        <f ca="1">DATOSAÑO!BV222</f>
        <v>0</v>
      </c>
      <c r="AL223" s="64">
        <f ca="1">(AK223*DATOSAÑO!$Z$11)/DATOSAÑO!$Y$11</f>
        <v>0</v>
      </c>
      <c r="AM223" s="62">
        <f ca="1">DATOSAÑO!BY222</f>
        <v>0</v>
      </c>
      <c r="AN223" s="64">
        <f ca="1">(AM223*DATOSAÑO!$Z$11)/DATOSAÑO!$Y$11</f>
        <v>0</v>
      </c>
      <c r="AO223" s="62">
        <f ca="1">DATOSAÑO!CF222</f>
        <v>0</v>
      </c>
      <c r="AP223" s="64">
        <f ca="1">(AO223*DATOSAÑO!$Z$11)/DATOSAÑO!$Y$11</f>
        <v>0</v>
      </c>
      <c r="AQ223" s="62">
        <f ca="1">DATOSAÑO!CL222</f>
        <v>0</v>
      </c>
      <c r="AR223" s="1077">
        <f ca="1">(AQ223*DATOSAÑO!$Z$11)/DATOSAÑO!$Y$11</f>
        <v>0</v>
      </c>
      <c r="AS223" s="1335">
        <f t="shared" si="11"/>
        <v>31</v>
      </c>
    </row>
    <row r="224" spans="1:45" ht="16.5" customHeight="1" thickBot="1">
      <c r="A224" s="1371">
        <v>45139</v>
      </c>
      <c r="B224" s="1021">
        <v>45139</v>
      </c>
      <c r="C224" s="9">
        <f ca="1">DATOSAÑO!I223</f>
        <v>0</v>
      </c>
      <c r="D224" s="10">
        <f ca="1">DATOSAÑO!$D223</f>
        <v>0</v>
      </c>
      <c r="E224" s="11">
        <f ca="1">DATOSAÑO!$G223</f>
        <v>0</v>
      </c>
      <c r="F224" s="9">
        <f ca="1">DATOSAÑO!P223</f>
        <v>0</v>
      </c>
      <c r="G224" s="10">
        <f ca="1">DATOSAÑO!K223</f>
        <v>0</v>
      </c>
      <c r="H224" s="175">
        <f ca="1">DATOSAÑO!N223</f>
        <v>0</v>
      </c>
      <c r="I224" s="173">
        <f ca="1">DATOSAÑO!Q223</f>
        <v>0</v>
      </c>
      <c r="J224" s="175">
        <f ca="1">DATOSAÑO!R223</f>
        <v>0</v>
      </c>
      <c r="K224" s="173">
        <f ca="1">DATOSAÑO!T223</f>
        <v>0</v>
      </c>
      <c r="L224" s="175">
        <f t="shared" ca="1" si="9"/>
        <v>0</v>
      </c>
      <c r="M224" s="173"/>
      <c r="N224" s="175">
        <f t="shared" si="10"/>
        <v>0</v>
      </c>
      <c r="O224" s="9">
        <f>DATOSAÑO!CT223</f>
        <v>0</v>
      </c>
      <c r="P224" s="9">
        <f>DATOSAÑO!CU223</f>
        <v>0</v>
      </c>
      <c r="Q224" s="173">
        <f ca="1">DATOSAÑO!AD223</f>
        <v>0</v>
      </c>
      <c r="R224" s="175">
        <f ca="1">(Q224*DATOSAÑO!$Z$11)/DATOSAÑO!$Y$11</f>
        <v>0</v>
      </c>
      <c r="S224" s="173">
        <f ca="1">DATOSAÑO!AF223</f>
        <v>0</v>
      </c>
      <c r="T224" s="175">
        <f ca="1">(S224*DATOSAÑO!$Z$11)/DATOSAÑO!$Y$11</f>
        <v>0</v>
      </c>
      <c r="U224" s="173">
        <f ca="1">DATOSAÑO!AH223</f>
        <v>0</v>
      </c>
      <c r="V224" s="175">
        <f ca="1">(U224*DATOSAÑO!$Z$11)/DATOSAÑO!$Y$11</f>
        <v>0</v>
      </c>
      <c r="W224" s="173">
        <f ca="1">DATOSAÑO!AI223</f>
        <v>0</v>
      </c>
      <c r="X224" s="175">
        <f ca="1">(W224*DATOSAÑO!$Z$11)/DATOSAÑO!$Y$11</f>
        <v>0</v>
      </c>
      <c r="Y224" s="173">
        <f ca="1">DATOSAÑO!AJ223</f>
        <v>0</v>
      </c>
      <c r="Z224" s="175">
        <f ca="1">(Y224*DATOSAÑO!$Z$11)/DATOSAÑO!$Y$11</f>
        <v>0</v>
      </c>
      <c r="AA224" s="173">
        <f ca="1">DATOSAÑO!AK223</f>
        <v>0</v>
      </c>
      <c r="AB224" s="175">
        <f ca="1">(AA224*DATOSAÑO!$Z$11)/DATOSAÑO!$Y$11</f>
        <v>0</v>
      </c>
      <c r="AC224" s="173">
        <f ca="1">DATOSAÑO!AL223</f>
        <v>0</v>
      </c>
      <c r="AD224" s="175">
        <f ca="1">(AC224*DATOSAÑO!$Z$11)/DATOSAÑO!$Y$11</f>
        <v>0</v>
      </c>
      <c r="AE224" s="173">
        <f ca="1">DATOSAÑO!AM223</f>
        <v>0</v>
      </c>
      <c r="AF224" s="175">
        <f ca="1">(AE224*DATOSAÑO!$Z$11)/DATOSAÑO!$Y$11</f>
        <v>0</v>
      </c>
      <c r="AG224" s="173">
        <f ca="1">DATOSAÑO!AN223</f>
        <v>0</v>
      </c>
      <c r="AH224" s="175">
        <f ca="1">(AG224*DATOSAÑO!$Z$11)/DATOSAÑO!$Y$11</f>
        <v>0</v>
      </c>
      <c r="AI224" s="9">
        <f ca="1">DATOSAÑO!BS223</f>
        <v>0</v>
      </c>
      <c r="AJ224" s="11">
        <f ca="1">(AI224*DATOSAÑO!$Z$11)/DATOSAÑO!$Y$11</f>
        <v>0</v>
      </c>
      <c r="AK224" s="9">
        <f ca="1">DATOSAÑO!BV223</f>
        <v>0</v>
      </c>
      <c r="AL224" s="11">
        <f ca="1">(AK224*DATOSAÑO!$Z$11)/DATOSAÑO!$Y$11</f>
        <v>0</v>
      </c>
      <c r="AM224" s="9">
        <f ca="1">DATOSAÑO!BY223</f>
        <v>0</v>
      </c>
      <c r="AN224" s="11">
        <f ca="1">(AM224*DATOSAÑO!$Z$11)/DATOSAÑO!$Y$11</f>
        <v>0</v>
      </c>
      <c r="AO224" s="9">
        <f ca="1">DATOSAÑO!CF223</f>
        <v>0</v>
      </c>
      <c r="AP224" s="11">
        <f ca="1">(AO224*DATOSAÑO!$Z$11)/DATOSAÑO!$Y$11</f>
        <v>0</v>
      </c>
      <c r="AQ224" s="9">
        <f ca="1">DATOSAÑO!CL223</f>
        <v>0</v>
      </c>
      <c r="AR224" s="1300">
        <f ca="1">(AQ224*DATOSAÑO!$Z$11)/DATOSAÑO!$Y$11</f>
        <v>0</v>
      </c>
      <c r="AS224" s="1369">
        <f t="shared" si="11"/>
        <v>31</v>
      </c>
    </row>
    <row r="225" spans="1:45" ht="15" thickBot="1">
      <c r="A225" s="1371">
        <v>45140</v>
      </c>
      <c r="B225" s="1021">
        <v>45140</v>
      </c>
      <c r="C225" s="9">
        <f ca="1">DATOSAÑO!I224</f>
        <v>0</v>
      </c>
      <c r="D225" s="10">
        <f ca="1">DATOSAÑO!$D224</f>
        <v>0</v>
      </c>
      <c r="E225" s="189">
        <f ca="1">DATOSAÑO!$G224</f>
        <v>0</v>
      </c>
      <c r="F225" s="9">
        <f ca="1">DATOSAÑO!P224</f>
        <v>0</v>
      </c>
      <c r="G225" s="10">
        <f ca="1">DATOSAÑO!K224</f>
        <v>0</v>
      </c>
      <c r="H225" s="11">
        <f ca="1">DATOSAÑO!N224</f>
        <v>0</v>
      </c>
      <c r="I225" s="9">
        <f ca="1">DATOSAÑO!Q224</f>
        <v>0</v>
      </c>
      <c r="J225" s="11">
        <f ca="1">DATOSAÑO!R224</f>
        <v>0</v>
      </c>
      <c r="K225" s="9">
        <f ca="1">DATOSAÑO!T224</f>
        <v>0</v>
      </c>
      <c r="L225" s="11">
        <f t="shared" ca="1" si="9"/>
        <v>0</v>
      </c>
      <c r="M225" s="9"/>
      <c r="N225" s="11">
        <f t="shared" si="10"/>
        <v>0</v>
      </c>
      <c r="O225" s="9">
        <f>DATOSAÑO!CT224</f>
        <v>0</v>
      </c>
      <c r="P225" s="9">
        <f>DATOSAÑO!CU224</f>
        <v>0</v>
      </c>
      <c r="Q225" s="9">
        <f ca="1">DATOSAÑO!AD224</f>
        <v>0</v>
      </c>
      <c r="R225" s="11">
        <f ca="1">(Q225*DATOSAÑO!$Z$11)/DATOSAÑO!$Y$11</f>
        <v>0</v>
      </c>
      <c r="S225" s="9">
        <f ca="1">DATOSAÑO!AF224</f>
        <v>0</v>
      </c>
      <c r="T225" s="11">
        <f ca="1">(S225*DATOSAÑO!$Z$11)/DATOSAÑO!$Y$11</f>
        <v>0</v>
      </c>
      <c r="U225" s="9">
        <f ca="1">DATOSAÑO!AH224</f>
        <v>0</v>
      </c>
      <c r="V225" s="11">
        <f ca="1">(U225*DATOSAÑO!$Z$11)/DATOSAÑO!$Y$11</f>
        <v>0</v>
      </c>
      <c r="W225" s="9">
        <f ca="1">DATOSAÑO!AI224</f>
        <v>0</v>
      </c>
      <c r="X225" s="11">
        <f ca="1">(W225*DATOSAÑO!$Z$11)/DATOSAÑO!$Y$11</f>
        <v>0</v>
      </c>
      <c r="Y225" s="9">
        <f ca="1">DATOSAÑO!AJ224</f>
        <v>0</v>
      </c>
      <c r="Z225" s="11">
        <f ca="1">(Y225*DATOSAÑO!$Z$11)/DATOSAÑO!$Y$11</f>
        <v>0</v>
      </c>
      <c r="AA225" s="9">
        <f ca="1">DATOSAÑO!AK224</f>
        <v>0</v>
      </c>
      <c r="AB225" s="11">
        <f ca="1">(AA225*DATOSAÑO!$Z$11)/DATOSAÑO!$Y$11</f>
        <v>0</v>
      </c>
      <c r="AC225" s="9">
        <f ca="1">DATOSAÑO!AL224</f>
        <v>0</v>
      </c>
      <c r="AD225" s="11">
        <f ca="1">(AC225*DATOSAÑO!$Z$11)/DATOSAÑO!$Y$11</f>
        <v>0</v>
      </c>
      <c r="AE225" s="9">
        <f ca="1">DATOSAÑO!AM224</f>
        <v>0</v>
      </c>
      <c r="AF225" s="11">
        <f ca="1">(AE225*DATOSAÑO!$Z$11)/DATOSAÑO!$Y$11</f>
        <v>0</v>
      </c>
      <c r="AG225" s="9">
        <f ca="1">DATOSAÑO!AN224</f>
        <v>0</v>
      </c>
      <c r="AH225" s="11">
        <f ca="1">(AG225*DATOSAÑO!$Z$11)/DATOSAÑO!$Y$11</f>
        <v>0</v>
      </c>
      <c r="AI225" s="9">
        <f ca="1">DATOSAÑO!BS224</f>
        <v>0</v>
      </c>
      <c r="AJ225" s="11">
        <f ca="1">(AI225*DATOSAÑO!$Z$11)/DATOSAÑO!$Y$11</f>
        <v>0</v>
      </c>
      <c r="AK225" s="9">
        <f ca="1">DATOSAÑO!BV224</f>
        <v>0</v>
      </c>
      <c r="AL225" s="11">
        <f ca="1">(AK225*DATOSAÑO!$Z$11)/DATOSAÑO!$Y$11</f>
        <v>0</v>
      </c>
      <c r="AM225" s="9">
        <f ca="1">DATOSAÑO!BY224</f>
        <v>0</v>
      </c>
      <c r="AN225" s="11">
        <f ca="1">(AM225*DATOSAÑO!$Z$11)/DATOSAÑO!$Y$11</f>
        <v>0</v>
      </c>
      <c r="AO225" s="9">
        <f ca="1">DATOSAÑO!CF224</f>
        <v>0</v>
      </c>
      <c r="AP225" s="11">
        <f ca="1">(AO225*DATOSAÑO!$Z$11)/DATOSAÑO!$Y$11</f>
        <v>0</v>
      </c>
      <c r="AQ225" s="9">
        <f ca="1">DATOSAÑO!CL224</f>
        <v>0</v>
      </c>
      <c r="AR225" s="1300">
        <f ca="1">(AQ225*DATOSAÑO!$Z$11)/DATOSAÑO!$Y$11</f>
        <v>0</v>
      </c>
      <c r="AS225" s="1334">
        <f t="shared" si="11"/>
        <v>31</v>
      </c>
    </row>
    <row r="226" spans="1:45" ht="16.5" customHeight="1" thickBot="1">
      <c r="A226" s="1371">
        <v>45141</v>
      </c>
      <c r="B226" s="1021">
        <v>45141</v>
      </c>
      <c r="C226" s="9">
        <f ca="1">DATOSAÑO!I225</f>
        <v>0</v>
      </c>
      <c r="D226" s="10">
        <f ca="1">DATOSAÑO!$D225</f>
        <v>0</v>
      </c>
      <c r="E226" s="11">
        <f ca="1">DATOSAÑO!$G225</f>
        <v>0</v>
      </c>
      <c r="F226" s="9">
        <f ca="1">DATOSAÑO!P225</f>
        <v>0</v>
      </c>
      <c r="G226" s="10">
        <f ca="1">DATOSAÑO!K225</f>
        <v>0</v>
      </c>
      <c r="H226" s="11">
        <f ca="1">DATOSAÑO!N225</f>
        <v>0</v>
      </c>
      <c r="I226" s="9">
        <f ca="1">DATOSAÑO!Q225</f>
        <v>0</v>
      </c>
      <c r="J226" s="11">
        <f ca="1">DATOSAÑO!R225</f>
        <v>0</v>
      </c>
      <c r="K226" s="9">
        <f ca="1">DATOSAÑO!T225</f>
        <v>0</v>
      </c>
      <c r="L226" s="11">
        <f t="shared" ca="1" si="9"/>
        <v>0</v>
      </c>
      <c r="M226" s="9"/>
      <c r="N226" s="11">
        <f t="shared" si="10"/>
        <v>0</v>
      </c>
      <c r="O226" s="9">
        <f>DATOSAÑO!CT225</f>
        <v>0</v>
      </c>
      <c r="P226" s="9">
        <f>DATOSAÑO!CU225</f>
        <v>0</v>
      </c>
      <c r="Q226" s="9">
        <f ca="1">DATOSAÑO!AD225</f>
        <v>0</v>
      </c>
      <c r="R226" s="11">
        <f ca="1">(Q226*DATOSAÑO!$Z$11)/DATOSAÑO!$Y$11</f>
        <v>0</v>
      </c>
      <c r="S226" s="9">
        <f ca="1">DATOSAÑO!AF225</f>
        <v>0</v>
      </c>
      <c r="T226" s="11">
        <f ca="1">(S226*DATOSAÑO!$Z$11)/DATOSAÑO!$Y$11</f>
        <v>0</v>
      </c>
      <c r="U226" s="9">
        <f ca="1">DATOSAÑO!AH225</f>
        <v>0</v>
      </c>
      <c r="V226" s="11">
        <f ca="1">(U226*DATOSAÑO!$Z$11)/DATOSAÑO!$Y$11</f>
        <v>0</v>
      </c>
      <c r="W226" s="9">
        <f ca="1">DATOSAÑO!AI225</f>
        <v>0</v>
      </c>
      <c r="X226" s="11">
        <f ca="1">(W226*DATOSAÑO!$Z$11)/DATOSAÑO!$Y$11</f>
        <v>0</v>
      </c>
      <c r="Y226" s="9">
        <f ca="1">DATOSAÑO!AJ225</f>
        <v>0</v>
      </c>
      <c r="Z226" s="11">
        <f ca="1">(Y226*DATOSAÑO!$Z$11)/DATOSAÑO!$Y$11</f>
        <v>0</v>
      </c>
      <c r="AA226" s="9">
        <f ca="1">DATOSAÑO!AK225</f>
        <v>0</v>
      </c>
      <c r="AB226" s="11">
        <f ca="1">(AA226*DATOSAÑO!$Z$11)/DATOSAÑO!$Y$11</f>
        <v>0</v>
      </c>
      <c r="AC226" s="9">
        <f ca="1">DATOSAÑO!AL225</f>
        <v>0</v>
      </c>
      <c r="AD226" s="11">
        <f ca="1">(AC226*DATOSAÑO!$Z$11)/DATOSAÑO!$Y$11</f>
        <v>0</v>
      </c>
      <c r="AE226" s="9">
        <f ca="1">DATOSAÑO!AM225</f>
        <v>0</v>
      </c>
      <c r="AF226" s="11">
        <f ca="1">(AE226*DATOSAÑO!$Z$11)/DATOSAÑO!$Y$11</f>
        <v>0</v>
      </c>
      <c r="AG226" s="9">
        <f ca="1">DATOSAÑO!AN225</f>
        <v>0</v>
      </c>
      <c r="AH226" s="11">
        <f ca="1">(AG226*DATOSAÑO!$Z$11)/DATOSAÑO!$Y$11</f>
        <v>0</v>
      </c>
      <c r="AI226" s="9">
        <f ca="1">DATOSAÑO!BS225</f>
        <v>0</v>
      </c>
      <c r="AJ226" s="11">
        <f ca="1">(AI226*DATOSAÑO!$Z$11)/DATOSAÑO!$Y$11</f>
        <v>0</v>
      </c>
      <c r="AK226" s="9">
        <f ca="1">DATOSAÑO!BV225</f>
        <v>0</v>
      </c>
      <c r="AL226" s="11">
        <f ca="1">(AK226*DATOSAÑO!$Z$11)/DATOSAÑO!$Y$11</f>
        <v>0</v>
      </c>
      <c r="AM226" s="9">
        <f ca="1">DATOSAÑO!BY225</f>
        <v>0</v>
      </c>
      <c r="AN226" s="11">
        <f ca="1">(AM226*DATOSAÑO!$Z$11)/DATOSAÑO!$Y$11</f>
        <v>0</v>
      </c>
      <c r="AO226" s="9">
        <f ca="1">DATOSAÑO!CF225</f>
        <v>0</v>
      </c>
      <c r="AP226" s="11">
        <f ca="1">(AO226*DATOSAÑO!$Z$11)/DATOSAÑO!$Y$11</f>
        <v>0</v>
      </c>
      <c r="AQ226" s="9">
        <f ca="1">DATOSAÑO!CL225</f>
        <v>0</v>
      </c>
      <c r="AR226" s="1300">
        <f ca="1">(AQ226*DATOSAÑO!$Z$11)/DATOSAÑO!$Y$11</f>
        <v>0</v>
      </c>
      <c r="AS226" s="1334">
        <f t="shared" si="11"/>
        <v>31</v>
      </c>
    </row>
    <row r="227" spans="1:45" ht="15" thickBot="1">
      <c r="A227" s="1371">
        <v>45142</v>
      </c>
      <c r="B227" s="1021">
        <v>45142</v>
      </c>
      <c r="C227" s="9">
        <f ca="1">DATOSAÑO!I226</f>
        <v>0</v>
      </c>
      <c r="D227" s="10">
        <f ca="1">DATOSAÑO!$D226</f>
        <v>0</v>
      </c>
      <c r="E227" s="11">
        <f ca="1">DATOSAÑO!$G226</f>
        <v>0</v>
      </c>
      <c r="F227" s="9">
        <f ca="1">DATOSAÑO!P226</f>
        <v>0</v>
      </c>
      <c r="G227" s="10">
        <f ca="1">DATOSAÑO!K226</f>
        <v>0</v>
      </c>
      <c r="H227" s="11">
        <f ca="1">DATOSAÑO!N226</f>
        <v>0</v>
      </c>
      <c r="I227" s="9">
        <f ca="1">DATOSAÑO!Q226</f>
        <v>0</v>
      </c>
      <c r="J227" s="11">
        <f ca="1">DATOSAÑO!R226</f>
        <v>0</v>
      </c>
      <c r="K227" s="9">
        <f ca="1">DATOSAÑO!T226</f>
        <v>0</v>
      </c>
      <c r="L227" s="11">
        <f t="shared" ca="1" si="9"/>
        <v>0</v>
      </c>
      <c r="M227" s="9"/>
      <c r="N227" s="11">
        <f t="shared" si="10"/>
        <v>0</v>
      </c>
      <c r="O227" s="9">
        <f>DATOSAÑO!CT226</f>
        <v>0</v>
      </c>
      <c r="P227" s="9">
        <f>DATOSAÑO!CU226</f>
        <v>0</v>
      </c>
      <c r="Q227" s="9">
        <f ca="1">DATOSAÑO!AD226</f>
        <v>0</v>
      </c>
      <c r="R227" s="11">
        <f ca="1">(Q227*DATOSAÑO!$Z$11)/DATOSAÑO!$Y$11</f>
        <v>0</v>
      </c>
      <c r="S227" s="9">
        <f ca="1">DATOSAÑO!AF226</f>
        <v>0</v>
      </c>
      <c r="T227" s="11">
        <f ca="1">(S227*DATOSAÑO!$Z$11)/DATOSAÑO!$Y$11</f>
        <v>0</v>
      </c>
      <c r="U227" s="9">
        <f ca="1">DATOSAÑO!AH226</f>
        <v>0</v>
      </c>
      <c r="V227" s="11">
        <f ca="1">(U227*DATOSAÑO!$Z$11)/DATOSAÑO!$Y$11</f>
        <v>0</v>
      </c>
      <c r="W227" s="9">
        <f ca="1">DATOSAÑO!AI226</f>
        <v>0</v>
      </c>
      <c r="X227" s="11">
        <f ca="1">(W227*DATOSAÑO!$Z$11)/DATOSAÑO!$Y$11</f>
        <v>0</v>
      </c>
      <c r="Y227" s="9">
        <f ca="1">DATOSAÑO!AJ226</f>
        <v>0</v>
      </c>
      <c r="Z227" s="11">
        <f ca="1">(Y227*DATOSAÑO!$Z$11)/DATOSAÑO!$Y$11</f>
        <v>0</v>
      </c>
      <c r="AA227" s="9">
        <f ca="1">DATOSAÑO!AK226</f>
        <v>0</v>
      </c>
      <c r="AB227" s="11">
        <f ca="1">(AA227*DATOSAÑO!$Z$11)/DATOSAÑO!$Y$11</f>
        <v>0</v>
      </c>
      <c r="AC227" s="9">
        <f ca="1">DATOSAÑO!AL226</f>
        <v>0</v>
      </c>
      <c r="AD227" s="11">
        <f ca="1">(AC227*DATOSAÑO!$Z$11)/DATOSAÑO!$Y$11</f>
        <v>0</v>
      </c>
      <c r="AE227" s="9">
        <f ca="1">DATOSAÑO!AM226</f>
        <v>0</v>
      </c>
      <c r="AF227" s="11">
        <f ca="1">(AE227*DATOSAÑO!$Z$11)/DATOSAÑO!$Y$11</f>
        <v>0</v>
      </c>
      <c r="AG227" s="9">
        <f ca="1">DATOSAÑO!AN226</f>
        <v>0</v>
      </c>
      <c r="AH227" s="11">
        <f ca="1">(AG227*DATOSAÑO!$Z$11)/DATOSAÑO!$Y$11</f>
        <v>0</v>
      </c>
      <c r="AI227" s="9">
        <f ca="1">DATOSAÑO!BS226</f>
        <v>0</v>
      </c>
      <c r="AJ227" s="11">
        <f ca="1">(AI227*DATOSAÑO!$Z$11)/DATOSAÑO!$Y$11</f>
        <v>0</v>
      </c>
      <c r="AK227" s="9">
        <f ca="1">DATOSAÑO!BV226</f>
        <v>0</v>
      </c>
      <c r="AL227" s="11">
        <f ca="1">(AK227*DATOSAÑO!$Z$11)/DATOSAÑO!$Y$11</f>
        <v>0</v>
      </c>
      <c r="AM227" s="9">
        <f ca="1">DATOSAÑO!BY226</f>
        <v>0</v>
      </c>
      <c r="AN227" s="11">
        <f ca="1">(AM227*DATOSAÑO!$Z$11)/DATOSAÑO!$Y$11</f>
        <v>0</v>
      </c>
      <c r="AO227" s="9">
        <f ca="1">DATOSAÑO!CF226</f>
        <v>0</v>
      </c>
      <c r="AP227" s="11">
        <f ca="1">(AO227*DATOSAÑO!$Z$11)/DATOSAÑO!$Y$11</f>
        <v>0</v>
      </c>
      <c r="AQ227" s="9">
        <f ca="1">DATOSAÑO!CL226</f>
        <v>0</v>
      </c>
      <c r="AR227" s="1300">
        <f ca="1">(AQ227*DATOSAÑO!$Z$11)/DATOSAÑO!$Y$11</f>
        <v>0</v>
      </c>
      <c r="AS227" s="1334">
        <f t="shared" si="11"/>
        <v>31</v>
      </c>
    </row>
    <row r="228" spans="1:45" ht="16.5" customHeight="1" thickBot="1">
      <c r="A228" s="1371">
        <v>45143</v>
      </c>
      <c r="B228" s="1021">
        <v>45143</v>
      </c>
      <c r="C228" s="9">
        <f ca="1">DATOSAÑO!I227</f>
        <v>0</v>
      </c>
      <c r="D228" s="10">
        <f ca="1">DATOSAÑO!$D227</f>
        <v>0</v>
      </c>
      <c r="E228" s="11">
        <f ca="1">DATOSAÑO!$G227</f>
        <v>0</v>
      </c>
      <c r="F228" s="9">
        <f ca="1">DATOSAÑO!P227</f>
        <v>0</v>
      </c>
      <c r="G228" s="10">
        <f ca="1">DATOSAÑO!K227</f>
        <v>0</v>
      </c>
      <c r="H228" s="11">
        <f ca="1">DATOSAÑO!N227</f>
        <v>0</v>
      </c>
      <c r="I228" s="9">
        <f ca="1">DATOSAÑO!Q227</f>
        <v>0</v>
      </c>
      <c r="J228" s="11">
        <f ca="1">DATOSAÑO!R227</f>
        <v>0</v>
      </c>
      <c r="K228" s="9">
        <f ca="1">DATOSAÑO!T227</f>
        <v>0</v>
      </c>
      <c r="L228" s="11">
        <f t="shared" ca="1" si="9"/>
        <v>0</v>
      </c>
      <c r="M228" s="9"/>
      <c r="N228" s="11">
        <f t="shared" si="10"/>
        <v>0</v>
      </c>
      <c r="O228" s="9">
        <f>DATOSAÑO!CT227</f>
        <v>0</v>
      </c>
      <c r="P228" s="9">
        <f>DATOSAÑO!CU227</f>
        <v>0</v>
      </c>
      <c r="Q228" s="9">
        <f ca="1">DATOSAÑO!AD227</f>
        <v>0</v>
      </c>
      <c r="R228" s="11">
        <f ca="1">(Q228*DATOSAÑO!$Z$11)/DATOSAÑO!$Y$11</f>
        <v>0</v>
      </c>
      <c r="S228" s="9">
        <f ca="1">DATOSAÑO!AF227</f>
        <v>0</v>
      </c>
      <c r="T228" s="11">
        <f ca="1">(S228*DATOSAÑO!$Z$11)/DATOSAÑO!$Y$11</f>
        <v>0</v>
      </c>
      <c r="U228" s="9">
        <f ca="1">DATOSAÑO!AH227</f>
        <v>0</v>
      </c>
      <c r="V228" s="11">
        <f ca="1">(U228*DATOSAÑO!$Z$11)/DATOSAÑO!$Y$11</f>
        <v>0</v>
      </c>
      <c r="W228" s="9">
        <f ca="1">DATOSAÑO!AI227</f>
        <v>0</v>
      </c>
      <c r="X228" s="11">
        <f ca="1">(W228*DATOSAÑO!$Z$11)/DATOSAÑO!$Y$11</f>
        <v>0</v>
      </c>
      <c r="Y228" s="9">
        <f ca="1">DATOSAÑO!AJ227</f>
        <v>0</v>
      </c>
      <c r="Z228" s="11">
        <f ca="1">(Y228*DATOSAÑO!$Z$11)/DATOSAÑO!$Y$11</f>
        <v>0</v>
      </c>
      <c r="AA228" s="9">
        <f ca="1">DATOSAÑO!AK227</f>
        <v>0</v>
      </c>
      <c r="AB228" s="11">
        <f ca="1">(AA228*DATOSAÑO!$Z$11)/DATOSAÑO!$Y$11</f>
        <v>0</v>
      </c>
      <c r="AC228" s="9">
        <f ca="1">DATOSAÑO!AL227</f>
        <v>0</v>
      </c>
      <c r="AD228" s="11">
        <f ca="1">(AC228*DATOSAÑO!$Z$11)/DATOSAÑO!$Y$11</f>
        <v>0</v>
      </c>
      <c r="AE228" s="9">
        <f ca="1">DATOSAÑO!AM227</f>
        <v>0</v>
      </c>
      <c r="AF228" s="11">
        <f ca="1">(AE228*DATOSAÑO!$Z$11)/DATOSAÑO!$Y$11</f>
        <v>0</v>
      </c>
      <c r="AG228" s="9">
        <f ca="1">DATOSAÑO!AN227</f>
        <v>0</v>
      </c>
      <c r="AH228" s="11">
        <f ca="1">(AG228*DATOSAÑO!$Z$11)/DATOSAÑO!$Y$11</f>
        <v>0</v>
      </c>
      <c r="AI228" s="9">
        <f ca="1">DATOSAÑO!BS227</f>
        <v>0</v>
      </c>
      <c r="AJ228" s="11">
        <f ca="1">(AI228*DATOSAÑO!$Z$11)/DATOSAÑO!$Y$11</f>
        <v>0</v>
      </c>
      <c r="AK228" s="9">
        <f ca="1">DATOSAÑO!BV227</f>
        <v>0</v>
      </c>
      <c r="AL228" s="11">
        <f ca="1">(AK228*DATOSAÑO!$Z$11)/DATOSAÑO!$Y$11</f>
        <v>0</v>
      </c>
      <c r="AM228" s="9">
        <f ca="1">DATOSAÑO!BY227</f>
        <v>0</v>
      </c>
      <c r="AN228" s="11">
        <f ca="1">(AM228*DATOSAÑO!$Z$11)/DATOSAÑO!$Y$11</f>
        <v>0</v>
      </c>
      <c r="AO228" s="9">
        <f ca="1">DATOSAÑO!CF227</f>
        <v>0</v>
      </c>
      <c r="AP228" s="11">
        <f ca="1">(AO228*DATOSAÑO!$Z$11)/DATOSAÑO!$Y$11</f>
        <v>0</v>
      </c>
      <c r="AQ228" s="9">
        <f ca="1">DATOSAÑO!CL227</f>
        <v>0</v>
      </c>
      <c r="AR228" s="1300">
        <f ca="1">(AQ228*DATOSAÑO!$Z$11)/DATOSAÑO!$Y$11</f>
        <v>0</v>
      </c>
      <c r="AS228" s="1334">
        <f t="shared" si="11"/>
        <v>31</v>
      </c>
    </row>
    <row r="229" spans="1:45" ht="15" thickBot="1">
      <c r="A229" s="1371">
        <v>45144</v>
      </c>
      <c r="B229" s="1021">
        <v>45144</v>
      </c>
      <c r="C229" s="9">
        <f ca="1">DATOSAÑO!I228</f>
        <v>0</v>
      </c>
      <c r="D229" s="10">
        <f ca="1">DATOSAÑO!$D228</f>
        <v>0</v>
      </c>
      <c r="E229" s="11">
        <f ca="1">DATOSAÑO!$G228</f>
        <v>0</v>
      </c>
      <c r="F229" s="9">
        <f ca="1">DATOSAÑO!P228</f>
        <v>0</v>
      </c>
      <c r="G229" s="10">
        <f ca="1">DATOSAÑO!K228</f>
        <v>0</v>
      </c>
      <c r="H229" s="11">
        <f ca="1">DATOSAÑO!N228</f>
        <v>0</v>
      </c>
      <c r="I229" s="9">
        <f ca="1">DATOSAÑO!Q228</f>
        <v>0</v>
      </c>
      <c r="J229" s="11">
        <f ca="1">DATOSAÑO!R228</f>
        <v>0</v>
      </c>
      <c r="K229" s="9">
        <f ca="1">DATOSAÑO!T228</f>
        <v>0</v>
      </c>
      <c r="L229" s="11">
        <f t="shared" ca="1" si="9"/>
        <v>0</v>
      </c>
      <c r="M229" s="9"/>
      <c r="N229" s="11">
        <f t="shared" si="10"/>
        <v>0</v>
      </c>
      <c r="O229" s="9">
        <f>DATOSAÑO!CT228</f>
        <v>0</v>
      </c>
      <c r="P229" s="9">
        <f>DATOSAÑO!CU228</f>
        <v>0</v>
      </c>
      <c r="Q229" s="9">
        <f ca="1">DATOSAÑO!AD228</f>
        <v>0</v>
      </c>
      <c r="R229" s="11">
        <f ca="1">(Q229*DATOSAÑO!$Z$11)/DATOSAÑO!$Y$11</f>
        <v>0</v>
      </c>
      <c r="S229" s="9">
        <f ca="1">DATOSAÑO!AF228</f>
        <v>0</v>
      </c>
      <c r="T229" s="11">
        <f ca="1">(S229*DATOSAÑO!$Z$11)/DATOSAÑO!$Y$11</f>
        <v>0</v>
      </c>
      <c r="U229" s="9">
        <f ca="1">DATOSAÑO!AH228</f>
        <v>0</v>
      </c>
      <c r="V229" s="11">
        <f ca="1">(U229*DATOSAÑO!$Z$11)/DATOSAÑO!$Y$11</f>
        <v>0</v>
      </c>
      <c r="W229" s="9">
        <f ca="1">DATOSAÑO!AI228</f>
        <v>0</v>
      </c>
      <c r="X229" s="11">
        <f ca="1">(W229*DATOSAÑO!$Z$11)/DATOSAÑO!$Y$11</f>
        <v>0</v>
      </c>
      <c r="Y229" s="9">
        <f ca="1">DATOSAÑO!AJ228</f>
        <v>0</v>
      </c>
      <c r="Z229" s="11">
        <f ca="1">(Y229*DATOSAÑO!$Z$11)/DATOSAÑO!$Y$11</f>
        <v>0</v>
      </c>
      <c r="AA229" s="9">
        <f ca="1">DATOSAÑO!AK228</f>
        <v>0</v>
      </c>
      <c r="AB229" s="11">
        <f ca="1">(AA229*DATOSAÑO!$Z$11)/DATOSAÑO!$Y$11</f>
        <v>0</v>
      </c>
      <c r="AC229" s="9">
        <f ca="1">DATOSAÑO!AL228</f>
        <v>0</v>
      </c>
      <c r="AD229" s="11">
        <f ca="1">(AC229*DATOSAÑO!$Z$11)/DATOSAÑO!$Y$11</f>
        <v>0</v>
      </c>
      <c r="AE229" s="9">
        <f ca="1">DATOSAÑO!AM228</f>
        <v>0</v>
      </c>
      <c r="AF229" s="11">
        <f ca="1">(AE229*DATOSAÑO!$Z$11)/DATOSAÑO!$Y$11</f>
        <v>0</v>
      </c>
      <c r="AG229" s="9">
        <f ca="1">DATOSAÑO!AN228</f>
        <v>0</v>
      </c>
      <c r="AH229" s="11">
        <f ca="1">(AG229*DATOSAÑO!$Z$11)/DATOSAÑO!$Y$11</f>
        <v>0</v>
      </c>
      <c r="AI229" s="9">
        <f ca="1">DATOSAÑO!BS228</f>
        <v>0</v>
      </c>
      <c r="AJ229" s="11">
        <f ca="1">(AI229*DATOSAÑO!$Z$11)/DATOSAÑO!$Y$11</f>
        <v>0</v>
      </c>
      <c r="AK229" s="9">
        <f ca="1">DATOSAÑO!BV228</f>
        <v>0</v>
      </c>
      <c r="AL229" s="11">
        <f ca="1">(AK229*DATOSAÑO!$Z$11)/DATOSAÑO!$Y$11</f>
        <v>0</v>
      </c>
      <c r="AM229" s="9">
        <f ca="1">DATOSAÑO!BY228</f>
        <v>0</v>
      </c>
      <c r="AN229" s="11">
        <f ca="1">(AM229*DATOSAÑO!$Z$11)/DATOSAÑO!$Y$11</f>
        <v>0</v>
      </c>
      <c r="AO229" s="9">
        <f ca="1">DATOSAÑO!CF228</f>
        <v>0</v>
      </c>
      <c r="AP229" s="11">
        <f ca="1">(AO229*DATOSAÑO!$Z$11)/DATOSAÑO!$Y$11</f>
        <v>0</v>
      </c>
      <c r="AQ229" s="9">
        <f ca="1">DATOSAÑO!CL228</f>
        <v>0</v>
      </c>
      <c r="AR229" s="1300">
        <f ca="1">(AQ229*DATOSAÑO!$Z$11)/DATOSAÑO!$Y$11</f>
        <v>0</v>
      </c>
      <c r="AS229" s="1334">
        <f t="shared" si="11"/>
        <v>32</v>
      </c>
    </row>
    <row r="230" spans="1:45" ht="16.5" customHeight="1" thickBot="1">
      <c r="A230" s="1371">
        <v>45145</v>
      </c>
      <c r="B230" s="1021">
        <v>45145</v>
      </c>
      <c r="C230" s="9">
        <f ca="1">DATOSAÑO!I229</f>
        <v>0</v>
      </c>
      <c r="D230" s="10">
        <f ca="1">DATOSAÑO!$D229</f>
        <v>0</v>
      </c>
      <c r="E230" s="11">
        <f ca="1">DATOSAÑO!$G229</f>
        <v>0</v>
      </c>
      <c r="F230" s="9">
        <f ca="1">DATOSAÑO!P229</f>
        <v>0</v>
      </c>
      <c r="G230" s="10">
        <f ca="1">DATOSAÑO!K229</f>
        <v>0</v>
      </c>
      <c r="H230" s="11">
        <f ca="1">DATOSAÑO!N229</f>
        <v>0</v>
      </c>
      <c r="I230" s="9">
        <f ca="1">DATOSAÑO!Q229</f>
        <v>0</v>
      </c>
      <c r="J230" s="11">
        <f ca="1">DATOSAÑO!R229</f>
        <v>0</v>
      </c>
      <c r="K230" s="9">
        <f ca="1">DATOSAÑO!T229</f>
        <v>0</v>
      </c>
      <c r="L230" s="11">
        <f t="shared" ca="1" si="9"/>
        <v>0</v>
      </c>
      <c r="M230" s="9"/>
      <c r="N230" s="11">
        <f t="shared" si="10"/>
        <v>0</v>
      </c>
      <c r="O230" s="9">
        <f>DATOSAÑO!CT229</f>
        <v>0</v>
      </c>
      <c r="P230" s="9">
        <f>DATOSAÑO!CU229</f>
        <v>0</v>
      </c>
      <c r="Q230" s="9">
        <f ca="1">DATOSAÑO!AD229</f>
        <v>0</v>
      </c>
      <c r="R230" s="11">
        <f ca="1">(Q230*DATOSAÑO!$Z$11)/DATOSAÑO!$Y$11</f>
        <v>0</v>
      </c>
      <c r="S230" s="9">
        <f ca="1">DATOSAÑO!AF229</f>
        <v>0</v>
      </c>
      <c r="T230" s="11">
        <f ca="1">(S230*DATOSAÑO!$Z$11)/DATOSAÑO!$Y$11</f>
        <v>0</v>
      </c>
      <c r="U230" s="9">
        <f ca="1">DATOSAÑO!AH229</f>
        <v>0</v>
      </c>
      <c r="V230" s="11">
        <f ca="1">(U230*DATOSAÑO!$Z$11)/DATOSAÑO!$Y$11</f>
        <v>0</v>
      </c>
      <c r="W230" s="9">
        <f ca="1">DATOSAÑO!AI229</f>
        <v>0</v>
      </c>
      <c r="X230" s="11">
        <f ca="1">(W230*DATOSAÑO!$Z$11)/DATOSAÑO!$Y$11</f>
        <v>0</v>
      </c>
      <c r="Y230" s="9">
        <f ca="1">DATOSAÑO!AJ229</f>
        <v>0</v>
      </c>
      <c r="Z230" s="11">
        <f ca="1">(Y230*DATOSAÑO!$Z$11)/DATOSAÑO!$Y$11</f>
        <v>0</v>
      </c>
      <c r="AA230" s="9">
        <f ca="1">DATOSAÑO!AK229</f>
        <v>0</v>
      </c>
      <c r="AB230" s="11">
        <f ca="1">(AA230*DATOSAÑO!$Z$11)/DATOSAÑO!$Y$11</f>
        <v>0</v>
      </c>
      <c r="AC230" s="9">
        <f ca="1">DATOSAÑO!AL229</f>
        <v>0</v>
      </c>
      <c r="AD230" s="11">
        <f ca="1">(AC230*DATOSAÑO!$Z$11)/DATOSAÑO!$Y$11</f>
        <v>0</v>
      </c>
      <c r="AE230" s="9">
        <f ca="1">DATOSAÑO!AM229</f>
        <v>0</v>
      </c>
      <c r="AF230" s="11">
        <f ca="1">(AE230*DATOSAÑO!$Z$11)/DATOSAÑO!$Y$11</f>
        <v>0</v>
      </c>
      <c r="AG230" s="9">
        <f ca="1">DATOSAÑO!AN229</f>
        <v>0</v>
      </c>
      <c r="AH230" s="11">
        <f ca="1">(AG230*DATOSAÑO!$Z$11)/DATOSAÑO!$Y$11</f>
        <v>0</v>
      </c>
      <c r="AI230" s="9">
        <f ca="1">DATOSAÑO!BS229</f>
        <v>0</v>
      </c>
      <c r="AJ230" s="11">
        <f ca="1">(AI230*DATOSAÑO!$Z$11)/DATOSAÑO!$Y$11</f>
        <v>0</v>
      </c>
      <c r="AK230" s="9">
        <f ca="1">DATOSAÑO!BV229</f>
        <v>0</v>
      </c>
      <c r="AL230" s="11">
        <f ca="1">(AK230*DATOSAÑO!$Z$11)/DATOSAÑO!$Y$11</f>
        <v>0</v>
      </c>
      <c r="AM230" s="9">
        <f ca="1">DATOSAÑO!BY229</f>
        <v>0</v>
      </c>
      <c r="AN230" s="11">
        <f ca="1">(AM230*DATOSAÑO!$Z$11)/DATOSAÑO!$Y$11</f>
        <v>0</v>
      </c>
      <c r="AO230" s="9">
        <f ca="1">DATOSAÑO!CF229</f>
        <v>0</v>
      </c>
      <c r="AP230" s="11">
        <f ca="1">(AO230*DATOSAÑO!$Z$11)/DATOSAÑO!$Y$11</f>
        <v>0</v>
      </c>
      <c r="AQ230" s="9">
        <f ca="1">DATOSAÑO!CL229</f>
        <v>0</v>
      </c>
      <c r="AR230" s="1300">
        <f ca="1">(AQ230*DATOSAÑO!$Z$11)/DATOSAÑO!$Y$11</f>
        <v>0</v>
      </c>
      <c r="AS230" s="1334">
        <f t="shared" si="11"/>
        <v>32</v>
      </c>
    </row>
    <row r="231" spans="1:45" ht="15" thickBot="1">
      <c r="A231" s="1371">
        <v>45146</v>
      </c>
      <c r="B231" s="1021">
        <v>45146</v>
      </c>
      <c r="C231" s="9">
        <f ca="1">DATOSAÑO!I230</f>
        <v>0</v>
      </c>
      <c r="D231" s="10">
        <f ca="1">DATOSAÑO!$D230</f>
        <v>0</v>
      </c>
      <c r="E231" s="11">
        <f ca="1">DATOSAÑO!$G230</f>
        <v>0</v>
      </c>
      <c r="F231" s="9">
        <f ca="1">DATOSAÑO!P230</f>
        <v>0</v>
      </c>
      <c r="G231" s="10">
        <f ca="1">DATOSAÑO!K230</f>
        <v>0</v>
      </c>
      <c r="H231" s="11">
        <f ca="1">DATOSAÑO!N230</f>
        <v>0</v>
      </c>
      <c r="I231" s="9">
        <f ca="1">DATOSAÑO!Q230</f>
        <v>0</v>
      </c>
      <c r="J231" s="11">
        <f ca="1">DATOSAÑO!R230</f>
        <v>0</v>
      </c>
      <c r="K231" s="9">
        <f ca="1">DATOSAÑO!T230</f>
        <v>0</v>
      </c>
      <c r="L231" s="11">
        <f t="shared" ca="1" si="9"/>
        <v>0</v>
      </c>
      <c r="M231" s="9"/>
      <c r="N231" s="11">
        <f t="shared" si="10"/>
        <v>0</v>
      </c>
      <c r="O231" s="9">
        <f>DATOSAÑO!CT230</f>
        <v>0</v>
      </c>
      <c r="P231" s="9">
        <f>DATOSAÑO!CU230</f>
        <v>0</v>
      </c>
      <c r="Q231" s="9">
        <f ca="1">DATOSAÑO!AD230</f>
        <v>0</v>
      </c>
      <c r="R231" s="11">
        <f ca="1">(Q231*DATOSAÑO!$Z$11)/DATOSAÑO!$Y$11</f>
        <v>0</v>
      </c>
      <c r="S231" s="9">
        <f ca="1">DATOSAÑO!AF230</f>
        <v>0</v>
      </c>
      <c r="T231" s="11">
        <f ca="1">(S231*DATOSAÑO!$Z$11)/DATOSAÑO!$Y$11</f>
        <v>0</v>
      </c>
      <c r="U231" s="9">
        <f ca="1">DATOSAÑO!AH230</f>
        <v>0</v>
      </c>
      <c r="V231" s="11">
        <f ca="1">(U231*DATOSAÑO!$Z$11)/DATOSAÑO!$Y$11</f>
        <v>0</v>
      </c>
      <c r="W231" s="9">
        <f ca="1">DATOSAÑO!AI230</f>
        <v>0</v>
      </c>
      <c r="X231" s="11">
        <f ca="1">(W231*DATOSAÑO!$Z$11)/DATOSAÑO!$Y$11</f>
        <v>0</v>
      </c>
      <c r="Y231" s="9">
        <f ca="1">DATOSAÑO!AJ230</f>
        <v>0</v>
      </c>
      <c r="Z231" s="11">
        <f ca="1">(Y231*DATOSAÑO!$Z$11)/DATOSAÑO!$Y$11</f>
        <v>0</v>
      </c>
      <c r="AA231" s="9">
        <f ca="1">DATOSAÑO!AK230</f>
        <v>0</v>
      </c>
      <c r="AB231" s="11">
        <f ca="1">(AA231*DATOSAÑO!$Z$11)/DATOSAÑO!$Y$11</f>
        <v>0</v>
      </c>
      <c r="AC231" s="9">
        <f ca="1">DATOSAÑO!AL230</f>
        <v>0</v>
      </c>
      <c r="AD231" s="11">
        <f ca="1">(AC231*DATOSAÑO!$Z$11)/DATOSAÑO!$Y$11</f>
        <v>0</v>
      </c>
      <c r="AE231" s="9">
        <f ca="1">DATOSAÑO!AM230</f>
        <v>0</v>
      </c>
      <c r="AF231" s="11">
        <f ca="1">(AE231*DATOSAÑO!$Z$11)/DATOSAÑO!$Y$11</f>
        <v>0</v>
      </c>
      <c r="AG231" s="9">
        <f ca="1">DATOSAÑO!AN230</f>
        <v>0</v>
      </c>
      <c r="AH231" s="11">
        <f ca="1">(AG231*DATOSAÑO!$Z$11)/DATOSAÑO!$Y$11</f>
        <v>0</v>
      </c>
      <c r="AI231" s="9">
        <f ca="1">DATOSAÑO!BS230</f>
        <v>0</v>
      </c>
      <c r="AJ231" s="11">
        <f ca="1">(AI231*DATOSAÑO!$Z$11)/DATOSAÑO!$Y$11</f>
        <v>0</v>
      </c>
      <c r="AK231" s="9">
        <f ca="1">DATOSAÑO!BV230</f>
        <v>0</v>
      </c>
      <c r="AL231" s="11">
        <f ca="1">(AK231*DATOSAÑO!$Z$11)/DATOSAÑO!$Y$11</f>
        <v>0</v>
      </c>
      <c r="AM231" s="9">
        <f ca="1">DATOSAÑO!BY230</f>
        <v>0</v>
      </c>
      <c r="AN231" s="11">
        <f ca="1">(AM231*DATOSAÑO!$Z$11)/DATOSAÑO!$Y$11</f>
        <v>0</v>
      </c>
      <c r="AO231" s="9">
        <f ca="1">DATOSAÑO!CF230</f>
        <v>0</v>
      </c>
      <c r="AP231" s="11">
        <f ca="1">(AO231*DATOSAÑO!$Z$11)/DATOSAÑO!$Y$11</f>
        <v>0</v>
      </c>
      <c r="AQ231" s="9">
        <f ca="1">DATOSAÑO!CL230</f>
        <v>0</v>
      </c>
      <c r="AR231" s="1300">
        <f ca="1">(AQ231*DATOSAÑO!$Z$11)/DATOSAÑO!$Y$11</f>
        <v>0</v>
      </c>
      <c r="AS231" s="1334">
        <f t="shared" si="11"/>
        <v>32</v>
      </c>
    </row>
    <row r="232" spans="1:45" ht="16.5" customHeight="1" thickBot="1">
      <c r="A232" s="1371">
        <v>45147</v>
      </c>
      <c r="B232" s="1021">
        <v>45147</v>
      </c>
      <c r="C232" s="9">
        <f ca="1">DATOSAÑO!I231</f>
        <v>0</v>
      </c>
      <c r="D232" s="10">
        <f ca="1">DATOSAÑO!$D231</f>
        <v>0</v>
      </c>
      <c r="E232" s="11">
        <f ca="1">DATOSAÑO!$G231</f>
        <v>0</v>
      </c>
      <c r="F232" s="9">
        <f ca="1">DATOSAÑO!P231</f>
        <v>0</v>
      </c>
      <c r="G232" s="10">
        <f ca="1">DATOSAÑO!K231</f>
        <v>0</v>
      </c>
      <c r="H232" s="11">
        <f ca="1">DATOSAÑO!N231</f>
        <v>0</v>
      </c>
      <c r="I232" s="9">
        <f ca="1">DATOSAÑO!Q231</f>
        <v>0</v>
      </c>
      <c r="J232" s="11">
        <f ca="1">DATOSAÑO!R231</f>
        <v>0</v>
      </c>
      <c r="K232" s="9">
        <f ca="1">DATOSAÑO!T231</f>
        <v>0</v>
      </c>
      <c r="L232" s="11">
        <f t="shared" ca="1" si="9"/>
        <v>0</v>
      </c>
      <c r="M232" s="9"/>
      <c r="N232" s="11">
        <f t="shared" si="10"/>
        <v>0</v>
      </c>
      <c r="O232" s="9">
        <f>DATOSAÑO!CT231</f>
        <v>0</v>
      </c>
      <c r="P232" s="9">
        <f>DATOSAÑO!CU231</f>
        <v>0</v>
      </c>
      <c r="Q232" s="9">
        <f ca="1">DATOSAÑO!AD231</f>
        <v>0</v>
      </c>
      <c r="R232" s="11">
        <f ca="1">(Q232*DATOSAÑO!$Z$11)/DATOSAÑO!$Y$11</f>
        <v>0</v>
      </c>
      <c r="S232" s="9">
        <f ca="1">DATOSAÑO!AF231</f>
        <v>0</v>
      </c>
      <c r="T232" s="11">
        <f ca="1">(S232*DATOSAÑO!$Z$11)/DATOSAÑO!$Y$11</f>
        <v>0</v>
      </c>
      <c r="U232" s="9">
        <f ca="1">DATOSAÑO!AH231</f>
        <v>0</v>
      </c>
      <c r="V232" s="11">
        <f ca="1">(U232*DATOSAÑO!$Z$11)/DATOSAÑO!$Y$11</f>
        <v>0</v>
      </c>
      <c r="W232" s="9">
        <f ca="1">DATOSAÑO!AI231</f>
        <v>0</v>
      </c>
      <c r="X232" s="11">
        <f ca="1">(W232*DATOSAÑO!$Z$11)/DATOSAÑO!$Y$11</f>
        <v>0</v>
      </c>
      <c r="Y232" s="9">
        <f ca="1">DATOSAÑO!AJ231</f>
        <v>0</v>
      </c>
      <c r="Z232" s="11">
        <f ca="1">(Y232*DATOSAÑO!$Z$11)/DATOSAÑO!$Y$11</f>
        <v>0</v>
      </c>
      <c r="AA232" s="9">
        <f ca="1">DATOSAÑO!AK231</f>
        <v>0</v>
      </c>
      <c r="AB232" s="11">
        <f ca="1">(AA232*DATOSAÑO!$Z$11)/DATOSAÑO!$Y$11</f>
        <v>0</v>
      </c>
      <c r="AC232" s="9">
        <f ca="1">DATOSAÑO!AL231</f>
        <v>0</v>
      </c>
      <c r="AD232" s="11">
        <f ca="1">(AC232*DATOSAÑO!$Z$11)/DATOSAÑO!$Y$11</f>
        <v>0</v>
      </c>
      <c r="AE232" s="9">
        <f ca="1">DATOSAÑO!AM231</f>
        <v>0</v>
      </c>
      <c r="AF232" s="11">
        <f ca="1">(AE232*DATOSAÑO!$Z$11)/DATOSAÑO!$Y$11</f>
        <v>0</v>
      </c>
      <c r="AG232" s="9">
        <f ca="1">DATOSAÑO!AN231</f>
        <v>0</v>
      </c>
      <c r="AH232" s="11">
        <f ca="1">(AG232*DATOSAÑO!$Z$11)/DATOSAÑO!$Y$11</f>
        <v>0</v>
      </c>
      <c r="AI232" s="9">
        <f ca="1">DATOSAÑO!BS231</f>
        <v>0</v>
      </c>
      <c r="AJ232" s="11">
        <f ca="1">(AI232*DATOSAÑO!$Z$11)/DATOSAÑO!$Y$11</f>
        <v>0</v>
      </c>
      <c r="AK232" s="9">
        <f ca="1">DATOSAÑO!BV231</f>
        <v>0</v>
      </c>
      <c r="AL232" s="11">
        <f ca="1">(AK232*DATOSAÑO!$Z$11)/DATOSAÑO!$Y$11</f>
        <v>0</v>
      </c>
      <c r="AM232" s="9">
        <f ca="1">DATOSAÑO!BY231</f>
        <v>0</v>
      </c>
      <c r="AN232" s="11">
        <f ca="1">(AM232*DATOSAÑO!$Z$11)/DATOSAÑO!$Y$11</f>
        <v>0</v>
      </c>
      <c r="AO232" s="9">
        <f ca="1">DATOSAÑO!CF231</f>
        <v>0</v>
      </c>
      <c r="AP232" s="11">
        <f ca="1">(AO232*DATOSAÑO!$Z$11)/DATOSAÑO!$Y$11</f>
        <v>0</v>
      </c>
      <c r="AQ232" s="9">
        <f ca="1">DATOSAÑO!CL231</f>
        <v>0</v>
      </c>
      <c r="AR232" s="1300">
        <f ca="1">(AQ232*DATOSAÑO!$Z$11)/DATOSAÑO!$Y$11</f>
        <v>0</v>
      </c>
      <c r="AS232" s="1334">
        <f t="shared" si="11"/>
        <v>32</v>
      </c>
    </row>
    <row r="233" spans="1:45" ht="15" thickBot="1">
      <c r="A233" s="1371">
        <v>45148</v>
      </c>
      <c r="B233" s="1021">
        <v>45148</v>
      </c>
      <c r="C233" s="9">
        <f ca="1">DATOSAÑO!I232</f>
        <v>0</v>
      </c>
      <c r="D233" s="10">
        <f ca="1">DATOSAÑO!$D232</f>
        <v>0</v>
      </c>
      <c r="E233" s="11">
        <f ca="1">DATOSAÑO!$G232</f>
        <v>0</v>
      </c>
      <c r="F233" s="9">
        <f ca="1">DATOSAÑO!P232</f>
        <v>0</v>
      </c>
      <c r="G233" s="10">
        <f ca="1">DATOSAÑO!K232</f>
        <v>0</v>
      </c>
      <c r="H233" s="11">
        <f ca="1">DATOSAÑO!N232</f>
        <v>0</v>
      </c>
      <c r="I233" s="9">
        <f ca="1">DATOSAÑO!Q232</f>
        <v>0</v>
      </c>
      <c r="J233" s="11">
        <f ca="1">DATOSAÑO!R232</f>
        <v>0</v>
      </c>
      <c r="K233" s="9">
        <f ca="1">DATOSAÑO!T232</f>
        <v>0</v>
      </c>
      <c r="L233" s="11">
        <f t="shared" ca="1" si="9"/>
        <v>0</v>
      </c>
      <c r="M233" s="9"/>
      <c r="N233" s="11">
        <f t="shared" si="10"/>
        <v>0</v>
      </c>
      <c r="O233" s="9">
        <f>DATOSAÑO!CT232</f>
        <v>0</v>
      </c>
      <c r="P233" s="9">
        <f>DATOSAÑO!CU232</f>
        <v>0</v>
      </c>
      <c r="Q233" s="9">
        <f ca="1">DATOSAÑO!AD232</f>
        <v>0</v>
      </c>
      <c r="R233" s="11">
        <f ca="1">(Q233*DATOSAÑO!$Z$11)/DATOSAÑO!$Y$11</f>
        <v>0</v>
      </c>
      <c r="S233" s="9">
        <f ca="1">DATOSAÑO!AF232</f>
        <v>0</v>
      </c>
      <c r="T233" s="11">
        <f ca="1">(S233*DATOSAÑO!$Z$11)/DATOSAÑO!$Y$11</f>
        <v>0</v>
      </c>
      <c r="U233" s="9">
        <f ca="1">DATOSAÑO!AH232</f>
        <v>0</v>
      </c>
      <c r="V233" s="11">
        <f ca="1">(U233*DATOSAÑO!$Z$11)/DATOSAÑO!$Y$11</f>
        <v>0</v>
      </c>
      <c r="W233" s="9">
        <f ca="1">DATOSAÑO!AI232</f>
        <v>0</v>
      </c>
      <c r="X233" s="11">
        <f ca="1">(W233*DATOSAÑO!$Z$11)/DATOSAÑO!$Y$11</f>
        <v>0</v>
      </c>
      <c r="Y233" s="9">
        <f ca="1">DATOSAÑO!AJ232</f>
        <v>0</v>
      </c>
      <c r="Z233" s="11">
        <f ca="1">(Y233*DATOSAÑO!$Z$11)/DATOSAÑO!$Y$11</f>
        <v>0</v>
      </c>
      <c r="AA233" s="9">
        <f ca="1">DATOSAÑO!AK232</f>
        <v>0</v>
      </c>
      <c r="AB233" s="11">
        <f ca="1">(AA233*DATOSAÑO!$Z$11)/DATOSAÑO!$Y$11</f>
        <v>0</v>
      </c>
      <c r="AC233" s="9">
        <f ca="1">DATOSAÑO!AL232</f>
        <v>0</v>
      </c>
      <c r="AD233" s="11">
        <f ca="1">(AC233*DATOSAÑO!$Z$11)/DATOSAÑO!$Y$11</f>
        <v>0</v>
      </c>
      <c r="AE233" s="9">
        <f ca="1">DATOSAÑO!AM232</f>
        <v>0</v>
      </c>
      <c r="AF233" s="11">
        <f ca="1">(AE233*DATOSAÑO!$Z$11)/DATOSAÑO!$Y$11</f>
        <v>0</v>
      </c>
      <c r="AG233" s="9">
        <f ca="1">DATOSAÑO!AN232</f>
        <v>0</v>
      </c>
      <c r="AH233" s="11">
        <f ca="1">(AG233*DATOSAÑO!$Z$11)/DATOSAÑO!$Y$11</f>
        <v>0</v>
      </c>
      <c r="AI233" s="9">
        <f ca="1">DATOSAÑO!BS232</f>
        <v>0</v>
      </c>
      <c r="AJ233" s="11">
        <f ca="1">(AI233*DATOSAÑO!$Z$11)/DATOSAÑO!$Y$11</f>
        <v>0</v>
      </c>
      <c r="AK233" s="9">
        <f ca="1">DATOSAÑO!BV232</f>
        <v>0</v>
      </c>
      <c r="AL233" s="11">
        <f ca="1">(AK233*DATOSAÑO!$Z$11)/DATOSAÑO!$Y$11</f>
        <v>0</v>
      </c>
      <c r="AM233" s="9">
        <f ca="1">DATOSAÑO!BY232</f>
        <v>0</v>
      </c>
      <c r="AN233" s="11">
        <f ca="1">(AM233*DATOSAÑO!$Z$11)/DATOSAÑO!$Y$11</f>
        <v>0</v>
      </c>
      <c r="AO233" s="9">
        <f ca="1">DATOSAÑO!CF232</f>
        <v>0</v>
      </c>
      <c r="AP233" s="11">
        <f ca="1">(AO233*DATOSAÑO!$Z$11)/DATOSAÑO!$Y$11</f>
        <v>0</v>
      </c>
      <c r="AQ233" s="9">
        <f ca="1">DATOSAÑO!CL232</f>
        <v>0</v>
      </c>
      <c r="AR233" s="1300">
        <f ca="1">(AQ233*DATOSAÑO!$Z$11)/DATOSAÑO!$Y$11</f>
        <v>0</v>
      </c>
      <c r="AS233" s="1334">
        <f t="shared" si="11"/>
        <v>32</v>
      </c>
    </row>
    <row r="234" spans="1:45" ht="16.5" customHeight="1" thickBot="1">
      <c r="A234" s="1371">
        <v>45149</v>
      </c>
      <c r="B234" s="1021">
        <v>45149</v>
      </c>
      <c r="C234" s="9">
        <f ca="1">DATOSAÑO!I233</f>
        <v>0</v>
      </c>
      <c r="D234" s="10">
        <f ca="1">DATOSAÑO!$D233</f>
        <v>0</v>
      </c>
      <c r="E234" s="11">
        <f ca="1">DATOSAÑO!$G233</f>
        <v>0</v>
      </c>
      <c r="F234" s="9">
        <f ca="1">DATOSAÑO!P233</f>
        <v>0</v>
      </c>
      <c r="G234" s="10">
        <f ca="1">DATOSAÑO!K233</f>
        <v>0</v>
      </c>
      <c r="H234" s="11">
        <f ca="1">DATOSAÑO!N233</f>
        <v>0</v>
      </c>
      <c r="I234" s="9">
        <f ca="1">DATOSAÑO!Q233</f>
        <v>0</v>
      </c>
      <c r="J234" s="11">
        <f ca="1">DATOSAÑO!R233</f>
        <v>0</v>
      </c>
      <c r="K234" s="9">
        <f ca="1">DATOSAÑO!T233</f>
        <v>0</v>
      </c>
      <c r="L234" s="11">
        <f t="shared" ca="1" si="9"/>
        <v>0</v>
      </c>
      <c r="M234" s="9"/>
      <c r="N234" s="11">
        <f t="shared" si="10"/>
        <v>0</v>
      </c>
      <c r="O234" s="9">
        <f>DATOSAÑO!CT233</f>
        <v>0</v>
      </c>
      <c r="P234" s="9">
        <f>DATOSAÑO!CU233</f>
        <v>0</v>
      </c>
      <c r="Q234" s="9">
        <f ca="1">DATOSAÑO!AD233</f>
        <v>0</v>
      </c>
      <c r="R234" s="11">
        <f ca="1">(Q234*DATOSAÑO!$Z$11)/DATOSAÑO!$Y$11</f>
        <v>0</v>
      </c>
      <c r="S234" s="9">
        <f ca="1">DATOSAÑO!AF233</f>
        <v>0</v>
      </c>
      <c r="T234" s="11">
        <f ca="1">(S234*DATOSAÑO!$Z$11)/DATOSAÑO!$Y$11</f>
        <v>0</v>
      </c>
      <c r="U234" s="9">
        <f ca="1">DATOSAÑO!AH233</f>
        <v>0</v>
      </c>
      <c r="V234" s="11">
        <f ca="1">(U234*DATOSAÑO!$Z$11)/DATOSAÑO!$Y$11</f>
        <v>0</v>
      </c>
      <c r="W234" s="9">
        <f ca="1">DATOSAÑO!AI233</f>
        <v>0</v>
      </c>
      <c r="X234" s="11">
        <f ca="1">(W234*DATOSAÑO!$Z$11)/DATOSAÑO!$Y$11</f>
        <v>0</v>
      </c>
      <c r="Y234" s="9">
        <f ca="1">DATOSAÑO!AJ233</f>
        <v>0</v>
      </c>
      <c r="Z234" s="11">
        <f ca="1">(Y234*DATOSAÑO!$Z$11)/DATOSAÑO!$Y$11</f>
        <v>0</v>
      </c>
      <c r="AA234" s="9">
        <f ca="1">DATOSAÑO!AK233</f>
        <v>0</v>
      </c>
      <c r="AB234" s="11">
        <f ca="1">(AA234*DATOSAÑO!$Z$11)/DATOSAÑO!$Y$11</f>
        <v>0</v>
      </c>
      <c r="AC234" s="9">
        <f ca="1">DATOSAÑO!AL233</f>
        <v>0</v>
      </c>
      <c r="AD234" s="11">
        <f ca="1">(AC234*DATOSAÑO!$Z$11)/DATOSAÑO!$Y$11</f>
        <v>0</v>
      </c>
      <c r="AE234" s="9">
        <f ca="1">DATOSAÑO!AM233</f>
        <v>0</v>
      </c>
      <c r="AF234" s="11">
        <f ca="1">(AE234*DATOSAÑO!$Z$11)/DATOSAÑO!$Y$11</f>
        <v>0</v>
      </c>
      <c r="AG234" s="9">
        <f ca="1">DATOSAÑO!AN233</f>
        <v>0</v>
      </c>
      <c r="AH234" s="11">
        <f ca="1">(AG234*DATOSAÑO!$Z$11)/DATOSAÑO!$Y$11</f>
        <v>0</v>
      </c>
      <c r="AI234" s="9">
        <f ca="1">DATOSAÑO!BS233</f>
        <v>0</v>
      </c>
      <c r="AJ234" s="11">
        <f ca="1">(AI234*DATOSAÑO!$Z$11)/DATOSAÑO!$Y$11</f>
        <v>0</v>
      </c>
      <c r="AK234" s="9">
        <f ca="1">DATOSAÑO!BV233</f>
        <v>0</v>
      </c>
      <c r="AL234" s="11">
        <f ca="1">(AK234*DATOSAÑO!$Z$11)/DATOSAÑO!$Y$11</f>
        <v>0</v>
      </c>
      <c r="AM234" s="9">
        <f ca="1">DATOSAÑO!BY233</f>
        <v>0</v>
      </c>
      <c r="AN234" s="11">
        <f ca="1">(AM234*DATOSAÑO!$Z$11)/DATOSAÑO!$Y$11</f>
        <v>0</v>
      </c>
      <c r="AO234" s="9">
        <f ca="1">DATOSAÑO!CF233</f>
        <v>0</v>
      </c>
      <c r="AP234" s="11">
        <f ca="1">(AO234*DATOSAÑO!$Z$11)/DATOSAÑO!$Y$11</f>
        <v>0</v>
      </c>
      <c r="AQ234" s="9">
        <f ca="1">DATOSAÑO!CL233</f>
        <v>0</v>
      </c>
      <c r="AR234" s="1300">
        <f ca="1">(AQ234*DATOSAÑO!$Z$11)/DATOSAÑO!$Y$11</f>
        <v>0</v>
      </c>
      <c r="AS234" s="1334">
        <f t="shared" si="11"/>
        <v>32</v>
      </c>
    </row>
    <row r="235" spans="1:45" ht="15" thickBot="1">
      <c r="A235" s="1371">
        <v>45150</v>
      </c>
      <c r="B235" s="1021">
        <v>45150</v>
      </c>
      <c r="C235" s="9">
        <f ca="1">DATOSAÑO!I234</f>
        <v>0</v>
      </c>
      <c r="D235" s="10">
        <f ca="1">DATOSAÑO!$D234</f>
        <v>0</v>
      </c>
      <c r="E235" s="11">
        <f ca="1">DATOSAÑO!$G234</f>
        <v>0</v>
      </c>
      <c r="F235" s="9">
        <f ca="1">DATOSAÑO!P234</f>
        <v>0</v>
      </c>
      <c r="G235" s="10">
        <f ca="1">DATOSAÑO!K234</f>
        <v>0</v>
      </c>
      <c r="H235" s="11">
        <f ca="1">DATOSAÑO!N234</f>
        <v>0</v>
      </c>
      <c r="I235" s="9">
        <f ca="1">DATOSAÑO!Q234</f>
        <v>0</v>
      </c>
      <c r="J235" s="11">
        <f ca="1">DATOSAÑO!R234</f>
        <v>0</v>
      </c>
      <c r="K235" s="9">
        <f ca="1">DATOSAÑO!T234</f>
        <v>0</v>
      </c>
      <c r="L235" s="11">
        <f t="shared" ca="1" si="9"/>
        <v>0</v>
      </c>
      <c r="M235" s="9"/>
      <c r="N235" s="11">
        <f t="shared" si="10"/>
        <v>0</v>
      </c>
      <c r="O235" s="9">
        <f>DATOSAÑO!CT234</f>
        <v>0</v>
      </c>
      <c r="P235" s="9">
        <f>DATOSAÑO!CU234</f>
        <v>0</v>
      </c>
      <c r="Q235" s="9">
        <f ca="1">DATOSAÑO!AD234</f>
        <v>0</v>
      </c>
      <c r="R235" s="11">
        <f ca="1">(Q235*DATOSAÑO!$Z$11)/DATOSAÑO!$Y$11</f>
        <v>0</v>
      </c>
      <c r="S235" s="9">
        <f ca="1">DATOSAÑO!AF234</f>
        <v>0</v>
      </c>
      <c r="T235" s="11">
        <f ca="1">(S235*DATOSAÑO!$Z$11)/DATOSAÑO!$Y$11</f>
        <v>0</v>
      </c>
      <c r="U235" s="9">
        <f ca="1">DATOSAÑO!AH234</f>
        <v>0</v>
      </c>
      <c r="V235" s="11">
        <f ca="1">(U235*DATOSAÑO!$Z$11)/DATOSAÑO!$Y$11</f>
        <v>0</v>
      </c>
      <c r="W235" s="9">
        <f ca="1">DATOSAÑO!AI234</f>
        <v>0</v>
      </c>
      <c r="X235" s="11">
        <f ca="1">(W235*DATOSAÑO!$Z$11)/DATOSAÑO!$Y$11</f>
        <v>0</v>
      </c>
      <c r="Y235" s="9">
        <f ca="1">DATOSAÑO!AJ234</f>
        <v>0</v>
      </c>
      <c r="Z235" s="11">
        <f ca="1">(Y235*DATOSAÑO!$Z$11)/DATOSAÑO!$Y$11</f>
        <v>0</v>
      </c>
      <c r="AA235" s="9">
        <f ca="1">DATOSAÑO!AK234</f>
        <v>0</v>
      </c>
      <c r="AB235" s="11">
        <f ca="1">(AA235*DATOSAÑO!$Z$11)/DATOSAÑO!$Y$11</f>
        <v>0</v>
      </c>
      <c r="AC235" s="9">
        <f ca="1">DATOSAÑO!AL234</f>
        <v>0</v>
      </c>
      <c r="AD235" s="11">
        <f ca="1">(AC235*DATOSAÑO!$Z$11)/DATOSAÑO!$Y$11</f>
        <v>0</v>
      </c>
      <c r="AE235" s="9">
        <f ca="1">DATOSAÑO!AM234</f>
        <v>0</v>
      </c>
      <c r="AF235" s="11">
        <f ca="1">(AE235*DATOSAÑO!$Z$11)/DATOSAÑO!$Y$11</f>
        <v>0</v>
      </c>
      <c r="AG235" s="9">
        <f ca="1">DATOSAÑO!AN234</f>
        <v>0</v>
      </c>
      <c r="AH235" s="11">
        <f ca="1">(AG235*DATOSAÑO!$Z$11)/DATOSAÑO!$Y$11</f>
        <v>0</v>
      </c>
      <c r="AI235" s="9">
        <f ca="1">DATOSAÑO!BS234</f>
        <v>0</v>
      </c>
      <c r="AJ235" s="11">
        <f ca="1">(AI235*DATOSAÑO!$Z$11)/DATOSAÑO!$Y$11</f>
        <v>0</v>
      </c>
      <c r="AK235" s="9">
        <f ca="1">DATOSAÑO!BV234</f>
        <v>0</v>
      </c>
      <c r="AL235" s="11">
        <f ca="1">(AK235*DATOSAÑO!$Z$11)/DATOSAÑO!$Y$11</f>
        <v>0</v>
      </c>
      <c r="AM235" s="9">
        <f ca="1">DATOSAÑO!BY234</f>
        <v>0</v>
      </c>
      <c r="AN235" s="11">
        <f ca="1">(AM235*DATOSAÑO!$Z$11)/DATOSAÑO!$Y$11</f>
        <v>0</v>
      </c>
      <c r="AO235" s="9">
        <f ca="1">DATOSAÑO!CF234</f>
        <v>0</v>
      </c>
      <c r="AP235" s="11">
        <f ca="1">(AO235*DATOSAÑO!$Z$11)/DATOSAÑO!$Y$11</f>
        <v>0</v>
      </c>
      <c r="AQ235" s="9">
        <f ca="1">DATOSAÑO!CL234</f>
        <v>0</v>
      </c>
      <c r="AR235" s="1300">
        <f ca="1">(AQ235*DATOSAÑO!$Z$11)/DATOSAÑO!$Y$11</f>
        <v>0</v>
      </c>
      <c r="AS235" s="1334">
        <f t="shared" si="11"/>
        <v>32</v>
      </c>
    </row>
    <row r="236" spans="1:45" ht="16.5" customHeight="1" thickBot="1">
      <c r="A236" s="1371">
        <v>45151</v>
      </c>
      <c r="B236" s="1021">
        <v>45151</v>
      </c>
      <c r="C236" s="9">
        <f ca="1">DATOSAÑO!I235</f>
        <v>0</v>
      </c>
      <c r="D236" s="10">
        <f ca="1">DATOSAÑO!$D235</f>
        <v>0</v>
      </c>
      <c r="E236" s="11">
        <f ca="1">DATOSAÑO!$G235</f>
        <v>0</v>
      </c>
      <c r="F236" s="9">
        <f ca="1">DATOSAÑO!P235</f>
        <v>0</v>
      </c>
      <c r="G236" s="10">
        <f ca="1">DATOSAÑO!K235</f>
        <v>0</v>
      </c>
      <c r="H236" s="11">
        <f ca="1">DATOSAÑO!N235</f>
        <v>0</v>
      </c>
      <c r="I236" s="9">
        <f ca="1">DATOSAÑO!Q235</f>
        <v>0</v>
      </c>
      <c r="J236" s="11">
        <f ca="1">DATOSAÑO!R235</f>
        <v>0</v>
      </c>
      <c r="K236" s="9">
        <f ca="1">DATOSAÑO!T235</f>
        <v>0</v>
      </c>
      <c r="L236" s="11">
        <f t="shared" ca="1" si="9"/>
        <v>0</v>
      </c>
      <c r="M236" s="9"/>
      <c r="N236" s="11">
        <f t="shared" si="10"/>
        <v>0</v>
      </c>
      <c r="O236" s="9">
        <f>DATOSAÑO!CT235</f>
        <v>0</v>
      </c>
      <c r="P236" s="9">
        <f>DATOSAÑO!CU235</f>
        <v>0</v>
      </c>
      <c r="Q236" s="9">
        <f ca="1">DATOSAÑO!AD235</f>
        <v>0</v>
      </c>
      <c r="R236" s="11">
        <f ca="1">(Q236*DATOSAÑO!$Z$11)/DATOSAÑO!$Y$11</f>
        <v>0</v>
      </c>
      <c r="S236" s="9">
        <f ca="1">DATOSAÑO!AF235</f>
        <v>0</v>
      </c>
      <c r="T236" s="11">
        <f ca="1">(S236*DATOSAÑO!$Z$11)/DATOSAÑO!$Y$11</f>
        <v>0</v>
      </c>
      <c r="U236" s="9">
        <f ca="1">DATOSAÑO!AH235</f>
        <v>0</v>
      </c>
      <c r="V236" s="11">
        <f ca="1">(U236*DATOSAÑO!$Z$11)/DATOSAÑO!$Y$11</f>
        <v>0</v>
      </c>
      <c r="W236" s="9">
        <f ca="1">DATOSAÑO!AI235</f>
        <v>0</v>
      </c>
      <c r="X236" s="11">
        <f ca="1">(W236*DATOSAÑO!$Z$11)/DATOSAÑO!$Y$11</f>
        <v>0</v>
      </c>
      <c r="Y236" s="9">
        <f ca="1">DATOSAÑO!AJ235</f>
        <v>0</v>
      </c>
      <c r="Z236" s="11">
        <f ca="1">(Y236*DATOSAÑO!$Z$11)/DATOSAÑO!$Y$11</f>
        <v>0</v>
      </c>
      <c r="AA236" s="9">
        <f ca="1">DATOSAÑO!AK235</f>
        <v>0</v>
      </c>
      <c r="AB236" s="11">
        <f ca="1">(AA236*DATOSAÑO!$Z$11)/DATOSAÑO!$Y$11</f>
        <v>0</v>
      </c>
      <c r="AC236" s="9">
        <f ca="1">DATOSAÑO!AL235</f>
        <v>0</v>
      </c>
      <c r="AD236" s="11">
        <f ca="1">(AC236*DATOSAÑO!$Z$11)/DATOSAÑO!$Y$11</f>
        <v>0</v>
      </c>
      <c r="AE236" s="9">
        <f ca="1">DATOSAÑO!AM235</f>
        <v>0</v>
      </c>
      <c r="AF236" s="11">
        <f ca="1">(AE236*DATOSAÑO!$Z$11)/DATOSAÑO!$Y$11</f>
        <v>0</v>
      </c>
      <c r="AG236" s="9">
        <f ca="1">DATOSAÑO!AN235</f>
        <v>0</v>
      </c>
      <c r="AH236" s="11">
        <f ca="1">(AG236*DATOSAÑO!$Z$11)/DATOSAÑO!$Y$11</f>
        <v>0</v>
      </c>
      <c r="AI236" s="9">
        <f ca="1">DATOSAÑO!BS235</f>
        <v>0</v>
      </c>
      <c r="AJ236" s="11">
        <f ca="1">(AI236*DATOSAÑO!$Z$11)/DATOSAÑO!$Y$11</f>
        <v>0</v>
      </c>
      <c r="AK236" s="9">
        <f ca="1">DATOSAÑO!BV235</f>
        <v>0</v>
      </c>
      <c r="AL236" s="11">
        <f ca="1">(AK236*DATOSAÑO!$Z$11)/DATOSAÑO!$Y$11</f>
        <v>0</v>
      </c>
      <c r="AM236" s="9">
        <f ca="1">DATOSAÑO!BY235</f>
        <v>0</v>
      </c>
      <c r="AN236" s="11">
        <f ca="1">(AM236*DATOSAÑO!$Z$11)/DATOSAÑO!$Y$11</f>
        <v>0</v>
      </c>
      <c r="AO236" s="9">
        <f ca="1">DATOSAÑO!CF235</f>
        <v>0</v>
      </c>
      <c r="AP236" s="11">
        <f ca="1">(AO236*DATOSAÑO!$Z$11)/DATOSAÑO!$Y$11</f>
        <v>0</v>
      </c>
      <c r="AQ236" s="9">
        <f ca="1">DATOSAÑO!CL235</f>
        <v>0</v>
      </c>
      <c r="AR236" s="1300">
        <f ca="1">(AQ236*DATOSAÑO!$Z$11)/DATOSAÑO!$Y$11</f>
        <v>0</v>
      </c>
      <c r="AS236" s="1334">
        <f t="shared" si="11"/>
        <v>33</v>
      </c>
    </row>
    <row r="237" spans="1:45" ht="15" thickBot="1">
      <c r="A237" s="1371">
        <v>45152</v>
      </c>
      <c r="B237" s="1021">
        <v>45152</v>
      </c>
      <c r="C237" s="9">
        <f ca="1">DATOSAÑO!I236</f>
        <v>0</v>
      </c>
      <c r="D237" s="10">
        <f ca="1">DATOSAÑO!$D236</f>
        <v>0</v>
      </c>
      <c r="E237" s="11">
        <f ca="1">DATOSAÑO!$G236</f>
        <v>0</v>
      </c>
      <c r="F237" s="9">
        <f ca="1">DATOSAÑO!P236</f>
        <v>0</v>
      </c>
      <c r="G237" s="10">
        <f ca="1">DATOSAÑO!K236</f>
        <v>0</v>
      </c>
      <c r="H237" s="11">
        <f ca="1">DATOSAÑO!N236</f>
        <v>0</v>
      </c>
      <c r="I237" s="9">
        <f ca="1">DATOSAÑO!Q236</f>
        <v>0</v>
      </c>
      <c r="J237" s="11">
        <f ca="1">DATOSAÑO!R236</f>
        <v>0</v>
      </c>
      <c r="K237" s="9">
        <f ca="1">DATOSAÑO!T236</f>
        <v>0</v>
      </c>
      <c r="L237" s="11">
        <f t="shared" ca="1" si="9"/>
        <v>0</v>
      </c>
      <c r="M237" s="9"/>
      <c r="N237" s="11">
        <f t="shared" si="10"/>
        <v>0</v>
      </c>
      <c r="O237" s="9">
        <f>DATOSAÑO!CT236</f>
        <v>0</v>
      </c>
      <c r="P237" s="9">
        <f>DATOSAÑO!CU236</f>
        <v>0</v>
      </c>
      <c r="Q237" s="9">
        <f ca="1">DATOSAÑO!AD236</f>
        <v>0</v>
      </c>
      <c r="R237" s="11">
        <f ca="1">(Q237*DATOSAÑO!$Z$11)/DATOSAÑO!$Y$11</f>
        <v>0</v>
      </c>
      <c r="S237" s="9">
        <f ca="1">DATOSAÑO!AF236</f>
        <v>0</v>
      </c>
      <c r="T237" s="11">
        <f ca="1">(S237*DATOSAÑO!$Z$11)/DATOSAÑO!$Y$11</f>
        <v>0</v>
      </c>
      <c r="U237" s="9">
        <f ca="1">DATOSAÑO!AH236</f>
        <v>0</v>
      </c>
      <c r="V237" s="11">
        <f ca="1">(U237*DATOSAÑO!$Z$11)/DATOSAÑO!$Y$11</f>
        <v>0</v>
      </c>
      <c r="W237" s="9">
        <f ca="1">DATOSAÑO!AI236</f>
        <v>0</v>
      </c>
      <c r="X237" s="11">
        <f ca="1">(W237*DATOSAÑO!$Z$11)/DATOSAÑO!$Y$11</f>
        <v>0</v>
      </c>
      <c r="Y237" s="9">
        <f ca="1">DATOSAÑO!AJ236</f>
        <v>0</v>
      </c>
      <c r="Z237" s="11">
        <f ca="1">(Y237*DATOSAÑO!$Z$11)/DATOSAÑO!$Y$11</f>
        <v>0</v>
      </c>
      <c r="AA237" s="9">
        <f ca="1">DATOSAÑO!AK236</f>
        <v>0</v>
      </c>
      <c r="AB237" s="11">
        <f ca="1">(AA237*DATOSAÑO!$Z$11)/DATOSAÑO!$Y$11</f>
        <v>0</v>
      </c>
      <c r="AC237" s="9">
        <f ca="1">DATOSAÑO!AL236</f>
        <v>0</v>
      </c>
      <c r="AD237" s="11">
        <f ca="1">(AC237*DATOSAÑO!$Z$11)/DATOSAÑO!$Y$11</f>
        <v>0</v>
      </c>
      <c r="AE237" s="9">
        <f ca="1">DATOSAÑO!AM236</f>
        <v>0</v>
      </c>
      <c r="AF237" s="11">
        <f ca="1">(AE237*DATOSAÑO!$Z$11)/DATOSAÑO!$Y$11</f>
        <v>0</v>
      </c>
      <c r="AG237" s="9">
        <f ca="1">DATOSAÑO!AN236</f>
        <v>0</v>
      </c>
      <c r="AH237" s="11">
        <f ca="1">(AG237*DATOSAÑO!$Z$11)/DATOSAÑO!$Y$11</f>
        <v>0</v>
      </c>
      <c r="AI237" s="9">
        <f ca="1">DATOSAÑO!BS236</f>
        <v>0</v>
      </c>
      <c r="AJ237" s="11">
        <f ca="1">(AI237*DATOSAÑO!$Z$11)/DATOSAÑO!$Y$11</f>
        <v>0</v>
      </c>
      <c r="AK237" s="9">
        <f ca="1">DATOSAÑO!BV236</f>
        <v>0</v>
      </c>
      <c r="AL237" s="11">
        <f ca="1">(AK237*DATOSAÑO!$Z$11)/DATOSAÑO!$Y$11</f>
        <v>0</v>
      </c>
      <c r="AM237" s="9">
        <f ca="1">DATOSAÑO!BY236</f>
        <v>0</v>
      </c>
      <c r="AN237" s="11">
        <f ca="1">(AM237*DATOSAÑO!$Z$11)/DATOSAÑO!$Y$11</f>
        <v>0</v>
      </c>
      <c r="AO237" s="9">
        <f ca="1">DATOSAÑO!CF236</f>
        <v>0</v>
      </c>
      <c r="AP237" s="11">
        <f ca="1">(AO237*DATOSAÑO!$Z$11)/DATOSAÑO!$Y$11</f>
        <v>0</v>
      </c>
      <c r="AQ237" s="9">
        <f ca="1">DATOSAÑO!CL236</f>
        <v>0</v>
      </c>
      <c r="AR237" s="1300">
        <f ca="1">(AQ237*DATOSAÑO!$Z$11)/DATOSAÑO!$Y$11</f>
        <v>0</v>
      </c>
      <c r="AS237" s="1334">
        <f t="shared" si="11"/>
        <v>33</v>
      </c>
    </row>
    <row r="238" spans="1:45" ht="16.5" customHeight="1" thickBot="1">
      <c r="A238" s="1371">
        <v>45153</v>
      </c>
      <c r="B238" s="1021">
        <v>45153</v>
      </c>
      <c r="C238" s="9">
        <f ca="1">DATOSAÑO!I237</f>
        <v>0</v>
      </c>
      <c r="D238" s="10">
        <f ca="1">DATOSAÑO!$D237</f>
        <v>0</v>
      </c>
      <c r="E238" s="11">
        <f ca="1">DATOSAÑO!$G237</f>
        <v>0</v>
      </c>
      <c r="F238" s="9">
        <f ca="1">DATOSAÑO!P237</f>
        <v>0</v>
      </c>
      <c r="G238" s="10">
        <f ca="1">DATOSAÑO!K237</f>
        <v>0</v>
      </c>
      <c r="H238" s="11">
        <f ca="1">DATOSAÑO!N237</f>
        <v>0</v>
      </c>
      <c r="I238" s="9">
        <f ca="1">DATOSAÑO!Q237</f>
        <v>0</v>
      </c>
      <c r="J238" s="11">
        <f ca="1">DATOSAÑO!R237</f>
        <v>0</v>
      </c>
      <c r="K238" s="9">
        <f ca="1">DATOSAÑO!T237</f>
        <v>0</v>
      </c>
      <c r="L238" s="11">
        <f t="shared" ca="1" si="9"/>
        <v>0</v>
      </c>
      <c r="M238" s="9"/>
      <c r="N238" s="11">
        <f t="shared" si="10"/>
        <v>0</v>
      </c>
      <c r="O238" s="9">
        <f>DATOSAÑO!CT237</f>
        <v>0</v>
      </c>
      <c r="P238" s="9">
        <f>DATOSAÑO!CU237</f>
        <v>0</v>
      </c>
      <c r="Q238" s="9">
        <f ca="1">DATOSAÑO!AD237</f>
        <v>0</v>
      </c>
      <c r="R238" s="11">
        <f ca="1">(Q238*DATOSAÑO!$Z$11)/DATOSAÑO!$Y$11</f>
        <v>0</v>
      </c>
      <c r="S238" s="9">
        <f ca="1">DATOSAÑO!AF237</f>
        <v>0</v>
      </c>
      <c r="T238" s="11">
        <f ca="1">(S238*DATOSAÑO!$Z$11)/DATOSAÑO!$Y$11</f>
        <v>0</v>
      </c>
      <c r="U238" s="9">
        <f ca="1">DATOSAÑO!AH237</f>
        <v>0</v>
      </c>
      <c r="V238" s="11">
        <f ca="1">(U238*DATOSAÑO!$Z$11)/DATOSAÑO!$Y$11</f>
        <v>0</v>
      </c>
      <c r="W238" s="9">
        <f ca="1">DATOSAÑO!AI237</f>
        <v>0</v>
      </c>
      <c r="X238" s="11">
        <f ca="1">(W238*DATOSAÑO!$Z$11)/DATOSAÑO!$Y$11</f>
        <v>0</v>
      </c>
      <c r="Y238" s="9">
        <f ca="1">DATOSAÑO!AJ237</f>
        <v>0</v>
      </c>
      <c r="Z238" s="11">
        <f ca="1">(Y238*DATOSAÑO!$Z$11)/DATOSAÑO!$Y$11</f>
        <v>0</v>
      </c>
      <c r="AA238" s="9">
        <f ca="1">DATOSAÑO!AK237</f>
        <v>0</v>
      </c>
      <c r="AB238" s="11">
        <f ca="1">(AA238*DATOSAÑO!$Z$11)/DATOSAÑO!$Y$11</f>
        <v>0</v>
      </c>
      <c r="AC238" s="9">
        <f ca="1">DATOSAÑO!AL237</f>
        <v>0</v>
      </c>
      <c r="AD238" s="11">
        <f ca="1">(AC238*DATOSAÑO!$Z$11)/DATOSAÑO!$Y$11</f>
        <v>0</v>
      </c>
      <c r="AE238" s="9">
        <f ca="1">DATOSAÑO!AM237</f>
        <v>0</v>
      </c>
      <c r="AF238" s="11">
        <f ca="1">(AE238*DATOSAÑO!$Z$11)/DATOSAÑO!$Y$11</f>
        <v>0</v>
      </c>
      <c r="AG238" s="9">
        <f ca="1">DATOSAÑO!AN237</f>
        <v>0</v>
      </c>
      <c r="AH238" s="11">
        <f ca="1">(AG238*DATOSAÑO!$Z$11)/DATOSAÑO!$Y$11</f>
        <v>0</v>
      </c>
      <c r="AI238" s="9">
        <f ca="1">DATOSAÑO!BS237</f>
        <v>0</v>
      </c>
      <c r="AJ238" s="11">
        <f ca="1">(AI238*DATOSAÑO!$Z$11)/DATOSAÑO!$Y$11</f>
        <v>0</v>
      </c>
      <c r="AK238" s="9">
        <f ca="1">DATOSAÑO!BV237</f>
        <v>0</v>
      </c>
      <c r="AL238" s="11">
        <f ca="1">(AK238*DATOSAÑO!$Z$11)/DATOSAÑO!$Y$11</f>
        <v>0</v>
      </c>
      <c r="AM238" s="9">
        <f ca="1">DATOSAÑO!BY237</f>
        <v>0</v>
      </c>
      <c r="AN238" s="11">
        <f ca="1">(AM238*DATOSAÑO!$Z$11)/DATOSAÑO!$Y$11</f>
        <v>0</v>
      </c>
      <c r="AO238" s="9">
        <f ca="1">DATOSAÑO!CF237</f>
        <v>0</v>
      </c>
      <c r="AP238" s="11">
        <f ca="1">(AO238*DATOSAÑO!$Z$11)/DATOSAÑO!$Y$11</f>
        <v>0</v>
      </c>
      <c r="AQ238" s="9">
        <f ca="1">DATOSAÑO!CL237</f>
        <v>0</v>
      </c>
      <c r="AR238" s="1300">
        <f ca="1">(AQ238*DATOSAÑO!$Z$11)/DATOSAÑO!$Y$11</f>
        <v>0</v>
      </c>
      <c r="AS238" s="1334">
        <f t="shared" si="11"/>
        <v>33</v>
      </c>
    </row>
    <row r="239" spans="1:45" ht="15" thickBot="1">
      <c r="A239" s="1371">
        <v>45154</v>
      </c>
      <c r="B239" s="1021">
        <v>45154</v>
      </c>
      <c r="C239" s="9">
        <f ca="1">DATOSAÑO!I238</f>
        <v>0</v>
      </c>
      <c r="D239" s="10">
        <f ca="1">DATOSAÑO!$D238</f>
        <v>0</v>
      </c>
      <c r="E239" s="11">
        <f ca="1">DATOSAÑO!$G238</f>
        <v>0</v>
      </c>
      <c r="F239" s="9">
        <f ca="1">DATOSAÑO!P238</f>
        <v>0</v>
      </c>
      <c r="G239" s="10">
        <f ca="1">DATOSAÑO!K238</f>
        <v>0</v>
      </c>
      <c r="H239" s="11">
        <f ca="1">DATOSAÑO!N238</f>
        <v>0</v>
      </c>
      <c r="I239" s="9">
        <f ca="1">DATOSAÑO!Q238</f>
        <v>0</v>
      </c>
      <c r="J239" s="11">
        <f ca="1">DATOSAÑO!R238</f>
        <v>0</v>
      </c>
      <c r="K239" s="9">
        <f ca="1">DATOSAÑO!T238</f>
        <v>0</v>
      </c>
      <c r="L239" s="11">
        <f t="shared" ca="1" si="9"/>
        <v>0</v>
      </c>
      <c r="M239" s="9"/>
      <c r="N239" s="11">
        <f t="shared" si="10"/>
        <v>0</v>
      </c>
      <c r="O239" s="9">
        <f>DATOSAÑO!CT238</f>
        <v>0</v>
      </c>
      <c r="P239" s="9">
        <f>DATOSAÑO!CU238</f>
        <v>0</v>
      </c>
      <c r="Q239" s="9">
        <f ca="1">DATOSAÑO!AD238</f>
        <v>0</v>
      </c>
      <c r="R239" s="11">
        <f ca="1">(Q239*DATOSAÑO!$Z$11)/DATOSAÑO!$Y$11</f>
        <v>0</v>
      </c>
      <c r="S239" s="9">
        <f ca="1">DATOSAÑO!AF238</f>
        <v>0</v>
      </c>
      <c r="T239" s="11">
        <f ca="1">(S239*DATOSAÑO!$Z$11)/DATOSAÑO!$Y$11</f>
        <v>0</v>
      </c>
      <c r="U239" s="9">
        <f ca="1">DATOSAÑO!AH238</f>
        <v>0</v>
      </c>
      <c r="V239" s="11">
        <f ca="1">(U239*DATOSAÑO!$Z$11)/DATOSAÑO!$Y$11</f>
        <v>0</v>
      </c>
      <c r="W239" s="9">
        <f ca="1">DATOSAÑO!AI238</f>
        <v>0</v>
      </c>
      <c r="X239" s="11">
        <f ca="1">(W239*DATOSAÑO!$Z$11)/DATOSAÑO!$Y$11</f>
        <v>0</v>
      </c>
      <c r="Y239" s="9">
        <f ca="1">DATOSAÑO!AJ238</f>
        <v>0</v>
      </c>
      <c r="Z239" s="11">
        <f ca="1">(Y239*DATOSAÑO!$Z$11)/DATOSAÑO!$Y$11</f>
        <v>0</v>
      </c>
      <c r="AA239" s="9">
        <f ca="1">DATOSAÑO!AK238</f>
        <v>0</v>
      </c>
      <c r="AB239" s="11">
        <f ca="1">(AA239*DATOSAÑO!$Z$11)/DATOSAÑO!$Y$11</f>
        <v>0</v>
      </c>
      <c r="AC239" s="9">
        <f ca="1">DATOSAÑO!AL238</f>
        <v>0</v>
      </c>
      <c r="AD239" s="11">
        <f ca="1">(AC239*DATOSAÑO!$Z$11)/DATOSAÑO!$Y$11</f>
        <v>0</v>
      </c>
      <c r="AE239" s="9">
        <f ca="1">DATOSAÑO!AM238</f>
        <v>0</v>
      </c>
      <c r="AF239" s="11">
        <f ca="1">(AE239*DATOSAÑO!$Z$11)/DATOSAÑO!$Y$11</f>
        <v>0</v>
      </c>
      <c r="AG239" s="9">
        <f ca="1">DATOSAÑO!AN238</f>
        <v>0</v>
      </c>
      <c r="AH239" s="11">
        <f ca="1">(AG239*DATOSAÑO!$Z$11)/DATOSAÑO!$Y$11</f>
        <v>0</v>
      </c>
      <c r="AI239" s="9">
        <f ca="1">DATOSAÑO!BS238</f>
        <v>0</v>
      </c>
      <c r="AJ239" s="11">
        <f ca="1">(AI239*DATOSAÑO!$Z$11)/DATOSAÑO!$Y$11</f>
        <v>0</v>
      </c>
      <c r="AK239" s="9">
        <f ca="1">DATOSAÑO!BV238</f>
        <v>0</v>
      </c>
      <c r="AL239" s="11">
        <f ca="1">(AK239*DATOSAÑO!$Z$11)/DATOSAÑO!$Y$11</f>
        <v>0</v>
      </c>
      <c r="AM239" s="9">
        <f ca="1">DATOSAÑO!BY238</f>
        <v>0</v>
      </c>
      <c r="AN239" s="11">
        <f ca="1">(AM239*DATOSAÑO!$Z$11)/DATOSAÑO!$Y$11</f>
        <v>0</v>
      </c>
      <c r="AO239" s="9">
        <f ca="1">DATOSAÑO!CF238</f>
        <v>0</v>
      </c>
      <c r="AP239" s="11">
        <f ca="1">(AO239*DATOSAÑO!$Z$11)/DATOSAÑO!$Y$11</f>
        <v>0</v>
      </c>
      <c r="AQ239" s="9">
        <f ca="1">DATOSAÑO!CL238</f>
        <v>0</v>
      </c>
      <c r="AR239" s="1300">
        <f ca="1">(AQ239*DATOSAÑO!$Z$11)/DATOSAÑO!$Y$11</f>
        <v>0</v>
      </c>
      <c r="AS239" s="1334">
        <f t="shared" si="11"/>
        <v>33</v>
      </c>
    </row>
    <row r="240" spans="1:45" ht="15" thickBot="1">
      <c r="A240" s="1371">
        <v>45155</v>
      </c>
      <c r="B240" s="1021">
        <v>45155</v>
      </c>
      <c r="C240" s="9">
        <f ca="1">DATOSAÑO!I239</f>
        <v>0</v>
      </c>
      <c r="D240" s="10">
        <f ca="1">DATOSAÑO!$D239</f>
        <v>0</v>
      </c>
      <c r="E240" s="11">
        <f ca="1">DATOSAÑO!$G239</f>
        <v>0</v>
      </c>
      <c r="F240" s="9">
        <f ca="1">DATOSAÑO!P239</f>
        <v>0</v>
      </c>
      <c r="G240" s="10">
        <f ca="1">DATOSAÑO!K239</f>
        <v>0</v>
      </c>
      <c r="H240" s="11">
        <f ca="1">DATOSAÑO!N239</f>
        <v>0</v>
      </c>
      <c r="I240" s="9">
        <f ca="1">DATOSAÑO!Q239</f>
        <v>0</v>
      </c>
      <c r="J240" s="11">
        <f ca="1">DATOSAÑO!R239</f>
        <v>0</v>
      </c>
      <c r="K240" s="9">
        <f ca="1">DATOSAÑO!T239</f>
        <v>0</v>
      </c>
      <c r="L240" s="11">
        <f t="shared" ca="1" si="9"/>
        <v>0</v>
      </c>
      <c r="M240" s="9"/>
      <c r="N240" s="11">
        <f t="shared" si="10"/>
        <v>0</v>
      </c>
      <c r="O240" s="9">
        <f>DATOSAÑO!CT239</f>
        <v>0</v>
      </c>
      <c r="P240" s="9">
        <f>DATOSAÑO!CU239</f>
        <v>0</v>
      </c>
      <c r="Q240" s="9">
        <f ca="1">DATOSAÑO!AD239</f>
        <v>0</v>
      </c>
      <c r="R240" s="11">
        <f ca="1">(Q240*DATOSAÑO!$Z$11)/DATOSAÑO!$Y$11</f>
        <v>0</v>
      </c>
      <c r="S240" s="9">
        <f ca="1">DATOSAÑO!AF239</f>
        <v>0</v>
      </c>
      <c r="T240" s="11">
        <f ca="1">(S240*DATOSAÑO!$Z$11)/DATOSAÑO!$Y$11</f>
        <v>0</v>
      </c>
      <c r="U240" s="9">
        <f ca="1">DATOSAÑO!AH239</f>
        <v>0</v>
      </c>
      <c r="V240" s="11">
        <f ca="1">(U240*DATOSAÑO!$Z$11)/DATOSAÑO!$Y$11</f>
        <v>0</v>
      </c>
      <c r="W240" s="9">
        <f ca="1">DATOSAÑO!AI239</f>
        <v>0</v>
      </c>
      <c r="X240" s="11">
        <f ca="1">(W240*DATOSAÑO!$Z$11)/DATOSAÑO!$Y$11</f>
        <v>0</v>
      </c>
      <c r="Y240" s="9">
        <f ca="1">DATOSAÑO!AJ239</f>
        <v>0</v>
      </c>
      <c r="Z240" s="11">
        <f ca="1">(Y240*DATOSAÑO!$Z$11)/DATOSAÑO!$Y$11</f>
        <v>0</v>
      </c>
      <c r="AA240" s="9">
        <f ca="1">DATOSAÑO!AK239</f>
        <v>0</v>
      </c>
      <c r="AB240" s="11">
        <f ca="1">(AA240*DATOSAÑO!$Z$11)/DATOSAÑO!$Y$11</f>
        <v>0</v>
      </c>
      <c r="AC240" s="9">
        <f ca="1">DATOSAÑO!AL239</f>
        <v>0</v>
      </c>
      <c r="AD240" s="11">
        <f ca="1">(AC240*DATOSAÑO!$Z$11)/DATOSAÑO!$Y$11</f>
        <v>0</v>
      </c>
      <c r="AE240" s="9">
        <f ca="1">DATOSAÑO!AM239</f>
        <v>0</v>
      </c>
      <c r="AF240" s="11">
        <f ca="1">(AE240*DATOSAÑO!$Z$11)/DATOSAÑO!$Y$11</f>
        <v>0</v>
      </c>
      <c r="AG240" s="9">
        <f ca="1">DATOSAÑO!AN239</f>
        <v>0</v>
      </c>
      <c r="AH240" s="11">
        <f ca="1">(AG240*DATOSAÑO!$Z$11)/DATOSAÑO!$Y$11</f>
        <v>0</v>
      </c>
      <c r="AI240" s="9">
        <f ca="1">DATOSAÑO!BS239</f>
        <v>0</v>
      </c>
      <c r="AJ240" s="11">
        <f ca="1">(AI240*DATOSAÑO!$Z$11)/DATOSAÑO!$Y$11</f>
        <v>0</v>
      </c>
      <c r="AK240" s="9">
        <f ca="1">DATOSAÑO!BV239</f>
        <v>0</v>
      </c>
      <c r="AL240" s="11">
        <f ca="1">(AK240*DATOSAÑO!$Z$11)/DATOSAÑO!$Y$11</f>
        <v>0</v>
      </c>
      <c r="AM240" s="9">
        <f ca="1">DATOSAÑO!BY239</f>
        <v>0</v>
      </c>
      <c r="AN240" s="11">
        <f ca="1">(AM240*DATOSAÑO!$Z$11)/DATOSAÑO!$Y$11</f>
        <v>0</v>
      </c>
      <c r="AO240" s="9">
        <f ca="1">DATOSAÑO!CF239</f>
        <v>0</v>
      </c>
      <c r="AP240" s="11">
        <f ca="1">(AO240*DATOSAÑO!$Z$11)/DATOSAÑO!$Y$11</f>
        <v>0</v>
      </c>
      <c r="AQ240" s="9">
        <f ca="1">DATOSAÑO!CL239</f>
        <v>0</v>
      </c>
      <c r="AR240" s="1300">
        <f ca="1">(AQ240*DATOSAÑO!$Z$11)/DATOSAÑO!$Y$11</f>
        <v>0</v>
      </c>
      <c r="AS240" s="1334">
        <f t="shared" si="11"/>
        <v>33</v>
      </c>
    </row>
    <row r="241" spans="1:45" ht="15" thickBot="1">
      <c r="A241" s="1371">
        <v>45156</v>
      </c>
      <c r="B241" s="1021">
        <v>45156</v>
      </c>
      <c r="C241" s="9">
        <f ca="1">DATOSAÑO!I240</f>
        <v>0</v>
      </c>
      <c r="D241" s="10">
        <f ca="1">DATOSAÑO!$D240</f>
        <v>0</v>
      </c>
      <c r="E241" s="11">
        <f ca="1">DATOSAÑO!$G240</f>
        <v>0</v>
      </c>
      <c r="F241" s="9">
        <f ca="1">DATOSAÑO!P240</f>
        <v>0</v>
      </c>
      <c r="G241" s="10">
        <f ca="1">DATOSAÑO!K240</f>
        <v>0</v>
      </c>
      <c r="H241" s="11">
        <f ca="1">DATOSAÑO!N240</f>
        <v>0</v>
      </c>
      <c r="I241" s="9">
        <f ca="1">DATOSAÑO!Q240</f>
        <v>0</v>
      </c>
      <c r="J241" s="11">
        <f ca="1">DATOSAÑO!R240</f>
        <v>0</v>
      </c>
      <c r="K241" s="9">
        <f ca="1">DATOSAÑO!T240</f>
        <v>0</v>
      </c>
      <c r="L241" s="11">
        <f t="shared" ca="1" si="9"/>
        <v>0</v>
      </c>
      <c r="M241" s="9"/>
      <c r="N241" s="11">
        <f t="shared" si="10"/>
        <v>0</v>
      </c>
      <c r="O241" s="9">
        <f>DATOSAÑO!CT240</f>
        <v>0</v>
      </c>
      <c r="P241" s="9">
        <f>DATOSAÑO!CU240</f>
        <v>0</v>
      </c>
      <c r="Q241" s="9">
        <f ca="1">DATOSAÑO!AD240</f>
        <v>0</v>
      </c>
      <c r="R241" s="11">
        <f ca="1">(Q241*DATOSAÑO!$Z$11)/DATOSAÑO!$Y$11</f>
        <v>0</v>
      </c>
      <c r="S241" s="9">
        <f ca="1">DATOSAÑO!AF240</f>
        <v>0</v>
      </c>
      <c r="T241" s="11">
        <f ca="1">(S241*DATOSAÑO!$Z$11)/DATOSAÑO!$Y$11</f>
        <v>0</v>
      </c>
      <c r="U241" s="9">
        <f ca="1">DATOSAÑO!AH240</f>
        <v>0</v>
      </c>
      <c r="V241" s="11">
        <f ca="1">(U241*DATOSAÑO!$Z$11)/DATOSAÑO!$Y$11</f>
        <v>0</v>
      </c>
      <c r="W241" s="9">
        <f ca="1">DATOSAÑO!AI240</f>
        <v>0</v>
      </c>
      <c r="X241" s="11">
        <f ca="1">(W241*DATOSAÑO!$Z$11)/DATOSAÑO!$Y$11</f>
        <v>0</v>
      </c>
      <c r="Y241" s="9">
        <f ca="1">DATOSAÑO!AJ240</f>
        <v>0</v>
      </c>
      <c r="Z241" s="11">
        <f ca="1">(Y241*DATOSAÑO!$Z$11)/DATOSAÑO!$Y$11</f>
        <v>0</v>
      </c>
      <c r="AA241" s="9">
        <f ca="1">DATOSAÑO!AK240</f>
        <v>0</v>
      </c>
      <c r="AB241" s="11">
        <f ca="1">(AA241*DATOSAÑO!$Z$11)/DATOSAÑO!$Y$11</f>
        <v>0</v>
      </c>
      <c r="AC241" s="9">
        <f ca="1">DATOSAÑO!AL240</f>
        <v>0</v>
      </c>
      <c r="AD241" s="11">
        <f ca="1">(AC241*DATOSAÑO!$Z$11)/DATOSAÑO!$Y$11</f>
        <v>0</v>
      </c>
      <c r="AE241" s="9">
        <f ca="1">DATOSAÑO!AM240</f>
        <v>0</v>
      </c>
      <c r="AF241" s="11">
        <f ca="1">(AE241*DATOSAÑO!$Z$11)/DATOSAÑO!$Y$11</f>
        <v>0</v>
      </c>
      <c r="AG241" s="9">
        <f ca="1">DATOSAÑO!AN240</f>
        <v>0</v>
      </c>
      <c r="AH241" s="11">
        <f ca="1">(AG241*DATOSAÑO!$Z$11)/DATOSAÑO!$Y$11</f>
        <v>0</v>
      </c>
      <c r="AI241" s="9">
        <f ca="1">DATOSAÑO!BS240</f>
        <v>0</v>
      </c>
      <c r="AJ241" s="11">
        <f ca="1">(AI241*DATOSAÑO!$Z$11)/DATOSAÑO!$Y$11</f>
        <v>0</v>
      </c>
      <c r="AK241" s="9">
        <f ca="1">DATOSAÑO!BV240</f>
        <v>0</v>
      </c>
      <c r="AL241" s="11">
        <f ca="1">(AK241*DATOSAÑO!$Z$11)/DATOSAÑO!$Y$11</f>
        <v>0</v>
      </c>
      <c r="AM241" s="9">
        <f ca="1">DATOSAÑO!BY240</f>
        <v>0</v>
      </c>
      <c r="AN241" s="11">
        <f ca="1">(AM241*DATOSAÑO!$Z$11)/DATOSAÑO!$Y$11</f>
        <v>0</v>
      </c>
      <c r="AO241" s="9">
        <f ca="1">DATOSAÑO!CF240</f>
        <v>0</v>
      </c>
      <c r="AP241" s="11">
        <f ca="1">(AO241*DATOSAÑO!$Z$11)/DATOSAÑO!$Y$11</f>
        <v>0</v>
      </c>
      <c r="AQ241" s="9">
        <f ca="1">DATOSAÑO!CL240</f>
        <v>0</v>
      </c>
      <c r="AR241" s="1300">
        <f ca="1">(AQ241*DATOSAÑO!$Z$11)/DATOSAÑO!$Y$11</f>
        <v>0</v>
      </c>
      <c r="AS241" s="1334">
        <f t="shared" si="11"/>
        <v>33</v>
      </c>
    </row>
    <row r="242" spans="1:45" ht="15" thickBot="1">
      <c r="A242" s="1371">
        <v>45157</v>
      </c>
      <c r="B242" s="1021">
        <v>45157</v>
      </c>
      <c r="C242" s="9">
        <f ca="1">DATOSAÑO!I241</f>
        <v>0</v>
      </c>
      <c r="D242" s="10">
        <f ca="1">DATOSAÑO!$D241</f>
        <v>0</v>
      </c>
      <c r="E242" s="11">
        <f ca="1">DATOSAÑO!$G241</f>
        <v>0</v>
      </c>
      <c r="F242" s="9">
        <f ca="1">DATOSAÑO!P241</f>
        <v>0</v>
      </c>
      <c r="G242" s="10">
        <f ca="1">DATOSAÑO!K241</f>
        <v>0</v>
      </c>
      <c r="H242" s="11">
        <f ca="1">DATOSAÑO!N241</f>
        <v>0</v>
      </c>
      <c r="I242" s="9">
        <f ca="1">DATOSAÑO!Q241</f>
        <v>0</v>
      </c>
      <c r="J242" s="11">
        <f ca="1">DATOSAÑO!R241</f>
        <v>0</v>
      </c>
      <c r="K242" s="9">
        <f ca="1">DATOSAÑO!T241</f>
        <v>0</v>
      </c>
      <c r="L242" s="11">
        <f t="shared" ca="1" si="9"/>
        <v>0</v>
      </c>
      <c r="M242" s="9"/>
      <c r="N242" s="11">
        <f t="shared" si="10"/>
        <v>0</v>
      </c>
      <c r="O242" s="9">
        <f>DATOSAÑO!CT241</f>
        <v>0</v>
      </c>
      <c r="P242" s="9">
        <f>DATOSAÑO!CU241</f>
        <v>0</v>
      </c>
      <c r="Q242" s="9">
        <f ca="1">DATOSAÑO!AD241</f>
        <v>0</v>
      </c>
      <c r="R242" s="11">
        <f ca="1">(Q242*DATOSAÑO!$Z$11)/DATOSAÑO!$Y$11</f>
        <v>0</v>
      </c>
      <c r="S242" s="9">
        <f ca="1">DATOSAÑO!AF241</f>
        <v>0</v>
      </c>
      <c r="T242" s="11">
        <f ca="1">(S242*DATOSAÑO!$Z$11)/DATOSAÑO!$Y$11</f>
        <v>0</v>
      </c>
      <c r="U242" s="9">
        <f ca="1">DATOSAÑO!AH241</f>
        <v>0</v>
      </c>
      <c r="V242" s="11">
        <f ca="1">(U242*DATOSAÑO!$Z$11)/DATOSAÑO!$Y$11</f>
        <v>0</v>
      </c>
      <c r="W242" s="9">
        <f ca="1">DATOSAÑO!AI241</f>
        <v>0</v>
      </c>
      <c r="X242" s="11">
        <f ca="1">(W242*DATOSAÑO!$Z$11)/DATOSAÑO!$Y$11</f>
        <v>0</v>
      </c>
      <c r="Y242" s="9">
        <f ca="1">DATOSAÑO!AJ241</f>
        <v>0</v>
      </c>
      <c r="Z242" s="11">
        <f ca="1">(Y242*DATOSAÑO!$Z$11)/DATOSAÑO!$Y$11</f>
        <v>0</v>
      </c>
      <c r="AA242" s="9">
        <f ca="1">DATOSAÑO!AK241</f>
        <v>0</v>
      </c>
      <c r="AB242" s="11">
        <f ca="1">(AA242*DATOSAÑO!$Z$11)/DATOSAÑO!$Y$11</f>
        <v>0</v>
      </c>
      <c r="AC242" s="9">
        <f ca="1">DATOSAÑO!AL241</f>
        <v>0</v>
      </c>
      <c r="AD242" s="11">
        <f ca="1">(AC242*DATOSAÑO!$Z$11)/DATOSAÑO!$Y$11</f>
        <v>0</v>
      </c>
      <c r="AE242" s="9">
        <f ca="1">DATOSAÑO!AM241</f>
        <v>0</v>
      </c>
      <c r="AF242" s="11">
        <f ca="1">(AE242*DATOSAÑO!$Z$11)/DATOSAÑO!$Y$11</f>
        <v>0</v>
      </c>
      <c r="AG242" s="9">
        <f ca="1">DATOSAÑO!AN241</f>
        <v>0</v>
      </c>
      <c r="AH242" s="11">
        <f ca="1">(AG242*DATOSAÑO!$Z$11)/DATOSAÑO!$Y$11</f>
        <v>0</v>
      </c>
      <c r="AI242" s="9">
        <f ca="1">DATOSAÑO!BS241</f>
        <v>0</v>
      </c>
      <c r="AJ242" s="11">
        <f ca="1">(AI242*DATOSAÑO!$Z$11)/DATOSAÑO!$Y$11</f>
        <v>0</v>
      </c>
      <c r="AK242" s="9">
        <f ca="1">DATOSAÑO!BV241</f>
        <v>0</v>
      </c>
      <c r="AL242" s="11">
        <f ca="1">(AK242*DATOSAÑO!$Z$11)/DATOSAÑO!$Y$11</f>
        <v>0</v>
      </c>
      <c r="AM242" s="9">
        <f ca="1">DATOSAÑO!BY241</f>
        <v>0</v>
      </c>
      <c r="AN242" s="11">
        <f ca="1">(AM242*DATOSAÑO!$Z$11)/DATOSAÑO!$Y$11</f>
        <v>0</v>
      </c>
      <c r="AO242" s="9">
        <f ca="1">DATOSAÑO!CF241</f>
        <v>0</v>
      </c>
      <c r="AP242" s="11">
        <f ca="1">(AO242*DATOSAÑO!$Z$11)/DATOSAÑO!$Y$11</f>
        <v>0</v>
      </c>
      <c r="AQ242" s="9">
        <f ca="1">DATOSAÑO!CL241</f>
        <v>0</v>
      </c>
      <c r="AR242" s="1300">
        <f ca="1">(AQ242*DATOSAÑO!$Z$11)/DATOSAÑO!$Y$11</f>
        <v>0</v>
      </c>
      <c r="AS242" s="1334">
        <f t="shared" si="11"/>
        <v>33</v>
      </c>
    </row>
    <row r="243" spans="1:45" ht="15" thickBot="1">
      <c r="A243" s="1371">
        <v>45158</v>
      </c>
      <c r="B243" s="1021">
        <v>45158</v>
      </c>
      <c r="C243" s="9">
        <f ca="1">DATOSAÑO!I242</f>
        <v>0</v>
      </c>
      <c r="D243" s="10">
        <f ca="1">DATOSAÑO!$D242</f>
        <v>0</v>
      </c>
      <c r="E243" s="11">
        <f ca="1">DATOSAÑO!$G242</f>
        <v>0</v>
      </c>
      <c r="F243" s="9">
        <f ca="1">DATOSAÑO!P242</f>
        <v>0</v>
      </c>
      <c r="G243" s="10">
        <f ca="1">DATOSAÑO!K242</f>
        <v>0</v>
      </c>
      <c r="H243" s="11">
        <f ca="1">DATOSAÑO!N242</f>
        <v>0</v>
      </c>
      <c r="I243" s="9">
        <f ca="1">DATOSAÑO!Q242</f>
        <v>0</v>
      </c>
      <c r="J243" s="11">
        <f ca="1">DATOSAÑO!R242</f>
        <v>0</v>
      </c>
      <c r="K243" s="9">
        <f ca="1">DATOSAÑO!T242</f>
        <v>0</v>
      </c>
      <c r="L243" s="11">
        <f t="shared" ca="1" si="9"/>
        <v>0</v>
      </c>
      <c r="M243" s="9"/>
      <c r="N243" s="11">
        <f t="shared" si="10"/>
        <v>0</v>
      </c>
      <c r="O243" s="9">
        <f>DATOSAÑO!CT242</f>
        <v>0</v>
      </c>
      <c r="P243" s="9">
        <f>DATOSAÑO!CU242</f>
        <v>0</v>
      </c>
      <c r="Q243" s="9">
        <f ca="1">DATOSAÑO!AD242</f>
        <v>0</v>
      </c>
      <c r="R243" s="11">
        <f ca="1">(Q243*DATOSAÑO!$Z$11)/DATOSAÑO!$Y$11</f>
        <v>0</v>
      </c>
      <c r="S243" s="9">
        <f ca="1">DATOSAÑO!AF242</f>
        <v>0</v>
      </c>
      <c r="T243" s="11">
        <f ca="1">(S243*DATOSAÑO!$Z$11)/DATOSAÑO!$Y$11</f>
        <v>0</v>
      </c>
      <c r="U243" s="9">
        <f ca="1">DATOSAÑO!AH242</f>
        <v>0</v>
      </c>
      <c r="V243" s="11">
        <f ca="1">(U243*DATOSAÑO!$Z$11)/DATOSAÑO!$Y$11</f>
        <v>0</v>
      </c>
      <c r="W243" s="9">
        <f ca="1">DATOSAÑO!AI242</f>
        <v>0</v>
      </c>
      <c r="X243" s="11">
        <f ca="1">(W243*DATOSAÑO!$Z$11)/DATOSAÑO!$Y$11</f>
        <v>0</v>
      </c>
      <c r="Y243" s="9">
        <f ca="1">DATOSAÑO!AJ242</f>
        <v>0</v>
      </c>
      <c r="Z243" s="11">
        <f ca="1">(Y243*DATOSAÑO!$Z$11)/DATOSAÑO!$Y$11</f>
        <v>0</v>
      </c>
      <c r="AA243" s="9">
        <f ca="1">DATOSAÑO!AK242</f>
        <v>0</v>
      </c>
      <c r="AB243" s="11">
        <f ca="1">(AA243*DATOSAÑO!$Z$11)/DATOSAÑO!$Y$11</f>
        <v>0</v>
      </c>
      <c r="AC243" s="9">
        <f ca="1">DATOSAÑO!AL242</f>
        <v>0</v>
      </c>
      <c r="AD243" s="11">
        <f ca="1">(AC243*DATOSAÑO!$Z$11)/DATOSAÑO!$Y$11</f>
        <v>0</v>
      </c>
      <c r="AE243" s="9">
        <f ca="1">DATOSAÑO!AM242</f>
        <v>0</v>
      </c>
      <c r="AF243" s="11">
        <f ca="1">(AE243*DATOSAÑO!$Z$11)/DATOSAÑO!$Y$11</f>
        <v>0</v>
      </c>
      <c r="AG243" s="9">
        <f ca="1">DATOSAÑO!AN242</f>
        <v>0</v>
      </c>
      <c r="AH243" s="11">
        <f ca="1">(AG243*DATOSAÑO!$Z$11)/DATOSAÑO!$Y$11</f>
        <v>0</v>
      </c>
      <c r="AI243" s="9">
        <f ca="1">DATOSAÑO!BS242</f>
        <v>0</v>
      </c>
      <c r="AJ243" s="11">
        <f ca="1">(AI243*DATOSAÑO!$Z$11)/DATOSAÑO!$Y$11</f>
        <v>0</v>
      </c>
      <c r="AK243" s="9">
        <f ca="1">DATOSAÑO!BV242</f>
        <v>0</v>
      </c>
      <c r="AL243" s="11">
        <f ca="1">(AK243*DATOSAÑO!$Z$11)/DATOSAÑO!$Y$11</f>
        <v>0</v>
      </c>
      <c r="AM243" s="9">
        <f ca="1">DATOSAÑO!BY242</f>
        <v>0</v>
      </c>
      <c r="AN243" s="11">
        <f ca="1">(AM243*DATOSAÑO!$Z$11)/DATOSAÑO!$Y$11</f>
        <v>0</v>
      </c>
      <c r="AO243" s="9">
        <f ca="1">DATOSAÑO!CF242</f>
        <v>0</v>
      </c>
      <c r="AP243" s="11">
        <f ca="1">(AO243*DATOSAÑO!$Z$11)/DATOSAÑO!$Y$11</f>
        <v>0</v>
      </c>
      <c r="AQ243" s="9">
        <f ca="1">DATOSAÑO!CL242</f>
        <v>0</v>
      </c>
      <c r="AR243" s="1300">
        <f ca="1">(AQ243*DATOSAÑO!$Z$11)/DATOSAÑO!$Y$11</f>
        <v>0</v>
      </c>
      <c r="AS243" s="1334">
        <f t="shared" si="11"/>
        <v>34</v>
      </c>
    </row>
    <row r="244" spans="1:45" ht="15" thickBot="1">
      <c r="A244" s="1371">
        <v>45159</v>
      </c>
      <c r="B244" s="1021">
        <v>45159</v>
      </c>
      <c r="C244" s="9">
        <f ca="1">DATOSAÑO!I243</f>
        <v>0</v>
      </c>
      <c r="D244" s="10">
        <f ca="1">DATOSAÑO!$D243</f>
        <v>0</v>
      </c>
      <c r="E244" s="11">
        <f ca="1">DATOSAÑO!$G243</f>
        <v>0</v>
      </c>
      <c r="F244" s="9">
        <f ca="1">DATOSAÑO!P243</f>
        <v>0</v>
      </c>
      <c r="G244" s="10">
        <f ca="1">DATOSAÑO!K243</f>
        <v>0</v>
      </c>
      <c r="H244" s="11">
        <f ca="1">DATOSAÑO!N243</f>
        <v>0</v>
      </c>
      <c r="I244" s="9">
        <f ca="1">DATOSAÑO!Q243</f>
        <v>0</v>
      </c>
      <c r="J244" s="11">
        <f ca="1">DATOSAÑO!R243</f>
        <v>0</v>
      </c>
      <c r="K244" s="9">
        <f ca="1">DATOSAÑO!T243</f>
        <v>0</v>
      </c>
      <c r="L244" s="11">
        <f t="shared" ca="1" si="9"/>
        <v>0</v>
      </c>
      <c r="M244" s="9"/>
      <c r="N244" s="11">
        <f t="shared" si="10"/>
        <v>0</v>
      </c>
      <c r="O244" s="9">
        <f>DATOSAÑO!CT243</f>
        <v>0</v>
      </c>
      <c r="P244" s="9">
        <f>DATOSAÑO!CU243</f>
        <v>0</v>
      </c>
      <c r="Q244" s="9">
        <f ca="1">DATOSAÑO!AD243</f>
        <v>0</v>
      </c>
      <c r="R244" s="11">
        <f ca="1">(Q244*DATOSAÑO!$Z$11)/DATOSAÑO!$Y$11</f>
        <v>0</v>
      </c>
      <c r="S244" s="9">
        <f ca="1">DATOSAÑO!AF243</f>
        <v>0</v>
      </c>
      <c r="T244" s="11">
        <f ca="1">(S244*DATOSAÑO!$Z$11)/DATOSAÑO!$Y$11</f>
        <v>0</v>
      </c>
      <c r="U244" s="9">
        <f ca="1">DATOSAÑO!AH243</f>
        <v>0</v>
      </c>
      <c r="V244" s="11">
        <f ca="1">(U244*DATOSAÑO!$Z$11)/DATOSAÑO!$Y$11</f>
        <v>0</v>
      </c>
      <c r="W244" s="9">
        <f ca="1">DATOSAÑO!AI243</f>
        <v>0</v>
      </c>
      <c r="X244" s="11">
        <f ca="1">(W244*DATOSAÑO!$Z$11)/DATOSAÑO!$Y$11</f>
        <v>0</v>
      </c>
      <c r="Y244" s="9">
        <f ca="1">DATOSAÑO!AJ243</f>
        <v>0</v>
      </c>
      <c r="Z244" s="11">
        <f ca="1">(Y244*DATOSAÑO!$Z$11)/DATOSAÑO!$Y$11</f>
        <v>0</v>
      </c>
      <c r="AA244" s="9">
        <f ca="1">DATOSAÑO!AK243</f>
        <v>0</v>
      </c>
      <c r="AB244" s="11">
        <f ca="1">(AA244*DATOSAÑO!$Z$11)/DATOSAÑO!$Y$11</f>
        <v>0</v>
      </c>
      <c r="AC244" s="9">
        <f ca="1">DATOSAÑO!AL243</f>
        <v>0</v>
      </c>
      <c r="AD244" s="11">
        <f ca="1">(AC244*DATOSAÑO!$Z$11)/DATOSAÑO!$Y$11</f>
        <v>0</v>
      </c>
      <c r="AE244" s="9">
        <f ca="1">DATOSAÑO!AM243</f>
        <v>0</v>
      </c>
      <c r="AF244" s="11">
        <f ca="1">(AE244*DATOSAÑO!$Z$11)/DATOSAÑO!$Y$11</f>
        <v>0</v>
      </c>
      <c r="AG244" s="9">
        <f ca="1">DATOSAÑO!AN243</f>
        <v>0</v>
      </c>
      <c r="AH244" s="11">
        <f ca="1">(AG244*DATOSAÑO!$Z$11)/DATOSAÑO!$Y$11</f>
        <v>0</v>
      </c>
      <c r="AI244" s="9">
        <f ca="1">DATOSAÑO!BS243</f>
        <v>0</v>
      </c>
      <c r="AJ244" s="11">
        <f ca="1">(AI244*DATOSAÑO!$Z$11)/DATOSAÑO!$Y$11</f>
        <v>0</v>
      </c>
      <c r="AK244" s="9">
        <f ca="1">DATOSAÑO!BV243</f>
        <v>0</v>
      </c>
      <c r="AL244" s="11">
        <f ca="1">(AK244*DATOSAÑO!$Z$11)/DATOSAÑO!$Y$11</f>
        <v>0</v>
      </c>
      <c r="AM244" s="9">
        <f ca="1">DATOSAÑO!BY243</f>
        <v>0</v>
      </c>
      <c r="AN244" s="11">
        <f ca="1">(AM244*DATOSAÑO!$Z$11)/DATOSAÑO!$Y$11</f>
        <v>0</v>
      </c>
      <c r="AO244" s="9">
        <f ca="1">DATOSAÑO!CF243</f>
        <v>0</v>
      </c>
      <c r="AP244" s="11">
        <f ca="1">(AO244*DATOSAÑO!$Z$11)/DATOSAÑO!$Y$11</f>
        <v>0</v>
      </c>
      <c r="AQ244" s="9">
        <f ca="1">DATOSAÑO!CL243</f>
        <v>0</v>
      </c>
      <c r="AR244" s="1300">
        <f ca="1">(AQ244*DATOSAÑO!$Z$11)/DATOSAÑO!$Y$11</f>
        <v>0</v>
      </c>
      <c r="AS244" s="1334">
        <f t="shared" si="11"/>
        <v>34</v>
      </c>
    </row>
    <row r="245" spans="1:45" ht="15" thickBot="1">
      <c r="A245" s="1371">
        <v>45160</v>
      </c>
      <c r="B245" s="1021">
        <v>45160</v>
      </c>
      <c r="C245" s="9">
        <f ca="1">DATOSAÑO!I244</f>
        <v>0</v>
      </c>
      <c r="D245" s="10">
        <f ca="1">DATOSAÑO!$D244</f>
        <v>0</v>
      </c>
      <c r="E245" s="11">
        <f ca="1">DATOSAÑO!$G244</f>
        <v>0</v>
      </c>
      <c r="F245" s="9">
        <f ca="1">DATOSAÑO!P244</f>
        <v>0</v>
      </c>
      <c r="G245" s="10">
        <f ca="1">DATOSAÑO!K244</f>
        <v>0</v>
      </c>
      <c r="H245" s="11">
        <f ca="1">DATOSAÑO!N244</f>
        <v>0</v>
      </c>
      <c r="I245" s="9">
        <f ca="1">DATOSAÑO!Q244</f>
        <v>0</v>
      </c>
      <c r="J245" s="11">
        <f ca="1">DATOSAÑO!R244</f>
        <v>0</v>
      </c>
      <c r="K245" s="9">
        <f ca="1">DATOSAÑO!T244</f>
        <v>0</v>
      </c>
      <c r="L245" s="11">
        <f t="shared" ca="1" si="9"/>
        <v>0</v>
      </c>
      <c r="M245" s="9"/>
      <c r="N245" s="11">
        <f t="shared" si="10"/>
        <v>0</v>
      </c>
      <c r="O245" s="9">
        <f>DATOSAÑO!CT244</f>
        <v>0</v>
      </c>
      <c r="P245" s="9">
        <f>DATOSAÑO!CU244</f>
        <v>0</v>
      </c>
      <c r="Q245" s="9">
        <f ca="1">DATOSAÑO!AD244</f>
        <v>0</v>
      </c>
      <c r="R245" s="11">
        <f ca="1">(Q245*DATOSAÑO!$Z$11)/DATOSAÑO!$Y$11</f>
        <v>0</v>
      </c>
      <c r="S245" s="9">
        <f ca="1">DATOSAÑO!AF244</f>
        <v>0</v>
      </c>
      <c r="T245" s="11">
        <f ca="1">(S245*DATOSAÑO!$Z$11)/DATOSAÑO!$Y$11</f>
        <v>0</v>
      </c>
      <c r="U245" s="9">
        <f ca="1">DATOSAÑO!AH244</f>
        <v>0</v>
      </c>
      <c r="V245" s="11">
        <f ca="1">(U245*DATOSAÑO!$Z$11)/DATOSAÑO!$Y$11</f>
        <v>0</v>
      </c>
      <c r="W245" s="9">
        <f ca="1">DATOSAÑO!AI244</f>
        <v>0</v>
      </c>
      <c r="X245" s="11">
        <f ca="1">(W245*DATOSAÑO!$Z$11)/DATOSAÑO!$Y$11</f>
        <v>0</v>
      </c>
      <c r="Y245" s="9">
        <f ca="1">DATOSAÑO!AJ244</f>
        <v>0</v>
      </c>
      <c r="Z245" s="11">
        <f ca="1">(Y245*DATOSAÑO!$Z$11)/DATOSAÑO!$Y$11</f>
        <v>0</v>
      </c>
      <c r="AA245" s="9">
        <f ca="1">DATOSAÑO!AK244</f>
        <v>0</v>
      </c>
      <c r="AB245" s="11">
        <f ca="1">(AA245*DATOSAÑO!$Z$11)/DATOSAÑO!$Y$11</f>
        <v>0</v>
      </c>
      <c r="AC245" s="9">
        <f ca="1">DATOSAÑO!AL244</f>
        <v>0</v>
      </c>
      <c r="AD245" s="11">
        <f ca="1">(AC245*DATOSAÑO!$Z$11)/DATOSAÑO!$Y$11</f>
        <v>0</v>
      </c>
      <c r="AE245" s="9">
        <f ca="1">DATOSAÑO!AM244</f>
        <v>0</v>
      </c>
      <c r="AF245" s="11">
        <f ca="1">(AE245*DATOSAÑO!$Z$11)/DATOSAÑO!$Y$11</f>
        <v>0</v>
      </c>
      <c r="AG245" s="9">
        <f ca="1">DATOSAÑO!AN244</f>
        <v>0</v>
      </c>
      <c r="AH245" s="11">
        <f ca="1">(AG245*DATOSAÑO!$Z$11)/DATOSAÑO!$Y$11</f>
        <v>0</v>
      </c>
      <c r="AI245" s="9">
        <f ca="1">DATOSAÑO!BS244</f>
        <v>0</v>
      </c>
      <c r="AJ245" s="11">
        <f ca="1">(AI245*DATOSAÑO!$Z$11)/DATOSAÑO!$Y$11</f>
        <v>0</v>
      </c>
      <c r="AK245" s="9">
        <f ca="1">DATOSAÑO!BV244</f>
        <v>0</v>
      </c>
      <c r="AL245" s="11">
        <f ca="1">(AK245*DATOSAÑO!$Z$11)/DATOSAÑO!$Y$11</f>
        <v>0</v>
      </c>
      <c r="AM245" s="9">
        <f ca="1">DATOSAÑO!BY244</f>
        <v>0</v>
      </c>
      <c r="AN245" s="11">
        <f ca="1">(AM245*DATOSAÑO!$Z$11)/DATOSAÑO!$Y$11</f>
        <v>0</v>
      </c>
      <c r="AO245" s="9">
        <f ca="1">DATOSAÑO!CF244</f>
        <v>0</v>
      </c>
      <c r="AP245" s="11">
        <f ca="1">(AO245*DATOSAÑO!$Z$11)/DATOSAÑO!$Y$11</f>
        <v>0</v>
      </c>
      <c r="AQ245" s="9">
        <f ca="1">DATOSAÑO!CL244</f>
        <v>0</v>
      </c>
      <c r="AR245" s="1300">
        <f ca="1">(AQ245*DATOSAÑO!$Z$11)/DATOSAÑO!$Y$11</f>
        <v>0</v>
      </c>
      <c r="AS245" s="1334">
        <f t="shared" si="11"/>
        <v>34</v>
      </c>
    </row>
    <row r="246" spans="1:45" ht="15" thickBot="1">
      <c r="A246" s="1371">
        <v>45161</v>
      </c>
      <c r="B246" s="1021">
        <v>45161</v>
      </c>
      <c r="C246" s="9">
        <f ca="1">DATOSAÑO!I245</f>
        <v>0</v>
      </c>
      <c r="D246" s="10">
        <f ca="1">DATOSAÑO!$D245</f>
        <v>0</v>
      </c>
      <c r="E246" s="11">
        <f ca="1">DATOSAÑO!$G245</f>
        <v>0</v>
      </c>
      <c r="F246" s="9">
        <f ca="1">DATOSAÑO!P245</f>
        <v>0</v>
      </c>
      <c r="G246" s="10">
        <f ca="1">DATOSAÑO!K245</f>
        <v>0</v>
      </c>
      <c r="H246" s="11">
        <f ca="1">DATOSAÑO!N245</f>
        <v>0</v>
      </c>
      <c r="I246" s="9">
        <f ca="1">DATOSAÑO!Q245</f>
        <v>0</v>
      </c>
      <c r="J246" s="11">
        <f ca="1">DATOSAÑO!R245</f>
        <v>0</v>
      </c>
      <c r="K246" s="9">
        <f ca="1">DATOSAÑO!T245</f>
        <v>0</v>
      </c>
      <c r="L246" s="11">
        <f t="shared" ca="1" si="9"/>
        <v>0</v>
      </c>
      <c r="M246" s="9"/>
      <c r="N246" s="11">
        <f t="shared" si="10"/>
        <v>0</v>
      </c>
      <c r="O246" s="9">
        <f>DATOSAÑO!CT245</f>
        <v>0</v>
      </c>
      <c r="P246" s="9">
        <f>DATOSAÑO!CU245</f>
        <v>0</v>
      </c>
      <c r="Q246" s="9">
        <f ca="1">DATOSAÑO!AD245</f>
        <v>0</v>
      </c>
      <c r="R246" s="11">
        <f ca="1">(Q246*DATOSAÑO!$Z$11)/DATOSAÑO!$Y$11</f>
        <v>0</v>
      </c>
      <c r="S246" s="9">
        <f ca="1">DATOSAÑO!AF245</f>
        <v>0</v>
      </c>
      <c r="T246" s="11">
        <f ca="1">(S246*DATOSAÑO!$Z$11)/DATOSAÑO!$Y$11</f>
        <v>0</v>
      </c>
      <c r="U246" s="9">
        <f ca="1">DATOSAÑO!AH245</f>
        <v>0</v>
      </c>
      <c r="V246" s="11">
        <f ca="1">(U246*DATOSAÑO!$Z$11)/DATOSAÑO!$Y$11</f>
        <v>0</v>
      </c>
      <c r="W246" s="9">
        <f ca="1">DATOSAÑO!AI245</f>
        <v>0</v>
      </c>
      <c r="X246" s="11">
        <f ca="1">(W246*DATOSAÑO!$Z$11)/DATOSAÑO!$Y$11</f>
        <v>0</v>
      </c>
      <c r="Y246" s="9">
        <f ca="1">DATOSAÑO!AJ245</f>
        <v>0</v>
      </c>
      <c r="Z246" s="11">
        <f ca="1">(Y246*DATOSAÑO!$Z$11)/DATOSAÑO!$Y$11</f>
        <v>0</v>
      </c>
      <c r="AA246" s="9">
        <f ca="1">DATOSAÑO!AK245</f>
        <v>0</v>
      </c>
      <c r="AB246" s="11">
        <f ca="1">(AA246*DATOSAÑO!$Z$11)/DATOSAÑO!$Y$11</f>
        <v>0</v>
      </c>
      <c r="AC246" s="9">
        <f ca="1">DATOSAÑO!AL245</f>
        <v>0</v>
      </c>
      <c r="AD246" s="11">
        <f ca="1">(AC246*DATOSAÑO!$Z$11)/DATOSAÑO!$Y$11</f>
        <v>0</v>
      </c>
      <c r="AE246" s="9">
        <f ca="1">DATOSAÑO!AM245</f>
        <v>0</v>
      </c>
      <c r="AF246" s="11">
        <f ca="1">(AE246*DATOSAÑO!$Z$11)/DATOSAÑO!$Y$11</f>
        <v>0</v>
      </c>
      <c r="AG246" s="9">
        <f ca="1">DATOSAÑO!AN245</f>
        <v>0</v>
      </c>
      <c r="AH246" s="11">
        <f ca="1">(AG246*DATOSAÑO!$Z$11)/DATOSAÑO!$Y$11</f>
        <v>0</v>
      </c>
      <c r="AI246" s="9">
        <f ca="1">DATOSAÑO!BS245</f>
        <v>0</v>
      </c>
      <c r="AJ246" s="11">
        <f ca="1">(AI246*DATOSAÑO!$Z$11)/DATOSAÑO!$Y$11</f>
        <v>0</v>
      </c>
      <c r="AK246" s="9">
        <f ca="1">DATOSAÑO!BV245</f>
        <v>0</v>
      </c>
      <c r="AL246" s="11">
        <f ca="1">(AK246*DATOSAÑO!$Z$11)/DATOSAÑO!$Y$11</f>
        <v>0</v>
      </c>
      <c r="AM246" s="9">
        <f ca="1">DATOSAÑO!BY245</f>
        <v>0</v>
      </c>
      <c r="AN246" s="11">
        <f ca="1">(AM246*DATOSAÑO!$Z$11)/DATOSAÑO!$Y$11</f>
        <v>0</v>
      </c>
      <c r="AO246" s="9">
        <f ca="1">DATOSAÑO!CF245</f>
        <v>0</v>
      </c>
      <c r="AP246" s="11">
        <f ca="1">(AO246*DATOSAÑO!$Z$11)/DATOSAÑO!$Y$11</f>
        <v>0</v>
      </c>
      <c r="AQ246" s="9">
        <f ca="1">DATOSAÑO!CL245</f>
        <v>0</v>
      </c>
      <c r="AR246" s="1300">
        <f ca="1">(AQ246*DATOSAÑO!$Z$11)/DATOSAÑO!$Y$11</f>
        <v>0</v>
      </c>
      <c r="AS246" s="1334">
        <f t="shared" si="11"/>
        <v>34</v>
      </c>
    </row>
    <row r="247" spans="1:45" ht="15" thickBot="1">
      <c r="A247" s="1371">
        <v>45162</v>
      </c>
      <c r="B247" s="1021">
        <v>45162</v>
      </c>
      <c r="C247" s="9">
        <f ca="1">DATOSAÑO!I246</f>
        <v>0</v>
      </c>
      <c r="D247" s="10">
        <f ca="1">DATOSAÑO!$D246</f>
        <v>0</v>
      </c>
      <c r="E247" s="11">
        <f ca="1">DATOSAÑO!$G246</f>
        <v>0</v>
      </c>
      <c r="F247" s="9">
        <f ca="1">DATOSAÑO!P246</f>
        <v>0</v>
      </c>
      <c r="G247" s="10">
        <f ca="1">DATOSAÑO!K246</f>
        <v>0</v>
      </c>
      <c r="H247" s="11">
        <f ca="1">DATOSAÑO!N246</f>
        <v>0</v>
      </c>
      <c r="I247" s="9">
        <f ca="1">DATOSAÑO!Q246</f>
        <v>0</v>
      </c>
      <c r="J247" s="11">
        <f ca="1">DATOSAÑO!R246</f>
        <v>0</v>
      </c>
      <c r="K247" s="9">
        <f ca="1">DATOSAÑO!T246</f>
        <v>0</v>
      </c>
      <c r="L247" s="11">
        <f t="shared" ca="1" si="9"/>
        <v>0</v>
      </c>
      <c r="M247" s="9"/>
      <c r="N247" s="11">
        <f t="shared" si="10"/>
        <v>0</v>
      </c>
      <c r="O247" s="9">
        <f>DATOSAÑO!CT246</f>
        <v>0</v>
      </c>
      <c r="P247" s="9">
        <f>DATOSAÑO!CU246</f>
        <v>0</v>
      </c>
      <c r="Q247" s="9">
        <f ca="1">DATOSAÑO!AD246</f>
        <v>0</v>
      </c>
      <c r="R247" s="11">
        <f ca="1">(Q247*DATOSAÑO!$Z$11)/DATOSAÑO!$Y$11</f>
        <v>0</v>
      </c>
      <c r="S247" s="9">
        <f ca="1">DATOSAÑO!AF246</f>
        <v>0</v>
      </c>
      <c r="T247" s="11">
        <f ca="1">(S247*DATOSAÑO!$Z$11)/DATOSAÑO!$Y$11</f>
        <v>0</v>
      </c>
      <c r="U247" s="9">
        <f ca="1">DATOSAÑO!AH246</f>
        <v>0</v>
      </c>
      <c r="V247" s="11">
        <f ca="1">(U247*DATOSAÑO!$Z$11)/DATOSAÑO!$Y$11</f>
        <v>0</v>
      </c>
      <c r="W247" s="9">
        <f ca="1">DATOSAÑO!AI246</f>
        <v>0</v>
      </c>
      <c r="X247" s="11">
        <f ca="1">(W247*DATOSAÑO!$Z$11)/DATOSAÑO!$Y$11</f>
        <v>0</v>
      </c>
      <c r="Y247" s="9">
        <f ca="1">DATOSAÑO!AJ246</f>
        <v>0</v>
      </c>
      <c r="Z247" s="11">
        <f ca="1">(Y247*DATOSAÑO!$Z$11)/DATOSAÑO!$Y$11</f>
        <v>0</v>
      </c>
      <c r="AA247" s="9">
        <f ca="1">DATOSAÑO!AK246</f>
        <v>0</v>
      </c>
      <c r="AB247" s="11">
        <f ca="1">(AA247*DATOSAÑO!$Z$11)/DATOSAÑO!$Y$11</f>
        <v>0</v>
      </c>
      <c r="AC247" s="9">
        <f ca="1">DATOSAÑO!AL246</f>
        <v>0</v>
      </c>
      <c r="AD247" s="11">
        <f ca="1">(AC247*DATOSAÑO!$Z$11)/DATOSAÑO!$Y$11</f>
        <v>0</v>
      </c>
      <c r="AE247" s="9">
        <f ca="1">DATOSAÑO!AM246</f>
        <v>0</v>
      </c>
      <c r="AF247" s="11">
        <f ca="1">(AE247*DATOSAÑO!$Z$11)/DATOSAÑO!$Y$11</f>
        <v>0</v>
      </c>
      <c r="AG247" s="9">
        <f ca="1">DATOSAÑO!AN246</f>
        <v>0</v>
      </c>
      <c r="AH247" s="11">
        <f ca="1">(AG247*DATOSAÑO!$Z$11)/DATOSAÑO!$Y$11</f>
        <v>0</v>
      </c>
      <c r="AI247" s="9">
        <f ca="1">DATOSAÑO!BS246</f>
        <v>0</v>
      </c>
      <c r="AJ247" s="11">
        <f ca="1">(AI247*DATOSAÑO!$Z$11)/DATOSAÑO!$Y$11</f>
        <v>0</v>
      </c>
      <c r="AK247" s="9">
        <f ca="1">DATOSAÑO!BV246</f>
        <v>0</v>
      </c>
      <c r="AL247" s="11">
        <f ca="1">(AK247*DATOSAÑO!$Z$11)/DATOSAÑO!$Y$11</f>
        <v>0</v>
      </c>
      <c r="AM247" s="9">
        <f ca="1">DATOSAÑO!BY246</f>
        <v>0</v>
      </c>
      <c r="AN247" s="11">
        <f ca="1">(AM247*DATOSAÑO!$Z$11)/DATOSAÑO!$Y$11</f>
        <v>0</v>
      </c>
      <c r="AO247" s="9">
        <f ca="1">DATOSAÑO!CF246</f>
        <v>0</v>
      </c>
      <c r="AP247" s="11">
        <f ca="1">(AO247*DATOSAÑO!$Z$11)/DATOSAÑO!$Y$11</f>
        <v>0</v>
      </c>
      <c r="AQ247" s="9">
        <f ca="1">DATOSAÑO!CL246</f>
        <v>0</v>
      </c>
      <c r="AR247" s="1300">
        <f ca="1">(AQ247*DATOSAÑO!$Z$11)/DATOSAÑO!$Y$11</f>
        <v>0</v>
      </c>
      <c r="AS247" s="1334">
        <f t="shared" si="11"/>
        <v>34</v>
      </c>
    </row>
    <row r="248" spans="1:45" ht="15" thickBot="1">
      <c r="A248" s="1371">
        <v>45163</v>
      </c>
      <c r="B248" s="1021">
        <v>45163</v>
      </c>
      <c r="C248" s="9">
        <f ca="1">DATOSAÑO!I247</f>
        <v>0</v>
      </c>
      <c r="D248" s="10">
        <f ca="1">DATOSAÑO!$D247</f>
        <v>0</v>
      </c>
      <c r="E248" s="11">
        <f ca="1">DATOSAÑO!$G247</f>
        <v>0</v>
      </c>
      <c r="F248" s="9">
        <f ca="1">DATOSAÑO!P247</f>
        <v>0</v>
      </c>
      <c r="G248" s="10">
        <f ca="1">DATOSAÑO!K247</f>
        <v>0</v>
      </c>
      <c r="H248" s="11">
        <f ca="1">DATOSAÑO!N247</f>
        <v>0</v>
      </c>
      <c r="I248" s="9">
        <f ca="1">DATOSAÑO!Q247</f>
        <v>0</v>
      </c>
      <c r="J248" s="11">
        <f ca="1">DATOSAÑO!R247</f>
        <v>0</v>
      </c>
      <c r="K248" s="9">
        <f ca="1">DATOSAÑO!T247</f>
        <v>0</v>
      </c>
      <c r="L248" s="11">
        <f t="shared" ca="1" si="9"/>
        <v>0</v>
      </c>
      <c r="M248" s="9"/>
      <c r="N248" s="11">
        <f t="shared" si="10"/>
        <v>0</v>
      </c>
      <c r="O248" s="9">
        <f>DATOSAÑO!CT247</f>
        <v>0</v>
      </c>
      <c r="P248" s="9">
        <f>DATOSAÑO!CU247</f>
        <v>0</v>
      </c>
      <c r="Q248" s="9">
        <f ca="1">DATOSAÑO!AD247</f>
        <v>0</v>
      </c>
      <c r="R248" s="11">
        <f ca="1">(Q248*DATOSAÑO!$Z$11)/DATOSAÑO!$Y$11</f>
        <v>0</v>
      </c>
      <c r="S248" s="9">
        <f ca="1">DATOSAÑO!AF247</f>
        <v>0</v>
      </c>
      <c r="T248" s="11">
        <f ca="1">(S248*DATOSAÑO!$Z$11)/DATOSAÑO!$Y$11</f>
        <v>0</v>
      </c>
      <c r="U248" s="9">
        <f ca="1">DATOSAÑO!AH247</f>
        <v>0</v>
      </c>
      <c r="V248" s="11">
        <f ca="1">(U248*DATOSAÑO!$Z$11)/DATOSAÑO!$Y$11</f>
        <v>0</v>
      </c>
      <c r="W248" s="9">
        <f ca="1">DATOSAÑO!AI247</f>
        <v>0</v>
      </c>
      <c r="X248" s="11">
        <f ca="1">(W248*DATOSAÑO!$Z$11)/DATOSAÑO!$Y$11</f>
        <v>0</v>
      </c>
      <c r="Y248" s="9">
        <f ca="1">DATOSAÑO!AJ247</f>
        <v>0</v>
      </c>
      <c r="Z248" s="11">
        <f ca="1">(Y248*DATOSAÑO!$Z$11)/DATOSAÑO!$Y$11</f>
        <v>0</v>
      </c>
      <c r="AA248" s="9">
        <f ca="1">DATOSAÑO!AK247</f>
        <v>0</v>
      </c>
      <c r="AB248" s="11">
        <f ca="1">(AA248*DATOSAÑO!$Z$11)/DATOSAÑO!$Y$11</f>
        <v>0</v>
      </c>
      <c r="AC248" s="9">
        <f ca="1">DATOSAÑO!AL247</f>
        <v>0</v>
      </c>
      <c r="AD248" s="11">
        <f ca="1">(AC248*DATOSAÑO!$Z$11)/DATOSAÑO!$Y$11</f>
        <v>0</v>
      </c>
      <c r="AE248" s="9">
        <f ca="1">DATOSAÑO!AM247</f>
        <v>0</v>
      </c>
      <c r="AF248" s="11">
        <f ca="1">(AE248*DATOSAÑO!$Z$11)/DATOSAÑO!$Y$11</f>
        <v>0</v>
      </c>
      <c r="AG248" s="9">
        <f ca="1">DATOSAÑO!AN247</f>
        <v>0</v>
      </c>
      <c r="AH248" s="11">
        <f ca="1">(AG248*DATOSAÑO!$Z$11)/DATOSAÑO!$Y$11</f>
        <v>0</v>
      </c>
      <c r="AI248" s="9">
        <f ca="1">DATOSAÑO!BS247</f>
        <v>0</v>
      </c>
      <c r="AJ248" s="11">
        <f ca="1">(AI248*DATOSAÑO!$Z$11)/DATOSAÑO!$Y$11</f>
        <v>0</v>
      </c>
      <c r="AK248" s="9">
        <f ca="1">DATOSAÑO!BV247</f>
        <v>0</v>
      </c>
      <c r="AL248" s="11">
        <f ca="1">(AK248*DATOSAÑO!$Z$11)/DATOSAÑO!$Y$11</f>
        <v>0</v>
      </c>
      <c r="AM248" s="9">
        <f ca="1">DATOSAÑO!BY247</f>
        <v>0</v>
      </c>
      <c r="AN248" s="11">
        <f ca="1">(AM248*DATOSAÑO!$Z$11)/DATOSAÑO!$Y$11</f>
        <v>0</v>
      </c>
      <c r="AO248" s="9">
        <f ca="1">DATOSAÑO!CF247</f>
        <v>0</v>
      </c>
      <c r="AP248" s="11">
        <f ca="1">(AO248*DATOSAÑO!$Z$11)/DATOSAÑO!$Y$11</f>
        <v>0</v>
      </c>
      <c r="AQ248" s="9">
        <f ca="1">DATOSAÑO!CL247</f>
        <v>0</v>
      </c>
      <c r="AR248" s="1300">
        <f ca="1">(AQ248*DATOSAÑO!$Z$11)/DATOSAÑO!$Y$11</f>
        <v>0</v>
      </c>
      <c r="AS248" s="1334">
        <f t="shared" si="11"/>
        <v>34</v>
      </c>
    </row>
    <row r="249" spans="1:45" ht="15" thickBot="1">
      <c r="A249" s="1371">
        <v>45164</v>
      </c>
      <c r="B249" s="1021">
        <v>45164</v>
      </c>
      <c r="C249" s="9">
        <f ca="1">DATOSAÑO!I248</f>
        <v>0</v>
      </c>
      <c r="D249" s="10">
        <f ca="1">DATOSAÑO!$D248</f>
        <v>0</v>
      </c>
      <c r="E249" s="11">
        <f ca="1">DATOSAÑO!$G248</f>
        <v>0</v>
      </c>
      <c r="F249" s="9">
        <f ca="1">DATOSAÑO!P248</f>
        <v>0</v>
      </c>
      <c r="G249" s="10">
        <f ca="1">DATOSAÑO!K248</f>
        <v>0</v>
      </c>
      <c r="H249" s="11">
        <f ca="1">DATOSAÑO!N248</f>
        <v>0</v>
      </c>
      <c r="I249" s="9">
        <f ca="1">DATOSAÑO!Q248</f>
        <v>0</v>
      </c>
      <c r="J249" s="11">
        <f ca="1">DATOSAÑO!R248</f>
        <v>0</v>
      </c>
      <c r="K249" s="9">
        <f ca="1">DATOSAÑO!T248</f>
        <v>0</v>
      </c>
      <c r="L249" s="11">
        <f t="shared" ca="1" si="9"/>
        <v>0</v>
      </c>
      <c r="M249" s="9"/>
      <c r="N249" s="11">
        <f t="shared" si="10"/>
        <v>0</v>
      </c>
      <c r="O249" s="9">
        <f>DATOSAÑO!CT248</f>
        <v>0</v>
      </c>
      <c r="P249" s="9">
        <f>DATOSAÑO!CU248</f>
        <v>0</v>
      </c>
      <c r="Q249" s="9">
        <f ca="1">DATOSAÑO!AD248</f>
        <v>0</v>
      </c>
      <c r="R249" s="11">
        <f ca="1">(Q249*DATOSAÑO!$Z$11)/DATOSAÑO!$Y$11</f>
        <v>0</v>
      </c>
      <c r="S249" s="9">
        <f ca="1">DATOSAÑO!AF248</f>
        <v>0</v>
      </c>
      <c r="T249" s="11">
        <f ca="1">(S249*DATOSAÑO!$Z$11)/DATOSAÑO!$Y$11</f>
        <v>0</v>
      </c>
      <c r="U249" s="9">
        <f ca="1">DATOSAÑO!AH248</f>
        <v>0</v>
      </c>
      <c r="V249" s="11">
        <f ca="1">(U249*DATOSAÑO!$Z$11)/DATOSAÑO!$Y$11</f>
        <v>0</v>
      </c>
      <c r="W249" s="9">
        <f ca="1">DATOSAÑO!AI248</f>
        <v>0</v>
      </c>
      <c r="X249" s="11">
        <f ca="1">(W249*DATOSAÑO!$Z$11)/DATOSAÑO!$Y$11</f>
        <v>0</v>
      </c>
      <c r="Y249" s="9">
        <f ca="1">DATOSAÑO!AJ248</f>
        <v>0</v>
      </c>
      <c r="Z249" s="11">
        <f ca="1">(Y249*DATOSAÑO!$Z$11)/DATOSAÑO!$Y$11</f>
        <v>0</v>
      </c>
      <c r="AA249" s="9">
        <f ca="1">DATOSAÑO!AK248</f>
        <v>0</v>
      </c>
      <c r="AB249" s="11">
        <f ca="1">(AA249*DATOSAÑO!$Z$11)/DATOSAÑO!$Y$11</f>
        <v>0</v>
      </c>
      <c r="AC249" s="9">
        <f ca="1">DATOSAÑO!AL248</f>
        <v>0</v>
      </c>
      <c r="AD249" s="11">
        <f ca="1">(AC249*DATOSAÑO!$Z$11)/DATOSAÑO!$Y$11</f>
        <v>0</v>
      </c>
      <c r="AE249" s="9">
        <f ca="1">DATOSAÑO!AM248</f>
        <v>0</v>
      </c>
      <c r="AF249" s="11">
        <f ca="1">(AE249*DATOSAÑO!$Z$11)/DATOSAÑO!$Y$11</f>
        <v>0</v>
      </c>
      <c r="AG249" s="9">
        <f ca="1">DATOSAÑO!AN248</f>
        <v>0</v>
      </c>
      <c r="AH249" s="11">
        <f ca="1">(AG249*DATOSAÑO!$Z$11)/DATOSAÑO!$Y$11</f>
        <v>0</v>
      </c>
      <c r="AI249" s="9">
        <f ca="1">DATOSAÑO!BS248</f>
        <v>0</v>
      </c>
      <c r="AJ249" s="11">
        <f ca="1">(AI249*DATOSAÑO!$Z$11)/DATOSAÑO!$Y$11</f>
        <v>0</v>
      </c>
      <c r="AK249" s="9">
        <f ca="1">DATOSAÑO!BV248</f>
        <v>0</v>
      </c>
      <c r="AL249" s="11">
        <f ca="1">(AK249*DATOSAÑO!$Z$11)/DATOSAÑO!$Y$11</f>
        <v>0</v>
      </c>
      <c r="AM249" s="9">
        <f ca="1">DATOSAÑO!BY248</f>
        <v>0</v>
      </c>
      <c r="AN249" s="11">
        <f ca="1">(AM249*DATOSAÑO!$Z$11)/DATOSAÑO!$Y$11</f>
        <v>0</v>
      </c>
      <c r="AO249" s="9">
        <f ca="1">DATOSAÑO!CF248</f>
        <v>0</v>
      </c>
      <c r="AP249" s="11">
        <f ca="1">(AO249*DATOSAÑO!$Z$11)/DATOSAÑO!$Y$11</f>
        <v>0</v>
      </c>
      <c r="AQ249" s="9">
        <f ca="1">DATOSAÑO!CL248</f>
        <v>0</v>
      </c>
      <c r="AR249" s="1300">
        <f ca="1">(AQ249*DATOSAÑO!$Z$11)/DATOSAÑO!$Y$11</f>
        <v>0</v>
      </c>
      <c r="AS249" s="1334">
        <f t="shared" si="11"/>
        <v>34</v>
      </c>
    </row>
    <row r="250" spans="1:45" ht="15" thickBot="1">
      <c r="A250" s="1371">
        <v>45165</v>
      </c>
      <c r="B250" s="1021">
        <v>45165</v>
      </c>
      <c r="C250" s="9">
        <f ca="1">DATOSAÑO!I249</f>
        <v>0</v>
      </c>
      <c r="D250" s="10">
        <f ca="1">DATOSAÑO!$D249</f>
        <v>0</v>
      </c>
      <c r="E250" s="11">
        <f ca="1">DATOSAÑO!$G249</f>
        <v>0</v>
      </c>
      <c r="F250" s="9">
        <f ca="1">DATOSAÑO!P249</f>
        <v>0</v>
      </c>
      <c r="G250" s="10">
        <f ca="1">DATOSAÑO!K249</f>
        <v>0</v>
      </c>
      <c r="H250" s="11">
        <f ca="1">DATOSAÑO!N249</f>
        <v>0</v>
      </c>
      <c r="I250" s="9">
        <f ca="1">DATOSAÑO!Q249</f>
        <v>0</v>
      </c>
      <c r="J250" s="11">
        <f ca="1">DATOSAÑO!R249</f>
        <v>0</v>
      </c>
      <c r="K250" s="9">
        <f ca="1">DATOSAÑO!T249</f>
        <v>0</v>
      </c>
      <c r="L250" s="11">
        <f t="shared" ca="1" si="9"/>
        <v>0</v>
      </c>
      <c r="M250" s="9"/>
      <c r="N250" s="11">
        <f t="shared" si="10"/>
        <v>0</v>
      </c>
      <c r="O250" s="9">
        <f>DATOSAÑO!CT249</f>
        <v>0</v>
      </c>
      <c r="P250" s="9">
        <f>DATOSAÑO!CU249</f>
        <v>0</v>
      </c>
      <c r="Q250" s="9">
        <f ca="1">DATOSAÑO!AD249</f>
        <v>0</v>
      </c>
      <c r="R250" s="11">
        <f ca="1">(Q250*DATOSAÑO!$Z$11)/DATOSAÑO!$Y$11</f>
        <v>0</v>
      </c>
      <c r="S250" s="9">
        <f ca="1">DATOSAÑO!AF249</f>
        <v>0</v>
      </c>
      <c r="T250" s="11">
        <f ca="1">(S250*DATOSAÑO!$Z$11)/DATOSAÑO!$Y$11</f>
        <v>0</v>
      </c>
      <c r="U250" s="9">
        <f ca="1">DATOSAÑO!AH249</f>
        <v>0</v>
      </c>
      <c r="V250" s="11">
        <f ca="1">(U250*DATOSAÑO!$Z$11)/DATOSAÑO!$Y$11</f>
        <v>0</v>
      </c>
      <c r="W250" s="9">
        <f ca="1">DATOSAÑO!AI249</f>
        <v>0</v>
      </c>
      <c r="X250" s="11">
        <f ca="1">(W250*DATOSAÑO!$Z$11)/DATOSAÑO!$Y$11</f>
        <v>0</v>
      </c>
      <c r="Y250" s="9">
        <f ca="1">DATOSAÑO!AJ249</f>
        <v>0</v>
      </c>
      <c r="Z250" s="11">
        <f ca="1">(Y250*DATOSAÑO!$Z$11)/DATOSAÑO!$Y$11</f>
        <v>0</v>
      </c>
      <c r="AA250" s="9">
        <f ca="1">DATOSAÑO!AK249</f>
        <v>0</v>
      </c>
      <c r="AB250" s="11">
        <f ca="1">(AA250*DATOSAÑO!$Z$11)/DATOSAÑO!$Y$11</f>
        <v>0</v>
      </c>
      <c r="AC250" s="9">
        <f ca="1">DATOSAÑO!AL249</f>
        <v>0</v>
      </c>
      <c r="AD250" s="11">
        <f ca="1">(AC250*DATOSAÑO!$Z$11)/DATOSAÑO!$Y$11</f>
        <v>0</v>
      </c>
      <c r="AE250" s="9">
        <f ca="1">DATOSAÑO!AM249</f>
        <v>0</v>
      </c>
      <c r="AF250" s="11">
        <f ca="1">(AE250*DATOSAÑO!$Z$11)/DATOSAÑO!$Y$11</f>
        <v>0</v>
      </c>
      <c r="AG250" s="9">
        <f ca="1">DATOSAÑO!AN249</f>
        <v>0</v>
      </c>
      <c r="AH250" s="11">
        <f ca="1">(AG250*DATOSAÑO!$Z$11)/DATOSAÑO!$Y$11</f>
        <v>0</v>
      </c>
      <c r="AI250" s="9">
        <f ca="1">DATOSAÑO!BS249</f>
        <v>0</v>
      </c>
      <c r="AJ250" s="11">
        <f ca="1">(AI250*DATOSAÑO!$Z$11)/DATOSAÑO!$Y$11</f>
        <v>0</v>
      </c>
      <c r="AK250" s="9">
        <f ca="1">DATOSAÑO!BV249</f>
        <v>0</v>
      </c>
      <c r="AL250" s="11">
        <f ca="1">(AK250*DATOSAÑO!$Z$11)/DATOSAÑO!$Y$11</f>
        <v>0</v>
      </c>
      <c r="AM250" s="9">
        <f ca="1">DATOSAÑO!BY249</f>
        <v>0</v>
      </c>
      <c r="AN250" s="11">
        <f ca="1">(AM250*DATOSAÑO!$Z$11)/DATOSAÑO!$Y$11</f>
        <v>0</v>
      </c>
      <c r="AO250" s="9">
        <f ca="1">DATOSAÑO!CF249</f>
        <v>0</v>
      </c>
      <c r="AP250" s="11">
        <f ca="1">(AO250*DATOSAÑO!$Z$11)/DATOSAÑO!$Y$11</f>
        <v>0</v>
      </c>
      <c r="AQ250" s="9">
        <f ca="1">DATOSAÑO!CL249</f>
        <v>0</v>
      </c>
      <c r="AR250" s="1300">
        <f ca="1">(AQ250*DATOSAÑO!$Z$11)/DATOSAÑO!$Y$11</f>
        <v>0</v>
      </c>
      <c r="AS250" s="1334">
        <f t="shared" si="11"/>
        <v>35</v>
      </c>
    </row>
    <row r="251" spans="1:45" ht="15" thickBot="1">
      <c r="A251" s="1371">
        <v>45166</v>
      </c>
      <c r="B251" s="1021">
        <v>45166</v>
      </c>
      <c r="C251" s="9">
        <f ca="1">DATOSAÑO!I250</f>
        <v>0</v>
      </c>
      <c r="D251" s="10">
        <f ca="1">DATOSAÑO!$D250</f>
        <v>0</v>
      </c>
      <c r="E251" s="11">
        <f ca="1">DATOSAÑO!$G250</f>
        <v>0</v>
      </c>
      <c r="F251" s="9">
        <f ca="1">DATOSAÑO!P250</f>
        <v>0</v>
      </c>
      <c r="G251" s="10">
        <f ca="1">DATOSAÑO!K250</f>
        <v>0</v>
      </c>
      <c r="H251" s="11">
        <f ca="1">DATOSAÑO!N250</f>
        <v>0</v>
      </c>
      <c r="I251" s="9">
        <f ca="1">DATOSAÑO!Q250</f>
        <v>0</v>
      </c>
      <c r="J251" s="11">
        <f ca="1">DATOSAÑO!R250</f>
        <v>0</v>
      </c>
      <c r="K251" s="9">
        <f ca="1">DATOSAÑO!T250</f>
        <v>0</v>
      </c>
      <c r="L251" s="11">
        <f t="shared" ca="1" si="9"/>
        <v>0</v>
      </c>
      <c r="M251" s="9"/>
      <c r="N251" s="11">
        <f t="shared" si="10"/>
        <v>0</v>
      </c>
      <c r="O251" s="9">
        <f>DATOSAÑO!CT250</f>
        <v>0</v>
      </c>
      <c r="P251" s="9">
        <f>DATOSAÑO!CU250</f>
        <v>0</v>
      </c>
      <c r="Q251" s="9">
        <f ca="1">DATOSAÑO!AD250</f>
        <v>0</v>
      </c>
      <c r="R251" s="11">
        <f ca="1">(Q251*DATOSAÑO!$Z$11)/DATOSAÑO!$Y$11</f>
        <v>0</v>
      </c>
      <c r="S251" s="9">
        <f ca="1">DATOSAÑO!AF250</f>
        <v>0</v>
      </c>
      <c r="T251" s="11">
        <f ca="1">(S251*DATOSAÑO!$Z$11)/DATOSAÑO!$Y$11</f>
        <v>0</v>
      </c>
      <c r="U251" s="9">
        <f ca="1">DATOSAÑO!AH250</f>
        <v>0</v>
      </c>
      <c r="V251" s="11">
        <f ca="1">(U251*DATOSAÑO!$Z$11)/DATOSAÑO!$Y$11</f>
        <v>0</v>
      </c>
      <c r="W251" s="9">
        <f ca="1">DATOSAÑO!AI250</f>
        <v>0</v>
      </c>
      <c r="X251" s="11">
        <f ca="1">(W251*DATOSAÑO!$Z$11)/DATOSAÑO!$Y$11</f>
        <v>0</v>
      </c>
      <c r="Y251" s="9">
        <f ca="1">DATOSAÑO!AJ250</f>
        <v>0</v>
      </c>
      <c r="Z251" s="11">
        <f ca="1">(Y251*DATOSAÑO!$Z$11)/DATOSAÑO!$Y$11</f>
        <v>0</v>
      </c>
      <c r="AA251" s="9">
        <f ca="1">DATOSAÑO!AK250</f>
        <v>0</v>
      </c>
      <c r="AB251" s="11">
        <f ca="1">(AA251*DATOSAÑO!$Z$11)/DATOSAÑO!$Y$11</f>
        <v>0</v>
      </c>
      <c r="AC251" s="9">
        <f ca="1">DATOSAÑO!AL250</f>
        <v>0</v>
      </c>
      <c r="AD251" s="11">
        <f ca="1">(AC251*DATOSAÑO!$Z$11)/DATOSAÑO!$Y$11</f>
        <v>0</v>
      </c>
      <c r="AE251" s="9">
        <f ca="1">DATOSAÑO!AM250</f>
        <v>0</v>
      </c>
      <c r="AF251" s="11">
        <f ca="1">(AE251*DATOSAÑO!$Z$11)/DATOSAÑO!$Y$11</f>
        <v>0</v>
      </c>
      <c r="AG251" s="9">
        <f ca="1">DATOSAÑO!AN250</f>
        <v>0</v>
      </c>
      <c r="AH251" s="11">
        <f ca="1">(AG251*DATOSAÑO!$Z$11)/DATOSAÑO!$Y$11</f>
        <v>0</v>
      </c>
      <c r="AI251" s="9">
        <f ca="1">DATOSAÑO!BS250</f>
        <v>0</v>
      </c>
      <c r="AJ251" s="11">
        <f ca="1">(AI251*DATOSAÑO!$Z$11)/DATOSAÑO!$Y$11</f>
        <v>0</v>
      </c>
      <c r="AK251" s="9">
        <f ca="1">DATOSAÑO!BV250</f>
        <v>0</v>
      </c>
      <c r="AL251" s="11">
        <f ca="1">(AK251*DATOSAÑO!$Z$11)/DATOSAÑO!$Y$11</f>
        <v>0</v>
      </c>
      <c r="AM251" s="9">
        <f ca="1">DATOSAÑO!BY250</f>
        <v>0</v>
      </c>
      <c r="AN251" s="11">
        <f ca="1">(AM251*DATOSAÑO!$Z$11)/DATOSAÑO!$Y$11</f>
        <v>0</v>
      </c>
      <c r="AO251" s="9">
        <f ca="1">DATOSAÑO!CF250</f>
        <v>0</v>
      </c>
      <c r="AP251" s="11">
        <f ca="1">(AO251*DATOSAÑO!$Z$11)/DATOSAÑO!$Y$11</f>
        <v>0</v>
      </c>
      <c r="AQ251" s="9">
        <f ca="1">DATOSAÑO!CL250</f>
        <v>0</v>
      </c>
      <c r="AR251" s="1300">
        <f ca="1">(AQ251*DATOSAÑO!$Z$11)/DATOSAÑO!$Y$11</f>
        <v>0</v>
      </c>
      <c r="AS251" s="1334">
        <f t="shared" si="11"/>
        <v>35</v>
      </c>
    </row>
    <row r="252" spans="1:45" ht="15" thickBot="1">
      <c r="A252" s="1371">
        <v>45167</v>
      </c>
      <c r="B252" s="1021">
        <v>45167</v>
      </c>
      <c r="C252" s="9">
        <f ca="1">DATOSAÑO!I251</f>
        <v>0</v>
      </c>
      <c r="D252" s="10">
        <f ca="1">DATOSAÑO!$D251</f>
        <v>0</v>
      </c>
      <c r="E252" s="11">
        <f ca="1">DATOSAÑO!$G251</f>
        <v>0</v>
      </c>
      <c r="F252" s="9">
        <f ca="1">DATOSAÑO!P251</f>
        <v>0</v>
      </c>
      <c r="G252" s="10">
        <f ca="1">DATOSAÑO!K251</f>
        <v>0</v>
      </c>
      <c r="H252" s="11">
        <f ca="1">DATOSAÑO!N251</f>
        <v>0</v>
      </c>
      <c r="I252" s="9">
        <f ca="1">DATOSAÑO!Q251</f>
        <v>0</v>
      </c>
      <c r="J252" s="11">
        <f ca="1">DATOSAÑO!R251</f>
        <v>0</v>
      </c>
      <c r="K252" s="9">
        <f ca="1">DATOSAÑO!T251</f>
        <v>0</v>
      </c>
      <c r="L252" s="11">
        <f t="shared" ca="1" si="9"/>
        <v>0</v>
      </c>
      <c r="M252" s="9"/>
      <c r="N252" s="11">
        <f t="shared" si="10"/>
        <v>0</v>
      </c>
      <c r="O252" s="9">
        <f>DATOSAÑO!CT251</f>
        <v>0</v>
      </c>
      <c r="P252" s="9">
        <f>DATOSAÑO!CU251</f>
        <v>0</v>
      </c>
      <c r="Q252" s="9">
        <f ca="1">DATOSAÑO!AD251</f>
        <v>0</v>
      </c>
      <c r="R252" s="11">
        <f ca="1">(Q252*DATOSAÑO!$Z$11)/DATOSAÑO!$Y$11</f>
        <v>0</v>
      </c>
      <c r="S252" s="9">
        <f ca="1">DATOSAÑO!AF251</f>
        <v>0</v>
      </c>
      <c r="T252" s="11">
        <f ca="1">(S252*DATOSAÑO!$Z$11)/DATOSAÑO!$Y$11</f>
        <v>0</v>
      </c>
      <c r="U252" s="9">
        <f ca="1">DATOSAÑO!AH251</f>
        <v>0</v>
      </c>
      <c r="V252" s="11">
        <f ca="1">(U252*DATOSAÑO!$Z$11)/DATOSAÑO!$Y$11</f>
        <v>0</v>
      </c>
      <c r="W252" s="9">
        <f ca="1">DATOSAÑO!AI251</f>
        <v>0</v>
      </c>
      <c r="X252" s="11">
        <f ca="1">(W252*DATOSAÑO!$Z$11)/DATOSAÑO!$Y$11</f>
        <v>0</v>
      </c>
      <c r="Y252" s="9">
        <f ca="1">DATOSAÑO!AJ251</f>
        <v>0</v>
      </c>
      <c r="Z252" s="11">
        <f ca="1">(Y252*DATOSAÑO!$Z$11)/DATOSAÑO!$Y$11</f>
        <v>0</v>
      </c>
      <c r="AA252" s="9">
        <f ca="1">DATOSAÑO!AK251</f>
        <v>0</v>
      </c>
      <c r="AB252" s="11">
        <f ca="1">(AA252*DATOSAÑO!$Z$11)/DATOSAÑO!$Y$11</f>
        <v>0</v>
      </c>
      <c r="AC252" s="9">
        <f ca="1">DATOSAÑO!AL251</f>
        <v>0</v>
      </c>
      <c r="AD252" s="11">
        <f ca="1">(AC252*DATOSAÑO!$Z$11)/DATOSAÑO!$Y$11</f>
        <v>0</v>
      </c>
      <c r="AE252" s="9">
        <f ca="1">DATOSAÑO!AM251</f>
        <v>0</v>
      </c>
      <c r="AF252" s="11">
        <f ca="1">(AE252*DATOSAÑO!$Z$11)/DATOSAÑO!$Y$11</f>
        <v>0</v>
      </c>
      <c r="AG252" s="9">
        <f ca="1">DATOSAÑO!AN251</f>
        <v>0</v>
      </c>
      <c r="AH252" s="11">
        <f ca="1">(AG252*DATOSAÑO!$Z$11)/DATOSAÑO!$Y$11</f>
        <v>0</v>
      </c>
      <c r="AI252" s="9">
        <f ca="1">DATOSAÑO!BS251</f>
        <v>0</v>
      </c>
      <c r="AJ252" s="11">
        <f ca="1">(AI252*DATOSAÑO!$Z$11)/DATOSAÑO!$Y$11</f>
        <v>0</v>
      </c>
      <c r="AK252" s="9">
        <f ca="1">DATOSAÑO!BV251</f>
        <v>0</v>
      </c>
      <c r="AL252" s="11">
        <f ca="1">(AK252*DATOSAÑO!$Z$11)/DATOSAÑO!$Y$11</f>
        <v>0</v>
      </c>
      <c r="AM252" s="9">
        <f ca="1">DATOSAÑO!BY251</f>
        <v>0</v>
      </c>
      <c r="AN252" s="11">
        <f ca="1">(AM252*DATOSAÑO!$Z$11)/DATOSAÑO!$Y$11</f>
        <v>0</v>
      </c>
      <c r="AO252" s="9">
        <f ca="1">DATOSAÑO!CF251</f>
        <v>0</v>
      </c>
      <c r="AP252" s="11">
        <f ca="1">(AO252*DATOSAÑO!$Z$11)/DATOSAÑO!$Y$11</f>
        <v>0</v>
      </c>
      <c r="AQ252" s="9">
        <f ca="1">DATOSAÑO!CL251</f>
        <v>0</v>
      </c>
      <c r="AR252" s="1300">
        <f ca="1">(AQ252*DATOSAÑO!$Z$11)/DATOSAÑO!$Y$11</f>
        <v>0</v>
      </c>
      <c r="AS252" s="1334">
        <f t="shared" si="11"/>
        <v>35</v>
      </c>
    </row>
    <row r="253" spans="1:45" ht="15" thickBot="1">
      <c r="A253" s="1371">
        <v>45168</v>
      </c>
      <c r="B253" s="1021">
        <v>45168</v>
      </c>
      <c r="C253" s="9">
        <f ca="1">DATOSAÑO!I252</f>
        <v>0</v>
      </c>
      <c r="D253" s="10">
        <f ca="1">DATOSAÑO!$D252</f>
        <v>0</v>
      </c>
      <c r="E253" s="11">
        <f ca="1">DATOSAÑO!$G252</f>
        <v>0</v>
      </c>
      <c r="F253" s="9">
        <f ca="1">DATOSAÑO!P252</f>
        <v>0</v>
      </c>
      <c r="G253" s="10">
        <f ca="1">DATOSAÑO!K252</f>
        <v>0</v>
      </c>
      <c r="H253" s="11">
        <f ca="1">DATOSAÑO!N252</f>
        <v>0</v>
      </c>
      <c r="I253" s="9">
        <f ca="1">DATOSAÑO!Q252</f>
        <v>0</v>
      </c>
      <c r="J253" s="11">
        <f ca="1">DATOSAÑO!R252</f>
        <v>0</v>
      </c>
      <c r="K253" s="9">
        <f ca="1">DATOSAÑO!T252</f>
        <v>0</v>
      </c>
      <c r="L253" s="11">
        <f t="shared" ca="1" si="9"/>
        <v>0</v>
      </c>
      <c r="M253" s="9"/>
      <c r="N253" s="11">
        <f t="shared" si="10"/>
        <v>0</v>
      </c>
      <c r="O253" s="9">
        <f>DATOSAÑO!CT252</f>
        <v>0</v>
      </c>
      <c r="P253" s="9">
        <f>DATOSAÑO!CU252</f>
        <v>0</v>
      </c>
      <c r="Q253" s="9">
        <f ca="1">DATOSAÑO!AD252</f>
        <v>0</v>
      </c>
      <c r="R253" s="11">
        <f ca="1">(Q253*DATOSAÑO!$Z$11)/DATOSAÑO!$Y$11</f>
        <v>0</v>
      </c>
      <c r="S253" s="9">
        <f ca="1">DATOSAÑO!AF252</f>
        <v>0</v>
      </c>
      <c r="T253" s="11">
        <f ca="1">(S253*DATOSAÑO!$Z$11)/DATOSAÑO!$Y$11</f>
        <v>0</v>
      </c>
      <c r="U253" s="9">
        <f ca="1">DATOSAÑO!AH252</f>
        <v>0</v>
      </c>
      <c r="V253" s="11">
        <f ca="1">(U253*DATOSAÑO!$Z$11)/DATOSAÑO!$Y$11</f>
        <v>0</v>
      </c>
      <c r="W253" s="9">
        <f ca="1">DATOSAÑO!AI252</f>
        <v>0</v>
      </c>
      <c r="X253" s="11">
        <f ca="1">(W253*DATOSAÑO!$Z$11)/DATOSAÑO!$Y$11</f>
        <v>0</v>
      </c>
      <c r="Y253" s="9">
        <f ca="1">DATOSAÑO!AJ252</f>
        <v>0</v>
      </c>
      <c r="Z253" s="11">
        <f ca="1">(Y253*DATOSAÑO!$Z$11)/DATOSAÑO!$Y$11</f>
        <v>0</v>
      </c>
      <c r="AA253" s="9">
        <f ca="1">DATOSAÑO!AK252</f>
        <v>0</v>
      </c>
      <c r="AB253" s="11">
        <f ca="1">(AA253*DATOSAÑO!$Z$11)/DATOSAÑO!$Y$11</f>
        <v>0</v>
      </c>
      <c r="AC253" s="9">
        <f ca="1">DATOSAÑO!AL252</f>
        <v>0</v>
      </c>
      <c r="AD253" s="11">
        <f ca="1">(AC253*DATOSAÑO!$Z$11)/DATOSAÑO!$Y$11</f>
        <v>0</v>
      </c>
      <c r="AE253" s="9">
        <f ca="1">DATOSAÑO!AM252</f>
        <v>0</v>
      </c>
      <c r="AF253" s="11">
        <f ca="1">(AE253*DATOSAÑO!$Z$11)/DATOSAÑO!$Y$11</f>
        <v>0</v>
      </c>
      <c r="AG253" s="9">
        <f ca="1">DATOSAÑO!AN252</f>
        <v>0</v>
      </c>
      <c r="AH253" s="11">
        <f ca="1">(AG253*DATOSAÑO!$Z$11)/DATOSAÑO!$Y$11</f>
        <v>0</v>
      </c>
      <c r="AI253" s="9">
        <f ca="1">DATOSAÑO!BS252</f>
        <v>0</v>
      </c>
      <c r="AJ253" s="11">
        <f ca="1">(AI253*DATOSAÑO!$Z$11)/DATOSAÑO!$Y$11</f>
        <v>0</v>
      </c>
      <c r="AK253" s="9">
        <f ca="1">DATOSAÑO!BV252</f>
        <v>0</v>
      </c>
      <c r="AL253" s="11">
        <f ca="1">(AK253*DATOSAÑO!$Z$11)/DATOSAÑO!$Y$11</f>
        <v>0</v>
      </c>
      <c r="AM253" s="9">
        <f ca="1">DATOSAÑO!BY252</f>
        <v>0</v>
      </c>
      <c r="AN253" s="11">
        <f ca="1">(AM253*DATOSAÑO!$Z$11)/DATOSAÑO!$Y$11</f>
        <v>0</v>
      </c>
      <c r="AO253" s="9">
        <f ca="1">DATOSAÑO!CF252</f>
        <v>0</v>
      </c>
      <c r="AP253" s="11">
        <f ca="1">(AO253*DATOSAÑO!$Z$11)/DATOSAÑO!$Y$11</f>
        <v>0</v>
      </c>
      <c r="AQ253" s="9">
        <f ca="1">DATOSAÑO!CL252</f>
        <v>0</v>
      </c>
      <c r="AR253" s="1300">
        <f ca="1">(AQ253*DATOSAÑO!$Z$11)/DATOSAÑO!$Y$11</f>
        <v>0</v>
      </c>
      <c r="AS253" s="1334">
        <f t="shared" si="11"/>
        <v>35</v>
      </c>
    </row>
    <row r="254" spans="1:45" ht="15" thickBot="1">
      <c r="A254" s="1371">
        <v>45169</v>
      </c>
      <c r="B254" s="1021">
        <v>45169</v>
      </c>
      <c r="C254" s="62">
        <f ca="1">DATOSAÑO!I253</f>
        <v>0</v>
      </c>
      <c r="D254" s="63">
        <f ca="1">DATOSAÑO!$D253</f>
        <v>0</v>
      </c>
      <c r="E254" s="64">
        <f ca="1">DATOSAÑO!$G253</f>
        <v>0</v>
      </c>
      <c r="F254" s="62">
        <f ca="1">DATOSAÑO!P253</f>
        <v>0</v>
      </c>
      <c r="G254" s="63">
        <f ca="1">DATOSAÑO!K253</f>
        <v>0</v>
      </c>
      <c r="H254" s="64">
        <f ca="1">DATOSAÑO!N253</f>
        <v>0</v>
      </c>
      <c r="I254" s="62">
        <f ca="1">DATOSAÑO!Q253</f>
        <v>0</v>
      </c>
      <c r="J254" s="64">
        <f ca="1">DATOSAÑO!R253</f>
        <v>0</v>
      </c>
      <c r="K254" s="9">
        <f ca="1">DATOSAÑO!T253</f>
        <v>0</v>
      </c>
      <c r="L254" s="64">
        <f t="shared" ca="1" si="9"/>
        <v>0</v>
      </c>
      <c r="M254" s="62"/>
      <c r="N254" s="64">
        <f t="shared" si="10"/>
        <v>0</v>
      </c>
      <c r="O254" s="62">
        <f>DATOSAÑO!CT253</f>
        <v>0</v>
      </c>
      <c r="P254" s="61">
        <f>DATOSAÑO!CU253</f>
        <v>0</v>
      </c>
      <c r="Q254" s="9">
        <f ca="1">DATOSAÑO!AD253</f>
        <v>0</v>
      </c>
      <c r="R254" s="64">
        <f ca="1">(Q254*DATOSAÑO!$Z$11)/DATOSAÑO!$Y$11</f>
        <v>0</v>
      </c>
      <c r="S254" s="9">
        <f ca="1">DATOSAÑO!AF253</f>
        <v>0</v>
      </c>
      <c r="T254" s="64">
        <f ca="1">(S254*DATOSAÑO!$Z$11)/DATOSAÑO!$Y$11</f>
        <v>0</v>
      </c>
      <c r="U254" s="9">
        <f ca="1">DATOSAÑO!AH253</f>
        <v>0</v>
      </c>
      <c r="V254" s="64">
        <f ca="1">(U254*DATOSAÑO!$Z$11)/DATOSAÑO!$Y$11</f>
        <v>0</v>
      </c>
      <c r="W254" s="9">
        <f ca="1">DATOSAÑO!AI253</f>
        <v>0</v>
      </c>
      <c r="X254" s="64">
        <f ca="1">(W254*DATOSAÑO!$Z$11)/DATOSAÑO!$Y$11</f>
        <v>0</v>
      </c>
      <c r="Y254" s="9">
        <f ca="1">DATOSAÑO!AJ253</f>
        <v>0</v>
      </c>
      <c r="Z254" s="64">
        <f ca="1">(Y254*DATOSAÑO!$Z$11)/DATOSAÑO!$Y$11</f>
        <v>0</v>
      </c>
      <c r="AA254" s="9">
        <f ca="1">DATOSAÑO!AK253</f>
        <v>0</v>
      </c>
      <c r="AB254" s="64">
        <f ca="1">(AA254*DATOSAÑO!$Z$11)/DATOSAÑO!$Y$11</f>
        <v>0</v>
      </c>
      <c r="AC254" s="9">
        <f ca="1">DATOSAÑO!AL253</f>
        <v>0</v>
      </c>
      <c r="AD254" s="64">
        <f ca="1">(AC254*DATOSAÑO!$Z$11)/DATOSAÑO!$Y$11</f>
        <v>0</v>
      </c>
      <c r="AE254" s="9">
        <f ca="1">DATOSAÑO!AM253</f>
        <v>0</v>
      </c>
      <c r="AF254" s="64">
        <f ca="1">(AE254*DATOSAÑO!$Z$11)/DATOSAÑO!$Y$11</f>
        <v>0</v>
      </c>
      <c r="AG254" s="62">
        <f ca="1">DATOSAÑO!AN253</f>
        <v>0</v>
      </c>
      <c r="AH254" s="64">
        <f ca="1">(AG254*DATOSAÑO!$Z$11)/DATOSAÑO!$Y$11</f>
        <v>0</v>
      </c>
      <c r="AI254" s="62">
        <f ca="1">DATOSAÑO!BS253</f>
        <v>0</v>
      </c>
      <c r="AJ254" s="64">
        <f ca="1">(AI254*DATOSAÑO!$Z$11)/DATOSAÑO!$Y$11</f>
        <v>0</v>
      </c>
      <c r="AK254" s="62">
        <f ca="1">DATOSAÑO!BV253</f>
        <v>0</v>
      </c>
      <c r="AL254" s="64">
        <f ca="1">(AK254*DATOSAÑO!$Z$11)/DATOSAÑO!$Y$11</f>
        <v>0</v>
      </c>
      <c r="AM254" s="62">
        <f ca="1">DATOSAÑO!BY253</f>
        <v>0</v>
      </c>
      <c r="AN254" s="64">
        <f ca="1">(AM254*DATOSAÑO!$Z$11)/DATOSAÑO!$Y$11</f>
        <v>0</v>
      </c>
      <c r="AO254" s="62">
        <f ca="1">DATOSAÑO!CF253</f>
        <v>0</v>
      </c>
      <c r="AP254" s="64">
        <f ca="1">(AO254*DATOSAÑO!$Z$11)/DATOSAÑO!$Y$11</f>
        <v>0</v>
      </c>
      <c r="AQ254" s="62">
        <f ca="1">DATOSAÑO!CL253</f>
        <v>0</v>
      </c>
      <c r="AR254" s="1077">
        <f ca="1">(AQ254*DATOSAÑO!$Z$11)/DATOSAÑO!$Y$11</f>
        <v>0</v>
      </c>
      <c r="AS254" s="1335">
        <f t="shared" si="11"/>
        <v>35</v>
      </c>
    </row>
    <row r="255" spans="1:45" ht="15" thickBot="1">
      <c r="A255" s="1371">
        <v>45170</v>
      </c>
      <c r="B255" s="1021">
        <v>45170</v>
      </c>
      <c r="C255" s="9">
        <f ca="1">DATOSAÑO!I254</f>
        <v>0</v>
      </c>
      <c r="D255" s="10">
        <f ca="1">DATOSAÑO!$D254</f>
        <v>0</v>
      </c>
      <c r="E255" s="11">
        <f ca="1">DATOSAÑO!$G254</f>
        <v>0</v>
      </c>
      <c r="F255" s="9">
        <f ca="1">DATOSAÑO!P254</f>
        <v>0</v>
      </c>
      <c r="G255" s="10">
        <f ca="1">DATOSAÑO!K254</f>
        <v>0</v>
      </c>
      <c r="H255" s="175">
        <f ca="1">DATOSAÑO!N254</f>
        <v>0</v>
      </c>
      <c r="I255" s="173">
        <f ca="1">DATOSAÑO!Q254</f>
        <v>0</v>
      </c>
      <c r="J255" s="175">
        <f ca="1">DATOSAÑO!R254</f>
        <v>0</v>
      </c>
      <c r="K255" s="173">
        <f ca="1">DATOSAÑO!T254</f>
        <v>0</v>
      </c>
      <c r="L255" s="175">
        <f t="shared" ca="1" si="9"/>
        <v>0</v>
      </c>
      <c r="M255" s="173"/>
      <c r="N255" s="175">
        <f t="shared" si="10"/>
        <v>0</v>
      </c>
      <c r="O255" s="9">
        <f>DATOSAÑO!CT254</f>
        <v>0</v>
      </c>
      <c r="P255" s="9">
        <f>DATOSAÑO!CU254</f>
        <v>0</v>
      </c>
      <c r="Q255" s="173">
        <f ca="1">DATOSAÑO!AD254</f>
        <v>0</v>
      </c>
      <c r="R255" s="175">
        <f ca="1">(Q255*DATOSAÑO!$Z$11)/DATOSAÑO!$Y$11</f>
        <v>0</v>
      </c>
      <c r="S255" s="173">
        <f ca="1">DATOSAÑO!AF254</f>
        <v>0</v>
      </c>
      <c r="T255" s="175">
        <f ca="1">(S255*DATOSAÑO!$Z$11)/DATOSAÑO!$Y$11</f>
        <v>0</v>
      </c>
      <c r="U255" s="173">
        <f ca="1">DATOSAÑO!AH254</f>
        <v>0</v>
      </c>
      <c r="V255" s="175">
        <f ca="1">(U255*DATOSAÑO!$Z$11)/DATOSAÑO!$Y$11</f>
        <v>0</v>
      </c>
      <c r="W255" s="173">
        <f ca="1">DATOSAÑO!AI254</f>
        <v>0</v>
      </c>
      <c r="X255" s="175">
        <f ca="1">(W255*DATOSAÑO!$Z$11)/DATOSAÑO!$Y$11</f>
        <v>0</v>
      </c>
      <c r="Y255" s="173">
        <f ca="1">DATOSAÑO!AJ254</f>
        <v>0</v>
      </c>
      <c r="Z255" s="175">
        <f ca="1">(Y255*DATOSAÑO!$Z$11)/DATOSAÑO!$Y$11</f>
        <v>0</v>
      </c>
      <c r="AA255" s="173">
        <f ca="1">DATOSAÑO!AK254</f>
        <v>0</v>
      </c>
      <c r="AB255" s="175">
        <f ca="1">(AA255*DATOSAÑO!$Z$11)/DATOSAÑO!$Y$11</f>
        <v>0</v>
      </c>
      <c r="AC255" s="173">
        <f ca="1">DATOSAÑO!AL254</f>
        <v>0</v>
      </c>
      <c r="AD255" s="175">
        <f ca="1">(AC255*DATOSAÑO!$Z$11)/DATOSAÑO!$Y$11</f>
        <v>0</v>
      </c>
      <c r="AE255" s="173">
        <f ca="1">DATOSAÑO!AM254</f>
        <v>0</v>
      </c>
      <c r="AF255" s="175">
        <f ca="1">(AE255*DATOSAÑO!$Z$11)/DATOSAÑO!$Y$11</f>
        <v>0</v>
      </c>
      <c r="AG255" s="173">
        <f ca="1">DATOSAÑO!AN254</f>
        <v>0</v>
      </c>
      <c r="AH255" s="175">
        <f ca="1">(AG255*DATOSAÑO!$Z$11)/DATOSAÑO!$Y$11</f>
        <v>0</v>
      </c>
      <c r="AI255" s="9">
        <f ca="1">DATOSAÑO!BS254</f>
        <v>0</v>
      </c>
      <c r="AJ255" s="11">
        <f ca="1">(AI255*DATOSAÑO!$Z$11)/DATOSAÑO!$Y$11</f>
        <v>0</v>
      </c>
      <c r="AK255" s="9">
        <f ca="1">DATOSAÑO!BV254</f>
        <v>0</v>
      </c>
      <c r="AL255" s="11">
        <f ca="1">(AK255*DATOSAÑO!$Z$11)/DATOSAÑO!$Y$11</f>
        <v>0</v>
      </c>
      <c r="AM255" s="9">
        <f ca="1">DATOSAÑO!BY254</f>
        <v>0</v>
      </c>
      <c r="AN255" s="11">
        <f ca="1">(AM255*DATOSAÑO!$Z$11)/DATOSAÑO!$Y$11</f>
        <v>0</v>
      </c>
      <c r="AO255" s="9">
        <f ca="1">DATOSAÑO!CF254</f>
        <v>0</v>
      </c>
      <c r="AP255" s="11">
        <f ca="1">(AO255*DATOSAÑO!$Z$11)/DATOSAÑO!$Y$11</f>
        <v>0</v>
      </c>
      <c r="AQ255" s="9">
        <f ca="1">DATOSAÑO!CL254</f>
        <v>0</v>
      </c>
      <c r="AR255" s="1300">
        <f ca="1">(AQ255*DATOSAÑO!$Z$11)/DATOSAÑO!$Y$11</f>
        <v>0</v>
      </c>
      <c r="AS255" s="1369">
        <f t="shared" si="11"/>
        <v>35</v>
      </c>
    </row>
    <row r="256" spans="1:45" ht="15" thickBot="1">
      <c r="A256" s="1371">
        <v>45171</v>
      </c>
      <c r="B256" s="1021">
        <v>45171</v>
      </c>
      <c r="C256" s="9">
        <f ca="1">DATOSAÑO!I255</f>
        <v>0</v>
      </c>
      <c r="D256" s="10">
        <f ca="1">DATOSAÑO!$D255</f>
        <v>0</v>
      </c>
      <c r="E256" s="189">
        <f ca="1">DATOSAÑO!$G255</f>
        <v>0</v>
      </c>
      <c r="F256" s="9">
        <f ca="1">DATOSAÑO!P255</f>
        <v>0</v>
      </c>
      <c r="G256" s="10">
        <f ca="1">DATOSAÑO!K255</f>
        <v>0</v>
      </c>
      <c r="H256" s="11">
        <f ca="1">DATOSAÑO!N255</f>
        <v>0</v>
      </c>
      <c r="I256" s="9">
        <f ca="1">DATOSAÑO!Q255</f>
        <v>0</v>
      </c>
      <c r="J256" s="11">
        <f ca="1">DATOSAÑO!R255</f>
        <v>0</v>
      </c>
      <c r="K256" s="9">
        <f ca="1">DATOSAÑO!T255</f>
        <v>0</v>
      </c>
      <c r="L256" s="11">
        <f t="shared" ca="1" si="9"/>
        <v>0</v>
      </c>
      <c r="M256" s="9"/>
      <c r="N256" s="11">
        <f t="shared" si="10"/>
        <v>0</v>
      </c>
      <c r="O256" s="9">
        <f>DATOSAÑO!CT255</f>
        <v>0</v>
      </c>
      <c r="P256" s="9">
        <f>DATOSAÑO!CU255</f>
        <v>0</v>
      </c>
      <c r="Q256" s="9">
        <f ca="1">DATOSAÑO!AD255</f>
        <v>0</v>
      </c>
      <c r="R256" s="11">
        <f ca="1">(Q256*DATOSAÑO!$Z$11)/DATOSAÑO!$Y$11</f>
        <v>0</v>
      </c>
      <c r="S256" s="9">
        <f ca="1">DATOSAÑO!AF255</f>
        <v>0</v>
      </c>
      <c r="T256" s="11">
        <f ca="1">(S256*DATOSAÑO!$Z$11)/DATOSAÑO!$Y$11</f>
        <v>0</v>
      </c>
      <c r="U256" s="9">
        <f ca="1">DATOSAÑO!AH255</f>
        <v>0</v>
      </c>
      <c r="V256" s="11">
        <f ca="1">(U256*DATOSAÑO!$Z$11)/DATOSAÑO!$Y$11</f>
        <v>0</v>
      </c>
      <c r="W256" s="9">
        <f ca="1">DATOSAÑO!AI255</f>
        <v>0</v>
      </c>
      <c r="X256" s="11">
        <f ca="1">(W256*DATOSAÑO!$Z$11)/DATOSAÑO!$Y$11</f>
        <v>0</v>
      </c>
      <c r="Y256" s="9">
        <f ca="1">DATOSAÑO!AJ255</f>
        <v>0</v>
      </c>
      <c r="Z256" s="11">
        <f ca="1">(Y256*DATOSAÑO!$Z$11)/DATOSAÑO!$Y$11</f>
        <v>0</v>
      </c>
      <c r="AA256" s="9">
        <f ca="1">DATOSAÑO!AK255</f>
        <v>0</v>
      </c>
      <c r="AB256" s="11">
        <f ca="1">(AA256*DATOSAÑO!$Z$11)/DATOSAÑO!$Y$11</f>
        <v>0</v>
      </c>
      <c r="AC256" s="9">
        <f ca="1">DATOSAÑO!AL255</f>
        <v>0</v>
      </c>
      <c r="AD256" s="11">
        <f ca="1">(AC256*DATOSAÑO!$Z$11)/DATOSAÑO!$Y$11</f>
        <v>0</v>
      </c>
      <c r="AE256" s="9">
        <f ca="1">DATOSAÑO!AM255</f>
        <v>0</v>
      </c>
      <c r="AF256" s="11">
        <f ca="1">(AE256*DATOSAÑO!$Z$11)/DATOSAÑO!$Y$11</f>
        <v>0</v>
      </c>
      <c r="AG256" s="9">
        <f ca="1">DATOSAÑO!AN255</f>
        <v>0</v>
      </c>
      <c r="AH256" s="11">
        <f ca="1">(AG256*DATOSAÑO!$Z$11)/DATOSAÑO!$Y$11</f>
        <v>0</v>
      </c>
      <c r="AI256" s="9">
        <f ca="1">DATOSAÑO!BS255</f>
        <v>0</v>
      </c>
      <c r="AJ256" s="11">
        <f ca="1">(AI256*DATOSAÑO!$Z$11)/DATOSAÑO!$Y$11</f>
        <v>0</v>
      </c>
      <c r="AK256" s="9">
        <f ca="1">DATOSAÑO!BV255</f>
        <v>0</v>
      </c>
      <c r="AL256" s="11">
        <f ca="1">(AK256*DATOSAÑO!$Z$11)/DATOSAÑO!$Y$11</f>
        <v>0</v>
      </c>
      <c r="AM256" s="9">
        <f ca="1">DATOSAÑO!BY255</f>
        <v>0</v>
      </c>
      <c r="AN256" s="11">
        <f ca="1">(AM256*DATOSAÑO!$Z$11)/DATOSAÑO!$Y$11</f>
        <v>0</v>
      </c>
      <c r="AO256" s="9">
        <f ca="1">DATOSAÑO!CF255</f>
        <v>0</v>
      </c>
      <c r="AP256" s="11">
        <f ca="1">(AO256*DATOSAÑO!$Z$11)/DATOSAÑO!$Y$11</f>
        <v>0</v>
      </c>
      <c r="AQ256" s="9">
        <f ca="1">DATOSAÑO!CL255</f>
        <v>0</v>
      </c>
      <c r="AR256" s="1300">
        <f ca="1">(AQ256*DATOSAÑO!$Z$11)/DATOSAÑO!$Y$11</f>
        <v>0</v>
      </c>
      <c r="AS256" s="1334">
        <f t="shared" si="11"/>
        <v>35</v>
      </c>
    </row>
    <row r="257" spans="1:45" ht="15" thickBot="1">
      <c r="A257" s="1371">
        <v>45172</v>
      </c>
      <c r="B257" s="1021">
        <v>45172</v>
      </c>
      <c r="C257" s="9">
        <f ca="1">DATOSAÑO!I256</f>
        <v>0</v>
      </c>
      <c r="D257" s="10">
        <f ca="1">DATOSAÑO!$D256</f>
        <v>0</v>
      </c>
      <c r="E257" s="11">
        <f ca="1">DATOSAÑO!$G256</f>
        <v>0</v>
      </c>
      <c r="F257" s="9">
        <f ca="1">DATOSAÑO!P256</f>
        <v>0</v>
      </c>
      <c r="G257" s="10">
        <f ca="1">DATOSAÑO!K256</f>
        <v>0</v>
      </c>
      <c r="H257" s="11">
        <f ca="1">DATOSAÑO!N256</f>
        <v>0</v>
      </c>
      <c r="I257" s="9">
        <f ca="1">DATOSAÑO!Q256</f>
        <v>0</v>
      </c>
      <c r="J257" s="11">
        <f ca="1">DATOSAÑO!R256</f>
        <v>0</v>
      </c>
      <c r="K257" s="9">
        <f ca="1">DATOSAÑO!T256</f>
        <v>0</v>
      </c>
      <c r="L257" s="11">
        <f t="shared" ca="1" si="9"/>
        <v>0</v>
      </c>
      <c r="M257" s="9"/>
      <c r="N257" s="11">
        <f t="shared" si="10"/>
        <v>0</v>
      </c>
      <c r="O257" s="9">
        <f>DATOSAÑO!CT256</f>
        <v>0</v>
      </c>
      <c r="P257" s="9">
        <f>DATOSAÑO!CU256</f>
        <v>0</v>
      </c>
      <c r="Q257" s="9">
        <f ca="1">DATOSAÑO!AD256</f>
        <v>0</v>
      </c>
      <c r="R257" s="11">
        <f ca="1">(Q257*DATOSAÑO!$Z$11)/DATOSAÑO!$Y$11</f>
        <v>0</v>
      </c>
      <c r="S257" s="9">
        <f ca="1">DATOSAÑO!AF256</f>
        <v>0</v>
      </c>
      <c r="T257" s="11">
        <f ca="1">(S257*DATOSAÑO!$Z$11)/DATOSAÑO!$Y$11</f>
        <v>0</v>
      </c>
      <c r="U257" s="9">
        <f ca="1">DATOSAÑO!AH256</f>
        <v>0</v>
      </c>
      <c r="V257" s="11">
        <f ca="1">(U257*DATOSAÑO!$Z$11)/DATOSAÑO!$Y$11</f>
        <v>0</v>
      </c>
      <c r="W257" s="9">
        <f ca="1">DATOSAÑO!AI256</f>
        <v>0</v>
      </c>
      <c r="X257" s="11">
        <f ca="1">(W257*DATOSAÑO!$Z$11)/DATOSAÑO!$Y$11</f>
        <v>0</v>
      </c>
      <c r="Y257" s="9">
        <f ca="1">DATOSAÑO!AJ256</f>
        <v>0</v>
      </c>
      <c r="Z257" s="11">
        <f ca="1">(Y257*DATOSAÑO!$Z$11)/DATOSAÑO!$Y$11</f>
        <v>0</v>
      </c>
      <c r="AA257" s="9">
        <f ca="1">DATOSAÑO!AK256</f>
        <v>0</v>
      </c>
      <c r="AB257" s="11">
        <f ca="1">(AA257*DATOSAÑO!$Z$11)/DATOSAÑO!$Y$11</f>
        <v>0</v>
      </c>
      <c r="AC257" s="9">
        <f ca="1">DATOSAÑO!AL256</f>
        <v>0</v>
      </c>
      <c r="AD257" s="11">
        <f ca="1">(AC257*DATOSAÑO!$Z$11)/DATOSAÑO!$Y$11</f>
        <v>0</v>
      </c>
      <c r="AE257" s="9">
        <f ca="1">DATOSAÑO!AM256</f>
        <v>0</v>
      </c>
      <c r="AF257" s="11">
        <f ca="1">(AE257*DATOSAÑO!$Z$11)/DATOSAÑO!$Y$11</f>
        <v>0</v>
      </c>
      <c r="AG257" s="9">
        <f ca="1">DATOSAÑO!AN256</f>
        <v>0</v>
      </c>
      <c r="AH257" s="11">
        <f ca="1">(AG257*DATOSAÑO!$Z$11)/DATOSAÑO!$Y$11</f>
        <v>0</v>
      </c>
      <c r="AI257" s="9">
        <f ca="1">DATOSAÑO!BS256</f>
        <v>0</v>
      </c>
      <c r="AJ257" s="11">
        <f ca="1">(AI257*DATOSAÑO!$Z$11)/DATOSAÑO!$Y$11</f>
        <v>0</v>
      </c>
      <c r="AK257" s="9">
        <f ca="1">DATOSAÑO!BV256</f>
        <v>0</v>
      </c>
      <c r="AL257" s="11">
        <f ca="1">(AK257*DATOSAÑO!$Z$11)/DATOSAÑO!$Y$11</f>
        <v>0</v>
      </c>
      <c r="AM257" s="9">
        <f ca="1">DATOSAÑO!BY256</f>
        <v>0</v>
      </c>
      <c r="AN257" s="11">
        <f ca="1">(AM257*DATOSAÑO!$Z$11)/DATOSAÑO!$Y$11</f>
        <v>0</v>
      </c>
      <c r="AO257" s="9">
        <f ca="1">DATOSAÑO!CF256</f>
        <v>0</v>
      </c>
      <c r="AP257" s="11">
        <f ca="1">(AO257*DATOSAÑO!$Z$11)/DATOSAÑO!$Y$11</f>
        <v>0</v>
      </c>
      <c r="AQ257" s="9">
        <f ca="1">DATOSAÑO!CL256</f>
        <v>0</v>
      </c>
      <c r="AR257" s="1300">
        <f ca="1">(AQ257*DATOSAÑO!$Z$11)/DATOSAÑO!$Y$11</f>
        <v>0</v>
      </c>
      <c r="AS257" s="1334">
        <f t="shared" si="11"/>
        <v>36</v>
      </c>
    </row>
    <row r="258" spans="1:45" ht="15" thickBot="1">
      <c r="A258" s="1371">
        <v>45173</v>
      </c>
      <c r="B258" s="1021">
        <v>45173</v>
      </c>
      <c r="C258" s="9">
        <f ca="1">DATOSAÑO!I257</f>
        <v>0</v>
      </c>
      <c r="D258" s="10">
        <f ca="1">DATOSAÑO!$D257</f>
        <v>0</v>
      </c>
      <c r="E258" s="11">
        <f ca="1">DATOSAÑO!$G257</f>
        <v>0</v>
      </c>
      <c r="F258" s="9">
        <f ca="1">DATOSAÑO!P257</f>
        <v>0</v>
      </c>
      <c r="G258" s="10">
        <f ca="1">DATOSAÑO!K257</f>
        <v>0</v>
      </c>
      <c r="H258" s="11">
        <f ca="1">DATOSAÑO!N257</f>
        <v>0</v>
      </c>
      <c r="I258" s="9">
        <f ca="1">DATOSAÑO!Q257</f>
        <v>0</v>
      </c>
      <c r="J258" s="11">
        <f ca="1">DATOSAÑO!R257</f>
        <v>0</v>
      </c>
      <c r="K258" s="9">
        <f ca="1">DATOSAÑO!T257</f>
        <v>0</v>
      </c>
      <c r="L258" s="11">
        <f t="shared" ca="1" si="9"/>
        <v>0</v>
      </c>
      <c r="M258" s="9"/>
      <c r="N258" s="11">
        <f t="shared" si="10"/>
        <v>0</v>
      </c>
      <c r="O258" s="9">
        <f>DATOSAÑO!CT257</f>
        <v>0</v>
      </c>
      <c r="P258" s="9">
        <f>DATOSAÑO!CU257</f>
        <v>0</v>
      </c>
      <c r="Q258" s="9">
        <f ca="1">DATOSAÑO!AD257</f>
        <v>0</v>
      </c>
      <c r="R258" s="11">
        <f ca="1">(Q258*DATOSAÑO!$Z$11)/DATOSAÑO!$Y$11</f>
        <v>0</v>
      </c>
      <c r="S258" s="9">
        <f ca="1">DATOSAÑO!AF257</f>
        <v>0</v>
      </c>
      <c r="T258" s="11">
        <f ca="1">(S258*DATOSAÑO!$Z$11)/DATOSAÑO!$Y$11</f>
        <v>0</v>
      </c>
      <c r="U258" s="9">
        <f ca="1">DATOSAÑO!AH257</f>
        <v>0</v>
      </c>
      <c r="V258" s="11">
        <f ca="1">(U258*DATOSAÑO!$Z$11)/DATOSAÑO!$Y$11</f>
        <v>0</v>
      </c>
      <c r="W258" s="9">
        <f ca="1">DATOSAÑO!AI257</f>
        <v>0</v>
      </c>
      <c r="X258" s="11">
        <f ca="1">(W258*DATOSAÑO!$Z$11)/DATOSAÑO!$Y$11</f>
        <v>0</v>
      </c>
      <c r="Y258" s="9">
        <f ca="1">DATOSAÑO!AJ257</f>
        <v>0</v>
      </c>
      <c r="Z258" s="11">
        <f ca="1">(Y258*DATOSAÑO!$Z$11)/DATOSAÑO!$Y$11</f>
        <v>0</v>
      </c>
      <c r="AA258" s="9">
        <f ca="1">DATOSAÑO!AK257</f>
        <v>0</v>
      </c>
      <c r="AB258" s="11">
        <f ca="1">(AA258*DATOSAÑO!$Z$11)/DATOSAÑO!$Y$11</f>
        <v>0</v>
      </c>
      <c r="AC258" s="9">
        <f ca="1">DATOSAÑO!AL257</f>
        <v>0</v>
      </c>
      <c r="AD258" s="11">
        <f ca="1">(AC258*DATOSAÑO!$Z$11)/DATOSAÑO!$Y$11</f>
        <v>0</v>
      </c>
      <c r="AE258" s="9">
        <f ca="1">DATOSAÑO!AM257</f>
        <v>0</v>
      </c>
      <c r="AF258" s="11">
        <f ca="1">(AE258*DATOSAÑO!$Z$11)/DATOSAÑO!$Y$11</f>
        <v>0</v>
      </c>
      <c r="AG258" s="9">
        <f ca="1">DATOSAÑO!AN257</f>
        <v>0</v>
      </c>
      <c r="AH258" s="11">
        <f ca="1">(AG258*DATOSAÑO!$Z$11)/DATOSAÑO!$Y$11</f>
        <v>0</v>
      </c>
      <c r="AI258" s="9">
        <f ca="1">DATOSAÑO!BS257</f>
        <v>0</v>
      </c>
      <c r="AJ258" s="11">
        <f ca="1">(AI258*DATOSAÑO!$Z$11)/DATOSAÑO!$Y$11</f>
        <v>0</v>
      </c>
      <c r="AK258" s="9">
        <f ca="1">DATOSAÑO!BV257</f>
        <v>0</v>
      </c>
      <c r="AL258" s="11">
        <f ca="1">(AK258*DATOSAÑO!$Z$11)/DATOSAÑO!$Y$11</f>
        <v>0</v>
      </c>
      <c r="AM258" s="9">
        <f ca="1">DATOSAÑO!BY257</f>
        <v>0</v>
      </c>
      <c r="AN258" s="11">
        <f ca="1">(AM258*DATOSAÑO!$Z$11)/DATOSAÑO!$Y$11</f>
        <v>0</v>
      </c>
      <c r="AO258" s="9">
        <f ca="1">DATOSAÑO!CF257</f>
        <v>0</v>
      </c>
      <c r="AP258" s="11">
        <f ca="1">(AO258*DATOSAÑO!$Z$11)/DATOSAÑO!$Y$11</f>
        <v>0</v>
      </c>
      <c r="AQ258" s="9">
        <f ca="1">DATOSAÑO!CL257</f>
        <v>0</v>
      </c>
      <c r="AR258" s="1300">
        <f ca="1">(AQ258*DATOSAÑO!$Z$11)/DATOSAÑO!$Y$11</f>
        <v>0</v>
      </c>
      <c r="AS258" s="1334">
        <f t="shared" si="11"/>
        <v>36</v>
      </c>
    </row>
    <row r="259" spans="1:45" ht="15" thickBot="1">
      <c r="A259" s="1371">
        <v>45174</v>
      </c>
      <c r="B259" s="1021">
        <v>45174</v>
      </c>
      <c r="C259" s="9">
        <f ca="1">DATOSAÑO!I258</f>
        <v>0</v>
      </c>
      <c r="D259" s="10">
        <f ca="1">DATOSAÑO!$D258</f>
        <v>0</v>
      </c>
      <c r="E259" s="11">
        <f ca="1">DATOSAÑO!$G258</f>
        <v>0</v>
      </c>
      <c r="F259" s="9">
        <f ca="1">DATOSAÑO!P258</f>
        <v>0</v>
      </c>
      <c r="G259" s="10">
        <f ca="1">DATOSAÑO!K258</f>
        <v>0</v>
      </c>
      <c r="H259" s="11">
        <f ca="1">DATOSAÑO!N258</f>
        <v>0</v>
      </c>
      <c r="I259" s="9">
        <f ca="1">DATOSAÑO!Q258</f>
        <v>0</v>
      </c>
      <c r="J259" s="11">
        <f ca="1">DATOSAÑO!R258</f>
        <v>0</v>
      </c>
      <c r="K259" s="9">
        <f ca="1">DATOSAÑO!T258</f>
        <v>0</v>
      </c>
      <c r="L259" s="11">
        <f t="shared" ca="1" si="9"/>
        <v>0</v>
      </c>
      <c r="M259" s="9"/>
      <c r="N259" s="11">
        <f t="shared" si="10"/>
        <v>0</v>
      </c>
      <c r="O259" s="9">
        <f>DATOSAÑO!CT258</f>
        <v>0</v>
      </c>
      <c r="P259" s="9">
        <f>DATOSAÑO!CU258</f>
        <v>0</v>
      </c>
      <c r="Q259" s="9">
        <f ca="1">DATOSAÑO!AD258</f>
        <v>0</v>
      </c>
      <c r="R259" s="11">
        <f ca="1">(Q259*DATOSAÑO!$Z$11)/DATOSAÑO!$Y$11</f>
        <v>0</v>
      </c>
      <c r="S259" s="9">
        <f ca="1">DATOSAÑO!AF258</f>
        <v>0</v>
      </c>
      <c r="T259" s="11">
        <f ca="1">(S259*DATOSAÑO!$Z$11)/DATOSAÑO!$Y$11</f>
        <v>0</v>
      </c>
      <c r="U259" s="9">
        <f ca="1">DATOSAÑO!AH258</f>
        <v>0</v>
      </c>
      <c r="V259" s="11">
        <f ca="1">(U259*DATOSAÑO!$Z$11)/DATOSAÑO!$Y$11</f>
        <v>0</v>
      </c>
      <c r="W259" s="9">
        <f ca="1">DATOSAÑO!AI258</f>
        <v>0</v>
      </c>
      <c r="X259" s="11">
        <f ca="1">(W259*DATOSAÑO!$Z$11)/DATOSAÑO!$Y$11</f>
        <v>0</v>
      </c>
      <c r="Y259" s="9">
        <f ca="1">DATOSAÑO!AJ258</f>
        <v>0</v>
      </c>
      <c r="Z259" s="11">
        <f ca="1">(Y259*DATOSAÑO!$Z$11)/DATOSAÑO!$Y$11</f>
        <v>0</v>
      </c>
      <c r="AA259" s="9">
        <f ca="1">DATOSAÑO!AK258</f>
        <v>0</v>
      </c>
      <c r="AB259" s="11">
        <f ca="1">(AA259*DATOSAÑO!$Z$11)/DATOSAÑO!$Y$11</f>
        <v>0</v>
      </c>
      <c r="AC259" s="9">
        <f ca="1">DATOSAÑO!AL258</f>
        <v>0</v>
      </c>
      <c r="AD259" s="11">
        <f ca="1">(AC259*DATOSAÑO!$Z$11)/DATOSAÑO!$Y$11</f>
        <v>0</v>
      </c>
      <c r="AE259" s="9">
        <f ca="1">DATOSAÑO!AM258</f>
        <v>0</v>
      </c>
      <c r="AF259" s="11">
        <f ca="1">(AE259*DATOSAÑO!$Z$11)/DATOSAÑO!$Y$11</f>
        <v>0</v>
      </c>
      <c r="AG259" s="9">
        <f ca="1">DATOSAÑO!AN258</f>
        <v>0</v>
      </c>
      <c r="AH259" s="11">
        <f ca="1">(AG259*DATOSAÑO!$Z$11)/DATOSAÑO!$Y$11</f>
        <v>0</v>
      </c>
      <c r="AI259" s="9">
        <f ca="1">DATOSAÑO!BS258</f>
        <v>0</v>
      </c>
      <c r="AJ259" s="11">
        <f ca="1">(AI259*DATOSAÑO!$Z$11)/DATOSAÑO!$Y$11</f>
        <v>0</v>
      </c>
      <c r="AK259" s="9">
        <f ca="1">DATOSAÑO!BV258</f>
        <v>0</v>
      </c>
      <c r="AL259" s="11">
        <f ca="1">(AK259*DATOSAÑO!$Z$11)/DATOSAÑO!$Y$11</f>
        <v>0</v>
      </c>
      <c r="AM259" s="9">
        <f ca="1">DATOSAÑO!BY258</f>
        <v>0</v>
      </c>
      <c r="AN259" s="11">
        <f ca="1">(AM259*DATOSAÑO!$Z$11)/DATOSAÑO!$Y$11</f>
        <v>0</v>
      </c>
      <c r="AO259" s="9">
        <f ca="1">DATOSAÑO!CF258</f>
        <v>0</v>
      </c>
      <c r="AP259" s="11">
        <f ca="1">(AO259*DATOSAÑO!$Z$11)/DATOSAÑO!$Y$11</f>
        <v>0</v>
      </c>
      <c r="AQ259" s="9">
        <f ca="1">DATOSAÑO!CL258</f>
        <v>0</v>
      </c>
      <c r="AR259" s="1300">
        <f ca="1">(AQ259*DATOSAÑO!$Z$11)/DATOSAÑO!$Y$11</f>
        <v>0</v>
      </c>
      <c r="AS259" s="1334">
        <f t="shared" si="11"/>
        <v>36</v>
      </c>
    </row>
    <row r="260" spans="1:45" ht="15" thickBot="1">
      <c r="A260" s="1371">
        <v>45175</v>
      </c>
      <c r="B260" s="1021">
        <v>45175</v>
      </c>
      <c r="C260" s="9">
        <f ca="1">DATOSAÑO!I259</f>
        <v>0</v>
      </c>
      <c r="D260" s="10">
        <f ca="1">DATOSAÑO!$D259</f>
        <v>0</v>
      </c>
      <c r="E260" s="11">
        <f ca="1">DATOSAÑO!$G259</f>
        <v>0</v>
      </c>
      <c r="F260" s="9">
        <f ca="1">DATOSAÑO!P259</f>
        <v>0</v>
      </c>
      <c r="G260" s="10">
        <f ca="1">DATOSAÑO!K259</f>
        <v>0</v>
      </c>
      <c r="H260" s="11">
        <f ca="1">DATOSAÑO!N259</f>
        <v>0</v>
      </c>
      <c r="I260" s="9">
        <f ca="1">DATOSAÑO!Q259</f>
        <v>0</v>
      </c>
      <c r="J260" s="11">
        <f ca="1">DATOSAÑO!R259</f>
        <v>0</v>
      </c>
      <c r="K260" s="9">
        <f ca="1">DATOSAÑO!T259</f>
        <v>0</v>
      </c>
      <c r="L260" s="11">
        <f t="shared" ca="1" si="9"/>
        <v>0</v>
      </c>
      <c r="M260" s="9"/>
      <c r="N260" s="11">
        <f t="shared" si="10"/>
        <v>0</v>
      </c>
      <c r="O260" s="9">
        <f>DATOSAÑO!CT259</f>
        <v>0</v>
      </c>
      <c r="P260" s="9">
        <f>DATOSAÑO!CU259</f>
        <v>0</v>
      </c>
      <c r="Q260" s="9">
        <f ca="1">DATOSAÑO!AD259</f>
        <v>0</v>
      </c>
      <c r="R260" s="11">
        <f ca="1">(Q260*DATOSAÑO!$Z$11)/DATOSAÑO!$Y$11</f>
        <v>0</v>
      </c>
      <c r="S260" s="9">
        <f ca="1">DATOSAÑO!AF259</f>
        <v>0</v>
      </c>
      <c r="T260" s="11">
        <f ca="1">(S260*DATOSAÑO!$Z$11)/DATOSAÑO!$Y$11</f>
        <v>0</v>
      </c>
      <c r="U260" s="9">
        <f ca="1">DATOSAÑO!AH259</f>
        <v>0</v>
      </c>
      <c r="V260" s="11">
        <f ca="1">(U260*DATOSAÑO!$Z$11)/DATOSAÑO!$Y$11</f>
        <v>0</v>
      </c>
      <c r="W260" s="9">
        <f ca="1">DATOSAÑO!AI259</f>
        <v>0</v>
      </c>
      <c r="X260" s="11">
        <f ca="1">(W260*DATOSAÑO!$Z$11)/DATOSAÑO!$Y$11</f>
        <v>0</v>
      </c>
      <c r="Y260" s="9">
        <f ca="1">DATOSAÑO!AJ259</f>
        <v>0</v>
      </c>
      <c r="Z260" s="11">
        <f ca="1">(Y260*DATOSAÑO!$Z$11)/DATOSAÑO!$Y$11</f>
        <v>0</v>
      </c>
      <c r="AA260" s="9">
        <f ca="1">DATOSAÑO!AK259</f>
        <v>0</v>
      </c>
      <c r="AB260" s="11">
        <f ca="1">(AA260*DATOSAÑO!$Z$11)/DATOSAÑO!$Y$11</f>
        <v>0</v>
      </c>
      <c r="AC260" s="9">
        <f ca="1">DATOSAÑO!AL259</f>
        <v>0</v>
      </c>
      <c r="AD260" s="11">
        <f ca="1">(AC260*DATOSAÑO!$Z$11)/DATOSAÑO!$Y$11</f>
        <v>0</v>
      </c>
      <c r="AE260" s="9">
        <f ca="1">DATOSAÑO!AM259</f>
        <v>0</v>
      </c>
      <c r="AF260" s="11">
        <f ca="1">(AE260*DATOSAÑO!$Z$11)/DATOSAÑO!$Y$11</f>
        <v>0</v>
      </c>
      <c r="AG260" s="9">
        <f ca="1">DATOSAÑO!AN259</f>
        <v>0</v>
      </c>
      <c r="AH260" s="11">
        <f ca="1">(AG260*DATOSAÑO!$Z$11)/DATOSAÑO!$Y$11</f>
        <v>0</v>
      </c>
      <c r="AI260" s="9">
        <f ca="1">DATOSAÑO!BS259</f>
        <v>0</v>
      </c>
      <c r="AJ260" s="11">
        <f ca="1">(AI260*DATOSAÑO!$Z$11)/DATOSAÑO!$Y$11</f>
        <v>0</v>
      </c>
      <c r="AK260" s="9">
        <f ca="1">DATOSAÑO!BV259</f>
        <v>0</v>
      </c>
      <c r="AL260" s="11">
        <f ca="1">(AK260*DATOSAÑO!$Z$11)/DATOSAÑO!$Y$11</f>
        <v>0</v>
      </c>
      <c r="AM260" s="9">
        <f ca="1">DATOSAÑO!BY259</f>
        <v>0</v>
      </c>
      <c r="AN260" s="11">
        <f ca="1">(AM260*DATOSAÑO!$Z$11)/DATOSAÑO!$Y$11</f>
        <v>0</v>
      </c>
      <c r="AO260" s="9">
        <f ca="1">DATOSAÑO!CF259</f>
        <v>0</v>
      </c>
      <c r="AP260" s="11">
        <f ca="1">(AO260*DATOSAÑO!$Z$11)/DATOSAÑO!$Y$11</f>
        <v>0</v>
      </c>
      <c r="AQ260" s="9">
        <f ca="1">DATOSAÑO!CL259</f>
        <v>0</v>
      </c>
      <c r="AR260" s="1300">
        <f ca="1">(AQ260*DATOSAÑO!$Z$11)/DATOSAÑO!$Y$11</f>
        <v>0</v>
      </c>
      <c r="AS260" s="1334">
        <f t="shared" si="11"/>
        <v>36</v>
      </c>
    </row>
    <row r="261" spans="1:45" ht="15" thickBot="1">
      <c r="A261" s="1371">
        <v>45176</v>
      </c>
      <c r="B261" s="1021">
        <v>45176</v>
      </c>
      <c r="C261" s="9">
        <f ca="1">DATOSAÑO!I260</f>
        <v>0</v>
      </c>
      <c r="D261" s="10">
        <f ca="1">DATOSAÑO!$D260</f>
        <v>0</v>
      </c>
      <c r="E261" s="11">
        <f ca="1">DATOSAÑO!$G260</f>
        <v>0</v>
      </c>
      <c r="F261" s="9">
        <f ca="1">DATOSAÑO!P260</f>
        <v>0</v>
      </c>
      <c r="G261" s="10">
        <f ca="1">DATOSAÑO!K260</f>
        <v>0</v>
      </c>
      <c r="H261" s="11">
        <f ca="1">DATOSAÑO!N260</f>
        <v>0</v>
      </c>
      <c r="I261" s="9">
        <f ca="1">DATOSAÑO!Q260</f>
        <v>0</v>
      </c>
      <c r="J261" s="11">
        <f ca="1">DATOSAÑO!R260</f>
        <v>0</v>
      </c>
      <c r="K261" s="9">
        <f ca="1">DATOSAÑO!T260</f>
        <v>0</v>
      </c>
      <c r="L261" s="11">
        <f t="shared" ca="1" si="9"/>
        <v>0</v>
      </c>
      <c r="M261" s="9"/>
      <c r="N261" s="11">
        <f t="shared" si="10"/>
        <v>0</v>
      </c>
      <c r="O261" s="9">
        <f>DATOSAÑO!CT260</f>
        <v>0</v>
      </c>
      <c r="P261" s="9">
        <f>DATOSAÑO!CU260</f>
        <v>0</v>
      </c>
      <c r="Q261" s="9">
        <f ca="1">DATOSAÑO!AD260</f>
        <v>0</v>
      </c>
      <c r="R261" s="11">
        <f ca="1">(Q261*DATOSAÑO!$Z$11)/DATOSAÑO!$Y$11</f>
        <v>0</v>
      </c>
      <c r="S261" s="9">
        <f ca="1">DATOSAÑO!AF260</f>
        <v>0</v>
      </c>
      <c r="T261" s="11">
        <f ca="1">(S261*DATOSAÑO!$Z$11)/DATOSAÑO!$Y$11</f>
        <v>0</v>
      </c>
      <c r="U261" s="9">
        <f ca="1">DATOSAÑO!AH260</f>
        <v>0</v>
      </c>
      <c r="V261" s="11">
        <f ca="1">(U261*DATOSAÑO!$Z$11)/DATOSAÑO!$Y$11</f>
        <v>0</v>
      </c>
      <c r="W261" s="9">
        <f ca="1">DATOSAÑO!AI260</f>
        <v>0</v>
      </c>
      <c r="X261" s="11">
        <f ca="1">(W261*DATOSAÑO!$Z$11)/DATOSAÑO!$Y$11</f>
        <v>0</v>
      </c>
      <c r="Y261" s="9">
        <f ca="1">DATOSAÑO!AJ260</f>
        <v>0</v>
      </c>
      <c r="Z261" s="11">
        <f ca="1">(Y261*DATOSAÑO!$Z$11)/DATOSAÑO!$Y$11</f>
        <v>0</v>
      </c>
      <c r="AA261" s="9">
        <f ca="1">DATOSAÑO!AK260</f>
        <v>0</v>
      </c>
      <c r="AB261" s="11">
        <f ca="1">(AA261*DATOSAÑO!$Z$11)/DATOSAÑO!$Y$11</f>
        <v>0</v>
      </c>
      <c r="AC261" s="9">
        <f ca="1">DATOSAÑO!AL260</f>
        <v>0</v>
      </c>
      <c r="AD261" s="11">
        <f ca="1">(AC261*DATOSAÑO!$Z$11)/DATOSAÑO!$Y$11</f>
        <v>0</v>
      </c>
      <c r="AE261" s="9">
        <f ca="1">DATOSAÑO!AM260</f>
        <v>0</v>
      </c>
      <c r="AF261" s="11">
        <f ca="1">(AE261*DATOSAÑO!$Z$11)/DATOSAÑO!$Y$11</f>
        <v>0</v>
      </c>
      <c r="AG261" s="9">
        <f ca="1">DATOSAÑO!AN260</f>
        <v>0</v>
      </c>
      <c r="AH261" s="11">
        <f ca="1">(AG261*DATOSAÑO!$Z$11)/DATOSAÑO!$Y$11</f>
        <v>0</v>
      </c>
      <c r="AI261" s="9">
        <f ca="1">DATOSAÑO!BS260</f>
        <v>0</v>
      </c>
      <c r="AJ261" s="11">
        <f ca="1">(AI261*DATOSAÑO!$Z$11)/DATOSAÑO!$Y$11</f>
        <v>0</v>
      </c>
      <c r="AK261" s="9">
        <f ca="1">DATOSAÑO!BV260</f>
        <v>0</v>
      </c>
      <c r="AL261" s="11">
        <f ca="1">(AK261*DATOSAÑO!$Z$11)/DATOSAÑO!$Y$11</f>
        <v>0</v>
      </c>
      <c r="AM261" s="9">
        <f ca="1">DATOSAÑO!BY260</f>
        <v>0</v>
      </c>
      <c r="AN261" s="11">
        <f ca="1">(AM261*DATOSAÑO!$Z$11)/DATOSAÑO!$Y$11</f>
        <v>0</v>
      </c>
      <c r="AO261" s="9">
        <f ca="1">DATOSAÑO!CF260</f>
        <v>0</v>
      </c>
      <c r="AP261" s="11">
        <f ca="1">(AO261*DATOSAÑO!$Z$11)/DATOSAÑO!$Y$11</f>
        <v>0</v>
      </c>
      <c r="AQ261" s="9">
        <f ca="1">DATOSAÑO!CL260</f>
        <v>0</v>
      </c>
      <c r="AR261" s="1300">
        <f ca="1">(AQ261*DATOSAÑO!$Z$11)/DATOSAÑO!$Y$11</f>
        <v>0</v>
      </c>
      <c r="AS261" s="1334">
        <f t="shared" si="11"/>
        <v>36</v>
      </c>
    </row>
    <row r="262" spans="1:45" ht="15" thickBot="1">
      <c r="A262" s="1371">
        <v>45177</v>
      </c>
      <c r="B262" s="1021">
        <v>45177</v>
      </c>
      <c r="C262" s="9">
        <f ca="1">DATOSAÑO!I261</f>
        <v>0</v>
      </c>
      <c r="D262" s="10">
        <f ca="1">DATOSAÑO!$D261</f>
        <v>0</v>
      </c>
      <c r="E262" s="11">
        <f ca="1">DATOSAÑO!$G261</f>
        <v>0</v>
      </c>
      <c r="F262" s="9">
        <f ca="1">DATOSAÑO!P261</f>
        <v>0</v>
      </c>
      <c r="G262" s="10">
        <f ca="1">DATOSAÑO!K261</f>
        <v>0</v>
      </c>
      <c r="H262" s="11">
        <f ca="1">DATOSAÑO!N261</f>
        <v>0</v>
      </c>
      <c r="I262" s="9">
        <f ca="1">DATOSAÑO!Q261</f>
        <v>0</v>
      </c>
      <c r="J262" s="11">
        <f ca="1">DATOSAÑO!R261</f>
        <v>0</v>
      </c>
      <c r="K262" s="9">
        <f ca="1">DATOSAÑO!T261</f>
        <v>0</v>
      </c>
      <c r="L262" s="11">
        <f t="shared" ca="1" si="9"/>
        <v>0</v>
      </c>
      <c r="M262" s="9"/>
      <c r="N262" s="11">
        <f t="shared" si="10"/>
        <v>0</v>
      </c>
      <c r="O262" s="9">
        <f>DATOSAÑO!CT261</f>
        <v>0</v>
      </c>
      <c r="P262" s="9">
        <f>DATOSAÑO!CU261</f>
        <v>0</v>
      </c>
      <c r="Q262" s="9">
        <f ca="1">DATOSAÑO!AD261</f>
        <v>0</v>
      </c>
      <c r="R262" s="11">
        <f ca="1">(Q262*DATOSAÑO!$Z$11)/DATOSAÑO!$Y$11</f>
        <v>0</v>
      </c>
      <c r="S262" s="9">
        <f ca="1">DATOSAÑO!AF261</f>
        <v>0</v>
      </c>
      <c r="T262" s="11">
        <f ca="1">(S262*DATOSAÑO!$Z$11)/DATOSAÑO!$Y$11</f>
        <v>0</v>
      </c>
      <c r="U262" s="9">
        <f ca="1">DATOSAÑO!AH261</f>
        <v>0</v>
      </c>
      <c r="V262" s="11">
        <f ca="1">(U262*DATOSAÑO!$Z$11)/DATOSAÑO!$Y$11</f>
        <v>0</v>
      </c>
      <c r="W262" s="9">
        <f ca="1">DATOSAÑO!AI261</f>
        <v>0</v>
      </c>
      <c r="X262" s="11">
        <f ca="1">(W262*DATOSAÑO!$Z$11)/DATOSAÑO!$Y$11</f>
        <v>0</v>
      </c>
      <c r="Y262" s="9">
        <f ca="1">DATOSAÑO!AJ261</f>
        <v>0</v>
      </c>
      <c r="Z262" s="11">
        <f ca="1">(Y262*DATOSAÑO!$Z$11)/DATOSAÑO!$Y$11</f>
        <v>0</v>
      </c>
      <c r="AA262" s="9">
        <f ca="1">DATOSAÑO!AK261</f>
        <v>0</v>
      </c>
      <c r="AB262" s="11">
        <f ca="1">(AA262*DATOSAÑO!$Z$11)/DATOSAÑO!$Y$11</f>
        <v>0</v>
      </c>
      <c r="AC262" s="9">
        <f ca="1">DATOSAÑO!AL261</f>
        <v>0</v>
      </c>
      <c r="AD262" s="11">
        <f ca="1">(AC262*DATOSAÑO!$Z$11)/DATOSAÑO!$Y$11</f>
        <v>0</v>
      </c>
      <c r="AE262" s="9">
        <f ca="1">DATOSAÑO!AM261</f>
        <v>0</v>
      </c>
      <c r="AF262" s="11">
        <f ca="1">(AE262*DATOSAÑO!$Z$11)/DATOSAÑO!$Y$11</f>
        <v>0</v>
      </c>
      <c r="AG262" s="9">
        <f ca="1">DATOSAÑO!AN261</f>
        <v>0</v>
      </c>
      <c r="AH262" s="11">
        <f ca="1">(AG262*DATOSAÑO!$Z$11)/DATOSAÑO!$Y$11</f>
        <v>0</v>
      </c>
      <c r="AI262" s="9">
        <f ca="1">DATOSAÑO!BS261</f>
        <v>0</v>
      </c>
      <c r="AJ262" s="11">
        <f ca="1">(AI262*DATOSAÑO!$Z$11)/DATOSAÑO!$Y$11</f>
        <v>0</v>
      </c>
      <c r="AK262" s="9">
        <f ca="1">DATOSAÑO!BV261</f>
        <v>0</v>
      </c>
      <c r="AL262" s="11">
        <f ca="1">(AK262*DATOSAÑO!$Z$11)/DATOSAÑO!$Y$11</f>
        <v>0</v>
      </c>
      <c r="AM262" s="9">
        <f ca="1">DATOSAÑO!BY261</f>
        <v>0</v>
      </c>
      <c r="AN262" s="11">
        <f ca="1">(AM262*DATOSAÑO!$Z$11)/DATOSAÑO!$Y$11</f>
        <v>0</v>
      </c>
      <c r="AO262" s="9">
        <f ca="1">DATOSAÑO!CF261</f>
        <v>0</v>
      </c>
      <c r="AP262" s="11">
        <f ca="1">(AO262*DATOSAÑO!$Z$11)/DATOSAÑO!$Y$11</f>
        <v>0</v>
      </c>
      <c r="AQ262" s="9">
        <f ca="1">DATOSAÑO!CL261</f>
        <v>0</v>
      </c>
      <c r="AR262" s="1300">
        <f ca="1">(AQ262*DATOSAÑO!$Z$11)/DATOSAÑO!$Y$11</f>
        <v>0</v>
      </c>
      <c r="AS262" s="1334">
        <f t="shared" si="11"/>
        <v>36</v>
      </c>
    </row>
    <row r="263" spans="1:45" ht="15" thickBot="1">
      <c r="A263" s="1371">
        <v>45178</v>
      </c>
      <c r="B263" s="1021">
        <v>45178</v>
      </c>
      <c r="C263" s="9">
        <f ca="1">DATOSAÑO!I262</f>
        <v>0</v>
      </c>
      <c r="D263" s="10">
        <f ca="1">DATOSAÑO!$D262</f>
        <v>0</v>
      </c>
      <c r="E263" s="11">
        <f ca="1">DATOSAÑO!$G262</f>
        <v>0</v>
      </c>
      <c r="F263" s="9">
        <f ca="1">DATOSAÑO!P262</f>
        <v>0</v>
      </c>
      <c r="G263" s="10">
        <f ca="1">DATOSAÑO!K262</f>
        <v>0</v>
      </c>
      <c r="H263" s="11">
        <f ca="1">DATOSAÑO!N262</f>
        <v>0</v>
      </c>
      <c r="I263" s="9">
        <f ca="1">DATOSAÑO!Q262</f>
        <v>0</v>
      </c>
      <c r="J263" s="11">
        <f ca="1">DATOSAÑO!R262</f>
        <v>0</v>
      </c>
      <c r="K263" s="9">
        <f ca="1">DATOSAÑO!T262</f>
        <v>0</v>
      </c>
      <c r="L263" s="11">
        <f t="shared" ca="1" si="9"/>
        <v>0</v>
      </c>
      <c r="M263" s="9"/>
      <c r="N263" s="11">
        <f t="shared" si="10"/>
        <v>0</v>
      </c>
      <c r="O263" s="9">
        <f>DATOSAÑO!CT262</f>
        <v>0</v>
      </c>
      <c r="P263" s="9">
        <f>DATOSAÑO!CU262</f>
        <v>0</v>
      </c>
      <c r="Q263" s="9">
        <f ca="1">DATOSAÑO!AD262</f>
        <v>0</v>
      </c>
      <c r="R263" s="11">
        <f ca="1">(Q263*DATOSAÑO!$Z$11)/DATOSAÑO!$Y$11</f>
        <v>0</v>
      </c>
      <c r="S263" s="9">
        <f ca="1">DATOSAÑO!AF262</f>
        <v>0</v>
      </c>
      <c r="T263" s="11">
        <f ca="1">(S263*DATOSAÑO!$Z$11)/DATOSAÑO!$Y$11</f>
        <v>0</v>
      </c>
      <c r="U263" s="9">
        <f ca="1">DATOSAÑO!AH262</f>
        <v>0</v>
      </c>
      <c r="V263" s="11">
        <f ca="1">(U263*DATOSAÑO!$Z$11)/DATOSAÑO!$Y$11</f>
        <v>0</v>
      </c>
      <c r="W263" s="9">
        <f ca="1">DATOSAÑO!AI262</f>
        <v>0</v>
      </c>
      <c r="X263" s="11">
        <f ca="1">(W263*DATOSAÑO!$Z$11)/DATOSAÑO!$Y$11</f>
        <v>0</v>
      </c>
      <c r="Y263" s="9">
        <f ca="1">DATOSAÑO!AJ262</f>
        <v>0</v>
      </c>
      <c r="Z263" s="11">
        <f ca="1">(Y263*DATOSAÑO!$Z$11)/DATOSAÑO!$Y$11</f>
        <v>0</v>
      </c>
      <c r="AA263" s="9">
        <f ca="1">DATOSAÑO!AK262</f>
        <v>0</v>
      </c>
      <c r="AB263" s="11">
        <f ca="1">(AA263*DATOSAÑO!$Z$11)/DATOSAÑO!$Y$11</f>
        <v>0</v>
      </c>
      <c r="AC263" s="9">
        <f ca="1">DATOSAÑO!AL262</f>
        <v>0</v>
      </c>
      <c r="AD263" s="11">
        <f ca="1">(AC263*DATOSAÑO!$Z$11)/DATOSAÑO!$Y$11</f>
        <v>0</v>
      </c>
      <c r="AE263" s="9">
        <f ca="1">DATOSAÑO!AM262</f>
        <v>0</v>
      </c>
      <c r="AF263" s="11">
        <f ca="1">(AE263*DATOSAÑO!$Z$11)/DATOSAÑO!$Y$11</f>
        <v>0</v>
      </c>
      <c r="AG263" s="9">
        <f ca="1">DATOSAÑO!AN262</f>
        <v>0</v>
      </c>
      <c r="AH263" s="11">
        <f ca="1">(AG263*DATOSAÑO!$Z$11)/DATOSAÑO!$Y$11</f>
        <v>0</v>
      </c>
      <c r="AI263" s="9">
        <f ca="1">DATOSAÑO!BS262</f>
        <v>0</v>
      </c>
      <c r="AJ263" s="11">
        <f ca="1">(AI263*DATOSAÑO!$Z$11)/DATOSAÑO!$Y$11</f>
        <v>0</v>
      </c>
      <c r="AK263" s="9">
        <f ca="1">DATOSAÑO!BV262</f>
        <v>0</v>
      </c>
      <c r="AL263" s="11">
        <f ca="1">(AK263*DATOSAÑO!$Z$11)/DATOSAÑO!$Y$11</f>
        <v>0</v>
      </c>
      <c r="AM263" s="9">
        <f ca="1">DATOSAÑO!BY262</f>
        <v>0</v>
      </c>
      <c r="AN263" s="11">
        <f ca="1">(AM263*DATOSAÑO!$Z$11)/DATOSAÑO!$Y$11</f>
        <v>0</v>
      </c>
      <c r="AO263" s="9">
        <f ca="1">DATOSAÑO!CF262</f>
        <v>0</v>
      </c>
      <c r="AP263" s="11">
        <f ca="1">(AO263*DATOSAÑO!$Z$11)/DATOSAÑO!$Y$11</f>
        <v>0</v>
      </c>
      <c r="AQ263" s="9">
        <f ca="1">DATOSAÑO!CL262</f>
        <v>0</v>
      </c>
      <c r="AR263" s="1300">
        <f ca="1">(AQ263*DATOSAÑO!$Z$11)/DATOSAÑO!$Y$11</f>
        <v>0</v>
      </c>
      <c r="AS263" s="1334">
        <f t="shared" si="11"/>
        <v>36</v>
      </c>
    </row>
    <row r="264" spans="1:45" ht="15" thickBot="1">
      <c r="A264" s="1371">
        <v>45179</v>
      </c>
      <c r="B264" s="1021">
        <v>45179</v>
      </c>
      <c r="C264" s="9">
        <f ca="1">DATOSAÑO!I263</f>
        <v>0</v>
      </c>
      <c r="D264" s="10">
        <f ca="1">DATOSAÑO!$D263</f>
        <v>0</v>
      </c>
      <c r="E264" s="11">
        <f ca="1">DATOSAÑO!$G263</f>
        <v>0</v>
      </c>
      <c r="F264" s="9">
        <f ca="1">DATOSAÑO!P263</f>
        <v>0</v>
      </c>
      <c r="G264" s="10">
        <f ca="1">DATOSAÑO!K263</f>
        <v>0</v>
      </c>
      <c r="H264" s="11">
        <f ca="1">DATOSAÑO!N263</f>
        <v>0</v>
      </c>
      <c r="I264" s="9">
        <f ca="1">DATOSAÑO!Q263</f>
        <v>0</v>
      </c>
      <c r="J264" s="11">
        <f ca="1">DATOSAÑO!R263</f>
        <v>0</v>
      </c>
      <c r="K264" s="9">
        <f ca="1">DATOSAÑO!T263</f>
        <v>0</v>
      </c>
      <c r="L264" s="11">
        <f t="shared" ca="1" si="9"/>
        <v>0</v>
      </c>
      <c r="M264" s="9"/>
      <c r="N264" s="11">
        <f t="shared" si="10"/>
        <v>0</v>
      </c>
      <c r="O264" s="9">
        <f>DATOSAÑO!CT263</f>
        <v>0</v>
      </c>
      <c r="P264" s="9">
        <f>DATOSAÑO!CU263</f>
        <v>0</v>
      </c>
      <c r="Q264" s="9">
        <f ca="1">DATOSAÑO!AD263</f>
        <v>0</v>
      </c>
      <c r="R264" s="11">
        <f ca="1">(Q264*DATOSAÑO!$Z$11)/DATOSAÑO!$Y$11</f>
        <v>0</v>
      </c>
      <c r="S264" s="9">
        <f ca="1">DATOSAÑO!AF263</f>
        <v>0</v>
      </c>
      <c r="T264" s="11">
        <f ca="1">(S264*DATOSAÑO!$Z$11)/DATOSAÑO!$Y$11</f>
        <v>0</v>
      </c>
      <c r="U264" s="9">
        <f ca="1">DATOSAÑO!AH263</f>
        <v>0</v>
      </c>
      <c r="V264" s="11">
        <f ca="1">(U264*DATOSAÑO!$Z$11)/DATOSAÑO!$Y$11</f>
        <v>0</v>
      </c>
      <c r="W264" s="9">
        <f ca="1">DATOSAÑO!AI263</f>
        <v>0</v>
      </c>
      <c r="X264" s="11">
        <f ca="1">(W264*DATOSAÑO!$Z$11)/DATOSAÑO!$Y$11</f>
        <v>0</v>
      </c>
      <c r="Y264" s="9">
        <f ca="1">DATOSAÑO!AJ263</f>
        <v>0</v>
      </c>
      <c r="Z264" s="11">
        <f ca="1">(Y264*DATOSAÑO!$Z$11)/DATOSAÑO!$Y$11</f>
        <v>0</v>
      </c>
      <c r="AA264" s="9">
        <f ca="1">DATOSAÑO!AK263</f>
        <v>0</v>
      </c>
      <c r="AB264" s="11">
        <f ca="1">(AA264*DATOSAÑO!$Z$11)/DATOSAÑO!$Y$11</f>
        <v>0</v>
      </c>
      <c r="AC264" s="9">
        <f ca="1">DATOSAÑO!AL263</f>
        <v>0</v>
      </c>
      <c r="AD264" s="11">
        <f ca="1">(AC264*DATOSAÑO!$Z$11)/DATOSAÑO!$Y$11</f>
        <v>0</v>
      </c>
      <c r="AE264" s="9">
        <f ca="1">DATOSAÑO!AM263</f>
        <v>0</v>
      </c>
      <c r="AF264" s="11">
        <f ca="1">(AE264*DATOSAÑO!$Z$11)/DATOSAÑO!$Y$11</f>
        <v>0</v>
      </c>
      <c r="AG264" s="9">
        <f ca="1">DATOSAÑO!AN263</f>
        <v>0</v>
      </c>
      <c r="AH264" s="11">
        <f ca="1">(AG264*DATOSAÑO!$Z$11)/DATOSAÑO!$Y$11</f>
        <v>0</v>
      </c>
      <c r="AI264" s="9">
        <f ca="1">DATOSAÑO!BS263</f>
        <v>0</v>
      </c>
      <c r="AJ264" s="11">
        <f ca="1">(AI264*DATOSAÑO!$Z$11)/DATOSAÑO!$Y$11</f>
        <v>0</v>
      </c>
      <c r="AK264" s="9">
        <f ca="1">DATOSAÑO!BV263</f>
        <v>0</v>
      </c>
      <c r="AL264" s="11">
        <f ca="1">(AK264*DATOSAÑO!$Z$11)/DATOSAÑO!$Y$11</f>
        <v>0</v>
      </c>
      <c r="AM264" s="9">
        <f ca="1">DATOSAÑO!BY263</f>
        <v>0</v>
      </c>
      <c r="AN264" s="11">
        <f ca="1">(AM264*DATOSAÑO!$Z$11)/DATOSAÑO!$Y$11</f>
        <v>0</v>
      </c>
      <c r="AO264" s="9">
        <f ca="1">DATOSAÑO!CF263</f>
        <v>0</v>
      </c>
      <c r="AP264" s="11">
        <f ca="1">(AO264*DATOSAÑO!$Z$11)/DATOSAÑO!$Y$11</f>
        <v>0</v>
      </c>
      <c r="AQ264" s="9">
        <f ca="1">DATOSAÑO!CL263</f>
        <v>0</v>
      </c>
      <c r="AR264" s="1300">
        <f ca="1">(AQ264*DATOSAÑO!$Z$11)/DATOSAÑO!$Y$11</f>
        <v>0</v>
      </c>
      <c r="AS264" s="1334">
        <f t="shared" si="11"/>
        <v>37</v>
      </c>
    </row>
    <row r="265" spans="1:45" ht="15" thickBot="1">
      <c r="A265" s="1371">
        <v>45180</v>
      </c>
      <c r="B265" s="1021">
        <v>45180</v>
      </c>
      <c r="C265" s="9">
        <f ca="1">DATOSAÑO!I264</f>
        <v>0</v>
      </c>
      <c r="D265" s="10">
        <f ca="1">DATOSAÑO!$D264</f>
        <v>0</v>
      </c>
      <c r="E265" s="11">
        <f ca="1">DATOSAÑO!$G264</f>
        <v>0</v>
      </c>
      <c r="F265" s="9">
        <f ca="1">DATOSAÑO!P264</f>
        <v>0</v>
      </c>
      <c r="G265" s="10">
        <f ca="1">DATOSAÑO!K264</f>
        <v>0</v>
      </c>
      <c r="H265" s="11">
        <f ca="1">DATOSAÑO!N264</f>
        <v>0</v>
      </c>
      <c r="I265" s="9">
        <f ca="1">DATOSAÑO!Q264</f>
        <v>0</v>
      </c>
      <c r="J265" s="11">
        <f ca="1">DATOSAÑO!R264</f>
        <v>0</v>
      </c>
      <c r="K265" s="9">
        <f ca="1">DATOSAÑO!T264</f>
        <v>0</v>
      </c>
      <c r="L265" s="11">
        <f t="shared" ca="1" si="9"/>
        <v>0</v>
      </c>
      <c r="M265" s="9"/>
      <c r="N265" s="11">
        <f t="shared" si="10"/>
        <v>0</v>
      </c>
      <c r="O265" s="9">
        <f>DATOSAÑO!CT264</f>
        <v>0</v>
      </c>
      <c r="P265" s="9">
        <f>DATOSAÑO!CU264</f>
        <v>0</v>
      </c>
      <c r="Q265" s="9">
        <f ca="1">DATOSAÑO!AD264</f>
        <v>0</v>
      </c>
      <c r="R265" s="11">
        <f ca="1">(Q265*DATOSAÑO!$Z$11)/DATOSAÑO!$Y$11</f>
        <v>0</v>
      </c>
      <c r="S265" s="9">
        <f ca="1">DATOSAÑO!AF264</f>
        <v>0</v>
      </c>
      <c r="T265" s="11">
        <f ca="1">(S265*DATOSAÑO!$Z$11)/DATOSAÑO!$Y$11</f>
        <v>0</v>
      </c>
      <c r="U265" s="9">
        <f ca="1">DATOSAÑO!AH264</f>
        <v>0</v>
      </c>
      <c r="V265" s="11">
        <f ca="1">(U265*DATOSAÑO!$Z$11)/DATOSAÑO!$Y$11</f>
        <v>0</v>
      </c>
      <c r="W265" s="9">
        <f ca="1">DATOSAÑO!AI264</f>
        <v>0</v>
      </c>
      <c r="X265" s="11">
        <f ca="1">(W265*DATOSAÑO!$Z$11)/DATOSAÑO!$Y$11</f>
        <v>0</v>
      </c>
      <c r="Y265" s="9">
        <f ca="1">DATOSAÑO!AJ264</f>
        <v>0</v>
      </c>
      <c r="Z265" s="11">
        <f ca="1">(Y265*DATOSAÑO!$Z$11)/DATOSAÑO!$Y$11</f>
        <v>0</v>
      </c>
      <c r="AA265" s="9">
        <f ca="1">DATOSAÑO!AK264</f>
        <v>0</v>
      </c>
      <c r="AB265" s="11">
        <f ca="1">(AA265*DATOSAÑO!$Z$11)/DATOSAÑO!$Y$11</f>
        <v>0</v>
      </c>
      <c r="AC265" s="9">
        <f ca="1">DATOSAÑO!AL264</f>
        <v>0</v>
      </c>
      <c r="AD265" s="11">
        <f ca="1">(AC265*DATOSAÑO!$Z$11)/DATOSAÑO!$Y$11</f>
        <v>0</v>
      </c>
      <c r="AE265" s="9">
        <f ca="1">DATOSAÑO!AM264</f>
        <v>0</v>
      </c>
      <c r="AF265" s="11">
        <f ca="1">(AE265*DATOSAÑO!$Z$11)/DATOSAÑO!$Y$11</f>
        <v>0</v>
      </c>
      <c r="AG265" s="9">
        <f ca="1">DATOSAÑO!AN264</f>
        <v>0</v>
      </c>
      <c r="AH265" s="11">
        <f ca="1">(AG265*DATOSAÑO!$Z$11)/DATOSAÑO!$Y$11</f>
        <v>0</v>
      </c>
      <c r="AI265" s="9">
        <f ca="1">DATOSAÑO!BS264</f>
        <v>0</v>
      </c>
      <c r="AJ265" s="11">
        <f ca="1">(AI265*DATOSAÑO!$Z$11)/DATOSAÑO!$Y$11</f>
        <v>0</v>
      </c>
      <c r="AK265" s="9">
        <f ca="1">DATOSAÑO!BV264</f>
        <v>0</v>
      </c>
      <c r="AL265" s="11">
        <f ca="1">(AK265*DATOSAÑO!$Z$11)/DATOSAÑO!$Y$11</f>
        <v>0</v>
      </c>
      <c r="AM265" s="9">
        <f ca="1">DATOSAÑO!BY264</f>
        <v>0</v>
      </c>
      <c r="AN265" s="11">
        <f ca="1">(AM265*DATOSAÑO!$Z$11)/DATOSAÑO!$Y$11</f>
        <v>0</v>
      </c>
      <c r="AO265" s="9">
        <f ca="1">DATOSAÑO!CF264</f>
        <v>0</v>
      </c>
      <c r="AP265" s="11">
        <f ca="1">(AO265*DATOSAÑO!$Z$11)/DATOSAÑO!$Y$11</f>
        <v>0</v>
      </c>
      <c r="AQ265" s="9">
        <f ca="1">DATOSAÑO!CL264</f>
        <v>0</v>
      </c>
      <c r="AR265" s="1300">
        <f ca="1">(AQ265*DATOSAÑO!$Z$11)/DATOSAÑO!$Y$11</f>
        <v>0</v>
      </c>
      <c r="AS265" s="1334">
        <f t="shared" si="11"/>
        <v>37</v>
      </c>
    </row>
    <row r="266" spans="1:45" ht="15" thickBot="1">
      <c r="A266" s="1371">
        <v>45181</v>
      </c>
      <c r="B266" s="1021">
        <v>45181</v>
      </c>
      <c r="C266" s="9">
        <f ca="1">DATOSAÑO!I265</f>
        <v>0</v>
      </c>
      <c r="D266" s="10">
        <f ca="1">DATOSAÑO!$D265</f>
        <v>0</v>
      </c>
      <c r="E266" s="11">
        <f ca="1">DATOSAÑO!$G265</f>
        <v>0</v>
      </c>
      <c r="F266" s="9">
        <f ca="1">DATOSAÑO!P265</f>
        <v>0</v>
      </c>
      <c r="G266" s="10">
        <f ca="1">DATOSAÑO!K265</f>
        <v>0</v>
      </c>
      <c r="H266" s="11">
        <f ca="1">DATOSAÑO!N265</f>
        <v>0</v>
      </c>
      <c r="I266" s="9">
        <f ca="1">DATOSAÑO!Q265</f>
        <v>0</v>
      </c>
      <c r="J266" s="11">
        <f ca="1">DATOSAÑO!R265</f>
        <v>0</v>
      </c>
      <c r="K266" s="9">
        <f ca="1">DATOSAÑO!T265</f>
        <v>0</v>
      </c>
      <c r="L266" s="11">
        <f t="shared" ca="1" si="9"/>
        <v>0</v>
      </c>
      <c r="M266" s="9"/>
      <c r="N266" s="11">
        <f t="shared" si="10"/>
        <v>0</v>
      </c>
      <c r="O266" s="9">
        <f>DATOSAÑO!CT265</f>
        <v>0</v>
      </c>
      <c r="P266" s="9">
        <f>DATOSAÑO!CU265</f>
        <v>0</v>
      </c>
      <c r="Q266" s="9">
        <f ca="1">DATOSAÑO!AD265</f>
        <v>0</v>
      </c>
      <c r="R266" s="11">
        <f ca="1">(Q266*DATOSAÑO!$Z$11)/DATOSAÑO!$Y$11</f>
        <v>0</v>
      </c>
      <c r="S266" s="9">
        <f ca="1">DATOSAÑO!AF265</f>
        <v>0</v>
      </c>
      <c r="T266" s="11">
        <f ca="1">(S266*DATOSAÑO!$Z$11)/DATOSAÑO!$Y$11</f>
        <v>0</v>
      </c>
      <c r="U266" s="9">
        <f ca="1">DATOSAÑO!AH265</f>
        <v>0</v>
      </c>
      <c r="V266" s="11">
        <f ca="1">(U266*DATOSAÑO!$Z$11)/DATOSAÑO!$Y$11</f>
        <v>0</v>
      </c>
      <c r="W266" s="9">
        <f ca="1">DATOSAÑO!AI265</f>
        <v>0</v>
      </c>
      <c r="X266" s="11">
        <f ca="1">(W266*DATOSAÑO!$Z$11)/DATOSAÑO!$Y$11</f>
        <v>0</v>
      </c>
      <c r="Y266" s="9">
        <f ca="1">DATOSAÑO!AJ265</f>
        <v>0</v>
      </c>
      <c r="Z266" s="11">
        <f ca="1">(Y266*DATOSAÑO!$Z$11)/DATOSAÑO!$Y$11</f>
        <v>0</v>
      </c>
      <c r="AA266" s="9">
        <f ca="1">DATOSAÑO!AK265</f>
        <v>0</v>
      </c>
      <c r="AB266" s="11">
        <f ca="1">(AA266*DATOSAÑO!$Z$11)/DATOSAÑO!$Y$11</f>
        <v>0</v>
      </c>
      <c r="AC266" s="9">
        <f ca="1">DATOSAÑO!AL265</f>
        <v>0</v>
      </c>
      <c r="AD266" s="11">
        <f ca="1">(AC266*DATOSAÑO!$Z$11)/DATOSAÑO!$Y$11</f>
        <v>0</v>
      </c>
      <c r="AE266" s="9">
        <f ca="1">DATOSAÑO!AM265</f>
        <v>0</v>
      </c>
      <c r="AF266" s="11">
        <f ca="1">(AE266*DATOSAÑO!$Z$11)/DATOSAÑO!$Y$11</f>
        <v>0</v>
      </c>
      <c r="AG266" s="9">
        <f ca="1">DATOSAÑO!AN265</f>
        <v>0</v>
      </c>
      <c r="AH266" s="11">
        <f ca="1">(AG266*DATOSAÑO!$Z$11)/DATOSAÑO!$Y$11</f>
        <v>0</v>
      </c>
      <c r="AI266" s="9">
        <f ca="1">DATOSAÑO!BS265</f>
        <v>0</v>
      </c>
      <c r="AJ266" s="11">
        <f ca="1">(AI266*DATOSAÑO!$Z$11)/DATOSAÑO!$Y$11</f>
        <v>0</v>
      </c>
      <c r="AK266" s="9">
        <f ca="1">DATOSAÑO!BV265</f>
        <v>0</v>
      </c>
      <c r="AL266" s="11">
        <f ca="1">(AK266*DATOSAÑO!$Z$11)/DATOSAÑO!$Y$11</f>
        <v>0</v>
      </c>
      <c r="AM266" s="9">
        <f ca="1">DATOSAÑO!BY265</f>
        <v>0</v>
      </c>
      <c r="AN266" s="11">
        <f ca="1">(AM266*DATOSAÑO!$Z$11)/DATOSAÑO!$Y$11</f>
        <v>0</v>
      </c>
      <c r="AO266" s="9">
        <f ca="1">DATOSAÑO!CF265</f>
        <v>0</v>
      </c>
      <c r="AP266" s="11">
        <f ca="1">(AO266*DATOSAÑO!$Z$11)/DATOSAÑO!$Y$11</f>
        <v>0</v>
      </c>
      <c r="AQ266" s="9">
        <f ca="1">DATOSAÑO!CL265</f>
        <v>0</v>
      </c>
      <c r="AR266" s="1300">
        <f ca="1">(AQ266*DATOSAÑO!$Z$11)/DATOSAÑO!$Y$11</f>
        <v>0</v>
      </c>
      <c r="AS266" s="1334">
        <f t="shared" si="11"/>
        <v>37</v>
      </c>
    </row>
    <row r="267" spans="1:45" ht="15" thickBot="1">
      <c r="A267" s="1371">
        <v>45182</v>
      </c>
      <c r="B267" s="1021">
        <v>45182</v>
      </c>
      <c r="C267" s="9">
        <f ca="1">DATOSAÑO!I266</f>
        <v>0</v>
      </c>
      <c r="D267" s="10">
        <f ca="1">DATOSAÑO!$D266</f>
        <v>0</v>
      </c>
      <c r="E267" s="11">
        <f ca="1">DATOSAÑO!$G266</f>
        <v>0</v>
      </c>
      <c r="F267" s="9">
        <f ca="1">DATOSAÑO!P266</f>
        <v>0</v>
      </c>
      <c r="G267" s="10">
        <f ca="1">DATOSAÑO!K266</f>
        <v>0</v>
      </c>
      <c r="H267" s="11">
        <f ca="1">DATOSAÑO!N266</f>
        <v>0</v>
      </c>
      <c r="I267" s="9">
        <f ca="1">DATOSAÑO!Q266</f>
        <v>0</v>
      </c>
      <c r="J267" s="11">
        <f ca="1">DATOSAÑO!R266</f>
        <v>0</v>
      </c>
      <c r="K267" s="9">
        <f ca="1">DATOSAÑO!T266</f>
        <v>0</v>
      </c>
      <c r="L267" s="11">
        <f t="shared" ca="1" si="9"/>
        <v>0</v>
      </c>
      <c r="M267" s="9"/>
      <c r="N267" s="11">
        <f t="shared" si="10"/>
        <v>0</v>
      </c>
      <c r="O267" s="9">
        <f>DATOSAÑO!CT266</f>
        <v>0</v>
      </c>
      <c r="P267" s="9">
        <f>DATOSAÑO!CU266</f>
        <v>0</v>
      </c>
      <c r="Q267" s="9">
        <f ca="1">DATOSAÑO!AD266</f>
        <v>0</v>
      </c>
      <c r="R267" s="11">
        <f ca="1">(Q267*DATOSAÑO!$Z$11)/DATOSAÑO!$Y$11</f>
        <v>0</v>
      </c>
      <c r="S267" s="9">
        <f ca="1">DATOSAÑO!AF266</f>
        <v>0</v>
      </c>
      <c r="T267" s="11">
        <f ca="1">(S267*DATOSAÑO!$Z$11)/DATOSAÑO!$Y$11</f>
        <v>0</v>
      </c>
      <c r="U267" s="9">
        <f ca="1">DATOSAÑO!AH266</f>
        <v>0</v>
      </c>
      <c r="V267" s="11">
        <f ca="1">(U267*DATOSAÑO!$Z$11)/DATOSAÑO!$Y$11</f>
        <v>0</v>
      </c>
      <c r="W267" s="9">
        <f ca="1">DATOSAÑO!AI266</f>
        <v>0</v>
      </c>
      <c r="X267" s="11">
        <f ca="1">(W267*DATOSAÑO!$Z$11)/DATOSAÑO!$Y$11</f>
        <v>0</v>
      </c>
      <c r="Y267" s="9">
        <f ca="1">DATOSAÑO!AJ266</f>
        <v>0</v>
      </c>
      <c r="Z267" s="11">
        <f ca="1">(Y267*DATOSAÑO!$Z$11)/DATOSAÑO!$Y$11</f>
        <v>0</v>
      </c>
      <c r="AA267" s="9">
        <f ca="1">DATOSAÑO!AK266</f>
        <v>0</v>
      </c>
      <c r="AB267" s="11">
        <f ca="1">(AA267*DATOSAÑO!$Z$11)/DATOSAÑO!$Y$11</f>
        <v>0</v>
      </c>
      <c r="AC267" s="9">
        <f ca="1">DATOSAÑO!AL266</f>
        <v>0</v>
      </c>
      <c r="AD267" s="11">
        <f ca="1">(AC267*DATOSAÑO!$Z$11)/DATOSAÑO!$Y$11</f>
        <v>0</v>
      </c>
      <c r="AE267" s="9">
        <f ca="1">DATOSAÑO!AM266</f>
        <v>0</v>
      </c>
      <c r="AF267" s="11">
        <f ca="1">(AE267*DATOSAÑO!$Z$11)/DATOSAÑO!$Y$11</f>
        <v>0</v>
      </c>
      <c r="AG267" s="9">
        <f ca="1">DATOSAÑO!AN266</f>
        <v>0</v>
      </c>
      <c r="AH267" s="11">
        <f ca="1">(AG267*DATOSAÑO!$Z$11)/DATOSAÑO!$Y$11</f>
        <v>0</v>
      </c>
      <c r="AI267" s="9">
        <f ca="1">DATOSAÑO!BS266</f>
        <v>0</v>
      </c>
      <c r="AJ267" s="11">
        <f ca="1">(AI267*DATOSAÑO!$Z$11)/DATOSAÑO!$Y$11</f>
        <v>0</v>
      </c>
      <c r="AK267" s="9">
        <f ca="1">DATOSAÑO!BV266</f>
        <v>0</v>
      </c>
      <c r="AL267" s="11">
        <f ca="1">(AK267*DATOSAÑO!$Z$11)/DATOSAÑO!$Y$11</f>
        <v>0</v>
      </c>
      <c r="AM267" s="9">
        <f ca="1">DATOSAÑO!BY266</f>
        <v>0</v>
      </c>
      <c r="AN267" s="11">
        <f ca="1">(AM267*DATOSAÑO!$Z$11)/DATOSAÑO!$Y$11</f>
        <v>0</v>
      </c>
      <c r="AO267" s="9">
        <f ca="1">DATOSAÑO!CF266</f>
        <v>0</v>
      </c>
      <c r="AP267" s="11">
        <f ca="1">(AO267*DATOSAÑO!$Z$11)/DATOSAÑO!$Y$11</f>
        <v>0</v>
      </c>
      <c r="AQ267" s="9">
        <f ca="1">DATOSAÑO!CL266</f>
        <v>0</v>
      </c>
      <c r="AR267" s="1300">
        <f ca="1">(AQ267*DATOSAÑO!$Z$11)/DATOSAÑO!$Y$11</f>
        <v>0</v>
      </c>
      <c r="AS267" s="1334">
        <f t="shared" si="11"/>
        <v>37</v>
      </c>
    </row>
    <row r="268" spans="1:45" ht="15" thickBot="1">
      <c r="A268" s="1371">
        <v>45183</v>
      </c>
      <c r="B268" s="1021">
        <v>45183</v>
      </c>
      <c r="C268" s="9">
        <f ca="1">DATOSAÑO!I267</f>
        <v>0</v>
      </c>
      <c r="D268" s="10">
        <f ca="1">DATOSAÑO!$D267</f>
        <v>0</v>
      </c>
      <c r="E268" s="11">
        <f ca="1">DATOSAÑO!$G267</f>
        <v>0</v>
      </c>
      <c r="F268" s="9">
        <f ca="1">DATOSAÑO!P267</f>
        <v>0</v>
      </c>
      <c r="G268" s="10">
        <f ca="1">DATOSAÑO!K267</f>
        <v>0</v>
      </c>
      <c r="H268" s="11">
        <f ca="1">DATOSAÑO!N267</f>
        <v>0</v>
      </c>
      <c r="I268" s="9">
        <f ca="1">DATOSAÑO!Q267</f>
        <v>0</v>
      </c>
      <c r="J268" s="11">
        <f ca="1">DATOSAÑO!R267</f>
        <v>0</v>
      </c>
      <c r="K268" s="9">
        <f ca="1">DATOSAÑO!T267</f>
        <v>0</v>
      </c>
      <c r="L268" s="11">
        <f t="shared" ref="L268:L331" ca="1" si="12">K268*120</f>
        <v>0</v>
      </c>
      <c r="M268" s="9"/>
      <c r="N268" s="11">
        <f t="shared" ref="N268:N331" si="13">M268*120</f>
        <v>0</v>
      </c>
      <c r="O268" s="9">
        <f>DATOSAÑO!CT267</f>
        <v>0</v>
      </c>
      <c r="P268" s="9">
        <f>DATOSAÑO!CU267</f>
        <v>0</v>
      </c>
      <c r="Q268" s="9">
        <f ca="1">DATOSAÑO!AD267</f>
        <v>0</v>
      </c>
      <c r="R268" s="11">
        <f ca="1">(Q268*DATOSAÑO!$Z$11)/DATOSAÑO!$Y$11</f>
        <v>0</v>
      </c>
      <c r="S268" s="9">
        <f ca="1">DATOSAÑO!AF267</f>
        <v>0</v>
      </c>
      <c r="T268" s="11">
        <f ca="1">(S268*DATOSAÑO!$Z$11)/DATOSAÑO!$Y$11</f>
        <v>0</v>
      </c>
      <c r="U268" s="9">
        <f ca="1">DATOSAÑO!AH267</f>
        <v>0</v>
      </c>
      <c r="V268" s="11">
        <f ca="1">(U268*DATOSAÑO!$Z$11)/DATOSAÑO!$Y$11</f>
        <v>0</v>
      </c>
      <c r="W268" s="9">
        <f ca="1">DATOSAÑO!AI267</f>
        <v>0</v>
      </c>
      <c r="X268" s="11">
        <f ca="1">(W268*DATOSAÑO!$Z$11)/DATOSAÑO!$Y$11</f>
        <v>0</v>
      </c>
      <c r="Y268" s="9">
        <f ca="1">DATOSAÑO!AJ267</f>
        <v>0</v>
      </c>
      <c r="Z268" s="11">
        <f ca="1">(Y268*DATOSAÑO!$Z$11)/DATOSAÑO!$Y$11</f>
        <v>0</v>
      </c>
      <c r="AA268" s="9">
        <f ca="1">DATOSAÑO!AK267</f>
        <v>0</v>
      </c>
      <c r="AB268" s="11">
        <f ca="1">(AA268*DATOSAÑO!$Z$11)/DATOSAÑO!$Y$11</f>
        <v>0</v>
      </c>
      <c r="AC268" s="9">
        <f ca="1">DATOSAÑO!AL267</f>
        <v>0</v>
      </c>
      <c r="AD268" s="11">
        <f ca="1">(AC268*DATOSAÑO!$Z$11)/DATOSAÑO!$Y$11</f>
        <v>0</v>
      </c>
      <c r="AE268" s="9">
        <f ca="1">DATOSAÑO!AM267</f>
        <v>0</v>
      </c>
      <c r="AF268" s="11">
        <f ca="1">(AE268*DATOSAÑO!$Z$11)/DATOSAÑO!$Y$11</f>
        <v>0</v>
      </c>
      <c r="AG268" s="9">
        <f ca="1">DATOSAÑO!AN267</f>
        <v>0</v>
      </c>
      <c r="AH268" s="11">
        <f ca="1">(AG268*DATOSAÑO!$Z$11)/DATOSAÑO!$Y$11</f>
        <v>0</v>
      </c>
      <c r="AI268" s="9">
        <f ca="1">DATOSAÑO!BS267</f>
        <v>0</v>
      </c>
      <c r="AJ268" s="11">
        <f ca="1">(AI268*DATOSAÑO!$Z$11)/DATOSAÑO!$Y$11</f>
        <v>0</v>
      </c>
      <c r="AK268" s="9">
        <f ca="1">DATOSAÑO!BV267</f>
        <v>0</v>
      </c>
      <c r="AL268" s="11">
        <f ca="1">(AK268*DATOSAÑO!$Z$11)/DATOSAÑO!$Y$11</f>
        <v>0</v>
      </c>
      <c r="AM268" s="9">
        <f ca="1">DATOSAÑO!BY267</f>
        <v>0</v>
      </c>
      <c r="AN268" s="11">
        <f ca="1">(AM268*DATOSAÑO!$Z$11)/DATOSAÑO!$Y$11</f>
        <v>0</v>
      </c>
      <c r="AO268" s="9">
        <f ca="1">DATOSAÑO!CF267</f>
        <v>0</v>
      </c>
      <c r="AP268" s="11">
        <f ca="1">(AO268*DATOSAÑO!$Z$11)/DATOSAÑO!$Y$11</f>
        <v>0</v>
      </c>
      <c r="AQ268" s="9">
        <f ca="1">DATOSAÑO!CL267</f>
        <v>0</v>
      </c>
      <c r="AR268" s="1300">
        <f ca="1">(AQ268*DATOSAÑO!$Z$11)/DATOSAÑO!$Y$11</f>
        <v>0</v>
      </c>
      <c r="AS268" s="1334">
        <f t="shared" si="11"/>
        <v>37</v>
      </c>
    </row>
    <row r="269" spans="1:45" ht="15" thickBot="1">
      <c r="A269" s="1371">
        <v>45184</v>
      </c>
      <c r="B269" s="1021">
        <v>45184</v>
      </c>
      <c r="C269" s="9">
        <f ca="1">DATOSAÑO!I268</f>
        <v>0</v>
      </c>
      <c r="D269" s="10">
        <f ca="1">DATOSAÑO!$D268</f>
        <v>0</v>
      </c>
      <c r="E269" s="11">
        <f ca="1">DATOSAÑO!$G268</f>
        <v>0</v>
      </c>
      <c r="F269" s="9">
        <f ca="1">DATOSAÑO!P268</f>
        <v>0</v>
      </c>
      <c r="G269" s="10">
        <f ca="1">DATOSAÑO!K268</f>
        <v>0</v>
      </c>
      <c r="H269" s="11">
        <f ca="1">DATOSAÑO!N268</f>
        <v>0</v>
      </c>
      <c r="I269" s="9">
        <f ca="1">DATOSAÑO!Q268</f>
        <v>0</v>
      </c>
      <c r="J269" s="11">
        <f ca="1">DATOSAÑO!R268</f>
        <v>0</v>
      </c>
      <c r="K269" s="9">
        <f ca="1">DATOSAÑO!T268</f>
        <v>0</v>
      </c>
      <c r="L269" s="11">
        <f t="shared" ca="1" si="12"/>
        <v>0</v>
      </c>
      <c r="M269" s="9"/>
      <c r="N269" s="11">
        <f t="shared" si="13"/>
        <v>0</v>
      </c>
      <c r="O269" s="9">
        <f>DATOSAÑO!CT268</f>
        <v>0</v>
      </c>
      <c r="P269" s="9">
        <f>DATOSAÑO!CU268</f>
        <v>0</v>
      </c>
      <c r="Q269" s="9">
        <f ca="1">DATOSAÑO!AD268</f>
        <v>0</v>
      </c>
      <c r="R269" s="11">
        <f ca="1">(Q269*DATOSAÑO!$Z$11)/DATOSAÑO!$Y$11</f>
        <v>0</v>
      </c>
      <c r="S269" s="9">
        <f ca="1">DATOSAÑO!AF268</f>
        <v>0</v>
      </c>
      <c r="T269" s="11">
        <f ca="1">(S269*DATOSAÑO!$Z$11)/DATOSAÑO!$Y$11</f>
        <v>0</v>
      </c>
      <c r="U269" s="9">
        <f ca="1">DATOSAÑO!AH268</f>
        <v>0</v>
      </c>
      <c r="V269" s="11">
        <f ca="1">(U269*DATOSAÑO!$Z$11)/DATOSAÑO!$Y$11</f>
        <v>0</v>
      </c>
      <c r="W269" s="9">
        <f ca="1">DATOSAÑO!AI268</f>
        <v>0</v>
      </c>
      <c r="X269" s="11">
        <f ca="1">(W269*DATOSAÑO!$Z$11)/DATOSAÑO!$Y$11</f>
        <v>0</v>
      </c>
      <c r="Y269" s="9">
        <f ca="1">DATOSAÑO!AJ268</f>
        <v>0</v>
      </c>
      <c r="Z269" s="11">
        <f ca="1">(Y269*DATOSAÑO!$Z$11)/DATOSAÑO!$Y$11</f>
        <v>0</v>
      </c>
      <c r="AA269" s="9">
        <f ca="1">DATOSAÑO!AK268</f>
        <v>0</v>
      </c>
      <c r="AB269" s="11">
        <f ca="1">(AA269*DATOSAÑO!$Z$11)/DATOSAÑO!$Y$11</f>
        <v>0</v>
      </c>
      <c r="AC269" s="9">
        <f ca="1">DATOSAÑO!AL268</f>
        <v>0</v>
      </c>
      <c r="AD269" s="11">
        <f ca="1">(AC269*DATOSAÑO!$Z$11)/DATOSAÑO!$Y$11</f>
        <v>0</v>
      </c>
      <c r="AE269" s="9">
        <f ca="1">DATOSAÑO!AM268</f>
        <v>0</v>
      </c>
      <c r="AF269" s="11">
        <f ca="1">(AE269*DATOSAÑO!$Z$11)/DATOSAÑO!$Y$11</f>
        <v>0</v>
      </c>
      <c r="AG269" s="9">
        <f ca="1">DATOSAÑO!AN268</f>
        <v>0</v>
      </c>
      <c r="AH269" s="11">
        <f ca="1">(AG269*DATOSAÑO!$Z$11)/DATOSAÑO!$Y$11</f>
        <v>0</v>
      </c>
      <c r="AI269" s="9">
        <f ca="1">DATOSAÑO!BS268</f>
        <v>0</v>
      </c>
      <c r="AJ269" s="11">
        <f ca="1">(AI269*DATOSAÑO!$Z$11)/DATOSAÑO!$Y$11</f>
        <v>0</v>
      </c>
      <c r="AK269" s="9">
        <f ca="1">DATOSAÑO!BV268</f>
        <v>0</v>
      </c>
      <c r="AL269" s="11">
        <f ca="1">(AK269*DATOSAÑO!$Z$11)/DATOSAÑO!$Y$11</f>
        <v>0</v>
      </c>
      <c r="AM269" s="9">
        <f ca="1">DATOSAÑO!BY268</f>
        <v>0</v>
      </c>
      <c r="AN269" s="11">
        <f ca="1">(AM269*DATOSAÑO!$Z$11)/DATOSAÑO!$Y$11</f>
        <v>0</v>
      </c>
      <c r="AO269" s="9">
        <f ca="1">DATOSAÑO!CF268</f>
        <v>0</v>
      </c>
      <c r="AP269" s="11">
        <f ca="1">(AO269*DATOSAÑO!$Z$11)/DATOSAÑO!$Y$11</f>
        <v>0</v>
      </c>
      <c r="AQ269" s="9">
        <f ca="1">DATOSAÑO!CL268</f>
        <v>0</v>
      </c>
      <c r="AR269" s="1300">
        <f ca="1">(AQ269*DATOSAÑO!$Z$11)/DATOSAÑO!$Y$11</f>
        <v>0</v>
      </c>
      <c r="AS269" s="1334">
        <f t="shared" ref="AS269:AS332" si="14">WEEKNUM(B269,1)</f>
        <v>37</v>
      </c>
    </row>
    <row r="270" spans="1:45" ht="15" thickBot="1">
      <c r="A270" s="1371">
        <v>45185</v>
      </c>
      <c r="B270" s="1021">
        <v>45185</v>
      </c>
      <c r="C270" s="9">
        <f ca="1">DATOSAÑO!I269</f>
        <v>0</v>
      </c>
      <c r="D270" s="10">
        <f ca="1">DATOSAÑO!$D269</f>
        <v>0</v>
      </c>
      <c r="E270" s="11">
        <f ca="1">DATOSAÑO!$G269</f>
        <v>0</v>
      </c>
      <c r="F270" s="9">
        <f ca="1">DATOSAÑO!P269</f>
        <v>0</v>
      </c>
      <c r="G270" s="10">
        <f ca="1">DATOSAÑO!K269</f>
        <v>0</v>
      </c>
      <c r="H270" s="11">
        <f ca="1">DATOSAÑO!N269</f>
        <v>0</v>
      </c>
      <c r="I270" s="9">
        <f ca="1">DATOSAÑO!Q269</f>
        <v>0</v>
      </c>
      <c r="J270" s="11">
        <f ca="1">DATOSAÑO!R269</f>
        <v>0</v>
      </c>
      <c r="K270" s="9">
        <f ca="1">DATOSAÑO!T269</f>
        <v>0</v>
      </c>
      <c r="L270" s="11">
        <f t="shared" ca="1" si="12"/>
        <v>0</v>
      </c>
      <c r="M270" s="9"/>
      <c r="N270" s="11">
        <f t="shared" si="13"/>
        <v>0</v>
      </c>
      <c r="O270" s="9">
        <f>DATOSAÑO!CT269</f>
        <v>0</v>
      </c>
      <c r="P270" s="9">
        <f>DATOSAÑO!CU269</f>
        <v>0</v>
      </c>
      <c r="Q270" s="9">
        <f ca="1">DATOSAÑO!AD269</f>
        <v>0</v>
      </c>
      <c r="R270" s="11">
        <f ca="1">(Q270*DATOSAÑO!$Z$11)/DATOSAÑO!$Y$11</f>
        <v>0</v>
      </c>
      <c r="S270" s="9">
        <f ca="1">DATOSAÑO!AF269</f>
        <v>0</v>
      </c>
      <c r="T270" s="11">
        <f ca="1">(S270*DATOSAÑO!$Z$11)/DATOSAÑO!$Y$11</f>
        <v>0</v>
      </c>
      <c r="U270" s="9">
        <f ca="1">DATOSAÑO!AH269</f>
        <v>0</v>
      </c>
      <c r="V270" s="11">
        <f ca="1">(U270*DATOSAÑO!$Z$11)/DATOSAÑO!$Y$11</f>
        <v>0</v>
      </c>
      <c r="W270" s="9">
        <f ca="1">DATOSAÑO!AI269</f>
        <v>0</v>
      </c>
      <c r="X270" s="11">
        <f ca="1">(W270*DATOSAÑO!$Z$11)/DATOSAÑO!$Y$11</f>
        <v>0</v>
      </c>
      <c r="Y270" s="9">
        <f ca="1">DATOSAÑO!AJ269</f>
        <v>0</v>
      </c>
      <c r="Z270" s="11">
        <f ca="1">(Y270*DATOSAÑO!$Z$11)/DATOSAÑO!$Y$11</f>
        <v>0</v>
      </c>
      <c r="AA270" s="9">
        <f ca="1">DATOSAÑO!AK269</f>
        <v>0</v>
      </c>
      <c r="AB270" s="11">
        <f ca="1">(AA270*DATOSAÑO!$Z$11)/DATOSAÑO!$Y$11</f>
        <v>0</v>
      </c>
      <c r="AC270" s="9">
        <f ca="1">DATOSAÑO!AL269</f>
        <v>0</v>
      </c>
      <c r="AD270" s="11">
        <f ca="1">(AC270*DATOSAÑO!$Z$11)/DATOSAÑO!$Y$11</f>
        <v>0</v>
      </c>
      <c r="AE270" s="9">
        <f ca="1">DATOSAÑO!AM269</f>
        <v>0</v>
      </c>
      <c r="AF270" s="11">
        <f ca="1">(AE270*DATOSAÑO!$Z$11)/DATOSAÑO!$Y$11</f>
        <v>0</v>
      </c>
      <c r="AG270" s="9">
        <f ca="1">DATOSAÑO!AN269</f>
        <v>0</v>
      </c>
      <c r="AH270" s="11">
        <f ca="1">(AG270*DATOSAÑO!$Z$11)/DATOSAÑO!$Y$11</f>
        <v>0</v>
      </c>
      <c r="AI270" s="9">
        <f ca="1">DATOSAÑO!BS269</f>
        <v>0</v>
      </c>
      <c r="AJ270" s="11">
        <f ca="1">(AI270*DATOSAÑO!$Z$11)/DATOSAÑO!$Y$11</f>
        <v>0</v>
      </c>
      <c r="AK270" s="9">
        <f ca="1">DATOSAÑO!BV269</f>
        <v>0</v>
      </c>
      <c r="AL270" s="11">
        <f ca="1">(AK270*DATOSAÑO!$Z$11)/DATOSAÑO!$Y$11</f>
        <v>0</v>
      </c>
      <c r="AM270" s="9">
        <f ca="1">DATOSAÑO!BY269</f>
        <v>0</v>
      </c>
      <c r="AN270" s="11">
        <f ca="1">(AM270*DATOSAÑO!$Z$11)/DATOSAÑO!$Y$11</f>
        <v>0</v>
      </c>
      <c r="AO270" s="9">
        <f ca="1">DATOSAÑO!CF269</f>
        <v>0</v>
      </c>
      <c r="AP270" s="11">
        <f ca="1">(AO270*DATOSAÑO!$Z$11)/DATOSAÑO!$Y$11</f>
        <v>0</v>
      </c>
      <c r="AQ270" s="9">
        <f ca="1">DATOSAÑO!CL269</f>
        <v>0</v>
      </c>
      <c r="AR270" s="1300">
        <f ca="1">(AQ270*DATOSAÑO!$Z$11)/DATOSAÑO!$Y$11</f>
        <v>0</v>
      </c>
      <c r="AS270" s="1334">
        <f t="shared" si="14"/>
        <v>37</v>
      </c>
    </row>
    <row r="271" spans="1:45" ht="15" thickBot="1">
      <c r="A271" s="1371">
        <v>45186</v>
      </c>
      <c r="B271" s="1021">
        <v>45186</v>
      </c>
      <c r="C271" s="9">
        <f ca="1">DATOSAÑO!I270</f>
        <v>0</v>
      </c>
      <c r="D271" s="10">
        <f ca="1">DATOSAÑO!$D270</f>
        <v>0</v>
      </c>
      <c r="E271" s="11">
        <f ca="1">DATOSAÑO!$G270</f>
        <v>0</v>
      </c>
      <c r="F271" s="9">
        <f ca="1">DATOSAÑO!P270</f>
        <v>0</v>
      </c>
      <c r="G271" s="10">
        <f ca="1">DATOSAÑO!K270</f>
        <v>0</v>
      </c>
      <c r="H271" s="11">
        <f ca="1">DATOSAÑO!N270</f>
        <v>0</v>
      </c>
      <c r="I271" s="9">
        <f ca="1">DATOSAÑO!Q270</f>
        <v>0</v>
      </c>
      <c r="J271" s="11">
        <f ca="1">DATOSAÑO!R270</f>
        <v>0</v>
      </c>
      <c r="K271" s="9">
        <f ca="1">DATOSAÑO!T270</f>
        <v>0</v>
      </c>
      <c r="L271" s="11">
        <f t="shared" ca="1" si="12"/>
        <v>0</v>
      </c>
      <c r="M271" s="9"/>
      <c r="N271" s="11">
        <f t="shared" si="13"/>
        <v>0</v>
      </c>
      <c r="O271" s="9">
        <f>DATOSAÑO!CT270</f>
        <v>0</v>
      </c>
      <c r="P271" s="9">
        <f>DATOSAÑO!CU270</f>
        <v>0</v>
      </c>
      <c r="Q271" s="9">
        <f ca="1">DATOSAÑO!AD270</f>
        <v>0</v>
      </c>
      <c r="R271" s="11">
        <f ca="1">(Q271*DATOSAÑO!$Z$11)/DATOSAÑO!$Y$11</f>
        <v>0</v>
      </c>
      <c r="S271" s="9">
        <f ca="1">DATOSAÑO!AF270</f>
        <v>0</v>
      </c>
      <c r="T271" s="11">
        <f ca="1">(S271*DATOSAÑO!$Z$11)/DATOSAÑO!$Y$11</f>
        <v>0</v>
      </c>
      <c r="U271" s="9">
        <f ca="1">DATOSAÑO!AH270</f>
        <v>0</v>
      </c>
      <c r="V271" s="11">
        <f ca="1">(U271*DATOSAÑO!$Z$11)/DATOSAÑO!$Y$11</f>
        <v>0</v>
      </c>
      <c r="W271" s="9">
        <f ca="1">DATOSAÑO!AI270</f>
        <v>0</v>
      </c>
      <c r="X271" s="11">
        <f ca="1">(W271*DATOSAÑO!$Z$11)/DATOSAÑO!$Y$11</f>
        <v>0</v>
      </c>
      <c r="Y271" s="9">
        <f ca="1">DATOSAÑO!AJ270</f>
        <v>0</v>
      </c>
      <c r="Z271" s="11">
        <f ca="1">(Y271*DATOSAÑO!$Z$11)/DATOSAÑO!$Y$11</f>
        <v>0</v>
      </c>
      <c r="AA271" s="9">
        <f ca="1">DATOSAÑO!AK270</f>
        <v>0</v>
      </c>
      <c r="AB271" s="11">
        <f ca="1">(AA271*DATOSAÑO!$Z$11)/DATOSAÑO!$Y$11</f>
        <v>0</v>
      </c>
      <c r="AC271" s="9">
        <f ca="1">DATOSAÑO!AL270</f>
        <v>0</v>
      </c>
      <c r="AD271" s="11">
        <f ca="1">(AC271*DATOSAÑO!$Z$11)/DATOSAÑO!$Y$11</f>
        <v>0</v>
      </c>
      <c r="AE271" s="9">
        <f ca="1">DATOSAÑO!AM270</f>
        <v>0</v>
      </c>
      <c r="AF271" s="11">
        <f ca="1">(AE271*DATOSAÑO!$Z$11)/DATOSAÑO!$Y$11</f>
        <v>0</v>
      </c>
      <c r="AG271" s="9">
        <f ca="1">DATOSAÑO!AN270</f>
        <v>0</v>
      </c>
      <c r="AH271" s="11">
        <f ca="1">(AG271*DATOSAÑO!$Z$11)/DATOSAÑO!$Y$11</f>
        <v>0</v>
      </c>
      <c r="AI271" s="9">
        <f ca="1">DATOSAÑO!BS270</f>
        <v>0</v>
      </c>
      <c r="AJ271" s="11">
        <f ca="1">(AI271*DATOSAÑO!$Z$11)/DATOSAÑO!$Y$11</f>
        <v>0</v>
      </c>
      <c r="AK271" s="9">
        <f ca="1">DATOSAÑO!BV270</f>
        <v>0</v>
      </c>
      <c r="AL271" s="11">
        <f ca="1">(AK271*DATOSAÑO!$Z$11)/DATOSAÑO!$Y$11</f>
        <v>0</v>
      </c>
      <c r="AM271" s="9">
        <f ca="1">DATOSAÑO!BY270</f>
        <v>0</v>
      </c>
      <c r="AN271" s="11">
        <f ca="1">(AM271*DATOSAÑO!$Z$11)/DATOSAÑO!$Y$11</f>
        <v>0</v>
      </c>
      <c r="AO271" s="9">
        <f ca="1">DATOSAÑO!CF270</f>
        <v>0</v>
      </c>
      <c r="AP271" s="11">
        <f ca="1">(AO271*DATOSAÑO!$Z$11)/DATOSAÑO!$Y$11</f>
        <v>0</v>
      </c>
      <c r="AQ271" s="9">
        <f ca="1">DATOSAÑO!CL270</f>
        <v>0</v>
      </c>
      <c r="AR271" s="1300">
        <f ca="1">(AQ271*DATOSAÑO!$Z$11)/DATOSAÑO!$Y$11</f>
        <v>0</v>
      </c>
      <c r="AS271" s="1334">
        <f t="shared" si="14"/>
        <v>38</v>
      </c>
    </row>
    <row r="272" spans="1:45" ht="15" thickBot="1">
      <c r="A272" s="1371">
        <v>45187</v>
      </c>
      <c r="B272" s="1021">
        <v>45187</v>
      </c>
      <c r="C272" s="9">
        <f ca="1">DATOSAÑO!I271</f>
        <v>0</v>
      </c>
      <c r="D272" s="10">
        <f ca="1">DATOSAÑO!$D271</f>
        <v>0</v>
      </c>
      <c r="E272" s="11">
        <f ca="1">DATOSAÑO!$G271</f>
        <v>0</v>
      </c>
      <c r="F272" s="9">
        <f ca="1">DATOSAÑO!P271</f>
        <v>0</v>
      </c>
      <c r="G272" s="10">
        <f ca="1">DATOSAÑO!K271</f>
        <v>0</v>
      </c>
      <c r="H272" s="11">
        <f ca="1">DATOSAÑO!N271</f>
        <v>0</v>
      </c>
      <c r="I272" s="9">
        <f ca="1">DATOSAÑO!Q271</f>
        <v>0</v>
      </c>
      <c r="J272" s="11">
        <f ca="1">DATOSAÑO!R271</f>
        <v>0</v>
      </c>
      <c r="K272" s="9">
        <f ca="1">DATOSAÑO!T271</f>
        <v>0</v>
      </c>
      <c r="L272" s="11">
        <f t="shared" ca="1" si="12"/>
        <v>0</v>
      </c>
      <c r="M272" s="9"/>
      <c r="N272" s="11">
        <f t="shared" si="13"/>
        <v>0</v>
      </c>
      <c r="O272" s="9">
        <f>DATOSAÑO!CT271</f>
        <v>0</v>
      </c>
      <c r="P272" s="9">
        <f>DATOSAÑO!CU271</f>
        <v>0</v>
      </c>
      <c r="Q272" s="9">
        <f ca="1">DATOSAÑO!AD271</f>
        <v>0</v>
      </c>
      <c r="R272" s="11">
        <f ca="1">(Q272*DATOSAÑO!$Z$11)/DATOSAÑO!$Y$11</f>
        <v>0</v>
      </c>
      <c r="S272" s="9">
        <f ca="1">DATOSAÑO!AF271</f>
        <v>0</v>
      </c>
      <c r="T272" s="11">
        <f ca="1">(S272*DATOSAÑO!$Z$11)/DATOSAÑO!$Y$11</f>
        <v>0</v>
      </c>
      <c r="U272" s="9">
        <f ca="1">DATOSAÑO!AH271</f>
        <v>0</v>
      </c>
      <c r="V272" s="11">
        <f ca="1">(U272*DATOSAÑO!$Z$11)/DATOSAÑO!$Y$11</f>
        <v>0</v>
      </c>
      <c r="W272" s="9">
        <f ca="1">DATOSAÑO!AI271</f>
        <v>0</v>
      </c>
      <c r="X272" s="11">
        <f ca="1">(W272*DATOSAÑO!$Z$11)/DATOSAÑO!$Y$11</f>
        <v>0</v>
      </c>
      <c r="Y272" s="9">
        <f ca="1">DATOSAÑO!AJ271</f>
        <v>0</v>
      </c>
      <c r="Z272" s="11">
        <f ca="1">(Y272*DATOSAÑO!$Z$11)/DATOSAÑO!$Y$11</f>
        <v>0</v>
      </c>
      <c r="AA272" s="9">
        <f ca="1">DATOSAÑO!AK271</f>
        <v>0</v>
      </c>
      <c r="AB272" s="11">
        <f ca="1">(AA272*DATOSAÑO!$Z$11)/DATOSAÑO!$Y$11</f>
        <v>0</v>
      </c>
      <c r="AC272" s="9">
        <f ca="1">DATOSAÑO!AL271</f>
        <v>0</v>
      </c>
      <c r="AD272" s="11">
        <f ca="1">(AC272*DATOSAÑO!$Z$11)/DATOSAÑO!$Y$11</f>
        <v>0</v>
      </c>
      <c r="AE272" s="9">
        <f ca="1">DATOSAÑO!AM271</f>
        <v>0</v>
      </c>
      <c r="AF272" s="11">
        <f ca="1">(AE272*DATOSAÑO!$Z$11)/DATOSAÑO!$Y$11</f>
        <v>0</v>
      </c>
      <c r="AG272" s="9">
        <f ca="1">DATOSAÑO!AN271</f>
        <v>0</v>
      </c>
      <c r="AH272" s="11">
        <f ca="1">(AG272*DATOSAÑO!$Z$11)/DATOSAÑO!$Y$11</f>
        <v>0</v>
      </c>
      <c r="AI272" s="9">
        <f ca="1">DATOSAÑO!BS271</f>
        <v>0</v>
      </c>
      <c r="AJ272" s="11">
        <f ca="1">(AI272*DATOSAÑO!$Z$11)/DATOSAÑO!$Y$11</f>
        <v>0</v>
      </c>
      <c r="AK272" s="9">
        <f ca="1">DATOSAÑO!BV271</f>
        <v>0</v>
      </c>
      <c r="AL272" s="11">
        <f ca="1">(AK272*DATOSAÑO!$Z$11)/DATOSAÑO!$Y$11</f>
        <v>0</v>
      </c>
      <c r="AM272" s="9">
        <f ca="1">DATOSAÑO!BY271</f>
        <v>0</v>
      </c>
      <c r="AN272" s="11">
        <f ca="1">(AM272*DATOSAÑO!$Z$11)/DATOSAÑO!$Y$11</f>
        <v>0</v>
      </c>
      <c r="AO272" s="9">
        <f ca="1">DATOSAÑO!CF271</f>
        <v>0</v>
      </c>
      <c r="AP272" s="11">
        <f ca="1">(AO272*DATOSAÑO!$Z$11)/DATOSAÑO!$Y$11</f>
        <v>0</v>
      </c>
      <c r="AQ272" s="9">
        <f ca="1">DATOSAÑO!CL271</f>
        <v>0</v>
      </c>
      <c r="AR272" s="1300">
        <f ca="1">(AQ272*DATOSAÑO!$Z$11)/DATOSAÑO!$Y$11</f>
        <v>0</v>
      </c>
      <c r="AS272" s="1334">
        <f t="shared" si="14"/>
        <v>38</v>
      </c>
    </row>
    <row r="273" spans="1:45" ht="15" thickBot="1">
      <c r="A273" s="1371">
        <v>45188</v>
      </c>
      <c r="B273" s="1021">
        <v>45188</v>
      </c>
      <c r="C273" s="9">
        <f ca="1">DATOSAÑO!I272</f>
        <v>0</v>
      </c>
      <c r="D273" s="10">
        <f ca="1">DATOSAÑO!$D272</f>
        <v>0</v>
      </c>
      <c r="E273" s="11">
        <f ca="1">DATOSAÑO!$G272</f>
        <v>0</v>
      </c>
      <c r="F273" s="9">
        <f ca="1">DATOSAÑO!P272</f>
        <v>0</v>
      </c>
      <c r="G273" s="10">
        <f ca="1">DATOSAÑO!K272</f>
        <v>0</v>
      </c>
      <c r="H273" s="11">
        <f ca="1">DATOSAÑO!N272</f>
        <v>0</v>
      </c>
      <c r="I273" s="9">
        <f ca="1">DATOSAÑO!Q272</f>
        <v>0</v>
      </c>
      <c r="J273" s="11">
        <f ca="1">DATOSAÑO!R272</f>
        <v>0</v>
      </c>
      <c r="K273" s="9">
        <f ca="1">DATOSAÑO!T272</f>
        <v>0</v>
      </c>
      <c r="L273" s="11">
        <f t="shared" ca="1" si="12"/>
        <v>0</v>
      </c>
      <c r="M273" s="9"/>
      <c r="N273" s="11">
        <f t="shared" si="13"/>
        <v>0</v>
      </c>
      <c r="O273" s="9">
        <f>DATOSAÑO!CT272</f>
        <v>0</v>
      </c>
      <c r="P273" s="9">
        <f>DATOSAÑO!CU272</f>
        <v>0</v>
      </c>
      <c r="Q273" s="9">
        <f ca="1">DATOSAÑO!AD272</f>
        <v>0</v>
      </c>
      <c r="R273" s="11">
        <f ca="1">(Q273*DATOSAÑO!$Z$11)/DATOSAÑO!$Y$11</f>
        <v>0</v>
      </c>
      <c r="S273" s="9">
        <f ca="1">DATOSAÑO!AF272</f>
        <v>0</v>
      </c>
      <c r="T273" s="11">
        <f ca="1">(S273*DATOSAÑO!$Z$11)/DATOSAÑO!$Y$11</f>
        <v>0</v>
      </c>
      <c r="U273" s="9">
        <f ca="1">DATOSAÑO!AH272</f>
        <v>0</v>
      </c>
      <c r="V273" s="11">
        <f ca="1">(U273*DATOSAÑO!$Z$11)/DATOSAÑO!$Y$11</f>
        <v>0</v>
      </c>
      <c r="W273" s="9">
        <f ca="1">DATOSAÑO!AI272</f>
        <v>0</v>
      </c>
      <c r="X273" s="11">
        <f ca="1">(W273*DATOSAÑO!$Z$11)/DATOSAÑO!$Y$11</f>
        <v>0</v>
      </c>
      <c r="Y273" s="9">
        <f ca="1">DATOSAÑO!AJ272</f>
        <v>0</v>
      </c>
      <c r="Z273" s="11">
        <f ca="1">(Y273*DATOSAÑO!$Z$11)/DATOSAÑO!$Y$11</f>
        <v>0</v>
      </c>
      <c r="AA273" s="9">
        <f ca="1">DATOSAÑO!AK272</f>
        <v>0</v>
      </c>
      <c r="AB273" s="11">
        <f ca="1">(AA273*DATOSAÑO!$Z$11)/DATOSAÑO!$Y$11</f>
        <v>0</v>
      </c>
      <c r="AC273" s="9">
        <f ca="1">DATOSAÑO!AL272</f>
        <v>0</v>
      </c>
      <c r="AD273" s="11">
        <f ca="1">(AC273*DATOSAÑO!$Z$11)/DATOSAÑO!$Y$11</f>
        <v>0</v>
      </c>
      <c r="AE273" s="9">
        <f ca="1">DATOSAÑO!AM272</f>
        <v>0</v>
      </c>
      <c r="AF273" s="11">
        <f ca="1">(AE273*DATOSAÑO!$Z$11)/DATOSAÑO!$Y$11</f>
        <v>0</v>
      </c>
      <c r="AG273" s="9">
        <f ca="1">DATOSAÑO!AN272</f>
        <v>0</v>
      </c>
      <c r="AH273" s="11">
        <f ca="1">(AG273*DATOSAÑO!$Z$11)/DATOSAÑO!$Y$11</f>
        <v>0</v>
      </c>
      <c r="AI273" s="9">
        <f ca="1">DATOSAÑO!BS272</f>
        <v>0</v>
      </c>
      <c r="AJ273" s="11">
        <f ca="1">(AI273*DATOSAÑO!$Z$11)/DATOSAÑO!$Y$11</f>
        <v>0</v>
      </c>
      <c r="AK273" s="9">
        <f ca="1">DATOSAÑO!BV272</f>
        <v>0</v>
      </c>
      <c r="AL273" s="11">
        <f ca="1">(AK273*DATOSAÑO!$Z$11)/DATOSAÑO!$Y$11</f>
        <v>0</v>
      </c>
      <c r="AM273" s="9">
        <f ca="1">DATOSAÑO!BY272</f>
        <v>0</v>
      </c>
      <c r="AN273" s="11">
        <f ca="1">(AM273*DATOSAÑO!$Z$11)/DATOSAÑO!$Y$11</f>
        <v>0</v>
      </c>
      <c r="AO273" s="9">
        <f ca="1">DATOSAÑO!CF272</f>
        <v>0</v>
      </c>
      <c r="AP273" s="11">
        <f ca="1">(AO273*DATOSAÑO!$Z$11)/DATOSAÑO!$Y$11</f>
        <v>0</v>
      </c>
      <c r="AQ273" s="9">
        <f ca="1">DATOSAÑO!CL272</f>
        <v>0</v>
      </c>
      <c r="AR273" s="1300">
        <f ca="1">(AQ273*DATOSAÑO!$Z$11)/DATOSAÑO!$Y$11</f>
        <v>0</v>
      </c>
      <c r="AS273" s="1334">
        <f t="shared" si="14"/>
        <v>38</v>
      </c>
    </row>
    <row r="274" spans="1:45" ht="15" thickBot="1">
      <c r="A274" s="1371">
        <v>45189</v>
      </c>
      <c r="B274" s="1021">
        <v>45189</v>
      </c>
      <c r="C274" s="9">
        <f ca="1">DATOSAÑO!I273</f>
        <v>0</v>
      </c>
      <c r="D274" s="10">
        <f ca="1">DATOSAÑO!$D273</f>
        <v>0</v>
      </c>
      <c r="E274" s="11">
        <f ca="1">DATOSAÑO!$G273</f>
        <v>0</v>
      </c>
      <c r="F274" s="9">
        <f ca="1">DATOSAÑO!P273</f>
        <v>0</v>
      </c>
      <c r="G274" s="10">
        <f ca="1">DATOSAÑO!K273</f>
        <v>0</v>
      </c>
      <c r="H274" s="11">
        <f ca="1">DATOSAÑO!N273</f>
        <v>0</v>
      </c>
      <c r="I274" s="9">
        <f ca="1">DATOSAÑO!Q273</f>
        <v>0</v>
      </c>
      <c r="J274" s="11">
        <f ca="1">DATOSAÑO!R273</f>
        <v>0</v>
      </c>
      <c r="K274" s="9">
        <f ca="1">DATOSAÑO!T273</f>
        <v>0</v>
      </c>
      <c r="L274" s="11">
        <f t="shared" ca="1" si="12"/>
        <v>0</v>
      </c>
      <c r="M274" s="9"/>
      <c r="N274" s="11">
        <f t="shared" si="13"/>
        <v>0</v>
      </c>
      <c r="O274" s="9">
        <f>DATOSAÑO!CT273</f>
        <v>0</v>
      </c>
      <c r="P274" s="9">
        <f>DATOSAÑO!CU273</f>
        <v>0</v>
      </c>
      <c r="Q274" s="9">
        <f ca="1">DATOSAÑO!AD273</f>
        <v>0</v>
      </c>
      <c r="R274" s="11">
        <f ca="1">(Q274*DATOSAÑO!$Z$11)/DATOSAÑO!$Y$11</f>
        <v>0</v>
      </c>
      <c r="S274" s="9">
        <f ca="1">DATOSAÑO!AF273</f>
        <v>0</v>
      </c>
      <c r="T274" s="11">
        <f ca="1">(S274*DATOSAÑO!$Z$11)/DATOSAÑO!$Y$11</f>
        <v>0</v>
      </c>
      <c r="U274" s="9">
        <f ca="1">DATOSAÑO!AH273</f>
        <v>0</v>
      </c>
      <c r="V274" s="11">
        <f ca="1">(U274*DATOSAÑO!$Z$11)/DATOSAÑO!$Y$11</f>
        <v>0</v>
      </c>
      <c r="W274" s="9">
        <f ca="1">DATOSAÑO!AI273</f>
        <v>0</v>
      </c>
      <c r="X274" s="11">
        <f ca="1">(W274*DATOSAÑO!$Z$11)/DATOSAÑO!$Y$11</f>
        <v>0</v>
      </c>
      <c r="Y274" s="9">
        <f ca="1">DATOSAÑO!AJ273</f>
        <v>0</v>
      </c>
      <c r="Z274" s="11">
        <f ca="1">(Y274*DATOSAÑO!$Z$11)/DATOSAÑO!$Y$11</f>
        <v>0</v>
      </c>
      <c r="AA274" s="9">
        <f ca="1">DATOSAÑO!AK273</f>
        <v>0</v>
      </c>
      <c r="AB274" s="11">
        <f ca="1">(AA274*DATOSAÑO!$Z$11)/DATOSAÑO!$Y$11</f>
        <v>0</v>
      </c>
      <c r="AC274" s="9">
        <f ca="1">DATOSAÑO!AL273</f>
        <v>0</v>
      </c>
      <c r="AD274" s="11">
        <f ca="1">(AC274*DATOSAÑO!$Z$11)/DATOSAÑO!$Y$11</f>
        <v>0</v>
      </c>
      <c r="AE274" s="9">
        <f ca="1">DATOSAÑO!AM273</f>
        <v>0</v>
      </c>
      <c r="AF274" s="11">
        <f ca="1">(AE274*DATOSAÑO!$Z$11)/DATOSAÑO!$Y$11</f>
        <v>0</v>
      </c>
      <c r="AG274" s="9">
        <f ca="1">DATOSAÑO!AN273</f>
        <v>0</v>
      </c>
      <c r="AH274" s="11">
        <f ca="1">(AG274*DATOSAÑO!$Z$11)/DATOSAÑO!$Y$11</f>
        <v>0</v>
      </c>
      <c r="AI274" s="9">
        <f ca="1">DATOSAÑO!BS273</f>
        <v>0</v>
      </c>
      <c r="AJ274" s="11">
        <f ca="1">(AI274*DATOSAÑO!$Z$11)/DATOSAÑO!$Y$11</f>
        <v>0</v>
      </c>
      <c r="AK274" s="9">
        <f ca="1">DATOSAÑO!BV273</f>
        <v>0</v>
      </c>
      <c r="AL274" s="11">
        <f ca="1">(AK274*DATOSAÑO!$Z$11)/DATOSAÑO!$Y$11</f>
        <v>0</v>
      </c>
      <c r="AM274" s="9">
        <f ca="1">DATOSAÑO!BY273</f>
        <v>0</v>
      </c>
      <c r="AN274" s="11">
        <f ca="1">(AM274*DATOSAÑO!$Z$11)/DATOSAÑO!$Y$11</f>
        <v>0</v>
      </c>
      <c r="AO274" s="9">
        <f ca="1">DATOSAÑO!CF273</f>
        <v>0</v>
      </c>
      <c r="AP274" s="11">
        <f ca="1">(AO274*DATOSAÑO!$Z$11)/DATOSAÑO!$Y$11</f>
        <v>0</v>
      </c>
      <c r="AQ274" s="9">
        <f ca="1">DATOSAÑO!CL273</f>
        <v>0</v>
      </c>
      <c r="AR274" s="1300">
        <f ca="1">(AQ274*DATOSAÑO!$Z$11)/DATOSAÑO!$Y$11</f>
        <v>0</v>
      </c>
      <c r="AS274" s="1334">
        <f t="shared" si="14"/>
        <v>38</v>
      </c>
    </row>
    <row r="275" spans="1:45" ht="15" thickBot="1">
      <c r="A275" s="1371">
        <v>45190</v>
      </c>
      <c r="B275" s="1021">
        <v>45190</v>
      </c>
      <c r="C275" s="9">
        <f ca="1">DATOSAÑO!I274</f>
        <v>0</v>
      </c>
      <c r="D275" s="10">
        <f ca="1">DATOSAÑO!$D274</f>
        <v>0</v>
      </c>
      <c r="E275" s="11">
        <f ca="1">DATOSAÑO!$G274</f>
        <v>0</v>
      </c>
      <c r="F275" s="9">
        <f ca="1">DATOSAÑO!P274</f>
        <v>0</v>
      </c>
      <c r="G275" s="10">
        <f ca="1">DATOSAÑO!K274</f>
        <v>0</v>
      </c>
      <c r="H275" s="11">
        <f ca="1">DATOSAÑO!N274</f>
        <v>0</v>
      </c>
      <c r="I275" s="9">
        <f ca="1">DATOSAÑO!Q274</f>
        <v>0</v>
      </c>
      <c r="J275" s="11">
        <f ca="1">DATOSAÑO!R274</f>
        <v>0</v>
      </c>
      <c r="K275" s="9">
        <f ca="1">DATOSAÑO!T274</f>
        <v>0</v>
      </c>
      <c r="L275" s="11">
        <f t="shared" ca="1" si="12"/>
        <v>0</v>
      </c>
      <c r="M275" s="9"/>
      <c r="N275" s="11">
        <f t="shared" si="13"/>
        <v>0</v>
      </c>
      <c r="O275" s="9">
        <f>DATOSAÑO!CT274</f>
        <v>0</v>
      </c>
      <c r="P275" s="9">
        <f>DATOSAÑO!CU274</f>
        <v>0</v>
      </c>
      <c r="Q275" s="9">
        <f ca="1">DATOSAÑO!AD274</f>
        <v>0</v>
      </c>
      <c r="R275" s="11">
        <f ca="1">(Q275*DATOSAÑO!$Z$11)/DATOSAÑO!$Y$11</f>
        <v>0</v>
      </c>
      <c r="S275" s="9">
        <f ca="1">DATOSAÑO!AF274</f>
        <v>0</v>
      </c>
      <c r="T275" s="11">
        <f ca="1">(S275*DATOSAÑO!$Z$11)/DATOSAÑO!$Y$11</f>
        <v>0</v>
      </c>
      <c r="U275" s="9">
        <f ca="1">DATOSAÑO!AH274</f>
        <v>0</v>
      </c>
      <c r="V275" s="11">
        <f ca="1">(U275*DATOSAÑO!$Z$11)/DATOSAÑO!$Y$11</f>
        <v>0</v>
      </c>
      <c r="W275" s="9">
        <f ca="1">DATOSAÑO!AI274</f>
        <v>0</v>
      </c>
      <c r="X275" s="11">
        <f ca="1">(W275*DATOSAÑO!$Z$11)/DATOSAÑO!$Y$11</f>
        <v>0</v>
      </c>
      <c r="Y275" s="9">
        <f ca="1">DATOSAÑO!AJ274</f>
        <v>0</v>
      </c>
      <c r="Z275" s="11">
        <f ca="1">(Y275*DATOSAÑO!$Z$11)/DATOSAÑO!$Y$11</f>
        <v>0</v>
      </c>
      <c r="AA275" s="9">
        <f ca="1">DATOSAÑO!AK274</f>
        <v>0</v>
      </c>
      <c r="AB275" s="11">
        <f ca="1">(AA275*DATOSAÑO!$Z$11)/DATOSAÑO!$Y$11</f>
        <v>0</v>
      </c>
      <c r="AC275" s="9">
        <f ca="1">DATOSAÑO!AL274</f>
        <v>0</v>
      </c>
      <c r="AD275" s="11">
        <f ca="1">(AC275*DATOSAÑO!$Z$11)/DATOSAÑO!$Y$11</f>
        <v>0</v>
      </c>
      <c r="AE275" s="9">
        <f ca="1">DATOSAÑO!AM274</f>
        <v>0</v>
      </c>
      <c r="AF275" s="11">
        <f ca="1">(AE275*DATOSAÑO!$Z$11)/DATOSAÑO!$Y$11</f>
        <v>0</v>
      </c>
      <c r="AG275" s="9">
        <f ca="1">DATOSAÑO!AN274</f>
        <v>0</v>
      </c>
      <c r="AH275" s="11">
        <f ca="1">(AG275*DATOSAÑO!$Z$11)/DATOSAÑO!$Y$11</f>
        <v>0</v>
      </c>
      <c r="AI275" s="9">
        <f ca="1">DATOSAÑO!BS274</f>
        <v>0</v>
      </c>
      <c r="AJ275" s="11">
        <f ca="1">(AI275*DATOSAÑO!$Z$11)/DATOSAÑO!$Y$11</f>
        <v>0</v>
      </c>
      <c r="AK275" s="9">
        <f ca="1">DATOSAÑO!BV274</f>
        <v>0</v>
      </c>
      <c r="AL275" s="11">
        <f ca="1">(AK275*DATOSAÑO!$Z$11)/DATOSAÑO!$Y$11</f>
        <v>0</v>
      </c>
      <c r="AM275" s="9">
        <f ca="1">DATOSAÑO!BY274</f>
        <v>0</v>
      </c>
      <c r="AN275" s="11">
        <f ca="1">(AM275*DATOSAÑO!$Z$11)/DATOSAÑO!$Y$11</f>
        <v>0</v>
      </c>
      <c r="AO275" s="9">
        <f ca="1">DATOSAÑO!CF274</f>
        <v>0</v>
      </c>
      <c r="AP275" s="11">
        <f ca="1">(AO275*DATOSAÑO!$Z$11)/DATOSAÑO!$Y$11</f>
        <v>0</v>
      </c>
      <c r="AQ275" s="9">
        <f ca="1">DATOSAÑO!CL274</f>
        <v>0</v>
      </c>
      <c r="AR275" s="1300">
        <f ca="1">(AQ275*DATOSAÑO!$Z$11)/DATOSAÑO!$Y$11</f>
        <v>0</v>
      </c>
      <c r="AS275" s="1334">
        <f t="shared" si="14"/>
        <v>38</v>
      </c>
    </row>
    <row r="276" spans="1:45" ht="15" thickBot="1">
      <c r="A276" s="1371">
        <v>45191</v>
      </c>
      <c r="B276" s="1021">
        <v>45191</v>
      </c>
      <c r="C276" s="9">
        <f ca="1">DATOSAÑO!I275</f>
        <v>0</v>
      </c>
      <c r="D276" s="10">
        <f ca="1">DATOSAÑO!$D275</f>
        <v>0</v>
      </c>
      <c r="E276" s="11">
        <f ca="1">DATOSAÑO!$G275</f>
        <v>0</v>
      </c>
      <c r="F276" s="9">
        <f ca="1">DATOSAÑO!P275</f>
        <v>0</v>
      </c>
      <c r="G276" s="10">
        <f ca="1">DATOSAÑO!K275</f>
        <v>0</v>
      </c>
      <c r="H276" s="11">
        <f ca="1">DATOSAÑO!N275</f>
        <v>0</v>
      </c>
      <c r="I276" s="9">
        <f ca="1">DATOSAÑO!Q275</f>
        <v>0</v>
      </c>
      <c r="J276" s="11">
        <f ca="1">DATOSAÑO!R275</f>
        <v>0</v>
      </c>
      <c r="K276" s="9">
        <f ca="1">DATOSAÑO!T275</f>
        <v>0</v>
      </c>
      <c r="L276" s="11">
        <f t="shared" ca="1" si="12"/>
        <v>0</v>
      </c>
      <c r="M276" s="9"/>
      <c r="N276" s="11">
        <f t="shared" si="13"/>
        <v>0</v>
      </c>
      <c r="O276" s="9">
        <f>DATOSAÑO!CT275</f>
        <v>0</v>
      </c>
      <c r="P276" s="9">
        <f>DATOSAÑO!CU275</f>
        <v>0</v>
      </c>
      <c r="Q276" s="9">
        <f ca="1">DATOSAÑO!AD275</f>
        <v>0</v>
      </c>
      <c r="R276" s="11">
        <f ca="1">(Q276*DATOSAÑO!$Z$11)/DATOSAÑO!$Y$11</f>
        <v>0</v>
      </c>
      <c r="S276" s="9">
        <f ca="1">DATOSAÑO!AF275</f>
        <v>0</v>
      </c>
      <c r="T276" s="11">
        <f ca="1">(S276*DATOSAÑO!$Z$11)/DATOSAÑO!$Y$11</f>
        <v>0</v>
      </c>
      <c r="U276" s="9">
        <f ca="1">DATOSAÑO!AH275</f>
        <v>0</v>
      </c>
      <c r="V276" s="11">
        <f ca="1">(U276*DATOSAÑO!$Z$11)/DATOSAÑO!$Y$11</f>
        <v>0</v>
      </c>
      <c r="W276" s="9">
        <f ca="1">DATOSAÑO!AI275</f>
        <v>0</v>
      </c>
      <c r="X276" s="11">
        <f ca="1">(W276*DATOSAÑO!$Z$11)/DATOSAÑO!$Y$11</f>
        <v>0</v>
      </c>
      <c r="Y276" s="9">
        <f ca="1">DATOSAÑO!AJ275</f>
        <v>0</v>
      </c>
      <c r="Z276" s="11">
        <f ca="1">(Y276*DATOSAÑO!$Z$11)/DATOSAÑO!$Y$11</f>
        <v>0</v>
      </c>
      <c r="AA276" s="9">
        <f ca="1">DATOSAÑO!AK275</f>
        <v>0</v>
      </c>
      <c r="AB276" s="11">
        <f ca="1">(AA276*DATOSAÑO!$Z$11)/DATOSAÑO!$Y$11</f>
        <v>0</v>
      </c>
      <c r="AC276" s="9">
        <f ca="1">DATOSAÑO!AL275</f>
        <v>0</v>
      </c>
      <c r="AD276" s="11">
        <f ca="1">(AC276*DATOSAÑO!$Z$11)/DATOSAÑO!$Y$11</f>
        <v>0</v>
      </c>
      <c r="AE276" s="9">
        <f ca="1">DATOSAÑO!AM275</f>
        <v>0</v>
      </c>
      <c r="AF276" s="11">
        <f ca="1">(AE276*DATOSAÑO!$Z$11)/DATOSAÑO!$Y$11</f>
        <v>0</v>
      </c>
      <c r="AG276" s="9">
        <f ca="1">DATOSAÑO!AN275</f>
        <v>0</v>
      </c>
      <c r="AH276" s="11">
        <f ca="1">(AG276*DATOSAÑO!$Z$11)/DATOSAÑO!$Y$11</f>
        <v>0</v>
      </c>
      <c r="AI276" s="9">
        <f ca="1">DATOSAÑO!BS275</f>
        <v>0</v>
      </c>
      <c r="AJ276" s="11">
        <f ca="1">(AI276*DATOSAÑO!$Z$11)/DATOSAÑO!$Y$11</f>
        <v>0</v>
      </c>
      <c r="AK276" s="9">
        <f ca="1">DATOSAÑO!BV275</f>
        <v>0</v>
      </c>
      <c r="AL276" s="11">
        <f ca="1">(AK276*DATOSAÑO!$Z$11)/DATOSAÑO!$Y$11</f>
        <v>0</v>
      </c>
      <c r="AM276" s="9">
        <f ca="1">DATOSAÑO!BY275</f>
        <v>0</v>
      </c>
      <c r="AN276" s="11">
        <f ca="1">(AM276*DATOSAÑO!$Z$11)/DATOSAÑO!$Y$11</f>
        <v>0</v>
      </c>
      <c r="AO276" s="9">
        <f ca="1">DATOSAÑO!CF275</f>
        <v>0</v>
      </c>
      <c r="AP276" s="11">
        <f ca="1">(AO276*DATOSAÑO!$Z$11)/DATOSAÑO!$Y$11</f>
        <v>0</v>
      </c>
      <c r="AQ276" s="9">
        <f ca="1">DATOSAÑO!CL275</f>
        <v>0</v>
      </c>
      <c r="AR276" s="1300">
        <f ca="1">(AQ276*DATOSAÑO!$Z$11)/DATOSAÑO!$Y$11</f>
        <v>0</v>
      </c>
      <c r="AS276" s="1334">
        <f t="shared" si="14"/>
        <v>38</v>
      </c>
    </row>
    <row r="277" spans="1:45" ht="15" thickBot="1">
      <c r="A277" s="1371">
        <v>45192</v>
      </c>
      <c r="B277" s="1021">
        <v>45192</v>
      </c>
      <c r="C277" s="9">
        <f ca="1">DATOSAÑO!I276</f>
        <v>0</v>
      </c>
      <c r="D277" s="10">
        <f ca="1">DATOSAÑO!$D276</f>
        <v>0</v>
      </c>
      <c r="E277" s="11">
        <f ca="1">DATOSAÑO!$G276</f>
        <v>0</v>
      </c>
      <c r="F277" s="9">
        <f ca="1">DATOSAÑO!P276</f>
        <v>0</v>
      </c>
      <c r="G277" s="10">
        <f ca="1">DATOSAÑO!K276</f>
        <v>0</v>
      </c>
      <c r="H277" s="11">
        <f ca="1">DATOSAÑO!N276</f>
        <v>0</v>
      </c>
      <c r="I277" s="9">
        <f ca="1">DATOSAÑO!Q276</f>
        <v>0</v>
      </c>
      <c r="J277" s="11">
        <f ca="1">DATOSAÑO!R276</f>
        <v>0</v>
      </c>
      <c r="K277" s="9">
        <f ca="1">DATOSAÑO!T276</f>
        <v>0</v>
      </c>
      <c r="L277" s="11">
        <f t="shared" ca="1" si="12"/>
        <v>0</v>
      </c>
      <c r="M277" s="9"/>
      <c r="N277" s="11">
        <f t="shared" si="13"/>
        <v>0</v>
      </c>
      <c r="O277" s="9">
        <f>DATOSAÑO!CT276</f>
        <v>0</v>
      </c>
      <c r="P277" s="9">
        <f>DATOSAÑO!CU276</f>
        <v>0</v>
      </c>
      <c r="Q277" s="9">
        <f ca="1">DATOSAÑO!AD276</f>
        <v>0</v>
      </c>
      <c r="R277" s="11">
        <f ca="1">(Q277*DATOSAÑO!$Z$11)/DATOSAÑO!$Y$11</f>
        <v>0</v>
      </c>
      <c r="S277" s="9">
        <f ca="1">DATOSAÑO!AF276</f>
        <v>0</v>
      </c>
      <c r="T277" s="11">
        <f ca="1">(S277*DATOSAÑO!$Z$11)/DATOSAÑO!$Y$11</f>
        <v>0</v>
      </c>
      <c r="U277" s="9">
        <f ca="1">DATOSAÑO!AH276</f>
        <v>0</v>
      </c>
      <c r="V277" s="11">
        <f ca="1">(U277*DATOSAÑO!$Z$11)/DATOSAÑO!$Y$11</f>
        <v>0</v>
      </c>
      <c r="W277" s="9">
        <f ca="1">DATOSAÑO!AI276</f>
        <v>0</v>
      </c>
      <c r="X277" s="11">
        <f ca="1">(W277*DATOSAÑO!$Z$11)/DATOSAÑO!$Y$11</f>
        <v>0</v>
      </c>
      <c r="Y277" s="9">
        <f ca="1">DATOSAÑO!AJ276</f>
        <v>0</v>
      </c>
      <c r="Z277" s="11">
        <f ca="1">(Y277*DATOSAÑO!$Z$11)/DATOSAÑO!$Y$11</f>
        <v>0</v>
      </c>
      <c r="AA277" s="9">
        <f ca="1">DATOSAÑO!AK276</f>
        <v>0</v>
      </c>
      <c r="AB277" s="11">
        <f ca="1">(AA277*DATOSAÑO!$Z$11)/DATOSAÑO!$Y$11</f>
        <v>0</v>
      </c>
      <c r="AC277" s="9">
        <f ca="1">DATOSAÑO!AL276</f>
        <v>0</v>
      </c>
      <c r="AD277" s="11">
        <f ca="1">(AC277*DATOSAÑO!$Z$11)/DATOSAÑO!$Y$11</f>
        <v>0</v>
      </c>
      <c r="AE277" s="9">
        <f ca="1">DATOSAÑO!AM276</f>
        <v>0</v>
      </c>
      <c r="AF277" s="11">
        <f ca="1">(AE277*DATOSAÑO!$Z$11)/DATOSAÑO!$Y$11</f>
        <v>0</v>
      </c>
      <c r="AG277" s="9">
        <f ca="1">DATOSAÑO!AN276</f>
        <v>0</v>
      </c>
      <c r="AH277" s="11">
        <f ca="1">(AG277*DATOSAÑO!$Z$11)/DATOSAÑO!$Y$11</f>
        <v>0</v>
      </c>
      <c r="AI277" s="9">
        <f ca="1">DATOSAÑO!BS276</f>
        <v>0</v>
      </c>
      <c r="AJ277" s="11">
        <f ca="1">(AI277*DATOSAÑO!$Z$11)/DATOSAÑO!$Y$11</f>
        <v>0</v>
      </c>
      <c r="AK277" s="9">
        <f ca="1">DATOSAÑO!BV276</f>
        <v>0</v>
      </c>
      <c r="AL277" s="11">
        <f ca="1">(AK277*DATOSAÑO!$Z$11)/DATOSAÑO!$Y$11</f>
        <v>0</v>
      </c>
      <c r="AM277" s="9">
        <f ca="1">DATOSAÑO!BY276</f>
        <v>0</v>
      </c>
      <c r="AN277" s="11">
        <f ca="1">(AM277*DATOSAÑO!$Z$11)/DATOSAÑO!$Y$11</f>
        <v>0</v>
      </c>
      <c r="AO277" s="9">
        <f ca="1">DATOSAÑO!CF276</f>
        <v>0</v>
      </c>
      <c r="AP277" s="11">
        <f ca="1">(AO277*DATOSAÑO!$Z$11)/DATOSAÑO!$Y$11</f>
        <v>0</v>
      </c>
      <c r="AQ277" s="9">
        <f ca="1">DATOSAÑO!CL276</f>
        <v>0</v>
      </c>
      <c r="AR277" s="1300">
        <f ca="1">(AQ277*DATOSAÑO!$Z$11)/DATOSAÑO!$Y$11</f>
        <v>0</v>
      </c>
      <c r="AS277" s="1334">
        <f t="shared" si="14"/>
        <v>38</v>
      </c>
    </row>
    <row r="278" spans="1:45" ht="15" thickBot="1">
      <c r="A278" s="1371">
        <v>45193</v>
      </c>
      <c r="B278" s="1021">
        <v>45193</v>
      </c>
      <c r="C278" s="9">
        <f ca="1">DATOSAÑO!I277</f>
        <v>0</v>
      </c>
      <c r="D278" s="10">
        <f ca="1">DATOSAÑO!$D277</f>
        <v>0</v>
      </c>
      <c r="E278" s="11">
        <f ca="1">DATOSAÑO!$G277</f>
        <v>0</v>
      </c>
      <c r="F278" s="9">
        <f ca="1">DATOSAÑO!P277</f>
        <v>0</v>
      </c>
      <c r="G278" s="10">
        <f ca="1">DATOSAÑO!K277</f>
        <v>0</v>
      </c>
      <c r="H278" s="11">
        <f ca="1">DATOSAÑO!N277</f>
        <v>0</v>
      </c>
      <c r="I278" s="9">
        <f ca="1">DATOSAÑO!Q277</f>
        <v>0</v>
      </c>
      <c r="J278" s="11">
        <f ca="1">DATOSAÑO!R277</f>
        <v>0</v>
      </c>
      <c r="K278" s="9">
        <f ca="1">DATOSAÑO!T277</f>
        <v>0</v>
      </c>
      <c r="L278" s="11">
        <f t="shared" ca="1" si="12"/>
        <v>0</v>
      </c>
      <c r="M278" s="9"/>
      <c r="N278" s="11">
        <f t="shared" si="13"/>
        <v>0</v>
      </c>
      <c r="O278" s="9">
        <f>DATOSAÑO!CT277</f>
        <v>0</v>
      </c>
      <c r="P278" s="9">
        <f>DATOSAÑO!CU277</f>
        <v>0</v>
      </c>
      <c r="Q278" s="9">
        <f ca="1">DATOSAÑO!AD277</f>
        <v>0</v>
      </c>
      <c r="R278" s="11">
        <f ca="1">(Q278*DATOSAÑO!$Z$11)/DATOSAÑO!$Y$11</f>
        <v>0</v>
      </c>
      <c r="S278" s="9">
        <f ca="1">DATOSAÑO!AF277</f>
        <v>0</v>
      </c>
      <c r="T278" s="11">
        <f ca="1">(S278*DATOSAÑO!$Z$11)/DATOSAÑO!$Y$11</f>
        <v>0</v>
      </c>
      <c r="U278" s="9">
        <f ca="1">DATOSAÑO!AH277</f>
        <v>0</v>
      </c>
      <c r="V278" s="11">
        <f ca="1">(U278*DATOSAÑO!$Z$11)/DATOSAÑO!$Y$11</f>
        <v>0</v>
      </c>
      <c r="W278" s="9">
        <f ca="1">DATOSAÑO!AI277</f>
        <v>0</v>
      </c>
      <c r="X278" s="11">
        <f ca="1">(W278*DATOSAÑO!$Z$11)/DATOSAÑO!$Y$11</f>
        <v>0</v>
      </c>
      <c r="Y278" s="9">
        <f ca="1">DATOSAÑO!AJ277</f>
        <v>0</v>
      </c>
      <c r="Z278" s="11">
        <f ca="1">(Y278*DATOSAÑO!$Z$11)/DATOSAÑO!$Y$11</f>
        <v>0</v>
      </c>
      <c r="AA278" s="9">
        <f ca="1">DATOSAÑO!AK277</f>
        <v>0</v>
      </c>
      <c r="AB278" s="11">
        <f ca="1">(AA278*DATOSAÑO!$Z$11)/DATOSAÑO!$Y$11</f>
        <v>0</v>
      </c>
      <c r="AC278" s="9">
        <f ca="1">DATOSAÑO!AL277</f>
        <v>0</v>
      </c>
      <c r="AD278" s="11">
        <f ca="1">(AC278*DATOSAÑO!$Z$11)/DATOSAÑO!$Y$11</f>
        <v>0</v>
      </c>
      <c r="AE278" s="9">
        <f ca="1">DATOSAÑO!AM277</f>
        <v>0</v>
      </c>
      <c r="AF278" s="11">
        <f ca="1">(AE278*DATOSAÑO!$Z$11)/DATOSAÑO!$Y$11</f>
        <v>0</v>
      </c>
      <c r="AG278" s="9">
        <f ca="1">DATOSAÑO!AN277</f>
        <v>0</v>
      </c>
      <c r="AH278" s="11">
        <f ca="1">(AG278*DATOSAÑO!$Z$11)/DATOSAÑO!$Y$11</f>
        <v>0</v>
      </c>
      <c r="AI278" s="9">
        <f ca="1">DATOSAÑO!BS277</f>
        <v>0</v>
      </c>
      <c r="AJ278" s="11">
        <f ca="1">(AI278*DATOSAÑO!$Z$11)/DATOSAÑO!$Y$11</f>
        <v>0</v>
      </c>
      <c r="AK278" s="9">
        <f ca="1">DATOSAÑO!BV277</f>
        <v>0</v>
      </c>
      <c r="AL278" s="11">
        <f ca="1">(AK278*DATOSAÑO!$Z$11)/DATOSAÑO!$Y$11</f>
        <v>0</v>
      </c>
      <c r="AM278" s="9">
        <f ca="1">DATOSAÑO!BY277</f>
        <v>0</v>
      </c>
      <c r="AN278" s="11">
        <f ca="1">(AM278*DATOSAÑO!$Z$11)/DATOSAÑO!$Y$11</f>
        <v>0</v>
      </c>
      <c r="AO278" s="9">
        <f ca="1">DATOSAÑO!CF277</f>
        <v>0</v>
      </c>
      <c r="AP278" s="11">
        <f ca="1">(AO278*DATOSAÑO!$Z$11)/DATOSAÑO!$Y$11</f>
        <v>0</v>
      </c>
      <c r="AQ278" s="9">
        <f ca="1">DATOSAÑO!CL277</f>
        <v>0</v>
      </c>
      <c r="AR278" s="1300">
        <f ca="1">(AQ278*DATOSAÑO!$Z$11)/DATOSAÑO!$Y$11</f>
        <v>0</v>
      </c>
      <c r="AS278" s="1334">
        <f t="shared" si="14"/>
        <v>39</v>
      </c>
    </row>
    <row r="279" spans="1:45" ht="15" thickBot="1">
      <c r="A279" s="1371">
        <v>45194</v>
      </c>
      <c r="B279" s="1021">
        <v>45194</v>
      </c>
      <c r="C279" s="9">
        <f ca="1">DATOSAÑO!I278</f>
        <v>0</v>
      </c>
      <c r="D279" s="10">
        <f ca="1">DATOSAÑO!$D278</f>
        <v>0</v>
      </c>
      <c r="E279" s="11">
        <f ca="1">DATOSAÑO!$G278</f>
        <v>0</v>
      </c>
      <c r="F279" s="9">
        <f ca="1">DATOSAÑO!P278</f>
        <v>0</v>
      </c>
      <c r="G279" s="10">
        <f ca="1">DATOSAÑO!K278</f>
        <v>0</v>
      </c>
      <c r="H279" s="11">
        <f ca="1">DATOSAÑO!N278</f>
        <v>0</v>
      </c>
      <c r="I279" s="9">
        <f ca="1">DATOSAÑO!Q278</f>
        <v>0</v>
      </c>
      <c r="J279" s="11">
        <f ca="1">DATOSAÑO!R278</f>
        <v>0</v>
      </c>
      <c r="K279" s="9">
        <f ca="1">DATOSAÑO!T278</f>
        <v>0</v>
      </c>
      <c r="L279" s="11">
        <f t="shared" ca="1" si="12"/>
        <v>0</v>
      </c>
      <c r="M279" s="9"/>
      <c r="N279" s="11">
        <f t="shared" si="13"/>
        <v>0</v>
      </c>
      <c r="O279" s="9">
        <f>DATOSAÑO!CT278</f>
        <v>0</v>
      </c>
      <c r="P279" s="9">
        <f>DATOSAÑO!CU278</f>
        <v>0</v>
      </c>
      <c r="Q279" s="9">
        <f ca="1">DATOSAÑO!AD278</f>
        <v>0</v>
      </c>
      <c r="R279" s="11">
        <f ca="1">(Q279*DATOSAÑO!$Z$11)/DATOSAÑO!$Y$11</f>
        <v>0</v>
      </c>
      <c r="S279" s="9">
        <f ca="1">DATOSAÑO!AF278</f>
        <v>0</v>
      </c>
      <c r="T279" s="11">
        <f ca="1">(S279*DATOSAÑO!$Z$11)/DATOSAÑO!$Y$11</f>
        <v>0</v>
      </c>
      <c r="U279" s="9">
        <f ca="1">DATOSAÑO!AH278</f>
        <v>0</v>
      </c>
      <c r="V279" s="11">
        <f ca="1">(U279*DATOSAÑO!$Z$11)/DATOSAÑO!$Y$11</f>
        <v>0</v>
      </c>
      <c r="W279" s="9">
        <f ca="1">DATOSAÑO!AI278</f>
        <v>0</v>
      </c>
      <c r="X279" s="11">
        <f ca="1">(W279*DATOSAÑO!$Z$11)/DATOSAÑO!$Y$11</f>
        <v>0</v>
      </c>
      <c r="Y279" s="9">
        <f ca="1">DATOSAÑO!AJ278</f>
        <v>0</v>
      </c>
      <c r="Z279" s="11">
        <f ca="1">(Y279*DATOSAÑO!$Z$11)/DATOSAÑO!$Y$11</f>
        <v>0</v>
      </c>
      <c r="AA279" s="9">
        <f ca="1">DATOSAÑO!AK278</f>
        <v>0</v>
      </c>
      <c r="AB279" s="11">
        <f ca="1">(AA279*DATOSAÑO!$Z$11)/DATOSAÑO!$Y$11</f>
        <v>0</v>
      </c>
      <c r="AC279" s="9">
        <f ca="1">DATOSAÑO!AL278</f>
        <v>0</v>
      </c>
      <c r="AD279" s="11">
        <f ca="1">(AC279*DATOSAÑO!$Z$11)/DATOSAÑO!$Y$11</f>
        <v>0</v>
      </c>
      <c r="AE279" s="9">
        <f ca="1">DATOSAÑO!AM278</f>
        <v>0</v>
      </c>
      <c r="AF279" s="11">
        <f ca="1">(AE279*DATOSAÑO!$Z$11)/DATOSAÑO!$Y$11</f>
        <v>0</v>
      </c>
      <c r="AG279" s="9">
        <f ca="1">DATOSAÑO!AN278</f>
        <v>0</v>
      </c>
      <c r="AH279" s="11">
        <f ca="1">(AG279*DATOSAÑO!$Z$11)/DATOSAÑO!$Y$11</f>
        <v>0</v>
      </c>
      <c r="AI279" s="9">
        <f ca="1">DATOSAÑO!BS278</f>
        <v>0</v>
      </c>
      <c r="AJ279" s="11">
        <f ca="1">(AI279*DATOSAÑO!$Z$11)/DATOSAÑO!$Y$11</f>
        <v>0</v>
      </c>
      <c r="AK279" s="9">
        <f ca="1">DATOSAÑO!BV278</f>
        <v>0</v>
      </c>
      <c r="AL279" s="11">
        <f ca="1">(AK279*DATOSAÑO!$Z$11)/DATOSAÑO!$Y$11</f>
        <v>0</v>
      </c>
      <c r="AM279" s="9">
        <f ca="1">DATOSAÑO!BY278</f>
        <v>0</v>
      </c>
      <c r="AN279" s="11">
        <f ca="1">(AM279*DATOSAÑO!$Z$11)/DATOSAÑO!$Y$11</f>
        <v>0</v>
      </c>
      <c r="AO279" s="9">
        <f ca="1">DATOSAÑO!CF278</f>
        <v>0</v>
      </c>
      <c r="AP279" s="11">
        <f ca="1">(AO279*DATOSAÑO!$Z$11)/DATOSAÑO!$Y$11</f>
        <v>0</v>
      </c>
      <c r="AQ279" s="9">
        <f ca="1">DATOSAÑO!CL278</f>
        <v>0</v>
      </c>
      <c r="AR279" s="1300">
        <f ca="1">(AQ279*DATOSAÑO!$Z$11)/DATOSAÑO!$Y$11</f>
        <v>0</v>
      </c>
      <c r="AS279" s="1334">
        <f t="shared" si="14"/>
        <v>39</v>
      </c>
    </row>
    <row r="280" spans="1:45" ht="15" thickBot="1">
      <c r="A280" s="1371">
        <v>45195</v>
      </c>
      <c r="B280" s="1021">
        <v>45195</v>
      </c>
      <c r="C280" s="9">
        <f ca="1">DATOSAÑO!I279</f>
        <v>0</v>
      </c>
      <c r="D280" s="10">
        <f ca="1">DATOSAÑO!$D279</f>
        <v>0</v>
      </c>
      <c r="E280" s="11">
        <f ca="1">DATOSAÑO!$G279</f>
        <v>0</v>
      </c>
      <c r="F280" s="9">
        <f ca="1">DATOSAÑO!P279</f>
        <v>0</v>
      </c>
      <c r="G280" s="10">
        <f ca="1">DATOSAÑO!K279</f>
        <v>0</v>
      </c>
      <c r="H280" s="11">
        <f ca="1">DATOSAÑO!N279</f>
        <v>0</v>
      </c>
      <c r="I280" s="9">
        <f ca="1">DATOSAÑO!Q279</f>
        <v>0</v>
      </c>
      <c r="J280" s="11">
        <f ca="1">DATOSAÑO!R279</f>
        <v>0</v>
      </c>
      <c r="K280" s="9">
        <f ca="1">DATOSAÑO!T279</f>
        <v>0</v>
      </c>
      <c r="L280" s="11">
        <f t="shared" ca="1" si="12"/>
        <v>0</v>
      </c>
      <c r="M280" s="9"/>
      <c r="N280" s="11">
        <f t="shared" si="13"/>
        <v>0</v>
      </c>
      <c r="O280" s="9">
        <f>DATOSAÑO!CT279</f>
        <v>0</v>
      </c>
      <c r="P280" s="9">
        <f>DATOSAÑO!CU279</f>
        <v>0</v>
      </c>
      <c r="Q280" s="9">
        <f ca="1">DATOSAÑO!AD279</f>
        <v>0</v>
      </c>
      <c r="R280" s="11">
        <f ca="1">(Q280*DATOSAÑO!$Z$11)/DATOSAÑO!$Y$11</f>
        <v>0</v>
      </c>
      <c r="S280" s="9">
        <f ca="1">DATOSAÑO!AF279</f>
        <v>0</v>
      </c>
      <c r="T280" s="11">
        <f ca="1">(S280*DATOSAÑO!$Z$11)/DATOSAÑO!$Y$11</f>
        <v>0</v>
      </c>
      <c r="U280" s="9">
        <f ca="1">DATOSAÑO!AH279</f>
        <v>0</v>
      </c>
      <c r="V280" s="11">
        <f ca="1">(U280*DATOSAÑO!$Z$11)/DATOSAÑO!$Y$11</f>
        <v>0</v>
      </c>
      <c r="W280" s="9">
        <f ca="1">DATOSAÑO!AI279</f>
        <v>0</v>
      </c>
      <c r="X280" s="11">
        <f ca="1">(W280*DATOSAÑO!$Z$11)/DATOSAÑO!$Y$11</f>
        <v>0</v>
      </c>
      <c r="Y280" s="9">
        <f ca="1">DATOSAÑO!AJ279</f>
        <v>0</v>
      </c>
      <c r="Z280" s="11">
        <f ca="1">(Y280*DATOSAÑO!$Z$11)/DATOSAÑO!$Y$11</f>
        <v>0</v>
      </c>
      <c r="AA280" s="9">
        <f ca="1">DATOSAÑO!AK279</f>
        <v>0</v>
      </c>
      <c r="AB280" s="11">
        <f ca="1">(AA280*DATOSAÑO!$Z$11)/DATOSAÑO!$Y$11</f>
        <v>0</v>
      </c>
      <c r="AC280" s="9">
        <f ca="1">DATOSAÑO!AL279</f>
        <v>0</v>
      </c>
      <c r="AD280" s="11">
        <f ca="1">(AC280*DATOSAÑO!$Z$11)/DATOSAÑO!$Y$11</f>
        <v>0</v>
      </c>
      <c r="AE280" s="9">
        <f ca="1">DATOSAÑO!AM279</f>
        <v>0</v>
      </c>
      <c r="AF280" s="11">
        <f ca="1">(AE280*DATOSAÑO!$Z$11)/DATOSAÑO!$Y$11</f>
        <v>0</v>
      </c>
      <c r="AG280" s="9">
        <f ca="1">DATOSAÑO!AN279</f>
        <v>0</v>
      </c>
      <c r="AH280" s="11">
        <f ca="1">(AG280*DATOSAÑO!$Z$11)/DATOSAÑO!$Y$11</f>
        <v>0</v>
      </c>
      <c r="AI280" s="9">
        <f ca="1">DATOSAÑO!BS279</f>
        <v>0</v>
      </c>
      <c r="AJ280" s="11">
        <f ca="1">(AI280*DATOSAÑO!$Z$11)/DATOSAÑO!$Y$11</f>
        <v>0</v>
      </c>
      <c r="AK280" s="9">
        <f ca="1">DATOSAÑO!BV279</f>
        <v>0</v>
      </c>
      <c r="AL280" s="11">
        <f ca="1">(AK280*DATOSAÑO!$Z$11)/DATOSAÑO!$Y$11</f>
        <v>0</v>
      </c>
      <c r="AM280" s="9">
        <f ca="1">DATOSAÑO!BY279</f>
        <v>0</v>
      </c>
      <c r="AN280" s="11">
        <f ca="1">(AM280*DATOSAÑO!$Z$11)/DATOSAÑO!$Y$11</f>
        <v>0</v>
      </c>
      <c r="AO280" s="9">
        <f ca="1">DATOSAÑO!CF279</f>
        <v>0</v>
      </c>
      <c r="AP280" s="11">
        <f ca="1">(AO280*DATOSAÑO!$Z$11)/DATOSAÑO!$Y$11</f>
        <v>0</v>
      </c>
      <c r="AQ280" s="9">
        <f ca="1">DATOSAÑO!CL279</f>
        <v>0</v>
      </c>
      <c r="AR280" s="1300">
        <f ca="1">(AQ280*DATOSAÑO!$Z$11)/DATOSAÑO!$Y$11</f>
        <v>0</v>
      </c>
      <c r="AS280" s="1334">
        <f t="shared" si="14"/>
        <v>39</v>
      </c>
    </row>
    <row r="281" spans="1:45" ht="15" thickBot="1">
      <c r="A281" s="1371">
        <v>45196</v>
      </c>
      <c r="B281" s="1021">
        <v>45196</v>
      </c>
      <c r="C281" s="9">
        <f ca="1">DATOSAÑO!I280</f>
        <v>0</v>
      </c>
      <c r="D281" s="10">
        <f ca="1">DATOSAÑO!$D280</f>
        <v>0</v>
      </c>
      <c r="E281" s="11">
        <f ca="1">DATOSAÑO!$G280</f>
        <v>0</v>
      </c>
      <c r="F281" s="9">
        <f ca="1">DATOSAÑO!P280</f>
        <v>0</v>
      </c>
      <c r="G281" s="10">
        <f ca="1">DATOSAÑO!K280</f>
        <v>0</v>
      </c>
      <c r="H281" s="11">
        <f ca="1">DATOSAÑO!N280</f>
        <v>0</v>
      </c>
      <c r="I281" s="9">
        <f ca="1">DATOSAÑO!Q280</f>
        <v>0</v>
      </c>
      <c r="J281" s="11">
        <f ca="1">DATOSAÑO!R280</f>
        <v>0</v>
      </c>
      <c r="K281" s="9">
        <f ca="1">DATOSAÑO!T280</f>
        <v>0</v>
      </c>
      <c r="L281" s="11">
        <f t="shared" ca="1" si="12"/>
        <v>0</v>
      </c>
      <c r="M281" s="9"/>
      <c r="N281" s="11">
        <f t="shared" si="13"/>
        <v>0</v>
      </c>
      <c r="O281" s="9">
        <f>DATOSAÑO!CT280</f>
        <v>0</v>
      </c>
      <c r="P281" s="9">
        <f>DATOSAÑO!CU280</f>
        <v>0</v>
      </c>
      <c r="Q281" s="9">
        <f ca="1">DATOSAÑO!AD280</f>
        <v>0</v>
      </c>
      <c r="R281" s="11">
        <f ca="1">(Q281*DATOSAÑO!$Z$11)/DATOSAÑO!$Y$11</f>
        <v>0</v>
      </c>
      <c r="S281" s="9">
        <f ca="1">DATOSAÑO!AF280</f>
        <v>0</v>
      </c>
      <c r="T281" s="11">
        <f ca="1">(S281*DATOSAÑO!$Z$11)/DATOSAÑO!$Y$11</f>
        <v>0</v>
      </c>
      <c r="U281" s="9">
        <f ca="1">DATOSAÑO!AH280</f>
        <v>0</v>
      </c>
      <c r="V281" s="11">
        <f ca="1">(U281*DATOSAÑO!$Z$11)/DATOSAÑO!$Y$11</f>
        <v>0</v>
      </c>
      <c r="W281" s="9">
        <f ca="1">DATOSAÑO!AI280</f>
        <v>0</v>
      </c>
      <c r="X281" s="11">
        <f ca="1">(W281*DATOSAÑO!$Z$11)/DATOSAÑO!$Y$11</f>
        <v>0</v>
      </c>
      <c r="Y281" s="9">
        <f ca="1">DATOSAÑO!AJ280</f>
        <v>0</v>
      </c>
      <c r="Z281" s="11">
        <f ca="1">(Y281*DATOSAÑO!$Z$11)/DATOSAÑO!$Y$11</f>
        <v>0</v>
      </c>
      <c r="AA281" s="9">
        <f ca="1">DATOSAÑO!AK280</f>
        <v>0</v>
      </c>
      <c r="AB281" s="11">
        <f ca="1">(AA281*DATOSAÑO!$Z$11)/DATOSAÑO!$Y$11</f>
        <v>0</v>
      </c>
      <c r="AC281" s="9">
        <f ca="1">DATOSAÑO!AL280</f>
        <v>0</v>
      </c>
      <c r="AD281" s="11">
        <f ca="1">(AC281*DATOSAÑO!$Z$11)/DATOSAÑO!$Y$11</f>
        <v>0</v>
      </c>
      <c r="AE281" s="9">
        <f ca="1">DATOSAÑO!AM280</f>
        <v>0</v>
      </c>
      <c r="AF281" s="11">
        <f ca="1">(AE281*DATOSAÑO!$Z$11)/DATOSAÑO!$Y$11</f>
        <v>0</v>
      </c>
      <c r="AG281" s="9">
        <f ca="1">DATOSAÑO!AN280</f>
        <v>0</v>
      </c>
      <c r="AH281" s="11">
        <f ca="1">(AG281*DATOSAÑO!$Z$11)/DATOSAÑO!$Y$11</f>
        <v>0</v>
      </c>
      <c r="AI281" s="9">
        <f ca="1">DATOSAÑO!BS280</f>
        <v>0</v>
      </c>
      <c r="AJ281" s="11">
        <f ca="1">(AI281*DATOSAÑO!$Z$11)/DATOSAÑO!$Y$11</f>
        <v>0</v>
      </c>
      <c r="AK281" s="9">
        <f ca="1">DATOSAÑO!BV280</f>
        <v>0</v>
      </c>
      <c r="AL281" s="11">
        <f ca="1">(AK281*DATOSAÑO!$Z$11)/DATOSAÑO!$Y$11</f>
        <v>0</v>
      </c>
      <c r="AM281" s="9">
        <f ca="1">DATOSAÑO!BY280</f>
        <v>0</v>
      </c>
      <c r="AN281" s="11">
        <f ca="1">(AM281*DATOSAÑO!$Z$11)/DATOSAÑO!$Y$11</f>
        <v>0</v>
      </c>
      <c r="AO281" s="9">
        <f ca="1">DATOSAÑO!CF280</f>
        <v>0</v>
      </c>
      <c r="AP281" s="11">
        <f ca="1">(AO281*DATOSAÑO!$Z$11)/DATOSAÑO!$Y$11</f>
        <v>0</v>
      </c>
      <c r="AQ281" s="9">
        <f ca="1">DATOSAÑO!CL280</f>
        <v>0</v>
      </c>
      <c r="AR281" s="1300">
        <f ca="1">(AQ281*DATOSAÑO!$Z$11)/DATOSAÑO!$Y$11</f>
        <v>0</v>
      </c>
      <c r="AS281" s="1334">
        <f t="shared" si="14"/>
        <v>39</v>
      </c>
    </row>
    <row r="282" spans="1:45" ht="15" thickBot="1">
      <c r="A282" s="1371">
        <v>45197</v>
      </c>
      <c r="B282" s="1021">
        <v>45197</v>
      </c>
      <c r="C282" s="9">
        <f ca="1">DATOSAÑO!I281</f>
        <v>0</v>
      </c>
      <c r="D282" s="10">
        <f ca="1">DATOSAÑO!$D281</f>
        <v>0</v>
      </c>
      <c r="E282" s="11">
        <f ca="1">DATOSAÑO!$G281</f>
        <v>0</v>
      </c>
      <c r="F282" s="9">
        <f ca="1">DATOSAÑO!P281</f>
        <v>0</v>
      </c>
      <c r="G282" s="10">
        <f ca="1">DATOSAÑO!K281</f>
        <v>0</v>
      </c>
      <c r="H282" s="11">
        <f ca="1">DATOSAÑO!N281</f>
        <v>0</v>
      </c>
      <c r="I282" s="9">
        <f ca="1">DATOSAÑO!Q281</f>
        <v>0</v>
      </c>
      <c r="J282" s="11">
        <f ca="1">DATOSAÑO!R281</f>
        <v>0</v>
      </c>
      <c r="K282" s="9">
        <f ca="1">DATOSAÑO!T281</f>
        <v>0</v>
      </c>
      <c r="L282" s="11">
        <f t="shared" ca="1" si="12"/>
        <v>0</v>
      </c>
      <c r="M282" s="9"/>
      <c r="N282" s="11">
        <f t="shared" si="13"/>
        <v>0</v>
      </c>
      <c r="O282" s="9">
        <f>DATOSAÑO!CT281</f>
        <v>0</v>
      </c>
      <c r="P282" s="9">
        <f>DATOSAÑO!CU281</f>
        <v>0</v>
      </c>
      <c r="Q282" s="9">
        <f ca="1">DATOSAÑO!AD281</f>
        <v>0</v>
      </c>
      <c r="R282" s="11">
        <f ca="1">(Q282*DATOSAÑO!$Z$11)/DATOSAÑO!$Y$11</f>
        <v>0</v>
      </c>
      <c r="S282" s="9">
        <f ca="1">DATOSAÑO!AF281</f>
        <v>0</v>
      </c>
      <c r="T282" s="11">
        <f ca="1">(S282*DATOSAÑO!$Z$11)/DATOSAÑO!$Y$11</f>
        <v>0</v>
      </c>
      <c r="U282" s="9">
        <f ca="1">DATOSAÑO!AH281</f>
        <v>0</v>
      </c>
      <c r="V282" s="11">
        <f ca="1">(U282*DATOSAÑO!$Z$11)/DATOSAÑO!$Y$11</f>
        <v>0</v>
      </c>
      <c r="W282" s="9">
        <f ca="1">DATOSAÑO!AI281</f>
        <v>0</v>
      </c>
      <c r="X282" s="11">
        <f ca="1">(W282*DATOSAÑO!$Z$11)/DATOSAÑO!$Y$11</f>
        <v>0</v>
      </c>
      <c r="Y282" s="9">
        <f ca="1">DATOSAÑO!AJ281</f>
        <v>0</v>
      </c>
      <c r="Z282" s="11">
        <f ca="1">(Y282*DATOSAÑO!$Z$11)/DATOSAÑO!$Y$11</f>
        <v>0</v>
      </c>
      <c r="AA282" s="9">
        <f ca="1">DATOSAÑO!AK281</f>
        <v>0</v>
      </c>
      <c r="AB282" s="11">
        <f ca="1">(AA282*DATOSAÑO!$Z$11)/DATOSAÑO!$Y$11</f>
        <v>0</v>
      </c>
      <c r="AC282" s="9">
        <f ca="1">DATOSAÑO!AL281</f>
        <v>0</v>
      </c>
      <c r="AD282" s="11">
        <f ca="1">(AC282*DATOSAÑO!$Z$11)/DATOSAÑO!$Y$11</f>
        <v>0</v>
      </c>
      <c r="AE282" s="9">
        <f ca="1">DATOSAÑO!AM281</f>
        <v>0</v>
      </c>
      <c r="AF282" s="11">
        <f ca="1">(AE282*DATOSAÑO!$Z$11)/DATOSAÑO!$Y$11</f>
        <v>0</v>
      </c>
      <c r="AG282" s="9">
        <f ca="1">DATOSAÑO!AN281</f>
        <v>0</v>
      </c>
      <c r="AH282" s="11">
        <f ca="1">(AG282*DATOSAÑO!$Z$11)/DATOSAÑO!$Y$11</f>
        <v>0</v>
      </c>
      <c r="AI282" s="9">
        <f ca="1">DATOSAÑO!BS281</f>
        <v>0</v>
      </c>
      <c r="AJ282" s="11">
        <f ca="1">(AI282*DATOSAÑO!$Z$11)/DATOSAÑO!$Y$11</f>
        <v>0</v>
      </c>
      <c r="AK282" s="9">
        <f ca="1">DATOSAÑO!BV281</f>
        <v>0</v>
      </c>
      <c r="AL282" s="11">
        <f ca="1">(AK282*DATOSAÑO!$Z$11)/DATOSAÑO!$Y$11</f>
        <v>0</v>
      </c>
      <c r="AM282" s="9">
        <f ca="1">DATOSAÑO!BY281</f>
        <v>0</v>
      </c>
      <c r="AN282" s="11">
        <f ca="1">(AM282*DATOSAÑO!$Z$11)/DATOSAÑO!$Y$11</f>
        <v>0</v>
      </c>
      <c r="AO282" s="9">
        <f ca="1">DATOSAÑO!CF281</f>
        <v>0</v>
      </c>
      <c r="AP282" s="11">
        <f ca="1">(AO282*DATOSAÑO!$Z$11)/DATOSAÑO!$Y$11</f>
        <v>0</v>
      </c>
      <c r="AQ282" s="9">
        <f ca="1">DATOSAÑO!CL281</f>
        <v>0</v>
      </c>
      <c r="AR282" s="1300">
        <f ca="1">(AQ282*DATOSAÑO!$Z$11)/DATOSAÑO!$Y$11</f>
        <v>0</v>
      </c>
      <c r="AS282" s="1334">
        <f t="shared" si="14"/>
        <v>39</v>
      </c>
    </row>
    <row r="283" spans="1:45" ht="15" thickBot="1">
      <c r="A283" s="1371">
        <v>45198</v>
      </c>
      <c r="B283" s="1021">
        <v>45198</v>
      </c>
      <c r="C283" s="9">
        <f ca="1">DATOSAÑO!I282</f>
        <v>0</v>
      </c>
      <c r="D283" s="10">
        <f ca="1">DATOSAÑO!$D282</f>
        <v>0</v>
      </c>
      <c r="E283" s="11">
        <f ca="1">DATOSAÑO!$G282</f>
        <v>0</v>
      </c>
      <c r="F283" s="9">
        <f ca="1">DATOSAÑO!P282</f>
        <v>0</v>
      </c>
      <c r="G283" s="10">
        <f ca="1">DATOSAÑO!K282</f>
        <v>0</v>
      </c>
      <c r="H283" s="11">
        <f ca="1">DATOSAÑO!N282</f>
        <v>0</v>
      </c>
      <c r="I283" s="9">
        <f ca="1">DATOSAÑO!Q282</f>
        <v>0</v>
      </c>
      <c r="J283" s="11">
        <f ca="1">DATOSAÑO!R282</f>
        <v>0</v>
      </c>
      <c r="K283" s="9">
        <f ca="1">DATOSAÑO!T282</f>
        <v>0</v>
      </c>
      <c r="L283" s="11">
        <f t="shared" ca="1" si="12"/>
        <v>0</v>
      </c>
      <c r="M283" s="9"/>
      <c r="N283" s="11">
        <f t="shared" si="13"/>
        <v>0</v>
      </c>
      <c r="O283" s="9">
        <f>DATOSAÑO!CT282</f>
        <v>0</v>
      </c>
      <c r="P283" s="9">
        <f>DATOSAÑO!CU282</f>
        <v>0</v>
      </c>
      <c r="Q283" s="9">
        <f ca="1">DATOSAÑO!AD282</f>
        <v>0</v>
      </c>
      <c r="R283" s="11">
        <f ca="1">(Q283*DATOSAÑO!$Z$11)/DATOSAÑO!$Y$11</f>
        <v>0</v>
      </c>
      <c r="S283" s="9">
        <f ca="1">DATOSAÑO!AF282</f>
        <v>0</v>
      </c>
      <c r="T283" s="11">
        <f ca="1">(S283*DATOSAÑO!$Z$11)/DATOSAÑO!$Y$11</f>
        <v>0</v>
      </c>
      <c r="U283" s="9">
        <f ca="1">DATOSAÑO!AH282</f>
        <v>0</v>
      </c>
      <c r="V283" s="11">
        <f ca="1">(U283*DATOSAÑO!$Z$11)/DATOSAÑO!$Y$11</f>
        <v>0</v>
      </c>
      <c r="W283" s="9">
        <f ca="1">DATOSAÑO!AI282</f>
        <v>0</v>
      </c>
      <c r="X283" s="11">
        <f ca="1">(W283*DATOSAÑO!$Z$11)/DATOSAÑO!$Y$11</f>
        <v>0</v>
      </c>
      <c r="Y283" s="9">
        <f ca="1">DATOSAÑO!AJ282</f>
        <v>0</v>
      </c>
      <c r="Z283" s="11">
        <f ca="1">(Y283*DATOSAÑO!$Z$11)/DATOSAÑO!$Y$11</f>
        <v>0</v>
      </c>
      <c r="AA283" s="9">
        <f ca="1">DATOSAÑO!AK282</f>
        <v>0</v>
      </c>
      <c r="AB283" s="11">
        <f ca="1">(AA283*DATOSAÑO!$Z$11)/DATOSAÑO!$Y$11</f>
        <v>0</v>
      </c>
      <c r="AC283" s="9">
        <f ca="1">DATOSAÑO!AL282</f>
        <v>0</v>
      </c>
      <c r="AD283" s="11">
        <f ca="1">(AC283*DATOSAÑO!$Z$11)/DATOSAÑO!$Y$11</f>
        <v>0</v>
      </c>
      <c r="AE283" s="9">
        <f ca="1">DATOSAÑO!AM282</f>
        <v>0</v>
      </c>
      <c r="AF283" s="11">
        <f ca="1">(AE283*DATOSAÑO!$Z$11)/DATOSAÑO!$Y$11</f>
        <v>0</v>
      </c>
      <c r="AG283" s="9">
        <f ca="1">DATOSAÑO!AN282</f>
        <v>0</v>
      </c>
      <c r="AH283" s="11">
        <f ca="1">(AG283*DATOSAÑO!$Z$11)/DATOSAÑO!$Y$11</f>
        <v>0</v>
      </c>
      <c r="AI283" s="9">
        <f ca="1">DATOSAÑO!BS282</f>
        <v>0</v>
      </c>
      <c r="AJ283" s="11">
        <f ca="1">(AI283*DATOSAÑO!$Z$11)/DATOSAÑO!$Y$11</f>
        <v>0</v>
      </c>
      <c r="AK283" s="9">
        <f ca="1">DATOSAÑO!BV282</f>
        <v>0</v>
      </c>
      <c r="AL283" s="11">
        <f ca="1">(AK283*DATOSAÑO!$Z$11)/DATOSAÑO!$Y$11</f>
        <v>0</v>
      </c>
      <c r="AM283" s="9">
        <f ca="1">DATOSAÑO!BY282</f>
        <v>0</v>
      </c>
      <c r="AN283" s="11">
        <f ca="1">(AM283*DATOSAÑO!$Z$11)/DATOSAÑO!$Y$11</f>
        <v>0</v>
      </c>
      <c r="AO283" s="9">
        <f ca="1">DATOSAÑO!CF282</f>
        <v>0</v>
      </c>
      <c r="AP283" s="11">
        <f ca="1">(AO283*DATOSAÑO!$Z$11)/DATOSAÑO!$Y$11</f>
        <v>0</v>
      </c>
      <c r="AQ283" s="9">
        <f ca="1">DATOSAÑO!CL282</f>
        <v>0</v>
      </c>
      <c r="AR283" s="1300">
        <f ca="1">(AQ283*DATOSAÑO!$Z$11)/DATOSAÑO!$Y$11</f>
        <v>0</v>
      </c>
      <c r="AS283" s="1334">
        <f t="shared" si="14"/>
        <v>39</v>
      </c>
    </row>
    <row r="284" spans="1:45" ht="15" thickBot="1">
      <c r="A284" s="1371">
        <v>45199</v>
      </c>
      <c r="B284" s="1021">
        <v>45199</v>
      </c>
      <c r="C284" s="62">
        <f ca="1">DATOSAÑO!I283</f>
        <v>0</v>
      </c>
      <c r="D284" s="63">
        <f ca="1">DATOSAÑO!$D283</f>
        <v>0</v>
      </c>
      <c r="E284" s="64">
        <f ca="1">DATOSAÑO!$G283</f>
        <v>0</v>
      </c>
      <c r="F284" s="62">
        <f ca="1">DATOSAÑO!P283</f>
        <v>0</v>
      </c>
      <c r="G284" s="63">
        <f ca="1">DATOSAÑO!K283</f>
        <v>0</v>
      </c>
      <c r="H284" s="64">
        <f ca="1">DATOSAÑO!N283</f>
        <v>0</v>
      </c>
      <c r="I284" s="62">
        <f ca="1">DATOSAÑO!Q283</f>
        <v>0</v>
      </c>
      <c r="J284" s="64">
        <f ca="1">DATOSAÑO!R283</f>
        <v>0</v>
      </c>
      <c r="K284" s="9">
        <f ca="1">DATOSAÑO!T283</f>
        <v>0</v>
      </c>
      <c r="L284" s="64">
        <f t="shared" ca="1" si="12"/>
        <v>0</v>
      </c>
      <c r="M284" s="62"/>
      <c r="N284" s="64">
        <f t="shared" si="13"/>
        <v>0</v>
      </c>
      <c r="O284" s="62">
        <f>DATOSAÑO!CT283</f>
        <v>0</v>
      </c>
      <c r="P284" s="61">
        <f>DATOSAÑO!CU283</f>
        <v>0</v>
      </c>
      <c r="Q284" s="9">
        <f ca="1">DATOSAÑO!AD283</f>
        <v>0</v>
      </c>
      <c r="R284" s="64">
        <f ca="1">(Q284*DATOSAÑO!$Z$11)/DATOSAÑO!$Y$11</f>
        <v>0</v>
      </c>
      <c r="S284" s="9">
        <f ca="1">DATOSAÑO!AF283</f>
        <v>0</v>
      </c>
      <c r="T284" s="64">
        <f ca="1">(S284*DATOSAÑO!$Z$11)/DATOSAÑO!$Y$11</f>
        <v>0</v>
      </c>
      <c r="U284" s="9">
        <f ca="1">DATOSAÑO!AH283</f>
        <v>0</v>
      </c>
      <c r="V284" s="64">
        <f ca="1">(U284*DATOSAÑO!$Z$11)/DATOSAÑO!$Y$11</f>
        <v>0</v>
      </c>
      <c r="W284" s="9">
        <f ca="1">DATOSAÑO!AI283</f>
        <v>0</v>
      </c>
      <c r="X284" s="64">
        <f ca="1">(W284*DATOSAÑO!$Z$11)/DATOSAÑO!$Y$11</f>
        <v>0</v>
      </c>
      <c r="Y284" s="9">
        <f ca="1">DATOSAÑO!AJ283</f>
        <v>0</v>
      </c>
      <c r="Z284" s="64">
        <f ca="1">(Y284*DATOSAÑO!$Z$11)/DATOSAÑO!$Y$11</f>
        <v>0</v>
      </c>
      <c r="AA284" s="9">
        <f ca="1">DATOSAÑO!AK283</f>
        <v>0</v>
      </c>
      <c r="AB284" s="64">
        <f ca="1">(AA284*DATOSAÑO!$Z$11)/DATOSAÑO!$Y$11</f>
        <v>0</v>
      </c>
      <c r="AC284" s="9">
        <f ca="1">DATOSAÑO!AL283</f>
        <v>0</v>
      </c>
      <c r="AD284" s="64">
        <f ca="1">(AC284*DATOSAÑO!$Z$11)/DATOSAÑO!$Y$11</f>
        <v>0</v>
      </c>
      <c r="AE284" s="9">
        <f ca="1">DATOSAÑO!AM283</f>
        <v>0</v>
      </c>
      <c r="AF284" s="64">
        <f ca="1">(AE284*DATOSAÑO!$Z$11)/DATOSAÑO!$Y$11</f>
        <v>0</v>
      </c>
      <c r="AG284" s="62">
        <f ca="1">DATOSAÑO!AN283</f>
        <v>0</v>
      </c>
      <c r="AH284" s="64">
        <f ca="1">(AG284*DATOSAÑO!$Z$11)/DATOSAÑO!$Y$11</f>
        <v>0</v>
      </c>
      <c r="AI284" s="9">
        <f ca="1">DATOSAÑO!BS283</f>
        <v>0</v>
      </c>
      <c r="AJ284" s="11">
        <f ca="1">(AI284*DATOSAÑO!$Z$11)/DATOSAÑO!$Y$11</f>
        <v>0</v>
      </c>
      <c r="AK284" s="9">
        <f ca="1">DATOSAÑO!BV283</f>
        <v>0</v>
      </c>
      <c r="AL284" s="11">
        <f ca="1">(AK284*DATOSAÑO!$Z$11)/DATOSAÑO!$Y$11</f>
        <v>0</v>
      </c>
      <c r="AM284" s="9">
        <f ca="1">DATOSAÑO!BY283</f>
        <v>0</v>
      </c>
      <c r="AN284" s="11">
        <f ca="1">(AM284*DATOSAÑO!$Z$11)/DATOSAÑO!$Y$11</f>
        <v>0</v>
      </c>
      <c r="AO284" s="9">
        <f ca="1">DATOSAÑO!CF283</f>
        <v>0</v>
      </c>
      <c r="AP284" s="11">
        <f ca="1">(AO284*DATOSAÑO!$Z$11)/DATOSAÑO!$Y$11</f>
        <v>0</v>
      </c>
      <c r="AQ284" s="9">
        <f ca="1">DATOSAÑO!CL283</f>
        <v>0</v>
      </c>
      <c r="AR284" s="1300">
        <f ca="1">(AQ284*DATOSAÑO!$Z$11)/DATOSAÑO!$Y$11</f>
        <v>0</v>
      </c>
      <c r="AS284" s="1335">
        <f t="shared" si="14"/>
        <v>39</v>
      </c>
    </row>
    <row r="285" spans="1:45" ht="15" thickBot="1">
      <c r="A285" s="1371">
        <v>45200</v>
      </c>
      <c r="B285" s="1021">
        <v>45200</v>
      </c>
      <c r="C285" s="9">
        <f ca="1">DATOSAÑO!I284</f>
        <v>0</v>
      </c>
      <c r="D285" s="10">
        <f ca="1">DATOSAÑO!$D284</f>
        <v>0</v>
      </c>
      <c r="E285" s="11">
        <f ca="1">DATOSAÑO!$G284</f>
        <v>0</v>
      </c>
      <c r="F285" s="9">
        <f ca="1">DATOSAÑO!P284</f>
        <v>0</v>
      </c>
      <c r="G285" s="10">
        <f ca="1">DATOSAÑO!K284</f>
        <v>0</v>
      </c>
      <c r="H285" s="175">
        <f ca="1">DATOSAÑO!N284</f>
        <v>0</v>
      </c>
      <c r="I285" s="173">
        <f ca="1">DATOSAÑO!Q284</f>
        <v>0</v>
      </c>
      <c r="J285" s="175">
        <f ca="1">DATOSAÑO!R284</f>
        <v>0</v>
      </c>
      <c r="K285" s="173">
        <f ca="1">DATOSAÑO!T284</f>
        <v>0</v>
      </c>
      <c r="L285" s="175">
        <f t="shared" ca="1" si="12"/>
        <v>0</v>
      </c>
      <c r="M285" s="173"/>
      <c r="N285" s="175">
        <f t="shared" si="13"/>
        <v>0</v>
      </c>
      <c r="O285" s="9">
        <f>DATOSAÑO!CT284</f>
        <v>0</v>
      </c>
      <c r="P285" s="9">
        <f>DATOSAÑO!CU284</f>
        <v>0</v>
      </c>
      <c r="Q285" s="173">
        <f ca="1">DATOSAÑO!AD284</f>
        <v>0</v>
      </c>
      <c r="R285" s="175">
        <f ca="1">(Q285*DATOSAÑO!$Z$11)/DATOSAÑO!$Y$11</f>
        <v>0</v>
      </c>
      <c r="S285" s="173">
        <f ca="1">DATOSAÑO!AF284</f>
        <v>0</v>
      </c>
      <c r="T285" s="175">
        <f ca="1">(S285*DATOSAÑO!$Z$11)/DATOSAÑO!$Y$11</f>
        <v>0</v>
      </c>
      <c r="U285" s="173">
        <f ca="1">DATOSAÑO!AH284</f>
        <v>0</v>
      </c>
      <c r="V285" s="175">
        <f ca="1">(U285*DATOSAÑO!$Z$11)/DATOSAÑO!$Y$11</f>
        <v>0</v>
      </c>
      <c r="W285" s="173">
        <f ca="1">DATOSAÑO!AI284</f>
        <v>0</v>
      </c>
      <c r="X285" s="175">
        <f ca="1">(W285*DATOSAÑO!$Z$11)/DATOSAÑO!$Y$11</f>
        <v>0</v>
      </c>
      <c r="Y285" s="173">
        <f ca="1">DATOSAÑO!AJ284</f>
        <v>0</v>
      </c>
      <c r="Z285" s="175">
        <f ca="1">(Y285*DATOSAÑO!$Z$11)/DATOSAÑO!$Y$11</f>
        <v>0</v>
      </c>
      <c r="AA285" s="173">
        <f ca="1">DATOSAÑO!AK284</f>
        <v>0</v>
      </c>
      <c r="AB285" s="175">
        <f ca="1">(AA285*DATOSAÑO!$Z$11)/DATOSAÑO!$Y$11</f>
        <v>0</v>
      </c>
      <c r="AC285" s="173">
        <f ca="1">DATOSAÑO!AL284</f>
        <v>0</v>
      </c>
      <c r="AD285" s="175">
        <f ca="1">(AC285*DATOSAÑO!$Z$11)/DATOSAÑO!$Y$11</f>
        <v>0</v>
      </c>
      <c r="AE285" s="173">
        <f ca="1">DATOSAÑO!CJ284</f>
        <v>0</v>
      </c>
      <c r="AF285" s="175">
        <f ca="1">(AE285*DATOSAÑO!$Z$11)/DATOSAÑO!$Y$11</f>
        <v>0</v>
      </c>
      <c r="AG285" s="173">
        <f ca="1">DATOSAÑO!CK284</f>
        <v>0</v>
      </c>
      <c r="AH285" s="175">
        <f ca="1">(AG285*DATOSAÑO!$Z$11)/DATOSAÑO!$Y$11</f>
        <v>0</v>
      </c>
      <c r="AI285" s="173">
        <f ca="1">DATOSAÑO!BS284</f>
        <v>0</v>
      </c>
      <c r="AJ285" s="175">
        <f ca="1">(AI285*DATOSAÑO!$Z$11)/DATOSAÑO!$Y$11</f>
        <v>0</v>
      </c>
      <c r="AK285" s="173">
        <f ca="1">DATOSAÑO!BV284</f>
        <v>0</v>
      </c>
      <c r="AL285" s="175">
        <f ca="1">(AK285*DATOSAÑO!$Z$11)/DATOSAÑO!$Y$11</f>
        <v>0</v>
      </c>
      <c r="AM285" s="173">
        <f ca="1">DATOSAÑO!BY284</f>
        <v>0</v>
      </c>
      <c r="AN285" s="175">
        <f ca="1">(AM285*DATOSAÑO!$Z$11)/DATOSAÑO!$Y$11</f>
        <v>0</v>
      </c>
      <c r="AO285" s="173">
        <f ca="1">DATOSAÑO!CF284</f>
        <v>0</v>
      </c>
      <c r="AP285" s="175">
        <f ca="1">(AO285*DATOSAÑO!$Z$11)/DATOSAÑO!$Y$11</f>
        <v>0</v>
      </c>
      <c r="AQ285" s="173">
        <f ca="1">DATOSAÑO!CL284</f>
        <v>0</v>
      </c>
      <c r="AR285" s="1301">
        <f ca="1">(AQ285*DATOSAÑO!$Z$11)/DATOSAÑO!$Y$11</f>
        <v>0</v>
      </c>
      <c r="AS285" s="1369">
        <f t="shared" si="14"/>
        <v>40</v>
      </c>
    </row>
    <row r="286" spans="1:45" ht="15" thickBot="1">
      <c r="A286" s="1371">
        <v>45201</v>
      </c>
      <c r="B286" s="1021">
        <v>45201</v>
      </c>
      <c r="C286" s="9">
        <f ca="1">DATOSAÑO!I285</f>
        <v>0</v>
      </c>
      <c r="D286" s="10">
        <f ca="1">DATOSAÑO!$D285</f>
        <v>0</v>
      </c>
      <c r="E286" s="189">
        <f ca="1">DATOSAÑO!$G285</f>
        <v>0</v>
      </c>
      <c r="F286" s="9">
        <f ca="1">DATOSAÑO!P285</f>
        <v>0</v>
      </c>
      <c r="G286" s="10">
        <f ca="1">DATOSAÑO!K285</f>
        <v>0</v>
      </c>
      <c r="H286" s="11">
        <f ca="1">DATOSAÑO!N285</f>
        <v>0</v>
      </c>
      <c r="I286" s="9">
        <f ca="1">DATOSAÑO!Q285</f>
        <v>0</v>
      </c>
      <c r="J286" s="11">
        <f ca="1">DATOSAÑO!R285</f>
        <v>0</v>
      </c>
      <c r="K286" s="9">
        <f ca="1">DATOSAÑO!T285</f>
        <v>0</v>
      </c>
      <c r="L286" s="11">
        <f t="shared" ca="1" si="12"/>
        <v>0</v>
      </c>
      <c r="M286" s="9"/>
      <c r="N286" s="11">
        <f t="shared" si="13"/>
        <v>0</v>
      </c>
      <c r="O286" s="9">
        <f>DATOSAÑO!CT285</f>
        <v>0</v>
      </c>
      <c r="P286" s="9">
        <f>DATOSAÑO!CU285</f>
        <v>0</v>
      </c>
      <c r="Q286" s="9">
        <f ca="1">DATOSAÑO!AD285</f>
        <v>0</v>
      </c>
      <c r="R286" s="11">
        <f ca="1">(Q286*DATOSAÑO!$Z$11)/DATOSAÑO!$Y$11</f>
        <v>0</v>
      </c>
      <c r="S286" s="9">
        <f ca="1">DATOSAÑO!AF285</f>
        <v>0</v>
      </c>
      <c r="T286" s="11">
        <f ca="1">(S286*DATOSAÑO!$Z$11)/DATOSAÑO!$Y$11</f>
        <v>0</v>
      </c>
      <c r="U286" s="9">
        <f ca="1">DATOSAÑO!AH285</f>
        <v>0</v>
      </c>
      <c r="V286" s="11">
        <f ca="1">(U286*DATOSAÑO!$Z$11)/DATOSAÑO!$Y$11</f>
        <v>0</v>
      </c>
      <c r="W286" s="9">
        <f ca="1">DATOSAÑO!AI285</f>
        <v>0</v>
      </c>
      <c r="X286" s="11">
        <f ca="1">(W286*DATOSAÑO!$Z$11)/DATOSAÑO!$Y$11</f>
        <v>0</v>
      </c>
      <c r="Y286" s="9">
        <f ca="1">DATOSAÑO!AJ285</f>
        <v>0</v>
      </c>
      <c r="Z286" s="11">
        <f ca="1">(Y286*DATOSAÑO!$Z$11)/DATOSAÑO!$Y$11</f>
        <v>0</v>
      </c>
      <c r="AA286" s="9">
        <f ca="1">DATOSAÑO!AK285</f>
        <v>0</v>
      </c>
      <c r="AB286" s="11">
        <f ca="1">(AA286*DATOSAÑO!$Z$11)/DATOSAÑO!$Y$11</f>
        <v>0</v>
      </c>
      <c r="AC286" s="9">
        <f ca="1">DATOSAÑO!AL285</f>
        <v>0</v>
      </c>
      <c r="AD286" s="11">
        <f ca="1">(AC286*DATOSAÑO!$Z$11)/DATOSAÑO!$Y$11</f>
        <v>0</v>
      </c>
      <c r="AE286" s="9">
        <f ca="1">DATOSAÑO!CJ285</f>
        <v>0</v>
      </c>
      <c r="AF286" s="11">
        <f ca="1">(AE286*DATOSAÑO!$Z$11)/DATOSAÑO!$Y$11</f>
        <v>0</v>
      </c>
      <c r="AG286" s="9">
        <f ca="1">DATOSAÑO!CK285</f>
        <v>0</v>
      </c>
      <c r="AH286" s="11">
        <f ca="1">(AG286*DATOSAÑO!$Z$11)/DATOSAÑO!$Y$11</f>
        <v>0</v>
      </c>
      <c r="AI286" s="9">
        <f ca="1">DATOSAÑO!BS285</f>
        <v>0</v>
      </c>
      <c r="AJ286" s="11">
        <f ca="1">(AI286*DATOSAÑO!$Z$11)/DATOSAÑO!$Y$11</f>
        <v>0</v>
      </c>
      <c r="AK286" s="9">
        <f ca="1">DATOSAÑO!BV285</f>
        <v>0</v>
      </c>
      <c r="AL286" s="11">
        <f ca="1">(AK286*DATOSAÑO!$Z$11)/DATOSAÑO!$Y$11</f>
        <v>0</v>
      </c>
      <c r="AM286" s="9">
        <f ca="1">DATOSAÑO!BY285</f>
        <v>0</v>
      </c>
      <c r="AN286" s="11">
        <f ca="1">(AM286*DATOSAÑO!$Z$11)/DATOSAÑO!$Y$11</f>
        <v>0</v>
      </c>
      <c r="AO286" s="9">
        <f ca="1">DATOSAÑO!CF285</f>
        <v>0</v>
      </c>
      <c r="AP286" s="11">
        <f ca="1">(AO286*DATOSAÑO!$Z$11)/DATOSAÑO!$Y$11</f>
        <v>0</v>
      </c>
      <c r="AQ286" s="9">
        <f ca="1">DATOSAÑO!CL285</f>
        <v>0</v>
      </c>
      <c r="AR286" s="1300">
        <f ca="1">(AQ286*DATOSAÑO!$Z$11)/DATOSAÑO!$Y$11</f>
        <v>0</v>
      </c>
      <c r="AS286" s="1334">
        <f t="shared" si="14"/>
        <v>40</v>
      </c>
    </row>
    <row r="287" spans="1:45" ht="15" thickBot="1">
      <c r="A287" s="1371">
        <v>45202</v>
      </c>
      <c r="B287" s="1021">
        <v>45202</v>
      </c>
      <c r="C287" s="9">
        <f ca="1">DATOSAÑO!I286</f>
        <v>0</v>
      </c>
      <c r="D287" s="10">
        <f ca="1">DATOSAÑO!$D286</f>
        <v>0</v>
      </c>
      <c r="E287" s="11">
        <f ca="1">DATOSAÑO!$G286</f>
        <v>0</v>
      </c>
      <c r="F287" s="9">
        <f ca="1">DATOSAÑO!P286</f>
        <v>0</v>
      </c>
      <c r="G287" s="10">
        <f ca="1">DATOSAÑO!K286</f>
        <v>0</v>
      </c>
      <c r="H287" s="11">
        <f ca="1">DATOSAÑO!N286</f>
        <v>0</v>
      </c>
      <c r="I287" s="9">
        <f ca="1">DATOSAÑO!Q286</f>
        <v>0</v>
      </c>
      <c r="J287" s="11">
        <f ca="1">DATOSAÑO!R286</f>
        <v>0</v>
      </c>
      <c r="K287" s="9">
        <f ca="1">DATOSAÑO!T286</f>
        <v>0</v>
      </c>
      <c r="L287" s="11">
        <f t="shared" ca="1" si="12"/>
        <v>0</v>
      </c>
      <c r="M287" s="9"/>
      <c r="N287" s="11">
        <f t="shared" si="13"/>
        <v>0</v>
      </c>
      <c r="O287" s="9">
        <f>DATOSAÑO!CT286</f>
        <v>0</v>
      </c>
      <c r="P287" s="9">
        <f>DATOSAÑO!CU286</f>
        <v>0</v>
      </c>
      <c r="Q287" s="9">
        <f ca="1">DATOSAÑO!AD286</f>
        <v>0</v>
      </c>
      <c r="R287" s="11">
        <f ca="1">(Q287*DATOSAÑO!$Z$11)/DATOSAÑO!$Y$11</f>
        <v>0</v>
      </c>
      <c r="S287" s="9">
        <f ca="1">DATOSAÑO!AF286</f>
        <v>0</v>
      </c>
      <c r="T287" s="11">
        <f ca="1">(S287*DATOSAÑO!$Z$11)/DATOSAÑO!$Y$11</f>
        <v>0</v>
      </c>
      <c r="U287" s="9">
        <f ca="1">DATOSAÑO!AH286</f>
        <v>0</v>
      </c>
      <c r="V287" s="11">
        <f ca="1">(U287*DATOSAÑO!$Z$11)/DATOSAÑO!$Y$11</f>
        <v>0</v>
      </c>
      <c r="W287" s="9">
        <f ca="1">DATOSAÑO!AI286</f>
        <v>0</v>
      </c>
      <c r="X287" s="11">
        <f ca="1">(W287*DATOSAÑO!$Z$11)/DATOSAÑO!$Y$11</f>
        <v>0</v>
      </c>
      <c r="Y287" s="9">
        <f ca="1">DATOSAÑO!AJ286</f>
        <v>0</v>
      </c>
      <c r="Z287" s="11">
        <f ca="1">(Y287*DATOSAÑO!$Z$11)/DATOSAÑO!$Y$11</f>
        <v>0</v>
      </c>
      <c r="AA287" s="9">
        <f ca="1">DATOSAÑO!AK286</f>
        <v>0</v>
      </c>
      <c r="AB287" s="11">
        <f ca="1">(AA287*DATOSAÑO!$Z$11)/DATOSAÑO!$Y$11</f>
        <v>0</v>
      </c>
      <c r="AC287" s="9">
        <f ca="1">DATOSAÑO!AL286</f>
        <v>0</v>
      </c>
      <c r="AD287" s="11">
        <f ca="1">(AC287*DATOSAÑO!$Z$11)/DATOSAÑO!$Y$11</f>
        <v>0</v>
      </c>
      <c r="AE287" s="9">
        <f ca="1">DATOSAÑO!CJ286</f>
        <v>0</v>
      </c>
      <c r="AF287" s="11">
        <f ca="1">(AE287*DATOSAÑO!$Z$11)/DATOSAÑO!$Y$11</f>
        <v>0</v>
      </c>
      <c r="AG287" s="9">
        <f ca="1">DATOSAÑO!CK286</f>
        <v>0</v>
      </c>
      <c r="AH287" s="11">
        <f ca="1">(AG287*DATOSAÑO!$Z$11)/DATOSAÑO!$Y$11</f>
        <v>0</v>
      </c>
      <c r="AI287" s="9">
        <f ca="1">DATOSAÑO!BS286</f>
        <v>0</v>
      </c>
      <c r="AJ287" s="11">
        <f ca="1">(AI287*DATOSAÑO!$Z$11)/DATOSAÑO!$Y$11</f>
        <v>0</v>
      </c>
      <c r="AK287" s="9">
        <f ca="1">DATOSAÑO!BV286</f>
        <v>0</v>
      </c>
      <c r="AL287" s="11">
        <f ca="1">(AK287*DATOSAÑO!$Z$11)/DATOSAÑO!$Y$11</f>
        <v>0</v>
      </c>
      <c r="AM287" s="9">
        <f ca="1">DATOSAÑO!BY286</f>
        <v>0</v>
      </c>
      <c r="AN287" s="11">
        <f ca="1">(AM287*DATOSAÑO!$Z$11)/DATOSAÑO!$Y$11</f>
        <v>0</v>
      </c>
      <c r="AO287" s="9">
        <f ca="1">DATOSAÑO!CF286</f>
        <v>0</v>
      </c>
      <c r="AP287" s="11">
        <f ca="1">(AO287*DATOSAÑO!$Z$11)/DATOSAÑO!$Y$11</f>
        <v>0</v>
      </c>
      <c r="AQ287" s="9">
        <f ca="1">DATOSAÑO!CL286</f>
        <v>0</v>
      </c>
      <c r="AR287" s="1300">
        <f ca="1">(AQ287*DATOSAÑO!$Z$11)/DATOSAÑO!$Y$11</f>
        <v>0</v>
      </c>
      <c r="AS287" s="1334">
        <f t="shared" si="14"/>
        <v>40</v>
      </c>
    </row>
    <row r="288" spans="1:45" ht="15" thickBot="1">
      <c r="A288" s="1371">
        <v>45203</v>
      </c>
      <c r="B288" s="1021">
        <v>45203</v>
      </c>
      <c r="C288" s="9">
        <f ca="1">DATOSAÑO!I287</f>
        <v>0</v>
      </c>
      <c r="D288" s="10">
        <f ca="1">DATOSAÑO!$D287</f>
        <v>0</v>
      </c>
      <c r="E288" s="11">
        <f ca="1">DATOSAÑO!$G287</f>
        <v>0</v>
      </c>
      <c r="F288" s="9">
        <f ca="1">DATOSAÑO!P287</f>
        <v>0</v>
      </c>
      <c r="G288" s="10">
        <f ca="1">DATOSAÑO!K287</f>
        <v>0</v>
      </c>
      <c r="H288" s="11">
        <f ca="1">DATOSAÑO!N287</f>
        <v>0</v>
      </c>
      <c r="I288" s="9">
        <f ca="1">DATOSAÑO!Q287</f>
        <v>0</v>
      </c>
      <c r="J288" s="11">
        <f ca="1">DATOSAÑO!R287</f>
        <v>0</v>
      </c>
      <c r="K288" s="9">
        <f ca="1">DATOSAÑO!T287</f>
        <v>0</v>
      </c>
      <c r="L288" s="11">
        <f t="shared" ca="1" si="12"/>
        <v>0</v>
      </c>
      <c r="M288" s="9"/>
      <c r="N288" s="11">
        <f t="shared" si="13"/>
        <v>0</v>
      </c>
      <c r="O288" s="9">
        <f>DATOSAÑO!CT287</f>
        <v>0</v>
      </c>
      <c r="P288" s="9">
        <f>DATOSAÑO!CU287</f>
        <v>0</v>
      </c>
      <c r="Q288" s="9">
        <f ca="1">DATOSAÑO!AD287</f>
        <v>0</v>
      </c>
      <c r="R288" s="11">
        <f ca="1">(Q288*DATOSAÑO!$Z$11)/DATOSAÑO!$Y$11</f>
        <v>0</v>
      </c>
      <c r="S288" s="9">
        <f ca="1">DATOSAÑO!AF287</f>
        <v>0</v>
      </c>
      <c r="T288" s="11">
        <f ca="1">(S288*DATOSAÑO!$Z$11)/DATOSAÑO!$Y$11</f>
        <v>0</v>
      </c>
      <c r="U288" s="9">
        <f ca="1">DATOSAÑO!AH287</f>
        <v>0</v>
      </c>
      <c r="V288" s="11">
        <f ca="1">(U288*DATOSAÑO!$Z$11)/DATOSAÑO!$Y$11</f>
        <v>0</v>
      </c>
      <c r="W288" s="9">
        <f ca="1">DATOSAÑO!AI287</f>
        <v>0</v>
      </c>
      <c r="X288" s="11">
        <f ca="1">(W288*DATOSAÑO!$Z$11)/DATOSAÑO!$Y$11</f>
        <v>0</v>
      </c>
      <c r="Y288" s="9">
        <f ca="1">DATOSAÑO!AJ287</f>
        <v>0</v>
      </c>
      <c r="Z288" s="11">
        <f ca="1">(Y288*DATOSAÑO!$Z$11)/DATOSAÑO!$Y$11</f>
        <v>0</v>
      </c>
      <c r="AA288" s="9">
        <f ca="1">DATOSAÑO!AK287</f>
        <v>0</v>
      </c>
      <c r="AB288" s="11">
        <f ca="1">(AA288*DATOSAÑO!$Z$11)/DATOSAÑO!$Y$11</f>
        <v>0</v>
      </c>
      <c r="AC288" s="9">
        <f ca="1">DATOSAÑO!AL287</f>
        <v>0</v>
      </c>
      <c r="AD288" s="11">
        <f ca="1">(AC288*DATOSAÑO!$Z$11)/DATOSAÑO!$Y$11</f>
        <v>0</v>
      </c>
      <c r="AE288" s="9">
        <f ca="1">DATOSAÑO!CJ287</f>
        <v>0</v>
      </c>
      <c r="AF288" s="11">
        <f ca="1">(AE288*DATOSAÑO!$Z$11)/DATOSAÑO!$Y$11</f>
        <v>0</v>
      </c>
      <c r="AG288" s="9">
        <f ca="1">DATOSAÑO!CK287</f>
        <v>0</v>
      </c>
      <c r="AH288" s="11">
        <f ca="1">(AG288*DATOSAÑO!$Z$11)/DATOSAÑO!$Y$11</f>
        <v>0</v>
      </c>
      <c r="AI288" s="9">
        <f ca="1">DATOSAÑO!BS287</f>
        <v>0</v>
      </c>
      <c r="AJ288" s="11">
        <f ca="1">(AI288*DATOSAÑO!$Z$11)/DATOSAÑO!$Y$11</f>
        <v>0</v>
      </c>
      <c r="AK288" s="9">
        <f ca="1">DATOSAÑO!BV287</f>
        <v>0</v>
      </c>
      <c r="AL288" s="11">
        <f ca="1">(AK288*DATOSAÑO!$Z$11)/DATOSAÑO!$Y$11</f>
        <v>0</v>
      </c>
      <c r="AM288" s="9">
        <f ca="1">DATOSAÑO!BY287</f>
        <v>0</v>
      </c>
      <c r="AN288" s="11">
        <f ca="1">(AM288*DATOSAÑO!$Z$11)/DATOSAÑO!$Y$11</f>
        <v>0</v>
      </c>
      <c r="AO288" s="9">
        <f ca="1">DATOSAÑO!CF287</f>
        <v>0</v>
      </c>
      <c r="AP288" s="11">
        <f ca="1">(AO288*DATOSAÑO!$Z$11)/DATOSAÑO!$Y$11</f>
        <v>0</v>
      </c>
      <c r="AQ288" s="9">
        <f ca="1">DATOSAÑO!CL287</f>
        <v>0</v>
      </c>
      <c r="AR288" s="1300">
        <f ca="1">(AQ288*DATOSAÑO!$Z$11)/DATOSAÑO!$Y$11</f>
        <v>0</v>
      </c>
      <c r="AS288" s="1334">
        <f t="shared" si="14"/>
        <v>40</v>
      </c>
    </row>
    <row r="289" spans="1:45" ht="15" thickBot="1">
      <c r="A289" s="1371">
        <v>45204</v>
      </c>
      <c r="B289" s="1021">
        <v>45204</v>
      </c>
      <c r="C289" s="9">
        <f ca="1">DATOSAÑO!I288</f>
        <v>0</v>
      </c>
      <c r="D289" s="10">
        <f ca="1">DATOSAÑO!$D288</f>
        <v>0</v>
      </c>
      <c r="E289" s="11">
        <f ca="1">DATOSAÑO!$G288</f>
        <v>0</v>
      </c>
      <c r="F289" s="9">
        <f ca="1">DATOSAÑO!P288</f>
        <v>0</v>
      </c>
      <c r="G289" s="10">
        <f ca="1">DATOSAÑO!K288</f>
        <v>0</v>
      </c>
      <c r="H289" s="11">
        <f ca="1">DATOSAÑO!N288</f>
        <v>0</v>
      </c>
      <c r="I289" s="9">
        <f ca="1">DATOSAÑO!Q288</f>
        <v>0</v>
      </c>
      <c r="J289" s="11">
        <f ca="1">DATOSAÑO!R288</f>
        <v>0</v>
      </c>
      <c r="K289" s="9">
        <f ca="1">DATOSAÑO!T288</f>
        <v>0</v>
      </c>
      <c r="L289" s="11">
        <f t="shared" ca="1" si="12"/>
        <v>0</v>
      </c>
      <c r="M289" s="9"/>
      <c r="N289" s="11">
        <f t="shared" si="13"/>
        <v>0</v>
      </c>
      <c r="O289" s="9">
        <f>DATOSAÑO!CT288</f>
        <v>0</v>
      </c>
      <c r="P289" s="9">
        <f>DATOSAÑO!CU288</f>
        <v>0</v>
      </c>
      <c r="Q289" s="9">
        <f ca="1">DATOSAÑO!AD288</f>
        <v>0</v>
      </c>
      <c r="R289" s="11">
        <f ca="1">(Q289*DATOSAÑO!$Z$11)/DATOSAÑO!$Y$11</f>
        <v>0</v>
      </c>
      <c r="S289" s="9">
        <f ca="1">DATOSAÑO!AF288</f>
        <v>0</v>
      </c>
      <c r="T289" s="11">
        <f ca="1">(S289*DATOSAÑO!$Z$11)/DATOSAÑO!$Y$11</f>
        <v>0</v>
      </c>
      <c r="U289" s="9">
        <f ca="1">DATOSAÑO!AH288</f>
        <v>0</v>
      </c>
      <c r="V289" s="11">
        <f ca="1">(U289*DATOSAÑO!$Z$11)/DATOSAÑO!$Y$11</f>
        <v>0</v>
      </c>
      <c r="W289" s="9">
        <f ca="1">DATOSAÑO!AI288</f>
        <v>0</v>
      </c>
      <c r="X289" s="11">
        <f ca="1">(W289*DATOSAÑO!$Z$11)/DATOSAÑO!$Y$11</f>
        <v>0</v>
      </c>
      <c r="Y289" s="9">
        <f ca="1">DATOSAÑO!AJ288</f>
        <v>0</v>
      </c>
      <c r="Z289" s="11">
        <f ca="1">(Y289*DATOSAÑO!$Z$11)/DATOSAÑO!$Y$11</f>
        <v>0</v>
      </c>
      <c r="AA289" s="9">
        <f ca="1">DATOSAÑO!AK288</f>
        <v>0</v>
      </c>
      <c r="AB289" s="11">
        <f ca="1">(AA289*DATOSAÑO!$Z$11)/DATOSAÑO!$Y$11</f>
        <v>0</v>
      </c>
      <c r="AC289" s="9">
        <f ca="1">DATOSAÑO!AL288</f>
        <v>0</v>
      </c>
      <c r="AD289" s="11">
        <f ca="1">(AC289*DATOSAÑO!$Z$11)/DATOSAÑO!$Y$11</f>
        <v>0</v>
      </c>
      <c r="AE289" s="9">
        <f ca="1">DATOSAÑO!CJ288</f>
        <v>0</v>
      </c>
      <c r="AF289" s="11">
        <f ca="1">(AE289*DATOSAÑO!$Z$11)/DATOSAÑO!$Y$11</f>
        <v>0</v>
      </c>
      <c r="AG289" s="9">
        <f ca="1">DATOSAÑO!CK288</f>
        <v>0</v>
      </c>
      <c r="AH289" s="11">
        <f ca="1">(AG289*DATOSAÑO!$Z$11)/DATOSAÑO!$Y$11</f>
        <v>0</v>
      </c>
      <c r="AI289" s="9">
        <f ca="1">DATOSAÑO!BS288</f>
        <v>0</v>
      </c>
      <c r="AJ289" s="11">
        <f ca="1">(AI289*DATOSAÑO!$Z$11)/DATOSAÑO!$Y$11</f>
        <v>0</v>
      </c>
      <c r="AK289" s="9">
        <f ca="1">DATOSAÑO!BV288</f>
        <v>0</v>
      </c>
      <c r="AL289" s="11">
        <f ca="1">(AK289*DATOSAÑO!$Z$11)/DATOSAÑO!$Y$11</f>
        <v>0</v>
      </c>
      <c r="AM289" s="9">
        <f ca="1">DATOSAÑO!BY288</f>
        <v>0</v>
      </c>
      <c r="AN289" s="11">
        <f ca="1">(AM289*DATOSAÑO!$Z$11)/DATOSAÑO!$Y$11</f>
        <v>0</v>
      </c>
      <c r="AO289" s="9">
        <f ca="1">DATOSAÑO!CF288</f>
        <v>0</v>
      </c>
      <c r="AP289" s="11">
        <f ca="1">(AO289*DATOSAÑO!$Z$11)/DATOSAÑO!$Y$11</f>
        <v>0</v>
      </c>
      <c r="AQ289" s="9">
        <f ca="1">DATOSAÑO!CL288</f>
        <v>0</v>
      </c>
      <c r="AR289" s="1300">
        <f ca="1">(AQ289*DATOSAÑO!$Z$11)/DATOSAÑO!$Y$11</f>
        <v>0</v>
      </c>
      <c r="AS289" s="1334">
        <f t="shared" si="14"/>
        <v>40</v>
      </c>
    </row>
    <row r="290" spans="1:45" ht="15" thickBot="1">
      <c r="A290" s="1371">
        <v>45205</v>
      </c>
      <c r="B290" s="1021">
        <v>45205</v>
      </c>
      <c r="C290" s="9">
        <f ca="1">DATOSAÑO!I289</f>
        <v>0</v>
      </c>
      <c r="D290" s="10">
        <f ca="1">DATOSAÑO!$D289</f>
        <v>0</v>
      </c>
      <c r="E290" s="11">
        <f ca="1">DATOSAÑO!$G289</f>
        <v>0</v>
      </c>
      <c r="F290" s="9">
        <f ca="1">DATOSAÑO!P289</f>
        <v>0</v>
      </c>
      <c r="G290" s="10">
        <f ca="1">DATOSAÑO!K289</f>
        <v>0</v>
      </c>
      <c r="H290" s="11">
        <f ca="1">DATOSAÑO!N289</f>
        <v>0</v>
      </c>
      <c r="I290" s="9">
        <f ca="1">DATOSAÑO!Q289</f>
        <v>0</v>
      </c>
      <c r="J290" s="11">
        <f ca="1">DATOSAÑO!R289</f>
        <v>0</v>
      </c>
      <c r="K290" s="9">
        <f ca="1">DATOSAÑO!T289</f>
        <v>0</v>
      </c>
      <c r="L290" s="11">
        <f t="shared" ca="1" si="12"/>
        <v>0</v>
      </c>
      <c r="M290" s="9"/>
      <c r="N290" s="11">
        <f t="shared" si="13"/>
        <v>0</v>
      </c>
      <c r="O290" s="9">
        <f>DATOSAÑO!CT289</f>
        <v>0</v>
      </c>
      <c r="P290" s="9">
        <f>DATOSAÑO!CU289</f>
        <v>0</v>
      </c>
      <c r="Q290" s="9">
        <f ca="1">DATOSAÑO!AD289</f>
        <v>0</v>
      </c>
      <c r="R290" s="11">
        <f ca="1">(Q290*DATOSAÑO!$Z$11)/DATOSAÑO!$Y$11</f>
        <v>0</v>
      </c>
      <c r="S290" s="9">
        <f ca="1">DATOSAÑO!AF289</f>
        <v>0</v>
      </c>
      <c r="T290" s="11">
        <f ca="1">(S290*DATOSAÑO!$Z$11)/DATOSAÑO!$Y$11</f>
        <v>0</v>
      </c>
      <c r="U290" s="9">
        <f ca="1">DATOSAÑO!AH289</f>
        <v>0</v>
      </c>
      <c r="V290" s="11">
        <f ca="1">(U290*DATOSAÑO!$Z$11)/DATOSAÑO!$Y$11</f>
        <v>0</v>
      </c>
      <c r="W290" s="9">
        <f ca="1">DATOSAÑO!AI289</f>
        <v>0</v>
      </c>
      <c r="X290" s="11">
        <f ca="1">(W290*DATOSAÑO!$Z$11)/DATOSAÑO!$Y$11</f>
        <v>0</v>
      </c>
      <c r="Y290" s="9">
        <f ca="1">DATOSAÑO!AJ289</f>
        <v>0</v>
      </c>
      <c r="Z290" s="11">
        <f ca="1">(Y290*DATOSAÑO!$Z$11)/DATOSAÑO!$Y$11</f>
        <v>0</v>
      </c>
      <c r="AA290" s="9">
        <f ca="1">DATOSAÑO!AK289</f>
        <v>0</v>
      </c>
      <c r="AB290" s="11">
        <f ca="1">(AA290*DATOSAÑO!$Z$11)/DATOSAÑO!$Y$11</f>
        <v>0</v>
      </c>
      <c r="AC290" s="9">
        <f ca="1">DATOSAÑO!AL289</f>
        <v>0</v>
      </c>
      <c r="AD290" s="11">
        <f ca="1">(AC290*DATOSAÑO!$Z$11)/DATOSAÑO!$Y$11</f>
        <v>0</v>
      </c>
      <c r="AE290" s="9">
        <f ca="1">DATOSAÑO!CJ289</f>
        <v>0</v>
      </c>
      <c r="AF290" s="11">
        <f ca="1">(AE290*DATOSAÑO!$Z$11)/DATOSAÑO!$Y$11</f>
        <v>0</v>
      </c>
      <c r="AG290" s="9">
        <f ca="1">DATOSAÑO!CK289</f>
        <v>0</v>
      </c>
      <c r="AH290" s="11">
        <f ca="1">(AG290*DATOSAÑO!$Z$11)/DATOSAÑO!$Y$11</f>
        <v>0</v>
      </c>
      <c r="AI290" s="9">
        <f ca="1">DATOSAÑO!BS289</f>
        <v>0</v>
      </c>
      <c r="AJ290" s="11">
        <f ca="1">(AI290*DATOSAÑO!$Z$11)/DATOSAÑO!$Y$11</f>
        <v>0</v>
      </c>
      <c r="AK290" s="9">
        <f ca="1">DATOSAÑO!BV289</f>
        <v>0</v>
      </c>
      <c r="AL290" s="11">
        <f ca="1">(AK290*DATOSAÑO!$Z$11)/DATOSAÑO!$Y$11</f>
        <v>0</v>
      </c>
      <c r="AM290" s="9">
        <f ca="1">DATOSAÑO!BY289</f>
        <v>0</v>
      </c>
      <c r="AN290" s="11">
        <f ca="1">(AM290*DATOSAÑO!$Z$11)/DATOSAÑO!$Y$11</f>
        <v>0</v>
      </c>
      <c r="AO290" s="9">
        <f ca="1">DATOSAÑO!CF289</f>
        <v>0</v>
      </c>
      <c r="AP290" s="11">
        <f ca="1">(AO290*DATOSAÑO!$Z$11)/DATOSAÑO!$Y$11</f>
        <v>0</v>
      </c>
      <c r="AQ290" s="9">
        <f ca="1">DATOSAÑO!CL289</f>
        <v>0</v>
      </c>
      <c r="AR290" s="1300">
        <f ca="1">(AQ290*DATOSAÑO!$Z$11)/DATOSAÑO!$Y$11</f>
        <v>0</v>
      </c>
      <c r="AS290" s="1334">
        <f t="shared" si="14"/>
        <v>40</v>
      </c>
    </row>
    <row r="291" spans="1:45" ht="15" thickBot="1">
      <c r="A291" s="1371">
        <v>45206</v>
      </c>
      <c r="B291" s="1021">
        <v>45206</v>
      </c>
      <c r="C291" s="9">
        <f ca="1">DATOSAÑO!I290</f>
        <v>0</v>
      </c>
      <c r="D291" s="10">
        <f ca="1">DATOSAÑO!$D290</f>
        <v>0</v>
      </c>
      <c r="E291" s="11">
        <f ca="1">DATOSAÑO!$G290</f>
        <v>0</v>
      </c>
      <c r="F291" s="9">
        <f ca="1">DATOSAÑO!P290</f>
        <v>0</v>
      </c>
      <c r="G291" s="10">
        <f ca="1">DATOSAÑO!K290</f>
        <v>0</v>
      </c>
      <c r="H291" s="11">
        <f ca="1">DATOSAÑO!N290</f>
        <v>0</v>
      </c>
      <c r="I291" s="9">
        <f ca="1">DATOSAÑO!Q290</f>
        <v>0</v>
      </c>
      <c r="J291" s="11">
        <f ca="1">DATOSAÑO!R290</f>
        <v>0</v>
      </c>
      <c r="K291" s="9">
        <f ca="1">DATOSAÑO!T290</f>
        <v>0</v>
      </c>
      <c r="L291" s="11">
        <f t="shared" ca="1" si="12"/>
        <v>0</v>
      </c>
      <c r="M291" s="9"/>
      <c r="N291" s="11">
        <f t="shared" si="13"/>
        <v>0</v>
      </c>
      <c r="O291" s="9">
        <f>DATOSAÑO!CT290</f>
        <v>0</v>
      </c>
      <c r="P291" s="9">
        <f>DATOSAÑO!CU290</f>
        <v>0</v>
      </c>
      <c r="Q291" s="9">
        <f ca="1">DATOSAÑO!AD290</f>
        <v>0</v>
      </c>
      <c r="R291" s="11">
        <f ca="1">(Q291*DATOSAÑO!$Z$11)/DATOSAÑO!$Y$11</f>
        <v>0</v>
      </c>
      <c r="S291" s="9">
        <f ca="1">DATOSAÑO!AF290</f>
        <v>0</v>
      </c>
      <c r="T291" s="11">
        <f ca="1">(S291*DATOSAÑO!$Z$11)/DATOSAÑO!$Y$11</f>
        <v>0</v>
      </c>
      <c r="U291" s="9">
        <f ca="1">DATOSAÑO!AH290</f>
        <v>0</v>
      </c>
      <c r="V291" s="11">
        <f ca="1">(U291*DATOSAÑO!$Z$11)/DATOSAÑO!$Y$11</f>
        <v>0</v>
      </c>
      <c r="W291" s="9">
        <f ca="1">DATOSAÑO!AI290</f>
        <v>0</v>
      </c>
      <c r="X291" s="11">
        <f ca="1">(W291*DATOSAÑO!$Z$11)/DATOSAÑO!$Y$11</f>
        <v>0</v>
      </c>
      <c r="Y291" s="9">
        <f ca="1">DATOSAÑO!AJ290</f>
        <v>0</v>
      </c>
      <c r="Z291" s="11">
        <f ca="1">(Y291*DATOSAÑO!$Z$11)/DATOSAÑO!$Y$11</f>
        <v>0</v>
      </c>
      <c r="AA291" s="9">
        <f ca="1">DATOSAÑO!AK290</f>
        <v>0</v>
      </c>
      <c r="AB291" s="11">
        <f ca="1">(AA291*DATOSAÑO!$Z$11)/DATOSAÑO!$Y$11</f>
        <v>0</v>
      </c>
      <c r="AC291" s="9">
        <f ca="1">DATOSAÑO!AL290</f>
        <v>0</v>
      </c>
      <c r="AD291" s="11">
        <f ca="1">(AC291*DATOSAÑO!$Z$11)/DATOSAÑO!$Y$11</f>
        <v>0</v>
      </c>
      <c r="AE291" s="9">
        <f ca="1">DATOSAÑO!CJ290</f>
        <v>0</v>
      </c>
      <c r="AF291" s="11">
        <f ca="1">(AE291*DATOSAÑO!$Z$11)/DATOSAÑO!$Y$11</f>
        <v>0</v>
      </c>
      <c r="AG291" s="9">
        <f ca="1">DATOSAÑO!CK290</f>
        <v>0</v>
      </c>
      <c r="AH291" s="11">
        <f ca="1">(AG291*DATOSAÑO!$Z$11)/DATOSAÑO!$Y$11</f>
        <v>0</v>
      </c>
      <c r="AI291" s="9">
        <f ca="1">DATOSAÑO!BS290</f>
        <v>0</v>
      </c>
      <c r="AJ291" s="11">
        <f ca="1">(AI291*DATOSAÑO!$Z$11)/DATOSAÑO!$Y$11</f>
        <v>0</v>
      </c>
      <c r="AK291" s="9">
        <f ca="1">DATOSAÑO!BV290</f>
        <v>0</v>
      </c>
      <c r="AL291" s="11">
        <f ca="1">(AK291*DATOSAÑO!$Z$11)/DATOSAÑO!$Y$11</f>
        <v>0</v>
      </c>
      <c r="AM291" s="9">
        <f ca="1">DATOSAÑO!BY290</f>
        <v>0</v>
      </c>
      <c r="AN291" s="11">
        <f ca="1">(AM291*DATOSAÑO!$Z$11)/DATOSAÑO!$Y$11</f>
        <v>0</v>
      </c>
      <c r="AO291" s="9">
        <f ca="1">DATOSAÑO!CF290</f>
        <v>0</v>
      </c>
      <c r="AP291" s="11">
        <f ca="1">(AO291*DATOSAÑO!$Z$11)/DATOSAÑO!$Y$11</f>
        <v>0</v>
      </c>
      <c r="AQ291" s="9">
        <f ca="1">DATOSAÑO!CL290</f>
        <v>0</v>
      </c>
      <c r="AR291" s="1300">
        <f ca="1">(AQ291*DATOSAÑO!$Z$11)/DATOSAÑO!$Y$11</f>
        <v>0</v>
      </c>
      <c r="AS291" s="1334">
        <f t="shared" si="14"/>
        <v>40</v>
      </c>
    </row>
    <row r="292" spans="1:45" ht="15" thickBot="1">
      <c r="A292" s="1371">
        <v>45207</v>
      </c>
      <c r="B292" s="1021">
        <v>45207</v>
      </c>
      <c r="C292" s="9">
        <f ca="1">DATOSAÑO!I291</f>
        <v>0</v>
      </c>
      <c r="D292" s="10">
        <f ca="1">DATOSAÑO!$D291</f>
        <v>0</v>
      </c>
      <c r="E292" s="11">
        <f ca="1">DATOSAÑO!$G291</f>
        <v>0</v>
      </c>
      <c r="F292" s="9">
        <f ca="1">DATOSAÑO!P291</f>
        <v>0</v>
      </c>
      <c r="G292" s="10">
        <f ca="1">DATOSAÑO!K291</f>
        <v>0</v>
      </c>
      <c r="H292" s="11">
        <f ca="1">DATOSAÑO!N291</f>
        <v>0</v>
      </c>
      <c r="I292" s="9">
        <f ca="1">DATOSAÑO!Q291</f>
        <v>0</v>
      </c>
      <c r="J292" s="11">
        <f ca="1">DATOSAÑO!R291</f>
        <v>0</v>
      </c>
      <c r="K292" s="9">
        <f ca="1">DATOSAÑO!T291</f>
        <v>0</v>
      </c>
      <c r="L292" s="11">
        <f t="shared" ca="1" si="12"/>
        <v>0</v>
      </c>
      <c r="M292" s="9"/>
      <c r="N292" s="11">
        <f t="shared" si="13"/>
        <v>0</v>
      </c>
      <c r="O292" s="9">
        <f>DATOSAÑO!CT291</f>
        <v>0</v>
      </c>
      <c r="P292" s="9">
        <f>DATOSAÑO!CU291</f>
        <v>0</v>
      </c>
      <c r="Q292" s="9">
        <f ca="1">DATOSAÑO!AD291</f>
        <v>0</v>
      </c>
      <c r="R292" s="11">
        <f ca="1">(Q292*DATOSAÑO!$Z$11)/DATOSAÑO!$Y$11</f>
        <v>0</v>
      </c>
      <c r="S292" s="9">
        <f ca="1">DATOSAÑO!AF291</f>
        <v>0</v>
      </c>
      <c r="T292" s="11">
        <f ca="1">(S292*DATOSAÑO!$Z$11)/DATOSAÑO!$Y$11</f>
        <v>0</v>
      </c>
      <c r="U292" s="9">
        <f ca="1">DATOSAÑO!AH291</f>
        <v>0</v>
      </c>
      <c r="V292" s="11">
        <f ca="1">(U292*DATOSAÑO!$Z$11)/DATOSAÑO!$Y$11</f>
        <v>0</v>
      </c>
      <c r="W292" s="9">
        <f ca="1">DATOSAÑO!AI291</f>
        <v>0</v>
      </c>
      <c r="X292" s="11">
        <f ca="1">(W292*DATOSAÑO!$Z$11)/DATOSAÑO!$Y$11</f>
        <v>0</v>
      </c>
      <c r="Y292" s="9">
        <f ca="1">DATOSAÑO!AJ291</f>
        <v>0</v>
      </c>
      <c r="Z292" s="11">
        <f ca="1">(Y292*DATOSAÑO!$Z$11)/DATOSAÑO!$Y$11</f>
        <v>0</v>
      </c>
      <c r="AA292" s="9">
        <f ca="1">DATOSAÑO!AK291</f>
        <v>0</v>
      </c>
      <c r="AB292" s="11">
        <f ca="1">(AA292*DATOSAÑO!$Z$11)/DATOSAÑO!$Y$11</f>
        <v>0</v>
      </c>
      <c r="AC292" s="9">
        <f ca="1">DATOSAÑO!AL291</f>
        <v>0</v>
      </c>
      <c r="AD292" s="11">
        <f ca="1">(AC292*DATOSAÑO!$Z$11)/DATOSAÑO!$Y$11</f>
        <v>0</v>
      </c>
      <c r="AE292" s="9">
        <f ca="1">DATOSAÑO!CJ291</f>
        <v>0</v>
      </c>
      <c r="AF292" s="11">
        <f ca="1">(AE292*DATOSAÑO!$Z$11)/DATOSAÑO!$Y$11</f>
        <v>0</v>
      </c>
      <c r="AG292" s="9">
        <f ca="1">DATOSAÑO!CK291</f>
        <v>0</v>
      </c>
      <c r="AH292" s="11">
        <f ca="1">(AG292*DATOSAÑO!$Z$11)/DATOSAÑO!$Y$11</f>
        <v>0</v>
      </c>
      <c r="AI292" s="9">
        <f ca="1">DATOSAÑO!BS291</f>
        <v>0</v>
      </c>
      <c r="AJ292" s="11">
        <f ca="1">(AI292*DATOSAÑO!$Z$11)/DATOSAÑO!$Y$11</f>
        <v>0</v>
      </c>
      <c r="AK292" s="9">
        <f ca="1">DATOSAÑO!BV291</f>
        <v>0</v>
      </c>
      <c r="AL292" s="11">
        <f ca="1">(AK292*DATOSAÑO!$Z$11)/DATOSAÑO!$Y$11</f>
        <v>0</v>
      </c>
      <c r="AM292" s="9">
        <f ca="1">DATOSAÑO!BY291</f>
        <v>0</v>
      </c>
      <c r="AN292" s="11">
        <f ca="1">(AM292*DATOSAÑO!$Z$11)/DATOSAÑO!$Y$11</f>
        <v>0</v>
      </c>
      <c r="AO292" s="9">
        <f ca="1">DATOSAÑO!CF291</f>
        <v>0</v>
      </c>
      <c r="AP292" s="11">
        <f ca="1">(AO292*DATOSAÑO!$Z$11)/DATOSAÑO!$Y$11</f>
        <v>0</v>
      </c>
      <c r="AQ292" s="9">
        <f ca="1">DATOSAÑO!CL291</f>
        <v>0</v>
      </c>
      <c r="AR292" s="1300">
        <f ca="1">(AQ292*DATOSAÑO!$Z$11)/DATOSAÑO!$Y$11</f>
        <v>0</v>
      </c>
      <c r="AS292" s="1334">
        <f t="shared" si="14"/>
        <v>41</v>
      </c>
    </row>
    <row r="293" spans="1:45" ht="15" thickBot="1">
      <c r="A293" s="1371">
        <v>45208</v>
      </c>
      <c r="B293" s="1021">
        <v>45208</v>
      </c>
      <c r="C293" s="9">
        <f ca="1">DATOSAÑO!I292</f>
        <v>0</v>
      </c>
      <c r="D293" s="10">
        <f ca="1">DATOSAÑO!$D292</f>
        <v>0</v>
      </c>
      <c r="E293" s="11">
        <f ca="1">DATOSAÑO!$G292</f>
        <v>0</v>
      </c>
      <c r="F293" s="9">
        <f ca="1">DATOSAÑO!P292</f>
        <v>0</v>
      </c>
      <c r="G293" s="10">
        <f ca="1">DATOSAÑO!K292</f>
        <v>0</v>
      </c>
      <c r="H293" s="11">
        <f ca="1">DATOSAÑO!N292</f>
        <v>0</v>
      </c>
      <c r="I293" s="9">
        <f ca="1">DATOSAÑO!Q292</f>
        <v>0</v>
      </c>
      <c r="J293" s="11">
        <f ca="1">DATOSAÑO!R292</f>
        <v>0</v>
      </c>
      <c r="K293" s="9">
        <f ca="1">DATOSAÑO!T292</f>
        <v>0</v>
      </c>
      <c r="L293" s="11">
        <f t="shared" ca="1" si="12"/>
        <v>0</v>
      </c>
      <c r="M293" s="9"/>
      <c r="N293" s="11">
        <f t="shared" si="13"/>
        <v>0</v>
      </c>
      <c r="O293" s="9">
        <f>DATOSAÑO!CT292</f>
        <v>0</v>
      </c>
      <c r="P293" s="9">
        <f>DATOSAÑO!CU292</f>
        <v>0</v>
      </c>
      <c r="Q293" s="9">
        <f ca="1">DATOSAÑO!AD292</f>
        <v>0</v>
      </c>
      <c r="R293" s="11">
        <f ca="1">(Q293*DATOSAÑO!$Z$11)/DATOSAÑO!$Y$11</f>
        <v>0</v>
      </c>
      <c r="S293" s="9">
        <f ca="1">DATOSAÑO!AF292</f>
        <v>0</v>
      </c>
      <c r="T293" s="11">
        <f ca="1">(S293*DATOSAÑO!$Z$11)/DATOSAÑO!$Y$11</f>
        <v>0</v>
      </c>
      <c r="U293" s="9">
        <f ca="1">DATOSAÑO!AH292</f>
        <v>0</v>
      </c>
      <c r="V293" s="11">
        <f ca="1">(U293*DATOSAÑO!$Z$11)/DATOSAÑO!$Y$11</f>
        <v>0</v>
      </c>
      <c r="W293" s="9">
        <f ca="1">DATOSAÑO!AI292</f>
        <v>0</v>
      </c>
      <c r="X293" s="11">
        <f ca="1">(W293*DATOSAÑO!$Z$11)/DATOSAÑO!$Y$11</f>
        <v>0</v>
      </c>
      <c r="Y293" s="9">
        <f ca="1">DATOSAÑO!AJ292</f>
        <v>0</v>
      </c>
      <c r="Z293" s="11">
        <f ca="1">(Y293*DATOSAÑO!$Z$11)/DATOSAÑO!$Y$11</f>
        <v>0</v>
      </c>
      <c r="AA293" s="9">
        <f ca="1">DATOSAÑO!AK292</f>
        <v>0</v>
      </c>
      <c r="AB293" s="11">
        <f ca="1">(AA293*DATOSAÑO!$Z$11)/DATOSAÑO!$Y$11</f>
        <v>0</v>
      </c>
      <c r="AC293" s="9">
        <f ca="1">DATOSAÑO!AL292</f>
        <v>0</v>
      </c>
      <c r="AD293" s="11">
        <f ca="1">(AC293*DATOSAÑO!$Z$11)/DATOSAÑO!$Y$11</f>
        <v>0</v>
      </c>
      <c r="AE293" s="9">
        <f ca="1">DATOSAÑO!CJ292</f>
        <v>0</v>
      </c>
      <c r="AF293" s="11">
        <f ca="1">(AE293*DATOSAÑO!$Z$11)/DATOSAÑO!$Y$11</f>
        <v>0</v>
      </c>
      <c r="AG293" s="9">
        <f ca="1">DATOSAÑO!CK292</f>
        <v>0</v>
      </c>
      <c r="AH293" s="11">
        <f ca="1">(AG293*DATOSAÑO!$Z$11)/DATOSAÑO!$Y$11</f>
        <v>0</v>
      </c>
      <c r="AI293" s="9">
        <f ca="1">DATOSAÑO!BS292</f>
        <v>0</v>
      </c>
      <c r="AJ293" s="11">
        <f ca="1">(AI293*DATOSAÑO!$Z$11)/DATOSAÑO!$Y$11</f>
        <v>0</v>
      </c>
      <c r="AK293" s="9">
        <f ca="1">DATOSAÑO!BV292</f>
        <v>0</v>
      </c>
      <c r="AL293" s="11">
        <f ca="1">(AK293*DATOSAÑO!$Z$11)/DATOSAÑO!$Y$11</f>
        <v>0</v>
      </c>
      <c r="AM293" s="9">
        <f ca="1">DATOSAÑO!BY292</f>
        <v>0</v>
      </c>
      <c r="AN293" s="11">
        <f ca="1">(AM293*DATOSAÑO!$Z$11)/DATOSAÑO!$Y$11</f>
        <v>0</v>
      </c>
      <c r="AO293" s="9">
        <f ca="1">DATOSAÑO!CF292</f>
        <v>0</v>
      </c>
      <c r="AP293" s="11">
        <f ca="1">(AO293*DATOSAÑO!$Z$11)/DATOSAÑO!$Y$11</f>
        <v>0</v>
      </c>
      <c r="AQ293" s="9">
        <f ca="1">DATOSAÑO!CL292</f>
        <v>0</v>
      </c>
      <c r="AR293" s="1300">
        <f ca="1">(AQ293*DATOSAÑO!$Z$11)/DATOSAÑO!$Y$11</f>
        <v>0</v>
      </c>
      <c r="AS293" s="1334">
        <f t="shared" si="14"/>
        <v>41</v>
      </c>
    </row>
    <row r="294" spans="1:45" ht="15" thickBot="1">
      <c r="A294" s="1371">
        <v>45209</v>
      </c>
      <c r="B294" s="1021">
        <v>45209</v>
      </c>
      <c r="C294" s="9">
        <f ca="1">DATOSAÑO!I293</f>
        <v>0</v>
      </c>
      <c r="D294" s="10">
        <f ca="1">DATOSAÑO!$D293</f>
        <v>0</v>
      </c>
      <c r="E294" s="11">
        <f ca="1">DATOSAÑO!$G293</f>
        <v>0</v>
      </c>
      <c r="F294" s="9">
        <f ca="1">DATOSAÑO!P293</f>
        <v>0</v>
      </c>
      <c r="G294" s="10">
        <f ca="1">DATOSAÑO!K293</f>
        <v>0</v>
      </c>
      <c r="H294" s="11">
        <f ca="1">DATOSAÑO!N293</f>
        <v>0</v>
      </c>
      <c r="I294" s="9">
        <f ca="1">DATOSAÑO!Q293</f>
        <v>0</v>
      </c>
      <c r="J294" s="11">
        <f ca="1">DATOSAÑO!R293</f>
        <v>0</v>
      </c>
      <c r="K294" s="9">
        <f ca="1">DATOSAÑO!T293</f>
        <v>0</v>
      </c>
      <c r="L294" s="11">
        <f t="shared" ca="1" si="12"/>
        <v>0</v>
      </c>
      <c r="M294" s="9"/>
      <c r="N294" s="11">
        <f t="shared" si="13"/>
        <v>0</v>
      </c>
      <c r="O294" s="9">
        <f>DATOSAÑO!CT293</f>
        <v>0</v>
      </c>
      <c r="P294" s="9">
        <f>DATOSAÑO!CU293</f>
        <v>0</v>
      </c>
      <c r="Q294" s="9">
        <f ca="1">DATOSAÑO!AD293</f>
        <v>0</v>
      </c>
      <c r="R294" s="11">
        <f ca="1">(Q294*DATOSAÑO!$Z$11)/DATOSAÑO!$Y$11</f>
        <v>0</v>
      </c>
      <c r="S294" s="9">
        <f ca="1">DATOSAÑO!AF293</f>
        <v>0</v>
      </c>
      <c r="T294" s="11">
        <f ca="1">(S294*DATOSAÑO!$Z$11)/DATOSAÑO!$Y$11</f>
        <v>0</v>
      </c>
      <c r="U294" s="9">
        <f ca="1">DATOSAÑO!AH293</f>
        <v>0</v>
      </c>
      <c r="V294" s="11">
        <f ca="1">(U294*DATOSAÑO!$Z$11)/DATOSAÑO!$Y$11</f>
        <v>0</v>
      </c>
      <c r="W294" s="9">
        <f ca="1">DATOSAÑO!AI293</f>
        <v>0</v>
      </c>
      <c r="X294" s="11">
        <f ca="1">(W294*DATOSAÑO!$Z$11)/DATOSAÑO!$Y$11</f>
        <v>0</v>
      </c>
      <c r="Y294" s="9">
        <f ca="1">DATOSAÑO!AJ293</f>
        <v>0</v>
      </c>
      <c r="Z294" s="11">
        <f ca="1">(Y294*DATOSAÑO!$Z$11)/DATOSAÑO!$Y$11</f>
        <v>0</v>
      </c>
      <c r="AA294" s="9">
        <f ca="1">DATOSAÑO!AK293</f>
        <v>0</v>
      </c>
      <c r="AB294" s="11">
        <f ca="1">(AA294*DATOSAÑO!$Z$11)/DATOSAÑO!$Y$11</f>
        <v>0</v>
      </c>
      <c r="AC294" s="9">
        <f ca="1">DATOSAÑO!AL293</f>
        <v>0</v>
      </c>
      <c r="AD294" s="11">
        <f ca="1">(AC294*DATOSAÑO!$Z$11)/DATOSAÑO!$Y$11</f>
        <v>0</v>
      </c>
      <c r="AE294" s="9">
        <f ca="1">DATOSAÑO!CJ293</f>
        <v>0</v>
      </c>
      <c r="AF294" s="11">
        <f ca="1">(AE294*DATOSAÑO!$Z$11)/DATOSAÑO!$Y$11</f>
        <v>0</v>
      </c>
      <c r="AG294" s="9">
        <f ca="1">DATOSAÑO!CK293</f>
        <v>0</v>
      </c>
      <c r="AH294" s="11">
        <f ca="1">(AG294*DATOSAÑO!$Z$11)/DATOSAÑO!$Y$11</f>
        <v>0</v>
      </c>
      <c r="AI294" s="9">
        <f ca="1">DATOSAÑO!BS293</f>
        <v>0</v>
      </c>
      <c r="AJ294" s="11">
        <f ca="1">(AI294*DATOSAÑO!$Z$11)/DATOSAÑO!$Y$11</f>
        <v>0</v>
      </c>
      <c r="AK294" s="9">
        <f ca="1">DATOSAÑO!BV293</f>
        <v>0</v>
      </c>
      <c r="AL294" s="11">
        <f ca="1">(AK294*DATOSAÑO!$Z$11)/DATOSAÑO!$Y$11</f>
        <v>0</v>
      </c>
      <c r="AM294" s="9">
        <f ca="1">DATOSAÑO!BY293</f>
        <v>0</v>
      </c>
      <c r="AN294" s="11">
        <f ca="1">(AM294*DATOSAÑO!$Z$11)/DATOSAÑO!$Y$11</f>
        <v>0</v>
      </c>
      <c r="AO294" s="9">
        <f ca="1">DATOSAÑO!CF293</f>
        <v>0</v>
      </c>
      <c r="AP294" s="11">
        <f ca="1">(AO294*DATOSAÑO!$Z$11)/DATOSAÑO!$Y$11</f>
        <v>0</v>
      </c>
      <c r="AQ294" s="9">
        <f ca="1">DATOSAÑO!CL293</f>
        <v>0</v>
      </c>
      <c r="AR294" s="1300">
        <f ca="1">(AQ294*DATOSAÑO!$Z$11)/DATOSAÑO!$Y$11</f>
        <v>0</v>
      </c>
      <c r="AS294" s="1334">
        <f t="shared" si="14"/>
        <v>41</v>
      </c>
    </row>
    <row r="295" spans="1:45" ht="15" thickBot="1">
      <c r="A295" s="1371">
        <v>45210</v>
      </c>
      <c r="B295" s="1021">
        <v>45210</v>
      </c>
      <c r="C295" s="9">
        <f ca="1">DATOSAÑO!I294</f>
        <v>0</v>
      </c>
      <c r="D295" s="10">
        <f ca="1">DATOSAÑO!$D294</f>
        <v>0</v>
      </c>
      <c r="E295" s="11">
        <f ca="1">DATOSAÑO!$G294</f>
        <v>0</v>
      </c>
      <c r="F295" s="9">
        <f ca="1">DATOSAÑO!P294</f>
        <v>0</v>
      </c>
      <c r="G295" s="10">
        <f ca="1">DATOSAÑO!K294</f>
        <v>0</v>
      </c>
      <c r="H295" s="11">
        <f ca="1">DATOSAÑO!N294</f>
        <v>0</v>
      </c>
      <c r="I295" s="9">
        <f ca="1">DATOSAÑO!Q294</f>
        <v>0</v>
      </c>
      <c r="J295" s="11">
        <f ca="1">DATOSAÑO!R294</f>
        <v>0</v>
      </c>
      <c r="K295" s="9">
        <f ca="1">DATOSAÑO!T294</f>
        <v>0</v>
      </c>
      <c r="L295" s="11">
        <f t="shared" ca="1" si="12"/>
        <v>0</v>
      </c>
      <c r="M295" s="9"/>
      <c r="N295" s="11">
        <f t="shared" si="13"/>
        <v>0</v>
      </c>
      <c r="O295" s="9">
        <f>DATOSAÑO!CT294</f>
        <v>0</v>
      </c>
      <c r="P295" s="9">
        <f>DATOSAÑO!CU294</f>
        <v>0</v>
      </c>
      <c r="Q295" s="9">
        <f ca="1">DATOSAÑO!AD294</f>
        <v>0</v>
      </c>
      <c r="R295" s="11">
        <f ca="1">(Q295*DATOSAÑO!$Z$11)/DATOSAÑO!$Y$11</f>
        <v>0</v>
      </c>
      <c r="S295" s="9">
        <f ca="1">DATOSAÑO!AF294</f>
        <v>0</v>
      </c>
      <c r="T295" s="11">
        <f ca="1">(S295*DATOSAÑO!$Z$11)/DATOSAÑO!$Y$11</f>
        <v>0</v>
      </c>
      <c r="U295" s="9">
        <f ca="1">DATOSAÑO!AH294</f>
        <v>0</v>
      </c>
      <c r="V295" s="11">
        <f ca="1">(U295*DATOSAÑO!$Z$11)/DATOSAÑO!$Y$11</f>
        <v>0</v>
      </c>
      <c r="W295" s="9">
        <f ca="1">DATOSAÑO!AI294</f>
        <v>0</v>
      </c>
      <c r="X295" s="11">
        <f ca="1">(W295*DATOSAÑO!$Z$11)/DATOSAÑO!$Y$11</f>
        <v>0</v>
      </c>
      <c r="Y295" s="9">
        <f ca="1">DATOSAÑO!AJ294</f>
        <v>0</v>
      </c>
      <c r="Z295" s="11">
        <f ca="1">(Y295*DATOSAÑO!$Z$11)/DATOSAÑO!$Y$11</f>
        <v>0</v>
      </c>
      <c r="AA295" s="9">
        <f ca="1">DATOSAÑO!AK294</f>
        <v>0</v>
      </c>
      <c r="AB295" s="11">
        <f ca="1">(AA295*DATOSAÑO!$Z$11)/DATOSAÑO!$Y$11</f>
        <v>0</v>
      </c>
      <c r="AC295" s="9">
        <f ca="1">DATOSAÑO!AL294</f>
        <v>0</v>
      </c>
      <c r="AD295" s="11">
        <f ca="1">(AC295*DATOSAÑO!$Z$11)/DATOSAÑO!$Y$11</f>
        <v>0</v>
      </c>
      <c r="AE295" s="9">
        <f ca="1">DATOSAÑO!CJ294</f>
        <v>0</v>
      </c>
      <c r="AF295" s="11">
        <f ca="1">(AE295*DATOSAÑO!$Z$11)/DATOSAÑO!$Y$11</f>
        <v>0</v>
      </c>
      <c r="AG295" s="9">
        <f ca="1">DATOSAÑO!CK294</f>
        <v>0</v>
      </c>
      <c r="AH295" s="11">
        <f ca="1">(AG295*DATOSAÑO!$Z$11)/DATOSAÑO!$Y$11</f>
        <v>0</v>
      </c>
      <c r="AI295" s="9">
        <f ca="1">DATOSAÑO!BS294</f>
        <v>0</v>
      </c>
      <c r="AJ295" s="11">
        <f ca="1">(AI295*DATOSAÑO!$Z$11)/DATOSAÑO!$Y$11</f>
        <v>0</v>
      </c>
      <c r="AK295" s="9">
        <f ca="1">DATOSAÑO!BV294</f>
        <v>0</v>
      </c>
      <c r="AL295" s="11">
        <f ca="1">(AK295*DATOSAÑO!$Z$11)/DATOSAÑO!$Y$11</f>
        <v>0</v>
      </c>
      <c r="AM295" s="9">
        <f ca="1">DATOSAÑO!BY294</f>
        <v>0</v>
      </c>
      <c r="AN295" s="11">
        <f ca="1">(AM295*DATOSAÑO!$Z$11)/DATOSAÑO!$Y$11</f>
        <v>0</v>
      </c>
      <c r="AO295" s="9">
        <f ca="1">DATOSAÑO!CF294</f>
        <v>0</v>
      </c>
      <c r="AP295" s="11">
        <f ca="1">(AO295*DATOSAÑO!$Z$11)/DATOSAÑO!$Y$11</f>
        <v>0</v>
      </c>
      <c r="AQ295" s="9">
        <f ca="1">DATOSAÑO!CL294</f>
        <v>0</v>
      </c>
      <c r="AR295" s="1300">
        <f ca="1">(AQ295*DATOSAÑO!$Z$11)/DATOSAÑO!$Y$11</f>
        <v>0</v>
      </c>
      <c r="AS295" s="1334">
        <f t="shared" si="14"/>
        <v>41</v>
      </c>
    </row>
    <row r="296" spans="1:45" ht="15" thickBot="1">
      <c r="A296" s="1371">
        <v>45211</v>
      </c>
      <c r="B296" s="1021">
        <v>45211</v>
      </c>
      <c r="C296" s="9">
        <f ca="1">DATOSAÑO!I295</f>
        <v>0</v>
      </c>
      <c r="D296" s="10">
        <f ca="1">DATOSAÑO!$D295</f>
        <v>0</v>
      </c>
      <c r="E296" s="11">
        <f ca="1">DATOSAÑO!$G295</f>
        <v>0</v>
      </c>
      <c r="F296" s="9">
        <f ca="1">DATOSAÑO!P295</f>
        <v>0</v>
      </c>
      <c r="G296" s="10">
        <f ca="1">DATOSAÑO!K295</f>
        <v>0</v>
      </c>
      <c r="H296" s="11">
        <f ca="1">DATOSAÑO!N295</f>
        <v>0</v>
      </c>
      <c r="I296" s="9">
        <f ca="1">DATOSAÑO!Q295</f>
        <v>0</v>
      </c>
      <c r="J296" s="11">
        <f ca="1">DATOSAÑO!R295</f>
        <v>0</v>
      </c>
      <c r="K296" s="9">
        <f ca="1">DATOSAÑO!T295</f>
        <v>0</v>
      </c>
      <c r="L296" s="11">
        <f t="shared" ca="1" si="12"/>
        <v>0</v>
      </c>
      <c r="M296" s="9"/>
      <c r="N296" s="11">
        <f t="shared" si="13"/>
        <v>0</v>
      </c>
      <c r="O296" s="9">
        <f>DATOSAÑO!CT295</f>
        <v>0</v>
      </c>
      <c r="P296" s="9">
        <f>DATOSAÑO!CU295</f>
        <v>0</v>
      </c>
      <c r="Q296" s="9">
        <f ca="1">DATOSAÑO!AD295</f>
        <v>0</v>
      </c>
      <c r="R296" s="11">
        <f ca="1">(Q296*DATOSAÑO!$Z$11)/DATOSAÑO!$Y$11</f>
        <v>0</v>
      </c>
      <c r="S296" s="9">
        <f ca="1">DATOSAÑO!AF295</f>
        <v>0</v>
      </c>
      <c r="T296" s="11">
        <f ca="1">(S296*DATOSAÑO!$Z$11)/DATOSAÑO!$Y$11</f>
        <v>0</v>
      </c>
      <c r="U296" s="9">
        <f ca="1">DATOSAÑO!AH295</f>
        <v>0</v>
      </c>
      <c r="V296" s="11">
        <f ca="1">(U296*DATOSAÑO!$Z$11)/DATOSAÑO!$Y$11</f>
        <v>0</v>
      </c>
      <c r="W296" s="9">
        <f ca="1">DATOSAÑO!AI295</f>
        <v>0</v>
      </c>
      <c r="X296" s="11">
        <f ca="1">(W296*DATOSAÑO!$Z$11)/DATOSAÑO!$Y$11</f>
        <v>0</v>
      </c>
      <c r="Y296" s="9">
        <f ca="1">DATOSAÑO!AJ295</f>
        <v>0</v>
      </c>
      <c r="Z296" s="11">
        <f ca="1">(Y296*DATOSAÑO!$Z$11)/DATOSAÑO!$Y$11</f>
        <v>0</v>
      </c>
      <c r="AA296" s="9">
        <f ca="1">DATOSAÑO!AK295</f>
        <v>0</v>
      </c>
      <c r="AB296" s="11">
        <f ca="1">(AA296*DATOSAÑO!$Z$11)/DATOSAÑO!$Y$11</f>
        <v>0</v>
      </c>
      <c r="AC296" s="9">
        <f ca="1">DATOSAÑO!AL295</f>
        <v>0</v>
      </c>
      <c r="AD296" s="11">
        <f ca="1">(AC296*DATOSAÑO!$Z$11)/DATOSAÑO!$Y$11</f>
        <v>0</v>
      </c>
      <c r="AE296" s="9">
        <f ca="1">DATOSAÑO!CJ295</f>
        <v>0</v>
      </c>
      <c r="AF296" s="11">
        <f ca="1">(AE296*DATOSAÑO!$Z$11)/DATOSAÑO!$Y$11</f>
        <v>0</v>
      </c>
      <c r="AG296" s="9">
        <f ca="1">DATOSAÑO!CK295</f>
        <v>0</v>
      </c>
      <c r="AH296" s="11">
        <f ca="1">(AG296*DATOSAÑO!$Z$11)/DATOSAÑO!$Y$11</f>
        <v>0</v>
      </c>
      <c r="AI296" s="9">
        <f ca="1">DATOSAÑO!BS295</f>
        <v>0</v>
      </c>
      <c r="AJ296" s="11">
        <f ca="1">(AI296*DATOSAÑO!$Z$11)/DATOSAÑO!$Y$11</f>
        <v>0</v>
      </c>
      <c r="AK296" s="9">
        <f ca="1">DATOSAÑO!BV295</f>
        <v>0</v>
      </c>
      <c r="AL296" s="11">
        <f ca="1">(AK296*DATOSAÑO!$Z$11)/DATOSAÑO!$Y$11</f>
        <v>0</v>
      </c>
      <c r="AM296" s="9">
        <f ca="1">DATOSAÑO!BY295</f>
        <v>0</v>
      </c>
      <c r="AN296" s="11">
        <f ca="1">(AM296*DATOSAÑO!$Z$11)/DATOSAÑO!$Y$11</f>
        <v>0</v>
      </c>
      <c r="AO296" s="9">
        <f ca="1">DATOSAÑO!CF295</f>
        <v>0</v>
      </c>
      <c r="AP296" s="11">
        <f ca="1">(AO296*DATOSAÑO!$Z$11)/DATOSAÑO!$Y$11</f>
        <v>0</v>
      </c>
      <c r="AQ296" s="9">
        <f ca="1">DATOSAÑO!CL295</f>
        <v>0</v>
      </c>
      <c r="AR296" s="1300">
        <f ca="1">(AQ296*DATOSAÑO!$Z$11)/DATOSAÑO!$Y$11</f>
        <v>0</v>
      </c>
      <c r="AS296" s="1334">
        <f t="shared" si="14"/>
        <v>41</v>
      </c>
    </row>
    <row r="297" spans="1:45" ht="15" thickBot="1">
      <c r="A297" s="1371">
        <v>45212</v>
      </c>
      <c r="B297" s="1021">
        <v>45212</v>
      </c>
      <c r="C297" s="9">
        <f ca="1">DATOSAÑO!I296</f>
        <v>0</v>
      </c>
      <c r="D297" s="10">
        <f ca="1">DATOSAÑO!$D296</f>
        <v>0</v>
      </c>
      <c r="E297" s="11">
        <f ca="1">DATOSAÑO!$G296</f>
        <v>0</v>
      </c>
      <c r="F297" s="9">
        <f ca="1">DATOSAÑO!P296</f>
        <v>0</v>
      </c>
      <c r="G297" s="10">
        <f ca="1">DATOSAÑO!K296</f>
        <v>0</v>
      </c>
      <c r="H297" s="11">
        <f ca="1">DATOSAÑO!N296</f>
        <v>0</v>
      </c>
      <c r="I297" s="9">
        <f ca="1">DATOSAÑO!Q296</f>
        <v>0</v>
      </c>
      <c r="J297" s="11">
        <f ca="1">DATOSAÑO!R296</f>
        <v>0</v>
      </c>
      <c r="K297" s="9">
        <f ca="1">DATOSAÑO!T296</f>
        <v>0</v>
      </c>
      <c r="L297" s="11">
        <f t="shared" ca="1" si="12"/>
        <v>0</v>
      </c>
      <c r="M297" s="9"/>
      <c r="N297" s="11">
        <f t="shared" si="13"/>
        <v>0</v>
      </c>
      <c r="O297" s="9">
        <f>DATOSAÑO!CT296</f>
        <v>0</v>
      </c>
      <c r="P297" s="9">
        <f>DATOSAÑO!CU296</f>
        <v>0</v>
      </c>
      <c r="Q297" s="9">
        <f ca="1">DATOSAÑO!AD296</f>
        <v>0</v>
      </c>
      <c r="R297" s="11">
        <f ca="1">(Q297*DATOSAÑO!$Z$11)/DATOSAÑO!$Y$11</f>
        <v>0</v>
      </c>
      <c r="S297" s="9">
        <f ca="1">DATOSAÑO!AF296</f>
        <v>0</v>
      </c>
      <c r="T297" s="11">
        <f ca="1">(S297*DATOSAÑO!$Z$11)/DATOSAÑO!$Y$11</f>
        <v>0</v>
      </c>
      <c r="U297" s="9">
        <f ca="1">DATOSAÑO!AH296</f>
        <v>0</v>
      </c>
      <c r="V297" s="11">
        <f ca="1">(U297*DATOSAÑO!$Z$11)/DATOSAÑO!$Y$11</f>
        <v>0</v>
      </c>
      <c r="W297" s="9">
        <f ca="1">DATOSAÑO!AI296</f>
        <v>0</v>
      </c>
      <c r="X297" s="11">
        <f ca="1">(W297*DATOSAÑO!$Z$11)/DATOSAÑO!$Y$11</f>
        <v>0</v>
      </c>
      <c r="Y297" s="9">
        <f ca="1">DATOSAÑO!AJ296</f>
        <v>0</v>
      </c>
      <c r="Z297" s="11">
        <f ca="1">(Y297*DATOSAÑO!$Z$11)/DATOSAÑO!$Y$11</f>
        <v>0</v>
      </c>
      <c r="AA297" s="9">
        <f ca="1">DATOSAÑO!AK296</f>
        <v>0</v>
      </c>
      <c r="AB297" s="11">
        <f ca="1">(AA297*DATOSAÑO!$Z$11)/DATOSAÑO!$Y$11</f>
        <v>0</v>
      </c>
      <c r="AC297" s="9">
        <f ca="1">DATOSAÑO!AL296</f>
        <v>0</v>
      </c>
      <c r="AD297" s="11">
        <f ca="1">(AC297*DATOSAÑO!$Z$11)/DATOSAÑO!$Y$11</f>
        <v>0</v>
      </c>
      <c r="AE297" s="9">
        <f ca="1">DATOSAÑO!CJ296</f>
        <v>0</v>
      </c>
      <c r="AF297" s="11">
        <f ca="1">(AE297*DATOSAÑO!$Z$11)/DATOSAÑO!$Y$11</f>
        <v>0</v>
      </c>
      <c r="AG297" s="9">
        <f ca="1">DATOSAÑO!CK296</f>
        <v>0</v>
      </c>
      <c r="AH297" s="11">
        <f ca="1">(AG297*DATOSAÑO!$Z$11)/DATOSAÑO!$Y$11</f>
        <v>0</v>
      </c>
      <c r="AI297" s="9">
        <f ca="1">DATOSAÑO!BS296</f>
        <v>0</v>
      </c>
      <c r="AJ297" s="11">
        <f ca="1">(AI297*DATOSAÑO!$Z$11)/DATOSAÑO!$Y$11</f>
        <v>0</v>
      </c>
      <c r="AK297" s="9">
        <f ca="1">DATOSAÑO!BV296</f>
        <v>0</v>
      </c>
      <c r="AL297" s="11">
        <f ca="1">(AK297*DATOSAÑO!$Z$11)/DATOSAÑO!$Y$11</f>
        <v>0</v>
      </c>
      <c r="AM297" s="9">
        <f ca="1">DATOSAÑO!BY296</f>
        <v>0</v>
      </c>
      <c r="AN297" s="11">
        <f ca="1">(AM297*DATOSAÑO!$Z$11)/DATOSAÑO!$Y$11</f>
        <v>0</v>
      </c>
      <c r="AO297" s="9">
        <f ca="1">DATOSAÑO!CF296</f>
        <v>0</v>
      </c>
      <c r="AP297" s="11">
        <f ca="1">(AO297*DATOSAÑO!$Z$11)/DATOSAÑO!$Y$11</f>
        <v>0</v>
      </c>
      <c r="AQ297" s="9">
        <f ca="1">DATOSAÑO!CL296</f>
        <v>0</v>
      </c>
      <c r="AR297" s="1300">
        <f ca="1">(AQ297*DATOSAÑO!$Z$11)/DATOSAÑO!$Y$11</f>
        <v>0</v>
      </c>
      <c r="AS297" s="1334">
        <f t="shared" si="14"/>
        <v>41</v>
      </c>
    </row>
    <row r="298" spans="1:45" ht="15" thickBot="1">
      <c r="A298" s="1371">
        <v>45213</v>
      </c>
      <c r="B298" s="1021">
        <v>45213</v>
      </c>
      <c r="C298" s="9">
        <f ca="1">DATOSAÑO!I297</f>
        <v>0</v>
      </c>
      <c r="D298" s="10">
        <f ca="1">DATOSAÑO!$D297</f>
        <v>0</v>
      </c>
      <c r="E298" s="11">
        <f ca="1">DATOSAÑO!$G297</f>
        <v>0</v>
      </c>
      <c r="F298" s="9">
        <f ca="1">DATOSAÑO!P297</f>
        <v>0</v>
      </c>
      <c r="G298" s="10">
        <f ca="1">DATOSAÑO!K297</f>
        <v>0</v>
      </c>
      <c r="H298" s="11">
        <f ca="1">DATOSAÑO!N297</f>
        <v>0</v>
      </c>
      <c r="I298" s="9">
        <f ca="1">DATOSAÑO!Q297</f>
        <v>0</v>
      </c>
      <c r="J298" s="11">
        <f ca="1">DATOSAÑO!R297</f>
        <v>0</v>
      </c>
      <c r="K298" s="9">
        <f ca="1">DATOSAÑO!T297</f>
        <v>0</v>
      </c>
      <c r="L298" s="11">
        <f t="shared" ca="1" si="12"/>
        <v>0</v>
      </c>
      <c r="M298" s="9"/>
      <c r="N298" s="11">
        <f t="shared" si="13"/>
        <v>0</v>
      </c>
      <c r="O298" s="9">
        <f>DATOSAÑO!CT297</f>
        <v>0</v>
      </c>
      <c r="P298" s="9">
        <f>DATOSAÑO!CU297</f>
        <v>0</v>
      </c>
      <c r="Q298" s="9">
        <f ca="1">DATOSAÑO!AD297</f>
        <v>0</v>
      </c>
      <c r="R298" s="11">
        <f ca="1">(Q298*DATOSAÑO!$Z$11)/DATOSAÑO!$Y$11</f>
        <v>0</v>
      </c>
      <c r="S298" s="9">
        <f ca="1">DATOSAÑO!AF297</f>
        <v>0</v>
      </c>
      <c r="T298" s="11">
        <f ca="1">(S298*DATOSAÑO!$Z$11)/DATOSAÑO!$Y$11</f>
        <v>0</v>
      </c>
      <c r="U298" s="9">
        <f ca="1">DATOSAÑO!AH297</f>
        <v>0</v>
      </c>
      <c r="V298" s="11">
        <f ca="1">(U298*DATOSAÑO!$Z$11)/DATOSAÑO!$Y$11</f>
        <v>0</v>
      </c>
      <c r="W298" s="9">
        <f ca="1">DATOSAÑO!AI297</f>
        <v>0</v>
      </c>
      <c r="X298" s="11">
        <f ca="1">(W298*DATOSAÑO!$Z$11)/DATOSAÑO!$Y$11</f>
        <v>0</v>
      </c>
      <c r="Y298" s="9">
        <f ca="1">DATOSAÑO!AJ297</f>
        <v>0</v>
      </c>
      <c r="Z298" s="11">
        <f ca="1">(Y298*DATOSAÑO!$Z$11)/DATOSAÑO!$Y$11</f>
        <v>0</v>
      </c>
      <c r="AA298" s="9">
        <f ca="1">DATOSAÑO!AK297</f>
        <v>0</v>
      </c>
      <c r="AB298" s="11">
        <f ca="1">(AA298*DATOSAÑO!$Z$11)/DATOSAÑO!$Y$11</f>
        <v>0</v>
      </c>
      <c r="AC298" s="9">
        <f ca="1">DATOSAÑO!AL297</f>
        <v>0</v>
      </c>
      <c r="AD298" s="11">
        <f ca="1">(AC298*DATOSAÑO!$Z$11)/DATOSAÑO!$Y$11</f>
        <v>0</v>
      </c>
      <c r="AE298" s="9">
        <f ca="1">DATOSAÑO!CJ297</f>
        <v>0</v>
      </c>
      <c r="AF298" s="11">
        <f ca="1">(AE298*DATOSAÑO!$Z$11)/DATOSAÑO!$Y$11</f>
        <v>0</v>
      </c>
      <c r="AG298" s="9">
        <f ca="1">DATOSAÑO!CK297</f>
        <v>0</v>
      </c>
      <c r="AH298" s="11">
        <f ca="1">(AG298*DATOSAÑO!$Z$11)/DATOSAÑO!$Y$11</f>
        <v>0</v>
      </c>
      <c r="AI298" s="9">
        <f ca="1">DATOSAÑO!BS297</f>
        <v>0</v>
      </c>
      <c r="AJ298" s="11">
        <f ca="1">(AI298*DATOSAÑO!$Z$11)/DATOSAÑO!$Y$11</f>
        <v>0</v>
      </c>
      <c r="AK298" s="9">
        <f ca="1">DATOSAÑO!BV297</f>
        <v>0</v>
      </c>
      <c r="AL298" s="11">
        <f ca="1">(AK298*DATOSAÑO!$Z$11)/DATOSAÑO!$Y$11</f>
        <v>0</v>
      </c>
      <c r="AM298" s="9">
        <f ca="1">DATOSAÑO!BY297</f>
        <v>0</v>
      </c>
      <c r="AN298" s="11">
        <f ca="1">(AM298*DATOSAÑO!$Z$11)/DATOSAÑO!$Y$11</f>
        <v>0</v>
      </c>
      <c r="AO298" s="9">
        <f ca="1">DATOSAÑO!CF297</f>
        <v>0</v>
      </c>
      <c r="AP298" s="11">
        <f ca="1">(AO298*DATOSAÑO!$Z$11)/DATOSAÑO!$Y$11</f>
        <v>0</v>
      </c>
      <c r="AQ298" s="9">
        <f ca="1">DATOSAÑO!CL297</f>
        <v>0</v>
      </c>
      <c r="AR298" s="1300">
        <f ca="1">(AQ298*DATOSAÑO!$Z$11)/DATOSAÑO!$Y$11</f>
        <v>0</v>
      </c>
      <c r="AS298" s="1334">
        <f t="shared" si="14"/>
        <v>41</v>
      </c>
    </row>
    <row r="299" spans="1:45" ht="15" thickBot="1">
      <c r="A299" s="1371">
        <v>45214</v>
      </c>
      <c r="B299" s="1021">
        <v>45214</v>
      </c>
      <c r="C299" s="9">
        <f ca="1">DATOSAÑO!I298</f>
        <v>0</v>
      </c>
      <c r="D299" s="10">
        <f ca="1">DATOSAÑO!$D298</f>
        <v>0</v>
      </c>
      <c r="E299" s="11">
        <f ca="1">DATOSAÑO!$G298</f>
        <v>0</v>
      </c>
      <c r="F299" s="9">
        <f ca="1">DATOSAÑO!P298</f>
        <v>0</v>
      </c>
      <c r="G299" s="10">
        <f ca="1">DATOSAÑO!K298</f>
        <v>0</v>
      </c>
      <c r="H299" s="11">
        <f ca="1">DATOSAÑO!N298</f>
        <v>0</v>
      </c>
      <c r="I299" s="9">
        <f ca="1">DATOSAÑO!Q298</f>
        <v>0</v>
      </c>
      <c r="J299" s="11">
        <f ca="1">DATOSAÑO!R298</f>
        <v>0</v>
      </c>
      <c r="K299" s="9">
        <f ca="1">DATOSAÑO!T298</f>
        <v>0</v>
      </c>
      <c r="L299" s="11">
        <f t="shared" ca="1" si="12"/>
        <v>0</v>
      </c>
      <c r="M299" s="9"/>
      <c r="N299" s="11">
        <f t="shared" si="13"/>
        <v>0</v>
      </c>
      <c r="O299" s="9">
        <f>DATOSAÑO!CT298</f>
        <v>0</v>
      </c>
      <c r="P299" s="9">
        <f>DATOSAÑO!CU298</f>
        <v>0</v>
      </c>
      <c r="Q299" s="9">
        <f ca="1">DATOSAÑO!AD298</f>
        <v>0</v>
      </c>
      <c r="R299" s="11">
        <f ca="1">(Q299*DATOSAÑO!$Z$11)/DATOSAÑO!$Y$11</f>
        <v>0</v>
      </c>
      <c r="S299" s="9">
        <f ca="1">DATOSAÑO!AF298</f>
        <v>0</v>
      </c>
      <c r="T299" s="11">
        <f ca="1">(S299*DATOSAÑO!$Z$11)/DATOSAÑO!$Y$11</f>
        <v>0</v>
      </c>
      <c r="U299" s="9">
        <f ca="1">DATOSAÑO!AH298</f>
        <v>0</v>
      </c>
      <c r="V299" s="11">
        <f ca="1">(U299*DATOSAÑO!$Z$11)/DATOSAÑO!$Y$11</f>
        <v>0</v>
      </c>
      <c r="W299" s="9">
        <f ca="1">DATOSAÑO!AI298</f>
        <v>0</v>
      </c>
      <c r="X299" s="11">
        <f ca="1">(W299*DATOSAÑO!$Z$11)/DATOSAÑO!$Y$11</f>
        <v>0</v>
      </c>
      <c r="Y299" s="9">
        <f ca="1">DATOSAÑO!AJ298</f>
        <v>0</v>
      </c>
      <c r="Z299" s="11">
        <f ca="1">(Y299*DATOSAÑO!$Z$11)/DATOSAÑO!$Y$11</f>
        <v>0</v>
      </c>
      <c r="AA299" s="9">
        <f ca="1">DATOSAÑO!AK298</f>
        <v>0</v>
      </c>
      <c r="AB299" s="11">
        <f ca="1">(AA299*DATOSAÑO!$Z$11)/DATOSAÑO!$Y$11</f>
        <v>0</v>
      </c>
      <c r="AC299" s="9">
        <f ca="1">DATOSAÑO!AL298</f>
        <v>0</v>
      </c>
      <c r="AD299" s="11">
        <f ca="1">(AC299*DATOSAÑO!$Z$11)/DATOSAÑO!$Y$11</f>
        <v>0</v>
      </c>
      <c r="AE299" s="9">
        <f ca="1">DATOSAÑO!CJ298</f>
        <v>0</v>
      </c>
      <c r="AF299" s="11">
        <f ca="1">(AE299*DATOSAÑO!$Z$11)/DATOSAÑO!$Y$11</f>
        <v>0</v>
      </c>
      <c r="AG299" s="9">
        <f ca="1">DATOSAÑO!CK298</f>
        <v>0</v>
      </c>
      <c r="AH299" s="11">
        <f ca="1">(AG299*DATOSAÑO!$Z$11)/DATOSAÑO!$Y$11</f>
        <v>0</v>
      </c>
      <c r="AI299" s="9">
        <f ca="1">DATOSAÑO!BS298</f>
        <v>0</v>
      </c>
      <c r="AJ299" s="11">
        <f ca="1">(AI299*DATOSAÑO!$Z$11)/DATOSAÑO!$Y$11</f>
        <v>0</v>
      </c>
      <c r="AK299" s="9">
        <f ca="1">DATOSAÑO!BV298</f>
        <v>0</v>
      </c>
      <c r="AL299" s="11">
        <f ca="1">(AK299*DATOSAÑO!$Z$11)/DATOSAÑO!$Y$11</f>
        <v>0</v>
      </c>
      <c r="AM299" s="9">
        <f ca="1">DATOSAÑO!BY298</f>
        <v>0</v>
      </c>
      <c r="AN299" s="11">
        <f ca="1">(AM299*DATOSAÑO!$Z$11)/DATOSAÑO!$Y$11</f>
        <v>0</v>
      </c>
      <c r="AO299" s="9">
        <f ca="1">DATOSAÑO!CF298</f>
        <v>0</v>
      </c>
      <c r="AP299" s="11">
        <f ca="1">(AO299*DATOSAÑO!$Z$11)/DATOSAÑO!$Y$11</f>
        <v>0</v>
      </c>
      <c r="AQ299" s="9">
        <f ca="1">DATOSAÑO!CL298</f>
        <v>0</v>
      </c>
      <c r="AR299" s="1300">
        <f ca="1">(AQ299*DATOSAÑO!$Z$11)/DATOSAÑO!$Y$11</f>
        <v>0</v>
      </c>
      <c r="AS299" s="1334">
        <f t="shared" si="14"/>
        <v>42</v>
      </c>
    </row>
    <row r="300" spans="1:45" ht="15" thickBot="1">
      <c r="A300" s="1371">
        <v>45215</v>
      </c>
      <c r="B300" s="1021">
        <v>45215</v>
      </c>
      <c r="C300" s="9">
        <f ca="1">DATOSAÑO!I299</f>
        <v>0</v>
      </c>
      <c r="D300" s="10">
        <f ca="1">DATOSAÑO!$D299</f>
        <v>0</v>
      </c>
      <c r="E300" s="11">
        <f ca="1">DATOSAÑO!$G299</f>
        <v>0</v>
      </c>
      <c r="F300" s="9">
        <f ca="1">DATOSAÑO!P299</f>
        <v>0</v>
      </c>
      <c r="G300" s="10">
        <f ca="1">DATOSAÑO!K299</f>
        <v>0</v>
      </c>
      <c r="H300" s="11">
        <f ca="1">DATOSAÑO!N299</f>
        <v>0</v>
      </c>
      <c r="I300" s="9">
        <f ca="1">DATOSAÑO!Q299</f>
        <v>0</v>
      </c>
      <c r="J300" s="11">
        <f ca="1">DATOSAÑO!R299</f>
        <v>0</v>
      </c>
      <c r="K300" s="9">
        <f ca="1">DATOSAÑO!T299</f>
        <v>0</v>
      </c>
      <c r="L300" s="11">
        <f t="shared" ca="1" si="12"/>
        <v>0</v>
      </c>
      <c r="M300" s="9"/>
      <c r="N300" s="11">
        <f t="shared" si="13"/>
        <v>0</v>
      </c>
      <c r="O300" s="9">
        <f>DATOSAÑO!CT299</f>
        <v>0</v>
      </c>
      <c r="P300" s="9">
        <f>DATOSAÑO!CU299</f>
        <v>0</v>
      </c>
      <c r="Q300" s="9">
        <f ca="1">DATOSAÑO!AD299</f>
        <v>0</v>
      </c>
      <c r="R300" s="11">
        <f ca="1">(Q300*DATOSAÑO!$Z$11)/DATOSAÑO!$Y$11</f>
        <v>0</v>
      </c>
      <c r="S300" s="9">
        <f ca="1">DATOSAÑO!AF299</f>
        <v>0</v>
      </c>
      <c r="T300" s="11">
        <f ca="1">(S300*DATOSAÑO!$Z$11)/DATOSAÑO!$Y$11</f>
        <v>0</v>
      </c>
      <c r="U300" s="9">
        <f ca="1">DATOSAÑO!AH299</f>
        <v>0</v>
      </c>
      <c r="V300" s="11">
        <f ca="1">(U300*DATOSAÑO!$Z$11)/DATOSAÑO!$Y$11</f>
        <v>0</v>
      </c>
      <c r="W300" s="9">
        <f ca="1">DATOSAÑO!AI299</f>
        <v>0</v>
      </c>
      <c r="X300" s="11">
        <f ca="1">(W300*DATOSAÑO!$Z$11)/DATOSAÑO!$Y$11</f>
        <v>0</v>
      </c>
      <c r="Y300" s="9">
        <f ca="1">DATOSAÑO!AJ299</f>
        <v>0</v>
      </c>
      <c r="Z300" s="11">
        <f ca="1">(Y300*DATOSAÑO!$Z$11)/DATOSAÑO!$Y$11</f>
        <v>0</v>
      </c>
      <c r="AA300" s="9">
        <f ca="1">DATOSAÑO!AK299</f>
        <v>0</v>
      </c>
      <c r="AB300" s="11">
        <f ca="1">(AA300*DATOSAÑO!$Z$11)/DATOSAÑO!$Y$11</f>
        <v>0</v>
      </c>
      <c r="AC300" s="9">
        <f ca="1">DATOSAÑO!AL299</f>
        <v>0</v>
      </c>
      <c r="AD300" s="11">
        <f ca="1">(AC300*DATOSAÑO!$Z$11)/DATOSAÑO!$Y$11</f>
        <v>0</v>
      </c>
      <c r="AE300" s="9">
        <f ca="1">DATOSAÑO!CJ299</f>
        <v>0</v>
      </c>
      <c r="AF300" s="11">
        <f ca="1">(AE300*DATOSAÑO!$Z$11)/DATOSAÑO!$Y$11</f>
        <v>0</v>
      </c>
      <c r="AG300" s="9">
        <f ca="1">DATOSAÑO!CK299</f>
        <v>0</v>
      </c>
      <c r="AH300" s="11">
        <f ca="1">(AG300*DATOSAÑO!$Z$11)/DATOSAÑO!$Y$11</f>
        <v>0</v>
      </c>
      <c r="AI300" s="9">
        <f ca="1">DATOSAÑO!BS299</f>
        <v>0</v>
      </c>
      <c r="AJ300" s="11">
        <f ca="1">(AI300*DATOSAÑO!$Z$11)/DATOSAÑO!$Y$11</f>
        <v>0</v>
      </c>
      <c r="AK300" s="9">
        <f ca="1">DATOSAÑO!BV299</f>
        <v>0</v>
      </c>
      <c r="AL300" s="11">
        <f ca="1">(AK300*DATOSAÑO!$Z$11)/DATOSAÑO!$Y$11</f>
        <v>0</v>
      </c>
      <c r="AM300" s="9">
        <f ca="1">DATOSAÑO!BY299</f>
        <v>0</v>
      </c>
      <c r="AN300" s="11">
        <f ca="1">(AM300*DATOSAÑO!$Z$11)/DATOSAÑO!$Y$11</f>
        <v>0</v>
      </c>
      <c r="AO300" s="9">
        <f ca="1">DATOSAÑO!CF299</f>
        <v>0</v>
      </c>
      <c r="AP300" s="11">
        <f ca="1">(AO300*DATOSAÑO!$Z$11)/DATOSAÑO!$Y$11</f>
        <v>0</v>
      </c>
      <c r="AQ300" s="9">
        <f ca="1">DATOSAÑO!CL299</f>
        <v>0</v>
      </c>
      <c r="AR300" s="1300">
        <f ca="1">(AQ300*DATOSAÑO!$Z$11)/DATOSAÑO!$Y$11</f>
        <v>0</v>
      </c>
      <c r="AS300" s="1334">
        <f t="shared" si="14"/>
        <v>42</v>
      </c>
    </row>
    <row r="301" spans="1:45" ht="15" thickBot="1">
      <c r="A301" s="1371">
        <v>45216</v>
      </c>
      <c r="B301" s="1021">
        <v>45216</v>
      </c>
      <c r="C301" s="9">
        <f ca="1">DATOSAÑO!I300</f>
        <v>0</v>
      </c>
      <c r="D301" s="10">
        <f ca="1">DATOSAÑO!$D300</f>
        <v>0</v>
      </c>
      <c r="E301" s="11">
        <f ca="1">DATOSAÑO!$G300</f>
        <v>0</v>
      </c>
      <c r="F301" s="9">
        <f ca="1">DATOSAÑO!P300</f>
        <v>0</v>
      </c>
      <c r="G301" s="10">
        <f ca="1">DATOSAÑO!K300</f>
        <v>0</v>
      </c>
      <c r="H301" s="11">
        <f ca="1">DATOSAÑO!N300</f>
        <v>0</v>
      </c>
      <c r="I301" s="9">
        <f ca="1">DATOSAÑO!Q300</f>
        <v>0</v>
      </c>
      <c r="J301" s="11">
        <f ca="1">DATOSAÑO!R300</f>
        <v>0</v>
      </c>
      <c r="K301" s="9">
        <f ca="1">DATOSAÑO!T300</f>
        <v>0</v>
      </c>
      <c r="L301" s="11">
        <f t="shared" ca="1" si="12"/>
        <v>0</v>
      </c>
      <c r="M301" s="9"/>
      <c r="N301" s="11">
        <f t="shared" si="13"/>
        <v>0</v>
      </c>
      <c r="O301" s="9">
        <f>DATOSAÑO!CT300</f>
        <v>0</v>
      </c>
      <c r="P301" s="9">
        <f>DATOSAÑO!CU300</f>
        <v>0</v>
      </c>
      <c r="Q301" s="9">
        <f ca="1">DATOSAÑO!AD300</f>
        <v>0</v>
      </c>
      <c r="R301" s="11">
        <f ca="1">(Q301*DATOSAÑO!$Z$11)/DATOSAÑO!$Y$11</f>
        <v>0</v>
      </c>
      <c r="S301" s="9">
        <f ca="1">DATOSAÑO!AF300</f>
        <v>0</v>
      </c>
      <c r="T301" s="11">
        <f ca="1">(S301*DATOSAÑO!$Z$11)/DATOSAÑO!$Y$11</f>
        <v>0</v>
      </c>
      <c r="U301" s="9">
        <f ca="1">DATOSAÑO!AH300</f>
        <v>0</v>
      </c>
      <c r="V301" s="11">
        <f ca="1">(U301*DATOSAÑO!$Z$11)/DATOSAÑO!$Y$11</f>
        <v>0</v>
      </c>
      <c r="W301" s="9">
        <f ca="1">DATOSAÑO!AI300</f>
        <v>0</v>
      </c>
      <c r="X301" s="11">
        <f ca="1">(W301*DATOSAÑO!$Z$11)/DATOSAÑO!$Y$11</f>
        <v>0</v>
      </c>
      <c r="Y301" s="9">
        <f ca="1">DATOSAÑO!AJ300</f>
        <v>0</v>
      </c>
      <c r="Z301" s="11">
        <f ca="1">(Y301*DATOSAÑO!$Z$11)/DATOSAÑO!$Y$11</f>
        <v>0</v>
      </c>
      <c r="AA301" s="9">
        <f ca="1">DATOSAÑO!AK300</f>
        <v>0</v>
      </c>
      <c r="AB301" s="11">
        <f ca="1">(AA301*DATOSAÑO!$Z$11)/DATOSAÑO!$Y$11</f>
        <v>0</v>
      </c>
      <c r="AC301" s="9">
        <f ca="1">DATOSAÑO!AL300</f>
        <v>0</v>
      </c>
      <c r="AD301" s="11">
        <f ca="1">(AC301*DATOSAÑO!$Z$11)/DATOSAÑO!$Y$11</f>
        <v>0</v>
      </c>
      <c r="AE301" s="9">
        <f ca="1">DATOSAÑO!CJ300</f>
        <v>0</v>
      </c>
      <c r="AF301" s="11">
        <f ca="1">(AE301*DATOSAÑO!$Z$11)/DATOSAÑO!$Y$11</f>
        <v>0</v>
      </c>
      <c r="AG301" s="9">
        <f ca="1">DATOSAÑO!CK300</f>
        <v>0</v>
      </c>
      <c r="AH301" s="11">
        <f ca="1">(AG301*DATOSAÑO!$Z$11)/DATOSAÑO!$Y$11</f>
        <v>0</v>
      </c>
      <c r="AI301" s="9">
        <f ca="1">DATOSAÑO!BS300</f>
        <v>0</v>
      </c>
      <c r="AJ301" s="11">
        <f ca="1">(AI301*DATOSAÑO!$Z$11)/DATOSAÑO!$Y$11</f>
        <v>0</v>
      </c>
      <c r="AK301" s="9">
        <f ca="1">DATOSAÑO!BV300</f>
        <v>0</v>
      </c>
      <c r="AL301" s="11">
        <f ca="1">(AK301*DATOSAÑO!$Z$11)/DATOSAÑO!$Y$11</f>
        <v>0</v>
      </c>
      <c r="AM301" s="9">
        <f ca="1">DATOSAÑO!BY300</f>
        <v>0</v>
      </c>
      <c r="AN301" s="11">
        <f ca="1">(AM301*DATOSAÑO!$Z$11)/DATOSAÑO!$Y$11</f>
        <v>0</v>
      </c>
      <c r="AO301" s="9">
        <f ca="1">DATOSAÑO!CF300</f>
        <v>0</v>
      </c>
      <c r="AP301" s="11">
        <f ca="1">(AO301*DATOSAÑO!$Z$11)/DATOSAÑO!$Y$11</f>
        <v>0</v>
      </c>
      <c r="AQ301" s="9">
        <f ca="1">DATOSAÑO!CL300</f>
        <v>0</v>
      </c>
      <c r="AR301" s="1300">
        <f ca="1">(AQ301*DATOSAÑO!$Z$11)/DATOSAÑO!$Y$11</f>
        <v>0</v>
      </c>
      <c r="AS301" s="1334">
        <f t="shared" si="14"/>
        <v>42</v>
      </c>
    </row>
    <row r="302" spans="1:45" ht="15" thickBot="1">
      <c r="A302" s="1371">
        <v>45217</v>
      </c>
      <c r="B302" s="1021">
        <v>45217</v>
      </c>
      <c r="C302" s="9">
        <f ca="1">DATOSAÑO!I301</f>
        <v>0</v>
      </c>
      <c r="D302" s="10">
        <f ca="1">DATOSAÑO!$D301</f>
        <v>0</v>
      </c>
      <c r="E302" s="11">
        <f ca="1">DATOSAÑO!$G301</f>
        <v>0</v>
      </c>
      <c r="F302" s="9">
        <f ca="1">DATOSAÑO!P301</f>
        <v>0</v>
      </c>
      <c r="G302" s="10">
        <f ca="1">DATOSAÑO!K301</f>
        <v>0</v>
      </c>
      <c r="H302" s="11">
        <f ca="1">DATOSAÑO!N301</f>
        <v>0</v>
      </c>
      <c r="I302" s="9">
        <f ca="1">DATOSAÑO!Q301</f>
        <v>0</v>
      </c>
      <c r="J302" s="11">
        <f ca="1">DATOSAÑO!R301</f>
        <v>0</v>
      </c>
      <c r="K302" s="9">
        <f ca="1">DATOSAÑO!T301</f>
        <v>0</v>
      </c>
      <c r="L302" s="11">
        <f t="shared" ca="1" si="12"/>
        <v>0</v>
      </c>
      <c r="M302" s="9"/>
      <c r="N302" s="11">
        <f t="shared" si="13"/>
        <v>0</v>
      </c>
      <c r="O302" s="9">
        <f>DATOSAÑO!CT301</f>
        <v>0</v>
      </c>
      <c r="P302" s="9">
        <f>DATOSAÑO!CU301</f>
        <v>0</v>
      </c>
      <c r="Q302" s="9">
        <f ca="1">DATOSAÑO!AD301</f>
        <v>0</v>
      </c>
      <c r="R302" s="11">
        <f ca="1">(Q302*DATOSAÑO!$Z$11)/DATOSAÑO!$Y$11</f>
        <v>0</v>
      </c>
      <c r="S302" s="9">
        <f ca="1">DATOSAÑO!AF301</f>
        <v>0</v>
      </c>
      <c r="T302" s="11">
        <f ca="1">(S302*DATOSAÑO!$Z$11)/DATOSAÑO!$Y$11</f>
        <v>0</v>
      </c>
      <c r="U302" s="9">
        <f ca="1">DATOSAÑO!AH301</f>
        <v>0</v>
      </c>
      <c r="V302" s="11">
        <f ca="1">(U302*DATOSAÑO!$Z$11)/DATOSAÑO!$Y$11</f>
        <v>0</v>
      </c>
      <c r="W302" s="9">
        <f ca="1">DATOSAÑO!AI301</f>
        <v>0</v>
      </c>
      <c r="X302" s="11">
        <f ca="1">(W302*DATOSAÑO!$Z$11)/DATOSAÑO!$Y$11</f>
        <v>0</v>
      </c>
      <c r="Y302" s="9">
        <f ca="1">DATOSAÑO!AJ301</f>
        <v>0</v>
      </c>
      <c r="Z302" s="11">
        <f ca="1">(Y302*DATOSAÑO!$Z$11)/DATOSAÑO!$Y$11</f>
        <v>0</v>
      </c>
      <c r="AA302" s="9">
        <f ca="1">DATOSAÑO!AK301</f>
        <v>0</v>
      </c>
      <c r="AB302" s="11">
        <f ca="1">(AA302*DATOSAÑO!$Z$11)/DATOSAÑO!$Y$11</f>
        <v>0</v>
      </c>
      <c r="AC302" s="9">
        <f ca="1">DATOSAÑO!AL301</f>
        <v>0</v>
      </c>
      <c r="AD302" s="11">
        <f ca="1">(AC302*DATOSAÑO!$Z$11)/DATOSAÑO!$Y$11</f>
        <v>0</v>
      </c>
      <c r="AE302" s="9">
        <f ca="1">DATOSAÑO!CJ301</f>
        <v>0</v>
      </c>
      <c r="AF302" s="11">
        <f ca="1">(AE302*DATOSAÑO!$Z$11)/DATOSAÑO!$Y$11</f>
        <v>0</v>
      </c>
      <c r="AG302" s="9">
        <f ca="1">DATOSAÑO!CK301</f>
        <v>0</v>
      </c>
      <c r="AH302" s="11">
        <f ca="1">(AG302*DATOSAÑO!$Z$11)/DATOSAÑO!$Y$11</f>
        <v>0</v>
      </c>
      <c r="AI302" s="9">
        <f ca="1">DATOSAÑO!BS301</f>
        <v>0</v>
      </c>
      <c r="AJ302" s="11">
        <f ca="1">(AI302*DATOSAÑO!$Z$11)/DATOSAÑO!$Y$11</f>
        <v>0</v>
      </c>
      <c r="AK302" s="9">
        <f ca="1">DATOSAÑO!BV301</f>
        <v>0</v>
      </c>
      <c r="AL302" s="11">
        <f ca="1">(AK302*DATOSAÑO!$Z$11)/DATOSAÑO!$Y$11</f>
        <v>0</v>
      </c>
      <c r="AM302" s="9">
        <f ca="1">DATOSAÑO!BY301</f>
        <v>0</v>
      </c>
      <c r="AN302" s="11">
        <f ca="1">(AM302*DATOSAÑO!$Z$11)/DATOSAÑO!$Y$11</f>
        <v>0</v>
      </c>
      <c r="AO302" s="9">
        <f ca="1">DATOSAÑO!CF301</f>
        <v>0</v>
      </c>
      <c r="AP302" s="11">
        <f ca="1">(AO302*DATOSAÑO!$Z$11)/DATOSAÑO!$Y$11</f>
        <v>0</v>
      </c>
      <c r="AQ302" s="9">
        <f ca="1">DATOSAÑO!CL301</f>
        <v>0</v>
      </c>
      <c r="AR302" s="1300">
        <f ca="1">(AQ302*DATOSAÑO!$Z$11)/DATOSAÑO!$Y$11</f>
        <v>0</v>
      </c>
      <c r="AS302" s="1334">
        <f t="shared" si="14"/>
        <v>42</v>
      </c>
    </row>
    <row r="303" spans="1:45" ht="15" thickBot="1">
      <c r="A303" s="1371">
        <v>45218</v>
      </c>
      <c r="B303" s="1021">
        <v>45218</v>
      </c>
      <c r="C303" s="9">
        <f ca="1">DATOSAÑO!I302</f>
        <v>0</v>
      </c>
      <c r="D303" s="10">
        <f ca="1">DATOSAÑO!$D302</f>
        <v>0</v>
      </c>
      <c r="E303" s="11">
        <f ca="1">DATOSAÑO!$G302</f>
        <v>0</v>
      </c>
      <c r="F303" s="9">
        <f ca="1">DATOSAÑO!P302</f>
        <v>0</v>
      </c>
      <c r="G303" s="10">
        <f ca="1">DATOSAÑO!K302</f>
        <v>0</v>
      </c>
      <c r="H303" s="11">
        <f ca="1">DATOSAÑO!N302</f>
        <v>0</v>
      </c>
      <c r="I303" s="9">
        <f ca="1">DATOSAÑO!Q302</f>
        <v>0</v>
      </c>
      <c r="J303" s="11">
        <f ca="1">DATOSAÑO!R302</f>
        <v>0</v>
      </c>
      <c r="K303" s="9">
        <f ca="1">DATOSAÑO!T302</f>
        <v>0</v>
      </c>
      <c r="L303" s="11">
        <f t="shared" ca="1" si="12"/>
        <v>0</v>
      </c>
      <c r="M303" s="9"/>
      <c r="N303" s="11">
        <f t="shared" si="13"/>
        <v>0</v>
      </c>
      <c r="O303" s="9">
        <f>DATOSAÑO!CT302</f>
        <v>0</v>
      </c>
      <c r="P303" s="9">
        <f>DATOSAÑO!CU302</f>
        <v>0</v>
      </c>
      <c r="Q303" s="9">
        <f ca="1">DATOSAÑO!AD302</f>
        <v>0</v>
      </c>
      <c r="R303" s="11">
        <f ca="1">(Q303*DATOSAÑO!$Z$11)/DATOSAÑO!$Y$11</f>
        <v>0</v>
      </c>
      <c r="S303" s="9">
        <f ca="1">DATOSAÑO!AF302</f>
        <v>0</v>
      </c>
      <c r="T303" s="11">
        <f ca="1">(S303*DATOSAÑO!$Z$11)/DATOSAÑO!$Y$11</f>
        <v>0</v>
      </c>
      <c r="U303" s="9">
        <f ca="1">DATOSAÑO!AH302</f>
        <v>0</v>
      </c>
      <c r="V303" s="11">
        <f ca="1">(U303*DATOSAÑO!$Z$11)/DATOSAÑO!$Y$11</f>
        <v>0</v>
      </c>
      <c r="W303" s="9">
        <f ca="1">DATOSAÑO!AI302</f>
        <v>0</v>
      </c>
      <c r="X303" s="11">
        <f ca="1">(W303*DATOSAÑO!$Z$11)/DATOSAÑO!$Y$11</f>
        <v>0</v>
      </c>
      <c r="Y303" s="9">
        <f ca="1">DATOSAÑO!AJ302</f>
        <v>0</v>
      </c>
      <c r="Z303" s="11">
        <f ca="1">(Y303*DATOSAÑO!$Z$11)/DATOSAÑO!$Y$11</f>
        <v>0</v>
      </c>
      <c r="AA303" s="9">
        <f ca="1">DATOSAÑO!AK302</f>
        <v>0</v>
      </c>
      <c r="AB303" s="11">
        <f ca="1">(AA303*DATOSAÑO!$Z$11)/DATOSAÑO!$Y$11</f>
        <v>0</v>
      </c>
      <c r="AC303" s="9">
        <f ca="1">DATOSAÑO!AL302</f>
        <v>0</v>
      </c>
      <c r="AD303" s="11">
        <f ca="1">(AC303*DATOSAÑO!$Z$11)/DATOSAÑO!$Y$11</f>
        <v>0</v>
      </c>
      <c r="AE303" s="9">
        <f ca="1">DATOSAÑO!CJ302</f>
        <v>0</v>
      </c>
      <c r="AF303" s="11">
        <f ca="1">(AE303*DATOSAÑO!$Z$11)/DATOSAÑO!$Y$11</f>
        <v>0</v>
      </c>
      <c r="AG303" s="9">
        <f ca="1">DATOSAÑO!CK302</f>
        <v>0</v>
      </c>
      <c r="AH303" s="11">
        <f ca="1">(AG303*DATOSAÑO!$Z$11)/DATOSAÑO!$Y$11</f>
        <v>0</v>
      </c>
      <c r="AI303" s="9">
        <f ca="1">DATOSAÑO!BS302</f>
        <v>0</v>
      </c>
      <c r="AJ303" s="11">
        <f ca="1">(AI303*DATOSAÑO!$Z$11)/DATOSAÑO!$Y$11</f>
        <v>0</v>
      </c>
      <c r="AK303" s="9">
        <f ca="1">DATOSAÑO!BV302</f>
        <v>0</v>
      </c>
      <c r="AL303" s="11">
        <f ca="1">(AK303*DATOSAÑO!$Z$11)/DATOSAÑO!$Y$11</f>
        <v>0</v>
      </c>
      <c r="AM303" s="9">
        <f ca="1">DATOSAÑO!BY302</f>
        <v>0</v>
      </c>
      <c r="AN303" s="11">
        <f ca="1">(AM303*DATOSAÑO!$Z$11)/DATOSAÑO!$Y$11</f>
        <v>0</v>
      </c>
      <c r="AO303" s="9">
        <f ca="1">DATOSAÑO!CF302</f>
        <v>0</v>
      </c>
      <c r="AP303" s="11">
        <f ca="1">(AO303*DATOSAÑO!$Z$11)/DATOSAÑO!$Y$11</f>
        <v>0</v>
      </c>
      <c r="AQ303" s="9">
        <f ca="1">DATOSAÑO!CL302</f>
        <v>0</v>
      </c>
      <c r="AR303" s="1300">
        <f ca="1">(AQ303*DATOSAÑO!$Z$11)/DATOSAÑO!$Y$11</f>
        <v>0</v>
      </c>
      <c r="AS303" s="1334">
        <f t="shared" si="14"/>
        <v>42</v>
      </c>
    </row>
    <row r="304" spans="1:45" ht="15" thickBot="1">
      <c r="A304" s="1371">
        <v>45219</v>
      </c>
      <c r="B304" s="1021">
        <v>45219</v>
      </c>
      <c r="C304" s="9">
        <f ca="1">DATOSAÑO!I303</f>
        <v>0</v>
      </c>
      <c r="D304" s="10">
        <f ca="1">DATOSAÑO!$D303</f>
        <v>0</v>
      </c>
      <c r="E304" s="11">
        <f ca="1">DATOSAÑO!$G303</f>
        <v>0</v>
      </c>
      <c r="F304" s="9">
        <f ca="1">DATOSAÑO!P303</f>
        <v>0</v>
      </c>
      <c r="G304" s="10">
        <f ca="1">DATOSAÑO!K303</f>
        <v>0</v>
      </c>
      <c r="H304" s="11">
        <f ca="1">DATOSAÑO!N303</f>
        <v>0</v>
      </c>
      <c r="I304" s="9">
        <f ca="1">DATOSAÑO!Q303</f>
        <v>0</v>
      </c>
      <c r="J304" s="11">
        <f ca="1">DATOSAÑO!R303</f>
        <v>0</v>
      </c>
      <c r="K304" s="9">
        <f ca="1">DATOSAÑO!T303</f>
        <v>0</v>
      </c>
      <c r="L304" s="11">
        <f t="shared" ca="1" si="12"/>
        <v>0</v>
      </c>
      <c r="M304" s="9"/>
      <c r="N304" s="11">
        <f t="shared" si="13"/>
        <v>0</v>
      </c>
      <c r="O304" s="9">
        <f>DATOSAÑO!CT303</f>
        <v>0</v>
      </c>
      <c r="P304" s="9">
        <f>DATOSAÑO!CU303</f>
        <v>0</v>
      </c>
      <c r="Q304" s="9">
        <f ca="1">DATOSAÑO!AD303</f>
        <v>0</v>
      </c>
      <c r="R304" s="11">
        <f ca="1">(Q304*DATOSAÑO!$Z$11)/DATOSAÑO!$Y$11</f>
        <v>0</v>
      </c>
      <c r="S304" s="9">
        <f ca="1">DATOSAÑO!AF303</f>
        <v>0</v>
      </c>
      <c r="T304" s="11">
        <f ca="1">(S304*DATOSAÑO!$Z$11)/DATOSAÑO!$Y$11</f>
        <v>0</v>
      </c>
      <c r="U304" s="9">
        <f ca="1">DATOSAÑO!AH303</f>
        <v>0</v>
      </c>
      <c r="V304" s="11">
        <f ca="1">(U304*DATOSAÑO!$Z$11)/DATOSAÑO!$Y$11</f>
        <v>0</v>
      </c>
      <c r="W304" s="9">
        <f ca="1">DATOSAÑO!AI303</f>
        <v>0</v>
      </c>
      <c r="X304" s="11">
        <f ca="1">(W304*DATOSAÑO!$Z$11)/DATOSAÑO!$Y$11</f>
        <v>0</v>
      </c>
      <c r="Y304" s="9">
        <f ca="1">DATOSAÑO!AJ303</f>
        <v>0</v>
      </c>
      <c r="Z304" s="11">
        <f ca="1">(Y304*DATOSAÑO!$Z$11)/DATOSAÑO!$Y$11</f>
        <v>0</v>
      </c>
      <c r="AA304" s="9">
        <f ca="1">DATOSAÑO!AK303</f>
        <v>0</v>
      </c>
      <c r="AB304" s="11">
        <f ca="1">(AA304*DATOSAÑO!$Z$11)/DATOSAÑO!$Y$11</f>
        <v>0</v>
      </c>
      <c r="AC304" s="9">
        <f ca="1">DATOSAÑO!AL303</f>
        <v>0</v>
      </c>
      <c r="AD304" s="11">
        <f ca="1">(AC304*DATOSAÑO!$Z$11)/DATOSAÑO!$Y$11</f>
        <v>0</v>
      </c>
      <c r="AE304" s="9">
        <f ca="1">DATOSAÑO!CJ303</f>
        <v>0</v>
      </c>
      <c r="AF304" s="11">
        <f ca="1">(AE304*DATOSAÑO!$Z$11)/DATOSAÑO!$Y$11</f>
        <v>0</v>
      </c>
      <c r="AG304" s="9">
        <f ca="1">DATOSAÑO!CK303</f>
        <v>0</v>
      </c>
      <c r="AH304" s="11">
        <f ca="1">(AG304*DATOSAÑO!$Z$11)/DATOSAÑO!$Y$11</f>
        <v>0</v>
      </c>
      <c r="AI304" s="9">
        <f ca="1">DATOSAÑO!BS303</f>
        <v>0</v>
      </c>
      <c r="AJ304" s="11">
        <f ca="1">(AI304*DATOSAÑO!$Z$11)/DATOSAÑO!$Y$11</f>
        <v>0</v>
      </c>
      <c r="AK304" s="9">
        <f ca="1">DATOSAÑO!BV303</f>
        <v>0</v>
      </c>
      <c r="AL304" s="11">
        <f ca="1">(AK304*DATOSAÑO!$Z$11)/DATOSAÑO!$Y$11</f>
        <v>0</v>
      </c>
      <c r="AM304" s="9">
        <f ca="1">DATOSAÑO!BY303</f>
        <v>0</v>
      </c>
      <c r="AN304" s="11">
        <f ca="1">(AM304*DATOSAÑO!$Z$11)/DATOSAÑO!$Y$11</f>
        <v>0</v>
      </c>
      <c r="AO304" s="9">
        <f ca="1">DATOSAÑO!CF303</f>
        <v>0</v>
      </c>
      <c r="AP304" s="11">
        <f ca="1">(AO304*DATOSAÑO!$Z$11)/DATOSAÑO!$Y$11</f>
        <v>0</v>
      </c>
      <c r="AQ304" s="9">
        <f ca="1">DATOSAÑO!CL303</f>
        <v>0</v>
      </c>
      <c r="AR304" s="1300">
        <f ca="1">(AQ304*DATOSAÑO!$Z$11)/DATOSAÑO!$Y$11</f>
        <v>0</v>
      </c>
      <c r="AS304" s="1334">
        <f t="shared" si="14"/>
        <v>42</v>
      </c>
    </row>
    <row r="305" spans="1:45" ht="15" thickBot="1">
      <c r="A305" s="1371">
        <v>45220</v>
      </c>
      <c r="B305" s="1021">
        <v>45220</v>
      </c>
      <c r="C305" s="9">
        <f ca="1">DATOSAÑO!I304</f>
        <v>0</v>
      </c>
      <c r="D305" s="10">
        <f ca="1">DATOSAÑO!$D304</f>
        <v>0</v>
      </c>
      <c r="E305" s="11">
        <f ca="1">DATOSAÑO!$G304</f>
        <v>0</v>
      </c>
      <c r="F305" s="9">
        <f ca="1">DATOSAÑO!P304</f>
        <v>0</v>
      </c>
      <c r="G305" s="10">
        <f ca="1">DATOSAÑO!K304</f>
        <v>0</v>
      </c>
      <c r="H305" s="11">
        <f ca="1">DATOSAÑO!N304</f>
        <v>0</v>
      </c>
      <c r="I305" s="9">
        <f ca="1">DATOSAÑO!Q304</f>
        <v>0</v>
      </c>
      <c r="J305" s="11">
        <f ca="1">DATOSAÑO!R304</f>
        <v>0</v>
      </c>
      <c r="K305" s="9">
        <f ca="1">DATOSAÑO!T304</f>
        <v>0</v>
      </c>
      <c r="L305" s="11">
        <f t="shared" ca="1" si="12"/>
        <v>0</v>
      </c>
      <c r="M305" s="9"/>
      <c r="N305" s="11">
        <f t="shared" si="13"/>
        <v>0</v>
      </c>
      <c r="O305" s="9">
        <f>DATOSAÑO!CT304</f>
        <v>0</v>
      </c>
      <c r="P305" s="9">
        <f>DATOSAÑO!CU304</f>
        <v>0</v>
      </c>
      <c r="Q305" s="9">
        <f ca="1">DATOSAÑO!AD304</f>
        <v>0</v>
      </c>
      <c r="R305" s="11">
        <f ca="1">(Q305*DATOSAÑO!$Z$11)/DATOSAÑO!$Y$11</f>
        <v>0</v>
      </c>
      <c r="S305" s="9">
        <f ca="1">DATOSAÑO!AF304</f>
        <v>0</v>
      </c>
      <c r="T305" s="11">
        <f ca="1">(S305*DATOSAÑO!$Z$11)/DATOSAÑO!$Y$11</f>
        <v>0</v>
      </c>
      <c r="U305" s="9">
        <f ca="1">DATOSAÑO!AH304</f>
        <v>0</v>
      </c>
      <c r="V305" s="11">
        <f ca="1">(U305*DATOSAÑO!$Z$11)/DATOSAÑO!$Y$11</f>
        <v>0</v>
      </c>
      <c r="W305" s="9">
        <f ca="1">DATOSAÑO!AI304</f>
        <v>0</v>
      </c>
      <c r="X305" s="11">
        <f ca="1">(W305*DATOSAÑO!$Z$11)/DATOSAÑO!$Y$11</f>
        <v>0</v>
      </c>
      <c r="Y305" s="9">
        <f ca="1">DATOSAÑO!AJ304</f>
        <v>0</v>
      </c>
      <c r="Z305" s="11">
        <f ca="1">(Y305*DATOSAÑO!$Z$11)/DATOSAÑO!$Y$11</f>
        <v>0</v>
      </c>
      <c r="AA305" s="9">
        <f ca="1">DATOSAÑO!AK304</f>
        <v>0</v>
      </c>
      <c r="AB305" s="11">
        <f ca="1">(AA305*DATOSAÑO!$Z$11)/DATOSAÑO!$Y$11</f>
        <v>0</v>
      </c>
      <c r="AC305" s="9">
        <f ca="1">DATOSAÑO!AL304</f>
        <v>0</v>
      </c>
      <c r="AD305" s="11">
        <f ca="1">(AC305*DATOSAÑO!$Z$11)/DATOSAÑO!$Y$11</f>
        <v>0</v>
      </c>
      <c r="AE305" s="9">
        <f ca="1">DATOSAÑO!CJ304</f>
        <v>0</v>
      </c>
      <c r="AF305" s="11">
        <f ca="1">(AE305*DATOSAÑO!$Z$11)/DATOSAÑO!$Y$11</f>
        <v>0</v>
      </c>
      <c r="AG305" s="9">
        <f ca="1">DATOSAÑO!CK304</f>
        <v>0</v>
      </c>
      <c r="AH305" s="11">
        <f ca="1">(AG305*DATOSAÑO!$Z$11)/DATOSAÑO!$Y$11</f>
        <v>0</v>
      </c>
      <c r="AI305" s="9">
        <f ca="1">DATOSAÑO!BS304</f>
        <v>0</v>
      </c>
      <c r="AJ305" s="11">
        <f ca="1">(AI305*DATOSAÑO!$Z$11)/DATOSAÑO!$Y$11</f>
        <v>0</v>
      </c>
      <c r="AK305" s="9">
        <f ca="1">DATOSAÑO!BV304</f>
        <v>0</v>
      </c>
      <c r="AL305" s="11">
        <f ca="1">(AK305*DATOSAÑO!$Z$11)/DATOSAÑO!$Y$11</f>
        <v>0</v>
      </c>
      <c r="AM305" s="9">
        <f ca="1">DATOSAÑO!BY304</f>
        <v>0</v>
      </c>
      <c r="AN305" s="11">
        <f ca="1">(AM305*DATOSAÑO!$Z$11)/DATOSAÑO!$Y$11</f>
        <v>0</v>
      </c>
      <c r="AO305" s="9">
        <f ca="1">DATOSAÑO!CF304</f>
        <v>0</v>
      </c>
      <c r="AP305" s="11">
        <f ca="1">(AO305*DATOSAÑO!$Z$11)/DATOSAÑO!$Y$11</f>
        <v>0</v>
      </c>
      <c r="AQ305" s="9">
        <f ca="1">DATOSAÑO!CL304</f>
        <v>0</v>
      </c>
      <c r="AR305" s="1300">
        <f ca="1">(AQ305*DATOSAÑO!$Z$11)/DATOSAÑO!$Y$11</f>
        <v>0</v>
      </c>
      <c r="AS305" s="1334">
        <f t="shared" si="14"/>
        <v>42</v>
      </c>
    </row>
    <row r="306" spans="1:45" ht="15" thickBot="1">
      <c r="A306" s="1371">
        <v>45221</v>
      </c>
      <c r="B306" s="1021">
        <v>45221</v>
      </c>
      <c r="C306" s="9">
        <f ca="1">DATOSAÑO!I305</f>
        <v>0</v>
      </c>
      <c r="D306" s="10">
        <f ca="1">DATOSAÑO!$D305</f>
        <v>0</v>
      </c>
      <c r="E306" s="11">
        <f ca="1">DATOSAÑO!$G305</f>
        <v>0</v>
      </c>
      <c r="F306" s="9">
        <f ca="1">DATOSAÑO!P305</f>
        <v>0</v>
      </c>
      <c r="G306" s="10">
        <f ca="1">DATOSAÑO!K305</f>
        <v>0</v>
      </c>
      <c r="H306" s="11">
        <f ca="1">DATOSAÑO!N305</f>
        <v>0</v>
      </c>
      <c r="I306" s="9">
        <f ca="1">DATOSAÑO!Q305</f>
        <v>0</v>
      </c>
      <c r="J306" s="11">
        <f ca="1">DATOSAÑO!R305</f>
        <v>0</v>
      </c>
      <c r="K306" s="9">
        <f ca="1">DATOSAÑO!T305</f>
        <v>0</v>
      </c>
      <c r="L306" s="11">
        <f t="shared" ca="1" si="12"/>
        <v>0</v>
      </c>
      <c r="M306" s="9"/>
      <c r="N306" s="11">
        <f t="shared" si="13"/>
        <v>0</v>
      </c>
      <c r="O306" s="9">
        <f>DATOSAÑO!CT305</f>
        <v>0</v>
      </c>
      <c r="P306" s="9">
        <f>DATOSAÑO!CU305</f>
        <v>0</v>
      </c>
      <c r="Q306" s="9">
        <f ca="1">DATOSAÑO!AD305</f>
        <v>0</v>
      </c>
      <c r="R306" s="11">
        <f ca="1">(Q306*DATOSAÑO!$Z$11)/DATOSAÑO!$Y$11</f>
        <v>0</v>
      </c>
      <c r="S306" s="9">
        <f ca="1">DATOSAÑO!AF305</f>
        <v>0</v>
      </c>
      <c r="T306" s="11">
        <f ca="1">(S306*DATOSAÑO!$Z$11)/DATOSAÑO!$Y$11</f>
        <v>0</v>
      </c>
      <c r="U306" s="9">
        <f ca="1">DATOSAÑO!AH305</f>
        <v>0</v>
      </c>
      <c r="V306" s="11">
        <f ca="1">(U306*DATOSAÑO!$Z$11)/DATOSAÑO!$Y$11</f>
        <v>0</v>
      </c>
      <c r="W306" s="9">
        <f ca="1">DATOSAÑO!AI305</f>
        <v>0</v>
      </c>
      <c r="X306" s="11">
        <f ca="1">(W306*DATOSAÑO!$Z$11)/DATOSAÑO!$Y$11</f>
        <v>0</v>
      </c>
      <c r="Y306" s="9">
        <f ca="1">DATOSAÑO!AJ305</f>
        <v>0</v>
      </c>
      <c r="Z306" s="11">
        <f ca="1">(Y306*DATOSAÑO!$Z$11)/DATOSAÑO!$Y$11</f>
        <v>0</v>
      </c>
      <c r="AA306" s="9">
        <f ca="1">DATOSAÑO!AK305</f>
        <v>0</v>
      </c>
      <c r="AB306" s="11">
        <f ca="1">(AA306*DATOSAÑO!$Z$11)/DATOSAÑO!$Y$11</f>
        <v>0</v>
      </c>
      <c r="AC306" s="9">
        <f ca="1">DATOSAÑO!AL305</f>
        <v>0</v>
      </c>
      <c r="AD306" s="11">
        <f ca="1">(AC306*DATOSAÑO!$Z$11)/DATOSAÑO!$Y$11</f>
        <v>0</v>
      </c>
      <c r="AE306" s="9">
        <f ca="1">DATOSAÑO!CJ305</f>
        <v>0</v>
      </c>
      <c r="AF306" s="11">
        <f ca="1">(AE306*DATOSAÑO!$Z$11)/DATOSAÑO!$Y$11</f>
        <v>0</v>
      </c>
      <c r="AG306" s="9">
        <f ca="1">DATOSAÑO!CK305</f>
        <v>0</v>
      </c>
      <c r="AH306" s="11">
        <f ca="1">(AG306*DATOSAÑO!$Z$11)/DATOSAÑO!$Y$11</f>
        <v>0</v>
      </c>
      <c r="AI306" s="9">
        <f ca="1">DATOSAÑO!BS305</f>
        <v>0</v>
      </c>
      <c r="AJ306" s="11">
        <f ca="1">(AI306*DATOSAÑO!$Z$11)/DATOSAÑO!$Y$11</f>
        <v>0</v>
      </c>
      <c r="AK306" s="9">
        <f ca="1">DATOSAÑO!BV305</f>
        <v>0</v>
      </c>
      <c r="AL306" s="11">
        <f ca="1">(AK306*DATOSAÑO!$Z$11)/DATOSAÑO!$Y$11</f>
        <v>0</v>
      </c>
      <c r="AM306" s="9">
        <f ca="1">DATOSAÑO!BY305</f>
        <v>0</v>
      </c>
      <c r="AN306" s="11">
        <f ca="1">(AM306*DATOSAÑO!$Z$11)/DATOSAÑO!$Y$11</f>
        <v>0</v>
      </c>
      <c r="AO306" s="9">
        <f ca="1">DATOSAÑO!CF305</f>
        <v>0</v>
      </c>
      <c r="AP306" s="11">
        <f ca="1">(AO306*DATOSAÑO!$Z$11)/DATOSAÑO!$Y$11</f>
        <v>0</v>
      </c>
      <c r="AQ306" s="9">
        <f ca="1">DATOSAÑO!CL305</f>
        <v>0</v>
      </c>
      <c r="AR306" s="1300">
        <f ca="1">(AQ306*DATOSAÑO!$Z$11)/DATOSAÑO!$Y$11</f>
        <v>0</v>
      </c>
      <c r="AS306" s="1334">
        <f t="shared" si="14"/>
        <v>43</v>
      </c>
    </row>
    <row r="307" spans="1:45" ht="15" thickBot="1">
      <c r="A307" s="1371">
        <v>45222</v>
      </c>
      <c r="B307" s="1021">
        <v>45222</v>
      </c>
      <c r="C307" s="9">
        <f ca="1">DATOSAÑO!I306</f>
        <v>0</v>
      </c>
      <c r="D307" s="10">
        <f ca="1">DATOSAÑO!$D306</f>
        <v>0</v>
      </c>
      <c r="E307" s="11">
        <f ca="1">DATOSAÑO!$G306</f>
        <v>0</v>
      </c>
      <c r="F307" s="9">
        <f ca="1">DATOSAÑO!P306</f>
        <v>0</v>
      </c>
      <c r="G307" s="10">
        <f ca="1">DATOSAÑO!K306</f>
        <v>0</v>
      </c>
      <c r="H307" s="11">
        <f ca="1">DATOSAÑO!N306</f>
        <v>0</v>
      </c>
      <c r="I307" s="9">
        <f ca="1">DATOSAÑO!Q306</f>
        <v>0</v>
      </c>
      <c r="J307" s="11">
        <f ca="1">DATOSAÑO!R306</f>
        <v>0</v>
      </c>
      <c r="K307" s="9">
        <f ca="1">DATOSAÑO!T306</f>
        <v>0</v>
      </c>
      <c r="L307" s="11">
        <f t="shared" ca="1" si="12"/>
        <v>0</v>
      </c>
      <c r="M307" s="9"/>
      <c r="N307" s="11">
        <f t="shared" si="13"/>
        <v>0</v>
      </c>
      <c r="O307" s="9">
        <f>DATOSAÑO!CT306</f>
        <v>0</v>
      </c>
      <c r="P307" s="9">
        <f>DATOSAÑO!CU306</f>
        <v>0</v>
      </c>
      <c r="Q307" s="9">
        <f ca="1">DATOSAÑO!AD306</f>
        <v>0</v>
      </c>
      <c r="R307" s="11">
        <f ca="1">(Q307*DATOSAÑO!$Z$11)/DATOSAÑO!$Y$11</f>
        <v>0</v>
      </c>
      <c r="S307" s="9">
        <f ca="1">DATOSAÑO!AF306</f>
        <v>0</v>
      </c>
      <c r="T307" s="11">
        <f ca="1">(S307*DATOSAÑO!$Z$11)/DATOSAÑO!$Y$11</f>
        <v>0</v>
      </c>
      <c r="U307" s="9">
        <f ca="1">DATOSAÑO!AH306</f>
        <v>0</v>
      </c>
      <c r="V307" s="11">
        <f ca="1">(U307*DATOSAÑO!$Z$11)/DATOSAÑO!$Y$11</f>
        <v>0</v>
      </c>
      <c r="W307" s="9">
        <f ca="1">DATOSAÑO!AI306</f>
        <v>0</v>
      </c>
      <c r="X307" s="11">
        <f ca="1">(W307*DATOSAÑO!$Z$11)/DATOSAÑO!$Y$11</f>
        <v>0</v>
      </c>
      <c r="Y307" s="9">
        <f ca="1">DATOSAÑO!AJ306</f>
        <v>0</v>
      </c>
      <c r="Z307" s="11">
        <f ca="1">(Y307*DATOSAÑO!$Z$11)/DATOSAÑO!$Y$11</f>
        <v>0</v>
      </c>
      <c r="AA307" s="9">
        <f ca="1">DATOSAÑO!AK306</f>
        <v>0</v>
      </c>
      <c r="AB307" s="11">
        <f ca="1">(AA307*DATOSAÑO!$Z$11)/DATOSAÑO!$Y$11</f>
        <v>0</v>
      </c>
      <c r="AC307" s="9">
        <f ca="1">DATOSAÑO!AL306</f>
        <v>0</v>
      </c>
      <c r="AD307" s="11">
        <f ca="1">(AC307*DATOSAÑO!$Z$11)/DATOSAÑO!$Y$11</f>
        <v>0</v>
      </c>
      <c r="AE307" s="9">
        <f ca="1">DATOSAÑO!CJ306</f>
        <v>0</v>
      </c>
      <c r="AF307" s="11">
        <f ca="1">(AE307*DATOSAÑO!$Z$11)/DATOSAÑO!$Y$11</f>
        <v>0</v>
      </c>
      <c r="AG307" s="9">
        <f ca="1">DATOSAÑO!CK306</f>
        <v>0</v>
      </c>
      <c r="AH307" s="11">
        <f ca="1">(AG307*DATOSAÑO!$Z$11)/DATOSAÑO!$Y$11</f>
        <v>0</v>
      </c>
      <c r="AI307" s="9">
        <f ca="1">DATOSAÑO!BS306</f>
        <v>0</v>
      </c>
      <c r="AJ307" s="11">
        <f ca="1">(AI307*DATOSAÑO!$Z$11)/DATOSAÑO!$Y$11</f>
        <v>0</v>
      </c>
      <c r="AK307" s="9">
        <f ca="1">DATOSAÑO!BV306</f>
        <v>0</v>
      </c>
      <c r="AL307" s="11">
        <f ca="1">(AK307*DATOSAÑO!$Z$11)/DATOSAÑO!$Y$11</f>
        <v>0</v>
      </c>
      <c r="AM307" s="9">
        <f ca="1">DATOSAÑO!BY306</f>
        <v>0</v>
      </c>
      <c r="AN307" s="11">
        <f ca="1">(AM307*DATOSAÑO!$Z$11)/DATOSAÑO!$Y$11</f>
        <v>0</v>
      </c>
      <c r="AO307" s="9">
        <f ca="1">DATOSAÑO!CF306</f>
        <v>0</v>
      </c>
      <c r="AP307" s="11">
        <f ca="1">(AO307*DATOSAÑO!$Z$11)/DATOSAÑO!$Y$11</f>
        <v>0</v>
      </c>
      <c r="AQ307" s="9">
        <f ca="1">DATOSAÑO!CL306</f>
        <v>0</v>
      </c>
      <c r="AR307" s="1300">
        <f ca="1">(AQ307*DATOSAÑO!$Z$11)/DATOSAÑO!$Y$11</f>
        <v>0</v>
      </c>
      <c r="AS307" s="1334">
        <f t="shared" si="14"/>
        <v>43</v>
      </c>
    </row>
    <row r="308" spans="1:45" ht="15" thickBot="1">
      <c r="A308" s="1371">
        <v>45223</v>
      </c>
      <c r="B308" s="1021">
        <v>45223</v>
      </c>
      <c r="C308" s="9">
        <f ca="1">DATOSAÑO!I307</f>
        <v>0</v>
      </c>
      <c r="D308" s="10">
        <f ca="1">DATOSAÑO!$D307</f>
        <v>0</v>
      </c>
      <c r="E308" s="11">
        <f ca="1">DATOSAÑO!$G307</f>
        <v>0</v>
      </c>
      <c r="F308" s="9">
        <f ca="1">DATOSAÑO!P307</f>
        <v>0</v>
      </c>
      <c r="G308" s="10">
        <f ca="1">DATOSAÑO!K307</f>
        <v>0</v>
      </c>
      <c r="H308" s="11">
        <f ca="1">DATOSAÑO!N307</f>
        <v>0</v>
      </c>
      <c r="I308" s="9">
        <f ca="1">DATOSAÑO!Q307</f>
        <v>0</v>
      </c>
      <c r="J308" s="11">
        <f ca="1">DATOSAÑO!R307</f>
        <v>0</v>
      </c>
      <c r="K308" s="9">
        <f ca="1">DATOSAÑO!T307</f>
        <v>0</v>
      </c>
      <c r="L308" s="11">
        <f t="shared" ca="1" si="12"/>
        <v>0</v>
      </c>
      <c r="M308" s="9"/>
      <c r="N308" s="11">
        <f t="shared" si="13"/>
        <v>0</v>
      </c>
      <c r="O308" s="9">
        <f>DATOSAÑO!CT307</f>
        <v>0</v>
      </c>
      <c r="P308" s="9">
        <f>DATOSAÑO!CU307</f>
        <v>0</v>
      </c>
      <c r="Q308" s="9">
        <f ca="1">DATOSAÑO!AD307</f>
        <v>0</v>
      </c>
      <c r="R308" s="11">
        <f ca="1">(Q308*DATOSAÑO!$Z$11)/DATOSAÑO!$Y$11</f>
        <v>0</v>
      </c>
      <c r="S308" s="9">
        <f ca="1">DATOSAÑO!AF307</f>
        <v>0</v>
      </c>
      <c r="T308" s="11">
        <f ca="1">(S308*DATOSAÑO!$Z$11)/DATOSAÑO!$Y$11</f>
        <v>0</v>
      </c>
      <c r="U308" s="9">
        <f ca="1">DATOSAÑO!AH307</f>
        <v>0</v>
      </c>
      <c r="V308" s="11">
        <f ca="1">(U308*DATOSAÑO!$Z$11)/DATOSAÑO!$Y$11</f>
        <v>0</v>
      </c>
      <c r="W308" s="9">
        <f ca="1">DATOSAÑO!AI307</f>
        <v>0</v>
      </c>
      <c r="X308" s="11">
        <f ca="1">(W308*DATOSAÑO!$Z$11)/DATOSAÑO!$Y$11</f>
        <v>0</v>
      </c>
      <c r="Y308" s="9">
        <f ca="1">DATOSAÑO!AJ307</f>
        <v>0</v>
      </c>
      <c r="Z308" s="11">
        <f ca="1">(Y308*DATOSAÑO!$Z$11)/DATOSAÑO!$Y$11</f>
        <v>0</v>
      </c>
      <c r="AA308" s="9">
        <f ca="1">DATOSAÑO!AK307</f>
        <v>0</v>
      </c>
      <c r="AB308" s="11">
        <f ca="1">(AA308*DATOSAÑO!$Z$11)/DATOSAÑO!$Y$11</f>
        <v>0</v>
      </c>
      <c r="AC308" s="9">
        <f ca="1">DATOSAÑO!AL307</f>
        <v>0</v>
      </c>
      <c r="AD308" s="11">
        <f ca="1">(AC308*DATOSAÑO!$Z$11)/DATOSAÑO!$Y$11</f>
        <v>0</v>
      </c>
      <c r="AE308" s="9">
        <f ca="1">DATOSAÑO!CJ307</f>
        <v>0</v>
      </c>
      <c r="AF308" s="11">
        <f ca="1">(AE308*DATOSAÑO!$Z$11)/DATOSAÑO!$Y$11</f>
        <v>0</v>
      </c>
      <c r="AG308" s="9">
        <f ca="1">DATOSAÑO!CK307</f>
        <v>0</v>
      </c>
      <c r="AH308" s="11">
        <f ca="1">(AG308*DATOSAÑO!$Z$11)/DATOSAÑO!$Y$11</f>
        <v>0</v>
      </c>
      <c r="AI308" s="9">
        <f ca="1">DATOSAÑO!BS307</f>
        <v>0</v>
      </c>
      <c r="AJ308" s="11">
        <f ca="1">(AI308*DATOSAÑO!$Z$11)/DATOSAÑO!$Y$11</f>
        <v>0</v>
      </c>
      <c r="AK308" s="9">
        <f ca="1">DATOSAÑO!BV307</f>
        <v>0</v>
      </c>
      <c r="AL308" s="11">
        <f ca="1">(AK308*DATOSAÑO!$Z$11)/DATOSAÑO!$Y$11</f>
        <v>0</v>
      </c>
      <c r="AM308" s="9">
        <f ca="1">DATOSAÑO!BY307</f>
        <v>0</v>
      </c>
      <c r="AN308" s="11">
        <f ca="1">(AM308*DATOSAÑO!$Z$11)/DATOSAÑO!$Y$11</f>
        <v>0</v>
      </c>
      <c r="AO308" s="9">
        <f ca="1">DATOSAÑO!CF307</f>
        <v>0</v>
      </c>
      <c r="AP308" s="11">
        <f ca="1">(AO308*DATOSAÑO!$Z$11)/DATOSAÑO!$Y$11</f>
        <v>0</v>
      </c>
      <c r="AQ308" s="9">
        <f ca="1">DATOSAÑO!CL307</f>
        <v>0</v>
      </c>
      <c r="AR308" s="1300">
        <f ca="1">(AQ308*DATOSAÑO!$Z$11)/DATOSAÑO!$Y$11</f>
        <v>0</v>
      </c>
      <c r="AS308" s="1334">
        <f t="shared" si="14"/>
        <v>43</v>
      </c>
    </row>
    <row r="309" spans="1:45" ht="15" thickBot="1">
      <c r="A309" s="1371">
        <v>45224</v>
      </c>
      <c r="B309" s="1021">
        <v>45224</v>
      </c>
      <c r="C309" s="9">
        <f ca="1">DATOSAÑO!I308</f>
        <v>0</v>
      </c>
      <c r="D309" s="10">
        <f ca="1">DATOSAÑO!$D308</f>
        <v>0</v>
      </c>
      <c r="E309" s="11">
        <f ca="1">DATOSAÑO!$G308</f>
        <v>0</v>
      </c>
      <c r="F309" s="9">
        <f ca="1">DATOSAÑO!P308</f>
        <v>0</v>
      </c>
      <c r="G309" s="10">
        <f ca="1">DATOSAÑO!K308</f>
        <v>0</v>
      </c>
      <c r="H309" s="11">
        <f ca="1">DATOSAÑO!N308</f>
        <v>0</v>
      </c>
      <c r="I309" s="9">
        <f ca="1">DATOSAÑO!Q308</f>
        <v>0</v>
      </c>
      <c r="J309" s="11">
        <f ca="1">DATOSAÑO!R308</f>
        <v>0</v>
      </c>
      <c r="K309" s="9">
        <f ca="1">DATOSAÑO!T308</f>
        <v>0</v>
      </c>
      <c r="L309" s="11">
        <f t="shared" ca="1" si="12"/>
        <v>0</v>
      </c>
      <c r="M309" s="9"/>
      <c r="N309" s="11">
        <f t="shared" si="13"/>
        <v>0</v>
      </c>
      <c r="O309" s="9">
        <f>DATOSAÑO!CT308</f>
        <v>0</v>
      </c>
      <c r="P309" s="9">
        <f>DATOSAÑO!CU308</f>
        <v>0</v>
      </c>
      <c r="Q309" s="9">
        <f ca="1">DATOSAÑO!AD308</f>
        <v>0</v>
      </c>
      <c r="R309" s="11">
        <f ca="1">(Q309*DATOSAÑO!$Z$11)/DATOSAÑO!$Y$11</f>
        <v>0</v>
      </c>
      <c r="S309" s="9">
        <f ca="1">DATOSAÑO!AF308</f>
        <v>0</v>
      </c>
      <c r="T309" s="11">
        <f ca="1">(S309*DATOSAÑO!$Z$11)/DATOSAÑO!$Y$11</f>
        <v>0</v>
      </c>
      <c r="U309" s="9">
        <f ca="1">DATOSAÑO!AH308</f>
        <v>0</v>
      </c>
      <c r="V309" s="11">
        <f ca="1">(U309*DATOSAÑO!$Z$11)/DATOSAÑO!$Y$11</f>
        <v>0</v>
      </c>
      <c r="W309" s="9">
        <f ca="1">DATOSAÑO!AI308</f>
        <v>0</v>
      </c>
      <c r="X309" s="11">
        <f ca="1">(W309*DATOSAÑO!$Z$11)/DATOSAÑO!$Y$11</f>
        <v>0</v>
      </c>
      <c r="Y309" s="9">
        <f ca="1">DATOSAÑO!AJ308</f>
        <v>0</v>
      </c>
      <c r="Z309" s="11">
        <f ca="1">(Y309*DATOSAÑO!$Z$11)/DATOSAÑO!$Y$11</f>
        <v>0</v>
      </c>
      <c r="AA309" s="9">
        <f ca="1">DATOSAÑO!AK308</f>
        <v>0</v>
      </c>
      <c r="AB309" s="11">
        <f ca="1">(AA309*DATOSAÑO!$Z$11)/DATOSAÑO!$Y$11</f>
        <v>0</v>
      </c>
      <c r="AC309" s="9">
        <f ca="1">DATOSAÑO!AL308</f>
        <v>0</v>
      </c>
      <c r="AD309" s="11">
        <f ca="1">(AC309*DATOSAÑO!$Z$11)/DATOSAÑO!$Y$11</f>
        <v>0</v>
      </c>
      <c r="AE309" s="9">
        <f ca="1">DATOSAÑO!CJ308</f>
        <v>0</v>
      </c>
      <c r="AF309" s="11">
        <f ca="1">(AE309*DATOSAÑO!$Z$11)/DATOSAÑO!$Y$11</f>
        <v>0</v>
      </c>
      <c r="AG309" s="9">
        <f ca="1">DATOSAÑO!CK308</f>
        <v>0</v>
      </c>
      <c r="AH309" s="11">
        <f ca="1">(AG309*DATOSAÑO!$Z$11)/DATOSAÑO!$Y$11</f>
        <v>0</v>
      </c>
      <c r="AI309" s="9">
        <f ca="1">DATOSAÑO!BS308</f>
        <v>0</v>
      </c>
      <c r="AJ309" s="11">
        <f ca="1">(AI309*DATOSAÑO!$Z$11)/DATOSAÑO!$Y$11</f>
        <v>0</v>
      </c>
      <c r="AK309" s="9">
        <f ca="1">DATOSAÑO!BV308</f>
        <v>0</v>
      </c>
      <c r="AL309" s="11">
        <f ca="1">(AK309*DATOSAÑO!$Z$11)/DATOSAÑO!$Y$11</f>
        <v>0</v>
      </c>
      <c r="AM309" s="9">
        <f ca="1">DATOSAÑO!BY308</f>
        <v>0</v>
      </c>
      <c r="AN309" s="11">
        <f ca="1">(AM309*DATOSAÑO!$Z$11)/DATOSAÑO!$Y$11</f>
        <v>0</v>
      </c>
      <c r="AO309" s="9">
        <f ca="1">DATOSAÑO!CF308</f>
        <v>0</v>
      </c>
      <c r="AP309" s="11">
        <f ca="1">(AO309*DATOSAÑO!$Z$11)/DATOSAÑO!$Y$11</f>
        <v>0</v>
      </c>
      <c r="AQ309" s="9">
        <f ca="1">DATOSAÑO!CL308</f>
        <v>0</v>
      </c>
      <c r="AR309" s="1300">
        <f ca="1">(AQ309*DATOSAÑO!$Z$11)/DATOSAÑO!$Y$11</f>
        <v>0</v>
      </c>
      <c r="AS309" s="1334">
        <f t="shared" si="14"/>
        <v>43</v>
      </c>
    </row>
    <row r="310" spans="1:45" ht="15" thickBot="1">
      <c r="A310" s="1371">
        <v>45225</v>
      </c>
      <c r="B310" s="1021">
        <v>45225</v>
      </c>
      <c r="C310" s="9">
        <f ca="1">DATOSAÑO!I309</f>
        <v>0</v>
      </c>
      <c r="D310" s="10">
        <f ca="1">DATOSAÑO!$D309</f>
        <v>0</v>
      </c>
      <c r="E310" s="11">
        <f ca="1">DATOSAÑO!$G309</f>
        <v>0</v>
      </c>
      <c r="F310" s="9">
        <f ca="1">DATOSAÑO!P309</f>
        <v>0</v>
      </c>
      <c r="G310" s="10">
        <f ca="1">DATOSAÑO!K309</f>
        <v>0</v>
      </c>
      <c r="H310" s="11">
        <f ca="1">DATOSAÑO!N309</f>
        <v>0</v>
      </c>
      <c r="I310" s="9">
        <f ca="1">DATOSAÑO!Q309</f>
        <v>0</v>
      </c>
      <c r="J310" s="11">
        <f ca="1">DATOSAÑO!R309</f>
        <v>0</v>
      </c>
      <c r="K310" s="9">
        <f ca="1">DATOSAÑO!T309</f>
        <v>0</v>
      </c>
      <c r="L310" s="11">
        <f t="shared" ca="1" si="12"/>
        <v>0</v>
      </c>
      <c r="M310" s="9"/>
      <c r="N310" s="11">
        <f t="shared" si="13"/>
        <v>0</v>
      </c>
      <c r="O310" s="9">
        <f>DATOSAÑO!CT309</f>
        <v>0</v>
      </c>
      <c r="P310" s="9">
        <f>DATOSAÑO!CU309</f>
        <v>0</v>
      </c>
      <c r="Q310" s="9">
        <f ca="1">DATOSAÑO!AD309</f>
        <v>0</v>
      </c>
      <c r="R310" s="11">
        <f ca="1">(Q310*DATOSAÑO!$Z$11)/DATOSAÑO!$Y$11</f>
        <v>0</v>
      </c>
      <c r="S310" s="9">
        <f ca="1">DATOSAÑO!AF309</f>
        <v>0</v>
      </c>
      <c r="T310" s="11">
        <f ca="1">(S310*DATOSAÑO!$Z$11)/DATOSAÑO!$Y$11</f>
        <v>0</v>
      </c>
      <c r="U310" s="9">
        <f ca="1">DATOSAÑO!AH309</f>
        <v>0</v>
      </c>
      <c r="V310" s="11">
        <f ca="1">(U310*DATOSAÑO!$Z$11)/DATOSAÑO!$Y$11</f>
        <v>0</v>
      </c>
      <c r="W310" s="9">
        <f ca="1">DATOSAÑO!AI309</f>
        <v>0</v>
      </c>
      <c r="X310" s="11">
        <f ca="1">(W310*DATOSAÑO!$Z$11)/DATOSAÑO!$Y$11</f>
        <v>0</v>
      </c>
      <c r="Y310" s="9">
        <f ca="1">DATOSAÑO!AJ309</f>
        <v>0</v>
      </c>
      <c r="Z310" s="11">
        <f ca="1">(Y310*DATOSAÑO!$Z$11)/DATOSAÑO!$Y$11</f>
        <v>0</v>
      </c>
      <c r="AA310" s="9">
        <f ca="1">DATOSAÑO!AK309</f>
        <v>0</v>
      </c>
      <c r="AB310" s="11">
        <f ca="1">(AA310*DATOSAÑO!$Z$11)/DATOSAÑO!$Y$11</f>
        <v>0</v>
      </c>
      <c r="AC310" s="9">
        <f ca="1">DATOSAÑO!AL309</f>
        <v>0</v>
      </c>
      <c r="AD310" s="11">
        <f ca="1">(AC310*DATOSAÑO!$Z$11)/DATOSAÑO!$Y$11</f>
        <v>0</v>
      </c>
      <c r="AE310" s="9">
        <f ca="1">DATOSAÑO!CJ309</f>
        <v>0</v>
      </c>
      <c r="AF310" s="11">
        <f ca="1">(AE310*DATOSAÑO!$Z$11)/DATOSAÑO!$Y$11</f>
        <v>0</v>
      </c>
      <c r="AG310" s="9">
        <f ca="1">DATOSAÑO!CK309</f>
        <v>0</v>
      </c>
      <c r="AH310" s="11">
        <f ca="1">(AG310*DATOSAÑO!$Z$11)/DATOSAÑO!$Y$11</f>
        <v>0</v>
      </c>
      <c r="AI310" s="9">
        <f ca="1">DATOSAÑO!BS309</f>
        <v>0</v>
      </c>
      <c r="AJ310" s="11">
        <f ca="1">(AI310*DATOSAÑO!$Z$11)/DATOSAÑO!$Y$11</f>
        <v>0</v>
      </c>
      <c r="AK310" s="9">
        <f ca="1">DATOSAÑO!BV309</f>
        <v>0</v>
      </c>
      <c r="AL310" s="11">
        <f ca="1">(AK310*DATOSAÑO!$Z$11)/DATOSAÑO!$Y$11</f>
        <v>0</v>
      </c>
      <c r="AM310" s="9">
        <f ca="1">DATOSAÑO!BY309</f>
        <v>0</v>
      </c>
      <c r="AN310" s="11">
        <f ca="1">(AM310*DATOSAÑO!$Z$11)/DATOSAÑO!$Y$11</f>
        <v>0</v>
      </c>
      <c r="AO310" s="9">
        <f ca="1">DATOSAÑO!CF309</f>
        <v>0</v>
      </c>
      <c r="AP310" s="11">
        <f ca="1">(AO310*DATOSAÑO!$Z$11)/DATOSAÑO!$Y$11</f>
        <v>0</v>
      </c>
      <c r="AQ310" s="9">
        <f ca="1">DATOSAÑO!CL309</f>
        <v>0</v>
      </c>
      <c r="AR310" s="1300">
        <f ca="1">(AQ310*DATOSAÑO!$Z$11)/DATOSAÑO!$Y$11</f>
        <v>0</v>
      </c>
      <c r="AS310" s="1334">
        <f t="shared" si="14"/>
        <v>43</v>
      </c>
    </row>
    <row r="311" spans="1:45" ht="15" thickBot="1">
      <c r="A311" s="1371">
        <v>45226</v>
      </c>
      <c r="B311" s="1021">
        <v>45226</v>
      </c>
      <c r="C311" s="9">
        <f ca="1">DATOSAÑO!I310</f>
        <v>0</v>
      </c>
      <c r="D311" s="10">
        <f ca="1">DATOSAÑO!$D310</f>
        <v>0</v>
      </c>
      <c r="E311" s="11">
        <f ca="1">DATOSAÑO!$G310</f>
        <v>0</v>
      </c>
      <c r="F311" s="9">
        <f ca="1">DATOSAÑO!P310</f>
        <v>0</v>
      </c>
      <c r="G311" s="10">
        <f ca="1">DATOSAÑO!K310</f>
        <v>0</v>
      </c>
      <c r="H311" s="11">
        <f ca="1">DATOSAÑO!N310</f>
        <v>0</v>
      </c>
      <c r="I311" s="9">
        <f ca="1">DATOSAÑO!Q310</f>
        <v>0</v>
      </c>
      <c r="J311" s="11">
        <f ca="1">DATOSAÑO!R310</f>
        <v>0</v>
      </c>
      <c r="K311" s="9">
        <f ca="1">DATOSAÑO!T310</f>
        <v>0</v>
      </c>
      <c r="L311" s="11">
        <f t="shared" ca="1" si="12"/>
        <v>0</v>
      </c>
      <c r="M311" s="9"/>
      <c r="N311" s="11">
        <f t="shared" si="13"/>
        <v>0</v>
      </c>
      <c r="O311" s="9">
        <f>DATOSAÑO!CT310</f>
        <v>0</v>
      </c>
      <c r="P311" s="9">
        <f>DATOSAÑO!CU310</f>
        <v>0</v>
      </c>
      <c r="Q311" s="9">
        <f ca="1">DATOSAÑO!AD310</f>
        <v>0</v>
      </c>
      <c r="R311" s="11">
        <f ca="1">(Q311*DATOSAÑO!$Z$11)/DATOSAÑO!$Y$11</f>
        <v>0</v>
      </c>
      <c r="S311" s="9">
        <f ca="1">DATOSAÑO!AF310</f>
        <v>0</v>
      </c>
      <c r="T311" s="11">
        <f ca="1">(S311*DATOSAÑO!$Z$11)/DATOSAÑO!$Y$11</f>
        <v>0</v>
      </c>
      <c r="U311" s="9">
        <f ca="1">DATOSAÑO!AH310</f>
        <v>0</v>
      </c>
      <c r="V311" s="11">
        <f ca="1">(U311*DATOSAÑO!$Z$11)/DATOSAÑO!$Y$11</f>
        <v>0</v>
      </c>
      <c r="W311" s="9">
        <f ca="1">DATOSAÑO!AI310</f>
        <v>0</v>
      </c>
      <c r="X311" s="11">
        <f ca="1">(W311*DATOSAÑO!$Z$11)/DATOSAÑO!$Y$11</f>
        <v>0</v>
      </c>
      <c r="Y311" s="9">
        <f ca="1">DATOSAÑO!AJ310</f>
        <v>0</v>
      </c>
      <c r="Z311" s="11">
        <f ca="1">(Y311*DATOSAÑO!$Z$11)/DATOSAÑO!$Y$11</f>
        <v>0</v>
      </c>
      <c r="AA311" s="9">
        <f ca="1">DATOSAÑO!AK310</f>
        <v>0</v>
      </c>
      <c r="AB311" s="11">
        <f ca="1">(AA311*DATOSAÑO!$Z$11)/DATOSAÑO!$Y$11</f>
        <v>0</v>
      </c>
      <c r="AC311" s="9">
        <f ca="1">DATOSAÑO!AL310</f>
        <v>0</v>
      </c>
      <c r="AD311" s="11">
        <f ca="1">(AC311*DATOSAÑO!$Z$11)/DATOSAÑO!$Y$11</f>
        <v>0</v>
      </c>
      <c r="AE311" s="9">
        <f ca="1">DATOSAÑO!CJ310</f>
        <v>0</v>
      </c>
      <c r="AF311" s="11">
        <f ca="1">(AE311*DATOSAÑO!$Z$11)/DATOSAÑO!$Y$11</f>
        <v>0</v>
      </c>
      <c r="AG311" s="9">
        <f ca="1">DATOSAÑO!CK310</f>
        <v>0</v>
      </c>
      <c r="AH311" s="11">
        <f ca="1">(AG311*DATOSAÑO!$Z$11)/DATOSAÑO!$Y$11</f>
        <v>0</v>
      </c>
      <c r="AI311" s="9">
        <f ca="1">DATOSAÑO!BS310</f>
        <v>0</v>
      </c>
      <c r="AJ311" s="11">
        <f ca="1">(AI311*DATOSAÑO!$Z$11)/DATOSAÑO!$Y$11</f>
        <v>0</v>
      </c>
      <c r="AK311" s="9">
        <f ca="1">DATOSAÑO!BV310</f>
        <v>0</v>
      </c>
      <c r="AL311" s="11">
        <f ca="1">(AK311*DATOSAÑO!$Z$11)/DATOSAÑO!$Y$11</f>
        <v>0</v>
      </c>
      <c r="AM311" s="9">
        <f ca="1">DATOSAÑO!BY310</f>
        <v>0</v>
      </c>
      <c r="AN311" s="11">
        <f ca="1">(AM311*DATOSAÑO!$Z$11)/DATOSAÑO!$Y$11</f>
        <v>0</v>
      </c>
      <c r="AO311" s="9">
        <f ca="1">DATOSAÑO!CF310</f>
        <v>0</v>
      </c>
      <c r="AP311" s="11">
        <f ca="1">(AO311*DATOSAÑO!$Z$11)/DATOSAÑO!$Y$11</f>
        <v>0</v>
      </c>
      <c r="AQ311" s="9">
        <f ca="1">DATOSAÑO!CL310</f>
        <v>0</v>
      </c>
      <c r="AR311" s="1300">
        <f ca="1">(AQ311*DATOSAÑO!$Z$11)/DATOSAÑO!$Y$11</f>
        <v>0</v>
      </c>
      <c r="AS311" s="1334">
        <f t="shared" si="14"/>
        <v>43</v>
      </c>
    </row>
    <row r="312" spans="1:45" ht="15" thickBot="1">
      <c r="A312" s="1371">
        <v>45227</v>
      </c>
      <c r="B312" s="1021">
        <v>45227</v>
      </c>
      <c r="C312" s="9">
        <f ca="1">DATOSAÑO!I311</f>
        <v>0</v>
      </c>
      <c r="D312" s="10">
        <f ca="1">DATOSAÑO!$D311</f>
        <v>0</v>
      </c>
      <c r="E312" s="11">
        <f ca="1">DATOSAÑO!$G311</f>
        <v>0</v>
      </c>
      <c r="F312" s="9">
        <f ca="1">DATOSAÑO!P311</f>
        <v>0</v>
      </c>
      <c r="G312" s="10">
        <f ca="1">DATOSAÑO!K311</f>
        <v>0</v>
      </c>
      <c r="H312" s="11">
        <f ca="1">DATOSAÑO!N311</f>
        <v>0</v>
      </c>
      <c r="I312" s="9">
        <f ca="1">DATOSAÑO!Q311</f>
        <v>0</v>
      </c>
      <c r="J312" s="11">
        <f ca="1">DATOSAÑO!R311</f>
        <v>0</v>
      </c>
      <c r="K312" s="9">
        <f ca="1">DATOSAÑO!T311</f>
        <v>0</v>
      </c>
      <c r="L312" s="11">
        <f t="shared" ca="1" si="12"/>
        <v>0</v>
      </c>
      <c r="M312" s="9"/>
      <c r="N312" s="11">
        <f t="shared" si="13"/>
        <v>0</v>
      </c>
      <c r="O312" s="9">
        <f>DATOSAÑO!CT311</f>
        <v>0</v>
      </c>
      <c r="P312" s="9">
        <f>DATOSAÑO!CU311</f>
        <v>0</v>
      </c>
      <c r="Q312" s="9">
        <f ca="1">DATOSAÑO!AD311</f>
        <v>0</v>
      </c>
      <c r="R312" s="11">
        <f ca="1">(Q312*DATOSAÑO!$Z$11)/DATOSAÑO!$Y$11</f>
        <v>0</v>
      </c>
      <c r="S312" s="9">
        <f ca="1">DATOSAÑO!AF311</f>
        <v>0</v>
      </c>
      <c r="T312" s="11">
        <f ca="1">(S312*DATOSAÑO!$Z$11)/DATOSAÑO!$Y$11</f>
        <v>0</v>
      </c>
      <c r="U312" s="9">
        <f ca="1">DATOSAÑO!AH311</f>
        <v>0</v>
      </c>
      <c r="V312" s="11">
        <f ca="1">(U312*DATOSAÑO!$Z$11)/DATOSAÑO!$Y$11</f>
        <v>0</v>
      </c>
      <c r="W312" s="9">
        <f ca="1">DATOSAÑO!AI311</f>
        <v>0</v>
      </c>
      <c r="X312" s="11">
        <f ca="1">(W312*DATOSAÑO!$Z$11)/DATOSAÑO!$Y$11</f>
        <v>0</v>
      </c>
      <c r="Y312" s="9">
        <f ca="1">DATOSAÑO!AJ311</f>
        <v>0</v>
      </c>
      <c r="Z312" s="11">
        <f ca="1">(Y312*DATOSAÑO!$Z$11)/DATOSAÑO!$Y$11</f>
        <v>0</v>
      </c>
      <c r="AA312" s="9">
        <f ca="1">DATOSAÑO!AK311</f>
        <v>0</v>
      </c>
      <c r="AB312" s="11">
        <f ca="1">(AA312*DATOSAÑO!$Z$11)/DATOSAÑO!$Y$11</f>
        <v>0</v>
      </c>
      <c r="AC312" s="9">
        <f ca="1">DATOSAÑO!AL311</f>
        <v>0</v>
      </c>
      <c r="AD312" s="11">
        <f ca="1">(AC312*DATOSAÑO!$Z$11)/DATOSAÑO!$Y$11</f>
        <v>0</v>
      </c>
      <c r="AE312" s="9">
        <f ca="1">DATOSAÑO!CJ311</f>
        <v>0</v>
      </c>
      <c r="AF312" s="11">
        <f ca="1">(AE312*DATOSAÑO!$Z$11)/DATOSAÑO!$Y$11</f>
        <v>0</v>
      </c>
      <c r="AG312" s="9">
        <f ca="1">DATOSAÑO!CK311</f>
        <v>0</v>
      </c>
      <c r="AH312" s="11">
        <f ca="1">(AG312*DATOSAÑO!$Z$11)/DATOSAÑO!$Y$11</f>
        <v>0</v>
      </c>
      <c r="AI312" s="9">
        <f ca="1">DATOSAÑO!BS311</f>
        <v>0</v>
      </c>
      <c r="AJ312" s="11">
        <f ca="1">(AI312*DATOSAÑO!$Z$11)/DATOSAÑO!$Y$11</f>
        <v>0</v>
      </c>
      <c r="AK312" s="9">
        <f ca="1">DATOSAÑO!BV311</f>
        <v>0</v>
      </c>
      <c r="AL312" s="11">
        <f ca="1">(AK312*DATOSAÑO!$Z$11)/DATOSAÑO!$Y$11</f>
        <v>0</v>
      </c>
      <c r="AM312" s="9">
        <f ca="1">DATOSAÑO!BY311</f>
        <v>0</v>
      </c>
      <c r="AN312" s="11">
        <f ca="1">(AM312*DATOSAÑO!$Z$11)/DATOSAÑO!$Y$11</f>
        <v>0</v>
      </c>
      <c r="AO312" s="9">
        <f ca="1">DATOSAÑO!CF311</f>
        <v>0</v>
      </c>
      <c r="AP312" s="11">
        <f ca="1">(AO312*DATOSAÑO!$Z$11)/DATOSAÑO!$Y$11</f>
        <v>0</v>
      </c>
      <c r="AQ312" s="9">
        <f ca="1">DATOSAÑO!CL311</f>
        <v>0</v>
      </c>
      <c r="AR312" s="1300">
        <f ca="1">(AQ312*DATOSAÑO!$Z$11)/DATOSAÑO!$Y$11</f>
        <v>0</v>
      </c>
      <c r="AS312" s="1334">
        <f t="shared" si="14"/>
        <v>43</v>
      </c>
    </row>
    <row r="313" spans="1:45" ht="15" thickBot="1">
      <c r="A313" s="1371">
        <v>45228</v>
      </c>
      <c r="B313" s="1021">
        <v>45228</v>
      </c>
      <c r="C313" s="9">
        <f ca="1">DATOSAÑO!I312</f>
        <v>0</v>
      </c>
      <c r="D313" s="10">
        <f ca="1">DATOSAÑO!$D312</f>
        <v>0</v>
      </c>
      <c r="E313" s="11">
        <f ca="1">DATOSAÑO!$G312</f>
        <v>0</v>
      </c>
      <c r="F313" s="9">
        <f ca="1">DATOSAÑO!P312</f>
        <v>0</v>
      </c>
      <c r="G313" s="10">
        <f ca="1">DATOSAÑO!K312</f>
        <v>0</v>
      </c>
      <c r="H313" s="11">
        <f ca="1">DATOSAÑO!N312</f>
        <v>0</v>
      </c>
      <c r="I313" s="9">
        <f ca="1">DATOSAÑO!Q312</f>
        <v>0</v>
      </c>
      <c r="J313" s="11">
        <f ca="1">DATOSAÑO!R312</f>
        <v>0</v>
      </c>
      <c r="K313" s="9">
        <f ca="1">DATOSAÑO!T312</f>
        <v>0</v>
      </c>
      <c r="L313" s="11">
        <f t="shared" ca="1" si="12"/>
        <v>0</v>
      </c>
      <c r="M313" s="9"/>
      <c r="N313" s="11">
        <f t="shared" si="13"/>
        <v>0</v>
      </c>
      <c r="O313" s="9">
        <f>DATOSAÑO!CT312</f>
        <v>0</v>
      </c>
      <c r="P313" s="9">
        <f>DATOSAÑO!CU312</f>
        <v>0</v>
      </c>
      <c r="Q313" s="9">
        <f ca="1">DATOSAÑO!AD312</f>
        <v>0</v>
      </c>
      <c r="R313" s="11">
        <f ca="1">(Q313*DATOSAÑO!$Z$11)/DATOSAÑO!$Y$11</f>
        <v>0</v>
      </c>
      <c r="S313" s="9">
        <f ca="1">DATOSAÑO!AF312</f>
        <v>0</v>
      </c>
      <c r="T313" s="11">
        <f ca="1">(S313*DATOSAÑO!$Z$11)/DATOSAÑO!$Y$11</f>
        <v>0</v>
      </c>
      <c r="U313" s="9">
        <f ca="1">DATOSAÑO!AH312</f>
        <v>0</v>
      </c>
      <c r="V313" s="11">
        <f ca="1">(U313*DATOSAÑO!$Z$11)/DATOSAÑO!$Y$11</f>
        <v>0</v>
      </c>
      <c r="W313" s="9">
        <f ca="1">DATOSAÑO!AI312</f>
        <v>0</v>
      </c>
      <c r="X313" s="11">
        <f ca="1">(W313*DATOSAÑO!$Z$11)/DATOSAÑO!$Y$11</f>
        <v>0</v>
      </c>
      <c r="Y313" s="9">
        <f ca="1">DATOSAÑO!AJ312</f>
        <v>0</v>
      </c>
      <c r="Z313" s="11">
        <f ca="1">(Y313*DATOSAÑO!$Z$11)/DATOSAÑO!$Y$11</f>
        <v>0</v>
      </c>
      <c r="AA313" s="9">
        <f ca="1">DATOSAÑO!AK312</f>
        <v>0</v>
      </c>
      <c r="AB313" s="11">
        <f ca="1">(AA313*DATOSAÑO!$Z$11)/DATOSAÑO!$Y$11</f>
        <v>0</v>
      </c>
      <c r="AC313" s="9">
        <f ca="1">DATOSAÑO!AL312</f>
        <v>0</v>
      </c>
      <c r="AD313" s="11">
        <f ca="1">(AC313*DATOSAÑO!$Z$11)/DATOSAÑO!$Y$11</f>
        <v>0</v>
      </c>
      <c r="AE313" s="9">
        <f ca="1">DATOSAÑO!CJ312</f>
        <v>0</v>
      </c>
      <c r="AF313" s="11">
        <f ca="1">(AE313*DATOSAÑO!$Z$11)/DATOSAÑO!$Y$11</f>
        <v>0</v>
      </c>
      <c r="AG313" s="9">
        <f ca="1">DATOSAÑO!CK312</f>
        <v>0</v>
      </c>
      <c r="AH313" s="11">
        <f ca="1">(AG313*DATOSAÑO!$Z$11)/DATOSAÑO!$Y$11</f>
        <v>0</v>
      </c>
      <c r="AI313" s="9">
        <f ca="1">DATOSAÑO!BS312</f>
        <v>0</v>
      </c>
      <c r="AJ313" s="11">
        <f ca="1">(AI313*DATOSAÑO!$Z$11)/DATOSAÑO!$Y$11</f>
        <v>0</v>
      </c>
      <c r="AK313" s="9">
        <f ca="1">DATOSAÑO!BV312</f>
        <v>0</v>
      </c>
      <c r="AL313" s="11">
        <f ca="1">(AK313*DATOSAÑO!$Z$11)/DATOSAÑO!$Y$11</f>
        <v>0</v>
      </c>
      <c r="AM313" s="9">
        <f ca="1">DATOSAÑO!BY312</f>
        <v>0</v>
      </c>
      <c r="AN313" s="11">
        <f ca="1">(AM313*DATOSAÑO!$Z$11)/DATOSAÑO!$Y$11</f>
        <v>0</v>
      </c>
      <c r="AO313" s="9">
        <f ca="1">DATOSAÑO!CF312</f>
        <v>0</v>
      </c>
      <c r="AP313" s="11">
        <f ca="1">(AO313*DATOSAÑO!$Z$11)/DATOSAÑO!$Y$11</f>
        <v>0</v>
      </c>
      <c r="AQ313" s="9">
        <f ca="1">DATOSAÑO!CL312</f>
        <v>0</v>
      </c>
      <c r="AR313" s="1300">
        <f ca="1">(AQ313*DATOSAÑO!$Z$11)/DATOSAÑO!$Y$11</f>
        <v>0</v>
      </c>
      <c r="AS313" s="1334">
        <f t="shared" si="14"/>
        <v>44</v>
      </c>
    </row>
    <row r="314" spans="1:45" ht="15" thickBot="1">
      <c r="A314" s="1371">
        <v>45229</v>
      </c>
      <c r="B314" s="1021">
        <v>45229</v>
      </c>
      <c r="C314" s="9">
        <f ca="1">DATOSAÑO!I313</f>
        <v>0</v>
      </c>
      <c r="D314" s="10">
        <f ca="1">DATOSAÑO!$D313</f>
        <v>0</v>
      </c>
      <c r="E314" s="11">
        <f ca="1">DATOSAÑO!$G313</f>
        <v>0</v>
      </c>
      <c r="F314" s="9">
        <f ca="1">DATOSAÑO!P313</f>
        <v>0</v>
      </c>
      <c r="G314" s="10">
        <f ca="1">DATOSAÑO!K313</f>
        <v>0</v>
      </c>
      <c r="H314" s="11">
        <f ca="1">DATOSAÑO!N313</f>
        <v>0</v>
      </c>
      <c r="I314" s="9">
        <f ca="1">DATOSAÑO!Q313</f>
        <v>0</v>
      </c>
      <c r="J314" s="11">
        <f ca="1">DATOSAÑO!R313</f>
        <v>0</v>
      </c>
      <c r="K314" s="9">
        <f ca="1">DATOSAÑO!T313</f>
        <v>0</v>
      </c>
      <c r="L314" s="11">
        <f t="shared" ca="1" si="12"/>
        <v>0</v>
      </c>
      <c r="M314" s="9"/>
      <c r="N314" s="11">
        <f t="shared" si="13"/>
        <v>0</v>
      </c>
      <c r="O314" s="9">
        <f>DATOSAÑO!CT313</f>
        <v>0</v>
      </c>
      <c r="P314" s="9">
        <f>DATOSAÑO!CU313</f>
        <v>0</v>
      </c>
      <c r="Q314" s="9">
        <f ca="1">DATOSAÑO!AD313</f>
        <v>0</v>
      </c>
      <c r="R314" s="11">
        <f ca="1">(Q314*DATOSAÑO!$Z$11)/DATOSAÑO!$Y$11</f>
        <v>0</v>
      </c>
      <c r="S314" s="9">
        <f ca="1">DATOSAÑO!AF313</f>
        <v>0</v>
      </c>
      <c r="T314" s="11">
        <f ca="1">(S314*DATOSAÑO!$Z$11)/DATOSAÑO!$Y$11</f>
        <v>0</v>
      </c>
      <c r="U314" s="9">
        <f ca="1">DATOSAÑO!AH313</f>
        <v>0</v>
      </c>
      <c r="V314" s="11">
        <f ca="1">(U314*DATOSAÑO!$Z$11)/DATOSAÑO!$Y$11</f>
        <v>0</v>
      </c>
      <c r="W314" s="9">
        <f ca="1">DATOSAÑO!AI313</f>
        <v>0</v>
      </c>
      <c r="X314" s="11">
        <f ca="1">(W314*DATOSAÑO!$Z$11)/DATOSAÑO!$Y$11</f>
        <v>0</v>
      </c>
      <c r="Y314" s="9">
        <f ca="1">DATOSAÑO!AJ313</f>
        <v>0</v>
      </c>
      <c r="Z314" s="11">
        <f ca="1">(Y314*DATOSAÑO!$Z$11)/DATOSAÑO!$Y$11</f>
        <v>0</v>
      </c>
      <c r="AA314" s="9">
        <f ca="1">DATOSAÑO!AK313</f>
        <v>0</v>
      </c>
      <c r="AB314" s="11">
        <f ca="1">(AA314*DATOSAÑO!$Z$11)/DATOSAÑO!$Y$11</f>
        <v>0</v>
      </c>
      <c r="AC314" s="9">
        <f ca="1">DATOSAÑO!AL313</f>
        <v>0</v>
      </c>
      <c r="AD314" s="11">
        <f ca="1">(AC314*DATOSAÑO!$Z$11)/DATOSAÑO!$Y$11</f>
        <v>0</v>
      </c>
      <c r="AE314" s="9">
        <f ca="1">DATOSAÑO!CJ313</f>
        <v>0</v>
      </c>
      <c r="AF314" s="11">
        <f ca="1">(AE314*DATOSAÑO!$Z$11)/DATOSAÑO!$Y$11</f>
        <v>0</v>
      </c>
      <c r="AG314" s="9">
        <f ca="1">DATOSAÑO!CK313</f>
        <v>0</v>
      </c>
      <c r="AH314" s="11">
        <f ca="1">(AG314*DATOSAÑO!$Z$11)/DATOSAÑO!$Y$11</f>
        <v>0</v>
      </c>
      <c r="AI314" s="9">
        <f ca="1">DATOSAÑO!BS313</f>
        <v>0</v>
      </c>
      <c r="AJ314" s="11">
        <f ca="1">(AI314*DATOSAÑO!$Z$11)/DATOSAÑO!$Y$11</f>
        <v>0</v>
      </c>
      <c r="AK314" s="9">
        <f ca="1">DATOSAÑO!BV313</f>
        <v>0</v>
      </c>
      <c r="AL314" s="11">
        <f ca="1">(AK314*DATOSAÑO!$Z$11)/DATOSAÑO!$Y$11</f>
        <v>0</v>
      </c>
      <c r="AM314" s="9">
        <f ca="1">DATOSAÑO!BY313</f>
        <v>0</v>
      </c>
      <c r="AN314" s="11">
        <f ca="1">(AM314*DATOSAÑO!$Z$11)/DATOSAÑO!$Y$11</f>
        <v>0</v>
      </c>
      <c r="AO314" s="9">
        <f ca="1">DATOSAÑO!CF313</f>
        <v>0</v>
      </c>
      <c r="AP314" s="11">
        <f ca="1">(AO314*DATOSAÑO!$Z$11)/DATOSAÑO!$Y$11</f>
        <v>0</v>
      </c>
      <c r="AQ314" s="9">
        <f ca="1">DATOSAÑO!CL313</f>
        <v>0</v>
      </c>
      <c r="AR314" s="1300">
        <f ca="1">(AQ314*DATOSAÑO!$Z$11)/DATOSAÑO!$Y$11</f>
        <v>0</v>
      </c>
      <c r="AS314" s="1334">
        <f t="shared" si="14"/>
        <v>44</v>
      </c>
    </row>
    <row r="315" spans="1:45" ht="15" thickBot="1">
      <c r="A315" s="1371">
        <v>45230</v>
      </c>
      <c r="B315" s="1021">
        <v>45230</v>
      </c>
      <c r="C315" s="62">
        <f ca="1">DATOSAÑO!I314</f>
        <v>0</v>
      </c>
      <c r="D315" s="63">
        <f ca="1">DATOSAÑO!$D314</f>
        <v>0</v>
      </c>
      <c r="E315" s="64">
        <f ca="1">DATOSAÑO!$G314</f>
        <v>0</v>
      </c>
      <c r="F315" s="62">
        <f ca="1">DATOSAÑO!P314</f>
        <v>0</v>
      </c>
      <c r="G315" s="63">
        <f ca="1">DATOSAÑO!K314</f>
        <v>0</v>
      </c>
      <c r="H315" s="64">
        <f ca="1">DATOSAÑO!N314</f>
        <v>0</v>
      </c>
      <c r="I315" s="62">
        <f ca="1">DATOSAÑO!Q314</f>
        <v>0</v>
      </c>
      <c r="J315" s="64">
        <f ca="1">DATOSAÑO!R314</f>
        <v>0</v>
      </c>
      <c r="K315" s="9">
        <f ca="1">DATOSAÑO!T314</f>
        <v>0</v>
      </c>
      <c r="L315" s="64">
        <f t="shared" ca="1" si="12"/>
        <v>0</v>
      </c>
      <c r="M315" s="62"/>
      <c r="N315" s="64">
        <f t="shared" si="13"/>
        <v>0</v>
      </c>
      <c r="O315" s="62">
        <f>DATOSAÑO!CT314</f>
        <v>0</v>
      </c>
      <c r="P315" s="61">
        <f>DATOSAÑO!CU314</f>
        <v>0</v>
      </c>
      <c r="Q315" s="9">
        <f ca="1">DATOSAÑO!AD314</f>
        <v>0</v>
      </c>
      <c r="R315" s="64">
        <f ca="1">(Q315*DATOSAÑO!$Z$11)/DATOSAÑO!$Y$11</f>
        <v>0</v>
      </c>
      <c r="S315" s="9">
        <f ca="1">DATOSAÑO!AF314</f>
        <v>0</v>
      </c>
      <c r="T315" s="64">
        <f ca="1">(S315*DATOSAÑO!$Z$11)/DATOSAÑO!$Y$11</f>
        <v>0</v>
      </c>
      <c r="U315" s="9">
        <f ca="1">DATOSAÑO!AH314</f>
        <v>0</v>
      </c>
      <c r="V315" s="64">
        <f ca="1">(U315*DATOSAÑO!$Z$11)/DATOSAÑO!$Y$11</f>
        <v>0</v>
      </c>
      <c r="W315" s="9">
        <f ca="1">DATOSAÑO!AI314</f>
        <v>0</v>
      </c>
      <c r="X315" s="64">
        <f ca="1">(W315*DATOSAÑO!$Z$11)/DATOSAÑO!$Y$11</f>
        <v>0</v>
      </c>
      <c r="Y315" s="9">
        <f ca="1">DATOSAÑO!AJ314</f>
        <v>0</v>
      </c>
      <c r="Z315" s="64">
        <f ca="1">(Y315*DATOSAÑO!$Z$11)/DATOSAÑO!$Y$11</f>
        <v>0</v>
      </c>
      <c r="AA315" s="9">
        <f ca="1">DATOSAÑO!AK314</f>
        <v>0</v>
      </c>
      <c r="AB315" s="64">
        <f ca="1">(AA315*DATOSAÑO!$Z$11)/DATOSAÑO!$Y$11</f>
        <v>0</v>
      </c>
      <c r="AC315" s="9">
        <f ca="1">DATOSAÑO!AL314</f>
        <v>0</v>
      </c>
      <c r="AD315" s="1077">
        <f ca="1">(AC315*DATOSAÑO!$Z$11)/DATOSAÑO!$Y$11</f>
        <v>0</v>
      </c>
      <c r="AE315" s="62">
        <f ca="1">DATOSAÑO!CJ314</f>
        <v>0</v>
      </c>
      <c r="AF315" s="64">
        <f ca="1">(AE315*DATOSAÑO!$Z$11)/DATOSAÑO!$Y$11</f>
        <v>0</v>
      </c>
      <c r="AG315" s="62">
        <f ca="1">DATOSAÑO!CK314</f>
        <v>0</v>
      </c>
      <c r="AH315" s="64">
        <f ca="1">(AG315*DATOSAÑO!$Z$11)/DATOSAÑO!$Y$11</f>
        <v>0</v>
      </c>
      <c r="AI315" s="62">
        <f ca="1">DATOSAÑO!BS314</f>
        <v>0</v>
      </c>
      <c r="AJ315" s="64">
        <f ca="1">(AI315*DATOSAÑO!$Z$11)/DATOSAÑO!$Y$11</f>
        <v>0</v>
      </c>
      <c r="AK315" s="62">
        <f ca="1">DATOSAÑO!BV314</f>
        <v>0</v>
      </c>
      <c r="AL315" s="64">
        <f ca="1">(AK315*DATOSAÑO!$Z$11)/DATOSAÑO!$Y$11</f>
        <v>0</v>
      </c>
      <c r="AM315" s="62">
        <f ca="1">DATOSAÑO!BY314</f>
        <v>0</v>
      </c>
      <c r="AN315" s="64">
        <f ca="1">(AM315*DATOSAÑO!$Z$11)/DATOSAÑO!$Y$11</f>
        <v>0</v>
      </c>
      <c r="AO315" s="62">
        <f ca="1">DATOSAÑO!CF314</f>
        <v>0</v>
      </c>
      <c r="AP315" s="64">
        <f ca="1">(AO315*DATOSAÑO!$Z$11)/DATOSAÑO!$Y$11</f>
        <v>0</v>
      </c>
      <c r="AQ315" s="62">
        <f ca="1">DATOSAÑO!CL314</f>
        <v>0</v>
      </c>
      <c r="AR315" s="1077">
        <f ca="1">(AQ315*DATOSAÑO!$Z$11)/DATOSAÑO!$Y$11</f>
        <v>0</v>
      </c>
      <c r="AS315" s="1335">
        <f t="shared" si="14"/>
        <v>44</v>
      </c>
    </row>
    <row r="316" spans="1:45" ht="15" thickBot="1">
      <c r="A316" s="1371">
        <v>45231</v>
      </c>
      <c r="B316" s="1021">
        <v>45231</v>
      </c>
      <c r="C316" s="9">
        <f ca="1">DATOSAÑO!I315</f>
        <v>0</v>
      </c>
      <c r="D316" s="10">
        <f ca="1">DATOSAÑO!$D315</f>
        <v>0</v>
      </c>
      <c r="E316" s="11">
        <f ca="1">DATOSAÑO!$G315</f>
        <v>0</v>
      </c>
      <c r="F316" s="9">
        <f ca="1">DATOSAÑO!P315</f>
        <v>0</v>
      </c>
      <c r="G316" s="10">
        <f ca="1">DATOSAÑO!K315</f>
        <v>0</v>
      </c>
      <c r="H316" s="175">
        <f ca="1">DATOSAÑO!N315</f>
        <v>0</v>
      </c>
      <c r="I316" s="173">
        <f ca="1">DATOSAÑO!Q315</f>
        <v>0</v>
      </c>
      <c r="J316" s="175">
        <f ca="1">DATOSAÑO!R315</f>
        <v>0</v>
      </c>
      <c r="K316" s="173">
        <f ca="1">DATOSAÑO!T315</f>
        <v>0</v>
      </c>
      <c r="L316" s="175">
        <f t="shared" ca="1" si="12"/>
        <v>0</v>
      </c>
      <c r="M316" s="173"/>
      <c r="N316" s="175">
        <f t="shared" si="13"/>
        <v>0</v>
      </c>
      <c r="O316" s="9">
        <f>DATOSAÑO!CT315</f>
        <v>0</v>
      </c>
      <c r="P316" s="9">
        <f>DATOSAÑO!CU315</f>
        <v>0</v>
      </c>
      <c r="Q316" s="173">
        <f ca="1">DATOSAÑO!AD315</f>
        <v>0</v>
      </c>
      <c r="R316" s="175">
        <f ca="1">(Q316*DATOSAÑO!$Z$11)/DATOSAÑO!$Y$11</f>
        <v>0</v>
      </c>
      <c r="S316" s="173">
        <f ca="1">DATOSAÑO!AF315</f>
        <v>0</v>
      </c>
      <c r="T316" s="175">
        <f ca="1">(S316*DATOSAÑO!$Z$11)/DATOSAÑO!$Y$11</f>
        <v>0</v>
      </c>
      <c r="U316" s="173">
        <f ca="1">DATOSAÑO!AH315</f>
        <v>0</v>
      </c>
      <c r="V316" s="175">
        <f ca="1">(U316*DATOSAÑO!$Z$11)/DATOSAÑO!$Y$11</f>
        <v>0</v>
      </c>
      <c r="W316" s="173">
        <f ca="1">DATOSAÑO!AI315</f>
        <v>0</v>
      </c>
      <c r="X316" s="175">
        <f ca="1">(W316*DATOSAÑO!$Z$11)/DATOSAÑO!$Y$11</f>
        <v>0</v>
      </c>
      <c r="Y316" s="173">
        <f ca="1">DATOSAÑO!AJ315</f>
        <v>0</v>
      </c>
      <c r="Z316" s="175">
        <f ca="1">(Y316*DATOSAÑO!$Z$11)/DATOSAÑO!$Y$11</f>
        <v>0</v>
      </c>
      <c r="AA316" s="173">
        <f ca="1">DATOSAÑO!AK315</f>
        <v>0</v>
      </c>
      <c r="AB316" s="175">
        <f ca="1">(AA316*DATOSAÑO!$Z$11)/DATOSAÑO!$Y$11</f>
        <v>0</v>
      </c>
      <c r="AC316" s="173">
        <f ca="1">DATOSAÑO!AL315</f>
        <v>0</v>
      </c>
      <c r="AD316" s="175">
        <f ca="1">(AC316*DATOSAÑO!$Z$11)/DATOSAÑO!$Y$11</f>
        <v>0</v>
      </c>
      <c r="AE316" s="9">
        <f ca="1">DATOSAÑO!CJ315</f>
        <v>0</v>
      </c>
      <c r="AF316" s="11">
        <f ca="1">(AE316*DATOSAÑO!$Z$11)/DATOSAÑO!$Y$11</f>
        <v>0</v>
      </c>
      <c r="AG316" s="9">
        <f ca="1">DATOSAÑO!CK315</f>
        <v>0</v>
      </c>
      <c r="AH316" s="11">
        <f ca="1">(AG316*DATOSAÑO!$Z$11)/DATOSAÑO!$Y$11</f>
        <v>0</v>
      </c>
      <c r="AI316" s="9">
        <f ca="1">DATOSAÑO!BS315</f>
        <v>0</v>
      </c>
      <c r="AJ316" s="11">
        <f ca="1">(AI316*DATOSAÑO!$Z$11)/DATOSAÑO!$Y$11</f>
        <v>0</v>
      </c>
      <c r="AK316" s="9">
        <f ca="1">DATOSAÑO!BV315</f>
        <v>0</v>
      </c>
      <c r="AL316" s="11">
        <f ca="1">(AK316*DATOSAÑO!$Z$11)/DATOSAÑO!$Y$11</f>
        <v>0</v>
      </c>
      <c r="AM316" s="9">
        <f ca="1">DATOSAÑO!BY315</f>
        <v>0</v>
      </c>
      <c r="AN316" s="11">
        <f ca="1">(AM316*DATOSAÑO!$Z$11)/DATOSAÑO!$Y$11</f>
        <v>0</v>
      </c>
      <c r="AO316" s="9">
        <f ca="1">DATOSAÑO!CF315</f>
        <v>0</v>
      </c>
      <c r="AP316" s="11">
        <f ca="1">(AO316*DATOSAÑO!$Z$11)/DATOSAÑO!$Y$11</f>
        <v>0</v>
      </c>
      <c r="AQ316" s="9">
        <f ca="1">DATOSAÑO!CL315</f>
        <v>0</v>
      </c>
      <c r="AR316" s="1300">
        <f ca="1">(AQ316*DATOSAÑO!$Z$11)/DATOSAÑO!$Y$11</f>
        <v>0</v>
      </c>
      <c r="AS316" s="1369">
        <f t="shared" si="14"/>
        <v>44</v>
      </c>
    </row>
    <row r="317" spans="1:45" ht="15" thickBot="1">
      <c r="A317" s="1371">
        <v>45232</v>
      </c>
      <c r="B317" s="1021">
        <v>45232</v>
      </c>
      <c r="C317" s="9">
        <f ca="1">DATOSAÑO!I316</f>
        <v>0</v>
      </c>
      <c r="D317" s="10">
        <f ca="1">DATOSAÑO!$D316</f>
        <v>0</v>
      </c>
      <c r="E317" s="11">
        <f ca="1">DATOSAÑO!$G316</f>
        <v>0</v>
      </c>
      <c r="F317" s="9">
        <f ca="1">DATOSAÑO!P316</f>
        <v>0</v>
      </c>
      <c r="G317" s="10">
        <f ca="1">DATOSAÑO!K316</f>
        <v>0</v>
      </c>
      <c r="H317" s="11">
        <f ca="1">DATOSAÑO!N316</f>
        <v>0</v>
      </c>
      <c r="I317" s="9">
        <f ca="1">DATOSAÑO!Q316</f>
        <v>0</v>
      </c>
      <c r="J317" s="11">
        <f ca="1">DATOSAÑO!R316</f>
        <v>0</v>
      </c>
      <c r="K317" s="9">
        <f ca="1">DATOSAÑO!T316</f>
        <v>0</v>
      </c>
      <c r="L317" s="11">
        <f t="shared" ca="1" si="12"/>
        <v>0</v>
      </c>
      <c r="M317" s="9"/>
      <c r="N317" s="11">
        <f t="shared" si="13"/>
        <v>0</v>
      </c>
      <c r="O317" s="9">
        <f>DATOSAÑO!CT316</f>
        <v>0</v>
      </c>
      <c r="P317" s="9">
        <f>DATOSAÑO!CU316</f>
        <v>0</v>
      </c>
      <c r="Q317" s="9">
        <f ca="1">DATOSAÑO!AD316</f>
        <v>0</v>
      </c>
      <c r="R317" s="11">
        <f ca="1">(Q317*DATOSAÑO!$Z$11)/DATOSAÑO!$Y$11</f>
        <v>0</v>
      </c>
      <c r="S317" s="9">
        <f ca="1">DATOSAÑO!AF316</f>
        <v>0</v>
      </c>
      <c r="T317" s="11">
        <f ca="1">(S317*DATOSAÑO!$Z$11)/DATOSAÑO!$Y$11</f>
        <v>0</v>
      </c>
      <c r="U317" s="9">
        <f ca="1">DATOSAÑO!AH316</f>
        <v>0</v>
      </c>
      <c r="V317" s="11">
        <f ca="1">(U317*DATOSAÑO!$Z$11)/DATOSAÑO!$Y$11</f>
        <v>0</v>
      </c>
      <c r="W317" s="9">
        <f ca="1">DATOSAÑO!AI316</f>
        <v>0</v>
      </c>
      <c r="X317" s="11">
        <f ca="1">(W317*DATOSAÑO!$Z$11)/DATOSAÑO!$Y$11</f>
        <v>0</v>
      </c>
      <c r="Y317" s="9">
        <f ca="1">DATOSAÑO!AJ316</f>
        <v>0</v>
      </c>
      <c r="Z317" s="11">
        <f ca="1">(Y317*DATOSAÑO!$Z$11)/DATOSAÑO!$Y$11</f>
        <v>0</v>
      </c>
      <c r="AA317" s="9">
        <f ca="1">DATOSAÑO!AK316</f>
        <v>0</v>
      </c>
      <c r="AB317" s="11">
        <f ca="1">(AA317*DATOSAÑO!$Z$11)/DATOSAÑO!$Y$11</f>
        <v>0</v>
      </c>
      <c r="AC317" s="9">
        <f ca="1">DATOSAÑO!AL316</f>
        <v>0</v>
      </c>
      <c r="AD317" s="11">
        <f ca="1">(AC317*DATOSAÑO!$Z$11)/DATOSAÑO!$Y$11</f>
        <v>0</v>
      </c>
      <c r="AE317" s="9">
        <f ca="1">DATOSAÑO!CJ316</f>
        <v>0</v>
      </c>
      <c r="AF317" s="11">
        <f ca="1">(AE317*DATOSAÑO!$Z$11)/DATOSAÑO!$Y$11</f>
        <v>0</v>
      </c>
      <c r="AG317" s="9">
        <f ca="1">DATOSAÑO!CK316</f>
        <v>0</v>
      </c>
      <c r="AH317" s="11">
        <f ca="1">(AG317*DATOSAÑO!$Z$11)/DATOSAÑO!$Y$11</f>
        <v>0</v>
      </c>
      <c r="AI317" s="9">
        <f ca="1">DATOSAÑO!BS316</f>
        <v>0</v>
      </c>
      <c r="AJ317" s="11">
        <f ca="1">(AI317*DATOSAÑO!$Z$11)/DATOSAÑO!$Y$11</f>
        <v>0</v>
      </c>
      <c r="AK317" s="9">
        <f ca="1">DATOSAÑO!BV316</f>
        <v>0</v>
      </c>
      <c r="AL317" s="11">
        <f ca="1">(AK317*DATOSAÑO!$Z$11)/DATOSAÑO!$Y$11</f>
        <v>0</v>
      </c>
      <c r="AM317" s="9">
        <f ca="1">DATOSAÑO!BY316</f>
        <v>0</v>
      </c>
      <c r="AN317" s="11">
        <f ca="1">(AM317*DATOSAÑO!$Z$11)/DATOSAÑO!$Y$11</f>
        <v>0</v>
      </c>
      <c r="AO317" s="9">
        <f ca="1">DATOSAÑO!CF316</f>
        <v>0</v>
      </c>
      <c r="AP317" s="11">
        <f ca="1">(AO317*DATOSAÑO!$Z$11)/DATOSAÑO!$Y$11</f>
        <v>0</v>
      </c>
      <c r="AQ317" s="9">
        <f ca="1">DATOSAÑO!CL316</f>
        <v>0</v>
      </c>
      <c r="AR317" s="1300">
        <f ca="1">(AQ317*DATOSAÑO!$Z$11)/DATOSAÑO!$Y$11</f>
        <v>0</v>
      </c>
      <c r="AS317" s="1334">
        <f t="shared" si="14"/>
        <v>44</v>
      </c>
    </row>
    <row r="318" spans="1:45" ht="15" thickBot="1">
      <c r="A318" s="1371">
        <v>45233</v>
      </c>
      <c r="B318" s="1021">
        <v>45233</v>
      </c>
      <c r="C318" s="9">
        <f ca="1">DATOSAÑO!I317</f>
        <v>0</v>
      </c>
      <c r="D318" s="10">
        <f ca="1">DATOSAÑO!$D317</f>
        <v>0</v>
      </c>
      <c r="E318" s="11">
        <f ca="1">DATOSAÑO!$G317</f>
        <v>0</v>
      </c>
      <c r="F318" s="9">
        <f ca="1">DATOSAÑO!P317</f>
        <v>0</v>
      </c>
      <c r="G318" s="10">
        <f ca="1">DATOSAÑO!K317</f>
        <v>0</v>
      </c>
      <c r="H318" s="11">
        <f ca="1">DATOSAÑO!N317</f>
        <v>0</v>
      </c>
      <c r="I318" s="9">
        <f ca="1">DATOSAÑO!Q317</f>
        <v>0</v>
      </c>
      <c r="J318" s="11">
        <f ca="1">DATOSAÑO!R317</f>
        <v>0</v>
      </c>
      <c r="K318" s="9">
        <f ca="1">DATOSAÑO!T317</f>
        <v>0</v>
      </c>
      <c r="L318" s="11">
        <f t="shared" ca="1" si="12"/>
        <v>0</v>
      </c>
      <c r="M318" s="9"/>
      <c r="N318" s="11">
        <f t="shared" si="13"/>
        <v>0</v>
      </c>
      <c r="O318" s="9">
        <f>DATOSAÑO!CT317</f>
        <v>0</v>
      </c>
      <c r="P318" s="9">
        <f>DATOSAÑO!CU317</f>
        <v>0</v>
      </c>
      <c r="Q318" s="9">
        <f ca="1">DATOSAÑO!AD317</f>
        <v>0</v>
      </c>
      <c r="R318" s="11">
        <f ca="1">(Q318*DATOSAÑO!$Z$11)/DATOSAÑO!$Y$11</f>
        <v>0</v>
      </c>
      <c r="S318" s="9">
        <f ca="1">DATOSAÑO!AF317</f>
        <v>0</v>
      </c>
      <c r="T318" s="11">
        <f ca="1">(S318*DATOSAÑO!$Z$11)/DATOSAÑO!$Y$11</f>
        <v>0</v>
      </c>
      <c r="U318" s="9">
        <f ca="1">DATOSAÑO!AH317</f>
        <v>0</v>
      </c>
      <c r="V318" s="11">
        <f ca="1">(U318*DATOSAÑO!$Z$11)/DATOSAÑO!$Y$11</f>
        <v>0</v>
      </c>
      <c r="W318" s="9">
        <f ca="1">DATOSAÑO!AI317</f>
        <v>0</v>
      </c>
      <c r="X318" s="11">
        <f ca="1">(W318*DATOSAÑO!$Z$11)/DATOSAÑO!$Y$11</f>
        <v>0</v>
      </c>
      <c r="Y318" s="9">
        <f ca="1">DATOSAÑO!AJ317</f>
        <v>0</v>
      </c>
      <c r="Z318" s="11">
        <f ca="1">(Y318*DATOSAÑO!$Z$11)/DATOSAÑO!$Y$11</f>
        <v>0</v>
      </c>
      <c r="AA318" s="9">
        <f ca="1">DATOSAÑO!AK317</f>
        <v>0</v>
      </c>
      <c r="AB318" s="11">
        <f ca="1">(AA318*DATOSAÑO!$Z$11)/DATOSAÑO!$Y$11</f>
        <v>0</v>
      </c>
      <c r="AC318" s="9">
        <f ca="1">DATOSAÑO!AL317</f>
        <v>0</v>
      </c>
      <c r="AD318" s="11">
        <f ca="1">(AC318*DATOSAÑO!$Z$11)/DATOSAÑO!$Y$11</f>
        <v>0</v>
      </c>
      <c r="AE318" s="9">
        <f ca="1">DATOSAÑO!CJ317</f>
        <v>0</v>
      </c>
      <c r="AF318" s="11">
        <f ca="1">(AE318*DATOSAÑO!$Z$11)/DATOSAÑO!$Y$11</f>
        <v>0</v>
      </c>
      <c r="AG318" s="9">
        <f ca="1">DATOSAÑO!CK317</f>
        <v>0</v>
      </c>
      <c r="AH318" s="11">
        <f ca="1">(AG318*DATOSAÑO!$Z$11)/DATOSAÑO!$Y$11</f>
        <v>0</v>
      </c>
      <c r="AI318" s="9">
        <f ca="1">DATOSAÑO!BS317</f>
        <v>0</v>
      </c>
      <c r="AJ318" s="11">
        <f ca="1">(AI318*DATOSAÑO!$Z$11)/DATOSAÑO!$Y$11</f>
        <v>0</v>
      </c>
      <c r="AK318" s="9">
        <f ca="1">DATOSAÑO!BV317</f>
        <v>0</v>
      </c>
      <c r="AL318" s="11">
        <f ca="1">(AK318*DATOSAÑO!$Z$11)/DATOSAÑO!$Y$11</f>
        <v>0</v>
      </c>
      <c r="AM318" s="9">
        <f ca="1">DATOSAÑO!BY317</f>
        <v>0</v>
      </c>
      <c r="AN318" s="11">
        <f ca="1">(AM318*DATOSAÑO!$Z$11)/DATOSAÑO!$Y$11</f>
        <v>0</v>
      </c>
      <c r="AO318" s="9">
        <f ca="1">DATOSAÑO!CF317</f>
        <v>0</v>
      </c>
      <c r="AP318" s="11">
        <f ca="1">(AO318*DATOSAÑO!$Z$11)/DATOSAÑO!$Y$11</f>
        <v>0</v>
      </c>
      <c r="AQ318" s="9">
        <f ca="1">DATOSAÑO!CL317</f>
        <v>0</v>
      </c>
      <c r="AR318" s="1300">
        <f ca="1">(AQ318*DATOSAÑO!$Z$11)/DATOSAÑO!$Y$11</f>
        <v>0</v>
      </c>
      <c r="AS318" s="1334">
        <f t="shared" si="14"/>
        <v>44</v>
      </c>
    </row>
    <row r="319" spans="1:45" ht="15" thickBot="1">
      <c r="A319" s="1371">
        <v>45234</v>
      </c>
      <c r="B319" s="1021">
        <v>45234</v>
      </c>
      <c r="C319" s="9">
        <f ca="1">DATOSAÑO!I318</f>
        <v>0</v>
      </c>
      <c r="D319" s="10">
        <f ca="1">DATOSAÑO!$D318</f>
        <v>0</v>
      </c>
      <c r="E319" s="11">
        <f ca="1">DATOSAÑO!$G318</f>
        <v>0</v>
      </c>
      <c r="F319" s="9">
        <f ca="1">DATOSAÑO!P318</f>
        <v>0</v>
      </c>
      <c r="G319" s="10">
        <f ca="1">DATOSAÑO!K318</f>
        <v>0</v>
      </c>
      <c r="H319" s="11">
        <f ca="1">DATOSAÑO!N318</f>
        <v>0</v>
      </c>
      <c r="I319" s="9">
        <f ca="1">DATOSAÑO!Q318</f>
        <v>0</v>
      </c>
      <c r="J319" s="11">
        <f ca="1">DATOSAÑO!R318</f>
        <v>0</v>
      </c>
      <c r="K319" s="9">
        <f ca="1">DATOSAÑO!T318</f>
        <v>0</v>
      </c>
      <c r="L319" s="11">
        <f t="shared" ca="1" si="12"/>
        <v>0</v>
      </c>
      <c r="M319" s="9"/>
      <c r="N319" s="11">
        <f t="shared" si="13"/>
        <v>0</v>
      </c>
      <c r="O319" s="9">
        <f>DATOSAÑO!CT318</f>
        <v>0</v>
      </c>
      <c r="P319" s="9">
        <f>DATOSAÑO!CU318</f>
        <v>0</v>
      </c>
      <c r="Q319" s="9">
        <f ca="1">DATOSAÑO!AD318</f>
        <v>0</v>
      </c>
      <c r="R319" s="11">
        <f ca="1">(Q319*DATOSAÑO!$Z$11)/DATOSAÑO!$Y$11</f>
        <v>0</v>
      </c>
      <c r="S319" s="9">
        <f ca="1">DATOSAÑO!AF318</f>
        <v>0</v>
      </c>
      <c r="T319" s="11">
        <f ca="1">(S319*DATOSAÑO!$Z$11)/DATOSAÑO!$Y$11</f>
        <v>0</v>
      </c>
      <c r="U319" s="9">
        <f ca="1">DATOSAÑO!AH318</f>
        <v>0</v>
      </c>
      <c r="V319" s="11">
        <f ca="1">(U319*DATOSAÑO!$Z$11)/DATOSAÑO!$Y$11</f>
        <v>0</v>
      </c>
      <c r="W319" s="9">
        <f ca="1">DATOSAÑO!AI318</f>
        <v>0</v>
      </c>
      <c r="X319" s="11">
        <f ca="1">(W319*DATOSAÑO!$Z$11)/DATOSAÑO!$Y$11</f>
        <v>0</v>
      </c>
      <c r="Y319" s="9">
        <f ca="1">DATOSAÑO!AJ318</f>
        <v>0</v>
      </c>
      <c r="Z319" s="11">
        <f ca="1">(Y319*DATOSAÑO!$Z$11)/DATOSAÑO!$Y$11</f>
        <v>0</v>
      </c>
      <c r="AA319" s="9">
        <f ca="1">DATOSAÑO!AK318</f>
        <v>0</v>
      </c>
      <c r="AB319" s="11">
        <f ca="1">(AA319*DATOSAÑO!$Z$11)/DATOSAÑO!$Y$11</f>
        <v>0</v>
      </c>
      <c r="AC319" s="9">
        <f ca="1">DATOSAÑO!AL318</f>
        <v>0</v>
      </c>
      <c r="AD319" s="11">
        <f ca="1">(AC319*DATOSAÑO!$Z$11)/DATOSAÑO!$Y$11</f>
        <v>0</v>
      </c>
      <c r="AE319" s="9">
        <f ca="1">DATOSAÑO!CJ318</f>
        <v>0</v>
      </c>
      <c r="AF319" s="11">
        <f ca="1">(AE319*DATOSAÑO!$Z$11)/DATOSAÑO!$Y$11</f>
        <v>0</v>
      </c>
      <c r="AG319" s="9">
        <f ca="1">DATOSAÑO!CK318</f>
        <v>0</v>
      </c>
      <c r="AH319" s="11">
        <f ca="1">(AG319*DATOSAÑO!$Z$11)/DATOSAÑO!$Y$11</f>
        <v>0</v>
      </c>
      <c r="AI319" s="9">
        <f ca="1">DATOSAÑO!BS318</f>
        <v>0</v>
      </c>
      <c r="AJ319" s="11">
        <f ca="1">(AI319*DATOSAÑO!$Z$11)/DATOSAÑO!$Y$11</f>
        <v>0</v>
      </c>
      <c r="AK319" s="9">
        <f ca="1">DATOSAÑO!BV318</f>
        <v>0</v>
      </c>
      <c r="AL319" s="11">
        <f ca="1">(AK319*DATOSAÑO!$Z$11)/DATOSAÑO!$Y$11</f>
        <v>0</v>
      </c>
      <c r="AM319" s="9">
        <f ca="1">DATOSAÑO!BY318</f>
        <v>0</v>
      </c>
      <c r="AN319" s="11">
        <f ca="1">(AM319*DATOSAÑO!$Z$11)/DATOSAÑO!$Y$11</f>
        <v>0</v>
      </c>
      <c r="AO319" s="9">
        <f ca="1">DATOSAÑO!CF318</f>
        <v>0</v>
      </c>
      <c r="AP319" s="11">
        <f ca="1">(AO319*DATOSAÑO!$Z$11)/DATOSAÑO!$Y$11</f>
        <v>0</v>
      </c>
      <c r="AQ319" s="9">
        <f ca="1">DATOSAÑO!CL318</f>
        <v>0</v>
      </c>
      <c r="AR319" s="1300">
        <f ca="1">(AQ319*DATOSAÑO!$Z$11)/DATOSAÑO!$Y$11</f>
        <v>0</v>
      </c>
      <c r="AS319" s="1334">
        <f t="shared" si="14"/>
        <v>44</v>
      </c>
    </row>
    <row r="320" spans="1:45" ht="15" thickBot="1">
      <c r="A320" s="1371">
        <v>45235</v>
      </c>
      <c r="B320" s="1021">
        <v>45235</v>
      </c>
      <c r="C320" s="9">
        <f ca="1">DATOSAÑO!I319</f>
        <v>0</v>
      </c>
      <c r="D320" s="10">
        <f ca="1">DATOSAÑO!$D319</f>
        <v>0</v>
      </c>
      <c r="E320" s="11">
        <f ca="1">DATOSAÑO!$G319</f>
        <v>0</v>
      </c>
      <c r="F320" s="9">
        <f ca="1">DATOSAÑO!P319</f>
        <v>0</v>
      </c>
      <c r="G320" s="10">
        <f ca="1">DATOSAÑO!K319</f>
        <v>0</v>
      </c>
      <c r="H320" s="11">
        <f ca="1">DATOSAÑO!N319</f>
        <v>0</v>
      </c>
      <c r="I320" s="9">
        <f ca="1">DATOSAÑO!Q319</f>
        <v>0</v>
      </c>
      <c r="J320" s="11">
        <f ca="1">DATOSAÑO!R319</f>
        <v>0</v>
      </c>
      <c r="K320" s="9">
        <f ca="1">DATOSAÑO!T319</f>
        <v>0</v>
      </c>
      <c r="L320" s="11">
        <f t="shared" ca="1" si="12"/>
        <v>0</v>
      </c>
      <c r="M320" s="9"/>
      <c r="N320" s="11">
        <f t="shared" si="13"/>
        <v>0</v>
      </c>
      <c r="O320" s="9">
        <f>DATOSAÑO!CT319</f>
        <v>0</v>
      </c>
      <c r="P320" s="9">
        <f>DATOSAÑO!CU319</f>
        <v>0</v>
      </c>
      <c r="Q320" s="9">
        <f ca="1">DATOSAÑO!AD319</f>
        <v>0</v>
      </c>
      <c r="R320" s="11">
        <f ca="1">(Q320*DATOSAÑO!$Z$11)/DATOSAÑO!$Y$11</f>
        <v>0</v>
      </c>
      <c r="S320" s="9">
        <f ca="1">DATOSAÑO!AF319</f>
        <v>0</v>
      </c>
      <c r="T320" s="11">
        <f ca="1">(S320*DATOSAÑO!$Z$11)/DATOSAÑO!$Y$11</f>
        <v>0</v>
      </c>
      <c r="U320" s="9">
        <f ca="1">DATOSAÑO!AH319</f>
        <v>0</v>
      </c>
      <c r="V320" s="11">
        <f ca="1">(U320*DATOSAÑO!$Z$11)/DATOSAÑO!$Y$11</f>
        <v>0</v>
      </c>
      <c r="W320" s="9">
        <f ca="1">DATOSAÑO!AI319</f>
        <v>0</v>
      </c>
      <c r="X320" s="11">
        <f ca="1">(W320*DATOSAÑO!$Z$11)/DATOSAÑO!$Y$11</f>
        <v>0</v>
      </c>
      <c r="Y320" s="9">
        <f ca="1">DATOSAÑO!AJ319</f>
        <v>0</v>
      </c>
      <c r="Z320" s="11">
        <f ca="1">(Y320*DATOSAÑO!$Z$11)/DATOSAÑO!$Y$11</f>
        <v>0</v>
      </c>
      <c r="AA320" s="9">
        <f ca="1">DATOSAÑO!AK319</f>
        <v>0</v>
      </c>
      <c r="AB320" s="11">
        <f ca="1">(AA320*DATOSAÑO!$Z$11)/DATOSAÑO!$Y$11</f>
        <v>0</v>
      </c>
      <c r="AC320" s="9">
        <f ca="1">DATOSAÑO!AL319</f>
        <v>0</v>
      </c>
      <c r="AD320" s="11">
        <f ca="1">(AC320*DATOSAÑO!$Z$11)/DATOSAÑO!$Y$11</f>
        <v>0</v>
      </c>
      <c r="AE320" s="9">
        <f ca="1">DATOSAÑO!CJ319</f>
        <v>0</v>
      </c>
      <c r="AF320" s="11">
        <f ca="1">(AE320*DATOSAÑO!$Z$11)/DATOSAÑO!$Y$11</f>
        <v>0</v>
      </c>
      <c r="AG320" s="9">
        <f ca="1">DATOSAÑO!CK319</f>
        <v>0</v>
      </c>
      <c r="AH320" s="11">
        <f ca="1">(AG320*DATOSAÑO!$Z$11)/DATOSAÑO!$Y$11</f>
        <v>0</v>
      </c>
      <c r="AI320" s="9">
        <f ca="1">DATOSAÑO!BS319</f>
        <v>0</v>
      </c>
      <c r="AJ320" s="11">
        <f ca="1">(AI320*DATOSAÑO!$Z$11)/DATOSAÑO!$Y$11</f>
        <v>0</v>
      </c>
      <c r="AK320" s="9">
        <f ca="1">DATOSAÑO!BV319</f>
        <v>0</v>
      </c>
      <c r="AL320" s="11">
        <f ca="1">(AK320*DATOSAÑO!$Z$11)/DATOSAÑO!$Y$11</f>
        <v>0</v>
      </c>
      <c r="AM320" s="9">
        <f ca="1">DATOSAÑO!BY319</f>
        <v>0</v>
      </c>
      <c r="AN320" s="11">
        <f ca="1">(AM320*DATOSAÑO!$Z$11)/DATOSAÑO!$Y$11</f>
        <v>0</v>
      </c>
      <c r="AO320" s="9">
        <f ca="1">DATOSAÑO!CF319</f>
        <v>0</v>
      </c>
      <c r="AP320" s="11">
        <f ca="1">(AO320*DATOSAÑO!$Z$11)/DATOSAÑO!$Y$11</f>
        <v>0</v>
      </c>
      <c r="AQ320" s="9">
        <f ca="1">DATOSAÑO!CL319</f>
        <v>0</v>
      </c>
      <c r="AR320" s="1300">
        <f ca="1">(AQ320*DATOSAÑO!$Z$11)/DATOSAÑO!$Y$11</f>
        <v>0</v>
      </c>
      <c r="AS320" s="1334">
        <f t="shared" si="14"/>
        <v>45</v>
      </c>
    </row>
    <row r="321" spans="1:45" ht="15" thickBot="1">
      <c r="A321" s="1371">
        <v>45236</v>
      </c>
      <c r="B321" s="1021">
        <v>45236</v>
      </c>
      <c r="C321" s="9">
        <f ca="1">DATOSAÑO!I320</f>
        <v>0</v>
      </c>
      <c r="D321" s="10">
        <f ca="1">DATOSAÑO!$D320</f>
        <v>0</v>
      </c>
      <c r="E321" s="11">
        <f ca="1">DATOSAÑO!$G320</f>
        <v>0</v>
      </c>
      <c r="F321" s="9">
        <f ca="1">DATOSAÑO!P320</f>
        <v>0</v>
      </c>
      <c r="G321" s="10">
        <f ca="1">DATOSAÑO!K320</f>
        <v>0</v>
      </c>
      <c r="H321" s="11">
        <f ca="1">DATOSAÑO!N320</f>
        <v>0</v>
      </c>
      <c r="I321" s="9">
        <f ca="1">DATOSAÑO!Q320</f>
        <v>0</v>
      </c>
      <c r="J321" s="11">
        <f ca="1">DATOSAÑO!R320</f>
        <v>0</v>
      </c>
      <c r="K321" s="9">
        <f ca="1">DATOSAÑO!T320</f>
        <v>0</v>
      </c>
      <c r="L321" s="11">
        <f t="shared" ca="1" si="12"/>
        <v>0</v>
      </c>
      <c r="M321" s="9"/>
      <c r="N321" s="11">
        <f t="shared" si="13"/>
        <v>0</v>
      </c>
      <c r="O321" s="9">
        <f>DATOSAÑO!CT320</f>
        <v>0</v>
      </c>
      <c r="P321" s="9">
        <f>DATOSAÑO!CU320</f>
        <v>0</v>
      </c>
      <c r="Q321" s="9">
        <f ca="1">DATOSAÑO!AD320</f>
        <v>0</v>
      </c>
      <c r="R321" s="11">
        <f ca="1">(Q321*DATOSAÑO!$Z$11)/DATOSAÑO!$Y$11</f>
        <v>0</v>
      </c>
      <c r="S321" s="9">
        <f ca="1">DATOSAÑO!AF320</f>
        <v>0</v>
      </c>
      <c r="T321" s="11">
        <f ca="1">(S321*DATOSAÑO!$Z$11)/DATOSAÑO!$Y$11</f>
        <v>0</v>
      </c>
      <c r="U321" s="9">
        <f ca="1">DATOSAÑO!AH320</f>
        <v>0</v>
      </c>
      <c r="V321" s="11">
        <f ca="1">(U321*DATOSAÑO!$Z$11)/DATOSAÑO!$Y$11</f>
        <v>0</v>
      </c>
      <c r="W321" s="9">
        <f ca="1">DATOSAÑO!AI320</f>
        <v>0</v>
      </c>
      <c r="X321" s="11">
        <f ca="1">(W321*DATOSAÑO!$Z$11)/DATOSAÑO!$Y$11</f>
        <v>0</v>
      </c>
      <c r="Y321" s="9">
        <f ca="1">DATOSAÑO!AJ320</f>
        <v>0</v>
      </c>
      <c r="Z321" s="11">
        <f ca="1">(Y321*DATOSAÑO!$Z$11)/DATOSAÑO!$Y$11</f>
        <v>0</v>
      </c>
      <c r="AA321" s="9">
        <f ca="1">DATOSAÑO!AK320</f>
        <v>0</v>
      </c>
      <c r="AB321" s="11">
        <f ca="1">(AA321*DATOSAÑO!$Z$11)/DATOSAÑO!$Y$11</f>
        <v>0</v>
      </c>
      <c r="AC321" s="9">
        <f ca="1">DATOSAÑO!AL320</f>
        <v>0</v>
      </c>
      <c r="AD321" s="11">
        <f ca="1">(AC321*DATOSAÑO!$Z$11)/DATOSAÑO!$Y$11</f>
        <v>0</v>
      </c>
      <c r="AE321" s="9">
        <f ca="1">DATOSAÑO!CJ320</f>
        <v>0</v>
      </c>
      <c r="AF321" s="11">
        <f ca="1">(AE321*DATOSAÑO!$Z$11)/DATOSAÑO!$Y$11</f>
        <v>0</v>
      </c>
      <c r="AG321" s="9">
        <f ca="1">DATOSAÑO!CK320</f>
        <v>0</v>
      </c>
      <c r="AH321" s="11">
        <f ca="1">(AG321*DATOSAÑO!$Z$11)/DATOSAÑO!$Y$11</f>
        <v>0</v>
      </c>
      <c r="AI321" s="9">
        <f ca="1">DATOSAÑO!BS320</f>
        <v>0</v>
      </c>
      <c r="AJ321" s="11">
        <f ca="1">(AI321*DATOSAÑO!$Z$11)/DATOSAÑO!$Y$11</f>
        <v>0</v>
      </c>
      <c r="AK321" s="9">
        <f ca="1">DATOSAÑO!BV320</f>
        <v>0</v>
      </c>
      <c r="AL321" s="11">
        <f ca="1">(AK321*DATOSAÑO!$Z$11)/DATOSAÑO!$Y$11</f>
        <v>0</v>
      </c>
      <c r="AM321" s="9">
        <f ca="1">DATOSAÑO!BY320</f>
        <v>0</v>
      </c>
      <c r="AN321" s="11">
        <f ca="1">(AM321*DATOSAÑO!$Z$11)/DATOSAÑO!$Y$11</f>
        <v>0</v>
      </c>
      <c r="AO321" s="9">
        <f ca="1">DATOSAÑO!CF320</f>
        <v>0</v>
      </c>
      <c r="AP321" s="11">
        <f ca="1">(AO321*DATOSAÑO!$Z$11)/DATOSAÑO!$Y$11</f>
        <v>0</v>
      </c>
      <c r="AQ321" s="9">
        <f ca="1">DATOSAÑO!CL320</f>
        <v>0</v>
      </c>
      <c r="AR321" s="1300">
        <f ca="1">(AQ321*DATOSAÑO!$Z$11)/DATOSAÑO!$Y$11</f>
        <v>0</v>
      </c>
      <c r="AS321" s="1334">
        <f t="shared" si="14"/>
        <v>45</v>
      </c>
    </row>
    <row r="322" spans="1:45" ht="15" thickBot="1">
      <c r="A322" s="1371">
        <v>45237</v>
      </c>
      <c r="B322" s="1021">
        <v>45237</v>
      </c>
      <c r="C322" s="9">
        <f ca="1">DATOSAÑO!I321</f>
        <v>0</v>
      </c>
      <c r="D322" s="10">
        <f ca="1">DATOSAÑO!$D321</f>
        <v>0</v>
      </c>
      <c r="E322" s="11">
        <f ca="1">DATOSAÑO!$G321</f>
        <v>0</v>
      </c>
      <c r="F322" s="9">
        <f ca="1">DATOSAÑO!P321</f>
        <v>0</v>
      </c>
      <c r="G322" s="10">
        <f ca="1">DATOSAÑO!K321</f>
        <v>0</v>
      </c>
      <c r="H322" s="11">
        <f ca="1">DATOSAÑO!N321</f>
        <v>0</v>
      </c>
      <c r="I322" s="9">
        <f ca="1">DATOSAÑO!Q321</f>
        <v>0</v>
      </c>
      <c r="J322" s="11">
        <f ca="1">DATOSAÑO!R321</f>
        <v>0</v>
      </c>
      <c r="K322" s="9">
        <f ca="1">DATOSAÑO!T321</f>
        <v>0</v>
      </c>
      <c r="L322" s="11">
        <f t="shared" ca="1" si="12"/>
        <v>0</v>
      </c>
      <c r="M322" s="9"/>
      <c r="N322" s="11">
        <f t="shared" si="13"/>
        <v>0</v>
      </c>
      <c r="O322" s="9">
        <f>DATOSAÑO!CT321</f>
        <v>0</v>
      </c>
      <c r="P322" s="9">
        <f>DATOSAÑO!CU321</f>
        <v>0</v>
      </c>
      <c r="Q322" s="9">
        <f ca="1">DATOSAÑO!AD321</f>
        <v>0</v>
      </c>
      <c r="R322" s="11">
        <f ca="1">(Q322*DATOSAÑO!$Z$11)/DATOSAÑO!$Y$11</f>
        <v>0</v>
      </c>
      <c r="S322" s="9">
        <f ca="1">DATOSAÑO!AF321</f>
        <v>0</v>
      </c>
      <c r="T322" s="11">
        <f ca="1">(S322*DATOSAÑO!$Z$11)/DATOSAÑO!$Y$11</f>
        <v>0</v>
      </c>
      <c r="U322" s="9">
        <f ca="1">DATOSAÑO!AH321</f>
        <v>0</v>
      </c>
      <c r="V322" s="11">
        <f ca="1">(U322*DATOSAÑO!$Z$11)/DATOSAÑO!$Y$11</f>
        <v>0</v>
      </c>
      <c r="W322" s="9">
        <f ca="1">DATOSAÑO!AI321</f>
        <v>0</v>
      </c>
      <c r="X322" s="11">
        <f ca="1">(W322*DATOSAÑO!$Z$11)/DATOSAÑO!$Y$11</f>
        <v>0</v>
      </c>
      <c r="Y322" s="9">
        <f ca="1">DATOSAÑO!AJ321</f>
        <v>0</v>
      </c>
      <c r="Z322" s="11">
        <f ca="1">(Y322*DATOSAÑO!$Z$11)/DATOSAÑO!$Y$11</f>
        <v>0</v>
      </c>
      <c r="AA322" s="9">
        <f ca="1">DATOSAÑO!AK321</f>
        <v>0</v>
      </c>
      <c r="AB322" s="11">
        <f ca="1">(AA322*DATOSAÑO!$Z$11)/DATOSAÑO!$Y$11</f>
        <v>0</v>
      </c>
      <c r="AC322" s="9">
        <f ca="1">DATOSAÑO!AL321</f>
        <v>0</v>
      </c>
      <c r="AD322" s="11">
        <f ca="1">(AC322*DATOSAÑO!$Z$11)/DATOSAÑO!$Y$11</f>
        <v>0</v>
      </c>
      <c r="AE322" s="9">
        <f ca="1">DATOSAÑO!CJ321</f>
        <v>0</v>
      </c>
      <c r="AF322" s="11">
        <f ca="1">(AE322*DATOSAÑO!$Z$11)/DATOSAÑO!$Y$11</f>
        <v>0</v>
      </c>
      <c r="AG322" s="9">
        <f ca="1">DATOSAÑO!CK321</f>
        <v>0</v>
      </c>
      <c r="AH322" s="11">
        <f ca="1">(AG322*DATOSAÑO!$Z$11)/DATOSAÑO!$Y$11</f>
        <v>0</v>
      </c>
      <c r="AI322" s="9">
        <f ca="1">DATOSAÑO!BS321</f>
        <v>0</v>
      </c>
      <c r="AJ322" s="11">
        <f ca="1">(AI322*DATOSAÑO!$Z$11)/DATOSAÑO!$Y$11</f>
        <v>0</v>
      </c>
      <c r="AK322" s="9">
        <f ca="1">DATOSAÑO!BV321</f>
        <v>0</v>
      </c>
      <c r="AL322" s="11">
        <f ca="1">(AK322*DATOSAÑO!$Z$11)/DATOSAÑO!$Y$11</f>
        <v>0</v>
      </c>
      <c r="AM322" s="9">
        <f ca="1">DATOSAÑO!BY321</f>
        <v>0</v>
      </c>
      <c r="AN322" s="11">
        <f ca="1">(AM322*DATOSAÑO!$Z$11)/DATOSAÑO!$Y$11</f>
        <v>0</v>
      </c>
      <c r="AO322" s="9">
        <f ca="1">DATOSAÑO!CF321</f>
        <v>0</v>
      </c>
      <c r="AP322" s="11">
        <f ca="1">(AO322*DATOSAÑO!$Z$11)/DATOSAÑO!$Y$11</f>
        <v>0</v>
      </c>
      <c r="AQ322" s="9">
        <f ca="1">DATOSAÑO!CL321</f>
        <v>0</v>
      </c>
      <c r="AR322" s="1300">
        <f ca="1">(AQ322*DATOSAÑO!$Z$11)/DATOSAÑO!$Y$11</f>
        <v>0</v>
      </c>
      <c r="AS322" s="1334">
        <f t="shared" si="14"/>
        <v>45</v>
      </c>
    </row>
    <row r="323" spans="1:45" ht="15" thickBot="1">
      <c r="A323" s="1371">
        <v>45238</v>
      </c>
      <c r="B323" s="1021">
        <v>45238</v>
      </c>
      <c r="C323" s="9">
        <f ca="1">DATOSAÑO!I322</f>
        <v>0</v>
      </c>
      <c r="D323" s="10">
        <f ca="1">DATOSAÑO!$D322</f>
        <v>0</v>
      </c>
      <c r="E323" s="11">
        <f ca="1">DATOSAÑO!$G322</f>
        <v>0</v>
      </c>
      <c r="F323" s="9">
        <f ca="1">DATOSAÑO!P322</f>
        <v>0</v>
      </c>
      <c r="G323" s="10">
        <f ca="1">DATOSAÑO!K322</f>
        <v>0</v>
      </c>
      <c r="H323" s="11">
        <f ca="1">DATOSAÑO!N322</f>
        <v>0</v>
      </c>
      <c r="I323" s="9">
        <f ca="1">DATOSAÑO!Q322</f>
        <v>0</v>
      </c>
      <c r="J323" s="11">
        <f ca="1">DATOSAÑO!R322</f>
        <v>0</v>
      </c>
      <c r="K323" s="9">
        <f ca="1">DATOSAÑO!T322</f>
        <v>0</v>
      </c>
      <c r="L323" s="11">
        <f t="shared" ca="1" si="12"/>
        <v>0</v>
      </c>
      <c r="M323" s="9"/>
      <c r="N323" s="11">
        <f t="shared" si="13"/>
        <v>0</v>
      </c>
      <c r="O323" s="9">
        <f>DATOSAÑO!CT322</f>
        <v>0</v>
      </c>
      <c r="P323" s="9">
        <f>DATOSAÑO!CU322</f>
        <v>0</v>
      </c>
      <c r="Q323" s="9">
        <f ca="1">DATOSAÑO!AD322</f>
        <v>0</v>
      </c>
      <c r="R323" s="11">
        <f ca="1">(Q323*DATOSAÑO!$Z$11)/DATOSAÑO!$Y$11</f>
        <v>0</v>
      </c>
      <c r="S323" s="9">
        <f ca="1">DATOSAÑO!AF322</f>
        <v>0</v>
      </c>
      <c r="T323" s="11">
        <f ca="1">(S323*DATOSAÑO!$Z$11)/DATOSAÑO!$Y$11</f>
        <v>0</v>
      </c>
      <c r="U323" s="9">
        <f ca="1">DATOSAÑO!AH322</f>
        <v>0</v>
      </c>
      <c r="V323" s="11">
        <f ca="1">(U323*DATOSAÑO!$Z$11)/DATOSAÑO!$Y$11</f>
        <v>0</v>
      </c>
      <c r="W323" s="9">
        <f ca="1">DATOSAÑO!AI322</f>
        <v>0</v>
      </c>
      <c r="X323" s="11">
        <f ca="1">(W323*DATOSAÑO!$Z$11)/DATOSAÑO!$Y$11</f>
        <v>0</v>
      </c>
      <c r="Y323" s="9">
        <f ca="1">DATOSAÑO!AJ322</f>
        <v>0</v>
      </c>
      <c r="Z323" s="11">
        <f ca="1">(Y323*DATOSAÑO!$Z$11)/DATOSAÑO!$Y$11</f>
        <v>0</v>
      </c>
      <c r="AA323" s="9">
        <f ca="1">DATOSAÑO!AK322</f>
        <v>0</v>
      </c>
      <c r="AB323" s="11">
        <f ca="1">(AA323*DATOSAÑO!$Z$11)/DATOSAÑO!$Y$11</f>
        <v>0</v>
      </c>
      <c r="AC323" s="9">
        <f ca="1">DATOSAÑO!AL322</f>
        <v>0</v>
      </c>
      <c r="AD323" s="11">
        <f ca="1">(AC323*DATOSAÑO!$Z$11)/DATOSAÑO!$Y$11</f>
        <v>0</v>
      </c>
      <c r="AE323" s="9">
        <f ca="1">DATOSAÑO!CJ322</f>
        <v>0</v>
      </c>
      <c r="AF323" s="11">
        <f ca="1">(AE323*DATOSAÑO!$Z$11)/DATOSAÑO!$Y$11</f>
        <v>0</v>
      </c>
      <c r="AG323" s="9">
        <f ca="1">DATOSAÑO!CK322</f>
        <v>0</v>
      </c>
      <c r="AH323" s="11">
        <f ca="1">(AG323*DATOSAÑO!$Z$11)/DATOSAÑO!$Y$11</f>
        <v>0</v>
      </c>
      <c r="AI323" s="9">
        <f ca="1">DATOSAÑO!BS322</f>
        <v>0</v>
      </c>
      <c r="AJ323" s="11">
        <f ca="1">(AI323*DATOSAÑO!$Z$11)/DATOSAÑO!$Y$11</f>
        <v>0</v>
      </c>
      <c r="AK323" s="9">
        <f ca="1">DATOSAÑO!BV322</f>
        <v>0</v>
      </c>
      <c r="AL323" s="11">
        <f ca="1">(AK323*DATOSAÑO!$Z$11)/DATOSAÑO!$Y$11</f>
        <v>0</v>
      </c>
      <c r="AM323" s="9">
        <f ca="1">DATOSAÑO!BY322</f>
        <v>0</v>
      </c>
      <c r="AN323" s="11">
        <f ca="1">(AM323*DATOSAÑO!$Z$11)/DATOSAÑO!$Y$11</f>
        <v>0</v>
      </c>
      <c r="AO323" s="9">
        <f ca="1">DATOSAÑO!CF322</f>
        <v>0</v>
      </c>
      <c r="AP323" s="11">
        <f ca="1">(AO323*DATOSAÑO!$Z$11)/DATOSAÑO!$Y$11</f>
        <v>0</v>
      </c>
      <c r="AQ323" s="9">
        <f ca="1">DATOSAÑO!CL322</f>
        <v>0</v>
      </c>
      <c r="AR323" s="1300">
        <f ca="1">(AQ323*DATOSAÑO!$Z$11)/DATOSAÑO!$Y$11</f>
        <v>0</v>
      </c>
      <c r="AS323" s="1334">
        <f t="shared" si="14"/>
        <v>45</v>
      </c>
    </row>
    <row r="324" spans="1:45" ht="15" thickBot="1">
      <c r="A324" s="1371">
        <v>45239</v>
      </c>
      <c r="B324" s="1021">
        <v>45239</v>
      </c>
      <c r="C324" s="9">
        <f ca="1">DATOSAÑO!I323</f>
        <v>0</v>
      </c>
      <c r="D324" s="10">
        <f ca="1">DATOSAÑO!$D323</f>
        <v>0</v>
      </c>
      <c r="E324" s="11">
        <f ca="1">DATOSAÑO!$G323</f>
        <v>0</v>
      </c>
      <c r="F324" s="9">
        <f ca="1">DATOSAÑO!P323</f>
        <v>0</v>
      </c>
      <c r="G324" s="10">
        <f ca="1">DATOSAÑO!K323</f>
        <v>0</v>
      </c>
      <c r="H324" s="11">
        <f ca="1">DATOSAÑO!N323</f>
        <v>0</v>
      </c>
      <c r="I324" s="9">
        <f ca="1">DATOSAÑO!Q323</f>
        <v>0</v>
      </c>
      <c r="J324" s="11">
        <f ca="1">DATOSAÑO!R323</f>
        <v>0</v>
      </c>
      <c r="K324" s="9">
        <f ca="1">DATOSAÑO!T323</f>
        <v>0</v>
      </c>
      <c r="L324" s="11">
        <f t="shared" ca="1" si="12"/>
        <v>0</v>
      </c>
      <c r="M324" s="9"/>
      <c r="N324" s="11">
        <f t="shared" si="13"/>
        <v>0</v>
      </c>
      <c r="O324" s="9">
        <f>DATOSAÑO!CT323</f>
        <v>0</v>
      </c>
      <c r="P324" s="9">
        <f>DATOSAÑO!CU323</f>
        <v>0</v>
      </c>
      <c r="Q324" s="9">
        <f ca="1">DATOSAÑO!AD323</f>
        <v>0</v>
      </c>
      <c r="R324" s="11">
        <f ca="1">(Q324*DATOSAÑO!$Z$11)/DATOSAÑO!$Y$11</f>
        <v>0</v>
      </c>
      <c r="S324" s="9">
        <f ca="1">DATOSAÑO!AF323</f>
        <v>0</v>
      </c>
      <c r="T324" s="11">
        <f ca="1">(S324*DATOSAÑO!$Z$11)/DATOSAÑO!$Y$11</f>
        <v>0</v>
      </c>
      <c r="U324" s="9">
        <f ca="1">DATOSAÑO!AH323</f>
        <v>0</v>
      </c>
      <c r="V324" s="11">
        <f ca="1">(U324*DATOSAÑO!$Z$11)/DATOSAÑO!$Y$11</f>
        <v>0</v>
      </c>
      <c r="W324" s="9">
        <f ca="1">DATOSAÑO!AI323</f>
        <v>0</v>
      </c>
      <c r="X324" s="11">
        <f ca="1">(W324*DATOSAÑO!$Z$11)/DATOSAÑO!$Y$11</f>
        <v>0</v>
      </c>
      <c r="Y324" s="9">
        <f ca="1">DATOSAÑO!AJ323</f>
        <v>0</v>
      </c>
      <c r="Z324" s="11">
        <f ca="1">(Y324*DATOSAÑO!$Z$11)/DATOSAÑO!$Y$11</f>
        <v>0</v>
      </c>
      <c r="AA324" s="9">
        <f ca="1">DATOSAÑO!AK323</f>
        <v>0</v>
      </c>
      <c r="AB324" s="11">
        <f ca="1">(AA324*DATOSAÑO!$Z$11)/DATOSAÑO!$Y$11</f>
        <v>0</v>
      </c>
      <c r="AC324" s="9">
        <f ca="1">DATOSAÑO!AL323</f>
        <v>0</v>
      </c>
      <c r="AD324" s="11">
        <f ca="1">(AC324*DATOSAÑO!$Z$11)/DATOSAÑO!$Y$11</f>
        <v>0</v>
      </c>
      <c r="AE324" s="9">
        <f ca="1">DATOSAÑO!CJ323</f>
        <v>0</v>
      </c>
      <c r="AF324" s="11">
        <f ca="1">(AE324*DATOSAÑO!$Z$11)/DATOSAÑO!$Y$11</f>
        <v>0</v>
      </c>
      <c r="AG324" s="9">
        <f ca="1">DATOSAÑO!CK323</f>
        <v>0</v>
      </c>
      <c r="AH324" s="11">
        <f ca="1">(AG324*DATOSAÑO!$Z$11)/DATOSAÑO!$Y$11</f>
        <v>0</v>
      </c>
      <c r="AI324" s="9">
        <f ca="1">DATOSAÑO!BS323</f>
        <v>0</v>
      </c>
      <c r="AJ324" s="11">
        <f ca="1">(AI324*DATOSAÑO!$Z$11)/DATOSAÑO!$Y$11</f>
        <v>0</v>
      </c>
      <c r="AK324" s="9">
        <f ca="1">DATOSAÑO!BV323</f>
        <v>0</v>
      </c>
      <c r="AL324" s="11">
        <f ca="1">(AK324*DATOSAÑO!$Z$11)/DATOSAÑO!$Y$11</f>
        <v>0</v>
      </c>
      <c r="AM324" s="9">
        <f ca="1">DATOSAÑO!BY323</f>
        <v>0</v>
      </c>
      <c r="AN324" s="11">
        <f ca="1">(AM324*DATOSAÑO!$Z$11)/DATOSAÑO!$Y$11</f>
        <v>0</v>
      </c>
      <c r="AO324" s="9">
        <f ca="1">DATOSAÑO!CF323</f>
        <v>0</v>
      </c>
      <c r="AP324" s="11">
        <f ca="1">(AO324*DATOSAÑO!$Z$11)/DATOSAÑO!$Y$11</f>
        <v>0</v>
      </c>
      <c r="AQ324" s="9">
        <f ca="1">DATOSAÑO!CL323</f>
        <v>0</v>
      </c>
      <c r="AR324" s="1300">
        <f ca="1">(AQ324*DATOSAÑO!$Z$11)/DATOSAÑO!$Y$11</f>
        <v>0</v>
      </c>
      <c r="AS324" s="1334">
        <f t="shared" si="14"/>
        <v>45</v>
      </c>
    </row>
    <row r="325" spans="1:45" ht="15" thickBot="1">
      <c r="A325" s="1371">
        <v>45240</v>
      </c>
      <c r="B325" s="1021">
        <v>45240</v>
      </c>
      <c r="C325" s="9">
        <f ca="1">DATOSAÑO!I324</f>
        <v>0</v>
      </c>
      <c r="D325" s="10">
        <f ca="1">DATOSAÑO!$D324</f>
        <v>0</v>
      </c>
      <c r="E325" s="11">
        <f ca="1">DATOSAÑO!$G324</f>
        <v>0</v>
      </c>
      <c r="F325" s="9">
        <f ca="1">DATOSAÑO!P324</f>
        <v>0</v>
      </c>
      <c r="G325" s="10">
        <f ca="1">DATOSAÑO!K324</f>
        <v>0</v>
      </c>
      <c r="H325" s="11">
        <f ca="1">DATOSAÑO!N324</f>
        <v>0</v>
      </c>
      <c r="I325" s="9">
        <f ca="1">DATOSAÑO!Q324</f>
        <v>0</v>
      </c>
      <c r="J325" s="11">
        <f ca="1">DATOSAÑO!R324</f>
        <v>0</v>
      </c>
      <c r="K325" s="9">
        <f ca="1">DATOSAÑO!T324</f>
        <v>0</v>
      </c>
      <c r="L325" s="11">
        <f t="shared" ca="1" si="12"/>
        <v>0</v>
      </c>
      <c r="M325" s="9"/>
      <c r="N325" s="11">
        <f t="shared" si="13"/>
        <v>0</v>
      </c>
      <c r="O325" s="9">
        <f>DATOSAÑO!CT324</f>
        <v>0</v>
      </c>
      <c r="P325" s="9">
        <f>DATOSAÑO!CU324</f>
        <v>0</v>
      </c>
      <c r="Q325" s="9">
        <f ca="1">DATOSAÑO!AD324</f>
        <v>0</v>
      </c>
      <c r="R325" s="11">
        <f ca="1">(Q325*DATOSAÑO!$Z$11)/DATOSAÑO!$Y$11</f>
        <v>0</v>
      </c>
      <c r="S325" s="9">
        <f ca="1">DATOSAÑO!AF324</f>
        <v>0</v>
      </c>
      <c r="T325" s="11">
        <f ca="1">(S325*DATOSAÑO!$Z$11)/DATOSAÑO!$Y$11</f>
        <v>0</v>
      </c>
      <c r="U325" s="9">
        <f ca="1">DATOSAÑO!AH324</f>
        <v>0</v>
      </c>
      <c r="V325" s="11">
        <f ca="1">(U325*DATOSAÑO!$Z$11)/DATOSAÑO!$Y$11</f>
        <v>0</v>
      </c>
      <c r="W325" s="9">
        <f ca="1">DATOSAÑO!AI324</f>
        <v>0</v>
      </c>
      <c r="X325" s="11">
        <f ca="1">(W325*DATOSAÑO!$Z$11)/DATOSAÑO!$Y$11</f>
        <v>0</v>
      </c>
      <c r="Y325" s="9">
        <f ca="1">DATOSAÑO!AJ324</f>
        <v>0</v>
      </c>
      <c r="Z325" s="11">
        <f ca="1">(Y325*DATOSAÑO!$Z$11)/DATOSAÑO!$Y$11</f>
        <v>0</v>
      </c>
      <c r="AA325" s="9">
        <f ca="1">DATOSAÑO!AK324</f>
        <v>0</v>
      </c>
      <c r="AB325" s="11">
        <f ca="1">(AA325*DATOSAÑO!$Z$11)/DATOSAÑO!$Y$11</f>
        <v>0</v>
      </c>
      <c r="AC325" s="9">
        <f ca="1">DATOSAÑO!AL324</f>
        <v>0</v>
      </c>
      <c r="AD325" s="11">
        <f ca="1">(AC325*DATOSAÑO!$Z$11)/DATOSAÑO!$Y$11</f>
        <v>0</v>
      </c>
      <c r="AE325" s="9">
        <f ca="1">DATOSAÑO!CJ324</f>
        <v>0</v>
      </c>
      <c r="AF325" s="11">
        <f ca="1">(AE325*DATOSAÑO!$Z$11)/DATOSAÑO!$Y$11</f>
        <v>0</v>
      </c>
      <c r="AG325" s="9">
        <f ca="1">DATOSAÑO!CK324</f>
        <v>0</v>
      </c>
      <c r="AH325" s="11">
        <f ca="1">(AG325*DATOSAÑO!$Z$11)/DATOSAÑO!$Y$11</f>
        <v>0</v>
      </c>
      <c r="AI325" s="9">
        <f ca="1">DATOSAÑO!BS324</f>
        <v>0</v>
      </c>
      <c r="AJ325" s="11">
        <f ca="1">(AI325*DATOSAÑO!$Z$11)/DATOSAÑO!$Y$11</f>
        <v>0</v>
      </c>
      <c r="AK325" s="9">
        <f ca="1">DATOSAÑO!BV324</f>
        <v>0</v>
      </c>
      <c r="AL325" s="11">
        <f ca="1">(AK325*DATOSAÑO!$Z$11)/DATOSAÑO!$Y$11</f>
        <v>0</v>
      </c>
      <c r="AM325" s="9">
        <f ca="1">DATOSAÑO!BY324</f>
        <v>0</v>
      </c>
      <c r="AN325" s="11">
        <f ca="1">(AM325*DATOSAÑO!$Z$11)/DATOSAÑO!$Y$11</f>
        <v>0</v>
      </c>
      <c r="AO325" s="9">
        <f ca="1">DATOSAÑO!CF324</f>
        <v>0</v>
      </c>
      <c r="AP325" s="11">
        <f ca="1">(AO325*DATOSAÑO!$Z$11)/DATOSAÑO!$Y$11</f>
        <v>0</v>
      </c>
      <c r="AQ325" s="9">
        <f ca="1">DATOSAÑO!CL324</f>
        <v>0</v>
      </c>
      <c r="AR325" s="1300">
        <f ca="1">(AQ325*DATOSAÑO!$Z$11)/DATOSAÑO!$Y$11</f>
        <v>0</v>
      </c>
      <c r="AS325" s="1334">
        <f t="shared" si="14"/>
        <v>45</v>
      </c>
    </row>
    <row r="326" spans="1:45" ht="15" thickBot="1">
      <c r="A326" s="1371">
        <v>45241</v>
      </c>
      <c r="B326" s="1021">
        <v>45241</v>
      </c>
      <c r="C326" s="9">
        <f ca="1">DATOSAÑO!I325</f>
        <v>0</v>
      </c>
      <c r="D326" s="10">
        <f ca="1">DATOSAÑO!$D325</f>
        <v>0</v>
      </c>
      <c r="E326" s="11">
        <f ca="1">DATOSAÑO!$G325</f>
        <v>0</v>
      </c>
      <c r="F326" s="9">
        <f ca="1">DATOSAÑO!P325</f>
        <v>0</v>
      </c>
      <c r="G326" s="10">
        <f ca="1">DATOSAÑO!K325</f>
        <v>0</v>
      </c>
      <c r="H326" s="11">
        <f ca="1">DATOSAÑO!N325</f>
        <v>0</v>
      </c>
      <c r="I326" s="9">
        <f ca="1">DATOSAÑO!Q325</f>
        <v>0</v>
      </c>
      <c r="J326" s="11">
        <f ca="1">DATOSAÑO!R325</f>
        <v>0</v>
      </c>
      <c r="K326" s="9">
        <f ca="1">DATOSAÑO!T325</f>
        <v>0</v>
      </c>
      <c r="L326" s="11">
        <f t="shared" ca="1" si="12"/>
        <v>0</v>
      </c>
      <c r="M326" s="9"/>
      <c r="N326" s="11">
        <f t="shared" si="13"/>
        <v>0</v>
      </c>
      <c r="O326" s="9">
        <f>DATOSAÑO!CT325</f>
        <v>0</v>
      </c>
      <c r="P326" s="9">
        <f>DATOSAÑO!CU325</f>
        <v>0</v>
      </c>
      <c r="Q326" s="9">
        <f ca="1">DATOSAÑO!AD325</f>
        <v>0</v>
      </c>
      <c r="R326" s="11">
        <f ca="1">(Q326*DATOSAÑO!$Z$11)/DATOSAÑO!$Y$11</f>
        <v>0</v>
      </c>
      <c r="S326" s="9">
        <f ca="1">DATOSAÑO!AF325</f>
        <v>0</v>
      </c>
      <c r="T326" s="11">
        <f ca="1">(S326*DATOSAÑO!$Z$11)/DATOSAÑO!$Y$11</f>
        <v>0</v>
      </c>
      <c r="U326" s="9">
        <f ca="1">DATOSAÑO!AH325</f>
        <v>0</v>
      </c>
      <c r="V326" s="11">
        <f ca="1">(U326*DATOSAÑO!$Z$11)/DATOSAÑO!$Y$11</f>
        <v>0</v>
      </c>
      <c r="W326" s="9">
        <f ca="1">DATOSAÑO!AI325</f>
        <v>0</v>
      </c>
      <c r="X326" s="11">
        <f ca="1">(W326*DATOSAÑO!$Z$11)/DATOSAÑO!$Y$11</f>
        <v>0</v>
      </c>
      <c r="Y326" s="9">
        <f ca="1">DATOSAÑO!AJ325</f>
        <v>0</v>
      </c>
      <c r="Z326" s="11">
        <f ca="1">(Y326*DATOSAÑO!$Z$11)/DATOSAÑO!$Y$11</f>
        <v>0</v>
      </c>
      <c r="AA326" s="9">
        <f ca="1">DATOSAÑO!AK325</f>
        <v>0</v>
      </c>
      <c r="AB326" s="11">
        <f ca="1">(AA326*DATOSAÑO!$Z$11)/DATOSAÑO!$Y$11</f>
        <v>0</v>
      </c>
      <c r="AC326" s="9">
        <f ca="1">DATOSAÑO!AL325</f>
        <v>0</v>
      </c>
      <c r="AD326" s="11">
        <f ca="1">(AC326*DATOSAÑO!$Z$11)/DATOSAÑO!$Y$11</f>
        <v>0</v>
      </c>
      <c r="AE326" s="9">
        <f ca="1">DATOSAÑO!CJ325</f>
        <v>0</v>
      </c>
      <c r="AF326" s="11">
        <f ca="1">(AE326*DATOSAÑO!$Z$11)/DATOSAÑO!$Y$11</f>
        <v>0</v>
      </c>
      <c r="AG326" s="9">
        <f ca="1">DATOSAÑO!CK325</f>
        <v>0</v>
      </c>
      <c r="AH326" s="11">
        <f ca="1">(AG326*DATOSAÑO!$Z$11)/DATOSAÑO!$Y$11</f>
        <v>0</v>
      </c>
      <c r="AI326" s="9">
        <f ca="1">DATOSAÑO!BS325</f>
        <v>0</v>
      </c>
      <c r="AJ326" s="11">
        <f ca="1">(AI326*DATOSAÑO!$Z$11)/DATOSAÑO!$Y$11</f>
        <v>0</v>
      </c>
      <c r="AK326" s="9">
        <f ca="1">DATOSAÑO!BV325</f>
        <v>0</v>
      </c>
      <c r="AL326" s="11">
        <f ca="1">(AK326*DATOSAÑO!$Z$11)/DATOSAÑO!$Y$11</f>
        <v>0</v>
      </c>
      <c r="AM326" s="9">
        <f ca="1">DATOSAÑO!BY325</f>
        <v>0</v>
      </c>
      <c r="AN326" s="11">
        <f ca="1">(AM326*DATOSAÑO!$Z$11)/DATOSAÑO!$Y$11</f>
        <v>0</v>
      </c>
      <c r="AO326" s="9">
        <f ca="1">DATOSAÑO!CF325</f>
        <v>0</v>
      </c>
      <c r="AP326" s="11">
        <f ca="1">(AO326*DATOSAÑO!$Z$11)/DATOSAÑO!$Y$11</f>
        <v>0</v>
      </c>
      <c r="AQ326" s="9">
        <f ca="1">DATOSAÑO!CL325</f>
        <v>0</v>
      </c>
      <c r="AR326" s="1300">
        <f ca="1">(AQ326*DATOSAÑO!$Z$11)/DATOSAÑO!$Y$11</f>
        <v>0</v>
      </c>
      <c r="AS326" s="1334">
        <f t="shared" si="14"/>
        <v>45</v>
      </c>
    </row>
    <row r="327" spans="1:45" ht="15" thickBot="1">
      <c r="A327" s="1371">
        <v>45242</v>
      </c>
      <c r="B327" s="1021">
        <v>45242</v>
      </c>
      <c r="C327" s="9">
        <f ca="1">DATOSAÑO!I326</f>
        <v>0</v>
      </c>
      <c r="D327" s="10">
        <f ca="1">DATOSAÑO!$D326</f>
        <v>0</v>
      </c>
      <c r="E327" s="11">
        <f ca="1">DATOSAÑO!$G326</f>
        <v>0</v>
      </c>
      <c r="F327" s="9">
        <f ca="1">DATOSAÑO!P326</f>
        <v>0</v>
      </c>
      <c r="G327" s="10">
        <f ca="1">DATOSAÑO!K326</f>
        <v>0</v>
      </c>
      <c r="H327" s="11">
        <f ca="1">DATOSAÑO!N326</f>
        <v>0</v>
      </c>
      <c r="I327" s="9">
        <f ca="1">DATOSAÑO!Q326</f>
        <v>0</v>
      </c>
      <c r="J327" s="11">
        <f ca="1">DATOSAÑO!R326</f>
        <v>0</v>
      </c>
      <c r="K327" s="9">
        <f ca="1">DATOSAÑO!T326</f>
        <v>0</v>
      </c>
      <c r="L327" s="11">
        <f t="shared" ca="1" si="12"/>
        <v>0</v>
      </c>
      <c r="M327" s="9"/>
      <c r="N327" s="11">
        <f t="shared" si="13"/>
        <v>0</v>
      </c>
      <c r="O327" s="9">
        <f>DATOSAÑO!CT326</f>
        <v>0</v>
      </c>
      <c r="P327" s="9">
        <f>DATOSAÑO!CU326</f>
        <v>0</v>
      </c>
      <c r="Q327" s="9">
        <f ca="1">DATOSAÑO!AD326</f>
        <v>0</v>
      </c>
      <c r="R327" s="11">
        <f ca="1">(Q327*DATOSAÑO!$Z$11)/DATOSAÑO!$Y$11</f>
        <v>0</v>
      </c>
      <c r="S327" s="9">
        <f ca="1">DATOSAÑO!AF326</f>
        <v>0</v>
      </c>
      <c r="T327" s="11">
        <f ca="1">(S327*DATOSAÑO!$Z$11)/DATOSAÑO!$Y$11</f>
        <v>0</v>
      </c>
      <c r="U327" s="9">
        <f ca="1">DATOSAÑO!AH326</f>
        <v>0</v>
      </c>
      <c r="V327" s="11">
        <f ca="1">(U327*DATOSAÑO!$Z$11)/DATOSAÑO!$Y$11</f>
        <v>0</v>
      </c>
      <c r="W327" s="9">
        <f ca="1">DATOSAÑO!AI326</f>
        <v>0</v>
      </c>
      <c r="X327" s="11">
        <f ca="1">(W327*DATOSAÑO!$Z$11)/DATOSAÑO!$Y$11</f>
        <v>0</v>
      </c>
      <c r="Y327" s="9">
        <f ca="1">DATOSAÑO!AJ326</f>
        <v>0</v>
      </c>
      <c r="Z327" s="11">
        <f ca="1">(Y327*DATOSAÑO!$Z$11)/DATOSAÑO!$Y$11</f>
        <v>0</v>
      </c>
      <c r="AA327" s="9">
        <f ca="1">DATOSAÑO!AK326</f>
        <v>0</v>
      </c>
      <c r="AB327" s="11">
        <f ca="1">(AA327*DATOSAÑO!$Z$11)/DATOSAÑO!$Y$11</f>
        <v>0</v>
      </c>
      <c r="AC327" s="9">
        <f ca="1">DATOSAÑO!AL326</f>
        <v>0</v>
      </c>
      <c r="AD327" s="11">
        <f ca="1">(AC327*DATOSAÑO!$Z$11)/DATOSAÑO!$Y$11</f>
        <v>0</v>
      </c>
      <c r="AE327" s="9">
        <f ca="1">DATOSAÑO!CJ326</f>
        <v>0</v>
      </c>
      <c r="AF327" s="11">
        <f ca="1">(AE327*DATOSAÑO!$Z$11)/DATOSAÑO!$Y$11</f>
        <v>0</v>
      </c>
      <c r="AG327" s="9">
        <f ca="1">DATOSAÑO!CK326</f>
        <v>0</v>
      </c>
      <c r="AH327" s="11">
        <f ca="1">(AG327*DATOSAÑO!$Z$11)/DATOSAÑO!$Y$11</f>
        <v>0</v>
      </c>
      <c r="AI327" s="9">
        <f ca="1">DATOSAÑO!BS326</f>
        <v>0</v>
      </c>
      <c r="AJ327" s="11">
        <f ca="1">(AI327*DATOSAÑO!$Z$11)/DATOSAÑO!$Y$11</f>
        <v>0</v>
      </c>
      <c r="AK327" s="9">
        <f ca="1">DATOSAÑO!BV326</f>
        <v>0</v>
      </c>
      <c r="AL327" s="11">
        <f ca="1">(AK327*DATOSAÑO!$Z$11)/DATOSAÑO!$Y$11</f>
        <v>0</v>
      </c>
      <c r="AM327" s="9">
        <f ca="1">DATOSAÑO!BY326</f>
        <v>0</v>
      </c>
      <c r="AN327" s="11">
        <f ca="1">(AM327*DATOSAÑO!$Z$11)/DATOSAÑO!$Y$11</f>
        <v>0</v>
      </c>
      <c r="AO327" s="9">
        <f ca="1">DATOSAÑO!CF326</f>
        <v>0</v>
      </c>
      <c r="AP327" s="11">
        <f ca="1">(AO327*DATOSAÑO!$Z$11)/DATOSAÑO!$Y$11</f>
        <v>0</v>
      </c>
      <c r="AQ327" s="9">
        <f ca="1">DATOSAÑO!CL326</f>
        <v>0</v>
      </c>
      <c r="AR327" s="1300">
        <f ca="1">(AQ327*DATOSAÑO!$Z$11)/DATOSAÑO!$Y$11</f>
        <v>0</v>
      </c>
      <c r="AS327" s="1334">
        <f t="shared" si="14"/>
        <v>46</v>
      </c>
    </row>
    <row r="328" spans="1:45" ht="15" thickBot="1">
      <c r="A328" s="1371">
        <v>45243</v>
      </c>
      <c r="B328" s="1021">
        <v>45243</v>
      </c>
      <c r="C328" s="9">
        <f ca="1">DATOSAÑO!I327</f>
        <v>0</v>
      </c>
      <c r="D328" s="10">
        <f ca="1">DATOSAÑO!$D327</f>
        <v>0</v>
      </c>
      <c r="E328" s="11">
        <f ca="1">DATOSAÑO!$G327</f>
        <v>0</v>
      </c>
      <c r="F328" s="9">
        <f ca="1">DATOSAÑO!P327</f>
        <v>0</v>
      </c>
      <c r="G328" s="10">
        <f ca="1">DATOSAÑO!K327</f>
        <v>0</v>
      </c>
      <c r="H328" s="11">
        <f ca="1">DATOSAÑO!N327</f>
        <v>0</v>
      </c>
      <c r="I328" s="9">
        <f ca="1">DATOSAÑO!Q327</f>
        <v>0</v>
      </c>
      <c r="J328" s="11">
        <f ca="1">DATOSAÑO!R327</f>
        <v>0</v>
      </c>
      <c r="K328" s="9">
        <f ca="1">DATOSAÑO!T327</f>
        <v>0</v>
      </c>
      <c r="L328" s="11">
        <f t="shared" ca="1" si="12"/>
        <v>0</v>
      </c>
      <c r="M328" s="9"/>
      <c r="N328" s="11">
        <f t="shared" si="13"/>
        <v>0</v>
      </c>
      <c r="O328" s="9">
        <f>DATOSAÑO!CT327</f>
        <v>0</v>
      </c>
      <c r="P328" s="9">
        <f>DATOSAÑO!CU327</f>
        <v>0</v>
      </c>
      <c r="Q328" s="9">
        <f ca="1">DATOSAÑO!AD327</f>
        <v>0</v>
      </c>
      <c r="R328" s="11">
        <f ca="1">(Q328*DATOSAÑO!$Z$11)/DATOSAÑO!$Y$11</f>
        <v>0</v>
      </c>
      <c r="S328" s="9">
        <f ca="1">DATOSAÑO!AF327</f>
        <v>0</v>
      </c>
      <c r="T328" s="11">
        <f ca="1">(S328*DATOSAÑO!$Z$11)/DATOSAÑO!$Y$11</f>
        <v>0</v>
      </c>
      <c r="U328" s="9">
        <f ca="1">DATOSAÑO!AH327</f>
        <v>0</v>
      </c>
      <c r="V328" s="11">
        <f ca="1">(U328*DATOSAÑO!$Z$11)/DATOSAÑO!$Y$11</f>
        <v>0</v>
      </c>
      <c r="W328" s="9">
        <f ca="1">DATOSAÑO!AI327</f>
        <v>0</v>
      </c>
      <c r="X328" s="11">
        <f ca="1">(W328*DATOSAÑO!$Z$11)/DATOSAÑO!$Y$11</f>
        <v>0</v>
      </c>
      <c r="Y328" s="9">
        <f ca="1">DATOSAÑO!AJ327</f>
        <v>0</v>
      </c>
      <c r="Z328" s="11">
        <f ca="1">(Y328*DATOSAÑO!$Z$11)/DATOSAÑO!$Y$11</f>
        <v>0</v>
      </c>
      <c r="AA328" s="9">
        <f ca="1">DATOSAÑO!AK327</f>
        <v>0</v>
      </c>
      <c r="AB328" s="11">
        <f ca="1">(AA328*DATOSAÑO!$Z$11)/DATOSAÑO!$Y$11</f>
        <v>0</v>
      </c>
      <c r="AC328" s="9">
        <f ca="1">DATOSAÑO!AL327</f>
        <v>0</v>
      </c>
      <c r="AD328" s="11">
        <f ca="1">(AC328*DATOSAÑO!$Z$11)/DATOSAÑO!$Y$11</f>
        <v>0</v>
      </c>
      <c r="AE328" s="9">
        <f ca="1">DATOSAÑO!CJ327</f>
        <v>0</v>
      </c>
      <c r="AF328" s="11">
        <f ca="1">(AE328*DATOSAÑO!$Z$11)/DATOSAÑO!$Y$11</f>
        <v>0</v>
      </c>
      <c r="AG328" s="9">
        <f ca="1">DATOSAÑO!CK327</f>
        <v>0</v>
      </c>
      <c r="AH328" s="11">
        <f ca="1">(AG328*DATOSAÑO!$Z$11)/DATOSAÑO!$Y$11</f>
        <v>0</v>
      </c>
      <c r="AI328" s="9">
        <f ca="1">DATOSAÑO!BS327</f>
        <v>0</v>
      </c>
      <c r="AJ328" s="11">
        <f ca="1">(AI328*DATOSAÑO!$Z$11)/DATOSAÑO!$Y$11</f>
        <v>0</v>
      </c>
      <c r="AK328" s="9">
        <f ca="1">DATOSAÑO!BV327</f>
        <v>0</v>
      </c>
      <c r="AL328" s="11">
        <f ca="1">(AK328*DATOSAÑO!$Z$11)/DATOSAÑO!$Y$11</f>
        <v>0</v>
      </c>
      <c r="AM328" s="9">
        <f ca="1">DATOSAÑO!BY327</f>
        <v>0</v>
      </c>
      <c r="AN328" s="11">
        <f ca="1">(AM328*DATOSAÑO!$Z$11)/DATOSAÑO!$Y$11</f>
        <v>0</v>
      </c>
      <c r="AO328" s="9">
        <f ca="1">DATOSAÑO!CF327</f>
        <v>0</v>
      </c>
      <c r="AP328" s="11">
        <f ca="1">(AO328*DATOSAÑO!$Z$11)/DATOSAÑO!$Y$11</f>
        <v>0</v>
      </c>
      <c r="AQ328" s="9">
        <f ca="1">DATOSAÑO!CL327</f>
        <v>0</v>
      </c>
      <c r="AR328" s="1300">
        <f ca="1">(AQ328*DATOSAÑO!$Z$11)/DATOSAÑO!$Y$11</f>
        <v>0</v>
      </c>
      <c r="AS328" s="1334">
        <f t="shared" si="14"/>
        <v>46</v>
      </c>
    </row>
    <row r="329" spans="1:45" ht="15" thickBot="1">
      <c r="A329" s="1371">
        <v>45244</v>
      </c>
      <c r="B329" s="1021">
        <v>45244</v>
      </c>
      <c r="C329" s="9">
        <f ca="1">DATOSAÑO!I328</f>
        <v>0</v>
      </c>
      <c r="D329" s="10">
        <f ca="1">DATOSAÑO!$D328</f>
        <v>0</v>
      </c>
      <c r="E329" s="11">
        <f ca="1">DATOSAÑO!$G328</f>
        <v>0</v>
      </c>
      <c r="F329" s="9">
        <f ca="1">DATOSAÑO!P328</f>
        <v>0</v>
      </c>
      <c r="G329" s="10">
        <f ca="1">DATOSAÑO!K328</f>
        <v>0</v>
      </c>
      <c r="H329" s="11">
        <f ca="1">DATOSAÑO!N328</f>
        <v>0</v>
      </c>
      <c r="I329" s="9">
        <f ca="1">DATOSAÑO!Q328</f>
        <v>0</v>
      </c>
      <c r="J329" s="11">
        <f ca="1">DATOSAÑO!R328</f>
        <v>0</v>
      </c>
      <c r="K329" s="9">
        <f ca="1">DATOSAÑO!T328</f>
        <v>0</v>
      </c>
      <c r="L329" s="11">
        <f t="shared" ca="1" si="12"/>
        <v>0</v>
      </c>
      <c r="M329" s="9"/>
      <c r="N329" s="11">
        <f t="shared" si="13"/>
        <v>0</v>
      </c>
      <c r="O329" s="9">
        <f>DATOSAÑO!CT328</f>
        <v>0</v>
      </c>
      <c r="P329" s="9">
        <f>DATOSAÑO!CU328</f>
        <v>0</v>
      </c>
      <c r="Q329" s="9">
        <f ca="1">DATOSAÑO!AD328</f>
        <v>0</v>
      </c>
      <c r="R329" s="11">
        <f ca="1">(Q329*DATOSAÑO!$Z$11)/DATOSAÑO!$Y$11</f>
        <v>0</v>
      </c>
      <c r="S329" s="9">
        <f ca="1">DATOSAÑO!AF328</f>
        <v>0</v>
      </c>
      <c r="T329" s="11">
        <f ca="1">(S329*DATOSAÑO!$Z$11)/DATOSAÑO!$Y$11</f>
        <v>0</v>
      </c>
      <c r="U329" s="9">
        <f ca="1">DATOSAÑO!AH328</f>
        <v>0</v>
      </c>
      <c r="V329" s="11">
        <f ca="1">(U329*DATOSAÑO!$Z$11)/DATOSAÑO!$Y$11</f>
        <v>0</v>
      </c>
      <c r="W329" s="9">
        <f ca="1">DATOSAÑO!AI328</f>
        <v>0</v>
      </c>
      <c r="X329" s="11">
        <f ca="1">(W329*DATOSAÑO!$Z$11)/DATOSAÑO!$Y$11</f>
        <v>0</v>
      </c>
      <c r="Y329" s="9">
        <f ca="1">DATOSAÑO!AJ328</f>
        <v>0</v>
      </c>
      <c r="Z329" s="11">
        <f ca="1">(Y329*DATOSAÑO!$Z$11)/DATOSAÑO!$Y$11</f>
        <v>0</v>
      </c>
      <c r="AA329" s="9">
        <f ca="1">DATOSAÑO!AK328</f>
        <v>0</v>
      </c>
      <c r="AB329" s="11">
        <f ca="1">(AA329*DATOSAÑO!$Z$11)/DATOSAÑO!$Y$11</f>
        <v>0</v>
      </c>
      <c r="AC329" s="9">
        <f ca="1">DATOSAÑO!AL328</f>
        <v>0</v>
      </c>
      <c r="AD329" s="11">
        <f ca="1">(AC329*DATOSAÑO!$Z$11)/DATOSAÑO!$Y$11</f>
        <v>0</v>
      </c>
      <c r="AE329" s="9">
        <f ca="1">DATOSAÑO!CJ328</f>
        <v>0</v>
      </c>
      <c r="AF329" s="11">
        <f ca="1">(AE329*DATOSAÑO!$Z$11)/DATOSAÑO!$Y$11</f>
        <v>0</v>
      </c>
      <c r="AG329" s="9">
        <f ca="1">DATOSAÑO!CK328</f>
        <v>0</v>
      </c>
      <c r="AH329" s="11">
        <f ca="1">(AG329*DATOSAÑO!$Z$11)/DATOSAÑO!$Y$11</f>
        <v>0</v>
      </c>
      <c r="AI329" s="9">
        <f ca="1">DATOSAÑO!BS328</f>
        <v>0</v>
      </c>
      <c r="AJ329" s="11">
        <f ca="1">(AI329*DATOSAÑO!$Z$11)/DATOSAÑO!$Y$11</f>
        <v>0</v>
      </c>
      <c r="AK329" s="9">
        <f ca="1">DATOSAÑO!BV328</f>
        <v>0</v>
      </c>
      <c r="AL329" s="11">
        <f ca="1">(AK329*DATOSAÑO!$Z$11)/DATOSAÑO!$Y$11</f>
        <v>0</v>
      </c>
      <c r="AM329" s="9">
        <f ca="1">DATOSAÑO!BY328</f>
        <v>0</v>
      </c>
      <c r="AN329" s="11">
        <f ca="1">(AM329*DATOSAÑO!$Z$11)/DATOSAÑO!$Y$11</f>
        <v>0</v>
      </c>
      <c r="AO329" s="9">
        <f ca="1">DATOSAÑO!CF328</f>
        <v>0</v>
      </c>
      <c r="AP329" s="11">
        <f ca="1">(AO329*DATOSAÑO!$Z$11)/DATOSAÑO!$Y$11</f>
        <v>0</v>
      </c>
      <c r="AQ329" s="9">
        <f ca="1">DATOSAÑO!CL328</f>
        <v>0</v>
      </c>
      <c r="AR329" s="1300">
        <f ca="1">(AQ329*DATOSAÑO!$Z$11)/DATOSAÑO!$Y$11</f>
        <v>0</v>
      </c>
      <c r="AS329" s="1334">
        <f t="shared" si="14"/>
        <v>46</v>
      </c>
    </row>
    <row r="330" spans="1:45" ht="15" thickBot="1">
      <c r="A330" s="1371">
        <v>45245</v>
      </c>
      <c r="B330" s="1021">
        <v>45245</v>
      </c>
      <c r="C330" s="9">
        <f ca="1">DATOSAÑO!I329</f>
        <v>0</v>
      </c>
      <c r="D330" s="10">
        <f ca="1">DATOSAÑO!$D329</f>
        <v>0</v>
      </c>
      <c r="E330" s="11">
        <f ca="1">DATOSAÑO!$G329</f>
        <v>0</v>
      </c>
      <c r="F330" s="9">
        <f ca="1">DATOSAÑO!P329</f>
        <v>0</v>
      </c>
      <c r="G330" s="10">
        <f ca="1">DATOSAÑO!K329</f>
        <v>0</v>
      </c>
      <c r="H330" s="11">
        <f ca="1">DATOSAÑO!N329</f>
        <v>0</v>
      </c>
      <c r="I330" s="9">
        <f ca="1">DATOSAÑO!Q329</f>
        <v>0</v>
      </c>
      <c r="J330" s="11">
        <f ca="1">DATOSAÑO!R329</f>
        <v>0</v>
      </c>
      <c r="K330" s="9">
        <f ca="1">DATOSAÑO!T329</f>
        <v>0</v>
      </c>
      <c r="L330" s="11">
        <f t="shared" ca="1" si="12"/>
        <v>0</v>
      </c>
      <c r="M330" s="9"/>
      <c r="N330" s="11">
        <f t="shared" si="13"/>
        <v>0</v>
      </c>
      <c r="O330" s="9">
        <f>DATOSAÑO!CT329</f>
        <v>0</v>
      </c>
      <c r="P330" s="9">
        <f>DATOSAÑO!CU329</f>
        <v>0</v>
      </c>
      <c r="Q330" s="9">
        <f ca="1">DATOSAÑO!AD329</f>
        <v>0</v>
      </c>
      <c r="R330" s="11">
        <f ca="1">(Q330*DATOSAÑO!$Z$11)/DATOSAÑO!$Y$11</f>
        <v>0</v>
      </c>
      <c r="S330" s="9">
        <f ca="1">DATOSAÑO!AF329</f>
        <v>0</v>
      </c>
      <c r="T330" s="11">
        <f ca="1">(S330*DATOSAÑO!$Z$11)/DATOSAÑO!$Y$11</f>
        <v>0</v>
      </c>
      <c r="U330" s="9">
        <f ca="1">DATOSAÑO!AH329</f>
        <v>0</v>
      </c>
      <c r="V330" s="11">
        <f ca="1">(U330*DATOSAÑO!$Z$11)/DATOSAÑO!$Y$11</f>
        <v>0</v>
      </c>
      <c r="W330" s="9">
        <f ca="1">DATOSAÑO!AI329</f>
        <v>0</v>
      </c>
      <c r="X330" s="11">
        <f ca="1">(W330*DATOSAÑO!$Z$11)/DATOSAÑO!$Y$11</f>
        <v>0</v>
      </c>
      <c r="Y330" s="9">
        <f ca="1">DATOSAÑO!AJ329</f>
        <v>0</v>
      </c>
      <c r="Z330" s="11">
        <f ca="1">(Y330*DATOSAÑO!$Z$11)/DATOSAÑO!$Y$11</f>
        <v>0</v>
      </c>
      <c r="AA330" s="9">
        <f ca="1">DATOSAÑO!AK329</f>
        <v>0</v>
      </c>
      <c r="AB330" s="11">
        <f ca="1">(AA330*DATOSAÑO!$Z$11)/DATOSAÑO!$Y$11</f>
        <v>0</v>
      </c>
      <c r="AC330" s="9">
        <f ca="1">DATOSAÑO!AL329</f>
        <v>0</v>
      </c>
      <c r="AD330" s="11">
        <f ca="1">(AC330*DATOSAÑO!$Z$11)/DATOSAÑO!$Y$11</f>
        <v>0</v>
      </c>
      <c r="AE330" s="9">
        <f ca="1">DATOSAÑO!CJ329</f>
        <v>0</v>
      </c>
      <c r="AF330" s="11">
        <f ca="1">(AE330*DATOSAÑO!$Z$11)/DATOSAÑO!$Y$11</f>
        <v>0</v>
      </c>
      <c r="AG330" s="9">
        <f ca="1">DATOSAÑO!CK329</f>
        <v>0</v>
      </c>
      <c r="AH330" s="11">
        <f ca="1">(AG330*DATOSAÑO!$Z$11)/DATOSAÑO!$Y$11</f>
        <v>0</v>
      </c>
      <c r="AI330" s="9">
        <f ca="1">DATOSAÑO!BS329</f>
        <v>0</v>
      </c>
      <c r="AJ330" s="11">
        <f ca="1">(AI330*DATOSAÑO!$Z$11)/DATOSAÑO!$Y$11</f>
        <v>0</v>
      </c>
      <c r="AK330" s="9">
        <f ca="1">DATOSAÑO!BV329</f>
        <v>0</v>
      </c>
      <c r="AL330" s="11">
        <f ca="1">(AK330*DATOSAÑO!$Z$11)/DATOSAÑO!$Y$11</f>
        <v>0</v>
      </c>
      <c r="AM330" s="9">
        <f ca="1">DATOSAÑO!BY329</f>
        <v>0</v>
      </c>
      <c r="AN330" s="11">
        <f ca="1">(AM330*DATOSAÑO!$Z$11)/DATOSAÑO!$Y$11</f>
        <v>0</v>
      </c>
      <c r="AO330" s="9">
        <f ca="1">DATOSAÑO!CF329</f>
        <v>0</v>
      </c>
      <c r="AP330" s="11">
        <f ca="1">(AO330*DATOSAÑO!$Z$11)/DATOSAÑO!$Y$11</f>
        <v>0</v>
      </c>
      <c r="AQ330" s="9">
        <f ca="1">DATOSAÑO!CL329</f>
        <v>0</v>
      </c>
      <c r="AR330" s="1300">
        <f ca="1">(AQ330*DATOSAÑO!$Z$11)/DATOSAÑO!$Y$11</f>
        <v>0</v>
      </c>
      <c r="AS330" s="1334">
        <f t="shared" si="14"/>
        <v>46</v>
      </c>
    </row>
    <row r="331" spans="1:45" ht="15" thickBot="1">
      <c r="A331" s="1371">
        <v>45246</v>
      </c>
      <c r="B331" s="1021">
        <v>45246</v>
      </c>
      <c r="C331" s="9">
        <f ca="1">DATOSAÑO!I330</f>
        <v>0</v>
      </c>
      <c r="D331" s="10">
        <f ca="1">DATOSAÑO!$D330</f>
        <v>0</v>
      </c>
      <c r="E331" s="11">
        <f ca="1">DATOSAÑO!$G330</f>
        <v>0</v>
      </c>
      <c r="F331" s="9">
        <f ca="1">DATOSAÑO!P330</f>
        <v>0</v>
      </c>
      <c r="G331" s="10">
        <f ca="1">DATOSAÑO!K330</f>
        <v>0</v>
      </c>
      <c r="H331" s="11">
        <f ca="1">DATOSAÑO!N330</f>
        <v>0</v>
      </c>
      <c r="I331" s="9">
        <f ca="1">DATOSAÑO!Q330</f>
        <v>0</v>
      </c>
      <c r="J331" s="11">
        <f ca="1">DATOSAÑO!R330</f>
        <v>0</v>
      </c>
      <c r="K331" s="9">
        <f ca="1">DATOSAÑO!T330</f>
        <v>0</v>
      </c>
      <c r="L331" s="11">
        <f t="shared" ca="1" si="12"/>
        <v>0</v>
      </c>
      <c r="M331" s="9"/>
      <c r="N331" s="11">
        <f t="shared" si="13"/>
        <v>0</v>
      </c>
      <c r="O331" s="9">
        <f>DATOSAÑO!CT330</f>
        <v>0</v>
      </c>
      <c r="P331" s="9">
        <f>DATOSAÑO!CU330</f>
        <v>0</v>
      </c>
      <c r="Q331" s="9">
        <f ca="1">DATOSAÑO!AD330</f>
        <v>0</v>
      </c>
      <c r="R331" s="11">
        <f ca="1">(Q331*DATOSAÑO!$Z$11)/DATOSAÑO!$Y$11</f>
        <v>0</v>
      </c>
      <c r="S331" s="9">
        <f ca="1">DATOSAÑO!AF330</f>
        <v>0</v>
      </c>
      <c r="T331" s="11">
        <f ca="1">(S331*DATOSAÑO!$Z$11)/DATOSAÑO!$Y$11</f>
        <v>0</v>
      </c>
      <c r="U331" s="9">
        <f ca="1">DATOSAÑO!AH330</f>
        <v>0</v>
      </c>
      <c r="V331" s="11">
        <f ca="1">(U331*DATOSAÑO!$Z$11)/DATOSAÑO!$Y$11</f>
        <v>0</v>
      </c>
      <c r="W331" s="9">
        <f ca="1">DATOSAÑO!AI330</f>
        <v>0</v>
      </c>
      <c r="X331" s="11">
        <f ca="1">(W331*DATOSAÑO!$Z$11)/DATOSAÑO!$Y$11</f>
        <v>0</v>
      </c>
      <c r="Y331" s="9">
        <f ca="1">DATOSAÑO!AJ330</f>
        <v>0</v>
      </c>
      <c r="Z331" s="11">
        <f ca="1">(Y331*DATOSAÑO!$Z$11)/DATOSAÑO!$Y$11</f>
        <v>0</v>
      </c>
      <c r="AA331" s="9">
        <f ca="1">DATOSAÑO!AK330</f>
        <v>0</v>
      </c>
      <c r="AB331" s="11">
        <f ca="1">(AA331*DATOSAÑO!$Z$11)/DATOSAÑO!$Y$11</f>
        <v>0</v>
      </c>
      <c r="AC331" s="9">
        <f ca="1">DATOSAÑO!AL330</f>
        <v>0</v>
      </c>
      <c r="AD331" s="11">
        <f ca="1">(AC331*DATOSAÑO!$Z$11)/DATOSAÑO!$Y$11</f>
        <v>0</v>
      </c>
      <c r="AE331" s="9">
        <f ca="1">DATOSAÑO!CJ330</f>
        <v>0</v>
      </c>
      <c r="AF331" s="11">
        <f ca="1">(AE331*DATOSAÑO!$Z$11)/DATOSAÑO!$Y$11</f>
        <v>0</v>
      </c>
      <c r="AG331" s="9">
        <f ca="1">DATOSAÑO!CK330</f>
        <v>0</v>
      </c>
      <c r="AH331" s="11">
        <f ca="1">(AG331*DATOSAÑO!$Z$11)/DATOSAÑO!$Y$11</f>
        <v>0</v>
      </c>
      <c r="AI331" s="9">
        <f ca="1">DATOSAÑO!BS330</f>
        <v>0</v>
      </c>
      <c r="AJ331" s="11">
        <f ca="1">(AI331*DATOSAÑO!$Z$11)/DATOSAÑO!$Y$11</f>
        <v>0</v>
      </c>
      <c r="AK331" s="9">
        <f ca="1">DATOSAÑO!BV330</f>
        <v>0</v>
      </c>
      <c r="AL331" s="11">
        <f ca="1">(AK331*DATOSAÑO!$Z$11)/DATOSAÑO!$Y$11</f>
        <v>0</v>
      </c>
      <c r="AM331" s="9">
        <f ca="1">DATOSAÑO!BY330</f>
        <v>0</v>
      </c>
      <c r="AN331" s="11">
        <f ca="1">(AM331*DATOSAÑO!$Z$11)/DATOSAÑO!$Y$11</f>
        <v>0</v>
      </c>
      <c r="AO331" s="9">
        <f ca="1">DATOSAÑO!CF330</f>
        <v>0</v>
      </c>
      <c r="AP331" s="11">
        <f ca="1">(AO331*DATOSAÑO!$Z$11)/DATOSAÑO!$Y$11</f>
        <v>0</v>
      </c>
      <c r="AQ331" s="9">
        <f ca="1">DATOSAÑO!CL330</f>
        <v>0</v>
      </c>
      <c r="AR331" s="1300">
        <f ca="1">(AQ331*DATOSAÑO!$Z$11)/DATOSAÑO!$Y$11</f>
        <v>0</v>
      </c>
      <c r="AS331" s="1334">
        <f t="shared" si="14"/>
        <v>46</v>
      </c>
    </row>
    <row r="332" spans="1:45" ht="15" thickBot="1">
      <c r="A332" s="1371">
        <v>45247</v>
      </c>
      <c r="B332" s="1021">
        <v>45247</v>
      </c>
      <c r="C332" s="9">
        <f ca="1">DATOSAÑO!I331</f>
        <v>0</v>
      </c>
      <c r="D332" s="10">
        <f ca="1">DATOSAÑO!$D331</f>
        <v>0</v>
      </c>
      <c r="E332" s="11">
        <f ca="1">DATOSAÑO!$G331</f>
        <v>0</v>
      </c>
      <c r="F332" s="9">
        <f ca="1">DATOSAÑO!P331</f>
        <v>0</v>
      </c>
      <c r="G332" s="10">
        <f ca="1">DATOSAÑO!K331</f>
        <v>0</v>
      </c>
      <c r="H332" s="11">
        <f ca="1">DATOSAÑO!N331</f>
        <v>0</v>
      </c>
      <c r="I332" s="9">
        <f ca="1">DATOSAÑO!Q331</f>
        <v>0</v>
      </c>
      <c r="J332" s="11">
        <f ca="1">DATOSAÑO!R331</f>
        <v>0</v>
      </c>
      <c r="K332" s="9">
        <f ca="1">DATOSAÑO!T331</f>
        <v>0</v>
      </c>
      <c r="L332" s="11">
        <f t="shared" ref="L332:L376" ca="1" si="15">K332*120</f>
        <v>0</v>
      </c>
      <c r="M332" s="9"/>
      <c r="N332" s="11">
        <f t="shared" ref="N332:N376" si="16">M332*120</f>
        <v>0</v>
      </c>
      <c r="O332" s="9">
        <f>DATOSAÑO!CT331</f>
        <v>0</v>
      </c>
      <c r="P332" s="9">
        <f>DATOSAÑO!CU331</f>
        <v>0</v>
      </c>
      <c r="Q332" s="9">
        <f ca="1">DATOSAÑO!AD331</f>
        <v>0</v>
      </c>
      <c r="R332" s="11">
        <f ca="1">(Q332*DATOSAÑO!$Z$11)/DATOSAÑO!$Y$11</f>
        <v>0</v>
      </c>
      <c r="S332" s="9">
        <f ca="1">DATOSAÑO!AF331</f>
        <v>0</v>
      </c>
      <c r="T332" s="11">
        <f ca="1">(S332*DATOSAÑO!$Z$11)/DATOSAÑO!$Y$11</f>
        <v>0</v>
      </c>
      <c r="U332" s="9">
        <f ca="1">DATOSAÑO!AH331</f>
        <v>0</v>
      </c>
      <c r="V332" s="11">
        <f ca="1">(U332*DATOSAÑO!$Z$11)/DATOSAÑO!$Y$11</f>
        <v>0</v>
      </c>
      <c r="W332" s="9">
        <f ca="1">DATOSAÑO!AI331</f>
        <v>0</v>
      </c>
      <c r="X332" s="11">
        <f ca="1">(W332*DATOSAÑO!$Z$11)/DATOSAÑO!$Y$11</f>
        <v>0</v>
      </c>
      <c r="Y332" s="9">
        <f ca="1">DATOSAÑO!AJ331</f>
        <v>0</v>
      </c>
      <c r="Z332" s="11">
        <f ca="1">(Y332*DATOSAÑO!$Z$11)/DATOSAÑO!$Y$11</f>
        <v>0</v>
      </c>
      <c r="AA332" s="9">
        <f ca="1">DATOSAÑO!AK331</f>
        <v>0</v>
      </c>
      <c r="AB332" s="11">
        <f ca="1">(AA332*DATOSAÑO!$Z$11)/DATOSAÑO!$Y$11</f>
        <v>0</v>
      </c>
      <c r="AC332" s="9">
        <f ca="1">DATOSAÑO!AL331</f>
        <v>0</v>
      </c>
      <c r="AD332" s="11">
        <f ca="1">(AC332*DATOSAÑO!$Z$11)/DATOSAÑO!$Y$11</f>
        <v>0</v>
      </c>
      <c r="AE332" s="9">
        <f ca="1">DATOSAÑO!CJ331</f>
        <v>0</v>
      </c>
      <c r="AF332" s="11">
        <f ca="1">(AE332*DATOSAÑO!$Z$11)/DATOSAÑO!$Y$11</f>
        <v>0</v>
      </c>
      <c r="AG332" s="9">
        <f ca="1">DATOSAÑO!CK331</f>
        <v>0</v>
      </c>
      <c r="AH332" s="11">
        <f ca="1">(AG332*DATOSAÑO!$Z$11)/DATOSAÑO!$Y$11</f>
        <v>0</v>
      </c>
      <c r="AI332" s="9">
        <f ca="1">DATOSAÑO!BS331</f>
        <v>0</v>
      </c>
      <c r="AJ332" s="11">
        <f ca="1">(AI332*DATOSAÑO!$Z$11)/DATOSAÑO!$Y$11</f>
        <v>0</v>
      </c>
      <c r="AK332" s="9">
        <f ca="1">DATOSAÑO!BV331</f>
        <v>0</v>
      </c>
      <c r="AL332" s="11">
        <f ca="1">(AK332*DATOSAÑO!$Z$11)/DATOSAÑO!$Y$11</f>
        <v>0</v>
      </c>
      <c r="AM332" s="9">
        <f ca="1">DATOSAÑO!BY331</f>
        <v>0</v>
      </c>
      <c r="AN332" s="11">
        <f ca="1">(AM332*DATOSAÑO!$Z$11)/DATOSAÑO!$Y$11</f>
        <v>0</v>
      </c>
      <c r="AO332" s="9">
        <f ca="1">DATOSAÑO!CF331</f>
        <v>0</v>
      </c>
      <c r="AP332" s="11">
        <f ca="1">(AO332*DATOSAÑO!$Z$11)/DATOSAÑO!$Y$11</f>
        <v>0</v>
      </c>
      <c r="AQ332" s="9">
        <f ca="1">DATOSAÑO!CL331</f>
        <v>0</v>
      </c>
      <c r="AR332" s="1300">
        <f ca="1">(AQ332*DATOSAÑO!$Z$11)/DATOSAÑO!$Y$11</f>
        <v>0</v>
      </c>
      <c r="AS332" s="1334">
        <f t="shared" si="14"/>
        <v>46</v>
      </c>
    </row>
    <row r="333" spans="1:45" ht="15" thickBot="1">
      <c r="A333" s="1371">
        <v>45248</v>
      </c>
      <c r="B333" s="1021">
        <v>45248</v>
      </c>
      <c r="C333" s="9">
        <f ca="1">DATOSAÑO!I332</f>
        <v>0</v>
      </c>
      <c r="D333" s="10">
        <f ca="1">DATOSAÑO!$D332</f>
        <v>0</v>
      </c>
      <c r="E333" s="11">
        <f ca="1">DATOSAÑO!$G332</f>
        <v>0</v>
      </c>
      <c r="F333" s="9">
        <f ca="1">DATOSAÑO!P332</f>
        <v>0</v>
      </c>
      <c r="G333" s="10">
        <f ca="1">DATOSAÑO!K332</f>
        <v>0</v>
      </c>
      <c r="H333" s="11">
        <f ca="1">DATOSAÑO!N332</f>
        <v>0</v>
      </c>
      <c r="I333" s="9">
        <f ca="1">DATOSAÑO!Q332</f>
        <v>0</v>
      </c>
      <c r="J333" s="11">
        <f ca="1">DATOSAÑO!R332</f>
        <v>0</v>
      </c>
      <c r="K333" s="9">
        <f ca="1">DATOSAÑO!T332</f>
        <v>0</v>
      </c>
      <c r="L333" s="11">
        <f t="shared" ca="1" si="15"/>
        <v>0</v>
      </c>
      <c r="M333" s="9"/>
      <c r="N333" s="11">
        <f t="shared" si="16"/>
        <v>0</v>
      </c>
      <c r="O333" s="9">
        <f>DATOSAÑO!CT332</f>
        <v>0</v>
      </c>
      <c r="P333" s="9">
        <f>DATOSAÑO!CU332</f>
        <v>0</v>
      </c>
      <c r="Q333" s="9">
        <f ca="1">DATOSAÑO!AD332</f>
        <v>0</v>
      </c>
      <c r="R333" s="11">
        <f ca="1">(Q333*DATOSAÑO!$Z$11)/DATOSAÑO!$Y$11</f>
        <v>0</v>
      </c>
      <c r="S333" s="9">
        <f ca="1">DATOSAÑO!AF332</f>
        <v>0</v>
      </c>
      <c r="T333" s="11">
        <f ca="1">(S333*DATOSAÑO!$Z$11)/DATOSAÑO!$Y$11</f>
        <v>0</v>
      </c>
      <c r="U333" s="9">
        <f ca="1">DATOSAÑO!AH332</f>
        <v>0</v>
      </c>
      <c r="V333" s="11">
        <f ca="1">(U333*DATOSAÑO!$Z$11)/DATOSAÑO!$Y$11</f>
        <v>0</v>
      </c>
      <c r="W333" s="9">
        <f ca="1">DATOSAÑO!AI332</f>
        <v>0</v>
      </c>
      <c r="X333" s="11">
        <f ca="1">(W333*DATOSAÑO!$Z$11)/DATOSAÑO!$Y$11</f>
        <v>0</v>
      </c>
      <c r="Y333" s="9">
        <f ca="1">DATOSAÑO!AJ332</f>
        <v>0</v>
      </c>
      <c r="Z333" s="11">
        <f ca="1">(Y333*DATOSAÑO!$Z$11)/DATOSAÑO!$Y$11</f>
        <v>0</v>
      </c>
      <c r="AA333" s="9">
        <f ca="1">DATOSAÑO!AK332</f>
        <v>0</v>
      </c>
      <c r="AB333" s="11">
        <f ca="1">(AA333*DATOSAÑO!$Z$11)/DATOSAÑO!$Y$11</f>
        <v>0</v>
      </c>
      <c r="AC333" s="9">
        <f ca="1">DATOSAÑO!AL332</f>
        <v>0</v>
      </c>
      <c r="AD333" s="11">
        <f ca="1">(AC333*DATOSAÑO!$Z$11)/DATOSAÑO!$Y$11</f>
        <v>0</v>
      </c>
      <c r="AE333" s="9">
        <f ca="1">DATOSAÑO!CJ332</f>
        <v>0</v>
      </c>
      <c r="AF333" s="11">
        <f ca="1">(AE333*DATOSAÑO!$Z$11)/DATOSAÑO!$Y$11</f>
        <v>0</v>
      </c>
      <c r="AG333" s="9">
        <f ca="1">DATOSAÑO!CK332</f>
        <v>0</v>
      </c>
      <c r="AH333" s="11">
        <f ca="1">(AG333*DATOSAÑO!$Z$11)/DATOSAÑO!$Y$11</f>
        <v>0</v>
      </c>
      <c r="AI333" s="9">
        <f ca="1">DATOSAÑO!BS332</f>
        <v>0</v>
      </c>
      <c r="AJ333" s="11">
        <f ca="1">(AI333*DATOSAÑO!$Z$11)/DATOSAÑO!$Y$11</f>
        <v>0</v>
      </c>
      <c r="AK333" s="9">
        <f ca="1">DATOSAÑO!BV332</f>
        <v>0</v>
      </c>
      <c r="AL333" s="11">
        <f ca="1">(AK333*DATOSAÑO!$Z$11)/DATOSAÑO!$Y$11</f>
        <v>0</v>
      </c>
      <c r="AM333" s="9">
        <f ca="1">DATOSAÑO!BY332</f>
        <v>0</v>
      </c>
      <c r="AN333" s="11">
        <f ca="1">(AM333*DATOSAÑO!$Z$11)/DATOSAÑO!$Y$11</f>
        <v>0</v>
      </c>
      <c r="AO333" s="9">
        <f ca="1">DATOSAÑO!CF332</f>
        <v>0</v>
      </c>
      <c r="AP333" s="11">
        <f ca="1">(AO333*DATOSAÑO!$Z$11)/DATOSAÑO!$Y$11</f>
        <v>0</v>
      </c>
      <c r="AQ333" s="9">
        <f ca="1">DATOSAÑO!CL332</f>
        <v>0</v>
      </c>
      <c r="AR333" s="1300">
        <f ca="1">(AQ333*DATOSAÑO!$Z$11)/DATOSAÑO!$Y$11</f>
        <v>0</v>
      </c>
      <c r="AS333" s="1334">
        <f t="shared" ref="AS333:AS376" si="17">WEEKNUM(B333,1)</f>
        <v>46</v>
      </c>
    </row>
    <row r="334" spans="1:45" ht="15" thickBot="1">
      <c r="A334" s="1371">
        <v>45249</v>
      </c>
      <c r="B334" s="1021">
        <v>45249</v>
      </c>
      <c r="C334" s="9">
        <f ca="1">DATOSAÑO!I333</f>
        <v>0</v>
      </c>
      <c r="D334" s="10">
        <f ca="1">DATOSAÑO!$D333</f>
        <v>0</v>
      </c>
      <c r="E334" s="11">
        <f ca="1">DATOSAÑO!$G333</f>
        <v>0</v>
      </c>
      <c r="F334" s="9">
        <f ca="1">DATOSAÑO!P333</f>
        <v>0</v>
      </c>
      <c r="G334" s="10">
        <f ca="1">DATOSAÑO!K333</f>
        <v>0</v>
      </c>
      <c r="H334" s="11">
        <f ca="1">DATOSAÑO!N333</f>
        <v>0</v>
      </c>
      <c r="I334" s="9">
        <f ca="1">DATOSAÑO!Q333</f>
        <v>0</v>
      </c>
      <c r="J334" s="11">
        <f ca="1">DATOSAÑO!R333</f>
        <v>0</v>
      </c>
      <c r="K334" s="9">
        <f ca="1">DATOSAÑO!T333</f>
        <v>0</v>
      </c>
      <c r="L334" s="11">
        <f t="shared" ca="1" si="15"/>
        <v>0</v>
      </c>
      <c r="M334" s="9"/>
      <c r="N334" s="11">
        <f t="shared" si="16"/>
        <v>0</v>
      </c>
      <c r="O334" s="9">
        <f>DATOSAÑO!CT333</f>
        <v>0</v>
      </c>
      <c r="P334" s="9">
        <f>DATOSAÑO!CU333</f>
        <v>0</v>
      </c>
      <c r="Q334" s="9">
        <f ca="1">DATOSAÑO!AD333</f>
        <v>0</v>
      </c>
      <c r="R334" s="11">
        <f ca="1">(Q334*DATOSAÑO!$Z$11)/DATOSAÑO!$Y$11</f>
        <v>0</v>
      </c>
      <c r="S334" s="9">
        <f ca="1">DATOSAÑO!AF333</f>
        <v>0</v>
      </c>
      <c r="T334" s="11">
        <f ca="1">(S334*DATOSAÑO!$Z$11)/DATOSAÑO!$Y$11</f>
        <v>0</v>
      </c>
      <c r="U334" s="9">
        <f ca="1">DATOSAÑO!AH333</f>
        <v>0</v>
      </c>
      <c r="V334" s="11">
        <f ca="1">(U334*DATOSAÑO!$Z$11)/DATOSAÑO!$Y$11</f>
        <v>0</v>
      </c>
      <c r="W334" s="9">
        <f ca="1">DATOSAÑO!AI333</f>
        <v>0</v>
      </c>
      <c r="X334" s="11">
        <f ca="1">(W334*DATOSAÑO!$Z$11)/DATOSAÑO!$Y$11</f>
        <v>0</v>
      </c>
      <c r="Y334" s="9">
        <f ca="1">DATOSAÑO!AJ333</f>
        <v>0</v>
      </c>
      <c r="Z334" s="11">
        <f ca="1">(Y334*DATOSAÑO!$Z$11)/DATOSAÑO!$Y$11</f>
        <v>0</v>
      </c>
      <c r="AA334" s="9">
        <f ca="1">DATOSAÑO!AK333</f>
        <v>0</v>
      </c>
      <c r="AB334" s="11">
        <f ca="1">(AA334*DATOSAÑO!$Z$11)/DATOSAÑO!$Y$11</f>
        <v>0</v>
      </c>
      <c r="AC334" s="9">
        <f ca="1">DATOSAÑO!AL333</f>
        <v>0</v>
      </c>
      <c r="AD334" s="11">
        <f ca="1">(AC334*DATOSAÑO!$Z$11)/DATOSAÑO!$Y$11</f>
        <v>0</v>
      </c>
      <c r="AE334" s="9">
        <f ca="1">DATOSAÑO!CJ333</f>
        <v>0</v>
      </c>
      <c r="AF334" s="11">
        <f ca="1">(AE334*DATOSAÑO!$Z$11)/DATOSAÑO!$Y$11</f>
        <v>0</v>
      </c>
      <c r="AG334" s="9">
        <f ca="1">DATOSAÑO!CK333</f>
        <v>0</v>
      </c>
      <c r="AH334" s="11">
        <f ca="1">(AG334*DATOSAÑO!$Z$11)/DATOSAÑO!$Y$11</f>
        <v>0</v>
      </c>
      <c r="AI334" s="9">
        <f ca="1">DATOSAÑO!BS333</f>
        <v>0</v>
      </c>
      <c r="AJ334" s="11">
        <f ca="1">(AI334*DATOSAÑO!$Z$11)/DATOSAÑO!$Y$11</f>
        <v>0</v>
      </c>
      <c r="AK334" s="9">
        <f ca="1">DATOSAÑO!BV333</f>
        <v>0</v>
      </c>
      <c r="AL334" s="11">
        <f ca="1">(AK334*DATOSAÑO!$Z$11)/DATOSAÑO!$Y$11</f>
        <v>0</v>
      </c>
      <c r="AM334" s="9">
        <f ca="1">DATOSAÑO!BY333</f>
        <v>0</v>
      </c>
      <c r="AN334" s="11">
        <f ca="1">(AM334*DATOSAÑO!$Z$11)/DATOSAÑO!$Y$11</f>
        <v>0</v>
      </c>
      <c r="AO334" s="9">
        <f ca="1">DATOSAÑO!CF333</f>
        <v>0</v>
      </c>
      <c r="AP334" s="11">
        <f ca="1">(AO334*DATOSAÑO!$Z$11)/DATOSAÑO!$Y$11</f>
        <v>0</v>
      </c>
      <c r="AQ334" s="9">
        <f ca="1">DATOSAÑO!CL333</f>
        <v>0</v>
      </c>
      <c r="AR334" s="1300">
        <f ca="1">(AQ334*DATOSAÑO!$Z$11)/DATOSAÑO!$Y$11</f>
        <v>0</v>
      </c>
      <c r="AS334" s="1334">
        <f t="shared" si="17"/>
        <v>47</v>
      </c>
    </row>
    <row r="335" spans="1:45" ht="15" thickBot="1">
      <c r="A335" s="1371">
        <v>45250</v>
      </c>
      <c r="B335" s="1021">
        <v>45250</v>
      </c>
      <c r="C335" s="9">
        <f ca="1">DATOSAÑO!I334</f>
        <v>0</v>
      </c>
      <c r="D335" s="10">
        <f ca="1">DATOSAÑO!$D334</f>
        <v>0</v>
      </c>
      <c r="E335" s="11">
        <f ca="1">DATOSAÑO!$G334</f>
        <v>0</v>
      </c>
      <c r="F335" s="9">
        <f ca="1">DATOSAÑO!P334</f>
        <v>0</v>
      </c>
      <c r="G335" s="10">
        <f ca="1">DATOSAÑO!K334</f>
        <v>0</v>
      </c>
      <c r="H335" s="11">
        <f ca="1">DATOSAÑO!N334</f>
        <v>0</v>
      </c>
      <c r="I335" s="9">
        <f ca="1">DATOSAÑO!Q334</f>
        <v>0</v>
      </c>
      <c r="J335" s="11">
        <f ca="1">DATOSAÑO!R334</f>
        <v>0</v>
      </c>
      <c r="K335" s="9">
        <f ca="1">DATOSAÑO!T334</f>
        <v>0</v>
      </c>
      <c r="L335" s="11">
        <f t="shared" ca="1" si="15"/>
        <v>0</v>
      </c>
      <c r="M335" s="9"/>
      <c r="N335" s="11">
        <f t="shared" si="16"/>
        <v>0</v>
      </c>
      <c r="O335" s="9">
        <f>DATOSAÑO!CT334</f>
        <v>0</v>
      </c>
      <c r="P335" s="9">
        <f>DATOSAÑO!CU334</f>
        <v>0</v>
      </c>
      <c r="Q335" s="9">
        <f ca="1">DATOSAÑO!AD334</f>
        <v>0</v>
      </c>
      <c r="R335" s="11">
        <f ca="1">(Q335*DATOSAÑO!$Z$11)/DATOSAÑO!$Y$11</f>
        <v>0</v>
      </c>
      <c r="S335" s="9">
        <f ca="1">DATOSAÑO!AF334</f>
        <v>0</v>
      </c>
      <c r="T335" s="11">
        <f ca="1">(S335*DATOSAÑO!$Z$11)/DATOSAÑO!$Y$11</f>
        <v>0</v>
      </c>
      <c r="U335" s="9">
        <f ca="1">DATOSAÑO!AH334</f>
        <v>0</v>
      </c>
      <c r="V335" s="11">
        <f ca="1">(U335*DATOSAÑO!$Z$11)/DATOSAÑO!$Y$11</f>
        <v>0</v>
      </c>
      <c r="W335" s="9">
        <f ca="1">DATOSAÑO!AI334</f>
        <v>0</v>
      </c>
      <c r="X335" s="11">
        <f ca="1">(W335*DATOSAÑO!$Z$11)/DATOSAÑO!$Y$11</f>
        <v>0</v>
      </c>
      <c r="Y335" s="9">
        <f ca="1">DATOSAÑO!AJ334</f>
        <v>0</v>
      </c>
      <c r="Z335" s="11">
        <f ca="1">(Y335*DATOSAÑO!$Z$11)/DATOSAÑO!$Y$11</f>
        <v>0</v>
      </c>
      <c r="AA335" s="9">
        <f ca="1">DATOSAÑO!AK334</f>
        <v>0</v>
      </c>
      <c r="AB335" s="11">
        <f ca="1">(AA335*DATOSAÑO!$Z$11)/DATOSAÑO!$Y$11</f>
        <v>0</v>
      </c>
      <c r="AC335" s="9">
        <f ca="1">DATOSAÑO!AL334</f>
        <v>0</v>
      </c>
      <c r="AD335" s="11">
        <f ca="1">(AC335*DATOSAÑO!$Z$11)/DATOSAÑO!$Y$11</f>
        <v>0</v>
      </c>
      <c r="AE335" s="9">
        <f ca="1">DATOSAÑO!CJ334</f>
        <v>0</v>
      </c>
      <c r="AF335" s="11">
        <f ca="1">(AE335*DATOSAÑO!$Z$11)/DATOSAÑO!$Y$11</f>
        <v>0</v>
      </c>
      <c r="AG335" s="9">
        <f ca="1">DATOSAÑO!CK334</f>
        <v>0</v>
      </c>
      <c r="AH335" s="11">
        <f ca="1">(AG335*DATOSAÑO!$Z$11)/DATOSAÑO!$Y$11</f>
        <v>0</v>
      </c>
      <c r="AI335" s="9">
        <f ca="1">DATOSAÑO!BS334</f>
        <v>0</v>
      </c>
      <c r="AJ335" s="11">
        <f ca="1">(AI335*DATOSAÑO!$Z$11)/DATOSAÑO!$Y$11</f>
        <v>0</v>
      </c>
      <c r="AK335" s="9">
        <f ca="1">DATOSAÑO!BV334</f>
        <v>0</v>
      </c>
      <c r="AL335" s="11">
        <f ca="1">(AK335*DATOSAÑO!$Z$11)/DATOSAÑO!$Y$11</f>
        <v>0</v>
      </c>
      <c r="AM335" s="9">
        <f ca="1">DATOSAÑO!BY334</f>
        <v>0</v>
      </c>
      <c r="AN335" s="11">
        <f ca="1">(AM335*DATOSAÑO!$Z$11)/DATOSAÑO!$Y$11</f>
        <v>0</v>
      </c>
      <c r="AO335" s="9">
        <f ca="1">DATOSAÑO!CF334</f>
        <v>0</v>
      </c>
      <c r="AP335" s="11">
        <f ca="1">(AO335*DATOSAÑO!$Z$11)/DATOSAÑO!$Y$11</f>
        <v>0</v>
      </c>
      <c r="AQ335" s="9">
        <f ca="1">DATOSAÑO!CL334</f>
        <v>0</v>
      </c>
      <c r="AR335" s="1300">
        <f ca="1">(AQ335*DATOSAÑO!$Z$11)/DATOSAÑO!$Y$11</f>
        <v>0</v>
      </c>
      <c r="AS335" s="1334">
        <f t="shared" si="17"/>
        <v>47</v>
      </c>
    </row>
    <row r="336" spans="1:45" ht="15" thickBot="1">
      <c r="A336" s="1371">
        <v>45251</v>
      </c>
      <c r="B336" s="1021">
        <v>45251</v>
      </c>
      <c r="C336" s="9">
        <f ca="1">DATOSAÑO!I335</f>
        <v>0</v>
      </c>
      <c r="D336" s="10">
        <f ca="1">DATOSAÑO!$D335</f>
        <v>0</v>
      </c>
      <c r="E336" s="11">
        <f ca="1">DATOSAÑO!$G335</f>
        <v>0</v>
      </c>
      <c r="F336" s="9">
        <f ca="1">DATOSAÑO!P335</f>
        <v>0</v>
      </c>
      <c r="G336" s="10">
        <f ca="1">DATOSAÑO!K335</f>
        <v>0</v>
      </c>
      <c r="H336" s="11">
        <f ca="1">DATOSAÑO!N335</f>
        <v>0</v>
      </c>
      <c r="I336" s="9">
        <f ca="1">DATOSAÑO!Q335</f>
        <v>0</v>
      </c>
      <c r="J336" s="11">
        <f ca="1">DATOSAÑO!R335</f>
        <v>0</v>
      </c>
      <c r="K336" s="9">
        <f ca="1">DATOSAÑO!T335</f>
        <v>0</v>
      </c>
      <c r="L336" s="11">
        <f t="shared" ca="1" si="15"/>
        <v>0</v>
      </c>
      <c r="M336" s="9"/>
      <c r="N336" s="11">
        <f t="shared" si="16"/>
        <v>0</v>
      </c>
      <c r="O336" s="9">
        <f>DATOSAÑO!CT335</f>
        <v>0</v>
      </c>
      <c r="P336" s="9">
        <f>DATOSAÑO!CU335</f>
        <v>0</v>
      </c>
      <c r="Q336" s="9">
        <f ca="1">DATOSAÑO!AD335</f>
        <v>0</v>
      </c>
      <c r="R336" s="11">
        <f ca="1">(Q336*DATOSAÑO!$Z$11)/DATOSAÑO!$Y$11</f>
        <v>0</v>
      </c>
      <c r="S336" s="9">
        <f ca="1">DATOSAÑO!AF335</f>
        <v>0</v>
      </c>
      <c r="T336" s="11">
        <f ca="1">(S336*DATOSAÑO!$Z$11)/DATOSAÑO!$Y$11</f>
        <v>0</v>
      </c>
      <c r="U336" s="9">
        <f ca="1">DATOSAÑO!AH335</f>
        <v>0</v>
      </c>
      <c r="V336" s="11">
        <f ca="1">(U336*DATOSAÑO!$Z$11)/DATOSAÑO!$Y$11</f>
        <v>0</v>
      </c>
      <c r="W336" s="9">
        <f ca="1">DATOSAÑO!AI335</f>
        <v>0</v>
      </c>
      <c r="X336" s="11">
        <f ca="1">(W336*DATOSAÑO!$Z$11)/DATOSAÑO!$Y$11</f>
        <v>0</v>
      </c>
      <c r="Y336" s="9">
        <f ca="1">DATOSAÑO!AJ335</f>
        <v>0</v>
      </c>
      <c r="Z336" s="11">
        <f ca="1">(Y336*DATOSAÑO!$Z$11)/DATOSAÑO!$Y$11</f>
        <v>0</v>
      </c>
      <c r="AA336" s="9">
        <f ca="1">DATOSAÑO!AK335</f>
        <v>0</v>
      </c>
      <c r="AB336" s="11">
        <f ca="1">(AA336*DATOSAÑO!$Z$11)/DATOSAÑO!$Y$11</f>
        <v>0</v>
      </c>
      <c r="AC336" s="9">
        <f ca="1">DATOSAÑO!AL335</f>
        <v>0</v>
      </c>
      <c r="AD336" s="11">
        <f ca="1">(AC336*DATOSAÑO!$Z$11)/DATOSAÑO!$Y$11</f>
        <v>0</v>
      </c>
      <c r="AE336" s="9">
        <f ca="1">DATOSAÑO!CJ335</f>
        <v>0</v>
      </c>
      <c r="AF336" s="11">
        <f ca="1">(AE336*DATOSAÑO!$Z$11)/DATOSAÑO!$Y$11</f>
        <v>0</v>
      </c>
      <c r="AG336" s="9">
        <f ca="1">DATOSAÑO!CK335</f>
        <v>0</v>
      </c>
      <c r="AH336" s="11">
        <f ca="1">(AG336*DATOSAÑO!$Z$11)/DATOSAÑO!$Y$11</f>
        <v>0</v>
      </c>
      <c r="AI336" s="9">
        <f ca="1">DATOSAÑO!BS335</f>
        <v>0</v>
      </c>
      <c r="AJ336" s="11">
        <f ca="1">(AI336*DATOSAÑO!$Z$11)/DATOSAÑO!$Y$11</f>
        <v>0</v>
      </c>
      <c r="AK336" s="9">
        <f ca="1">DATOSAÑO!BV335</f>
        <v>0</v>
      </c>
      <c r="AL336" s="11">
        <f ca="1">(AK336*DATOSAÑO!$Z$11)/DATOSAÑO!$Y$11</f>
        <v>0</v>
      </c>
      <c r="AM336" s="9">
        <f ca="1">DATOSAÑO!BY335</f>
        <v>0</v>
      </c>
      <c r="AN336" s="11">
        <f ca="1">(AM336*DATOSAÑO!$Z$11)/DATOSAÑO!$Y$11</f>
        <v>0</v>
      </c>
      <c r="AO336" s="9">
        <f ca="1">DATOSAÑO!CF335</f>
        <v>0</v>
      </c>
      <c r="AP336" s="11">
        <f ca="1">(AO336*DATOSAÑO!$Z$11)/DATOSAÑO!$Y$11</f>
        <v>0</v>
      </c>
      <c r="AQ336" s="9">
        <f ca="1">DATOSAÑO!CL335</f>
        <v>0</v>
      </c>
      <c r="AR336" s="1300">
        <f ca="1">(AQ336*DATOSAÑO!$Z$11)/DATOSAÑO!$Y$11</f>
        <v>0</v>
      </c>
      <c r="AS336" s="1334">
        <f t="shared" si="17"/>
        <v>47</v>
      </c>
    </row>
    <row r="337" spans="1:45" ht="15" thickBot="1">
      <c r="A337" s="1371">
        <v>45252</v>
      </c>
      <c r="B337" s="1021">
        <v>45252</v>
      </c>
      <c r="C337" s="9">
        <f ca="1">DATOSAÑO!I336</f>
        <v>0</v>
      </c>
      <c r="D337" s="10">
        <f ca="1">DATOSAÑO!$D336</f>
        <v>0</v>
      </c>
      <c r="E337" s="11">
        <f ca="1">DATOSAÑO!$G336</f>
        <v>0</v>
      </c>
      <c r="F337" s="9">
        <f ca="1">DATOSAÑO!P336</f>
        <v>0</v>
      </c>
      <c r="G337" s="10">
        <f ca="1">DATOSAÑO!K336</f>
        <v>0</v>
      </c>
      <c r="H337" s="11">
        <f ca="1">DATOSAÑO!N336</f>
        <v>0</v>
      </c>
      <c r="I337" s="9">
        <f ca="1">DATOSAÑO!Q336</f>
        <v>0</v>
      </c>
      <c r="J337" s="11">
        <f ca="1">DATOSAÑO!R336</f>
        <v>0</v>
      </c>
      <c r="K337" s="9">
        <f ca="1">DATOSAÑO!T336</f>
        <v>0</v>
      </c>
      <c r="L337" s="11">
        <f t="shared" ca="1" si="15"/>
        <v>0</v>
      </c>
      <c r="M337" s="9"/>
      <c r="N337" s="11">
        <f t="shared" si="16"/>
        <v>0</v>
      </c>
      <c r="O337" s="9">
        <f>DATOSAÑO!CT336</f>
        <v>0</v>
      </c>
      <c r="P337" s="9">
        <f>DATOSAÑO!CU336</f>
        <v>0</v>
      </c>
      <c r="Q337" s="9">
        <f ca="1">DATOSAÑO!AD336</f>
        <v>0</v>
      </c>
      <c r="R337" s="11">
        <f ca="1">(Q337*DATOSAÑO!$Z$11)/DATOSAÑO!$Y$11</f>
        <v>0</v>
      </c>
      <c r="S337" s="9">
        <f ca="1">DATOSAÑO!AF336</f>
        <v>0</v>
      </c>
      <c r="T337" s="11">
        <f ca="1">(S337*DATOSAÑO!$Z$11)/DATOSAÑO!$Y$11</f>
        <v>0</v>
      </c>
      <c r="U337" s="9">
        <f ca="1">DATOSAÑO!AH336</f>
        <v>0</v>
      </c>
      <c r="V337" s="11">
        <f ca="1">(U337*DATOSAÑO!$Z$11)/DATOSAÑO!$Y$11</f>
        <v>0</v>
      </c>
      <c r="W337" s="9">
        <f ca="1">DATOSAÑO!AI336</f>
        <v>0</v>
      </c>
      <c r="X337" s="11">
        <f ca="1">(W337*DATOSAÑO!$Z$11)/DATOSAÑO!$Y$11</f>
        <v>0</v>
      </c>
      <c r="Y337" s="9">
        <f ca="1">DATOSAÑO!AJ336</f>
        <v>0</v>
      </c>
      <c r="Z337" s="11">
        <f ca="1">(Y337*DATOSAÑO!$Z$11)/DATOSAÑO!$Y$11</f>
        <v>0</v>
      </c>
      <c r="AA337" s="9">
        <f ca="1">DATOSAÑO!AK336</f>
        <v>0</v>
      </c>
      <c r="AB337" s="11">
        <f ca="1">(AA337*DATOSAÑO!$Z$11)/DATOSAÑO!$Y$11</f>
        <v>0</v>
      </c>
      <c r="AC337" s="9">
        <f ca="1">DATOSAÑO!AL336</f>
        <v>0</v>
      </c>
      <c r="AD337" s="11">
        <f ca="1">(AC337*DATOSAÑO!$Z$11)/DATOSAÑO!$Y$11</f>
        <v>0</v>
      </c>
      <c r="AE337" s="9">
        <f ca="1">DATOSAÑO!CJ336</f>
        <v>0</v>
      </c>
      <c r="AF337" s="11">
        <f ca="1">(AE337*DATOSAÑO!$Z$11)/DATOSAÑO!$Y$11</f>
        <v>0</v>
      </c>
      <c r="AG337" s="9">
        <f ca="1">DATOSAÑO!CK336</f>
        <v>0</v>
      </c>
      <c r="AH337" s="11">
        <f ca="1">(AG337*DATOSAÑO!$Z$11)/DATOSAÑO!$Y$11</f>
        <v>0</v>
      </c>
      <c r="AI337" s="9">
        <f ca="1">DATOSAÑO!BS336</f>
        <v>0</v>
      </c>
      <c r="AJ337" s="11">
        <f ca="1">(AI337*DATOSAÑO!$Z$11)/DATOSAÑO!$Y$11</f>
        <v>0</v>
      </c>
      <c r="AK337" s="9">
        <f ca="1">DATOSAÑO!BV336</f>
        <v>0</v>
      </c>
      <c r="AL337" s="11">
        <f ca="1">(AK337*DATOSAÑO!$Z$11)/DATOSAÑO!$Y$11</f>
        <v>0</v>
      </c>
      <c r="AM337" s="9">
        <f ca="1">DATOSAÑO!BY336</f>
        <v>0</v>
      </c>
      <c r="AN337" s="11">
        <f ca="1">(AM337*DATOSAÑO!$Z$11)/DATOSAÑO!$Y$11</f>
        <v>0</v>
      </c>
      <c r="AO337" s="9">
        <f ca="1">DATOSAÑO!CF336</f>
        <v>0</v>
      </c>
      <c r="AP337" s="11">
        <f ca="1">(AO337*DATOSAÑO!$Z$11)/DATOSAÑO!$Y$11</f>
        <v>0</v>
      </c>
      <c r="AQ337" s="9">
        <f ca="1">DATOSAÑO!CL336</f>
        <v>0</v>
      </c>
      <c r="AR337" s="1300">
        <f ca="1">(AQ337*DATOSAÑO!$Z$11)/DATOSAÑO!$Y$11</f>
        <v>0</v>
      </c>
      <c r="AS337" s="1334">
        <f t="shared" si="17"/>
        <v>47</v>
      </c>
    </row>
    <row r="338" spans="1:45" ht="15" thickBot="1">
      <c r="A338" s="1371">
        <v>45253</v>
      </c>
      <c r="B338" s="1021">
        <v>45253</v>
      </c>
      <c r="C338" s="9">
        <f ca="1">DATOSAÑO!I337</f>
        <v>0</v>
      </c>
      <c r="D338" s="10">
        <f ca="1">DATOSAÑO!$D337</f>
        <v>0</v>
      </c>
      <c r="E338" s="11">
        <f ca="1">DATOSAÑO!$G337</f>
        <v>0</v>
      </c>
      <c r="F338" s="9">
        <f ca="1">DATOSAÑO!P337</f>
        <v>0</v>
      </c>
      <c r="G338" s="10">
        <f ca="1">DATOSAÑO!K337</f>
        <v>0</v>
      </c>
      <c r="H338" s="11">
        <f ca="1">DATOSAÑO!N337</f>
        <v>0</v>
      </c>
      <c r="I338" s="9">
        <f ca="1">DATOSAÑO!Q337</f>
        <v>0</v>
      </c>
      <c r="J338" s="11">
        <f ca="1">DATOSAÑO!R337</f>
        <v>0</v>
      </c>
      <c r="K338" s="9">
        <f ca="1">DATOSAÑO!T337</f>
        <v>0</v>
      </c>
      <c r="L338" s="11">
        <f t="shared" ca="1" si="15"/>
        <v>0</v>
      </c>
      <c r="M338" s="9"/>
      <c r="N338" s="11">
        <f t="shared" si="16"/>
        <v>0</v>
      </c>
      <c r="O338" s="9">
        <f>DATOSAÑO!CT337</f>
        <v>0</v>
      </c>
      <c r="P338" s="9">
        <f>DATOSAÑO!CU337</f>
        <v>0</v>
      </c>
      <c r="Q338" s="9">
        <f ca="1">DATOSAÑO!AD337</f>
        <v>0</v>
      </c>
      <c r="R338" s="11">
        <f ca="1">(Q338*DATOSAÑO!$Z$11)/DATOSAÑO!$Y$11</f>
        <v>0</v>
      </c>
      <c r="S338" s="9">
        <f ca="1">DATOSAÑO!AF337</f>
        <v>0</v>
      </c>
      <c r="T338" s="11">
        <f ca="1">(S338*DATOSAÑO!$Z$11)/DATOSAÑO!$Y$11</f>
        <v>0</v>
      </c>
      <c r="U338" s="9">
        <f ca="1">DATOSAÑO!AH337</f>
        <v>0</v>
      </c>
      <c r="V338" s="11">
        <f ca="1">(U338*DATOSAÑO!$Z$11)/DATOSAÑO!$Y$11</f>
        <v>0</v>
      </c>
      <c r="W338" s="9">
        <f ca="1">DATOSAÑO!AI337</f>
        <v>0</v>
      </c>
      <c r="X338" s="11">
        <f ca="1">(W338*DATOSAÑO!$Z$11)/DATOSAÑO!$Y$11</f>
        <v>0</v>
      </c>
      <c r="Y338" s="9">
        <f ca="1">DATOSAÑO!AJ337</f>
        <v>0</v>
      </c>
      <c r="Z338" s="11">
        <f ca="1">(Y338*DATOSAÑO!$Z$11)/DATOSAÑO!$Y$11</f>
        <v>0</v>
      </c>
      <c r="AA338" s="9">
        <f ca="1">DATOSAÑO!AK337</f>
        <v>0</v>
      </c>
      <c r="AB338" s="11">
        <f ca="1">(AA338*DATOSAÑO!$Z$11)/DATOSAÑO!$Y$11</f>
        <v>0</v>
      </c>
      <c r="AC338" s="9">
        <f ca="1">DATOSAÑO!AL337</f>
        <v>0</v>
      </c>
      <c r="AD338" s="11">
        <f ca="1">(AC338*DATOSAÑO!$Z$11)/DATOSAÑO!$Y$11</f>
        <v>0</v>
      </c>
      <c r="AE338" s="9">
        <f ca="1">DATOSAÑO!CJ337</f>
        <v>0</v>
      </c>
      <c r="AF338" s="11">
        <f ca="1">(AE338*DATOSAÑO!$Z$11)/DATOSAÑO!$Y$11</f>
        <v>0</v>
      </c>
      <c r="AG338" s="9">
        <f ca="1">DATOSAÑO!CK337</f>
        <v>0</v>
      </c>
      <c r="AH338" s="11">
        <f ca="1">(AG338*DATOSAÑO!$Z$11)/DATOSAÑO!$Y$11</f>
        <v>0</v>
      </c>
      <c r="AI338" s="9">
        <f ca="1">DATOSAÑO!BS337</f>
        <v>0</v>
      </c>
      <c r="AJ338" s="11">
        <f ca="1">(AI338*DATOSAÑO!$Z$11)/DATOSAÑO!$Y$11</f>
        <v>0</v>
      </c>
      <c r="AK338" s="9">
        <f ca="1">DATOSAÑO!BV337</f>
        <v>0</v>
      </c>
      <c r="AL338" s="11">
        <f ca="1">(AK338*DATOSAÑO!$Z$11)/DATOSAÑO!$Y$11</f>
        <v>0</v>
      </c>
      <c r="AM338" s="9">
        <f ca="1">DATOSAÑO!BY337</f>
        <v>0</v>
      </c>
      <c r="AN338" s="11">
        <f ca="1">(AM338*DATOSAÑO!$Z$11)/DATOSAÑO!$Y$11</f>
        <v>0</v>
      </c>
      <c r="AO338" s="9">
        <f ca="1">DATOSAÑO!CF337</f>
        <v>0</v>
      </c>
      <c r="AP338" s="11">
        <f ca="1">(AO338*DATOSAÑO!$Z$11)/DATOSAÑO!$Y$11</f>
        <v>0</v>
      </c>
      <c r="AQ338" s="9">
        <f ca="1">DATOSAÑO!CL337</f>
        <v>0</v>
      </c>
      <c r="AR338" s="1300">
        <f ca="1">(AQ338*DATOSAÑO!$Z$11)/DATOSAÑO!$Y$11</f>
        <v>0</v>
      </c>
      <c r="AS338" s="1334">
        <f t="shared" si="17"/>
        <v>47</v>
      </c>
    </row>
    <row r="339" spans="1:45" ht="15" thickBot="1">
      <c r="A339" s="1371">
        <v>45254</v>
      </c>
      <c r="B339" s="1021">
        <v>45254</v>
      </c>
      <c r="C339" s="9">
        <f ca="1">DATOSAÑO!I338</f>
        <v>0</v>
      </c>
      <c r="D339" s="10">
        <f ca="1">DATOSAÑO!$D338</f>
        <v>0</v>
      </c>
      <c r="E339" s="11">
        <f ca="1">DATOSAÑO!$G338</f>
        <v>0</v>
      </c>
      <c r="F339" s="9">
        <f ca="1">DATOSAÑO!P338</f>
        <v>0</v>
      </c>
      <c r="G339" s="10">
        <f ca="1">DATOSAÑO!K338</f>
        <v>0</v>
      </c>
      <c r="H339" s="11">
        <f ca="1">DATOSAÑO!N338</f>
        <v>0</v>
      </c>
      <c r="I339" s="9">
        <f ca="1">DATOSAÑO!Q338</f>
        <v>0</v>
      </c>
      <c r="J339" s="11">
        <f ca="1">DATOSAÑO!R338</f>
        <v>0</v>
      </c>
      <c r="K339" s="9">
        <f ca="1">DATOSAÑO!T338</f>
        <v>0</v>
      </c>
      <c r="L339" s="11">
        <f t="shared" ca="1" si="15"/>
        <v>0</v>
      </c>
      <c r="M339" s="9"/>
      <c r="N339" s="11">
        <f t="shared" si="16"/>
        <v>0</v>
      </c>
      <c r="O339" s="9">
        <f>DATOSAÑO!CT338</f>
        <v>0</v>
      </c>
      <c r="P339" s="9">
        <f>DATOSAÑO!CU338</f>
        <v>0</v>
      </c>
      <c r="Q339" s="9">
        <f ca="1">DATOSAÑO!AD338</f>
        <v>0</v>
      </c>
      <c r="R339" s="11">
        <f ca="1">(Q339*DATOSAÑO!$Z$11)/DATOSAÑO!$Y$11</f>
        <v>0</v>
      </c>
      <c r="S339" s="9">
        <f ca="1">DATOSAÑO!AF338</f>
        <v>0</v>
      </c>
      <c r="T339" s="11">
        <f ca="1">(S339*DATOSAÑO!$Z$11)/DATOSAÑO!$Y$11</f>
        <v>0</v>
      </c>
      <c r="U339" s="9">
        <f ca="1">DATOSAÑO!AH338</f>
        <v>0</v>
      </c>
      <c r="V339" s="11">
        <f ca="1">(U339*DATOSAÑO!$Z$11)/DATOSAÑO!$Y$11</f>
        <v>0</v>
      </c>
      <c r="W339" s="9">
        <f ca="1">DATOSAÑO!AI338</f>
        <v>0</v>
      </c>
      <c r="X339" s="11">
        <f ca="1">(W339*DATOSAÑO!$Z$11)/DATOSAÑO!$Y$11</f>
        <v>0</v>
      </c>
      <c r="Y339" s="9">
        <f ca="1">DATOSAÑO!AJ338</f>
        <v>0</v>
      </c>
      <c r="Z339" s="11">
        <f ca="1">(Y339*DATOSAÑO!$Z$11)/DATOSAÑO!$Y$11</f>
        <v>0</v>
      </c>
      <c r="AA339" s="9">
        <f ca="1">DATOSAÑO!AK338</f>
        <v>0</v>
      </c>
      <c r="AB339" s="11">
        <f ca="1">(AA339*DATOSAÑO!$Z$11)/DATOSAÑO!$Y$11</f>
        <v>0</v>
      </c>
      <c r="AC339" s="9">
        <f ca="1">DATOSAÑO!AL338</f>
        <v>0</v>
      </c>
      <c r="AD339" s="11">
        <f ca="1">(AC339*DATOSAÑO!$Z$11)/DATOSAÑO!$Y$11</f>
        <v>0</v>
      </c>
      <c r="AE339" s="9">
        <f ca="1">DATOSAÑO!CJ338</f>
        <v>0</v>
      </c>
      <c r="AF339" s="11">
        <f ca="1">(AE339*DATOSAÑO!$Z$11)/DATOSAÑO!$Y$11</f>
        <v>0</v>
      </c>
      <c r="AG339" s="9">
        <f ca="1">DATOSAÑO!CK338</f>
        <v>0</v>
      </c>
      <c r="AH339" s="11">
        <f ca="1">(AG339*DATOSAÑO!$Z$11)/DATOSAÑO!$Y$11</f>
        <v>0</v>
      </c>
      <c r="AI339" s="9">
        <f ca="1">DATOSAÑO!BS338</f>
        <v>0</v>
      </c>
      <c r="AJ339" s="11">
        <f ca="1">(AI339*DATOSAÑO!$Z$11)/DATOSAÑO!$Y$11</f>
        <v>0</v>
      </c>
      <c r="AK339" s="9">
        <f ca="1">DATOSAÑO!BV338</f>
        <v>0</v>
      </c>
      <c r="AL339" s="11">
        <f ca="1">(AK339*DATOSAÑO!$Z$11)/DATOSAÑO!$Y$11</f>
        <v>0</v>
      </c>
      <c r="AM339" s="9">
        <f ca="1">DATOSAÑO!BY338</f>
        <v>0</v>
      </c>
      <c r="AN339" s="11">
        <f ca="1">(AM339*DATOSAÑO!$Z$11)/DATOSAÑO!$Y$11</f>
        <v>0</v>
      </c>
      <c r="AO339" s="9">
        <f ca="1">DATOSAÑO!CF338</f>
        <v>0</v>
      </c>
      <c r="AP339" s="11">
        <f ca="1">(AO339*DATOSAÑO!$Z$11)/DATOSAÑO!$Y$11</f>
        <v>0</v>
      </c>
      <c r="AQ339" s="9">
        <f ca="1">DATOSAÑO!CL338</f>
        <v>0</v>
      </c>
      <c r="AR339" s="1300">
        <f ca="1">(AQ339*DATOSAÑO!$Z$11)/DATOSAÑO!$Y$11</f>
        <v>0</v>
      </c>
      <c r="AS339" s="1334">
        <f t="shared" si="17"/>
        <v>47</v>
      </c>
    </row>
    <row r="340" spans="1:45" ht="15" thickBot="1">
      <c r="A340" s="1371">
        <v>45255</v>
      </c>
      <c r="B340" s="1021">
        <v>45255</v>
      </c>
      <c r="C340" s="9">
        <f ca="1">DATOSAÑO!I339</f>
        <v>0</v>
      </c>
      <c r="D340" s="10">
        <f ca="1">DATOSAÑO!$D339</f>
        <v>0</v>
      </c>
      <c r="E340" s="11">
        <f ca="1">DATOSAÑO!$G339</f>
        <v>0</v>
      </c>
      <c r="F340" s="9">
        <f ca="1">DATOSAÑO!P339</f>
        <v>0</v>
      </c>
      <c r="G340" s="10">
        <f ca="1">DATOSAÑO!K339</f>
        <v>0</v>
      </c>
      <c r="H340" s="11">
        <f ca="1">DATOSAÑO!N339</f>
        <v>0</v>
      </c>
      <c r="I340" s="9">
        <f ca="1">DATOSAÑO!Q339</f>
        <v>0</v>
      </c>
      <c r="J340" s="11">
        <f ca="1">DATOSAÑO!R339</f>
        <v>0</v>
      </c>
      <c r="K340" s="9">
        <f ca="1">DATOSAÑO!T339</f>
        <v>0</v>
      </c>
      <c r="L340" s="11">
        <f t="shared" ca="1" si="15"/>
        <v>0</v>
      </c>
      <c r="M340" s="9"/>
      <c r="N340" s="11">
        <f t="shared" si="16"/>
        <v>0</v>
      </c>
      <c r="O340" s="9">
        <f>DATOSAÑO!CT339</f>
        <v>0</v>
      </c>
      <c r="P340" s="9">
        <f>DATOSAÑO!CU339</f>
        <v>0</v>
      </c>
      <c r="Q340" s="9">
        <f ca="1">DATOSAÑO!AD339</f>
        <v>0</v>
      </c>
      <c r="R340" s="11">
        <f ca="1">(Q340*DATOSAÑO!$Z$11)/DATOSAÑO!$Y$11</f>
        <v>0</v>
      </c>
      <c r="S340" s="9">
        <f ca="1">DATOSAÑO!AF339</f>
        <v>0</v>
      </c>
      <c r="T340" s="11">
        <f ca="1">(S340*DATOSAÑO!$Z$11)/DATOSAÑO!$Y$11</f>
        <v>0</v>
      </c>
      <c r="U340" s="9">
        <f ca="1">DATOSAÑO!AH339</f>
        <v>0</v>
      </c>
      <c r="V340" s="11">
        <f ca="1">(U340*DATOSAÑO!$Z$11)/DATOSAÑO!$Y$11</f>
        <v>0</v>
      </c>
      <c r="W340" s="9">
        <f ca="1">DATOSAÑO!AI339</f>
        <v>0</v>
      </c>
      <c r="X340" s="11">
        <f ca="1">(W340*DATOSAÑO!$Z$11)/DATOSAÑO!$Y$11</f>
        <v>0</v>
      </c>
      <c r="Y340" s="9">
        <f ca="1">DATOSAÑO!AJ339</f>
        <v>0</v>
      </c>
      <c r="Z340" s="11">
        <f ca="1">(Y340*DATOSAÑO!$Z$11)/DATOSAÑO!$Y$11</f>
        <v>0</v>
      </c>
      <c r="AA340" s="9">
        <f ca="1">DATOSAÑO!AK339</f>
        <v>0</v>
      </c>
      <c r="AB340" s="11">
        <f ca="1">(AA340*DATOSAÑO!$Z$11)/DATOSAÑO!$Y$11</f>
        <v>0</v>
      </c>
      <c r="AC340" s="9">
        <f ca="1">DATOSAÑO!AL339</f>
        <v>0</v>
      </c>
      <c r="AD340" s="11">
        <f ca="1">(AC340*DATOSAÑO!$Z$11)/DATOSAÑO!$Y$11</f>
        <v>0</v>
      </c>
      <c r="AE340" s="9">
        <f ca="1">DATOSAÑO!CJ339</f>
        <v>0</v>
      </c>
      <c r="AF340" s="11">
        <f ca="1">(AE340*DATOSAÑO!$Z$11)/DATOSAÑO!$Y$11</f>
        <v>0</v>
      </c>
      <c r="AG340" s="9">
        <f ca="1">DATOSAÑO!CK339</f>
        <v>0</v>
      </c>
      <c r="AH340" s="11">
        <f ca="1">(AG340*DATOSAÑO!$Z$11)/DATOSAÑO!$Y$11</f>
        <v>0</v>
      </c>
      <c r="AI340" s="9">
        <f ca="1">DATOSAÑO!BS339</f>
        <v>0</v>
      </c>
      <c r="AJ340" s="11">
        <f ca="1">(AI340*DATOSAÑO!$Z$11)/DATOSAÑO!$Y$11</f>
        <v>0</v>
      </c>
      <c r="AK340" s="9">
        <f ca="1">DATOSAÑO!BV339</f>
        <v>0</v>
      </c>
      <c r="AL340" s="11">
        <f ca="1">(AK340*DATOSAÑO!$Z$11)/DATOSAÑO!$Y$11</f>
        <v>0</v>
      </c>
      <c r="AM340" s="9">
        <f ca="1">DATOSAÑO!BY339</f>
        <v>0</v>
      </c>
      <c r="AN340" s="11">
        <f ca="1">(AM340*DATOSAÑO!$Z$11)/DATOSAÑO!$Y$11</f>
        <v>0</v>
      </c>
      <c r="AO340" s="9">
        <f ca="1">DATOSAÑO!CF339</f>
        <v>0</v>
      </c>
      <c r="AP340" s="11">
        <f ca="1">(AO340*DATOSAÑO!$Z$11)/DATOSAÑO!$Y$11</f>
        <v>0</v>
      </c>
      <c r="AQ340" s="9">
        <f ca="1">DATOSAÑO!CL339</f>
        <v>0</v>
      </c>
      <c r="AR340" s="1300">
        <f ca="1">(AQ340*DATOSAÑO!$Z$11)/DATOSAÑO!$Y$11</f>
        <v>0</v>
      </c>
      <c r="AS340" s="1334">
        <f t="shared" si="17"/>
        <v>47</v>
      </c>
    </row>
    <row r="341" spans="1:45" ht="15" thickBot="1">
      <c r="A341" s="1371">
        <v>45256</v>
      </c>
      <c r="B341" s="1021">
        <v>45256</v>
      </c>
      <c r="C341" s="9">
        <f ca="1">DATOSAÑO!I340</f>
        <v>0</v>
      </c>
      <c r="D341" s="10">
        <f ca="1">DATOSAÑO!$D340</f>
        <v>0</v>
      </c>
      <c r="E341" s="11">
        <f ca="1">DATOSAÑO!$G340</f>
        <v>0</v>
      </c>
      <c r="F341" s="9">
        <f ca="1">DATOSAÑO!P340</f>
        <v>0</v>
      </c>
      <c r="G341" s="10">
        <f ca="1">DATOSAÑO!K340</f>
        <v>0</v>
      </c>
      <c r="H341" s="11">
        <f ca="1">DATOSAÑO!N340</f>
        <v>0</v>
      </c>
      <c r="I341" s="9">
        <f ca="1">DATOSAÑO!Q340</f>
        <v>0</v>
      </c>
      <c r="J341" s="11">
        <f ca="1">DATOSAÑO!R340</f>
        <v>0</v>
      </c>
      <c r="K341" s="9">
        <f ca="1">DATOSAÑO!T340</f>
        <v>0</v>
      </c>
      <c r="L341" s="11">
        <f t="shared" ca="1" si="15"/>
        <v>0</v>
      </c>
      <c r="M341" s="9"/>
      <c r="N341" s="11">
        <f t="shared" si="16"/>
        <v>0</v>
      </c>
      <c r="O341" s="9">
        <f>DATOSAÑO!CT340</f>
        <v>0</v>
      </c>
      <c r="P341" s="9">
        <f>DATOSAÑO!CU340</f>
        <v>0</v>
      </c>
      <c r="Q341" s="9">
        <f ca="1">DATOSAÑO!AD340</f>
        <v>0</v>
      </c>
      <c r="R341" s="11">
        <f ca="1">(Q341*DATOSAÑO!$Z$11)/DATOSAÑO!$Y$11</f>
        <v>0</v>
      </c>
      <c r="S341" s="9">
        <f ca="1">DATOSAÑO!AF340</f>
        <v>0</v>
      </c>
      <c r="T341" s="11">
        <f ca="1">(S341*DATOSAÑO!$Z$11)/DATOSAÑO!$Y$11</f>
        <v>0</v>
      </c>
      <c r="U341" s="9">
        <f ca="1">DATOSAÑO!AH340</f>
        <v>0</v>
      </c>
      <c r="V341" s="11">
        <f ca="1">(U341*DATOSAÑO!$Z$11)/DATOSAÑO!$Y$11</f>
        <v>0</v>
      </c>
      <c r="W341" s="9">
        <f ca="1">DATOSAÑO!AI340</f>
        <v>0</v>
      </c>
      <c r="X341" s="11">
        <f ca="1">(W341*DATOSAÑO!$Z$11)/DATOSAÑO!$Y$11</f>
        <v>0</v>
      </c>
      <c r="Y341" s="9">
        <f ca="1">DATOSAÑO!AJ340</f>
        <v>0</v>
      </c>
      <c r="Z341" s="11">
        <f ca="1">(Y341*DATOSAÑO!$Z$11)/DATOSAÑO!$Y$11</f>
        <v>0</v>
      </c>
      <c r="AA341" s="9">
        <f ca="1">DATOSAÑO!AK340</f>
        <v>0</v>
      </c>
      <c r="AB341" s="11">
        <f ca="1">(AA341*DATOSAÑO!$Z$11)/DATOSAÑO!$Y$11</f>
        <v>0</v>
      </c>
      <c r="AC341" s="9">
        <f ca="1">DATOSAÑO!AL340</f>
        <v>0</v>
      </c>
      <c r="AD341" s="11">
        <f ca="1">(AC341*DATOSAÑO!$Z$11)/DATOSAÑO!$Y$11</f>
        <v>0</v>
      </c>
      <c r="AE341" s="9">
        <f ca="1">DATOSAÑO!CJ340</f>
        <v>0</v>
      </c>
      <c r="AF341" s="11">
        <f ca="1">(AE341*DATOSAÑO!$Z$11)/DATOSAÑO!$Y$11</f>
        <v>0</v>
      </c>
      <c r="AG341" s="9">
        <f ca="1">DATOSAÑO!CK340</f>
        <v>0</v>
      </c>
      <c r="AH341" s="11">
        <f ca="1">(AG341*DATOSAÑO!$Z$11)/DATOSAÑO!$Y$11</f>
        <v>0</v>
      </c>
      <c r="AI341" s="9">
        <f ca="1">DATOSAÑO!BS340</f>
        <v>0</v>
      </c>
      <c r="AJ341" s="11">
        <f ca="1">(AI341*DATOSAÑO!$Z$11)/DATOSAÑO!$Y$11</f>
        <v>0</v>
      </c>
      <c r="AK341" s="9">
        <f ca="1">DATOSAÑO!BV340</f>
        <v>0</v>
      </c>
      <c r="AL341" s="11">
        <f ca="1">(AK341*DATOSAÑO!$Z$11)/DATOSAÑO!$Y$11</f>
        <v>0</v>
      </c>
      <c r="AM341" s="9">
        <f ca="1">DATOSAÑO!BY340</f>
        <v>0</v>
      </c>
      <c r="AN341" s="11">
        <f ca="1">(AM341*DATOSAÑO!$Z$11)/DATOSAÑO!$Y$11</f>
        <v>0</v>
      </c>
      <c r="AO341" s="9">
        <f ca="1">DATOSAÑO!CF340</f>
        <v>0</v>
      </c>
      <c r="AP341" s="11">
        <f ca="1">(AO341*DATOSAÑO!$Z$11)/DATOSAÑO!$Y$11</f>
        <v>0</v>
      </c>
      <c r="AQ341" s="9">
        <f ca="1">DATOSAÑO!CL340</f>
        <v>0</v>
      </c>
      <c r="AR341" s="1300">
        <f ca="1">(AQ341*DATOSAÑO!$Z$11)/DATOSAÑO!$Y$11</f>
        <v>0</v>
      </c>
      <c r="AS341" s="1334">
        <f t="shared" si="17"/>
        <v>48</v>
      </c>
    </row>
    <row r="342" spans="1:45" ht="15" thickBot="1">
      <c r="A342" s="1371">
        <v>45257</v>
      </c>
      <c r="B342" s="1021">
        <v>45257</v>
      </c>
      <c r="C342" s="9">
        <f ca="1">DATOSAÑO!I341</f>
        <v>0</v>
      </c>
      <c r="D342" s="10">
        <f ca="1">DATOSAÑO!$D341</f>
        <v>0</v>
      </c>
      <c r="E342" s="11">
        <f ca="1">DATOSAÑO!$G341</f>
        <v>0</v>
      </c>
      <c r="F342" s="9">
        <f ca="1">DATOSAÑO!P341</f>
        <v>0</v>
      </c>
      <c r="G342" s="10">
        <f ca="1">DATOSAÑO!K341</f>
        <v>0</v>
      </c>
      <c r="H342" s="11">
        <f ca="1">DATOSAÑO!N341</f>
        <v>0</v>
      </c>
      <c r="I342" s="9">
        <f ca="1">DATOSAÑO!Q341</f>
        <v>0</v>
      </c>
      <c r="J342" s="11">
        <f ca="1">DATOSAÑO!R341</f>
        <v>0</v>
      </c>
      <c r="K342" s="9">
        <f ca="1">DATOSAÑO!T341</f>
        <v>0</v>
      </c>
      <c r="L342" s="11">
        <f t="shared" ca="1" si="15"/>
        <v>0</v>
      </c>
      <c r="M342" s="9"/>
      <c r="N342" s="11">
        <f t="shared" si="16"/>
        <v>0</v>
      </c>
      <c r="O342" s="9">
        <f>DATOSAÑO!CT341</f>
        <v>0</v>
      </c>
      <c r="P342" s="9">
        <f>DATOSAÑO!CU341</f>
        <v>0</v>
      </c>
      <c r="Q342" s="9">
        <f ca="1">DATOSAÑO!AD341</f>
        <v>0</v>
      </c>
      <c r="R342" s="11">
        <f ca="1">(Q342*DATOSAÑO!$Z$11)/DATOSAÑO!$Y$11</f>
        <v>0</v>
      </c>
      <c r="S342" s="9">
        <f ca="1">DATOSAÑO!AF341</f>
        <v>0</v>
      </c>
      <c r="T342" s="11">
        <f ca="1">(S342*DATOSAÑO!$Z$11)/DATOSAÑO!$Y$11</f>
        <v>0</v>
      </c>
      <c r="U342" s="9">
        <f ca="1">DATOSAÑO!AH341</f>
        <v>0</v>
      </c>
      <c r="V342" s="11">
        <f ca="1">(U342*DATOSAÑO!$Z$11)/DATOSAÑO!$Y$11</f>
        <v>0</v>
      </c>
      <c r="W342" s="9">
        <f ca="1">DATOSAÑO!AI341</f>
        <v>0</v>
      </c>
      <c r="X342" s="11">
        <f ca="1">(W342*DATOSAÑO!$Z$11)/DATOSAÑO!$Y$11</f>
        <v>0</v>
      </c>
      <c r="Y342" s="9">
        <f ca="1">DATOSAÑO!AJ341</f>
        <v>0</v>
      </c>
      <c r="Z342" s="11">
        <f ca="1">(Y342*DATOSAÑO!$Z$11)/DATOSAÑO!$Y$11</f>
        <v>0</v>
      </c>
      <c r="AA342" s="9">
        <f ca="1">DATOSAÑO!AK341</f>
        <v>0</v>
      </c>
      <c r="AB342" s="11">
        <f ca="1">(AA342*DATOSAÑO!$Z$11)/DATOSAÑO!$Y$11</f>
        <v>0</v>
      </c>
      <c r="AC342" s="9">
        <f ca="1">DATOSAÑO!AL341</f>
        <v>0</v>
      </c>
      <c r="AD342" s="11">
        <f ca="1">(AC342*DATOSAÑO!$Z$11)/DATOSAÑO!$Y$11</f>
        <v>0</v>
      </c>
      <c r="AE342" s="9">
        <f ca="1">DATOSAÑO!CJ341</f>
        <v>0</v>
      </c>
      <c r="AF342" s="11">
        <f ca="1">(AE342*DATOSAÑO!$Z$11)/DATOSAÑO!$Y$11</f>
        <v>0</v>
      </c>
      <c r="AG342" s="9">
        <f ca="1">DATOSAÑO!CK341</f>
        <v>0</v>
      </c>
      <c r="AH342" s="11">
        <f ca="1">(AG342*DATOSAÑO!$Z$11)/DATOSAÑO!$Y$11</f>
        <v>0</v>
      </c>
      <c r="AI342" s="9">
        <f ca="1">DATOSAÑO!BS341</f>
        <v>0</v>
      </c>
      <c r="AJ342" s="11">
        <f ca="1">(AI342*DATOSAÑO!$Z$11)/DATOSAÑO!$Y$11</f>
        <v>0</v>
      </c>
      <c r="AK342" s="9">
        <f ca="1">DATOSAÑO!BV341</f>
        <v>0</v>
      </c>
      <c r="AL342" s="11">
        <f ca="1">(AK342*DATOSAÑO!$Z$11)/DATOSAÑO!$Y$11</f>
        <v>0</v>
      </c>
      <c r="AM342" s="9">
        <f ca="1">DATOSAÑO!BY341</f>
        <v>0</v>
      </c>
      <c r="AN342" s="11">
        <f ca="1">(AM342*DATOSAÑO!$Z$11)/DATOSAÑO!$Y$11</f>
        <v>0</v>
      </c>
      <c r="AO342" s="9">
        <f ca="1">DATOSAÑO!CF341</f>
        <v>0</v>
      </c>
      <c r="AP342" s="11">
        <f ca="1">(AO342*DATOSAÑO!$Z$11)/DATOSAÑO!$Y$11</f>
        <v>0</v>
      </c>
      <c r="AQ342" s="9">
        <f ca="1">DATOSAÑO!CL341</f>
        <v>0</v>
      </c>
      <c r="AR342" s="1300">
        <f ca="1">(AQ342*DATOSAÑO!$Z$11)/DATOSAÑO!$Y$11</f>
        <v>0</v>
      </c>
      <c r="AS342" s="1334">
        <f t="shared" si="17"/>
        <v>48</v>
      </c>
    </row>
    <row r="343" spans="1:45" ht="15" thickBot="1">
      <c r="A343" s="1371">
        <v>45258</v>
      </c>
      <c r="B343" s="1021">
        <v>45258</v>
      </c>
      <c r="C343" s="9">
        <f ca="1">DATOSAÑO!I342</f>
        <v>0</v>
      </c>
      <c r="D343" s="10">
        <f ca="1">DATOSAÑO!$D342</f>
        <v>0</v>
      </c>
      <c r="E343" s="11">
        <f ca="1">DATOSAÑO!$G342</f>
        <v>0</v>
      </c>
      <c r="F343" s="9">
        <f ca="1">DATOSAÑO!P342</f>
        <v>0</v>
      </c>
      <c r="G343" s="10">
        <f ca="1">DATOSAÑO!K342</f>
        <v>0</v>
      </c>
      <c r="H343" s="11">
        <f ca="1">DATOSAÑO!N342</f>
        <v>0</v>
      </c>
      <c r="I343" s="9">
        <f ca="1">DATOSAÑO!Q342</f>
        <v>0</v>
      </c>
      <c r="J343" s="11">
        <f ca="1">DATOSAÑO!R342</f>
        <v>0</v>
      </c>
      <c r="K343" s="9">
        <f ca="1">DATOSAÑO!T342</f>
        <v>0</v>
      </c>
      <c r="L343" s="11">
        <f t="shared" ca="1" si="15"/>
        <v>0</v>
      </c>
      <c r="M343" s="9"/>
      <c r="N343" s="11">
        <f t="shared" si="16"/>
        <v>0</v>
      </c>
      <c r="O343" s="9">
        <f>DATOSAÑO!CT342</f>
        <v>0</v>
      </c>
      <c r="P343" s="9">
        <f>DATOSAÑO!CU342</f>
        <v>0</v>
      </c>
      <c r="Q343" s="9">
        <f ca="1">DATOSAÑO!AD342</f>
        <v>0</v>
      </c>
      <c r="R343" s="11">
        <f ca="1">(Q343*DATOSAÑO!$Z$11)/DATOSAÑO!$Y$11</f>
        <v>0</v>
      </c>
      <c r="S343" s="9">
        <f ca="1">DATOSAÑO!AF342</f>
        <v>0</v>
      </c>
      <c r="T343" s="11">
        <f ca="1">(S343*DATOSAÑO!$Z$11)/DATOSAÑO!$Y$11</f>
        <v>0</v>
      </c>
      <c r="U343" s="9">
        <f ca="1">DATOSAÑO!AH342</f>
        <v>0</v>
      </c>
      <c r="V343" s="11">
        <f ca="1">(U343*DATOSAÑO!$Z$11)/DATOSAÑO!$Y$11</f>
        <v>0</v>
      </c>
      <c r="W343" s="9">
        <f ca="1">DATOSAÑO!AI342</f>
        <v>0</v>
      </c>
      <c r="X343" s="11">
        <f ca="1">(W343*DATOSAÑO!$Z$11)/DATOSAÑO!$Y$11</f>
        <v>0</v>
      </c>
      <c r="Y343" s="9">
        <f ca="1">DATOSAÑO!AJ342</f>
        <v>0</v>
      </c>
      <c r="Z343" s="11">
        <f ca="1">(Y343*DATOSAÑO!$Z$11)/DATOSAÑO!$Y$11</f>
        <v>0</v>
      </c>
      <c r="AA343" s="9">
        <f ca="1">DATOSAÑO!AK342</f>
        <v>0</v>
      </c>
      <c r="AB343" s="11">
        <f ca="1">(AA343*DATOSAÑO!$Z$11)/DATOSAÑO!$Y$11</f>
        <v>0</v>
      </c>
      <c r="AC343" s="9">
        <f ca="1">DATOSAÑO!AL342</f>
        <v>0</v>
      </c>
      <c r="AD343" s="11">
        <f ca="1">(AC343*DATOSAÑO!$Z$11)/DATOSAÑO!$Y$11</f>
        <v>0</v>
      </c>
      <c r="AE343" s="9">
        <f ca="1">DATOSAÑO!CJ342</f>
        <v>0</v>
      </c>
      <c r="AF343" s="11">
        <f ca="1">(AE343*DATOSAÑO!$Z$11)/DATOSAÑO!$Y$11</f>
        <v>0</v>
      </c>
      <c r="AG343" s="9">
        <f ca="1">DATOSAÑO!CK342</f>
        <v>0</v>
      </c>
      <c r="AH343" s="11">
        <f ca="1">(AG343*DATOSAÑO!$Z$11)/DATOSAÑO!$Y$11</f>
        <v>0</v>
      </c>
      <c r="AI343" s="9">
        <f ca="1">DATOSAÑO!BS342</f>
        <v>0</v>
      </c>
      <c r="AJ343" s="11">
        <f ca="1">(AI343*DATOSAÑO!$Z$11)/DATOSAÑO!$Y$11</f>
        <v>0</v>
      </c>
      <c r="AK343" s="9">
        <f ca="1">DATOSAÑO!BV342</f>
        <v>0</v>
      </c>
      <c r="AL343" s="11">
        <f ca="1">(AK343*DATOSAÑO!$Z$11)/DATOSAÑO!$Y$11</f>
        <v>0</v>
      </c>
      <c r="AM343" s="9">
        <f ca="1">DATOSAÑO!BY342</f>
        <v>0</v>
      </c>
      <c r="AN343" s="11">
        <f ca="1">(AM343*DATOSAÑO!$Z$11)/DATOSAÑO!$Y$11</f>
        <v>0</v>
      </c>
      <c r="AO343" s="9">
        <f ca="1">DATOSAÑO!CF342</f>
        <v>0</v>
      </c>
      <c r="AP343" s="11">
        <f ca="1">(AO343*DATOSAÑO!$Z$11)/DATOSAÑO!$Y$11</f>
        <v>0</v>
      </c>
      <c r="AQ343" s="9">
        <f ca="1">DATOSAÑO!CL342</f>
        <v>0</v>
      </c>
      <c r="AR343" s="1300">
        <f ca="1">(AQ343*DATOSAÑO!$Z$11)/DATOSAÑO!$Y$11</f>
        <v>0</v>
      </c>
      <c r="AS343" s="1334">
        <f t="shared" si="17"/>
        <v>48</v>
      </c>
    </row>
    <row r="344" spans="1:45" ht="15" thickBot="1">
      <c r="A344" s="1371">
        <v>45259</v>
      </c>
      <c r="B344" s="1021">
        <v>45259</v>
      </c>
      <c r="C344" s="9">
        <f ca="1">DATOSAÑO!I343</f>
        <v>0</v>
      </c>
      <c r="D344" s="10">
        <f ca="1">DATOSAÑO!$D343</f>
        <v>0</v>
      </c>
      <c r="E344" s="11">
        <f ca="1">DATOSAÑO!$G343</f>
        <v>0</v>
      </c>
      <c r="F344" s="9">
        <f ca="1">DATOSAÑO!P343</f>
        <v>0</v>
      </c>
      <c r="G344" s="10">
        <f ca="1">DATOSAÑO!K343</f>
        <v>0</v>
      </c>
      <c r="H344" s="11">
        <f ca="1">DATOSAÑO!N343</f>
        <v>0</v>
      </c>
      <c r="I344" s="9">
        <f ca="1">DATOSAÑO!Q343</f>
        <v>0</v>
      </c>
      <c r="J344" s="11">
        <f ca="1">DATOSAÑO!R343</f>
        <v>0</v>
      </c>
      <c r="K344" s="9">
        <f ca="1">DATOSAÑO!T343</f>
        <v>0</v>
      </c>
      <c r="L344" s="11">
        <f t="shared" ca="1" si="15"/>
        <v>0</v>
      </c>
      <c r="M344" s="9"/>
      <c r="N344" s="11">
        <f t="shared" si="16"/>
        <v>0</v>
      </c>
      <c r="O344" s="9">
        <f>DATOSAÑO!CT343</f>
        <v>0</v>
      </c>
      <c r="P344" s="9">
        <f>DATOSAÑO!CU343</f>
        <v>0</v>
      </c>
      <c r="Q344" s="9">
        <f ca="1">DATOSAÑO!AD343</f>
        <v>0</v>
      </c>
      <c r="R344" s="11">
        <f ca="1">(Q344*DATOSAÑO!$Z$11)/DATOSAÑO!$Y$11</f>
        <v>0</v>
      </c>
      <c r="S344" s="9">
        <f ca="1">DATOSAÑO!AF343</f>
        <v>0</v>
      </c>
      <c r="T344" s="11">
        <f ca="1">(S344*DATOSAÑO!$Z$11)/DATOSAÑO!$Y$11</f>
        <v>0</v>
      </c>
      <c r="U344" s="9">
        <f ca="1">DATOSAÑO!AH343</f>
        <v>0</v>
      </c>
      <c r="V344" s="11">
        <f ca="1">(U344*DATOSAÑO!$Z$11)/DATOSAÑO!$Y$11</f>
        <v>0</v>
      </c>
      <c r="W344" s="9">
        <f ca="1">DATOSAÑO!AI343</f>
        <v>0</v>
      </c>
      <c r="X344" s="11">
        <f ca="1">(W344*DATOSAÑO!$Z$11)/DATOSAÑO!$Y$11</f>
        <v>0</v>
      </c>
      <c r="Y344" s="9">
        <f ca="1">DATOSAÑO!AJ343</f>
        <v>0</v>
      </c>
      <c r="Z344" s="11">
        <f ca="1">(Y344*DATOSAÑO!$Z$11)/DATOSAÑO!$Y$11</f>
        <v>0</v>
      </c>
      <c r="AA344" s="9">
        <f ca="1">DATOSAÑO!AK343</f>
        <v>0</v>
      </c>
      <c r="AB344" s="11">
        <f ca="1">(AA344*DATOSAÑO!$Z$11)/DATOSAÑO!$Y$11</f>
        <v>0</v>
      </c>
      <c r="AC344" s="9">
        <f ca="1">DATOSAÑO!AL343</f>
        <v>0</v>
      </c>
      <c r="AD344" s="11">
        <f ca="1">(AC344*DATOSAÑO!$Z$11)/DATOSAÑO!$Y$11</f>
        <v>0</v>
      </c>
      <c r="AE344" s="9">
        <f ca="1">DATOSAÑO!CJ343</f>
        <v>0</v>
      </c>
      <c r="AF344" s="11">
        <f ca="1">(AE344*DATOSAÑO!$Z$11)/DATOSAÑO!$Y$11</f>
        <v>0</v>
      </c>
      <c r="AG344" s="9">
        <f ca="1">DATOSAÑO!CK343</f>
        <v>0</v>
      </c>
      <c r="AH344" s="11">
        <f ca="1">(AG344*DATOSAÑO!$Z$11)/DATOSAÑO!$Y$11</f>
        <v>0</v>
      </c>
      <c r="AI344" s="9">
        <f ca="1">DATOSAÑO!BS343</f>
        <v>0</v>
      </c>
      <c r="AJ344" s="11">
        <f ca="1">(AI344*DATOSAÑO!$Z$11)/DATOSAÑO!$Y$11</f>
        <v>0</v>
      </c>
      <c r="AK344" s="9">
        <f ca="1">DATOSAÑO!BV343</f>
        <v>0</v>
      </c>
      <c r="AL344" s="11">
        <f ca="1">(AK344*DATOSAÑO!$Z$11)/DATOSAÑO!$Y$11</f>
        <v>0</v>
      </c>
      <c r="AM344" s="9">
        <f ca="1">DATOSAÑO!BY343</f>
        <v>0</v>
      </c>
      <c r="AN344" s="11">
        <f ca="1">(AM344*DATOSAÑO!$Z$11)/DATOSAÑO!$Y$11</f>
        <v>0</v>
      </c>
      <c r="AO344" s="9">
        <f ca="1">DATOSAÑO!CF343</f>
        <v>0</v>
      </c>
      <c r="AP344" s="11">
        <f ca="1">(AO344*DATOSAÑO!$Z$11)/DATOSAÑO!$Y$11</f>
        <v>0</v>
      </c>
      <c r="AQ344" s="9">
        <f ca="1">DATOSAÑO!CL343</f>
        <v>0</v>
      </c>
      <c r="AR344" s="1300">
        <f ca="1">(AQ344*DATOSAÑO!$Z$11)/DATOSAÑO!$Y$11</f>
        <v>0</v>
      </c>
      <c r="AS344" s="1334">
        <f t="shared" si="17"/>
        <v>48</v>
      </c>
    </row>
    <row r="345" spans="1:45" ht="15" thickBot="1">
      <c r="A345" s="1371">
        <v>45260</v>
      </c>
      <c r="B345" s="1021">
        <v>45260</v>
      </c>
      <c r="C345" s="62">
        <f ca="1">DATOSAÑO!I344</f>
        <v>0</v>
      </c>
      <c r="D345" s="63">
        <f ca="1">DATOSAÑO!$D344</f>
        <v>0</v>
      </c>
      <c r="E345" s="64">
        <f ca="1">DATOSAÑO!$G344</f>
        <v>0</v>
      </c>
      <c r="F345" s="62">
        <f ca="1">DATOSAÑO!P344</f>
        <v>0</v>
      </c>
      <c r="G345" s="63">
        <f ca="1">DATOSAÑO!K344</f>
        <v>0</v>
      </c>
      <c r="H345" s="64">
        <f ca="1">DATOSAÑO!N344</f>
        <v>0</v>
      </c>
      <c r="I345" s="62">
        <f ca="1">DATOSAÑO!Q344</f>
        <v>0</v>
      </c>
      <c r="J345" s="64">
        <f ca="1">DATOSAÑO!R344</f>
        <v>0</v>
      </c>
      <c r="K345" s="9">
        <f ca="1">DATOSAÑO!T344</f>
        <v>0</v>
      </c>
      <c r="L345" s="64">
        <f t="shared" ca="1" si="15"/>
        <v>0</v>
      </c>
      <c r="M345" s="62"/>
      <c r="N345" s="64">
        <f t="shared" si="16"/>
        <v>0</v>
      </c>
      <c r="O345" s="62">
        <f>DATOSAÑO!CT344</f>
        <v>0</v>
      </c>
      <c r="P345" s="61">
        <f>DATOSAÑO!CU344</f>
        <v>0</v>
      </c>
      <c r="Q345" s="9">
        <f ca="1">DATOSAÑO!AD344</f>
        <v>0</v>
      </c>
      <c r="R345" s="64">
        <f ca="1">(Q345*DATOSAÑO!$Z$11)/DATOSAÑO!$Y$11</f>
        <v>0</v>
      </c>
      <c r="S345" s="9">
        <f ca="1">DATOSAÑO!AF344</f>
        <v>0</v>
      </c>
      <c r="T345" s="64">
        <f ca="1">(S345*DATOSAÑO!$Z$11)/DATOSAÑO!$Y$11</f>
        <v>0</v>
      </c>
      <c r="U345" s="9">
        <f ca="1">DATOSAÑO!AH344</f>
        <v>0</v>
      </c>
      <c r="V345" s="64">
        <f ca="1">(U345*DATOSAÑO!$Z$11)/DATOSAÑO!$Y$11</f>
        <v>0</v>
      </c>
      <c r="W345" s="9">
        <f ca="1">DATOSAÑO!AI344</f>
        <v>0</v>
      </c>
      <c r="X345" s="64">
        <f ca="1">(W345*DATOSAÑO!$Z$11)/DATOSAÑO!$Y$11</f>
        <v>0</v>
      </c>
      <c r="Y345" s="9">
        <f ca="1">DATOSAÑO!AJ344</f>
        <v>0</v>
      </c>
      <c r="Z345" s="64">
        <f ca="1">(Y345*DATOSAÑO!$Z$11)/DATOSAÑO!$Y$11</f>
        <v>0</v>
      </c>
      <c r="AA345" s="9">
        <f ca="1">DATOSAÑO!AK344</f>
        <v>0</v>
      </c>
      <c r="AB345" s="64">
        <f ca="1">(AA345*DATOSAÑO!$Z$11)/DATOSAÑO!$Y$11</f>
        <v>0</v>
      </c>
      <c r="AC345" s="9">
        <f ca="1">DATOSAÑO!AL344</f>
        <v>0</v>
      </c>
      <c r="AD345" s="64">
        <f ca="1">(AC345*DATOSAÑO!$Z$11)/DATOSAÑO!$Y$11</f>
        <v>0</v>
      </c>
      <c r="AE345" s="62">
        <f ca="1">DATOSAÑO!CJ344</f>
        <v>0</v>
      </c>
      <c r="AF345" s="64">
        <f ca="1">(AE345*DATOSAÑO!$Z$11)/DATOSAÑO!$Y$11</f>
        <v>0</v>
      </c>
      <c r="AG345" s="62">
        <f ca="1">DATOSAÑO!CK344</f>
        <v>0</v>
      </c>
      <c r="AH345" s="64">
        <f ca="1">(AG345*DATOSAÑO!$Z$11)/DATOSAÑO!$Y$11</f>
        <v>0</v>
      </c>
      <c r="AI345" s="62">
        <f ca="1">DATOSAÑO!BS344</f>
        <v>0</v>
      </c>
      <c r="AJ345" s="64">
        <f ca="1">(AI345*DATOSAÑO!$Z$11)/DATOSAÑO!$Y$11</f>
        <v>0</v>
      </c>
      <c r="AK345" s="62">
        <f ca="1">DATOSAÑO!BV344</f>
        <v>0</v>
      </c>
      <c r="AL345" s="64">
        <f ca="1">(AK345*DATOSAÑO!$Z$11)/DATOSAÑO!$Y$11</f>
        <v>0</v>
      </c>
      <c r="AM345" s="62">
        <f ca="1">DATOSAÑO!BY344</f>
        <v>0</v>
      </c>
      <c r="AN345" s="64">
        <f ca="1">(AM345*DATOSAÑO!$Z$11)/DATOSAÑO!$Y$11</f>
        <v>0</v>
      </c>
      <c r="AO345" s="62">
        <f ca="1">DATOSAÑO!CF344</f>
        <v>0</v>
      </c>
      <c r="AP345" s="64">
        <f ca="1">(AO345*DATOSAÑO!$Z$11)/DATOSAÑO!$Y$11</f>
        <v>0</v>
      </c>
      <c r="AQ345" s="62">
        <f ca="1">DATOSAÑO!CL344</f>
        <v>0</v>
      </c>
      <c r="AR345" s="1077">
        <f ca="1">(AQ345*DATOSAÑO!$Z$11)/DATOSAÑO!$Y$11</f>
        <v>0</v>
      </c>
      <c r="AS345" s="1335">
        <f t="shared" si="17"/>
        <v>48</v>
      </c>
    </row>
    <row r="346" spans="1:45" ht="15" thickBot="1">
      <c r="A346" s="1371">
        <v>45261</v>
      </c>
      <c r="B346" s="1021">
        <v>45261</v>
      </c>
      <c r="C346" s="9">
        <f ca="1">DATOSAÑO!I345</f>
        <v>0</v>
      </c>
      <c r="D346" s="10">
        <f ca="1">DATOSAÑO!$D345</f>
        <v>0</v>
      </c>
      <c r="E346" s="11">
        <f ca="1">DATOSAÑO!$G345</f>
        <v>0</v>
      </c>
      <c r="F346" s="9">
        <f ca="1">DATOSAÑO!P345</f>
        <v>0</v>
      </c>
      <c r="G346" s="10">
        <f ca="1">DATOSAÑO!K345</f>
        <v>0</v>
      </c>
      <c r="H346" s="175">
        <f ca="1">DATOSAÑO!N345</f>
        <v>0</v>
      </c>
      <c r="I346" s="173">
        <f ca="1">DATOSAÑO!Q345</f>
        <v>0</v>
      </c>
      <c r="J346" s="175">
        <f ca="1">DATOSAÑO!R345</f>
        <v>0</v>
      </c>
      <c r="K346" s="173">
        <f ca="1">DATOSAÑO!T345</f>
        <v>0</v>
      </c>
      <c r="L346" s="175">
        <f t="shared" ca="1" si="15"/>
        <v>0</v>
      </c>
      <c r="M346" s="173"/>
      <c r="N346" s="175">
        <f t="shared" si="16"/>
        <v>0</v>
      </c>
      <c r="O346" s="9">
        <f>DATOSAÑO!CT345</f>
        <v>0</v>
      </c>
      <c r="P346" s="9">
        <f>DATOSAÑO!CU345</f>
        <v>0</v>
      </c>
      <c r="Q346" s="173">
        <f ca="1">DATOSAÑO!AD345</f>
        <v>0</v>
      </c>
      <c r="R346" s="175">
        <f ca="1">(Q346*DATOSAÑO!$Z$11)/DATOSAÑO!$Y$11</f>
        <v>0</v>
      </c>
      <c r="S346" s="173">
        <f ca="1">DATOSAÑO!AF345</f>
        <v>0</v>
      </c>
      <c r="T346" s="175">
        <f ca="1">(S346*DATOSAÑO!$Z$11)/DATOSAÑO!$Y$11</f>
        <v>0</v>
      </c>
      <c r="U346" s="173">
        <f ca="1">DATOSAÑO!AH345</f>
        <v>0</v>
      </c>
      <c r="V346" s="175">
        <f ca="1">(U346*DATOSAÑO!$Z$11)/DATOSAÑO!$Y$11</f>
        <v>0</v>
      </c>
      <c r="W346" s="173">
        <f ca="1">DATOSAÑO!AI345</f>
        <v>0</v>
      </c>
      <c r="X346" s="175">
        <f ca="1">(W346*DATOSAÑO!$Z$11)/DATOSAÑO!$Y$11</f>
        <v>0</v>
      </c>
      <c r="Y346" s="173">
        <f ca="1">DATOSAÑO!AJ345</f>
        <v>0</v>
      </c>
      <c r="Z346" s="175">
        <f ca="1">(Y346*DATOSAÑO!$Z$11)/DATOSAÑO!$Y$11</f>
        <v>0</v>
      </c>
      <c r="AA346" s="173">
        <f ca="1">DATOSAÑO!AK345</f>
        <v>0</v>
      </c>
      <c r="AB346" s="175">
        <f ca="1">(AA346*DATOSAÑO!$Z$11)/DATOSAÑO!$Y$11</f>
        <v>0</v>
      </c>
      <c r="AC346" s="173">
        <f ca="1">DATOSAÑO!AL345</f>
        <v>0</v>
      </c>
      <c r="AD346" s="175">
        <f ca="1">(AC346*DATOSAÑO!$Z$11)/DATOSAÑO!$Y$11</f>
        <v>0</v>
      </c>
      <c r="AE346" s="9">
        <f ca="1">DATOSAÑO!CJ345</f>
        <v>0</v>
      </c>
      <c r="AF346" s="11">
        <f ca="1">(AE346*DATOSAÑO!$Z$11)/DATOSAÑO!$Y$11</f>
        <v>0</v>
      </c>
      <c r="AG346" s="9">
        <f ca="1">DATOSAÑO!CK345</f>
        <v>0</v>
      </c>
      <c r="AH346" s="11">
        <f ca="1">(AG346*DATOSAÑO!$Z$11)/DATOSAÑO!$Y$11</f>
        <v>0</v>
      </c>
      <c r="AI346" s="9">
        <f ca="1">DATOSAÑO!BS345</f>
        <v>0</v>
      </c>
      <c r="AJ346" s="11">
        <f ca="1">(AI346*DATOSAÑO!$Z$11)/DATOSAÑO!$Y$11</f>
        <v>0</v>
      </c>
      <c r="AK346" s="9">
        <f ca="1">DATOSAÑO!BV345</f>
        <v>0</v>
      </c>
      <c r="AL346" s="11">
        <f ca="1">(AK346*DATOSAÑO!$Z$11)/DATOSAÑO!$Y$11</f>
        <v>0</v>
      </c>
      <c r="AM346" s="9">
        <f ca="1">DATOSAÑO!BY345</f>
        <v>0</v>
      </c>
      <c r="AN346" s="11">
        <f ca="1">(AM346*DATOSAÑO!$Z$11)/DATOSAÑO!$Y$11</f>
        <v>0</v>
      </c>
      <c r="AO346" s="9">
        <f ca="1">DATOSAÑO!CF345</f>
        <v>0</v>
      </c>
      <c r="AP346" s="11">
        <f ca="1">(AO346*DATOSAÑO!$Z$11)/DATOSAÑO!$Y$11</f>
        <v>0</v>
      </c>
      <c r="AQ346" s="9">
        <f ca="1">DATOSAÑO!CL345</f>
        <v>0</v>
      </c>
      <c r="AR346" s="1300">
        <f ca="1">(AQ346*DATOSAÑO!$Z$11)/DATOSAÑO!$Y$11</f>
        <v>0</v>
      </c>
      <c r="AS346" s="1369">
        <f t="shared" si="17"/>
        <v>48</v>
      </c>
    </row>
    <row r="347" spans="1:45" ht="15" thickBot="1">
      <c r="A347" s="1371">
        <v>45262</v>
      </c>
      <c r="B347" s="1021">
        <v>45262</v>
      </c>
      <c r="C347" s="9">
        <f ca="1">DATOSAÑO!I346</f>
        <v>0</v>
      </c>
      <c r="D347" s="10">
        <f ca="1">DATOSAÑO!$D346</f>
        <v>0</v>
      </c>
      <c r="E347" s="11">
        <f ca="1">DATOSAÑO!$G346</f>
        <v>0</v>
      </c>
      <c r="F347" s="9">
        <f ca="1">DATOSAÑO!P346</f>
        <v>0</v>
      </c>
      <c r="G347" s="10">
        <f ca="1">DATOSAÑO!K346</f>
        <v>0</v>
      </c>
      <c r="H347" s="11">
        <f ca="1">DATOSAÑO!N346</f>
        <v>0</v>
      </c>
      <c r="I347" s="9">
        <f ca="1">DATOSAÑO!Q346</f>
        <v>0</v>
      </c>
      <c r="J347" s="11">
        <f ca="1">DATOSAÑO!R346</f>
        <v>0</v>
      </c>
      <c r="K347" s="9">
        <f ca="1">DATOSAÑO!T346</f>
        <v>0</v>
      </c>
      <c r="L347" s="11">
        <f t="shared" ca="1" si="15"/>
        <v>0</v>
      </c>
      <c r="M347" s="9"/>
      <c r="N347" s="11">
        <f t="shared" si="16"/>
        <v>0</v>
      </c>
      <c r="O347" s="9">
        <f>DATOSAÑO!CT346</f>
        <v>0</v>
      </c>
      <c r="P347" s="9">
        <f>DATOSAÑO!CU346</f>
        <v>0</v>
      </c>
      <c r="Q347" s="9">
        <f ca="1">DATOSAÑO!AD346</f>
        <v>0</v>
      </c>
      <c r="R347" s="11">
        <f ca="1">(Q347*DATOSAÑO!$Z$11)/DATOSAÑO!$Y$11</f>
        <v>0</v>
      </c>
      <c r="S347" s="9">
        <f ca="1">DATOSAÑO!AF346</f>
        <v>0</v>
      </c>
      <c r="T347" s="11">
        <f ca="1">(S347*DATOSAÑO!$Z$11)/DATOSAÑO!$Y$11</f>
        <v>0</v>
      </c>
      <c r="U347" s="9">
        <f ca="1">DATOSAÑO!AH346</f>
        <v>0</v>
      </c>
      <c r="V347" s="11">
        <f ca="1">(U347*DATOSAÑO!$Z$11)/DATOSAÑO!$Y$11</f>
        <v>0</v>
      </c>
      <c r="W347" s="9">
        <f ca="1">DATOSAÑO!AI346</f>
        <v>0</v>
      </c>
      <c r="X347" s="11">
        <f ca="1">(W347*DATOSAÑO!$Z$11)/DATOSAÑO!$Y$11</f>
        <v>0</v>
      </c>
      <c r="Y347" s="9">
        <f ca="1">DATOSAÑO!AJ346</f>
        <v>0</v>
      </c>
      <c r="Z347" s="11">
        <f ca="1">(Y347*DATOSAÑO!$Z$11)/DATOSAÑO!$Y$11</f>
        <v>0</v>
      </c>
      <c r="AA347" s="9">
        <f ca="1">DATOSAÑO!AK346</f>
        <v>0</v>
      </c>
      <c r="AB347" s="11">
        <f ca="1">(AA347*DATOSAÑO!$Z$11)/DATOSAÑO!$Y$11</f>
        <v>0</v>
      </c>
      <c r="AC347" s="9">
        <f ca="1">DATOSAÑO!AL346</f>
        <v>0</v>
      </c>
      <c r="AD347" s="11">
        <f ca="1">(AC347*DATOSAÑO!$Z$11)/DATOSAÑO!$Y$11</f>
        <v>0</v>
      </c>
      <c r="AE347" s="9">
        <f ca="1">DATOSAÑO!CJ346</f>
        <v>0</v>
      </c>
      <c r="AF347" s="11">
        <f ca="1">(AE347*DATOSAÑO!$Z$11)/DATOSAÑO!$Y$11</f>
        <v>0</v>
      </c>
      <c r="AG347" s="9">
        <f ca="1">DATOSAÑO!CK346</f>
        <v>0</v>
      </c>
      <c r="AH347" s="11">
        <f ca="1">(AG347*DATOSAÑO!$Z$11)/DATOSAÑO!$Y$11</f>
        <v>0</v>
      </c>
      <c r="AI347" s="9">
        <f ca="1">DATOSAÑO!BS346</f>
        <v>0</v>
      </c>
      <c r="AJ347" s="11">
        <f ca="1">(AI347*DATOSAÑO!$Z$11)/DATOSAÑO!$Y$11</f>
        <v>0</v>
      </c>
      <c r="AK347" s="9">
        <f ca="1">DATOSAÑO!BV346</f>
        <v>0</v>
      </c>
      <c r="AL347" s="11">
        <f ca="1">(AK347*DATOSAÑO!$Z$11)/DATOSAÑO!$Y$11</f>
        <v>0</v>
      </c>
      <c r="AM347" s="9">
        <f ca="1">DATOSAÑO!BY346</f>
        <v>0</v>
      </c>
      <c r="AN347" s="11">
        <f ca="1">(AM347*DATOSAÑO!$Z$11)/DATOSAÑO!$Y$11</f>
        <v>0</v>
      </c>
      <c r="AO347" s="9">
        <f ca="1">DATOSAÑO!CF346</f>
        <v>0</v>
      </c>
      <c r="AP347" s="11">
        <f ca="1">(AO347*DATOSAÑO!$Z$11)/DATOSAÑO!$Y$11</f>
        <v>0</v>
      </c>
      <c r="AQ347" s="9">
        <f ca="1">DATOSAÑO!CL346</f>
        <v>0</v>
      </c>
      <c r="AR347" s="1300">
        <f ca="1">(AQ347*DATOSAÑO!$Z$11)/DATOSAÑO!$Y$11</f>
        <v>0</v>
      </c>
      <c r="AS347" s="1334">
        <f t="shared" si="17"/>
        <v>48</v>
      </c>
    </row>
    <row r="348" spans="1:45" ht="15" thickBot="1">
      <c r="A348" s="1371">
        <v>45263</v>
      </c>
      <c r="B348" s="1021">
        <v>45263</v>
      </c>
      <c r="C348" s="9">
        <f ca="1">DATOSAÑO!I347</f>
        <v>0</v>
      </c>
      <c r="D348" s="10">
        <f ca="1">DATOSAÑO!$D347</f>
        <v>0</v>
      </c>
      <c r="E348" s="11">
        <f ca="1">DATOSAÑO!$G347</f>
        <v>0</v>
      </c>
      <c r="F348" s="9">
        <f ca="1">DATOSAÑO!P347</f>
        <v>0</v>
      </c>
      <c r="G348" s="10">
        <f ca="1">DATOSAÑO!K347</f>
        <v>0</v>
      </c>
      <c r="H348" s="11">
        <f ca="1">DATOSAÑO!N347</f>
        <v>0</v>
      </c>
      <c r="I348" s="9">
        <f ca="1">DATOSAÑO!Q347</f>
        <v>0</v>
      </c>
      <c r="J348" s="11">
        <f ca="1">DATOSAÑO!R347</f>
        <v>0</v>
      </c>
      <c r="K348" s="9">
        <f ca="1">DATOSAÑO!T347</f>
        <v>0</v>
      </c>
      <c r="L348" s="11">
        <f t="shared" ca="1" si="15"/>
        <v>0</v>
      </c>
      <c r="M348" s="9"/>
      <c r="N348" s="11">
        <f t="shared" si="16"/>
        <v>0</v>
      </c>
      <c r="O348" s="9">
        <f>DATOSAÑO!CT347</f>
        <v>0</v>
      </c>
      <c r="P348" s="9">
        <f>DATOSAÑO!CU347</f>
        <v>0</v>
      </c>
      <c r="Q348" s="9">
        <f ca="1">DATOSAÑO!AD347</f>
        <v>0</v>
      </c>
      <c r="R348" s="11">
        <f ca="1">(Q348*DATOSAÑO!$Z$11)/DATOSAÑO!$Y$11</f>
        <v>0</v>
      </c>
      <c r="S348" s="9">
        <f ca="1">DATOSAÑO!AF347</f>
        <v>0</v>
      </c>
      <c r="T348" s="11">
        <f ca="1">(S348*DATOSAÑO!$Z$11)/DATOSAÑO!$Y$11</f>
        <v>0</v>
      </c>
      <c r="U348" s="9">
        <f ca="1">DATOSAÑO!AH347</f>
        <v>0</v>
      </c>
      <c r="V348" s="11">
        <f ca="1">(U348*DATOSAÑO!$Z$11)/DATOSAÑO!$Y$11</f>
        <v>0</v>
      </c>
      <c r="W348" s="9">
        <f ca="1">DATOSAÑO!AI347</f>
        <v>0</v>
      </c>
      <c r="X348" s="11">
        <f ca="1">(W348*DATOSAÑO!$Z$11)/DATOSAÑO!$Y$11</f>
        <v>0</v>
      </c>
      <c r="Y348" s="9">
        <f ca="1">DATOSAÑO!AJ347</f>
        <v>0</v>
      </c>
      <c r="Z348" s="11">
        <f ca="1">(Y348*DATOSAÑO!$Z$11)/DATOSAÑO!$Y$11</f>
        <v>0</v>
      </c>
      <c r="AA348" s="9">
        <f ca="1">DATOSAÑO!AK347</f>
        <v>0</v>
      </c>
      <c r="AB348" s="11">
        <f ca="1">(AA348*DATOSAÑO!$Z$11)/DATOSAÑO!$Y$11</f>
        <v>0</v>
      </c>
      <c r="AC348" s="9">
        <f ca="1">DATOSAÑO!AL347</f>
        <v>0</v>
      </c>
      <c r="AD348" s="11">
        <f ca="1">(AC348*DATOSAÑO!$Z$11)/DATOSAÑO!$Y$11</f>
        <v>0</v>
      </c>
      <c r="AE348" s="9">
        <f ca="1">DATOSAÑO!CJ347</f>
        <v>0</v>
      </c>
      <c r="AF348" s="11">
        <f ca="1">(AE348*DATOSAÑO!$Z$11)/DATOSAÑO!$Y$11</f>
        <v>0</v>
      </c>
      <c r="AG348" s="9">
        <f ca="1">DATOSAÑO!CK347</f>
        <v>0</v>
      </c>
      <c r="AH348" s="11">
        <f ca="1">(AG348*DATOSAÑO!$Z$11)/DATOSAÑO!$Y$11</f>
        <v>0</v>
      </c>
      <c r="AI348" s="9">
        <f ca="1">DATOSAÑO!BS347</f>
        <v>0</v>
      </c>
      <c r="AJ348" s="11">
        <f ca="1">(AI348*DATOSAÑO!$Z$11)/DATOSAÑO!$Y$11</f>
        <v>0</v>
      </c>
      <c r="AK348" s="9">
        <f ca="1">DATOSAÑO!BV347</f>
        <v>0</v>
      </c>
      <c r="AL348" s="11">
        <f ca="1">(AK348*DATOSAÑO!$Z$11)/DATOSAÑO!$Y$11</f>
        <v>0</v>
      </c>
      <c r="AM348" s="9">
        <f ca="1">DATOSAÑO!BY347</f>
        <v>0</v>
      </c>
      <c r="AN348" s="11">
        <f ca="1">(AM348*DATOSAÑO!$Z$11)/DATOSAÑO!$Y$11</f>
        <v>0</v>
      </c>
      <c r="AO348" s="9">
        <f ca="1">DATOSAÑO!CF347</f>
        <v>0</v>
      </c>
      <c r="AP348" s="11">
        <f ca="1">(AO348*DATOSAÑO!$Z$11)/DATOSAÑO!$Y$11</f>
        <v>0</v>
      </c>
      <c r="AQ348" s="9">
        <f ca="1">DATOSAÑO!CL347</f>
        <v>0</v>
      </c>
      <c r="AR348" s="1300">
        <f ca="1">(AQ348*DATOSAÑO!$Z$11)/DATOSAÑO!$Y$11</f>
        <v>0</v>
      </c>
      <c r="AS348" s="1334">
        <f t="shared" si="17"/>
        <v>49</v>
      </c>
    </row>
    <row r="349" spans="1:45" ht="15" thickBot="1">
      <c r="A349" s="1371">
        <v>45264</v>
      </c>
      <c r="B349" s="1021">
        <v>45264</v>
      </c>
      <c r="C349" s="9">
        <f ca="1">DATOSAÑO!I348</f>
        <v>0</v>
      </c>
      <c r="D349" s="10">
        <f ca="1">DATOSAÑO!$D348</f>
        <v>0</v>
      </c>
      <c r="E349" s="11">
        <f ca="1">DATOSAÑO!$G348</f>
        <v>0</v>
      </c>
      <c r="F349" s="9">
        <f ca="1">DATOSAÑO!P348</f>
        <v>0</v>
      </c>
      <c r="G349" s="10">
        <f ca="1">DATOSAÑO!K348</f>
        <v>0</v>
      </c>
      <c r="H349" s="11">
        <f ca="1">DATOSAÑO!N348</f>
        <v>0</v>
      </c>
      <c r="I349" s="9">
        <f ca="1">DATOSAÑO!Q348</f>
        <v>0</v>
      </c>
      <c r="J349" s="11">
        <f ca="1">DATOSAÑO!R348</f>
        <v>0</v>
      </c>
      <c r="K349" s="9">
        <f ca="1">DATOSAÑO!T348</f>
        <v>0</v>
      </c>
      <c r="L349" s="11">
        <f t="shared" ca="1" si="15"/>
        <v>0</v>
      </c>
      <c r="M349" s="9"/>
      <c r="N349" s="11">
        <f t="shared" si="16"/>
        <v>0</v>
      </c>
      <c r="O349" s="9">
        <f>DATOSAÑO!CT348</f>
        <v>0</v>
      </c>
      <c r="P349" s="9">
        <f>DATOSAÑO!CU348</f>
        <v>0</v>
      </c>
      <c r="Q349" s="9">
        <f ca="1">DATOSAÑO!AD348</f>
        <v>0</v>
      </c>
      <c r="R349" s="11">
        <f ca="1">(Q349*DATOSAÑO!$Z$11)/DATOSAÑO!$Y$11</f>
        <v>0</v>
      </c>
      <c r="S349" s="9">
        <f ca="1">DATOSAÑO!AF348</f>
        <v>0</v>
      </c>
      <c r="T349" s="11">
        <f ca="1">(S349*DATOSAÑO!$Z$11)/DATOSAÑO!$Y$11</f>
        <v>0</v>
      </c>
      <c r="U349" s="9">
        <f ca="1">DATOSAÑO!AH348</f>
        <v>0</v>
      </c>
      <c r="V349" s="11">
        <f ca="1">(U349*DATOSAÑO!$Z$11)/DATOSAÑO!$Y$11</f>
        <v>0</v>
      </c>
      <c r="W349" s="9">
        <f ca="1">DATOSAÑO!AI348</f>
        <v>0</v>
      </c>
      <c r="X349" s="11">
        <f ca="1">(W349*DATOSAÑO!$Z$11)/DATOSAÑO!$Y$11</f>
        <v>0</v>
      </c>
      <c r="Y349" s="9">
        <f ca="1">DATOSAÑO!AJ348</f>
        <v>0</v>
      </c>
      <c r="Z349" s="11">
        <f ca="1">(Y349*DATOSAÑO!$Z$11)/DATOSAÑO!$Y$11</f>
        <v>0</v>
      </c>
      <c r="AA349" s="9">
        <f ca="1">DATOSAÑO!AK348</f>
        <v>0</v>
      </c>
      <c r="AB349" s="11">
        <f ca="1">(AA349*DATOSAÑO!$Z$11)/DATOSAÑO!$Y$11</f>
        <v>0</v>
      </c>
      <c r="AC349" s="9">
        <f ca="1">DATOSAÑO!AL348</f>
        <v>0</v>
      </c>
      <c r="AD349" s="11">
        <f ca="1">(AC349*DATOSAÑO!$Z$11)/DATOSAÑO!$Y$11</f>
        <v>0</v>
      </c>
      <c r="AE349" s="9">
        <f ca="1">DATOSAÑO!CJ348</f>
        <v>0</v>
      </c>
      <c r="AF349" s="11">
        <f ca="1">(AE349*DATOSAÑO!$Z$11)/DATOSAÑO!$Y$11</f>
        <v>0</v>
      </c>
      <c r="AG349" s="9">
        <f ca="1">DATOSAÑO!CK348</f>
        <v>0</v>
      </c>
      <c r="AH349" s="11">
        <f ca="1">(AG349*DATOSAÑO!$Z$11)/DATOSAÑO!$Y$11</f>
        <v>0</v>
      </c>
      <c r="AI349" s="9">
        <f ca="1">DATOSAÑO!BS348</f>
        <v>0</v>
      </c>
      <c r="AJ349" s="11">
        <f ca="1">(AI349*DATOSAÑO!$Z$11)/DATOSAÑO!$Y$11</f>
        <v>0</v>
      </c>
      <c r="AK349" s="9">
        <f ca="1">DATOSAÑO!BV348</f>
        <v>0</v>
      </c>
      <c r="AL349" s="11">
        <f ca="1">(AK349*DATOSAÑO!$Z$11)/DATOSAÑO!$Y$11</f>
        <v>0</v>
      </c>
      <c r="AM349" s="9">
        <f ca="1">DATOSAÑO!BY348</f>
        <v>0</v>
      </c>
      <c r="AN349" s="11">
        <f ca="1">(AM349*DATOSAÑO!$Z$11)/DATOSAÑO!$Y$11</f>
        <v>0</v>
      </c>
      <c r="AO349" s="9">
        <f ca="1">DATOSAÑO!CF348</f>
        <v>0</v>
      </c>
      <c r="AP349" s="11">
        <f ca="1">(AO349*DATOSAÑO!$Z$11)/DATOSAÑO!$Y$11</f>
        <v>0</v>
      </c>
      <c r="AQ349" s="9">
        <f ca="1">DATOSAÑO!CL348</f>
        <v>0</v>
      </c>
      <c r="AR349" s="1300">
        <f ca="1">(AQ349*DATOSAÑO!$Z$11)/DATOSAÑO!$Y$11</f>
        <v>0</v>
      </c>
      <c r="AS349" s="1334">
        <f t="shared" si="17"/>
        <v>49</v>
      </c>
    </row>
    <row r="350" spans="1:45" ht="15" thickBot="1">
      <c r="A350" s="1371">
        <v>45265</v>
      </c>
      <c r="B350" s="1021">
        <v>45265</v>
      </c>
      <c r="C350" s="9">
        <f ca="1">DATOSAÑO!I349</f>
        <v>0</v>
      </c>
      <c r="D350" s="10">
        <f ca="1">DATOSAÑO!$D349</f>
        <v>0</v>
      </c>
      <c r="E350" s="11">
        <f ca="1">DATOSAÑO!$G349</f>
        <v>0</v>
      </c>
      <c r="F350" s="9">
        <f ca="1">DATOSAÑO!P349</f>
        <v>0</v>
      </c>
      <c r="G350" s="10">
        <f ca="1">DATOSAÑO!K349</f>
        <v>0</v>
      </c>
      <c r="H350" s="11">
        <f ca="1">DATOSAÑO!N349</f>
        <v>0</v>
      </c>
      <c r="I350" s="9">
        <f ca="1">DATOSAÑO!Q349</f>
        <v>0</v>
      </c>
      <c r="J350" s="11">
        <f ca="1">DATOSAÑO!R349</f>
        <v>0</v>
      </c>
      <c r="K350" s="9">
        <f ca="1">DATOSAÑO!T349</f>
        <v>0</v>
      </c>
      <c r="L350" s="11">
        <f t="shared" ca="1" si="15"/>
        <v>0</v>
      </c>
      <c r="M350" s="9"/>
      <c r="N350" s="11">
        <f t="shared" si="16"/>
        <v>0</v>
      </c>
      <c r="O350" s="9">
        <f>DATOSAÑO!CT349</f>
        <v>0</v>
      </c>
      <c r="P350" s="9">
        <f>DATOSAÑO!CU349</f>
        <v>0</v>
      </c>
      <c r="Q350" s="9">
        <f ca="1">DATOSAÑO!AD349</f>
        <v>0</v>
      </c>
      <c r="R350" s="11">
        <f ca="1">(Q350*DATOSAÑO!$Z$11)/DATOSAÑO!$Y$11</f>
        <v>0</v>
      </c>
      <c r="S350" s="9">
        <f ca="1">DATOSAÑO!AF349</f>
        <v>0</v>
      </c>
      <c r="T350" s="11">
        <f ca="1">(S350*DATOSAÑO!$Z$11)/DATOSAÑO!$Y$11</f>
        <v>0</v>
      </c>
      <c r="U350" s="9">
        <f ca="1">DATOSAÑO!AH349</f>
        <v>0</v>
      </c>
      <c r="V350" s="11">
        <f ca="1">(U350*DATOSAÑO!$Z$11)/DATOSAÑO!$Y$11</f>
        <v>0</v>
      </c>
      <c r="W350" s="9">
        <f ca="1">DATOSAÑO!AI349</f>
        <v>0</v>
      </c>
      <c r="X350" s="11">
        <f ca="1">(W350*DATOSAÑO!$Z$11)/DATOSAÑO!$Y$11</f>
        <v>0</v>
      </c>
      <c r="Y350" s="9">
        <f ca="1">DATOSAÑO!AJ349</f>
        <v>0</v>
      </c>
      <c r="Z350" s="11">
        <f ca="1">(Y350*DATOSAÑO!$Z$11)/DATOSAÑO!$Y$11</f>
        <v>0</v>
      </c>
      <c r="AA350" s="9">
        <f ca="1">DATOSAÑO!AK349</f>
        <v>0</v>
      </c>
      <c r="AB350" s="11">
        <f ca="1">(AA350*DATOSAÑO!$Z$11)/DATOSAÑO!$Y$11</f>
        <v>0</v>
      </c>
      <c r="AC350" s="9">
        <f ca="1">DATOSAÑO!AL349</f>
        <v>0</v>
      </c>
      <c r="AD350" s="11">
        <f ca="1">(AC350*DATOSAÑO!$Z$11)/DATOSAÑO!$Y$11</f>
        <v>0</v>
      </c>
      <c r="AE350" s="9">
        <f ca="1">DATOSAÑO!CJ349</f>
        <v>0</v>
      </c>
      <c r="AF350" s="11">
        <f ca="1">(AE350*DATOSAÑO!$Z$11)/DATOSAÑO!$Y$11</f>
        <v>0</v>
      </c>
      <c r="AG350" s="9">
        <f ca="1">DATOSAÑO!CK349</f>
        <v>0</v>
      </c>
      <c r="AH350" s="11">
        <f ca="1">(AG350*DATOSAÑO!$Z$11)/DATOSAÑO!$Y$11</f>
        <v>0</v>
      </c>
      <c r="AI350" s="9">
        <f ca="1">DATOSAÑO!BS349</f>
        <v>0</v>
      </c>
      <c r="AJ350" s="11">
        <f ca="1">(AI350*DATOSAÑO!$Z$11)/DATOSAÑO!$Y$11</f>
        <v>0</v>
      </c>
      <c r="AK350" s="9">
        <f ca="1">DATOSAÑO!BV349</f>
        <v>0</v>
      </c>
      <c r="AL350" s="11">
        <f ca="1">(AK350*DATOSAÑO!$Z$11)/DATOSAÑO!$Y$11</f>
        <v>0</v>
      </c>
      <c r="AM350" s="9">
        <f ca="1">DATOSAÑO!BY349</f>
        <v>0</v>
      </c>
      <c r="AN350" s="11">
        <f ca="1">(AM350*DATOSAÑO!$Z$11)/DATOSAÑO!$Y$11</f>
        <v>0</v>
      </c>
      <c r="AO350" s="9">
        <f ca="1">DATOSAÑO!CF349</f>
        <v>0</v>
      </c>
      <c r="AP350" s="11">
        <f ca="1">(AO350*DATOSAÑO!$Z$11)/DATOSAÑO!$Y$11</f>
        <v>0</v>
      </c>
      <c r="AQ350" s="9">
        <f ca="1">DATOSAÑO!CL349</f>
        <v>0</v>
      </c>
      <c r="AR350" s="1300">
        <f ca="1">(AQ350*DATOSAÑO!$Z$11)/DATOSAÑO!$Y$11</f>
        <v>0</v>
      </c>
      <c r="AS350" s="1334">
        <f t="shared" si="17"/>
        <v>49</v>
      </c>
    </row>
    <row r="351" spans="1:45" ht="15" thickBot="1">
      <c r="A351" s="1371">
        <v>45266</v>
      </c>
      <c r="B351" s="1021">
        <v>45266</v>
      </c>
      <c r="C351" s="9">
        <f ca="1">DATOSAÑO!I350</f>
        <v>0</v>
      </c>
      <c r="D351" s="10">
        <f ca="1">DATOSAÑO!$D350</f>
        <v>0</v>
      </c>
      <c r="E351" s="11">
        <f ca="1">DATOSAÑO!$G350</f>
        <v>0</v>
      </c>
      <c r="F351" s="9">
        <f ca="1">DATOSAÑO!P350</f>
        <v>0</v>
      </c>
      <c r="G351" s="10">
        <f ca="1">DATOSAÑO!K350</f>
        <v>0</v>
      </c>
      <c r="H351" s="11">
        <f ca="1">DATOSAÑO!N350</f>
        <v>0</v>
      </c>
      <c r="I351" s="9">
        <f ca="1">DATOSAÑO!Q350</f>
        <v>0</v>
      </c>
      <c r="J351" s="11">
        <f ca="1">DATOSAÑO!R350</f>
        <v>0</v>
      </c>
      <c r="K351" s="9">
        <f ca="1">DATOSAÑO!T350</f>
        <v>0</v>
      </c>
      <c r="L351" s="11">
        <f t="shared" ca="1" si="15"/>
        <v>0</v>
      </c>
      <c r="M351" s="9"/>
      <c r="N351" s="11">
        <f t="shared" si="16"/>
        <v>0</v>
      </c>
      <c r="O351" s="9">
        <f>DATOSAÑO!CT350</f>
        <v>0</v>
      </c>
      <c r="P351" s="9">
        <f>DATOSAÑO!CU350</f>
        <v>0</v>
      </c>
      <c r="Q351" s="9">
        <f ca="1">DATOSAÑO!AD350</f>
        <v>0</v>
      </c>
      <c r="R351" s="11">
        <f ca="1">(Q351*DATOSAÑO!$Z$11)/DATOSAÑO!$Y$11</f>
        <v>0</v>
      </c>
      <c r="S351" s="9">
        <f ca="1">DATOSAÑO!AF350</f>
        <v>0</v>
      </c>
      <c r="T351" s="11">
        <f ca="1">(S351*DATOSAÑO!$Z$11)/DATOSAÑO!$Y$11</f>
        <v>0</v>
      </c>
      <c r="U351" s="9">
        <f ca="1">DATOSAÑO!AH350</f>
        <v>0</v>
      </c>
      <c r="V351" s="11">
        <f ca="1">(U351*DATOSAÑO!$Z$11)/DATOSAÑO!$Y$11</f>
        <v>0</v>
      </c>
      <c r="W351" s="9">
        <f ca="1">DATOSAÑO!AI350</f>
        <v>0</v>
      </c>
      <c r="X351" s="11">
        <f ca="1">(W351*DATOSAÑO!$Z$11)/DATOSAÑO!$Y$11</f>
        <v>0</v>
      </c>
      <c r="Y351" s="9">
        <f ca="1">DATOSAÑO!AJ350</f>
        <v>0</v>
      </c>
      <c r="Z351" s="11">
        <f ca="1">(Y351*DATOSAÑO!$Z$11)/DATOSAÑO!$Y$11</f>
        <v>0</v>
      </c>
      <c r="AA351" s="9">
        <f ca="1">DATOSAÑO!AK350</f>
        <v>0</v>
      </c>
      <c r="AB351" s="11">
        <f ca="1">(AA351*DATOSAÑO!$Z$11)/DATOSAÑO!$Y$11</f>
        <v>0</v>
      </c>
      <c r="AC351" s="9">
        <f ca="1">DATOSAÑO!AL350</f>
        <v>0</v>
      </c>
      <c r="AD351" s="11">
        <f ca="1">(AC351*DATOSAÑO!$Z$11)/DATOSAÑO!$Y$11</f>
        <v>0</v>
      </c>
      <c r="AE351" s="9">
        <f ca="1">DATOSAÑO!CJ350</f>
        <v>0</v>
      </c>
      <c r="AF351" s="11">
        <f ca="1">(AE351*DATOSAÑO!$Z$11)/DATOSAÑO!$Y$11</f>
        <v>0</v>
      </c>
      <c r="AG351" s="9">
        <f ca="1">DATOSAÑO!CK350</f>
        <v>0</v>
      </c>
      <c r="AH351" s="11">
        <f ca="1">(AG351*DATOSAÑO!$Z$11)/DATOSAÑO!$Y$11</f>
        <v>0</v>
      </c>
      <c r="AI351" s="9">
        <f ca="1">DATOSAÑO!BS350</f>
        <v>0</v>
      </c>
      <c r="AJ351" s="11">
        <f ca="1">(AI351*DATOSAÑO!$Z$11)/DATOSAÑO!$Y$11</f>
        <v>0</v>
      </c>
      <c r="AK351" s="9">
        <f ca="1">DATOSAÑO!BV350</f>
        <v>0</v>
      </c>
      <c r="AL351" s="11">
        <f ca="1">(AK351*DATOSAÑO!$Z$11)/DATOSAÑO!$Y$11</f>
        <v>0</v>
      </c>
      <c r="AM351" s="9">
        <f ca="1">DATOSAÑO!BY350</f>
        <v>0</v>
      </c>
      <c r="AN351" s="11">
        <f ca="1">(AM351*DATOSAÑO!$Z$11)/DATOSAÑO!$Y$11</f>
        <v>0</v>
      </c>
      <c r="AO351" s="9">
        <f ca="1">DATOSAÑO!CF350</f>
        <v>0</v>
      </c>
      <c r="AP351" s="11">
        <f ca="1">(AO351*DATOSAÑO!$Z$11)/DATOSAÑO!$Y$11</f>
        <v>0</v>
      </c>
      <c r="AQ351" s="9">
        <f ca="1">DATOSAÑO!CL350</f>
        <v>0</v>
      </c>
      <c r="AR351" s="1300">
        <f ca="1">(AQ351*DATOSAÑO!$Z$11)/DATOSAÑO!$Y$11</f>
        <v>0</v>
      </c>
      <c r="AS351" s="1334">
        <f t="shared" si="17"/>
        <v>49</v>
      </c>
    </row>
    <row r="352" spans="1:45" ht="15" thickBot="1">
      <c r="A352" s="1371">
        <v>45267</v>
      </c>
      <c r="B352" s="1021">
        <v>45267</v>
      </c>
      <c r="C352" s="9">
        <f ca="1">DATOSAÑO!I351</f>
        <v>0</v>
      </c>
      <c r="D352" s="10">
        <f ca="1">DATOSAÑO!$D351</f>
        <v>0</v>
      </c>
      <c r="E352" s="11">
        <f ca="1">DATOSAÑO!$G351</f>
        <v>0</v>
      </c>
      <c r="F352" s="9">
        <f ca="1">DATOSAÑO!P351</f>
        <v>0</v>
      </c>
      <c r="G352" s="10">
        <f ca="1">DATOSAÑO!K351</f>
        <v>0</v>
      </c>
      <c r="H352" s="11">
        <f ca="1">DATOSAÑO!N351</f>
        <v>0</v>
      </c>
      <c r="I352" s="9">
        <f ca="1">DATOSAÑO!Q351</f>
        <v>0</v>
      </c>
      <c r="J352" s="11">
        <f ca="1">DATOSAÑO!R351</f>
        <v>0</v>
      </c>
      <c r="K352" s="9">
        <f ca="1">DATOSAÑO!T351</f>
        <v>0</v>
      </c>
      <c r="L352" s="11">
        <f t="shared" ca="1" si="15"/>
        <v>0</v>
      </c>
      <c r="M352" s="9"/>
      <c r="N352" s="11">
        <f t="shared" si="16"/>
        <v>0</v>
      </c>
      <c r="O352" s="9">
        <f>DATOSAÑO!CT351</f>
        <v>0</v>
      </c>
      <c r="P352" s="9">
        <f>DATOSAÑO!CU351</f>
        <v>0</v>
      </c>
      <c r="Q352" s="9">
        <f ca="1">DATOSAÑO!AD351</f>
        <v>0</v>
      </c>
      <c r="R352" s="11">
        <f ca="1">(Q352*DATOSAÑO!$Z$11)/DATOSAÑO!$Y$11</f>
        <v>0</v>
      </c>
      <c r="S352" s="9">
        <f ca="1">DATOSAÑO!AF351</f>
        <v>0</v>
      </c>
      <c r="T352" s="11">
        <f ca="1">(S352*DATOSAÑO!$Z$11)/DATOSAÑO!$Y$11</f>
        <v>0</v>
      </c>
      <c r="U352" s="9">
        <f ca="1">DATOSAÑO!AH351</f>
        <v>0</v>
      </c>
      <c r="V352" s="11">
        <f ca="1">(U352*DATOSAÑO!$Z$11)/DATOSAÑO!$Y$11</f>
        <v>0</v>
      </c>
      <c r="W352" s="9">
        <f ca="1">DATOSAÑO!AI351</f>
        <v>0</v>
      </c>
      <c r="X352" s="11">
        <f ca="1">(W352*DATOSAÑO!$Z$11)/DATOSAÑO!$Y$11</f>
        <v>0</v>
      </c>
      <c r="Y352" s="9">
        <f ca="1">DATOSAÑO!AJ351</f>
        <v>0</v>
      </c>
      <c r="Z352" s="11">
        <f ca="1">(Y352*DATOSAÑO!$Z$11)/DATOSAÑO!$Y$11</f>
        <v>0</v>
      </c>
      <c r="AA352" s="9">
        <f ca="1">DATOSAÑO!AK351</f>
        <v>0</v>
      </c>
      <c r="AB352" s="11">
        <f ca="1">(AA352*DATOSAÑO!$Z$11)/DATOSAÑO!$Y$11</f>
        <v>0</v>
      </c>
      <c r="AC352" s="9">
        <f ca="1">DATOSAÑO!AL351</f>
        <v>0</v>
      </c>
      <c r="AD352" s="11">
        <f ca="1">(AC352*DATOSAÑO!$Z$11)/DATOSAÑO!$Y$11</f>
        <v>0</v>
      </c>
      <c r="AE352" s="9">
        <f ca="1">DATOSAÑO!CJ351</f>
        <v>0</v>
      </c>
      <c r="AF352" s="11">
        <f ca="1">(AE352*DATOSAÑO!$Z$11)/DATOSAÑO!$Y$11</f>
        <v>0</v>
      </c>
      <c r="AG352" s="9">
        <f ca="1">DATOSAÑO!CK351</f>
        <v>0</v>
      </c>
      <c r="AH352" s="11">
        <f ca="1">(AG352*DATOSAÑO!$Z$11)/DATOSAÑO!$Y$11</f>
        <v>0</v>
      </c>
      <c r="AI352" s="9">
        <f ca="1">DATOSAÑO!BS351</f>
        <v>0</v>
      </c>
      <c r="AJ352" s="11">
        <f ca="1">(AI352*DATOSAÑO!$Z$11)/DATOSAÑO!$Y$11</f>
        <v>0</v>
      </c>
      <c r="AK352" s="9">
        <f ca="1">DATOSAÑO!BV351</f>
        <v>0</v>
      </c>
      <c r="AL352" s="11">
        <f ca="1">(AK352*DATOSAÑO!$Z$11)/DATOSAÑO!$Y$11</f>
        <v>0</v>
      </c>
      <c r="AM352" s="9">
        <f ca="1">DATOSAÑO!BY351</f>
        <v>0</v>
      </c>
      <c r="AN352" s="11">
        <f ca="1">(AM352*DATOSAÑO!$Z$11)/DATOSAÑO!$Y$11</f>
        <v>0</v>
      </c>
      <c r="AO352" s="9">
        <f ca="1">DATOSAÑO!CF351</f>
        <v>0</v>
      </c>
      <c r="AP352" s="11">
        <f ca="1">(AO352*DATOSAÑO!$Z$11)/DATOSAÑO!$Y$11</f>
        <v>0</v>
      </c>
      <c r="AQ352" s="9">
        <f ca="1">DATOSAÑO!CL351</f>
        <v>0</v>
      </c>
      <c r="AR352" s="1300">
        <f ca="1">(AQ352*DATOSAÑO!$Z$11)/DATOSAÑO!$Y$11</f>
        <v>0</v>
      </c>
      <c r="AS352" s="1334">
        <f t="shared" si="17"/>
        <v>49</v>
      </c>
    </row>
    <row r="353" spans="1:45" ht="15" thickBot="1">
      <c r="A353" s="1371">
        <v>45268</v>
      </c>
      <c r="B353" s="1021">
        <v>45268</v>
      </c>
      <c r="C353" s="9">
        <f ca="1">DATOSAÑO!I352</f>
        <v>0</v>
      </c>
      <c r="D353" s="10">
        <f ca="1">DATOSAÑO!$D352</f>
        <v>0</v>
      </c>
      <c r="E353" s="11">
        <f ca="1">DATOSAÑO!$G352</f>
        <v>0</v>
      </c>
      <c r="F353" s="9">
        <f ca="1">DATOSAÑO!P352</f>
        <v>0</v>
      </c>
      <c r="G353" s="10">
        <f ca="1">DATOSAÑO!K352</f>
        <v>0</v>
      </c>
      <c r="H353" s="11">
        <f ca="1">DATOSAÑO!N352</f>
        <v>0</v>
      </c>
      <c r="I353" s="9">
        <f ca="1">DATOSAÑO!Q352</f>
        <v>0</v>
      </c>
      <c r="J353" s="11">
        <f ca="1">DATOSAÑO!R352</f>
        <v>0</v>
      </c>
      <c r="K353" s="9">
        <f ca="1">DATOSAÑO!T352</f>
        <v>0</v>
      </c>
      <c r="L353" s="11">
        <f t="shared" ca="1" si="15"/>
        <v>0</v>
      </c>
      <c r="M353" s="9"/>
      <c r="N353" s="11">
        <f t="shared" si="16"/>
        <v>0</v>
      </c>
      <c r="O353" s="9">
        <f>DATOSAÑO!CT352</f>
        <v>0</v>
      </c>
      <c r="P353" s="9">
        <f>DATOSAÑO!CU352</f>
        <v>0</v>
      </c>
      <c r="Q353" s="9">
        <f ca="1">DATOSAÑO!AD352</f>
        <v>0</v>
      </c>
      <c r="R353" s="11">
        <f ca="1">(Q353*DATOSAÑO!$Z$11)/DATOSAÑO!$Y$11</f>
        <v>0</v>
      </c>
      <c r="S353" s="9">
        <f ca="1">DATOSAÑO!AF352</f>
        <v>0</v>
      </c>
      <c r="T353" s="11">
        <f ca="1">(S353*DATOSAÑO!$Z$11)/DATOSAÑO!$Y$11</f>
        <v>0</v>
      </c>
      <c r="U353" s="9">
        <f ca="1">DATOSAÑO!AH352</f>
        <v>0</v>
      </c>
      <c r="V353" s="11">
        <f ca="1">(U353*DATOSAÑO!$Z$11)/DATOSAÑO!$Y$11</f>
        <v>0</v>
      </c>
      <c r="W353" s="9">
        <f ca="1">DATOSAÑO!AI352</f>
        <v>0</v>
      </c>
      <c r="X353" s="11">
        <f ca="1">(W353*DATOSAÑO!$Z$11)/DATOSAÑO!$Y$11</f>
        <v>0</v>
      </c>
      <c r="Y353" s="9">
        <f ca="1">DATOSAÑO!AJ352</f>
        <v>0</v>
      </c>
      <c r="Z353" s="11">
        <f ca="1">(Y353*DATOSAÑO!$Z$11)/DATOSAÑO!$Y$11</f>
        <v>0</v>
      </c>
      <c r="AA353" s="9">
        <f ca="1">DATOSAÑO!AK352</f>
        <v>0</v>
      </c>
      <c r="AB353" s="11">
        <f ca="1">(AA353*DATOSAÑO!$Z$11)/DATOSAÑO!$Y$11</f>
        <v>0</v>
      </c>
      <c r="AC353" s="9">
        <f ca="1">DATOSAÑO!AL352</f>
        <v>0</v>
      </c>
      <c r="AD353" s="11">
        <f ca="1">(AC353*DATOSAÑO!$Z$11)/DATOSAÑO!$Y$11</f>
        <v>0</v>
      </c>
      <c r="AE353" s="9">
        <f ca="1">DATOSAÑO!CJ352</f>
        <v>0</v>
      </c>
      <c r="AF353" s="11">
        <f ca="1">(AE353*DATOSAÑO!$Z$11)/DATOSAÑO!$Y$11</f>
        <v>0</v>
      </c>
      <c r="AG353" s="9">
        <f ca="1">DATOSAÑO!CK352</f>
        <v>0</v>
      </c>
      <c r="AH353" s="11">
        <f ca="1">(AG353*DATOSAÑO!$Z$11)/DATOSAÑO!$Y$11</f>
        <v>0</v>
      </c>
      <c r="AI353" s="9">
        <f ca="1">DATOSAÑO!BS352</f>
        <v>0</v>
      </c>
      <c r="AJ353" s="11">
        <f ca="1">(AI353*DATOSAÑO!$Z$11)/DATOSAÑO!$Y$11</f>
        <v>0</v>
      </c>
      <c r="AK353" s="9">
        <f ca="1">DATOSAÑO!BV352</f>
        <v>0</v>
      </c>
      <c r="AL353" s="11">
        <f ca="1">(AK353*DATOSAÑO!$Z$11)/DATOSAÑO!$Y$11</f>
        <v>0</v>
      </c>
      <c r="AM353" s="9">
        <f ca="1">DATOSAÑO!BY352</f>
        <v>0</v>
      </c>
      <c r="AN353" s="11">
        <f ca="1">(AM353*DATOSAÑO!$Z$11)/DATOSAÑO!$Y$11</f>
        <v>0</v>
      </c>
      <c r="AO353" s="9">
        <f ca="1">DATOSAÑO!CF352</f>
        <v>0</v>
      </c>
      <c r="AP353" s="11">
        <f ca="1">(AO353*DATOSAÑO!$Z$11)/DATOSAÑO!$Y$11</f>
        <v>0</v>
      </c>
      <c r="AQ353" s="9">
        <f ca="1">DATOSAÑO!CL352</f>
        <v>0</v>
      </c>
      <c r="AR353" s="1300">
        <f ca="1">(AQ353*DATOSAÑO!$Z$11)/DATOSAÑO!$Y$11</f>
        <v>0</v>
      </c>
      <c r="AS353" s="1334">
        <f t="shared" si="17"/>
        <v>49</v>
      </c>
    </row>
    <row r="354" spans="1:45" ht="15" thickBot="1">
      <c r="A354" s="1371">
        <v>45269</v>
      </c>
      <c r="B354" s="1021">
        <v>45269</v>
      </c>
      <c r="C354" s="9">
        <f ca="1">DATOSAÑO!I353</f>
        <v>0</v>
      </c>
      <c r="D354" s="10">
        <f ca="1">DATOSAÑO!$D353</f>
        <v>0</v>
      </c>
      <c r="E354" s="11">
        <f ca="1">DATOSAÑO!$G353</f>
        <v>0</v>
      </c>
      <c r="F354" s="9">
        <f ca="1">DATOSAÑO!P353</f>
        <v>0</v>
      </c>
      <c r="G354" s="10">
        <f ca="1">DATOSAÑO!K353</f>
        <v>0</v>
      </c>
      <c r="H354" s="11">
        <f ca="1">DATOSAÑO!N353</f>
        <v>0</v>
      </c>
      <c r="I354" s="9">
        <f ca="1">DATOSAÑO!Q353</f>
        <v>0</v>
      </c>
      <c r="J354" s="11">
        <f ca="1">DATOSAÑO!R353</f>
        <v>0</v>
      </c>
      <c r="K354" s="9">
        <f ca="1">DATOSAÑO!T353</f>
        <v>0</v>
      </c>
      <c r="L354" s="11">
        <f t="shared" ca="1" si="15"/>
        <v>0</v>
      </c>
      <c r="M354" s="9"/>
      <c r="N354" s="11">
        <f t="shared" si="16"/>
        <v>0</v>
      </c>
      <c r="O354" s="9">
        <f>DATOSAÑO!CT353</f>
        <v>0</v>
      </c>
      <c r="P354" s="9">
        <f>DATOSAÑO!CU353</f>
        <v>0</v>
      </c>
      <c r="Q354" s="9">
        <f ca="1">DATOSAÑO!AD353</f>
        <v>0</v>
      </c>
      <c r="R354" s="11">
        <f ca="1">(Q354*DATOSAÑO!$Z$11)/DATOSAÑO!$Y$11</f>
        <v>0</v>
      </c>
      <c r="S354" s="9">
        <f ca="1">DATOSAÑO!AF353</f>
        <v>0</v>
      </c>
      <c r="T354" s="11">
        <f ca="1">(S354*DATOSAÑO!$Z$11)/DATOSAÑO!$Y$11</f>
        <v>0</v>
      </c>
      <c r="U354" s="9">
        <f ca="1">DATOSAÑO!AH353</f>
        <v>0</v>
      </c>
      <c r="V354" s="11">
        <f ca="1">(U354*DATOSAÑO!$Z$11)/DATOSAÑO!$Y$11</f>
        <v>0</v>
      </c>
      <c r="W354" s="9">
        <f ca="1">DATOSAÑO!AI353</f>
        <v>0</v>
      </c>
      <c r="X354" s="11">
        <f ca="1">(W354*DATOSAÑO!$Z$11)/DATOSAÑO!$Y$11</f>
        <v>0</v>
      </c>
      <c r="Y354" s="9">
        <f ca="1">DATOSAÑO!AJ353</f>
        <v>0</v>
      </c>
      <c r="Z354" s="11">
        <f ca="1">(Y354*DATOSAÑO!$Z$11)/DATOSAÑO!$Y$11</f>
        <v>0</v>
      </c>
      <c r="AA354" s="9">
        <f ca="1">DATOSAÑO!AK353</f>
        <v>0</v>
      </c>
      <c r="AB354" s="11">
        <f ca="1">(AA354*DATOSAÑO!$Z$11)/DATOSAÑO!$Y$11</f>
        <v>0</v>
      </c>
      <c r="AC354" s="9">
        <f ca="1">DATOSAÑO!AL353</f>
        <v>0</v>
      </c>
      <c r="AD354" s="11">
        <f ca="1">(AC354*DATOSAÑO!$Z$11)/DATOSAÑO!$Y$11</f>
        <v>0</v>
      </c>
      <c r="AE354" s="9">
        <f ca="1">DATOSAÑO!CJ353</f>
        <v>0</v>
      </c>
      <c r="AF354" s="11">
        <f ca="1">(AE354*DATOSAÑO!$Z$11)/DATOSAÑO!$Y$11</f>
        <v>0</v>
      </c>
      <c r="AG354" s="9">
        <f ca="1">DATOSAÑO!CK353</f>
        <v>0</v>
      </c>
      <c r="AH354" s="11">
        <f ca="1">(AG354*DATOSAÑO!$Z$11)/DATOSAÑO!$Y$11</f>
        <v>0</v>
      </c>
      <c r="AI354" s="9">
        <f ca="1">DATOSAÑO!BS353</f>
        <v>0</v>
      </c>
      <c r="AJ354" s="11">
        <f ca="1">(AI354*DATOSAÑO!$Z$11)/DATOSAÑO!$Y$11</f>
        <v>0</v>
      </c>
      <c r="AK354" s="9">
        <f ca="1">DATOSAÑO!BV353</f>
        <v>0</v>
      </c>
      <c r="AL354" s="11">
        <f ca="1">(AK354*DATOSAÑO!$Z$11)/DATOSAÑO!$Y$11</f>
        <v>0</v>
      </c>
      <c r="AM354" s="9">
        <f ca="1">DATOSAÑO!BY353</f>
        <v>0</v>
      </c>
      <c r="AN354" s="11">
        <f ca="1">(AM354*DATOSAÑO!$Z$11)/DATOSAÑO!$Y$11</f>
        <v>0</v>
      </c>
      <c r="AO354" s="9">
        <f ca="1">DATOSAÑO!CF353</f>
        <v>0</v>
      </c>
      <c r="AP354" s="11">
        <f ca="1">(AO354*DATOSAÑO!$Z$11)/DATOSAÑO!$Y$11</f>
        <v>0</v>
      </c>
      <c r="AQ354" s="9">
        <f ca="1">DATOSAÑO!CL353</f>
        <v>0</v>
      </c>
      <c r="AR354" s="1300">
        <f ca="1">(AQ354*DATOSAÑO!$Z$11)/DATOSAÑO!$Y$11</f>
        <v>0</v>
      </c>
      <c r="AS354" s="1334">
        <f t="shared" si="17"/>
        <v>49</v>
      </c>
    </row>
    <row r="355" spans="1:45" ht="15" thickBot="1">
      <c r="A355" s="1371">
        <v>45270</v>
      </c>
      <c r="B355" s="1021">
        <v>45270</v>
      </c>
      <c r="C355" s="9">
        <f ca="1">DATOSAÑO!I354</f>
        <v>0</v>
      </c>
      <c r="D355" s="10">
        <f ca="1">DATOSAÑO!$D354</f>
        <v>0</v>
      </c>
      <c r="E355" s="11">
        <f ca="1">DATOSAÑO!$G354</f>
        <v>0</v>
      </c>
      <c r="F355" s="9">
        <f ca="1">DATOSAÑO!P354</f>
        <v>0</v>
      </c>
      <c r="G355" s="10">
        <f ca="1">DATOSAÑO!K354</f>
        <v>0</v>
      </c>
      <c r="H355" s="11">
        <f ca="1">DATOSAÑO!N354</f>
        <v>0</v>
      </c>
      <c r="I355" s="9">
        <f ca="1">DATOSAÑO!Q354</f>
        <v>0</v>
      </c>
      <c r="J355" s="11">
        <f ca="1">DATOSAÑO!R354</f>
        <v>0</v>
      </c>
      <c r="K355" s="9">
        <f ca="1">DATOSAÑO!T354</f>
        <v>0</v>
      </c>
      <c r="L355" s="11">
        <f t="shared" ca="1" si="15"/>
        <v>0</v>
      </c>
      <c r="M355" s="9"/>
      <c r="N355" s="11">
        <f t="shared" si="16"/>
        <v>0</v>
      </c>
      <c r="O355" s="9">
        <f>DATOSAÑO!CT354</f>
        <v>0</v>
      </c>
      <c r="P355" s="9">
        <f>DATOSAÑO!CU354</f>
        <v>0</v>
      </c>
      <c r="Q355" s="9">
        <f ca="1">DATOSAÑO!AD354</f>
        <v>0</v>
      </c>
      <c r="R355" s="11">
        <f ca="1">(Q355*DATOSAÑO!$Z$11)/DATOSAÑO!$Y$11</f>
        <v>0</v>
      </c>
      <c r="S355" s="9">
        <f ca="1">DATOSAÑO!AF354</f>
        <v>0</v>
      </c>
      <c r="T355" s="11">
        <f ca="1">(S355*DATOSAÑO!$Z$11)/DATOSAÑO!$Y$11</f>
        <v>0</v>
      </c>
      <c r="U355" s="9">
        <f ca="1">DATOSAÑO!AH354</f>
        <v>0</v>
      </c>
      <c r="V355" s="11">
        <f ca="1">(U355*DATOSAÑO!$Z$11)/DATOSAÑO!$Y$11</f>
        <v>0</v>
      </c>
      <c r="W355" s="9">
        <f ca="1">DATOSAÑO!AI354</f>
        <v>0</v>
      </c>
      <c r="X355" s="11">
        <f ca="1">(W355*DATOSAÑO!$Z$11)/DATOSAÑO!$Y$11</f>
        <v>0</v>
      </c>
      <c r="Y355" s="9">
        <f ca="1">DATOSAÑO!AJ354</f>
        <v>0</v>
      </c>
      <c r="Z355" s="11">
        <f ca="1">(Y355*DATOSAÑO!$Z$11)/DATOSAÑO!$Y$11</f>
        <v>0</v>
      </c>
      <c r="AA355" s="9">
        <f ca="1">DATOSAÑO!AK354</f>
        <v>0</v>
      </c>
      <c r="AB355" s="11">
        <f ca="1">(AA355*DATOSAÑO!$Z$11)/DATOSAÑO!$Y$11</f>
        <v>0</v>
      </c>
      <c r="AC355" s="9">
        <f ca="1">DATOSAÑO!AL354</f>
        <v>0</v>
      </c>
      <c r="AD355" s="11">
        <f ca="1">(AC355*DATOSAÑO!$Z$11)/DATOSAÑO!$Y$11</f>
        <v>0</v>
      </c>
      <c r="AE355" s="9">
        <f ca="1">DATOSAÑO!CJ354</f>
        <v>0</v>
      </c>
      <c r="AF355" s="11">
        <f ca="1">(AE355*DATOSAÑO!$Z$11)/DATOSAÑO!$Y$11</f>
        <v>0</v>
      </c>
      <c r="AG355" s="9">
        <f ca="1">DATOSAÑO!CK354</f>
        <v>0</v>
      </c>
      <c r="AH355" s="11">
        <f ca="1">(AG355*DATOSAÑO!$Z$11)/DATOSAÑO!$Y$11</f>
        <v>0</v>
      </c>
      <c r="AI355" s="9">
        <f ca="1">DATOSAÑO!BS354</f>
        <v>0</v>
      </c>
      <c r="AJ355" s="11">
        <f ca="1">(AI355*DATOSAÑO!$Z$11)/DATOSAÑO!$Y$11</f>
        <v>0</v>
      </c>
      <c r="AK355" s="9">
        <f ca="1">DATOSAÑO!BV354</f>
        <v>0</v>
      </c>
      <c r="AL355" s="11">
        <f ca="1">(AK355*DATOSAÑO!$Z$11)/DATOSAÑO!$Y$11</f>
        <v>0</v>
      </c>
      <c r="AM355" s="9">
        <f ca="1">DATOSAÑO!BY354</f>
        <v>0</v>
      </c>
      <c r="AN355" s="11">
        <f ca="1">(AM355*DATOSAÑO!$Z$11)/DATOSAÑO!$Y$11</f>
        <v>0</v>
      </c>
      <c r="AO355" s="9">
        <f ca="1">DATOSAÑO!CF354</f>
        <v>0</v>
      </c>
      <c r="AP355" s="11">
        <f ca="1">(AO355*DATOSAÑO!$Z$11)/DATOSAÑO!$Y$11</f>
        <v>0</v>
      </c>
      <c r="AQ355" s="9">
        <f ca="1">DATOSAÑO!CL354</f>
        <v>0</v>
      </c>
      <c r="AR355" s="1300">
        <f ca="1">(AQ355*DATOSAÑO!$Z$11)/DATOSAÑO!$Y$11</f>
        <v>0</v>
      </c>
      <c r="AS355" s="1334">
        <f t="shared" si="17"/>
        <v>50</v>
      </c>
    </row>
    <row r="356" spans="1:45" ht="15" thickBot="1">
      <c r="A356" s="1371">
        <v>45271</v>
      </c>
      <c r="B356" s="1021">
        <v>45271</v>
      </c>
      <c r="C356" s="9">
        <f ca="1">DATOSAÑO!I355</f>
        <v>0</v>
      </c>
      <c r="D356" s="10">
        <f ca="1">DATOSAÑO!$D355</f>
        <v>0</v>
      </c>
      <c r="E356" s="11">
        <f ca="1">DATOSAÑO!$G355</f>
        <v>0</v>
      </c>
      <c r="F356" s="9">
        <f ca="1">DATOSAÑO!P355</f>
        <v>0</v>
      </c>
      <c r="G356" s="10">
        <f ca="1">DATOSAÑO!K355</f>
        <v>0</v>
      </c>
      <c r="H356" s="11">
        <f ca="1">DATOSAÑO!N355</f>
        <v>0</v>
      </c>
      <c r="I356" s="9">
        <f ca="1">DATOSAÑO!Q355</f>
        <v>0</v>
      </c>
      <c r="J356" s="11">
        <f ca="1">DATOSAÑO!R355</f>
        <v>0</v>
      </c>
      <c r="K356" s="9">
        <f ca="1">DATOSAÑO!T355</f>
        <v>0</v>
      </c>
      <c r="L356" s="11">
        <f t="shared" ca="1" si="15"/>
        <v>0</v>
      </c>
      <c r="M356" s="9"/>
      <c r="N356" s="11">
        <f t="shared" si="16"/>
        <v>0</v>
      </c>
      <c r="O356" s="9">
        <f>DATOSAÑO!CT355</f>
        <v>0</v>
      </c>
      <c r="P356" s="9">
        <f>DATOSAÑO!CU355</f>
        <v>0</v>
      </c>
      <c r="Q356" s="9">
        <f ca="1">DATOSAÑO!AD355</f>
        <v>0</v>
      </c>
      <c r="R356" s="11">
        <f ca="1">(Q356*DATOSAÑO!$Z$11)/DATOSAÑO!$Y$11</f>
        <v>0</v>
      </c>
      <c r="S356" s="9">
        <f ca="1">DATOSAÑO!AF355</f>
        <v>0</v>
      </c>
      <c r="T356" s="11">
        <f ca="1">(S356*DATOSAÑO!$Z$11)/DATOSAÑO!$Y$11</f>
        <v>0</v>
      </c>
      <c r="U356" s="9">
        <f ca="1">DATOSAÑO!AH355</f>
        <v>0</v>
      </c>
      <c r="V356" s="11">
        <f ca="1">(U356*DATOSAÑO!$Z$11)/DATOSAÑO!$Y$11</f>
        <v>0</v>
      </c>
      <c r="W356" s="9">
        <f ca="1">DATOSAÑO!AI355</f>
        <v>0</v>
      </c>
      <c r="X356" s="11">
        <f ca="1">(W356*DATOSAÑO!$Z$11)/DATOSAÑO!$Y$11</f>
        <v>0</v>
      </c>
      <c r="Y356" s="9">
        <f ca="1">DATOSAÑO!AJ355</f>
        <v>0</v>
      </c>
      <c r="Z356" s="11">
        <f ca="1">(Y356*DATOSAÑO!$Z$11)/DATOSAÑO!$Y$11</f>
        <v>0</v>
      </c>
      <c r="AA356" s="9">
        <f ca="1">DATOSAÑO!AK355</f>
        <v>0</v>
      </c>
      <c r="AB356" s="11">
        <f ca="1">(AA356*DATOSAÑO!$Z$11)/DATOSAÑO!$Y$11</f>
        <v>0</v>
      </c>
      <c r="AC356" s="9">
        <f ca="1">DATOSAÑO!AL355</f>
        <v>0</v>
      </c>
      <c r="AD356" s="11">
        <f ca="1">(AC356*DATOSAÑO!$Z$11)/DATOSAÑO!$Y$11</f>
        <v>0</v>
      </c>
      <c r="AE356" s="9">
        <f ca="1">DATOSAÑO!CJ355</f>
        <v>0</v>
      </c>
      <c r="AF356" s="11">
        <f ca="1">(AE356*DATOSAÑO!$Z$11)/DATOSAÑO!$Y$11</f>
        <v>0</v>
      </c>
      <c r="AG356" s="9">
        <f ca="1">DATOSAÑO!CK355</f>
        <v>0</v>
      </c>
      <c r="AH356" s="11">
        <f ca="1">(AG356*DATOSAÑO!$Z$11)/DATOSAÑO!$Y$11</f>
        <v>0</v>
      </c>
      <c r="AI356" s="9">
        <f ca="1">DATOSAÑO!BS355</f>
        <v>0</v>
      </c>
      <c r="AJ356" s="11">
        <f ca="1">(AI356*DATOSAÑO!$Z$11)/DATOSAÑO!$Y$11</f>
        <v>0</v>
      </c>
      <c r="AK356" s="9">
        <f ca="1">DATOSAÑO!BV355</f>
        <v>0</v>
      </c>
      <c r="AL356" s="11">
        <f ca="1">(AK356*DATOSAÑO!$Z$11)/DATOSAÑO!$Y$11</f>
        <v>0</v>
      </c>
      <c r="AM356" s="9">
        <f ca="1">DATOSAÑO!BY355</f>
        <v>0</v>
      </c>
      <c r="AN356" s="11">
        <f ca="1">(AM356*DATOSAÑO!$Z$11)/DATOSAÑO!$Y$11</f>
        <v>0</v>
      </c>
      <c r="AO356" s="9">
        <f ca="1">DATOSAÑO!CF355</f>
        <v>0</v>
      </c>
      <c r="AP356" s="11">
        <f ca="1">(AO356*DATOSAÑO!$Z$11)/DATOSAÑO!$Y$11</f>
        <v>0</v>
      </c>
      <c r="AQ356" s="9">
        <f ca="1">DATOSAÑO!CL355</f>
        <v>0</v>
      </c>
      <c r="AR356" s="1300">
        <f ca="1">(AQ356*DATOSAÑO!$Z$11)/DATOSAÑO!$Y$11</f>
        <v>0</v>
      </c>
      <c r="AS356" s="1334">
        <f t="shared" si="17"/>
        <v>50</v>
      </c>
    </row>
    <row r="357" spans="1:45" ht="15" thickBot="1">
      <c r="A357" s="1371">
        <v>45272</v>
      </c>
      <c r="B357" s="1021">
        <v>45272</v>
      </c>
      <c r="C357" s="9">
        <f ca="1">DATOSAÑO!I356</f>
        <v>0</v>
      </c>
      <c r="D357" s="10">
        <f ca="1">DATOSAÑO!$D356</f>
        <v>0</v>
      </c>
      <c r="E357" s="11">
        <f ca="1">DATOSAÑO!$G356</f>
        <v>0</v>
      </c>
      <c r="F357" s="9">
        <f ca="1">DATOSAÑO!P356</f>
        <v>0</v>
      </c>
      <c r="G357" s="10">
        <f ca="1">DATOSAÑO!K356</f>
        <v>0</v>
      </c>
      <c r="H357" s="11">
        <f ca="1">DATOSAÑO!N356</f>
        <v>0</v>
      </c>
      <c r="I357" s="9">
        <f ca="1">DATOSAÑO!Q356</f>
        <v>0</v>
      </c>
      <c r="J357" s="11">
        <f ca="1">DATOSAÑO!R356</f>
        <v>0</v>
      </c>
      <c r="K357" s="9">
        <f ca="1">DATOSAÑO!T356</f>
        <v>0</v>
      </c>
      <c r="L357" s="11">
        <f t="shared" ca="1" si="15"/>
        <v>0</v>
      </c>
      <c r="M357" s="9"/>
      <c r="N357" s="11">
        <f t="shared" si="16"/>
        <v>0</v>
      </c>
      <c r="O357" s="9">
        <f>DATOSAÑO!CT356</f>
        <v>0</v>
      </c>
      <c r="P357" s="9">
        <f>DATOSAÑO!CU356</f>
        <v>0</v>
      </c>
      <c r="Q357" s="9">
        <f ca="1">DATOSAÑO!AD356</f>
        <v>0</v>
      </c>
      <c r="R357" s="11">
        <f ca="1">(Q357*DATOSAÑO!$Z$11)/DATOSAÑO!$Y$11</f>
        <v>0</v>
      </c>
      <c r="S357" s="9">
        <f ca="1">DATOSAÑO!AF356</f>
        <v>0</v>
      </c>
      <c r="T357" s="11">
        <f ca="1">(S357*DATOSAÑO!$Z$11)/DATOSAÑO!$Y$11</f>
        <v>0</v>
      </c>
      <c r="U357" s="9">
        <f ca="1">DATOSAÑO!AH356</f>
        <v>0</v>
      </c>
      <c r="V357" s="11">
        <f ca="1">(U357*DATOSAÑO!$Z$11)/DATOSAÑO!$Y$11</f>
        <v>0</v>
      </c>
      <c r="W357" s="9">
        <f ca="1">DATOSAÑO!AI356</f>
        <v>0</v>
      </c>
      <c r="X357" s="11">
        <f ca="1">(W357*DATOSAÑO!$Z$11)/DATOSAÑO!$Y$11</f>
        <v>0</v>
      </c>
      <c r="Y357" s="9">
        <f ca="1">DATOSAÑO!AJ356</f>
        <v>0</v>
      </c>
      <c r="Z357" s="11">
        <f ca="1">(Y357*DATOSAÑO!$Z$11)/DATOSAÑO!$Y$11</f>
        <v>0</v>
      </c>
      <c r="AA357" s="9">
        <f ca="1">DATOSAÑO!AK356</f>
        <v>0</v>
      </c>
      <c r="AB357" s="11">
        <f ca="1">(AA357*DATOSAÑO!$Z$11)/DATOSAÑO!$Y$11</f>
        <v>0</v>
      </c>
      <c r="AC357" s="9">
        <f ca="1">DATOSAÑO!AL356</f>
        <v>0</v>
      </c>
      <c r="AD357" s="11">
        <f ca="1">(AC357*DATOSAÑO!$Z$11)/DATOSAÑO!$Y$11</f>
        <v>0</v>
      </c>
      <c r="AE357" s="9">
        <f ca="1">DATOSAÑO!CJ356</f>
        <v>0</v>
      </c>
      <c r="AF357" s="11">
        <f ca="1">(AE357*DATOSAÑO!$Z$11)/DATOSAÑO!$Y$11</f>
        <v>0</v>
      </c>
      <c r="AG357" s="9">
        <f ca="1">DATOSAÑO!CK356</f>
        <v>0</v>
      </c>
      <c r="AH357" s="11">
        <f ca="1">(AG357*DATOSAÑO!$Z$11)/DATOSAÑO!$Y$11</f>
        <v>0</v>
      </c>
      <c r="AI357" s="9">
        <f ca="1">DATOSAÑO!BS356</f>
        <v>0</v>
      </c>
      <c r="AJ357" s="11">
        <f ca="1">(AI357*DATOSAÑO!$Z$11)/DATOSAÑO!$Y$11</f>
        <v>0</v>
      </c>
      <c r="AK357" s="9">
        <f ca="1">DATOSAÑO!BV356</f>
        <v>0</v>
      </c>
      <c r="AL357" s="11">
        <f ca="1">(AK357*DATOSAÑO!$Z$11)/DATOSAÑO!$Y$11</f>
        <v>0</v>
      </c>
      <c r="AM357" s="9">
        <f ca="1">DATOSAÑO!BY356</f>
        <v>0</v>
      </c>
      <c r="AN357" s="11">
        <f ca="1">(AM357*DATOSAÑO!$Z$11)/DATOSAÑO!$Y$11</f>
        <v>0</v>
      </c>
      <c r="AO357" s="9">
        <f ca="1">DATOSAÑO!CF356</f>
        <v>0</v>
      </c>
      <c r="AP357" s="11">
        <f ca="1">(AO357*DATOSAÑO!$Z$11)/DATOSAÑO!$Y$11</f>
        <v>0</v>
      </c>
      <c r="AQ357" s="9">
        <f ca="1">DATOSAÑO!CL356</f>
        <v>0</v>
      </c>
      <c r="AR357" s="1300">
        <f ca="1">(AQ357*DATOSAÑO!$Z$11)/DATOSAÑO!$Y$11</f>
        <v>0</v>
      </c>
      <c r="AS357" s="1334">
        <f t="shared" si="17"/>
        <v>50</v>
      </c>
    </row>
    <row r="358" spans="1:45" ht="15" thickBot="1">
      <c r="A358" s="1371">
        <v>45273</v>
      </c>
      <c r="B358" s="1021">
        <v>45273</v>
      </c>
      <c r="C358" s="9">
        <f ca="1">DATOSAÑO!I357</f>
        <v>0</v>
      </c>
      <c r="D358" s="10">
        <f ca="1">DATOSAÑO!$D357</f>
        <v>0</v>
      </c>
      <c r="E358" s="11">
        <f ca="1">DATOSAÑO!$G357</f>
        <v>0</v>
      </c>
      <c r="F358" s="9">
        <f ca="1">DATOSAÑO!P357</f>
        <v>0</v>
      </c>
      <c r="G358" s="10">
        <f ca="1">DATOSAÑO!K357</f>
        <v>0</v>
      </c>
      <c r="H358" s="11">
        <f ca="1">DATOSAÑO!N357</f>
        <v>0</v>
      </c>
      <c r="I358" s="9">
        <f ca="1">DATOSAÑO!Q357</f>
        <v>0</v>
      </c>
      <c r="J358" s="11">
        <f ca="1">DATOSAÑO!R357</f>
        <v>0</v>
      </c>
      <c r="K358" s="9">
        <f ca="1">DATOSAÑO!T357</f>
        <v>0</v>
      </c>
      <c r="L358" s="11">
        <f t="shared" ca="1" si="15"/>
        <v>0</v>
      </c>
      <c r="M358" s="9"/>
      <c r="N358" s="11">
        <f t="shared" si="16"/>
        <v>0</v>
      </c>
      <c r="O358" s="9">
        <f>DATOSAÑO!CT357</f>
        <v>0</v>
      </c>
      <c r="P358" s="9">
        <f>DATOSAÑO!CU357</f>
        <v>0</v>
      </c>
      <c r="Q358" s="9">
        <f ca="1">DATOSAÑO!AD357</f>
        <v>0</v>
      </c>
      <c r="R358" s="11">
        <f ca="1">(Q358*DATOSAÑO!$Z$11)/DATOSAÑO!$Y$11</f>
        <v>0</v>
      </c>
      <c r="S358" s="9">
        <f ca="1">DATOSAÑO!AF357</f>
        <v>0</v>
      </c>
      <c r="T358" s="11">
        <f ca="1">(S358*DATOSAÑO!$Z$11)/DATOSAÑO!$Y$11</f>
        <v>0</v>
      </c>
      <c r="U358" s="9">
        <f ca="1">DATOSAÑO!AH357</f>
        <v>0</v>
      </c>
      <c r="V358" s="11">
        <f ca="1">(U358*DATOSAÑO!$Z$11)/DATOSAÑO!$Y$11</f>
        <v>0</v>
      </c>
      <c r="W358" s="9">
        <f ca="1">DATOSAÑO!AI357</f>
        <v>0</v>
      </c>
      <c r="X358" s="11">
        <f ca="1">(W358*DATOSAÑO!$Z$11)/DATOSAÑO!$Y$11</f>
        <v>0</v>
      </c>
      <c r="Y358" s="9">
        <f ca="1">DATOSAÑO!AJ357</f>
        <v>0</v>
      </c>
      <c r="Z358" s="11">
        <f ca="1">(Y358*DATOSAÑO!$Z$11)/DATOSAÑO!$Y$11</f>
        <v>0</v>
      </c>
      <c r="AA358" s="9">
        <f ca="1">DATOSAÑO!AK357</f>
        <v>0</v>
      </c>
      <c r="AB358" s="11">
        <f ca="1">(AA358*DATOSAÑO!$Z$11)/DATOSAÑO!$Y$11</f>
        <v>0</v>
      </c>
      <c r="AC358" s="9">
        <f ca="1">DATOSAÑO!AL357</f>
        <v>0</v>
      </c>
      <c r="AD358" s="11">
        <f ca="1">(AC358*DATOSAÑO!$Z$11)/DATOSAÑO!$Y$11</f>
        <v>0</v>
      </c>
      <c r="AE358" s="9">
        <f ca="1">DATOSAÑO!CJ357</f>
        <v>0</v>
      </c>
      <c r="AF358" s="11">
        <f ca="1">(AE358*DATOSAÑO!$Z$11)/DATOSAÑO!$Y$11</f>
        <v>0</v>
      </c>
      <c r="AG358" s="9">
        <f ca="1">DATOSAÑO!CK357</f>
        <v>0</v>
      </c>
      <c r="AH358" s="11">
        <f ca="1">(AG358*DATOSAÑO!$Z$11)/DATOSAÑO!$Y$11</f>
        <v>0</v>
      </c>
      <c r="AI358" s="9">
        <f ca="1">DATOSAÑO!BS357</f>
        <v>0</v>
      </c>
      <c r="AJ358" s="11">
        <f ca="1">(AI358*DATOSAÑO!$Z$11)/DATOSAÑO!$Y$11</f>
        <v>0</v>
      </c>
      <c r="AK358" s="9">
        <f ca="1">DATOSAÑO!BV357</f>
        <v>0</v>
      </c>
      <c r="AL358" s="11">
        <f ca="1">(AK358*DATOSAÑO!$Z$11)/DATOSAÑO!$Y$11</f>
        <v>0</v>
      </c>
      <c r="AM358" s="9">
        <f ca="1">DATOSAÑO!BY357</f>
        <v>0</v>
      </c>
      <c r="AN358" s="11">
        <f ca="1">(AM358*DATOSAÑO!$Z$11)/DATOSAÑO!$Y$11</f>
        <v>0</v>
      </c>
      <c r="AO358" s="9">
        <f ca="1">DATOSAÑO!CF357</f>
        <v>0</v>
      </c>
      <c r="AP358" s="11">
        <f ca="1">(AO358*DATOSAÑO!$Z$11)/DATOSAÑO!$Y$11</f>
        <v>0</v>
      </c>
      <c r="AQ358" s="9">
        <f ca="1">DATOSAÑO!CL357</f>
        <v>0</v>
      </c>
      <c r="AR358" s="1300">
        <f ca="1">(AQ358*DATOSAÑO!$Z$11)/DATOSAÑO!$Y$11</f>
        <v>0</v>
      </c>
      <c r="AS358" s="1334">
        <f t="shared" si="17"/>
        <v>50</v>
      </c>
    </row>
    <row r="359" spans="1:45" ht="15" thickBot="1">
      <c r="A359" s="1371">
        <v>45274</v>
      </c>
      <c r="B359" s="1021">
        <v>45274</v>
      </c>
      <c r="C359" s="9">
        <f ca="1">DATOSAÑO!I358</f>
        <v>0</v>
      </c>
      <c r="D359" s="10">
        <f ca="1">DATOSAÑO!$D358</f>
        <v>0</v>
      </c>
      <c r="E359" s="11">
        <f ca="1">DATOSAÑO!$G358</f>
        <v>0</v>
      </c>
      <c r="F359" s="9">
        <f ca="1">DATOSAÑO!P358</f>
        <v>0</v>
      </c>
      <c r="G359" s="10">
        <f ca="1">DATOSAÑO!K358</f>
        <v>0</v>
      </c>
      <c r="H359" s="11">
        <f ca="1">DATOSAÑO!N358</f>
        <v>0</v>
      </c>
      <c r="I359" s="9">
        <f ca="1">DATOSAÑO!Q358</f>
        <v>0</v>
      </c>
      <c r="J359" s="11">
        <f ca="1">DATOSAÑO!R358</f>
        <v>0</v>
      </c>
      <c r="K359" s="9">
        <f ca="1">DATOSAÑO!T358</f>
        <v>0</v>
      </c>
      <c r="L359" s="11">
        <f t="shared" ca="1" si="15"/>
        <v>0</v>
      </c>
      <c r="M359" s="9"/>
      <c r="N359" s="11">
        <f t="shared" si="16"/>
        <v>0</v>
      </c>
      <c r="O359" s="9">
        <f>DATOSAÑO!CT358</f>
        <v>0</v>
      </c>
      <c r="P359" s="9">
        <f>DATOSAÑO!CU358</f>
        <v>0</v>
      </c>
      <c r="Q359" s="9">
        <f ca="1">DATOSAÑO!AD358</f>
        <v>0</v>
      </c>
      <c r="R359" s="11">
        <f ca="1">(Q359*DATOSAÑO!$Z$11)/DATOSAÑO!$Y$11</f>
        <v>0</v>
      </c>
      <c r="S359" s="9">
        <f ca="1">DATOSAÑO!AF358</f>
        <v>0</v>
      </c>
      <c r="T359" s="11">
        <f ca="1">(S359*DATOSAÑO!$Z$11)/DATOSAÑO!$Y$11</f>
        <v>0</v>
      </c>
      <c r="U359" s="9">
        <f ca="1">DATOSAÑO!AH358</f>
        <v>0</v>
      </c>
      <c r="V359" s="11">
        <f ca="1">(U359*DATOSAÑO!$Z$11)/DATOSAÑO!$Y$11</f>
        <v>0</v>
      </c>
      <c r="W359" s="9">
        <f ca="1">DATOSAÑO!AI358</f>
        <v>0</v>
      </c>
      <c r="X359" s="11">
        <f ca="1">(W359*DATOSAÑO!$Z$11)/DATOSAÑO!$Y$11</f>
        <v>0</v>
      </c>
      <c r="Y359" s="9">
        <f ca="1">DATOSAÑO!AJ358</f>
        <v>0</v>
      </c>
      <c r="Z359" s="11">
        <f ca="1">(Y359*DATOSAÑO!$Z$11)/DATOSAÑO!$Y$11</f>
        <v>0</v>
      </c>
      <c r="AA359" s="9">
        <f ca="1">DATOSAÑO!AK358</f>
        <v>0</v>
      </c>
      <c r="AB359" s="11">
        <f ca="1">(AA359*DATOSAÑO!$Z$11)/DATOSAÑO!$Y$11</f>
        <v>0</v>
      </c>
      <c r="AC359" s="9">
        <f ca="1">DATOSAÑO!AL358</f>
        <v>0</v>
      </c>
      <c r="AD359" s="11">
        <f ca="1">(AC359*DATOSAÑO!$Z$11)/DATOSAÑO!$Y$11</f>
        <v>0</v>
      </c>
      <c r="AE359" s="9">
        <f ca="1">DATOSAÑO!CJ358</f>
        <v>0</v>
      </c>
      <c r="AF359" s="11">
        <f ca="1">(AE359*DATOSAÑO!$Z$11)/DATOSAÑO!$Y$11</f>
        <v>0</v>
      </c>
      <c r="AG359" s="9">
        <f ca="1">DATOSAÑO!CK358</f>
        <v>0</v>
      </c>
      <c r="AH359" s="11">
        <f ca="1">(AG359*DATOSAÑO!$Z$11)/DATOSAÑO!$Y$11</f>
        <v>0</v>
      </c>
      <c r="AI359" s="9">
        <f ca="1">DATOSAÑO!BS358</f>
        <v>0</v>
      </c>
      <c r="AJ359" s="11">
        <f ca="1">(AI359*DATOSAÑO!$Z$11)/DATOSAÑO!$Y$11</f>
        <v>0</v>
      </c>
      <c r="AK359" s="9">
        <f ca="1">DATOSAÑO!BV358</f>
        <v>0</v>
      </c>
      <c r="AL359" s="11">
        <f ca="1">(AK359*DATOSAÑO!$Z$11)/DATOSAÑO!$Y$11</f>
        <v>0</v>
      </c>
      <c r="AM359" s="9">
        <f ca="1">DATOSAÑO!BY358</f>
        <v>0</v>
      </c>
      <c r="AN359" s="11">
        <f ca="1">(AM359*DATOSAÑO!$Z$11)/DATOSAÑO!$Y$11</f>
        <v>0</v>
      </c>
      <c r="AO359" s="9">
        <f ca="1">DATOSAÑO!CF358</f>
        <v>0</v>
      </c>
      <c r="AP359" s="11">
        <f ca="1">(AO359*DATOSAÑO!$Z$11)/DATOSAÑO!$Y$11</f>
        <v>0</v>
      </c>
      <c r="AQ359" s="9">
        <f ca="1">DATOSAÑO!CL358</f>
        <v>0</v>
      </c>
      <c r="AR359" s="1300">
        <f ca="1">(AQ359*DATOSAÑO!$Z$11)/DATOSAÑO!$Y$11</f>
        <v>0</v>
      </c>
      <c r="AS359" s="1334">
        <f t="shared" si="17"/>
        <v>50</v>
      </c>
    </row>
    <row r="360" spans="1:45" ht="15" thickBot="1">
      <c r="A360" s="1371">
        <v>45275</v>
      </c>
      <c r="B360" s="1021">
        <v>45275</v>
      </c>
      <c r="C360" s="9">
        <f ca="1">DATOSAÑO!I359</f>
        <v>0</v>
      </c>
      <c r="D360" s="10">
        <f ca="1">DATOSAÑO!$D359</f>
        <v>0</v>
      </c>
      <c r="E360" s="11">
        <f ca="1">DATOSAÑO!$G359</f>
        <v>0</v>
      </c>
      <c r="F360" s="9">
        <f ca="1">DATOSAÑO!P359</f>
        <v>0</v>
      </c>
      <c r="G360" s="10">
        <f ca="1">DATOSAÑO!K359</f>
        <v>0</v>
      </c>
      <c r="H360" s="11">
        <f ca="1">DATOSAÑO!N359</f>
        <v>0</v>
      </c>
      <c r="I360" s="9">
        <f ca="1">DATOSAÑO!Q359</f>
        <v>0</v>
      </c>
      <c r="J360" s="11">
        <f ca="1">DATOSAÑO!R359</f>
        <v>0</v>
      </c>
      <c r="K360" s="9">
        <f ca="1">DATOSAÑO!T359</f>
        <v>0</v>
      </c>
      <c r="L360" s="11">
        <f t="shared" ca="1" si="15"/>
        <v>0</v>
      </c>
      <c r="M360" s="9"/>
      <c r="N360" s="11">
        <f t="shared" si="16"/>
        <v>0</v>
      </c>
      <c r="O360" s="9">
        <f>DATOSAÑO!CT359</f>
        <v>0</v>
      </c>
      <c r="P360" s="9">
        <f>DATOSAÑO!CU359</f>
        <v>0</v>
      </c>
      <c r="Q360" s="9">
        <f ca="1">DATOSAÑO!AD359</f>
        <v>0</v>
      </c>
      <c r="R360" s="11">
        <f ca="1">(Q360*DATOSAÑO!$Z$11)/DATOSAÑO!$Y$11</f>
        <v>0</v>
      </c>
      <c r="S360" s="9">
        <f ca="1">DATOSAÑO!AF359</f>
        <v>0</v>
      </c>
      <c r="T360" s="11">
        <f ca="1">(S360*DATOSAÑO!$Z$11)/DATOSAÑO!$Y$11</f>
        <v>0</v>
      </c>
      <c r="U360" s="9">
        <f ca="1">DATOSAÑO!AH359</f>
        <v>0</v>
      </c>
      <c r="V360" s="11">
        <f ca="1">(U360*DATOSAÑO!$Z$11)/DATOSAÑO!$Y$11</f>
        <v>0</v>
      </c>
      <c r="W360" s="9">
        <f ca="1">DATOSAÑO!AI359</f>
        <v>0</v>
      </c>
      <c r="X360" s="11">
        <f ca="1">(W360*DATOSAÑO!$Z$11)/DATOSAÑO!$Y$11</f>
        <v>0</v>
      </c>
      <c r="Y360" s="9">
        <f ca="1">DATOSAÑO!AJ359</f>
        <v>0</v>
      </c>
      <c r="Z360" s="11">
        <f ca="1">(Y360*DATOSAÑO!$Z$11)/DATOSAÑO!$Y$11</f>
        <v>0</v>
      </c>
      <c r="AA360" s="9">
        <f ca="1">DATOSAÑO!AK359</f>
        <v>0</v>
      </c>
      <c r="AB360" s="11">
        <f ca="1">(AA360*DATOSAÑO!$Z$11)/DATOSAÑO!$Y$11</f>
        <v>0</v>
      </c>
      <c r="AC360" s="9">
        <f ca="1">DATOSAÑO!AL359</f>
        <v>0</v>
      </c>
      <c r="AD360" s="11">
        <f ca="1">(AC360*DATOSAÑO!$Z$11)/DATOSAÑO!$Y$11</f>
        <v>0</v>
      </c>
      <c r="AE360" s="9">
        <f ca="1">DATOSAÑO!CJ359</f>
        <v>0</v>
      </c>
      <c r="AF360" s="11">
        <f ca="1">(AE360*DATOSAÑO!$Z$11)/DATOSAÑO!$Y$11</f>
        <v>0</v>
      </c>
      <c r="AG360" s="9">
        <f ca="1">DATOSAÑO!CK359</f>
        <v>0</v>
      </c>
      <c r="AH360" s="11">
        <f ca="1">(AG360*DATOSAÑO!$Z$11)/DATOSAÑO!$Y$11</f>
        <v>0</v>
      </c>
      <c r="AI360" s="9">
        <f ca="1">DATOSAÑO!BS359</f>
        <v>0</v>
      </c>
      <c r="AJ360" s="11">
        <f ca="1">(AI360*DATOSAÑO!$Z$11)/DATOSAÑO!$Y$11</f>
        <v>0</v>
      </c>
      <c r="AK360" s="9">
        <f ca="1">DATOSAÑO!BV359</f>
        <v>0</v>
      </c>
      <c r="AL360" s="11">
        <f ca="1">(AK360*DATOSAÑO!$Z$11)/DATOSAÑO!$Y$11</f>
        <v>0</v>
      </c>
      <c r="AM360" s="9">
        <f ca="1">DATOSAÑO!BY359</f>
        <v>0</v>
      </c>
      <c r="AN360" s="11">
        <f ca="1">(AM360*DATOSAÑO!$Z$11)/DATOSAÑO!$Y$11</f>
        <v>0</v>
      </c>
      <c r="AO360" s="9">
        <f ca="1">DATOSAÑO!CF359</f>
        <v>0</v>
      </c>
      <c r="AP360" s="11">
        <f ca="1">(AO360*DATOSAÑO!$Z$11)/DATOSAÑO!$Y$11</f>
        <v>0</v>
      </c>
      <c r="AQ360" s="9">
        <f ca="1">DATOSAÑO!CL359</f>
        <v>0</v>
      </c>
      <c r="AR360" s="1300">
        <f ca="1">(AQ360*DATOSAÑO!$Z$11)/DATOSAÑO!$Y$11</f>
        <v>0</v>
      </c>
      <c r="AS360" s="1334">
        <f t="shared" si="17"/>
        <v>50</v>
      </c>
    </row>
    <row r="361" spans="1:45" ht="15" thickBot="1">
      <c r="A361" s="1371">
        <v>45276</v>
      </c>
      <c r="B361" s="1021">
        <v>45276</v>
      </c>
      <c r="C361" s="9">
        <f ca="1">DATOSAÑO!I360</f>
        <v>0</v>
      </c>
      <c r="D361" s="10">
        <f ca="1">DATOSAÑO!$D360</f>
        <v>0</v>
      </c>
      <c r="E361" s="11">
        <f ca="1">DATOSAÑO!$G360</f>
        <v>0</v>
      </c>
      <c r="F361" s="9">
        <f ca="1">DATOSAÑO!P360</f>
        <v>0</v>
      </c>
      <c r="G361" s="10">
        <f ca="1">DATOSAÑO!K360</f>
        <v>0</v>
      </c>
      <c r="H361" s="11">
        <f ca="1">DATOSAÑO!N360</f>
        <v>0</v>
      </c>
      <c r="I361" s="9">
        <f ca="1">DATOSAÑO!Q360</f>
        <v>0</v>
      </c>
      <c r="J361" s="11">
        <f ca="1">DATOSAÑO!R360</f>
        <v>0</v>
      </c>
      <c r="K361" s="9">
        <f ca="1">DATOSAÑO!T360</f>
        <v>0</v>
      </c>
      <c r="L361" s="11">
        <f t="shared" ca="1" si="15"/>
        <v>0</v>
      </c>
      <c r="M361" s="9"/>
      <c r="N361" s="11">
        <f t="shared" si="16"/>
        <v>0</v>
      </c>
      <c r="O361" s="9">
        <f>DATOSAÑO!CT360</f>
        <v>0</v>
      </c>
      <c r="P361" s="9">
        <f>DATOSAÑO!CU360</f>
        <v>0</v>
      </c>
      <c r="Q361" s="9">
        <f ca="1">DATOSAÑO!AD360</f>
        <v>0</v>
      </c>
      <c r="R361" s="11">
        <f ca="1">(Q361*DATOSAÑO!$Z$11)/DATOSAÑO!$Y$11</f>
        <v>0</v>
      </c>
      <c r="S361" s="9">
        <f ca="1">DATOSAÑO!AF360</f>
        <v>0</v>
      </c>
      <c r="T361" s="11">
        <f ca="1">(S361*DATOSAÑO!$Z$11)/DATOSAÑO!$Y$11</f>
        <v>0</v>
      </c>
      <c r="U361" s="9">
        <f ca="1">DATOSAÑO!AH360</f>
        <v>0</v>
      </c>
      <c r="V361" s="11">
        <f ca="1">(U361*DATOSAÑO!$Z$11)/DATOSAÑO!$Y$11</f>
        <v>0</v>
      </c>
      <c r="W361" s="9">
        <f ca="1">DATOSAÑO!AI360</f>
        <v>0</v>
      </c>
      <c r="X361" s="11">
        <f ca="1">(W361*DATOSAÑO!$Z$11)/DATOSAÑO!$Y$11</f>
        <v>0</v>
      </c>
      <c r="Y361" s="9">
        <f ca="1">DATOSAÑO!AJ360</f>
        <v>0</v>
      </c>
      <c r="Z361" s="11">
        <f ca="1">(Y361*DATOSAÑO!$Z$11)/DATOSAÑO!$Y$11</f>
        <v>0</v>
      </c>
      <c r="AA361" s="9">
        <f ca="1">DATOSAÑO!AK360</f>
        <v>0</v>
      </c>
      <c r="AB361" s="11">
        <f ca="1">(AA361*DATOSAÑO!$Z$11)/DATOSAÑO!$Y$11</f>
        <v>0</v>
      </c>
      <c r="AC361" s="9">
        <f ca="1">DATOSAÑO!AL360</f>
        <v>0</v>
      </c>
      <c r="AD361" s="11">
        <f ca="1">(AC361*DATOSAÑO!$Z$11)/DATOSAÑO!$Y$11</f>
        <v>0</v>
      </c>
      <c r="AE361" s="9">
        <f ca="1">DATOSAÑO!CJ360</f>
        <v>0</v>
      </c>
      <c r="AF361" s="11">
        <f ca="1">(AE361*DATOSAÑO!$Z$11)/DATOSAÑO!$Y$11</f>
        <v>0</v>
      </c>
      <c r="AG361" s="9">
        <f ca="1">DATOSAÑO!CK360</f>
        <v>0</v>
      </c>
      <c r="AH361" s="11">
        <f ca="1">(AG361*DATOSAÑO!$Z$11)/DATOSAÑO!$Y$11</f>
        <v>0</v>
      </c>
      <c r="AI361" s="9">
        <f ca="1">DATOSAÑO!BS360</f>
        <v>0</v>
      </c>
      <c r="AJ361" s="11">
        <f ca="1">(AI361*DATOSAÑO!$Z$11)/DATOSAÑO!$Y$11</f>
        <v>0</v>
      </c>
      <c r="AK361" s="9">
        <f ca="1">DATOSAÑO!BV360</f>
        <v>0</v>
      </c>
      <c r="AL361" s="11">
        <f ca="1">(AK361*DATOSAÑO!$Z$11)/DATOSAÑO!$Y$11</f>
        <v>0</v>
      </c>
      <c r="AM361" s="9">
        <f ca="1">DATOSAÑO!BY360</f>
        <v>0</v>
      </c>
      <c r="AN361" s="11">
        <f ca="1">(AM361*DATOSAÑO!$Z$11)/DATOSAÑO!$Y$11</f>
        <v>0</v>
      </c>
      <c r="AO361" s="9">
        <f ca="1">DATOSAÑO!CF360</f>
        <v>0</v>
      </c>
      <c r="AP361" s="11">
        <f ca="1">(AO361*DATOSAÑO!$Z$11)/DATOSAÑO!$Y$11</f>
        <v>0</v>
      </c>
      <c r="AQ361" s="9">
        <f ca="1">DATOSAÑO!CL360</f>
        <v>0</v>
      </c>
      <c r="AR361" s="1300">
        <f ca="1">(AQ361*DATOSAÑO!$Z$11)/DATOSAÑO!$Y$11</f>
        <v>0</v>
      </c>
      <c r="AS361" s="1334">
        <f t="shared" si="17"/>
        <v>50</v>
      </c>
    </row>
    <row r="362" spans="1:45" ht="15" thickBot="1">
      <c r="A362" s="1371">
        <v>45277</v>
      </c>
      <c r="B362" s="1021">
        <v>45277</v>
      </c>
      <c r="C362" s="9">
        <f ca="1">DATOSAÑO!I361</f>
        <v>0</v>
      </c>
      <c r="D362" s="10">
        <f ca="1">DATOSAÑO!$D361</f>
        <v>0</v>
      </c>
      <c r="E362" s="11">
        <f ca="1">DATOSAÑO!$G361</f>
        <v>0</v>
      </c>
      <c r="F362" s="9">
        <f ca="1">DATOSAÑO!P361</f>
        <v>0</v>
      </c>
      <c r="G362" s="10">
        <f ca="1">DATOSAÑO!K361</f>
        <v>0</v>
      </c>
      <c r="H362" s="11">
        <f ca="1">DATOSAÑO!N361</f>
        <v>0</v>
      </c>
      <c r="I362" s="9">
        <f ca="1">DATOSAÑO!Q361</f>
        <v>0</v>
      </c>
      <c r="J362" s="11">
        <f ca="1">DATOSAÑO!R361</f>
        <v>0</v>
      </c>
      <c r="K362" s="9">
        <f ca="1">DATOSAÑO!T361</f>
        <v>0</v>
      </c>
      <c r="L362" s="11">
        <f t="shared" ca="1" si="15"/>
        <v>0</v>
      </c>
      <c r="M362" s="9"/>
      <c r="N362" s="11">
        <f t="shared" si="16"/>
        <v>0</v>
      </c>
      <c r="O362" s="9">
        <f>DATOSAÑO!CT361</f>
        <v>0</v>
      </c>
      <c r="P362" s="9">
        <f>DATOSAÑO!CU361</f>
        <v>0</v>
      </c>
      <c r="Q362" s="9">
        <f ca="1">DATOSAÑO!AD361</f>
        <v>0</v>
      </c>
      <c r="R362" s="11">
        <f ca="1">(Q362*DATOSAÑO!$Z$11)/DATOSAÑO!$Y$11</f>
        <v>0</v>
      </c>
      <c r="S362" s="9">
        <f ca="1">DATOSAÑO!AF361</f>
        <v>0</v>
      </c>
      <c r="T362" s="11">
        <f ca="1">(S362*DATOSAÑO!$Z$11)/DATOSAÑO!$Y$11</f>
        <v>0</v>
      </c>
      <c r="U362" s="9">
        <f ca="1">DATOSAÑO!AH361</f>
        <v>0</v>
      </c>
      <c r="V362" s="11">
        <f ca="1">(U362*DATOSAÑO!$Z$11)/DATOSAÑO!$Y$11</f>
        <v>0</v>
      </c>
      <c r="W362" s="9">
        <f ca="1">DATOSAÑO!AI361</f>
        <v>0</v>
      </c>
      <c r="X362" s="11">
        <f ca="1">(W362*DATOSAÑO!$Z$11)/DATOSAÑO!$Y$11</f>
        <v>0</v>
      </c>
      <c r="Y362" s="9">
        <f ca="1">DATOSAÑO!AJ361</f>
        <v>0</v>
      </c>
      <c r="Z362" s="11">
        <f ca="1">(Y362*DATOSAÑO!$Z$11)/DATOSAÑO!$Y$11</f>
        <v>0</v>
      </c>
      <c r="AA362" s="9">
        <f ca="1">DATOSAÑO!AK361</f>
        <v>0</v>
      </c>
      <c r="AB362" s="11">
        <f ca="1">(AA362*DATOSAÑO!$Z$11)/DATOSAÑO!$Y$11</f>
        <v>0</v>
      </c>
      <c r="AC362" s="9">
        <f ca="1">DATOSAÑO!AL361</f>
        <v>0</v>
      </c>
      <c r="AD362" s="11">
        <f ca="1">(AC362*DATOSAÑO!$Z$11)/DATOSAÑO!$Y$11</f>
        <v>0</v>
      </c>
      <c r="AE362" s="9">
        <f ca="1">DATOSAÑO!CJ361</f>
        <v>0</v>
      </c>
      <c r="AF362" s="11">
        <f ca="1">(AE362*DATOSAÑO!$Z$11)/DATOSAÑO!$Y$11</f>
        <v>0</v>
      </c>
      <c r="AG362" s="9">
        <f ca="1">DATOSAÑO!CK361</f>
        <v>0</v>
      </c>
      <c r="AH362" s="11">
        <f ca="1">(AG362*DATOSAÑO!$Z$11)/DATOSAÑO!$Y$11</f>
        <v>0</v>
      </c>
      <c r="AI362" s="9">
        <f ca="1">DATOSAÑO!BS361</f>
        <v>0</v>
      </c>
      <c r="AJ362" s="11">
        <f ca="1">(AI362*DATOSAÑO!$Z$11)/DATOSAÑO!$Y$11</f>
        <v>0</v>
      </c>
      <c r="AK362" s="9">
        <f ca="1">DATOSAÑO!BV361</f>
        <v>0</v>
      </c>
      <c r="AL362" s="11">
        <f ca="1">(AK362*DATOSAÑO!$Z$11)/DATOSAÑO!$Y$11</f>
        <v>0</v>
      </c>
      <c r="AM362" s="9">
        <f ca="1">DATOSAÑO!BY361</f>
        <v>0</v>
      </c>
      <c r="AN362" s="11">
        <f ca="1">(AM362*DATOSAÑO!$Z$11)/DATOSAÑO!$Y$11</f>
        <v>0</v>
      </c>
      <c r="AO362" s="9">
        <f ca="1">DATOSAÑO!CF361</f>
        <v>0</v>
      </c>
      <c r="AP362" s="11">
        <f ca="1">(AO362*DATOSAÑO!$Z$11)/DATOSAÑO!$Y$11</f>
        <v>0</v>
      </c>
      <c r="AQ362" s="9">
        <f ca="1">DATOSAÑO!CL361</f>
        <v>0</v>
      </c>
      <c r="AR362" s="1300">
        <f ca="1">(AQ362*DATOSAÑO!$Z$11)/DATOSAÑO!$Y$11</f>
        <v>0</v>
      </c>
      <c r="AS362" s="1334">
        <f t="shared" si="17"/>
        <v>51</v>
      </c>
    </row>
    <row r="363" spans="1:45" ht="15" thickBot="1">
      <c r="A363" s="1371">
        <v>45278</v>
      </c>
      <c r="B363" s="1021">
        <v>45278</v>
      </c>
      <c r="C363" s="9">
        <f ca="1">DATOSAÑO!I362</f>
        <v>0</v>
      </c>
      <c r="D363" s="10">
        <f ca="1">DATOSAÑO!$D362</f>
        <v>0</v>
      </c>
      <c r="E363" s="11">
        <f ca="1">DATOSAÑO!$G362</f>
        <v>0</v>
      </c>
      <c r="F363" s="9">
        <f ca="1">DATOSAÑO!P362</f>
        <v>0</v>
      </c>
      <c r="G363" s="10">
        <f ca="1">DATOSAÑO!K362</f>
        <v>0</v>
      </c>
      <c r="H363" s="11">
        <f ca="1">DATOSAÑO!N362</f>
        <v>0</v>
      </c>
      <c r="I363" s="9">
        <f ca="1">DATOSAÑO!Q362</f>
        <v>0</v>
      </c>
      <c r="J363" s="11">
        <f ca="1">DATOSAÑO!R362</f>
        <v>0</v>
      </c>
      <c r="K363" s="9">
        <f ca="1">DATOSAÑO!T362</f>
        <v>0</v>
      </c>
      <c r="L363" s="11">
        <f t="shared" ca="1" si="15"/>
        <v>0</v>
      </c>
      <c r="M363" s="9"/>
      <c r="N363" s="11">
        <f t="shared" si="16"/>
        <v>0</v>
      </c>
      <c r="O363" s="9">
        <f>DATOSAÑO!CT362</f>
        <v>0</v>
      </c>
      <c r="P363" s="9">
        <f>DATOSAÑO!CU362</f>
        <v>0</v>
      </c>
      <c r="Q363" s="9">
        <f ca="1">DATOSAÑO!AD362</f>
        <v>0</v>
      </c>
      <c r="R363" s="11">
        <f ca="1">(Q363*DATOSAÑO!$Z$11)/DATOSAÑO!$Y$11</f>
        <v>0</v>
      </c>
      <c r="S363" s="9">
        <f ca="1">DATOSAÑO!AF362</f>
        <v>0</v>
      </c>
      <c r="T363" s="11">
        <f ca="1">(S363*DATOSAÑO!$Z$11)/DATOSAÑO!$Y$11</f>
        <v>0</v>
      </c>
      <c r="U363" s="9">
        <f ca="1">DATOSAÑO!AH362</f>
        <v>0</v>
      </c>
      <c r="V363" s="11">
        <f ca="1">(U363*DATOSAÑO!$Z$11)/DATOSAÑO!$Y$11</f>
        <v>0</v>
      </c>
      <c r="W363" s="9">
        <f ca="1">DATOSAÑO!AI362</f>
        <v>0</v>
      </c>
      <c r="X363" s="11">
        <f ca="1">(W363*DATOSAÑO!$Z$11)/DATOSAÑO!$Y$11</f>
        <v>0</v>
      </c>
      <c r="Y363" s="9">
        <f ca="1">DATOSAÑO!AJ362</f>
        <v>0</v>
      </c>
      <c r="Z363" s="11">
        <f ca="1">(Y363*DATOSAÑO!$Z$11)/DATOSAÑO!$Y$11</f>
        <v>0</v>
      </c>
      <c r="AA363" s="9">
        <f ca="1">DATOSAÑO!AK362</f>
        <v>0</v>
      </c>
      <c r="AB363" s="11">
        <f ca="1">(AA363*DATOSAÑO!$Z$11)/DATOSAÑO!$Y$11</f>
        <v>0</v>
      </c>
      <c r="AC363" s="9">
        <f ca="1">DATOSAÑO!AL362</f>
        <v>0</v>
      </c>
      <c r="AD363" s="11">
        <f ca="1">(AC363*DATOSAÑO!$Z$11)/DATOSAÑO!$Y$11</f>
        <v>0</v>
      </c>
      <c r="AE363" s="9">
        <f ca="1">DATOSAÑO!CJ362</f>
        <v>0</v>
      </c>
      <c r="AF363" s="11">
        <f ca="1">(AE363*DATOSAÑO!$Z$11)/DATOSAÑO!$Y$11</f>
        <v>0</v>
      </c>
      <c r="AG363" s="9">
        <f ca="1">DATOSAÑO!CK362</f>
        <v>0</v>
      </c>
      <c r="AH363" s="11">
        <f ca="1">(AG363*DATOSAÑO!$Z$11)/DATOSAÑO!$Y$11</f>
        <v>0</v>
      </c>
      <c r="AI363" s="9">
        <f ca="1">DATOSAÑO!BS362</f>
        <v>0</v>
      </c>
      <c r="AJ363" s="11">
        <f ca="1">(AI363*DATOSAÑO!$Z$11)/DATOSAÑO!$Y$11</f>
        <v>0</v>
      </c>
      <c r="AK363" s="9">
        <f ca="1">DATOSAÑO!BV362</f>
        <v>0</v>
      </c>
      <c r="AL363" s="11">
        <f ca="1">(AK363*DATOSAÑO!$Z$11)/DATOSAÑO!$Y$11</f>
        <v>0</v>
      </c>
      <c r="AM363" s="9">
        <f ca="1">DATOSAÑO!BY362</f>
        <v>0</v>
      </c>
      <c r="AN363" s="11">
        <f ca="1">(AM363*DATOSAÑO!$Z$11)/DATOSAÑO!$Y$11</f>
        <v>0</v>
      </c>
      <c r="AO363" s="9">
        <f ca="1">DATOSAÑO!CF362</f>
        <v>0</v>
      </c>
      <c r="AP363" s="11">
        <f ca="1">(AO363*DATOSAÑO!$Z$11)/DATOSAÑO!$Y$11</f>
        <v>0</v>
      </c>
      <c r="AQ363" s="9">
        <f ca="1">DATOSAÑO!CL362</f>
        <v>0</v>
      </c>
      <c r="AR363" s="1300">
        <f ca="1">(AQ363*DATOSAÑO!$Z$11)/DATOSAÑO!$Y$11</f>
        <v>0</v>
      </c>
      <c r="AS363" s="1334">
        <f t="shared" si="17"/>
        <v>51</v>
      </c>
    </row>
    <row r="364" spans="1:45" ht="15" thickBot="1">
      <c r="A364" s="1371">
        <v>45279</v>
      </c>
      <c r="B364" s="1021">
        <v>45279</v>
      </c>
      <c r="C364" s="9">
        <f ca="1">DATOSAÑO!I363</f>
        <v>0</v>
      </c>
      <c r="D364" s="10">
        <f ca="1">DATOSAÑO!$D363</f>
        <v>0</v>
      </c>
      <c r="E364" s="11">
        <f ca="1">DATOSAÑO!$G363</f>
        <v>0</v>
      </c>
      <c r="F364" s="9">
        <f ca="1">DATOSAÑO!P363</f>
        <v>0</v>
      </c>
      <c r="G364" s="10">
        <f ca="1">DATOSAÑO!K363</f>
        <v>0</v>
      </c>
      <c r="H364" s="11">
        <f ca="1">DATOSAÑO!N363</f>
        <v>0</v>
      </c>
      <c r="I364" s="9">
        <f ca="1">DATOSAÑO!Q363</f>
        <v>0</v>
      </c>
      <c r="J364" s="11">
        <f ca="1">DATOSAÑO!R363</f>
        <v>0</v>
      </c>
      <c r="K364" s="9">
        <f ca="1">DATOSAÑO!T363</f>
        <v>0</v>
      </c>
      <c r="L364" s="11">
        <f t="shared" ca="1" si="15"/>
        <v>0</v>
      </c>
      <c r="M364" s="9"/>
      <c r="N364" s="11">
        <f t="shared" si="16"/>
        <v>0</v>
      </c>
      <c r="O364" s="9">
        <f>DATOSAÑO!CT363</f>
        <v>0</v>
      </c>
      <c r="P364" s="9">
        <f>DATOSAÑO!CU363</f>
        <v>0</v>
      </c>
      <c r="Q364" s="9">
        <f ca="1">DATOSAÑO!AD363</f>
        <v>0</v>
      </c>
      <c r="R364" s="11">
        <f ca="1">(Q364*DATOSAÑO!$Z$11)/DATOSAÑO!$Y$11</f>
        <v>0</v>
      </c>
      <c r="S364" s="9">
        <f ca="1">DATOSAÑO!AF363</f>
        <v>0</v>
      </c>
      <c r="T364" s="11">
        <f ca="1">(S364*DATOSAÑO!$Z$11)/DATOSAÑO!$Y$11</f>
        <v>0</v>
      </c>
      <c r="U364" s="9">
        <f ca="1">DATOSAÑO!AH363</f>
        <v>0</v>
      </c>
      <c r="V364" s="11">
        <f ca="1">(U364*DATOSAÑO!$Z$11)/DATOSAÑO!$Y$11</f>
        <v>0</v>
      </c>
      <c r="W364" s="9">
        <f ca="1">DATOSAÑO!AI363</f>
        <v>0</v>
      </c>
      <c r="X364" s="11">
        <f ca="1">(W364*DATOSAÑO!$Z$11)/DATOSAÑO!$Y$11</f>
        <v>0</v>
      </c>
      <c r="Y364" s="9">
        <f ca="1">DATOSAÑO!AJ363</f>
        <v>0</v>
      </c>
      <c r="Z364" s="11">
        <f ca="1">(Y364*DATOSAÑO!$Z$11)/DATOSAÑO!$Y$11</f>
        <v>0</v>
      </c>
      <c r="AA364" s="9">
        <f ca="1">DATOSAÑO!AK363</f>
        <v>0</v>
      </c>
      <c r="AB364" s="11">
        <f ca="1">(AA364*DATOSAÑO!$Z$11)/DATOSAÑO!$Y$11</f>
        <v>0</v>
      </c>
      <c r="AC364" s="9">
        <f ca="1">DATOSAÑO!AL363</f>
        <v>0</v>
      </c>
      <c r="AD364" s="11">
        <f ca="1">(AC364*DATOSAÑO!$Z$11)/DATOSAÑO!$Y$11</f>
        <v>0</v>
      </c>
      <c r="AE364" s="9">
        <f ca="1">DATOSAÑO!CJ363</f>
        <v>0</v>
      </c>
      <c r="AF364" s="11">
        <f ca="1">(AE364*DATOSAÑO!$Z$11)/DATOSAÑO!$Y$11</f>
        <v>0</v>
      </c>
      <c r="AG364" s="9">
        <f ca="1">DATOSAÑO!CK363</f>
        <v>0</v>
      </c>
      <c r="AH364" s="11">
        <f ca="1">(AG364*DATOSAÑO!$Z$11)/DATOSAÑO!$Y$11</f>
        <v>0</v>
      </c>
      <c r="AI364" s="9">
        <f ca="1">DATOSAÑO!BS363</f>
        <v>0</v>
      </c>
      <c r="AJ364" s="11">
        <f ca="1">(AI364*DATOSAÑO!$Z$11)/DATOSAÑO!$Y$11</f>
        <v>0</v>
      </c>
      <c r="AK364" s="9">
        <f ca="1">DATOSAÑO!BV363</f>
        <v>0</v>
      </c>
      <c r="AL364" s="11">
        <f ca="1">(AK364*DATOSAÑO!$Z$11)/DATOSAÑO!$Y$11</f>
        <v>0</v>
      </c>
      <c r="AM364" s="9">
        <f ca="1">DATOSAÑO!BY363</f>
        <v>0</v>
      </c>
      <c r="AN364" s="11">
        <f ca="1">(AM364*DATOSAÑO!$Z$11)/DATOSAÑO!$Y$11</f>
        <v>0</v>
      </c>
      <c r="AO364" s="9">
        <f ca="1">DATOSAÑO!CF363</f>
        <v>0</v>
      </c>
      <c r="AP364" s="11">
        <f ca="1">(AO364*DATOSAÑO!$Z$11)/DATOSAÑO!$Y$11</f>
        <v>0</v>
      </c>
      <c r="AQ364" s="9">
        <f ca="1">DATOSAÑO!CL363</f>
        <v>0</v>
      </c>
      <c r="AR364" s="1300">
        <f ca="1">(AQ364*DATOSAÑO!$Z$11)/DATOSAÑO!$Y$11</f>
        <v>0</v>
      </c>
      <c r="AS364" s="1334">
        <f t="shared" si="17"/>
        <v>51</v>
      </c>
    </row>
    <row r="365" spans="1:45" ht="15" thickBot="1">
      <c r="A365" s="1371">
        <v>45280</v>
      </c>
      <c r="B365" s="1021">
        <v>45280</v>
      </c>
      <c r="C365" s="9">
        <f ca="1">DATOSAÑO!I364</f>
        <v>0</v>
      </c>
      <c r="D365" s="10">
        <f ca="1">DATOSAÑO!$D364</f>
        <v>0</v>
      </c>
      <c r="E365" s="11">
        <f ca="1">DATOSAÑO!$G364</f>
        <v>0</v>
      </c>
      <c r="F365" s="9">
        <f ca="1">DATOSAÑO!P364</f>
        <v>0</v>
      </c>
      <c r="G365" s="10">
        <f ca="1">DATOSAÑO!K364</f>
        <v>0</v>
      </c>
      <c r="H365" s="11">
        <f ca="1">DATOSAÑO!N364</f>
        <v>0</v>
      </c>
      <c r="I365" s="9">
        <f ca="1">DATOSAÑO!Q364</f>
        <v>0</v>
      </c>
      <c r="J365" s="11">
        <f ca="1">DATOSAÑO!R364</f>
        <v>0</v>
      </c>
      <c r="K365" s="9">
        <f ca="1">DATOSAÑO!T364</f>
        <v>0</v>
      </c>
      <c r="L365" s="11">
        <f t="shared" ca="1" si="15"/>
        <v>0</v>
      </c>
      <c r="M365" s="9"/>
      <c r="N365" s="11">
        <f t="shared" si="16"/>
        <v>0</v>
      </c>
      <c r="O365" s="9">
        <f>DATOSAÑO!CT364</f>
        <v>0</v>
      </c>
      <c r="P365" s="9">
        <f>DATOSAÑO!CU364</f>
        <v>0</v>
      </c>
      <c r="Q365" s="9">
        <f ca="1">DATOSAÑO!AD364</f>
        <v>0</v>
      </c>
      <c r="R365" s="11">
        <f ca="1">(Q365*DATOSAÑO!$Z$11)/DATOSAÑO!$Y$11</f>
        <v>0</v>
      </c>
      <c r="S365" s="9">
        <f ca="1">DATOSAÑO!AF364</f>
        <v>0</v>
      </c>
      <c r="T365" s="11">
        <f ca="1">(S365*DATOSAÑO!$Z$11)/DATOSAÑO!$Y$11</f>
        <v>0</v>
      </c>
      <c r="U365" s="9">
        <f ca="1">DATOSAÑO!AH364</f>
        <v>0</v>
      </c>
      <c r="V365" s="11">
        <f ca="1">(U365*DATOSAÑO!$Z$11)/DATOSAÑO!$Y$11</f>
        <v>0</v>
      </c>
      <c r="W365" s="9">
        <f ca="1">DATOSAÑO!AI364</f>
        <v>0</v>
      </c>
      <c r="X365" s="11">
        <f ca="1">(W365*DATOSAÑO!$Z$11)/DATOSAÑO!$Y$11</f>
        <v>0</v>
      </c>
      <c r="Y365" s="9">
        <f ca="1">DATOSAÑO!AJ364</f>
        <v>0</v>
      </c>
      <c r="Z365" s="11">
        <f ca="1">(Y365*DATOSAÑO!$Z$11)/DATOSAÑO!$Y$11</f>
        <v>0</v>
      </c>
      <c r="AA365" s="9">
        <f ca="1">DATOSAÑO!AK364</f>
        <v>0</v>
      </c>
      <c r="AB365" s="11">
        <f ca="1">(AA365*DATOSAÑO!$Z$11)/DATOSAÑO!$Y$11</f>
        <v>0</v>
      </c>
      <c r="AC365" s="9">
        <f ca="1">DATOSAÑO!AL364</f>
        <v>0</v>
      </c>
      <c r="AD365" s="11">
        <f ca="1">(AC365*DATOSAÑO!$Z$11)/DATOSAÑO!$Y$11</f>
        <v>0</v>
      </c>
      <c r="AE365" s="9">
        <f ca="1">DATOSAÑO!CJ364</f>
        <v>0</v>
      </c>
      <c r="AF365" s="11">
        <f ca="1">(AE365*DATOSAÑO!$Z$11)/DATOSAÑO!$Y$11</f>
        <v>0</v>
      </c>
      <c r="AG365" s="9">
        <f ca="1">DATOSAÑO!CK364</f>
        <v>0</v>
      </c>
      <c r="AH365" s="11">
        <f ca="1">(AG365*DATOSAÑO!$Z$11)/DATOSAÑO!$Y$11</f>
        <v>0</v>
      </c>
      <c r="AI365" s="9">
        <f ca="1">DATOSAÑO!BS364</f>
        <v>0</v>
      </c>
      <c r="AJ365" s="11">
        <f ca="1">(AI365*DATOSAÑO!$Z$11)/DATOSAÑO!$Y$11</f>
        <v>0</v>
      </c>
      <c r="AK365" s="9">
        <f ca="1">DATOSAÑO!BV364</f>
        <v>0</v>
      </c>
      <c r="AL365" s="11">
        <f ca="1">(AK365*DATOSAÑO!$Z$11)/DATOSAÑO!$Y$11</f>
        <v>0</v>
      </c>
      <c r="AM365" s="9">
        <f ca="1">DATOSAÑO!BY364</f>
        <v>0</v>
      </c>
      <c r="AN365" s="11">
        <f ca="1">(AM365*DATOSAÑO!$Z$11)/DATOSAÑO!$Y$11</f>
        <v>0</v>
      </c>
      <c r="AO365" s="9">
        <f ca="1">DATOSAÑO!CF364</f>
        <v>0</v>
      </c>
      <c r="AP365" s="11">
        <f ca="1">(AO365*DATOSAÑO!$Z$11)/DATOSAÑO!$Y$11</f>
        <v>0</v>
      </c>
      <c r="AQ365" s="9">
        <f ca="1">DATOSAÑO!CL364</f>
        <v>0</v>
      </c>
      <c r="AR365" s="1300">
        <f ca="1">(AQ365*DATOSAÑO!$Z$11)/DATOSAÑO!$Y$11</f>
        <v>0</v>
      </c>
      <c r="AS365" s="1334">
        <f t="shared" si="17"/>
        <v>51</v>
      </c>
    </row>
    <row r="366" spans="1:45" ht="15" thickBot="1">
      <c r="A366" s="1371">
        <v>45281</v>
      </c>
      <c r="B366" s="1021">
        <v>45281</v>
      </c>
      <c r="C366" s="9">
        <f ca="1">DATOSAÑO!I365</f>
        <v>0</v>
      </c>
      <c r="D366" s="10">
        <f ca="1">DATOSAÑO!$D365</f>
        <v>0</v>
      </c>
      <c r="E366" s="11">
        <f ca="1">DATOSAÑO!$G365</f>
        <v>0</v>
      </c>
      <c r="F366" s="9">
        <f ca="1">DATOSAÑO!P365</f>
        <v>0</v>
      </c>
      <c r="G366" s="10">
        <f ca="1">DATOSAÑO!K365</f>
        <v>0</v>
      </c>
      <c r="H366" s="11">
        <f ca="1">DATOSAÑO!N365</f>
        <v>0</v>
      </c>
      <c r="I366" s="9">
        <f ca="1">DATOSAÑO!Q365</f>
        <v>0</v>
      </c>
      <c r="J366" s="11">
        <f ca="1">DATOSAÑO!R365</f>
        <v>0</v>
      </c>
      <c r="K366" s="9">
        <f ca="1">DATOSAÑO!T365</f>
        <v>0</v>
      </c>
      <c r="L366" s="11">
        <f t="shared" ca="1" si="15"/>
        <v>0</v>
      </c>
      <c r="M366" s="9"/>
      <c r="N366" s="11">
        <f t="shared" si="16"/>
        <v>0</v>
      </c>
      <c r="O366" s="9">
        <f>DATOSAÑO!CT365</f>
        <v>0</v>
      </c>
      <c r="P366" s="9">
        <f>DATOSAÑO!CU365</f>
        <v>0</v>
      </c>
      <c r="Q366" s="9">
        <f ca="1">DATOSAÑO!AD365</f>
        <v>0</v>
      </c>
      <c r="R366" s="11">
        <f ca="1">(Q366*DATOSAÑO!$Z$11)/DATOSAÑO!$Y$11</f>
        <v>0</v>
      </c>
      <c r="S366" s="9">
        <f ca="1">DATOSAÑO!AF365</f>
        <v>0</v>
      </c>
      <c r="T366" s="11">
        <f ca="1">(S366*DATOSAÑO!$Z$11)/DATOSAÑO!$Y$11</f>
        <v>0</v>
      </c>
      <c r="U366" s="9">
        <f ca="1">DATOSAÑO!AH365</f>
        <v>0</v>
      </c>
      <c r="V366" s="11">
        <f ca="1">(U366*DATOSAÑO!$Z$11)/DATOSAÑO!$Y$11</f>
        <v>0</v>
      </c>
      <c r="W366" s="9">
        <f ca="1">DATOSAÑO!AI365</f>
        <v>0</v>
      </c>
      <c r="X366" s="11">
        <f ca="1">(W366*DATOSAÑO!$Z$11)/DATOSAÑO!$Y$11</f>
        <v>0</v>
      </c>
      <c r="Y366" s="9">
        <f ca="1">DATOSAÑO!AJ365</f>
        <v>0</v>
      </c>
      <c r="Z366" s="11">
        <f ca="1">(Y366*DATOSAÑO!$Z$11)/DATOSAÑO!$Y$11</f>
        <v>0</v>
      </c>
      <c r="AA366" s="9">
        <f ca="1">DATOSAÑO!AK365</f>
        <v>0</v>
      </c>
      <c r="AB366" s="11">
        <f ca="1">(AA366*DATOSAÑO!$Z$11)/DATOSAÑO!$Y$11</f>
        <v>0</v>
      </c>
      <c r="AC366" s="9">
        <f ca="1">DATOSAÑO!AL365</f>
        <v>0</v>
      </c>
      <c r="AD366" s="11">
        <f ca="1">(AC366*DATOSAÑO!$Z$11)/DATOSAÑO!$Y$11</f>
        <v>0</v>
      </c>
      <c r="AE366" s="9">
        <f ca="1">DATOSAÑO!CJ365</f>
        <v>0</v>
      </c>
      <c r="AF366" s="11">
        <f ca="1">(AE366*DATOSAÑO!$Z$11)/DATOSAÑO!$Y$11</f>
        <v>0</v>
      </c>
      <c r="AG366" s="9">
        <f ca="1">DATOSAÑO!CK365</f>
        <v>0</v>
      </c>
      <c r="AH366" s="11">
        <f ca="1">(AG366*DATOSAÑO!$Z$11)/DATOSAÑO!$Y$11</f>
        <v>0</v>
      </c>
      <c r="AI366" s="9">
        <f ca="1">DATOSAÑO!BS365</f>
        <v>0</v>
      </c>
      <c r="AJ366" s="11">
        <f ca="1">(AI366*DATOSAÑO!$Z$11)/DATOSAÑO!$Y$11</f>
        <v>0</v>
      </c>
      <c r="AK366" s="9">
        <f ca="1">DATOSAÑO!BV365</f>
        <v>0</v>
      </c>
      <c r="AL366" s="11">
        <f ca="1">(AK366*DATOSAÑO!$Z$11)/DATOSAÑO!$Y$11</f>
        <v>0</v>
      </c>
      <c r="AM366" s="9">
        <f ca="1">DATOSAÑO!BY365</f>
        <v>0</v>
      </c>
      <c r="AN366" s="11">
        <f ca="1">(AM366*DATOSAÑO!$Z$11)/DATOSAÑO!$Y$11</f>
        <v>0</v>
      </c>
      <c r="AO366" s="9">
        <f ca="1">DATOSAÑO!CF365</f>
        <v>0</v>
      </c>
      <c r="AP366" s="11">
        <f ca="1">(AO366*DATOSAÑO!$Z$11)/DATOSAÑO!$Y$11</f>
        <v>0</v>
      </c>
      <c r="AQ366" s="9">
        <f ca="1">DATOSAÑO!CL365</f>
        <v>0</v>
      </c>
      <c r="AR366" s="1300">
        <f ca="1">(AQ366*DATOSAÑO!$Z$11)/DATOSAÑO!$Y$11</f>
        <v>0</v>
      </c>
      <c r="AS366" s="1334">
        <f t="shared" si="17"/>
        <v>51</v>
      </c>
    </row>
    <row r="367" spans="1:45" ht="15" thickBot="1">
      <c r="A367" s="1371">
        <v>45282</v>
      </c>
      <c r="B367" s="1021">
        <v>45282</v>
      </c>
      <c r="C367" s="9">
        <f ca="1">DATOSAÑO!I366</f>
        <v>0</v>
      </c>
      <c r="D367" s="10">
        <f ca="1">DATOSAÑO!$D366</f>
        <v>0</v>
      </c>
      <c r="E367" s="11">
        <f ca="1">DATOSAÑO!$G366</f>
        <v>0</v>
      </c>
      <c r="F367" s="9">
        <f ca="1">DATOSAÑO!P366</f>
        <v>0</v>
      </c>
      <c r="G367" s="10">
        <f ca="1">DATOSAÑO!K366</f>
        <v>0</v>
      </c>
      <c r="H367" s="11">
        <f ca="1">DATOSAÑO!N366</f>
        <v>0</v>
      </c>
      <c r="I367" s="9">
        <f ca="1">DATOSAÑO!Q366</f>
        <v>0</v>
      </c>
      <c r="J367" s="11">
        <f ca="1">DATOSAÑO!R366</f>
        <v>0</v>
      </c>
      <c r="K367" s="9">
        <f ca="1">DATOSAÑO!T366</f>
        <v>0</v>
      </c>
      <c r="L367" s="11">
        <f t="shared" ca="1" si="15"/>
        <v>0</v>
      </c>
      <c r="M367" s="9"/>
      <c r="N367" s="11">
        <f t="shared" si="16"/>
        <v>0</v>
      </c>
      <c r="O367" s="9">
        <f>DATOSAÑO!CT366</f>
        <v>0</v>
      </c>
      <c r="P367" s="9">
        <f>DATOSAÑO!CU366</f>
        <v>0</v>
      </c>
      <c r="Q367" s="9">
        <f ca="1">DATOSAÑO!AD366</f>
        <v>0</v>
      </c>
      <c r="R367" s="11">
        <f ca="1">(Q367*DATOSAÑO!$Z$11)/DATOSAÑO!$Y$11</f>
        <v>0</v>
      </c>
      <c r="S367" s="9">
        <f ca="1">DATOSAÑO!AF366</f>
        <v>0</v>
      </c>
      <c r="T367" s="11">
        <f ca="1">(S367*DATOSAÑO!$Z$11)/DATOSAÑO!$Y$11</f>
        <v>0</v>
      </c>
      <c r="U367" s="9">
        <f ca="1">DATOSAÑO!AH366</f>
        <v>0</v>
      </c>
      <c r="V367" s="11">
        <f ca="1">(U367*DATOSAÑO!$Z$11)/DATOSAÑO!$Y$11</f>
        <v>0</v>
      </c>
      <c r="W367" s="9">
        <f ca="1">DATOSAÑO!AI366</f>
        <v>0</v>
      </c>
      <c r="X367" s="11">
        <f ca="1">(W367*DATOSAÑO!$Z$11)/DATOSAÑO!$Y$11</f>
        <v>0</v>
      </c>
      <c r="Y367" s="9">
        <f ca="1">DATOSAÑO!AJ366</f>
        <v>0</v>
      </c>
      <c r="Z367" s="11">
        <f ca="1">(Y367*DATOSAÑO!$Z$11)/DATOSAÑO!$Y$11</f>
        <v>0</v>
      </c>
      <c r="AA367" s="9">
        <f ca="1">DATOSAÑO!AK366</f>
        <v>0</v>
      </c>
      <c r="AB367" s="11">
        <f ca="1">(AA367*DATOSAÑO!$Z$11)/DATOSAÑO!$Y$11</f>
        <v>0</v>
      </c>
      <c r="AC367" s="9">
        <f ca="1">DATOSAÑO!AL366</f>
        <v>0</v>
      </c>
      <c r="AD367" s="11">
        <f ca="1">(AC367*DATOSAÑO!$Z$11)/DATOSAÑO!$Y$11</f>
        <v>0</v>
      </c>
      <c r="AE367" s="9">
        <f ca="1">DATOSAÑO!CJ366</f>
        <v>0</v>
      </c>
      <c r="AF367" s="11">
        <f ca="1">(AE367*DATOSAÑO!$Z$11)/DATOSAÑO!$Y$11</f>
        <v>0</v>
      </c>
      <c r="AG367" s="9">
        <f ca="1">DATOSAÑO!CK366</f>
        <v>0</v>
      </c>
      <c r="AH367" s="11">
        <f ca="1">(AG367*DATOSAÑO!$Z$11)/DATOSAÑO!$Y$11</f>
        <v>0</v>
      </c>
      <c r="AI367" s="9">
        <f ca="1">DATOSAÑO!BS366</f>
        <v>0</v>
      </c>
      <c r="AJ367" s="11">
        <f ca="1">(AI367*DATOSAÑO!$Z$11)/DATOSAÑO!$Y$11</f>
        <v>0</v>
      </c>
      <c r="AK367" s="9">
        <f ca="1">DATOSAÑO!BV366</f>
        <v>0</v>
      </c>
      <c r="AL367" s="11">
        <f ca="1">(AK367*DATOSAÑO!$Z$11)/DATOSAÑO!$Y$11</f>
        <v>0</v>
      </c>
      <c r="AM367" s="9">
        <f ca="1">DATOSAÑO!BY366</f>
        <v>0</v>
      </c>
      <c r="AN367" s="11">
        <f ca="1">(AM367*DATOSAÑO!$Z$11)/DATOSAÑO!$Y$11</f>
        <v>0</v>
      </c>
      <c r="AO367" s="9">
        <f ca="1">DATOSAÑO!CF366</f>
        <v>0</v>
      </c>
      <c r="AP367" s="11">
        <f ca="1">(AO367*DATOSAÑO!$Z$11)/DATOSAÑO!$Y$11</f>
        <v>0</v>
      </c>
      <c r="AQ367" s="9">
        <f ca="1">DATOSAÑO!CL366</f>
        <v>0</v>
      </c>
      <c r="AR367" s="1300">
        <f ca="1">(AQ367*DATOSAÑO!$Z$11)/DATOSAÑO!$Y$11</f>
        <v>0</v>
      </c>
      <c r="AS367" s="1334">
        <f t="shared" si="17"/>
        <v>51</v>
      </c>
    </row>
    <row r="368" spans="1:45" ht="15" thickBot="1">
      <c r="A368" s="1371">
        <v>45283</v>
      </c>
      <c r="B368" s="1021">
        <v>45283</v>
      </c>
      <c r="C368" s="9">
        <f ca="1">DATOSAÑO!I367</f>
        <v>0</v>
      </c>
      <c r="D368" s="10">
        <f ca="1">DATOSAÑO!$D367</f>
        <v>0</v>
      </c>
      <c r="E368" s="11">
        <f ca="1">DATOSAÑO!$G367</f>
        <v>0</v>
      </c>
      <c r="F368" s="9">
        <f ca="1">DATOSAÑO!P367</f>
        <v>0</v>
      </c>
      <c r="G368" s="10">
        <f ca="1">DATOSAÑO!K367</f>
        <v>0</v>
      </c>
      <c r="H368" s="11">
        <f ca="1">DATOSAÑO!N367</f>
        <v>0</v>
      </c>
      <c r="I368" s="9">
        <f ca="1">DATOSAÑO!Q367</f>
        <v>0</v>
      </c>
      <c r="J368" s="11">
        <f ca="1">DATOSAÑO!R367</f>
        <v>0</v>
      </c>
      <c r="K368" s="9">
        <f ca="1">DATOSAÑO!T367</f>
        <v>0</v>
      </c>
      <c r="L368" s="11">
        <f t="shared" ca="1" si="15"/>
        <v>0</v>
      </c>
      <c r="M368" s="9"/>
      <c r="N368" s="11">
        <f t="shared" si="16"/>
        <v>0</v>
      </c>
      <c r="O368" s="9">
        <f>DATOSAÑO!CT367</f>
        <v>0</v>
      </c>
      <c r="P368" s="9">
        <f>DATOSAÑO!CU367</f>
        <v>0</v>
      </c>
      <c r="Q368" s="9">
        <f ca="1">DATOSAÑO!AD367</f>
        <v>0</v>
      </c>
      <c r="R368" s="11">
        <f ca="1">(Q368*DATOSAÑO!$Z$11)/DATOSAÑO!$Y$11</f>
        <v>0</v>
      </c>
      <c r="S368" s="9">
        <f ca="1">DATOSAÑO!AF367</f>
        <v>0</v>
      </c>
      <c r="T368" s="11">
        <f ca="1">(S368*DATOSAÑO!$Z$11)/DATOSAÑO!$Y$11</f>
        <v>0</v>
      </c>
      <c r="U368" s="9">
        <f ca="1">DATOSAÑO!AH367</f>
        <v>0</v>
      </c>
      <c r="V368" s="11">
        <f ca="1">(U368*DATOSAÑO!$Z$11)/DATOSAÑO!$Y$11</f>
        <v>0</v>
      </c>
      <c r="W368" s="9">
        <f ca="1">DATOSAÑO!AI367</f>
        <v>0</v>
      </c>
      <c r="X368" s="11">
        <f ca="1">(W368*DATOSAÑO!$Z$11)/DATOSAÑO!$Y$11</f>
        <v>0</v>
      </c>
      <c r="Y368" s="9">
        <f ca="1">DATOSAÑO!AJ367</f>
        <v>0</v>
      </c>
      <c r="Z368" s="11">
        <f ca="1">(Y368*DATOSAÑO!$Z$11)/DATOSAÑO!$Y$11</f>
        <v>0</v>
      </c>
      <c r="AA368" s="9">
        <f ca="1">DATOSAÑO!AK367</f>
        <v>0</v>
      </c>
      <c r="AB368" s="11">
        <f ca="1">(AA368*DATOSAÑO!$Z$11)/DATOSAÑO!$Y$11</f>
        <v>0</v>
      </c>
      <c r="AC368" s="9">
        <f ca="1">DATOSAÑO!AL367</f>
        <v>0</v>
      </c>
      <c r="AD368" s="11">
        <f ca="1">(AC368*DATOSAÑO!$Z$11)/DATOSAÑO!$Y$11</f>
        <v>0</v>
      </c>
      <c r="AE368" s="9">
        <f ca="1">DATOSAÑO!CJ367</f>
        <v>0</v>
      </c>
      <c r="AF368" s="11">
        <f ca="1">(AE368*DATOSAÑO!$Z$11)/DATOSAÑO!$Y$11</f>
        <v>0</v>
      </c>
      <c r="AG368" s="9">
        <f ca="1">DATOSAÑO!CK367</f>
        <v>0</v>
      </c>
      <c r="AH368" s="11">
        <f ca="1">(AG368*DATOSAÑO!$Z$11)/DATOSAÑO!$Y$11</f>
        <v>0</v>
      </c>
      <c r="AI368" s="9">
        <f ca="1">DATOSAÑO!BS367</f>
        <v>0</v>
      </c>
      <c r="AJ368" s="11">
        <f ca="1">(AI368*DATOSAÑO!$Z$11)/DATOSAÑO!$Y$11</f>
        <v>0</v>
      </c>
      <c r="AK368" s="9">
        <f ca="1">DATOSAÑO!BV367</f>
        <v>0</v>
      </c>
      <c r="AL368" s="11">
        <f ca="1">(AK368*DATOSAÑO!$Z$11)/DATOSAÑO!$Y$11</f>
        <v>0</v>
      </c>
      <c r="AM368" s="9">
        <f ca="1">DATOSAÑO!BY367</f>
        <v>0</v>
      </c>
      <c r="AN368" s="11">
        <f ca="1">(AM368*DATOSAÑO!$Z$11)/DATOSAÑO!$Y$11</f>
        <v>0</v>
      </c>
      <c r="AO368" s="9">
        <f ca="1">DATOSAÑO!CF367</f>
        <v>0</v>
      </c>
      <c r="AP368" s="11">
        <f ca="1">(AO368*DATOSAÑO!$Z$11)/DATOSAÑO!$Y$11</f>
        <v>0</v>
      </c>
      <c r="AQ368" s="9">
        <f ca="1">DATOSAÑO!CL367</f>
        <v>0</v>
      </c>
      <c r="AR368" s="1300">
        <f ca="1">(AQ368*DATOSAÑO!$Z$11)/DATOSAÑO!$Y$11</f>
        <v>0</v>
      </c>
      <c r="AS368" s="1334">
        <f t="shared" si="17"/>
        <v>51</v>
      </c>
    </row>
    <row r="369" spans="1:45" ht="15" thickBot="1">
      <c r="A369" s="1371">
        <v>45284</v>
      </c>
      <c r="B369" s="1021">
        <v>45284</v>
      </c>
      <c r="C369" s="9">
        <f ca="1">DATOSAÑO!I368</f>
        <v>0</v>
      </c>
      <c r="D369" s="10">
        <f ca="1">DATOSAÑO!$D368</f>
        <v>0</v>
      </c>
      <c r="E369" s="11">
        <f ca="1">DATOSAÑO!$G368</f>
        <v>0</v>
      </c>
      <c r="F369" s="9">
        <f ca="1">DATOSAÑO!P368</f>
        <v>0</v>
      </c>
      <c r="G369" s="10">
        <f ca="1">DATOSAÑO!K368</f>
        <v>0</v>
      </c>
      <c r="H369" s="11">
        <f ca="1">DATOSAÑO!N368</f>
        <v>0</v>
      </c>
      <c r="I369" s="9">
        <f ca="1">DATOSAÑO!Q368</f>
        <v>0</v>
      </c>
      <c r="J369" s="11">
        <f ca="1">DATOSAÑO!R368</f>
        <v>0</v>
      </c>
      <c r="K369" s="9">
        <f ca="1">DATOSAÑO!T368</f>
        <v>0</v>
      </c>
      <c r="L369" s="11">
        <f t="shared" ca="1" si="15"/>
        <v>0</v>
      </c>
      <c r="M369" s="9"/>
      <c r="N369" s="11">
        <f t="shared" si="16"/>
        <v>0</v>
      </c>
      <c r="O369" s="9">
        <f>DATOSAÑO!CT368</f>
        <v>0</v>
      </c>
      <c r="P369" s="9">
        <f>DATOSAÑO!CU368</f>
        <v>0</v>
      </c>
      <c r="Q369" s="9">
        <f ca="1">DATOSAÑO!AD368</f>
        <v>0</v>
      </c>
      <c r="R369" s="11">
        <f ca="1">(Q369*DATOSAÑO!$Z$11)/DATOSAÑO!$Y$11</f>
        <v>0</v>
      </c>
      <c r="S369" s="9">
        <f ca="1">DATOSAÑO!AF368</f>
        <v>0</v>
      </c>
      <c r="T369" s="11">
        <f ca="1">(S369*DATOSAÑO!$Z$11)/DATOSAÑO!$Y$11</f>
        <v>0</v>
      </c>
      <c r="U369" s="9">
        <f ca="1">DATOSAÑO!AH368</f>
        <v>0</v>
      </c>
      <c r="V369" s="11">
        <f ca="1">(U369*DATOSAÑO!$Z$11)/DATOSAÑO!$Y$11</f>
        <v>0</v>
      </c>
      <c r="W369" s="9">
        <f ca="1">DATOSAÑO!AI368</f>
        <v>0</v>
      </c>
      <c r="X369" s="11">
        <f ca="1">(W369*DATOSAÑO!$Z$11)/DATOSAÑO!$Y$11</f>
        <v>0</v>
      </c>
      <c r="Y369" s="9">
        <f ca="1">DATOSAÑO!AJ368</f>
        <v>0</v>
      </c>
      <c r="Z369" s="11">
        <f ca="1">(Y369*DATOSAÑO!$Z$11)/DATOSAÑO!$Y$11</f>
        <v>0</v>
      </c>
      <c r="AA369" s="9">
        <f ca="1">DATOSAÑO!AK368</f>
        <v>0</v>
      </c>
      <c r="AB369" s="11">
        <f ca="1">(AA369*DATOSAÑO!$Z$11)/DATOSAÑO!$Y$11</f>
        <v>0</v>
      </c>
      <c r="AC369" s="9">
        <f ca="1">DATOSAÑO!AL368</f>
        <v>0</v>
      </c>
      <c r="AD369" s="11">
        <f ca="1">(AC369*DATOSAÑO!$Z$11)/DATOSAÑO!$Y$11</f>
        <v>0</v>
      </c>
      <c r="AE369" s="9">
        <f ca="1">DATOSAÑO!CJ368</f>
        <v>0</v>
      </c>
      <c r="AF369" s="11">
        <f ca="1">(AE369*DATOSAÑO!$Z$11)/DATOSAÑO!$Y$11</f>
        <v>0</v>
      </c>
      <c r="AG369" s="9">
        <f ca="1">DATOSAÑO!CK368</f>
        <v>0</v>
      </c>
      <c r="AH369" s="11">
        <f ca="1">(AG369*DATOSAÑO!$Z$11)/DATOSAÑO!$Y$11</f>
        <v>0</v>
      </c>
      <c r="AI369" s="9">
        <f ca="1">DATOSAÑO!BS368</f>
        <v>0</v>
      </c>
      <c r="AJ369" s="11">
        <f ca="1">(AI369*DATOSAÑO!$Z$11)/DATOSAÑO!$Y$11</f>
        <v>0</v>
      </c>
      <c r="AK369" s="9">
        <f ca="1">DATOSAÑO!BV368</f>
        <v>0</v>
      </c>
      <c r="AL369" s="11">
        <f ca="1">(AK369*DATOSAÑO!$Z$11)/DATOSAÑO!$Y$11</f>
        <v>0</v>
      </c>
      <c r="AM369" s="9">
        <f ca="1">DATOSAÑO!BY368</f>
        <v>0</v>
      </c>
      <c r="AN369" s="11">
        <f ca="1">(AM369*DATOSAÑO!$Z$11)/DATOSAÑO!$Y$11</f>
        <v>0</v>
      </c>
      <c r="AO369" s="9">
        <f ca="1">DATOSAÑO!CF368</f>
        <v>0</v>
      </c>
      <c r="AP369" s="11">
        <f ca="1">(AO369*DATOSAÑO!$Z$11)/DATOSAÑO!$Y$11</f>
        <v>0</v>
      </c>
      <c r="AQ369" s="9">
        <f ca="1">DATOSAÑO!CL368</f>
        <v>0</v>
      </c>
      <c r="AR369" s="1300">
        <f ca="1">(AQ369*DATOSAÑO!$Z$11)/DATOSAÑO!$Y$11</f>
        <v>0</v>
      </c>
      <c r="AS369" s="1334">
        <f t="shared" si="17"/>
        <v>52</v>
      </c>
    </row>
    <row r="370" spans="1:45" ht="15" thickBot="1">
      <c r="A370" s="1371">
        <v>45285</v>
      </c>
      <c r="B370" s="1021">
        <v>45285</v>
      </c>
      <c r="C370" s="9">
        <f ca="1">DATOSAÑO!I369</f>
        <v>0</v>
      </c>
      <c r="D370" s="10">
        <f ca="1">DATOSAÑO!$D369</f>
        <v>0</v>
      </c>
      <c r="E370" s="11">
        <f ca="1">DATOSAÑO!$G369</f>
        <v>0</v>
      </c>
      <c r="F370" s="9">
        <f ca="1">DATOSAÑO!P369</f>
        <v>0</v>
      </c>
      <c r="G370" s="10">
        <f ca="1">DATOSAÑO!K369</f>
        <v>0</v>
      </c>
      <c r="H370" s="11">
        <f ca="1">DATOSAÑO!N369</f>
        <v>0</v>
      </c>
      <c r="I370" s="9">
        <f ca="1">DATOSAÑO!Q369</f>
        <v>0</v>
      </c>
      <c r="J370" s="11">
        <f ca="1">DATOSAÑO!R369</f>
        <v>0</v>
      </c>
      <c r="K370" s="9">
        <f ca="1">DATOSAÑO!T369</f>
        <v>0</v>
      </c>
      <c r="L370" s="11">
        <f t="shared" ca="1" si="15"/>
        <v>0</v>
      </c>
      <c r="M370" s="9"/>
      <c r="N370" s="11">
        <f t="shared" si="16"/>
        <v>0</v>
      </c>
      <c r="O370" s="9">
        <f>DATOSAÑO!CT369</f>
        <v>0</v>
      </c>
      <c r="P370" s="9">
        <f>DATOSAÑO!CU369</f>
        <v>0</v>
      </c>
      <c r="Q370" s="9">
        <f ca="1">DATOSAÑO!AD369</f>
        <v>0</v>
      </c>
      <c r="R370" s="11">
        <f ca="1">(Q370*DATOSAÑO!$Z$11)/DATOSAÑO!$Y$11</f>
        <v>0</v>
      </c>
      <c r="S370" s="9">
        <f ca="1">DATOSAÑO!AF369</f>
        <v>0</v>
      </c>
      <c r="T370" s="11">
        <f ca="1">(S370*DATOSAÑO!$Z$11)/DATOSAÑO!$Y$11</f>
        <v>0</v>
      </c>
      <c r="U370" s="9">
        <f ca="1">DATOSAÑO!AH369</f>
        <v>0</v>
      </c>
      <c r="V370" s="11">
        <f ca="1">(U370*DATOSAÑO!$Z$11)/DATOSAÑO!$Y$11</f>
        <v>0</v>
      </c>
      <c r="W370" s="9">
        <f ca="1">DATOSAÑO!AI369</f>
        <v>0</v>
      </c>
      <c r="X370" s="11">
        <f ca="1">(W370*DATOSAÑO!$Z$11)/DATOSAÑO!$Y$11</f>
        <v>0</v>
      </c>
      <c r="Y370" s="9">
        <f ca="1">DATOSAÑO!AJ369</f>
        <v>0</v>
      </c>
      <c r="Z370" s="11">
        <f ca="1">(Y370*DATOSAÑO!$Z$11)/DATOSAÑO!$Y$11</f>
        <v>0</v>
      </c>
      <c r="AA370" s="9">
        <f ca="1">DATOSAÑO!AK369</f>
        <v>0</v>
      </c>
      <c r="AB370" s="11">
        <f ca="1">(AA370*DATOSAÑO!$Z$11)/DATOSAÑO!$Y$11</f>
        <v>0</v>
      </c>
      <c r="AC370" s="9">
        <f ca="1">DATOSAÑO!AL369</f>
        <v>0</v>
      </c>
      <c r="AD370" s="11">
        <f ca="1">(AC370*DATOSAÑO!$Z$11)/DATOSAÑO!$Y$11</f>
        <v>0</v>
      </c>
      <c r="AE370" s="9">
        <f ca="1">DATOSAÑO!CJ369</f>
        <v>0</v>
      </c>
      <c r="AF370" s="11">
        <f ca="1">(AE370*DATOSAÑO!$Z$11)/DATOSAÑO!$Y$11</f>
        <v>0</v>
      </c>
      <c r="AG370" s="9">
        <f ca="1">DATOSAÑO!CK369</f>
        <v>0</v>
      </c>
      <c r="AH370" s="11">
        <f ca="1">(AG370*DATOSAÑO!$Z$11)/DATOSAÑO!$Y$11</f>
        <v>0</v>
      </c>
      <c r="AI370" s="9">
        <f ca="1">DATOSAÑO!BS369</f>
        <v>0</v>
      </c>
      <c r="AJ370" s="11">
        <f ca="1">(AI370*DATOSAÑO!$Z$11)/DATOSAÑO!$Y$11</f>
        <v>0</v>
      </c>
      <c r="AK370" s="9">
        <f ca="1">DATOSAÑO!BV369</f>
        <v>0</v>
      </c>
      <c r="AL370" s="11">
        <f ca="1">(AK370*DATOSAÑO!$Z$11)/DATOSAÑO!$Y$11</f>
        <v>0</v>
      </c>
      <c r="AM370" s="9">
        <f ca="1">DATOSAÑO!BY369</f>
        <v>0</v>
      </c>
      <c r="AN370" s="11">
        <f ca="1">(AM370*DATOSAÑO!$Z$11)/DATOSAÑO!$Y$11</f>
        <v>0</v>
      </c>
      <c r="AO370" s="9">
        <f ca="1">DATOSAÑO!CF369</f>
        <v>0</v>
      </c>
      <c r="AP370" s="11">
        <f ca="1">(AO370*DATOSAÑO!$Z$11)/DATOSAÑO!$Y$11</f>
        <v>0</v>
      </c>
      <c r="AQ370" s="9">
        <f ca="1">DATOSAÑO!CL369</f>
        <v>0</v>
      </c>
      <c r="AR370" s="1300">
        <f ca="1">(AQ370*DATOSAÑO!$Z$11)/DATOSAÑO!$Y$11</f>
        <v>0</v>
      </c>
      <c r="AS370" s="1334">
        <f t="shared" si="17"/>
        <v>52</v>
      </c>
    </row>
    <row r="371" spans="1:45" ht="15" thickBot="1">
      <c r="A371" s="1371">
        <v>45286</v>
      </c>
      <c r="B371" s="1021">
        <v>45286</v>
      </c>
      <c r="C371" s="9">
        <f ca="1">DATOSAÑO!I370</f>
        <v>0</v>
      </c>
      <c r="D371" s="10">
        <f ca="1">DATOSAÑO!$D370</f>
        <v>0</v>
      </c>
      <c r="E371" s="11">
        <f ca="1">DATOSAÑO!$G370</f>
        <v>0</v>
      </c>
      <c r="F371" s="9">
        <f ca="1">DATOSAÑO!P370</f>
        <v>0</v>
      </c>
      <c r="G371" s="10">
        <f ca="1">DATOSAÑO!K370</f>
        <v>0</v>
      </c>
      <c r="H371" s="11">
        <f ca="1">DATOSAÑO!N370</f>
        <v>0</v>
      </c>
      <c r="I371" s="9">
        <f ca="1">DATOSAÑO!Q370</f>
        <v>0</v>
      </c>
      <c r="J371" s="11">
        <f ca="1">DATOSAÑO!R370</f>
        <v>0</v>
      </c>
      <c r="K371" s="9">
        <f ca="1">DATOSAÑO!T370</f>
        <v>0</v>
      </c>
      <c r="L371" s="11">
        <f t="shared" ca="1" si="15"/>
        <v>0</v>
      </c>
      <c r="M371" s="9"/>
      <c r="N371" s="11">
        <f t="shared" si="16"/>
        <v>0</v>
      </c>
      <c r="O371" s="9">
        <f>DATOSAÑO!CT370</f>
        <v>0</v>
      </c>
      <c r="P371" s="9">
        <f>DATOSAÑO!CU370</f>
        <v>0</v>
      </c>
      <c r="Q371" s="9">
        <f ca="1">DATOSAÑO!AD370</f>
        <v>0</v>
      </c>
      <c r="R371" s="11">
        <f ca="1">(Q371*DATOSAÑO!$Z$11)/DATOSAÑO!$Y$11</f>
        <v>0</v>
      </c>
      <c r="S371" s="9">
        <f ca="1">DATOSAÑO!AF370</f>
        <v>0</v>
      </c>
      <c r="T371" s="11">
        <f ca="1">(S371*DATOSAÑO!$Z$11)/DATOSAÑO!$Y$11</f>
        <v>0</v>
      </c>
      <c r="U371" s="9">
        <f ca="1">DATOSAÑO!AH370</f>
        <v>0</v>
      </c>
      <c r="V371" s="11">
        <f ca="1">(U371*DATOSAÑO!$Z$11)/DATOSAÑO!$Y$11</f>
        <v>0</v>
      </c>
      <c r="W371" s="9">
        <f ca="1">DATOSAÑO!AI370</f>
        <v>0</v>
      </c>
      <c r="X371" s="11">
        <f ca="1">(W371*DATOSAÑO!$Z$11)/DATOSAÑO!$Y$11</f>
        <v>0</v>
      </c>
      <c r="Y371" s="9">
        <f ca="1">DATOSAÑO!AJ370</f>
        <v>0</v>
      </c>
      <c r="Z371" s="11">
        <f ca="1">(Y371*DATOSAÑO!$Z$11)/DATOSAÑO!$Y$11</f>
        <v>0</v>
      </c>
      <c r="AA371" s="9">
        <f ca="1">DATOSAÑO!AK370</f>
        <v>0</v>
      </c>
      <c r="AB371" s="11">
        <f ca="1">(AA371*DATOSAÑO!$Z$11)/DATOSAÑO!$Y$11</f>
        <v>0</v>
      </c>
      <c r="AC371" s="9">
        <f ca="1">DATOSAÑO!AL370</f>
        <v>0</v>
      </c>
      <c r="AD371" s="11">
        <f ca="1">(AC371*DATOSAÑO!$Z$11)/DATOSAÑO!$Y$11</f>
        <v>0</v>
      </c>
      <c r="AE371" s="9">
        <f ca="1">DATOSAÑO!CJ370</f>
        <v>0</v>
      </c>
      <c r="AF371" s="11">
        <f ca="1">(AE371*DATOSAÑO!$Z$11)/DATOSAÑO!$Y$11</f>
        <v>0</v>
      </c>
      <c r="AG371" s="9">
        <f ca="1">DATOSAÑO!CK370</f>
        <v>0</v>
      </c>
      <c r="AH371" s="11">
        <f ca="1">(AG371*DATOSAÑO!$Z$11)/DATOSAÑO!$Y$11</f>
        <v>0</v>
      </c>
      <c r="AI371" s="9">
        <f ca="1">DATOSAÑO!BS370</f>
        <v>0</v>
      </c>
      <c r="AJ371" s="11">
        <f ca="1">(AI371*DATOSAÑO!$Z$11)/DATOSAÑO!$Y$11</f>
        <v>0</v>
      </c>
      <c r="AK371" s="9">
        <f ca="1">DATOSAÑO!BV370</f>
        <v>0</v>
      </c>
      <c r="AL371" s="11">
        <f ca="1">(AK371*DATOSAÑO!$Z$11)/DATOSAÑO!$Y$11</f>
        <v>0</v>
      </c>
      <c r="AM371" s="9">
        <f ca="1">DATOSAÑO!BY370</f>
        <v>0</v>
      </c>
      <c r="AN371" s="11">
        <f ca="1">(AM371*DATOSAÑO!$Z$11)/DATOSAÑO!$Y$11</f>
        <v>0</v>
      </c>
      <c r="AO371" s="9">
        <f ca="1">DATOSAÑO!CF370</f>
        <v>0</v>
      </c>
      <c r="AP371" s="11">
        <f ca="1">(AO371*DATOSAÑO!$Z$11)/DATOSAÑO!$Y$11</f>
        <v>0</v>
      </c>
      <c r="AQ371" s="9">
        <f ca="1">DATOSAÑO!CL370</f>
        <v>0</v>
      </c>
      <c r="AR371" s="1300">
        <f ca="1">(AQ371*DATOSAÑO!$Z$11)/DATOSAÑO!$Y$11</f>
        <v>0</v>
      </c>
      <c r="AS371" s="1334">
        <f t="shared" si="17"/>
        <v>52</v>
      </c>
    </row>
    <row r="372" spans="1:45" ht="15" thickBot="1">
      <c r="A372" s="1371">
        <v>45287</v>
      </c>
      <c r="B372" s="1021">
        <v>45287</v>
      </c>
      <c r="C372" s="9">
        <f ca="1">DATOSAÑO!I371</f>
        <v>0</v>
      </c>
      <c r="D372" s="10">
        <f ca="1">DATOSAÑO!$D371</f>
        <v>0</v>
      </c>
      <c r="E372" s="11">
        <f ca="1">DATOSAÑO!$G371</f>
        <v>0</v>
      </c>
      <c r="F372" s="9">
        <f ca="1">DATOSAÑO!P371</f>
        <v>0</v>
      </c>
      <c r="G372" s="10">
        <f ca="1">DATOSAÑO!K371</f>
        <v>0</v>
      </c>
      <c r="H372" s="11">
        <f ca="1">DATOSAÑO!N371</f>
        <v>0</v>
      </c>
      <c r="I372" s="9">
        <f ca="1">DATOSAÑO!Q371</f>
        <v>0</v>
      </c>
      <c r="J372" s="11">
        <f ca="1">DATOSAÑO!R371</f>
        <v>0</v>
      </c>
      <c r="K372" s="9">
        <f ca="1">DATOSAÑO!T371</f>
        <v>0</v>
      </c>
      <c r="L372" s="11">
        <f t="shared" ca="1" si="15"/>
        <v>0</v>
      </c>
      <c r="M372" s="9"/>
      <c r="N372" s="11">
        <f t="shared" si="16"/>
        <v>0</v>
      </c>
      <c r="O372" s="9">
        <f>DATOSAÑO!CT371</f>
        <v>0</v>
      </c>
      <c r="P372" s="9">
        <f>DATOSAÑO!CU371</f>
        <v>0</v>
      </c>
      <c r="Q372" s="9">
        <f ca="1">DATOSAÑO!AD371</f>
        <v>0</v>
      </c>
      <c r="R372" s="11">
        <f ca="1">(Q372*DATOSAÑO!$Z$11)/DATOSAÑO!$Y$11</f>
        <v>0</v>
      </c>
      <c r="S372" s="9">
        <f ca="1">DATOSAÑO!AF371</f>
        <v>0</v>
      </c>
      <c r="T372" s="11">
        <f ca="1">(S372*DATOSAÑO!$Z$11)/DATOSAÑO!$Y$11</f>
        <v>0</v>
      </c>
      <c r="U372" s="9">
        <f ca="1">DATOSAÑO!AH371</f>
        <v>0</v>
      </c>
      <c r="V372" s="11">
        <f ca="1">(U372*DATOSAÑO!$Z$11)/DATOSAÑO!$Y$11</f>
        <v>0</v>
      </c>
      <c r="W372" s="9">
        <f ca="1">DATOSAÑO!AI371</f>
        <v>0</v>
      </c>
      <c r="X372" s="11">
        <f ca="1">(W372*DATOSAÑO!$Z$11)/DATOSAÑO!$Y$11</f>
        <v>0</v>
      </c>
      <c r="Y372" s="9">
        <f ca="1">DATOSAÑO!AJ371</f>
        <v>0</v>
      </c>
      <c r="Z372" s="11">
        <f ca="1">(Y372*DATOSAÑO!$Z$11)/DATOSAÑO!$Y$11</f>
        <v>0</v>
      </c>
      <c r="AA372" s="9">
        <f ca="1">DATOSAÑO!AK371</f>
        <v>0</v>
      </c>
      <c r="AB372" s="11">
        <f ca="1">(AA372*DATOSAÑO!$Z$11)/DATOSAÑO!$Y$11</f>
        <v>0</v>
      </c>
      <c r="AC372" s="9">
        <f ca="1">DATOSAÑO!AL371</f>
        <v>0</v>
      </c>
      <c r="AD372" s="11">
        <f ca="1">(AC372*DATOSAÑO!$Z$11)/DATOSAÑO!$Y$11</f>
        <v>0</v>
      </c>
      <c r="AE372" s="9">
        <f ca="1">DATOSAÑO!CJ371</f>
        <v>0</v>
      </c>
      <c r="AF372" s="11">
        <f ca="1">(AE372*DATOSAÑO!$Z$11)/DATOSAÑO!$Y$11</f>
        <v>0</v>
      </c>
      <c r="AG372" s="9">
        <f ca="1">DATOSAÑO!CK371</f>
        <v>0</v>
      </c>
      <c r="AH372" s="11">
        <f ca="1">(AG372*DATOSAÑO!$Z$11)/DATOSAÑO!$Y$11</f>
        <v>0</v>
      </c>
      <c r="AI372" s="9">
        <f ca="1">DATOSAÑO!BS371</f>
        <v>0</v>
      </c>
      <c r="AJ372" s="11">
        <f ca="1">(AI372*DATOSAÑO!$Z$11)/DATOSAÑO!$Y$11</f>
        <v>0</v>
      </c>
      <c r="AK372" s="9">
        <f ca="1">DATOSAÑO!BV371</f>
        <v>0</v>
      </c>
      <c r="AL372" s="11">
        <f ca="1">(AK372*DATOSAÑO!$Z$11)/DATOSAÑO!$Y$11</f>
        <v>0</v>
      </c>
      <c r="AM372" s="9">
        <f ca="1">DATOSAÑO!BY371</f>
        <v>0</v>
      </c>
      <c r="AN372" s="11">
        <f ca="1">(AM372*DATOSAÑO!$Z$11)/DATOSAÑO!$Y$11</f>
        <v>0</v>
      </c>
      <c r="AO372" s="9">
        <f ca="1">DATOSAÑO!CF371</f>
        <v>0</v>
      </c>
      <c r="AP372" s="11">
        <f ca="1">(AO372*DATOSAÑO!$Z$11)/DATOSAÑO!$Y$11</f>
        <v>0</v>
      </c>
      <c r="AQ372" s="9">
        <f ca="1">DATOSAÑO!CL371</f>
        <v>0</v>
      </c>
      <c r="AR372" s="1300">
        <f ca="1">(AQ372*DATOSAÑO!$Z$11)/DATOSAÑO!$Y$11</f>
        <v>0</v>
      </c>
      <c r="AS372" s="1334">
        <f t="shared" si="17"/>
        <v>52</v>
      </c>
    </row>
    <row r="373" spans="1:45" ht="15" thickBot="1">
      <c r="A373" s="1371">
        <v>45288</v>
      </c>
      <c r="B373" s="1021">
        <v>45288</v>
      </c>
      <c r="C373" s="9">
        <f ca="1">DATOSAÑO!I372</f>
        <v>0</v>
      </c>
      <c r="D373" s="10">
        <f ca="1">DATOSAÑO!$D372</f>
        <v>0</v>
      </c>
      <c r="E373" s="11">
        <f ca="1">DATOSAÑO!$G372</f>
        <v>0</v>
      </c>
      <c r="F373" s="9">
        <f ca="1">DATOSAÑO!P372</f>
        <v>0</v>
      </c>
      <c r="G373" s="10">
        <f ca="1">DATOSAÑO!K372</f>
        <v>0</v>
      </c>
      <c r="H373" s="11">
        <f ca="1">DATOSAÑO!N372</f>
        <v>0</v>
      </c>
      <c r="I373" s="9">
        <f ca="1">DATOSAÑO!Q372</f>
        <v>0</v>
      </c>
      <c r="J373" s="11">
        <f ca="1">DATOSAÑO!R372</f>
        <v>0</v>
      </c>
      <c r="K373" s="9">
        <f ca="1">DATOSAÑO!T372</f>
        <v>0</v>
      </c>
      <c r="L373" s="11">
        <f t="shared" ca="1" si="15"/>
        <v>0</v>
      </c>
      <c r="M373" s="9"/>
      <c r="N373" s="11">
        <f t="shared" si="16"/>
        <v>0</v>
      </c>
      <c r="O373" s="9">
        <f>DATOSAÑO!CT372</f>
        <v>0</v>
      </c>
      <c r="P373" s="9">
        <f>DATOSAÑO!CU372</f>
        <v>0</v>
      </c>
      <c r="Q373" s="9">
        <f ca="1">DATOSAÑO!AD372</f>
        <v>0</v>
      </c>
      <c r="R373" s="11">
        <f ca="1">(Q373*DATOSAÑO!$Z$11)/DATOSAÑO!$Y$11</f>
        <v>0</v>
      </c>
      <c r="S373" s="9">
        <f ca="1">DATOSAÑO!AF372</f>
        <v>0</v>
      </c>
      <c r="T373" s="11">
        <f ca="1">(S373*DATOSAÑO!$Z$11)/DATOSAÑO!$Y$11</f>
        <v>0</v>
      </c>
      <c r="U373" s="9">
        <f ca="1">DATOSAÑO!AH372</f>
        <v>0</v>
      </c>
      <c r="V373" s="11">
        <f ca="1">(U373*DATOSAÑO!$Z$11)/DATOSAÑO!$Y$11</f>
        <v>0</v>
      </c>
      <c r="W373" s="9">
        <f ca="1">DATOSAÑO!AI372</f>
        <v>0</v>
      </c>
      <c r="X373" s="11">
        <f ca="1">(W373*DATOSAÑO!$Z$11)/DATOSAÑO!$Y$11</f>
        <v>0</v>
      </c>
      <c r="Y373" s="9">
        <f ca="1">DATOSAÑO!AJ372</f>
        <v>0</v>
      </c>
      <c r="Z373" s="11">
        <f ca="1">(Y373*DATOSAÑO!$Z$11)/DATOSAÑO!$Y$11</f>
        <v>0</v>
      </c>
      <c r="AA373" s="9">
        <f ca="1">DATOSAÑO!AK372</f>
        <v>0</v>
      </c>
      <c r="AB373" s="11">
        <f ca="1">(AA373*DATOSAÑO!$Z$11)/DATOSAÑO!$Y$11</f>
        <v>0</v>
      </c>
      <c r="AC373" s="9">
        <f ca="1">DATOSAÑO!AL372</f>
        <v>0</v>
      </c>
      <c r="AD373" s="11">
        <f ca="1">(AC373*DATOSAÑO!$Z$11)/DATOSAÑO!$Y$11</f>
        <v>0</v>
      </c>
      <c r="AE373" s="9">
        <f ca="1">DATOSAÑO!CJ372</f>
        <v>0</v>
      </c>
      <c r="AF373" s="11">
        <f ca="1">(AE373*DATOSAÑO!$Z$11)/DATOSAÑO!$Y$11</f>
        <v>0</v>
      </c>
      <c r="AG373" s="9">
        <f ca="1">DATOSAÑO!CK372</f>
        <v>0</v>
      </c>
      <c r="AH373" s="11">
        <f ca="1">(AG373*DATOSAÑO!$Z$11)/DATOSAÑO!$Y$11</f>
        <v>0</v>
      </c>
      <c r="AI373" s="9">
        <f ca="1">DATOSAÑO!BS372</f>
        <v>0</v>
      </c>
      <c r="AJ373" s="11">
        <f ca="1">(AI373*DATOSAÑO!$Z$11)/DATOSAÑO!$Y$11</f>
        <v>0</v>
      </c>
      <c r="AK373" s="9">
        <f ca="1">DATOSAÑO!BV372</f>
        <v>0</v>
      </c>
      <c r="AL373" s="11">
        <f ca="1">(AK373*DATOSAÑO!$Z$11)/DATOSAÑO!$Y$11</f>
        <v>0</v>
      </c>
      <c r="AM373" s="9">
        <f ca="1">DATOSAÑO!BY372</f>
        <v>0</v>
      </c>
      <c r="AN373" s="11">
        <f ca="1">(AM373*DATOSAÑO!$Z$11)/DATOSAÑO!$Y$11</f>
        <v>0</v>
      </c>
      <c r="AO373" s="9">
        <f ca="1">DATOSAÑO!CF372</f>
        <v>0</v>
      </c>
      <c r="AP373" s="11">
        <f ca="1">(AO373*DATOSAÑO!$Z$11)/DATOSAÑO!$Y$11</f>
        <v>0</v>
      </c>
      <c r="AQ373" s="9">
        <f ca="1">DATOSAÑO!CL372</f>
        <v>0</v>
      </c>
      <c r="AR373" s="1300">
        <f ca="1">(AQ373*DATOSAÑO!$Z$11)/DATOSAÑO!$Y$11</f>
        <v>0</v>
      </c>
      <c r="AS373" s="1334">
        <f t="shared" si="17"/>
        <v>52</v>
      </c>
    </row>
    <row r="374" spans="1:45" ht="15" thickBot="1">
      <c r="A374" s="1371">
        <v>45289</v>
      </c>
      <c r="B374" s="1021">
        <v>45289</v>
      </c>
      <c r="C374" s="9">
        <f ca="1">DATOSAÑO!I373</f>
        <v>0</v>
      </c>
      <c r="D374" s="10">
        <f ca="1">DATOSAÑO!$D373</f>
        <v>0</v>
      </c>
      <c r="E374" s="11">
        <f ca="1">DATOSAÑO!$G373</f>
        <v>0</v>
      </c>
      <c r="F374" s="9">
        <f ca="1">DATOSAÑO!P373</f>
        <v>0</v>
      </c>
      <c r="G374" s="10">
        <f ca="1">DATOSAÑO!K373</f>
        <v>0</v>
      </c>
      <c r="H374" s="11">
        <f ca="1">DATOSAÑO!N373</f>
        <v>0</v>
      </c>
      <c r="I374" s="9">
        <f ca="1">DATOSAÑO!Q373</f>
        <v>0</v>
      </c>
      <c r="J374" s="11">
        <f ca="1">DATOSAÑO!R373</f>
        <v>0</v>
      </c>
      <c r="K374" s="9">
        <f ca="1">DATOSAÑO!T373</f>
        <v>0</v>
      </c>
      <c r="L374" s="11">
        <f t="shared" ca="1" si="15"/>
        <v>0</v>
      </c>
      <c r="M374" s="9"/>
      <c r="N374" s="11">
        <f t="shared" si="16"/>
        <v>0</v>
      </c>
      <c r="O374" s="9">
        <f>DATOSAÑO!CT373</f>
        <v>0</v>
      </c>
      <c r="P374" s="9">
        <f>DATOSAÑO!CU373</f>
        <v>0</v>
      </c>
      <c r="Q374" s="9">
        <f ca="1">DATOSAÑO!AD373</f>
        <v>0</v>
      </c>
      <c r="R374" s="11">
        <f ca="1">(Q374*DATOSAÑO!$Z$11)/DATOSAÑO!$Y$11</f>
        <v>0</v>
      </c>
      <c r="S374" s="9">
        <f ca="1">DATOSAÑO!AF373</f>
        <v>0</v>
      </c>
      <c r="T374" s="11">
        <f ca="1">(S374*DATOSAÑO!$Z$11)/DATOSAÑO!$Y$11</f>
        <v>0</v>
      </c>
      <c r="U374" s="9">
        <f ca="1">DATOSAÑO!AH373</f>
        <v>0</v>
      </c>
      <c r="V374" s="11">
        <f ca="1">(U374*DATOSAÑO!$Z$11)/DATOSAÑO!$Y$11</f>
        <v>0</v>
      </c>
      <c r="W374" s="9">
        <f ca="1">DATOSAÑO!AI373</f>
        <v>0</v>
      </c>
      <c r="X374" s="11">
        <f ca="1">(W374*DATOSAÑO!$Z$11)/DATOSAÑO!$Y$11</f>
        <v>0</v>
      </c>
      <c r="Y374" s="9">
        <f ca="1">DATOSAÑO!AJ373</f>
        <v>0</v>
      </c>
      <c r="Z374" s="11">
        <f ca="1">(Y374*DATOSAÑO!$Z$11)/DATOSAÑO!$Y$11</f>
        <v>0</v>
      </c>
      <c r="AA374" s="9">
        <f ca="1">DATOSAÑO!AK373</f>
        <v>0</v>
      </c>
      <c r="AB374" s="11">
        <f ca="1">(AA374*DATOSAÑO!$Z$11)/DATOSAÑO!$Y$11</f>
        <v>0</v>
      </c>
      <c r="AC374" s="9">
        <f ca="1">DATOSAÑO!AL373</f>
        <v>0</v>
      </c>
      <c r="AD374" s="11">
        <f ca="1">(AC374*DATOSAÑO!$Z$11)/DATOSAÑO!$Y$11</f>
        <v>0</v>
      </c>
      <c r="AE374" s="9">
        <f ca="1">DATOSAÑO!CJ373</f>
        <v>0</v>
      </c>
      <c r="AF374" s="11">
        <f ca="1">(AE374*DATOSAÑO!$Z$11)/DATOSAÑO!$Y$11</f>
        <v>0</v>
      </c>
      <c r="AG374" s="9">
        <f ca="1">DATOSAÑO!CK373</f>
        <v>0</v>
      </c>
      <c r="AH374" s="11">
        <f ca="1">(AG374*DATOSAÑO!$Z$11)/DATOSAÑO!$Y$11</f>
        <v>0</v>
      </c>
      <c r="AI374" s="9">
        <f ca="1">DATOSAÑO!BS373</f>
        <v>0</v>
      </c>
      <c r="AJ374" s="11">
        <f ca="1">(AI374*DATOSAÑO!$Z$11)/DATOSAÑO!$Y$11</f>
        <v>0</v>
      </c>
      <c r="AK374" s="9">
        <f ca="1">DATOSAÑO!BV373</f>
        <v>0</v>
      </c>
      <c r="AL374" s="11">
        <f ca="1">(AK374*DATOSAÑO!$Z$11)/DATOSAÑO!$Y$11</f>
        <v>0</v>
      </c>
      <c r="AM374" s="9">
        <f ca="1">DATOSAÑO!BY373</f>
        <v>0</v>
      </c>
      <c r="AN374" s="11">
        <f ca="1">(AM374*DATOSAÑO!$Z$11)/DATOSAÑO!$Y$11</f>
        <v>0</v>
      </c>
      <c r="AO374" s="9">
        <f ca="1">DATOSAÑO!CF373</f>
        <v>0</v>
      </c>
      <c r="AP374" s="11">
        <f ca="1">(AO374*DATOSAÑO!$Z$11)/DATOSAÑO!$Y$11</f>
        <v>0</v>
      </c>
      <c r="AQ374" s="9">
        <f ca="1">DATOSAÑO!CL373</f>
        <v>0</v>
      </c>
      <c r="AR374" s="1300">
        <f ca="1">(AQ374*DATOSAÑO!$Z$11)/DATOSAÑO!$Y$11</f>
        <v>0</v>
      </c>
      <c r="AS374" s="1334">
        <f t="shared" si="17"/>
        <v>52</v>
      </c>
    </row>
    <row r="375" spans="1:45" ht="15" thickBot="1">
      <c r="A375" s="1371">
        <v>45290</v>
      </c>
      <c r="B375" s="1021">
        <v>45290</v>
      </c>
      <c r="C375" s="9">
        <f ca="1">DATOSAÑO!I374</f>
        <v>0</v>
      </c>
      <c r="D375" s="10">
        <f ca="1">DATOSAÑO!$D374</f>
        <v>0</v>
      </c>
      <c r="E375" s="11">
        <f ca="1">DATOSAÑO!$G374</f>
        <v>0</v>
      </c>
      <c r="F375" s="9">
        <f ca="1">DATOSAÑO!P374</f>
        <v>0</v>
      </c>
      <c r="G375" s="10">
        <f ca="1">DATOSAÑO!K374</f>
        <v>0</v>
      </c>
      <c r="H375" s="11">
        <f ca="1">DATOSAÑO!N374</f>
        <v>0</v>
      </c>
      <c r="I375" s="9">
        <f ca="1">DATOSAÑO!Q374</f>
        <v>0</v>
      </c>
      <c r="J375" s="11">
        <f ca="1">DATOSAÑO!R374</f>
        <v>0</v>
      </c>
      <c r="K375" s="9">
        <f ca="1">DATOSAÑO!T374</f>
        <v>0</v>
      </c>
      <c r="L375" s="11">
        <f t="shared" ca="1" si="15"/>
        <v>0</v>
      </c>
      <c r="M375" s="9"/>
      <c r="N375" s="11">
        <f t="shared" si="16"/>
        <v>0</v>
      </c>
      <c r="O375" s="9">
        <f>DATOSAÑO!CT374</f>
        <v>0</v>
      </c>
      <c r="P375" s="9">
        <f>DATOSAÑO!CU374</f>
        <v>0</v>
      </c>
      <c r="Q375" s="9">
        <f ca="1">DATOSAÑO!AD374</f>
        <v>0</v>
      </c>
      <c r="R375" s="11">
        <f ca="1">(Q375*DATOSAÑO!$Z$11)/DATOSAÑO!$Y$11</f>
        <v>0</v>
      </c>
      <c r="S375" s="9">
        <f ca="1">DATOSAÑO!AF374</f>
        <v>0</v>
      </c>
      <c r="T375" s="11">
        <f ca="1">(S375*DATOSAÑO!$Z$11)/DATOSAÑO!$Y$11</f>
        <v>0</v>
      </c>
      <c r="U375" s="9">
        <f ca="1">DATOSAÑO!AH374</f>
        <v>0</v>
      </c>
      <c r="V375" s="11">
        <f ca="1">(U375*DATOSAÑO!$Z$11)/DATOSAÑO!$Y$11</f>
        <v>0</v>
      </c>
      <c r="W375" s="9">
        <f ca="1">DATOSAÑO!AI374</f>
        <v>0</v>
      </c>
      <c r="X375" s="11">
        <f ca="1">(W375*DATOSAÑO!$Z$11)/DATOSAÑO!$Y$11</f>
        <v>0</v>
      </c>
      <c r="Y375" s="9">
        <f ca="1">DATOSAÑO!AJ374</f>
        <v>0</v>
      </c>
      <c r="Z375" s="11">
        <f ca="1">(Y375*DATOSAÑO!$Z$11)/DATOSAÑO!$Y$11</f>
        <v>0</v>
      </c>
      <c r="AA375" s="9">
        <f ca="1">DATOSAÑO!AK374</f>
        <v>0</v>
      </c>
      <c r="AB375" s="11">
        <f ca="1">(AA375*DATOSAÑO!$Z$11)/DATOSAÑO!$Y$11</f>
        <v>0</v>
      </c>
      <c r="AC375" s="9">
        <f ca="1">DATOSAÑO!AL374</f>
        <v>0</v>
      </c>
      <c r="AD375" s="11">
        <f ca="1">(AC375*DATOSAÑO!$Z$11)/DATOSAÑO!$Y$11</f>
        <v>0</v>
      </c>
      <c r="AE375" s="9">
        <f ca="1">DATOSAÑO!CJ374</f>
        <v>0</v>
      </c>
      <c r="AF375" s="11">
        <f ca="1">(AE375*DATOSAÑO!$Z$11)/DATOSAÑO!$Y$11</f>
        <v>0</v>
      </c>
      <c r="AG375" s="9">
        <f ca="1">DATOSAÑO!CK374</f>
        <v>0</v>
      </c>
      <c r="AH375" s="11">
        <f ca="1">(AG375*DATOSAÑO!$Z$11)/DATOSAÑO!$Y$11</f>
        <v>0</v>
      </c>
      <c r="AI375" s="9">
        <f ca="1">DATOSAÑO!BS374</f>
        <v>0</v>
      </c>
      <c r="AJ375" s="11">
        <f ca="1">(AI375*DATOSAÑO!$Z$11)/DATOSAÑO!$Y$11</f>
        <v>0</v>
      </c>
      <c r="AK375" s="9">
        <f ca="1">DATOSAÑO!BV374</f>
        <v>0</v>
      </c>
      <c r="AL375" s="11">
        <f ca="1">(AK375*DATOSAÑO!$Z$11)/DATOSAÑO!$Y$11</f>
        <v>0</v>
      </c>
      <c r="AM375" s="9">
        <f ca="1">DATOSAÑO!BY374</f>
        <v>0</v>
      </c>
      <c r="AN375" s="11">
        <f ca="1">(AM375*DATOSAÑO!$Z$11)/DATOSAÑO!$Y$11</f>
        <v>0</v>
      </c>
      <c r="AO375" s="9">
        <f ca="1">DATOSAÑO!CF374</f>
        <v>0</v>
      </c>
      <c r="AP375" s="11">
        <f ca="1">(AO375*DATOSAÑO!$Z$11)/DATOSAÑO!$Y$11</f>
        <v>0</v>
      </c>
      <c r="AQ375" s="9">
        <f ca="1">DATOSAÑO!CL374</f>
        <v>0</v>
      </c>
      <c r="AR375" s="1300">
        <f ca="1">(AQ375*DATOSAÑO!$Z$11)/DATOSAÑO!$Y$11</f>
        <v>0</v>
      </c>
      <c r="AS375" s="1334">
        <f t="shared" si="17"/>
        <v>52</v>
      </c>
    </row>
    <row r="376" spans="1:45" ht="15" thickBot="1">
      <c r="A376" s="1371">
        <v>45291</v>
      </c>
      <c r="B376" s="1021">
        <v>45291</v>
      </c>
      <c r="C376" s="169">
        <f ca="1">DATOSAÑO!I375</f>
        <v>0</v>
      </c>
      <c r="D376" s="190">
        <f ca="1">DATOSAÑO!$D375</f>
        <v>0</v>
      </c>
      <c r="E376" s="168">
        <f ca="1">DATOSAÑO!$G375</f>
        <v>0</v>
      </c>
      <c r="F376" s="169">
        <f ca="1">DATOSAÑO!P375</f>
        <v>0</v>
      </c>
      <c r="G376" s="190">
        <f ca="1">DATOSAÑO!K375</f>
        <v>0</v>
      </c>
      <c r="H376" s="168">
        <f ca="1">DATOSAÑO!N375</f>
        <v>0</v>
      </c>
      <c r="I376" s="169">
        <f ca="1">DATOSAÑO!Q375</f>
        <v>0</v>
      </c>
      <c r="J376" s="168">
        <f ca="1">DATOSAÑO!R375</f>
        <v>0</v>
      </c>
      <c r="K376" s="169">
        <f ca="1">DATOSAÑO!T375</f>
        <v>0</v>
      </c>
      <c r="L376" s="168">
        <f t="shared" ca="1" si="15"/>
        <v>0</v>
      </c>
      <c r="M376" s="169"/>
      <c r="N376" s="168">
        <f t="shared" si="16"/>
        <v>0</v>
      </c>
      <c r="O376" s="169">
        <f>DATOSAÑO!CT375</f>
        <v>0</v>
      </c>
      <c r="P376" s="167">
        <f>DATOSAÑO!CU375</f>
        <v>0</v>
      </c>
      <c r="Q376" s="169">
        <f ca="1">DATOSAÑO!AD375</f>
        <v>0</v>
      </c>
      <c r="R376" s="168">
        <f ca="1">(Q376*DATOSAÑO!$Z$11)/DATOSAÑO!$Y$11</f>
        <v>0</v>
      </c>
      <c r="S376" s="169">
        <f ca="1">DATOSAÑO!AF375</f>
        <v>0</v>
      </c>
      <c r="T376" s="168">
        <f ca="1">(S376*DATOSAÑO!$Z$11)/DATOSAÑO!$Y$11</f>
        <v>0</v>
      </c>
      <c r="U376" s="169">
        <f ca="1">DATOSAÑO!AH375</f>
        <v>0</v>
      </c>
      <c r="V376" s="168">
        <f ca="1">(U376*DATOSAÑO!$Z$11)/DATOSAÑO!$Y$11</f>
        <v>0</v>
      </c>
      <c r="W376" s="169">
        <f ca="1">DATOSAÑO!AI375</f>
        <v>0</v>
      </c>
      <c r="X376" s="168">
        <f ca="1">(W376*DATOSAÑO!$Z$11)/DATOSAÑO!$Y$11</f>
        <v>0</v>
      </c>
      <c r="Y376" s="169">
        <f ca="1">DATOSAÑO!AJ375</f>
        <v>0</v>
      </c>
      <c r="Z376" s="168">
        <f ca="1">(Y376*DATOSAÑO!$Z$11)/DATOSAÑO!$Y$11</f>
        <v>0</v>
      </c>
      <c r="AA376" s="169">
        <f ca="1">DATOSAÑO!AK375</f>
        <v>0</v>
      </c>
      <c r="AB376" s="168">
        <f ca="1">(AA376*DATOSAÑO!$Z$11)/DATOSAÑO!$Y$11</f>
        <v>0</v>
      </c>
      <c r="AC376" s="169">
        <f ca="1">DATOSAÑO!AL375</f>
        <v>0</v>
      </c>
      <c r="AD376" s="168">
        <f ca="1">(AC376*DATOSAÑO!$Z$11)/DATOSAÑO!$Y$11</f>
        <v>0</v>
      </c>
      <c r="AE376" s="169">
        <f ca="1">DATOSAÑO!CJ375</f>
        <v>0</v>
      </c>
      <c r="AF376" s="168">
        <f ca="1">(AE376*DATOSAÑO!$Z$11)/DATOSAÑO!$Y$11</f>
        <v>0</v>
      </c>
      <c r="AG376" s="169">
        <f ca="1">DATOSAÑO!CK375</f>
        <v>0</v>
      </c>
      <c r="AH376" s="168">
        <f ca="1">(AG376*DATOSAÑO!$Z$11)/DATOSAÑO!$Y$11</f>
        <v>0</v>
      </c>
      <c r="AI376" s="169">
        <f ca="1">DATOSAÑO!BS375</f>
        <v>0</v>
      </c>
      <c r="AJ376" s="168">
        <f ca="1">(AI376*DATOSAÑO!$Z$11)/DATOSAÑO!$Y$11</f>
        <v>0</v>
      </c>
      <c r="AK376" s="169">
        <f ca="1">DATOSAÑO!BV375</f>
        <v>0</v>
      </c>
      <c r="AL376" s="168">
        <f ca="1">(AK376*DATOSAÑO!$Z$11)/DATOSAÑO!$Y$11</f>
        <v>0</v>
      </c>
      <c r="AM376" s="169">
        <f ca="1">DATOSAÑO!BY375</f>
        <v>0</v>
      </c>
      <c r="AN376" s="168">
        <f ca="1">(AM376*DATOSAÑO!$Z$11)/DATOSAÑO!$Y$11</f>
        <v>0</v>
      </c>
      <c r="AO376" s="169">
        <f ca="1">DATOSAÑO!CF375</f>
        <v>0</v>
      </c>
      <c r="AP376" s="168">
        <f ca="1">(AO376*DATOSAÑO!$Z$11)/DATOSAÑO!$Y$11</f>
        <v>0</v>
      </c>
      <c r="AQ376" s="169">
        <f ca="1">DATOSAÑO!CL375</f>
        <v>0</v>
      </c>
      <c r="AR376" s="1302">
        <f ca="1">(AQ376*DATOSAÑO!$Z$11)/DATOSAÑO!$Y$11</f>
        <v>0</v>
      </c>
      <c r="AS376" s="1336">
        <f t="shared" si="17"/>
        <v>53</v>
      </c>
    </row>
    <row r="377" spans="1:45" ht="15" thickTop="1"/>
  </sheetData>
  <mergeCells count="30">
    <mergeCell ref="AI8:AR8"/>
    <mergeCell ref="AK10:AL10"/>
    <mergeCell ref="AM10:AN10"/>
    <mergeCell ref="AO10:AP10"/>
    <mergeCell ref="AQ10:AR10"/>
    <mergeCell ref="AI9:AR9"/>
    <mergeCell ref="AI10:AJ10"/>
    <mergeCell ref="U10:V10"/>
    <mergeCell ref="W10:X10"/>
    <mergeCell ref="G3:H3"/>
    <mergeCell ref="I4:J4"/>
    <mergeCell ref="I5:J5"/>
    <mergeCell ref="G4:H4"/>
    <mergeCell ref="G5:H5"/>
    <mergeCell ref="Y10:Z10"/>
    <mergeCell ref="AA10:AB10"/>
    <mergeCell ref="AC10:AD10"/>
    <mergeCell ref="B8:AH8"/>
    <mergeCell ref="B9:B11"/>
    <mergeCell ref="C9:L9"/>
    <mergeCell ref="Q9:AH9"/>
    <mergeCell ref="C10:E10"/>
    <mergeCell ref="F10:H10"/>
    <mergeCell ref="I10:J10"/>
    <mergeCell ref="K10:L10"/>
    <mergeCell ref="M10:N10"/>
    <mergeCell ref="Q10:R10"/>
    <mergeCell ref="AE10:AF10"/>
    <mergeCell ref="AG10:AH10"/>
    <mergeCell ref="S10:T10"/>
  </mergeCells>
  <pageMargins left="0.70866141732283472" right="0.70866141732283472" top="0.74803149606299213" bottom="0.74803149606299213" header="0.31496062992125984" footer="0.31496062992125984"/>
  <pageSetup scale="80" fitToWidth="0" fitToHeight="0" orientation="portrait" r:id="rId1"/>
  <ignoredErrors>
    <ignoredError sqref="S71:S376 U71:U376 W71:AH284 W285:AD376 AH285:AH315 AI12:AR42 W12:AH70 U12:U70 S12:S70 AI43:AR70 AI71:AR101 AI102:AR131 AI132:AR162 AI163:AR192 AI193:AR223 AI224:AR254 AI255:AR284 AI285:AR315 AF285:AF315 AE285:AE315 AG285:AG315 AH316:AH345 AF316:AF345 AE316:AE345 AG316:AG345 AI316:AR345 AH346:AH376 AF346:AF376 AE346:AE376 AG346:AG376 AI346:AR376" formula="1"/>
  </ignoredError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6">
    <tabColor rgb="FF92D050"/>
  </sheetPr>
  <dimension ref="A1:T53"/>
  <sheetViews>
    <sheetView showGridLines="0" topLeftCell="A28" zoomScale="55" zoomScaleNormal="55" workbookViewId="0">
      <selection activeCell="O48" sqref="O48"/>
    </sheetView>
  </sheetViews>
  <sheetFormatPr baseColWidth="10" defaultColWidth="10.77734375" defaultRowHeight="14.4"/>
  <cols>
    <col min="1" max="1" width="31.21875" customWidth="1"/>
    <col min="2" max="2" width="9.21875" customWidth="1"/>
    <col min="3" max="3" width="46.21875" customWidth="1"/>
    <col min="4" max="4" width="14.44140625" customWidth="1"/>
    <col min="5" max="5" width="15.5546875" customWidth="1"/>
    <col min="6" max="6" width="14.44140625" bestFit="1" customWidth="1"/>
    <col min="7" max="7" width="15.5546875" bestFit="1" customWidth="1"/>
    <col min="8" max="9" width="14.44140625" bestFit="1" customWidth="1"/>
    <col min="10" max="10" width="15.5546875" bestFit="1" customWidth="1"/>
    <col min="11" max="11" width="14.44140625" bestFit="1" customWidth="1"/>
    <col min="12" max="12" width="15.5546875" bestFit="1" customWidth="1"/>
    <col min="13" max="13" width="18" customWidth="1"/>
    <col min="14" max="14" width="15.5546875" customWidth="1"/>
    <col min="15" max="16" width="14.44140625" bestFit="1" customWidth="1"/>
    <col min="17" max="17" width="1.77734375" customWidth="1"/>
    <col min="18" max="18" width="10.77734375" customWidth="1"/>
  </cols>
  <sheetData>
    <row r="1" spans="1:17">
      <c r="B1" s="415"/>
    </row>
    <row r="2" spans="1:17" ht="18">
      <c r="B2" s="416" t="s">
        <v>616</v>
      </c>
    </row>
    <row r="3" spans="1:17" ht="16.2" thickBot="1">
      <c r="B3" s="417" t="s">
        <v>617</v>
      </c>
      <c r="C3" s="418"/>
      <c r="D3" s="418"/>
      <c r="E3" s="418"/>
      <c r="F3" s="418"/>
      <c r="G3" s="418"/>
      <c r="H3" s="418"/>
      <c r="I3" s="418"/>
      <c r="J3" s="418"/>
      <c r="K3" s="418"/>
      <c r="L3" s="418"/>
      <c r="M3" s="418"/>
      <c r="N3" s="418"/>
      <c r="O3" s="418"/>
      <c r="P3" s="418"/>
    </row>
    <row r="4" spans="1:17" ht="15.6" thickTop="1" thickBot="1">
      <c r="B4" s="415"/>
    </row>
    <row r="5" spans="1:17" ht="16.2" thickBot="1">
      <c r="B5" s="2177" t="s">
        <v>618</v>
      </c>
      <c r="C5" s="2178"/>
      <c r="D5" s="2179"/>
      <c r="E5" s="25">
        <f ca="1">TODAY( )</f>
        <v>45126</v>
      </c>
    </row>
    <row r="6" spans="1:17">
      <c r="B6" s="419" t="s">
        <v>619</v>
      </c>
      <c r="C6" s="419" t="s">
        <v>620</v>
      </c>
      <c r="D6" s="419" t="s">
        <v>621</v>
      </c>
      <c r="E6" s="419" t="s">
        <v>622</v>
      </c>
      <c r="F6" s="419" t="s">
        <v>623</v>
      </c>
      <c r="G6" s="419" t="s">
        <v>624</v>
      </c>
      <c r="H6" s="419" t="s">
        <v>625</v>
      </c>
      <c r="I6" s="419" t="s">
        <v>626</v>
      </c>
      <c r="J6" s="419" t="s">
        <v>627</v>
      </c>
      <c r="K6" s="419" t="s">
        <v>628</v>
      </c>
      <c r="L6" s="419" t="s">
        <v>629</v>
      </c>
      <c r="M6" s="419" t="s">
        <v>630</v>
      </c>
      <c r="N6" s="419" t="s">
        <v>631</v>
      </c>
      <c r="O6" s="419" t="s">
        <v>632</v>
      </c>
      <c r="P6" s="419" t="s">
        <v>633</v>
      </c>
      <c r="Q6" s="420"/>
    </row>
    <row r="7" spans="1:17">
      <c r="B7" s="421">
        <v>1</v>
      </c>
      <c r="C7" s="422" t="str">
        <f>'Datos Mes2'!B31</f>
        <v>Energia Neta Generada (MWh/mes)</v>
      </c>
      <c r="D7" s="421" t="s">
        <v>634</v>
      </c>
      <c r="E7" s="423">
        <f ca="1">'Datos Mes2'!F31</f>
        <v>13465.371999999968</v>
      </c>
      <c r="F7" s="423">
        <f ca="1">'Datos Mes2'!G31</f>
        <v>12240.734000000031</v>
      </c>
      <c r="G7" s="423">
        <f ca="1">'Datos Mes2'!H31</f>
        <v>13640.708999999966</v>
      </c>
      <c r="H7" s="423">
        <f ca="1">'Datos Mes2'!I31</f>
        <v>13068.663000000024</v>
      </c>
      <c r="I7" s="423">
        <f ca="1">'Datos Mes2'!J31</f>
        <v>13036.991999999977</v>
      </c>
      <c r="J7" s="423">
        <f ca="1">'Datos Mes2'!K31</f>
        <v>1685.72</v>
      </c>
      <c r="K7" s="423">
        <f ca="1">'Datos Mes2'!L31</f>
        <v>-89.254999999999995</v>
      </c>
      <c r="L7" s="423">
        <f ca="1">IF('Datos Mes2'!M31=" ",0,'Datos Mes2'!M31)</f>
        <v>-89.254999999999995</v>
      </c>
      <c r="M7" s="423">
        <f ca="1">'Datos Mes2'!N31</f>
        <v>-86.28</v>
      </c>
      <c r="N7" s="423">
        <f ca="1">'Datos Mes2'!O31</f>
        <v>-89.254999999999995</v>
      </c>
      <c r="O7" s="423">
        <f ca="1">'Datos Mes2'!P31</f>
        <v>-86.28</v>
      </c>
      <c r="P7" s="423">
        <f ca="1">'Datos Mes2'!Q31</f>
        <v>-89.254999999999995</v>
      </c>
      <c r="Q7" s="420"/>
    </row>
    <row r="8" spans="1:17">
      <c r="B8" s="421">
        <v>2</v>
      </c>
      <c r="C8" s="422" t="str">
        <f>'Datos Mes2'!B38</f>
        <v>Consumo de  Combustible (Energia MMBtu/mes)</v>
      </c>
      <c r="D8" s="421" t="s">
        <v>635</v>
      </c>
      <c r="E8" s="423">
        <f ca="1">'Datos Mes2'!F38</f>
        <v>232927.06510259982</v>
      </c>
      <c r="F8" s="423">
        <f ca="1">'Datos Mes2'!G38</f>
        <v>210362.09348880025</v>
      </c>
      <c r="G8" s="423">
        <f ca="1">'Datos Mes2'!H38</f>
        <v>233623.68177815434</v>
      </c>
      <c r="H8" s="423">
        <f ca="1">'Datos Mes2'!I38</f>
        <v>218932.18303110023</v>
      </c>
      <c r="I8" s="423">
        <f ca="1">'Datos Mes2'!J38</f>
        <v>229845.94684259992</v>
      </c>
      <c r="J8" s="423">
        <f ca="1">'Datos Mes2'!K38</f>
        <v>30224.753618400002</v>
      </c>
      <c r="K8" s="423">
        <f ca="1">'Datos Mes2'!L38</f>
        <v>0</v>
      </c>
      <c r="L8" s="423">
        <f ca="1">'Datos Mes2'!M38</f>
        <v>0</v>
      </c>
      <c r="M8" s="423">
        <f ca="1">'Datos Mes2'!N38</f>
        <v>0</v>
      </c>
      <c r="N8" s="423">
        <f ca="1">'Datos Mes2'!O38</f>
        <v>0</v>
      </c>
      <c r="O8" s="423">
        <f ca="1">'Datos Mes2'!P38</f>
        <v>0</v>
      </c>
      <c r="P8" s="423">
        <f ca="1">'Datos Mes2'!Q38</f>
        <v>0</v>
      </c>
      <c r="Q8" s="420"/>
    </row>
    <row r="9" spans="1:17">
      <c r="B9" s="421">
        <v>3</v>
      </c>
      <c r="C9" s="422" t="str">
        <f>'Datos Mes2'!B40</f>
        <v xml:space="preserve">Confiabilidad Mensual </v>
      </c>
      <c r="D9" s="421" t="s">
        <v>131</v>
      </c>
      <c r="E9" s="424">
        <f ca="1">'Datos Mes2'!F40</f>
        <v>1</v>
      </c>
      <c r="F9" s="424">
        <f ca="1">'Datos Mes2'!G40</f>
        <v>1</v>
      </c>
      <c r="G9" s="424">
        <f ca="1">'Datos Mes2'!H40</f>
        <v>1</v>
      </c>
      <c r="H9" s="424">
        <f ca="1">'Datos Mes2'!I40</f>
        <v>1</v>
      </c>
      <c r="I9" s="424">
        <f ca="1">'Datos Mes2'!J40</f>
        <v>1</v>
      </c>
      <c r="J9" s="424">
        <f ca="1">'Datos Mes2'!K40</f>
        <v>1</v>
      </c>
      <c r="K9" s="424">
        <f ca="1">'Datos Mes2'!L40</f>
        <v>1</v>
      </c>
      <c r="L9" s="424">
        <f ca="1">'Datos Mes2'!M40</f>
        <v>1</v>
      </c>
      <c r="M9" s="424">
        <f ca="1">'Datos Mes2'!N40</f>
        <v>1</v>
      </c>
      <c r="N9" s="424">
        <f ca="1">'Datos Mes2'!O40</f>
        <v>1</v>
      </c>
      <c r="O9" s="424">
        <f ca="1">'Datos Mes2'!P40</f>
        <v>1</v>
      </c>
      <c r="P9" s="424">
        <f ca="1">'Datos Mes2'!Q40</f>
        <v>1</v>
      </c>
      <c r="Q9" s="420"/>
    </row>
    <row r="10" spans="1:17">
      <c r="B10" s="421">
        <v>4</v>
      </c>
      <c r="C10" s="422" t="str">
        <f>'Datos Mes2'!B41</f>
        <v>Disponibilidad Mensual</v>
      </c>
      <c r="D10" s="421" t="s">
        <v>131</v>
      </c>
      <c r="E10" s="424">
        <f ca="1">'Datos Mes2'!F41</f>
        <v>1.0085349462365591</v>
      </c>
      <c r="F10" s="424">
        <f ca="1">'Datos Mes2'!G41</f>
        <v>1</v>
      </c>
      <c r="G10" s="424">
        <f ca="1">'Datos Mes2'!H41</f>
        <v>1</v>
      </c>
      <c r="H10" s="424">
        <f ca="1">'Datos Mes2'!I41</f>
        <v>1</v>
      </c>
      <c r="I10" s="424">
        <f ca="1">'Datos Mes2'!J41</f>
        <v>1</v>
      </c>
      <c r="J10" s="424">
        <f ca="1">'Datos Mes2'!K41</f>
        <v>1</v>
      </c>
      <c r="K10" s="424">
        <f ca="1">'Datos Mes2'!L41</f>
        <v>1</v>
      </c>
      <c r="L10" s="424">
        <f ca="1">'Datos Mes2'!M41</f>
        <v>1</v>
      </c>
      <c r="M10" s="424">
        <f ca="1">'Datos Mes2'!N41</f>
        <v>1</v>
      </c>
      <c r="N10" s="424">
        <f ca="1">'Datos Mes2'!O41</f>
        <v>1</v>
      </c>
      <c r="O10" s="424">
        <f ca="1">'Datos Mes2'!P41</f>
        <v>1</v>
      </c>
      <c r="P10" s="424">
        <f ca="1">'Datos Mes2'!Q41</f>
        <v>1</v>
      </c>
      <c r="Q10" s="420"/>
    </row>
    <row r="11" spans="1:17" ht="15" thickBot="1">
      <c r="B11" s="425"/>
      <c r="C11" s="426"/>
      <c r="D11" s="426"/>
      <c r="E11" s="426"/>
      <c r="F11" s="427"/>
      <c r="G11" s="426"/>
      <c r="H11" s="426"/>
      <c r="I11" s="426"/>
      <c r="J11" s="426"/>
      <c r="K11" s="426"/>
      <c r="L11" s="426"/>
      <c r="M11" s="426"/>
      <c r="N11" s="426"/>
      <c r="O11" s="426"/>
      <c r="P11" s="426"/>
    </row>
    <row r="12" spans="1:17" ht="16.2" thickBot="1">
      <c r="B12" s="2177" t="s">
        <v>636</v>
      </c>
      <c r="C12" s="2178"/>
      <c r="D12" s="2179"/>
      <c r="E12" s="401"/>
      <c r="F12" s="401"/>
    </row>
    <row r="13" spans="1:17" ht="15.6">
      <c r="B13" s="419" t="s">
        <v>619</v>
      </c>
      <c r="C13" s="419" t="s">
        <v>620</v>
      </c>
      <c r="D13" s="419" t="s">
        <v>621</v>
      </c>
      <c r="E13" s="462">
        <v>44592</v>
      </c>
      <c r="F13" s="462">
        <v>44620</v>
      </c>
      <c r="G13" s="462">
        <v>44651</v>
      </c>
      <c r="H13" s="462">
        <v>44681</v>
      </c>
      <c r="I13" s="462">
        <v>44712</v>
      </c>
      <c r="J13" s="462">
        <v>44742</v>
      </c>
      <c r="K13" s="462">
        <v>44773</v>
      </c>
      <c r="L13" s="462">
        <v>44804</v>
      </c>
      <c r="M13" s="462">
        <v>44834</v>
      </c>
      <c r="N13" s="462">
        <v>44865</v>
      </c>
      <c r="O13" s="462">
        <v>44895</v>
      </c>
      <c r="P13" s="462">
        <v>44926</v>
      </c>
    </row>
    <row r="14" spans="1:17" s="420" customFormat="1">
      <c r="A14"/>
      <c r="B14" s="429"/>
      <c r="C14" s="430" t="s">
        <v>637</v>
      </c>
      <c r="D14" s="431"/>
      <c r="E14" s="432">
        <f ca="1">IF($E$5&gt;E13,SUM(E15:E18)," ")</f>
        <v>71456289.354944438</v>
      </c>
      <c r="F14" s="432">
        <f t="shared" ref="F14:K14" ca="1" si="0">IF($E$5&gt;F13,SUM(F15:F18)," ")</f>
        <v>29488451.44444444</v>
      </c>
      <c r="G14" s="432">
        <f t="shared" ca="1" si="0"/>
        <v>29488479.44444444</v>
      </c>
      <c r="H14" s="432">
        <f t="shared" ca="1" si="0"/>
        <v>29488510.44444444</v>
      </c>
      <c r="I14" s="432">
        <f t="shared" ca="1" si="0"/>
        <v>29488540.44444444</v>
      </c>
      <c r="J14" s="432">
        <f t="shared" ca="1" si="0"/>
        <v>29488571.44444444</v>
      </c>
      <c r="K14" s="432">
        <f t="shared" ca="1" si="0"/>
        <v>29488601.44444444</v>
      </c>
      <c r="L14" s="432">
        <f ca="1">IF($E$5&gt;L13,SUM(L15:L18),0)</f>
        <v>29488632.44444444</v>
      </c>
      <c r="M14" s="432">
        <f ca="1">IF($E$5&gt;M13,SUM(M15:M18),0)</f>
        <v>29488663.44444444</v>
      </c>
      <c r="N14" s="432">
        <f ca="1">IF($E$5&gt;N13,SUM(N15:N18),0)</f>
        <v>29488693.44444444</v>
      </c>
      <c r="O14" s="432">
        <f ca="1">IF($E$5&gt;O13,SUM(O15:O18),0)</f>
        <v>29488724.44444444</v>
      </c>
      <c r="P14" s="432">
        <f ca="1">IF($E$5&gt;P13,SUM(P15:P18),0)</f>
        <v>29488754.44444444</v>
      </c>
    </row>
    <row r="15" spans="1:17" s="420" customFormat="1">
      <c r="A15"/>
      <c r="B15" s="421">
        <v>1</v>
      </c>
      <c r="C15" s="433" t="s">
        <v>638</v>
      </c>
      <c r="D15" s="421" t="s">
        <v>639</v>
      </c>
      <c r="E15" s="434">
        <f ca="1">'Datos Mes2'!F9</f>
        <v>42010968.910500005</v>
      </c>
      <c r="F15" s="434">
        <v>43131</v>
      </c>
      <c r="G15" s="434">
        <v>43159</v>
      </c>
      <c r="H15" s="434">
        <v>43190</v>
      </c>
      <c r="I15" s="434">
        <v>43220</v>
      </c>
      <c r="J15" s="434">
        <v>43251</v>
      </c>
      <c r="K15" s="434">
        <v>43281</v>
      </c>
      <c r="L15" s="434">
        <v>43312</v>
      </c>
      <c r="M15" s="434">
        <v>43343</v>
      </c>
      <c r="N15" s="434">
        <v>43373</v>
      </c>
      <c r="O15" s="434">
        <v>43404</v>
      </c>
      <c r="P15" s="434">
        <v>43434</v>
      </c>
      <c r="Q15" s="996"/>
    </row>
    <row r="16" spans="1:17" s="420" customFormat="1">
      <c r="A16"/>
      <c r="B16" s="421">
        <v>2</v>
      </c>
      <c r="C16" s="435" t="str">
        <f>'Datos Mes2'!B10</f>
        <v>Generales &amp; Administración Profesional ECP</v>
      </c>
      <c r="D16" s="421" t="s">
        <v>639</v>
      </c>
      <c r="E16" s="436">
        <f ca="1">'Datos Mes2'!F10</f>
        <v>5000000</v>
      </c>
      <c r="F16" s="436">
        <f ca="1">'Datos Mes2'!G10</f>
        <v>5000000</v>
      </c>
      <c r="G16" s="436">
        <f ca="1">'Datos Mes2'!H10</f>
        <v>5000000</v>
      </c>
      <c r="H16" s="436">
        <f ca="1">'Datos Mes2'!I10</f>
        <v>5000000</v>
      </c>
      <c r="I16" s="436">
        <f ca="1">'Datos Mes2'!J10</f>
        <v>5000000</v>
      </c>
      <c r="J16" s="436">
        <f ca="1">'Datos Mes2'!K10</f>
        <v>5000000</v>
      </c>
      <c r="K16" s="436">
        <f ca="1">'Datos Mes2'!L10</f>
        <v>5000000</v>
      </c>
      <c r="L16" s="436">
        <f ca="1">'Datos Mes2'!M10</f>
        <v>5000000</v>
      </c>
      <c r="M16" s="436">
        <f ca="1">'Datos Mes2'!N10</f>
        <v>5000000</v>
      </c>
      <c r="N16" s="436">
        <f ca="1">'Datos Mes2'!O10</f>
        <v>5000000</v>
      </c>
      <c r="O16" s="436">
        <f ca="1">'Datos Mes2'!P10</f>
        <v>5000000</v>
      </c>
      <c r="P16" s="436">
        <f ca="1">'Datos Mes2'!Q10</f>
        <v>5000000</v>
      </c>
    </row>
    <row r="17" spans="1:17" s="420" customFormat="1">
      <c r="A17"/>
      <c r="B17" s="421">
        <v>3</v>
      </c>
      <c r="C17" s="435" t="str">
        <f>'Datos Mes2'!B11</f>
        <v>Mantenimientos Mayores (HH) (HGPI, CCI)</v>
      </c>
      <c r="D17" s="421" t="s">
        <v>639</v>
      </c>
      <c r="E17" s="434">
        <f ca="1">'Datos Mes2'!F11</f>
        <v>6503040.4444444403</v>
      </c>
      <c r="F17" s="434">
        <f ca="1">'Datos Mes2'!G11</f>
        <v>6503040.4444444403</v>
      </c>
      <c r="G17" s="434">
        <f ca="1">'Datos Mes2'!H11</f>
        <v>6503040.4444444403</v>
      </c>
      <c r="H17" s="434">
        <f ca="1">'Datos Mes2'!I11</f>
        <v>6503040.4444444403</v>
      </c>
      <c r="I17" s="434">
        <f ca="1">'Datos Mes2'!J11</f>
        <v>6503040.4444444403</v>
      </c>
      <c r="J17" s="434">
        <f ca="1">'Datos Mes2'!K11</f>
        <v>6503040.4444444403</v>
      </c>
      <c r="K17" s="434">
        <f ca="1">'Datos Mes2'!L11</f>
        <v>6503040.4444444403</v>
      </c>
      <c r="L17" s="434">
        <f ca="1">'Datos Mes2'!M11</f>
        <v>6503040.4444444403</v>
      </c>
      <c r="M17" s="434">
        <f ca="1">'Datos Mes2'!N11</f>
        <v>6503040.4444444403</v>
      </c>
      <c r="N17" s="434">
        <f ca="1">'Datos Mes2'!O11</f>
        <v>6503040.4444444403</v>
      </c>
      <c r="O17" s="434">
        <f ca="1">'Datos Mes2'!P11</f>
        <v>6503040.4444444403</v>
      </c>
      <c r="P17" s="434">
        <f ca="1">'Datos Mes2'!Q11</f>
        <v>6503040.4444444403</v>
      </c>
    </row>
    <row r="18" spans="1:17" s="420" customFormat="1">
      <c r="A18"/>
      <c r="B18" s="421">
        <v>4</v>
      </c>
      <c r="C18" s="435" t="str">
        <f>'Datos Mes2'!B12</f>
        <v>Depreciacion</v>
      </c>
      <c r="D18" s="421" t="s">
        <v>639</v>
      </c>
      <c r="E18" s="434">
        <f ca="1">'Datos Mes2'!F12</f>
        <v>17942280</v>
      </c>
      <c r="F18" s="434">
        <f ca="1">'Datos Mes2'!G12</f>
        <v>17942280</v>
      </c>
      <c r="G18" s="434">
        <f ca="1">'Datos Mes2'!H12</f>
        <v>17942280</v>
      </c>
      <c r="H18" s="434">
        <f ca="1">'Datos Mes2'!I12</f>
        <v>17942280</v>
      </c>
      <c r="I18" s="434">
        <f ca="1">'Datos Mes2'!J12</f>
        <v>17942280</v>
      </c>
      <c r="J18" s="434">
        <f ca="1">'Datos Mes2'!K12</f>
        <v>17942280</v>
      </c>
      <c r="K18" s="434">
        <f ca="1">'Datos Mes2'!L12</f>
        <v>17942280</v>
      </c>
      <c r="L18" s="434">
        <f ca="1">'Datos Mes2'!M12</f>
        <v>17942280</v>
      </c>
      <c r="M18" s="434">
        <f ca="1">'Datos Mes2'!N12</f>
        <v>17942280</v>
      </c>
      <c r="N18" s="434">
        <f ca="1">'Datos Mes2'!O12</f>
        <v>17942280</v>
      </c>
      <c r="O18" s="434">
        <f ca="1">'Datos Mes2'!P12</f>
        <v>17942280</v>
      </c>
      <c r="P18" s="434">
        <f ca="1">'Datos Mes2'!Q12</f>
        <v>17942280</v>
      </c>
    </row>
    <row r="19" spans="1:17" s="420" customFormat="1">
      <c r="A19"/>
      <c r="B19" s="429"/>
      <c r="C19" s="430" t="s">
        <v>640</v>
      </c>
      <c r="D19" s="431"/>
      <c r="E19" s="432">
        <f ca="1">IF($E$5&gt;E13,SUM(E20:E27)," ")</f>
        <v>947591.99999998778</v>
      </c>
      <c r="F19" s="432">
        <f t="shared" ref="F19:K19" ca="1" si="1">IF($E$5&gt;F13,SUM(F20:F27)," ")</f>
        <v>992303.9999999865</v>
      </c>
      <c r="G19" s="432">
        <f t="shared" ca="1" si="1"/>
        <v>368063.99999998941</v>
      </c>
      <c r="H19" s="432">
        <f t="shared" ca="1" si="1"/>
        <v>6845688.0000000214</v>
      </c>
      <c r="I19" s="432">
        <f t="shared" ca="1" si="1"/>
        <v>928152.00000000547</v>
      </c>
      <c r="J19" s="432">
        <f t="shared" ca="1" si="1"/>
        <v>0</v>
      </c>
      <c r="K19" s="432">
        <f t="shared" ca="1" si="1"/>
        <v>0</v>
      </c>
      <c r="L19" s="432">
        <f ca="1">IF($E$5&gt;L13,SUM(L20:L27),0)</f>
        <v>0</v>
      </c>
      <c r="M19" s="432">
        <f ca="1">IF($E$5&gt;M13,SUM(M20:M27),0)</f>
        <v>0</v>
      </c>
      <c r="N19" s="432">
        <f ca="1">IF($E$5&gt;N13,SUM(N20:N27),0)</f>
        <v>0</v>
      </c>
      <c r="O19" s="432">
        <f ca="1">IF($E$5&gt;O13,SUM(O20:O27),0)</f>
        <v>0</v>
      </c>
      <c r="P19" s="432">
        <f ca="1">IF($E$5&gt;P13,SUM(P20:P27),0)</f>
        <v>0</v>
      </c>
    </row>
    <row r="20" spans="1:17" s="420" customFormat="1">
      <c r="A20"/>
      <c r="B20" s="421">
        <v>1</v>
      </c>
      <c r="C20" s="435" t="str">
        <f>'Datos Mes2'!B16</f>
        <v>Costo Seguros Sector Electrico Ley 99</v>
      </c>
      <c r="D20" s="421" t="s">
        <v>639</v>
      </c>
      <c r="E20" s="434">
        <f ca="1">IF($E$5&gt;E13,'Datos Mes2'!F16," ")</f>
        <v>0</v>
      </c>
      <c r="F20" s="434">
        <f ca="1">IF($E$5&gt;F13,'Datos Mes2'!G16," ")</f>
        <v>0</v>
      </c>
      <c r="G20" s="434">
        <f ca="1">IF($E$5&gt;G13,'Datos Mes2'!H16," ")</f>
        <v>0</v>
      </c>
      <c r="H20" s="434">
        <f ca="1">IF($E$5&gt;H13,'Datos Mes2'!I16," ")</f>
        <v>0</v>
      </c>
      <c r="I20" s="434">
        <f ca="1">IF($E$5&gt;I13,'Datos Mes2'!J16," ")</f>
        <v>0</v>
      </c>
      <c r="J20" s="434">
        <f ca="1">IF($E$5&gt;J13,'Datos Mes2'!K16," ")</f>
        <v>0</v>
      </c>
      <c r="K20" s="434">
        <f ca="1">IF($E$5&gt;K13,'Datos Mes2'!L16," ")</f>
        <v>0</v>
      </c>
      <c r="L20" s="434">
        <f ca="1">IF($E$5&gt;L13,'Datos Mes2'!M16,0)</f>
        <v>0</v>
      </c>
      <c r="M20" s="434">
        <f ca="1">IF($E$5&gt;M13,'Datos Mes2'!N16,0)</f>
        <v>0</v>
      </c>
      <c r="N20" s="434">
        <f ca="1">IF($E$5&gt;N13,'Datos Mes2'!O16,0)</f>
        <v>0</v>
      </c>
      <c r="O20" s="434">
        <f ca="1">IF($E$5&gt;O13,'Datos Mes2'!P16,0)</f>
        <v>0</v>
      </c>
      <c r="P20" s="434">
        <f ca="1">IF($E$5&gt;P13,'Datos Mes2'!Q16,0)</f>
        <v>0</v>
      </c>
      <c r="Q20" s="437"/>
    </row>
    <row r="21" spans="1:17" s="420" customFormat="1">
      <c r="A21"/>
      <c r="B21" s="421">
        <v>2</v>
      </c>
      <c r="C21" s="435" t="str">
        <f>'Datos Mes2'!B17</f>
        <v>Costo Consumo de Gas (MMBTU es US$ 0.24)</v>
      </c>
      <c r="D21" s="421" t="s">
        <v>639</v>
      </c>
      <c r="E21" s="434">
        <f ca="1">'Datos Mes2'!F17</f>
        <v>0</v>
      </c>
      <c r="F21" s="434">
        <f ca="1">'Datos Mes2'!G17</f>
        <v>0</v>
      </c>
      <c r="G21" s="434">
        <f ca="1">'Datos Mes2'!H17</f>
        <v>0</v>
      </c>
      <c r="H21" s="434">
        <f ca="1">'Datos Mes2'!I17</f>
        <v>0</v>
      </c>
      <c r="I21" s="434">
        <f ca="1">'Datos Mes2'!J17</f>
        <v>0</v>
      </c>
      <c r="J21" s="434">
        <f ca="1">'Datos Mes2'!K17</f>
        <v>0</v>
      </c>
      <c r="K21" s="434">
        <f ca="1">'Datos Mes2'!L17</f>
        <v>0</v>
      </c>
      <c r="L21" s="434">
        <f ca="1">'Datos Mes2'!M17</f>
        <v>0</v>
      </c>
      <c r="M21" s="434">
        <f ca="1">'Datos Mes2'!N17</f>
        <v>0</v>
      </c>
      <c r="N21" s="434">
        <f ca="1">'Datos Mes2'!O17</f>
        <v>0</v>
      </c>
      <c r="O21" s="434">
        <f ca="1">'Datos Mes2'!P17</f>
        <v>0</v>
      </c>
      <c r="P21" s="434">
        <f ca="1">'Datos Mes2'!Q17</f>
        <v>0</v>
      </c>
    </row>
    <row r="22" spans="1:17" s="420" customFormat="1">
      <c r="A22"/>
      <c r="B22" s="421">
        <v>3</v>
      </c>
      <c r="C22" s="435" t="str">
        <f>'Datos Mes2'!B18</f>
        <v>Costo Consumo de Diésel (Planta COTU)  1 Galon</v>
      </c>
      <c r="D22" s="421" t="s">
        <v>639</v>
      </c>
      <c r="E22" s="434">
        <f ca="1">'Datos Mes2'!F18</f>
        <v>947591.99999998778</v>
      </c>
      <c r="F22" s="434">
        <f ca="1">'Datos Mes2'!G18</f>
        <v>992303.9999999865</v>
      </c>
      <c r="G22" s="434">
        <f ca="1">'Datos Mes2'!H18</f>
        <v>368063.99999998941</v>
      </c>
      <c r="H22" s="434">
        <f ca="1">'Datos Mes2'!I18</f>
        <v>6845688.0000000214</v>
      </c>
      <c r="I22" s="434">
        <f ca="1">'Datos Mes2'!J18</f>
        <v>928152.00000000547</v>
      </c>
      <c r="J22" s="434">
        <f ca="1">'Datos Mes2'!K18</f>
        <v>0</v>
      </c>
      <c r="K22" s="434">
        <f ca="1">'Datos Mes2'!L18</f>
        <v>0</v>
      </c>
      <c r="L22" s="434">
        <f ca="1">'Datos Mes2'!M18</f>
        <v>0</v>
      </c>
      <c r="M22" s="434">
        <f ca="1">'Datos Mes2'!N18</f>
        <v>0</v>
      </c>
      <c r="N22" s="434">
        <f ca="1">'Datos Mes2'!O18</f>
        <v>0</v>
      </c>
      <c r="O22" s="434">
        <f ca="1">'Datos Mes2'!P18</f>
        <v>0</v>
      </c>
      <c r="P22" s="434">
        <f ca="1">'Datos Mes2'!Q18</f>
        <v>0</v>
      </c>
    </row>
    <row r="23" spans="1:17" s="420" customFormat="1">
      <c r="A23"/>
      <c r="B23" s="421">
        <v>4</v>
      </c>
      <c r="C23" s="435" t="str">
        <f>'Datos Mes2'!B19</f>
        <v xml:space="preserve">Costo Consumo de aceite Lubricante  (DTE-832) </v>
      </c>
      <c r="D23" s="421" t="s">
        <v>639</v>
      </c>
      <c r="E23" s="434">
        <f ca="1">'Datos Mes2'!F19</f>
        <v>0</v>
      </c>
      <c r="F23" s="434">
        <f ca="1">'Datos Mes2'!G19</f>
        <v>0</v>
      </c>
      <c r="G23" s="434">
        <f ca="1">'Datos Mes2'!H19</f>
        <v>0</v>
      </c>
      <c r="H23" s="434">
        <f ca="1">'Datos Mes2'!I19</f>
        <v>0</v>
      </c>
      <c r="I23" s="434">
        <f ca="1">'Datos Mes2'!J19</f>
        <v>0</v>
      </c>
      <c r="J23" s="434">
        <f ca="1">'Datos Mes2'!K19</f>
        <v>0</v>
      </c>
      <c r="K23" s="434">
        <f ca="1">'Datos Mes2'!L19</f>
        <v>0</v>
      </c>
      <c r="L23" s="434">
        <f ca="1">'Datos Mes2'!M19</f>
        <v>0</v>
      </c>
      <c r="M23" s="434">
        <f ca="1">'Datos Mes2'!N19</f>
        <v>0</v>
      </c>
      <c r="N23" s="434">
        <f ca="1">'Datos Mes2'!O19</f>
        <v>0</v>
      </c>
      <c r="O23" s="434">
        <f ca="1">'Datos Mes2'!P19</f>
        <v>0</v>
      </c>
      <c r="P23" s="434">
        <f ca="1">'Datos Mes2'!Q19</f>
        <v>0</v>
      </c>
    </row>
    <row r="24" spans="1:17" s="420" customFormat="1">
      <c r="A24"/>
      <c r="B24" s="421">
        <v>5</v>
      </c>
      <c r="C24" s="435" t="str">
        <f>'Datos Mes2'!B20</f>
        <v>Costo Mantenimiento HH MDD Generación</v>
      </c>
      <c r="D24" s="421" t="s">
        <v>639</v>
      </c>
      <c r="E24" s="434">
        <f ca="1">IF($E$5&gt;E13,'Datos Mes2'!F20," ")</f>
        <v>0</v>
      </c>
      <c r="F24" s="434">
        <f ca="1">IF($E$5&gt;F13,'Datos Mes2'!G20," ")</f>
        <v>0</v>
      </c>
      <c r="G24" s="434">
        <f ca="1">IF($E$5&gt;G13,'Datos Mes2'!H20," ")</f>
        <v>0</v>
      </c>
      <c r="H24" s="434">
        <f ca="1">IF($E$5&gt;H13,'Datos Mes2'!I20," ")</f>
        <v>0</v>
      </c>
      <c r="I24" s="434">
        <f ca="1">IF($E$5&gt;I13,'Datos Mes2'!J20," ")</f>
        <v>0</v>
      </c>
      <c r="J24" s="434">
        <f ca="1">IF($E$5&gt;J13,'Datos Mes2'!K20," ")</f>
        <v>0</v>
      </c>
      <c r="K24" s="434">
        <f ca="1">IF($E$5&gt;K13,'Datos Mes2'!L20," ")</f>
        <v>0</v>
      </c>
      <c r="L24" s="434">
        <f ca="1">IF($E$5&gt;L13,'Datos Mes2'!M20,0)</f>
        <v>0</v>
      </c>
      <c r="M24" s="434">
        <f ca="1">IF($E$5&gt;M13,'Datos Mes2'!N20,0)</f>
        <v>0</v>
      </c>
      <c r="N24" s="434">
        <f ca="1">IF($E$5&gt;N13,'Datos Mes2'!O20,0)</f>
        <v>0</v>
      </c>
      <c r="O24" s="434">
        <f ca="1">IF($E$5&gt;O13,'Datos Mes2'!P20,0)</f>
        <v>0</v>
      </c>
      <c r="P24" s="434">
        <f ca="1">IF($E$5&gt;P13,'Datos Mes2'!Q20,0)</f>
        <v>0</v>
      </c>
      <c r="Q24" s="437"/>
    </row>
    <row r="25" spans="1:17" s="420" customFormat="1">
      <c r="A25"/>
      <c r="B25" s="421">
        <v>6</v>
      </c>
      <c r="C25" s="435" t="str">
        <f>'Datos Mes2'!B21</f>
        <v>Costo Mantenimiento Repuestos MDD Generación</v>
      </c>
      <c r="D25" s="421" t="s">
        <v>639</v>
      </c>
      <c r="E25" s="434">
        <f ca="1">IF($E$5&gt;E13,'Datos Mes2'!F21," ")</f>
        <v>0</v>
      </c>
      <c r="F25" s="434">
        <f ca="1">IF($E$5&gt;F13,'Datos Mes2'!G21," ")</f>
        <v>0</v>
      </c>
      <c r="G25" s="434">
        <f ca="1">IF($E$5&gt;G13,'Datos Mes2'!H21," ")</f>
        <v>0</v>
      </c>
      <c r="H25" s="434">
        <f ca="1">IF($E$5&gt;H13,'Datos Mes2'!I21," ")</f>
        <v>0</v>
      </c>
      <c r="I25" s="434">
        <f ca="1">IF($E$5&gt;I13,'Datos Mes2'!J21," ")</f>
        <v>0</v>
      </c>
      <c r="J25" s="434">
        <f ca="1">IF($E$5&gt;J13,'Datos Mes2'!K21," ")</f>
        <v>0</v>
      </c>
      <c r="K25" s="434">
        <f ca="1">IF($E$5&gt;K13,'Datos Mes2'!L21," ")</f>
        <v>0</v>
      </c>
      <c r="L25" s="434">
        <f ca="1">IF($E$5&gt;L13,'Datos Mes2'!M21,0)</f>
        <v>0</v>
      </c>
      <c r="M25" s="434">
        <f ca="1">IF($E$5&gt;M13,'Datos Mes2'!N21,0)</f>
        <v>0</v>
      </c>
      <c r="N25" s="434">
        <f ca="1">IF($E$5&gt;N13,'Datos Mes2'!O21,0)</f>
        <v>0</v>
      </c>
      <c r="O25" s="434">
        <f ca="1">IF($E$5&gt;O13,'Datos Mes2'!P21,0)</f>
        <v>0</v>
      </c>
      <c r="P25" s="434">
        <f ca="1">IF($E$5&gt;P13,'Datos Mes2'!Q21,0)</f>
        <v>0</v>
      </c>
    </row>
    <row r="26" spans="1:17" s="420" customFormat="1">
      <c r="A26"/>
      <c r="B26" s="421">
        <v>7</v>
      </c>
      <c r="C26" s="435" t="str">
        <f>'Datos Mes2'!B22</f>
        <v>Costo Mantenimiento &amp; Reparaciones Externas</v>
      </c>
      <c r="D26" s="421" t="s">
        <v>639</v>
      </c>
      <c r="E26" s="434">
        <f ca="1">IF($E$5&gt;E13,'Datos Mes2'!F22," ")</f>
        <v>0</v>
      </c>
      <c r="F26" s="434">
        <f ca="1">IF($E$5&gt;F13,'Datos Mes2'!G22," ")</f>
        <v>0</v>
      </c>
      <c r="G26" s="434">
        <f ca="1">IF($E$5&gt;G13,'Datos Mes2'!H22," ")</f>
        <v>0</v>
      </c>
      <c r="H26" s="434">
        <f ca="1">IF($E$5&gt;H13,'Datos Mes2'!I22," ")</f>
        <v>0</v>
      </c>
      <c r="I26" s="434">
        <f ca="1">IF($E$5&gt;I13,'Datos Mes2'!J22," ")</f>
        <v>0</v>
      </c>
      <c r="J26" s="434">
        <f ca="1">IF($E$5&gt;J13,'Datos Mes2'!K22," ")</f>
        <v>0</v>
      </c>
      <c r="K26" s="434">
        <f ca="1">IF($E$5&gt;K13,'Datos Mes2'!L22," ")</f>
        <v>0</v>
      </c>
      <c r="L26" s="434">
        <f ca="1">IF($E$5&gt;L13,'Datos Mes2'!M22,0)</f>
        <v>0</v>
      </c>
      <c r="M26" s="434">
        <f ca="1">IF($E$5&gt;M13,'Datos Mes2'!N22,0)</f>
        <v>0</v>
      </c>
      <c r="N26" s="434">
        <f ca="1">IF($E$5&gt;N13,'Datos Mes2'!O22,0)</f>
        <v>0</v>
      </c>
      <c r="O26" s="434">
        <f ca="1">IF($E$5&gt;O13,'Datos Mes2'!P22,0)</f>
        <v>0</v>
      </c>
      <c r="P26" s="434">
        <f ca="1">IF($E$5&gt;P13,'Datos Mes2'!Q22,0)</f>
        <v>0</v>
      </c>
    </row>
    <row r="27" spans="1:17" s="420" customFormat="1">
      <c r="A27"/>
      <c r="B27" s="421">
        <v>8</v>
      </c>
      <c r="C27" s="435" t="str">
        <f>'Datos Mes2'!B23</f>
        <v>Costo Servicios de Asistencia Técnica Externa</v>
      </c>
      <c r="D27" s="421" t="s">
        <v>639</v>
      </c>
      <c r="E27" s="434">
        <f ca="1">IF($E$5&gt;E13,'Datos Mes2'!F23," ")</f>
        <v>0</v>
      </c>
      <c r="F27" s="434">
        <f ca="1">IF($E$5&gt;F13,'Datos Mes2'!G23," ")</f>
        <v>0</v>
      </c>
      <c r="G27" s="434">
        <f ca="1">IF($E$5&gt;G13,'Datos Mes2'!H23," ")</f>
        <v>0</v>
      </c>
      <c r="H27" s="434">
        <f ca="1">IF($E$5&gt;H13,'Datos Mes2'!I23," ")</f>
        <v>0</v>
      </c>
      <c r="I27" s="434">
        <f ca="1">IF($E$5&gt;I13,'Datos Mes2'!J23," ")</f>
        <v>0</v>
      </c>
      <c r="J27" s="434">
        <f ca="1">IF($E$5&gt;J13,'Datos Mes2'!K23," ")</f>
        <v>0</v>
      </c>
      <c r="K27" s="434">
        <f ca="1">IF($E$5&gt;K13,'Datos Mes2'!L23," ")</f>
        <v>0</v>
      </c>
      <c r="L27" s="434">
        <f ca="1">IF($E$5&gt;L13,'Datos Mes2'!M23,0)</f>
        <v>0</v>
      </c>
      <c r="M27" s="434">
        <f ca="1">IF($E$5&gt;M13,'Datos Mes2'!N23,0)</f>
        <v>0</v>
      </c>
      <c r="N27" s="434">
        <f ca="1">IF($E$5&gt;N13,'Datos Mes2'!O23,0)</f>
        <v>0</v>
      </c>
      <c r="O27" s="434">
        <f ca="1">IF($E$5&gt;O13,'Datos Mes2'!P23,0)</f>
        <v>0</v>
      </c>
      <c r="P27" s="434">
        <f ca="1">IF($E$5&gt;P13,'Datos Mes2'!Q23,0)</f>
        <v>0</v>
      </c>
    </row>
    <row r="28" spans="1:17" s="420" customFormat="1" ht="15.6">
      <c r="A28"/>
      <c r="B28" s="438"/>
      <c r="C28" s="439" t="s">
        <v>641</v>
      </c>
      <c r="D28" s="440" t="s">
        <v>639</v>
      </c>
      <c r="E28" s="441">
        <f t="shared" ref="E28:K28" ca="1" si="2">IF($E$5&gt;E13,E14+E19," ")</f>
        <v>72403881.354944423</v>
      </c>
      <c r="F28" s="441">
        <f t="shared" ca="1" si="2"/>
        <v>30480755.444444425</v>
      </c>
      <c r="G28" s="441">
        <f t="shared" ca="1" si="2"/>
        <v>29856543.444444429</v>
      </c>
      <c r="H28" s="441">
        <f t="shared" ca="1" si="2"/>
        <v>36334198.444444463</v>
      </c>
      <c r="I28" s="441">
        <f t="shared" ca="1" si="2"/>
        <v>30416692.444444444</v>
      </c>
      <c r="J28" s="441">
        <f t="shared" ca="1" si="2"/>
        <v>29488571.44444444</v>
      </c>
      <c r="K28" s="441">
        <f t="shared" ca="1" si="2"/>
        <v>29488601.44444444</v>
      </c>
      <c r="L28" s="441">
        <f ca="1">IF($E$5&gt;L13,L14+L19,0)</f>
        <v>29488632.44444444</v>
      </c>
      <c r="M28" s="441">
        <f ca="1">IF($E$5&gt;M13,M14+M19,0)</f>
        <v>29488663.44444444</v>
      </c>
      <c r="N28" s="441">
        <f ca="1">IF($E$5&gt;N13,N14+N19,0)</f>
        <v>29488693.44444444</v>
      </c>
      <c r="O28" s="441">
        <f ca="1">IF($E$5&gt;O13,O14+O19,0)</f>
        <v>29488724.44444444</v>
      </c>
      <c r="P28" s="441">
        <f ca="1">IF($E$5&gt;P13,P14+P19,0)</f>
        <v>29488754.44444444</v>
      </c>
    </row>
    <row r="29" spans="1:17" ht="15" thickBot="1">
      <c r="F29" s="401"/>
      <c r="G29" s="442"/>
    </row>
    <row r="30" spans="1:17" ht="16.2" thickBot="1">
      <c r="B30" s="2177" t="s">
        <v>642</v>
      </c>
      <c r="C30" s="2178"/>
      <c r="D30" s="2179"/>
      <c r="E30" s="30"/>
      <c r="F30" s="30"/>
      <c r="G30" s="30"/>
      <c r="H30" s="30"/>
      <c r="I30" s="30"/>
      <c r="J30" s="30"/>
      <c r="K30" s="30"/>
      <c r="L30" s="30"/>
      <c r="M30" s="30"/>
      <c r="N30" s="30"/>
      <c r="O30" s="30"/>
      <c r="P30" s="30"/>
      <c r="Q30" s="25"/>
    </row>
    <row r="31" spans="1:17" ht="15.6">
      <c r="B31" s="419" t="s">
        <v>619</v>
      </c>
      <c r="C31" s="419" t="s">
        <v>620</v>
      </c>
      <c r="D31" s="419" t="s">
        <v>621</v>
      </c>
      <c r="E31" s="462">
        <v>44592</v>
      </c>
      <c r="F31" s="462">
        <v>44620</v>
      </c>
      <c r="G31" s="462">
        <v>44651</v>
      </c>
      <c r="H31" s="462">
        <v>44681</v>
      </c>
      <c r="I31" s="462">
        <v>44712</v>
      </c>
      <c r="J31" s="462">
        <v>44742</v>
      </c>
      <c r="K31" s="462">
        <v>44773</v>
      </c>
      <c r="L31" s="462">
        <v>44804</v>
      </c>
      <c r="M31" s="462">
        <v>44834</v>
      </c>
      <c r="N31" s="462">
        <v>44865</v>
      </c>
      <c r="O31" s="462">
        <v>44895</v>
      </c>
      <c r="P31" s="462">
        <v>44926</v>
      </c>
    </row>
    <row r="32" spans="1:17" s="420" customFormat="1" ht="15.6">
      <c r="A32"/>
      <c r="B32" s="443"/>
      <c r="C32" s="444" t="s">
        <v>643</v>
      </c>
      <c r="D32" s="443"/>
      <c r="E32" s="443"/>
      <c r="F32" s="443"/>
      <c r="G32" s="443"/>
      <c r="H32" s="443"/>
      <c r="I32" s="443"/>
      <c r="J32" s="443"/>
      <c r="K32" s="443"/>
      <c r="L32" s="443"/>
      <c r="M32" s="443"/>
      <c r="N32" s="443"/>
      <c r="O32" s="443"/>
      <c r="P32" s="443"/>
      <c r="Q32" s="437"/>
    </row>
    <row r="33" spans="1:20" s="420" customFormat="1">
      <c r="A33" s="133"/>
      <c r="B33" s="445">
        <v>1</v>
      </c>
      <c r="C33" s="446" t="s">
        <v>644</v>
      </c>
      <c r="D33" s="445" t="s">
        <v>645</v>
      </c>
      <c r="E33" s="447">
        <f t="shared" ref="E33:P33" ca="1" si="3">IF(E7=0,0,(E8/E7)*1000)</f>
        <v>17298.2272678839</v>
      </c>
      <c r="F33" s="447">
        <f t="shared" ca="1" si="3"/>
        <v>17185.414983186445</v>
      </c>
      <c r="G33" s="447">
        <f t="shared" ca="1" si="3"/>
        <v>17126.945657894685</v>
      </c>
      <c r="H33" s="447">
        <f t="shared" ca="1" si="3"/>
        <v>16752.454557218272</v>
      </c>
      <c r="I33" s="447">
        <f t="shared" ca="1" si="3"/>
        <v>17630.289781768701</v>
      </c>
      <c r="J33" s="447">
        <f t="shared" ca="1" si="3"/>
        <v>17929.877807939636</v>
      </c>
      <c r="K33" s="447">
        <f t="shared" ca="1" si="3"/>
        <v>0</v>
      </c>
      <c r="L33" s="447">
        <f t="shared" ca="1" si="3"/>
        <v>0</v>
      </c>
      <c r="M33" s="447">
        <f t="shared" ca="1" si="3"/>
        <v>0</v>
      </c>
      <c r="N33" s="447">
        <f t="shared" ca="1" si="3"/>
        <v>0</v>
      </c>
      <c r="O33" s="447">
        <f t="shared" ca="1" si="3"/>
        <v>0</v>
      </c>
      <c r="P33" s="447">
        <f t="shared" ca="1" si="3"/>
        <v>0</v>
      </c>
      <c r="Q33" s="437"/>
    </row>
    <row r="34" spans="1:20" s="420" customFormat="1">
      <c r="A34"/>
      <c r="B34" s="421">
        <v>2</v>
      </c>
      <c r="C34" s="448" t="s">
        <v>646</v>
      </c>
      <c r="D34" s="421" t="s">
        <v>131</v>
      </c>
      <c r="E34" s="449">
        <f ca="1">IF(E33=0,0,'Datos Mes2'!F35/E33)</f>
        <v>0.19746474289546406</v>
      </c>
      <c r="F34" s="449">
        <f ca="1">IF(F33=0,0,'Datos Mes2'!G35/F33)</f>
        <v>0.19876098443603943</v>
      </c>
      <c r="G34" s="449">
        <f ca="1">IF(G33=0,0,'Datos Mes2'!H35/G33)</f>
        <v>0.19943953044689483</v>
      </c>
      <c r="H34" s="449">
        <f ca="1">IF(H33=0,0,'Datos Mes2'!I35/H33)</f>
        <v>0.20389788184969046</v>
      </c>
      <c r="I34" s="449">
        <f ca="1">IF(I33=0,0,'Datos Mes2'!J35/I33)</f>
        <v>0.19374553919880733</v>
      </c>
      <c r="J34" s="449">
        <f ca="1">IF(J33=0,0,'Datos Mes2'!K35/J33)</f>
        <v>0.19050826986045793</v>
      </c>
      <c r="K34" s="449">
        <f ca="1">IF(K33=0,0,'Datos Mes2'!L35/K33)</f>
        <v>0</v>
      </c>
      <c r="L34" s="449">
        <f ca="1">IF(L33=0,0,'Datos Mes2'!M35/L33)</f>
        <v>0</v>
      </c>
      <c r="M34" s="449">
        <f ca="1">IF(M33=0,0,'Datos Mes2'!N35/M33)</f>
        <v>0</v>
      </c>
      <c r="N34" s="449">
        <f ca="1">IF(N33=0,0,'Datos Mes2'!O35/N33)</f>
        <v>0</v>
      </c>
      <c r="O34" s="449">
        <f ca="1">IF(O33=0,0,'Datos Mes2'!P35/O33)</f>
        <v>0</v>
      </c>
      <c r="P34" s="449">
        <f ca="1">IF(P33=0,0,'Datos Mes2'!Q35/P33)</f>
        <v>0</v>
      </c>
      <c r="Q34" s="437"/>
    </row>
    <row r="35" spans="1:20" s="420" customFormat="1">
      <c r="A35"/>
      <c r="B35" s="421">
        <v>3</v>
      </c>
      <c r="C35" s="448" t="s">
        <v>647</v>
      </c>
      <c r="D35" s="421" t="s">
        <v>131</v>
      </c>
      <c r="E35" s="449">
        <f ca="1">IF('Datos Mes2'!F36=0,0,E7/('Datos Mes2'!F36*'Datos Mes2'!F39))</f>
        <v>0.45246545698924623</v>
      </c>
      <c r="F35" s="449">
        <f ca="1">IF('Datos Mes2'!G36=0,0,F7/('Datos Mes2'!G36*'Datos Mes2'!G39))</f>
        <v>0.45538444940476308</v>
      </c>
      <c r="G35" s="449">
        <f ca="1">IF('Datos Mes2'!H36=0,0,G7/('Datos Mes2'!H36*'Datos Mes2'!H39))</f>
        <v>0.45835715725806336</v>
      </c>
      <c r="H35" s="449">
        <f ca="1">IF('Datos Mes2'!I36=0,0,H7/('Datos Mes2'!I36*'Datos Mes2'!I39))</f>
        <v>0.45377302083333415</v>
      </c>
      <c r="I35" s="449">
        <f ca="1">IF('Datos Mes2'!J36=0,0,I7/('Datos Mes2'!J36*'Datos Mes2'!J39))</f>
        <v>0.43807096774193471</v>
      </c>
      <c r="J35" s="449">
        <f ca="1">IF('Datos Mes2'!K36=0,0,J7/('Datos Mes2'!K36*'Datos Mes2'!K39))</f>
        <v>5.8531944444444442E-2</v>
      </c>
      <c r="K35" s="449">
        <f ca="1">IF('Datos Mes2'!L36=0,0,K7/('Datos Mes2'!L36*'Datos Mes2'!L39))</f>
        <v>-2.9991599462365591E-3</v>
      </c>
      <c r="L35" s="449">
        <f ca="1">IF('Datos Mes2'!M36=0,0,L7/('Datos Mes2'!M36*'Datos Mes2'!M39))</f>
        <v>-2.9991599462365591E-3</v>
      </c>
      <c r="M35" s="449">
        <f ca="1">IF('Datos Mes2'!N36=0,0,M7/('Datos Mes2'!N36*'Datos Mes2'!N39))</f>
        <v>-2.9958333333333334E-3</v>
      </c>
      <c r="N35" s="449">
        <f ca="1">IF('Datos Mes2'!O36=0,0,N7/('Datos Mes2'!O36*'Datos Mes2'!O39))</f>
        <v>-2.9991599462365591E-3</v>
      </c>
      <c r="O35" s="449">
        <f ca="1">IF('Datos Mes2'!P36=0,0,O7/('Datos Mes2'!P36*'Datos Mes2'!P39))</f>
        <v>-2.9958333333333334E-3</v>
      </c>
      <c r="P35" s="449">
        <f ca="1">IF('Datos Mes2'!Q36=0,0,P7/('Datos Mes2'!Q36*'Datos Mes2'!Q39))</f>
        <v>-2.9991599462365591E-3</v>
      </c>
      <c r="Q35" s="437"/>
    </row>
    <row r="36" spans="1:20" s="420" customFormat="1">
      <c r="A36"/>
      <c r="B36" s="421">
        <v>4</v>
      </c>
      <c r="C36" s="448" t="s">
        <v>648</v>
      </c>
      <c r="D36" s="421" t="s">
        <v>131</v>
      </c>
      <c r="E36" s="449">
        <f ca="1">'Datos Mes2'!F41</f>
        <v>1.0085349462365591</v>
      </c>
      <c r="F36" s="449">
        <f ca="1">'Datos Mes2'!G41</f>
        <v>1</v>
      </c>
      <c r="G36" s="449">
        <f ca="1">'Datos Mes2'!H41</f>
        <v>1</v>
      </c>
      <c r="H36" s="449">
        <f ca="1">'Datos Mes2'!I41</f>
        <v>1</v>
      </c>
      <c r="I36" s="449">
        <f ca="1">'Datos Mes2'!J41</f>
        <v>1</v>
      </c>
      <c r="J36" s="449">
        <f ca="1">'Datos Mes2'!K41</f>
        <v>1</v>
      </c>
      <c r="K36" s="449">
        <f ca="1">'Datos Mes2'!L41</f>
        <v>1</v>
      </c>
      <c r="L36" s="449">
        <f ca="1">'Datos Mes2'!M41</f>
        <v>1</v>
      </c>
      <c r="M36" s="449">
        <f ca="1">'Datos Mes2'!N41</f>
        <v>1</v>
      </c>
      <c r="N36" s="449">
        <f ca="1">'Datos Mes2'!O41</f>
        <v>1</v>
      </c>
      <c r="O36" s="449">
        <f ca="1">'Datos Mes2'!P41</f>
        <v>1</v>
      </c>
      <c r="P36" s="449">
        <f ca="1">'Datos Mes2'!Q41</f>
        <v>1</v>
      </c>
      <c r="Q36" s="437"/>
    </row>
    <row r="37" spans="1:20" s="420" customFormat="1">
      <c r="A37"/>
      <c r="B37" s="421">
        <v>5</v>
      </c>
      <c r="C37" s="448" t="s">
        <v>649</v>
      </c>
      <c r="D37" s="421" t="s">
        <v>131</v>
      </c>
      <c r="E37" s="449">
        <f ca="1">'Datos Mes2'!F40</f>
        <v>1</v>
      </c>
      <c r="F37" s="449">
        <f ca="1">'Datos Mes2'!G40</f>
        <v>1</v>
      </c>
      <c r="G37" s="449">
        <f ca="1">'Datos Mes2'!H40</f>
        <v>1</v>
      </c>
      <c r="H37" s="449">
        <f ca="1">'Datos Mes2'!I40</f>
        <v>1</v>
      </c>
      <c r="I37" s="449">
        <f ca="1">'Datos Mes2'!J40</f>
        <v>1</v>
      </c>
      <c r="J37" s="449">
        <f ca="1">'Datos Mes2'!K40</f>
        <v>1</v>
      </c>
      <c r="K37" s="449">
        <f ca="1">'Datos Mes2'!L40</f>
        <v>1</v>
      </c>
      <c r="L37" s="449">
        <f ca="1">'Datos Mes2'!M40</f>
        <v>1</v>
      </c>
      <c r="M37" s="449">
        <f ca="1">'Datos Mes2'!N40</f>
        <v>1</v>
      </c>
      <c r="N37" s="449">
        <f ca="1">'Datos Mes2'!O40</f>
        <v>1</v>
      </c>
      <c r="O37" s="449">
        <f ca="1">'Datos Mes2'!P40</f>
        <v>1</v>
      </c>
      <c r="P37" s="449">
        <f ca="1">'Datos Mes2'!Q40</f>
        <v>1</v>
      </c>
      <c r="Q37" s="437"/>
    </row>
    <row r="38" spans="1:20" s="420" customFormat="1" ht="15.6">
      <c r="A38"/>
      <c r="B38" s="443"/>
      <c r="C38" s="450" t="s">
        <v>650</v>
      </c>
      <c r="D38" s="451"/>
      <c r="E38" s="428"/>
      <c r="F38" s="428"/>
      <c r="G38" s="428"/>
      <c r="H38" s="428"/>
      <c r="I38" s="428"/>
      <c r="J38" s="428"/>
      <c r="K38" s="428"/>
      <c r="L38" s="428"/>
      <c r="M38" s="428"/>
      <c r="N38" s="428"/>
      <c r="O38" s="428"/>
      <c r="P38" s="428"/>
    </row>
    <row r="39" spans="1:20" s="420" customFormat="1">
      <c r="A39"/>
      <c r="B39" s="421">
        <v>1</v>
      </c>
      <c r="C39" s="448" t="s">
        <v>651</v>
      </c>
      <c r="D39" s="421" t="s">
        <v>652</v>
      </c>
      <c r="E39" s="453">
        <f t="shared" ref="E39:P39" ca="1" si="4">IF(E7=0,0,(E14/E7))</f>
        <v>5306.6702765393047</v>
      </c>
      <c r="F39" s="453">
        <f t="shared" ca="1" si="4"/>
        <v>2409.0427456755751</v>
      </c>
      <c r="G39" s="453">
        <f t="shared" ca="1" si="4"/>
        <v>2161.7996135277508</v>
      </c>
      <c r="H39" s="453">
        <f t="shared" ca="1" si="4"/>
        <v>2256.4290198962499</v>
      </c>
      <c r="I39" s="453">
        <f t="shared" ca="1" si="4"/>
        <v>2261.9129047900383</v>
      </c>
      <c r="J39" s="453">
        <f t="shared" ca="1" si="4"/>
        <v>17493.161049548227</v>
      </c>
      <c r="K39" s="453">
        <f t="shared" ca="1" si="4"/>
        <v>-330385.98895797931</v>
      </c>
      <c r="L39" s="453">
        <f t="shared" ca="1" si="4"/>
        <v>-330386.33627745719</v>
      </c>
      <c r="M39" s="453">
        <f t="shared" ca="1" si="4"/>
        <v>-341778.66764539218</v>
      </c>
      <c r="N39" s="453">
        <f t="shared" ca="1" si="4"/>
        <v>-330387.01971255889</v>
      </c>
      <c r="O39" s="453">
        <f t="shared" ca="1" si="4"/>
        <v>-341779.3746458558</v>
      </c>
      <c r="P39" s="453">
        <f t="shared" ca="1" si="4"/>
        <v>-330387.70314766053</v>
      </c>
      <c r="Q39" s="437"/>
    </row>
    <row r="40" spans="1:20" s="420" customFormat="1">
      <c r="A40"/>
      <c r="B40" s="421">
        <v>2</v>
      </c>
      <c r="C40" s="448" t="s">
        <v>653</v>
      </c>
      <c r="D40" s="421" t="s">
        <v>652</v>
      </c>
      <c r="E40" s="453">
        <f t="shared" ref="E40:P40" ca="1" si="5">IF(E7=0,0,(E19/E7))</f>
        <v>70.372508089638373</v>
      </c>
      <c r="F40" s="453">
        <f t="shared" ca="1" si="5"/>
        <v>81.06572694088311</v>
      </c>
      <c r="G40" s="453">
        <f t="shared" ca="1" si="5"/>
        <v>26.982761673164518</v>
      </c>
      <c r="H40" s="453">
        <f t="shared" ca="1" si="5"/>
        <v>523.82466362473417</v>
      </c>
      <c r="I40" s="453">
        <f t="shared" ca="1" si="5"/>
        <v>71.193723214680745</v>
      </c>
      <c r="J40" s="453">
        <f t="shared" ca="1" si="5"/>
        <v>0</v>
      </c>
      <c r="K40" s="453">
        <f t="shared" ca="1" si="5"/>
        <v>0</v>
      </c>
      <c r="L40" s="453">
        <f t="shared" ca="1" si="5"/>
        <v>0</v>
      </c>
      <c r="M40" s="453">
        <f t="shared" ca="1" si="5"/>
        <v>0</v>
      </c>
      <c r="N40" s="453">
        <f t="shared" ca="1" si="5"/>
        <v>0</v>
      </c>
      <c r="O40" s="453">
        <f t="shared" ca="1" si="5"/>
        <v>0</v>
      </c>
      <c r="P40" s="453">
        <f t="shared" ca="1" si="5"/>
        <v>0</v>
      </c>
      <c r="Q40" s="437"/>
    </row>
    <row r="41" spans="1:20" s="420" customFormat="1">
      <c r="A41"/>
      <c r="B41" s="421">
        <v>3</v>
      </c>
      <c r="C41" s="448" t="s">
        <v>654</v>
      </c>
      <c r="D41" s="421" t="s">
        <v>652</v>
      </c>
      <c r="E41" s="454">
        <f t="shared" ref="E41:P41" ca="1" si="6">IF(E7=0,0,(E21+E22)/E7)</f>
        <v>70.372508089638373</v>
      </c>
      <c r="F41" s="454">
        <f t="shared" ca="1" si="6"/>
        <v>81.06572694088311</v>
      </c>
      <c r="G41" s="454">
        <f t="shared" ca="1" si="6"/>
        <v>26.982761673164518</v>
      </c>
      <c r="H41" s="454">
        <f t="shared" ca="1" si="6"/>
        <v>523.82466362473417</v>
      </c>
      <c r="I41" s="454">
        <f t="shared" ca="1" si="6"/>
        <v>71.193723214680745</v>
      </c>
      <c r="J41" s="454">
        <f t="shared" ca="1" si="6"/>
        <v>0</v>
      </c>
      <c r="K41" s="454">
        <f t="shared" ca="1" si="6"/>
        <v>0</v>
      </c>
      <c r="L41" s="454">
        <f t="shared" ca="1" si="6"/>
        <v>0</v>
      </c>
      <c r="M41" s="454">
        <f t="shared" ca="1" si="6"/>
        <v>0</v>
      </c>
      <c r="N41" s="454">
        <f t="shared" ca="1" si="6"/>
        <v>0</v>
      </c>
      <c r="O41" s="454">
        <f t="shared" ca="1" si="6"/>
        <v>0</v>
      </c>
      <c r="P41" s="454">
        <f t="shared" ca="1" si="6"/>
        <v>0</v>
      </c>
      <c r="Q41" s="437"/>
    </row>
    <row r="42" spans="1:20" s="420" customFormat="1" ht="15.6">
      <c r="A42"/>
      <c r="B42" s="452"/>
      <c r="C42" s="455" t="s">
        <v>655</v>
      </c>
      <c r="D42" s="452" t="s">
        <v>656</v>
      </c>
      <c r="E42" s="456">
        <f t="shared" ref="E42:O42" ca="1" si="7">IF(E7=0,0,(E28/E7)/1000)</f>
        <v>5.3770427846289426</v>
      </c>
      <c r="F42" s="456">
        <f t="shared" ca="1" si="7"/>
        <v>2.4901084726164582</v>
      </c>
      <c r="G42" s="456">
        <f t="shared" ca="1" si="7"/>
        <v>2.1887823752009155</v>
      </c>
      <c r="H42" s="456">
        <f t="shared" ca="1" si="7"/>
        <v>2.7802536835209843</v>
      </c>
      <c r="I42" s="456">
        <f t="shared" ca="1" si="7"/>
        <v>2.3331066280047188</v>
      </c>
      <c r="J42" s="456">
        <f t="shared" ca="1" si="7"/>
        <v>17.493161049548227</v>
      </c>
      <c r="K42" s="456">
        <f t="shared" ca="1" si="7"/>
        <v>-330.38598895797929</v>
      </c>
      <c r="L42" s="456">
        <f t="shared" ca="1" si="7"/>
        <v>-330.38633627745719</v>
      </c>
      <c r="M42" s="456">
        <f t="shared" ca="1" si="7"/>
        <v>-341.7786676453922</v>
      </c>
      <c r="N42" s="456">
        <f t="shared" ca="1" si="7"/>
        <v>-330.38701971255887</v>
      </c>
      <c r="O42" s="456">
        <f t="shared" ca="1" si="7"/>
        <v>-341.7793746458558</v>
      </c>
      <c r="P42" s="456">
        <f ca="1">IF(P7=0,0,(P28/P7)/1000)</f>
        <v>-330.38770314766055</v>
      </c>
      <c r="Q42" s="437"/>
      <c r="R42" s="437"/>
      <c r="S42" s="437"/>
      <c r="T42" s="437"/>
    </row>
    <row r="43" spans="1:20">
      <c r="G43" s="442"/>
      <c r="H43" s="442"/>
      <c r="I43" s="442"/>
      <c r="J43" s="442"/>
      <c r="K43" s="442"/>
      <c r="L43" s="442"/>
      <c r="M43" s="442"/>
      <c r="N43" s="442"/>
      <c r="O43" s="442"/>
      <c r="P43" s="442"/>
      <c r="Q43" s="442"/>
    </row>
    <row r="49" spans="1:11" hidden="1">
      <c r="A49" s="457" t="s">
        <v>31</v>
      </c>
      <c r="B49" s="458" t="s">
        <v>32</v>
      </c>
      <c r="C49" s="458" t="s">
        <v>33</v>
      </c>
      <c r="J49">
        <v>9425976</v>
      </c>
      <c r="K49">
        <v>9425976</v>
      </c>
    </row>
    <row r="50" spans="1:11" hidden="1">
      <c r="A50" s="459" t="s">
        <v>34</v>
      </c>
      <c r="B50" s="460">
        <v>26300</v>
      </c>
      <c r="C50" s="460" t="s">
        <v>35</v>
      </c>
    </row>
    <row r="51" spans="1:11" hidden="1">
      <c r="A51" s="459" t="s">
        <v>36</v>
      </c>
      <c r="B51" s="460">
        <v>11990</v>
      </c>
      <c r="C51" s="460" t="s">
        <v>37</v>
      </c>
    </row>
    <row r="52" spans="1:11" ht="15" hidden="1">
      <c r="A52" s="459" t="s">
        <v>38</v>
      </c>
      <c r="B52" s="460">
        <v>315.3</v>
      </c>
      <c r="C52" s="460" t="s">
        <v>39</v>
      </c>
    </row>
    <row r="53" spans="1:11" ht="15" hidden="1">
      <c r="A53" s="459" t="s">
        <v>40</v>
      </c>
      <c r="B53" s="460">
        <v>447</v>
      </c>
      <c r="C53" s="460" t="s">
        <v>41</v>
      </c>
    </row>
  </sheetData>
  <mergeCells count="3">
    <mergeCell ref="B5:D5"/>
    <mergeCell ref="B12:D12"/>
    <mergeCell ref="B30:D30"/>
  </mergeCell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tabColor rgb="FFFF0000"/>
  </sheetPr>
  <dimension ref="B1:AO24"/>
  <sheetViews>
    <sheetView showGridLines="0" zoomScale="70" zoomScaleNormal="70" workbookViewId="0">
      <selection activeCell="H16" sqref="H16"/>
    </sheetView>
  </sheetViews>
  <sheetFormatPr baseColWidth="10" defaultRowHeight="14.4"/>
  <cols>
    <col min="1" max="1" width="1" customWidth="1"/>
    <col min="2" max="2" width="6.88671875" bestFit="1" customWidth="1"/>
    <col min="3" max="3" width="11.88671875" customWidth="1"/>
    <col min="4" max="4" width="7.33203125" bestFit="1" customWidth="1"/>
    <col min="5" max="5" width="34.5546875" customWidth="1"/>
    <col min="6" max="6" width="9.88671875" bestFit="1" customWidth="1"/>
    <col min="7" max="7" width="7.77734375" bestFit="1" customWidth="1"/>
    <col min="8" max="8" width="10.77734375" bestFit="1" customWidth="1"/>
    <col min="9" max="9" width="9.88671875" bestFit="1" customWidth="1"/>
    <col min="10" max="10" width="8.33203125" bestFit="1" customWidth="1"/>
    <col min="11" max="11" width="10.77734375" bestFit="1" customWidth="1"/>
    <col min="12" max="12" width="9.88671875" bestFit="1" customWidth="1"/>
    <col min="13" max="13" width="7.77734375" bestFit="1" customWidth="1"/>
    <col min="14" max="14" width="10.77734375" bestFit="1" customWidth="1"/>
    <col min="15" max="15" width="9.88671875" bestFit="1" customWidth="1"/>
    <col min="16" max="16" width="7.77734375" bestFit="1" customWidth="1"/>
    <col min="17" max="17" width="10.77734375" bestFit="1" customWidth="1"/>
    <col min="18" max="18" width="9.88671875" bestFit="1" customWidth="1"/>
    <col min="19" max="19" width="7.77734375" bestFit="1" customWidth="1"/>
    <col min="20" max="20" width="10.77734375" bestFit="1" customWidth="1"/>
    <col min="21" max="21" width="9.88671875" bestFit="1" customWidth="1"/>
    <col min="22" max="22" width="7.77734375" bestFit="1" customWidth="1"/>
    <col min="23" max="23" width="10.77734375" bestFit="1" customWidth="1"/>
    <col min="24" max="24" width="9.88671875" bestFit="1" customWidth="1"/>
    <col min="25" max="25" width="7.77734375" bestFit="1" customWidth="1"/>
    <col min="26" max="26" width="10.77734375" bestFit="1" customWidth="1"/>
    <col min="27" max="27" width="9.88671875" bestFit="1" customWidth="1"/>
    <col min="28" max="28" width="7.88671875" bestFit="1" customWidth="1"/>
    <col min="29" max="29" width="10.77734375" style="442" bestFit="1" customWidth="1"/>
    <col min="30" max="30" width="9.88671875" bestFit="1" customWidth="1"/>
    <col min="31" max="31" width="7.77734375" bestFit="1" customWidth="1"/>
    <col min="32" max="32" width="10.77734375" style="442" bestFit="1" customWidth="1"/>
    <col min="33" max="33" width="9.88671875" bestFit="1" customWidth="1"/>
    <col min="34" max="34" width="7.77734375" bestFit="1" customWidth="1"/>
    <col min="35" max="35" width="10.77734375" style="442" bestFit="1" customWidth="1"/>
    <col min="36" max="36" width="9.88671875" bestFit="1" customWidth="1"/>
    <col min="37" max="37" width="11.44140625" customWidth="1"/>
    <col min="38" max="38" width="10.77734375" style="442" bestFit="1" customWidth="1"/>
    <col min="39" max="39" width="9.88671875" bestFit="1" customWidth="1"/>
    <col min="40" max="40" width="8.44140625" bestFit="1" customWidth="1"/>
    <col min="41" max="41" width="10.77734375" style="442" bestFit="1" customWidth="1"/>
  </cols>
  <sheetData>
    <row r="1" spans="2:41" ht="19.5" customHeight="1" thickBot="1"/>
    <row r="2" spans="2:41" ht="54" customHeight="1" thickTop="1" thickBot="1">
      <c r="B2" s="2180"/>
      <c r="C2" s="2181"/>
      <c r="D2" s="2181"/>
      <c r="E2" s="2182"/>
      <c r="F2" s="2184" t="s">
        <v>1017</v>
      </c>
      <c r="G2" s="2181"/>
      <c r="H2" s="2181"/>
      <c r="I2" s="2181"/>
      <c r="J2" s="2181"/>
      <c r="K2" s="2181"/>
      <c r="L2" s="2181"/>
      <c r="M2" s="2181"/>
      <c r="N2" s="2181"/>
      <c r="O2" s="2181"/>
      <c r="P2" s="2181"/>
      <c r="Q2" s="2181"/>
      <c r="R2" s="2181"/>
      <c r="S2" s="2181"/>
      <c r="T2" s="2181"/>
      <c r="U2" s="2181"/>
      <c r="V2" s="2181"/>
      <c r="W2" s="2181"/>
      <c r="X2" s="2181"/>
      <c r="Y2" s="2181"/>
      <c r="Z2" s="2181"/>
      <c r="AA2" s="2181"/>
      <c r="AB2" s="2181"/>
      <c r="AC2" s="2181"/>
      <c r="AD2" s="2181"/>
      <c r="AE2" s="2181"/>
      <c r="AF2" s="2181"/>
      <c r="AG2" s="2181"/>
      <c r="AH2" s="2181"/>
      <c r="AI2" s="2181"/>
      <c r="AJ2" s="2181"/>
      <c r="AK2" s="2183"/>
      <c r="AL2" s="2180"/>
      <c r="AM2" s="2181"/>
      <c r="AN2" s="2181"/>
      <c r="AO2" s="2183"/>
    </row>
    <row r="3" spans="2:41" ht="21" customHeight="1" thickTop="1" thickBot="1"/>
    <row r="4" spans="2:41" ht="15" thickTop="1">
      <c r="B4" s="2191" t="s">
        <v>984</v>
      </c>
      <c r="C4" s="2192"/>
      <c r="D4" s="2192" t="s">
        <v>985</v>
      </c>
      <c r="E4" s="2192"/>
      <c r="F4" s="737" t="s">
        <v>986</v>
      </c>
      <c r="G4" s="738" t="s">
        <v>987</v>
      </c>
      <c r="H4" s="738" t="s">
        <v>1006</v>
      </c>
      <c r="I4" s="737" t="s">
        <v>986</v>
      </c>
      <c r="J4" s="738" t="s">
        <v>987</v>
      </c>
      <c r="K4" s="738" t="s">
        <v>1006</v>
      </c>
      <c r="L4" s="737" t="s">
        <v>986</v>
      </c>
      <c r="M4" s="738" t="s">
        <v>987</v>
      </c>
      <c r="N4" s="738" t="s">
        <v>1006</v>
      </c>
      <c r="O4" s="737" t="s">
        <v>986</v>
      </c>
      <c r="P4" s="738" t="s">
        <v>987</v>
      </c>
      <c r="Q4" s="738" t="s">
        <v>1006</v>
      </c>
      <c r="R4" s="737" t="s">
        <v>986</v>
      </c>
      <c r="S4" s="738" t="s">
        <v>987</v>
      </c>
      <c r="T4" s="738" t="s">
        <v>1006</v>
      </c>
      <c r="U4" s="737" t="s">
        <v>986</v>
      </c>
      <c r="V4" s="738" t="s">
        <v>987</v>
      </c>
      <c r="W4" s="738" t="s">
        <v>1006</v>
      </c>
      <c r="X4" s="737" t="s">
        <v>986</v>
      </c>
      <c r="Y4" s="738" t="s">
        <v>987</v>
      </c>
      <c r="Z4" s="738" t="s">
        <v>1006</v>
      </c>
      <c r="AA4" s="737" t="s">
        <v>986</v>
      </c>
      <c r="AB4" s="738" t="s">
        <v>987</v>
      </c>
      <c r="AC4" s="738" t="s">
        <v>1006</v>
      </c>
      <c r="AD4" s="737" t="s">
        <v>986</v>
      </c>
      <c r="AE4" s="738" t="s">
        <v>987</v>
      </c>
      <c r="AF4" s="738" t="s">
        <v>1006</v>
      </c>
      <c r="AG4" s="737" t="s">
        <v>986</v>
      </c>
      <c r="AH4" s="738" t="s">
        <v>987</v>
      </c>
      <c r="AI4" s="738" t="s">
        <v>1006</v>
      </c>
      <c r="AJ4" s="737" t="s">
        <v>986</v>
      </c>
      <c r="AK4" s="738" t="s">
        <v>987</v>
      </c>
      <c r="AL4" s="738" t="s">
        <v>1006</v>
      </c>
      <c r="AM4" s="737" t="s">
        <v>986</v>
      </c>
      <c r="AN4" s="738" t="s">
        <v>987</v>
      </c>
      <c r="AO4" s="738" t="s">
        <v>1006</v>
      </c>
    </row>
    <row r="5" spans="2:41">
      <c r="B5" s="2193"/>
      <c r="C5" s="2194"/>
      <c r="D5" s="2194"/>
      <c r="E5" s="2194"/>
      <c r="F5" s="736" t="s">
        <v>1030</v>
      </c>
      <c r="G5" s="736" t="s">
        <v>1030</v>
      </c>
      <c r="H5" s="736" t="s">
        <v>1030</v>
      </c>
      <c r="I5" s="736" t="s">
        <v>1031</v>
      </c>
      <c r="J5" s="736" t="s">
        <v>1031</v>
      </c>
      <c r="K5" s="736" t="s">
        <v>1031</v>
      </c>
      <c r="L5" s="736" t="s">
        <v>1032</v>
      </c>
      <c r="M5" s="736" t="s">
        <v>1032</v>
      </c>
      <c r="N5" s="736" t="s">
        <v>1032</v>
      </c>
      <c r="O5" s="736" t="s">
        <v>1033</v>
      </c>
      <c r="P5" s="736" t="s">
        <v>1033</v>
      </c>
      <c r="Q5" s="736" t="s">
        <v>1033</v>
      </c>
      <c r="R5" s="736" t="s">
        <v>1034</v>
      </c>
      <c r="S5" s="736" t="s">
        <v>1034</v>
      </c>
      <c r="T5" s="736" t="s">
        <v>1034</v>
      </c>
      <c r="U5" s="736" t="s">
        <v>1035</v>
      </c>
      <c r="V5" s="736" t="s">
        <v>1035</v>
      </c>
      <c r="W5" s="736" t="s">
        <v>1035</v>
      </c>
      <c r="X5" s="735" t="s">
        <v>988</v>
      </c>
      <c r="Y5" s="736" t="s">
        <v>988</v>
      </c>
      <c r="Z5" s="735" t="s">
        <v>988</v>
      </c>
      <c r="AA5" s="736" t="s">
        <v>989</v>
      </c>
      <c r="AB5" s="736" t="s">
        <v>989</v>
      </c>
      <c r="AC5" s="736" t="s">
        <v>989</v>
      </c>
      <c r="AD5" s="736" t="s">
        <v>185</v>
      </c>
      <c r="AE5" s="736" t="s">
        <v>185</v>
      </c>
      <c r="AF5" s="736" t="s">
        <v>185</v>
      </c>
      <c r="AG5" s="736" t="s">
        <v>186</v>
      </c>
      <c r="AH5" s="736" t="s">
        <v>186</v>
      </c>
      <c r="AI5" s="736" t="s">
        <v>186</v>
      </c>
      <c r="AJ5" s="736" t="s">
        <v>187</v>
      </c>
      <c r="AK5" s="736" t="s">
        <v>187</v>
      </c>
      <c r="AL5" s="736" t="s">
        <v>187</v>
      </c>
      <c r="AM5" s="736" t="s">
        <v>188</v>
      </c>
      <c r="AN5" s="736" t="s">
        <v>188</v>
      </c>
      <c r="AO5" s="736" t="s">
        <v>188</v>
      </c>
    </row>
    <row r="6" spans="2:41" ht="15" thickBot="1">
      <c r="B6" s="2195"/>
      <c r="C6" s="2196"/>
      <c r="D6" s="2196"/>
      <c r="E6" s="2196"/>
      <c r="F6" s="739" t="s">
        <v>990</v>
      </c>
      <c r="G6" s="739" t="s">
        <v>990</v>
      </c>
      <c r="H6" s="739"/>
      <c r="I6" s="739" t="s">
        <v>990</v>
      </c>
      <c r="J6" s="739" t="s">
        <v>990</v>
      </c>
      <c r="K6" s="739"/>
      <c r="L6" s="739" t="s">
        <v>990</v>
      </c>
      <c r="M6" s="739" t="s">
        <v>990</v>
      </c>
      <c r="N6" s="739"/>
      <c r="O6" s="739" t="s">
        <v>990</v>
      </c>
      <c r="P6" s="739" t="s">
        <v>990</v>
      </c>
      <c r="Q6" s="739"/>
      <c r="R6" s="739" t="s">
        <v>990</v>
      </c>
      <c r="S6" s="739" t="s">
        <v>990</v>
      </c>
      <c r="T6" s="739"/>
      <c r="U6" s="739" t="s">
        <v>990</v>
      </c>
      <c r="V6" s="739" t="s">
        <v>990</v>
      </c>
      <c r="W6" s="739"/>
      <c r="X6" s="739" t="s">
        <v>990</v>
      </c>
      <c r="Y6" s="739" t="s">
        <v>990</v>
      </c>
      <c r="Z6" s="739"/>
      <c r="AA6" s="739" t="s">
        <v>990</v>
      </c>
      <c r="AB6" s="739" t="s">
        <v>990</v>
      </c>
      <c r="AC6" s="739"/>
      <c r="AD6" s="739" t="s">
        <v>990</v>
      </c>
      <c r="AE6" s="739" t="s">
        <v>990</v>
      </c>
      <c r="AF6" s="739"/>
      <c r="AG6" s="739" t="s">
        <v>990</v>
      </c>
      <c r="AH6" s="739" t="s">
        <v>990</v>
      </c>
      <c r="AI6" s="739"/>
      <c r="AJ6" s="739" t="s">
        <v>990</v>
      </c>
      <c r="AK6" s="739" t="s">
        <v>990</v>
      </c>
      <c r="AL6" s="739"/>
      <c r="AM6" s="739" t="s">
        <v>990</v>
      </c>
      <c r="AN6" s="739" t="s">
        <v>990</v>
      </c>
      <c r="AO6" s="739"/>
    </row>
    <row r="7" spans="2:41">
      <c r="B7" s="2197" t="s">
        <v>991</v>
      </c>
      <c r="C7" s="2200" t="s">
        <v>1497</v>
      </c>
      <c r="D7" s="740" t="s">
        <v>993</v>
      </c>
      <c r="E7" s="741" t="s">
        <v>994</v>
      </c>
      <c r="F7" s="743">
        <v>3983898.4794411398</v>
      </c>
      <c r="G7" s="746">
        <f>IF(INICIO!C8&gt;CONTADORES!A27,((CONTADORES!$F27-CONTADORES!$F2)+(CONTADORES!$AQ27-CONTADORES!$AQ2)*1000)+(F21*25%)," ")</f>
        <v>3737701.2000000128</v>
      </c>
      <c r="H7" s="742">
        <f ca="1">IF(INICIO!C8&gt;CONTADORES!A27,(DATOSCECOS!$L389*1000)," ")</f>
        <v>4604079.5000000354</v>
      </c>
      <c r="I7" s="743">
        <v>4222944</v>
      </c>
      <c r="J7" s="746">
        <f>(CONTADORES!$F60-CONTADORES!$F27)+(CONTADORES!$AQ60-CONTADORES!$AQ27)*1000</f>
        <v>4462771.0000000233</v>
      </c>
      <c r="K7" s="742">
        <f ca="1">DATOSCECOS!$L390*1000</f>
        <v>4395332.9999999665</v>
      </c>
      <c r="L7" s="743">
        <v>4222944</v>
      </c>
      <c r="M7" s="746">
        <f>(CONTADORES!$F90-CONTADORES!$F60)+(CONTADORES!$AQ90-CONTADORES!$AQ60)*1000</f>
        <v>3989415.1999999769</v>
      </c>
      <c r="N7" s="742">
        <f ca="1">DATOSCECOS!$L391*1000</f>
        <v>4841875.5000000102</v>
      </c>
      <c r="O7" s="743">
        <v>4222944</v>
      </c>
      <c r="P7" s="746">
        <f>(CONTADORES!$F117-CONTADORES!$F90)+(CONTADORES!$AQ117-CONTADORES!$AQ90)*1000</f>
        <v>4031295.8</v>
      </c>
      <c r="Q7" s="742">
        <f ca="1">DATOSCECOS!$L392*1000</f>
        <v>4646515.4999999804</v>
      </c>
      <c r="R7" s="743">
        <v>4222944</v>
      </c>
      <c r="S7" s="746">
        <f>(CONTADORES!$F149-CONTADORES!$F117)+(CONTADORES!$AQ149-CONTADORES!$AQ117)*1000</f>
        <v>4817722.7999999886</v>
      </c>
      <c r="T7" s="742">
        <f ca="1">DATOSCECOS!$L393*1000</f>
        <v>5034018.5000000233</v>
      </c>
      <c r="U7" s="743">
        <v>4222944</v>
      </c>
      <c r="V7" s="746">
        <f>(CONTADORES!$F182-CONTADORES!$F149)+(CONTADORES!$AQ182-CONTADORES!$AQ149)*1000</f>
        <v>-495023595.89999998</v>
      </c>
      <c r="W7" s="742">
        <f ca="1">DATOSCECOS!$L394*1000</f>
        <v>-495710024.99999994</v>
      </c>
      <c r="X7" s="742">
        <v>4356556.75</v>
      </c>
      <c r="Y7" s="746">
        <f>(CONTADORES!$F214-CONTADORES!$F182)+(CONTADORES!$AQ214-CONTADORES!$AQ182)*1000</f>
        <v>0</v>
      </c>
      <c r="Z7" s="742">
        <f ca="1">DATOSCECOS!$L395*1000</f>
        <v>0</v>
      </c>
      <c r="AA7" s="743">
        <v>4222944</v>
      </c>
      <c r="AB7" s="1221">
        <f>(CONTADORES!$F247-CONTADORES!$F214)+(CONTADORES!$AQ247-CONTADORES!$AQ214)*1000</f>
        <v>0</v>
      </c>
      <c r="AC7" s="1692">
        <f ca="1">DATOSCECOS!$L396*1000</f>
        <v>0</v>
      </c>
      <c r="AD7" s="744">
        <v>4086720</v>
      </c>
      <c r="AE7" s="745">
        <f>(CONTADORES!$F280-CONTADORES!$F247)+(CONTADORES!$AQ280-CONTADORES!$AQ247)*1000</f>
        <v>0</v>
      </c>
      <c r="AF7" s="1692">
        <f ca="1">DATOSCECOS!$L397*1000</f>
        <v>0</v>
      </c>
      <c r="AG7" s="744">
        <v>4222944</v>
      </c>
      <c r="AH7" s="746">
        <f>(CONTADORES!$F312-CONTADORES!$F280)+(CONTADORES!$AQ312-CONTADORES!$AQ280)*1000</f>
        <v>0</v>
      </c>
      <c r="AI7" s="1699">
        <f ca="1">DATOSCECOS!$L398*1000</f>
        <v>0</v>
      </c>
      <c r="AJ7" s="744">
        <v>4086720</v>
      </c>
      <c r="AK7" s="746">
        <f>(CONTADORES!$F345-CONTADORES!$F312)+(CONTADORES!$AQ345-CONTADORES!$AQ312)*1000</f>
        <v>0</v>
      </c>
      <c r="AL7" s="1706">
        <f ca="1">DATOSCECOS!$L399*1000</f>
        <v>0</v>
      </c>
      <c r="AM7" s="744">
        <v>4222944</v>
      </c>
      <c r="AN7" s="776">
        <f>(CONTADORES!$F377-CONTADORES!$F345)+(CONTADORES!$AQ377-CONTADORES!$AQ345)*1000</f>
        <v>0</v>
      </c>
      <c r="AO7" s="1709">
        <f ca="1">DATOSCECOS!$L400*1000</f>
        <v>0</v>
      </c>
    </row>
    <row r="8" spans="2:41">
      <c r="B8" s="2198"/>
      <c r="C8" s="2201"/>
      <c r="D8" s="747" t="s">
        <v>995</v>
      </c>
      <c r="E8" s="748" t="s">
        <v>996</v>
      </c>
      <c r="F8" s="750">
        <v>555668.19734689046</v>
      </c>
      <c r="G8" s="754">
        <f>IF(INICIO!C8&gt;CONTADORES!A27,(((CONTADORES!$M27-CONTADORES!$M2)+(CONTADORES!$AM27-CONTADORES!$AM2)*1000)+(F20*22%)+(F21*25%))," ")</f>
        <v>366394.06000000029</v>
      </c>
      <c r="H8" s="749">
        <f ca="1">IF(INICIO!C8&gt;CONTADORES!A27,(DATOSCECOS!$K389*1000)," ")</f>
        <v>336772.6254158073</v>
      </c>
      <c r="I8" s="750">
        <v>1964160</v>
      </c>
      <c r="J8" s="754">
        <f>((CONTADORES!$M60-CONTADORES!$M27)+(CONTADORES!$AM60-CONTADORES!$AM27)+(J20*22%)+(J21*25%))*1000</f>
        <v>311900.00000000326</v>
      </c>
      <c r="K8" s="749">
        <f ca="1">DATOSCECOS!$K390*1000</f>
        <v>295056.64661878289</v>
      </c>
      <c r="L8" s="750">
        <v>1964160</v>
      </c>
      <c r="M8" s="754">
        <f>((CONTADORES!$M90-CONTADORES!$M60)+(CONTADORES!$AM90-CONTADORES!$AM60)+(M20*22%)+(M21*25%))*1000</f>
        <v>283199.99999999889</v>
      </c>
      <c r="N8" s="749">
        <f ca="1">DATOSCECOS!$K391*1000</f>
        <v>315342.07794617151</v>
      </c>
      <c r="O8" s="750">
        <v>1964160</v>
      </c>
      <c r="P8" s="754">
        <f>((CONTADORES!$M117-CONTADORES!$M90)+(CONTADORES!$AM117-CONTADORES!$AM90)+(P20*22%)+(P21*25%))*1000</f>
        <v>251299.99999999744</v>
      </c>
      <c r="Q8" s="749">
        <f ca="1">DATOSCECOS!$K392*1000</f>
        <v>327615.83891135018</v>
      </c>
      <c r="R8" s="750">
        <v>1964160</v>
      </c>
      <c r="S8" s="754">
        <f>((CONTADORES!$M149-CONTADORES!$M117)+(CONTADORES!$AM149-CONTADORES!$AM117)+(S20*22%)+(S21*25%))*1000</f>
        <v>320799.9999999993</v>
      </c>
      <c r="T8" s="749">
        <f ca="1">DATOSCECOS!$K393*1000</f>
        <v>393599.27971494605</v>
      </c>
      <c r="U8" s="750">
        <v>1964160</v>
      </c>
      <c r="V8" s="754">
        <f>((CONTADORES!$M182-CONTADORES!$M149)+(CONTADORES!$AM182-CONTADORES!$AM149)+(V20*22%)+(V21*25%))*1000</f>
        <v>-74633800</v>
      </c>
      <c r="W8" s="749" t="e">
        <f ca="1">DATOSCECOS!$K394*1000</f>
        <v>#DIV/0!</v>
      </c>
      <c r="X8" s="749">
        <v>579356.75000000105</v>
      </c>
      <c r="Y8" s="754">
        <f>((CONTADORES!$M214-CONTADORES!$M182)+(CONTADORES!$AM214-CONTADORES!$AM182)+(Y20*22%)+(Y21*25%))*1000</f>
        <v>0</v>
      </c>
      <c r="Z8" s="749" t="e">
        <f ca="1">DATOSCECOS!$K395*1000</f>
        <v>#DIV/0!</v>
      </c>
      <c r="AA8" s="750">
        <v>1964160</v>
      </c>
      <c r="AB8" s="1222">
        <f>((CONTADORES!$M247-CONTADORES!$M214)+(CONTADORES!$AM247-CONTADORES!$AM214)+(AB20*22%)+(AB21*25%))*1000</f>
        <v>0</v>
      </c>
      <c r="AC8" s="1693" t="e">
        <f ca="1">DATOSCECOS!$K396*1000</f>
        <v>#DIV/0!</v>
      </c>
      <c r="AD8" s="752">
        <v>1900800.0000000002</v>
      </c>
      <c r="AE8" s="753">
        <f>((CONTADORES!$M280-CONTADORES!$M247)+(CONTADORES!$AM280-CONTADORES!$AM247)+(AE20*22%)+(AE21*25%))*1000</f>
        <v>0</v>
      </c>
      <c r="AF8" s="1693" t="e">
        <f ca="1">DATOSCECOS!$K397*1000</f>
        <v>#DIV/0!</v>
      </c>
      <c r="AG8" s="752">
        <v>1964160</v>
      </c>
      <c r="AH8" s="754">
        <f>((CONTADORES!$M312-CONTADORES!$M280)+(CONTADORES!$AM312-CONTADORES!$AM280)+(AH20*22%)+(AH21*25%))*1000</f>
        <v>0</v>
      </c>
      <c r="AI8" s="1700" t="e">
        <f ca="1">DATOSCECOS!$K398*1000</f>
        <v>#DIV/0!</v>
      </c>
      <c r="AJ8" s="752">
        <v>1900800.0000000002</v>
      </c>
      <c r="AK8" s="754">
        <f>((CONTADORES!$M345-CONTADORES!$M312)+(CONTADORES!$AM345-CONTADORES!$AM312)+(AK20*22%)+(AK21*25%))*1000</f>
        <v>0</v>
      </c>
      <c r="AL8" s="1697" t="e">
        <f ca="1">DATOSCECOS!$K399*1000</f>
        <v>#DIV/0!</v>
      </c>
      <c r="AM8" s="752">
        <v>1964160</v>
      </c>
      <c r="AN8" s="754">
        <f>((CONTADORES!$M377-CONTADORES!$M345)+(CONTADORES!$AM377-CONTADORES!$AM345)+(AN20*22%)+(AN21*25%))*1000</f>
        <v>0</v>
      </c>
      <c r="AO8" s="1710" t="e">
        <f ca="1">DATOSCECOS!$K400*1000</f>
        <v>#DIV/0!</v>
      </c>
    </row>
    <row r="9" spans="2:41">
      <c r="B9" s="2198"/>
      <c r="C9" s="2201"/>
      <c r="D9" s="747" t="s">
        <v>921</v>
      </c>
      <c r="E9" s="748" t="s">
        <v>997</v>
      </c>
      <c r="F9" s="750">
        <v>6916429.6330871908</v>
      </c>
      <c r="G9" s="754">
        <f>IF(INICIO!C8&gt;CONTADORES!A27,(((CONTADORES!$H27-CONTADORES!$H2)+(CONTADORES!$Q27-CONTADORES!$Q2)+(CONTADORES!$AI27-CONTADORES!$AI2))*1000)+(F20*30%)+(F21*25%)," ")</f>
        <v>4863981.8999999827</v>
      </c>
      <c r="H9" s="749">
        <f ca="1">IF(INICIO!C8&gt;CONTADORES!A27,(DATOSCECOS!$I389*1000)," ")</f>
        <v>6140315.4719944987</v>
      </c>
      <c r="I9" s="750">
        <v>8134896.0000000009</v>
      </c>
      <c r="J9" s="754">
        <f>((CONTADORES!$H60-CONTADORES!$H27)+(CONTADORES!$Q60-CONTADORES!$Q27)+(CONTADORES!$AI60-CONTADORES!$AI27)+(J20*30%)+(J21*25%)*1000)</f>
        <v>5677.3699999999808</v>
      </c>
      <c r="K9" s="749">
        <f ca="1">DATOSCECOS!$I390*1000</f>
        <v>5371851.1983961565</v>
      </c>
      <c r="L9" s="750">
        <v>8134896.0000000009</v>
      </c>
      <c r="M9" s="754">
        <f>((CONTADORES!$H90-CONTADORES!$H60)+(CONTADORES!$Q90-CONTADORES!$Q60)+(CONTADORES!$AI90-CONTADORES!$AI60)+(M20*30%)+(M21*25%)*1000)</f>
        <v>5240.1300000000192</v>
      </c>
      <c r="N9" s="749">
        <f ca="1">DATOSCECOS!$I391*1000</f>
        <v>6056650.7344017327</v>
      </c>
      <c r="O9" s="750">
        <v>8134896.0000000009</v>
      </c>
      <c r="P9" s="754">
        <f>((CONTADORES!$H117-CONTADORES!$H90)+(CONTADORES!$Q117-CONTADORES!$Q90)+(CONTADORES!$AI117-CONTADORES!$AI90)+(P20*30%)+(P21*25%)*1000)</f>
        <v>4654.5999999999913</v>
      </c>
      <c r="Q9" s="749">
        <f ca="1">DATOSCECOS!$I392*1000</f>
        <v>5777936.2863521492</v>
      </c>
      <c r="R9" s="750">
        <v>8134896.0000000009</v>
      </c>
      <c r="S9" s="754">
        <f>((CONTADORES!$H149-CONTADORES!$H117)+(CONTADORES!$Q149-CONTADORES!$Q117)+(CONTADORES!$AI149-CONTADORES!$AI117)+(S20*30%)+(S21*25%)*1000)</f>
        <v>-573971.17000000004</v>
      </c>
      <c r="T9" s="749">
        <f ca="1">DATOSCECOS!$I393*1000</f>
        <v>5688582.4518806562</v>
      </c>
      <c r="U9" s="750">
        <v>8134896.0000000009</v>
      </c>
      <c r="V9" s="754">
        <f>((CONTADORES!$H182-CONTADORES!$H149)+(CONTADORES!$Q182-CONTADORES!$Q149)+(CONTADORES!$AI182-CONTADORES!$AI149)+(V20*30%)+(V21*25%)*1000)</f>
        <v>-226466.53</v>
      </c>
      <c r="W9" s="749" t="e">
        <f ca="1">DATOSCECOS!$I394*1000</f>
        <v>#DIV/0!</v>
      </c>
      <c r="X9" s="749">
        <v>7764956.75</v>
      </c>
      <c r="Y9" s="754">
        <f>((CONTADORES!$H214-CONTADORES!$H182)+(CONTADORES!$Q214-CONTADORES!$Q182)+(CONTADORES!$AI214-CONTADORES!$AI182)+(Y20*30%)+(Y21*25%)*1000)</f>
        <v>0</v>
      </c>
      <c r="Z9" s="749" t="e">
        <f ca="1">DATOSCECOS!$I395*1000</f>
        <v>#DIV/0!</v>
      </c>
      <c r="AA9" s="750">
        <v>8134896.0000000009</v>
      </c>
      <c r="AB9" s="1222">
        <f>((CONTADORES!$H247-CONTADORES!$H214)+(CONTADORES!$Q247-CONTADORES!$Q214)+(CONTADORES!$AI247-CONTADORES!$AI214)+(AB20*30%)+(AB21*25%)*1000)</f>
        <v>0</v>
      </c>
      <c r="AC9" s="1693" t="e">
        <f ca="1">DATOSCECOS!$I396*1000</f>
        <v>#DIV/0!</v>
      </c>
      <c r="AD9" s="752">
        <v>7872480</v>
      </c>
      <c r="AE9" s="753">
        <f>((CONTADORES!$H280-CONTADORES!$H247)+(CONTADORES!$Q280-CONTADORES!$Q247)+(CONTADORES!$AI280-CONTADORES!$AI247)+(AE20*30%)+(AE21*25%)*1000)</f>
        <v>0</v>
      </c>
      <c r="AF9" s="1693" t="e">
        <f ca="1">DATOSCECOS!$I397*1000</f>
        <v>#DIV/0!</v>
      </c>
      <c r="AG9" s="752">
        <v>8134896.0000000009</v>
      </c>
      <c r="AH9" s="754">
        <f>((CONTADORES!$H312-CONTADORES!$H280)+(CONTADORES!$Q312-CONTADORES!$Q280)+(CONTADORES!$AI312-CONTADORES!$AI280)+(AH20*30%)+(AH21*25%)*1000)</f>
        <v>0</v>
      </c>
      <c r="AI9" s="1700" t="e">
        <f ca="1">DATOSCECOS!$I398*1000</f>
        <v>#DIV/0!</v>
      </c>
      <c r="AJ9" s="752">
        <v>7872480</v>
      </c>
      <c r="AK9" s="754">
        <f>((CONTADORES!$H345-CONTADORES!$H312)+(CONTADORES!$Q345-CONTADORES!$Q312)+(CONTADORES!$AI345-CONTADORES!$AI312)+(AK20*30%)+(AK21*25%)*1000)</f>
        <v>0</v>
      </c>
      <c r="AL9" s="1697" t="e">
        <f ca="1">DATOSCECOS!$I399*1000</f>
        <v>#DIV/0!</v>
      </c>
      <c r="AM9" s="752">
        <v>8134896.0000000009</v>
      </c>
      <c r="AN9" s="754">
        <f>((CONTADORES!$H377-CONTADORES!$H345)+(CONTADORES!$Q377-CONTADORES!$Q345)+(CONTADORES!$AI377-CONTADORES!$AI345)+(AN20*30%)+(AN21*25%)*1000)</f>
        <v>0</v>
      </c>
      <c r="AO9" s="1710" t="e">
        <f ca="1">DATOSCECOS!$I400*1000</f>
        <v>#DIV/0!</v>
      </c>
    </row>
    <row r="10" spans="2:41">
      <c r="B10" s="2198"/>
      <c r="C10" s="2201"/>
      <c r="D10" s="747" t="s">
        <v>998</v>
      </c>
      <c r="E10" s="748" t="s">
        <v>999</v>
      </c>
      <c r="F10" s="750">
        <v>1568353.2300108573</v>
      </c>
      <c r="G10" s="754">
        <f>IF(INICIO!C8&gt;CONTADORES!A27,(((CONTADORES!$O27-CONTADORES!$O2)+(CONTADORES!$AK27-CONTADORES!$AK2))*1000)+(F20*48%)+(F21*25%)," ")</f>
        <v>1252474.5400000135</v>
      </c>
      <c r="H10" s="749">
        <f ca="1">IF(INICIO!C8&gt;CONTADORES!A27,(DATOSCECOS!$J389*1000)," ")</f>
        <v>1329016.0752057168</v>
      </c>
      <c r="I10" s="750">
        <v>1473120</v>
      </c>
      <c r="J10" s="754">
        <f>((CONTADORES!$O60-CONTADORES!$O27)+(CONTADORES!$AK60-CONTADORES!$AK27))+(J20*48%)+(J21*25%)*1000</f>
        <v>1236.9100000000035</v>
      </c>
      <c r="K10" s="749">
        <f ca="1">DATOSCECOS!$J390*1000</f>
        <v>1154661.8723348146</v>
      </c>
      <c r="L10" s="750">
        <v>1473120</v>
      </c>
      <c r="M10" s="754">
        <f>((CONTADORES!$O90-CONTADORES!$O60)+(CONTADORES!$AK90-CONTADORES!$AK60))+(M20*48%)+(M21*25%)*1000</f>
        <v>1066.3899999999921</v>
      </c>
      <c r="N10" s="749">
        <f ca="1">DATOSCECOS!$J391*1000</f>
        <v>1271488.4891859035</v>
      </c>
      <c r="O10" s="750">
        <v>1473120</v>
      </c>
      <c r="P10" s="754">
        <f>((CONTADORES!$O117-CONTADORES!$O90)+(CONTADORES!$AK117-CONTADORES!$AK90))+(P20*48%)+(P21*25%)*1000</f>
        <v>996.90000000000146</v>
      </c>
      <c r="Q10" s="749">
        <f ca="1">DATOSCECOS!$J392*1000</f>
        <v>1211286.4396302982</v>
      </c>
      <c r="R10" s="750">
        <v>1473120</v>
      </c>
      <c r="S10" s="754">
        <f>((CONTADORES!$O149-CONTADORES!$O117)+(CONTADORES!$AK149-CONTADORES!$AK117))+(S20*48%)+(S21*25%)*1000</f>
        <v>1120.1899999999951</v>
      </c>
      <c r="T10" s="749">
        <f ca="1">DATOSCECOS!$J393*1000</f>
        <v>1274142.8819278397</v>
      </c>
      <c r="U10" s="750">
        <v>1473120</v>
      </c>
      <c r="V10" s="754">
        <f>((CONTADORES!$O182-CONTADORES!$O149)+(CONTADORES!$AK182-CONTADORES!$AK149))+(V20*48%)+(V21*25%)*1000</f>
        <v>-112700.79</v>
      </c>
      <c r="W10" s="749" t="e">
        <f ca="1">DATOSCECOS!$J394*1000</f>
        <v>#DIV/0!</v>
      </c>
      <c r="X10" s="749">
        <v>1717956.75</v>
      </c>
      <c r="Y10" s="754">
        <f>((CONTADORES!$O214-CONTADORES!$O182)+(CONTADORES!$AK214-CONTADORES!$AK182))+(Y20*48%)+(Y21*25%)*1000</f>
        <v>0</v>
      </c>
      <c r="Z10" s="749" t="e">
        <f ca="1">DATOSCECOS!$J395*1000</f>
        <v>#DIV/0!</v>
      </c>
      <c r="AA10" s="750">
        <v>1473120</v>
      </c>
      <c r="AB10" s="1222">
        <f>((CONTADORES!$O247-CONTADORES!$O214)+(CONTADORES!$AK247-CONTADORES!$AK214))+(AB20*48%)+(AB21*25%)*1000</f>
        <v>0</v>
      </c>
      <c r="AC10" s="1693" t="e">
        <f ca="1">DATOSCECOS!$J396*1000</f>
        <v>#DIV/0!</v>
      </c>
      <c r="AD10" s="752">
        <v>1425600</v>
      </c>
      <c r="AE10" s="753">
        <f>((CONTADORES!$O280-CONTADORES!$O247)+(CONTADORES!$AK280-CONTADORES!$AK247))+(AE20*48%)+(AE21*25%)*1000</f>
        <v>0</v>
      </c>
      <c r="AF10" s="1693" t="e">
        <f ca="1">DATOSCECOS!$J397*1000</f>
        <v>#DIV/0!</v>
      </c>
      <c r="AG10" s="752">
        <v>1473120</v>
      </c>
      <c r="AH10" s="754">
        <f>((CONTADORES!$O312-CONTADORES!$O280)+(CONTADORES!$AK312-CONTADORES!$AK280))+(AH20*48%)+(AH21*25%)*1000</f>
        <v>0</v>
      </c>
      <c r="AI10" s="1700" t="e">
        <f ca="1">DATOSCECOS!$J398*1000</f>
        <v>#DIV/0!</v>
      </c>
      <c r="AJ10" s="752">
        <v>1425600</v>
      </c>
      <c r="AK10" s="754">
        <f>((CONTADORES!$O345-CONTADORES!$O312)+(CONTADORES!$AK345-CONTADORES!$AK312))+(AK20*48%)+(AK21*25%)*1000</f>
        <v>0</v>
      </c>
      <c r="AL10" s="1697" t="e">
        <f ca="1">DATOSCECOS!$J399*1000</f>
        <v>#DIV/0!</v>
      </c>
      <c r="AM10" s="752">
        <v>1473120</v>
      </c>
      <c r="AN10" s="754">
        <f>((CONTADORES!$O377-CONTADORES!$O345)+(CONTADORES!$AK377-CONTADORES!$AK345))+(AN20*48%)+(AN21*25%)*1000</f>
        <v>0</v>
      </c>
      <c r="AO10" s="1710" t="e">
        <f ca="1">DATOSCECOS!$J400*1000</f>
        <v>#DIV/0!</v>
      </c>
    </row>
    <row r="11" spans="2:41">
      <c r="B11" s="2198"/>
      <c r="C11" s="2201"/>
      <c r="D11" s="747" t="s">
        <v>1000</v>
      </c>
      <c r="E11" s="748" t="s">
        <v>1001</v>
      </c>
      <c r="F11" s="750">
        <v>175650.4601139173</v>
      </c>
      <c r="G11" s="754">
        <f>IF(INICIO!C8&gt;CONTADORES!A27,((CONTADORES!$AS27-CONTADORES!$AS2)*1000)," ")</f>
        <v>130900.00000000146</v>
      </c>
      <c r="H11" s="749">
        <f ca="1">IF(INICIO!C8&gt;CONTADORES!A27,(DATOSCECOS!$M389*1000)," ")</f>
        <v>166315.82738394605</v>
      </c>
      <c r="I11" s="757">
        <v>572880.00000000012</v>
      </c>
      <c r="J11" s="754">
        <f>(CONTADORES!$AS60-CONTADORES!$AS27)*1000</f>
        <v>149912.0000000039</v>
      </c>
      <c r="K11" s="749">
        <f ca="1">DATOSCECOS!$M390*1000</f>
        <v>144633.28265022824</v>
      </c>
      <c r="L11" s="757">
        <v>572880.00000000012</v>
      </c>
      <c r="M11" s="754">
        <f>(CONTADORES!$AS90-CONTADORES!$AS60)*1000</f>
        <v>135987.99999999756</v>
      </c>
      <c r="N11" s="749">
        <f ca="1">DATOSCECOS!$M391*1000</f>
        <v>157114.69846621371</v>
      </c>
      <c r="O11" s="757">
        <v>572880.00000000012</v>
      </c>
      <c r="P11" s="754">
        <f>(CONTADORES!$AS117-CONTADORES!$AS90)*1000</f>
        <v>116000</v>
      </c>
      <c r="Q11" s="749">
        <f ca="1">DATOSCECOS!$M392*1000</f>
        <v>146433.435106263</v>
      </c>
      <c r="R11" s="757">
        <v>572880.00000000012</v>
      </c>
      <c r="S11" s="754">
        <f>(CONTADORES!$AS149-CONTADORES!$AS117)*1000</f>
        <v>149877.99999999697</v>
      </c>
      <c r="T11" s="749">
        <f ca="1">DATOSCECOS!$M393*1000</f>
        <v>-402517.61352341558</v>
      </c>
      <c r="U11" s="757">
        <v>572880.00000000012</v>
      </c>
      <c r="V11" s="754">
        <f>(CONTADORES!$AS182-CONTADORES!$AS149)*1000</f>
        <v>-65209878</v>
      </c>
      <c r="W11" s="749" t="e">
        <f ca="1">DATOSCECOS!$M394*1000</f>
        <v>#DIV/0!</v>
      </c>
      <c r="X11" s="756">
        <v>172614.99999999799</v>
      </c>
      <c r="Y11" s="754">
        <f>(CONTADORES!$AS214-CONTADORES!$AS182)*1000</f>
        <v>0</v>
      </c>
      <c r="Z11" s="749" t="e">
        <f ca="1">DATOSCECOS!$M395*1000</f>
        <v>#DIV/0!</v>
      </c>
      <c r="AA11" s="757">
        <v>572880.00000000012</v>
      </c>
      <c r="AB11" s="1222">
        <f>(CONTADORES!$AS247-CONTADORES!$AS214)*1000</f>
        <v>0</v>
      </c>
      <c r="AC11" s="1693" t="e">
        <f ca="1">DATOSCECOS!$M396*1000</f>
        <v>#DIV/0!</v>
      </c>
      <c r="AD11" s="752">
        <v>554400.00000000012</v>
      </c>
      <c r="AE11" s="753">
        <f>(CONTADORES!$AS280-CONTADORES!$AS247)*1000</f>
        <v>0</v>
      </c>
      <c r="AF11" s="1693" t="e">
        <f ca="1">DATOSCECOS!$M397*1000</f>
        <v>#DIV/0!</v>
      </c>
      <c r="AG11" s="752">
        <v>572880.00000000012</v>
      </c>
      <c r="AH11" s="754">
        <f>(CONTADORES!$AS312-CONTADORES!$AS280)*1000</f>
        <v>0</v>
      </c>
      <c r="AI11" s="1700" t="e">
        <f ca="1">DATOSCECOS!$M398*1000</f>
        <v>#DIV/0!</v>
      </c>
      <c r="AJ11" s="752">
        <v>554400.00000000012</v>
      </c>
      <c r="AK11" s="754">
        <f>(CONTADORES!$AS345-CONTADORES!$AS312)*1000</f>
        <v>0</v>
      </c>
      <c r="AL11" s="1697" t="e">
        <f ca="1">DATOSCECOS!$M399*1000</f>
        <v>#DIV/0!</v>
      </c>
      <c r="AM11" s="752">
        <v>572880.00000000012</v>
      </c>
      <c r="AN11" s="754">
        <f>(CONTADORES!$AS377-CONTADORES!$AS345)*1000</f>
        <v>0</v>
      </c>
      <c r="AO11" s="1710" t="e">
        <f ca="1">DATOSCECOS!$M400*1000</f>
        <v>#DIV/0!</v>
      </c>
    </row>
    <row r="12" spans="2:41" ht="15" thickBot="1">
      <c r="B12" s="2199"/>
      <c r="C12" s="2202"/>
      <c r="D12" s="759" t="s">
        <v>1002</v>
      </c>
      <c r="E12" s="760" t="s">
        <v>1003</v>
      </c>
      <c r="F12" s="762">
        <v>60483.870967741939</v>
      </c>
      <c r="G12" s="766">
        <v>72367</v>
      </c>
      <c r="H12" s="766">
        <v>72367</v>
      </c>
      <c r="I12" s="762">
        <v>85610.95890410959</v>
      </c>
      <c r="J12" s="766">
        <v>72367</v>
      </c>
      <c r="K12" s="761"/>
      <c r="L12" s="762">
        <v>85610.95890410959</v>
      </c>
      <c r="M12" s="766">
        <v>72367</v>
      </c>
      <c r="N12" s="761"/>
      <c r="O12" s="762">
        <v>85610.95890410959</v>
      </c>
      <c r="P12" s="766">
        <v>72367</v>
      </c>
      <c r="Q12" s="761"/>
      <c r="R12" s="762">
        <v>85610.95890410959</v>
      </c>
      <c r="S12" s="766">
        <v>72367</v>
      </c>
      <c r="T12" s="761"/>
      <c r="U12" s="762">
        <v>85610.95890410959</v>
      </c>
      <c r="V12" s="766">
        <v>72367</v>
      </c>
      <c r="W12" s="761"/>
      <c r="X12" s="761">
        <v>78418</v>
      </c>
      <c r="Y12" s="766">
        <v>72367</v>
      </c>
      <c r="Z12" s="761"/>
      <c r="AA12" s="762">
        <v>85610.95890410959</v>
      </c>
      <c r="AB12" s="1223">
        <v>72367</v>
      </c>
      <c r="AC12" s="1691"/>
      <c r="AD12" s="764">
        <v>82849.315068493161</v>
      </c>
      <c r="AE12" s="765">
        <v>72367</v>
      </c>
      <c r="AF12" s="1691"/>
      <c r="AG12" s="764">
        <v>85610.95890410959</v>
      </c>
      <c r="AH12" s="766">
        <v>72367</v>
      </c>
      <c r="AI12" s="1701"/>
      <c r="AJ12" s="764">
        <v>82849.315068493161</v>
      </c>
      <c r="AK12" s="767"/>
      <c r="AL12" s="1707"/>
      <c r="AM12" s="764">
        <v>85610.95890410959</v>
      </c>
      <c r="AN12" s="767"/>
      <c r="AO12" s="1711"/>
    </row>
    <row r="13" spans="2:41" ht="15" thickTop="1">
      <c r="B13" s="2185" t="s">
        <v>1004</v>
      </c>
      <c r="C13" s="2188" t="s">
        <v>1005</v>
      </c>
      <c r="D13" s="769" t="s">
        <v>993</v>
      </c>
      <c r="E13" s="770" t="s">
        <v>994</v>
      </c>
      <c r="F13" s="772">
        <v>4222944</v>
      </c>
      <c r="G13" s="773">
        <f>G7</f>
        <v>3737701.2000000128</v>
      </c>
      <c r="H13" s="771"/>
      <c r="I13" s="772">
        <v>4222944</v>
      </c>
      <c r="J13" s="773">
        <f>J7</f>
        <v>4462771.0000000233</v>
      </c>
      <c r="K13" s="771"/>
      <c r="L13" s="772">
        <v>4222944</v>
      </c>
      <c r="M13" s="773">
        <f>M7</f>
        <v>3989415.1999999769</v>
      </c>
      <c r="N13" s="771"/>
      <c r="O13" s="772">
        <v>4222944</v>
      </c>
      <c r="P13" s="773">
        <f>P7</f>
        <v>4031295.8</v>
      </c>
      <c r="Q13" s="771"/>
      <c r="R13" s="772">
        <v>4222944</v>
      </c>
      <c r="S13" s="773"/>
      <c r="T13" s="771"/>
      <c r="U13" s="772">
        <v>4222944</v>
      </c>
      <c r="V13" s="773"/>
      <c r="W13" s="771"/>
      <c r="X13" s="771">
        <v>4356556.75</v>
      </c>
      <c r="Y13" s="771"/>
      <c r="Z13" s="771"/>
      <c r="AA13" s="772">
        <v>4222944</v>
      </c>
      <c r="AB13" s="773"/>
      <c r="AC13" s="1694"/>
      <c r="AD13" s="774">
        <v>4086720</v>
      </c>
      <c r="AE13" s="775"/>
      <c r="AF13" s="1696"/>
      <c r="AG13" s="774">
        <v>4222944</v>
      </c>
      <c r="AH13" s="776"/>
      <c r="AI13" s="1702"/>
      <c r="AJ13" s="774">
        <v>4086720</v>
      </c>
      <c r="AK13" s="776"/>
      <c r="AL13" s="1702"/>
      <c r="AM13" s="774">
        <v>4222944</v>
      </c>
      <c r="AN13" s="775"/>
      <c r="AO13" s="1712"/>
    </row>
    <row r="14" spans="2:41">
      <c r="B14" s="2186"/>
      <c r="C14" s="2189"/>
      <c r="D14" s="747" t="s">
        <v>995</v>
      </c>
      <c r="E14" s="748" t="s">
        <v>996</v>
      </c>
      <c r="F14" s="750">
        <v>1964160</v>
      </c>
      <c r="G14" s="773">
        <f>G8</f>
        <v>366394.06000000029</v>
      </c>
      <c r="H14" s="749"/>
      <c r="I14" s="750">
        <v>1964160</v>
      </c>
      <c r="J14" s="751">
        <f>J8</f>
        <v>311900.00000000326</v>
      </c>
      <c r="K14" s="749"/>
      <c r="L14" s="750">
        <v>1964160</v>
      </c>
      <c r="M14" s="751">
        <f>M8</f>
        <v>283199.99999999889</v>
      </c>
      <c r="N14" s="749"/>
      <c r="O14" s="750">
        <v>1964160</v>
      </c>
      <c r="P14" s="751">
        <f>P8</f>
        <v>251299.99999999744</v>
      </c>
      <c r="Q14" s="749"/>
      <c r="R14" s="750">
        <v>1964160</v>
      </c>
      <c r="S14" s="751"/>
      <c r="T14" s="749"/>
      <c r="U14" s="750">
        <v>1964160</v>
      </c>
      <c r="V14" s="751"/>
      <c r="W14" s="749"/>
      <c r="X14" s="749">
        <v>579356.75000000105</v>
      </c>
      <c r="Y14" s="749"/>
      <c r="Z14" s="749"/>
      <c r="AA14" s="750">
        <v>1964160</v>
      </c>
      <c r="AB14" s="751"/>
      <c r="AC14" s="1693"/>
      <c r="AD14" s="752">
        <v>1900800.0000000002</v>
      </c>
      <c r="AE14" s="753"/>
      <c r="AF14" s="1697"/>
      <c r="AG14" s="752">
        <v>1964160</v>
      </c>
      <c r="AH14" s="754"/>
      <c r="AI14" s="1700"/>
      <c r="AJ14" s="752">
        <v>1900800.0000000002</v>
      </c>
      <c r="AK14" s="754"/>
      <c r="AL14" s="1700"/>
      <c r="AM14" s="752">
        <v>1964160</v>
      </c>
      <c r="AN14" s="753"/>
      <c r="AO14" s="1713"/>
    </row>
    <row r="15" spans="2:41">
      <c r="B15" s="2186"/>
      <c r="C15" s="2189"/>
      <c r="D15" s="747" t="s">
        <v>921</v>
      </c>
      <c r="E15" s="748" t="s">
        <v>997</v>
      </c>
      <c r="F15" s="750">
        <v>8134896.0000000009</v>
      </c>
      <c r="G15" s="773">
        <f>G9</f>
        <v>4863981.8999999827</v>
      </c>
      <c r="H15" s="749"/>
      <c r="I15" s="750">
        <v>8134896.0000000009</v>
      </c>
      <c r="J15" s="751">
        <f>J9</f>
        <v>5677.3699999999808</v>
      </c>
      <c r="K15" s="749"/>
      <c r="L15" s="750">
        <v>8134896.0000000009</v>
      </c>
      <c r="M15" s="751">
        <f>M9</f>
        <v>5240.1300000000192</v>
      </c>
      <c r="N15" s="749"/>
      <c r="O15" s="750">
        <v>8134896.0000000009</v>
      </c>
      <c r="P15" s="751">
        <f>P9</f>
        <v>4654.5999999999913</v>
      </c>
      <c r="Q15" s="749"/>
      <c r="R15" s="750">
        <v>8134896.0000000009</v>
      </c>
      <c r="S15" s="751"/>
      <c r="T15" s="749"/>
      <c r="U15" s="750">
        <v>8134896.0000000009</v>
      </c>
      <c r="V15" s="751"/>
      <c r="W15" s="749"/>
      <c r="X15" s="749">
        <v>7764956.75</v>
      </c>
      <c r="Y15" s="749"/>
      <c r="Z15" s="749"/>
      <c r="AA15" s="750">
        <v>8134896.0000000009</v>
      </c>
      <c r="AB15" s="751"/>
      <c r="AC15" s="1693"/>
      <c r="AD15" s="752">
        <v>7872480</v>
      </c>
      <c r="AE15" s="753"/>
      <c r="AF15" s="1697"/>
      <c r="AG15" s="752">
        <v>8134896.0000000009</v>
      </c>
      <c r="AH15" s="754"/>
      <c r="AI15" s="1700"/>
      <c r="AJ15" s="752">
        <v>7872480</v>
      </c>
      <c r="AK15" s="754"/>
      <c r="AL15" s="1700"/>
      <c r="AM15" s="752">
        <v>8134896.0000000009</v>
      </c>
      <c r="AN15" s="753"/>
      <c r="AO15" s="1713"/>
    </row>
    <row r="16" spans="2:41">
      <c r="B16" s="2186"/>
      <c r="C16" s="2189"/>
      <c r="D16" s="747" t="s">
        <v>998</v>
      </c>
      <c r="E16" s="748" t="s">
        <v>999</v>
      </c>
      <c r="F16" s="750">
        <v>1473120</v>
      </c>
      <c r="G16" s="773">
        <f>G10</f>
        <v>1252474.5400000135</v>
      </c>
      <c r="H16" s="749"/>
      <c r="I16" s="750">
        <v>1473120</v>
      </c>
      <c r="J16" s="751">
        <f>J10</f>
        <v>1236.9100000000035</v>
      </c>
      <c r="K16" s="749"/>
      <c r="L16" s="750">
        <v>1473120</v>
      </c>
      <c r="M16" s="751">
        <f>M10</f>
        <v>1066.3899999999921</v>
      </c>
      <c r="N16" s="749"/>
      <c r="O16" s="750">
        <v>1473120</v>
      </c>
      <c r="P16" s="751">
        <f>P10</f>
        <v>996.90000000000146</v>
      </c>
      <c r="Q16" s="749"/>
      <c r="R16" s="750">
        <v>1473120</v>
      </c>
      <c r="S16" s="751"/>
      <c r="T16" s="749"/>
      <c r="U16" s="750">
        <v>1473120</v>
      </c>
      <c r="V16" s="751"/>
      <c r="W16" s="749"/>
      <c r="X16" s="749">
        <v>1717956.75</v>
      </c>
      <c r="Y16" s="749"/>
      <c r="Z16" s="749"/>
      <c r="AA16" s="750">
        <v>1473120</v>
      </c>
      <c r="AB16" s="751"/>
      <c r="AC16" s="1693"/>
      <c r="AD16" s="752">
        <v>1425600</v>
      </c>
      <c r="AE16" s="753"/>
      <c r="AF16" s="1697"/>
      <c r="AG16" s="752">
        <v>1473120</v>
      </c>
      <c r="AH16" s="754"/>
      <c r="AI16" s="1700"/>
      <c r="AJ16" s="752">
        <v>1425600</v>
      </c>
      <c r="AK16" s="754"/>
      <c r="AL16" s="1700"/>
      <c r="AM16" s="752">
        <v>1473120</v>
      </c>
      <c r="AN16" s="753"/>
      <c r="AO16" s="1713"/>
    </row>
    <row r="17" spans="2:41">
      <c r="B17" s="2186"/>
      <c r="C17" s="2189"/>
      <c r="D17" s="747" t="s">
        <v>1000</v>
      </c>
      <c r="E17" s="748" t="s">
        <v>1001</v>
      </c>
      <c r="F17" s="757">
        <v>572880.00000000012</v>
      </c>
      <c r="G17" s="773">
        <f>G11</f>
        <v>130900.00000000146</v>
      </c>
      <c r="H17" s="756"/>
      <c r="I17" s="757">
        <v>572880.00000000012</v>
      </c>
      <c r="J17" s="751">
        <f>J11</f>
        <v>149912.0000000039</v>
      </c>
      <c r="K17" s="756"/>
      <c r="L17" s="757">
        <v>572880.00000000012</v>
      </c>
      <c r="M17" s="751">
        <f>M11</f>
        <v>135987.99999999756</v>
      </c>
      <c r="N17" s="756"/>
      <c r="O17" s="757">
        <v>572880.00000000012</v>
      </c>
      <c r="P17" s="751">
        <f>P11</f>
        <v>116000</v>
      </c>
      <c r="Q17" s="756"/>
      <c r="R17" s="757">
        <v>572880.00000000012</v>
      </c>
      <c r="S17" s="751"/>
      <c r="T17" s="756"/>
      <c r="U17" s="757">
        <v>572880.00000000012</v>
      </c>
      <c r="V17" s="751"/>
      <c r="W17" s="756"/>
      <c r="X17" s="756">
        <v>172614.99999999799</v>
      </c>
      <c r="Y17" s="756"/>
      <c r="Z17" s="756"/>
      <c r="AA17" s="757">
        <v>572880.00000000012</v>
      </c>
      <c r="AB17" s="751"/>
      <c r="AC17" s="1695"/>
      <c r="AD17" s="752">
        <v>554400.00000000012</v>
      </c>
      <c r="AE17" s="753"/>
      <c r="AF17" s="1697"/>
      <c r="AG17" s="752">
        <v>572880.00000000012</v>
      </c>
      <c r="AH17" s="754"/>
      <c r="AI17" s="1700"/>
      <c r="AJ17" s="752">
        <v>554400.00000000012</v>
      </c>
      <c r="AK17" s="754"/>
      <c r="AL17" s="1700"/>
      <c r="AM17" s="752">
        <v>572880.00000000012</v>
      </c>
      <c r="AN17" s="753"/>
      <c r="AO17" s="1713"/>
    </row>
    <row r="18" spans="2:41" ht="15" thickBot="1">
      <c r="B18" s="2187"/>
      <c r="C18" s="2190"/>
      <c r="D18" s="759" t="s">
        <v>1002</v>
      </c>
      <c r="E18" s="760" t="s">
        <v>1003</v>
      </c>
      <c r="F18" s="762">
        <v>85610.95890410959</v>
      </c>
      <c r="G18" s="1691">
        <f t="shared" ref="G18" si="0">G12</f>
        <v>72367</v>
      </c>
      <c r="H18" s="761"/>
      <c r="I18" s="762">
        <v>85610.95890410959</v>
      </c>
      <c r="J18" s="763">
        <f t="shared" ref="J18" si="1">J12</f>
        <v>72367</v>
      </c>
      <c r="K18" s="761"/>
      <c r="L18" s="762">
        <v>85610.95890410959</v>
      </c>
      <c r="M18" s="763">
        <f t="shared" ref="M18" si="2">M12</f>
        <v>72367</v>
      </c>
      <c r="N18" s="761"/>
      <c r="O18" s="762">
        <v>85610.95890410959</v>
      </c>
      <c r="P18" s="763">
        <f t="shared" ref="P18" si="3">P12</f>
        <v>72367</v>
      </c>
      <c r="Q18" s="761"/>
      <c r="R18" s="762">
        <v>85610.95890410959</v>
      </c>
      <c r="S18" s="763"/>
      <c r="T18" s="761"/>
      <c r="U18" s="762">
        <v>85610.95890410959</v>
      </c>
      <c r="V18" s="763"/>
      <c r="W18" s="761"/>
      <c r="X18" s="761">
        <v>78418</v>
      </c>
      <c r="Y18" s="761"/>
      <c r="Z18" s="761"/>
      <c r="AA18" s="762">
        <v>85610.95890410959</v>
      </c>
      <c r="AB18" s="763"/>
      <c r="AC18" s="1691"/>
      <c r="AD18" s="764">
        <v>82849.315068493161</v>
      </c>
      <c r="AE18" s="765"/>
      <c r="AF18" s="1698"/>
      <c r="AG18" s="764">
        <v>85610.95890410959</v>
      </c>
      <c r="AH18" s="766"/>
      <c r="AI18" s="1701"/>
      <c r="AJ18" s="764">
        <v>82849.315068493161</v>
      </c>
      <c r="AK18" s="767"/>
      <c r="AL18" s="1707"/>
      <c r="AM18" s="764">
        <v>85610.95890410959</v>
      </c>
      <c r="AN18" s="767"/>
      <c r="AO18" s="1711"/>
    </row>
    <row r="19" spans="2:41" ht="15" thickTop="1">
      <c r="D19" s="730" t="s">
        <v>916</v>
      </c>
      <c r="E19" s="731" t="s">
        <v>1007</v>
      </c>
      <c r="F19" s="815">
        <f>((SUM(F7:F11)/1000)/25)</f>
        <v>527.99999999999977</v>
      </c>
      <c r="G19" s="812"/>
      <c r="H19" s="812"/>
      <c r="I19" s="812"/>
      <c r="J19" s="812"/>
      <c r="K19" s="812"/>
      <c r="L19" s="812"/>
      <c r="M19" s="812"/>
      <c r="N19" s="812"/>
      <c r="O19" s="812"/>
      <c r="P19" s="812"/>
      <c r="Q19" s="812"/>
      <c r="R19" s="812"/>
      <c r="S19" s="812"/>
      <c r="T19" s="812"/>
      <c r="U19" s="812"/>
      <c r="V19" s="812"/>
      <c r="W19" s="812"/>
      <c r="Z19" t="e">
        <f ca="1">DATOSCECOS!$H395*1000</f>
        <v>#DIV/0!</v>
      </c>
      <c r="AC19" s="442" t="e">
        <f ca="1">DATOSCECOS!$H396*1000</f>
        <v>#DIV/0!</v>
      </c>
      <c r="AF19" s="442" t="e">
        <f ca="1">DATOSCECOS!$H397*1000</f>
        <v>#DIV/0!</v>
      </c>
      <c r="AI19" s="442" t="e">
        <f ca="1">DATOSCECOS!$H398*1000</f>
        <v>#DIV/0!</v>
      </c>
      <c r="AJ19" s="387"/>
      <c r="AK19" s="387" t="e">
        <f ca="1">DATOSCECOS!$H399*1000</f>
        <v>#DIV/0!</v>
      </c>
      <c r="AL19" s="1708" t="e">
        <f ca="1">DATOSCECOS!$H399*1000</f>
        <v>#DIV/0!</v>
      </c>
      <c r="AM19" s="387"/>
      <c r="AN19" s="387" t="e">
        <f ca="1">DATOSCECOS!$H400*1000</f>
        <v>#DIV/0!</v>
      </c>
      <c r="AO19" s="442" t="e">
        <f ca="1">DATOSCECOS!$H400*1000</f>
        <v>#DIV/0!</v>
      </c>
    </row>
    <row r="20" spans="2:41">
      <c r="E20" t="s">
        <v>1191</v>
      </c>
      <c r="F20">
        <f>((CONTADORES!$S27-CONTADORES!$S2)+(CONTADORES!$B27-CONTADORES!$B2))*1000</f>
        <v>438848.00000001042</v>
      </c>
      <c r="AH20" s="401">
        <f>(CONTADORES!$S280-CONTADORES!$S247)+(CONTADORES!$B286-CONTADORES!$B253)</f>
        <v>0</v>
      </c>
      <c r="AI20" s="1703"/>
      <c r="AJ20" s="727">
        <f>(AH20/24/30)*1000</f>
        <v>0</v>
      </c>
      <c r="AK20" s="401">
        <f>(CONTADORES!$S345-CONTADORES!$S312)+(CONTADORES!$B351-CONTADORES!$B318)</f>
        <v>0</v>
      </c>
      <c r="AL20" s="1703"/>
      <c r="AM20" s="387"/>
      <c r="AN20" s="401">
        <f>(CONTADORES!$S377-CONTADORES!$S345)+(CONTADORES!$B383-CONTADORES!$B351)</f>
        <v>0</v>
      </c>
    </row>
    <row r="21" spans="2:41" ht="43.2">
      <c r="E21" s="101" t="s">
        <v>1016</v>
      </c>
      <c r="F21" s="729">
        <f>IF(INICIO!C8&gt;CONTADORES!A27,(((CONTADORES!$AG27-CONTADORES!$AG2)+(CONTADORES!$U27-CONTADORES!$U2)+(CONTADORES!$AT27-CONTADORES!$AT2))-(INICIO!$W6)*30)," ")*1000</f>
        <v>52590.000000003783</v>
      </c>
      <c r="AH21" s="728">
        <f>((CONTADORES!$AG280-CONTADORES!$AG247)+(CONTADORES!$U280-CONTADORES!$U247)+(CONTADORES!$AT280-CONTADORES!$AT247))-(INICIO!$W6)*30</f>
        <v>0</v>
      </c>
      <c r="AI21" s="1704"/>
      <c r="AJ21" s="387"/>
      <c r="AK21" s="728">
        <f>((CONTADORES!$AG345-CONTADORES!$AG312)+(CONTADORES!$U345-CONTADORES!$U312)+(CONTADORES!$AT345-CONTADORES!$AT312))-(INICIO!$W6)*30</f>
        <v>0</v>
      </c>
      <c r="AL21" s="1704"/>
      <c r="AM21" s="387"/>
      <c r="AN21" s="728">
        <f>((CONTADORES!$AG377-CONTADORES!$AG345)+(CONTADORES!$U377-CONTADORES!$U345)+(CONTADORES!$AT377-CONTADORES!$AT345))-(INICIO!$W6)*30</f>
        <v>0</v>
      </c>
    </row>
    <row r="22" spans="2:41">
      <c r="AD22" s="25"/>
      <c r="AE22" s="25"/>
      <c r="AF22" s="995"/>
      <c r="AH22" s="729"/>
      <c r="AI22" s="1705"/>
    </row>
    <row r="24" spans="2:41">
      <c r="E24">
        <f>IF(B367&gt;=$AI$6,0,($AR367*AH367)/SUM($AG367:$AJ367))</f>
        <v>0</v>
      </c>
    </row>
  </sheetData>
  <mergeCells count="9">
    <mergeCell ref="B2:E2"/>
    <mergeCell ref="AL2:AO2"/>
    <mergeCell ref="F2:AK2"/>
    <mergeCell ref="B13:B18"/>
    <mergeCell ref="C13:C18"/>
    <mergeCell ref="B4:C6"/>
    <mergeCell ref="D4:E6"/>
    <mergeCell ref="B7:B12"/>
    <mergeCell ref="C7:C12"/>
  </mergeCell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4" tint="-0.249977111117893"/>
  </sheetPr>
  <dimension ref="A1:T51"/>
  <sheetViews>
    <sheetView topLeftCell="A10" zoomScale="70" zoomScaleNormal="70" workbookViewId="0">
      <selection activeCell="B30" sqref="B30:N30"/>
    </sheetView>
  </sheetViews>
  <sheetFormatPr baseColWidth="10" defaultColWidth="9.21875" defaultRowHeight="13.2"/>
  <cols>
    <col min="1" max="1" width="6" style="222" customWidth="1"/>
    <col min="2" max="2" width="14.5546875" style="222" customWidth="1"/>
    <col min="3" max="13" width="9.44140625" style="222" customWidth="1"/>
    <col min="14" max="14" width="10.77734375" style="222" bestFit="1" customWidth="1"/>
    <col min="15" max="15" width="16.44140625" style="222" customWidth="1"/>
    <col min="16" max="255" width="9.21875" style="222"/>
    <col min="256" max="256" width="6" style="222" customWidth="1"/>
    <col min="257" max="257" width="25.44140625" style="222" customWidth="1"/>
    <col min="258" max="258" width="14.5546875" style="222" customWidth="1"/>
    <col min="259" max="270" width="9.44140625" style="222" customWidth="1"/>
    <col min="271" max="271" width="16.44140625" style="222" customWidth="1"/>
    <col min="272" max="511" width="9.21875" style="222"/>
    <col min="512" max="512" width="6" style="222" customWidth="1"/>
    <col min="513" max="513" width="25.44140625" style="222" customWidth="1"/>
    <col min="514" max="514" width="14.5546875" style="222" customWidth="1"/>
    <col min="515" max="526" width="9.44140625" style="222" customWidth="1"/>
    <col min="527" max="527" width="16.44140625" style="222" customWidth="1"/>
    <col min="528" max="767" width="9.21875" style="222"/>
    <col min="768" max="768" width="6" style="222" customWidth="1"/>
    <col min="769" max="769" width="25.44140625" style="222" customWidth="1"/>
    <col min="770" max="770" width="14.5546875" style="222" customWidth="1"/>
    <col min="771" max="782" width="9.44140625" style="222" customWidth="1"/>
    <col min="783" max="783" width="16.44140625" style="222" customWidth="1"/>
    <col min="784" max="1023" width="9.21875" style="222"/>
    <col min="1024" max="1024" width="6" style="222" customWidth="1"/>
    <col min="1025" max="1025" width="25.44140625" style="222" customWidth="1"/>
    <col min="1026" max="1026" width="14.5546875" style="222" customWidth="1"/>
    <col min="1027" max="1038" width="9.44140625" style="222" customWidth="1"/>
    <col min="1039" max="1039" width="16.44140625" style="222" customWidth="1"/>
    <col min="1040" max="1279" width="9.21875" style="222"/>
    <col min="1280" max="1280" width="6" style="222" customWidth="1"/>
    <col min="1281" max="1281" width="25.44140625" style="222" customWidth="1"/>
    <col min="1282" max="1282" width="14.5546875" style="222" customWidth="1"/>
    <col min="1283" max="1294" width="9.44140625" style="222" customWidth="1"/>
    <col min="1295" max="1295" width="16.44140625" style="222" customWidth="1"/>
    <col min="1296" max="1535" width="9.21875" style="222"/>
    <col min="1536" max="1536" width="6" style="222" customWidth="1"/>
    <col min="1537" max="1537" width="25.44140625" style="222" customWidth="1"/>
    <col min="1538" max="1538" width="14.5546875" style="222" customWidth="1"/>
    <col min="1539" max="1550" width="9.44140625" style="222" customWidth="1"/>
    <col min="1551" max="1551" width="16.44140625" style="222" customWidth="1"/>
    <col min="1552" max="1791" width="9.21875" style="222"/>
    <col min="1792" max="1792" width="6" style="222" customWidth="1"/>
    <col min="1793" max="1793" width="25.44140625" style="222" customWidth="1"/>
    <col min="1794" max="1794" width="14.5546875" style="222" customWidth="1"/>
    <col min="1795" max="1806" width="9.44140625" style="222" customWidth="1"/>
    <col min="1807" max="1807" width="16.44140625" style="222" customWidth="1"/>
    <col min="1808" max="2047" width="9.21875" style="222"/>
    <col min="2048" max="2048" width="6" style="222" customWidth="1"/>
    <col min="2049" max="2049" width="25.44140625" style="222" customWidth="1"/>
    <col min="2050" max="2050" width="14.5546875" style="222" customWidth="1"/>
    <col min="2051" max="2062" width="9.44140625" style="222" customWidth="1"/>
    <col min="2063" max="2063" width="16.44140625" style="222" customWidth="1"/>
    <col min="2064" max="2303" width="9.21875" style="222"/>
    <col min="2304" max="2304" width="6" style="222" customWidth="1"/>
    <col min="2305" max="2305" width="25.44140625" style="222" customWidth="1"/>
    <col min="2306" max="2306" width="14.5546875" style="222" customWidth="1"/>
    <col min="2307" max="2318" width="9.44140625" style="222" customWidth="1"/>
    <col min="2319" max="2319" width="16.44140625" style="222" customWidth="1"/>
    <col min="2320" max="2559" width="9.21875" style="222"/>
    <col min="2560" max="2560" width="6" style="222" customWidth="1"/>
    <col min="2561" max="2561" width="25.44140625" style="222" customWidth="1"/>
    <col min="2562" max="2562" width="14.5546875" style="222" customWidth="1"/>
    <col min="2563" max="2574" width="9.44140625" style="222" customWidth="1"/>
    <col min="2575" max="2575" width="16.44140625" style="222" customWidth="1"/>
    <col min="2576" max="2815" width="9.21875" style="222"/>
    <col min="2816" max="2816" width="6" style="222" customWidth="1"/>
    <col min="2817" max="2817" width="25.44140625" style="222" customWidth="1"/>
    <col min="2818" max="2818" width="14.5546875" style="222" customWidth="1"/>
    <col min="2819" max="2830" width="9.44140625" style="222" customWidth="1"/>
    <col min="2831" max="2831" width="16.44140625" style="222" customWidth="1"/>
    <col min="2832" max="3071" width="9.21875" style="222"/>
    <col min="3072" max="3072" width="6" style="222" customWidth="1"/>
    <col min="3073" max="3073" width="25.44140625" style="222" customWidth="1"/>
    <col min="3074" max="3074" width="14.5546875" style="222" customWidth="1"/>
    <col min="3075" max="3086" width="9.44140625" style="222" customWidth="1"/>
    <col min="3087" max="3087" width="16.44140625" style="222" customWidth="1"/>
    <col min="3088" max="3327" width="9.21875" style="222"/>
    <col min="3328" max="3328" width="6" style="222" customWidth="1"/>
    <col min="3329" max="3329" width="25.44140625" style="222" customWidth="1"/>
    <col min="3330" max="3330" width="14.5546875" style="222" customWidth="1"/>
    <col min="3331" max="3342" width="9.44140625" style="222" customWidth="1"/>
    <col min="3343" max="3343" width="16.44140625" style="222" customWidth="1"/>
    <col min="3344" max="3583" width="9.21875" style="222"/>
    <col min="3584" max="3584" width="6" style="222" customWidth="1"/>
    <col min="3585" max="3585" width="25.44140625" style="222" customWidth="1"/>
    <col min="3586" max="3586" width="14.5546875" style="222" customWidth="1"/>
    <col min="3587" max="3598" width="9.44140625" style="222" customWidth="1"/>
    <col min="3599" max="3599" width="16.44140625" style="222" customWidth="1"/>
    <col min="3600" max="3839" width="9.21875" style="222"/>
    <col min="3840" max="3840" width="6" style="222" customWidth="1"/>
    <col min="3841" max="3841" width="25.44140625" style="222" customWidth="1"/>
    <col min="3842" max="3842" width="14.5546875" style="222" customWidth="1"/>
    <col min="3843" max="3854" width="9.44140625" style="222" customWidth="1"/>
    <col min="3855" max="3855" width="16.44140625" style="222" customWidth="1"/>
    <col min="3856" max="4095" width="9.21875" style="222"/>
    <col min="4096" max="4096" width="6" style="222" customWidth="1"/>
    <col min="4097" max="4097" width="25.44140625" style="222" customWidth="1"/>
    <col min="4098" max="4098" width="14.5546875" style="222" customWidth="1"/>
    <col min="4099" max="4110" width="9.44140625" style="222" customWidth="1"/>
    <col min="4111" max="4111" width="16.44140625" style="222" customWidth="1"/>
    <col min="4112" max="4351" width="9.21875" style="222"/>
    <col min="4352" max="4352" width="6" style="222" customWidth="1"/>
    <col min="4353" max="4353" width="25.44140625" style="222" customWidth="1"/>
    <col min="4354" max="4354" width="14.5546875" style="222" customWidth="1"/>
    <col min="4355" max="4366" width="9.44140625" style="222" customWidth="1"/>
    <col min="4367" max="4367" width="16.44140625" style="222" customWidth="1"/>
    <col min="4368" max="4607" width="9.21875" style="222"/>
    <col min="4608" max="4608" width="6" style="222" customWidth="1"/>
    <col min="4609" max="4609" width="25.44140625" style="222" customWidth="1"/>
    <col min="4610" max="4610" width="14.5546875" style="222" customWidth="1"/>
    <col min="4611" max="4622" width="9.44140625" style="222" customWidth="1"/>
    <col min="4623" max="4623" width="16.44140625" style="222" customWidth="1"/>
    <col min="4624" max="4863" width="9.21875" style="222"/>
    <col min="4864" max="4864" width="6" style="222" customWidth="1"/>
    <col min="4865" max="4865" width="25.44140625" style="222" customWidth="1"/>
    <col min="4866" max="4866" width="14.5546875" style="222" customWidth="1"/>
    <col min="4867" max="4878" width="9.44140625" style="222" customWidth="1"/>
    <col min="4879" max="4879" width="16.44140625" style="222" customWidth="1"/>
    <col min="4880" max="5119" width="9.21875" style="222"/>
    <col min="5120" max="5120" width="6" style="222" customWidth="1"/>
    <col min="5121" max="5121" width="25.44140625" style="222" customWidth="1"/>
    <col min="5122" max="5122" width="14.5546875" style="222" customWidth="1"/>
    <col min="5123" max="5134" width="9.44140625" style="222" customWidth="1"/>
    <col min="5135" max="5135" width="16.44140625" style="222" customWidth="1"/>
    <col min="5136" max="5375" width="9.21875" style="222"/>
    <col min="5376" max="5376" width="6" style="222" customWidth="1"/>
    <col min="5377" max="5377" width="25.44140625" style="222" customWidth="1"/>
    <col min="5378" max="5378" width="14.5546875" style="222" customWidth="1"/>
    <col min="5379" max="5390" width="9.44140625" style="222" customWidth="1"/>
    <col min="5391" max="5391" width="16.44140625" style="222" customWidth="1"/>
    <col min="5392" max="5631" width="9.21875" style="222"/>
    <col min="5632" max="5632" width="6" style="222" customWidth="1"/>
    <col min="5633" max="5633" width="25.44140625" style="222" customWidth="1"/>
    <col min="5634" max="5634" width="14.5546875" style="222" customWidth="1"/>
    <col min="5635" max="5646" width="9.44140625" style="222" customWidth="1"/>
    <col min="5647" max="5647" width="16.44140625" style="222" customWidth="1"/>
    <col min="5648" max="5887" width="9.21875" style="222"/>
    <col min="5888" max="5888" width="6" style="222" customWidth="1"/>
    <col min="5889" max="5889" width="25.44140625" style="222" customWidth="1"/>
    <col min="5890" max="5890" width="14.5546875" style="222" customWidth="1"/>
    <col min="5891" max="5902" width="9.44140625" style="222" customWidth="1"/>
    <col min="5903" max="5903" width="16.44140625" style="222" customWidth="1"/>
    <col min="5904" max="6143" width="9.21875" style="222"/>
    <col min="6144" max="6144" width="6" style="222" customWidth="1"/>
    <col min="6145" max="6145" width="25.44140625" style="222" customWidth="1"/>
    <col min="6146" max="6146" width="14.5546875" style="222" customWidth="1"/>
    <col min="6147" max="6158" width="9.44140625" style="222" customWidth="1"/>
    <col min="6159" max="6159" width="16.44140625" style="222" customWidth="1"/>
    <col min="6160" max="6399" width="9.21875" style="222"/>
    <col min="6400" max="6400" width="6" style="222" customWidth="1"/>
    <col min="6401" max="6401" width="25.44140625" style="222" customWidth="1"/>
    <col min="6402" max="6402" width="14.5546875" style="222" customWidth="1"/>
    <col min="6403" max="6414" width="9.44140625" style="222" customWidth="1"/>
    <col min="6415" max="6415" width="16.44140625" style="222" customWidth="1"/>
    <col min="6416" max="6655" width="9.21875" style="222"/>
    <col min="6656" max="6656" width="6" style="222" customWidth="1"/>
    <col min="6657" max="6657" width="25.44140625" style="222" customWidth="1"/>
    <col min="6658" max="6658" width="14.5546875" style="222" customWidth="1"/>
    <col min="6659" max="6670" width="9.44140625" style="222" customWidth="1"/>
    <col min="6671" max="6671" width="16.44140625" style="222" customWidth="1"/>
    <col min="6672" max="6911" width="9.21875" style="222"/>
    <col min="6912" max="6912" width="6" style="222" customWidth="1"/>
    <col min="6913" max="6913" width="25.44140625" style="222" customWidth="1"/>
    <col min="6914" max="6914" width="14.5546875" style="222" customWidth="1"/>
    <col min="6915" max="6926" width="9.44140625" style="222" customWidth="1"/>
    <col min="6927" max="6927" width="16.44140625" style="222" customWidth="1"/>
    <col min="6928" max="7167" width="9.21875" style="222"/>
    <col min="7168" max="7168" width="6" style="222" customWidth="1"/>
    <col min="7169" max="7169" width="25.44140625" style="222" customWidth="1"/>
    <col min="7170" max="7170" width="14.5546875" style="222" customWidth="1"/>
    <col min="7171" max="7182" width="9.44140625" style="222" customWidth="1"/>
    <col min="7183" max="7183" width="16.44140625" style="222" customWidth="1"/>
    <col min="7184" max="7423" width="9.21875" style="222"/>
    <col min="7424" max="7424" width="6" style="222" customWidth="1"/>
    <col min="7425" max="7425" width="25.44140625" style="222" customWidth="1"/>
    <col min="7426" max="7426" width="14.5546875" style="222" customWidth="1"/>
    <col min="7427" max="7438" width="9.44140625" style="222" customWidth="1"/>
    <col min="7439" max="7439" width="16.44140625" style="222" customWidth="1"/>
    <col min="7440" max="7679" width="9.21875" style="222"/>
    <col min="7680" max="7680" width="6" style="222" customWidth="1"/>
    <col min="7681" max="7681" width="25.44140625" style="222" customWidth="1"/>
    <col min="7682" max="7682" width="14.5546875" style="222" customWidth="1"/>
    <col min="7683" max="7694" width="9.44140625" style="222" customWidth="1"/>
    <col min="7695" max="7695" width="16.44140625" style="222" customWidth="1"/>
    <col min="7696" max="7935" width="9.21875" style="222"/>
    <col min="7936" max="7936" width="6" style="222" customWidth="1"/>
    <col min="7937" max="7937" width="25.44140625" style="222" customWidth="1"/>
    <col min="7938" max="7938" width="14.5546875" style="222" customWidth="1"/>
    <col min="7939" max="7950" width="9.44140625" style="222" customWidth="1"/>
    <col min="7951" max="7951" width="16.44140625" style="222" customWidth="1"/>
    <col min="7952" max="8191" width="9.21875" style="222"/>
    <col min="8192" max="8192" width="6" style="222" customWidth="1"/>
    <col min="8193" max="8193" width="25.44140625" style="222" customWidth="1"/>
    <col min="8194" max="8194" width="14.5546875" style="222" customWidth="1"/>
    <col min="8195" max="8206" width="9.44140625" style="222" customWidth="1"/>
    <col min="8207" max="8207" width="16.44140625" style="222" customWidth="1"/>
    <col min="8208" max="8447" width="9.21875" style="222"/>
    <col min="8448" max="8448" width="6" style="222" customWidth="1"/>
    <col min="8449" max="8449" width="25.44140625" style="222" customWidth="1"/>
    <col min="8450" max="8450" width="14.5546875" style="222" customWidth="1"/>
    <col min="8451" max="8462" width="9.44140625" style="222" customWidth="1"/>
    <col min="8463" max="8463" width="16.44140625" style="222" customWidth="1"/>
    <col min="8464" max="8703" width="9.21875" style="222"/>
    <col min="8704" max="8704" width="6" style="222" customWidth="1"/>
    <col min="8705" max="8705" width="25.44140625" style="222" customWidth="1"/>
    <col min="8706" max="8706" width="14.5546875" style="222" customWidth="1"/>
    <col min="8707" max="8718" width="9.44140625" style="222" customWidth="1"/>
    <col min="8719" max="8719" width="16.44140625" style="222" customWidth="1"/>
    <col min="8720" max="8959" width="9.21875" style="222"/>
    <col min="8960" max="8960" width="6" style="222" customWidth="1"/>
    <col min="8961" max="8961" width="25.44140625" style="222" customWidth="1"/>
    <col min="8962" max="8962" width="14.5546875" style="222" customWidth="1"/>
    <col min="8963" max="8974" width="9.44140625" style="222" customWidth="1"/>
    <col min="8975" max="8975" width="16.44140625" style="222" customWidth="1"/>
    <col min="8976" max="9215" width="9.21875" style="222"/>
    <col min="9216" max="9216" width="6" style="222" customWidth="1"/>
    <col min="9217" max="9217" width="25.44140625" style="222" customWidth="1"/>
    <col min="9218" max="9218" width="14.5546875" style="222" customWidth="1"/>
    <col min="9219" max="9230" width="9.44140625" style="222" customWidth="1"/>
    <col min="9231" max="9231" width="16.44140625" style="222" customWidth="1"/>
    <col min="9232" max="9471" width="9.21875" style="222"/>
    <col min="9472" max="9472" width="6" style="222" customWidth="1"/>
    <col min="9473" max="9473" width="25.44140625" style="222" customWidth="1"/>
    <col min="9474" max="9474" width="14.5546875" style="222" customWidth="1"/>
    <col min="9475" max="9486" width="9.44140625" style="222" customWidth="1"/>
    <col min="9487" max="9487" width="16.44140625" style="222" customWidth="1"/>
    <col min="9488" max="9727" width="9.21875" style="222"/>
    <col min="9728" max="9728" width="6" style="222" customWidth="1"/>
    <col min="9729" max="9729" width="25.44140625" style="222" customWidth="1"/>
    <col min="9730" max="9730" width="14.5546875" style="222" customWidth="1"/>
    <col min="9731" max="9742" width="9.44140625" style="222" customWidth="1"/>
    <col min="9743" max="9743" width="16.44140625" style="222" customWidth="1"/>
    <col min="9744" max="9983" width="9.21875" style="222"/>
    <col min="9984" max="9984" width="6" style="222" customWidth="1"/>
    <col min="9985" max="9985" width="25.44140625" style="222" customWidth="1"/>
    <col min="9986" max="9986" width="14.5546875" style="222" customWidth="1"/>
    <col min="9987" max="9998" width="9.44140625" style="222" customWidth="1"/>
    <col min="9999" max="9999" width="16.44140625" style="222" customWidth="1"/>
    <col min="10000" max="10239" width="9.21875" style="222"/>
    <col min="10240" max="10240" width="6" style="222" customWidth="1"/>
    <col min="10241" max="10241" width="25.44140625" style="222" customWidth="1"/>
    <col min="10242" max="10242" width="14.5546875" style="222" customWidth="1"/>
    <col min="10243" max="10254" width="9.44140625" style="222" customWidth="1"/>
    <col min="10255" max="10255" width="16.44140625" style="222" customWidth="1"/>
    <col min="10256" max="10495" width="9.21875" style="222"/>
    <col min="10496" max="10496" width="6" style="222" customWidth="1"/>
    <col min="10497" max="10497" width="25.44140625" style="222" customWidth="1"/>
    <col min="10498" max="10498" width="14.5546875" style="222" customWidth="1"/>
    <col min="10499" max="10510" width="9.44140625" style="222" customWidth="1"/>
    <col min="10511" max="10511" width="16.44140625" style="222" customWidth="1"/>
    <col min="10512" max="10751" width="9.21875" style="222"/>
    <col min="10752" max="10752" width="6" style="222" customWidth="1"/>
    <col min="10753" max="10753" width="25.44140625" style="222" customWidth="1"/>
    <col min="10754" max="10754" width="14.5546875" style="222" customWidth="1"/>
    <col min="10755" max="10766" width="9.44140625" style="222" customWidth="1"/>
    <col min="10767" max="10767" width="16.44140625" style="222" customWidth="1"/>
    <col min="10768" max="11007" width="9.21875" style="222"/>
    <col min="11008" max="11008" width="6" style="222" customWidth="1"/>
    <col min="11009" max="11009" width="25.44140625" style="222" customWidth="1"/>
    <col min="11010" max="11010" width="14.5546875" style="222" customWidth="1"/>
    <col min="11011" max="11022" width="9.44140625" style="222" customWidth="1"/>
    <col min="11023" max="11023" width="16.44140625" style="222" customWidth="1"/>
    <col min="11024" max="11263" width="9.21875" style="222"/>
    <col min="11264" max="11264" width="6" style="222" customWidth="1"/>
    <col min="11265" max="11265" width="25.44140625" style="222" customWidth="1"/>
    <col min="11266" max="11266" width="14.5546875" style="222" customWidth="1"/>
    <col min="11267" max="11278" width="9.44140625" style="222" customWidth="1"/>
    <col min="11279" max="11279" width="16.44140625" style="222" customWidth="1"/>
    <col min="11280" max="11519" width="9.21875" style="222"/>
    <col min="11520" max="11520" width="6" style="222" customWidth="1"/>
    <col min="11521" max="11521" width="25.44140625" style="222" customWidth="1"/>
    <col min="11522" max="11522" width="14.5546875" style="222" customWidth="1"/>
    <col min="11523" max="11534" width="9.44140625" style="222" customWidth="1"/>
    <col min="11535" max="11535" width="16.44140625" style="222" customWidth="1"/>
    <col min="11536" max="11775" width="9.21875" style="222"/>
    <col min="11776" max="11776" width="6" style="222" customWidth="1"/>
    <col min="11777" max="11777" width="25.44140625" style="222" customWidth="1"/>
    <col min="11778" max="11778" width="14.5546875" style="222" customWidth="1"/>
    <col min="11779" max="11790" width="9.44140625" style="222" customWidth="1"/>
    <col min="11791" max="11791" width="16.44140625" style="222" customWidth="1"/>
    <col min="11792" max="12031" width="9.21875" style="222"/>
    <col min="12032" max="12032" width="6" style="222" customWidth="1"/>
    <col min="12033" max="12033" width="25.44140625" style="222" customWidth="1"/>
    <col min="12034" max="12034" width="14.5546875" style="222" customWidth="1"/>
    <col min="12035" max="12046" width="9.44140625" style="222" customWidth="1"/>
    <col min="12047" max="12047" width="16.44140625" style="222" customWidth="1"/>
    <col min="12048" max="12287" width="9.21875" style="222"/>
    <col min="12288" max="12288" width="6" style="222" customWidth="1"/>
    <col min="12289" max="12289" width="25.44140625" style="222" customWidth="1"/>
    <col min="12290" max="12290" width="14.5546875" style="222" customWidth="1"/>
    <col min="12291" max="12302" width="9.44140625" style="222" customWidth="1"/>
    <col min="12303" max="12303" width="16.44140625" style="222" customWidth="1"/>
    <col min="12304" max="12543" width="9.21875" style="222"/>
    <col min="12544" max="12544" width="6" style="222" customWidth="1"/>
    <col min="12545" max="12545" width="25.44140625" style="222" customWidth="1"/>
    <col min="12546" max="12546" width="14.5546875" style="222" customWidth="1"/>
    <col min="12547" max="12558" width="9.44140625" style="222" customWidth="1"/>
    <col min="12559" max="12559" width="16.44140625" style="222" customWidth="1"/>
    <col min="12560" max="12799" width="9.21875" style="222"/>
    <col min="12800" max="12800" width="6" style="222" customWidth="1"/>
    <col min="12801" max="12801" width="25.44140625" style="222" customWidth="1"/>
    <col min="12802" max="12802" width="14.5546875" style="222" customWidth="1"/>
    <col min="12803" max="12814" width="9.44140625" style="222" customWidth="1"/>
    <col min="12815" max="12815" width="16.44140625" style="222" customWidth="1"/>
    <col min="12816" max="13055" width="9.21875" style="222"/>
    <col min="13056" max="13056" width="6" style="222" customWidth="1"/>
    <col min="13057" max="13057" width="25.44140625" style="222" customWidth="1"/>
    <col min="13058" max="13058" width="14.5546875" style="222" customWidth="1"/>
    <col min="13059" max="13070" width="9.44140625" style="222" customWidth="1"/>
    <col min="13071" max="13071" width="16.44140625" style="222" customWidth="1"/>
    <col min="13072" max="13311" width="9.21875" style="222"/>
    <col min="13312" max="13312" width="6" style="222" customWidth="1"/>
    <col min="13313" max="13313" width="25.44140625" style="222" customWidth="1"/>
    <col min="13314" max="13314" width="14.5546875" style="222" customWidth="1"/>
    <col min="13315" max="13326" width="9.44140625" style="222" customWidth="1"/>
    <col min="13327" max="13327" width="16.44140625" style="222" customWidth="1"/>
    <col min="13328" max="13567" width="9.21875" style="222"/>
    <col min="13568" max="13568" width="6" style="222" customWidth="1"/>
    <col min="13569" max="13569" width="25.44140625" style="222" customWidth="1"/>
    <col min="13570" max="13570" width="14.5546875" style="222" customWidth="1"/>
    <col min="13571" max="13582" width="9.44140625" style="222" customWidth="1"/>
    <col min="13583" max="13583" width="16.44140625" style="222" customWidth="1"/>
    <col min="13584" max="13823" width="9.21875" style="222"/>
    <col min="13824" max="13824" width="6" style="222" customWidth="1"/>
    <col min="13825" max="13825" width="25.44140625" style="222" customWidth="1"/>
    <col min="13826" max="13826" width="14.5546875" style="222" customWidth="1"/>
    <col min="13827" max="13838" width="9.44140625" style="222" customWidth="1"/>
    <col min="13839" max="13839" width="16.44140625" style="222" customWidth="1"/>
    <col min="13840" max="14079" width="9.21875" style="222"/>
    <col min="14080" max="14080" width="6" style="222" customWidth="1"/>
    <col min="14081" max="14081" width="25.44140625" style="222" customWidth="1"/>
    <col min="14082" max="14082" width="14.5546875" style="222" customWidth="1"/>
    <col min="14083" max="14094" width="9.44140625" style="222" customWidth="1"/>
    <col min="14095" max="14095" width="16.44140625" style="222" customWidth="1"/>
    <col min="14096" max="14335" width="9.21875" style="222"/>
    <col min="14336" max="14336" width="6" style="222" customWidth="1"/>
    <col min="14337" max="14337" width="25.44140625" style="222" customWidth="1"/>
    <col min="14338" max="14338" width="14.5546875" style="222" customWidth="1"/>
    <col min="14339" max="14350" width="9.44140625" style="222" customWidth="1"/>
    <col min="14351" max="14351" width="16.44140625" style="222" customWidth="1"/>
    <col min="14352" max="14591" width="9.21875" style="222"/>
    <col min="14592" max="14592" width="6" style="222" customWidth="1"/>
    <col min="14593" max="14593" width="25.44140625" style="222" customWidth="1"/>
    <col min="14594" max="14594" width="14.5546875" style="222" customWidth="1"/>
    <col min="14595" max="14606" width="9.44140625" style="222" customWidth="1"/>
    <col min="14607" max="14607" width="16.44140625" style="222" customWidth="1"/>
    <col min="14608" max="14847" width="9.21875" style="222"/>
    <col min="14848" max="14848" width="6" style="222" customWidth="1"/>
    <col min="14849" max="14849" width="25.44140625" style="222" customWidth="1"/>
    <col min="14850" max="14850" width="14.5546875" style="222" customWidth="1"/>
    <col min="14851" max="14862" width="9.44140625" style="222" customWidth="1"/>
    <col min="14863" max="14863" width="16.44140625" style="222" customWidth="1"/>
    <col min="14864" max="15103" width="9.21875" style="222"/>
    <col min="15104" max="15104" width="6" style="222" customWidth="1"/>
    <col min="15105" max="15105" width="25.44140625" style="222" customWidth="1"/>
    <col min="15106" max="15106" width="14.5546875" style="222" customWidth="1"/>
    <col min="15107" max="15118" width="9.44140625" style="222" customWidth="1"/>
    <col min="15119" max="15119" width="16.44140625" style="222" customWidth="1"/>
    <col min="15120" max="15359" width="9.21875" style="222"/>
    <col min="15360" max="15360" width="6" style="222" customWidth="1"/>
    <col min="15361" max="15361" width="25.44140625" style="222" customWidth="1"/>
    <col min="15362" max="15362" width="14.5546875" style="222" customWidth="1"/>
    <col min="15363" max="15374" width="9.44140625" style="222" customWidth="1"/>
    <col min="15375" max="15375" width="16.44140625" style="222" customWidth="1"/>
    <col min="15376" max="15615" width="9.21875" style="222"/>
    <col min="15616" max="15616" width="6" style="222" customWidth="1"/>
    <col min="15617" max="15617" width="25.44140625" style="222" customWidth="1"/>
    <col min="15618" max="15618" width="14.5546875" style="222" customWidth="1"/>
    <col min="15619" max="15630" width="9.44140625" style="222" customWidth="1"/>
    <col min="15631" max="15631" width="16.44140625" style="222" customWidth="1"/>
    <col min="15632" max="15871" width="9.21875" style="222"/>
    <col min="15872" max="15872" width="6" style="222" customWidth="1"/>
    <col min="15873" max="15873" width="25.44140625" style="222" customWidth="1"/>
    <col min="15874" max="15874" width="14.5546875" style="222" customWidth="1"/>
    <col min="15875" max="15886" width="9.44140625" style="222" customWidth="1"/>
    <col min="15887" max="15887" width="16.44140625" style="222" customWidth="1"/>
    <col min="15888" max="16127" width="9.21875" style="222"/>
    <col min="16128" max="16128" width="6" style="222" customWidth="1"/>
    <col min="16129" max="16129" width="25.44140625" style="222" customWidth="1"/>
    <col min="16130" max="16130" width="14.5546875" style="222" customWidth="1"/>
    <col min="16131" max="16142" width="9.44140625" style="222" customWidth="1"/>
    <col min="16143" max="16143" width="16.44140625" style="222" customWidth="1"/>
    <col min="16144" max="16384" width="9.21875" style="222"/>
  </cols>
  <sheetData>
    <row r="1" spans="1:20" ht="14.4" thickBot="1">
      <c r="A1" s="221"/>
      <c r="B1" s="221"/>
      <c r="C1" s="221"/>
      <c r="D1" s="221"/>
      <c r="E1" s="221"/>
      <c r="F1" s="221"/>
      <c r="G1" s="221"/>
      <c r="H1" s="221"/>
      <c r="I1" s="221"/>
      <c r="J1" s="221"/>
      <c r="K1" s="221"/>
      <c r="L1" s="221"/>
      <c r="M1" s="221"/>
      <c r="N1" s="221"/>
      <c r="O1" s="221"/>
      <c r="P1" s="221"/>
      <c r="Q1" s="221"/>
      <c r="R1" s="221"/>
      <c r="S1" s="221"/>
      <c r="T1" s="221"/>
    </row>
    <row r="2" spans="1:20" ht="60.75" customHeight="1" thickBot="1">
      <c r="A2" s="221"/>
      <c r="B2" s="1634"/>
      <c r="C2" s="1635"/>
      <c r="D2" s="1635" t="s">
        <v>1480</v>
      </c>
      <c r="E2" s="1635"/>
      <c r="F2" s="1635"/>
      <c r="G2" s="1635"/>
      <c r="H2" s="1635"/>
      <c r="I2" s="1635"/>
      <c r="J2" s="1635"/>
      <c r="K2" s="1635"/>
      <c r="L2" s="1635"/>
      <c r="M2" s="1635"/>
      <c r="N2" s="1635"/>
      <c r="O2" s="1636"/>
      <c r="P2" s="221"/>
      <c r="Q2" s="221"/>
      <c r="R2" s="221"/>
      <c r="S2" s="221"/>
      <c r="T2" s="221"/>
    </row>
    <row r="3" spans="1:20" ht="27" customHeight="1">
      <c r="A3" s="221"/>
      <c r="B3" s="1637" t="s">
        <v>224</v>
      </c>
      <c r="C3" s="223" t="s">
        <v>176</v>
      </c>
      <c r="D3" s="224" t="s">
        <v>177</v>
      </c>
      <c r="E3" s="224" t="s">
        <v>178</v>
      </c>
      <c r="F3" s="224" t="s">
        <v>179</v>
      </c>
      <c r="G3" s="224" t="s">
        <v>180</v>
      </c>
      <c r="H3" s="224" t="s">
        <v>182</v>
      </c>
      <c r="I3" s="224" t="s">
        <v>183</v>
      </c>
      <c r="J3" s="224" t="s">
        <v>184</v>
      </c>
      <c r="K3" s="224" t="s">
        <v>185</v>
      </c>
      <c r="L3" s="224" t="s">
        <v>186</v>
      </c>
      <c r="M3" s="224" t="s">
        <v>187</v>
      </c>
      <c r="N3" s="224" t="s">
        <v>188</v>
      </c>
      <c r="O3" s="225" t="s">
        <v>26</v>
      </c>
      <c r="P3" s="221"/>
      <c r="Q3" s="221"/>
      <c r="R3" s="221"/>
      <c r="S3" s="221"/>
      <c r="T3" s="221"/>
    </row>
    <row r="4" spans="1:20" ht="27" customHeight="1">
      <c r="A4" s="221"/>
      <c r="B4" s="226">
        <v>1998</v>
      </c>
      <c r="C4" s="227"/>
      <c r="D4" s="228"/>
      <c r="E4" s="228"/>
      <c r="F4" s="229">
        <v>55</v>
      </c>
      <c r="G4" s="229">
        <v>57.8</v>
      </c>
      <c r="H4" s="229">
        <v>568.38</v>
      </c>
      <c r="I4" s="229">
        <v>1914</v>
      </c>
      <c r="J4" s="229">
        <v>1991.32</v>
      </c>
      <c r="K4" s="229">
        <v>5224.6000000000004</v>
      </c>
      <c r="L4" s="229">
        <v>10259.73</v>
      </c>
      <c r="M4" s="229">
        <v>11113</v>
      </c>
      <c r="N4" s="229">
        <v>18478.330000000002</v>
      </c>
      <c r="O4" s="230">
        <v>49662.16</v>
      </c>
      <c r="P4" s="221"/>
      <c r="Q4" s="221"/>
      <c r="R4" s="221"/>
      <c r="S4" s="221"/>
      <c r="T4" s="221"/>
    </row>
    <row r="5" spans="1:20" ht="27" customHeight="1">
      <c r="A5" s="221"/>
      <c r="B5" s="231">
        <v>1999</v>
      </c>
      <c r="C5" s="232">
        <v>18715.2</v>
      </c>
      <c r="D5" s="229">
        <v>17243.62</v>
      </c>
      <c r="E5" s="229">
        <v>19260.060000000001</v>
      </c>
      <c r="F5" s="229">
        <v>18576</v>
      </c>
      <c r="G5" s="233">
        <v>19348.16</v>
      </c>
      <c r="H5" s="233">
        <v>18268.5</v>
      </c>
      <c r="I5" s="233">
        <v>20726.52</v>
      </c>
      <c r="J5" s="233">
        <v>19615.82</v>
      </c>
      <c r="K5" s="233">
        <v>19640.48</v>
      </c>
      <c r="L5" s="234">
        <v>20233.29</v>
      </c>
      <c r="M5" s="233">
        <v>20133.2</v>
      </c>
      <c r="N5" s="233">
        <v>20079.099999999999</v>
      </c>
      <c r="O5" s="230">
        <v>231839.95000000004</v>
      </c>
      <c r="P5" s="221"/>
      <c r="Q5" s="221"/>
      <c r="R5" s="221"/>
      <c r="S5" s="221"/>
      <c r="T5" s="221"/>
    </row>
    <row r="6" spans="1:20" ht="27" customHeight="1">
      <c r="A6" s="221"/>
      <c r="B6" s="235">
        <v>2000</v>
      </c>
      <c r="C6" s="236">
        <v>19643.58200000002</v>
      </c>
      <c r="D6" s="237">
        <v>18404.668000000005</v>
      </c>
      <c r="E6" s="237">
        <v>20635.150000000001</v>
      </c>
      <c r="F6" s="237">
        <v>19714.11399999998</v>
      </c>
      <c r="G6" s="237">
        <v>18503.072000000004</v>
      </c>
      <c r="H6" s="237">
        <v>19687.400000000001</v>
      </c>
      <c r="I6" s="237">
        <v>20072.147000000004</v>
      </c>
      <c r="J6" s="237">
        <v>22041.605</v>
      </c>
      <c r="K6" s="237">
        <v>20773.627</v>
      </c>
      <c r="L6" s="237">
        <v>21466.496999999999</v>
      </c>
      <c r="M6" s="237">
        <v>12850.013999999999</v>
      </c>
      <c r="N6" s="237">
        <v>22865.406000000003</v>
      </c>
      <c r="O6" s="230">
        <v>236657.28200000001</v>
      </c>
      <c r="P6" s="221"/>
      <c r="Q6" s="221"/>
      <c r="R6" s="221"/>
      <c r="S6" s="221"/>
      <c r="T6" s="221"/>
    </row>
    <row r="7" spans="1:20" ht="27" customHeight="1">
      <c r="A7" s="221"/>
      <c r="B7" s="235">
        <v>2001</v>
      </c>
      <c r="C7" s="236">
        <v>23513.224999999999</v>
      </c>
      <c r="D7" s="237">
        <v>20508.896000000001</v>
      </c>
      <c r="E7" s="237">
        <v>23711.995999999999</v>
      </c>
      <c r="F7" s="237">
        <v>22829.16</v>
      </c>
      <c r="G7" s="237">
        <v>23551.040000000001</v>
      </c>
      <c r="H7" s="237">
        <v>22394.959999999999</v>
      </c>
      <c r="I7" s="237">
        <v>22043.17</v>
      </c>
      <c r="J7" s="237">
        <v>23354.39</v>
      </c>
      <c r="K7" s="237">
        <v>22709.8</v>
      </c>
      <c r="L7" s="237">
        <v>22421.546000000002</v>
      </c>
      <c r="M7" s="237">
        <v>22462.43</v>
      </c>
      <c r="N7" s="237">
        <v>22955.67325</v>
      </c>
      <c r="O7" s="238">
        <v>272456.28625</v>
      </c>
      <c r="P7" s="221"/>
      <c r="Q7" s="221"/>
      <c r="R7" s="221"/>
      <c r="S7" s="221"/>
      <c r="T7" s="221"/>
    </row>
    <row r="8" spans="1:20" ht="27" customHeight="1">
      <c r="A8" s="221"/>
      <c r="B8" s="235">
        <v>2002</v>
      </c>
      <c r="C8" s="236">
        <v>22356.17</v>
      </c>
      <c r="D8" s="237">
        <v>20360.419999999998</v>
      </c>
      <c r="E8" s="237">
        <v>22533.46</v>
      </c>
      <c r="F8" s="237">
        <v>19706.970999999983</v>
      </c>
      <c r="G8" s="237">
        <v>22072.14</v>
      </c>
      <c r="H8" s="237">
        <v>21320.44</v>
      </c>
      <c r="I8" s="237">
        <v>22490.430999999968</v>
      </c>
      <c r="J8" s="237">
        <v>21619.054000000036</v>
      </c>
      <c r="K8" s="237">
        <v>21368.06</v>
      </c>
      <c r="L8" s="237">
        <v>21842.568999999967</v>
      </c>
      <c r="M8" s="237">
        <v>18159.318000000032</v>
      </c>
      <c r="N8" s="237">
        <v>19324.129999999925</v>
      </c>
      <c r="O8" s="230">
        <v>253153.16299999988</v>
      </c>
      <c r="P8" s="221"/>
      <c r="Q8" s="221"/>
      <c r="R8" s="221"/>
      <c r="S8" s="221"/>
      <c r="T8" s="221"/>
    </row>
    <row r="9" spans="1:20" ht="27" customHeight="1">
      <c r="A9" s="221"/>
      <c r="B9" s="235">
        <v>2003</v>
      </c>
      <c r="C9" s="236">
        <v>19887.375000000047</v>
      </c>
      <c r="D9" s="237">
        <v>16265.879000000028</v>
      </c>
      <c r="E9" s="237">
        <v>13181.626999999995</v>
      </c>
      <c r="F9" s="237">
        <v>12896.302999999965</v>
      </c>
      <c r="G9" s="237">
        <v>13230.81</v>
      </c>
      <c r="H9" s="237">
        <v>13535.95</v>
      </c>
      <c r="I9" s="237">
        <v>13374.402000000018</v>
      </c>
      <c r="J9" s="237">
        <v>13103.84</v>
      </c>
      <c r="K9" s="237">
        <v>12364.59</v>
      </c>
      <c r="L9" s="237">
        <v>13086.62</v>
      </c>
      <c r="M9" s="237">
        <v>16795.25</v>
      </c>
      <c r="N9" s="237">
        <v>18968.12</v>
      </c>
      <c r="O9" s="230">
        <v>176690.76600000003</v>
      </c>
      <c r="P9" s="221"/>
      <c r="Q9" s="221"/>
      <c r="R9" s="221"/>
      <c r="S9" s="221"/>
      <c r="T9" s="221"/>
    </row>
    <row r="10" spans="1:20" ht="27" customHeight="1">
      <c r="A10" s="221"/>
      <c r="B10" s="235">
        <v>2004</v>
      </c>
      <c r="C10" s="236">
        <v>19094.89</v>
      </c>
      <c r="D10" s="237">
        <v>17732.009999999998</v>
      </c>
      <c r="E10" s="237">
        <v>13079.72</v>
      </c>
      <c r="F10" s="237">
        <v>12714.26</v>
      </c>
      <c r="G10" s="237">
        <v>13106.25</v>
      </c>
      <c r="H10" s="237">
        <v>12706.36999999995</v>
      </c>
      <c r="I10" s="237">
        <v>13079.89</v>
      </c>
      <c r="J10" s="237">
        <v>13019.2</v>
      </c>
      <c r="K10" s="237">
        <v>11945.83</v>
      </c>
      <c r="L10" s="237">
        <v>12980.89</v>
      </c>
      <c r="M10" s="237">
        <v>12806.42</v>
      </c>
      <c r="N10" s="237">
        <v>12409.55</v>
      </c>
      <c r="O10" s="230">
        <v>164675.27999999994</v>
      </c>
      <c r="P10" s="221"/>
      <c r="Q10" s="221"/>
      <c r="R10" s="221"/>
      <c r="S10" s="221"/>
      <c r="T10" s="221"/>
    </row>
    <row r="11" spans="1:20" ht="27" customHeight="1">
      <c r="A11" s="221"/>
      <c r="B11" s="235">
        <v>2005</v>
      </c>
      <c r="C11" s="236">
        <v>12622.48</v>
      </c>
      <c r="D11" s="237">
        <v>11488.12</v>
      </c>
      <c r="E11" s="237">
        <v>12361.37</v>
      </c>
      <c r="F11" s="237">
        <v>12180.84</v>
      </c>
      <c r="G11" s="237">
        <v>12679.6</v>
      </c>
      <c r="H11" s="237">
        <v>12198.3</v>
      </c>
      <c r="I11" s="237">
        <v>9864.1800000000385</v>
      </c>
      <c r="J11" s="237">
        <v>12282.52</v>
      </c>
      <c r="K11" s="237">
        <v>12462.38</v>
      </c>
      <c r="L11" s="237">
        <v>12541.289999999921</v>
      </c>
      <c r="M11" s="237">
        <v>12355.9</v>
      </c>
      <c r="N11" s="237">
        <v>12379.93</v>
      </c>
      <c r="O11" s="230">
        <v>145416.90999999995</v>
      </c>
      <c r="P11" s="221"/>
      <c r="Q11" s="221"/>
      <c r="R11" s="221"/>
      <c r="S11" s="221"/>
      <c r="T11" s="221"/>
    </row>
    <row r="12" spans="1:20" ht="27" customHeight="1">
      <c r="A12" s="221"/>
      <c r="B12" s="235">
        <v>2006</v>
      </c>
      <c r="C12" s="236">
        <v>12048.7</v>
      </c>
      <c r="D12" s="237">
        <v>10782.49</v>
      </c>
      <c r="E12" s="237">
        <v>12037.39</v>
      </c>
      <c r="F12" s="237">
        <v>11642.73</v>
      </c>
      <c r="G12" s="237">
        <v>11925.93</v>
      </c>
      <c r="H12" s="237">
        <v>11279.43</v>
      </c>
      <c r="I12" s="237">
        <v>11738.34</v>
      </c>
      <c r="J12" s="237">
        <v>11675.85</v>
      </c>
      <c r="K12" s="237">
        <v>11461.022000000028</v>
      </c>
      <c r="L12" s="237">
        <v>11789.87</v>
      </c>
      <c r="M12" s="237">
        <v>11327.76</v>
      </c>
      <c r="N12" s="237">
        <v>11650.56</v>
      </c>
      <c r="O12" s="230">
        <v>139360.07200000001</v>
      </c>
      <c r="P12" s="221"/>
      <c r="Q12" s="221"/>
      <c r="R12" s="221"/>
      <c r="S12" s="221"/>
      <c r="T12" s="221"/>
    </row>
    <row r="13" spans="1:20" ht="27" customHeight="1">
      <c r="A13" s="221"/>
      <c r="B13" s="235">
        <v>2007</v>
      </c>
      <c r="C13" s="236">
        <v>11737.353999999941</v>
      </c>
      <c r="D13" s="237">
        <v>10652.570000000056</v>
      </c>
      <c r="E13" s="237">
        <v>11574.289999999946</v>
      </c>
      <c r="F13" s="237">
        <v>11293.16</v>
      </c>
      <c r="G13" s="237">
        <v>10801.953000000005</v>
      </c>
      <c r="H13" s="237">
        <v>11325.968999999979</v>
      </c>
      <c r="I13" s="237">
        <v>11738.891000000009</v>
      </c>
      <c r="J13" s="237">
        <v>11680.92500000001</v>
      </c>
      <c r="K13" s="237">
        <v>11225.49499999997</v>
      </c>
      <c r="L13" s="237">
        <v>11658.327000000008</v>
      </c>
      <c r="M13" s="237">
        <v>11731.105999999956</v>
      </c>
      <c r="N13" s="237">
        <v>12169.684000000016</v>
      </c>
      <c r="O13" s="230">
        <v>137589.7239999999</v>
      </c>
      <c r="P13" s="221"/>
      <c r="Q13" s="221"/>
      <c r="R13" s="221"/>
      <c r="S13" s="221"/>
      <c r="T13" s="221"/>
    </row>
    <row r="14" spans="1:20" ht="27" customHeight="1">
      <c r="A14" s="221"/>
      <c r="B14" s="235">
        <v>2008</v>
      </c>
      <c r="C14" s="236">
        <v>11845.912999999984</v>
      </c>
      <c r="D14" s="237">
        <v>10771.402999999988</v>
      </c>
      <c r="E14" s="237">
        <v>11623.296000000029</v>
      </c>
      <c r="F14" s="237">
        <v>10975.174000000014</v>
      </c>
      <c r="G14" s="237">
        <v>11368.13</v>
      </c>
      <c r="H14" s="237">
        <v>11151.02</v>
      </c>
      <c r="I14" s="237">
        <v>11678.055999999982</v>
      </c>
      <c r="J14" s="237">
        <v>12068.84400000005</v>
      </c>
      <c r="K14" s="237">
        <v>11294.98</v>
      </c>
      <c r="L14" s="237">
        <v>11521.09</v>
      </c>
      <c r="M14" s="237">
        <v>11202.87</v>
      </c>
      <c r="N14" s="237">
        <v>11610.481999999976</v>
      </c>
      <c r="O14" s="230">
        <v>137111.25800000003</v>
      </c>
      <c r="P14" s="221"/>
      <c r="Q14" s="221"/>
      <c r="R14" s="221"/>
      <c r="S14" s="221"/>
      <c r="T14" s="221"/>
    </row>
    <row r="15" spans="1:20" ht="27" customHeight="1">
      <c r="A15" s="221"/>
      <c r="B15" s="235">
        <v>2009</v>
      </c>
      <c r="C15" s="236">
        <v>11610.49</v>
      </c>
      <c r="D15" s="237">
        <v>10425.07</v>
      </c>
      <c r="E15" s="237">
        <v>11426.38</v>
      </c>
      <c r="F15" s="237">
        <v>11115.66</v>
      </c>
      <c r="G15" s="237">
        <v>11284.73</v>
      </c>
      <c r="H15" s="237">
        <v>11107.88</v>
      </c>
      <c r="I15" s="237">
        <v>11616.45</v>
      </c>
      <c r="J15" s="237">
        <v>11532.57</v>
      </c>
      <c r="K15" s="237">
        <v>11018.55</v>
      </c>
      <c r="L15" s="237">
        <v>11622.1</v>
      </c>
      <c r="M15" s="237">
        <v>11048.01</v>
      </c>
      <c r="N15" s="237">
        <v>11243.68</v>
      </c>
      <c r="O15" s="230">
        <v>135051.56999999998</v>
      </c>
      <c r="P15" s="221"/>
      <c r="Q15" s="221"/>
      <c r="R15" s="221"/>
      <c r="S15" s="221"/>
      <c r="T15" s="221"/>
    </row>
    <row r="16" spans="1:20" ht="27" customHeight="1">
      <c r="A16" s="221"/>
      <c r="B16" s="235">
        <v>2010</v>
      </c>
      <c r="C16" s="236">
        <v>11468.179999999988</v>
      </c>
      <c r="D16" s="237">
        <v>10038.204000000047</v>
      </c>
      <c r="E16" s="237">
        <v>11557.615999999958</v>
      </c>
      <c r="F16" s="237">
        <v>11142.390000000003</v>
      </c>
      <c r="G16" s="237">
        <v>11506.500000000029</v>
      </c>
      <c r="H16" s="237">
        <v>11074.299999999965</v>
      </c>
      <c r="I16" s="237">
        <v>11559.578999999998</v>
      </c>
      <c r="J16" s="237">
        <v>11627.011000000017</v>
      </c>
      <c r="K16" s="237">
        <v>11516.550000000014</v>
      </c>
      <c r="L16" s="237">
        <v>11814.249999999965</v>
      </c>
      <c r="M16" s="237">
        <v>11621.140000000029</v>
      </c>
      <c r="N16" s="237">
        <v>9923.2700000000077</v>
      </c>
      <c r="O16" s="230">
        <v>134848.99000000002</v>
      </c>
      <c r="P16" s="221"/>
      <c r="Q16" s="221"/>
      <c r="R16" s="221"/>
      <c r="S16" s="221"/>
      <c r="T16" s="221"/>
    </row>
    <row r="17" spans="1:20" ht="27" customHeight="1">
      <c r="A17" s="221"/>
      <c r="B17" s="235">
        <v>2011</v>
      </c>
      <c r="C17" s="236">
        <v>11785.279999999959</v>
      </c>
      <c r="D17" s="237">
        <v>10577.120000000035</v>
      </c>
      <c r="E17" s="237">
        <v>11633.400000000031</v>
      </c>
      <c r="F17" s="237">
        <v>11226.499999999995</v>
      </c>
      <c r="G17" s="237">
        <v>11611.659999999963</v>
      </c>
      <c r="H17" s="237">
        <v>11248.797999999995</v>
      </c>
      <c r="I17" s="237">
        <v>11930.982000000058</v>
      </c>
      <c r="J17" s="237">
        <v>12062.46999999993</v>
      </c>
      <c r="K17" s="237">
        <v>11771.099999999953</v>
      </c>
      <c r="L17" s="237">
        <v>11272.600000000013</v>
      </c>
      <c r="M17" s="237">
        <v>11701.800000000105</v>
      </c>
      <c r="N17" s="237">
        <v>12018.39999999992</v>
      </c>
      <c r="O17" s="230">
        <v>138840.10999999993</v>
      </c>
      <c r="P17" s="221"/>
      <c r="Q17" s="221"/>
      <c r="R17" s="221"/>
      <c r="S17" s="221"/>
      <c r="T17" s="221"/>
    </row>
    <row r="18" spans="1:20" ht="27" customHeight="1">
      <c r="A18" s="221"/>
      <c r="B18" s="239">
        <v>2012</v>
      </c>
      <c r="C18" s="236">
        <v>12182.299999999977</v>
      </c>
      <c r="D18" s="237">
        <v>11144.900000000071</v>
      </c>
      <c r="E18" s="237">
        <v>6264.4999999999764</v>
      </c>
      <c r="F18" s="237">
        <v>11755.199999999957</v>
      </c>
      <c r="G18" s="237">
        <v>11878.400000000023</v>
      </c>
      <c r="H18" s="237">
        <v>11615.1</v>
      </c>
      <c r="I18" s="237">
        <v>11986</v>
      </c>
      <c r="J18" s="237">
        <v>12000.300000000001</v>
      </c>
      <c r="K18" s="237">
        <v>11715.999999999971</v>
      </c>
      <c r="L18" s="237">
        <v>12283.100000000051</v>
      </c>
      <c r="M18" s="237">
        <v>11735.539999999954</v>
      </c>
      <c r="N18" s="237">
        <v>11986.260000000048</v>
      </c>
      <c r="O18" s="230">
        <v>136547.6</v>
      </c>
      <c r="P18" s="221"/>
      <c r="Q18" s="221"/>
      <c r="R18" s="221"/>
      <c r="S18" s="221"/>
      <c r="T18" s="221"/>
    </row>
    <row r="19" spans="1:20" ht="27" customHeight="1">
      <c r="A19" s="221"/>
      <c r="B19" s="239">
        <v>2013</v>
      </c>
      <c r="C19" s="236">
        <v>12051.800000000039</v>
      </c>
      <c r="D19" s="237">
        <v>10933.397999999957</v>
      </c>
      <c r="E19" s="237">
        <v>11883.299999999947</v>
      </c>
      <c r="F19" s="237">
        <v>13585.681000000004</v>
      </c>
      <c r="G19" s="237">
        <v>10191.710000000021</v>
      </c>
      <c r="H19" s="237">
        <v>11775.340000000026</v>
      </c>
      <c r="I19" s="237">
        <v>11765.480000000052</v>
      </c>
      <c r="J19" s="237">
        <v>11830.231999999902</v>
      </c>
      <c r="K19" s="237">
        <v>13505.308000000048</v>
      </c>
      <c r="L19" s="237">
        <v>13953.988999999996</v>
      </c>
      <c r="M19" s="237">
        <v>15428.702000000054</v>
      </c>
      <c r="N19" s="237">
        <v>15439.268999999902</v>
      </c>
      <c r="O19" s="230">
        <v>152344.20899999997</v>
      </c>
      <c r="P19" s="221"/>
      <c r="Q19" s="221"/>
      <c r="R19" s="221"/>
      <c r="S19" s="221"/>
      <c r="T19" s="221"/>
    </row>
    <row r="20" spans="1:20" ht="27" customHeight="1">
      <c r="A20" s="221"/>
      <c r="B20" s="239">
        <v>2014</v>
      </c>
      <c r="C20" s="236">
        <v>16057.477000000046</v>
      </c>
      <c r="D20" s="237">
        <v>14163.737000000001</v>
      </c>
      <c r="E20" s="237">
        <v>16578.499000000058</v>
      </c>
      <c r="F20" s="237">
        <v>13617.553999999978</v>
      </c>
      <c r="G20" s="237">
        <v>16592.344000000012</v>
      </c>
      <c r="H20" s="237">
        <v>15953.468999999959</v>
      </c>
      <c r="I20" s="237">
        <v>16327.921</v>
      </c>
      <c r="J20" s="237">
        <v>15579.734000000035</v>
      </c>
      <c r="K20" s="237">
        <v>15218.878999999994</v>
      </c>
      <c r="L20" s="237">
        <v>15887.67899999992</v>
      </c>
      <c r="M20" s="237">
        <v>15853.895999999995</v>
      </c>
      <c r="N20" s="237">
        <v>16439.548000000039</v>
      </c>
      <c r="O20" s="230">
        <v>188270.73700000005</v>
      </c>
      <c r="P20" s="221"/>
      <c r="Q20" s="221"/>
      <c r="R20" s="221"/>
      <c r="S20" s="221"/>
      <c r="T20" s="221"/>
    </row>
    <row r="21" spans="1:20" ht="27" customHeight="1">
      <c r="A21" s="221"/>
      <c r="B21" s="239">
        <v>2015</v>
      </c>
      <c r="C21" s="236">
        <v>15837.561000000009</v>
      </c>
      <c r="D21" s="237">
        <v>13832.106000000018</v>
      </c>
      <c r="E21" s="237">
        <v>12103.671000000022</v>
      </c>
      <c r="F21" s="237">
        <v>10820.849000000009</v>
      </c>
      <c r="G21" s="237">
        <v>15474.099999999988</v>
      </c>
      <c r="H21" s="237">
        <v>14301.141999999983</v>
      </c>
      <c r="I21" s="237">
        <v>15530.725000000015</v>
      </c>
      <c r="J21" s="237">
        <v>14972.986000000023</v>
      </c>
      <c r="K21" s="237">
        <v>14949.438999999995</v>
      </c>
      <c r="L21" s="237">
        <v>15417.126999999989</v>
      </c>
      <c r="M21" s="237">
        <v>15174.625999999991</v>
      </c>
      <c r="N21" s="237">
        <v>16413.710999999988</v>
      </c>
      <c r="O21" s="230">
        <v>174828.04300000001</v>
      </c>
      <c r="P21" s="221"/>
      <c r="Q21" s="221"/>
      <c r="R21" s="221"/>
      <c r="S21" s="221"/>
      <c r="T21" s="221"/>
    </row>
    <row r="22" spans="1:20" ht="27" customHeight="1">
      <c r="A22" s="221"/>
      <c r="B22" s="239">
        <v>2016</v>
      </c>
      <c r="C22" s="813">
        <v>15611.15400000004</v>
      </c>
      <c r="D22" s="814">
        <v>13945.529999999995</v>
      </c>
      <c r="E22" s="814">
        <v>13683.69899999999</v>
      </c>
      <c r="F22" s="814">
        <v>14563.437000000005</v>
      </c>
      <c r="G22" s="814">
        <v>14621.184999999994</v>
      </c>
      <c r="H22" s="814">
        <v>14188.205000000011</v>
      </c>
      <c r="I22" s="814">
        <v>14683.672</v>
      </c>
      <c r="J22" s="814">
        <v>13393.900999999994</v>
      </c>
      <c r="K22" s="814">
        <v>14097.6</v>
      </c>
      <c r="L22" s="814">
        <v>14544.302000000005</v>
      </c>
      <c r="M22" s="814">
        <v>13598.699999999995</v>
      </c>
      <c r="N22" s="814">
        <v>14533.600000000004</v>
      </c>
      <c r="O22" s="230">
        <v>171464.98500000004</v>
      </c>
      <c r="P22" s="221"/>
      <c r="Q22" s="221"/>
      <c r="R22" s="221"/>
      <c r="S22" s="221"/>
      <c r="T22" s="221"/>
    </row>
    <row r="23" spans="1:20" ht="27" customHeight="1">
      <c r="A23" s="221"/>
      <c r="B23" s="239">
        <v>2017</v>
      </c>
      <c r="C23" s="813">
        <v>14804.775999999994</v>
      </c>
      <c r="D23" s="814">
        <v>13557.774000000003</v>
      </c>
      <c r="E23" s="814">
        <v>14714.512999999997</v>
      </c>
      <c r="F23" s="814">
        <v>13975.837000000007</v>
      </c>
      <c r="G23" s="814">
        <v>13642.142999999989</v>
      </c>
      <c r="H23" s="814">
        <v>13368.368999999988</v>
      </c>
      <c r="I23" s="814">
        <v>13684.131000000008</v>
      </c>
      <c r="J23" s="814">
        <v>14345.535999999996</v>
      </c>
      <c r="K23" s="814">
        <v>13753.64900000003</v>
      </c>
      <c r="L23" s="814">
        <v>14194.699999999983</v>
      </c>
      <c r="M23" s="814">
        <v>14085.935999999994</v>
      </c>
      <c r="N23" s="814">
        <v>14249.162000000011</v>
      </c>
      <c r="O23" s="230">
        <v>168376.52600000001</v>
      </c>
      <c r="P23" s="221"/>
      <c r="Q23" s="221"/>
      <c r="R23" s="221"/>
      <c r="S23" s="221"/>
      <c r="T23" s="221"/>
    </row>
    <row r="24" spans="1:20" ht="27" customHeight="1">
      <c r="A24" s="221"/>
      <c r="B24" s="239">
        <v>2018</v>
      </c>
      <c r="C24" s="813">
        <v>5042.014000000011</v>
      </c>
      <c r="D24" s="814">
        <v>11397.251999999988</v>
      </c>
      <c r="E24" s="814">
        <v>13840.338</v>
      </c>
      <c r="F24" s="814">
        <v>11508.236000000001</v>
      </c>
      <c r="G24" s="814">
        <v>13939.005000000028</v>
      </c>
      <c r="H24" s="814">
        <v>13320.850999999937</v>
      </c>
      <c r="I24" s="814">
        <v>13908.576000000028</v>
      </c>
      <c r="J24" s="814">
        <v>13515.995000000001</v>
      </c>
      <c r="K24" s="814">
        <v>13464.326999999983</v>
      </c>
      <c r="L24" s="814">
        <v>12339.257000000025</v>
      </c>
      <c r="M24" s="814">
        <v>12068.863000000014</v>
      </c>
      <c r="N24" s="814">
        <v>13362.042999999994</v>
      </c>
      <c r="O24" s="230">
        <v>147706.75700000004</v>
      </c>
      <c r="P24" s="221"/>
      <c r="Q24" s="221"/>
      <c r="R24" s="221"/>
      <c r="S24" s="221"/>
      <c r="T24" s="221"/>
    </row>
    <row r="25" spans="1:20" ht="27" customHeight="1">
      <c r="A25" s="221"/>
      <c r="B25" s="239">
        <v>2019</v>
      </c>
      <c r="C25" s="1085">
        <v>13918.259999999973</v>
      </c>
      <c r="D25" s="1086">
        <v>12521.470000000016</v>
      </c>
      <c r="E25" s="1086">
        <v>13893.455000000016</v>
      </c>
      <c r="F25" s="1086">
        <v>13875.423999999961</v>
      </c>
      <c r="G25" s="1086">
        <v>13677.999</v>
      </c>
      <c r="H25" s="1086">
        <v>13259.383000000038</v>
      </c>
      <c r="I25" s="1086">
        <v>13800.528000000008</v>
      </c>
      <c r="J25" s="1086">
        <v>14399.712000000007</v>
      </c>
      <c r="K25" s="1086">
        <v>13763.076999999972</v>
      </c>
      <c r="L25" s="1086">
        <v>14071.131000000023</v>
      </c>
      <c r="M25" s="1086">
        <v>13908.900999999987</v>
      </c>
      <c r="N25" s="1088">
        <v>13461.633999999953</v>
      </c>
      <c r="O25" s="1087">
        <v>164550.97399999996</v>
      </c>
      <c r="P25" s="221"/>
      <c r="Q25" s="221"/>
      <c r="R25" s="221"/>
      <c r="S25" s="221"/>
      <c r="T25" s="221"/>
    </row>
    <row r="26" spans="1:20" ht="27" customHeight="1">
      <c r="A26" s="221"/>
      <c r="B26" s="239">
        <v>2020</v>
      </c>
      <c r="C26" s="1167">
        <v>14083.060000000034</v>
      </c>
      <c r="D26" s="814">
        <v>12767.453</v>
      </c>
      <c r="E26" s="1089">
        <v>14053.451999999999</v>
      </c>
      <c r="F26" s="814">
        <v>13469.748</v>
      </c>
      <c r="G26" s="814">
        <v>13883.903</v>
      </c>
      <c r="H26" s="1089">
        <v>13537.067999999999</v>
      </c>
      <c r="I26" s="814">
        <v>13800.573999999999</v>
      </c>
      <c r="J26" s="814">
        <v>13855.317000000001</v>
      </c>
      <c r="K26" s="814">
        <v>13288.63800000003</v>
      </c>
      <c r="L26" s="814">
        <v>13890.793999999971</v>
      </c>
      <c r="M26" s="814">
        <v>11750.926999999989</v>
      </c>
      <c r="N26" s="1089">
        <v>13904.86100000001</v>
      </c>
      <c r="O26" s="230">
        <v>162285.79500000004</v>
      </c>
      <c r="P26" s="221"/>
      <c r="Q26" s="221"/>
      <c r="R26" s="221"/>
      <c r="S26" s="221"/>
      <c r="T26" s="221"/>
    </row>
    <row r="27" spans="1:20" ht="27" customHeight="1">
      <c r="A27" s="221"/>
      <c r="B27" s="239">
        <v>2021</v>
      </c>
      <c r="C27" s="1167">
        <v>14162.924000000012</v>
      </c>
      <c r="D27" s="814">
        <v>12529.03299999999</v>
      </c>
      <c r="E27" s="1089">
        <v>13974.013000000001</v>
      </c>
      <c r="F27" s="814">
        <v>13220.172000000024</v>
      </c>
      <c r="G27" s="814">
        <v>13937.014999999934</v>
      </c>
      <c r="H27" s="1089">
        <v>13842.119000000053</v>
      </c>
      <c r="I27" s="814">
        <v>14081.580999999984</v>
      </c>
      <c r="J27" s="814">
        <v>12234.828000000003</v>
      </c>
      <c r="K27" s="814">
        <v>12201.986999999977</v>
      </c>
      <c r="L27" s="814">
        <v>14132.087000000025</v>
      </c>
      <c r="M27" s="814">
        <v>12826.260999999964</v>
      </c>
      <c r="N27" s="1089">
        <v>11772.826000000096</v>
      </c>
      <c r="O27" s="230">
        <v>158914.84599999999</v>
      </c>
      <c r="P27" s="221"/>
      <c r="Q27" s="221"/>
      <c r="R27" s="221"/>
      <c r="S27" s="221"/>
      <c r="T27" s="221"/>
    </row>
    <row r="28" spans="1:20" ht="27" customHeight="1">
      <c r="A28" s="221"/>
      <c r="B28" s="239">
        <v>2022</v>
      </c>
      <c r="C28" s="1167">
        <v>13284.286000000024</v>
      </c>
      <c r="D28" s="814">
        <v>12537.041999999981</v>
      </c>
      <c r="E28" s="1089">
        <v>13926.655000000052</v>
      </c>
      <c r="F28" s="814">
        <v>13589.746999999956</v>
      </c>
      <c r="G28" s="1089">
        <v>11325.244000000002</v>
      </c>
      <c r="H28" s="1089">
        <v>13020.432999999983</v>
      </c>
      <c r="I28" s="1089">
        <v>13996.491</v>
      </c>
      <c r="J28" s="1089">
        <v>13644.525</v>
      </c>
      <c r="K28" s="1089">
        <v>13301.280000000002</v>
      </c>
      <c r="L28" s="1089">
        <v>14345.656999999996</v>
      </c>
      <c r="M28" s="1089">
        <v>13473.945000000031</v>
      </c>
      <c r="N28" s="1089">
        <v>13469.444000000112</v>
      </c>
      <c r="O28" s="230">
        <v>159914.74900000013</v>
      </c>
      <c r="P28" s="221"/>
      <c r="Q28" s="221"/>
      <c r="R28" s="221"/>
      <c r="S28" s="221"/>
      <c r="T28" s="221"/>
    </row>
    <row r="29" spans="1:20" ht="27" customHeight="1" thickBot="1">
      <c r="A29" s="221"/>
      <c r="B29" s="239">
        <v>2023</v>
      </c>
      <c r="C29" s="1167">
        <f ca="1">IF(DATOSAÑO!$Y376=0," ",DATOSAÑO!$Y376)</f>
        <v>13554.626999999968</v>
      </c>
      <c r="D29" s="814">
        <f ca="1">IF(DATOSAÑO!$Y377=0," ",DATOSAÑO!$Y377)</f>
        <v>12240.734000000031</v>
      </c>
      <c r="E29" s="1089">
        <f ca="1">IF(DATOSAÑO!$Y378=0," ",DATOSAÑO!$Y378)</f>
        <v>13729.963999999965</v>
      </c>
      <c r="F29" s="814">
        <f ca="1">IF(DATOSAÑO!$Y379=0," ",DATOSAÑO!$Y379)</f>
        <v>13154.943000000025</v>
      </c>
      <c r="G29" s="1089">
        <f ca="1">IF(DATOSAÑO!$Y380=0," ",DATOSAÑO!$Y380)</f>
        <v>13126.246999999976</v>
      </c>
      <c r="H29" s="1089">
        <f ca="1">IF(DATOSAÑO!$Y381=0," ",DATOSAÑO!$Y381)</f>
        <v>1772</v>
      </c>
      <c r="I29" s="1089" t="str">
        <f ca="1">IF(DATOSAÑO!$Y382=0," ",DATOSAÑO!$Y382)</f>
        <v xml:space="preserve"> </v>
      </c>
      <c r="J29" s="1089" t="str">
        <f ca="1">IF(DATOSAÑO!$Y383=0," ",DATOSAÑO!$Y383)</f>
        <v xml:space="preserve"> </v>
      </c>
      <c r="K29" s="1089" t="str">
        <f ca="1">IF(DATOSAÑO!$Y384=0," ",DATOSAÑO!$Y384)</f>
        <v xml:space="preserve"> </v>
      </c>
      <c r="L29" s="1089" t="str">
        <f ca="1">IF(DATOSAÑO!$Y385=0," ",DATOSAÑO!$Y385)</f>
        <v xml:space="preserve"> </v>
      </c>
      <c r="M29" s="1089" t="str">
        <f ca="1">IF(DATOSAÑO!$Y386=0," ",DATOSAÑO!$Y386)</f>
        <v xml:space="preserve"> </v>
      </c>
      <c r="N29" s="1089" t="str">
        <f ca="1">IF(DATOSAÑO!$Y387=0," ",DATOSAÑO!$Y387)</f>
        <v xml:space="preserve"> </v>
      </c>
      <c r="O29" s="230">
        <f ca="1">SUM(C29:N29)</f>
        <v>67578.514999999956</v>
      </c>
      <c r="P29" s="221"/>
      <c r="Q29" s="221"/>
      <c r="R29" s="221"/>
      <c r="S29" s="221"/>
      <c r="T29" s="221"/>
    </row>
    <row r="30" spans="1:20" ht="47.55" customHeight="1" thickBot="1">
      <c r="A30" s="221"/>
      <c r="B30" s="2203" t="s">
        <v>1481</v>
      </c>
      <c r="C30" s="2204"/>
      <c r="D30" s="2204"/>
      <c r="E30" s="2204"/>
      <c r="F30" s="2204"/>
      <c r="G30" s="2204"/>
      <c r="H30" s="2204"/>
      <c r="I30" s="2204"/>
      <c r="J30" s="2204"/>
      <c r="K30" s="2204"/>
      <c r="L30" s="2204"/>
      <c r="M30" s="2204"/>
      <c r="N30" s="2204"/>
      <c r="O30" s="1638">
        <f ca="1">SUM(O4:O29)</f>
        <v>4206137.2572499998</v>
      </c>
      <c r="P30" s="221"/>
      <c r="Q30" s="221"/>
      <c r="R30" s="221"/>
      <c r="S30" s="221"/>
      <c r="T30" s="221"/>
    </row>
    <row r="31" spans="1:20" ht="15.6">
      <c r="A31" s="221"/>
      <c r="B31" s="240"/>
      <c r="C31" s="241"/>
      <c r="D31" s="241"/>
      <c r="E31" s="241"/>
      <c r="F31" s="241"/>
      <c r="G31" s="241"/>
      <c r="H31" s="241"/>
      <c r="I31" s="241"/>
      <c r="J31" s="241"/>
      <c r="K31" s="241"/>
      <c r="L31" s="241"/>
      <c r="M31" s="241"/>
      <c r="N31" s="241"/>
      <c r="O31" s="242"/>
      <c r="P31" s="221"/>
      <c r="Q31" s="221"/>
      <c r="R31" s="221"/>
      <c r="S31" s="221"/>
      <c r="T31" s="221"/>
    </row>
    <row r="32" spans="1:20" ht="13.8">
      <c r="A32" s="221"/>
      <c r="B32" s="221"/>
      <c r="C32" s="221"/>
      <c r="D32" s="221"/>
      <c r="E32" s="221"/>
      <c r="F32" s="221"/>
      <c r="G32" s="221"/>
      <c r="H32" s="221"/>
      <c r="I32" s="221"/>
      <c r="J32" s="221"/>
      <c r="K32" s="221"/>
      <c r="L32" s="221"/>
      <c r="M32" s="221"/>
      <c r="N32" s="221"/>
      <c r="O32" s="221"/>
      <c r="P32" s="221"/>
      <c r="Q32" s="221"/>
      <c r="R32" s="221"/>
      <c r="S32" s="221"/>
      <c r="T32" s="221"/>
    </row>
    <row r="33" spans="1:20" ht="13.8">
      <c r="A33" s="221"/>
      <c r="B33" s="221"/>
      <c r="C33" s="221"/>
      <c r="D33" s="221"/>
      <c r="E33" s="221"/>
      <c r="F33" s="221"/>
      <c r="G33" s="221"/>
      <c r="H33" s="221"/>
      <c r="I33" s="221"/>
      <c r="J33" s="221"/>
      <c r="K33" s="221"/>
      <c r="L33" s="221"/>
      <c r="M33" s="221"/>
      <c r="N33" s="221"/>
      <c r="O33" s="221"/>
      <c r="P33" s="221"/>
      <c r="Q33" s="221"/>
      <c r="R33" s="221"/>
      <c r="S33" s="221"/>
      <c r="T33" s="221"/>
    </row>
    <row r="34" spans="1:20" ht="13.8">
      <c r="A34" s="221"/>
      <c r="B34" s="221"/>
      <c r="C34" s="221"/>
      <c r="D34" s="221"/>
      <c r="E34" s="221"/>
      <c r="F34" s="221"/>
      <c r="G34" s="221"/>
      <c r="H34" s="221"/>
      <c r="I34" s="221"/>
      <c r="J34" s="221"/>
      <c r="K34" s="221"/>
      <c r="L34" s="221"/>
      <c r="M34" s="221"/>
      <c r="N34" s="221"/>
      <c r="O34" s="221"/>
      <c r="P34" s="221"/>
      <c r="Q34" s="221"/>
      <c r="R34" s="221"/>
      <c r="S34" s="221"/>
      <c r="T34" s="221"/>
    </row>
    <row r="35" spans="1:20" ht="13.8">
      <c r="A35" s="221"/>
      <c r="B35" s="221"/>
      <c r="C35" s="221"/>
      <c r="D35" s="221"/>
      <c r="E35" s="221"/>
      <c r="F35" s="221"/>
      <c r="G35" s="221"/>
      <c r="H35" s="221"/>
      <c r="I35" s="221"/>
      <c r="J35" s="221"/>
      <c r="K35" s="221"/>
      <c r="L35" s="221"/>
      <c r="M35" s="221"/>
      <c r="N35" s="221"/>
      <c r="O35" s="221"/>
      <c r="P35" s="221"/>
      <c r="Q35" s="221"/>
      <c r="R35" s="221"/>
      <c r="S35" s="221"/>
      <c r="T35" s="221"/>
    </row>
    <row r="36" spans="1:20" ht="13.8">
      <c r="A36" s="221"/>
      <c r="B36" s="221"/>
      <c r="C36" s="221"/>
      <c r="D36" s="221"/>
      <c r="E36" s="221"/>
      <c r="F36" s="221"/>
      <c r="G36" s="221"/>
      <c r="H36" s="221"/>
      <c r="I36" s="221"/>
      <c r="J36" s="221"/>
      <c r="K36" s="221"/>
      <c r="L36" s="221"/>
      <c r="M36" s="221"/>
      <c r="N36" s="221"/>
      <c r="O36" s="221"/>
      <c r="P36" s="221"/>
      <c r="Q36" s="221"/>
      <c r="R36" s="221"/>
      <c r="S36" s="221"/>
      <c r="T36" s="221"/>
    </row>
    <row r="37" spans="1:20" ht="13.8">
      <c r="A37" s="221"/>
      <c r="B37" s="221"/>
      <c r="C37" s="221"/>
      <c r="D37" s="221"/>
      <c r="E37" s="221"/>
      <c r="F37" s="221"/>
      <c r="G37" s="221"/>
      <c r="H37" s="221"/>
      <c r="I37" s="221"/>
      <c r="J37" s="221"/>
      <c r="K37" s="221"/>
      <c r="L37" s="221"/>
      <c r="M37" s="221"/>
      <c r="N37" s="221"/>
      <c r="O37" s="221"/>
      <c r="P37" s="221"/>
      <c r="Q37" s="221"/>
      <c r="R37" s="221"/>
      <c r="S37" s="221"/>
      <c r="T37" s="221"/>
    </row>
    <row r="38" spans="1:20" ht="13.8">
      <c r="A38" s="221"/>
      <c r="B38" s="221"/>
      <c r="C38" s="221"/>
      <c r="D38" s="221"/>
      <c r="E38" s="221"/>
      <c r="F38" s="221"/>
      <c r="G38" s="221"/>
      <c r="H38" s="221"/>
      <c r="I38" s="221"/>
      <c r="J38" s="221"/>
      <c r="K38" s="221"/>
      <c r="L38" s="221"/>
      <c r="M38" s="221"/>
      <c r="N38" s="221"/>
      <c r="O38" s="221"/>
      <c r="P38" s="221"/>
      <c r="Q38" s="221"/>
      <c r="R38" s="221"/>
      <c r="S38" s="221"/>
      <c r="T38" s="221"/>
    </row>
    <row r="39" spans="1:20" ht="13.8">
      <c r="A39" s="221"/>
      <c r="B39" s="221"/>
      <c r="C39" s="221"/>
      <c r="D39" s="221"/>
      <c r="E39" s="221"/>
      <c r="F39" s="221"/>
      <c r="G39" s="221"/>
      <c r="H39" s="221"/>
      <c r="I39" s="221"/>
      <c r="J39" s="221"/>
      <c r="K39" s="221"/>
      <c r="L39" s="221"/>
      <c r="M39" s="221"/>
      <c r="N39" s="221"/>
      <c r="O39" s="221"/>
      <c r="P39" s="221"/>
      <c r="Q39" s="221"/>
      <c r="R39" s="221"/>
      <c r="S39" s="221"/>
      <c r="T39" s="221"/>
    </row>
    <row r="40" spans="1:20" ht="13.8">
      <c r="A40" s="221"/>
      <c r="B40" s="221"/>
      <c r="C40" s="221"/>
      <c r="D40" s="221"/>
      <c r="E40" s="221"/>
      <c r="F40" s="221"/>
      <c r="G40" s="221"/>
      <c r="H40" s="221"/>
      <c r="I40" s="221"/>
      <c r="J40" s="221"/>
      <c r="K40" s="221"/>
      <c r="L40" s="221"/>
      <c r="M40" s="221"/>
      <c r="N40" s="221"/>
      <c r="O40" s="221"/>
      <c r="P40" s="221"/>
      <c r="Q40" s="221"/>
      <c r="R40" s="221"/>
      <c r="S40" s="221"/>
      <c r="T40" s="221"/>
    </row>
    <row r="41" spans="1:20" ht="13.8">
      <c r="A41" s="221"/>
      <c r="B41" s="221"/>
      <c r="C41" s="221"/>
      <c r="D41" s="221"/>
      <c r="E41" s="221"/>
      <c r="F41" s="221"/>
      <c r="G41" s="221"/>
      <c r="H41" s="221"/>
      <c r="I41" s="221"/>
      <c r="J41" s="221"/>
      <c r="K41" s="221"/>
      <c r="L41" s="221"/>
      <c r="M41" s="221"/>
      <c r="N41" s="221"/>
      <c r="O41" s="221"/>
      <c r="P41" s="221"/>
      <c r="Q41" s="221"/>
      <c r="R41" s="221"/>
      <c r="S41" s="221"/>
      <c r="T41" s="221"/>
    </row>
    <row r="42" spans="1:20" ht="13.8">
      <c r="A42" s="221"/>
      <c r="B42" s="221"/>
      <c r="C42" s="221"/>
      <c r="D42" s="221"/>
      <c r="E42" s="221"/>
      <c r="F42" s="221"/>
      <c r="G42" s="221"/>
      <c r="H42" s="221"/>
      <c r="I42" s="221"/>
      <c r="J42" s="221"/>
      <c r="K42" s="221"/>
      <c r="L42" s="221"/>
      <c r="M42" s="221"/>
      <c r="N42" s="221"/>
      <c r="O42" s="221"/>
      <c r="P42" s="221"/>
      <c r="Q42" s="221"/>
      <c r="R42" s="221"/>
      <c r="S42" s="221"/>
      <c r="T42" s="221"/>
    </row>
    <row r="43" spans="1:20" ht="13.8">
      <c r="A43" s="221"/>
      <c r="B43" s="221"/>
      <c r="C43" s="221"/>
      <c r="D43" s="221"/>
      <c r="E43" s="221"/>
      <c r="F43" s="221"/>
      <c r="G43" s="221"/>
      <c r="H43" s="221"/>
      <c r="I43" s="221"/>
      <c r="J43" s="221"/>
      <c r="K43" s="221"/>
      <c r="L43" s="221"/>
      <c r="M43" s="221"/>
      <c r="N43" s="221"/>
      <c r="O43" s="221"/>
      <c r="P43" s="221"/>
      <c r="Q43" s="221"/>
      <c r="R43" s="221"/>
      <c r="S43" s="221"/>
      <c r="T43" s="221"/>
    </row>
    <row r="44" spans="1:20" ht="13.8">
      <c r="A44" s="221"/>
      <c r="B44" s="221"/>
      <c r="C44" s="221"/>
      <c r="D44" s="221"/>
      <c r="E44" s="221"/>
      <c r="F44" s="221"/>
      <c r="G44" s="221"/>
      <c r="H44" s="221"/>
      <c r="I44" s="221"/>
      <c r="J44" s="221"/>
      <c r="K44" s="221"/>
      <c r="L44" s="221"/>
      <c r="M44" s="221"/>
      <c r="N44" s="221"/>
      <c r="O44" s="221"/>
      <c r="P44" s="221"/>
      <c r="Q44" s="221"/>
      <c r="R44" s="221"/>
      <c r="S44" s="221"/>
      <c r="T44" s="221"/>
    </row>
    <row r="45" spans="1:20" ht="13.8">
      <c r="A45" s="221"/>
      <c r="B45" s="221"/>
      <c r="C45" s="221"/>
      <c r="D45" s="221"/>
      <c r="E45" s="221"/>
      <c r="F45" s="221"/>
      <c r="G45" s="221"/>
      <c r="H45" s="221"/>
      <c r="I45" s="221"/>
      <c r="J45" s="221"/>
      <c r="K45" s="221"/>
      <c r="L45" s="221"/>
      <c r="M45" s="221"/>
      <c r="N45" s="221"/>
      <c r="O45" s="221"/>
      <c r="P45" s="221"/>
      <c r="Q45" s="221"/>
      <c r="R45" s="221"/>
      <c r="S45" s="221"/>
      <c r="T45" s="221"/>
    </row>
    <row r="46" spans="1:20" ht="13.8">
      <c r="A46" s="221"/>
      <c r="B46" s="221"/>
      <c r="C46" s="221"/>
      <c r="D46" s="221"/>
      <c r="E46" s="221"/>
      <c r="F46" s="221"/>
      <c r="G46" s="221"/>
      <c r="H46" s="221"/>
      <c r="I46" s="221"/>
      <c r="J46" s="221"/>
      <c r="K46" s="221"/>
      <c r="L46" s="221"/>
      <c r="M46" s="221"/>
      <c r="N46" s="221"/>
      <c r="O46" s="221"/>
      <c r="P46" s="221"/>
      <c r="Q46" s="221"/>
      <c r="R46" s="221"/>
      <c r="S46" s="221"/>
      <c r="T46" s="221"/>
    </row>
    <row r="47" spans="1:20" ht="13.8">
      <c r="A47" s="221"/>
      <c r="B47" s="221"/>
      <c r="C47" s="221"/>
      <c r="D47" s="221"/>
      <c r="E47" s="221"/>
      <c r="F47" s="221"/>
      <c r="G47" s="221"/>
      <c r="H47" s="221"/>
      <c r="I47" s="221"/>
      <c r="J47" s="221"/>
      <c r="K47" s="221"/>
      <c r="L47" s="221"/>
      <c r="M47" s="221"/>
      <c r="N47" s="221"/>
      <c r="O47" s="221"/>
      <c r="P47" s="221"/>
      <c r="Q47" s="221"/>
      <c r="R47" s="221"/>
      <c r="S47" s="221"/>
      <c r="T47" s="221"/>
    </row>
    <row r="48" spans="1:20" ht="13.8">
      <c r="A48" s="221"/>
      <c r="B48" s="221"/>
      <c r="C48" s="221"/>
      <c r="D48" s="221"/>
      <c r="E48" s="221"/>
      <c r="F48" s="221"/>
      <c r="G48" s="221"/>
      <c r="H48" s="221"/>
      <c r="I48" s="221"/>
      <c r="J48" s="221"/>
      <c r="K48" s="221"/>
      <c r="L48" s="221"/>
      <c r="M48" s="221"/>
      <c r="N48" s="221"/>
      <c r="O48" s="221"/>
      <c r="P48" s="221"/>
      <c r="Q48" s="221"/>
      <c r="R48" s="221"/>
      <c r="S48" s="221"/>
      <c r="T48" s="221"/>
    </row>
    <row r="49" spans="1:20" ht="13.8">
      <c r="A49" s="221"/>
      <c r="B49" s="221"/>
      <c r="C49" s="221"/>
      <c r="D49" s="221"/>
      <c r="E49" s="221"/>
      <c r="F49" s="221"/>
      <c r="G49" s="221"/>
      <c r="H49" s="221"/>
      <c r="I49" s="221"/>
      <c r="J49" s="221"/>
      <c r="K49" s="221"/>
      <c r="L49" s="221"/>
      <c r="M49" s="221"/>
      <c r="N49" s="221"/>
      <c r="O49" s="221"/>
      <c r="P49" s="221"/>
      <c r="Q49" s="221"/>
      <c r="R49" s="221"/>
      <c r="S49" s="221"/>
      <c r="T49" s="221"/>
    </row>
    <row r="50" spans="1:20" ht="13.8">
      <c r="A50" s="221"/>
      <c r="B50" s="221"/>
      <c r="C50" s="221"/>
      <c r="D50" s="221"/>
      <c r="E50" s="221"/>
      <c r="F50" s="221"/>
      <c r="G50" s="221"/>
      <c r="H50" s="221"/>
      <c r="I50" s="221"/>
      <c r="J50" s="221"/>
      <c r="K50" s="221"/>
      <c r="L50" s="221"/>
      <c r="M50" s="221"/>
      <c r="N50" s="221"/>
      <c r="O50" s="221"/>
      <c r="P50" s="221"/>
      <c r="Q50" s="221"/>
      <c r="R50" s="221"/>
      <c r="S50" s="221"/>
      <c r="T50" s="221"/>
    </row>
    <row r="51" spans="1:20" ht="13.8">
      <c r="A51" s="221"/>
      <c r="B51" s="221"/>
      <c r="C51" s="221"/>
      <c r="D51" s="221"/>
      <c r="E51" s="221"/>
      <c r="F51" s="221"/>
      <c r="G51" s="221"/>
      <c r="H51" s="221"/>
      <c r="I51" s="221"/>
      <c r="J51" s="221"/>
      <c r="K51" s="221"/>
      <c r="L51" s="221"/>
      <c r="M51" s="221"/>
      <c r="N51" s="221"/>
      <c r="O51" s="221"/>
      <c r="P51" s="221"/>
      <c r="Q51" s="221"/>
      <c r="R51" s="221"/>
      <c r="S51" s="221"/>
      <c r="T51" s="221"/>
    </row>
  </sheetData>
  <mergeCells count="1">
    <mergeCell ref="B30:N30"/>
  </mergeCells>
  <pageMargins left="0.7" right="0.7" top="0.75" bottom="0.75" header="0.3" footer="0.3"/>
  <pageSetup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660033"/>
  </sheetPr>
  <dimension ref="A1:Y245"/>
  <sheetViews>
    <sheetView topLeftCell="A118" zoomScale="40" zoomScaleNormal="40" workbookViewId="0">
      <selection activeCell="H5" sqref="H5"/>
    </sheetView>
  </sheetViews>
  <sheetFormatPr baseColWidth="10" defaultColWidth="11.44140625" defaultRowHeight="14.4"/>
  <cols>
    <col min="6" max="6" width="11.77734375" bestFit="1" customWidth="1"/>
    <col min="7" max="8" width="11.5546875" bestFit="1" customWidth="1"/>
    <col min="12" max="12" width="10.21875" bestFit="1" customWidth="1"/>
    <col min="262" max="264" width="11.5546875" bestFit="1" customWidth="1"/>
    <col min="518" max="520" width="11.5546875" bestFit="1" customWidth="1"/>
    <col min="774" max="776" width="11.5546875" bestFit="1" customWidth="1"/>
    <col min="1030" max="1032" width="11.5546875" bestFit="1" customWidth="1"/>
    <col min="1286" max="1288" width="11.5546875" bestFit="1" customWidth="1"/>
    <col min="1542" max="1544" width="11.5546875" bestFit="1" customWidth="1"/>
    <col min="1798" max="1800" width="11.5546875" bestFit="1" customWidth="1"/>
    <col min="2054" max="2056" width="11.5546875" bestFit="1" customWidth="1"/>
    <col min="2310" max="2312" width="11.5546875" bestFit="1" customWidth="1"/>
    <col min="2566" max="2568" width="11.5546875" bestFit="1" customWidth="1"/>
    <col min="2822" max="2824" width="11.5546875" bestFit="1" customWidth="1"/>
    <col min="3078" max="3080" width="11.5546875" bestFit="1" customWidth="1"/>
    <col min="3334" max="3336" width="11.5546875" bestFit="1" customWidth="1"/>
    <col min="3590" max="3592" width="11.5546875" bestFit="1" customWidth="1"/>
    <col min="3846" max="3848" width="11.5546875" bestFit="1" customWidth="1"/>
    <col min="4102" max="4104" width="11.5546875" bestFit="1" customWidth="1"/>
    <col min="4358" max="4360" width="11.5546875" bestFit="1" customWidth="1"/>
    <col min="4614" max="4616" width="11.5546875" bestFit="1" customWidth="1"/>
    <col min="4870" max="4872" width="11.5546875" bestFit="1" customWidth="1"/>
    <col min="5126" max="5128" width="11.5546875" bestFit="1" customWidth="1"/>
    <col min="5382" max="5384" width="11.5546875" bestFit="1" customWidth="1"/>
    <col min="5638" max="5640" width="11.5546875" bestFit="1" customWidth="1"/>
    <col min="5894" max="5896" width="11.5546875" bestFit="1" customWidth="1"/>
    <col min="6150" max="6152" width="11.5546875" bestFit="1" customWidth="1"/>
    <col min="6406" max="6408" width="11.5546875" bestFit="1" customWidth="1"/>
    <col min="6662" max="6664" width="11.5546875" bestFit="1" customWidth="1"/>
    <col min="6918" max="6920" width="11.5546875" bestFit="1" customWidth="1"/>
    <col min="7174" max="7176" width="11.5546875" bestFit="1" customWidth="1"/>
    <col min="7430" max="7432" width="11.5546875" bestFit="1" customWidth="1"/>
    <col min="7686" max="7688" width="11.5546875" bestFit="1" customWidth="1"/>
    <col min="7942" max="7944" width="11.5546875" bestFit="1" customWidth="1"/>
    <col min="8198" max="8200" width="11.5546875" bestFit="1" customWidth="1"/>
    <col min="8454" max="8456" width="11.5546875" bestFit="1" customWidth="1"/>
    <col min="8710" max="8712" width="11.5546875" bestFit="1" customWidth="1"/>
    <col min="8966" max="8968" width="11.5546875" bestFit="1" customWidth="1"/>
    <col min="9222" max="9224" width="11.5546875" bestFit="1" customWidth="1"/>
    <col min="9478" max="9480" width="11.5546875" bestFit="1" customWidth="1"/>
    <col min="9734" max="9736" width="11.5546875" bestFit="1" customWidth="1"/>
    <col min="9990" max="9992" width="11.5546875" bestFit="1" customWidth="1"/>
    <col min="10246" max="10248" width="11.5546875" bestFit="1" customWidth="1"/>
    <col min="10502" max="10504" width="11.5546875" bestFit="1" customWidth="1"/>
    <col min="10758" max="10760" width="11.5546875" bestFit="1" customWidth="1"/>
    <col min="11014" max="11016" width="11.5546875" bestFit="1" customWidth="1"/>
    <col min="11270" max="11272" width="11.5546875" bestFit="1" customWidth="1"/>
    <col min="11526" max="11528" width="11.5546875" bestFit="1" customWidth="1"/>
    <col min="11782" max="11784" width="11.5546875" bestFit="1" customWidth="1"/>
    <col min="12038" max="12040" width="11.5546875" bestFit="1" customWidth="1"/>
    <col min="12294" max="12296" width="11.5546875" bestFit="1" customWidth="1"/>
    <col min="12550" max="12552" width="11.5546875" bestFit="1" customWidth="1"/>
    <col min="12806" max="12808" width="11.5546875" bestFit="1" customWidth="1"/>
    <col min="13062" max="13064" width="11.5546875" bestFit="1" customWidth="1"/>
    <col min="13318" max="13320" width="11.5546875" bestFit="1" customWidth="1"/>
    <col min="13574" max="13576" width="11.5546875" bestFit="1" customWidth="1"/>
    <col min="13830" max="13832" width="11.5546875" bestFit="1" customWidth="1"/>
    <col min="14086" max="14088" width="11.5546875" bestFit="1" customWidth="1"/>
    <col min="14342" max="14344" width="11.5546875" bestFit="1" customWidth="1"/>
    <col min="14598" max="14600" width="11.5546875" bestFit="1" customWidth="1"/>
    <col min="14854" max="14856" width="11.5546875" bestFit="1" customWidth="1"/>
    <col min="15110" max="15112" width="11.5546875" bestFit="1" customWidth="1"/>
    <col min="15366" max="15368" width="11.5546875" bestFit="1" customWidth="1"/>
    <col min="15622" max="15624" width="11.5546875" bestFit="1" customWidth="1"/>
    <col min="15878" max="15880" width="11.5546875" bestFit="1" customWidth="1"/>
    <col min="16134" max="16136" width="11.5546875" bestFit="1" customWidth="1"/>
  </cols>
  <sheetData>
    <row r="1" spans="1:25" ht="15" thickBot="1">
      <c r="F1" s="615">
        <f ca="1">TODAY( )</f>
        <v>45126</v>
      </c>
      <c r="G1" s="5"/>
    </row>
    <row r="2" spans="1:25" ht="18.600000000000001" thickBot="1">
      <c r="A2" s="2205" t="s">
        <v>226</v>
      </c>
      <c r="B2" s="2206"/>
      <c r="C2" s="2206"/>
      <c r="D2" s="2206"/>
      <c r="E2" s="2206"/>
      <c r="F2" s="2207"/>
      <c r="G2" s="2207"/>
      <c r="H2" s="2207"/>
      <c r="I2" s="2207"/>
      <c r="J2" s="2207"/>
      <c r="K2" s="2207"/>
      <c r="L2" s="2207"/>
      <c r="M2" s="2207"/>
      <c r="N2" s="2206"/>
      <c r="O2" s="2206"/>
      <c r="P2" s="2206"/>
      <c r="Q2" s="2206"/>
      <c r="R2" s="2206"/>
      <c r="S2" s="2206"/>
      <c r="T2" s="2206"/>
      <c r="U2" s="2206"/>
      <c r="V2" s="2206"/>
      <c r="W2" s="2206"/>
      <c r="X2" s="2206"/>
      <c r="Y2" s="2208"/>
    </row>
    <row r="3" spans="1:25" ht="58.2" thickBot="1">
      <c r="A3" s="2209" t="s">
        <v>227</v>
      </c>
      <c r="B3" s="2211" t="s">
        <v>228</v>
      </c>
      <c r="C3" s="2213" t="s">
        <v>229</v>
      </c>
      <c r="D3" s="2211" t="s">
        <v>230</v>
      </c>
      <c r="E3" s="2211" t="s">
        <v>132</v>
      </c>
      <c r="F3" s="2216" t="s">
        <v>231</v>
      </c>
      <c r="G3" s="2217"/>
      <c r="H3" s="2217"/>
      <c r="I3" s="2217"/>
      <c r="J3" s="2217"/>
      <c r="K3" s="2217"/>
      <c r="L3" s="2217"/>
      <c r="M3" s="2218"/>
      <c r="N3" s="2219" t="s">
        <v>232</v>
      </c>
      <c r="O3" s="2219" t="s">
        <v>233</v>
      </c>
      <c r="P3" s="2221" t="s">
        <v>234</v>
      </c>
      <c r="Q3" s="2222"/>
      <c r="R3" s="2223" t="s">
        <v>235</v>
      </c>
      <c r="S3" s="2225" t="s">
        <v>233</v>
      </c>
      <c r="T3" s="245" t="s">
        <v>236</v>
      </c>
      <c r="U3" s="246" t="s">
        <v>232</v>
      </c>
      <c r="V3" s="247" t="s">
        <v>237</v>
      </c>
      <c r="W3" s="248" t="s">
        <v>238</v>
      </c>
      <c r="X3" s="2227" t="s">
        <v>235</v>
      </c>
      <c r="Y3" s="2227" t="s">
        <v>239</v>
      </c>
    </row>
    <row r="4" spans="1:25" ht="58.2" thickBot="1">
      <c r="A4" s="2210"/>
      <c r="B4" s="2212"/>
      <c r="C4" s="2214"/>
      <c r="D4" s="2212"/>
      <c r="E4" s="2215"/>
      <c r="F4" s="249" t="s">
        <v>240</v>
      </c>
      <c r="G4" s="250" t="s">
        <v>241</v>
      </c>
      <c r="H4" s="250" t="s">
        <v>242</v>
      </c>
      <c r="I4" s="250" t="s">
        <v>243</v>
      </c>
      <c r="J4" s="250" t="s">
        <v>244</v>
      </c>
      <c r="K4" s="251" t="s">
        <v>339</v>
      </c>
      <c r="L4" s="251" t="s">
        <v>245</v>
      </c>
      <c r="M4" s="252" t="s">
        <v>246</v>
      </c>
      <c r="N4" s="2220"/>
      <c r="O4" s="2220"/>
      <c r="P4" s="253" t="s">
        <v>247</v>
      </c>
      <c r="Q4" s="254" t="s">
        <v>248</v>
      </c>
      <c r="R4" s="2224"/>
      <c r="S4" s="2226"/>
      <c r="T4" s="2229" t="s">
        <v>249</v>
      </c>
      <c r="U4" s="2230"/>
      <c r="V4" s="2231"/>
      <c r="W4" s="255" t="s">
        <v>250</v>
      </c>
      <c r="X4" s="2228"/>
      <c r="Y4" s="2228"/>
    </row>
    <row r="5" spans="1:25">
      <c r="A5" s="2232" t="s">
        <v>251</v>
      </c>
      <c r="B5" s="2235" t="s">
        <v>252</v>
      </c>
      <c r="C5" s="2238" t="s">
        <v>253</v>
      </c>
      <c r="D5" s="2241">
        <v>2022</v>
      </c>
      <c r="E5" s="709" t="s">
        <v>176</v>
      </c>
      <c r="F5" s="310">
        <f ca="1">IF($E5&lt;=DATOSAÑO!$B376,IF(DATOSAÑO!$Y376=0," ",((DATOSAÑO!$I376*DATOSAÑO!$AJ376)/DATOSAÑO!$Y376))," ")</f>
        <v>106.58099153890221</v>
      </c>
      <c r="G5" s="311">
        <f ca="1">IF($E5&lt;=DATOSAÑO!$B376,IF(DATOSAÑO!$Y376=0," ",((DATOSAÑO!$P376*DATOSAÑO!$AJ376)/DATOSAÑO!$Y376))," ")</f>
        <v>150.67571951629341</v>
      </c>
      <c r="H5" s="311">
        <f ca="1">IF($E5&lt;=DATOSAÑO!$B376,IF(DATOSAÑO!$Y376=0," ",((DATOSAÑO!$Q376*DATOSAÑO!$AJ376)/DATOSAÑO!$Y376))," ")</f>
        <v>3.4743279914672388E-2</v>
      </c>
      <c r="I5" s="311">
        <f ca="1">IF($E5&lt;=DATOSAÑO!$B376,IF(DATOSAÑO!$Y376=0," ",((DATOSAÑO!$T376*DATOSAÑO!$AJ376)/DATOSAÑO!$Y376))," ")</f>
        <v>4.8545664886241201E-2</v>
      </c>
      <c r="J5" s="311">
        <f ca="1">IF($H5=" "," ",0)</f>
        <v>0</v>
      </c>
      <c r="K5" s="313"/>
      <c r="L5" s="256"/>
      <c r="M5" s="257"/>
      <c r="N5" s="258"/>
      <c r="O5" s="259"/>
      <c r="P5" s="270"/>
      <c r="Q5" s="271"/>
      <c r="R5" s="272"/>
      <c r="S5" s="273"/>
      <c r="T5" s="274"/>
      <c r="U5" s="275"/>
      <c r="V5" s="276"/>
      <c r="W5" s="277"/>
      <c r="X5" s="278"/>
      <c r="Y5" s="279"/>
    </row>
    <row r="6" spans="1:25">
      <c r="A6" s="2233"/>
      <c r="B6" s="2236"/>
      <c r="C6" s="2239"/>
      <c r="D6" s="2242"/>
      <c r="E6" s="705" t="s">
        <v>177</v>
      </c>
      <c r="F6" s="707">
        <f ca="1">IF($E6&lt;=DATOSAÑO!$B377,IF(DATOSAÑO!$Y377=0," ",((DATOSAÑO!$I377*DATOSAÑO!$AJ377)/DATOSAÑO!$Y377))," ")</f>
        <v>164.07407059086282</v>
      </c>
      <c r="G6" s="708">
        <f ca="1">IF($E6&lt;=DATOSAÑO!$B377,IF(DATOSAÑO!$Y377=0," ",((DATOSAÑO!$P377*DATOSAÑO!$AJ377)/DATOSAÑO!$Y377))," ")</f>
        <v>82.923195471773411</v>
      </c>
      <c r="H6" s="708">
        <f ca="1">IF($E6&lt;=DATOSAÑO!$B377,IF(DATOSAÑO!$Y377=0," ",((DATOSAÑO!$Q377*DATOSAÑO!$AJ377)/DATOSAÑO!$Y377))," ")</f>
        <v>2.3274320804618429E-2</v>
      </c>
      <c r="I6" s="708">
        <f ca="1">IF($E6&lt;=DATOSAÑO!$B377,IF(DATOSAÑO!$Y377=0," ",((DATOSAÑO!$T377*DATOSAÑO!$AJ377)/DATOSAÑO!$Y377))," ")</f>
        <v>6.9459616555671039E-2</v>
      </c>
      <c r="J6" s="708">
        <f t="shared" ref="J6:J16" ca="1" si="0">IF($H6=" "," ",0)</f>
        <v>0</v>
      </c>
      <c r="K6" s="313"/>
      <c r="L6" s="260"/>
      <c r="M6" s="261"/>
      <c r="N6" s="262"/>
      <c r="O6" s="263"/>
      <c r="P6" s="282"/>
      <c r="Q6" s="283"/>
      <c r="R6" s="284"/>
      <c r="S6" s="285"/>
      <c r="T6" s="286"/>
      <c r="U6" s="287"/>
      <c r="V6" s="288"/>
      <c r="W6" s="289"/>
      <c r="X6" s="290"/>
      <c r="Y6" s="291"/>
    </row>
    <row r="7" spans="1:25">
      <c r="A7" s="2233"/>
      <c r="B7" s="2236"/>
      <c r="C7" s="2239"/>
      <c r="D7" s="2242"/>
      <c r="E7" s="705" t="s">
        <v>178</v>
      </c>
      <c r="F7" s="707">
        <f ca="1">IF($E7&lt;=DATOSAÑO!$B378,IF(DATOSAÑO!$Y378=0," ",((DATOSAÑO!$I378*DATOSAÑO!$AJ378)/DATOSAÑO!$Y378))," ")</f>
        <v>156.14877157725999</v>
      </c>
      <c r="G7" s="708">
        <f ca="1">IF($E7&lt;=DATOSAÑO!$B378,IF(DATOSAÑO!$Y378=0," ",((DATOSAÑO!$P378*DATOSAÑO!$AJ378)/DATOSAÑO!$Y378))," ")</f>
        <v>81.43173909268846</v>
      </c>
      <c r="H7" s="708">
        <f ca="1">IF($E7&lt;=DATOSAÑO!$B378,IF(DATOSAÑO!$Y378=0," ",((DATOSAÑO!$Q378*DATOSAÑO!$AJ378)/DATOSAÑO!$Y378))," ")</f>
        <v>1.1179640383615777E-2</v>
      </c>
      <c r="I7" s="708">
        <f ca="1">IF($E7&lt;=DATOSAÑO!$B378,IF(DATOSAÑO!$Y378=0," ",((DATOSAÑO!$T378*DATOSAÑO!$AJ378)/DATOSAÑO!$Y378))," ")</f>
        <v>1.8309689668523494E-2</v>
      </c>
      <c r="J7" s="708">
        <f t="shared" ca="1" si="0"/>
        <v>0</v>
      </c>
      <c r="K7" s="313"/>
      <c r="L7" s="260"/>
      <c r="M7" s="261"/>
      <c r="N7" s="262"/>
      <c r="O7" s="263"/>
      <c r="P7" s="282"/>
      <c r="Q7" s="283"/>
      <c r="R7" s="284"/>
      <c r="S7" s="285"/>
      <c r="T7" s="286"/>
      <c r="U7" s="287"/>
      <c r="V7" s="288"/>
      <c r="W7" s="289"/>
      <c r="X7" s="290"/>
      <c r="Y7" s="291"/>
    </row>
    <row r="8" spans="1:25">
      <c r="A8" s="2233"/>
      <c r="B8" s="2236"/>
      <c r="C8" s="2239"/>
      <c r="D8" s="2242"/>
      <c r="E8" s="705" t="s">
        <v>179</v>
      </c>
      <c r="F8" s="707">
        <f ca="1">IF($E8&lt;=DATOSAÑO!$B379,IF(DATOSAÑO!$Y379=0," ",((DATOSAÑO!$I379*DATOSAÑO!$AJ379)/DATOSAÑO!$Y379))," ")</f>
        <v>150.74643801193756</v>
      </c>
      <c r="G8" s="708">
        <f ca="1">IF($E8&lt;=DATOSAÑO!$B379,IF(DATOSAÑO!$Y379=0," ",((DATOSAÑO!$P379*DATOSAÑO!$AJ379)/DATOSAÑO!$Y379))," ")</f>
        <v>60.672978438601177</v>
      </c>
      <c r="H8" s="708">
        <f ca="1">IF($E8&lt;=DATOSAÑO!$B379,IF(DATOSAÑO!$Y379=0," ",((DATOSAÑO!$Q379*DATOSAÑO!$AJ379)/DATOSAÑO!$Y379))," ")</f>
        <v>8.3644646730893377E-2</v>
      </c>
      <c r="I8" s="708">
        <f ca="1">IF($E8&lt;=DATOSAÑO!$B379,IF(DATOSAÑO!$Y379=0," ",((DATOSAÑO!$T379*DATOSAÑO!$AJ379)/DATOSAÑO!$Y379))," ")</f>
        <v>0.42693890273794494</v>
      </c>
      <c r="J8" s="708">
        <f t="shared" ca="1" si="0"/>
        <v>0</v>
      </c>
      <c r="K8" s="313"/>
      <c r="L8" s="260"/>
      <c r="M8" s="261"/>
      <c r="N8" s="262"/>
      <c r="O8" s="263"/>
      <c r="P8" s="282"/>
      <c r="Q8" s="283"/>
      <c r="R8" s="284"/>
      <c r="S8" s="285"/>
      <c r="T8" s="286"/>
      <c r="U8" s="287"/>
      <c r="V8" s="288"/>
      <c r="W8" s="289"/>
      <c r="X8" s="290"/>
      <c r="Y8" s="291"/>
    </row>
    <row r="9" spans="1:25">
      <c r="A9" s="2233"/>
      <c r="B9" s="2236"/>
      <c r="C9" s="2239"/>
      <c r="D9" s="2242"/>
      <c r="E9" s="705" t="s">
        <v>180</v>
      </c>
      <c r="F9" s="707">
        <f ca="1">IF($E9&lt;=DATOSAÑO!$B380,IF(DATOSAÑO!$Y380=0," ",((DATOSAÑO!$I380*DATOSAÑO!$AJ380)/DATOSAÑO!$Y380))," ")</f>
        <v>107.55204130319549</v>
      </c>
      <c r="G9" s="708">
        <f ca="1">IF($E9&lt;=DATOSAÑO!$B380,IF(DATOSAÑO!$Y380=0," ",((DATOSAÑO!$P380*DATOSAÑO!$AJ380)/DATOSAÑO!$Y380))," ")</f>
        <v>98.450499750610717</v>
      </c>
      <c r="H9" s="708">
        <f ca="1">IF($E9&lt;=DATOSAÑO!$B380,IF(DATOSAÑO!$Y380=0," ",((DATOSAÑO!$Q380*DATOSAÑO!$AJ380)/DATOSAÑO!$Y380))," ")</f>
        <v>2.3187540962775404E-2</v>
      </c>
      <c r="I9" s="708">
        <f ca="1">IF($E9&lt;=DATOSAÑO!$B380,IF(DATOSAÑO!$Y380=0," ",((DATOSAÑO!$T380*DATOSAÑO!$AJ380)/DATOSAÑO!$Y380))," ")</f>
        <v>4.4271405223440224E-2</v>
      </c>
      <c r="J9" s="708">
        <f t="shared" ca="1" si="0"/>
        <v>0</v>
      </c>
      <c r="K9" s="313"/>
      <c r="L9" s="260"/>
      <c r="M9" s="261"/>
      <c r="N9" s="262"/>
      <c r="O9" s="263"/>
      <c r="P9" s="282"/>
      <c r="Q9" s="283"/>
      <c r="R9" s="284"/>
      <c r="S9" s="285"/>
      <c r="T9" s="286"/>
      <c r="U9" s="287"/>
      <c r="V9" s="288"/>
      <c r="W9" s="289"/>
      <c r="X9" s="290"/>
      <c r="Y9" s="291"/>
    </row>
    <row r="10" spans="1:25">
      <c r="A10" s="2233"/>
      <c r="B10" s="2236"/>
      <c r="C10" s="2239"/>
      <c r="D10" s="2242"/>
      <c r="E10" s="705" t="s">
        <v>182</v>
      </c>
      <c r="F10" s="707">
        <f ca="1">IF($E10&lt;=DATOSAÑO!$B381,IF(DATOSAÑO!$Y381=0," ",((DATOSAÑO!$I381*DATOSAÑO!$AJ381)/DATOSAÑO!$Y381))," ")</f>
        <v>15.994130925511763</v>
      </c>
      <c r="G10" s="708">
        <f ca="1">IF($E10&lt;=DATOSAÑO!$B381,IF(DATOSAÑO!$Y381=0," ",((DATOSAÑO!$P381*DATOSAÑO!$AJ381)/DATOSAÑO!$Y381))," ")</f>
        <v>8.1058690744940574</v>
      </c>
      <c r="H10" s="708">
        <f ca="1">IF($E10&lt;=DATOSAÑO!$B381,IF(DATOSAÑO!$Y381=0," ",((DATOSAÑO!$Q381*DATOSAÑO!$AJ381)/DATOSAÑO!$Y381))," ")</f>
        <v>0</v>
      </c>
      <c r="I10" s="708">
        <f ca="1">IF($E10&lt;=DATOSAÑO!$B381,IF(DATOSAÑO!$Y381=0," ",((DATOSAÑO!$T381*DATOSAÑO!$AJ381)/DATOSAÑO!$Y381))," ")</f>
        <v>0</v>
      </c>
      <c r="J10" s="708">
        <f t="shared" ca="1" si="0"/>
        <v>0</v>
      </c>
      <c r="K10" s="313"/>
      <c r="L10" s="260"/>
      <c r="M10" s="261"/>
      <c r="N10" s="262"/>
      <c r="O10" s="263"/>
      <c r="P10" s="282"/>
      <c r="Q10" s="283"/>
      <c r="R10" s="284"/>
      <c r="S10" s="285"/>
      <c r="T10" s="286"/>
      <c r="U10" s="287"/>
      <c r="V10" s="288"/>
      <c r="W10" s="289"/>
      <c r="X10" s="290"/>
      <c r="Y10" s="291"/>
    </row>
    <row r="11" spans="1:25">
      <c r="A11" s="2233"/>
      <c r="B11" s="2236"/>
      <c r="C11" s="2239"/>
      <c r="D11" s="2242"/>
      <c r="E11" s="705" t="s">
        <v>183</v>
      </c>
      <c r="F11" s="707" t="str">
        <f ca="1">IF($E11&lt;=DATOSAÑO!$B382,IF(DATOSAÑO!$Y382=0," ",((DATOSAÑO!$I382*DATOSAÑO!$AJ382)/DATOSAÑO!$Y382))," ")</f>
        <v xml:space="preserve"> </v>
      </c>
      <c r="G11" s="708" t="str">
        <f ca="1">IF($E11&lt;=DATOSAÑO!$B382,IF(DATOSAÑO!$Y382=0," ",((DATOSAÑO!$P382*DATOSAÑO!$AJ382)/DATOSAÑO!$Y382))," ")</f>
        <v xml:space="preserve"> </v>
      </c>
      <c r="H11" s="708" t="str">
        <f ca="1">IF($E11&lt;=DATOSAÑO!$B382,IF(DATOSAÑO!$Y382=0," ",((DATOSAÑO!$Q382*DATOSAÑO!$AJ382)/DATOSAÑO!$Y382))," ")</f>
        <v xml:space="preserve"> </v>
      </c>
      <c r="I11" s="708" t="str">
        <f ca="1">IF($E11&lt;=DATOSAÑO!$B382,IF(DATOSAÑO!$Y382=0," ",((DATOSAÑO!$T382*DATOSAÑO!$AJ382)/DATOSAÑO!$Y382))," ")</f>
        <v xml:space="preserve"> </v>
      </c>
      <c r="J11" s="708" t="str">
        <f t="shared" ca="1" si="0"/>
        <v xml:space="preserve"> </v>
      </c>
      <c r="K11" s="313"/>
      <c r="L11" s="260"/>
      <c r="M11" s="261"/>
      <c r="N11" s="262"/>
      <c r="O11" s="263"/>
      <c r="P11" s="282"/>
      <c r="Q11" s="283"/>
      <c r="R11" s="284"/>
      <c r="S11" s="285"/>
      <c r="T11" s="286"/>
      <c r="U11" s="287"/>
      <c r="V11" s="288"/>
      <c r="W11" s="289"/>
      <c r="X11" s="290"/>
      <c r="Y11" s="291"/>
    </row>
    <row r="12" spans="1:25">
      <c r="A12" s="2233"/>
      <c r="B12" s="2236"/>
      <c r="C12" s="2239"/>
      <c r="D12" s="2242"/>
      <c r="E12" s="705" t="s">
        <v>184</v>
      </c>
      <c r="F12" s="707" t="str">
        <f ca="1">IF($E12&lt;=DATOSAÑO!$B383,IF(DATOSAÑO!$Y383=0," ",((DATOSAÑO!$I383*DATOSAÑO!$AJ383)/DATOSAÑO!$Y383))," ")</f>
        <v xml:space="preserve"> </v>
      </c>
      <c r="G12" s="708" t="str">
        <f ca="1">IF($E12&lt;=DATOSAÑO!$B383,IF(DATOSAÑO!$Y383=0," ",((DATOSAÑO!$P383*DATOSAÑO!$AJ383)/DATOSAÑO!$Y383))," ")</f>
        <v xml:space="preserve"> </v>
      </c>
      <c r="H12" s="708" t="str">
        <f ca="1">IF($E12&lt;=DATOSAÑO!$B383,IF(DATOSAÑO!$Y383=0," ",((DATOSAÑO!$Q383*DATOSAÑO!$AJ383)/DATOSAÑO!$Y383))," ")</f>
        <v xml:space="preserve"> </v>
      </c>
      <c r="I12" s="708" t="str">
        <f ca="1">IF($E12&lt;=DATOSAÑO!$B383,IF(DATOSAÑO!$Y383=0," ",((DATOSAÑO!$T383*DATOSAÑO!$AJ383)/DATOSAÑO!$Y383))," ")</f>
        <v xml:space="preserve"> </v>
      </c>
      <c r="J12" s="708" t="str">
        <f t="shared" ca="1" si="0"/>
        <v xml:space="preserve"> </v>
      </c>
      <c r="K12" s="313"/>
      <c r="L12" s="260"/>
      <c r="M12" s="261"/>
      <c r="N12" s="262"/>
      <c r="O12" s="263"/>
      <c r="P12" s="282"/>
      <c r="Q12" s="283"/>
      <c r="R12" s="284"/>
      <c r="S12" s="285"/>
      <c r="T12" s="286"/>
      <c r="U12" s="287"/>
      <c r="V12" s="288"/>
      <c r="W12" s="289"/>
      <c r="X12" s="290"/>
      <c r="Y12" s="291"/>
    </row>
    <row r="13" spans="1:25">
      <c r="A13" s="2233"/>
      <c r="B13" s="2236"/>
      <c r="C13" s="2239"/>
      <c r="D13" s="2242"/>
      <c r="E13" s="705" t="s">
        <v>185</v>
      </c>
      <c r="F13" s="707" t="str">
        <f ca="1">IF($E13&lt;=DATOSAÑO!$B384,IF(DATOSAÑO!$Y384=0," ",((DATOSAÑO!$I384*DATOSAÑO!$AJ384)/DATOSAÑO!$Y384))," ")</f>
        <v xml:space="preserve"> </v>
      </c>
      <c r="G13" s="708" t="str">
        <f ca="1">IF($E13&lt;=DATOSAÑO!$B384,IF(DATOSAÑO!$Y384=0," ",((DATOSAÑO!$P384*DATOSAÑO!$AJ384)/DATOSAÑO!$Y384))," ")</f>
        <v xml:space="preserve"> </v>
      </c>
      <c r="H13" s="708" t="str">
        <f ca="1">IF($E13&lt;=DATOSAÑO!$B384,IF(DATOSAÑO!$Y384=0," ",((DATOSAÑO!$Q384*DATOSAÑO!$AJ384)/DATOSAÑO!$Y384))," ")</f>
        <v xml:space="preserve"> </v>
      </c>
      <c r="I13" s="708" t="str">
        <f ca="1">IF($E13&lt;=DATOSAÑO!$B384,IF(DATOSAÑO!$Y384=0," ",((DATOSAÑO!$T384*DATOSAÑO!$AJ384)/DATOSAÑO!$Y384))," ")</f>
        <v xml:space="preserve"> </v>
      </c>
      <c r="J13" s="708" t="str">
        <f t="shared" ca="1" si="0"/>
        <v xml:space="preserve"> </v>
      </c>
      <c r="K13" s="313"/>
      <c r="L13" s="260"/>
      <c r="M13" s="261"/>
      <c r="N13" s="262"/>
      <c r="O13" s="263"/>
      <c r="P13" s="282"/>
      <c r="Q13" s="283"/>
      <c r="R13" s="284"/>
      <c r="S13" s="285"/>
      <c r="T13" s="286"/>
      <c r="U13" s="287"/>
      <c r="V13" s="288"/>
      <c r="W13" s="289"/>
      <c r="X13" s="290"/>
      <c r="Y13" s="291"/>
    </row>
    <row r="14" spans="1:25">
      <c r="A14" s="2233"/>
      <c r="B14" s="2236"/>
      <c r="C14" s="2239"/>
      <c r="D14" s="2242"/>
      <c r="E14" s="705" t="s">
        <v>186</v>
      </c>
      <c r="F14" s="707" t="str">
        <f ca="1">IF($E14&lt;=DATOSAÑO!$B385,IF(DATOSAÑO!$Y385=0," ",((DATOSAÑO!$I385*DATOSAÑO!$AJ385)/DATOSAÑO!$Y385))," ")</f>
        <v xml:space="preserve"> </v>
      </c>
      <c r="G14" s="708" t="str">
        <f ca="1">IF($E14&lt;=DATOSAÑO!$B385,IF(DATOSAÑO!$Y385=0," ",((DATOSAÑO!$P385*DATOSAÑO!$AJ385)/DATOSAÑO!$Y385))," ")</f>
        <v xml:space="preserve"> </v>
      </c>
      <c r="H14" s="708" t="str">
        <f ca="1">IF($E14&lt;=DATOSAÑO!$B385,IF(DATOSAÑO!$Y385=0," ",((DATOSAÑO!$Q385*DATOSAÑO!$AJ385)/DATOSAÑO!$Y385))," ")</f>
        <v xml:space="preserve"> </v>
      </c>
      <c r="I14" s="708" t="str">
        <f ca="1">IF($E14&lt;=DATOSAÑO!$B385,IF(DATOSAÑO!$Y385=0," ",((DATOSAÑO!$T385*DATOSAÑO!$AJ385)/DATOSAÑO!$Y385))," ")</f>
        <v xml:space="preserve"> </v>
      </c>
      <c r="J14" s="708" t="str">
        <f t="shared" ca="1" si="0"/>
        <v xml:space="preserve"> </v>
      </c>
      <c r="K14" s="313"/>
      <c r="L14" s="260"/>
      <c r="M14" s="261"/>
      <c r="N14" s="262"/>
      <c r="O14" s="263"/>
      <c r="P14" s="282"/>
      <c r="Q14" s="283"/>
      <c r="R14" s="284"/>
      <c r="S14" s="285"/>
      <c r="T14" s="286"/>
      <c r="U14" s="287"/>
      <c r="V14" s="288"/>
      <c r="W14" s="289"/>
      <c r="X14" s="290"/>
      <c r="Y14" s="291"/>
    </row>
    <row r="15" spans="1:25">
      <c r="A15" s="2233"/>
      <c r="B15" s="2236"/>
      <c r="C15" s="2239"/>
      <c r="D15" s="2242"/>
      <c r="E15" s="705" t="s">
        <v>187</v>
      </c>
      <c r="F15" s="707" t="str">
        <f ca="1">IF($E15&lt;=DATOSAÑO!$B386,IF(DATOSAÑO!$Y386=0," ",((DATOSAÑO!$I386*DATOSAÑO!$AJ386)/DATOSAÑO!$Y386))," ")</f>
        <v xml:space="preserve"> </v>
      </c>
      <c r="G15" s="708" t="str">
        <f ca="1">IF($E15&lt;=DATOSAÑO!$B386,IF(DATOSAÑO!$Y386=0," ",((DATOSAÑO!$P386*DATOSAÑO!$AJ386)/DATOSAÑO!$Y386))," ")</f>
        <v xml:space="preserve"> </v>
      </c>
      <c r="H15" s="708" t="str">
        <f ca="1">IF($E15&lt;=DATOSAÑO!$B386,IF(DATOSAÑO!$Y386=0," ",((DATOSAÑO!$Q386*DATOSAÑO!$AJ386)/DATOSAÑO!$Y386))," ")</f>
        <v xml:space="preserve"> </v>
      </c>
      <c r="I15" s="708" t="str">
        <f ca="1">IF($E15&lt;=DATOSAÑO!$B386,IF(DATOSAÑO!$Y386=0," ",((DATOSAÑO!$T386*DATOSAÑO!$AJ386)/DATOSAÑO!$Y386))," ")</f>
        <v xml:space="preserve"> </v>
      </c>
      <c r="J15" s="708" t="str">
        <f t="shared" ca="1" si="0"/>
        <v xml:space="preserve"> </v>
      </c>
      <c r="K15" s="313"/>
      <c r="L15" s="260"/>
      <c r="M15" s="261"/>
      <c r="N15" s="262"/>
      <c r="O15" s="263"/>
      <c r="P15" s="282"/>
      <c r="Q15" s="283"/>
      <c r="R15" s="284"/>
      <c r="S15" s="285"/>
      <c r="T15" s="286"/>
      <c r="U15" s="287"/>
      <c r="V15" s="288"/>
      <c r="W15" s="289"/>
      <c r="X15" s="290"/>
      <c r="Y15" s="291"/>
    </row>
    <row r="16" spans="1:25" ht="15" thickBot="1">
      <c r="A16" s="2234"/>
      <c r="B16" s="2237"/>
      <c r="C16" s="2240"/>
      <c r="D16" s="2243"/>
      <c r="E16" s="706" t="s">
        <v>188</v>
      </c>
      <c r="F16" s="621" t="str">
        <f ca="1">IF($E16&lt;=DATOSAÑO!$B387,IF(DATOSAÑO!$Y387=0," ",((DATOSAÑO!$I387*DATOSAÑO!$AJ387)/DATOSAÑO!$Y387))," ")</f>
        <v xml:space="preserve"> </v>
      </c>
      <c r="G16" s="325" t="str">
        <f ca="1">IF($E16&lt;=DATOSAÑO!$B387,IF(DATOSAÑO!$Y387=0," ",((DATOSAÑO!$P387*DATOSAÑO!$AJ387)/DATOSAÑO!$Y387))," ")</f>
        <v xml:space="preserve"> </v>
      </c>
      <c r="H16" s="325" t="str">
        <f ca="1">IF($E16&lt;=DATOSAÑO!$B387,IF(DATOSAÑO!$Y387=0," ",((DATOSAÑO!$Q387*DATOSAÑO!$AJ387)/DATOSAÑO!$Y387))," ")</f>
        <v xml:space="preserve"> </v>
      </c>
      <c r="I16" s="325" t="str">
        <f ca="1">IF($E16&lt;=DATOSAÑO!$B387,IF(DATOSAÑO!$Y387=0," ",((DATOSAÑO!$T387*DATOSAÑO!$AJ387)/DATOSAÑO!$Y387))," ")</f>
        <v xml:space="preserve"> </v>
      </c>
      <c r="J16" s="325" t="str">
        <f t="shared" ca="1" si="0"/>
        <v xml:space="preserve"> </v>
      </c>
      <c r="K16" s="313"/>
      <c r="L16" s="264"/>
      <c r="M16" s="265"/>
      <c r="N16" s="266"/>
      <c r="O16" s="267"/>
      <c r="P16" s="294"/>
      <c r="Q16" s="295"/>
      <c r="R16" s="296"/>
      <c r="S16" s="297"/>
      <c r="T16" s="298"/>
      <c r="U16" s="299"/>
      <c r="V16" s="300"/>
      <c r="W16" s="301"/>
      <c r="X16" s="302"/>
      <c r="Y16" s="303"/>
    </row>
    <row r="17" spans="1:25" ht="15" customHeight="1">
      <c r="A17" s="2232" t="s">
        <v>251</v>
      </c>
      <c r="B17" s="2235" t="s">
        <v>252</v>
      </c>
      <c r="C17" s="2238" t="s">
        <v>254</v>
      </c>
      <c r="D17" s="2241">
        <v>2022</v>
      </c>
      <c r="E17" s="709" t="s">
        <v>176</v>
      </c>
      <c r="F17" s="310">
        <f ca="1">IF($E17&lt;=DATOSAÑO!$B376,IF(DATOSAÑO!$Y376=0," ",((DATOSAÑO!$I376*DATOSAÑO!$AK376)/DATOSAÑO!$Y376))," ")</f>
        <v>194.79794653146644</v>
      </c>
      <c r="G17" s="311">
        <f ca="1">IF($E17&lt;=DATOSAÑO!$B376,IF(DATOSAÑO!$Y376=0," ",((DATOSAÑO!$P376*DATOSAÑO!$AK376)/DATOSAÑO!$Y376))," ")</f>
        <v>275.38982636703923</v>
      </c>
      <c r="H17" s="311">
        <f ca="1">IF($E17&lt;=DATOSAÑO!$B376,IF(DATOSAÑO!$Y376=0," ",((DATOSAÑO!$Q376*DATOSAÑO!$AK376)/DATOSAÑO!$Y376))," ")</f>
        <v>6.3500249767106193E-2</v>
      </c>
      <c r="I17" s="311">
        <f ca="1">IF($E17&lt;=DATOSAÑO!$B376,IF(DATOSAÑO!$Y376=0," ",((DATOSAÑO!$T376*DATOSAÑO!$AK376)/DATOSAÑO!$Y376))," ")</f>
        <v>8.8726851723769429E-2</v>
      </c>
      <c r="J17" s="311">
        <f ca="1">IF($H17=" "," ",0)</f>
        <v>0</v>
      </c>
      <c r="K17" s="311"/>
      <c r="L17" s="268"/>
      <c r="M17" s="269"/>
      <c r="N17" s="258"/>
      <c r="O17" s="259"/>
      <c r="P17" s="270"/>
      <c r="Q17" s="271"/>
      <c r="R17" s="272"/>
      <c r="S17" s="273"/>
      <c r="T17" s="274"/>
      <c r="U17" s="275"/>
      <c r="V17" s="276"/>
      <c r="W17" s="277"/>
      <c r="X17" s="278"/>
      <c r="Y17" s="279"/>
    </row>
    <row r="18" spans="1:25">
      <c r="A18" s="2233"/>
      <c r="B18" s="2236"/>
      <c r="C18" s="2239"/>
      <c r="D18" s="2242"/>
      <c r="E18" s="705" t="s">
        <v>177</v>
      </c>
      <c r="F18" s="707">
        <f ca="1">IF($E18&lt;=DATOSAÑO!$B377,IF(DATOSAÑO!$Y377=0," ",((DATOSAÑO!$I377*DATOSAÑO!$AK377)/DATOSAÑO!$Y377))," ")</f>
        <v>274.57456064317751</v>
      </c>
      <c r="G18" s="708">
        <f ca="1">IF($E18&lt;=DATOSAÑO!$B377,IF(DATOSAÑO!$Y377=0," ",((DATOSAÑO!$P377*DATOSAÑO!$AK377)/DATOSAÑO!$Y377))," ")</f>
        <v>138.77025103233152</v>
      </c>
      <c r="H18" s="708">
        <f ca="1">IF($E18&lt;=DATOSAÑO!$B377,IF(DATOSAÑO!$Y377=0," ",((DATOSAÑO!$Q377*DATOSAÑO!$AK377)/DATOSAÑO!$Y377))," ")</f>
        <v>3.8949094065764932E-2</v>
      </c>
      <c r="I18" s="708">
        <f ca="1">IF($E18&lt;=DATOSAÑO!$B377,IF(DATOSAÑO!$Y377=0," ",((DATOSAÑO!$T377*DATOSAÑO!$AK377)/DATOSAÑO!$Y377))," ")</f>
        <v>0.11623923042523121</v>
      </c>
      <c r="J18" s="708">
        <f t="shared" ref="J18:J28" ca="1" si="1">IF($H18=" "," ",0)</f>
        <v>0</v>
      </c>
      <c r="K18" s="313"/>
      <c r="L18" s="280"/>
      <c r="M18" s="281"/>
      <c r="N18" s="262"/>
      <c r="O18" s="263"/>
      <c r="P18" s="282"/>
      <c r="Q18" s="283"/>
      <c r="R18" s="284"/>
      <c r="S18" s="285"/>
      <c r="T18" s="286"/>
      <c r="U18" s="287"/>
      <c r="V18" s="288"/>
      <c r="W18" s="289"/>
      <c r="X18" s="290"/>
      <c r="Y18" s="291"/>
    </row>
    <row r="19" spans="1:25">
      <c r="A19" s="2233"/>
      <c r="B19" s="2236"/>
      <c r="C19" s="2239"/>
      <c r="D19" s="2242"/>
      <c r="E19" s="705" t="s">
        <v>178</v>
      </c>
      <c r="F19" s="707">
        <f ca="1">IF($E19&lt;=DATOSAÑO!$B378,IF(DATOSAÑO!$Y378=0," ",((DATOSAÑO!$I378*DATOSAÑO!$AK378)/DATOSAÑO!$Y378))," ")</f>
        <v>299.40398270527498</v>
      </c>
      <c r="G19" s="708">
        <f ca="1">IF($E19&lt;=DATOSAÑO!$B378,IF(DATOSAÑO!$Y378=0," ",((DATOSAÑO!$P378*DATOSAÑO!$AK378)/DATOSAÑO!$Y378))," ")</f>
        <v>156.13947363591279</v>
      </c>
      <c r="H19" s="708">
        <f ca="1">IF($E19&lt;=DATOSAÑO!$B378,IF(DATOSAÑO!$Y378=0," ",((DATOSAÑO!$Q378*DATOSAÑO!$AK378)/DATOSAÑO!$Y378))," ")</f>
        <v>2.1436152345336478E-2</v>
      </c>
      <c r="I19" s="708">
        <f ca="1">IF($E19&lt;=DATOSAÑO!$B378,IF(DATOSAÑO!$Y378=0," ",((DATOSAÑO!$T378*DATOSAÑO!$AK378)/DATOSAÑO!$Y378))," ")</f>
        <v>3.5107506472704816E-2</v>
      </c>
      <c r="J19" s="708">
        <f t="shared" ca="1" si="1"/>
        <v>0</v>
      </c>
      <c r="K19" s="313"/>
      <c r="L19" s="280"/>
      <c r="M19" s="281"/>
      <c r="N19" s="262"/>
      <c r="O19" s="263"/>
      <c r="P19" s="282"/>
      <c r="Q19" s="283"/>
      <c r="R19" s="284"/>
      <c r="S19" s="285"/>
      <c r="T19" s="286"/>
      <c r="U19" s="287"/>
      <c r="V19" s="288"/>
      <c r="W19" s="289"/>
      <c r="X19" s="290"/>
      <c r="Y19" s="291"/>
    </row>
    <row r="20" spans="1:25">
      <c r="A20" s="2233"/>
      <c r="B20" s="2236"/>
      <c r="C20" s="2239"/>
      <c r="D20" s="2242"/>
      <c r="E20" s="705" t="s">
        <v>179</v>
      </c>
      <c r="F20" s="707">
        <f ca="1">IF($E20&lt;=DATOSAÑO!$B379,IF(DATOSAÑO!$Y379=0," ",((DATOSAÑO!$I379*DATOSAÑO!$AK379)/DATOSAÑO!$Y379))," ")</f>
        <v>299.81420101934327</v>
      </c>
      <c r="G20" s="708">
        <f ca="1">IF($E20&lt;=DATOSAÑO!$B379,IF(DATOSAÑO!$Y379=0," ",((DATOSAÑO!$P379*DATOSAÑO!$AK379)/DATOSAÑO!$Y379))," ")</f>
        <v>120.67031761369076</v>
      </c>
      <c r="H20" s="708">
        <f ca="1">IF($E20&lt;=DATOSAÑO!$B379,IF(DATOSAÑO!$Y379=0," ",((DATOSAÑO!$Q379*DATOSAÑO!$AK379)/DATOSAÑO!$Y379))," ")</f>
        <v>0.16635784738862031</v>
      </c>
      <c r="I20" s="708">
        <f ca="1">IF($E20&lt;=DATOSAÑO!$B379,IF(DATOSAÑO!$Y379=0," ",((DATOSAÑO!$T379*DATOSAÑO!$AK379)/DATOSAÑO!$Y379))," ")</f>
        <v>0.84912351957739518</v>
      </c>
      <c r="J20" s="708">
        <f t="shared" ca="1" si="1"/>
        <v>0</v>
      </c>
      <c r="K20" s="313"/>
      <c r="L20" s="280"/>
      <c r="M20" s="281"/>
      <c r="N20" s="262"/>
      <c r="O20" s="263"/>
      <c r="P20" s="282"/>
      <c r="Q20" s="283"/>
      <c r="R20" s="284"/>
      <c r="S20" s="285"/>
      <c r="T20" s="286"/>
      <c r="U20" s="287"/>
      <c r="V20" s="288"/>
      <c r="W20" s="289"/>
      <c r="X20" s="290"/>
      <c r="Y20" s="291"/>
    </row>
    <row r="21" spans="1:25">
      <c r="A21" s="2233"/>
      <c r="B21" s="2236"/>
      <c r="C21" s="2239"/>
      <c r="D21" s="2242"/>
      <c r="E21" s="705" t="s">
        <v>180</v>
      </c>
      <c r="F21" s="707">
        <f ca="1">IF($E21&lt;=DATOSAÑO!$B380,IF(DATOSAÑO!$Y380=0," ",((DATOSAÑO!$I380*DATOSAÑO!$AK380)/DATOSAÑO!$Y380))," ")</f>
        <v>205.89741492751097</v>
      </c>
      <c r="G21" s="708">
        <f ca="1">IF($E21&lt;=DATOSAÑO!$B380,IF(DATOSAÑO!$Y380=0," ",((DATOSAÑO!$P380*DATOSAÑO!$AK380)/DATOSAÑO!$Y380))," ")</f>
        <v>188.47344179947277</v>
      </c>
      <c r="H21" s="708">
        <f ca="1">IF($E21&lt;=DATOSAÑO!$B380,IF(DATOSAÑO!$Y380=0," ",((DATOSAÑO!$Q380*DATOSAÑO!$AK380)/DATOSAÑO!$Y380))," ")</f>
        <v>4.4390182509900677E-2</v>
      </c>
      <c r="I21" s="708">
        <f ca="1">IF($E21&lt;=DATOSAÑO!$B380,IF(DATOSAÑO!$Y380=0," ",((DATOSAÑO!$T380*DATOSAÑO!$AK380)/DATOSAÑO!$Y380))," ")</f>
        <v>8.4753090506370699E-2</v>
      </c>
      <c r="J21" s="708">
        <f t="shared" ca="1" si="1"/>
        <v>0</v>
      </c>
      <c r="K21" s="324"/>
      <c r="L21" s="280"/>
      <c r="M21" s="281"/>
      <c r="N21" s="262"/>
      <c r="O21" s="263"/>
      <c r="P21" s="282"/>
      <c r="Q21" s="283"/>
      <c r="R21" s="284"/>
      <c r="S21" s="285"/>
      <c r="T21" s="286"/>
      <c r="U21" s="287"/>
      <c r="V21" s="288"/>
      <c r="W21" s="289"/>
      <c r="X21" s="290"/>
      <c r="Y21" s="291"/>
    </row>
    <row r="22" spans="1:25">
      <c r="A22" s="2233"/>
      <c r="B22" s="2236"/>
      <c r="C22" s="2239"/>
      <c r="D22" s="2242"/>
      <c r="E22" s="705" t="s">
        <v>182</v>
      </c>
      <c r="F22" s="707">
        <f ca="1">IF($E22&lt;=DATOSAÑO!$B381,IF(DATOSAÑO!$Y381=0," ",((DATOSAÑO!$I381*DATOSAÑO!$AK381)/DATOSAÑO!$Y381))," ")</f>
        <v>34.44379232505257</v>
      </c>
      <c r="G22" s="708">
        <f ca="1">IF($E22&lt;=DATOSAÑO!$B381,IF(DATOSAÑO!$Y381=0," ",((DATOSAÑO!$P381*DATOSAÑO!$AK381)/DATOSAÑO!$Y381))," ")</f>
        <v>17.456207674941609</v>
      </c>
      <c r="H22" s="708">
        <f ca="1">IF($E22&lt;=DATOSAÑO!$B381,IF(DATOSAÑO!$Y381=0," ",((DATOSAÑO!$Q381*DATOSAÑO!$AK381)/DATOSAÑO!$Y381))," ")</f>
        <v>0</v>
      </c>
      <c r="I22" s="708">
        <f ca="1">IF($E22&lt;=DATOSAÑO!$B381,IF(DATOSAÑO!$Y381=0," ",((DATOSAÑO!$T381*DATOSAÑO!$AK381)/DATOSAÑO!$Y381))," ")</f>
        <v>0</v>
      </c>
      <c r="J22" s="708">
        <f t="shared" ca="1" si="1"/>
        <v>0</v>
      </c>
      <c r="K22" s="324"/>
      <c r="L22" s="280"/>
      <c r="M22" s="281"/>
      <c r="N22" s="262"/>
      <c r="O22" s="263"/>
      <c r="P22" s="282"/>
      <c r="Q22" s="283"/>
      <c r="R22" s="284"/>
      <c r="S22" s="285"/>
      <c r="T22" s="286"/>
      <c r="U22" s="287"/>
      <c r="V22" s="288"/>
      <c r="W22" s="289"/>
      <c r="X22" s="290"/>
      <c r="Y22" s="291"/>
    </row>
    <row r="23" spans="1:25">
      <c r="A23" s="2233"/>
      <c r="B23" s="2236"/>
      <c r="C23" s="2239"/>
      <c r="D23" s="2242"/>
      <c r="E23" s="705" t="s">
        <v>183</v>
      </c>
      <c r="F23" s="707" t="str">
        <f ca="1">IF($E23&lt;=DATOSAÑO!$B382,IF(DATOSAÑO!$Y382=0," ",((DATOSAÑO!$I382*DATOSAÑO!$AK382)/DATOSAÑO!$Y382))," ")</f>
        <v xml:space="preserve"> </v>
      </c>
      <c r="G23" s="708" t="str">
        <f ca="1">IF($E23&lt;=DATOSAÑO!$B382,IF(DATOSAÑO!$Y382=0," ",((DATOSAÑO!$P382*DATOSAÑO!$AK382)/DATOSAÑO!$Y382))," ")</f>
        <v xml:space="preserve"> </v>
      </c>
      <c r="H23" s="708" t="str">
        <f ca="1">IF($E23&lt;=DATOSAÑO!$B382,IF(DATOSAÑO!$Y382=0," ",((DATOSAÑO!$Q382*DATOSAÑO!$AK382)/DATOSAÑO!$Y382))," ")</f>
        <v xml:space="preserve"> </v>
      </c>
      <c r="I23" s="708" t="str">
        <f ca="1">IF($E23&lt;=DATOSAÑO!$B382,IF(DATOSAÑO!$Y382=0," ",((DATOSAÑO!$T382*DATOSAÑO!$AK382)/DATOSAÑO!$Y382))," ")</f>
        <v xml:space="preserve"> </v>
      </c>
      <c r="J23" s="708" t="str">
        <f t="shared" ca="1" si="1"/>
        <v xml:space="preserve"> </v>
      </c>
      <c r="K23" s="324"/>
      <c r="L23" s="280"/>
      <c r="M23" s="281"/>
      <c r="N23" s="262"/>
      <c r="O23" s="263"/>
      <c r="P23" s="282"/>
      <c r="Q23" s="283"/>
      <c r="R23" s="284"/>
      <c r="S23" s="285"/>
      <c r="T23" s="286"/>
      <c r="U23" s="287"/>
      <c r="V23" s="288"/>
      <c r="W23" s="289"/>
      <c r="X23" s="290"/>
      <c r="Y23" s="291"/>
    </row>
    <row r="24" spans="1:25">
      <c r="A24" s="2233"/>
      <c r="B24" s="2236"/>
      <c r="C24" s="2239"/>
      <c r="D24" s="2242"/>
      <c r="E24" s="705" t="s">
        <v>184</v>
      </c>
      <c r="F24" s="707" t="str">
        <f ca="1">IF($E24&lt;=DATOSAÑO!$B383,IF(DATOSAÑO!$Y383=0," ",((DATOSAÑO!$I383*DATOSAÑO!$AK383)/DATOSAÑO!$Y383))," ")</f>
        <v xml:space="preserve"> </v>
      </c>
      <c r="G24" s="708" t="str">
        <f ca="1">IF($E24&lt;=DATOSAÑO!$B383,IF(DATOSAÑO!$Y383=0," ",((DATOSAÑO!$P383*DATOSAÑO!$AK383)/DATOSAÑO!$Y383))," ")</f>
        <v xml:space="preserve"> </v>
      </c>
      <c r="H24" s="708" t="str">
        <f ca="1">IF($E24&lt;=DATOSAÑO!$B383,IF(DATOSAÑO!$Y383=0," ",((DATOSAÑO!$Q383*DATOSAÑO!$AK383)/DATOSAÑO!$Y383))," ")</f>
        <v xml:space="preserve"> </v>
      </c>
      <c r="I24" s="708" t="str">
        <f ca="1">IF($E24&lt;=DATOSAÑO!$B383,IF(DATOSAÑO!$Y383=0," ",((DATOSAÑO!$T383*DATOSAÑO!$AK383)/DATOSAÑO!$Y383))," ")</f>
        <v xml:space="preserve"> </v>
      </c>
      <c r="J24" s="708" t="str">
        <f t="shared" ca="1" si="1"/>
        <v xml:space="preserve"> </v>
      </c>
      <c r="K24" s="324"/>
      <c r="L24" s="280"/>
      <c r="M24" s="281"/>
      <c r="N24" s="262"/>
      <c r="O24" s="263"/>
      <c r="P24" s="282"/>
      <c r="Q24" s="283"/>
      <c r="R24" s="284"/>
      <c r="S24" s="285"/>
      <c r="T24" s="286"/>
      <c r="U24" s="287"/>
      <c r="V24" s="288"/>
      <c r="W24" s="289"/>
      <c r="X24" s="290"/>
      <c r="Y24" s="291"/>
    </row>
    <row r="25" spans="1:25">
      <c r="A25" s="2233"/>
      <c r="B25" s="2236"/>
      <c r="C25" s="2239"/>
      <c r="D25" s="2242"/>
      <c r="E25" s="705" t="s">
        <v>185</v>
      </c>
      <c r="F25" s="707" t="str">
        <f ca="1">IF($E25&lt;=DATOSAÑO!$B384,IF(DATOSAÑO!$Y384=0," ",((DATOSAÑO!$I384*DATOSAÑO!$AK384)/DATOSAÑO!$Y384))," ")</f>
        <v xml:space="preserve"> </v>
      </c>
      <c r="G25" s="708" t="str">
        <f ca="1">IF($E25&lt;=DATOSAÑO!$B384,IF(DATOSAÑO!$Y384=0," ",((DATOSAÑO!$P384*DATOSAÑO!$AK384)/DATOSAÑO!$Y384))," ")</f>
        <v xml:space="preserve"> </v>
      </c>
      <c r="H25" s="708" t="str">
        <f ca="1">IF($E25&lt;=DATOSAÑO!$B384,IF(DATOSAÑO!$Y384=0," ",((DATOSAÑO!$Q384*DATOSAÑO!$AK384)/DATOSAÑO!$Y384))," ")</f>
        <v xml:space="preserve"> </v>
      </c>
      <c r="I25" s="708" t="str">
        <f ca="1">IF($E25&lt;=DATOSAÑO!$B384,IF(DATOSAÑO!$Y384=0," ",((DATOSAÑO!$T384*DATOSAÑO!$AK384)/DATOSAÑO!$Y384))," ")</f>
        <v xml:space="preserve"> </v>
      </c>
      <c r="J25" s="708" t="str">
        <f t="shared" ca="1" si="1"/>
        <v xml:space="preserve"> </v>
      </c>
      <c r="K25" s="324"/>
      <c r="L25" s="280"/>
      <c r="M25" s="281"/>
      <c r="N25" s="262"/>
      <c r="O25" s="263"/>
      <c r="P25" s="282"/>
      <c r="Q25" s="283"/>
      <c r="R25" s="284"/>
      <c r="S25" s="285"/>
      <c r="T25" s="286"/>
      <c r="U25" s="287"/>
      <c r="V25" s="288"/>
      <c r="W25" s="289"/>
      <c r="X25" s="290"/>
      <c r="Y25" s="291"/>
    </row>
    <row r="26" spans="1:25">
      <c r="A26" s="2233"/>
      <c r="B26" s="2236"/>
      <c r="C26" s="2239"/>
      <c r="D26" s="2242"/>
      <c r="E26" s="705" t="s">
        <v>186</v>
      </c>
      <c r="F26" s="707" t="str">
        <f ca="1">IF($E26&lt;=DATOSAÑO!$B385,IF(DATOSAÑO!$Y385=0," ",((DATOSAÑO!$I385*DATOSAÑO!$AK385)/DATOSAÑO!$Y385))," ")</f>
        <v xml:space="preserve"> </v>
      </c>
      <c r="G26" s="708" t="str">
        <f ca="1">IF($E26&lt;=DATOSAÑO!$B385,IF(DATOSAÑO!$Y385=0," ",((DATOSAÑO!$P385*DATOSAÑO!$AK385)/DATOSAÑO!$Y385))," ")</f>
        <v xml:space="preserve"> </v>
      </c>
      <c r="H26" s="708" t="str">
        <f ca="1">IF($E26&lt;=DATOSAÑO!$B385,IF(DATOSAÑO!$Y385=0," ",((DATOSAÑO!$Q385*DATOSAÑO!$AK385)/DATOSAÑO!$Y385))," ")</f>
        <v xml:space="preserve"> </v>
      </c>
      <c r="I26" s="708" t="str">
        <f ca="1">IF($E26&lt;=DATOSAÑO!$B385,IF(DATOSAÑO!$Y385=0," ",((DATOSAÑO!$T385*DATOSAÑO!$AK385)/DATOSAÑO!$Y385))," ")</f>
        <v xml:space="preserve"> </v>
      </c>
      <c r="J26" s="708" t="str">
        <f t="shared" ca="1" si="1"/>
        <v xml:space="preserve"> </v>
      </c>
      <c r="K26" s="324"/>
      <c r="L26" s="280"/>
      <c r="M26" s="281"/>
      <c r="N26" s="262"/>
      <c r="O26" s="263"/>
      <c r="P26" s="282"/>
      <c r="Q26" s="283"/>
      <c r="R26" s="284"/>
      <c r="S26" s="285"/>
      <c r="T26" s="286"/>
      <c r="U26" s="287"/>
      <c r="V26" s="288"/>
      <c r="W26" s="289"/>
      <c r="X26" s="290"/>
      <c r="Y26" s="291"/>
    </row>
    <row r="27" spans="1:25">
      <c r="A27" s="2233"/>
      <c r="B27" s="2236"/>
      <c r="C27" s="2239"/>
      <c r="D27" s="2242"/>
      <c r="E27" s="705" t="s">
        <v>187</v>
      </c>
      <c r="F27" s="707" t="str">
        <f ca="1">IF($E27&lt;=DATOSAÑO!$B386,IF(DATOSAÑO!$Y386=0," ",((DATOSAÑO!$I386*DATOSAÑO!$AK386)/DATOSAÑO!$Y386))," ")</f>
        <v xml:space="preserve"> </v>
      </c>
      <c r="G27" s="708" t="str">
        <f ca="1">IF($E27&lt;=DATOSAÑO!$B386,IF(DATOSAÑO!$Y386=0," ",((DATOSAÑO!$P386*DATOSAÑO!$AK386)/DATOSAÑO!$Y386))," ")</f>
        <v xml:space="preserve"> </v>
      </c>
      <c r="H27" s="708" t="str">
        <f ca="1">IF($E27&lt;=DATOSAÑO!$B386,IF(DATOSAÑO!$Y386=0," ",((DATOSAÑO!$Q386*DATOSAÑO!$AK386)/DATOSAÑO!$Y386))," ")</f>
        <v xml:space="preserve"> </v>
      </c>
      <c r="I27" s="708" t="str">
        <f ca="1">IF($E27&lt;=DATOSAÑO!$B386,IF(DATOSAÑO!$Y386=0," ",((DATOSAÑO!$T386*DATOSAÑO!$AK386)/DATOSAÑO!$Y386))," ")</f>
        <v xml:space="preserve"> </v>
      </c>
      <c r="J27" s="708" t="str">
        <f t="shared" ca="1" si="1"/>
        <v xml:space="preserve"> </v>
      </c>
      <c r="K27" s="324"/>
      <c r="L27" s="280"/>
      <c r="M27" s="281"/>
      <c r="N27" s="262"/>
      <c r="O27" s="263"/>
      <c r="P27" s="282"/>
      <c r="Q27" s="283"/>
      <c r="R27" s="284"/>
      <c r="S27" s="285"/>
      <c r="T27" s="286"/>
      <c r="U27" s="287"/>
      <c r="V27" s="288"/>
      <c r="W27" s="289"/>
      <c r="X27" s="290"/>
      <c r="Y27" s="291"/>
    </row>
    <row r="28" spans="1:25" ht="15" thickBot="1">
      <c r="A28" s="2234"/>
      <c r="B28" s="2237"/>
      <c r="C28" s="2240"/>
      <c r="D28" s="2243"/>
      <c r="E28" s="706" t="s">
        <v>188</v>
      </c>
      <c r="F28" s="621" t="str">
        <f ca="1">IF($E28&lt;=DATOSAÑO!$B387,IF(DATOSAÑO!$Y387=0," ",((DATOSAÑO!$I387*DATOSAÑO!$AK387)/DATOSAÑO!$Y387))," ")</f>
        <v xml:space="preserve"> </v>
      </c>
      <c r="G28" s="325" t="str">
        <f ca="1">IF($E28&lt;=DATOSAÑO!$B387,IF(DATOSAÑO!$Y387=0," ",((DATOSAÑO!$P387*DATOSAÑO!$AK387)/DATOSAÑO!$Y387))," ")</f>
        <v xml:space="preserve"> </v>
      </c>
      <c r="H28" s="325" t="str">
        <f ca="1">IF($E28&lt;=DATOSAÑO!$B387,IF(DATOSAÑO!$Y387=0," ",((DATOSAÑO!$Q387*DATOSAÑO!$AK387)/DATOSAÑO!$Y387))," ")</f>
        <v xml:space="preserve"> </v>
      </c>
      <c r="I28" s="325" t="str">
        <f ca="1">IF($E28&lt;=DATOSAÑO!$B387,IF(DATOSAÑO!$Y387=0," ",((DATOSAÑO!$T387*DATOSAÑO!$AK387)/DATOSAÑO!$Y387))," ")</f>
        <v xml:space="preserve"> </v>
      </c>
      <c r="J28" s="325" t="str">
        <f t="shared" ca="1" si="1"/>
        <v xml:space="preserve"> </v>
      </c>
      <c r="K28" s="324"/>
      <c r="L28" s="292"/>
      <c r="M28" s="293"/>
      <c r="N28" s="266"/>
      <c r="O28" s="267"/>
      <c r="P28" s="294"/>
      <c r="Q28" s="295"/>
      <c r="R28" s="296"/>
      <c r="S28" s="297"/>
      <c r="T28" s="298"/>
      <c r="U28" s="299"/>
      <c r="V28" s="300"/>
      <c r="W28" s="301"/>
      <c r="X28" s="302"/>
      <c r="Y28" s="303"/>
    </row>
    <row r="29" spans="1:25">
      <c r="A29" s="2232" t="s">
        <v>251</v>
      </c>
      <c r="B29" s="2235" t="s">
        <v>252</v>
      </c>
      <c r="C29" s="2238" t="s">
        <v>255</v>
      </c>
      <c r="D29" s="2241">
        <v>2022</v>
      </c>
      <c r="E29" s="709" t="s">
        <v>176</v>
      </c>
      <c r="F29" s="310">
        <f ca="1">IF($E29&lt;=DATOSAÑO!$B376,IF(DATOSAÑO!$Y376=0," ",((DATOSAÑO!$I376*DATOSAÑO!$AD376)/DATOSAÑO!$Y376))," ")</f>
        <v>2120.1474849879505</v>
      </c>
      <c r="G29" s="311">
        <f ca="1">IF($E29&lt;=DATOSAÑO!$B376,IF(DATOSAÑO!$Y376=0," ",((DATOSAÑO!$P376*DATOSAÑO!$AD376)/DATOSAÑO!$Y376))," ")</f>
        <v>2997.2957013129112</v>
      </c>
      <c r="H29" s="311">
        <f ca="1">IF($E29&lt;=DATOSAÑO!$B376,IF(DATOSAÑO!$Y376=0," ",((DATOSAÑO!$Q376*DATOSAÑO!$AD376)/DATOSAÑO!$Y376))," ")</f>
        <v>0.69112584212015626</v>
      </c>
      <c r="I29" s="311">
        <f ca="1">IF($E29&lt;=DATOSAÑO!$B376,IF(DATOSAÑO!$Y376=0," ",((DATOSAÑO!$T376*DATOSAÑO!$AD376)/DATOSAÑO!$Y376))," ")</f>
        <v>0.9656878569952575</v>
      </c>
      <c r="J29" s="311">
        <f ca="1">IF($H29=" "," ",0)</f>
        <v>0</v>
      </c>
      <c r="K29" s="311"/>
      <c r="L29" s="268"/>
      <c r="M29" s="269"/>
      <c r="N29" s="258"/>
      <c r="O29" s="259"/>
      <c r="P29" s="270"/>
      <c r="Q29" s="271"/>
      <c r="R29" s="272"/>
      <c r="S29" s="273"/>
      <c r="T29" s="274"/>
      <c r="U29" s="275"/>
      <c r="V29" s="276"/>
      <c r="W29" s="277"/>
      <c r="X29" s="278"/>
      <c r="Y29" s="279"/>
    </row>
    <row r="30" spans="1:25">
      <c r="A30" s="2233"/>
      <c r="B30" s="2236"/>
      <c r="C30" s="2244"/>
      <c r="D30" s="2242"/>
      <c r="E30" s="705" t="s">
        <v>177</v>
      </c>
      <c r="F30" s="312">
        <f ca="1">IF($E30&lt;=DATOSAÑO!$B377,IF(DATOSAÑO!$Y377=0," ",((DATOSAÑO!$I377*DATOSAÑO!$AD377)/DATOSAÑO!$Y377))," ")</f>
        <v>2954.3160284342316</v>
      </c>
      <c r="G30" s="313">
        <f ca="1">IF($E30&lt;=DATOSAÑO!$B377,IF(DATOSAÑO!$Y377=0," ",((DATOSAÑO!$P377*DATOSAÑO!$AD377)/DATOSAÑO!$Y377))," ")</f>
        <v>1493.1142052429091</v>
      </c>
      <c r="H30" s="313">
        <f ca="1">IF($E30&lt;=DATOSAÑO!$B377,IF(DATOSAÑO!$Y377=0," ",((DATOSAÑO!$Q377*DATOSAÑO!$AD377)/DATOSAÑO!$Y377))," ")</f>
        <v>0.41907718115597065</v>
      </c>
      <c r="I30" s="313">
        <f ca="1">IF($E30&lt;=DATOSAÑO!$B377,IF(DATOSAÑO!$Y377=0," ",((DATOSAÑO!$T377*DATOSAÑO!$AD377)/DATOSAÑO!$Y377))," ")</f>
        <v>1.2506891416805161</v>
      </c>
      <c r="J30" s="313">
        <f t="shared" ref="J30:J40" ca="1" si="2">IF($H30=" "," ",0)</f>
        <v>0</v>
      </c>
      <c r="K30" s="313"/>
      <c r="L30" s="280"/>
      <c r="M30" s="281"/>
      <c r="N30" s="262"/>
      <c r="O30" s="263"/>
      <c r="P30" s="282"/>
      <c r="Q30" s="283"/>
      <c r="R30" s="284"/>
      <c r="S30" s="285"/>
      <c r="T30" s="286"/>
      <c r="U30" s="287"/>
      <c r="V30" s="288"/>
      <c r="W30" s="289"/>
      <c r="X30" s="290"/>
      <c r="Y30" s="291"/>
    </row>
    <row r="31" spans="1:25">
      <c r="A31" s="2233"/>
      <c r="B31" s="2236"/>
      <c r="C31" s="2244"/>
      <c r="D31" s="2242"/>
      <c r="E31" s="705" t="s">
        <v>178</v>
      </c>
      <c r="F31" s="312">
        <f ca="1">IF($E31&lt;=DATOSAÑO!$B378,IF(DATOSAÑO!$Y378=0," ",((DATOSAÑO!$I378*DATOSAÑO!$AD378)/DATOSAÑO!$Y378))," ")</f>
        <v>3339.9710309510033</v>
      </c>
      <c r="G31" s="313">
        <f ca="1">IF($E31&lt;=DATOSAÑO!$B378,IF(DATOSAÑO!$Y378=0," ",((DATOSAÑO!$P378*DATOSAÑO!$AD378)/DATOSAÑO!$Y378))," ")</f>
        <v>1741.7982019472272</v>
      </c>
      <c r="H31" s="313">
        <f ca="1">IF($E31&lt;=DATOSAÑO!$B378,IF(DATOSAÑO!$Y378=0," ",((DATOSAÑO!$Q378*DATOSAÑO!$AD378)/DATOSAÑO!$Y378))," ")</f>
        <v>0.23912884258107384</v>
      </c>
      <c r="I31" s="313">
        <f ca="1">IF($E31&lt;=DATOSAÑO!$B378,IF(DATOSAÑO!$Y378=0," ",((DATOSAÑO!$T378*DATOSAÑO!$AD378)/DATOSAÑO!$Y378))," ")</f>
        <v>0.39163825921175038</v>
      </c>
      <c r="J31" s="313">
        <f t="shared" ca="1" si="2"/>
        <v>0</v>
      </c>
      <c r="K31" s="313"/>
      <c r="L31" s="280"/>
      <c r="M31" s="281"/>
      <c r="N31" s="262"/>
      <c r="O31" s="263"/>
      <c r="P31" s="282"/>
      <c r="Q31" s="283"/>
      <c r="R31" s="284"/>
      <c r="S31" s="285"/>
      <c r="T31" s="286"/>
      <c r="U31" s="287"/>
      <c r="V31" s="288"/>
      <c r="W31" s="289"/>
      <c r="X31" s="290"/>
      <c r="Y31" s="291"/>
    </row>
    <row r="32" spans="1:25">
      <c r="A32" s="2233"/>
      <c r="B32" s="2236"/>
      <c r="C32" s="2244"/>
      <c r="D32" s="2242"/>
      <c r="E32" s="705" t="s">
        <v>179</v>
      </c>
      <c r="F32" s="312">
        <f ca="1">IF($E32&lt;=DATOSAÑO!$B379,IF(DATOSAÑO!$Y379=0," ",((DATOSAÑO!$I379*DATOSAÑO!$AD379)/DATOSAÑO!$Y379))," ")</f>
        <v>3490.3280989131372</v>
      </c>
      <c r="G32" s="313">
        <f ca="1">IF($E32&lt;=DATOSAÑO!$B379,IF(DATOSAÑO!$Y379=0," ",((DATOSAÑO!$P379*DATOSAÑO!$AD379)/DATOSAÑO!$Y379))," ")</f>
        <v>1404.8000356216094</v>
      </c>
      <c r="H32" s="313">
        <f ca="1">IF($E32&lt;=DATOSAÑO!$B379,IF(DATOSAÑO!$Y379=0," ",((DATOSAÑO!$Q379*DATOSAÑO!$AD379)/DATOSAÑO!$Y379))," ")</f>
        <v>1.9366776731758055</v>
      </c>
      <c r="I32" s="313">
        <f ca="1">IF($E32&lt;=DATOSAÑO!$B379,IF(DATOSAÑO!$Y379=0," ",((DATOSAÑO!$T379*DATOSAÑO!$AD379)/DATOSAÑO!$Y379))," ")</f>
        <v>9.8851877921479439</v>
      </c>
      <c r="J32" s="313">
        <f t="shared" ca="1" si="2"/>
        <v>0</v>
      </c>
      <c r="K32" s="313"/>
      <c r="L32" s="280"/>
      <c r="M32" s="281"/>
      <c r="N32" s="262"/>
      <c r="O32" s="263"/>
      <c r="P32" s="282"/>
      <c r="Q32" s="283"/>
      <c r="R32" s="284"/>
      <c r="S32" s="285"/>
      <c r="T32" s="286"/>
      <c r="U32" s="287"/>
      <c r="V32" s="288"/>
      <c r="W32" s="289"/>
      <c r="X32" s="290"/>
      <c r="Y32" s="291"/>
    </row>
    <row r="33" spans="1:25">
      <c r="A33" s="2233"/>
      <c r="B33" s="2236"/>
      <c r="C33" s="2244"/>
      <c r="D33" s="2242"/>
      <c r="E33" s="705" t="s">
        <v>180</v>
      </c>
      <c r="F33" s="312">
        <f ca="1">IF($E33&lt;=DATOSAÑO!$B380,IF(DATOSAÑO!$Y380=0," ",((DATOSAÑO!$I380*DATOSAÑO!$AD380)/DATOSAÑO!$Y380))," ")</f>
        <v>2329.1721003726311</v>
      </c>
      <c r="G33" s="313">
        <f ca="1">IF($E33&lt;=DATOSAÑO!$B380,IF(DATOSAÑO!$Y380=0," ",((DATOSAÑO!$P380*DATOSAÑO!$AD380)/DATOSAÑO!$Y380))," ")</f>
        <v>2132.0669929493206</v>
      </c>
      <c r="H33" s="313">
        <f ca="1">IF($E33&lt;=DATOSAÑO!$B380,IF(DATOSAÑO!$Y380=0," ",((DATOSAÑO!$Q380*DATOSAÑO!$AD380)/DATOSAÑO!$Y380))," ")</f>
        <v>0.50215479717853928</v>
      </c>
      <c r="I33" s="313">
        <f ca="1">IF($E33&lt;=DATOSAÑO!$B380,IF(DATOSAÑO!$Y380=0," ",((DATOSAÑO!$T380*DATOSAÑO!$AD380)/DATOSAÑO!$Y380))," ")</f>
        <v>0.95875188086889862</v>
      </c>
      <c r="J33" s="313">
        <f t="shared" ca="1" si="2"/>
        <v>0</v>
      </c>
      <c r="K33" s="313"/>
      <c r="L33" s="280"/>
      <c r="M33" s="281"/>
      <c r="N33" s="262"/>
      <c r="O33" s="263"/>
      <c r="P33" s="282"/>
      <c r="Q33" s="283"/>
      <c r="R33" s="284"/>
      <c r="S33" s="285"/>
      <c r="T33" s="286"/>
      <c r="U33" s="287"/>
      <c r="V33" s="288"/>
      <c r="W33" s="289"/>
      <c r="X33" s="290"/>
      <c r="Y33" s="291"/>
    </row>
    <row r="34" spans="1:25">
      <c r="A34" s="2233"/>
      <c r="B34" s="2236"/>
      <c r="C34" s="2244"/>
      <c r="D34" s="2242"/>
      <c r="E34" s="705" t="s">
        <v>182</v>
      </c>
      <c r="F34" s="312">
        <f ca="1">IF($E34&lt;=DATOSAÑO!$B381,IF(DATOSAÑO!$Y381=0," ",((DATOSAÑO!$I381*DATOSAÑO!$AD381)/DATOSAÑO!$Y381))," ")</f>
        <v>440.66817155756206</v>
      </c>
      <c r="G34" s="313">
        <f ca="1">IF($E34&lt;=DATOSAÑO!$B381,IF(DATOSAÑO!$Y381=0," ",((DATOSAÑO!$P381*DATOSAÑO!$AD381)/DATOSAÑO!$Y381))," ")</f>
        <v>223.33182844243791</v>
      </c>
      <c r="H34" s="313">
        <f ca="1">IF($E34&lt;=DATOSAÑO!$B381,IF(DATOSAÑO!$Y381=0," ",((DATOSAÑO!$Q381*DATOSAÑO!$AD381)/DATOSAÑO!$Y381))," ")</f>
        <v>0</v>
      </c>
      <c r="I34" s="313">
        <f ca="1">IF($E34&lt;=DATOSAÑO!$B381,IF(DATOSAÑO!$Y381=0," ",((DATOSAÑO!$T381*DATOSAÑO!$AD381)/DATOSAÑO!$Y381))," ")</f>
        <v>0</v>
      </c>
      <c r="J34" s="313">
        <f t="shared" ca="1" si="2"/>
        <v>0</v>
      </c>
      <c r="K34" s="313"/>
      <c r="L34" s="280"/>
      <c r="M34" s="281"/>
      <c r="N34" s="262"/>
      <c r="O34" s="263"/>
      <c r="P34" s="282"/>
      <c r="Q34" s="283"/>
      <c r="R34" s="284"/>
      <c r="S34" s="285"/>
      <c r="T34" s="286"/>
      <c r="U34" s="287"/>
      <c r="V34" s="288"/>
      <c r="W34" s="289"/>
      <c r="X34" s="290"/>
      <c r="Y34" s="291"/>
    </row>
    <row r="35" spans="1:25">
      <c r="A35" s="2233"/>
      <c r="B35" s="2236"/>
      <c r="C35" s="2244"/>
      <c r="D35" s="2242"/>
      <c r="E35" s="705" t="s">
        <v>183</v>
      </c>
      <c r="F35" s="312" t="str">
        <f ca="1">IF($E35&lt;=DATOSAÑO!$B382,IF(DATOSAÑO!$Y382=0," ",((DATOSAÑO!$I382*DATOSAÑO!$AD382)/DATOSAÑO!$Y382))," ")</f>
        <v xml:space="preserve"> </v>
      </c>
      <c r="G35" s="313" t="str">
        <f ca="1">IF($E35&lt;=DATOSAÑO!$B382,IF(DATOSAÑO!$Y382=0," ",((DATOSAÑO!$P382*DATOSAÑO!$AD382)/DATOSAÑO!$Y382))," ")</f>
        <v xml:space="preserve"> </v>
      </c>
      <c r="H35" s="313" t="str">
        <f ca="1">IF($E35&lt;=DATOSAÑO!$B382,IF(DATOSAÑO!$Y382=0," ",((DATOSAÑO!$Q382*DATOSAÑO!$AD382)/DATOSAÑO!$Y382))," ")</f>
        <v xml:space="preserve"> </v>
      </c>
      <c r="I35" s="313" t="str">
        <f ca="1">IF($E35&lt;=DATOSAÑO!$B382,IF(DATOSAÑO!$Y382=0," ",((DATOSAÑO!$T382*DATOSAÑO!$AD382)/DATOSAÑO!$Y382))," ")</f>
        <v xml:space="preserve"> </v>
      </c>
      <c r="J35" s="313" t="str">
        <f t="shared" ca="1" si="2"/>
        <v xml:space="preserve"> </v>
      </c>
      <c r="K35" s="313"/>
      <c r="L35" s="280"/>
      <c r="M35" s="281"/>
      <c r="N35" s="262"/>
      <c r="O35" s="263"/>
      <c r="P35" s="282"/>
      <c r="Q35" s="283"/>
      <c r="R35" s="284"/>
      <c r="S35" s="285"/>
      <c r="T35" s="286"/>
      <c r="U35" s="287"/>
      <c r="V35" s="288"/>
      <c r="W35" s="289"/>
      <c r="X35" s="290"/>
      <c r="Y35" s="291"/>
    </row>
    <row r="36" spans="1:25">
      <c r="A36" s="2233"/>
      <c r="B36" s="2236"/>
      <c r="C36" s="2244"/>
      <c r="D36" s="2242"/>
      <c r="E36" s="705" t="s">
        <v>184</v>
      </c>
      <c r="F36" s="312" t="str">
        <f ca="1">IF($E36&lt;=DATOSAÑO!$B383,IF(DATOSAÑO!$Y383=0," ",((DATOSAÑO!$I383*DATOSAÑO!$AD383)/DATOSAÑO!$Y383))," ")</f>
        <v xml:space="preserve"> </v>
      </c>
      <c r="G36" s="313" t="str">
        <f ca="1">IF($E36&lt;=DATOSAÑO!$B383,IF(DATOSAÑO!$Y383=0," ",((DATOSAÑO!$P383*DATOSAÑO!$AD383)/DATOSAÑO!$Y383))," ")</f>
        <v xml:space="preserve"> </v>
      </c>
      <c r="H36" s="313" t="str">
        <f ca="1">IF($E36&lt;=DATOSAÑO!$B383,IF(DATOSAÑO!$Y383=0," ",((DATOSAÑO!$Q383*DATOSAÑO!$AD383)/DATOSAÑO!$Y383))," ")</f>
        <v xml:space="preserve"> </v>
      </c>
      <c r="I36" s="313" t="str">
        <f ca="1">IF($E36&lt;=DATOSAÑO!$B383,IF(DATOSAÑO!$Y383=0," ",((DATOSAÑO!$T383*DATOSAÑO!$AD383)/DATOSAÑO!$Y383))," ")</f>
        <v xml:space="preserve"> </v>
      </c>
      <c r="J36" s="313" t="str">
        <f t="shared" ca="1" si="2"/>
        <v xml:space="preserve"> </v>
      </c>
      <c r="K36" s="313"/>
      <c r="L36" s="280"/>
      <c r="M36" s="281"/>
      <c r="N36" s="262"/>
      <c r="O36" s="263"/>
      <c r="P36" s="282"/>
      <c r="Q36" s="283"/>
      <c r="R36" s="284"/>
      <c r="S36" s="285"/>
      <c r="T36" s="286"/>
      <c r="U36" s="287"/>
      <c r="V36" s="288"/>
      <c r="W36" s="289"/>
      <c r="X36" s="290"/>
      <c r="Y36" s="291"/>
    </row>
    <row r="37" spans="1:25">
      <c r="A37" s="2233"/>
      <c r="B37" s="2236"/>
      <c r="C37" s="2244"/>
      <c r="D37" s="2242"/>
      <c r="E37" s="705" t="s">
        <v>185</v>
      </c>
      <c r="F37" s="312" t="str">
        <f ca="1">IF($E37&lt;=DATOSAÑO!$B384,IF(DATOSAÑO!$Y384=0," ",((DATOSAÑO!$I384*DATOSAÑO!$AD384)/DATOSAÑO!$Y384))," ")</f>
        <v xml:space="preserve"> </v>
      </c>
      <c r="G37" s="313" t="str">
        <f ca="1">IF($E37&lt;=DATOSAÑO!$B384,IF(DATOSAÑO!$Y384=0," ",((DATOSAÑO!$P384*DATOSAÑO!$AD384)/DATOSAÑO!$Y384))," ")</f>
        <v xml:space="preserve"> </v>
      </c>
      <c r="H37" s="313" t="str">
        <f ca="1">IF($E37&lt;=DATOSAÑO!$B384,IF(DATOSAÑO!$Y384=0," ",((DATOSAÑO!$Q384*DATOSAÑO!$AD384)/DATOSAÑO!$Y384))," ")</f>
        <v xml:space="preserve"> </v>
      </c>
      <c r="I37" s="313" t="str">
        <f ca="1">IF($E37&lt;=DATOSAÑO!$B384,IF(DATOSAÑO!$Y384=0," ",((DATOSAÑO!$T384*DATOSAÑO!$AD384)/DATOSAÑO!$Y384))," ")</f>
        <v xml:space="preserve"> </v>
      </c>
      <c r="J37" s="313" t="str">
        <f t="shared" ca="1" si="2"/>
        <v xml:space="preserve"> </v>
      </c>
      <c r="K37" s="313"/>
      <c r="L37" s="280"/>
      <c r="M37" s="281"/>
      <c r="N37" s="262"/>
      <c r="O37" s="263"/>
      <c r="P37" s="282"/>
      <c r="Q37" s="283"/>
      <c r="R37" s="284"/>
      <c r="S37" s="285"/>
      <c r="T37" s="286"/>
      <c r="U37" s="287"/>
      <c r="V37" s="288"/>
      <c r="W37" s="289"/>
      <c r="X37" s="290"/>
      <c r="Y37" s="291"/>
    </row>
    <row r="38" spans="1:25">
      <c r="A38" s="2233"/>
      <c r="B38" s="2236"/>
      <c r="C38" s="2244"/>
      <c r="D38" s="2242"/>
      <c r="E38" s="705" t="s">
        <v>186</v>
      </c>
      <c r="F38" s="312" t="str">
        <f ca="1">IF($E38&lt;=DATOSAÑO!$B385,IF(DATOSAÑO!$Y385=0," ",((DATOSAÑO!$I385*DATOSAÑO!$AD385)/DATOSAÑO!$Y385))," ")</f>
        <v xml:space="preserve"> </v>
      </c>
      <c r="G38" s="313" t="str">
        <f ca="1">IF($E38&lt;=DATOSAÑO!$B385,IF(DATOSAÑO!$Y385=0," ",((DATOSAÑO!$P385*DATOSAÑO!$AD385)/DATOSAÑO!$Y385))," ")</f>
        <v xml:space="preserve"> </v>
      </c>
      <c r="H38" s="313" t="str">
        <f ca="1">IF($E38&lt;=DATOSAÑO!$B385,IF(DATOSAÑO!$Y385=0," ",((DATOSAÑO!$Q385*DATOSAÑO!$AD385)/DATOSAÑO!$Y385))," ")</f>
        <v xml:space="preserve"> </v>
      </c>
      <c r="I38" s="313" t="str">
        <f ca="1">IF($E38&lt;=DATOSAÑO!$B385,IF(DATOSAÑO!$Y385=0," ",((DATOSAÑO!$T385*DATOSAÑO!$AD385)/DATOSAÑO!$Y385))," ")</f>
        <v xml:space="preserve"> </v>
      </c>
      <c r="J38" s="313" t="str">
        <f t="shared" ca="1" si="2"/>
        <v xml:space="preserve"> </v>
      </c>
      <c r="K38" s="313"/>
      <c r="L38" s="280"/>
      <c r="M38" s="281"/>
      <c r="N38" s="262"/>
      <c r="O38" s="263"/>
      <c r="P38" s="282"/>
      <c r="Q38" s="283"/>
      <c r="R38" s="284"/>
      <c r="S38" s="285"/>
      <c r="T38" s="286"/>
      <c r="U38" s="287"/>
      <c r="V38" s="288"/>
      <c r="W38" s="289"/>
      <c r="X38" s="290"/>
      <c r="Y38" s="291"/>
    </row>
    <row r="39" spans="1:25">
      <c r="A39" s="2233"/>
      <c r="B39" s="2236"/>
      <c r="C39" s="2244"/>
      <c r="D39" s="2242"/>
      <c r="E39" s="705" t="s">
        <v>187</v>
      </c>
      <c r="F39" s="312" t="str">
        <f ca="1">IF($E39&lt;=DATOSAÑO!$B386,IF(DATOSAÑO!$Y386=0," ",((DATOSAÑO!$I386*DATOSAÑO!$AD386)/DATOSAÑO!$Y386))," ")</f>
        <v xml:space="preserve"> </v>
      </c>
      <c r="G39" s="313" t="str">
        <f ca="1">IF($E39&lt;=DATOSAÑO!$B386,IF(DATOSAÑO!$Y386=0," ",((DATOSAÑO!$P386*DATOSAÑO!$AD386)/DATOSAÑO!$Y386))," ")</f>
        <v xml:space="preserve"> </v>
      </c>
      <c r="H39" s="313" t="str">
        <f ca="1">IF($E39&lt;=DATOSAÑO!$B386,IF(DATOSAÑO!$Y386=0," ",((DATOSAÑO!$Q386*DATOSAÑO!$AD386)/DATOSAÑO!$Y386))," ")</f>
        <v xml:space="preserve"> </v>
      </c>
      <c r="I39" s="313" t="str">
        <f ca="1">IF($E39&lt;=DATOSAÑO!$B386,IF(DATOSAÑO!$Y386=0," ",((DATOSAÑO!$T386*DATOSAÑO!$AD386)/DATOSAÑO!$Y386))," ")</f>
        <v xml:space="preserve"> </v>
      </c>
      <c r="J39" s="313" t="str">
        <f t="shared" ca="1" si="2"/>
        <v xml:space="preserve"> </v>
      </c>
      <c r="K39" s="313"/>
      <c r="L39" s="280"/>
      <c r="M39" s="281"/>
      <c r="N39" s="262"/>
      <c r="O39" s="263"/>
      <c r="P39" s="282"/>
      <c r="Q39" s="283"/>
      <c r="R39" s="284"/>
      <c r="S39" s="285"/>
      <c r="T39" s="286"/>
      <c r="U39" s="287"/>
      <c r="V39" s="288"/>
      <c r="W39" s="289"/>
      <c r="X39" s="290"/>
      <c r="Y39" s="291"/>
    </row>
    <row r="40" spans="1:25" ht="15" thickBot="1">
      <c r="A40" s="2234"/>
      <c r="B40" s="2237"/>
      <c r="C40" s="2245"/>
      <c r="D40" s="2243"/>
      <c r="E40" s="706" t="s">
        <v>188</v>
      </c>
      <c r="F40" s="621" t="str">
        <f ca="1">IF($E40&lt;=DATOSAÑO!$B387,IF(DATOSAÑO!$Y387=0," ",((DATOSAÑO!$I387*DATOSAÑO!$AD387)/DATOSAÑO!$Y387))," ")</f>
        <v xml:space="preserve"> </v>
      </c>
      <c r="G40" s="325" t="str">
        <f ca="1">IF($E40&lt;=DATOSAÑO!$B387,IF(DATOSAÑO!$Y387=0," ",((DATOSAÑO!$P387*DATOSAÑO!$AD387)/DATOSAÑO!$Y387))," ")</f>
        <v xml:space="preserve"> </v>
      </c>
      <c r="H40" s="325" t="str">
        <f ca="1">IF($E40&lt;=DATOSAÑO!$B387,IF(DATOSAÑO!$Y387=0," ",((DATOSAÑO!$Q387*DATOSAÑO!$AD387)/DATOSAÑO!$Y387))," ")</f>
        <v xml:space="preserve"> </v>
      </c>
      <c r="I40" s="325" t="str">
        <f ca="1">IF($E40&lt;=DATOSAÑO!$B387,IF(DATOSAÑO!$Y387=0," ",((DATOSAÑO!$T387*DATOSAÑO!$AD387)/DATOSAÑO!$Y387))," ")</f>
        <v xml:space="preserve"> </v>
      </c>
      <c r="J40" s="325" t="str">
        <f t="shared" ca="1" si="2"/>
        <v xml:space="preserve"> </v>
      </c>
      <c r="K40" s="313"/>
      <c r="L40" s="292"/>
      <c r="M40" s="293"/>
      <c r="N40" s="266"/>
      <c r="O40" s="267"/>
      <c r="P40" s="294"/>
      <c r="Q40" s="295"/>
      <c r="R40" s="296"/>
      <c r="S40" s="297"/>
      <c r="T40" s="298"/>
      <c r="U40" s="299"/>
      <c r="V40" s="300"/>
      <c r="W40" s="301"/>
      <c r="X40" s="302"/>
      <c r="Y40" s="303"/>
    </row>
    <row r="41" spans="1:25">
      <c r="A41" s="2232" t="s">
        <v>251</v>
      </c>
      <c r="B41" s="2235" t="s">
        <v>252</v>
      </c>
      <c r="C41" s="2238" t="s">
        <v>256</v>
      </c>
      <c r="D41" s="2241">
        <v>2022</v>
      </c>
      <c r="E41" s="709" t="s">
        <v>176</v>
      </c>
      <c r="F41" s="310">
        <f ca="1">IF($E41&lt;=DATOSAÑO!$B376,IF(DATOSAÑO!$Y376=0," ",((DATOSAÑO!$I376*DATOSAÑO!$AH376)/DATOSAÑO!$Y376))," ")</f>
        <v>132.82242941838069</v>
      </c>
      <c r="G41" s="311">
        <f ca="1">IF($E41&lt;=DATOSAÑO!$B376,IF(DATOSAÑO!$Y376=0," ",((DATOSAÑO!$P376*DATOSAÑO!$AH376)/DATOSAÑO!$Y376))," ")</f>
        <v>187.7737749626001</v>
      </c>
      <c r="H41" s="311">
        <f ca="1">IF($E41&lt;=DATOSAÑO!$B376,IF(DATOSAÑO!$Y376=0," ",((DATOSAÑO!$Q376*DATOSAÑO!$AH376)/DATOSAÑO!$Y376))," ")</f>
        <v>4.3297465876410521E-2</v>
      </c>
      <c r="I41" s="311">
        <f ca="1">IF($E41&lt;=DATOSAÑO!$B376,IF(DATOSAÑO!$Y376=0," ",((DATOSAÑO!$T376*DATOSAÑO!$AH376)/DATOSAÑO!$Y376))," ")</f>
        <v>6.0498153139883507E-2</v>
      </c>
      <c r="J41" s="311">
        <f ca="1">IF($H41=" "," ",0)</f>
        <v>0</v>
      </c>
      <c r="K41" s="268"/>
      <c r="L41" s="268"/>
      <c r="M41" s="269"/>
      <c r="N41" s="258"/>
      <c r="O41" s="259"/>
      <c r="P41" s="270"/>
      <c r="Q41" s="271"/>
      <c r="R41" s="272"/>
      <c r="S41" s="273"/>
      <c r="T41" s="274"/>
      <c r="U41" s="275"/>
      <c r="V41" s="276"/>
      <c r="W41" s="277"/>
      <c r="X41" s="278"/>
      <c r="Y41" s="279"/>
    </row>
    <row r="42" spans="1:25">
      <c r="A42" s="2233"/>
      <c r="B42" s="2236"/>
      <c r="C42" s="2244"/>
      <c r="D42" s="2242"/>
      <c r="E42" s="705" t="s">
        <v>177</v>
      </c>
      <c r="F42" s="312">
        <f ca="1">IF($E42&lt;=DATOSAÑO!$B377,IF(DATOSAÑO!$Y377=0," ",((DATOSAÑO!$I377*DATOSAÑO!$AH377)/DATOSAÑO!$Y377))," ")</f>
        <v>186.25916387040218</v>
      </c>
      <c r="G42" s="313">
        <f ca="1">IF($E42&lt;=DATOSAÑO!$B377,IF(DATOSAÑO!$Y377=0," ",((DATOSAÑO!$P377*DATOSAÑO!$AH377)/DATOSAÑO!$Y377))," ")</f>
        <v>94.135563275862125</v>
      </c>
      <c r="H42" s="313">
        <f ca="1">IF($E42&lt;=DATOSAÑO!$B377,IF(DATOSAÑO!$Y377=0," ",((DATOSAÑO!$Q377*DATOSAÑO!$AH377)/DATOSAÑO!$Y377))," ")</f>
        <v>2.6421332250174276E-2</v>
      </c>
      <c r="I42" s="313">
        <f ca="1">IF($E42&lt;=DATOSAÑO!$B377,IF(DATOSAÑO!$Y377=0," ",((DATOSAÑO!$T377*DATOSAÑO!$AH377)/DATOSAÑO!$Y377))," ")</f>
        <v>7.8851521485555867E-2</v>
      </c>
      <c r="J42" s="313">
        <f t="shared" ref="J42:J52" ca="1" si="3">IF($H42=" "," ",0)</f>
        <v>0</v>
      </c>
      <c r="K42" s="280"/>
      <c r="L42" s="280"/>
      <c r="M42" s="281"/>
      <c r="N42" s="262"/>
      <c r="O42" s="263"/>
      <c r="P42" s="282"/>
      <c r="Q42" s="283"/>
      <c r="R42" s="284"/>
      <c r="S42" s="285"/>
      <c r="T42" s="286"/>
      <c r="U42" s="287"/>
      <c r="V42" s="288"/>
      <c r="W42" s="289"/>
      <c r="X42" s="290"/>
      <c r="Y42" s="291"/>
    </row>
    <row r="43" spans="1:25">
      <c r="A43" s="2233"/>
      <c r="B43" s="2236"/>
      <c r="C43" s="2244"/>
      <c r="D43" s="2242"/>
      <c r="E43" s="705" t="s">
        <v>178</v>
      </c>
      <c r="F43" s="312">
        <f ca="1">IF($E43&lt;=DATOSAÑO!$B378,IF(DATOSAÑO!$Y378=0," ",((DATOSAÑO!$I378*DATOSAÑO!$AH378)/DATOSAÑO!$Y378))," ")</f>
        <v>197.67497365615748</v>
      </c>
      <c r="G43" s="313">
        <f ca="1">IF($E43&lt;=DATOSAÑO!$B378,IF(DATOSAÑO!$Y378=0," ",((DATOSAÑO!$P378*DATOSAÑO!$AH378)/DATOSAÑO!$Y378))," ")</f>
        <v>103.08769462177756</v>
      </c>
      <c r="H43" s="313">
        <f ca="1">IF($E43&lt;=DATOSAÑO!$B378,IF(DATOSAÑO!$Y378=0," ",((DATOSAÑO!$Q378*DATOSAÑO!$AH378)/DATOSAÑO!$Y378))," ")</f>
        <v>1.4152753787263203E-2</v>
      </c>
      <c r="I43" s="313">
        <f ca="1">IF($E43&lt;=DATOSAÑO!$B378,IF(DATOSAÑO!$Y378=0," ",((DATOSAÑO!$T378*DATOSAÑO!$AH378)/DATOSAÑO!$Y378))," ")</f>
        <v>2.3178968276974202E-2</v>
      </c>
      <c r="J43" s="313">
        <f t="shared" ca="1" si="3"/>
        <v>0</v>
      </c>
      <c r="K43" s="280"/>
      <c r="L43" s="280"/>
      <c r="M43" s="281"/>
      <c r="N43" s="262"/>
      <c r="O43" s="263"/>
      <c r="P43" s="282"/>
      <c r="Q43" s="283"/>
      <c r="R43" s="284"/>
      <c r="S43" s="285"/>
      <c r="T43" s="286"/>
      <c r="U43" s="287"/>
      <c r="V43" s="288"/>
      <c r="W43" s="289"/>
      <c r="X43" s="290"/>
      <c r="Y43" s="291"/>
    </row>
    <row r="44" spans="1:25">
      <c r="A44" s="2233"/>
      <c r="B44" s="2236"/>
      <c r="C44" s="2244"/>
      <c r="D44" s="2242"/>
      <c r="E44" s="705" t="s">
        <v>179</v>
      </c>
      <c r="F44" s="312">
        <f ca="1">IF($E44&lt;=DATOSAÑO!$B379,IF(DATOSAÑO!$Y379=0," ",((DATOSAÑO!$I379*DATOSAÑO!$AH379)/DATOSAÑO!$Y379))," ")</f>
        <v>223.49139255107312</v>
      </c>
      <c r="G44" s="313">
        <f ca="1">IF($E44&lt;=DATOSAÑO!$B379,IF(DATOSAÑO!$Y379=0," ",((DATOSAÑO!$P379*DATOSAÑO!$AH379)/DATOSAÑO!$Y379))," ")</f>
        <v>89.951634149991705</v>
      </c>
      <c r="H44" s="313">
        <f ca="1">IF($E44&lt;=DATOSAÑO!$B379,IF(DATOSAÑO!$Y379=0," ",((DATOSAÑO!$Q379*DATOSAÑO!$AH379)/DATOSAÑO!$Y379))," ")</f>
        <v>0.12400862550297584</v>
      </c>
      <c r="I44" s="313">
        <f ca="1">IF($E44&lt;=DATOSAÑO!$B379,IF(DATOSAÑO!$Y379=0," ",((DATOSAÑO!$T379*DATOSAÑO!$AH379)/DATOSAÑO!$Y379))," ")</f>
        <v>0.63296467343111895</v>
      </c>
      <c r="J44" s="313">
        <f t="shared" ca="1" si="3"/>
        <v>0</v>
      </c>
      <c r="K44" s="280"/>
      <c r="L44" s="280"/>
      <c r="M44" s="281"/>
      <c r="N44" s="262"/>
      <c r="O44" s="263"/>
      <c r="P44" s="282"/>
      <c r="Q44" s="283"/>
      <c r="R44" s="284"/>
      <c r="S44" s="285"/>
      <c r="T44" s="286"/>
      <c r="U44" s="287"/>
      <c r="V44" s="288"/>
      <c r="W44" s="289"/>
      <c r="X44" s="290"/>
      <c r="Y44" s="291"/>
    </row>
    <row r="45" spans="1:25">
      <c r="A45" s="2233"/>
      <c r="B45" s="2236"/>
      <c r="C45" s="2244"/>
      <c r="D45" s="2242"/>
      <c r="E45" s="705" t="s">
        <v>180</v>
      </c>
      <c r="F45" s="312">
        <f ca="1">IF($E45&lt;=DATOSAÑO!$B380,IF(DATOSAÑO!$Y380=0," ",((DATOSAÑO!$I380*DATOSAÑO!$AH380)/DATOSAÑO!$Y380))," ")</f>
        <v>177.8181223467779</v>
      </c>
      <c r="G45" s="313">
        <f ca="1">IF($E45&lt;=DATOSAÑO!$B380,IF(DATOSAÑO!$Y380=0," ",((DATOSAÑO!$P380*DATOSAÑO!$AH380)/DATOSAÑO!$Y380))," ")</f>
        <v>162.77034631452776</v>
      </c>
      <c r="H45" s="313">
        <f ca="1">IF($E45&lt;=DATOSAÑO!$B380,IF(DATOSAÑO!$Y380=0," ",((DATOSAÑO!$Q380*DATOSAÑO!$AH380)/DATOSAÑO!$Y380))," ")</f>
        <v>3.8336464337448299E-2</v>
      </c>
      <c r="I45" s="313">
        <f ca="1">IF($E45&lt;=DATOSAÑO!$B380,IF(DATOSAÑO!$Y380=0," ",((DATOSAÑO!$T380*DATOSAÑO!$AH380)/DATOSAÑO!$Y380))," ")</f>
        <v>7.3194874361269632E-2</v>
      </c>
      <c r="J45" s="313">
        <f t="shared" ca="1" si="3"/>
        <v>0</v>
      </c>
      <c r="K45" s="280"/>
      <c r="L45" s="280"/>
      <c r="M45" s="281"/>
      <c r="N45" s="262"/>
      <c r="O45" s="263"/>
      <c r="P45" s="282"/>
      <c r="Q45" s="283"/>
      <c r="R45" s="284"/>
      <c r="S45" s="285"/>
      <c r="T45" s="286"/>
      <c r="U45" s="287"/>
      <c r="V45" s="288"/>
      <c r="W45" s="289"/>
      <c r="X45" s="290"/>
      <c r="Y45" s="291"/>
    </row>
    <row r="46" spans="1:25">
      <c r="A46" s="2233"/>
      <c r="B46" s="2236"/>
      <c r="C46" s="2244"/>
      <c r="D46" s="2242"/>
      <c r="E46" s="705" t="s">
        <v>182</v>
      </c>
      <c r="F46" s="312">
        <f ca="1">IF($E46&lt;=DATOSAÑO!$B381,IF(DATOSAÑO!$Y381=0," ",((DATOSAÑO!$I381*DATOSAÑO!$AH381)/DATOSAÑO!$Y381))," ")</f>
        <v>28.404514672684542</v>
      </c>
      <c r="G46" s="313">
        <f ca="1">IF($E46&lt;=DATOSAÑO!$B381,IF(DATOSAÑO!$Y381=0," ",((DATOSAÑO!$P381*DATOSAÑO!$AH381)/DATOSAÑO!$Y381))," ")</f>
        <v>14.395485327312914</v>
      </c>
      <c r="H46" s="313">
        <f ca="1">IF($E46&lt;=DATOSAÑO!$B381,IF(DATOSAÑO!$Y381=0," ",((DATOSAÑO!$Q381*DATOSAÑO!$AH381)/DATOSAÑO!$Y381))," ")</f>
        <v>0</v>
      </c>
      <c r="I46" s="313">
        <f ca="1">IF($E46&lt;=DATOSAÑO!$B381,IF(DATOSAÑO!$Y381=0," ",((DATOSAÑO!$T381*DATOSAÑO!$AH381)/DATOSAÑO!$Y381))," ")</f>
        <v>0</v>
      </c>
      <c r="J46" s="313">
        <f t="shared" ca="1" si="3"/>
        <v>0</v>
      </c>
      <c r="K46" s="280"/>
      <c r="L46" s="280"/>
      <c r="M46" s="281"/>
      <c r="N46" s="262"/>
      <c r="O46" s="263"/>
      <c r="P46" s="282"/>
      <c r="Q46" s="283"/>
      <c r="R46" s="284"/>
      <c r="S46" s="285"/>
      <c r="T46" s="286"/>
      <c r="U46" s="287"/>
      <c r="V46" s="288"/>
      <c r="W46" s="289"/>
      <c r="X46" s="290"/>
      <c r="Y46" s="291"/>
    </row>
    <row r="47" spans="1:25">
      <c r="A47" s="2233"/>
      <c r="B47" s="2236"/>
      <c r="C47" s="2244"/>
      <c r="D47" s="2242"/>
      <c r="E47" s="705" t="s">
        <v>183</v>
      </c>
      <c r="F47" s="312" t="str">
        <f ca="1">IF($E47&lt;=DATOSAÑO!$B382,IF(DATOSAÑO!$Y382=0," ",((DATOSAÑO!$I382*DATOSAÑO!$AH382)/DATOSAÑO!$Y382))," ")</f>
        <v xml:space="preserve"> </v>
      </c>
      <c r="G47" s="313" t="str">
        <f ca="1">IF($E47&lt;=DATOSAÑO!$B382,IF(DATOSAÑO!$Y382=0," ",((DATOSAÑO!$P382*DATOSAÑO!$AH382)/DATOSAÑO!$Y382))," ")</f>
        <v xml:space="preserve"> </v>
      </c>
      <c r="H47" s="313" t="str">
        <f ca="1">IF($E47&lt;=DATOSAÑO!$B382,IF(DATOSAÑO!$Y382=0," ",((DATOSAÑO!$Q382*DATOSAÑO!$AH382)/DATOSAÑO!$Y382))," ")</f>
        <v xml:space="preserve"> </v>
      </c>
      <c r="I47" s="313" t="str">
        <f ca="1">IF($E47&lt;=DATOSAÑO!$B382,IF(DATOSAÑO!$Y382=0," ",((DATOSAÑO!$T382*DATOSAÑO!$AH382)/DATOSAÑO!$Y382))," ")</f>
        <v xml:space="preserve"> </v>
      </c>
      <c r="J47" s="313" t="str">
        <f t="shared" ca="1" si="3"/>
        <v xml:space="preserve"> </v>
      </c>
      <c r="K47" s="280"/>
      <c r="L47" s="280"/>
      <c r="M47" s="281"/>
      <c r="N47" s="262"/>
      <c r="O47" s="263"/>
      <c r="P47" s="282"/>
      <c r="Q47" s="283"/>
      <c r="R47" s="284"/>
      <c r="S47" s="285"/>
      <c r="T47" s="286"/>
      <c r="U47" s="287"/>
      <c r="V47" s="288"/>
      <c r="W47" s="289"/>
      <c r="X47" s="290"/>
      <c r="Y47" s="291"/>
    </row>
    <row r="48" spans="1:25">
      <c r="A48" s="2233"/>
      <c r="B48" s="2236"/>
      <c r="C48" s="2244"/>
      <c r="D48" s="2242"/>
      <c r="E48" s="705" t="s">
        <v>184</v>
      </c>
      <c r="F48" s="312" t="str">
        <f ca="1">IF($E48&lt;=DATOSAÑO!$B383,IF(DATOSAÑO!$Y383=0," ",((DATOSAÑO!$I383*DATOSAÑO!$AH383)/DATOSAÑO!$Y383))," ")</f>
        <v xml:space="preserve"> </v>
      </c>
      <c r="G48" s="313" t="str">
        <f ca="1">IF($E48&lt;=DATOSAÑO!$B383,IF(DATOSAÑO!$Y383=0," ",((DATOSAÑO!$P383*DATOSAÑO!$AH383)/DATOSAÑO!$Y383))," ")</f>
        <v xml:space="preserve"> </v>
      </c>
      <c r="H48" s="313" t="str">
        <f ca="1">IF($E48&lt;=DATOSAÑO!$B383,IF(DATOSAÑO!$Y383=0," ",((DATOSAÑO!$Q383*DATOSAÑO!$AH383)/DATOSAÑO!$Y383))," ")</f>
        <v xml:space="preserve"> </v>
      </c>
      <c r="I48" s="313" t="str">
        <f ca="1">IF($E48&lt;=DATOSAÑO!$B383,IF(DATOSAÑO!$Y383=0," ",((DATOSAÑO!$T383*DATOSAÑO!$AH383)/DATOSAÑO!$Y383))," ")</f>
        <v xml:space="preserve"> </v>
      </c>
      <c r="J48" s="313" t="str">
        <f t="shared" ca="1" si="3"/>
        <v xml:space="preserve"> </v>
      </c>
      <c r="K48" s="280"/>
      <c r="L48" s="280"/>
      <c r="M48" s="281"/>
      <c r="N48" s="262"/>
      <c r="O48" s="263"/>
      <c r="P48" s="282"/>
      <c r="Q48" s="283"/>
      <c r="R48" s="284"/>
      <c r="S48" s="285"/>
      <c r="T48" s="286"/>
      <c r="U48" s="287"/>
      <c r="V48" s="288"/>
      <c r="W48" s="289"/>
      <c r="X48" s="290"/>
      <c r="Y48" s="291"/>
    </row>
    <row r="49" spans="1:25">
      <c r="A49" s="2233"/>
      <c r="B49" s="2236"/>
      <c r="C49" s="2244"/>
      <c r="D49" s="2242"/>
      <c r="E49" s="705" t="s">
        <v>185</v>
      </c>
      <c r="F49" s="312" t="str">
        <f ca="1">IF($E49&lt;=DATOSAÑO!$B384,IF(DATOSAÑO!$Y384=0," ",((DATOSAÑO!$I384*DATOSAÑO!$AH384)/DATOSAÑO!$Y384))," ")</f>
        <v xml:space="preserve"> </v>
      </c>
      <c r="G49" s="313" t="str">
        <f ca="1">IF($E49&lt;=DATOSAÑO!$B384,IF(DATOSAÑO!$Y384=0," ",((DATOSAÑO!$P384*DATOSAÑO!$AH384)/DATOSAÑO!$Y384))," ")</f>
        <v xml:space="preserve"> </v>
      </c>
      <c r="H49" s="313" t="str">
        <f ca="1">IF($E49&lt;=DATOSAÑO!$B384,IF(DATOSAÑO!$Y384=0," ",((DATOSAÑO!$Q384*DATOSAÑO!$AH384)/DATOSAÑO!$Y384))," ")</f>
        <v xml:space="preserve"> </v>
      </c>
      <c r="I49" s="313" t="str">
        <f ca="1">IF($E49&lt;=DATOSAÑO!$B384,IF(DATOSAÑO!$Y384=0," ",((DATOSAÑO!$T384*DATOSAÑO!$AH384)/DATOSAÑO!$Y384))," ")</f>
        <v xml:space="preserve"> </v>
      </c>
      <c r="J49" s="313" t="str">
        <f t="shared" ca="1" si="3"/>
        <v xml:space="preserve"> </v>
      </c>
      <c r="K49" s="280"/>
      <c r="L49" s="280"/>
      <c r="M49" s="281"/>
      <c r="N49" s="262"/>
      <c r="O49" s="263"/>
      <c r="P49" s="282"/>
      <c r="Q49" s="283"/>
      <c r="R49" s="284"/>
      <c r="S49" s="285"/>
      <c r="T49" s="286"/>
      <c r="U49" s="287"/>
      <c r="V49" s="288"/>
      <c r="W49" s="289"/>
      <c r="X49" s="290"/>
      <c r="Y49" s="291"/>
    </row>
    <row r="50" spans="1:25">
      <c r="A50" s="2233"/>
      <c r="B50" s="2236"/>
      <c r="C50" s="2244"/>
      <c r="D50" s="2242"/>
      <c r="E50" s="705" t="s">
        <v>186</v>
      </c>
      <c r="F50" s="312" t="str">
        <f ca="1">IF($E50&lt;=DATOSAÑO!$B385,IF(DATOSAÑO!$Y385=0," ",((DATOSAÑO!$I385*DATOSAÑO!$AH385)/DATOSAÑO!$Y385))," ")</f>
        <v xml:space="preserve"> </v>
      </c>
      <c r="G50" s="313" t="str">
        <f ca="1">IF($E50&lt;=DATOSAÑO!$B385,IF(DATOSAÑO!$Y385=0," ",((DATOSAÑO!$P385*DATOSAÑO!$AH385)/DATOSAÑO!$Y385))," ")</f>
        <v xml:space="preserve"> </v>
      </c>
      <c r="H50" s="313" t="str">
        <f ca="1">IF($E50&lt;=DATOSAÑO!$B385,IF(DATOSAÑO!$Y385=0," ",((DATOSAÑO!$Q385*DATOSAÑO!$AH385)/DATOSAÑO!$Y385))," ")</f>
        <v xml:space="preserve"> </v>
      </c>
      <c r="I50" s="313" t="str">
        <f ca="1">IF($E50&lt;=DATOSAÑO!$B385,IF(DATOSAÑO!$Y385=0," ",((DATOSAÑO!$T385*DATOSAÑO!$AH385)/DATOSAÑO!$Y385))," ")</f>
        <v xml:space="preserve"> </v>
      </c>
      <c r="J50" s="313" t="str">
        <f t="shared" ca="1" si="3"/>
        <v xml:space="preserve"> </v>
      </c>
      <c r="K50" s="280"/>
      <c r="L50" s="280"/>
      <c r="M50" s="281"/>
      <c r="N50" s="262"/>
      <c r="O50" s="263"/>
      <c r="P50" s="282"/>
      <c r="Q50" s="283"/>
      <c r="R50" s="284"/>
      <c r="S50" s="285"/>
      <c r="T50" s="286"/>
      <c r="U50" s="287"/>
      <c r="V50" s="288"/>
      <c r="W50" s="289"/>
      <c r="X50" s="290"/>
      <c r="Y50" s="291"/>
    </row>
    <row r="51" spans="1:25">
      <c r="A51" s="2233"/>
      <c r="B51" s="2236"/>
      <c r="C51" s="2244"/>
      <c r="D51" s="2242"/>
      <c r="E51" s="705" t="s">
        <v>187</v>
      </c>
      <c r="F51" s="312" t="str">
        <f ca="1">IF($E51&lt;=DATOSAÑO!$B386,IF(DATOSAÑO!$Y386=0," ",((DATOSAÑO!$I386*DATOSAÑO!$AH386)/DATOSAÑO!$Y386))," ")</f>
        <v xml:space="preserve"> </v>
      </c>
      <c r="G51" s="313" t="str">
        <f ca="1">IF($E51&lt;=DATOSAÑO!$B386,IF(DATOSAÑO!$Y386=0," ",((DATOSAÑO!$P386*DATOSAÑO!$AH386)/DATOSAÑO!$Y386))," ")</f>
        <v xml:space="preserve"> </v>
      </c>
      <c r="H51" s="313" t="str">
        <f ca="1">IF($E51&lt;=DATOSAÑO!$B386,IF(DATOSAÑO!$Y386=0," ",((DATOSAÑO!$Q386*DATOSAÑO!$AH386)/DATOSAÑO!$Y386))," ")</f>
        <v xml:space="preserve"> </v>
      </c>
      <c r="I51" s="313" t="str">
        <f ca="1">IF($E51&lt;=DATOSAÑO!$B386,IF(DATOSAÑO!$Y386=0," ",((DATOSAÑO!$T386*DATOSAÑO!$AH386)/DATOSAÑO!$Y386))," ")</f>
        <v xml:space="preserve"> </v>
      </c>
      <c r="J51" s="313" t="str">
        <f t="shared" ca="1" si="3"/>
        <v xml:space="preserve"> </v>
      </c>
      <c r="K51" s="280"/>
      <c r="L51" s="280"/>
      <c r="M51" s="281"/>
      <c r="N51" s="262"/>
      <c r="O51" s="263"/>
      <c r="P51" s="282"/>
      <c r="Q51" s="283"/>
      <c r="R51" s="284"/>
      <c r="S51" s="285"/>
      <c r="T51" s="286"/>
      <c r="U51" s="287"/>
      <c r="V51" s="288"/>
      <c r="W51" s="289"/>
      <c r="X51" s="290"/>
      <c r="Y51" s="291"/>
    </row>
    <row r="52" spans="1:25" ht="15" thickBot="1">
      <c r="A52" s="2234"/>
      <c r="B52" s="2237"/>
      <c r="C52" s="2245"/>
      <c r="D52" s="2243"/>
      <c r="E52" s="706" t="s">
        <v>188</v>
      </c>
      <c r="F52" s="621" t="str">
        <f ca="1">IF($E52&lt;=DATOSAÑO!$B387,IF(DATOSAÑO!$Y387=0," ",((DATOSAÑO!$I387*DATOSAÑO!$AH387)/DATOSAÑO!$Y387))," ")</f>
        <v xml:space="preserve"> </v>
      </c>
      <c r="G52" s="325" t="str">
        <f ca="1">IF($E52&lt;=DATOSAÑO!$B387,IF(DATOSAÑO!$Y387=0," ",((DATOSAÑO!$P387*DATOSAÑO!$AH387)/DATOSAÑO!$Y387))," ")</f>
        <v xml:space="preserve"> </v>
      </c>
      <c r="H52" s="325" t="str">
        <f ca="1">IF($E52&lt;=DATOSAÑO!$B387,IF(DATOSAÑO!$Y387=0," ",((DATOSAÑO!$Q387*DATOSAÑO!$AH387)/DATOSAÑO!$Y387))," ")</f>
        <v xml:space="preserve"> </v>
      </c>
      <c r="I52" s="325" t="str">
        <f ca="1">IF($E52&lt;=DATOSAÑO!$B387,IF(DATOSAÑO!$Y387=0," ",((DATOSAÑO!$T387*DATOSAÑO!$AH387)/DATOSAÑO!$Y387))," ")</f>
        <v xml:space="preserve"> </v>
      </c>
      <c r="J52" s="325" t="str">
        <f t="shared" ca="1" si="3"/>
        <v xml:space="preserve"> </v>
      </c>
      <c r="K52" s="280"/>
      <c r="L52" s="292"/>
      <c r="M52" s="293"/>
      <c r="N52" s="266"/>
      <c r="O52" s="267"/>
      <c r="P52" s="294"/>
      <c r="Q52" s="295"/>
      <c r="R52" s="296"/>
      <c r="S52" s="297"/>
      <c r="T52" s="298"/>
      <c r="U52" s="299"/>
      <c r="V52" s="300"/>
      <c r="W52" s="301"/>
      <c r="X52" s="302"/>
      <c r="Y52" s="303"/>
    </row>
    <row r="53" spans="1:25">
      <c r="A53" s="2232" t="s">
        <v>251</v>
      </c>
      <c r="B53" s="2235" t="s">
        <v>252</v>
      </c>
      <c r="C53" s="2238" t="s">
        <v>257</v>
      </c>
      <c r="D53" s="2241">
        <v>2022</v>
      </c>
      <c r="E53" s="709" t="s">
        <v>176</v>
      </c>
      <c r="F53" s="310">
        <f ca="1">IF($E53&lt;=DATOSAÑO!$B376,IF(DATOSAÑO!$Y376=0," ",((DATOSAÑO!$I376*DATOSAÑO!$AI376)/DATOSAÑO!$Y376))," ")</f>
        <v>524.15781173469293</v>
      </c>
      <c r="G53" s="311">
        <f ca="1">IF($E53&lt;=DATOSAÑO!$B376,IF(DATOSAÑO!$Y376=0," ",((DATOSAÑO!$P376*DATOSAÑO!$AI376)/DATOSAÑO!$Y376))," ")</f>
        <v>741.01257909937624</v>
      </c>
      <c r="H53" s="311">
        <f ca="1">IF($E53&lt;=DATOSAÑO!$B376,IF(DATOSAÑO!$Y376=0," ",((DATOSAÑO!$Q376*DATOSAÑO!$AI376)/DATOSAÑO!$Y376))," ")</f>
        <v>0.17086500425278517</v>
      </c>
      <c r="I53" s="311">
        <f ca="1">IF($E53&lt;=DATOSAÑO!$B376,IF(DATOSAÑO!$Y376=0," ",((DATOSAÑO!$T376*DATOSAÑO!$AI376)/DATOSAÑO!$Y376))," ")</f>
        <v>0.23874416167999554</v>
      </c>
      <c r="J53" s="311">
        <f ca="1">IF($H53=" "," ",0)</f>
        <v>0</v>
      </c>
      <c r="K53" s="268"/>
      <c r="L53" s="268"/>
      <c r="M53" s="269"/>
      <c r="N53" s="258"/>
      <c r="O53" s="259"/>
      <c r="P53" s="270"/>
      <c r="Q53" s="271"/>
      <c r="R53" s="272"/>
      <c r="S53" s="273"/>
      <c r="T53" s="274"/>
      <c r="U53" s="275"/>
      <c r="V53" s="276"/>
      <c r="W53" s="277"/>
      <c r="X53" s="278"/>
      <c r="Y53" s="279"/>
    </row>
    <row r="54" spans="1:25">
      <c r="A54" s="2233"/>
      <c r="B54" s="2236"/>
      <c r="C54" s="2244"/>
      <c r="D54" s="2242"/>
      <c r="E54" s="705" t="s">
        <v>177</v>
      </c>
      <c r="F54" s="312">
        <f ca="1">IF($E54&lt;=DATOSAÑO!$B377,IF(DATOSAÑO!$Y377=0," ",((DATOSAÑO!$I377*DATOSAÑO!$AI377)/DATOSAÑO!$Y377))," ")</f>
        <v>728.67506618476284</v>
      </c>
      <c r="G54" s="313">
        <f ca="1">IF($E54&lt;=DATOSAÑO!$B377,IF(DATOSAÑO!$Y377=0," ",((DATOSAÑO!$P377*DATOSAÑO!$AI377)/DATOSAÑO!$Y377))," ")</f>
        <v>368.27308989804214</v>
      </c>
      <c r="H54" s="313">
        <f ca="1">IF($E54&lt;=DATOSAÑO!$B377,IF(DATOSAÑO!$Y377=0," ",((DATOSAÑO!$Q377*DATOSAÑO!$AI377)/DATOSAÑO!$Y377))," ")</f>
        <v>0.10336439628538842</v>
      </c>
      <c r="I54" s="313">
        <f ca="1">IF($E54&lt;=DATOSAÑO!$B377,IF(DATOSAÑO!$Y377=0," ",((DATOSAÑO!$T377*DATOSAÑO!$AI377)/DATOSAÑO!$Y377))," ")</f>
        <v>0.30847952091761216</v>
      </c>
      <c r="J54" s="313">
        <f t="shared" ref="J54:J64" ca="1" si="4">IF($H54=" "," ",0)</f>
        <v>0</v>
      </c>
      <c r="K54" s="280"/>
      <c r="L54" s="280"/>
      <c r="M54" s="281"/>
      <c r="N54" s="262"/>
      <c r="O54" s="263"/>
      <c r="P54" s="282"/>
      <c r="Q54" s="283"/>
      <c r="R54" s="284"/>
      <c r="S54" s="285"/>
      <c r="T54" s="286"/>
      <c r="U54" s="287"/>
      <c r="V54" s="288"/>
      <c r="W54" s="289"/>
      <c r="X54" s="290"/>
      <c r="Y54" s="291"/>
    </row>
    <row r="55" spans="1:25">
      <c r="A55" s="2233"/>
      <c r="B55" s="2236"/>
      <c r="C55" s="2244"/>
      <c r="D55" s="2242"/>
      <c r="E55" s="705" t="s">
        <v>178</v>
      </c>
      <c r="F55" s="312">
        <f ca="1">IF($E55&lt;=DATOSAÑO!$B378,IF(DATOSAÑO!$Y378=0," ",((DATOSAÑO!$I378*DATOSAÑO!$AI378)/DATOSAÑO!$Y378))," ")</f>
        <v>796.83780770291389</v>
      </c>
      <c r="G55" s="313">
        <f ca="1">IF($E55&lt;=DATOSAÑO!$B378,IF(DATOSAÑO!$Y378=0," ",((DATOSAÑO!$P378*DATOSAÑO!$AI378)/DATOSAÑO!$Y378))," ")</f>
        <v>415.55170623899539</v>
      </c>
      <c r="H55" s="313">
        <f ca="1">IF($E55&lt;=DATOSAÑO!$B378,IF(DATOSAÑO!$Y378=0," ",((DATOSAÑO!$Q378*DATOSAÑO!$AI378)/DATOSAÑO!$Y378))," ")</f>
        <v>5.7050465682207695E-2</v>
      </c>
      <c r="I55" s="313">
        <f ca="1">IF($E55&lt;=DATOSAÑO!$B378,IF(DATOSAÑO!$Y378=0," ",((DATOSAÑO!$T378*DATOSAÑO!$AI378)/DATOSAÑO!$Y378))," ")</f>
        <v>9.3435592402135045E-2</v>
      </c>
      <c r="J55" s="313">
        <f t="shared" ca="1" si="4"/>
        <v>0</v>
      </c>
      <c r="K55" s="280"/>
      <c r="L55" s="280"/>
      <c r="M55" s="281"/>
      <c r="N55" s="262"/>
      <c r="O55" s="263"/>
      <c r="P55" s="282"/>
      <c r="Q55" s="283"/>
      <c r="R55" s="284"/>
      <c r="S55" s="285"/>
      <c r="T55" s="286"/>
      <c r="U55" s="287"/>
      <c r="V55" s="288"/>
      <c r="W55" s="289"/>
      <c r="X55" s="290"/>
      <c r="Y55" s="291"/>
    </row>
    <row r="56" spans="1:25">
      <c r="A56" s="2233"/>
      <c r="B56" s="2236"/>
      <c r="C56" s="2244"/>
      <c r="D56" s="2242"/>
      <c r="E56" s="705" t="s">
        <v>179</v>
      </c>
      <c r="F56" s="312">
        <f ca="1">IF($E56&lt;=DATOSAÑO!$B379,IF(DATOSAÑO!$Y379=0," ",((DATOSAÑO!$I379*DATOSAÑO!$AI379)/DATOSAÑO!$Y379))," ")</f>
        <v>826.10015402575311</v>
      </c>
      <c r="G56" s="313">
        <f ca="1">IF($E56&lt;=DATOSAÑO!$B379,IF(DATOSAÑO!$Y379=0," ",((DATOSAÑO!$P379*DATOSAÑO!$AI379)/DATOSAÑO!$Y379))," ")</f>
        <v>332.49181535792229</v>
      </c>
      <c r="H56" s="313">
        <f ca="1">IF($E56&lt;=DATOSAÑO!$B379,IF(DATOSAÑO!$Y379=0," ",((DATOSAÑO!$Q379*DATOSAÑO!$AI379)/DATOSAÑO!$Y379))," ")</f>
        <v>0.45837803174061598</v>
      </c>
      <c r="I56" s="313">
        <f ca="1">IF($E56&lt;=DATOSAÑO!$B379,IF(DATOSAÑO!$Y379=0," ",((DATOSAÑO!$T379*DATOSAÑO!$AI379)/DATOSAÑO!$Y379))," ")</f>
        <v>2.3396525845836069</v>
      </c>
      <c r="J56" s="313">
        <f t="shared" ca="1" si="4"/>
        <v>0</v>
      </c>
      <c r="K56" s="280"/>
      <c r="L56" s="280"/>
      <c r="M56" s="281"/>
      <c r="N56" s="262"/>
      <c r="O56" s="263"/>
      <c r="P56" s="282"/>
      <c r="Q56" s="283"/>
      <c r="R56" s="284"/>
      <c r="S56" s="285"/>
      <c r="T56" s="286"/>
      <c r="U56" s="287"/>
      <c r="V56" s="288"/>
      <c r="W56" s="289"/>
      <c r="X56" s="290"/>
      <c r="Y56" s="291"/>
    </row>
    <row r="57" spans="1:25">
      <c r="A57" s="2233"/>
      <c r="B57" s="2236"/>
      <c r="C57" s="2244"/>
      <c r="D57" s="2242"/>
      <c r="E57" s="705" t="s">
        <v>180</v>
      </c>
      <c r="F57" s="312">
        <f ca="1">IF($E57&lt;=DATOSAÑO!$B380,IF(DATOSAÑO!$Y380=0," ",((DATOSAÑO!$I380*DATOSAÑO!$AI380)/DATOSAÑO!$Y380))," ")</f>
        <v>588.99186747743295</v>
      </c>
      <c r="G57" s="313">
        <f ca="1">IF($E57&lt;=DATOSAÑO!$B380,IF(DATOSAÑO!$Y380=0," ",((DATOSAÑO!$P380*DATOSAÑO!$AI380)/DATOSAÑO!$Y380))," ")</f>
        <v>539.14870419550004</v>
      </c>
      <c r="H57" s="313">
        <f ca="1">IF($E57&lt;=DATOSAÑO!$B380,IF(DATOSAÑO!$Y380=0," ",((DATOSAÑO!$Q380*DATOSAÑO!$AI380)/DATOSAÑO!$Y380))," ")</f>
        <v>0.12698292741254355</v>
      </c>
      <c r="I57" s="313">
        <f ca="1">IF($E57&lt;=DATOSAÑO!$B380,IF(DATOSAÑO!$Y380=0," ",((DATOSAÑO!$T380*DATOSAÑO!$AI380)/DATOSAÑO!$Y380))," ")</f>
        <v>0.2424453996637394</v>
      </c>
      <c r="J57" s="313">
        <f t="shared" ca="1" si="4"/>
        <v>0</v>
      </c>
      <c r="K57" s="280"/>
      <c r="L57" s="280"/>
      <c r="M57" s="281"/>
      <c r="N57" s="262"/>
      <c r="O57" s="263"/>
      <c r="P57" s="282"/>
      <c r="Q57" s="283"/>
      <c r="R57" s="284"/>
      <c r="S57" s="285"/>
      <c r="T57" s="286"/>
      <c r="U57" s="287"/>
      <c r="V57" s="288"/>
      <c r="W57" s="289"/>
      <c r="X57" s="290"/>
      <c r="Y57" s="291"/>
    </row>
    <row r="58" spans="1:25">
      <c r="A58" s="2233"/>
      <c r="B58" s="2236"/>
      <c r="C58" s="2244"/>
      <c r="D58" s="2242"/>
      <c r="E58" s="705" t="s">
        <v>182</v>
      </c>
      <c r="F58" s="312">
        <f ca="1">IF($E58&lt;=DATOSAÑO!$B381,IF(DATOSAÑO!$Y381=0," ",((DATOSAÑO!$I381*DATOSAÑO!$AI381)/DATOSAÑO!$Y381))," ")</f>
        <v>95.964785553041608</v>
      </c>
      <c r="G58" s="313">
        <f ca="1">IF($E58&lt;=DATOSAÑO!$B381,IF(DATOSAÑO!$Y381=0," ",((DATOSAÑO!$P381*DATOSAÑO!$AI381)/DATOSAÑO!$Y381))," ")</f>
        <v>48.635214446949661</v>
      </c>
      <c r="H58" s="313">
        <f ca="1">IF($E58&lt;=DATOSAÑO!$B381,IF(DATOSAÑO!$Y381=0," ",((DATOSAÑO!$Q381*DATOSAÑO!$AI381)/DATOSAÑO!$Y381))," ")</f>
        <v>0</v>
      </c>
      <c r="I58" s="313">
        <f ca="1">IF($E58&lt;=DATOSAÑO!$B381,IF(DATOSAÑO!$Y381=0," ",((DATOSAÑO!$T381*DATOSAÑO!$AI381)/DATOSAÑO!$Y381))," ")</f>
        <v>0</v>
      </c>
      <c r="J58" s="313">
        <f t="shared" ca="1" si="4"/>
        <v>0</v>
      </c>
      <c r="K58" s="280"/>
      <c r="L58" s="280"/>
      <c r="M58" s="281"/>
      <c r="N58" s="262"/>
      <c r="O58" s="263"/>
      <c r="P58" s="282"/>
      <c r="Q58" s="283"/>
      <c r="R58" s="284"/>
      <c r="S58" s="285"/>
      <c r="T58" s="286"/>
      <c r="U58" s="287"/>
      <c r="V58" s="288"/>
      <c r="W58" s="289"/>
      <c r="X58" s="290"/>
      <c r="Y58" s="291"/>
    </row>
    <row r="59" spans="1:25">
      <c r="A59" s="2233"/>
      <c r="B59" s="2236"/>
      <c r="C59" s="2244"/>
      <c r="D59" s="2242"/>
      <c r="E59" s="705" t="s">
        <v>183</v>
      </c>
      <c r="F59" s="312" t="str">
        <f ca="1">IF($E59&lt;=DATOSAÑO!$B382,IF(DATOSAÑO!$Y382=0," ",((DATOSAÑO!$I382*DATOSAÑO!$AI382)/DATOSAÑO!$Y382))," ")</f>
        <v xml:space="preserve"> </v>
      </c>
      <c r="G59" s="313" t="str">
        <f ca="1">IF($E59&lt;=DATOSAÑO!$B382,IF(DATOSAÑO!$Y382=0," ",((DATOSAÑO!$P382*DATOSAÑO!$AI382)/DATOSAÑO!$Y382))," ")</f>
        <v xml:space="preserve"> </v>
      </c>
      <c r="H59" s="313" t="str">
        <f ca="1">IF($E59&lt;=DATOSAÑO!$B382,IF(DATOSAÑO!$Y382=0," ",((DATOSAÑO!$Q382*DATOSAÑO!$AI382)/DATOSAÑO!$Y382))," ")</f>
        <v xml:space="preserve"> </v>
      </c>
      <c r="I59" s="313" t="str">
        <f ca="1">IF($E59&lt;=DATOSAÑO!$B382,IF(DATOSAÑO!$Y382=0," ",((DATOSAÑO!$T382*DATOSAÑO!$AI382)/DATOSAÑO!$Y382))," ")</f>
        <v xml:space="preserve"> </v>
      </c>
      <c r="J59" s="313" t="str">
        <f t="shared" ca="1" si="4"/>
        <v xml:space="preserve"> </v>
      </c>
      <c r="K59" s="280"/>
      <c r="L59" s="280"/>
      <c r="M59" s="281"/>
      <c r="N59" s="262"/>
      <c r="O59" s="263"/>
      <c r="P59" s="282"/>
      <c r="Q59" s="283"/>
      <c r="R59" s="284"/>
      <c r="S59" s="285"/>
      <c r="T59" s="286"/>
      <c r="U59" s="287"/>
      <c r="V59" s="288"/>
      <c r="W59" s="289"/>
      <c r="X59" s="290"/>
      <c r="Y59" s="291"/>
    </row>
    <row r="60" spans="1:25">
      <c r="A60" s="2233"/>
      <c r="B60" s="2236"/>
      <c r="C60" s="2244"/>
      <c r="D60" s="2242"/>
      <c r="E60" s="705" t="s">
        <v>184</v>
      </c>
      <c r="F60" s="312" t="str">
        <f ca="1">IF($E60&lt;=DATOSAÑO!$B383,IF(DATOSAÑO!$Y383=0," ",((DATOSAÑO!$I383*DATOSAÑO!$AI383)/DATOSAÑO!$Y383))," ")</f>
        <v xml:space="preserve"> </v>
      </c>
      <c r="G60" s="313" t="str">
        <f ca="1">IF($E60&lt;=DATOSAÑO!$B383,IF(DATOSAÑO!$Y383=0," ",((DATOSAÑO!$P383*DATOSAÑO!$AI383)/DATOSAÑO!$Y383))," ")</f>
        <v xml:space="preserve"> </v>
      </c>
      <c r="H60" s="313" t="str">
        <f ca="1">IF($E60&lt;=DATOSAÑO!$B383,IF(DATOSAÑO!$Y383=0," ",((DATOSAÑO!$Q383*DATOSAÑO!$AI383)/DATOSAÑO!$Y383))," ")</f>
        <v xml:space="preserve"> </v>
      </c>
      <c r="I60" s="313" t="str">
        <f ca="1">IF($E60&lt;=DATOSAÑO!$B383,IF(DATOSAÑO!$Y383=0," ",((DATOSAÑO!$T383*DATOSAÑO!$AI383)/DATOSAÑO!$Y383))," ")</f>
        <v xml:space="preserve"> </v>
      </c>
      <c r="J60" s="313" t="str">
        <f t="shared" ca="1" si="4"/>
        <v xml:space="preserve"> </v>
      </c>
      <c r="K60" s="280"/>
      <c r="L60" s="280"/>
      <c r="M60" s="281"/>
      <c r="N60" s="262"/>
      <c r="O60" s="263"/>
      <c r="P60" s="282"/>
      <c r="Q60" s="283"/>
      <c r="R60" s="284"/>
      <c r="S60" s="285"/>
      <c r="T60" s="286"/>
      <c r="U60" s="287"/>
      <c r="V60" s="288"/>
      <c r="W60" s="289"/>
      <c r="X60" s="290"/>
      <c r="Y60" s="291"/>
    </row>
    <row r="61" spans="1:25">
      <c r="A61" s="2233"/>
      <c r="B61" s="2236"/>
      <c r="C61" s="2244"/>
      <c r="D61" s="2242"/>
      <c r="E61" s="705" t="s">
        <v>185</v>
      </c>
      <c r="F61" s="312" t="str">
        <f ca="1">IF($E61&lt;=DATOSAÑO!$B384,IF(DATOSAÑO!$Y384=0," ",((DATOSAÑO!$I384*DATOSAÑO!$AI384)/DATOSAÑO!$Y384))," ")</f>
        <v xml:space="preserve"> </v>
      </c>
      <c r="G61" s="313" t="str">
        <f ca="1">IF($E61&lt;=DATOSAÑO!$B384,IF(DATOSAÑO!$Y384=0," ",((DATOSAÑO!$P384*DATOSAÑO!$AI384)/DATOSAÑO!$Y384))," ")</f>
        <v xml:space="preserve"> </v>
      </c>
      <c r="H61" s="313" t="str">
        <f ca="1">IF($E61&lt;=DATOSAÑO!$B384,IF(DATOSAÑO!$Y384=0," ",((DATOSAÑO!$Q384*DATOSAÑO!$AI384)/DATOSAÑO!$Y384))," ")</f>
        <v xml:space="preserve"> </v>
      </c>
      <c r="I61" s="313" t="str">
        <f ca="1">IF($E61&lt;=DATOSAÑO!$B384,IF(DATOSAÑO!$Y384=0," ",((DATOSAÑO!$T384*DATOSAÑO!$AI384)/DATOSAÑO!$Y384))," ")</f>
        <v xml:space="preserve"> </v>
      </c>
      <c r="J61" s="313" t="str">
        <f t="shared" ca="1" si="4"/>
        <v xml:space="preserve"> </v>
      </c>
      <c r="K61" s="280"/>
      <c r="L61" s="280"/>
      <c r="M61" s="281"/>
      <c r="N61" s="262"/>
      <c r="O61" s="263"/>
      <c r="P61" s="282"/>
      <c r="Q61" s="283"/>
      <c r="R61" s="284"/>
      <c r="S61" s="285"/>
      <c r="T61" s="286"/>
      <c r="U61" s="287"/>
      <c r="V61" s="288"/>
      <c r="W61" s="289"/>
      <c r="X61" s="290"/>
      <c r="Y61" s="291"/>
    </row>
    <row r="62" spans="1:25">
      <c r="A62" s="2233"/>
      <c r="B62" s="2236"/>
      <c r="C62" s="2244"/>
      <c r="D62" s="2242"/>
      <c r="E62" s="705" t="s">
        <v>186</v>
      </c>
      <c r="F62" s="312" t="str">
        <f ca="1">IF($E62&lt;=DATOSAÑO!$B385,IF(DATOSAÑO!$Y385=0," ",((DATOSAÑO!$I385*DATOSAÑO!$AI385)/DATOSAÑO!$Y385))," ")</f>
        <v xml:space="preserve"> </v>
      </c>
      <c r="G62" s="313" t="str">
        <f ca="1">IF($E62&lt;=DATOSAÑO!$B385,IF(DATOSAÑO!$Y385=0," ",((DATOSAÑO!$P385*DATOSAÑO!$AI385)/DATOSAÑO!$Y385))," ")</f>
        <v xml:space="preserve"> </v>
      </c>
      <c r="H62" s="313" t="str">
        <f ca="1">IF($E62&lt;=DATOSAÑO!$B385,IF(DATOSAÑO!$Y385=0," ",((DATOSAÑO!$Q385*DATOSAÑO!$AI385)/DATOSAÑO!$Y385))," ")</f>
        <v xml:space="preserve"> </v>
      </c>
      <c r="I62" s="313" t="str">
        <f ca="1">IF($E62&lt;=DATOSAÑO!$B385,IF(DATOSAÑO!$Y385=0," ",((DATOSAÑO!$T385*DATOSAÑO!$AI385)/DATOSAÑO!$Y385))," ")</f>
        <v xml:space="preserve"> </v>
      </c>
      <c r="J62" s="313" t="str">
        <f t="shared" ca="1" si="4"/>
        <v xml:space="preserve"> </v>
      </c>
      <c r="K62" s="280"/>
      <c r="L62" s="280"/>
      <c r="M62" s="281"/>
      <c r="N62" s="262"/>
      <c r="O62" s="263"/>
      <c r="P62" s="282"/>
      <c r="Q62" s="283"/>
      <c r="R62" s="284"/>
      <c r="S62" s="285"/>
      <c r="T62" s="286"/>
      <c r="U62" s="287"/>
      <c r="V62" s="288"/>
      <c r="W62" s="289"/>
      <c r="X62" s="290"/>
      <c r="Y62" s="291"/>
    </row>
    <row r="63" spans="1:25">
      <c r="A63" s="2233"/>
      <c r="B63" s="2236"/>
      <c r="C63" s="2244"/>
      <c r="D63" s="2242"/>
      <c r="E63" s="705" t="s">
        <v>187</v>
      </c>
      <c r="F63" s="312" t="str">
        <f ca="1">IF($E63&lt;=DATOSAÑO!$B386,IF(DATOSAÑO!$Y386=0," ",((DATOSAÑO!$I386*DATOSAÑO!$AI386)/DATOSAÑO!$Y386))," ")</f>
        <v xml:space="preserve"> </v>
      </c>
      <c r="G63" s="313" t="str">
        <f ca="1">IF($E63&lt;=DATOSAÑO!$B386,IF(DATOSAÑO!$Y386=0," ",((DATOSAÑO!$P386*DATOSAÑO!$AI386)/DATOSAÑO!$Y386))," ")</f>
        <v xml:space="preserve"> </v>
      </c>
      <c r="H63" s="313" t="str">
        <f ca="1">IF($E63&lt;=DATOSAÑO!$B386,IF(DATOSAÑO!$Y386=0," ",((DATOSAÑO!$Q386*DATOSAÑO!$AI386)/DATOSAÑO!$Y386))," ")</f>
        <v xml:space="preserve"> </v>
      </c>
      <c r="I63" s="313" t="str">
        <f ca="1">IF($E63&lt;=DATOSAÑO!$B386,IF(DATOSAÑO!$Y386=0," ",((DATOSAÑO!$T386*DATOSAÑO!$AI386)/DATOSAÑO!$Y386))," ")</f>
        <v xml:space="preserve"> </v>
      </c>
      <c r="J63" s="313" t="str">
        <f t="shared" ca="1" si="4"/>
        <v xml:space="preserve"> </v>
      </c>
      <c r="K63" s="280"/>
      <c r="L63" s="280"/>
      <c r="M63" s="281"/>
      <c r="N63" s="262"/>
      <c r="O63" s="263"/>
      <c r="P63" s="282"/>
      <c r="Q63" s="283"/>
      <c r="R63" s="284"/>
      <c r="S63" s="285"/>
      <c r="T63" s="286"/>
      <c r="U63" s="287"/>
      <c r="V63" s="288"/>
      <c r="W63" s="289"/>
      <c r="X63" s="290"/>
      <c r="Y63" s="291"/>
    </row>
    <row r="64" spans="1:25" ht="15" thickBot="1">
      <c r="A64" s="2234"/>
      <c r="B64" s="2237"/>
      <c r="C64" s="2245"/>
      <c r="D64" s="2243"/>
      <c r="E64" s="706" t="s">
        <v>188</v>
      </c>
      <c r="F64" s="621" t="str">
        <f ca="1">IF($E64&lt;=DATOSAÑO!$B387,IF(DATOSAÑO!$Y387=0," ",((DATOSAÑO!$I387*DATOSAÑO!$AI387)/DATOSAÑO!$Y387))," ")</f>
        <v xml:space="preserve"> </v>
      </c>
      <c r="G64" s="325" t="str">
        <f ca="1">IF($E64&lt;=DATOSAÑO!$B387,IF(DATOSAÑO!$Y387=0," ",((DATOSAÑO!$P387*DATOSAÑO!$AI387)/DATOSAÑO!$Y387))," ")</f>
        <v xml:space="preserve"> </v>
      </c>
      <c r="H64" s="325" t="str">
        <f ca="1">IF($E64&lt;=DATOSAÑO!$B387,IF(DATOSAÑO!$Y387=0," ",((DATOSAÑO!$Q387*DATOSAÑO!$AI387)/DATOSAÑO!$Y387))," ")</f>
        <v xml:space="preserve"> </v>
      </c>
      <c r="I64" s="325" t="str">
        <f ca="1">IF($E64&lt;=DATOSAÑO!$B387,IF(DATOSAÑO!$Y387=0," ",((DATOSAÑO!$T387*DATOSAÑO!$AI387)/DATOSAÑO!$Y387))," ")</f>
        <v xml:space="preserve"> </v>
      </c>
      <c r="J64" s="325" t="str">
        <f t="shared" ca="1" si="4"/>
        <v xml:space="preserve"> </v>
      </c>
      <c r="K64" s="280"/>
      <c r="L64" s="292"/>
      <c r="M64" s="293"/>
      <c r="N64" s="266"/>
      <c r="O64" s="267"/>
      <c r="P64" s="294"/>
      <c r="Q64" s="295"/>
      <c r="R64" s="296"/>
      <c r="S64" s="297"/>
      <c r="T64" s="298"/>
      <c r="U64" s="299"/>
      <c r="V64" s="300"/>
      <c r="W64" s="301"/>
      <c r="X64" s="302"/>
      <c r="Y64" s="303"/>
    </row>
    <row r="65" spans="1:25">
      <c r="A65" s="2232" t="s">
        <v>251</v>
      </c>
      <c r="B65" s="2235" t="s">
        <v>252</v>
      </c>
      <c r="C65" s="2238" t="s">
        <v>258</v>
      </c>
      <c r="D65" s="2241">
        <v>2022</v>
      </c>
      <c r="E65" s="709" t="s">
        <v>176</v>
      </c>
      <c r="F65" s="310">
        <f ca="1">IF($E65&lt;=DATOSAÑO!$B376,IF(DATOSAÑO!$Y376=0," ",((DATOSAÑO!$I376*DATOSAÑO!$AS376)/DATOSAÑO!$Y376))," ")</f>
        <v>222.62563294438004</v>
      </c>
      <c r="G65" s="311">
        <f ca="1">IF($E65&lt;=DATOSAÑO!$B376,IF(DATOSAÑO!$Y376=0," ",((DATOSAÑO!$P376*DATOSAÑO!$AS376)/DATOSAÑO!$Y376))," ")</f>
        <v>314.73039368770549</v>
      </c>
      <c r="H65" s="311">
        <f ca="1">IF($E65&lt;=DATOSAÑO!$B376,IF(DATOSAÑO!$Y376=0," ",((DATOSAÑO!$Q376*DATOSAÑO!$AS376)/DATOSAÑO!$Y376))," ")</f>
        <v>7.257152114919585E-2</v>
      </c>
      <c r="I65" s="311">
        <f ca="1">IF($E65&lt;=DATOSAÑO!$B376,IF(DATOSAÑO!$Y376=0," ",((DATOSAÑO!$T376*DATOSAÑO!$AS376)/DATOSAÑO!$Y376))," ")</f>
        <v>0.10140184676420894</v>
      </c>
      <c r="J65" s="311">
        <f ca="1">IF($H65=" "," ",0)</f>
        <v>0</v>
      </c>
      <c r="K65" s="311"/>
      <c r="L65" s="268"/>
      <c r="M65" s="269"/>
      <c r="N65" s="258"/>
      <c r="O65" s="259"/>
      <c r="P65" s="270"/>
      <c r="Q65" s="271"/>
      <c r="R65" s="272"/>
      <c r="S65" s="273"/>
      <c r="T65" s="274"/>
      <c r="U65" s="275"/>
      <c r="V65" s="276"/>
      <c r="W65" s="277"/>
      <c r="X65" s="278"/>
      <c r="Y65" s="279"/>
    </row>
    <row r="66" spans="1:25">
      <c r="A66" s="2233"/>
      <c r="B66" s="2236"/>
      <c r="C66" s="2244"/>
      <c r="D66" s="2242"/>
      <c r="E66" s="705" t="s">
        <v>177</v>
      </c>
      <c r="F66" s="312">
        <f ca="1">IF($E66&lt;=DATOSAÑO!$B377,IF(DATOSAÑO!$Y377=0," ",((DATOSAÑO!$I377*DATOSAÑO!$AS377)/DATOSAÑO!$Y377))," ")</f>
        <v>317.07219518045287</v>
      </c>
      <c r="G66" s="313">
        <f ca="1">IF($E66&lt;=DATOSAÑO!$B377,IF(DATOSAÑO!$Y377=0," ",((DATOSAÑO!$P377*DATOSAÑO!$AS377)/DATOSAÑO!$Y377))," ")</f>
        <v>160.248597020407</v>
      </c>
      <c r="H66" s="313">
        <f ca="1">IF($E66&lt;=DATOSAÑO!$B377,IF(DATOSAÑO!$Y377=0," ",((DATOSAÑO!$Q377*DATOSAÑO!$AS377)/DATOSAÑO!$Y377))," ")</f>
        <v>4.4977490728906298E-2</v>
      </c>
      <c r="I66" s="313">
        <f ca="1">IF($E66&lt;=DATOSAÑO!$B377,IF(DATOSAÑO!$Y377=0," ",((DATOSAÑO!$T377*DATOSAÑO!$AS377)/DATOSAÑO!$Y377))," ")</f>
        <v>0.1342303084112404</v>
      </c>
      <c r="J66" s="313">
        <f t="shared" ref="J66:J76" ca="1" si="5">IF($H66=" "," ",0)</f>
        <v>0</v>
      </c>
      <c r="K66" s="313"/>
      <c r="L66" s="280"/>
      <c r="M66" s="281"/>
      <c r="N66" s="262"/>
      <c r="O66" s="263"/>
      <c r="P66" s="282"/>
      <c r="Q66" s="283"/>
      <c r="R66" s="284"/>
      <c r="S66" s="285"/>
      <c r="T66" s="286"/>
      <c r="U66" s="287"/>
      <c r="V66" s="288"/>
      <c r="W66" s="289"/>
      <c r="X66" s="290"/>
      <c r="Y66" s="291"/>
    </row>
    <row r="67" spans="1:25">
      <c r="A67" s="2233"/>
      <c r="B67" s="2236"/>
      <c r="C67" s="2244"/>
      <c r="D67" s="2242"/>
      <c r="E67" s="705" t="s">
        <v>178</v>
      </c>
      <c r="F67" s="312">
        <f ca="1">IF($E67&lt;=DATOSAÑO!$B378,IF(DATOSAÑO!$Y378=0," ",((DATOSAÑO!$I378*DATOSAÑO!$AS378)/DATOSAÑO!$Y378))," ")</f>
        <v>335.81087612465666</v>
      </c>
      <c r="G67" s="313">
        <f ca="1">IF($E67&lt;=DATOSAÑO!$B378,IF(DATOSAÑO!$Y378=0," ",((DATOSAÑO!$P378*DATOSAÑO!$AS378)/DATOSAÑO!$Y378))," ")</f>
        <v>175.12570462675686</v>
      </c>
      <c r="H67" s="313">
        <f ca="1">IF($E67&lt;=DATOSAÑO!$B378,IF(DATOSAÑO!$Y378=0," ",((DATOSAÑO!$Q378*DATOSAÑO!$AS378)/DATOSAÑO!$Y378))," ")</f>
        <v>2.404274330216594E-2</v>
      </c>
      <c r="I67" s="313">
        <f ca="1">IF($E67&lt;=DATOSAÑO!$B378,IF(DATOSAÑO!$Y378=0," ",((DATOSAÑO!$T378*DATOSAÑO!$AS378)/DATOSAÑO!$Y378))," ")</f>
        <v>3.9376505284354546E-2</v>
      </c>
      <c r="J67" s="313">
        <f t="shared" ca="1" si="5"/>
        <v>0</v>
      </c>
      <c r="K67" s="313"/>
      <c r="L67" s="280"/>
      <c r="M67" s="281"/>
      <c r="N67" s="262"/>
      <c r="O67" s="263"/>
      <c r="P67" s="282"/>
      <c r="Q67" s="283"/>
      <c r="R67" s="284"/>
      <c r="S67" s="285"/>
      <c r="T67" s="286"/>
      <c r="U67" s="287"/>
      <c r="V67" s="288"/>
      <c r="W67" s="289"/>
      <c r="X67" s="290"/>
      <c r="Y67" s="291"/>
    </row>
    <row r="68" spans="1:25">
      <c r="A68" s="2233"/>
      <c r="B68" s="2236"/>
      <c r="C68" s="2244"/>
      <c r="D68" s="2242"/>
      <c r="E68" s="705" t="s">
        <v>179</v>
      </c>
      <c r="F68" s="312">
        <f ca="1">IF($E68&lt;=DATOSAÑO!$B379,IF(DATOSAÑO!$Y379=0," ",((DATOSAÑO!$I379*DATOSAÑO!$AS379)/DATOSAÑO!$Y379))," ")</f>
        <v>314.47415519017238</v>
      </c>
      <c r="G68" s="313">
        <f ca="1">IF($E68&lt;=DATOSAÑO!$B379,IF(DATOSAÑO!$Y379=0," ",((DATOSAÑO!$P379*DATOSAÑO!$AS379)/DATOSAÑO!$Y379))," ")</f>
        <v>126.57070965643449</v>
      </c>
      <c r="H68" s="313">
        <f ca="1">IF($E68&lt;=DATOSAÑO!$B379,IF(DATOSAÑO!$Y379=0," ",((DATOSAÑO!$Q379*DATOSAÑO!$AS379)/DATOSAÑO!$Y379))," ")</f>
        <v>0.17449221330719003</v>
      </c>
      <c r="I68" s="313">
        <f ca="1">IF($E68&lt;=DATOSAÑO!$B379,IF(DATOSAÑO!$Y379=0," ",((DATOSAÑO!$T379*DATOSAÑO!$AS379)/DATOSAÑO!$Y379))," ")</f>
        <v>0.89064294007200551</v>
      </c>
      <c r="J68" s="313">
        <f t="shared" ca="1" si="5"/>
        <v>0</v>
      </c>
      <c r="K68" s="313"/>
      <c r="L68" s="280"/>
      <c r="M68" s="281"/>
      <c r="N68" s="262"/>
      <c r="O68" s="263"/>
      <c r="P68" s="282"/>
      <c r="Q68" s="283"/>
      <c r="R68" s="284"/>
      <c r="S68" s="285"/>
      <c r="T68" s="286"/>
      <c r="U68" s="287"/>
      <c r="V68" s="288"/>
      <c r="W68" s="289"/>
      <c r="X68" s="290"/>
      <c r="Y68" s="291"/>
    </row>
    <row r="69" spans="1:25">
      <c r="A69" s="2233"/>
      <c r="B69" s="2236"/>
      <c r="C69" s="2244"/>
      <c r="D69" s="2242"/>
      <c r="E69" s="705" t="s">
        <v>180</v>
      </c>
      <c r="F69" s="312">
        <f ca="1">IF($E69&lt;=DATOSAÑO!$B380,IF(DATOSAÑO!$Y380=0," ",((DATOSAÑO!$I380*DATOSAÑO!$AS380)/DATOSAÑO!$Y380))," ")</f>
        <v>235.0675201754234</v>
      </c>
      <c r="G69" s="313">
        <f ca="1">IF($E69&lt;=DATOSAÑO!$B380,IF(DATOSAÑO!$Y380=0," ",((DATOSAÑO!$P380*DATOSAÑO!$AS380)/DATOSAÑO!$Y380))," ")</f>
        <v>215.1750404361652</v>
      </c>
      <c r="H69" s="313">
        <f ca="1">IF($E69&lt;=DATOSAÑO!$B380,IF(DATOSAÑO!$Y380=0," ",((DATOSAÑO!$Q380*DATOSAÑO!$AS380)/DATOSAÑO!$Y380))," ")</f>
        <v>5.0679073005411371E-2</v>
      </c>
      <c r="I69" s="313">
        <f ca="1">IF($E69&lt;=DATOSAÑO!$B380,IF(DATOSAÑO!$Y380=0," ",((DATOSAÑO!$T380*DATOSAÑO!$AS380)/DATOSAÑO!$Y380))," ")</f>
        <v>9.6760315419937848E-2</v>
      </c>
      <c r="J69" s="313">
        <f t="shared" ca="1" si="5"/>
        <v>0</v>
      </c>
      <c r="K69" s="313"/>
      <c r="L69" s="280"/>
      <c r="M69" s="281"/>
      <c r="N69" s="262"/>
      <c r="O69" s="263"/>
      <c r="P69" s="282"/>
      <c r="Q69" s="283"/>
      <c r="R69" s="284"/>
      <c r="S69" s="285"/>
      <c r="T69" s="286"/>
      <c r="U69" s="287"/>
      <c r="V69" s="288"/>
      <c r="W69" s="289"/>
      <c r="X69" s="290"/>
      <c r="Y69" s="291"/>
    </row>
    <row r="70" spans="1:25">
      <c r="A70" s="2233"/>
      <c r="B70" s="2236"/>
      <c r="C70" s="2244"/>
      <c r="D70" s="2242"/>
      <c r="E70" s="705" t="s">
        <v>182</v>
      </c>
      <c r="F70" s="312">
        <f ca="1">IF($E70&lt;=DATOSAÑO!$B381,IF(DATOSAÑO!$Y381=0," ",((DATOSAÑO!$I381*DATOSAÑO!$AS381)/DATOSAÑO!$Y381))," ")</f>
        <v>39.222121896166392</v>
      </c>
      <c r="G70" s="313">
        <f ca="1">IF($E70&lt;=DATOSAÑO!$B381,IF(DATOSAÑO!$Y381=0," ",((DATOSAÑO!$P381*DATOSAÑO!$AS381)/DATOSAÑO!$Y381))," ")</f>
        <v>19.877878103839429</v>
      </c>
      <c r="H70" s="313">
        <f ca="1">IF($E70&lt;=DATOSAÑO!$B381,IF(DATOSAÑO!$Y381=0," ",((DATOSAÑO!$Q381*DATOSAÑO!$AS381)/DATOSAÑO!$Y381))," ")</f>
        <v>0</v>
      </c>
      <c r="I70" s="313">
        <f ca="1">IF($E70&lt;=DATOSAÑO!$B381,IF(DATOSAÑO!$Y381=0," ",((DATOSAÑO!$T381*DATOSAÑO!$AS381)/DATOSAÑO!$Y381))," ")</f>
        <v>0</v>
      </c>
      <c r="J70" s="313">
        <f t="shared" ca="1" si="5"/>
        <v>0</v>
      </c>
      <c r="K70" s="313"/>
      <c r="L70" s="280"/>
      <c r="M70" s="281"/>
      <c r="N70" s="262"/>
      <c r="O70" s="263"/>
      <c r="P70" s="282"/>
      <c r="Q70" s="283"/>
      <c r="R70" s="284"/>
      <c r="S70" s="285"/>
      <c r="T70" s="286"/>
      <c r="U70" s="287"/>
      <c r="V70" s="288"/>
      <c r="W70" s="289"/>
      <c r="X70" s="290"/>
      <c r="Y70" s="291"/>
    </row>
    <row r="71" spans="1:25">
      <c r="A71" s="2233"/>
      <c r="B71" s="2236"/>
      <c r="C71" s="2244"/>
      <c r="D71" s="2242"/>
      <c r="E71" s="705" t="s">
        <v>183</v>
      </c>
      <c r="F71" s="312" t="str">
        <f ca="1">IF($E71&lt;=DATOSAÑO!$B382,IF(DATOSAÑO!$Y382=0," ",((DATOSAÑO!$I382*DATOSAÑO!$AS382)/DATOSAÑO!$Y382))," ")</f>
        <v xml:space="preserve"> </v>
      </c>
      <c r="G71" s="313" t="str">
        <f ca="1">IF($E71&lt;=DATOSAÑO!$B382,IF(DATOSAÑO!$Y382=0," ",((DATOSAÑO!$P382*DATOSAÑO!$AS382)/DATOSAÑO!$Y382))," ")</f>
        <v xml:space="preserve"> </v>
      </c>
      <c r="H71" s="313" t="str">
        <f ca="1">IF($E71&lt;=DATOSAÑO!$B382,IF(DATOSAÑO!$Y382=0," ",((DATOSAÑO!$Q382*DATOSAÑO!$AS382)/DATOSAÑO!$Y382))," ")</f>
        <v xml:space="preserve"> </v>
      </c>
      <c r="I71" s="313" t="str">
        <f ca="1">IF($E71&lt;=DATOSAÑO!$B382,IF(DATOSAÑO!$Y382=0," ",((DATOSAÑO!$T382*DATOSAÑO!$AS382)/DATOSAÑO!$Y382))," ")</f>
        <v xml:space="preserve"> </v>
      </c>
      <c r="J71" s="313" t="str">
        <f t="shared" ca="1" si="5"/>
        <v xml:space="preserve"> </v>
      </c>
      <c r="K71" s="313"/>
      <c r="L71" s="280"/>
      <c r="M71" s="281"/>
      <c r="N71" s="262"/>
      <c r="O71" s="263"/>
      <c r="P71" s="282"/>
      <c r="Q71" s="283"/>
      <c r="R71" s="284"/>
      <c r="S71" s="285"/>
      <c r="T71" s="286"/>
      <c r="U71" s="287"/>
      <c r="V71" s="288"/>
      <c r="W71" s="289"/>
      <c r="X71" s="290"/>
      <c r="Y71" s="291"/>
    </row>
    <row r="72" spans="1:25">
      <c r="A72" s="2233"/>
      <c r="B72" s="2236"/>
      <c r="C72" s="2244"/>
      <c r="D72" s="2242"/>
      <c r="E72" s="705" t="s">
        <v>184</v>
      </c>
      <c r="F72" s="312" t="str">
        <f ca="1">IF($E72&lt;=DATOSAÑO!$B383,IF(DATOSAÑO!$Y383=0," ",((DATOSAÑO!$I383*DATOSAÑO!$AS383)/DATOSAÑO!$Y383))," ")</f>
        <v xml:space="preserve"> </v>
      </c>
      <c r="G72" s="313" t="str">
        <f ca="1">IF($E72&lt;=DATOSAÑO!$B383,IF(DATOSAÑO!$Y383=0," ",((DATOSAÑO!$P383*DATOSAÑO!$AS383)/DATOSAÑO!$Y383))," ")</f>
        <v xml:space="preserve"> </v>
      </c>
      <c r="H72" s="313" t="str">
        <f ca="1">IF($E72&lt;=DATOSAÑO!$B383,IF(DATOSAÑO!$Y383=0," ",((DATOSAÑO!$Q383*DATOSAÑO!$AS383)/DATOSAÑO!$Y383))," ")</f>
        <v xml:space="preserve"> </v>
      </c>
      <c r="I72" s="313" t="str">
        <f ca="1">IF($E72&lt;=DATOSAÑO!$B383,IF(DATOSAÑO!$Y383=0," ",((DATOSAÑO!$T383*DATOSAÑO!$AS383)/DATOSAÑO!$Y383))," ")</f>
        <v xml:space="preserve"> </v>
      </c>
      <c r="J72" s="313" t="str">
        <f t="shared" ca="1" si="5"/>
        <v xml:space="preserve"> </v>
      </c>
      <c r="K72" s="313"/>
      <c r="L72" s="280"/>
      <c r="M72" s="281"/>
      <c r="N72" s="262"/>
      <c r="O72" s="263"/>
      <c r="P72" s="282"/>
      <c r="Q72" s="283"/>
      <c r="R72" s="284"/>
      <c r="S72" s="285"/>
      <c r="T72" s="286"/>
      <c r="U72" s="287"/>
      <c r="V72" s="288"/>
      <c r="W72" s="289"/>
      <c r="X72" s="290"/>
      <c r="Y72" s="291"/>
    </row>
    <row r="73" spans="1:25">
      <c r="A73" s="2233"/>
      <c r="B73" s="2236"/>
      <c r="C73" s="2244"/>
      <c r="D73" s="2242"/>
      <c r="E73" s="705" t="s">
        <v>185</v>
      </c>
      <c r="F73" s="312" t="str">
        <f ca="1">IF($E73&lt;=DATOSAÑO!$B384,IF(DATOSAÑO!$Y384=0," ",((DATOSAÑO!$I384*DATOSAÑO!$AS384)/DATOSAÑO!$Y384))," ")</f>
        <v xml:space="preserve"> </v>
      </c>
      <c r="G73" s="313" t="str">
        <f ca="1">IF($E73&lt;=DATOSAÑO!$B384,IF(DATOSAÑO!$Y384=0," ",((DATOSAÑO!$P384*DATOSAÑO!$AS384)/DATOSAÑO!$Y384))," ")</f>
        <v xml:space="preserve"> </v>
      </c>
      <c r="H73" s="313" t="str">
        <f ca="1">IF($E73&lt;=DATOSAÑO!$B384,IF(DATOSAÑO!$Y384=0," ",((DATOSAÑO!$Q384*DATOSAÑO!$AS384)/DATOSAÑO!$Y384))," ")</f>
        <v xml:space="preserve"> </v>
      </c>
      <c r="I73" s="313" t="str">
        <f ca="1">IF($E73&lt;=DATOSAÑO!$B384,IF(DATOSAÑO!$Y384=0," ",((DATOSAÑO!$T384*DATOSAÑO!$AS384)/DATOSAÑO!$Y384))," ")</f>
        <v xml:space="preserve"> </v>
      </c>
      <c r="J73" s="313" t="str">
        <f t="shared" ca="1" si="5"/>
        <v xml:space="preserve"> </v>
      </c>
      <c r="K73" s="313"/>
      <c r="L73" s="280"/>
      <c r="M73" s="281"/>
      <c r="N73" s="262"/>
      <c r="O73" s="263"/>
      <c r="P73" s="282"/>
      <c r="Q73" s="283"/>
      <c r="R73" s="284"/>
      <c r="S73" s="285"/>
      <c r="T73" s="286"/>
      <c r="U73" s="287"/>
      <c r="V73" s="288"/>
      <c r="W73" s="289"/>
      <c r="X73" s="290"/>
      <c r="Y73" s="291"/>
    </row>
    <row r="74" spans="1:25">
      <c r="A74" s="2233"/>
      <c r="B74" s="2236"/>
      <c r="C74" s="2244"/>
      <c r="D74" s="2242"/>
      <c r="E74" s="705" t="s">
        <v>186</v>
      </c>
      <c r="F74" s="312" t="str">
        <f ca="1">IF($E74&lt;=DATOSAÑO!$B385,IF(DATOSAÑO!$Y385=0," ",((DATOSAÑO!$I385*DATOSAÑO!$AS385)/DATOSAÑO!$Y385))," ")</f>
        <v xml:space="preserve"> </v>
      </c>
      <c r="G74" s="313" t="str">
        <f ca="1">IF($E74&lt;=DATOSAÑO!$B385,IF(DATOSAÑO!$Y385=0," ",((DATOSAÑO!$P385*DATOSAÑO!$AS385)/DATOSAÑO!$Y385))," ")</f>
        <v xml:space="preserve"> </v>
      </c>
      <c r="H74" s="313" t="str">
        <f ca="1">IF($E74&lt;=DATOSAÑO!$B385,IF(DATOSAÑO!$Y385=0," ",((DATOSAÑO!$Q385*DATOSAÑO!$AS385)/DATOSAÑO!$Y385))," ")</f>
        <v xml:space="preserve"> </v>
      </c>
      <c r="I74" s="313" t="str">
        <f ca="1">IF($E74&lt;=DATOSAÑO!$B385,IF(DATOSAÑO!$Y385=0," ",((DATOSAÑO!$T385*DATOSAÑO!$AS385)/DATOSAÑO!$Y385))," ")</f>
        <v xml:space="preserve"> </v>
      </c>
      <c r="J74" s="313" t="str">
        <f t="shared" ca="1" si="5"/>
        <v xml:space="preserve"> </v>
      </c>
      <c r="K74" s="313"/>
      <c r="L74" s="280"/>
      <c r="M74" s="281"/>
      <c r="N74" s="262"/>
      <c r="O74" s="263"/>
      <c r="P74" s="282"/>
      <c r="Q74" s="283"/>
      <c r="R74" s="284"/>
      <c r="S74" s="285"/>
      <c r="T74" s="286"/>
      <c r="U74" s="287"/>
      <c r="V74" s="288"/>
      <c r="W74" s="289"/>
      <c r="X74" s="290"/>
      <c r="Y74" s="291"/>
    </row>
    <row r="75" spans="1:25">
      <c r="A75" s="2233"/>
      <c r="B75" s="2236"/>
      <c r="C75" s="2244"/>
      <c r="D75" s="2242"/>
      <c r="E75" s="705" t="s">
        <v>187</v>
      </c>
      <c r="F75" s="312" t="str">
        <f ca="1">IF($E75&lt;=DATOSAÑO!$B386,IF(DATOSAÑO!$Y386=0," ",((DATOSAÑO!$I386*DATOSAÑO!$AS386)/DATOSAÑO!$Y386))," ")</f>
        <v xml:space="preserve"> </v>
      </c>
      <c r="G75" s="313" t="str">
        <f ca="1">IF($E75&lt;=DATOSAÑO!$B386,IF(DATOSAÑO!$Y386=0," ",((DATOSAÑO!$P386*DATOSAÑO!$AS386)/DATOSAÑO!$Y386))," ")</f>
        <v xml:space="preserve"> </v>
      </c>
      <c r="H75" s="313" t="str">
        <f ca="1">IF($E75&lt;=DATOSAÑO!$B386,IF(DATOSAÑO!$Y386=0," ",((DATOSAÑO!$Q386*DATOSAÑO!$AS386)/DATOSAÑO!$Y386))," ")</f>
        <v xml:space="preserve"> </v>
      </c>
      <c r="I75" s="313" t="str">
        <f ca="1">IF($E75&lt;=DATOSAÑO!$B386,IF(DATOSAÑO!$Y386=0," ",((DATOSAÑO!$T386*DATOSAÑO!$AS386)/DATOSAÑO!$Y386))," ")</f>
        <v xml:space="preserve"> </v>
      </c>
      <c r="J75" s="313" t="str">
        <f t="shared" ca="1" si="5"/>
        <v xml:space="preserve"> </v>
      </c>
      <c r="K75" s="313"/>
      <c r="L75" s="280"/>
      <c r="M75" s="281"/>
      <c r="N75" s="262"/>
      <c r="O75" s="263"/>
      <c r="P75" s="282"/>
      <c r="Q75" s="283"/>
      <c r="R75" s="284"/>
      <c r="S75" s="285"/>
      <c r="T75" s="286"/>
      <c r="U75" s="287"/>
      <c r="V75" s="288"/>
      <c r="W75" s="289"/>
      <c r="X75" s="290"/>
      <c r="Y75" s="291"/>
    </row>
    <row r="76" spans="1:25" ht="15" thickBot="1">
      <c r="A76" s="2234"/>
      <c r="B76" s="2237"/>
      <c r="C76" s="2245"/>
      <c r="D76" s="2243"/>
      <c r="E76" s="706" t="s">
        <v>188</v>
      </c>
      <c r="F76" s="621" t="str">
        <f ca="1">IF($E76&lt;=DATOSAÑO!$B387,IF(DATOSAÑO!$Y387=0," ",((DATOSAÑO!$I387*DATOSAÑO!$AS387)/DATOSAÑO!$Y387))," ")</f>
        <v xml:space="preserve"> </v>
      </c>
      <c r="G76" s="325" t="str">
        <f ca="1">IF($E76&lt;=DATOSAÑO!$B387,IF(DATOSAÑO!$Y387=0," ",((DATOSAÑO!$P387*DATOSAÑO!$AS387)/DATOSAÑO!$Y387))," ")</f>
        <v xml:space="preserve"> </v>
      </c>
      <c r="H76" s="325" t="str">
        <f ca="1">IF($E76&lt;=DATOSAÑO!$B387,IF(DATOSAÑO!$Y387=0," ",((DATOSAÑO!$Q387*DATOSAÑO!$AS387)/DATOSAÑO!$Y387))," ")</f>
        <v xml:space="preserve"> </v>
      </c>
      <c r="I76" s="325" t="str">
        <f ca="1">IF($E76&lt;=DATOSAÑO!$B387,IF(DATOSAÑO!$Y387=0," ",((DATOSAÑO!$T387*DATOSAÑO!$AS387)/DATOSAÑO!$Y387))," ")</f>
        <v xml:space="preserve"> </v>
      </c>
      <c r="J76" s="325" t="str">
        <f t="shared" ca="1" si="5"/>
        <v xml:space="preserve"> </v>
      </c>
      <c r="K76" s="313"/>
      <c r="L76" s="292"/>
      <c r="M76" s="293"/>
      <c r="N76" s="266"/>
      <c r="O76" s="267"/>
      <c r="P76" s="294"/>
      <c r="Q76" s="295"/>
      <c r="R76" s="296"/>
      <c r="S76" s="297"/>
      <c r="T76" s="298"/>
      <c r="U76" s="299"/>
      <c r="V76" s="300"/>
      <c r="W76" s="301"/>
      <c r="X76" s="302"/>
      <c r="Y76" s="303"/>
    </row>
    <row r="77" spans="1:25">
      <c r="A77" s="2232" t="s">
        <v>251</v>
      </c>
      <c r="B77" s="2235" t="s">
        <v>252</v>
      </c>
      <c r="C77" s="2238" t="s">
        <v>259</v>
      </c>
      <c r="D77" s="2241">
        <v>2022</v>
      </c>
      <c r="E77" s="709" t="s">
        <v>176</v>
      </c>
      <c r="F77" s="320">
        <f ca="1">IF($E77&lt;=DATOSAÑO!$B376,IF(DATOSAÑO!$Y376=0," ",((DATOSAÑO!$I376*DATOSAÑO!$AT376)/DATOSAÑO!$Y376))," ")</f>
        <v>27.165023840200099</v>
      </c>
      <c r="G77" s="321">
        <f ca="1">IF($E77&lt;=DATOSAÑO!$B376,IF(DATOSAÑO!$Y376=0," ",((DATOSAÑO!$P376*DATOSAÑO!$AT376)/DATOSAÑO!$Y376))," ")</f>
        <v>38.403747738689624</v>
      </c>
      <c r="H77" s="315">
        <f ca="1">IF($E77&lt;=DATOSAÑO!$B376,IF(DATOSAÑO!$Y376=0," ",((DATOSAÑO!$Q376*DATOSAÑO!$AT376)/DATOSAÑO!$Y376))," ")</f>
        <v>8.8552565850762571E-3</v>
      </c>
      <c r="I77" s="315">
        <f ca="1">IF($E77&lt;=DATOSAÑO!$B376,IF(DATOSAÑO!$Y376=0," ",((DATOSAÑO!$T376*DATOSAÑO!$AT376)/DATOSAÑO!$Y376))," ")</f>
        <v>1.2373164528984171E-2</v>
      </c>
      <c r="J77" s="311">
        <f ca="1">IF($H77=" "," ",0)</f>
        <v>0</v>
      </c>
      <c r="K77" s="315"/>
      <c r="L77" s="268"/>
      <c r="M77" s="269"/>
      <c r="N77" s="258"/>
      <c r="O77" s="259"/>
      <c r="P77" s="270"/>
      <c r="Q77" s="271"/>
      <c r="R77" s="272"/>
      <c r="S77" s="273"/>
      <c r="T77" s="274"/>
      <c r="U77" s="275"/>
      <c r="V77" s="276"/>
      <c r="W77" s="277"/>
      <c r="X77" s="278"/>
      <c r="Y77" s="279"/>
    </row>
    <row r="78" spans="1:25">
      <c r="A78" s="2233"/>
      <c r="B78" s="2236"/>
      <c r="C78" s="2244"/>
      <c r="D78" s="2242"/>
      <c r="E78" s="705" t="s">
        <v>177</v>
      </c>
      <c r="F78" s="319">
        <f ca="1">IF($E78&lt;=DATOSAÑO!$B377,IF(DATOSAÑO!$Y377=0," ",((DATOSAÑO!$I377*DATOSAÑO!$AT377)/DATOSAÑO!$Y377))," ")</f>
        <v>41.235986011949031</v>
      </c>
      <c r="G78" s="622">
        <f ca="1">IF($E78&lt;=DATOSAÑO!$B377,IF(DATOSAÑO!$Y377=0," ",((DATOSAÑO!$P377*DATOSAÑO!$AT377)/DATOSAÑO!$Y377))," ")</f>
        <v>20.840707591554015</v>
      </c>
      <c r="H78" s="317">
        <f ca="1">IF($E78&lt;=DATOSAÑO!$B377,IF(DATOSAÑO!$Y377=0," ",((DATOSAÑO!$Q377*DATOSAÑO!$AT377)/DATOSAÑO!$Y377))," ")</f>
        <v>5.8494286372042219E-3</v>
      </c>
      <c r="I78" s="317">
        <f ca="1">IF($E78&lt;=DATOSAÑO!$B377,IF(DATOSAÑO!$Y377=0," ",((DATOSAÑO!$T377*DATOSAÑO!$AT377)/DATOSAÑO!$Y377))," ")</f>
        <v>1.7456967858299127E-2</v>
      </c>
      <c r="J78" s="313">
        <f t="shared" ref="J78:J88" ca="1" si="6">IF($H78=" "," ",0)</f>
        <v>0</v>
      </c>
      <c r="K78" s="317"/>
      <c r="L78" s="280"/>
      <c r="M78" s="281"/>
      <c r="N78" s="262"/>
      <c r="O78" s="263"/>
      <c r="P78" s="282"/>
      <c r="Q78" s="283"/>
      <c r="R78" s="284"/>
      <c r="S78" s="285"/>
      <c r="T78" s="286"/>
      <c r="U78" s="287"/>
      <c r="V78" s="288"/>
      <c r="W78" s="289"/>
      <c r="X78" s="290"/>
      <c r="Y78" s="291"/>
    </row>
    <row r="79" spans="1:25">
      <c r="A79" s="2233"/>
      <c r="B79" s="2236"/>
      <c r="C79" s="2244"/>
      <c r="D79" s="2242"/>
      <c r="E79" s="705" t="s">
        <v>178</v>
      </c>
      <c r="F79" s="319">
        <f ca="1">IF($E79&lt;=DATOSAÑO!$B378,IF(DATOSAÑO!$Y378=0," ",((DATOSAÑO!$I378*DATOSAÑO!$AT378)/DATOSAÑO!$Y378))," ")</f>
        <v>46.658654021235066</v>
      </c>
      <c r="G79" s="622">
        <f ca="1">IF($E79&lt;=DATOSAÑO!$B378,IF(DATOSAÑO!$Y378=0," ",((DATOSAÑO!$P378*DATOSAÑO!$AT378)/DATOSAÑO!$Y378))," ")</f>
        <v>24.332534302348328</v>
      </c>
      <c r="H79" s="317">
        <f ca="1">IF($E79&lt;=DATOSAÑO!$B378,IF(DATOSAÑO!$Y378=0," ",((DATOSAÑO!$Q378*DATOSAÑO!$AT378)/DATOSAÑO!$Y378))," ")</f>
        <v>3.3405768580309532E-3</v>
      </c>
      <c r="I79" s="317">
        <f ca="1">IF($E79&lt;=DATOSAÑO!$B378,IF(DATOSAÑO!$Y378=0," ",((DATOSAÑO!$T378*DATOSAÑO!$AT378)/DATOSAÑO!$Y378))," ")</f>
        <v>5.471099560057203E-3</v>
      </c>
      <c r="J79" s="313">
        <f t="shared" ca="1" si="6"/>
        <v>0</v>
      </c>
      <c r="K79" s="317"/>
      <c r="L79" s="280"/>
      <c r="M79" s="281"/>
      <c r="N79" s="262"/>
      <c r="O79" s="263"/>
      <c r="P79" s="282"/>
      <c r="Q79" s="283"/>
      <c r="R79" s="284"/>
      <c r="S79" s="285"/>
      <c r="T79" s="286"/>
      <c r="U79" s="287"/>
      <c r="V79" s="288"/>
      <c r="W79" s="289"/>
      <c r="X79" s="290"/>
      <c r="Y79" s="291"/>
    </row>
    <row r="80" spans="1:25">
      <c r="A80" s="2233"/>
      <c r="B80" s="2236"/>
      <c r="C80" s="2244"/>
      <c r="D80" s="2242"/>
      <c r="E80" s="705" t="s">
        <v>179</v>
      </c>
      <c r="F80" s="319">
        <f ca="1">IF($E80&lt;=DATOSAÑO!$B379,IF(DATOSAÑO!$Y379=0," ",((DATOSAÑO!$I379*DATOSAÑO!$AT379)/DATOSAÑO!$Y379))," ")</f>
        <v>50.552301936997956</v>
      </c>
      <c r="G80" s="622">
        <f ca="1">IF($E80&lt;=DATOSAÑO!$B379,IF(DATOSAÑO!$Y379=0," ",((DATOSAÑO!$P379*DATOSAÑO!$AT379)/DATOSAÑO!$Y379))," ")</f>
        <v>20.346475617568132</v>
      </c>
      <c r="H80" s="317">
        <f ca="1">IF($E80&lt;=DATOSAÑO!$B379,IF(DATOSAÑO!$Y379=0," ",((DATOSAÑO!$Q379*DATOSAÑO!$AT379)/DATOSAÑO!$Y379))," ")</f>
        <v>2.8049945940472588E-2</v>
      </c>
      <c r="I80" s="317">
        <f ca="1">IF($E80&lt;=DATOSAÑO!$B379,IF(DATOSAÑO!$Y379=0," ",((DATOSAÑO!$T379*DATOSAÑO!$AT379)/DATOSAÑO!$Y379))," ")</f>
        <v>0.14317249949315591</v>
      </c>
      <c r="J80" s="313">
        <f t="shared" ca="1" si="6"/>
        <v>0</v>
      </c>
      <c r="K80" s="317"/>
      <c r="L80" s="280"/>
      <c r="M80" s="281"/>
      <c r="N80" s="262"/>
      <c r="O80" s="263"/>
      <c r="P80" s="282"/>
      <c r="Q80" s="283"/>
      <c r="R80" s="284"/>
      <c r="S80" s="285"/>
      <c r="T80" s="286"/>
      <c r="U80" s="287"/>
      <c r="V80" s="288"/>
      <c r="W80" s="289"/>
      <c r="X80" s="290"/>
      <c r="Y80" s="291"/>
    </row>
    <row r="81" spans="1:25">
      <c r="A81" s="2233"/>
      <c r="B81" s="2236"/>
      <c r="C81" s="2244"/>
      <c r="D81" s="2242"/>
      <c r="E81" s="705" t="s">
        <v>180</v>
      </c>
      <c r="F81" s="319">
        <f ca="1">IF($E81&lt;=DATOSAÑO!$B380,IF(DATOSAÑO!$Y380=0," ",((DATOSAÑO!$I380*DATOSAÑO!$AT380)/DATOSAÑO!$Y380))," ")</f>
        <v>41.388250960078821</v>
      </c>
      <c r="G81" s="622">
        <f ca="1">IF($E81&lt;=DATOSAÑO!$B380,IF(DATOSAÑO!$Y380=0," ",((DATOSAÑO!$P380*DATOSAÑO!$AT380)/DATOSAÑO!$Y380))," ")</f>
        <v>37.885789441565805</v>
      </c>
      <c r="H81" s="317">
        <f ca="1">IF($E81&lt;=DATOSAÑO!$B380,IF(DATOSAÑO!$Y380=0," ",((DATOSAÑO!$Q380*DATOSAÑO!$AT380)/DATOSAÑO!$Y380))," ")</f>
        <v>8.9230455590241075E-3</v>
      </c>
      <c r="I81" s="317">
        <f ca="1">IF($E81&lt;=DATOSAÑO!$B380,IF(DATOSAÑO!$Y380=0," ",((DATOSAÑO!$T380*DATOSAÑO!$AT380)/DATOSAÑO!$Y380))," ")</f>
        <v>1.7036552793802236E-2</v>
      </c>
      <c r="J81" s="313">
        <f t="shared" ca="1" si="6"/>
        <v>0</v>
      </c>
      <c r="K81" s="317"/>
      <c r="L81" s="280"/>
      <c r="M81" s="281"/>
      <c r="N81" s="262"/>
      <c r="O81" s="263"/>
      <c r="P81" s="282"/>
      <c r="Q81" s="283"/>
      <c r="R81" s="284"/>
      <c r="S81" s="285"/>
      <c r="T81" s="286"/>
      <c r="U81" s="287"/>
      <c r="V81" s="288"/>
      <c r="W81" s="289"/>
      <c r="X81" s="290"/>
      <c r="Y81" s="291"/>
    </row>
    <row r="82" spans="1:25">
      <c r="A82" s="2233"/>
      <c r="B82" s="2236"/>
      <c r="C82" s="2244"/>
      <c r="D82" s="2242"/>
      <c r="E82" s="705" t="s">
        <v>182</v>
      </c>
      <c r="F82" s="319">
        <f ca="1">IF($E82&lt;=DATOSAÑO!$B381,IF(DATOSAÑO!$Y381=0," ",((DATOSAÑO!$I381*DATOSAÑO!$AT381)/DATOSAÑO!$Y381))," ")</f>
        <v>8.5611738148981793</v>
      </c>
      <c r="G82" s="622">
        <f ca="1">IF($E82&lt;=DATOSAÑO!$B381,IF(DATOSAÑO!$Y381=0," ",((DATOSAÑO!$P381*DATOSAÑO!$AT381)/DATOSAÑO!$Y381))," ")</f>
        <v>4.3388261851014578</v>
      </c>
      <c r="H82" s="317">
        <f ca="1">IF($E82&lt;=DATOSAÑO!$B381,IF(DATOSAÑO!$Y381=0," ",((DATOSAÑO!$Q381*DATOSAÑO!$AT381)/DATOSAÑO!$Y381))," ")</f>
        <v>0</v>
      </c>
      <c r="I82" s="317">
        <f ca="1">IF($E82&lt;=DATOSAÑO!$B381,IF(DATOSAÑO!$Y381=0," ",((DATOSAÑO!$T381*DATOSAÑO!$AT381)/DATOSAÑO!$Y381))," ")</f>
        <v>0</v>
      </c>
      <c r="J82" s="313">
        <f t="shared" ca="1" si="6"/>
        <v>0</v>
      </c>
      <c r="K82" s="317"/>
      <c r="L82" s="280"/>
      <c r="M82" s="281"/>
      <c r="N82" s="262"/>
      <c r="O82" s="263"/>
      <c r="P82" s="282"/>
      <c r="Q82" s="283"/>
      <c r="R82" s="284"/>
      <c r="S82" s="285"/>
      <c r="T82" s="286"/>
      <c r="U82" s="287"/>
      <c r="V82" s="288"/>
      <c r="W82" s="289"/>
      <c r="X82" s="290"/>
      <c r="Y82" s="291"/>
    </row>
    <row r="83" spans="1:25">
      <c r="A83" s="2233"/>
      <c r="B83" s="2236"/>
      <c r="C83" s="2244"/>
      <c r="D83" s="2242"/>
      <c r="E83" s="705" t="s">
        <v>183</v>
      </c>
      <c r="F83" s="319" t="str">
        <f ca="1">IF($E83&lt;=DATOSAÑO!$B382,IF(DATOSAÑO!$Y382=0," ",((DATOSAÑO!$I382*DATOSAÑO!$AT382)/DATOSAÑO!$Y382))," ")</f>
        <v xml:space="preserve"> </v>
      </c>
      <c r="G83" s="622" t="str">
        <f ca="1">IF($E83&lt;=DATOSAÑO!$B382,IF(DATOSAÑO!$Y382=0," ",((DATOSAÑO!$P382*DATOSAÑO!$AT382)/DATOSAÑO!$Y382))," ")</f>
        <v xml:space="preserve"> </v>
      </c>
      <c r="H83" s="317" t="str">
        <f ca="1">IF($E83&lt;=DATOSAÑO!$B382,IF(DATOSAÑO!$Y382=0," ",((DATOSAÑO!$Q382*DATOSAÑO!$AT382)/DATOSAÑO!$Y382))," ")</f>
        <v xml:space="preserve"> </v>
      </c>
      <c r="I83" s="317" t="str">
        <f ca="1">IF($E83&lt;=DATOSAÑO!$B382,IF(DATOSAÑO!$Y382=0," ",((DATOSAÑO!$T382*DATOSAÑO!$AT382)/DATOSAÑO!$Y382))," ")</f>
        <v xml:space="preserve"> </v>
      </c>
      <c r="J83" s="313" t="str">
        <f t="shared" ca="1" si="6"/>
        <v xml:space="preserve"> </v>
      </c>
      <c r="K83" s="317"/>
      <c r="L83" s="280"/>
      <c r="M83" s="281"/>
      <c r="N83" s="262"/>
      <c r="O83" s="263"/>
      <c r="P83" s="282"/>
      <c r="Q83" s="283"/>
      <c r="R83" s="284"/>
      <c r="S83" s="285"/>
      <c r="T83" s="286"/>
      <c r="U83" s="287"/>
      <c r="V83" s="288"/>
      <c r="W83" s="289"/>
      <c r="X83" s="290"/>
      <c r="Y83" s="291"/>
    </row>
    <row r="84" spans="1:25">
      <c r="A84" s="2233"/>
      <c r="B84" s="2236"/>
      <c r="C84" s="2244"/>
      <c r="D84" s="2242"/>
      <c r="E84" s="705" t="s">
        <v>184</v>
      </c>
      <c r="F84" s="319" t="str">
        <f ca="1">IF($E84&lt;=DATOSAÑO!$B383,IF(DATOSAÑO!$Y383=0," ",((DATOSAÑO!$I383*DATOSAÑO!$AT383)/DATOSAÑO!$Y383))," ")</f>
        <v xml:space="preserve"> </v>
      </c>
      <c r="G84" s="622" t="str">
        <f ca="1">IF($E84&lt;=DATOSAÑO!$B383,IF(DATOSAÑO!$Y383=0," ",((DATOSAÑO!$P383*DATOSAÑO!$AT383)/DATOSAÑO!$Y383))," ")</f>
        <v xml:space="preserve"> </v>
      </c>
      <c r="H84" s="317" t="str">
        <f ca="1">IF($E84&lt;=DATOSAÑO!$B383,IF(DATOSAÑO!$Y383=0," ",((DATOSAÑO!$Q383*DATOSAÑO!$AT383)/DATOSAÑO!$Y383))," ")</f>
        <v xml:space="preserve"> </v>
      </c>
      <c r="I84" s="317" t="str">
        <f ca="1">IF($E84&lt;=DATOSAÑO!$B383,IF(DATOSAÑO!$Y383=0," ",((DATOSAÑO!$T383*DATOSAÑO!$AT383)/DATOSAÑO!$Y383))," ")</f>
        <v xml:space="preserve"> </v>
      </c>
      <c r="J84" s="313" t="str">
        <f t="shared" ca="1" si="6"/>
        <v xml:space="preserve"> </v>
      </c>
      <c r="K84" s="317"/>
      <c r="L84" s="280"/>
      <c r="M84" s="281"/>
      <c r="N84" s="262"/>
      <c r="O84" s="263"/>
      <c r="P84" s="282"/>
      <c r="Q84" s="283"/>
      <c r="R84" s="284"/>
      <c r="S84" s="285"/>
      <c r="T84" s="286"/>
      <c r="U84" s="287"/>
      <c r="V84" s="288"/>
      <c r="W84" s="289"/>
      <c r="X84" s="290"/>
      <c r="Y84" s="291"/>
    </row>
    <row r="85" spans="1:25">
      <c r="A85" s="2233"/>
      <c r="B85" s="2236"/>
      <c r="C85" s="2244"/>
      <c r="D85" s="2242"/>
      <c r="E85" s="705" t="s">
        <v>185</v>
      </c>
      <c r="F85" s="319" t="str">
        <f ca="1">IF($E85&lt;=DATOSAÑO!$B384,IF(DATOSAÑO!$Y384=0," ",((DATOSAÑO!$I384*DATOSAÑO!$AT384)/DATOSAÑO!$Y384))," ")</f>
        <v xml:space="preserve"> </v>
      </c>
      <c r="G85" s="622" t="str">
        <f ca="1">IF($E85&lt;=DATOSAÑO!$B384,IF(DATOSAÑO!$Y384=0," ",((DATOSAÑO!$P384*DATOSAÑO!$AT384)/DATOSAÑO!$Y384))," ")</f>
        <v xml:space="preserve"> </v>
      </c>
      <c r="H85" s="317" t="str">
        <f ca="1">IF($E85&lt;=DATOSAÑO!$B384,IF(DATOSAÑO!$Y384=0," ",((DATOSAÑO!$Q384*DATOSAÑO!$AT384)/DATOSAÑO!$Y384))," ")</f>
        <v xml:space="preserve"> </v>
      </c>
      <c r="I85" s="317" t="str">
        <f ca="1">IF($E85&lt;=DATOSAÑO!$B384,IF(DATOSAÑO!$Y384=0," ",((DATOSAÑO!$T384*DATOSAÑO!$AT384)/DATOSAÑO!$Y384))," ")</f>
        <v xml:space="preserve"> </v>
      </c>
      <c r="J85" s="313" t="str">
        <f t="shared" ca="1" si="6"/>
        <v xml:space="preserve"> </v>
      </c>
      <c r="K85" s="317"/>
      <c r="L85" s="280"/>
      <c r="M85" s="281"/>
      <c r="N85" s="262"/>
      <c r="O85" s="263"/>
      <c r="P85" s="282"/>
      <c r="Q85" s="283"/>
      <c r="R85" s="284"/>
      <c r="S85" s="285"/>
      <c r="T85" s="286"/>
      <c r="U85" s="287"/>
      <c r="V85" s="288"/>
      <c r="W85" s="289"/>
      <c r="X85" s="290"/>
      <c r="Y85" s="291"/>
    </row>
    <row r="86" spans="1:25">
      <c r="A86" s="2233"/>
      <c r="B86" s="2236"/>
      <c r="C86" s="2244"/>
      <c r="D86" s="2242"/>
      <c r="E86" s="705" t="s">
        <v>186</v>
      </c>
      <c r="F86" s="319" t="str">
        <f ca="1">IF($E86&lt;=DATOSAÑO!$B385,IF(DATOSAÑO!$Y385=0," ",((DATOSAÑO!$I385*DATOSAÑO!$AT385)/DATOSAÑO!$Y385))," ")</f>
        <v xml:space="preserve"> </v>
      </c>
      <c r="G86" s="622" t="str">
        <f ca="1">IF($E86&lt;=DATOSAÑO!$B385,IF(DATOSAÑO!$Y385=0," ",((DATOSAÑO!$P385*DATOSAÑO!$AT385)/DATOSAÑO!$Y385))," ")</f>
        <v xml:space="preserve"> </v>
      </c>
      <c r="H86" s="317" t="str">
        <f ca="1">IF($E86&lt;=DATOSAÑO!$B385,IF(DATOSAÑO!$Y385=0," ",((DATOSAÑO!$Q385*DATOSAÑO!$AT385)/DATOSAÑO!$Y385))," ")</f>
        <v xml:space="preserve"> </v>
      </c>
      <c r="I86" s="317" t="str">
        <f ca="1">IF($E86&lt;=DATOSAÑO!$B385,IF(DATOSAÑO!$Y385=0," ",((DATOSAÑO!$T385*DATOSAÑO!$AT385)/DATOSAÑO!$Y385))," ")</f>
        <v xml:space="preserve"> </v>
      </c>
      <c r="J86" s="313" t="str">
        <f t="shared" ca="1" si="6"/>
        <v xml:space="preserve"> </v>
      </c>
      <c r="K86" s="317"/>
      <c r="L86" s="280"/>
      <c r="M86" s="281"/>
      <c r="N86" s="262"/>
      <c r="O86" s="263"/>
      <c r="P86" s="282"/>
      <c r="Q86" s="283"/>
      <c r="R86" s="284"/>
      <c r="S86" s="285"/>
      <c r="T86" s="286"/>
      <c r="U86" s="287"/>
      <c r="V86" s="288"/>
      <c r="W86" s="289"/>
      <c r="X86" s="290"/>
      <c r="Y86" s="291"/>
    </row>
    <row r="87" spans="1:25">
      <c r="A87" s="2233"/>
      <c r="B87" s="2236"/>
      <c r="C87" s="2244"/>
      <c r="D87" s="2242"/>
      <c r="E87" s="705" t="s">
        <v>187</v>
      </c>
      <c r="F87" s="319" t="str">
        <f ca="1">IF($E87&lt;=DATOSAÑO!$B386,IF(DATOSAÑO!$Y386=0," ",((DATOSAÑO!$I386*DATOSAÑO!$AT386)/DATOSAÑO!$Y386))," ")</f>
        <v xml:space="preserve"> </v>
      </c>
      <c r="G87" s="622" t="str">
        <f ca="1">IF($E87&lt;=DATOSAÑO!$B386,IF(DATOSAÑO!$Y386=0," ",((DATOSAÑO!$P386*DATOSAÑO!$AT386)/DATOSAÑO!$Y386))," ")</f>
        <v xml:space="preserve"> </v>
      </c>
      <c r="H87" s="317" t="str">
        <f ca="1">IF($E87&lt;=DATOSAÑO!$B386,IF(DATOSAÑO!$Y386=0," ",((DATOSAÑO!$Q386*DATOSAÑO!$AT386)/DATOSAÑO!$Y386))," ")</f>
        <v xml:space="preserve"> </v>
      </c>
      <c r="I87" s="317" t="str">
        <f ca="1">IF($E87&lt;=DATOSAÑO!$B386,IF(DATOSAÑO!$Y386=0," ",((DATOSAÑO!$T386*DATOSAÑO!$AT386)/DATOSAÑO!$Y386))," ")</f>
        <v xml:space="preserve"> </v>
      </c>
      <c r="J87" s="313" t="str">
        <f t="shared" ca="1" si="6"/>
        <v xml:space="preserve"> </v>
      </c>
      <c r="K87" s="317"/>
      <c r="L87" s="280"/>
      <c r="M87" s="281"/>
      <c r="N87" s="262"/>
      <c r="O87" s="263"/>
      <c r="P87" s="282"/>
      <c r="Q87" s="283"/>
      <c r="R87" s="284"/>
      <c r="S87" s="285"/>
      <c r="T87" s="286"/>
      <c r="U87" s="287"/>
      <c r="V87" s="288"/>
      <c r="W87" s="289"/>
      <c r="X87" s="290"/>
      <c r="Y87" s="291"/>
    </row>
    <row r="88" spans="1:25" ht="15" thickBot="1">
      <c r="A88" s="2234"/>
      <c r="B88" s="2237"/>
      <c r="C88" s="2245"/>
      <c r="D88" s="2243"/>
      <c r="E88" s="706" t="s">
        <v>188</v>
      </c>
      <c r="F88" s="326" t="str">
        <f ca="1">IF($E88&lt;=DATOSAÑO!$B387,IF(DATOSAÑO!$Y387=0," ",((DATOSAÑO!$I387*DATOSAÑO!$AT387)/DATOSAÑO!$Y387))," ")</f>
        <v xml:space="preserve"> </v>
      </c>
      <c r="G88" s="623" t="str">
        <f ca="1">IF($E88&lt;=DATOSAÑO!$B387,IF(DATOSAÑO!$Y387=0," ",((DATOSAÑO!$P387*DATOSAÑO!$AT387)/DATOSAÑO!$Y387))," ")</f>
        <v xml:space="preserve"> </v>
      </c>
      <c r="H88" s="318" t="str">
        <f ca="1">IF($E88&lt;=DATOSAÑO!$B387,IF(DATOSAÑO!$Y387=0," ",((DATOSAÑO!$Q387*DATOSAÑO!$AT387)/DATOSAÑO!$Y387))," ")</f>
        <v xml:space="preserve"> </v>
      </c>
      <c r="I88" s="318" t="str">
        <f ca="1">IF($E88&lt;=DATOSAÑO!$B387,IF(DATOSAÑO!$Y387=0," ",((DATOSAÑO!$T387*DATOSAÑO!$AT387)/DATOSAÑO!$Y387))," ")</f>
        <v xml:space="preserve"> </v>
      </c>
      <c r="J88" s="325" t="str">
        <f t="shared" ca="1" si="6"/>
        <v xml:space="preserve"> </v>
      </c>
      <c r="K88" s="317"/>
      <c r="L88" s="292"/>
      <c r="M88" s="293"/>
      <c r="N88" s="266"/>
      <c r="O88" s="267"/>
      <c r="P88" s="294"/>
      <c r="Q88" s="295"/>
      <c r="R88" s="296"/>
      <c r="S88" s="297"/>
      <c r="T88" s="298"/>
      <c r="U88" s="299"/>
      <c r="V88" s="300"/>
      <c r="W88" s="301"/>
      <c r="X88" s="302"/>
      <c r="Y88" s="303"/>
    </row>
    <row r="89" spans="1:25">
      <c r="A89" s="2232" t="s">
        <v>251</v>
      </c>
      <c r="B89" s="2235" t="s">
        <v>252</v>
      </c>
      <c r="C89" s="2238" t="s">
        <v>260</v>
      </c>
      <c r="D89" s="2241">
        <v>2022</v>
      </c>
      <c r="E89" s="709" t="s">
        <v>176</v>
      </c>
      <c r="F89" s="314">
        <f ca="1">IF($E89&lt;=DATOSAÑO!$B376,IF(DATOSAÑO!$Y376=0," ",((DATOSAÑO!$I376*DATOSAÑO!$AN376)/DATOSAÑO!$Y376))," ")</f>
        <v>36.091088694657415</v>
      </c>
      <c r="G89" s="315">
        <f ca="1">IF($E89&lt;=DATOSAÑO!$B376,IF(DATOSAÑO!$Y376=0," ",((DATOSAÑO!$P376*DATOSAÑO!$AN376)/DATOSAÑO!$Y376))," ")</f>
        <v>51.022707507923421</v>
      </c>
      <c r="H89" s="315">
        <f ca="1">IF($E89&lt;=DATOSAÑO!$B376,IF(DATOSAÑO!$Y376=0," ",((DATOSAÑO!$Q376*DATOSAÑO!$AN376)/DATOSAÑO!$Y376))," ")</f>
        <v>1.1764975900848762E-2</v>
      </c>
      <c r="I89" s="315">
        <f ca="1">IF($E89&lt;=DATOSAÑO!$B376,IF(DATOSAÑO!$Y376=0," ",((DATOSAÑO!$T376*DATOSAÑO!$AN376)/DATOSAÑO!$Y376))," ")</f>
        <v>1.6438821518290535E-2</v>
      </c>
      <c r="J89" s="311">
        <f ca="1">IF($H89=" "," ",0)</f>
        <v>0</v>
      </c>
      <c r="K89" s="315"/>
      <c r="L89" s="268"/>
      <c r="M89" s="269"/>
      <c r="N89" s="258"/>
      <c r="O89" s="259"/>
      <c r="P89" s="270"/>
      <c r="Q89" s="271"/>
      <c r="R89" s="272"/>
      <c r="S89" s="273"/>
      <c r="T89" s="274"/>
      <c r="U89" s="275"/>
      <c r="V89" s="276"/>
      <c r="W89" s="277"/>
      <c r="X89" s="278"/>
      <c r="Y89" s="279"/>
    </row>
    <row r="90" spans="1:25">
      <c r="A90" s="2233"/>
      <c r="B90" s="2236"/>
      <c r="C90" s="2244"/>
      <c r="D90" s="2242"/>
      <c r="E90" s="705" t="s">
        <v>177</v>
      </c>
      <c r="F90" s="316">
        <f ca="1">IF($E90&lt;=DATOSAÑO!$B377,IF(DATOSAÑO!$Y377=0," ",((DATOSAÑO!$I377*DATOSAÑO!$AN377)/DATOSAÑO!$Y377))," ")</f>
        <v>57.430240872810806</v>
      </c>
      <c r="G90" s="317">
        <f ca="1">IF($E90&lt;=DATOSAÑO!$B377,IF(DATOSAÑO!$Y377=0," ",((DATOSAÑO!$P377*DATOSAÑO!$AN377)/DATOSAÑO!$Y377))," ")</f>
        <v>29.025299809635683</v>
      </c>
      <c r="H90" s="317">
        <f ca="1">IF($E90&lt;=DATOSAÑO!$B377,IF(DATOSAÑO!$Y377=0," ",((DATOSAÑO!$Q377*DATOSAÑO!$AN377)/DATOSAÑO!$Y377))," ")</f>
        <v>8.1466245406527117E-3</v>
      </c>
      <c r="I90" s="317">
        <f ca="1">IF($E90&lt;=DATOSAÑO!$B377,IF(DATOSAÑO!$Y377=0," ",((DATOSAÑO!$T377*DATOSAÑO!$AN377)/DATOSAÑO!$Y377))," ")</f>
        <v>2.4312693013343295E-2</v>
      </c>
      <c r="J90" s="313">
        <f t="shared" ref="J90:J100" ca="1" si="7">IF($H90=" "," ",0)</f>
        <v>0</v>
      </c>
      <c r="K90" s="317"/>
      <c r="L90" s="280"/>
      <c r="M90" s="281"/>
      <c r="N90" s="262"/>
      <c r="O90" s="263"/>
      <c r="P90" s="282"/>
      <c r="Q90" s="283"/>
      <c r="R90" s="284"/>
      <c r="S90" s="285"/>
      <c r="T90" s="286"/>
      <c r="U90" s="287"/>
      <c r="V90" s="288"/>
      <c r="W90" s="289"/>
      <c r="X90" s="290"/>
      <c r="Y90" s="291"/>
    </row>
    <row r="91" spans="1:25">
      <c r="A91" s="2233"/>
      <c r="B91" s="2236"/>
      <c r="C91" s="2244"/>
      <c r="D91" s="2242"/>
      <c r="E91" s="705" t="s">
        <v>178</v>
      </c>
      <c r="F91" s="316">
        <f ca="1">IF($E91&lt;=DATOSAÑO!$B378,IF(DATOSAÑO!$Y378=0," ",((DATOSAÑO!$I378*DATOSAÑO!$AN378)/DATOSAÑO!$Y378))," ")</f>
        <v>54.260728805989373</v>
      </c>
      <c r="G91" s="317">
        <f ca="1">IF($E91&lt;=DATOSAÑO!$B378,IF(DATOSAÑO!$Y378=0," ",((DATOSAÑO!$P378*DATOSAÑO!$AN378)/DATOSAÑO!$Y378))," ")</f>
        <v>28.29702383487675</v>
      </c>
      <c r="H91" s="317">
        <f ca="1">IF($E91&lt;=DATOSAÑO!$B378,IF(DATOSAÑO!$Y378=0," ",((DATOSAÑO!$Q378*DATOSAÑO!$AN378)/DATOSAÑO!$Y378))," ")</f>
        <v>3.8848556339984965E-3</v>
      </c>
      <c r="I91" s="317">
        <f ca="1">IF($E91&lt;=DATOSAÑO!$B378,IF(DATOSAÑO!$Y378=0," ",((DATOSAÑO!$T378*DATOSAÑO!$AN378)/DATOSAÑO!$Y378))," ")</f>
        <v>6.3625034996449645E-3</v>
      </c>
      <c r="J91" s="313">
        <f t="shared" ca="1" si="7"/>
        <v>0</v>
      </c>
      <c r="K91" s="317"/>
      <c r="L91" s="280"/>
      <c r="M91" s="281"/>
      <c r="N91" s="262"/>
      <c r="O91" s="263"/>
      <c r="P91" s="282"/>
      <c r="Q91" s="283"/>
      <c r="R91" s="284"/>
      <c r="S91" s="285"/>
      <c r="T91" s="286"/>
      <c r="U91" s="287"/>
      <c r="V91" s="288"/>
      <c r="W91" s="289"/>
      <c r="X91" s="290"/>
      <c r="Y91" s="291"/>
    </row>
    <row r="92" spans="1:25">
      <c r="A92" s="2233"/>
      <c r="B92" s="2236"/>
      <c r="C92" s="2244"/>
      <c r="D92" s="2242"/>
      <c r="E92" s="705" t="s">
        <v>179</v>
      </c>
      <c r="F92" s="316">
        <f ca="1">IF($E92&lt;=DATOSAÑO!$B379,IF(DATOSAÑO!$Y379=0," ",((DATOSAÑO!$I379*DATOSAÑO!$AN379)/DATOSAÑO!$Y379))," ")</f>
        <v>69.772419435796962</v>
      </c>
      <c r="G92" s="317">
        <f ca="1">IF($E92&lt;=DATOSAÑO!$B379,IF(DATOSAÑO!$Y379=0," ",((DATOSAÑO!$P379*DATOSAÑO!$AN379)/DATOSAÑO!$Y379))," ")</f>
        <v>28.082258896902843</v>
      </c>
      <c r="H92" s="317">
        <f ca="1">IF($E92&lt;=DATOSAÑO!$B379,IF(DATOSAÑO!$Y379=0," ",((DATOSAÑO!$Q379*DATOSAÑO!$AN379)/DATOSAÑO!$Y379))," ")</f>
        <v>3.8714608797620793E-2</v>
      </c>
      <c r="I92" s="317">
        <f ca="1">IF($E92&lt;=DATOSAÑO!$B379,IF(DATOSAÑO!$Y379=0," ",((DATOSAÑO!$T379*DATOSAÑO!$AN379)/DATOSAÑO!$Y379))," ")</f>
        <v>0.19760705850264845</v>
      </c>
      <c r="J92" s="313">
        <f t="shared" ca="1" si="7"/>
        <v>0</v>
      </c>
      <c r="K92" s="317"/>
      <c r="L92" s="280"/>
      <c r="M92" s="281"/>
      <c r="N92" s="262"/>
      <c r="O92" s="263"/>
      <c r="P92" s="282"/>
      <c r="Q92" s="283"/>
      <c r="R92" s="284"/>
      <c r="S92" s="285"/>
      <c r="T92" s="286"/>
      <c r="U92" s="287"/>
      <c r="V92" s="288"/>
      <c r="W92" s="289"/>
      <c r="X92" s="290"/>
      <c r="Y92" s="291"/>
    </row>
    <row r="93" spans="1:25">
      <c r="A93" s="2233"/>
      <c r="B93" s="2236"/>
      <c r="C93" s="2244"/>
      <c r="D93" s="2242"/>
      <c r="E93" s="705" t="s">
        <v>180</v>
      </c>
      <c r="F93" s="316">
        <f ca="1">IF($E93&lt;=DATOSAÑO!$B380,IF(DATOSAÑO!$Y380=0," ",((DATOSAÑO!$I380*DATOSAÑO!$AN380)/DATOSAÑO!$Y380))," ")</f>
        <v>51.807860571266133</v>
      </c>
      <c r="G93" s="317">
        <f ca="1">IF($E93&lt;=DATOSAÑO!$B380,IF(DATOSAÑO!$Y380=0," ",((DATOSAÑO!$P380*DATOSAÑO!$AN380)/DATOSAÑO!$Y380))," ")</f>
        <v>47.423644427840053</v>
      </c>
      <c r="H93" s="317">
        <f ca="1">IF($E93&lt;=DATOSAÑO!$B380,IF(DATOSAÑO!$Y380=0," ",((DATOSAÑO!$Q380*DATOSAÑO!$AN380)/DATOSAÑO!$Y380))," ")</f>
        <v>1.1169447596103395E-2</v>
      </c>
      <c r="I93" s="317">
        <f ca="1">IF($E93&lt;=DATOSAÑO!$B380,IF(DATOSAÑO!$Y380=0," ",((DATOSAÑO!$T380*DATOSAÑO!$AN380)/DATOSAÑO!$Y380))," ")</f>
        <v>2.132555329790722E-2</v>
      </c>
      <c r="J93" s="313">
        <f t="shared" ca="1" si="7"/>
        <v>0</v>
      </c>
      <c r="K93" s="317"/>
      <c r="L93" s="280"/>
      <c r="M93" s="281"/>
      <c r="N93" s="262"/>
      <c r="O93" s="263"/>
      <c r="P93" s="282"/>
      <c r="Q93" s="283"/>
      <c r="R93" s="284"/>
      <c r="S93" s="285"/>
      <c r="T93" s="286"/>
      <c r="U93" s="287"/>
      <c r="V93" s="288"/>
      <c r="W93" s="289"/>
      <c r="X93" s="290"/>
      <c r="Y93" s="291"/>
    </row>
    <row r="94" spans="1:25">
      <c r="A94" s="2233"/>
      <c r="B94" s="2236"/>
      <c r="C94" s="2244"/>
      <c r="D94" s="2242"/>
      <c r="E94" s="705" t="s">
        <v>182</v>
      </c>
      <c r="F94" s="316">
        <f ca="1">IF($E94&lt;=DATOSAÑO!$B381,IF(DATOSAÑO!$Y381=0," ",((DATOSAÑO!$I381*DATOSAÑO!$AN381)/DATOSAÑO!$Y381))," ")</f>
        <v>12.296234762979934</v>
      </c>
      <c r="G94" s="317">
        <f ca="1">IF($E94&lt;=DATOSAÑO!$B381,IF(DATOSAÑO!$Y381=0," ",((DATOSAÑO!$P381*DATOSAÑO!$AN381)/DATOSAÑO!$Y381))," ")</f>
        <v>6.2317652370204435</v>
      </c>
      <c r="H94" s="317">
        <f ca="1">IF($E94&lt;=DATOSAÑO!$B381,IF(DATOSAÑO!$Y381=0," ",((DATOSAÑO!$Q381*DATOSAÑO!$AN381)/DATOSAÑO!$Y381))," ")</f>
        <v>0</v>
      </c>
      <c r="I94" s="317">
        <f ca="1">IF($E94&lt;=DATOSAÑO!$B381,IF(DATOSAÑO!$Y381=0," ",((DATOSAÑO!$T381*DATOSAÑO!$AN381)/DATOSAÑO!$Y381))," ")</f>
        <v>0</v>
      </c>
      <c r="J94" s="313">
        <f t="shared" ca="1" si="7"/>
        <v>0</v>
      </c>
      <c r="K94" s="317"/>
      <c r="L94" s="280"/>
      <c r="M94" s="281"/>
      <c r="N94" s="262"/>
      <c r="O94" s="263"/>
      <c r="P94" s="282"/>
      <c r="Q94" s="283"/>
      <c r="R94" s="284"/>
      <c r="S94" s="285"/>
      <c r="T94" s="286"/>
      <c r="U94" s="287"/>
      <c r="V94" s="288"/>
      <c r="W94" s="289"/>
      <c r="X94" s="290"/>
      <c r="Y94" s="291"/>
    </row>
    <row r="95" spans="1:25">
      <c r="A95" s="2233"/>
      <c r="B95" s="2236"/>
      <c r="C95" s="2244"/>
      <c r="D95" s="2242"/>
      <c r="E95" s="705" t="s">
        <v>183</v>
      </c>
      <c r="F95" s="316" t="str">
        <f ca="1">IF($E95&lt;=DATOSAÑO!$B382,IF(DATOSAÑO!$Y382=0," ",((DATOSAÑO!$I382*DATOSAÑO!$AN382)/DATOSAÑO!$Y382))," ")</f>
        <v xml:space="preserve"> </v>
      </c>
      <c r="G95" s="317" t="str">
        <f ca="1">IF($E95&lt;=DATOSAÑO!$B382,IF(DATOSAÑO!$Y382=0," ",((DATOSAÑO!$P382*DATOSAÑO!$AN382)/DATOSAÑO!$Y382))," ")</f>
        <v xml:space="preserve"> </v>
      </c>
      <c r="H95" s="317" t="str">
        <f ca="1">IF($E95&lt;=DATOSAÑO!$B382,IF(DATOSAÑO!$Y382=0," ",((DATOSAÑO!$Q382*DATOSAÑO!$AN382)/DATOSAÑO!$Y382))," ")</f>
        <v xml:space="preserve"> </v>
      </c>
      <c r="I95" s="317" t="str">
        <f ca="1">IF($E95&lt;=DATOSAÑO!$B382,IF(DATOSAÑO!$Y382=0," ",((DATOSAÑO!$T382*DATOSAÑO!$AN382)/DATOSAÑO!$Y382))," ")</f>
        <v xml:space="preserve"> </v>
      </c>
      <c r="J95" s="313" t="str">
        <f t="shared" ca="1" si="7"/>
        <v xml:space="preserve"> </v>
      </c>
      <c r="K95" s="317"/>
      <c r="L95" s="280"/>
      <c r="M95" s="281"/>
      <c r="N95" s="262"/>
      <c r="O95" s="263"/>
      <c r="P95" s="282"/>
      <c r="Q95" s="283"/>
      <c r="R95" s="284"/>
      <c r="S95" s="285"/>
      <c r="T95" s="286"/>
      <c r="U95" s="287"/>
      <c r="V95" s="288"/>
      <c r="W95" s="289"/>
      <c r="X95" s="290"/>
      <c r="Y95" s="291"/>
    </row>
    <row r="96" spans="1:25">
      <c r="A96" s="2233"/>
      <c r="B96" s="2236"/>
      <c r="C96" s="2244"/>
      <c r="D96" s="2242"/>
      <c r="E96" s="705" t="s">
        <v>184</v>
      </c>
      <c r="F96" s="316" t="str">
        <f ca="1">IF($E96&lt;=DATOSAÑO!$B383,IF(DATOSAÑO!$Y383=0," ",((DATOSAÑO!$I383*DATOSAÑO!$AN383)/DATOSAÑO!$Y383))," ")</f>
        <v xml:space="preserve"> </v>
      </c>
      <c r="G96" s="317" t="str">
        <f ca="1">IF($E96&lt;=DATOSAÑO!$B383,IF(DATOSAÑO!$Y383=0," ",((DATOSAÑO!$P383*DATOSAÑO!$AN383)/DATOSAÑO!$Y383))," ")</f>
        <v xml:space="preserve"> </v>
      </c>
      <c r="H96" s="317" t="str">
        <f ca="1">IF($E96&lt;=DATOSAÑO!$B383,IF(DATOSAÑO!$Y383=0," ",((DATOSAÑO!$Q383*DATOSAÑO!$AN383)/DATOSAÑO!$Y383))," ")</f>
        <v xml:space="preserve"> </v>
      </c>
      <c r="I96" s="317" t="str">
        <f ca="1">IF($E96&lt;=DATOSAÑO!$B383,IF(DATOSAÑO!$Y383=0," ",((DATOSAÑO!$T383*DATOSAÑO!$AN383)/DATOSAÑO!$Y383))," ")</f>
        <v xml:space="preserve"> </v>
      </c>
      <c r="J96" s="313" t="str">
        <f t="shared" ca="1" si="7"/>
        <v xml:space="preserve"> </v>
      </c>
      <c r="K96" s="317"/>
      <c r="L96" s="280"/>
      <c r="M96" s="281"/>
      <c r="N96" s="262"/>
      <c r="O96" s="263"/>
      <c r="P96" s="282"/>
      <c r="Q96" s="283"/>
      <c r="R96" s="284"/>
      <c r="S96" s="285"/>
      <c r="T96" s="286"/>
      <c r="U96" s="287"/>
      <c r="V96" s="288"/>
      <c r="W96" s="289"/>
      <c r="X96" s="290"/>
      <c r="Y96" s="291"/>
    </row>
    <row r="97" spans="1:25">
      <c r="A97" s="2233"/>
      <c r="B97" s="2236"/>
      <c r="C97" s="2244"/>
      <c r="D97" s="2242"/>
      <c r="E97" s="705" t="s">
        <v>185</v>
      </c>
      <c r="F97" s="316" t="str">
        <f ca="1">IF($E97&lt;=DATOSAÑO!$B384,IF(DATOSAÑO!$Y384=0," ",((DATOSAÑO!$I384*DATOSAÑO!$AN384)/DATOSAÑO!$Y384))," ")</f>
        <v xml:space="preserve"> </v>
      </c>
      <c r="G97" s="317" t="str">
        <f ca="1">IF($E97&lt;=DATOSAÑO!$B384,IF(DATOSAÑO!$Y384=0," ",((DATOSAÑO!$P384*DATOSAÑO!$AN384)/DATOSAÑO!$Y384))," ")</f>
        <v xml:space="preserve"> </v>
      </c>
      <c r="H97" s="317" t="str">
        <f ca="1">IF($E97&lt;=DATOSAÑO!$B384,IF(DATOSAÑO!$Y384=0," ",((DATOSAÑO!$Q384*DATOSAÑO!$AN384)/DATOSAÑO!$Y384))," ")</f>
        <v xml:space="preserve"> </v>
      </c>
      <c r="I97" s="317" t="str">
        <f ca="1">IF($E97&lt;=DATOSAÑO!$B384,IF(DATOSAÑO!$Y384=0," ",((DATOSAÑO!$T384*DATOSAÑO!$AN384)/DATOSAÑO!$Y384))," ")</f>
        <v xml:space="preserve"> </v>
      </c>
      <c r="J97" s="313" t="str">
        <f t="shared" ca="1" si="7"/>
        <v xml:space="preserve"> </v>
      </c>
      <c r="K97" s="317"/>
      <c r="L97" s="280"/>
      <c r="M97" s="281"/>
      <c r="N97" s="262"/>
      <c r="O97" s="263"/>
      <c r="P97" s="282"/>
      <c r="Q97" s="283"/>
      <c r="R97" s="284"/>
      <c r="S97" s="285"/>
      <c r="T97" s="286"/>
      <c r="U97" s="287"/>
      <c r="V97" s="288"/>
      <c r="W97" s="289"/>
      <c r="X97" s="290"/>
      <c r="Y97" s="291"/>
    </row>
    <row r="98" spans="1:25">
      <c r="A98" s="2233"/>
      <c r="B98" s="2236"/>
      <c r="C98" s="2244"/>
      <c r="D98" s="2242"/>
      <c r="E98" s="705" t="s">
        <v>186</v>
      </c>
      <c r="F98" s="316" t="str">
        <f ca="1">IF($E98&lt;=DATOSAÑO!$B385,IF(DATOSAÑO!$Y385=0," ",((DATOSAÑO!$I385*DATOSAÑO!$AN385)/DATOSAÑO!$Y385))," ")</f>
        <v xml:space="preserve"> </v>
      </c>
      <c r="G98" s="317" t="str">
        <f ca="1">IF($E98&lt;=DATOSAÑO!$B385,IF(DATOSAÑO!$Y385=0," ",((DATOSAÑO!$P385*DATOSAÑO!$AN385)/DATOSAÑO!$Y385))," ")</f>
        <v xml:space="preserve"> </v>
      </c>
      <c r="H98" s="317" t="str">
        <f ca="1">IF($E98&lt;=DATOSAÑO!$B385,IF(DATOSAÑO!$Y385=0," ",((DATOSAÑO!$Q385*DATOSAÑO!$AN385)/DATOSAÑO!$Y385))," ")</f>
        <v xml:space="preserve"> </v>
      </c>
      <c r="I98" s="317" t="str">
        <f ca="1">IF($E98&lt;=DATOSAÑO!$B385,IF(DATOSAÑO!$Y385=0," ",((DATOSAÑO!$T385*DATOSAÑO!$AN385)/DATOSAÑO!$Y385))," ")</f>
        <v xml:space="preserve"> </v>
      </c>
      <c r="J98" s="313" t="str">
        <f t="shared" ca="1" si="7"/>
        <v xml:space="preserve"> </v>
      </c>
      <c r="K98" s="317"/>
      <c r="L98" s="280"/>
      <c r="M98" s="281"/>
      <c r="N98" s="262"/>
      <c r="O98" s="263"/>
      <c r="P98" s="282"/>
      <c r="Q98" s="283"/>
      <c r="R98" s="284"/>
      <c r="S98" s="285"/>
      <c r="T98" s="286"/>
      <c r="U98" s="287"/>
      <c r="V98" s="288"/>
      <c r="W98" s="289"/>
      <c r="X98" s="290"/>
      <c r="Y98" s="291"/>
    </row>
    <row r="99" spans="1:25">
      <c r="A99" s="2233"/>
      <c r="B99" s="2236"/>
      <c r="C99" s="2244"/>
      <c r="D99" s="2242"/>
      <c r="E99" s="705" t="s">
        <v>187</v>
      </c>
      <c r="F99" s="316" t="str">
        <f ca="1">IF($E99&lt;=DATOSAÑO!$B386,IF(DATOSAÑO!$Y386=0," ",((DATOSAÑO!$I386*DATOSAÑO!$AN386)/DATOSAÑO!$Y386))," ")</f>
        <v xml:space="preserve"> </v>
      </c>
      <c r="G99" s="317" t="str">
        <f ca="1">IF($E99&lt;=DATOSAÑO!$B386,IF(DATOSAÑO!$Y386=0," ",((DATOSAÑO!$P386*DATOSAÑO!$AN386)/DATOSAÑO!$Y386))," ")</f>
        <v xml:space="preserve"> </v>
      </c>
      <c r="H99" s="317" t="str">
        <f ca="1">IF($E99&lt;=DATOSAÑO!$B386,IF(DATOSAÑO!$Y386=0," ",((DATOSAÑO!$Q386*DATOSAÑO!$AN386)/DATOSAÑO!$Y386))," ")</f>
        <v xml:space="preserve"> </v>
      </c>
      <c r="I99" s="317" t="str">
        <f ca="1">IF($E99&lt;=DATOSAÑO!$B386,IF(DATOSAÑO!$Y386=0," ",((DATOSAÑO!$T386*DATOSAÑO!$AN386)/DATOSAÑO!$Y386))," ")</f>
        <v xml:space="preserve"> </v>
      </c>
      <c r="J99" s="313" t="str">
        <f t="shared" ca="1" si="7"/>
        <v xml:space="preserve"> </v>
      </c>
      <c r="K99" s="317"/>
      <c r="L99" s="280"/>
      <c r="M99" s="281"/>
      <c r="N99" s="262"/>
      <c r="O99" s="263"/>
      <c r="P99" s="282"/>
      <c r="Q99" s="283"/>
      <c r="R99" s="284"/>
      <c r="S99" s="285"/>
      <c r="T99" s="286"/>
      <c r="U99" s="287"/>
      <c r="V99" s="288"/>
      <c r="W99" s="289"/>
      <c r="X99" s="290"/>
      <c r="Y99" s="291"/>
    </row>
    <row r="100" spans="1:25" ht="15" thickBot="1">
      <c r="A100" s="2234"/>
      <c r="B100" s="2237"/>
      <c r="C100" s="2245"/>
      <c r="D100" s="2243"/>
      <c r="E100" s="706" t="s">
        <v>188</v>
      </c>
      <c r="F100" s="624" t="str">
        <f ca="1">IF($E100&lt;=DATOSAÑO!$B387,IF(DATOSAÑO!$Y387=0," ",((DATOSAÑO!$I387*DATOSAÑO!$AN387)/DATOSAÑO!$Y387))," ")</f>
        <v xml:space="preserve"> </v>
      </c>
      <c r="G100" s="318" t="str">
        <f ca="1">IF($E100&lt;=DATOSAÑO!$B387,IF(DATOSAÑO!$Y387=0," ",((DATOSAÑO!$P387*DATOSAÑO!$AN387)/DATOSAÑO!$Y387))," ")</f>
        <v xml:space="preserve"> </v>
      </c>
      <c r="H100" s="318" t="str">
        <f ca="1">IF($E100&lt;=DATOSAÑO!$B387,IF(DATOSAÑO!$Y387=0," ",((DATOSAÑO!$Q387*DATOSAÑO!$AN387)/DATOSAÑO!$Y387))," ")</f>
        <v xml:space="preserve"> </v>
      </c>
      <c r="I100" s="318" t="str">
        <f ca="1">IF($E100&lt;=DATOSAÑO!$B387,IF(DATOSAÑO!$Y387=0," ",((DATOSAÑO!$T387*DATOSAÑO!$AN387)/DATOSAÑO!$Y387))," ")</f>
        <v xml:space="preserve"> </v>
      </c>
      <c r="J100" s="325" t="str">
        <f t="shared" ca="1" si="7"/>
        <v xml:space="preserve"> </v>
      </c>
      <c r="K100" s="317"/>
      <c r="L100" s="292"/>
      <c r="M100" s="293"/>
      <c r="N100" s="266"/>
      <c r="O100" s="267"/>
      <c r="P100" s="294"/>
      <c r="Q100" s="295"/>
      <c r="R100" s="296"/>
      <c r="S100" s="297"/>
      <c r="T100" s="298"/>
      <c r="U100" s="299"/>
      <c r="V100" s="300"/>
      <c r="W100" s="301"/>
      <c r="X100" s="302"/>
      <c r="Y100" s="303"/>
    </row>
    <row r="101" spans="1:25">
      <c r="A101" s="2232" t="s">
        <v>251</v>
      </c>
      <c r="B101" s="2235" t="s">
        <v>252</v>
      </c>
      <c r="C101" s="2238" t="s">
        <v>261</v>
      </c>
      <c r="D101" s="2241">
        <v>2022</v>
      </c>
      <c r="E101" s="709" t="s">
        <v>176</v>
      </c>
      <c r="F101" s="314">
        <f ca="1">IF($E101&lt;=DATOSAÑO!$B376,IF(DATOSAÑO!$Y376=0," ",((DATOSAÑO!$I376*DATOSAÑO!$AF376)/DATOSAÑO!$Y376))," ")</f>
        <v>1756.0558176923582</v>
      </c>
      <c r="G101" s="315">
        <f ca="1">IF($E101&lt;=DATOSAÑO!$B376,IF(DATOSAÑO!$Y376=0," ",((DATOSAÑO!$P376*DATOSAÑO!$AF376)/DATOSAÑO!$Y376))," ")</f>
        <v>2482.5718922401988</v>
      </c>
      <c r="H101" s="315">
        <f ca="1">IF($E101&lt;=DATOSAÑO!$B376,IF(DATOSAÑO!$Y376=0," ",((DATOSAÑO!$Q376*DATOSAÑO!$AF376)/DATOSAÑO!$Y376))," ")</f>
        <v>0.57243921208600645</v>
      </c>
      <c r="I101" s="315">
        <f ca="1">IF($E101&lt;=DATOSAÑO!$B376,IF(DATOSAÑO!$Y376=0," ",((DATOSAÑO!$T376*DATOSAÑO!$AF376)/DATOSAÑO!$Y376))," ")</f>
        <v>0.79985085535736955</v>
      </c>
      <c r="J101" s="311">
        <f ca="1">IF($H101=" "," ",0)</f>
        <v>0</v>
      </c>
      <c r="K101" s="315"/>
      <c r="L101" s="268"/>
      <c r="M101" s="269"/>
      <c r="N101" s="258"/>
      <c r="O101" s="259"/>
      <c r="P101" s="270"/>
      <c r="Q101" s="271"/>
      <c r="R101" s="272"/>
      <c r="S101" s="273"/>
      <c r="T101" s="274"/>
      <c r="U101" s="275"/>
      <c r="V101" s="276"/>
      <c r="W101" s="277"/>
      <c r="X101" s="278"/>
      <c r="Y101" s="279"/>
    </row>
    <row r="102" spans="1:25">
      <c r="A102" s="2233"/>
      <c r="B102" s="2236"/>
      <c r="C102" s="2244"/>
      <c r="D102" s="2242"/>
      <c r="E102" s="705" t="s">
        <v>177</v>
      </c>
      <c r="F102" s="316">
        <f ca="1">IF($E102&lt;=DATOSAÑO!$B377,IF(DATOSAÑO!$Y377=0," ",((DATOSAÑO!$I377*DATOSAÑO!$AF377)/DATOSAÑO!$Y377))," ")</f>
        <v>2685.319282324087</v>
      </c>
      <c r="G102" s="317">
        <f ca="1">IF($E102&lt;=DATOSAÑO!$B377,IF(DATOSAÑO!$Y377=0," ",((DATOSAÑO!$P377*DATOSAÑO!$AF377)/DATOSAÑO!$Y377))," ")</f>
        <v>1357.1629871215202</v>
      </c>
      <c r="H102" s="317">
        <f ca="1">IF($E102&lt;=DATOSAÑO!$B377,IF(DATOSAÑO!$Y377=0," ",((DATOSAÑO!$Q377*DATOSAÑO!$AF377)/DATOSAÑO!$Y377))," ")</f>
        <v>0.38091931415224523</v>
      </c>
      <c r="I102" s="317">
        <f ca="1">IF($E102&lt;=DATOSAÑO!$B377,IF(DATOSAÑO!$Y377=0," ",((DATOSAÑO!$T377*DATOSAÑO!$AF377)/DATOSAÑO!$Y377))," ")</f>
        <v>1.1368112402409554</v>
      </c>
      <c r="J102" s="313">
        <f t="shared" ref="J102:J112" ca="1" si="8">IF($H102=" "," ",0)</f>
        <v>0</v>
      </c>
      <c r="K102" s="317"/>
      <c r="L102" s="280"/>
      <c r="M102" s="281"/>
      <c r="N102" s="262"/>
      <c r="O102" s="263"/>
      <c r="P102" s="282"/>
      <c r="Q102" s="283"/>
      <c r="R102" s="284"/>
      <c r="S102" s="285"/>
      <c r="T102" s="286"/>
      <c r="U102" s="287"/>
      <c r="V102" s="288"/>
      <c r="W102" s="289"/>
      <c r="X102" s="290"/>
      <c r="Y102" s="291"/>
    </row>
    <row r="103" spans="1:25">
      <c r="A103" s="2233"/>
      <c r="B103" s="2236"/>
      <c r="C103" s="2244"/>
      <c r="D103" s="2242"/>
      <c r="E103" s="705" t="s">
        <v>178</v>
      </c>
      <c r="F103" s="316">
        <f ca="1">IF($E103&lt;=DATOSAÑO!$B378,IF(DATOSAÑO!$Y378=0," ",((DATOSAÑO!$I378*DATOSAÑO!$AF378)/DATOSAÑO!$Y378))," ")</f>
        <v>2923.0660998091444</v>
      </c>
      <c r="G103" s="317">
        <f ca="1">IF($E103&lt;=DATOSAÑO!$B378,IF(DATOSAÑO!$Y378=0," ",((DATOSAÑO!$P378*DATOSAÑO!$AF378)/DATOSAÑO!$Y378))," ")</f>
        <v>1524.3818672794805</v>
      </c>
      <c r="H103" s="317">
        <f ca="1">IF($E103&lt;=DATOSAÑO!$B378,IF(DATOSAÑO!$Y378=0," ",((DATOSAÑO!$Q378*DATOSAÑO!$AF378)/DATOSAÑO!$Y378))," ")</f>
        <v>0.20928008259889255</v>
      </c>
      <c r="I103" s="317">
        <f ca="1">IF($E103&lt;=DATOSAÑO!$B378,IF(DATOSAÑO!$Y378=0," ",((DATOSAÑO!$T378*DATOSAÑO!$AF378)/DATOSAÑO!$Y378))," ")</f>
        <v>0.34275282877653429</v>
      </c>
      <c r="J103" s="313">
        <f t="shared" ca="1" si="8"/>
        <v>0</v>
      </c>
      <c r="K103" s="317"/>
      <c r="L103" s="280"/>
      <c r="M103" s="281"/>
      <c r="N103" s="262"/>
      <c r="O103" s="263"/>
      <c r="P103" s="282"/>
      <c r="Q103" s="283"/>
      <c r="R103" s="284"/>
      <c r="S103" s="285"/>
      <c r="T103" s="286"/>
      <c r="U103" s="287"/>
      <c r="V103" s="288"/>
      <c r="W103" s="289"/>
      <c r="X103" s="290"/>
      <c r="Y103" s="291"/>
    </row>
    <row r="104" spans="1:25">
      <c r="A104" s="2233"/>
      <c r="B104" s="2236"/>
      <c r="C104" s="2244"/>
      <c r="D104" s="2242"/>
      <c r="E104" s="705" t="s">
        <v>179</v>
      </c>
      <c r="F104" s="316">
        <f ca="1">IF($E104&lt;=DATOSAÑO!$B379,IF(DATOSAÑO!$Y379=0," ",((DATOSAÑO!$I379*DATOSAÑO!$AF379)/DATOSAÑO!$Y379))," ")</f>
        <v>3056.6111141644724</v>
      </c>
      <c r="G104" s="317">
        <f ca="1">IF($E104&lt;=DATOSAÑO!$B379,IF(DATOSAÑO!$Y379=0," ",((DATOSAÑO!$P379*DATOSAÑO!$AF379)/DATOSAÑO!$Y379))," ")</f>
        <v>1230.2360352302571</v>
      </c>
      <c r="H104" s="317">
        <f ca="1">IF($E104&lt;=DATOSAÑO!$B379,IF(DATOSAÑO!$Y379=0," ",((DATOSAÑO!$Q379*DATOSAÑO!$AF379)/DATOSAÑO!$Y379))," ")</f>
        <v>1.6960212142310347</v>
      </c>
      <c r="I104" s="317">
        <f ca="1">IF($E104&lt;=DATOSAÑO!$B379,IF(DATOSAÑO!$Y379=0," ",((DATOSAÑO!$T379*DATOSAÑO!$AF379)/DATOSAÑO!$Y379))," ")</f>
        <v>8.6568293910509908</v>
      </c>
      <c r="J104" s="313">
        <f t="shared" ca="1" si="8"/>
        <v>0</v>
      </c>
      <c r="K104" s="317"/>
      <c r="L104" s="280"/>
      <c r="M104" s="281"/>
      <c r="N104" s="262"/>
      <c r="O104" s="263"/>
      <c r="P104" s="282"/>
      <c r="Q104" s="283"/>
      <c r="R104" s="284"/>
      <c r="S104" s="285"/>
      <c r="T104" s="286"/>
      <c r="U104" s="287"/>
      <c r="V104" s="288"/>
      <c r="W104" s="289"/>
      <c r="X104" s="290"/>
      <c r="Y104" s="291"/>
    </row>
    <row r="105" spans="1:25">
      <c r="A105" s="2233"/>
      <c r="B105" s="2236"/>
      <c r="C105" s="2244"/>
      <c r="D105" s="2242"/>
      <c r="E105" s="705" t="s">
        <v>180</v>
      </c>
      <c r="F105" s="316">
        <f ca="1">IF($E105&lt;=DATOSAÑO!$B380,IF(DATOSAÑO!$Y380=0," ",((DATOSAÑO!$I380*DATOSAÑO!$AF380)/DATOSAÑO!$Y380))," ")</f>
        <v>2427.3452404179102</v>
      </c>
      <c r="G105" s="317">
        <f ca="1">IF($E105&lt;=DATOSAÑO!$B380,IF(DATOSAÑO!$Y380=0," ",((DATOSAÑO!$P380*DATOSAÑO!$AF380)/DATOSAÑO!$Y380))," ")</f>
        <v>2221.932276605794</v>
      </c>
      <c r="H105" s="317">
        <f ca="1">IF($E105&lt;=DATOSAÑO!$B380,IF(DATOSAÑO!$Y380=0," ",((DATOSAÑO!$Q380*DATOSAÑO!$AF380)/DATOSAÑO!$Y380))," ")</f>
        <v>0.52332030625360093</v>
      </c>
      <c r="I105" s="317">
        <f ca="1">IF($E105&lt;=DATOSAÑO!$B380,IF(DATOSAÑO!$Y380=0," ",((DATOSAÑO!$T380*DATOSAÑO!$AF380)/DATOSAÑO!$Y380))," ")</f>
        <v>0.99916267003048898</v>
      </c>
      <c r="J105" s="313">
        <f t="shared" ca="1" si="8"/>
        <v>0</v>
      </c>
      <c r="K105" s="317"/>
      <c r="L105" s="280"/>
      <c r="M105" s="281"/>
      <c r="N105" s="262"/>
      <c r="O105" s="263"/>
      <c r="P105" s="282"/>
      <c r="Q105" s="283"/>
      <c r="R105" s="284"/>
      <c r="S105" s="285"/>
      <c r="T105" s="286"/>
      <c r="U105" s="287"/>
      <c r="V105" s="288"/>
      <c r="W105" s="289"/>
      <c r="X105" s="290"/>
      <c r="Y105" s="291"/>
    </row>
    <row r="106" spans="1:25">
      <c r="A106" s="2233"/>
      <c r="B106" s="2236"/>
      <c r="C106" s="2244"/>
      <c r="D106" s="2242"/>
      <c r="E106" s="705" t="s">
        <v>182</v>
      </c>
      <c r="F106" s="316">
        <f ca="1">IF($E106&lt;=DATOSAÑO!$B381,IF(DATOSAÑO!$Y381=0," ",((DATOSAÑO!$I381*DATOSAÑO!$AF381)/DATOSAÑO!$Y381))," ")</f>
        <v>390.89390519187361</v>
      </c>
      <c r="G106" s="317">
        <f ca="1">IF($E106&lt;=DATOSAÑO!$B381,IF(DATOSAÑO!$Y381=0," ",((DATOSAÑO!$P381*DATOSAÑO!$AF381)/DATOSAÑO!$Y381))," ")</f>
        <v>198.10609480812641</v>
      </c>
      <c r="H106" s="317">
        <f ca="1">IF($E106&lt;=DATOSAÑO!$B381,IF(DATOSAÑO!$Y381=0," ",((DATOSAÑO!$Q381*DATOSAÑO!$AF381)/DATOSAÑO!$Y381))," ")</f>
        <v>0</v>
      </c>
      <c r="I106" s="317">
        <f ca="1">IF($E106&lt;=DATOSAÑO!$B381,IF(DATOSAÑO!$Y381=0," ",((DATOSAÑO!$T381*DATOSAÑO!$AF381)/DATOSAÑO!$Y381))," ")</f>
        <v>0</v>
      </c>
      <c r="J106" s="313">
        <f t="shared" ca="1" si="8"/>
        <v>0</v>
      </c>
      <c r="K106" s="317"/>
      <c r="L106" s="280"/>
      <c r="M106" s="281"/>
      <c r="N106" s="262"/>
      <c r="O106" s="263"/>
      <c r="P106" s="282"/>
      <c r="Q106" s="283"/>
      <c r="R106" s="284"/>
      <c r="S106" s="285"/>
      <c r="T106" s="286"/>
      <c r="U106" s="287"/>
      <c r="V106" s="288"/>
      <c r="W106" s="289"/>
      <c r="X106" s="290"/>
      <c r="Y106" s="291"/>
    </row>
    <row r="107" spans="1:25">
      <c r="A107" s="2233"/>
      <c r="B107" s="2236"/>
      <c r="C107" s="2244"/>
      <c r="D107" s="2242"/>
      <c r="E107" s="705" t="s">
        <v>183</v>
      </c>
      <c r="F107" s="316" t="str">
        <f ca="1">IF($E107&lt;=DATOSAÑO!$B382,IF(DATOSAÑO!$Y382=0," ",((DATOSAÑO!$I382*DATOSAÑO!$AF382)/DATOSAÑO!$Y382))," ")</f>
        <v xml:space="preserve"> </v>
      </c>
      <c r="G107" s="317" t="str">
        <f ca="1">IF($E107&lt;=DATOSAÑO!$B382,IF(DATOSAÑO!$Y382=0," ",((DATOSAÑO!$P382*DATOSAÑO!$AF382)/DATOSAÑO!$Y382))," ")</f>
        <v xml:space="preserve"> </v>
      </c>
      <c r="H107" s="317" t="str">
        <f ca="1">IF($E107&lt;=DATOSAÑO!$B382,IF(DATOSAÑO!$Y382=0," ",((DATOSAÑO!$Q382*DATOSAÑO!$AF382)/DATOSAÑO!$Y382))," ")</f>
        <v xml:space="preserve"> </v>
      </c>
      <c r="I107" s="317" t="str">
        <f ca="1">IF($E107&lt;=DATOSAÑO!$B382,IF(DATOSAÑO!$Y382=0," ",((DATOSAÑO!$T382*DATOSAÑO!$AF382)/DATOSAÑO!$Y382))," ")</f>
        <v xml:space="preserve"> </v>
      </c>
      <c r="J107" s="313" t="str">
        <f t="shared" ca="1" si="8"/>
        <v xml:space="preserve"> </v>
      </c>
      <c r="K107" s="317"/>
      <c r="L107" s="280"/>
      <c r="M107" s="281"/>
      <c r="N107" s="262"/>
      <c r="O107" s="263"/>
      <c r="P107" s="282"/>
      <c r="Q107" s="283"/>
      <c r="R107" s="284"/>
      <c r="S107" s="285"/>
      <c r="T107" s="286"/>
      <c r="U107" s="287"/>
      <c r="V107" s="288"/>
      <c r="W107" s="289"/>
      <c r="X107" s="290"/>
      <c r="Y107" s="291"/>
    </row>
    <row r="108" spans="1:25">
      <c r="A108" s="2233"/>
      <c r="B108" s="2236"/>
      <c r="C108" s="2244"/>
      <c r="D108" s="2242"/>
      <c r="E108" s="705" t="s">
        <v>184</v>
      </c>
      <c r="F108" s="316" t="str">
        <f ca="1">IF($E108&lt;=DATOSAÑO!$B383,IF(DATOSAÑO!$Y383=0," ",((DATOSAÑO!$I383*DATOSAÑO!$AF383)/DATOSAÑO!$Y383))," ")</f>
        <v xml:space="preserve"> </v>
      </c>
      <c r="G108" s="317" t="str">
        <f ca="1">IF($E108&lt;=DATOSAÑO!$B383,IF(DATOSAÑO!$Y383=0," ",((DATOSAÑO!$P383*DATOSAÑO!$AF383)/DATOSAÑO!$Y383))," ")</f>
        <v xml:space="preserve"> </v>
      </c>
      <c r="H108" s="317" t="str">
        <f ca="1">IF($E108&lt;=DATOSAÑO!$B383,IF(DATOSAÑO!$Y383=0," ",((DATOSAÑO!$Q383*DATOSAÑO!$AF383)/DATOSAÑO!$Y383))," ")</f>
        <v xml:space="preserve"> </v>
      </c>
      <c r="I108" s="317" t="str">
        <f ca="1">IF($E108&lt;=DATOSAÑO!$B383,IF(DATOSAÑO!$Y383=0," ",((DATOSAÑO!$T383*DATOSAÑO!$AF383)/DATOSAÑO!$Y383))," ")</f>
        <v xml:space="preserve"> </v>
      </c>
      <c r="J108" s="313" t="str">
        <f t="shared" ca="1" si="8"/>
        <v xml:space="preserve"> </v>
      </c>
      <c r="K108" s="317"/>
      <c r="L108" s="280"/>
      <c r="M108" s="281"/>
      <c r="N108" s="262"/>
      <c r="O108" s="263"/>
      <c r="P108" s="282"/>
      <c r="Q108" s="283"/>
      <c r="R108" s="284"/>
      <c r="S108" s="285"/>
      <c r="T108" s="286"/>
      <c r="U108" s="287"/>
      <c r="V108" s="288"/>
      <c r="W108" s="289"/>
      <c r="X108" s="290"/>
      <c r="Y108" s="291"/>
    </row>
    <row r="109" spans="1:25">
      <c r="A109" s="2233"/>
      <c r="B109" s="2236"/>
      <c r="C109" s="2244"/>
      <c r="D109" s="2242"/>
      <c r="E109" s="705" t="s">
        <v>185</v>
      </c>
      <c r="F109" s="316" t="str">
        <f ca="1">IF($E109&lt;=DATOSAÑO!$B384,IF(DATOSAÑO!$Y384=0," ",((DATOSAÑO!$I384*DATOSAÑO!$AF384)/DATOSAÑO!$Y384))," ")</f>
        <v xml:space="preserve"> </v>
      </c>
      <c r="G109" s="317" t="str">
        <f ca="1">IF($E109&lt;=DATOSAÑO!$B384,IF(DATOSAÑO!$Y384=0," ",((DATOSAÑO!$P384*DATOSAÑO!$AF384)/DATOSAÑO!$Y384))," ")</f>
        <v xml:space="preserve"> </v>
      </c>
      <c r="H109" s="317" t="str">
        <f ca="1">IF($E109&lt;=DATOSAÑO!$B384,IF(DATOSAÑO!$Y384=0," ",((DATOSAÑO!$Q384*DATOSAÑO!$AF384)/DATOSAÑO!$Y384))," ")</f>
        <v xml:space="preserve"> </v>
      </c>
      <c r="I109" s="317" t="str">
        <f ca="1">IF($E109&lt;=DATOSAÑO!$B384,IF(DATOSAÑO!$Y384=0," ",((DATOSAÑO!$T384*DATOSAÑO!$AF384)/DATOSAÑO!$Y384))," ")</f>
        <v xml:space="preserve"> </v>
      </c>
      <c r="J109" s="313" t="str">
        <f t="shared" ca="1" si="8"/>
        <v xml:space="preserve"> </v>
      </c>
      <c r="K109" s="317"/>
      <c r="L109" s="280"/>
      <c r="M109" s="281"/>
      <c r="N109" s="262"/>
      <c r="O109" s="263"/>
      <c r="P109" s="282"/>
      <c r="Q109" s="283"/>
      <c r="R109" s="284"/>
      <c r="S109" s="285"/>
      <c r="T109" s="286"/>
      <c r="U109" s="287"/>
      <c r="V109" s="288"/>
      <c r="W109" s="289"/>
      <c r="X109" s="290"/>
      <c r="Y109" s="291"/>
    </row>
    <row r="110" spans="1:25">
      <c r="A110" s="2233"/>
      <c r="B110" s="2236"/>
      <c r="C110" s="2244"/>
      <c r="D110" s="2242"/>
      <c r="E110" s="705" t="s">
        <v>186</v>
      </c>
      <c r="F110" s="316" t="str">
        <f ca="1">IF($E110&lt;=DATOSAÑO!$B385,IF(DATOSAÑO!$Y385=0," ",((DATOSAÑO!$I385*DATOSAÑO!$AF385)/DATOSAÑO!$Y385))," ")</f>
        <v xml:space="preserve"> </v>
      </c>
      <c r="G110" s="317" t="str">
        <f ca="1">IF($E110&lt;=DATOSAÑO!$B385,IF(DATOSAÑO!$Y385=0," ",((DATOSAÑO!$P385*DATOSAÑO!$AF385)/DATOSAÑO!$Y385))," ")</f>
        <v xml:space="preserve"> </v>
      </c>
      <c r="H110" s="317" t="str">
        <f ca="1">IF($E110&lt;=DATOSAÑO!$B385,IF(DATOSAÑO!$Y385=0," ",((DATOSAÑO!$Q385*DATOSAÑO!$AF385)/DATOSAÑO!$Y385))," ")</f>
        <v xml:space="preserve"> </v>
      </c>
      <c r="I110" s="317" t="str">
        <f ca="1">IF($E110&lt;=DATOSAÑO!$B385,IF(DATOSAÑO!$Y385=0," ",((DATOSAÑO!$T385*DATOSAÑO!$AF385)/DATOSAÑO!$Y385))," ")</f>
        <v xml:space="preserve"> </v>
      </c>
      <c r="J110" s="313" t="str">
        <f t="shared" ca="1" si="8"/>
        <v xml:space="preserve"> </v>
      </c>
      <c r="K110" s="317"/>
      <c r="L110" s="280"/>
      <c r="M110" s="281"/>
      <c r="N110" s="262"/>
      <c r="O110" s="263"/>
      <c r="P110" s="282"/>
      <c r="Q110" s="283"/>
      <c r="R110" s="284"/>
      <c r="S110" s="285"/>
      <c r="T110" s="286"/>
      <c r="U110" s="287"/>
      <c r="V110" s="288"/>
      <c r="W110" s="289"/>
      <c r="X110" s="290"/>
      <c r="Y110" s="291"/>
    </row>
    <row r="111" spans="1:25">
      <c r="A111" s="2233"/>
      <c r="B111" s="2236"/>
      <c r="C111" s="2244"/>
      <c r="D111" s="2242"/>
      <c r="E111" s="705" t="s">
        <v>187</v>
      </c>
      <c r="F111" s="316" t="str">
        <f ca="1">IF($E111&lt;=DATOSAÑO!$B386,IF(DATOSAÑO!$Y386=0," ",((DATOSAÑO!$I386*DATOSAÑO!$AF386)/DATOSAÑO!$Y386))," ")</f>
        <v xml:space="preserve"> </v>
      </c>
      <c r="G111" s="317" t="str">
        <f ca="1">IF($E111&lt;=DATOSAÑO!$B386,IF(DATOSAÑO!$Y386=0," ",((DATOSAÑO!$P386*DATOSAÑO!$AF386)/DATOSAÑO!$Y386))," ")</f>
        <v xml:space="preserve"> </v>
      </c>
      <c r="H111" s="317" t="str">
        <f ca="1">IF($E111&lt;=DATOSAÑO!$B386,IF(DATOSAÑO!$Y386=0," ",((DATOSAÑO!$Q386*DATOSAÑO!$AF386)/DATOSAÑO!$Y386))," ")</f>
        <v xml:space="preserve"> </v>
      </c>
      <c r="I111" s="317" t="str">
        <f ca="1">IF($E111&lt;=DATOSAÑO!$B386,IF(DATOSAÑO!$Y386=0," ",((DATOSAÑO!$T386*DATOSAÑO!$AF386)/DATOSAÑO!$Y386))," ")</f>
        <v xml:space="preserve"> </v>
      </c>
      <c r="J111" s="313" t="str">
        <f t="shared" ca="1" si="8"/>
        <v xml:space="preserve"> </v>
      </c>
      <c r="K111" s="317"/>
      <c r="L111" s="280"/>
      <c r="M111" s="281"/>
      <c r="N111" s="262"/>
      <c r="O111" s="263"/>
      <c r="P111" s="282"/>
      <c r="Q111" s="283"/>
      <c r="R111" s="284"/>
      <c r="S111" s="285"/>
      <c r="T111" s="286"/>
      <c r="U111" s="287"/>
      <c r="V111" s="288"/>
      <c r="W111" s="289"/>
      <c r="X111" s="290"/>
      <c r="Y111" s="291"/>
    </row>
    <row r="112" spans="1:25" ht="15" thickBot="1">
      <c r="A112" s="2234"/>
      <c r="B112" s="2237"/>
      <c r="C112" s="2245"/>
      <c r="D112" s="2243"/>
      <c r="E112" s="706" t="s">
        <v>188</v>
      </c>
      <c r="F112" s="624" t="str">
        <f ca="1">IF($E112&lt;=DATOSAÑO!$B387,IF(DATOSAÑO!$Y387=0," ",((DATOSAÑO!$I387*DATOSAÑO!$AF387)/DATOSAÑO!$Y387))," ")</f>
        <v xml:space="preserve"> </v>
      </c>
      <c r="G112" s="318" t="str">
        <f ca="1">IF($E112&lt;=DATOSAÑO!$B387,IF(DATOSAÑO!$Y387=0," ",((DATOSAÑO!$P387*DATOSAÑO!$AF387)/DATOSAÑO!$Y387))," ")</f>
        <v xml:space="preserve"> </v>
      </c>
      <c r="H112" s="318" t="str">
        <f ca="1">IF($E112&lt;=DATOSAÑO!$B387,IF(DATOSAÑO!$Y387=0," ",((DATOSAÑO!$Q387*DATOSAÑO!$AF387)/DATOSAÑO!$Y387))," ")</f>
        <v xml:space="preserve"> </v>
      </c>
      <c r="I112" s="318" t="str">
        <f ca="1">IF($E112&lt;=DATOSAÑO!$B387,IF(DATOSAÑO!$Y387=0," ",((DATOSAÑO!$T387*DATOSAÑO!$AF387)/DATOSAÑO!$Y387))," ")</f>
        <v xml:space="preserve"> </v>
      </c>
      <c r="J112" s="325" t="str">
        <f t="shared" ca="1" si="8"/>
        <v xml:space="preserve"> </v>
      </c>
      <c r="K112" s="317"/>
      <c r="L112" s="292"/>
      <c r="M112" s="293"/>
      <c r="N112" s="266"/>
      <c r="O112" s="267"/>
      <c r="P112" s="294"/>
      <c r="Q112" s="295"/>
      <c r="R112" s="296"/>
      <c r="S112" s="297"/>
      <c r="T112" s="298"/>
      <c r="U112" s="299"/>
      <c r="V112" s="300"/>
      <c r="W112" s="301"/>
      <c r="X112" s="302"/>
      <c r="Y112" s="303"/>
    </row>
    <row r="113" spans="1:25">
      <c r="A113" s="2232" t="s">
        <v>251</v>
      </c>
      <c r="B113" s="2235" t="s">
        <v>252</v>
      </c>
      <c r="C113" s="2238" t="s">
        <v>262</v>
      </c>
      <c r="D113" s="2241">
        <v>2022</v>
      </c>
      <c r="E113" s="709" t="s">
        <v>176</v>
      </c>
      <c r="F113" s="314">
        <f ca="1">IF($E113&lt;=DATOSAÑO!$B376,IF(DATOSAÑO!$Y376=0," ",((DATOSAÑO!$I376*DATOSAÑO!$AM376)/DATOSAÑO!$Y376))," ")</f>
        <v>114.69757264439612</v>
      </c>
      <c r="G113" s="315">
        <f ca="1">IF($E113&lt;=DATOSAÑO!$B376,IF(DATOSAÑO!$Y376=0," ",((DATOSAÑO!$P376*DATOSAÑO!$AM376)/DATOSAÑO!$Y376))," ")</f>
        <v>162.15029561494285</v>
      </c>
      <c r="H113" s="315">
        <f ca="1">IF($E113&lt;=DATOSAÑO!$B376,IF(DATOSAÑO!$Y376=0," ",((DATOSAÑO!$Q376*DATOSAÑO!$AM376)/DATOSAÑO!$Y376))," ")</f>
        <v>3.7389123654973731E-2</v>
      </c>
      <c r="I113" s="315">
        <f ca="1">IF($E113&lt;=DATOSAÑO!$B376,IF(DATOSAÑO!$Y376=0," ",((DATOSAÑO!$T376*DATOSAÑO!$AM376)/DATOSAÑO!$Y376))," ")</f>
        <v>5.2242617041405599E-2</v>
      </c>
      <c r="J113" s="311">
        <f ca="1">IF($H113=" "," ",0)</f>
        <v>0</v>
      </c>
      <c r="K113" s="307"/>
      <c r="L113" s="307"/>
      <c r="M113" s="259"/>
      <c r="N113" s="258"/>
      <c r="O113" s="259"/>
      <c r="P113" s="270"/>
      <c r="Q113" s="271"/>
      <c r="R113" s="272"/>
      <c r="S113" s="273"/>
      <c r="T113" s="274"/>
      <c r="U113" s="275"/>
      <c r="V113" s="276"/>
      <c r="W113" s="277"/>
      <c r="X113" s="278"/>
      <c r="Y113" s="279"/>
    </row>
    <row r="114" spans="1:25">
      <c r="A114" s="2233"/>
      <c r="B114" s="2236"/>
      <c r="C114" s="2244"/>
      <c r="D114" s="2242"/>
      <c r="E114" s="705" t="s">
        <v>177</v>
      </c>
      <c r="F114" s="316">
        <f ca="1">IF($E114&lt;=DATOSAÑO!$B377,IF(DATOSAÑO!$Y377=0," ",((DATOSAÑO!$I377*DATOSAÑO!$AM377)/DATOSAÑO!$Y377))," ")</f>
        <v>175.86384404723839</v>
      </c>
      <c r="G114" s="317">
        <f ca="1">IF($E114&lt;=DATOSAÑO!$B377,IF(DATOSAÑO!$Y377=0," ",((DATOSAÑO!$P377*DATOSAÑO!$AM377)/DATOSAÑO!$Y377))," ")</f>
        <v>88.881758487673878</v>
      </c>
      <c r="H114" s="317">
        <f ca="1">IF($E114&lt;=DATOSAÑO!$B377,IF(DATOSAÑO!$Y377=0," ",((DATOSAÑO!$Q377*DATOSAÑO!$AM377)/DATOSAÑO!$Y377))," ")</f>
        <v>2.4946729910147999E-2</v>
      </c>
      <c r="I114" s="317">
        <f ca="1">IF($E114&lt;=DATOSAÑO!$B377,IF(DATOSAÑO!$Y377=0," ",((DATOSAÑO!$T377*DATOSAÑO!$AM377)/DATOSAÑO!$Y377))," ")</f>
        <v>7.445073514381241E-2</v>
      </c>
      <c r="J114" s="317">
        <f t="shared" ref="J114:J124" ca="1" si="9">IF($H114=" "," ",0)</f>
        <v>0</v>
      </c>
      <c r="K114" s="308"/>
      <c r="L114" s="308"/>
      <c r="M114" s="263"/>
      <c r="N114" s="262"/>
      <c r="O114" s="263"/>
      <c r="P114" s="282"/>
      <c r="Q114" s="283"/>
      <c r="R114" s="284"/>
      <c r="S114" s="285"/>
      <c r="T114" s="286"/>
      <c r="U114" s="287"/>
      <c r="V114" s="288"/>
      <c r="W114" s="289"/>
      <c r="X114" s="290"/>
      <c r="Y114" s="291"/>
    </row>
    <row r="115" spans="1:25">
      <c r="A115" s="2233"/>
      <c r="B115" s="2236"/>
      <c r="C115" s="2244"/>
      <c r="D115" s="2242"/>
      <c r="E115" s="705" t="s">
        <v>178</v>
      </c>
      <c r="F115" s="316">
        <f ca="1">IF($E115&lt;=DATOSAÑO!$B378,IF(DATOSAÑO!$Y378=0," ",((DATOSAÑO!$I378*DATOSAÑO!$AM378)/DATOSAÑO!$Y378))," ")</f>
        <v>204.58012586923647</v>
      </c>
      <c r="G115" s="317">
        <f ca="1">IF($E115&lt;=DATOSAÑO!$B378,IF(DATOSAÑO!$Y378=0," ",((DATOSAÑO!$P378*DATOSAÑO!$AM378)/DATOSAÑO!$Y378))," ")</f>
        <v>106.68873834265329</v>
      </c>
      <c r="H115" s="317">
        <f ca="1">IF($E115&lt;=DATOSAÑO!$B378,IF(DATOSAÑO!$Y378=0," ",((DATOSAÑO!$Q378*DATOSAÑO!$AM378)/DATOSAÑO!$Y378))," ")</f>
        <v>1.464713563706313E-2</v>
      </c>
      <c r="I115" s="317">
        <f ca="1">IF($E115&lt;=DATOSAÑO!$B378,IF(DATOSAÑO!$Y378=0," ",((DATOSAÑO!$T378*DATOSAÑO!$AM378)/DATOSAÑO!$Y378))," ")</f>
        <v>2.3988652482993325E-2</v>
      </c>
      <c r="J115" s="317">
        <f t="shared" ca="1" si="9"/>
        <v>0</v>
      </c>
      <c r="K115" s="308"/>
      <c r="L115" s="308"/>
      <c r="M115" s="263"/>
      <c r="N115" s="262"/>
      <c r="O115" s="263"/>
      <c r="P115" s="282"/>
      <c r="Q115" s="283"/>
      <c r="R115" s="284"/>
      <c r="S115" s="285"/>
      <c r="T115" s="286"/>
      <c r="U115" s="287"/>
      <c r="V115" s="288"/>
      <c r="W115" s="289"/>
      <c r="X115" s="290"/>
      <c r="Y115" s="291"/>
    </row>
    <row r="116" spans="1:25">
      <c r="A116" s="2233"/>
      <c r="B116" s="2236"/>
      <c r="C116" s="2244"/>
      <c r="D116" s="2242"/>
      <c r="E116" s="705" t="s">
        <v>179</v>
      </c>
      <c r="F116" s="316">
        <f ca="1">IF($E116&lt;=DATOSAÑO!$B379,IF(DATOSAÑO!$Y379=0," ",((DATOSAÑO!$I379*DATOSAÑO!$AM379)/DATOSAÑO!$Y379))," ")</f>
        <v>178.69673248866974</v>
      </c>
      <c r="G116" s="317">
        <f ca="1">IF($E116&lt;=DATOSAÑO!$B379,IF(DATOSAÑO!$Y379=0," ",((DATOSAÑO!$P379*DATOSAÑO!$AM379)/DATOSAÑO!$Y379))," ")</f>
        <v>71.922515319897386</v>
      </c>
      <c r="H116" s="317">
        <f ca="1">IF($E116&lt;=DATOSAÑO!$B379,IF(DATOSAÑO!$Y379=0," ",((DATOSAÑO!$Q379*DATOSAÑO!$AM379)/DATOSAÑO!$Y379))," ")</f>
        <v>9.9153421189269411E-2</v>
      </c>
      <c r="I116" s="317">
        <f ca="1">IF($E116&lt;=DATOSAÑO!$B379,IF(DATOSAÑO!$Y379=0," ",((DATOSAÑO!$T379*DATOSAÑO!$AM379)/DATOSAÑO!$Y379))," ")</f>
        <v>0.5060987702112546</v>
      </c>
      <c r="J116" s="317">
        <f t="shared" ca="1" si="9"/>
        <v>0</v>
      </c>
      <c r="K116" s="308"/>
      <c r="L116" s="308"/>
      <c r="M116" s="263"/>
      <c r="N116" s="262"/>
      <c r="O116" s="263"/>
      <c r="P116" s="282"/>
      <c r="Q116" s="283"/>
      <c r="R116" s="284"/>
      <c r="S116" s="285"/>
      <c r="T116" s="286"/>
      <c r="U116" s="287"/>
      <c r="V116" s="288"/>
      <c r="W116" s="289"/>
      <c r="X116" s="290"/>
      <c r="Y116" s="291"/>
    </row>
    <row r="117" spans="1:25">
      <c r="A117" s="2233"/>
      <c r="B117" s="2236"/>
      <c r="C117" s="2244"/>
      <c r="D117" s="2242"/>
      <c r="E117" s="705" t="s">
        <v>180</v>
      </c>
      <c r="F117" s="316">
        <f ca="1">IF($E117&lt;=DATOSAÑO!$B380,IF(DATOSAÑO!$Y380=0," ",((DATOSAÑO!$I380*DATOSAÑO!$AM380)/DATOSAÑO!$Y380))," ")</f>
        <v>148.20151459325965</v>
      </c>
      <c r="G117" s="317">
        <f ca="1">IF($E117&lt;=DATOSAÑO!$B380,IF(DATOSAÑO!$Y380=0," ",((DATOSAÑO!$P380*DATOSAÑO!$AM380)/DATOSAÑO!$Y380))," ")</f>
        <v>135.6600302394292</v>
      </c>
      <c r="H117" s="317">
        <f ca="1">IF($E117&lt;=DATOSAÑO!$B380,IF(DATOSAÑO!$Y380=0," ",((DATOSAÑO!$Q380*DATOSAÑO!$AM380)/DATOSAÑO!$Y380))," ")</f>
        <v>3.1951310721189112E-2</v>
      </c>
      <c r="I117" s="317">
        <f ca="1">IF($E117&lt;=DATOSAÑO!$B380,IF(DATOSAÑO!$Y380=0," ",((DATOSAÑO!$T380*DATOSAÑO!$AM380)/DATOSAÑO!$Y380))," ")</f>
        <v>6.1003856624066231E-2</v>
      </c>
      <c r="J117" s="317">
        <f t="shared" ca="1" si="9"/>
        <v>0</v>
      </c>
      <c r="K117" s="308"/>
      <c r="L117" s="308"/>
      <c r="M117" s="263"/>
      <c r="N117" s="262"/>
      <c r="O117" s="263"/>
      <c r="P117" s="282"/>
      <c r="Q117" s="283"/>
      <c r="R117" s="284"/>
      <c r="S117" s="285"/>
      <c r="T117" s="286"/>
      <c r="U117" s="287"/>
      <c r="V117" s="288"/>
      <c r="W117" s="289"/>
      <c r="X117" s="290"/>
      <c r="Y117" s="291"/>
    </row>
    <row r="118" spans="1:25">
      <c r="A118" s="2233"/>
      <c r="B118" s="2236"/>
      <c r="C118" s="2244"/>
      <c r="D118" s="2242"/>
      <c r="E118" s="705" t="s">
        <v>182</v>
      </c>
      <c r="F118" s="316">
        <f ca="1">IF($E118&lt;=DATOSAÑO!$B381,IF(DATOSAÑO!$Y381=0," ",((DATOSAÑO!$I381*DATOSAÑO!$AM381)/DATOSAÑO!$Y381))," ")</f>
        <v>2098.7777336343102</v>
      </c>
      <c r="G118" s="317">
        <f ca="1">IF($E118&lt;=DATOSAÑO!$B381,IF(DATOSAÑO!$Y381=0," ",((DATOSAÑO!$P381*DATOSAÑO!$AM381)/DATOSAÑO!$Y381))," ")</f>
        <v>1063.6662663656878</v>
      </c>
      <c r="H118" s="317">
        <f ca="1">IF($E118&lt;=DATOSAÑO!$B381,IF(DATOSAÑO!$Y381=0," ",((DATOSAÑO!$Q381*DATOSAÑO!$AM381)/DATOSAÑO!$Y381))," ")</f>
        <v>0</v>
      </c>
      <c r="I118" s="317">
        <f ca="1">IF($E118&lt;=DATOSAÑO!$B381,IF(DATOSAÑO!$Y381=0," ",((DATOSAÑO!$T381*DATOSAÑO!$AM381)/DATOSAÑO!$Y381))," ")</f>
        <v>0</v>
      </c>
      <c r="J118" s="317">
        <f t="shared" ca="1" si="9"/>
        <v>0</v>
      </c>
      <c r="K118" s="308"/>
      <c r="L118" s="308"/>
      <c r="M118" s="263"/>
      <c r="N118" s="262"/>
      <c r="O118" s="263"/>
      <c r="P118" s="282"/>
      <c r="Q118" s="283"/>
      <c r="R118" s="284"/>
      <c r="S118" s="285"/>
      <c r="T118" s="286"/>
      <c r="U118" s="287"/>
      <c r="V118" s="288"/>
      <c r="W118" s="289"/>
      <c r="X118" s="290"/>
      <c r="Y118" s="291"/>
    </row>
    <row r="119" spans="1:25">
      <c r="A119" s="2233"/>
      <c r="B119" s="2236"/>
      <c r="C119" s="2244"/>
      <c r="D119" s="2242"/>
      <c r="E119" s="705" t="s">
        <v>183</v>
      </c>
      <c r="F119" s="316" t="str">
        <f ca="1">IF($E119&lt;=DATOSAÑO!$B382,IF(DATOSAÑO!$Y382=0," ",((DATOSAÑO!$I382*DATOSAÑO!$AM382)/DATOSAÑO!$Y382))," ")</f>
        <v xml:space="preserve"> </v>
      </c>
      <c r="G119" s="317" t="str">
        <f ca="1">IF($E119&lt;=DATOSAÑO!$B382,IF(DATOSAÑO!$Y382=0," ",((DATOSAÑO!$P382*DATOSAÑO!$AM382)/DATOSAÑO!$Y382))," ")</f>
        <v xml:space="preserve"> </v>
      </c>
      <c r="H119" s="317" t="str">
        <f ca="1">IF($E119&lt;=DATOSAÑO!$B382,IF(DATOSAÑO!$Y382=0," ",((DATOSAÑO!$Q382*DATOSAÑO!$AM382)/DATOSAÑO!$Y382))," ")</f>
        <v xml:space="preserve"> </v>
      </c>
      <c r="I119" s="317" t="str">
        <f ca="1">IF($E119&lt;=DATOSAÑO!$B382,IF(DATOSAÑO!$Y382=0," ",((DATOSAÑO!$T382*DATOSAÑO!$AM382)/DATOSAÑO!$Y382))," ")</f>
        <v xml:space="preserve"> </v>
      </c>
      <c r="J119" s="317" t="str">
        <f t="shared" ca="1" si="9"/>
        <v xml:space="preserve"> </v>
      </c>
      <c r="K119" s="308"/>
      <c r="L119" s="308"/>
      <c r="M119" s="263"/>
      <c r="N119" s="262"/>
      <c r="O119" s="263"/>
      <c r="P119" s="282"/>
      <c r="Q119" s="283"/>
      <c r="R119" s="284"/>
      <c r="S119" s="285"/>
      <c r="T119" s="286"/>
      <c r="U119" s="287"/>
      <c r="V119" s="288"/>
      <c r="W119" s="289"/>
      <c r="X119" s="290"/>
      <c r="Y119" s="291"/>
    </row>
    <row r="120" spans="1:25">
      <c r="A120" s="2233"/>
      <c r="B120" s="2236"/>
      <c r="C120" s="2244"/>
      <c r="D120" s="2242"/>
      <c r="E120" s="705" t="s">
        <v>184</v>
      </c>
      <c r="F120" s="316" t="str">
        <f ca="1">IF($E120&lt;=DATOSAÑO!$B383,IF(DATOSAÑO!$Y383=0," ",((DATOSAÑO!$I383*DATOSAÑO!$AM383)/DATOSAÑO!$Y383))," ")</f>
        <v xml:space="preserve"> </v>
      </c>
      <c r="G120" s="317" t="str">
        <f ca="1">IF($E120&lt;=DATOSAÑO!$B383,IF(DATOSAÑO!$Y383=0," ",((DATOSAÑO!$P383*DATOSAÑO!$AM383)/DATOSAÑO!$Y383))," ")</f>
        <v xml:space="preserve"> </v>
      </c>
      <c r="H120" s="317" t="str">
        <f ca="1">IF($E120&lt;=DATOSAÑO!$B383,IF(DATOSAÑO!$Y383=0," ",((DATOSAÑO!$Q383*DATOSAÑO!$AM383)/DATOSAÑO!$Y383))," ")</f>
        <v xml:space="preserve"> </v>
      </c>
      <c r="I120" s="317" t="str">
        <f ca="1">IF($E120&lt;=DATOSAÑO!$B383,IF(DATOSAÑO!$Y383=0," ",((DATOSAÑO!$T383*DATOSAÑO!$AM383)/DATOSAÑO!$Y383))," ")</f>
        <v xml:space="preserve"> </v>
      </c>
      <c r="J120" s="317" t="str">
        <f t="shared" ca="1" si="9"/>
        <v xml:space="preserve"> </v>
      </c>
      <c r="K120" s="308"/>
      <c r="L120" s="308"/>
      <c r="M120" s="263"/>
      <c r="N120" s="262"/>
      <c r="O120" s="263"/>
      <c r="P120" s="282"/>
      <c r="Q120" s="283"/>
      <c r="R120" s="284"/>
      <c r="S120" s="285"/>
      <c r="T120" s="286"/>
      <c r="U120" s="287"/>
      <c r="V120" s="288"/>
      <c r="W120" s="289"/>
      <c r="X120" s="290"/>
      <c r="Y120" s="291"/>
    </row>
    <row r="121" spans="1:25">
      <c r="A121" s="2233"/>
      <c r="B121" s="2236"/>
      <c r="C121" s="2244"/>
      <c r="D121" s="2242"/>
      <c r="E121" s="705" t="s">
        <v>185</v>
      </c>
      <c r="F121" s="316" t="str">
        <f ca="1">IF($E121&lt;=DATOSAÑO!$B384,IF(DATOSAÑO!$Y384=0," ",((DATOSAÑO!$I384*DATOSAÑO!$AM384)/DATOSAÑO!$Y384))," ")</f>
        <v xml:space="preserve"> </v>
      </c>
      <c r="G121" s="317" t="str">
        <f ca="1">IF($E121&lt;=DATOSAÑO!$B384,IF(DATOSAÑO!$Y384=0," ",((DATOSAÑO!$P384*DATOSAÑO!$AM384)/DATOSAÑO!$Y384))," ")</f>
        <v xml:space="preserve"> </v>
      </c>
      <c r="H121" s="317" t="str">
        <f ca="1">IF($E121&lt;=DATOSAÑO!$B384,IF(DATOSAÑO!$Y384=0," ",((DATOSAÑO!$Q384*DATOSAÑO!$AM384)/DATOSAÑO!$Y384))," ")</f>
        <v xml:space="preserve"> </v>
      </c>
      <c r="I121" s="317" t="str">
        <f ca="1">IF($E121&lt;=DATOSAÑO!$B384,IF(DATOSAÑO!$Y384=0," ",((DATOSAÑO!$T384*DATOSAÑO!$AM384)/DATOSAÑO!$Y384))," ")</f>
        <v xml:space="preserve"> </v>
      </c>
      <c r="J121" s="317" t="str">
        <f t="shared" ca="1" si="9"/>
        <v xml:space="preserve"> </v>
      </c>
      <c r="K121" s="308"/>
      <c r="L121" s="308"/>
      <c r="M121" s="263"/>
      <c r="N121" s="262"/>
      <c r="O121" s="263"/>
      <c r="P121" s="282"/>
      <c r="Q121" s="283"/>
      <c r="R121" s="284"/>
      <c r="S121" s="285"/>
      <c r="T121" s="286"/>
      <c r="U121" s="287"/>
      <c r="V121" s="288"/>
      <c r="W121" s="289"/>
      <c r="X121" s="290"/>
      <c r="Y121" s="291"/>
    </row>
    <row r="122" spans="1:25">
      <c r="A122" s="2233"/>
      <c r="B122" s="2236"/>
      <c r="C122" s="2244"/>
      <c r="D122" s="2242"/>
      <c r="E122" s="705" t="s">
        <v>186</v>
      </c>
      <c r="F122" s="316" t="str">
        <f ca="1">IF($E122&lt;=DATOSAÑO!$B385,IF(DATOSAÑO!$Y385=0," ",((DATOSAÑO!$I385*DATOSAÑO!$AM385)/DATOSAÑO!$Y385))," ")</f>
        <v xml:space="preserve"> </v>
      </c>
      <c r="G122" s="317" t="str">
        <f ca="1">IF($E122&lt;=DATOSAÑO!$B385,IF(DATOSAÑO!$Y385=0," ",((DATOSAÑO!$P385*DATOSAÑO!$AM385)/DATOSAÑO!$Y385))," ")</f>
        <v xml:space="preserve"> </v>
      </c>
      <c r="H122" s="317" t="str">
        <f ca="1">IF($E122&lt;=DATOSAÑO!$B385,IF(DATOSAÑO!$Y385=0," ",((DATOSAÑO!$Q385*DATOSAÑO!$AM385)/DATOSAÑO!$Y385))," ")</f>
        <v xml:space="preserve"> </v>
      </c>
      <c r="I122" s="317" t="str">
        <f ca="1">IF($E122&lt;=DATOSAÑO!$B385,IF(DATOSAÑO!$Y385=0," ",((DATOSAÑO!$T385*DATOSAÑO!$AM385)/DATOSAÑO!$Y385))," ")</f>
        <v xml:space="preserve"> </v>
      </c>
      <c r="J122" s="317" t="str">
        <f t="shared" ca="1" si="9"/>
        <v xml:space="preserve"> </v>
      </c>
      <c r="K122" s="308"/>
      <c r="L122" s="308"/>
      <c r="M122" s="263"/>
      <c r="N122" s="262"/>
      <c r="O122" s="263"/>
      <c r="P122" s="282"/>
      <c r="Q122" s="283"/>
      <c r="R122" s="284"/>
      <c r="S122" s="285"/>
      <c r="T122" s="286"/>
      <c r="U122" s="287"/>
      <c r="V122" s="288"/>
      <c r="W122" s="289"/>
      <c r="X122" s="290"/>
      <c r="Y122" s="291"/>
    </row>
    <row r="123" spans="1:25">
      <c r="A123" s="2233"/>
      <c r="B123" s="2236"/>
      <c r="C123" s="2244"/>
      <c r="D123" s="2242"/>
      <c r="E123" s="705" t="s">
        <v>187</v>
      </c>
      <c r="F123" s="316" t="str">
        <f ca="1">IF($E123&lt;=DATOSAÑO!$B386,IF(DATOSAÑO!$Y386=0," ",((DATOSAÑO!$I386*DATOSAÑO!$AM386)/DATOSAÑO!$Y386))," ")</f>
        <v xml:space="preserve"> </v>
      </c>
      <c r="G123" s="317" t="str">
        <f ca="1">IF($E123&lt;=DATOSAÑO!$B386,IF(DATOSAÑO!$Y386=0," ",((DATOSAÑO!$P386*DATOSAÑO!$AM386)/DATOSAÑO!$Y386))," ")</f>
        <v xml:space="preserve"> </v>
      </c>
      <c r="H123" s="317" t="str">
        <f ca="1">IF($E123&lt;=DATOSAÑO!$B386,IF(DATOSAÑO!$Y386=0," ",((DATOSAÑO!$Q386*DATOSAÑO!$AM386)/DATOSAÑO!$Y386))," ")</f>
        <v xml:space="preserve"> </v>
      </c>
      <c r="I123" s="317" t="str">
        <f ca="1">IF($E123&lt;=DATOSAÑO!$B386,IF(DATOSAÑO!$Y386=0," ",((DATOSAÑO!$T386*DATOSAÑO!$AM386)/DATOSAÑO!$Y386))," ")</f>
        <v xml:space="preserve"> </v>
      </c>
      <c r="J123" s="317" t="str">
        <f t="shared" ca="1" si="9"/>
        <v xml:space="preserve"> </v>
      </c>
      <c r="K123" s="308"/>
      <c r="L123" s="308"/>
      <c r="M123" s="263"/>
      <c r="N123" s="262"/>
      <c r="O123" s="263"/>
      <c r="P123" s="282"/>
      <c r="Q123" s="283"/>
      <c r="R123" s="284"/>
      <c r="S123" s="285"/>
      <c r="T123" s="286"/>
      <c r="U123" s="287"/>
      <c r="V123" s="288"/>
      <c r="W123" s="289"/>
      <c r="X123" s="290"/>
      <c r="Y123" s="291"/>
    </row>
    <row r="124" spans="1:25" ht="15" thickBot="1">
      <c r="A124" s="2234"/>
      <c r="B124" s="2237"/>
      <c r="C124" s="2245"/>
      <c r="D124" s="2243"/>
      <c r="E124" s="706" t="s">
        <v>188</v>
      </c>
      <c r="F124" s="710" t="str">
        <f ca="1">IF($E124&lt;=DATOSAÑO!$B387,IF(DATOSAÑO!$Y387=0," ",((DATOSAÑO!$I387*DATOSAÑO!$AM387)/DATOSAÑO!$Y387))," ")</f>
        <v xml:space="preserve"> </v>
      </c>
      <c r="G124" s="318" t="str">
        <f ca="1">IF($E124&lt;=DATOSAÑO!$B387,IF(DATOSAÑO!$Y387=0," ",((DATOSAÑO!$P387*DATOSAÑO!$AM387)/DATOSAÑO!$Y387))," ")</f>
        <v xml:space="preserve"> </v>
      </c>
      <c r="H124" s="318" t="str">
        <f ca="1">IF($E124&lt;=DATOSAÑO!$B387,IF(DATOSAÑO!$Y387=0," ",((DATOSAÑO!$Q387*DATOSAÑO!$AM387)/DATOSAÑO!$Y387))," ")</f>
        <v xml:space="preserve"> </v>
      </c>
      <c r="I124" s="318" t="str">
        <f ca="1">IF($E124&lt;=DATOSAÑO!$B387,IF(DATOSAÑO!$Y387=0," ",((DATOSAÑO!$T387*DATOSAÑO!$AM387)/DATOSAÑO!$Y387))," ")</f>
        <v xml:space="preserve"> </v>
      </c>
      <c r="J124" s="318" t="str">
        <f t="shared" ca="1" si="9"/>
        <v xml:space="preserve"> </v>
      </c>
      <c r="K124" s="309"/>
      <c r="L124" s="309"/>
      <c r="M124" s="267"/>
      <c r="N124" s="266"/>
      <c r="O124" s="267"/>
      <c r="P124" s="294"/>
      <c r="Q124" s="295"/>
      <c r="R124" s="296"/>
      <c r="S124" s="297"/>
      <c r="T124" s="298"/>
      <c r="U124" s="299"/>
      <c r="V124" s="300"/>
      <c r="W124" s="301"/>
      <c r="X124" s="302"/>
      <c r="Y124" s="303"/>
    </row>
    <row r="125" spans="1:25">
      <c r="A125" s="2232" t="s">
        <v>251</v>
      </c>
      <c r="B125" s="2235" t="s">
        <v>252</v>
      </c>
      <c r="C125" s="2238" t="s">
        <v>263</v>
      </c>
      <c r="D125" s="2241">
        <v>2022</v>
      </c>
      <c r="E125" s="709" t="s">
        <v>176</v>
      </c>
      <c r="F125" s="306"/>
      <c r="G125" s="268"/>
      <c r="H125" s="268"/>
      <c r="I125" s="315"/>
      <c r="J125" s="315"/>
      <c r="K125" s="307"/>
      <c r="L125" s="307"/>
      <c r="M125" s="259"/>
      <c r="N125" s="258"/>
      <c r="O125" s="259"/>
      <c r="P125" s="270"/>
      <c r="Q125" s="271"/>
      <c r="R125" s="272"/>
      <c r="S125" s="273"/>
      <c r="T125" s="274"/>
      <c r="U125" s="275"/>
      <c r="V125" s="276"/>
      <c r="W125" s="277"/>
      <c r="X125" s="278"/>
      <c r="Y125" s="279"/>
    </row>
    <row r="126" spans="1:25">
      <c r="A126" s="2233"/>
      <c r="B126" s="2236"/>
      <c r="C126" s="2244"/>
      <c r="D126" s="2242"/>
      <c r="E126" s="705" t="s">
        <v>177</v>
      </c>
      <c r="F126" s="304"/>
      <c r="G126" s="280"/>
      <c r="H126" s="280"/>
      <c r="I126" s="317"/>
      <c r="J126" s="317"/>
      <c r="K126" s="308"/>
      <c r="L126" s="308"/>
      <c r="M126" s="263"/>
      <c r="N126" s="262"/>
      <c r="O126" s="263"/>
      <c r="P126" s="282"/>
      <c r="Q126" s="283"/>
      <c r="R126" s="284"/>
      <c r="S126" s="285"/>
      <c r="T126" s="286"/>
      <c r="U126" s="287"/>
      <c r="V126" s="288"/>
      <c r="W126" s="289"/>
      <c r="X126" s="290"/>
      <c r="Y126" s="291"/>
    </row>
    <row r="127" spans="1:25">
      <c r="A127" s="2233"/>
      <c r="B127" s="2236"/>
      <c r="C127" s="2244"/>
      <c r="D127" s="2242"/>
      <c r="E127" s="705" t="s">
        <v>178</v>
      </c>
      <c r="F127" s="304"/>
      <c r="G127" s="280"/>
      <c r="H127" s="280"/>
      <c r="I127" s="317"/>
      <c r="J127" s="317"/>
      <c r="K127" s="308"/>
      <c r="L127" s="308"/>
      <c r="M127" s="263"/>
      <c r="N127" s="262"/>
      <c r="O127" s="263"/>
      <c r="P127" s="282"/>
      <c r="Q127" s="283"/>
      <c r="R127" s="284"/>
      <c r="S127" s="285"/>
      <c r="T127" s="286"/>
      <c r="U127" s="287"/>
      <c r="V127" s="288"/>
      <c r="W127" s="289"/>
      <c r="X127" s="290"/>
      <c r="Y127" s="291"/>
    </row>
    <row r="128" spans="1:25">
      <c r="A128" s="2233"/>
      <c r="B128" s="2236"/>
      <c r="C128" s="2244"/>
      <c r="D128" s="2242"/>
      <c r="E128" s="705" t="s">
        <v>179</v>
      </c>
      <c r="F128" s="304"/>
      <c r="G128" s="280"/>
      <c r="H128" s="280"/>
      <c r="I128" s="317"/>
      <c r="J128" s="317"/>
      <c r="K128" s="308"/>
      <c r="L128" s="308"/>
      <c r="M128" s="263"/>
      <c r="N128" s="262"/>
      <c r="O128" s="263"/>
      <c r="P128" s="282"/>
      <c r="Q128" s="283"/>
      <c r="R128" s="284"/>
      <c r="S128" s="285"/>
      <c r="T128" s="286"/>
      <c r="U128" s="287"/>
      <c r="V128" s="288"/>
      <c r="W128" s="289"/>
      <c r="X128" s="290"/>
      <c r="Y128" s="291"/>
    </row>
    <row r="129" spans="1:25">
      <c r="A129" s="2233"/>
      <c r="B129" s="2236"/>
      <c r="C129" s="2244"/>
      <c r="D129" s="2242"/>
      <c r="E129" s="705" t="s">
        <v>180</v>
      </c>
      <c r="F129" s="304"/>
      <c r="G129" s="280"/>
      <c r="H129" s="280"/>
      <c r="I129" s="317"/>
      <c r="J129" s="317"/>
      <c r="K129" s="308"/>
      <c r="L129" s="308"/>
      <c r="M129" s="263"/>
      <c r="N129" s="262"/>
      <c r="O129" s="263"/>
      <c r="P129" s="282"/>
      <c r="Q129" s="283"/>
      <c r="R129" s="284"/>
      <c r="S129" s="285"/>
      <c r="T129" s="286"/>
      <c r="U129" s="287"/>
      <c r="V129" s="288"/>
      <c r="W129" s="289"/>
      <c r="X129" s="290"/>
      <c r="Y129" s="291"/>
    </row>
    <row r="130" spans="1:25">
      <c r="A130" s="2233"/>
      <c r="B130" s="2236"/>
      <c r="C130" s="2244"/>
      <c r="D130" s="2242"/>
      <c r="E130" s="705" t="s">
        <v>182</v>
      </c>
      <c r="F130" s="304"/>
      <c r="G130" s="280"/>
      <c r="H130" s="280"/>
      <c r="I130" s="317"/>
      <c r="J130" s="317"/>
      <c r="K130" s="308"/>
      <c r="L130" s="308"/>
      <c r="M130" s="263"/>
      <c r="N130" s="262"/>
      <c r="O130" s="263"/>
      <c r="P130" s="282"/>
      <c r="Q130" s="283"/>
      <c r="R130" s="284"/>
      <c r="S130" s="285"/>
      <c r="T130" s="286"/>
      <c r="U130" s="287"/>
      <c r="V130" s="288"/>
      <c r="W130" s="289"/>
      <c r="X130" s="290"/>
      <c r="Y130" s="291"/>
    </row>
    <row r="131" spans="1:25">
      <c r="A131" s="2233"/>
      <c r="B131" s="2236"/>
      <c r="C131" s="2244"/>
      <c r="D131" s="2242"/>
      <c r="E131" s="705" t="s">
        <v>183</v>
      </c>
      <c r="F131" s="304"/>
      <c r="G131" s="280"/>
      <c r="H131" s="280"/>
      <c r="I131" s="317"/>
      <c r="J131" s="317"/>
      <c r="K131" s="308"/>
      <c r="L131" s="308"/>
      <c r="M131" s="263"/>
      <c r="N131" s="262"/>
      <c r="O131" s="263"/>
      <c r="P131" s="282"/>
      <c r="Q131" s="283"/>
      <c r="R131" s="284"/>
      <c r="S131" s="285"/>
      <c r="T131" s="286"/>
      <c r="U131" s="287"/>
      <c r="V131" s="288"/>
      <c r="W131" s="289"/>
      <c r="X131" s="290"/>
      <c r="Y131" s="291"/>
    </row>
    <row r="132" spans="1:25">
      <c r="A132" s="2233"/>
      <c r="B132" s="2236"/>
      <c r="C132" s="2244"/>
      <c r="D132" s="2242"/>
      <c r="E132" s="705" t="s">
        <v>184</v>
      </c>
      <c r="F132" s="304"/>
      <c r="G132" s="280"/>
      <c r="H132" s="280"/>
      <c r="I132" s="317"/>
      <c r="J132" s="317"/>
      <c r="K132" s="308"/>
      <c r="L132" s="308"/>
      <c r="M132" s="263"/>
      <c r="N132" s="262"/>
      <c r="O132" s="263"/>
      <c r="P132" s="282"/>
      <c r="Q132" s="283"/>
      <c r="R132" s="284"/>
      <c r="S132" s="285"/>
      <c r="T132" s="286"/>
      <c r="U132" s="287"/>
      <c r="V132" s="288"/>
      <c r="W132" s="289"/>
      <c r="X132" s="290"/>
      <c r="Y132" s="291"/>
    </row>
    <row r="133" spans="1:25">
      <c r="A133" s="2233"/>
      <c r="B133" s="2236"/>
      <c r="C133" s="2244"/>
      <c r="D133" s="2242"/>
      <c r="E133" s="705" t="s">
        <v>185</v>
      </c>
      <c r="F133" s="304"/>
      <c r="G133" s="280"/>
      <c r="H133" s="280"/>
      <c r="I133" s="317"/>
      <c r="J133" s="317"/>
      <c r="K133" s="308"/>
      <c r="L133" s="308"/>
      <c r="M133" s="263"/>
      <c r="N133" s="262"/>
      <c r="O133" s="263"/>
      <c r="P133" s="282"/>
      <c r="Q133" s="283"/>
      <c r="R133" s="284"/>
      <c r="S133" s="285"/>
      <c r="T133" s="286"/>
      <c r="U133" s="287"/>
      <c r="V133" s="288"/>
      <c r="W133" s="289"/>
      <c r="X133" s="290"/>
      <c r="Y133" s="291"/>
    </row>
    <row r="134" spans="1:25">
      <c r="A134" s="2233"/>
      <c r="B134" s="2236"/>
      <c r="C134" s="2244"/>
      <c r="D134" s="2242"/>
      <c r="E134" s="705" t="s">
        <v>186</v>
      </c>
      <c r="F134" s="304"/>
      <c r="G134" s="280"/>
      <c r="H134" s="280"/>
      <c r="I134" s="317"/>
      <c r="J134" s="317"/>
      <c r="K134" s="308"/>
      <c r="L134" s="308"/>
      <c r="M134" s="263"/>
      <c r="N134" s="262"/>
      <c r="O134" s="263"/>
      <c r="P134" s="282"/>
      <c r="Q134" s="283"/>
      <c r="R134" s="284"/>
      <c r="S134" s="285"/>
      <c r="T134" s="286"/>
      <c r="U134" s="287"/>
      <c r="V134" s="288"/>
      <c r="W134" s="289"/>
      <c r="X134" s="290"/>
      <c r="Y134" s="291"/>
    </row>
    <row r="135" spans="1:25">
      <c r="A135" s="2233"/>
      <c r="B135" s="2236"/>
      <c r="C135" s="2244"/>
      <c r="D135" s="2242"/>
      <c r="E135" s="705" t="s">
        <v>187</v>
      </c>
      <c r="F135" s="304"/>
      <c r="G135" s="280"/>
      <c r="H135" s="280"/>
      <c r="I135" s="317"/>
      <c r="J135" s="317"/>
      <c r="K135" s="308"/>
      <c r="L135" s="308"/>
      <c r="M135" s="263"/>
      <c r="N135" s="262"/>
      <c r="O135" s="263"/>
      <c r="P135" s="282"/>
      <c r="Q135" s="283"/>
      <c r="R135" s="284"/>
      <c r="S135" s="285"/>
      <c r="T135" s="286"/>
      <c r="U135" s="287"/>
      <c r="V135" s="288"/>
      <c r="W135" s="289"/>
      <c r="X135" s="290"/>
      <c r="Y135" s="291"/>
    </row>
    <row r="136" spans="1:25" ht="15" thickBot="1">
      <c r="A136" s="2234"/>
      <c r="B136" s="2237"/>
      <c r="C136" s="2245"/>
      <c r="D136" s="2243"/>
      <c r="E136" s="706" t="s">
        <v>188</v>
      </c>
      <c r="F136" s="305"/>
      <c r="G136" s="292"/>
      <c r="H136" s="292"/>
      <c r="I136" s="318"/>
      <c r="J136" s="318"/>
      <c r="K136" s="309"/>
      <c r="L136" s="309"/>
      <c r="M136" s="267"/>
      <c r="N136" s="266"/>
      <c r="O136" s="267"/>
      <c r="P136" s="294"/>
      <c r="Q136" s="295"/>
      <c r="R136" s="296"/>
      <c r="S136" s="297"/>
      <c r="T136" s="298"/>
      <c r="U136" s="299"/>
      <c r="V136" s="300"/>
      <c r="W136" s="301"/>
      <c r="X136" s="302"/>
      <c r="Y136" s="303"/>
    </row>
    <row r="137" spans="1:25" hidden="1">
      <c r="A137" s="2232" t="s">
        <v>251</v>
      </c>
      <c r="B137" s="2235" t="s">
        <v>252</v>
      </c>
      <c r="C137" s="2246" t="s">
        <v>264</v>
      </c>
      <c r="D137" s="2241">
        <v>2021</v>
      </c>
      <c r="E137" s="709" t="s">
        <v>176</v>
      </c>
      <c r="F137" s="306"/>
      <c r="G137" s="268"/>
      <c r="H137" s="268"/>
      <c r="I137" s="315"/>
      <c r="J137" s="315"/>
      <c r="K137" s="307"/>
      <c r="L137" s="307"/>
      <c r="M137" s="259"/>
      <c r="N137" s="258"/>
      <c r="O137" s="259"/>
      <c r="P137" s="270"/>
      <c r="Q137" s="271"/>
      <c r="R137" s="272"/>
      <c r="S137" s="273"/>
      <c r="T137" s="274"/>
      <c r="U137" s="275"/>
      <c r="V137" s="276"/>
      <c r="W137" s="277"/>
      <c r="X137" s="278"/>
      <c r="Y137" s="279"/>
    </row>
    <row r="138" spans="1:25" hidden="1">
      <c r="A138" s="2233"/>
      <c r="B138" s="2236"/>
      <c r="C138" s="2247"/>
      <c r="D138" s="2242"/>
      <c r="E138" s="705" t="s">
        <v>177</v>
      </c>
      <c r="F138" s="304"/>
      <c r="G138" s="280"/>
      <c r="H138" s="280"/>
      <c r="I138" s="317"/>
      <c r="J138" s="317"/>
      <c r="K138" s="308"/>
      <c r="L138" s="308"/>
      <c r="M138" s="263"/>
      <c r="N138" s="262"/>
      <c r="O138" s="263"/>
      <c r="P138" s="282"/>
      <c r="Q138" s="283"/>
      <c r="R138" s="284"/>
      <c r="S138" s="285"/>
      <c r="T138" s="286"/>
      <c r="U138" s="287"/>
      <c r="V138" s="288"/>
      <c r="W138" s="289"/>
      <c r="X138" s="290"/>
      <c r="Y138" s="291"/>
    </row>
    <row r="139" spans="1:25" hidden="1">
      <c r="A139" s="2233"/>
      <c r="B139" s="2236"/>
      <c r="C139" s="2247"/>
      <c r="D139" s="2242"/>
      <c r="E139" s="705" t="s">
        <v>178</v>
      </c>
      <c r="F139" s="304"/>
      <c r="G139" s="280"/>
      <c r="H139" s="280"/>
      <c r="I139" s="317"/>
      <c r="J139" s="317"/>
      <c r="K139" s="308"/>
      <c r="L139" s="308"/>
      <c r="M139" s="263"/>
      <c r="N139" s="262"/>
      <c r="O139" s="263"/>
      <c r="P139" s="282"/>
      <c r="Q139" s="283"/>
      <c r="R139" s="284"/>
      <c r="S139" s="285"/>
      <c r="T139" s="286"/>
      <c r="U139" s="287"/>
      <c r="V139" s="288"/>
      <c r="W139" s="289"/>
      <c r="X139" s="290"/>
      <c r="Y139" s="291"/>
    </row>
    <row r="140" spans="1:25" hidden="1">
      <c r="A140" s="2233"/>
      <c r="B140" s="2236"/>
      <c r="C140" s="2247"/>
      <c r="D140" s="2242"/>
      <c r="E140" s="705" t="s">
        <v>179</v>
      </c>
      <c r="F140" s="304"/>
      <c r="G140" s="280"/>
      <c r="H140" s="280"/>
      <c r="I140" s="317"/>
      <c r="J140" s="317"/>
      <c r="K140" s="308"/>
      <c r="L140" s="308"/>
      <c r="M140" s="263"/>
      <c r="N140" s="262"/>
      <c r="O140" s="263"/>
      <c r="P140" s="282"/>
      <c r="Q140" s="283"/>
      <c r="R140" s="284"/>
      <c r="S140" s="285"/>
      <c r="T140" s="286"/>
      <c r="U140" s="287"/>
      <c r="V140" s="288"/>
      <c r="W140" s="289"/>
      <c r="X140" s="290"/>
      <c r="Y140" s="291"/>
    </row>
    <row r="141" spans="1:25" hidden="1">
      <c r="A141" s="2233"/>
      <c r="B141" s="2236"/>
      <c r="C141" s="2247"/>
      <c r="D141" s="2242"/>
      <c r="E141" s="705" t="s">
        <v>180</v>
      </c>
      <c r="F141" s="304"/>
      <c r="G141" s="280"/>
      <c r="H141" s="280"/>
      <c r="I141" s="317"/>
      <c r="J141" s="317"/>
      <c r="K141" s="308"/>
      <c r="L141" s="308"/>
      <c r="M141" s="263"/>
      <c r="N141" s="262"/>
      <c r="O141" s="263"/>
      <c r="P141" s="282"/>
      <c r="Q141" s="283"/>
      <c r="R141" s="284"/>
      <c r="S141" s="285"/>
      <c r="T141" s="286"/>
      <c r="U141" s="287"/>
      <c r="V141" s="288"/>
      <c r="W141" s="289"/>
      <c r="X141" s="290"/>
      <c r="Y141" s="291"/>
    </row>
    <row r="142" spans="1:25" hidden="1">
      <c r="A142" s="2233"/>
      <c r="B142" s="2236"/>
      <c r="C142" s="2247"/>
      <c r="D142" s="2242"/>
      <c r="E142" s="705" t="s">
        <v>182</v>
      </c>
      <c r="F142" s="304"/>
      <c r="G142" s="280"/>
      <c r="H142" s="280"/>
      <c r="I142" s="317"/>
      <c r="J142" s="317"/>
      <c r="K142" s="308"/>
      <c r="L142" s="308"/>
      <c r="M142" s="263"/>
      <c r="N142" s="262"/>
      <c r="O142" s="263"/>
      <c r="P142" s="282"/>
      <c r="Q142" s="283"/>
      <c r="R142" s="284"/>
      <c r="S142" s="285"/>
      <c r="T142" s="286"/>
      <c r="U142" s="287"/>
      <c r="V142" s="288"/>
      <c r="W142" s="289"/>
      <c r="X142" s="290"/>
      <c r="Y142" s="291"/>
    </row>
    <row r="143" spans="1:25" hidden="1">
      <c r="A143" s="2233"/>
      <c r="B143" s="2236"/>
      <c r="C143" s="2247"/>
      <c r="D143" s="2242"/>
      <c r="E143" s="705" t="s">
        <v>183</v>
      </c>
      <c r="F143" s="304"/>
      <c r="G143" s="280"/>
      <c r="H143" s="280"/>
      <c r="I143" s="317"/>
      <c r="J143" s="317"/>
      <c r="K143" s="308"/>
      <c r="L143" s="308"/>
      <c r="M143" s="263"/>
      <c r="N143" s="262"/>
      <c r="O143" s="263"/>
      <c r="P143" s="282"/>
      <c r="Q143" s="283"/>
      <c r="R143" s="284"/>
      <c r="S143" s="285"/>
      <c r="T143" s="286"/>
      <c r="U143" s="287"/>
      <c r="V143" s="288"/>
      <c r="W143" s="289"/>
      <c r="X143" s="290"/>
      <c r="Y143" s="291"/>
    </row>
    <row r="144" spans="1:25" hidden="1">
      <c r="A144" s="2233"/>
      <c r="B144" s="2236"/>
      <c r="C144" s="2247"/>
      <c r="D144" s="2242"/>
      <c r="E144" s="705" t="s">
        <v>184</v>
      </c>
      <c r="F144" s="304"/>
      <c r="G144" s="280"/>
      <c r="H144" s="280"/>
      <c r="I144" s="317"/>
      <c r="J144" s="317"/>
      <c r="K144" s="308"/>
      <c r="L144" s="308"/>
      <c r="M144" s="263"/>
      <c r="N144" s="262"/>
      <c r="O144" s="263"/>
      <c r="P144" s="282"/>
      <c r="Q144" s="283"/>
      <c r="R144" s="284"/>
      <c r="S144" s="285"/>
      <c r="T144" s="286"/>
      <c r="U144" s="287"/>
      <c r="V144" s="288"/>
      <c r="W144" s="289"/>
      <c r="X144" s="290"/>
      <c r="Y144" s="291"/>
    </row>
    <row r="145" spans="1:25" hidden="1">
      <c r="A145" s="2233"/>
      <c r="B145" s="2236"/>
      <c r="C145" s="2247"/>
      <c r="D145" s="2242"/>
      <c r="E145" s="705" t="s">
        <v>185</v>
      </c>
      <c r="F145" s="304"/>
      <c r="G145" s="280"/>
      <c r="H145" s="280"/>
      <c r="I145" s="317"/>
      <c r="J145" s="317"/>
      <c r="K145" s="308"/>
      <c r="L145" s="308"/>
      <c r="M145" s="263"/>
      <c r="N145" s="262"/>
      <c r="O145" s="263"/>
      <c r="P145" s="282"/>
      <c r="Q145" s="283"/>
      <c r="R145" s="284"/>
      <c r="S145" s="285"/>
      <c r="T145" s="286"/>
      <c r="U145" s="287"/>
      <c r="V145" s="288"/>
      <c r="W145" s="289"/>
      <c r="X145" s="290"/>
      <c r="Y145" s="291"/>
    </row>
    <row r="146" spans="1:25" hidden="1">
      <c r="A146" s="2233"/>
      <c r="B146" s="2236"/>
      <c r="C146" s="2247"/>
      <c r="D146" s="2242"/>
      <c r="E146" s="705" t="s">
        <v>186</v>
      </c>
      <c r="F146" s="304"/>
      <c r="G146" s="280"/>
      <c r="H146" s="280"/>
      <c r="I146" s="317"/>
      <c r="J146" s="317"/>
      <c r="K146" s="308"/>
      <c r="L146" s="308"/>
      <c r="M146" s="263"/>
      <c r="N146" s="262"/>
      <c r="O146" s="263"/>
      <c r="P146" s="282"/>
      <c r="Q146" s="283"/>
      <c r="R146" s="284"/>
      <c r="S146" s="285"/>
      <c r="T146" s="286"/>
      <c r="U146" s="287"/>
      <c r="V146" s="288"/>
      <c r="W146" s="289"/>
      <c r="X146" s="290"/>
      <c r="Y146" s="291"/>
    </row>
    <row r="147" spans="1:25" hidden="1">
      <c r="A147" s="2233"/>
      <c r="B147" s="2236"/>
      <c r="C147" s="2247"/>
      <c r="D147" s="2242"/>
      <c r="E147" s="705" t="s">
        <v>187</v>
      </c>
      <c r="F147" s="304"/>
      <c r="G147" s="280"/>
      <c r="H147" s="280"/>
      <c r="I147" s="317"/>
      <c r="J147" s="317"/>
      <c r="K147" s="308"/>
      <c r="L147" s="308"/>
      <c r="M147" s="263"/>
      <c r="N147" s="262"/>
      <c r="O147" s="263"/>
      <c r="P147" s="282"/>
      <c r="Q147" s="283"/>
      <c r="R147" s="284"/>
      <c r="S147" s="285"/>
      <c r="T147" s="286"/>
      <c r="U147" s="287"/>
      <c r="V147" s="288"/>
      <c r="W147" s="289"/>
      <c r="X147" s="290"/>
      <c r="Y147" s="291"/>
    </row>
    <row r="148" spans="1:25" ht="15" hidden="1" thickBot="1">
      <c r="A148" s="2234"/>
      <c r="B148" s="2237"/>
      <c r="C148" s="2248"/>
      <c r="D148" s="2243"/>
      <c r="E148" s="706" t="s">
        <v>188</v>
      </c>
      <c r="F148" s="305"/>
      <c r="G148" s="292"/>
      <c r="H148" s="292"/>
      <c r="I148" s="318"/>
      <c r="J148" s="318"/>
      <c r="K148" s="309"/>
      <c r="L148" s="309"/>
      <c r="M148" s="267"/>
      <c r="N148" s="266"/>
      <c r="O148" s="267"/>
      <c r="P148" s="294"/>
      <c r="Q148" s="295"/>
      <c r="R148" s="296"/>
      <c r="S148" s="297"/>
      <c r="T148" s="298"/>
      <c r="U148" s="299"/>
      <c r="V148" s="300"/>
      <c r="W148" s="301"/>
      <c r="X148" s="302"/>
      <c r="Y148" s="303"/>
    </row>
    <row r="149" spans="1:25" hidden="1">
      <c r="A149" s="2232" t="s">
        <v>251</v>
      </c>
      <c r="B149" s="2235" t="s">
        <v>252</v>
      </c>
      <c r="C149" s="2246" t="s">
        <v>265</v>
      </c>
      <c r="D149" s="2241">
        <v>2021</v>
      </c>
      <c r="E149" s="709" t="s">
        <v>176</v>
      </c>
      <c r="F149" s="306"/>
      <c r="G149" s="268"/>
      <c r="H149" s="268"/>
      <c r="I149" s="315"/>
      <c r="J149" s="315"/>
      <c r="K149" s="307"/>
      <c r="L149" s="386" t="e">
        <f>IF(DATOSAÑO!#REF!&lt;=INICIO!$D$13,DATOSAÑO!#REF!," ")</f>
        <v>#REF!</v>
      </c>
      <c r="M149" s="259"/>
      <c r="N149" s="258"/>
      <c r="O149" s="259"/>
      <c r="P149" s="270"/>
      <c r="Q149" s="271"/>
      <c r="R149" s="272"/>
      <c r="S149" s="273"/>
      <c r="T149" s="274"/>
      <c r="U149" s="275"/>
      <c r="V149" s="276"/>
      <c r="W149" s="277"/>
      <c r="X149" s="278"/>
      <c r="Y149" s="279"/>
    </row>
    <row r="150" spans="1:25" hidden="1">
      <c r="A150" s="2233"/>
      <c r="B150" s="2236"/>
      <c r="C150" s="2247"/>
      <c r="D150" s="2242"/>
      <c r="E150" s="705" t="s">
        <v>177</v>
      </c>
      <c r="F150" s="304"/>
      <c r="G150" s="280"/>
      <c r="H150" s="280"/>
      <c r="I150" s="280"/>
      <c r="J150" s="280"/>
      <c r="K150" s="308"/>
      <c r="L150" s="386" t="e">
        <f>IF(DATOSAÑO!#REF!&lt;=INICIO!$D$13,DATOSAÑO!#REF!," ")</f>
        <v>#REF!</v>
      </c>
      <c r="M150" s="263"/>
      <c r="N150" s="262"/>
      <c r="O150" s="263"/>
      <c r="P150" s="282"/>
      <c r="Q150" s="283"/>
      <c r="R150" s="284"/>
      <c r="S150" s="285"/>
      <c r="T150" s="286"/>
      <c r="U150" s="287"/>
      <c r="V150" s="288"/>
      <c r="W150" s="289"/>
      <c r="X150" s="290"/>
      <c r="Y150" s="291"/>
    </row>
    <row r="151" spans="1:25" hidden="1">
      <c r="A151" s="2233"/>
      <c r="B151" s="2236"/>
      <c r="C151" s="2247"/>
      <c r="D151" s="2242"/>
      <c r="E151" s="705" t="s">
        <v>178</v>
      </c>
      <c r="F151" s="304"/>
      <c r="G151" s="280"/>
      <c r="H151" s="280"/>
      <c r="I151" s="280"/>
      <c r="J151" s="280"/>
      <c r="K151" s="308"/>
      <c r="L151" s="386" t="e">
        <f>IF(DATOSAÑO!#REF!&lt;=INICIO!$D$13,DATOSAÑO!#REF!," ")</f>
        <v>#REF!</v>
      </c>
      <c r="M151" s="263"/>
      <c r="N151" s="262"/>
      <c r="O151" s="263"/>
      <c r="P151" s="282"/>
      <c r="Q151" s="283"/>
      <c r="R151" s="284"/>
      <c r="S151" s="285"/>
      <c r="T151" s="286"/>
      <c r="U151" s="287"/>
      <c r="V151" s="288"/>
      <c r="W151" s="289"/>
      <c r="X151" s="290"/>
      <c r="Y151" s="291"/>
    </row>
    <row r="152" spans="1:25" hidden="1">
      <c r="A152" s="2233"/>
      <c r="B152" s="2236"/>
      <c r="C152" s="2247"/>
      <c r="D152" s="2242"/>
      <c r="E152" s="705" t="s">
        <v>179</v>
      </c>
      <c r="F152" s="304"/>
      <c r="G152" s="280"/>
      <c r="H152" s="280"/>
      <c r="I152" s="280"/>
      <c r="J152" s="280"/>
      <c r="K152" s="308"/>
      <c r="L152" s="386" t="e">
        <f>IF(DATOSAÑO!#REF!&lt;=INICIO!$D$13,DATOSAÑO!#REF!," ")</f>
        <v>#REF!</v>
      </c>
      <c r="M152" s="263"/>
      <c r="N152" s="262"/>
      <c r="O152" s="263"/>
      <c r="P152" s="282"/>
      <c r="Q152" s="283"/>
      <c r="R152" s="284"/>
      <c r="S152" s="285"/>
      <c r="T152" s="286"/>
      <c r="U152" s="287"/>
      <c r="V152" s="288"/>
      <c r="W152" s="289"/>
      <c r="X152" s="290"/>
      <c r="Y152" s="291"/>
    </row>
    <row r="153" spans="1:25" hidden="1">
      <c r="A153" s="2233"/>
      <c r="B153" s="2236"/>
      <c r="C153" s="2247"/>
      <c r="D153" s="2242"/>
      <c r="E153" s="705" t="s">
        <v>180</v>
      </c>
      <c r="F153" s="304"/>
      <c r="G153" s="280"/>
      <c r="H153" s="280"/>
      <c r="I153" s="280"/>
      <c r="J153" s="280"/>
      <c r="K153" s="308"/>
      <c r="L153" s="386" t="e">
        <f>IF(DATOSAÑO!#REF!&lt;=INICIO!$D$13,DATOSAÑO!#REF!," ")</f>
        <v>#REF!</v>
      </c>
      <c r="M153" s="263"/>
      <c r="N153" s="262"/>
      <c r="O153" s="263"/>
      <c r="P153" s="282"/>
      <c r="Q153" s="283"/>
      <c r="R153" s="284"/>
      <c r="S153" s="285"/>
      <c r="T153" s="286"/>
      <c r="U153" s="287"/>
      <c r="V153" s="288"/>
      <c r="W153" s="289"/>
      <c r="X153" s="290"/>
      <c r="Y153" s="291"/>
    </row>
    <row r="154" spans="1:25" hidden="1">
      <c r="A154" s="2233"/>
      <c r="B154" s="2236"/>
      <c r="C154" s="2247"/>
      <c r="D154" s="2242"/>
      <c r="E154" s="705" t="s">
        <v>182</v>
      </c>
      <c r="F154" s="304"/>
      <c r="G154" s="280"/>
      <c r="H154" s="280"/>
      <c r="I154" s="280"/>
      <c r="J154" s="280"/>
      <c r="K154" s="308"/>
      <c r="L154" s="386" t="e">
        <f>IF(DATOSAÑO!#REF!&lt;=INICIO!$D$13,DATOSAÑO!#REF!," ")</f>
        <v>#REF!</v>
      </c>
      <c r="M154" s="263"/>
      <c r="N154" s="262"/>
      <c r="O154" s="263"/>
      <c r="P154" s="282"/>
      <c r="Q154" s="283"/>
      <c r="R154" s="284"/>
      <c r="S154" s="285"/>
      <c r="T154" s="286"/>
      <c r="U154" s="287"/>
      <c r="V154" s="288"/>
      <c r="W154" s="289"/>
      <c r="X154" s="290"/>
      <c r="Y154" s="291"/>
    </row>
    <row r="155" spans="1:25" hidden="1">
      <c r="A155" s="2233"/>
      <c r="B155" s="2236"/>
      <c r="C155" s="2247"/>
      <c r="D155" s="2242"/>
      <c r="E155" s="705" t="s">
        <v>183</v>
      </c>
      <c r="F155" s="304"/>
      <c r="G155" s="280"/>
      <c r="H155" s="280"/>
      <c r="I155" s="280"/>
      <c r="J155" s="280"/>
      <c r="K155" s="308"/>
      <c r="L155" s="386" t="e">
        <f>IF(DATOSAÑO!#REF!&lt;=INICIO!$D$13,DATOSAÑO!#REF!," ")</f>
        <v>#REF!</v>
      </c>
      <c r="M155" s="263"/>
      <c r="N155" s="262"/>
      <c r="O155" s="263"/>
      <c r="P155" s="282"/>
      <c r="Q155" s="283"/>
      <c r="R155" s="284"/>
      <c r="S155" s="285"/>
      <c r="T155" s="286"/>
      <c r="U155" s="287"/>
      <c r="V155" s="288"/>
      <c r="W155" s="289"/>
      <c r="X155" s="290"/>
      <c r="Y155" s="291"/>
    </row>
    <row r="156" spans="1:25" hidden="1">
      <c r="A156" s="2233"/>
      <c r="B156" s="2236"/>
      <c r="C156" s="2247"/>
      <c r="D156" s="2242"/>
      <c r="E156" s="705" t="s">
        <v>184</v>
      </c>
      <c r="F156" s="304"/>
      <c r="G156" s="280"/>
      <c r="H156" s="280"/>
      <c r="I156" s="280"/>
      <c r="J156" s="280"/>
      <c r="K156" s="308"/>
      <c r="L156" s="386" t="e">
        <f>IF(DATOSAÑO!#REF!&lt;=INICIO!$D$13,DATOSAÑO!#REF!," ")</f>
        <v>#REF!</v>
      </c>
      <c r="M156" s="263"/>
      <c r="N156" s="262"/>
      <c r="O156" s="263"/>
      <c r="P156" s="282"/>
      <c r="Q156" s="283"/>
      <c r="R156" s="284"/>
      <c r="S156" s="285"/>
      <c r="T156" s="286"/>
      <c r="U156" s="287"/>
      <c r="V156" s="288"/>
      <c r="W156" s="289"/>
      <c r="X156" s="290"/>
      <c r="Y156" s="291"/>
    </row>
    <row r="157" spans="1:25" hidden="1">
      <c r="A157" s="2233"/>
      <c r="B157" s="2236"/>
      <c r="C157" s="2247"/>
      <c r="D157" s="2242"/>
      <c r="E157" s="705" t="s">
        <v>185</v>
      </c>
      <c r="F157" s="304"/>
      <c r="G157" s="280"/>
      <c r="H157" s="280"/>
      <c r="I157" s="280"/>
      <c r="J157" s="280"/>
      <c r="K157" s="308"/>
      <c r="L157" s="386" t="e">
        <f>IF(DATOSAÑO!#REF!&lt;=INICIO!$D$13,DATOSAÑO!#REF!," ")</f>
        <v>#REF!</v>
      </c>
      <c r="M157" s="263"/>
      <c r="N157" s="262"/>
      <c r="O157" s="263"/>
      <c r="P157" s="282"/>
      <c r="Q157" s="283"/>
      <c r="R157" s="284"/>
      <c r="S157" s="285"/>
      <c r="T157" s="286"/>
      <c r="U157" s="287"/>
      <c r="V157" s="288"/>
      <c r="W157" s="289"/>
      <c r="X157" s="290"/>
      <c r="Y157" s="291"/>
    </row>
    <row r="158" spans="1:25" hidden="1">
      <c r="A158" s="2233"/>
      <c r="B158" s="2236"/>
      <c r="C158" s="2247"/>
      <c r="D158" s="2242"/>
      <c r="E158" s="705" t="s">
        <v>186</v>
      </c>
      <c r="F158" s="304"/>
      <c r="G158" s="280"/>
      <c r="H158" s="280"/>
      <c r="I158" s="280"/>
      <c r="J158" s="280"/>
      <c r="K158" s="308"/>
      <c r="L158" s="386" t="e">
        <f>IF(DATOSAÑO!#REF!&lt;=INICIO!$D$13,DATOSAÑO!#REF!," ")</f>
        <v>#REF!</v>
      </c>
      <c r="M158" s="263"/>
      <c r="N158" s="262"/>
      <c r="O158" s="263"/>
      <c r="P158" s="282"/>
      <c r="Q158" s="283"/>
      <c r="R158" s="284"/>
      <c r="S158" s="285"/>
      <c r="T158" s="286"/>
      <c r="U158" s="287"/>
      <c r="V158" s="288"/>
      <c r="W158" s="289"/>
      <c r="X158" s="290"/>
      <c r="Y158" s="291"/>
    </row>
    <row r="159" spans="1:25" hidden="1">
      <c r="A159" s="2233"/>
      <c r="B159" s="2236"/>
      <c r="C159" s="2247"/>
      <c r="D159" s="2242"/>
      <c r="E159" s="705" t="s">
        <v>187</v>
      </c>
      <c r="F159" s="304"/>
      <c r="G159" s="280"/>
      <c r="H159" s="280"/>
      <c r="I159" s="280"/>
      <c r="J159" s="280"/>
      <c r="K159" s="308"/>
      <c r="L159" s="386" t="e">
        <f>IF(DATOSAÑO!#REF!&lt;=INICIO!$D$13,DATOSAÑO!#REF!," ")</f>
        <v>#REF!</v>
      </c>
      <c r="M159" s="263"/>
      <c r="N159" s="262"/>
      <c r="O159" s="263"/>
      <c r="P159" s="282"/>
      <c r="Q159" s="283"/>
      <c r="R159" s="284"/>
      <c r="S159" s="285"/>
      <c r="T159" s="286"/>
      <c r="U159" s="287"/>
      <c r="V159" s="288"/>
      <c r="W159" s="289"/>
      <c r="X159" s="290"/>
      <c r="Y159" s="291"/>
    </row>
    <row r="160" spans="1:25" ht="15" hidden="1" thickBot="1">
      <c r="A160" s="2234"/>
      <c r="B160" s="2237"/>
      <c r="C160" s="2248"/>
      <c r="D160" s="2243"/>
      <c r="E160" s="706" t="s">
        <v>188</v>
      </c>
      <c r="F160" s="305"/>
      <c r="G160" s="292"/>
      <c r="H160" s="292"/>
      <c r="I160" s="292"/>
      <c r="J160" s="292"/>
      <c r="K160" s="309"/>
      <c r="L160" s="386" t="e">
        <f>IF(DATOSAÑO!#REF!&lt;=INICIO!$D$13,DATOSAÑO!#REF!," ")</f>
        <v>#REF!</v>
      </c>
      <c r="M160" s="267"/>
      <c r="N160" s="266"/>
      <c r="O160" s="267"/>
      <c r="P160" s="294"/>
      <c r="Q160" s="295"/>
      <c r="R160" s="296"/>
      <c r="S160" s="297"/>
      <c r="T160" s="298"/>
      <c r="U160" s="299"/>
      <c r="V160" s="300"/>
      <c r="W160" s="301"/>
      <c r="X160" s="302"/>
      <c r="Y160" s="303"/>
    </row>
    <row r="161" spans="1:25" hidden="1">
      <c r="A161" s="2232" t="s">
        <v>251</v>
      </c>
      <c r="B161" s="2235" t="s">
        <v>252</v>
      </c>
      <c r="C161" s="2246" t="s">
        <v>266</v>
      </c>
      <c r="D161" s="2241">
        <v>2021</v>
      </c>
      <c r="E161" s="709" t="s">
        <v>176</v>
      </c>
      <c r="F161" s="306"/>
      <c r="G161" s="268"/>
      <c r="H161" s="268"/>
      <c r="I161" s="268"/>
      <c r="J161" s="268"/>
      <c r="K161" s="307"/>
      <c r="L161" s="307"/>
      <c r="M161" s="259"/>
      <c r="N161" s="258"/>
      <c r="O161" s="259"/>
      <c r="P161" s="270"/>
      <c r="Q161" s="271"/>
      <c r="R161" s="272"/>
      <c r="S161" s="273"/>
      <c r="T161" s="274"/>
      <c r="U161" s="275"/>
      <c r="V161" s="276"/>
      <c r="W161" s="277"/>
      <c r="X161" s="278"/>
      <c r="Y161" s="279"/>
    </row>
    <row r="162" spans="1:25" hidden="1">
      <c r="A162" s="2233"/>
      <c r="B162" s="2236"/>
      <c r="C162" s="2247"/>
      <c r="D162" s="2242"/>
      <c r="E162" s="705" t="s">
        <v>177</v>
      </c>
      <c r="F162" s="304"/>
      <c r="G162" s="280"/>
      <c r="H162" s="280"/>
      <c r="I162" s="280"/>
      <c r="J162" s="280"/>
      <c r="K162" s="308"/>
      <c r="L162" s="308"/>
      <c r="M162" s="263"/>
      <c r="N162" s="262"/>
      <c r="O162" s="263"/>
      <c r="P162" s="282"/>
      <c r="Q162" s="283"/>
      <c r="R162" s="284"/>
      <c r="S162" s="285"/>
      <c r="T162" s="286"/>
      <c r="U162" s="287"/>
      <c r="V162" s="288"/>
      <c r="W162" s="289"/>
      <c r="X162" s="290"/>
      <c r="Y162" s="291"/>
    </row>
    <row r="163" spans="1:25" hidden="1">
      <c r="A163" s="2233"/>
      <c r="B163" s="2236"/>
      <c r="C163" s="2247"/>
      <c r="D163" s="2242"/>
      <c r="E163" s="705" t="s">
        <v>178</v>
      </c>
      <c r="F163" s="304"/>
      <c r="G163" s="280"/>
      <c r="H163" s="280"/>
      <c r="I163" s="280"/>
      <c r="J163" s="280"/>
      <c r="K163" s="308"/>
      <c r="L163" s="308"/>
      <c r="M163" s="263"/>
      <c r="N163" s="262"/>
      <c r="O163" s="263"/>
      <c r="P163" s="282"/>
      <c r="Q163" s="283"/>
      <c r="R163" s="284"/>
      <c r="S163" s="285"/>
      <c r="T163" s="286"/>
      <c r="U163" s="287"/>
      <c r="V163" s="288"/>
      <c r="W163" s="289"/>
      <c r="X163" s="290"/>
      <c r="Y163" s="291"/>
    </row>
    <row r="164" spans="1:25" hidden="1">
      <c r="A164" s="2233"/>
      <c r="B164" s="2236"/>
      <c r="C164" s="2247"/>
      <c r="D164" s="2242"/>
      <c r="E164" s="705" t="s">
        <v>179</v>
      </c>
      <c r="F164" s="304"/>
      <c r="G164" s="280"/>
      <c r="H164" s="280"/>
      <c r="I164" s="280"/>
      <c r="J164" s="280"/>
      <c r="K164" s="308"/>
      <c r="L164" s="308"/>
      <c r="M164" s="263"/>
      <c r="N164" s="262"/>
      <c r="O164" s="263"/>
      <c r="P164" s="282"/>
      <c r="Q164" s="283"/>
      <c r="R164" s="284"/>
      <c r="S164" s="285"/>
      <c r="T164" s="286"/>
      <c r="U164" s="287"/>
      <c r="V164" s="288"/>
      <c r="W164" s="289"/>
      <c r="X164" s="290"/>
      <c r="Y164" s="291"/>
    </row>
    <row r="165" spans="1:25" hidden="1">
      <c r="A165" s="2233"/>
      <c r="B165" s="2236"/>
      <c r="C165" s="2247"/>
      <c r="D165" s="2242"/>
      <c r="E165" s="705" t="s">
        <v>180</v>
      </c>
      <c r="F165" s="304"/>
      <c r="G165" s="280"/>
      <c r="H165" s="280"/>
      <c r="I165" s="280"/>
      <c r="J165" s="280"/>
      <c r="K165" s="308"/>
      <c r="L165" s="308"/>
      <c r="M165" s="263"/>
      <c r="N165" s="262"/>
      <c r="O165" s="263"/>
      <c r="P165" s="282"/>
      <c r="Q165" s="283"/>
      <c r="R165" s="284"/>
      <c r="S165" s="285"/>
      <c r="T165" s="286"/>
      <c r="U165" s="287"/>
      <c r="V165" s="288"/>
      <c r="W165" s="289"/>
      <c r="X165" s="290"/>
      <c r="Y165" s="291"/>
    </row>
    <row r="166" spans="1:25" hidden="1">
      <c r="A166" s="2233"/>
      <c r="B166" s="2236"/>
      <c r="C166" s="2247"/>
      <c r="D166" s="2242"/>
      <c r="E166" s="705" t="s">
        <v>182</v>
      </c>
      <c r="F166" s="304"/>
      <c r="G166" s="280"/>
      <c r="H166" s="280"/>
      <c r="I166" s="280"/>
      <c r="J166" s="280"/>
      <c r="K166" s="308"/>
      <c r="L166" s="308"/>
      <c r="M166" s="263"/>
      <c r="N166" s="262"/>
      <c r="O166" s="263"/>
      <c r="P166" s="282"/>
      <c r="Q166" s="283"/>
      <c r="R166" s="284"/>
      <c r="S166" s="285"/>
      <c r="T166" s="286"/>
      <c r="U166" s="287"/>
      <c r="V166" s="288"/>
      <c r="W166" s="289"/>
      <c r="X166" s="290"/>
      <c r="Y166" s="291"/>
    </row>
    <row r="167" spans="1:25" hidden="1">
      <c r="A167" s="2233"/>
      <c r="B167" s="2236"/>
      <c r="C167" s="2247"/>
      <c r="D167" s="2242"/>
      <c r="E167" s="705" t="s">
        <v>183</v>
      </c>
      <c r="F167" s="304"/>
      <c r="G167" s="280"/>
      <c r="H167" s="280"/>
      <c r="I167" s="280"/>
      <c r="J167" s="280"/>
      <c r="K167" s="308"/>
      <c r="L167" s="308"/>
      <c r="M167" s="263"/>
      <c r="N167" s="262"/>
      <c r="O167" s="263"/>
      <c r="P167" s="282"/>
      <c r="Q167" s="283"/>
      <c r="R167" s="284"/>
      <c r="S167" s="285"/>
      <c r="T167" s="286"/>
      <c r="U167" s="287"/>
      <c r="V167" s="288"/>
      <c r="W167" s="289"/>
      <c r="X167" s="290"/>
      <c r="Y167" s="291"/>
    </row>
    <row r="168" spans="1:25" hidden="1">
      <c r="A168" s="2233"/>
      <c r="B168" s="2236"/>
      <c r="C168" s="2247"/>
      <c r="D168" s="2242"/>
      <c r="E168" s="705" t="s">
        <v>184</v>
      </c>
      <c r="F168" s="304"/>
      <c r="G168" s="280"/>
      <c r="H168" s="280"/>
      <c r="I168" s="280"/>
      <c r="J168" s="280"/>
      <c r="K168" s="308"/>
      <c r="L168" s="308"/>
      <c r="M168" s="263"/>
      <c r="N168" s="262"/>
      <c r="O168" s="263"/>
      <c r="P168" s="282"/>
      <c r="Q168" s="283"/>
      <c r="R168" s="284"/>
      <c r="S168" s="285"/>
      <c r="T168" s="286"/>
      <c r="U168" s="287"/>
      <c r="V168" s="288"/>
      <c r="W168" s="289"/>
      <c r="X168" s="290"/>
      <c r="Y168" s="291"/>
    </row>
    <row r="169" spans="1:25" hidden="1">
      <c r="A169" s="2233"/>
      <c r="B169" s="2236"/>
      <c r="C169" s="2247"/>
      <c r="D169" s="2242"/>
      <c r="E169" s="705" t="s">
        <v>185</v>
      </c>
      <c r="F169" s="304"/>
      <c r="G169" s="280"/>
      <c r="H169" s="280"/>
      <c r="I169" s="280"/>
      <c r="J169" s="280"/>
      <c r="K169" s="308"/>
      <c r="L169" s="308"/>
      <c r="M169" s="263"/>
      <c r="N169" s="262"/>
      <c r="O169" s="263"/>
      <c r="P169" s="282"/>
      <c r="Q169" s="283"/>
      <c r="R169" s="284"/>
      <c r="S169" s="285"/>
      <c r="T169" s="286"/>
      <c r="U169" s="287"/>
      <c r="V169" s="288"/>
      <c r="W169" s="289"/>
      <c r="X169" s="290"/>
      <c r="Y169" s="291"/>
    </row>
    <row r="170" spans="1:25" hidden="1">
      <c r="A170" s="2233"/>
      <c r="B170" s="2236"/>
      <c r="C170" s="2247"/>
      <c r="D170" s="2242"/>
      <c r="E170" s="705" t="s">
        <v>186</v>
      </c>
      <c r="F170" s="304"/>
      <c r="G170" s="280"/>
      <c r="H170" s="280"/>
      <c r="I170" s="280"/>
      <c r="J170" s="280"/>
      <c r="K170" s="308"/>
      <c r="L170" s="308"/>
      <c r="M170" s="263"/>
      <c r="N170" s="262"/>
      <c r="O170" s="263"/>
      <c r="P170" s="282"/>
      <c r="Q170" s="283"/>
      <c r="R170" s="284"/>
      <c r="S170" s="285"/>
      <c r="T170" s="286"/>
      <c r="U170" s="287"/>
      <c r="V170" s="288"/>
      <c r="W170" s="289"/>
      <c r="X170" s="290"/>
      <c r="Y170" s="291"/>
    </row>
    <row r="171" spans="1:25" hidden="1">
      <c r="A171" s="2233"/>
      <c r="B171" s="2236"/>
      <c r="C171" s="2247"/>
      <c r="D171" s="2242"/>
      <c r="E171" s="705" t="s">
        <v>187</v>
      </c>
      <c r="F171" s="304"/>
      <c r="G171" s="280"/>
      <c r="H171" s="280"/>
      <c r="I171" s="280"/>
      <c r="J171" s="280"/>
      <c r="K171" s="308"/>
      <c r="L171" s="308"/>
      <c r="M171" s="263"/>
      <c r="N171" s="262"/>
      <c r="O171" s="263"/>
      <c r="P171" s="282"/>
      <c r="Q171" s="283"/>
      <c r="R171" s="284"/>
      <c r="S171" s="285"/>
      <c r="T171" s="286"/>
      <c r="U171" s="287"/>
      <c r="V171" s="288"/>
      <c r="W171" s="289"/>
      <c r="X171" s="290"/>
      <c r="Y171" s="291"/>
    </row>
    <row r="172" spans="1:25" ht="15" hidden="1" thickBot="1">
      <c r="A172" s="2234"/>
      <c r="B172" s="2237"/>
      <c r="C172" s="2248"/>
      <c r="D172" s="2243"/>
      <c r="E172" s="706" t="s">
        <v>188</v>
      </c>
      <c r="F172" s="305"/>
      <c r="G172" s="292"/>
      <c r="H172" s="292"/>
      <c r="I172" s="292"/>
      <c r="J172" s="292"/>
      <c r="K172" s="309"/>
      <c r="L172" s="309"/>
      <c r="M172" s="267"/>
      <c r="N172" s="266"/>
      <c r="O172" s="267"/>
      <c r="P172" s="294"/>
      <c r="Q172" s="295"/>
      <c r="R172" s="296"/>
      <c r="S172" s="297"/>
      <c r="T172" s="298"/>
      <c r="U172" s="299"/>
      <c r="V172" s="300"/>
      <c r="W172" s="301"/>
      <c r="X172" s="302"/>
      <c r="Y172" s="303"/>
    </row>
    <row r="173" spans="1:25" hidden="1">
      <c r="A173" s="2232" t="s">
        <v>251</v>
      </c>
      <c r="B173" s="2235" t="s">
        <v>252</v>
      </c>
      <c r="C173" s="2246" t="s">
        <v>267</v>
      </c>
      <c r="D173" s="2241">
        <v>2021</v>
      </c>
      <c r="E173" s="709" t="s">
        <v>176</v>
      </c>
      <c r="F173" s="306"/>
      <c r="G173" s="268"/>
      <c r="H173" s="268"/>
      <c r="I173" s="268"/>
      <c r="J173" s="268"/>
      <c r="K173" s="307"/>
      <c r="L173" s="386" t="e">
        <f>IF(DATOSAÑO!#REF!&lt;=INICIO!$D$13,DATOSAÑO!#REF!," ")</f>
        <v>#REF!</v>
      </c>
      <c r="M173" s="259"/>
      <c r="N173" s="258"/>
      <c r="O173" s="259"/>
      <c r="P173" s="270"/>
      <c r="Q173" s="271"/>
      <c r="R173" s="272"/>
      <c r="S173" s="273"/>
      <c r="T173" s="274"/>
      <c r="U173" s="275"/>
      <c r="V173" s="276"/>
      <c r="W173" s="277"/>
      <c r="X173" s="278"/>
      <c r="Y173" s="279"/>
    </row>
    <row r="174" spans="1:25" hidden="1">
      <c r="A174" s="2233"/>
      <c r="B174" s="2236"/>
      <c r="C174" s="2247"/>
      <c r="D174" s="2242"/>
      <c r="E174" s="705" t="s">
        <v>177</v>
      </c>
      <c r="F174" s="304"/>
      <c r="G174" s="280"/>
      <c r="H174" s="280"/>
      <c r="I174" s="280"/>
      <c r="J174" s="280"/>
      <c r="K174" s="308"/>
      <c r="L174" s="386" t="e">
        <f>IF(DATOSAÑO!#REF!&lt;=INICIO!$D$13,DATOSAÑO!#REF!," ")</f>
        <v>#REF!</v>
      </c>
      <c r="M174" s="263"/>
      <c r="N174" s="262"/>
      <c r="O174" s="263"/>
      <c r="P174" s="282"/>
      <c r="Q174" s="283"/>
      <c r="R174" s="284"/>
      <c r="S174" s="285"/>
      <c r="T174" s="286"/>
      <c r="U174" s="287"/>
      <c r="V174" s="288"/>
      <c r="W174" s="289"/>
      <c r="X174" s="290"/>
      <c r="Y174" s="291"/>
    </row>
    <row r="175" spans="1:25" hidden="1">
      <c r="A175" s="2233"/>
      <c r="B175" s="2236"/>
      <c r="C175" s="2247"/>
      <c r="D175" s="2242"/>
      <c r="E175" s="705" t="s">
        <v>178</v>
      </c>
      <c r="F175" s="304"/>
      <c r="G175" s="280"/>
      <c r="H175" s="280"/>
      <c r="I175" s="280"/>
      <c r="J175" s="280"/>
      <c r="K175" s="308"/>
      <c r="L175" s="386" t="e">
        <f>IF(DATOSAÑO!#REF!&lt;=INICIO!$D$13,DATOSAÑO!#REF!," ")</f>
        <v>#REF!</v>
      </c>
      <c r="M175" s="263"/>
      <c r="N175" s="262"/>
      <c r="O175" s="263"/>
      <c r="P175" s="282"/>
      <c r="Q175" s="283"/>
      <c r="R175" s="284"/>
      <c r="S175" s="285"/>
      <c r="T175" s="286"/>
      <c r="U175" s="287"/>
      <c r="V175" s="288"/>
      <c r="W175" s="289"/>
      <c r="X175" s="290"/>
      <c r="Y175" s="291"/>
    </row>
    <row r="176" spans="1:25" hidden="1">
      <c r="A176" s="2233"/>
      <c r="B176" s="2236"/>
      <c r="C176" s="2247"/>
      <c r="D176" s="2242"/>
      <c r="E176" s="705" t="s">
        <v>179</v>
      </c>
      <c r="F176" s="304"/>
      <c r="G176" s="280"/>
      <c r="H176" s="280"/>
      <c r="I176" s="280"/>
      <c r="J176" s="280"/>
      <c r="K176" s="308"/>
      <c r="L176" s="386" t="e">
        <f>IF(DATOSAÑO!#REF!&lt;=INICIO!$D$13,DATOSAÑO!#REF!," ")</f>
        <v>#REF!</v>
      </c>
      <c r="M176" s="263"/>
      <c r="N176" s="262"/>
      <c r="O176" s="263"/>
      <c r="P176" s="282"/>
      <c r="Q176" s="283"/>
      <c r="R176" s="284"/>
      <c r="S176" s="285"/>
      <c r="T176" s="286"/>
      <c r="U176" s="287"/>
      <c r="V176" s="288"/>
      <c r="W176" s="289"/>
      <c r="X176" s="290"/>
      <c r="Y176" s="291"/>
    </row>
    <row r="177" spans="1:25" hidden="1">
      <c r="A177" s="2233"/>
      <c r="B177" s="2236"/>
      <c r="C177" s="2247"/>
      <c r="D177" s="2242"/>
      <c r="E177" s="705" t="s">
        <v>180</v>
      </c>
      <c r="F177" s="304"/>
      <c r="G177" s="280"/>
      <c r="H177" s="280"/>
      <c r="I177" s="280"/>
      <c r="J177" s="280"/>
      <c r="K177" s="308"/>
      <c r="L177" s="386" t="e">
        <f>IF(DATOSAÑO!#REF!&lt;=INICIO!$D$13,DATOSAÑO!#REF!," ")</f>
        <v>#REF!</v>
      </c>
      <c r="M177" s="263"/>
      <c r="N177" s="262"/>
      <c r="O177" s="263"/>
      <c r="P177" s="282"/>
      <c r="Q177" s="283"/>
      <c r="R177" s="284"/>
      <c r="S177" s="285"/>
      <c r="T177" s="286"/>
      <c r="U177" s="287"/>
      <c r="V177" s="288"/>
      <c r="W177" s="289"/>
      <c r="X177" s="290"/>
      <c r="Y177" s="291"/>
    </row>
    <row r="178" spans="1:25" hidden="1">
      <c r="A178" s="2233"/>
      <c r="B178" s="2236"/>
      <c r="C178" s="2247"/>
      <c r="D178" s="2242"/>
      <c r="E178" s="705" t="s">
        <v>182</v>
      </c>
      <c r="F178" s="304"/>
      <c r="G178" s="280"/>
      <c r="H178" s="280"/>
      <c r="I178" s="280"/>
      <c r="J178" s="280"/>
      <c r="K178" s="308"/>
      <c r="L178" s="386" t="e">
        <f>IF(DATOSAÑO!#REF!&lt;=INICIO!$D$13,DATOSAÑO!#REF!," ")</f>
        <v>#REF!</v>
      </c>
      <c r="M178" s="263"/>
      <c r="N178" s="262"/>
      <c r="O178" s="263"/>
      <c r="P178" s="282"/>
      <c r="Q178" s="283"/>
      <c r="R178" s="284"/>
      <c r="S178" s="285"/>
      <c r="T178" s="286"/>
      <c r="U178" s="287"/>
      <c r="V178" s="288"/>
      <c r="W178" s="289"/>
      <c r="X178" s="290"/>
      <c r="Y178" s="291"/>
    </row>
    <row r="179" spans="1:25" hidden="1">
      <c r="A179" s="2233"/>
      <c r="B179" s="2236"/>
      <c r="C179" s="2247"/>
      <c r="D179" s="2242"/>
      <c r="E179" s="705" t="s">
        <v>183</v>
      </c>
      <c r="F179" s="304"/>
      <c r="G179" s="280"/>
      <c r="H179" s="280"/>
      <c r="I179" s="280"/>
      <c r="J179" s="280"/>
      <c r="K179" s="308"/>
      <c r="L179" s="386" t="e">
        <f>IF(DATOSAÑO!#REF!&lt;=INICIO!$D$13,DATOSAÑO!#REF!," ")</f>
        <v>#REF!</v>
      </c>
      <c r="M179" s="263"/>
      <c r="N179" s="262"/>
      <c r="O179" s="263"/>
      <c r="P179" s="282"/>
      <c r="Q179" s="283"/>
      <c r="R179" s="284"/>
      <c r="S179" s="285"/>
      <c r="T179" s="286"/>
      <c r="U179" s="287"/>
      <c r="V179" s="288"/>
      <c r="W179" s="289"/>
      <c r="X179" s="290"/>
      <c r="Y179" s="291"/>
    </row>
    <row r="180" spans="1:25" hidden="1">
      <c r="A180" s="2233"/>
      <c r="B180" s="2236"/>
      <c r="C180" s="2247"/>
      <c r="D180" s="2242"/>
      <c r="E180" s="705" t="s">
        <v>184</v>
      </c>
      <c r="F180" s="304"/>
      <c r="G180" s="280"/>
      <c r="H180" s="280"/>
      <c r="I180" s="280"/>
      <c r="J180" s="280"/>
      <c r="K180" s="308"/>
      <c r="L180" s="386" t="e">
        <f>IF(DATOSAÑO!#REF!&lt;=INICIO!$D$13,DATOSAÑO!#REF!," ")</f>
        <v>#REF!</v>
      </c>
      <c r="M180" s="263"/>
      <c r="N180" s="262"/>
      <c r="O180" s="263"/>
      <c r="P180" s="282"/>
      <c r="Q180" s="283"/>
      <c r="R180" s="284"/>
      <c r="S180" s="285"/>
      <c r="T180" s="286"/>
      <c r="U180" s="287"/>
      <c r="V180" s="288"/>
      <c r="W180" s="289"/>
      <c r="X180" s="290"/>
      <c r="Y180" s="291"/>
    </row>
    <row r="181" spans="1:25" hidden="1">
      <c r="A181" s="2233"/>
      <c r="B181" s="2236"/>
      <c r="C181" s="2247"/>
      <c r="D181" s="2242"/>
      <c r="E181" s="705" t="s">
        <v>185</v>
      </c>
      <c r="F181" s="304"/>
      <c r="G181" s="280"/>
      <c r="H181" s="280"/>
      <c r="I181" s="280"/>
      <c r="J181" s="280"/>
      <c r="K181" s="308"/>
      <c r="L181" s="386" t="e">
        <f>IF(DATOSAÑO!#REF!&lt;=INICIO!$D$13,DATOSAÑO!#REF!," ")</f>
        <v>#REF!</v>
      </c>
      <c r="M181" s="263"/>
      <c r="N181" s="262"/>
      <c r="O181" s="263"/>
      <c r="P181" s="282"/>
      <c r="Q181" s="283"/>
      <c r="R181" s="284"/>
      <c r="S181" s="285"/>
      <c r="T181" s="286"/>
      <c r="U181" s="287"/>
      <c r="V181" s="288"/>
      <c r="W181" s="289"/>
      <c r="X181" s="290"/>
      <c r="Y181" s="291"/>
    </row>
    <row r="182" spans="1:25" hidden="1">
      <c r="A182" s="2233"/>
      <c r="B182" s="2236"/>
      <c r="C182" s="2247"/>
      <c r="D182" s="2242"/>
      <c r="E182" s="705" t="s">
        <v>186</v>
      </c>
      <c r="F182" s="304"/>
      <c r="G182" s="280"/>
      <c r="H182" s="280"/>
      <c r="I182" s="280"/>
      <c r="J182" s="280"/>
      <c r="K182" s="308"/>
      <c r="L182" s="386" t="e">
        <f>IF(DATOSAÑO!#REF!&lt;=INICIO!$D$13,DATOSAÑO!#REF!," ")</f>
        <v>#REF!</v>
      </c>
      <c r="M182" s="263"/>
      <c r="N182" s="262"/>
      <c r="O182" s="263"/>
      <c r="P182" s="282"/>
      <c r="Q182" s="283"/>
      <c r="R182" s="284"/>
      <c r="S182" s="285"/>
      <c r="T182" s="286"/>
      <c r="U182" s="287"/>
      <c r="V182" s="288"/>
      <c r="W182" s="289"/>
      <c r="X182" s="290"/>
      <c r="Y182" s="291"/>
    </row>
    <row r="183" spans="1:25" hidden="1">
      <c r="A183" s="2233"/>
      <c r="B183" s="2236"/>
      <c r="C183" s="2247"/>
      <c r="D183" s="2242"/>
      <c r="E183" s="705" t="s">
        <v>187</v>
      </c>
      <c r="F183" s="304"/>
      <c r="G183" s="280"/>
      <c r="H183" s="280"/>
      <c r="I183" s="280"/>
      <c r="J183" s="280"/>
      <c r="K183" s="308"/>
      <c r="L183" s="386" t="e">
        <f>IF(DATOSAÑO!#REF!&lt;=INICIO!$D$13,DATOSAÑO!#REF!," ")</f>
        <v>#REF!</v>
      </c>
      <c r="M183" s="263"/>
      <c r="N183" s="262"/>
      <c r="O183" s="263"/>
      <c r="P183" s="282"/>
      <c r="Q183" s="283"/>
      <c r="R183" s="284"/>
      <c r="S183" s="285"/>
      <c r="T183" s="286"/>
      <c r="U183" s="287"/>
      <c r="V183" s="288"/>
      <c r="W183" s="289"/>
      <c r="X183" s="290"/>
      <c r="Y183" s="291"/>
    </row>
    <row r="184" spans="1:25" ht="15" hidden="1" thickBot="1">
      <c r="A184" s="2234"/>
      <c r="B184" s="2237"/>
      <c r="C184" s="2248"/>
      <c r="D184" s="2243"/>
      <c r="E184" s="706" t="s">
        <v>188</v>
      </c>
      <c r="F184" s="305"/>
      <c r="G184" s="292"/>
      <c r="H184" s="292"/>
      <c r="I184" s="292"/>
      <c r="J184" s="292"/>
      <c r="K184" s="309"/>
      <c r="L184" s="386" t="e">
        <f>IF(DATOSAÑO!#REF!&lt;=INICIO!$D$13,DATOSAÑO!#REF!," ")</f>
        <v>#REF!</v>
      </c>
      <c r="M184" s="267"/>
      <c r="N184" s="266"/>
      <c r="O184" s="267"/>
      <c r="P184" s="294"/>
      <c r="Q184" s="295"/>
      <c r="R184" s="296"/>
      <c r="S184" s="297"/>
      <c r="T184" s="298"/>
      <c r="U184" s="299"/>
      <c r="V184" s="300"/>
      <c r="W184" s="301"/>
      <c r="X184" s="302"/>
      <c r="Y184" s="303"/>
    </row>
    <row r="185" spans="1:25" hidden="1">
      <c r="A185" s="2232" t="s">
        <v>251</v>
      </c>
      <c r="B185" s="2235" t="s">
        <v>252</v>
      </c>
      <c r="C185" s="2246" t="s">
        <v>268</v>
      </c>
      <c r="D185" s="2241">
        <v>2021</v>
      </c>
      <c r="E185" s="709" t="s">
        <v>176</v>
      </c>
      <c r="F185" s="306"/>
      <c r="G185" s="268"/>
      <c r="H185" s="268"/>
      <c r="I185" s="268"/>
      <c r="J185" s="268"/>
      <c r="K185" s="307"/>
      <c r="L185" s="307"/>
      <c r="M185" s="259"/>
      <c r="N185" s="258"/>
      <c r="O185" s="259"/>
      <c r="P185" s="270"/>
      <c r="Q185" s="271"/>
      <c r="R185" s="272"/>
      <c r="S185" s="273"/>
      <c r="T185" s="274"/>
      <c r="U185" s="275"/>
      <c r="V185" s="276"/>
      <c r="W185" s="277"/>
      <c r="X185" s="278"/>
      <c r="Y185" s="279"/>
    </row>
    <row r="186" spans="1:25" hidden="1">
      <c r="A186" s="2233"/>
      <c r="B186" s="2236"/>
      <c r="C186" s="2247"/>
      <c r="D186" s="2242"/>
      <c r="E186" s="705" t="s">
        <v>177</v>
      </c>
      <c r="F186" s="304"/>
      <c r="G186" s="280"/>
      <c r="H186" s="280"/>
      <c r="I186" s="280"/>
      <c r="J186" s="280"/>
      <c r="K186" s="308"/>
      <c r="L186" s="308"/>
      <c r="M186" s="263"/>
      <c r="N186" s="262"/>
      <c r="O186" s="263"/>
      <c r="P186" s="282"/>
      <c r="Q186" s="283"/>
      <c r="R186" s="284"/>
      <c r="S186" s="285"/>
      <c r="T186" s="286"/>
      <c r="U186" s="287"/>
      <c r="V186" s="288"/>
      <c r="W186" s="289"/>
      <c r="X186" s="290"/>
      <c r="Y186" s="291"/>
    </row>
    <row r="187" spans="1:25" hidden="1">
      <c r="A187" s="2233"/>
      <c r="B187" s="2236"/>
      <c r="C187" s="2247"/>
      <c r="D187" s="2242"/>
      <c r="E187" s="705" t="s">
        <v>178</v>
      </c>
      <c r="F187" s="304"/>
      <c r="G187" s="280"/>
      <c r="H187" s="280"/>
      <c r="I187" s="280"/>
      <c r="J187" s="280"/>
      <c r="K187" s="308"/>
      <c r="L187" s="308"/>
      <c r="M187" s="263"/>
      <c r="N187" s="262"/>
      <c r="O187" s="263"/>
      <c r="P187" s="282"/>
      <c r="Q187" s="283"/>
      <c r="R187" s="284"/>
      <c r="S187" s="285"/>
      <c r="T187" s="286"/>
      <c r="U187" s="287"/>
      <c r="V187" s="288"/>
      <c r="W187" s="289"/>
      <c r="X187" s="290"/>
      <c r="Y187" s="291"/>
    </row>
    <row r="188" spans="1:25" hidden="1">
      <c r="A188" s="2233"/>
      <c r="B188" s="2236"/>
      <c r="C188" s="2247"/>
      <c r="D188" s="2242"/>
      <c r="E188" s="705" t="s">
        <v>179</v>
      </c>
      <c r="F188" s="304"/>
      <c r="G188" s="280"/>
      <c r="H188" s="280"/>
      <c r="I188" s="280"/>
      <c r="J188" s="280"/>
      <c r="K188" s="308"/>
      <c r="L188" s="308"/>
      <c r="M188" s="263"/>
      <c r="N188" s="262"/>
      <c r="O188" s="263"/>
      <c r="P188" s="282"/>
      <c r="Q188" s="283"/>
      <c r="R188" s="284"/>
      <c r="S188" s="285"/>
      <c r="T188" s="286"/>
      <c r="U188" s="287"/>
      <c r="V188" s="288"/>
      <c r="W188" s="289"/>
      <c r="X188" s="290"/>
      <c r="Y188" s="291"/>
    </row>
    <row r="189" spans="1:25" hidden="1">
      <c r="A189" s="2233"/>
      <c r="B189" s="2236"/>
      <c r="C189" s="2247"/>
      <c r="D189" s="2242"/>
      <c r="E189" s="705" t="s">
        <v>180</v>
      </c>
      <c r="F189" s="304"/>
      <c r="G189" s="280"/>
      <c r="H189" s="280"/>
      <c r="I189" s="280"/>
      <c r="J189" s="280"/>
      <c r="K189" s="308"/>
      <c r="L189" s="308"/>
      <c r="M189" s="263"/>
      <c r="N189" s="262"/>
      <c r="O189" s="263"/>
      <c r="P189" s="282"/>
      <c r="Q189" s="283"/>
      <c r="R189" s="284"/>
      <c r="S189" s="285"/>
      <c r="T189" s="286"/>
      <c r="U189" s="287"/>
      <c r="V189" s="288"/>
      <c r="W189" s="289"/>
      <c r="X189" s="290"/>
      <c r="Y189" s="291"/>
    </row>
    <row r="190" spans="1:25" hidden="1">
      <c r="A190" s="2233"/>
      <c r="B190" s="2236"/>
      <c r="C190" s="2247"/>
      <c r="D190" s="2242"/>
      <c r="E190" s="705" t="s">
        <v>182</v>
      </c>
      <c r="F190" s="304"/>
      <c r="G190" s="280"/>
      <c r="H190" s="280"/>
      <c r="I190" s="280"/>
      <c r="J190" s="280"/>
      <c r="K190" s="308"/>
      <c r="L190" s="308"/>
      <c r="M190" s="263"/>
      <c r="N190" s="262"/>
      <c r="O190" s="263"/>
      <c r="P190" s="282"/>
      <c r="Q190" s="283"/>
      <c r="R190" s="284"/>
      <c r="S190" s="285"/>
      <c r="T190" s="286"/>
      <c r="U190" s="287"/>
      <c r="V190" s="288"/>
      <c r="W190" s="289"/>
      <c r="X190" s="290"/>
      <c r="Y190" s="291"/>
    </row>
    <row r="191" spans="1:25" hidden="1">
      <c r="A191" s="2233"/>
      <c r="B191" s="2236"/>
      <c r="C191" s="2247"/>
      <c r="D191" s="2242"/>
      <c r="E191" s="705" t="s">
        <v>183</v>
      </c>
      <c r="F191" s="304"/>
      <c r="G191" s="280"/>
      <c r="H191" s="280"/>
      <c r="I191" s="280"/>
      <c r="J191" s="280"/>
      <c r="K191" s="308"/>
      <c r="L191" s="308"/>
      <c r="M191" s="263"/>
      <c r="N191" s="262"/>
      <c r="O191" s="263"/>
      <c r="P191" s="282"/>
      <c r="Q191" s="283"/>
      <c r="R191" s="284"/>
      <c r="S191" s="285"/>
      <c r="T191" s="286"/>
      <c r="U191" s="287"/>
      <c r="V191" s="288"/>
      <c r="W191" s="289"/>
      <c r="X191" s="290"/>
      <c r="Y191" s="291"/>
    </row>
    <row r="192" spans="1:25" hidden="1">
      <c r="A192" s="2233"/>
      <c r="B192" s="2236"/>
      <c r="C192" s="2247"/>
      <c r="D192" s="2242"/>
      <c r="E192" s="705" t="s">
        <v>184</v>
      </c>
      <c r="F192" s="304"/>
      <c r="G192" s="280"/>
      <c r="H192" s="280"/>
      <c r="I192" s="280"/>
      <c r="J192" s="280"/>
      <c r="K192" s="308"/>
      <c r="L192" s="308"/>
      <c r="M192" s="263"/>
      <c r="N192" s="262"/>
      <c r="O192" s="263"/>
      <c r="P192" s="282"/>
      <c r="Q192" s="283"/>
      <c r="R192" s="284"/>
      <c r="S192" s="285"/>
      <c r="T192" s="286"/>
      <c r="U192" s="287"/>
      <c r="V192" s="288"/>
      <c r="W192" s="289"/>
      <c r="X192" s="290"/>
      <c r="Y192" s="291"/>
    </row>
    <row r="193" spans="1:25" hidden="1">
      <c r="A193" s="2233"/>
      <c r="B193" s="2236"/>
      <c r="C193" s="2247"/>
      <c r="D193" s="2242"/>
      <c r="E193" s="705" t="s">
        <v>185</v>
      </c>
      <c r="F193" s="304"/>
      <c r="G193" s="280"/>
      <c r="H193" s="280"/>
      <c r="I193" s="280"/>
      <c r="J193" s="280"/>
      <c r="K193" s="308"/>
      <c r="L193" s="308"/>
      <c r="M193" s="263"/>
      <c r="N193" s="262"/>
      <c r="O193" s="263"/>
      <c r="P193" s="282"/>
      <c r="Q193" s="283"/>
      <c r="R193" s="284"/>
      <c r="S193" s="285"/>
      <c r="T193" s="286"/>
      <c r="U193" s="287"/>
      <c r="V193" s="288"/>
      <c r="W193" s="289"/>
      <c r="X193" s="290"/>
      <c r="Y193" s="291"/>
    </row>
    <row r="194" spans="1:25" hidden="1">
      <c r="A194" s="2233"/>
      <c r="B194" s="2236"/>
      <c r="C194" s="2247"/>
      <c r="D194" s="2242"/>
      <c r="E194" s="705" t="s">
        <v>186</v>
      </c>
      <c r="F194" s="304"/>
      <c r="G194" s="280"/>
      <c r="H194" s="280"/>
      <c r="I194" s="280"/>
      <c r="J194" s="280"/>
      <c r="K194" s="308"/>
      <c r="L194" s="308"/>
      <c r="M194" s="263"/>
      <c r="N194" s="262"/>
      <c r="O194" s="263"/>
      <c r="P194" s="282"/>
      <c r="Q194" s="283"/>
      <c r="R194" s="284"/>
      <c r="S194" s="285"/>
      <c r="T194" s="286"/>
      <c r="U194" s="287"/>
      <c r="V194" s="288"/>
      <c r="W194" s="289"/>
      <c r="X194" s="290"/>
      <c r="Y194" s="291"/>
    </row>
    <row r="195" spans="1:25" hidden="1">
      <c r="A195" s="2233"/>
      <c r="B195" s="2236"/>
      <c r="C195" s="2247"/>
      <c r="D195" s="2242"/>
      <c r="E195" s="705" t="s">
        <v>187</v>
      </c>
      <c r="F195" s="304"/>
      <c r="G195" s="280"/>
      <c r="H195" s="280"/>
      <c r="I195" s="280"/>
      <c r="J195" s="280"/>
      <c r="K195" s="308"/>
      <c r="L195" s="308"/>
      <c r="M195" s="263"/>
      <c r="N195" s="262"/>
      <c r="O195" s="263"/>
      <c r="P195" s="282"/>
      <c r="Q195" s="283"/>
      <c r="R195" s="284"/>
      <c r="S195" s="285"/>
      <c r="T195" s="286"/>
      <c r="U195" s="287"/>
      <c r="V195" s="288"/>
      <c r="W195" s="289"/>
      <c r="X195" s="290"/>
      <c r="Y195" s="291"/>
    </row>
    <row r="196" spans="1:25" ht="15" hidden="1" thickBot="1">
      <c r="A196" s="2234"/>
      <c r="B196" s="2237"/>
      <c r="C196" s="2248"/>
      <c r="D196" s="2243"/>
      <c r="E196" s="706" t="s">
        <v>188</v>
      </c>
      <c r="F196" s="305"/>
      <c r="G196" s="292"/>
      <c r="H196" s="292"/>
      <c r="I196" s="292"/>
      <c r="J196" s="292"/>
      <c r="K196" s="309"/>
      <c r="L196" s="309"/>
      <c r="M196" s="267"/>
      <c r="N196" s="266"/>
      <c r="O196" s="267"/>
      <c r="P196" s="294"/>
      <c r="Q196" s="295"/>
      <c r="R196" s="296"/>
      <c r="S196" s="297"/>
      <c r="T196" s="298"/>
      <c r="U196" s="299"/>
      <c r="V196" s="300"/>
      <c r="W196" s="301"/>
      <c r="X196" s="302"/>
      <c r="Y196" s="303"/>
    </row>
    <row r="197" spans="1:25" hidden="1">
      <c r="A197" s="2232" t="s">
        <v>251</v>
      </c>
      <c r="B197" s="2235" t="s">
        <v>252</v>
      </c>
      <c r="C197" s="2246" t="s">
        <v>269</v>
      </c>
      <c r="D197" s="2241">
        <v>2021</v>
      </c>
      <c r="E197" s="709" t="s">
        <v>176</v>
      </c>
      <c r="F197" s="306"/>
      <c r="G197" s="268"/>
      <c r="H197" s="268"/>
      <c r="I197" s="268"/>
      <c r="J197" s="268"/>
      <c r="K197" s="307"/>
      <c r="L197" s="307"/>
      <c r="M197" s="259"/>
      <c r="N197" s="258"/>
      <c r="O197" s="259"/>
      <c r="P197" s="270"/>
      <c r="Q197" s="271"/>
      <c r="R197" s="272"/>
      <c r="S197" s="273"/>
      <c r="T197" s="274"/>
      <c r="U197" s="275"/>
      <c r="V197" s="276"/>
      <c r="W197" s="277"/>
      <c r="X197" s="278"/>
      <c r="Y197" s="279"/>
    </row>
    <row r="198" spans="1:25" hidden="1">
      <c r="A198" s="2233"/>
      <c r="B198" s="2236"/>
      <c r="C198" s="2247"/>
      <c r="D198" s="2242"/>
      <c r="E198" s="705" t="s">
        <v>177</v>
      </c>
      <c r="F198" s="304"/>
      <c r="G198" s="280"/>
      <c r="H198" s="280"/>
      <c r="I198" s="280"/>
      <c r="J198" s="280"/>
      <c r="K198" s="308"/>
      <c r="L198" s="308"/>
      <c r="M198" s="263"/>
      <c r="N198" s="262"/>
      <c r="O198" s="263"/>
      <c r="P198" s="282"/>
      <c r="Q198" s="283"/>
      <c r="R198" s="284"/>
      <c r="S198" s="285"/>
      <c r="T198" s="286"/>
      <c r="U198" s="287"/>
      <c r="V198" s="288"/>
      <c r="W198" s="289"/>
      <c r="X198" s="290"/>
      <c r="Y198" s="291"/>
    </row>
    <row r="199" spans="1:25" hidden="1">
      <c r="A199" s="2233"/>
      <c r="B199" s="2236"/>
      <c r="C199" s="2247"/>
      <c r="D199" s="2242"/>
      <c r="E199" s="705" t="s">
        <v>178</v>
      </c>
      <c r="F199" s="304"/>
      <c r="G199" s="280"/>
      <c r="H199" s="280"/>
      <c r="I199" s="280"/>
      <c r="J199" s="280"/>
      <c r="K199" s="308"/>
      <c r="L199" s="308"/>
      <c r="M199" s="263"/>
      <c r="N199" s="262"/>
      <c r="O199" s="263"/>
      <c r="P199" s="282"/>
      <c r="Q199" s="283"/>
      <c r="R199" s="284"/>
      <c r="S199" s="285"/>
      <c r="T199" s="286"/>
      <c r="U199" s="287"/>
      <c r="V199" s="288"/>
      <c r="W199" s="289"/>
      <c r="X199" s="290"/>
      <c r="Y199" s="291"/>
    </row>
    <row r="200" spans="1:25" hidden="1">
      <c r="A200" s="2233"/>
      <c r="B200" s="2236"/>
      <c r="C200" s="2247"/>
      <c r="D200" s="2242"/>
      <c r="E200" s="705" t="s">
        <v>179</v>
      </c>
      <c r="F200" s="304"/>
      <c r="G200" s="280"/>
      <c r="H200" s="280"/>
      <c r="I200" s="280"/>
      <c r="J200" s="280"/>
      <c r="K200" s="308"/>
      <c r="L200" s="308"/>
      <c r="M200" s="263"/>
      <c r="N200" s="262"/>
      <c r="O200" s="263"/>
      <c r="P200" s="282"/>
      <c r="Q200" s="283"/>
      <c r="R200" s="284"/>
      <c r="S200" s="285"/>
      <c r="T200" s="286"/>
      <c r="U200" s="287"/>
      <c r="V200" s="288"/>
      <c r="W200" s="289"/>
      <c r="X200" s="290"/>
      <c r="Y200" s="291"/>
    </row>
    <row r="201" spans="1:25" hidden="1">
      <c r="A201" s="2233"/>
      <c r="B201" s="2236"/>
      <c r="C201" s="2247"/>
      <c r="D201" s="2242"/>
      <c r="E201" s="705" t="s">
        <v>180</v>
      </c>
      <c r="F201" s="304"/>
      <c r="G201" s="280"/>
      <c r="H201" s="280"/>
      <c r="I201" s="280"/>
      <c r="J201" s="280"/>
      <c r="K201" s="308"/>
      <c r="L201" s="308"/>
      <c r="M201" s="263"/>
      <c r="N201" s="262"/>
      <c r="O201" s="263"/>
      <c r="P201" s="282"/>
      <c r="Q201" s="283"/>
      <c r="R201" s="284"/>
      <c r="S201" s="285"/>
      <c r="T201" s="286"/>
      <c r="U201" s="287"/>
      <c r="V201" s="288"/>
      <c r="W201" s="289"/>
      <c r="X201" s="290"/>
      <c r="Y201" s="291"/>
    </row>
    <row r="202" spans="1:25" hidden="1">
      <c r="A202" s="2233"/>
      <c r="B202" s="2236"/>
      <c r="C202" s="2247"/>
      <c r="D202" s="2242"/>
      <c r="E202" s="705" t="s">
        <v>182</v>
      </c>
      <c r="F202" s="304"/>
      <c r="G202" s="280"/>
      <c r="H202" s="280"/>
      <c r="I202" s="280"/>
      <c r="J202" s="280"/>
      <c r="K202" s="308"/>
      <c r="L202" s="308"/>
      <c r="M202" s="263"/>
      <c r="N202" s="262"/>
      <c r="O202" s="263"/>
      <c r="P202" s="282"/>
      <c r="Q202" s="283"/>
      <c r="R202" s="284"/>
      <c r="S202" s="285"/>
      <c r="T202" s="286"/>
      <c r="U202" s="287"/>
      <c r="V202" s="288"/>
      <c r="W202" s="289"/>
      <c r="X202" s="290"/>
      <c r="Y202" s="291"/>
    </row>
    <row r="203" spans="1:25" hidden="1">
      <c r="A203" s="2233"/>
      <c r="B203" s="2236"/>
      <c r="C203" s="2247"/>
      <c r="D203" s="2242"/>
      <c r="E203" s="705" t="s">
        <v>183</v>
      </c>
      <c r="F203" s="304"/>
      <c r="G203" s="280"/>
      <c r="H203" s="280"/>
      <c r="I203" s="280"/>
      <c r="J203" s="280"/>
      <c r="K203" s="308"/>
      <c r="L203" s="308"/>
      <c r="M203" s="263"/>
      <c r="N203" s="262"/>
      <c r="O203" s="263"/>
      <c r="P203" s="282"/>
      <c r="Q203" s="283"/>
      <c r="R203" s="284"/>
      <c r="S203" s="285"/>
      <c r="T203" s="286"/>
      <c r="U203" s="287"/>
      <c r="V203" s="288"/>
      <c r="W203" s="289"/>
      <c r="X203" s="290"/>
      <c r="Y203" s="291"/>
    </row>
    <row r="204" spans="1:25" hidden="1">
      <c r="A204" s="2233"/>
      <c r="B204" s="2236"/>
      <c r="C204" s="2247"/>
      <c r="D204" s="2242"/>
      <c r="E204" s="705" t="s">
        <v>184</v>
      </c>
      <c r="F204" s="304"/>
      <c r="G204" s="280"/>
      <c r="H204" s="280"/>
      <c r="I204" s="280"/>
      <c r="J204" s="280"/>
      <c r="K204" s="308"/>
      <c r="L204" s="308"/>
      <c r="M204" s="263"/>
      <c r="N204" s="262"/>
      <c r="O204" s="263"/>
      <c r="P204" s="282"/>
      <c r="Q204" s="283"/>
      <c r="R204" s="284"/>
      <c r="S204" s="285"/>
      <c r="T204" s="286"/>
      <c r="U204" s="287"/>
      <c r="V204" s="288"/>
      <c r="W204" s="289"/>
      <c r="X204" s="290"/>
      <c r="Y204" s="291"/>
    </row>
    <row r="205" spans="1:25" hidden="1">
      <c r="A205" s="2233"/>
      <c r="B205" s="2236"/>
      <c r="C205" s="2247"/>
      <c r="D205" s="2242"/>
      <c r="E205" s="705" t="s">
        <v>185</v>
      </c>
      <c r="F205" s="304"/>
      <c r="G205" s="280"/>
      <c r="H205" s="280"/>
      <c r="I205" s="280"/>
      <c r="J205" s="280"/>
      <c r="K205" s="308"/>
      <c r="L205" s="308"/>
      <c r="M205" s="263"/>
      <c r="N205" s="262"/>
      <c r="O205" s="263"/>
      <c r="P205" s="282"/>
      <c r="Q205" s="283"/>
      <c r="R205" s="284"/>
      <c r="S205" s="285"/>
      <c r="T205" s="286"/>
      <c r="U205" s="287"/>
      <c r="V205" s="288"/>
      <c r="W205" s="289"/>
      <c r="X205" s="290"/>
      <c r="Y205" s="291"/>
    </row>
    <row r="206" spans="1:25" hidden="1">
      <c r="A206" s="2233"/>
      <c r="B206" s="2236"/>
      <c r="C206" s="2247"/>
      <c r="D206" s="2242"/>
      <c r="E206" s="705" t="s">
        <v>186</v>
      </c>
      <c r="F206" s="304"/>
      <c r="G206" s="280"/>
      <c r="H206" s="280"/>
      <c r="I206" s="280"/>
      <c r="J206" s="280"/>
      <c r="K206" s="308"/>
      <c r="L206" s="308"/>
      <c r="M206" s="263"/>
      <c r="N206" s="262"/>
      <c r="O206" s="263"/>
      <c r="P206" s="282"/>
      <c r="Q206" s="283"/>
      <c r="R206" s="284"/>
      <c r="S206" s="285"/>
      <c r="T206" s="286"/>
      <c r="U206" s="287"/>
      <c r="V206" s="288"/>
      <c r="W206" s="289"/>
      <c r="X206" s="290"/>
      <c r="Y206" s="291"/>
    </row>
    <row r="207" spans="1:25" hidden="1">
      <c r="A207" s="2233"/>
      <c r="B207" s="2236"/>
      <c r="C207" s="2247"/>
      <c r="D207" s="2242"/>
      <c r="E207" s="705" t="s">
        <v>187</v>
      </c>
      <c r="F207" s="304"/>
      <c r="G207" s="280"/>
      <c r="H207" s="280"/>
      <c r="I207" s="280"/>
      <c r="J207" s="280"/>
      <c r="K207" s="308"/>
      <c r="L207" s="308"/>
      <c r="M207" s="263"/>
      <c r="N207" s="262"/>
      <c r="O207" s="263"/>
      <c r="P207" s="282"/>
      <c r="Q207" s="283"/>
      <c r="R207" s="284"/>
      <c r="S207" s="285"/>
      <c r="T207" s="286"/>
      <c r="U207" s="287"/>
      <c r="V207" s="288"/>
      <c r="W207" s="289"/>
      <c r="X207" s="290"/>
      <c r="Y207" s="291"/>
    </row>
    <row r="208" spans="1:25" ht="15" hidden="1" thickBot="1">
      <c r="A208" s="2234"/>
      <c r="B208" s="2237"/>
      <c r="C208" s="2248"/>
      <c r="D208" s="2243"/>
      <c r="E208" s="706" t="s">
        <v>188</v>
      </c>
      <c r="F208" s="305"/>
      <c r="G208" s="292"/>
      <c r="H208" s="292"/>
      <c r="I208" s="292"/>
      <c r="J208" s="292"/>
      <c r="K208" s="309"/>
      <c r="L208" s="309"/>
      <c r="M208" s="267"/>
      <c r="N208" s="266"/>
      <c r="O208" s="267"/>
      <c r="P208" s="294"/>
      <c r="Q208" s="295"/>
      <c r="R208" s="296"/>
      <c r="S208" s="297"/>
      <c r="T208" s="298"/>
      <c r="U208" s="299"/>
      <c r="V208" s="300"/>
      <c r="W208" s="301"/>
      <c r="X208" s="302"/>
      <c r="Y208" s="303"/>
    </row>
    <row r="209" spans="1:25" hidden="1">
      <c r="A209" s="2232" t="s">
        <v>251</v>
      </c>
      <c r="B209" s="2235" t="s">
        <v>252</v>
      </c>
      <c r="C209" s="2246" t="s">
        <v>270</v>
      </c>
      <c r="D209" s="2241">
        <v>2021</v>
      </c>
      <c r="E209" s="709" t="s">
        <v>176</v>
      </c>
      <c r="F209" s="306"/>
      <c r="G209" s="268"/>
      <c r="H209" s="268"/>
      <c r="I209" s="268"/>
      <c r="J209" s="268"/>
      <c r="K209" s="307"/>
      <c r="L209" s="307"/>
      <c r="M209" s="259"/>
      <c r="N209" s="258"/>
      <c r="O209" s="259"/>
      <c r="P209" s="270"/>
      <c r="Q209" s="271"/>
      <c r="R209" s="272"/>
      <c r="S209" s="273"/>
      <c r="T209" s="274"/>
      <c r="U209" s="275"/>
      <c r="V209" s="276"/>
      <c r="W209" s="277"/>
      <c r="X209" s="278"/>
      <c r="Y209" s="279"/>
    </row>
    <row r="210" spans="1:25" hidden="1">
      <c r="A210" s="2233"/>
      <c r="B210" s="2236"/>
      <c r="C210" s="2247"/>
      <c r="D210" s="2242"/>
      <c r="E210" s="705" t="s">
        <v>177</v>
      </c>
      <c r="F210" s="304"/>
      <c r="G210" s="280"/>
      <c r="H210" s="280"/>
      <c r="I210" s="280"/>
      <c r="J210" s="280"/>
      <c r="K210" s="308"/>
      <c r="L210" s="308"/>
      <c r="M210" s="263"/>
      <c r="N210" s="262"/>
      <c r="O210" s="263"/>
      <c r="P210" s="282"/>
      <c r="Q210" s="283"/>
      <c r="R210" s="284"/>
      <c r="S210" s="285"/>
      <c r="T210" s="286"/>
      <c r="U210" s="287"/>
      <c r="V210" s="288"/>
      <c r="W210" s="289"/>
      <c r="X210" s="290"/>
      <c r="Y210" s="291"/>
    </row>
    <row r="211" spans="1:25" hidden="1">
      <c r="A211" s="2233"/>
      <c r="B211" s="2236"/>
      <c r="C211" s="2247"/>
      <c r="D211" s="2242"/>
      <c r="E211" s="705" t="s">
        <v>178</v>
      </c>
      <c r="F211" s="304"/>
      <c r="G211" s="280"/>
      <c r="H211" s="280"/>
      <c r="I211" s="280"/>
      <c r="J211" s="280"/>
      <c r="K211" s="308"/>
      <c r="L211" s="308"/>
      <c r="M211" s="263"/>
      <c r="N211" s="262"/>
      <c r="O211" s="263"/>
      <c r="P211" s="282"/>
      <c r="Q211" s="283"/>
      <c r="R211" s="284"/>
      <c r="S211" s="285"/>
      <c r="T211" s="286"/>
      <c r="U211" s="287"/>
      <c r="V211" s="288"/>
      <c r="W211" s="289"/>
      <c r="X211" s="290"/>
      <c r="Y211" s="291"/>
    </row>
    <row r="212" spans="1:25" hidden="1">
      <c r="A212" s="2233"/>
      <c r="B212" s="2236"/>
      <c r="C212" s="2247"/>
      <c r="D212" s="2242"/>
      <c r="E212" s="705" t="s">
        <v>179</v>
      </c>
      <c r="F212" s="304"/>
      <c r="G212" s="280"/>
      <c r="H212" s="280"/>
      <c r="I212" s="280"/>
      <c r="J212" s="280"/>
      <c r="K212" s="308"/>
      <c r="L212" s="308"/>
      <c r="M212" s="263"/>
      <c r="N212" s="262"/>
      <c r="O212" s="263"/>
      <c r="P212" s="282"/>
      <c r="Q212" s="283"/>
      <c r="R212" s="284"/>
      <c r="S212" s="285"/>
      <c r="T212" s="286"/>
      <c r="U212" s="287"/>
      <c r="V212" s="288"/>
      <c r="W212" s="289"/>
      <c r="X212" s="290"/>
      <c r="Y212" s="291"/>
    </row>
    <row r="213" spans="1:25" hidden="1">
      <c r="A213" s="2233"/>
      <c r="B213" s="2236"/>
      <c r="C213" s="2247"/>
      <c r="D213" s="2242"/>
      <c r="E213" s="705" t="s">
        <v>180</v>
      </c>
      <c r="F213" s="304"/>
      <c r="G213" s="280"/>
      <c r="H213" s="280"/>
      <c r="I213" s="280"/>
      <c r="J213" s="280"/>
      <c r="K213" s="308"/>
      <c r="L213" s="308"/>
      <c r="M213" s="263"/>
      <c r="N213" s="262"/>
      <c r="O213" s="263"/>
      <c r="P213" s="282"/>
      <c r="Q213" s="283"/>
      <c r="R213" s="284"/>
      <c r="S213" s="285"/>
      <c r="T213" s="286"/>
      <c r="U213" s="287"/>
      <c r="V213" s="288"/>
      <c r="W213" s="289"/>
      <c r="X213" s="290"/>
      <c r="Y213" s="291"/>
    </row>
    <row r="214" spans="1:25" hidden="1">
      <c r="A214" s="2233"/>
      <c r="B214" s="2236"/>
      <c r="C214" s="2247"/>
      <c r="D214" s="2242"/>
      <c r="E214" s="705" t="s">
        <v>182</v>
      </c>
      <c r="F214" s="304"/>
      <c r="G214" s="280"/>
      <c r="H214" s="280"/>
      <c r="I214" s="280"/>
      <c r="J214" s="280"/>
      <c r="K214" s="308"/>
      <c r="L214" s="308"/>
      <c r="M214" s="263"/>
      <c r="N214" s="262"/>
      <c r="O214" s="263"/>
      <c r="P214" s="282"/>
      <c r="Q214" s="283"/>
      <c r="R214" s="284"/>
      <c r="S214" s="285"/>
      <c r="T214" s="286"/>
      <c r="U214" s="287"/>
      <c r="V214" s="288"/>
      <c r="W214" s="289"/>
      <c r="X214" s="290"/>
      <c r="Y214" s="291"/>
    </row>
    <row r="215" spans="1:25" hidden="1">
      <c r="A215" s="2233"/>
      <c r="B215" s="2236"/>
      <c r="C215" s="2247"/>
      <c r="D215" s="2242"/>
      <c r="E215" s="705" t="s">
        <v>183</v>
      </c>
      <c r="F215" s="304"/>
      <c r="G215" s="280"/>
      <c r="H215" s="280"/>
      <c r="I215" s="280"/>
      <c r="J215" s="280"/>
      <c r="K215" s="308"/>
      <c r="L215" s="308"/>
      <c r="M215" s="263"/>
      <c r="N215" s="262"/>
      <c r="O215" s="263"/>
      <c r="P215" s="282"/>
      <c r="Q215" s="283"/>
      <c r="R215" s="284"/>
      <c r="S215" s="285"/>
      <c r="T215" s="286"/>
      <c r="U215" s="287"/>
      <c r="V215" s="288"/>
      <c r="W215" s="289"/>
      <c r="X215" s="290"/>
      <c r="Y215" s="291"/>
    </row>
    <row r="216" spans="1:25" hidden="1">
      <c r="A216" s="2233"/>
      <c r="B216" s="2236"/>
      <c r="C216" s="2247"/>
      <c r="D216" s="2242"/>
      <c r="E216" s="705" t="s">
        <v>184</v>
      </c>
      <c r="F216" s="304"/>
      <c r="G216" s="280"/>
      <c r="H216" s="280"/>
      <c r="I216" s="280"/>
      <c r="J216" s="280"/>
      <c r="K216" s="308"/>
      <c r="L216" s="308"/>
      <c r="M216" s="263"/>
      <c r="N216" s="262"/>
      <c r="O216" s="263"/>
      <c r="P216" s="282"/>
      <c r="Q216" s="283"/>
      <c r="R216" s="284"/>
      <c r="S216" s="285"/>
      <c r="T216" s="286"/>
      <c r="U216" s="287"/>
      <c r="V216" s="288"/>
      <c r="W216" s="289"/>
      <c r="X216" s="290"/>
      <c r="Y216" s="291"/>
    </row>
    <row r="217" spans="1:25" hidden="1">
      <c r="A217" s="2233"/>
      <c r="B217" s="2236"/>
      <c r="C217" s="2247"/>
      <c r="D217" s="2242"/>
      <c r="E217" s="705" t="s">
        <v>185</v>
      </c>
      <c r="F217" s="304"/>
      <c r="G217" s="280"/>
      <c r="H217" s="280"/>
      <c r="I217" s="280"/>
      <c r="J217" s="280"/>
      <c r="K217" s="308"/>
      <c r="L217" s="308"/>
      <c r="M217" s="263"/>
      <c r="N217" s="262"/>
      <c r="O217" s="263"/>
      <c r="P217" s="282"/>
      <c r="Q217" s="283"/>
      <c r="R217" s="284"/>
      <c r="S217" s="285"/>
      <c r="T217" s="286"/>
      <c r="U217" s="287"/>
      <c r="V217" s="288"/>
      <c r="W217" s="289"/>
      <c r="X217" s="290"/>
      <c r="Y217" s="291"/>
    </row>
    <row r="218" spans="1:25" hidden="1">
      <c r="A218" s="2233"/>
      <c r="B218" s="2236"/>
      <c r="C218" s="2247"/>
      <c r="D218" s="2242"/>
      <c r="E218" s="705" t="s">
        <v>186</v>
      </c>
      <c r="F218" s="304"/>
      <c r="G218" s="280"/>
      <c r="H218" s="280"/>
      <c r="I218" s="280"/>
      <c r="J218" s="280"/>
      <c r="K218" s="308"/>
      <c r="L218" s="308"/>
      <c r="M218" s="263"/>
      <c r="N218" s="262"/>
      <c r="O218" s="263"/>
      <c r="P218" s="282"/>
      <c r="Q218" s="283"/>
      <c r="R218" s="284"/>
      <c r="S218" s="285"/>
      <c r="T218" s="286"/>
      <c r="U218" s="287"/>
      <c r="V218" s="288"/>
      <c r="W218" s="289"/>
      <c r="X218" s="290"/>
      <c r="Y218" s="291"/>
    </row>
    <row r="219" spans="1:25" hidden="1">
      <c r="A219" s="2233"/>
      <c r="B219" s="2236"/>
      <c r="C219" s="2247"/>
      <c r="D219" s="2242"/>
      <c r="E219" s="705" t="s">
        <v>187</v>
      </c>
      <c r="F219" s="304"/>
      <c r="G219" s="280"/>
      <c r="H219" s="280"/>
      <c r="I219" s="280"/>
      <c r="J219" s="280"/>
      <c r="K219" s="308"/>
      <c r="L219" s="308"/>
      <c r="M219" s="263"/>
      <c r="N219" s="262"/>
      <c r="O219" s="263"/>
      <c r="P219" s="282"/>
      <c r="Q219" s="283"/>
      <c r="R219" s="284"/>
      <c r="S219" s="285"/>
      <c r="T219" s="286"/>
      <c r="U219" s="287"/>
      <c r="V219" s="288"/>
      <c r="W219" s="289"/>
      <c r="X219" s="290"/>
      <c r="Y219" s="291"/>
    </row>
    <row r="220" spans="1:25" ht="15" hidden="1" thickBot="1">
      <c r="A220" s="2234"/>
      <c r="B220" s="2237"/>
      <c r="C220" s="2248"/>
      <c r="D220" s="2243"/>
      <c r="E220" s="706" t="s">
        <v>188</v>
      </c>
      <c r="F220" s="305"/>
      <c r="G220" s="292"/>
      <c r="H220" s="292"/>
      <c r="I220" s="292"/>
      <c r="J220" s="292"/>
      <c r="K220" s="309"/>
      <c r="L220" s="309"/>
      <c r="M220" s="267"/>
      <c r="N220" s="266"/>
      <c r="O220" s="267"/>
      <c r="P220" s="294"/>
      <c r="Q220" s="295"/>
      <c r="R220" s="296"/>
      <c r="S220" s="297"/>
      <c r="T220" s="298"/>
      <c r="U220" s="299"/>
      <c r="V220" s="300"/>
      <c r="W220" s="301"/>
      <c r="X220" s="302"/>
      <c r="Y220" s="303"/>
    </row>
    <row r="221" spans="1:25" hidden="1">
      <c r="A221" s="2232" t="s">
        <v>251</v>
      </c>
      <c r="B221" s="2235" t="s">
        <v>252</v>
      </c>
      <c r="C221" s="2246" t="s">
        <v>271</v>
      </c>
      <c r="D221" s="2241">
        <v>2021</v>
      </c>
      <c r="E221" s="709" t="s">
        <v>176</v>
      </c>
      <c r="F221" s="306"/>
      <c r="G221" s="268"/>
      <c r="H221" s="268"/>
      <c r="I221" s="268"/>
      <c r="J221" s="268"/>
      <c r="K221" s="307"/>
      <c r="L221" s="307"/>
      <c r="M221" s="259"/>
      <c r="N221" s="258"/>
      <c r="O221" s="259"/>
      <c r="P221" s="270"/>
      <c r="Q221" s="271"/>
      <c r="R221" s="272"/>
      <c r="S221" s="273"/>
      <c r="T221" s="274"/>
      <c r="U221" s="275"/>
      <c r="V221" s="276"/>
      <c r="W221" s="277"/>
      <c r="X221" s="278"/>
      <c r="Y221" s="279"/>
    </row>
    <row r="222" spans="1:25" hidden="1">
      <c r="A222" s="2233"/>
      <c r="B222" s="2236"/>
      <c r="C222" s="2247"/>
      <c r="D222" s="2242"/>
      <c r="E222" s="705" t="s">
        <v>177</v>
      </c>
      <c r="F222" s="304"/>
      <c r="G222" s="280"/>
      <c r="H222" s="280"/>
      <c r="I222" s="280"/>
      <c r="J222" s="280"/>
      <c r="K222" s="308"/>
      <c r="L222" s="308"/>
      <c r="M222" s="263"/>
      <c r="N222" s="262"/>
      <c r="O222" s="263"/>
      <c r="P222" s="282"/>
      <c r="Q222" s="283"/>
      <c r="R222" s="284"/>
      <c r="S222" s="285"/>
      <c r="T222" s="286"/>
      <c r="U222" s="287"/>
      <c r="V222" s="288"/>
      <c r="W222" s="289"/>
      <c r="X222" s="290"/>
      <c r="Y222" s="291"/>
    </row>
    <row r="223" spans="1:25" hidden="1">
      <c r="A223" s="2233"/>
      <c r="B223" s="2236"/>
      <c r="C223" s="2247"/>
      <c r="D223" s="2242"/>
      <c r="E223" s="705" t="s">
        <v>178</v>
      </c>
      <c r="F223" s="304"/>
      <c r="G223" s="280"/>
      <c r="H223" s="280"/>
      <c r="I223" s="280"/>
      <c r="J223" s="280"/>
      <c r="K223" s="308"/>
      <c r="L223" s="308"/>
      <c r="M223" s="263"/>
      <c r="N223" s="262"/>
      <c r="O223" s="263"/>
      <c r="P223" s="282"/>
      <c r="Q223" s="283"/>
      <c r="R223" s="284"/>
      <c r="S223" s="285"/>
      <c r="T223" s="286"/>
      <c r="U223" s="287"/>
      <c r="V223" s="288"/>
      <c r="W223" s="289"/>
      <c r="X223" s="290"/>
      <c r="Y223" s="291"/>
    </row>
    <row r="224" spans="1:25" hidden="1">
      <c r="A224" s="2233"/>
      <c r="B224" s="2236"/>
      <c r="C224" s="2247"/>
      <c r="D224" s="2242"/>
      <c r="E224" s="705" t="s">
        <v>179</v>
      </c>
      <c r="F224" s="304"/>
      <c r="G224" s="280"/>
      <c r="H224" s="280"/>
      <c r="I224" s="280"/>
      <c r="J224" s="280"/>
      <c r="K224" s="308"/>
      <c r="L224" s="308"/>
      <c r="M224" s="263"/>
      <c r="N224" s="262"/>
      <c r="O224" s="263"/>
      <c r="P224" s="282"/>
      <c r="Q224" s="283"/>
      <c r="R224" s="284"/>
      <c r="S224" s="285"/>
      <c r="T224" s="286"/>
      <c r="U224" s="287"/>
      <c r="V224" s="288"/>
      <c r="W224" s="289"/>
      <c r="X224" s="290"/>
      <c r="Y224" s="291"/>
    </row>
    <row r="225" spans="1:25" hidden="1">
      <c r="A225" s="2233"/>
      <c r="B225" s="2236"/>
      <c r="C225" s="2247"/>
      <c r="D225" s="2242"/>
      <c r="E225" s="705" t="s">
        <v>180</v>
      </c>
      <c r="F225" s="304"/>
      <c r="G225" s="280"/>
      <c r="H225" s="280"/>
      <c r="I225" s="280"/>
      <c r="J225" s="280"/>
      <c r="K225" s="308"/>
      <c r="L225" s="308"/>
      <c r="M225" s="263"/>
      <c r="N225" s="262"/>
      <c r="O225" s="263"/>
      <c r="P225" s="282"/>
      <c r="Q225" s="283"/>
      <c r="R225" s="284"/>
      <c r="S225" s="285"/>
      <c r="T225" s="286"/>
      <c r="U225" s="287"/>
      <c r="V225" s="288"/>
      <c r="W225" s="289"/>
      <c r="X225" s="290"/>
      <c r="Y225" s="291"/>
    </row>
    <row r="226" spans="1:25" hidden="1">
      <c r="A226" s="2233"/>
      <c r="B226" s="2236"/>
      <c r="C226" s="2247"/>
      <c r="D226" s="2242"/>
      <c r="E226" s="705" t="s">
        <v>182</v>
      </c>
      <c r="F226" s="304"/>
      <c r="G226" s="280"/>
      <c r="H226" s="280"/>
      <c r="I226" s="280"/>
      <c r="J226" s="280"/>
      <c r="K226" s="308"/>
      <c r="L226" s="308"/>
      <c r="M226" s="263"/>
      <c r="N226" s="262"/>
      <c r="O226" s="263"/>
      <c r="P226" s="282"/>
      <c r="Q226" s="283"/>
      <c r="R226" s="284"/>
      <c r="S226" s="285"/>
      <c r="T226" s="286"/>
      <c r="U226" s="287"/>
      <c r="V226" s="288"/>
      <c r="W226" s="289"/>
      <c r="X226" s="290"/>
      <c r="Y226" s="291"/>
    </row>
    <row r="227" spans="1:25" hidden="1">
      <c r="A227" s="2233"/>
      <c r="B227" s="2236"/>
      <c r="C227" s="2247"/>
      <c r="D227" s="2242"/>
      <c r="E227" s="705" t="s">
        <v>183</v>
      </c>
      <c r="F227" s="304"/>
      <c r="G227" s="280"/>
      <c r="H227" s="280"/>
      <c r="I227" s="280"/>
      <c r="J227" s="280"/>
      <c r="K227" s="308"/>
      <c r="L227" s="308"/>
      <c r="M227" s="263"/>
      <c r="N227" s="262"/>
      <c r="O227" s="263"/>
      <c r="P227" s="282"/>
      <c r="Q227" s="283"/>
      <c r="R227" s="284"/>
      <c r="S227" s="285"/>
      <c r="T227" s="286"/>
      <c r="U227" s="287"/>
      <c r="V227" s="288"/>
      <c r="W227" s="289"/>
      <c r="X227" s="290"/>
      <c r="Y227" s="291"/>
    </row>
    <row r="228" spans="1:25" hidden="1">
      <c r="A228" s="2233"/>
      <c r="B228" s="2236"/>
      <c r="C228" s="2247"/>
      <c r="D228" s="2242"/>
      <c r="E228" s="705" t="s">
        <v>184</v>
      </c>
      <c r="F228" s="304"/>
      <c r="G228" s="280"/>
      <c r="H228" s="280"/>
      <c r="I228" s="280"/>
      <c r="J228" s="280"/>
      <c r="K228" s="308"/>
      <c r="L228" s="308"/>
      <c r="M228" s="263"/>
      <c r="N228" s="262"/>
      <c r="O228" s="263"/>
      <c r="P228" s="282"/>
      <c r="Q228" s="283"/>
      <c r="R228" s="284"/>
      <c r="S228" s="285"/>
      <c r="T228" s="286"/>
      <c r="U228" s="287"/>
      <c r="V228" s="288"/>
      <c r="W228" s="289"/>
      <c r="X228" s="290"/>
      <c r="Y228" s="291"/>
    </row>
    <row r="229" spans="1:25" hidden="1">
      <c r="A229" s="2233"/>
      <c r="B229" s="2236"/>
      <c r="C229" s="2247"/>
      <c r="D229" s="2242"/>
      <c r="E229" s="705" t="s">
        <v>185</v>
      </c>
      <c r="F229" s="304"/>
      <c r="G229" s="280"/>
      <c r="H229" s="280"/>
      <c r="I229" s="280"/>
      <c r="J229" s="280"/>
      <c r="K229" s="308"/>
      <c r="L229" s="308"/>
      <c r="M229" s="263"/>
      <c r="N229" s="262"/>
      <c r="O229" s="263"/>
      <c r="P229" s="282"/>
      <c r="Q229" s="283"/>
      <c r="R229" s="284"/>
      <c r="S229" s="285"/>
      <c r="T229" s="286"/>
      <c r="U229" s="287"/>
      <c r="V229" s="288"/>
      <c r="W229" s="289"/>
      <c r="X229" s="290"/>
      <c r="Y229" s="291"/>
    </row>
    <row r="230" spans="1:25" hidden="1">
      <c r="A230" s="2233"/>
      <c r="B230" s="2236"/>
      <c r="C230" s="2247"/>
      <c r="D230" s="2242"/>
      <c r="E230" s="705" t="s">
        <v>186</v>
      </c>
      <c r="F230" s="304"/>
      <c r="G230" s="280"/>
      <c r="H230" s="280"/>
      <c r="I230" s="280"/>
      <c r="J230" s="280"/>
      <c r="K230" s="308"/>
      <c r="L230" s="308"/>
      <c r="M230" s="263"/>
      <c r="N230" s="262"/>
      <c r="O230" s="263"/>
      <c r="P230" s="282"/>
      <c r="Q230" s="283"/>
      <c r="R230" s="284"/>
      <c r="S230" s="285"/>
      <c r="T230" s="286"/>
      <c r="U230" s="287"/>
      <c r="V230" s="288"/>
      <c r="W230" s="289"/>
      <c r="X230" s="290"/>
      <c r="Y230" s="291"/>
    </row>
    <row r="231" spans="1:25" hidden="1">
      <c r="A231" s="2233"/>
      <c r="B231" s="2236"/>
      <c r="C231" s="2247"/>
      <c r="D231" s="2242"/>
      <c r="E231" s="705" t="s">
        <v>187</v>
      </c>
      <c r="F231" s="304"/>
      <c r="G231" s="280"/>
      <c r="H231" s="280"/>
      <c r="I231" s="280"/>
      <c r="J231" s="280"/>
      <c r="K231" s="308"/>
      <c r="L231" s="308"/>
      <c r="M231" s="263"/>
      <c r="N231" s="262"/>
      <c r="O231" s="263"/>
      <c r="P231" s="282"/>
      <c r="Q231" s="283"/>
      <c r="R231" s="284"/>
      <c r="S231" s="285"/>
      <c r="T231" s="286"/>
      <c r="U231" s="287"/>
      <c r="V231" s="288"/>
      <c r="W231" s="289"/>
      <c r="X231" s="290"/>
      <c r="Y231" s="291"/>
    </row>
    <row r="232" spans="1:25" ht="15" hidden="1" thickBot="1">
      <c r="A232" s="2234"/>
      <c r="B232" s="2237"/>
      <c r="C232" s="2248"/>
      <c r="D232" s="2243"/>
      <c r="E232" s="706" t="s">
        <v>188</v>
      </c>
      <c r="F232" s="305"/>
      <c r="G232" s="292"/>
      <c r="H232" s="292"/>
      <c r="I232" s="292"/>
      <c r="J232" s="292"/>
      <c r="K232" s="309"/>
      <c r="L232" s="309"/>
      <c r="M232" s="267"/>
      <c r="N232" s="266"/>
      <c r="O232" s="267"/>
      <c r="P232" s="294"/>
      <c r="Q232" s="295"/>
      <c r="R232" s="296"/>
      <c r="S232" s="297"/>
      <c r="T232" s="298"/>
      <c r="U232" s="299"/>
      <c r="V232" s="300"/>
      <c r="W232" s="301"/>
      <c r="X232" s="302"/>
      <c r="Y232" s="303"/>
    </row>
    <row r="233" spans="1:25" hidden="1">
      <c r="A233" s="2232" t="s">
        <v>251</v>
      </c>
      <c r="B233" s="2235" t="s">
        <v>252</v>
      </c>
      <c r="C233" s="2246" t="s">
        <v>272</v>
      </c>
      <c r="D233" s="2241">
        <v>2021</v>
      </c>
      <c r="E233" s="709" t="s">
        <v>176</v>
      </c>
      <c r="F233" s="306"/>
      <c r="G233" s="268"/>
      <c r="H233" s="268"/>
      <c r="I233" s="268"/>
      <c r="J233" s="268"/>
      <c r="K233" s="307"/>
      <c r="L233" s="307"/>
      <c r="M233" s="259"/>
      <c r="N233" s="258"/>
      <c r="O233" s="259"/>
      <c r="P233" s="270"/>
      <c r="Q233" s="271"/>
      <c r="R233" s="272"/>
      <c r="S233" s="273"/>
      <c r="T233" s="274"/>
      <c r="U233" s="275"/>
      <c r="V233" s="276"/>
      <c r="W233" s="277"/>
      <c r="X233" s="278"/>
      <c r="Y233" s="279"/>
    </row>
    <row r="234" spans="1:25" hidden="1">
      <c r="A234" s="2233"/>
      <c r="B234" s="2236"/>
      <c r="C234" s="2247"/>
      <c r="D234" s="2242"/>
      <c r="E234" s="705" t="s">
        <v>177</v>
      </c>
      <c r="F234" s="304"/>
      <c r="G234" s="280"/>
      <c r="H234" s="280"/>
      <c r="I234" s="280"/>
      <c r="J234" s="280"/>
      <c r="K234" s="308"/>
      <c r="L234" s="308"/>
      <c r="M234" s="263"/>
      <c r="N234" s="262"/>
      <c r="O234" s="263"/>
      <c r="P234" s="282"/>
      <c r="Q234" s="283"/>
      <c r="R234" s="284"/>
      <c r="S234" s="285"/>
      <c r="T234" s="286"/>
      <c r="U234" s="287"/>
      <c r="V234" s="288"/>
      <c r="W234" s="289"/>
      <c r="X234" s="290"/>
      <c r="Y234" s="291"/>
    </row>
    <row r="235" spans="1:25" hidden="1">
      <c r="A235" s="2233"/>
      <c r="B235" s="2236"/>
      <c r="C235" s="2247"/>
      <c r="D235" s="2242"/>
      <c r="E235" s="705" t="s">
        <v>178</v>
      </c>
      <c r="F235" s="304"/>
      <c r="G235" s="280"/>
      <c r="H235" s="280"/>
      <c r="I235" s="280"/>
      <c r="J235" s="280"/>
      <c r="K235" s="308"/>
      <c r="L235" s="308"/>
      <c r="M235" s="263"/>
      <c r="N235" s="262"/>
      <c r="O235" s="263"/>
      <c r="P235" s="282"/>
      <c r="Q235" s="283"/>
      <c r="R235" s="284"/>
      <c r="S235" s="285"/>
      <c r="T235" s="286"/>
      <c r="U235" s="287"/>
      <c r="V235" s="288"/>
      <c r="W235" s="289"/>
      <c r="X235" s="290"/>
      <c r="Y235" s="291"/>
    </row>
    <row r="236" spans="1:25" hidden="1">
      <c r="A236" s="2233"/>
      <c r="B236" s="2236"/>
      <c r="C236" s="2247"/>
      <c r="D236" s="2242"/>
      <c r="E236" s="705" t="s">
        <v>179</v>
      </c>
      <c r="F236" s="304"/>
      <c r="G236" s="280"/>
      <c r="H236" s="280"/>
      <c r="I236" s="280"/>
      <c r="J236" s="280"/>
      <c r="K236" s="308"/>
      <c r="L236" s="308"/>
      <c r="M236" s="263"/>
      <c r="N236" s="262"/>
      <c r="O236" s="263"/>
      <c r="P236" s="282"/>
      <c r="Q236" s="283"/>
      <c r="R236" s="284"/>
      <c r="S236" s="285"/>
      <c r="T236" s="286"/>
      <c r="U236" s="287"/>
      <c r="V236" s="288"/>
      <c r="W236" s="289"/>
      <c r="X236" s="290"/>
      <c r="Y236" s="291"/>
    </row>
    <row r="237" spans="1:25" hidden="1">
      <c r="A237" s="2233"/>
      <c r="B237" s="2236"/>
      <c r="C237" s="2247"/>
      <c r="D237" s="2242"/>
      <c r="E237" s="705" t="s">
        <v>180</v>
      </c>
      <c r="F237" s="304"/>
      <c r="G237" s="280"/>
      <c r="H237" s="280"/>
      <c r="I237" s="280"/>
      <c r="J237" s="280"/>
      <c r="K237" s="308"/>
      <c r="L237" s="308"/>
      <c r="M237" s="263"/>
      <c r="N237" s="262"/>
      <c r="O237" s="263"/>
      <c r="P237" s="282"/>
      <c r="Q237" s="283"/>
      <c r="R237" s="284"/>
      <c r="S237" s="285"/>
      <c r="T237" s="286"/>
      <c r="U237" s="287"/>
      <c r="V237" s="288"/>
      <c r="W237" s="289"/>
      <c r="X237" s="290"/>
      <c r="Y237" s="291"/>
    </row>
    <row r="238" spans="1:25" hidden="1">
      <c r="A238" s="2233"/>
      <c r="B238" s="2236"/>
      <c r="C238" s="2247"/>
      <c r="D238" s="2242"/>
      <c r="E238" s="705" t="s">
        <v>182</v>
      </c>
      <c r="F238" s="304"/>
      <c r="G238" s="280"/>
      <c r="H238" s="280"/>
      <c r="I238" s="280"/>
      <c r="J238" s="280"/>
      <c r="K238" s="308"/>
      <c r="L238" s="308"/>
      <c r="M238" s="263"/>
      <c r="N238" s="262"/>
      <c r="O238" s="263"/>
      <c r="P238" s="282"/>
      <c r="Q238" s="283"/>
      <c r="R238" s="284"/>
      <c r="S238" s="285"/>
      <c r="T238" s="286"/>
      <c r="U238" s="287"/>
      <c r="V238" s="288"/>
      <c r="W238" s="289"/>
      <c r="X238" s="290"/>
      <c r="Y238" s="291"/>
    </row>
    <row r="239" spans="1:25" hidden="1">
      <c r="A239" s="2233"/>
      <c r="B239" s="2236"/>
      <c r="C239" s="2247"/>
      <c r="D239" s="2242"/>
      <c r="E239" s="705" t="s">
        <v>183</v>
      </c>
      <c r="F239" s="304"/>
      <c r="G239" s="280"/>
      <c r="H239" s="280"/>
      <c r="I239" s="280"/>
      <c r="J239" s="280"/>
      <c r="K239" s="308"/>
      <c r="L239" s="308"/>
      <c r="M239" s="263"/>
      <c r="N239" s="262"/>
      <c r="O239" s="263"/>
      <c r="P239" s="282"/>
      <c r="Q239" s="283"/>
      <c r="R239" s="284"/>
      <c r="S239" s="285"/>
      <c r="T239" s="286"/>
      <c r="U239" s="287"/>
      <c r="V239" s="288"/>
      <c r="W239" s="289"/>
      <c r="X239" s="290"/>
      <c r="Y239" s="291"/>
    </row>
    <row r="240" spans="1:25" hidden="1">
      <c r="A240" s="2233"/>
      <c r="B240" s="2236"/>
      <c r="C240" s="2247"/>
      <c r="D240" s="2242"/>
      <c r="E240" s="705" t="s">
        <v>184</v>
      </c>
      <c r="F240" s="304"/>
      <c r="G240" s="280"/>
      <c r="H240" s="280"/>
      <c r="I240" s="280"/>
      <c r="J240" s="280"/>
      <c r="K240" s="308"/>
      <c r="L240" s="308"/>
      <c r="M240" s="263"/>
      <c r="N240" s="262"/>
      <c r="O240" s="263"/>
      <c r="P240" s="282"/>
      <c r="Q240" s="283"/>
      <c r="R240" s="284"/>
      <c r="S240" s="285"/>
      <c r="T240" s="286"/>
      <c r="U240" s="287"/>
      <c r="V240" s="288"/>
      <c r="W240" s="289"/>
      <c r="X240" s="290"/>
      <c r="Y240" s="291"/>
    </row>
    <row r="241" spans="1:25" hidden="1">
      <c r="A241" s="2233"/>
      <c r="B241" s="2236"/>
      <c r="C241" s="2247"/>
      <c r="D241" s="2242"/>
      <c r="E241" s="705" t="s">
        <v>185</v>
      </c>
      <c r="F241" s="304"/>
      <c r="G241" s="280"/>
      <c r="H241" s="280"/>
      <c r="I241" s="280"/>
      <c r="J241" s="280"/>
      <c r="K241" s="308"/>
      <c r="L241" s="308"/>
      <c r="M241" s="263"/>
      <c r="N241" s="262"/>
      <c r="O241" s="263"/>
      <c r="P241" s="282"/>
      <c r="Q241" s="283"/>
      <c r="R241" s="284"/>
      <c r="S241" s="285"/>
      <c r="T241" s="286"/>
      <c r="U241" s="287"/>
      <c r="V241" s="288"/>
      <c r="W241" s="289"/>
      <c r="X241" s="290"/>
      <c r="Y241" s="291"/>
    </row>
    <row r="242" spans="1:25" hidden="1">
      <c r="A242" s="2233"/>
      <c r="B242" s="2236"/>
      <c r="C242" s="2247"/>
      <c r="D242" s="2242"/>
      <c r="E242" s="705" t="s">
        <v>186</v>
      </c>
      <c r="F242" s="304"/>
      <c r="G242" s="280"/>
      <c r="H242" s="280"/>
      <c r="I242" s="280"/>
      <c r="J242" s="280"/>
      <c r="K242" s="308"/>
      <c r="L242" s="308"/>
      <c r="M242" s="263"/>
      <c r="N242" s="262"/>
      <c r="O242" s="263"/>
      <c r="P242" s="282"/>
      <c r="Q242" s="283"/>
      <c r="R242" s="284"/>
      <c r="S242" s="285"/>
      <c r="T242" s="286"/>
      <c r="U242" s="287"/>
      <c r="V242" s="288"/>
      <c r="W242" s="289"/>
      <c r="X242" s="290"/>
      <c r="Y242" s="291"/>
    </row>
    <row r="243" spans="1:25" hidden="1">
      <c r="A243" s="2233"/>
      <c r="B243" s="2236"/>
      <c r="C243" s="2247"/>
      <c r="D243" s="2242"/>
      <c r="E243" s="705" t="s">
        <v>187</v>
      </c>
      <c r="F243" s="304"/>
      <c r="G243" s="280"/>
      <c r="H243" s="280"/>
      <c r="I243" s="280"/>
      <c r="J243" s="280"/>
      <c r="K243" s="308"/>
      <c r="L243" s="308"/>
      <c r="M243" s="263"/>
      <c r="N243" s="262"/>
      <c r="O243" s="263"/>
      <c r="P243" s="282"/>
      <c r="Q243" s="283"/>
      <c r="R243" s="284"/>
      <c r="S243" s="285"/>
      <c r="T243" s="286"/>
      <c r="U243" s="287"/>
      <c r="V243" s="288"/>
      <c r="W243" s="289"/>
      <c r="X243" s="290"/>
      <c r="Y243" s="291"/>
    </row>
    <row r="244" spans="1:25" ht="15" hidden="1" thickBot="1">
      <c r="A244" s="2234"/>
      <c r="B244" s="2237"/>
      <c r="C244" s="2248"/>
      <c r="D244" s="2243"/>
      <c r="E244" s="706" t="s">
        <v>188</v>
      </c>
      <c r="F244" s="305"/>
      <c r="G244" s="292"/>
      <c r="H244" s="292"/>
      <c r="I244" s="292"/>
      <c r="J244" s="292"/>
      <c r="K244" s="309"/>
      <c r="L244" s="309"/>
      <c r="M244" s="267"/>
      <c r="N244" s="266"/>
      <c r="O244" s="267"/>
      <c r="P244" s="294"/>
      <c r="Q244" s="295"/>
      <c r="R244" s="296"/>
      <c r="S244" s="297"/>
      <c r="T244" s="298"/>
      <c r="U244" s="299"/>
      <c r="V244" s="300"/>
      <c r="W244" s="301"/>
      <c r="X244" s="302"/>
      <c r="Y244" s="303"/>
    </row>
    <row r="245" spans="1:25" hidden="1"/>
  </sheetData>
  <mergeCells count="95">
    <mergeCell ref="A197:A208"/>
    <mergeCell ref="B197:B208"/>
    <mergeCell ref="C197:C208"/>
    <mergeCell ref="D197:D208"/>
    <mergeCell ref="A233:A244"/>
    <mergeCell ref="B233:B244"/>
    <mergeCell ref="C233:C244"/>
    <mergeCell ref="D233:D244"/>
    <mergeCell ref="A209:A220"/>
    <mergeCell ref="B209:B220"/>
    <mergeCell ref="C209:C220"/>
    <mergeCell ref="D209:D220"/>
    <mergeCell ref="A221:A232"/>
    <mergeCell ref="B221:B232"/>
    <mergeCell ref="C221:C232"/>
    <mergeCell ref="D221:D232"/>
    <mergeCell ref="A173:A184"/>
    <mergeCell ref="B173:B184"/>
    <mergeCell ref="C173:C184"/>
    <mergeCell ref="D173:D184"/>
    <mergeCell ref="A185:A196"/>
    <mergeCell ref="B185:B196"/>
    <mergeCell ref="C185:C196"/>
    <mergeCell ref="D185:D196"/>
    <mergeCell ref="A149:A160"/>
    <mergeCell ref="B149:B160"/>
    <mergeCell ref="C149:C160"/>
    <mergeCell ref="D149:D160"/>
    <mergeCell ref="A161:A172"/>
    <mergeCell ref="B161:B172"/>
    <mergeCell ref="C161:C172"/>
    <mergeCell ref="D161:D172"/>
    <mergeCell ref="A125:A136"/>
    <mergeCell ref="B125:B136"/>
    <mergeCell ref="C125:C136"/>
    <mergeCell ref="D125:D136"/>
    <mergeCell ref="A137:A148"/>
    <mergeCell ref="B137:B148"/>
    <mergeCell ref="C137:C148"/>
    <mergeCell ref="D137:D148"/>
    <mergeCell ref="A101:A112"/>
    <mergeCell ref="B101:B112"/>
    <mergeCell ref="C101:C112"/>
    <mergeCell ref="D101:D112"/>
    <mergeCell ref="A113:A124"/>
    <mergeCell ref="B113:B124"/>
    <mergeCell ref="C113:C124"/>
    <mergeCell ref="D113:D124"/>
    <mergeCell ref="A77:A88"/>
    <mergeCell ref="B77:B88"/>
    <mergeCell ref="C77:C88"/>
    <mergeCell ref="D77:D88"/>
    <mergeCell ref="A89:A100"/>
    <mergeCell ref="B89:B100"/>
    <mergeCell ref="C89:C100"/>
    <mergeCell ref="D89:D100"/>
    <mergeCell ref="A53:A64"/>
    <mergeCell ref="B53:B64"/>
    <mergeCell ref="C53:C64"/>
    <mergeCell ref="D53:D64"/>
    <mergeCell ref="A65:A76"/>
    <mergeCell ref="B65:B76"/>
    <mergeCell ref="C65:C76"/>
    <mergeCell ref="D65:D76"/>
    <mergeCell ref="A29:A40"/>
    <mergeCell ref="B29:B40"/>
    <mergeCell ref="C29:C40"/>
    <mergeCell ref="D29:D40"/>
    <mergeCell ref="A41:A52"/>
    <mergeCell ref="B41:B52"/>
    <mergeCell ref="C41:C52"/>
    <mergeCell ref="D41:D52"/>
    <mergeCell ref="A17:A28"/>
    <mergeCell ref="B17:B28"/>
    <mergeCell ref="C17:C28"/>
    <mergeCell ref="D17:D28"/>
    <mergeCell ref="A5:A16"/>
    <mergeCell ref="B5:B16"/>
    <mergeCell ref="C5:C16"/>
    <mergeCell ref="D5:D16"/>
    <mergeCell ref="A2:Y2"/>
    <mergeCell ref="A3:A4"/>
    <mergeCell ref="B3:B4"/>
    <mergeCell ref="C3:C4"/>
    <mergeCell ref="D3:D4"/>
    <mergeCell ref="E3:E4"/>
    <mergeCell ref="F3:M3"/>
    <mergeCell ref="N3:N4"/>
    <mergeCell ref="O3:O4"/>
    <mergeCell ref="P3:Q3"/>
    <mergeCell ref="R3:R4"/>
    <mergeCell ref="S3:S4"/>
    <mergeCell ref="X3:X4"/>
    <mergeCell ref="Y3:Y4"/>
    <mergeCell ref="T4:V4"/>
  </mergeCell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FF0000"/>
    <pageSetUpPr fitToPage="1"/>
  </sheetPr>
  <dimension ref="B1:AK88"/>
  <sheetViews>
    <sheetView showGridLines="0" topLeftCell="A70" workbookViewId="0">
      <selection activeCell="I85" sqref="I85:V87"/>
    </sheetView>
  </sheetViews>
  <sheetFormatPr baseColWidth="10" defaultColWidth="11.44140625" defaultRowHeight="18.75" customHeight="1"/>
  <cols>
    <col min="1" max="1" width="5.44140625" customWidth="1"/>
    <col min="2" max="2" width="1.21875" style="88" customWidth="1"/>
    <col min="3" max="3" width="2.77734375" style="88" customWidth="1"/>
    <col min="4" max="4" width="8" style="89" customWidth="1"/>
    <col min="5" max="13" width="6.21875" style="89" customWidth="1"/>
    <col min="14" max="14" width="6.44140625" style="89" customWidth="1"/>
    <col min="15" max="20" width="6.21875" style="89" customWidth="1"/>
    <col min="21" max="21" width="8.5546875" style="89" customWidth="1"/>
    <col min="22" max="22" width="7.44140625" style="89" customWidth="1"/>
    <col min="23" max="23" width="1" style="89" customWidth="1"/>
    <col min="24" max="24" width="1.21875" customWidth="1"/>
    <col min="25" max="25" width="5.21875" customWidth="1"/>
    <col min="26" max="26" width="29.44140625" bestFit="1" customWidth="1"/>
    <col min="27" max="27" width="12.44140625" bestFit="1" customWidth="1"/>
  </cols>
  <sheetData>
    <row r="1" spans="2:26" ht="9" customHeight="1"/>
    <row r="2" spans="2:26" ht="6" customHeight="1" thickBot="1"/>
    <row r="3" spans="2:26" ht="10.5" customHeight="1">
      <c r="B3" s="90"/>
      <c r="C3" s="91"/>
      <c r="D3" s="92"/>
      <c r="E3" s="92"/>
      <c r="F3" s="92"/>
      <c r="G3" s="92"/>
      <c r="H3" s="92"/>
      <c r="I3" s="92"/>
      <c r="J3" s="92"/>
      <c r="K3" s="92"/>
      <c r="L3" s="92"/>
      <c r="M3" s="92"/>
      <c r="N3" s="92"/>
      <c r="O3" s="92"/>
      <c r="P3" s="92"/>
      <c r="Q3" s="92"/>
      <c r="R3" s="92"/>
      <c r="S3" s="2249" t="s">
        <v>78</v>
      </c>
      <c r="T3" s="2249"/>
      <c r="U3" s="2249"/>
      <c r="V3" s="2249"/>
      <c r="W3" s="2249"/>
      <c r="X3" s="2250"/>
      <c r="Z3" s="711">
        <f ca="1">R6-1</f>
        <v>45125</v>
      </c>
    </row>
    <row r="4" spans="2:26" ht="15.75" customHeight="1">
      <c r="B4" s="93"/>
      <c r="D4" s="2251" t="s">
        <v>79</v>
      </c>
      <c r="E4" s="2251"/>
      <c r="F4" s="2251"/>
      <c r="G4" s="2251"/>
      <c r="H4" s="2251"/>
      <c r="I4" s="2251"/>
      <c r="J4" s="2251"/>
      <c r="K4" s="2251"/>
      <c r="L4" s="2251"/>
      <c r="M4" s="2251"/>
      <c r="N4" s="2251"/>
      <c r="O4" s="2251"/>
      <c r="P4" s="2251"/>
      <c r="Q4" s="2251"/>
      <c r="R4" s="2251"/>
      <c r="S4" s="2251"/>
      <c r="T4" s="2251"/>
      <c r="U4" s="2251"/>
      <c r="V4" s="2251"/>
      <c r="W4" s="94"/>
      <c r="X4" s="95"/>
      <c r="Z4" s="387" t="str">
        <f ca="1">TEXT(Z3,"MMM")</f>
        <v>jul</v>
      </c>
    </row>
    <row r="5" spans="2:26" ht="45" customHeight="1">
      <c r="B5" s="93"/>
      <c r="D5" s="2252" t="s">
        <v>80</v>
      </c>
      <c r="E5" s="2252"/>
      <c r="F5" s="2252"/>
      <c r="G5" s="2252"/>
      <c r="H5" s="2253"/>
      <c r="I5" s="2253"/>
      <c r="J5" s="2253"/>
      <c r="K5" s="2253"/>
      <c r="L5" s="2253"/>
      <c r="M5" s="2253"/>
      <c r="N5" s="2253"/>
      <c r="O5" s="2253"/>
      <c r="P5" s="2253"/>
      <c r="Q5" s="2253"/>
      <c r="R5" s="2253"/>
      <c r="S5" s="2253"/>
      <c r="T5" s="2253"/>
      <c r="U5" s="2253"/>
      <c r="V5" s="2253"/>
      <c r="W5" s="96"/>
      <c r="X5" s="95"/>
    </row>
    <row r="6" spans="2:26" ht="9.75" customHeight="1">
      <c r="B6" s="93"/>
      <c r="D6" s="97"/>
      <c r="E6" s="97"/>
      <c r="F6" s="97"/>
      <c r="G6" s="97"/>
      <c r="H6" s="96"/>
      <c r="I6" s="96"/>
      <c r="J6" s="96"/>
      <c r="K6" s="96"/>
      <c r="L6" s="96"/>
      <c r="M6" s="96"/>
      <c r="N6" s="96"/>
      <c r="O6" s="96"/>
      <c r="P6" s="96"/>
      <c r="Q6" s="96"/>
      <c r="R6" s="2254">
        <f ca="1">+TODAY()</f>
        <v>45126</v>
      </c>
      <c r="S6" s="2254"/>
      <c r="T6" s="2254"/>
      <c r="U6" s="2254"/>
      <c r="V6" s="2254"/>
      <c r="W6" s="98"/>
      <c r="X6" s="95"/>
    </row>
    <row r="7" spans="2:26" ht="4.5" customHeight="1">
      <c r="B7" s="93"/>
      <c r="X7" s="95"/>
    </row>
    <row r="8" spans="2:26" ht="42" customHeight="1">
      <c r="B8" s="93"/>
      <c r="D8" s="2255" t="s">
        <v>81</v>
      </c>
      <c r="E8" s="2255"/>
      <c r="F8" s="2255"/>
      <c r="G8" s="2255"/>
      <c r="H8" s="2255"/>
      <c r="I8" s="2255"/>
      <c r="J8" s="2255"/>
      <c r="K8" s="2255"/>
      <c r="L8" s="2255"/>
      <c r="M8" s="2255"/>
      <c r="N8" s="2255"/>
      <c r="O8" s="2255"/>
      <c r="P8" s="2255"/>
      <c r="Q8" s="2255"/>
      <c r="R8" s="2255"/>
      <c r="S8" s="2255"/>
      <c r="T8" s="2255"/>
      <c r="U8" s="2255"/>
      <c r="V8" s="2255"/>
      <c r="W8" s="99"/>
      <c r="X8" s="100"/>
      <c r="Y8" s="101"/>
    </row>
    <row r="9" spans="2:26" ht="18" customHeight="1">
      <c r="B9" s="93"/>
      <c r="C9" s="2256" t="s">
        <v>82</v>
      </c>
      <c r="D9" s="2256"/>
      <c r="E9" s="2256"/>
      <c r="F9" s="2256"/>
      <c r="G9" s="2256"/>
      <c r="H9" s="2256"/>
      <c r="I9" s="2256"/>
      <c r="J9" s="2256"/>
      <c r="K9" s="2256"/>
      <c r="L9" s="2256"/>
      <c r="M9" s="2256"/>
      <c r="N9" s="2256"/>
      <c r="O9" s="2256"/>
      <c r="P9" s="2256"/>
      <c r="Q9" s="2256"/>
      <c r="R9" s="2256"/>
      <c r="S9" s="2256"/>
      <c r="T9" s="2256"/>
      <c r="U9" s="2256"/>
      <c r="V9" s="2256"/>
      <c r="W9" s="2256"/>
      <c r="X9" s="95"/>
    </row>
    <row r="10" spans="2:26" ht="18.75" customHeight="1">
      <c r="B10" s="93"/>
      <c r="C10" s="102">
        <v>1</v>
      </c>
      <c r="D10" s="2266" t="s">
        <v>83</v>
      </c>
      <c r="E10" s="2266"/>
      <c r="F10" s="2266"/>
      <c r="G10" s="2266"/>
      <c r="H10" s="2266"/>
      <c r="I10" s="2267"/>
      <c r="J10" s="2268"/>
      <c r="K10" s="2268"/>
      <c r="L10" s="2268"/>
      <c r="M10" s="2268"/>
      <c r="N10" s="2268"/>
      <c r="O10" s="2268"/>
      <c r="P10" s="2268"/>
      <c r="Q10" s="2268"/>
      <c r="R10" s="2268"/>
      <c r="S10" s="2268"/>
      <c r="T10" s="2268"/>
      <c r="U10" s="2268"/>
      <c r="V10" s="2268"/>
      <c r="W10" s="2269"/>
      <c r="X10" s="95"/>
    </row>
    <row r="11" spans="2:26" ht="2.25" customHeight="1">
      <c r="B11" s="93"/>
      <c r="X11" s="95"/>
    </row>
    <row r="12" spans="2:26" ht="2.25" customHeight="1">
      <c r="B12" s="93"/>
      <c r="C12" s="2270">
        <v>2</v>
      </c>
      <c r="D12" s="103"/>
      <c r="E12" s="103"/>
      <c r="F12" s="103"/>
      <c r="G12" s="103"/>
      <c r="H12" s="103"/>
      <c r="I12" s="103"/>
      <c r="J12" s="103"/>
      <c r="K12" s="103"/>
      <c r="L12" s="103"/>
      <c r="M12" s="103"/>
      <c r="N12" s="103"/>
      <c r="O12" s="103"/>
      <c r="P12" s="103"/>
      <c r="Q12" s="103"/>
      <c r="R12" s="103"/>
      <c r="S12" s="103"/>
      <c r="T12" s="103"/>
      <c r="U12" s="103"/>
      <c r="V12" s="103"/>
      <c r="W12" s="104"/>
      <c r="X12" s="95"/>
    </row>
    <row r="13" spans="2:26" ht="11.25" customHeight="1">
      <c r="B13" s="93"/>
      <c r="C13" s="2271"/>
      <c r="D13" s="2273" t="s">
        <v>84</v>
      </c>
      <c r="E13" s="2274"/>
      <c r="F13" s="2274"/>
      <c r="G13" s="2274"/>
      <c r="H13" s="2275"/>
      <c r="I13" s="2282" t="s">
        <v>85</v>
      </c>
      <c r="J13" s="2282"/>
      <c r="K13" s="2282"/>
      <c r="L13" s="2282"/>
      <c r="M13" s="2282"/>
      <c r="N13"/>
      <c r="O13" s="2282" t="s">
        <v>86</v>
      </c>
      <c r="P13" s="2282"/>
      <c r="Q13" s="2282"/>
      <c r="R13" s="2282"/>
      <c r="S13" s="2282"/>
      <c r="T13" s="2282"/>
      <c r="U13" s="2282"/>
      <c r="V13" s="2282"/>
      <c r="W13" s="105"/>
      <c r="X13" s="95"/>
    </row>
    <row r="14" spans="2:26" ht="18.75" customHeight="1">
      <c r="B14" s="93"/>
      <c r="C14" s="2271"/>
      <c r="D14" s="2276"/>
      <c r="E14" s="2277"/>
      <c r="F14" s="2277"/>
      <c r="G14" s="2277"/>
      <c r="H14" s="2278"/>
      <c r="I14" s="2283" t="s">
        <v>87</v>
      </c>
      <c r="J14" s="2284"/>
      <c r="K14" s="2284"/>
      <c r="L14" s="2284"/>
      <c r="M14" s="2285"/>
      <c r="O14" s="2283" t="s">
        <v>88</v>
      </c>
      <c r="P14" s="2284"/>
      <c r="Q14" s="2284"/>
      <c r="R14" s="2284"/>
      <c r="S14" s="2284"/>
      <c r="T14" s="2284"/>
      <c r="U14" s="2284"/>
      <c r="V14" s="2285"/>
      <c r="W14" s="106"/>
      <c r="X14" s="95"/>
    </row>
    <row r="15" spans="2:26" ht="3" customHeight="1">
      <c r="B15" s="107"/>
      <c r="C15" s="2271"/>
      <c r="D15" s="2276"/>
      <c r="E15" s="2277"/>
      <c r="F15" s="2277"/>
      <c r="G15" s="2277"/>
      <c r="H15" s="2278"/>
      <c r="I15" s="2286"/>
      <c r="J15" s="2286"/>
      <c r="K15" s="2286"/>
      <c r="L15" s="2286"/>
      <c r="M15" s="2286"/>
      <c r="N15" s="2286"/>
      <c r="O15" s="2286"/>
      <c r="P15" s="2286"/>
      <c r="Q15" s="2286"/>
      <c r="R15" s="2286"/>
      <c r="S15" s="2286"/>
      <c r="T15" s="2286"/>
      <c r="U15" s="2286"/>
      <c r="V15" s="2286"/>
      <c r="W15" s="106"/>
      <c r="X15" s="95"/>
    </row>
    <row r="16" spans="2:26" ht="18" customHeight="1">
      <c r="B16" s="93"/>
      <c r="C16" s="2271"/>
      <c r="D16" s="2279"/>
      <c r="E16" s="2280"/>
      <c r="F16" s="2280"/>
      <c r="G16" s="2280"/>
      <c r="H16" s="2281"/>
      <c r="I16" s="108" t="s">
        <v>89</v>
      </c>
      <c r="K16" s="2283" t="s">
        <v>90</v>
      </c>
      <c r="L16" s="2284"/>
      <c r="M16" s="2284"/>
      <c r="N16" s="2284"/>
      <c r="O16" s="2284"/>
      <c r="P16" s="2284"/>
      <c r="Q16" s="2284"/>
      <c r="R16" s="2284"/>
      <c r="S16" s="2284"/>
      <c r="T16" s="2284"/>
      <c r="U16" s="2284"/>
      <c r="V16" s="2285"/>
      <c r="W16" s="106"/>
      <c r="X16" s="95"/>
    </row>
    <row r="17" spans="2:24" ht="3" customHeight="1">
      <c r="B17" s="93"/>
      <c r="C17" s="2271"/>
      <c r="Q17" s="88"/>
      <c r="R17" s="88"/>
      <c r="S17" s="88"/>
      <c r="T17" s="88"/>
      <c r="U17" s="88"/>
      <c r="V17" s="88"/>
      <c r="W17" s="106"/>
      <c r="X17" s="95"/>
    </row>
    <row r="18" spans="2:24" ht="3" customHeight="1">
      <c r="B18" s="93"/>
      <c r="C18" s="2272"/>
      <c r="D18" s="109"/>
      <c r="E18" s="109"/>
      <c r="F18" s="109"/>
      <c r="G18" s="109"/>
      <c r="H18" s="109"/>
      <c r="I18" s="109"/>
      <c r="J18" s="109"/>
      <c r="K18" s="109"/>
      <c r="L18" s="109"/>
      <c r="M18" s="109"/>
      <c r="N18" s="109"/>
      <c r="O18" s="109"/>
      <c r="P18" s="109"/>
      <c r="Q18" s="110"/>
      <c r="R18" s="110"/>
      <c r="S18" s="110"/>
      <c r="T18" s="110"/>
      <c r="U18" s="110"/>
      <c r="V18" s="110"/>
      <c r="W18" s="111"/>
      <c r="X18" s="95"/>
    </row>
    <row r="19" spans="2:24" ht="3" customHeight="1">
      <c r="B19" s="93"/>
      <c r="Q19" s="88"/>
      <c r="R19" s="88"/>
      <c r="S19" s="88"/>
      <c r="T19" s="88"/>
      <c r="U19" s="88"/>
      <c r="V19" s="88"/>
      <c r="W19" s="88"/>
      <c r="X19" s="95"/>
    </row>
    <row r="20" spans="2:24" ht="3" customHeight="1">
      <c r="B20" s="93"/>
      <c r="C20" s="2257">
        <v>3</v>
      </c>
      <c r="D20" s="112"/>
      <c r="E20" s="103"/>
      <c r="F20" s="103"/>
      <c r="G20" s="103"/>
      <c r="H20" s="103"/>
      <c r="I20" s="103"/>
      <c r="J20" s="103"/>
      <c r="K20" s="103"/>
      <c r="L20" s="103"/>
      <c r="M20" s="103"/>
      <c r="N20" s="103"/>
      <c r="O20" s="103"/>
      <c r="P20" s="103"/>
      <c r="Q20" s="113"/>
      <c r="R20" s="113"/>
      <c r="S20" s="113"/>
      <c r="T20" s="113"/>
      <c r="U20" s="113"/>
      <c r="V20" s="113"/>
      <c r="W20" s="114"/>
      <c r="X20" s="95"/>
    </row>
    <row r="21" spans="2:24" ht="18" customHeight="1">
      <c r="B21" s="93"/>
      <c r="C21" s="2258"/>
      <c r="D21" s="2260" t="s">
        <v>91</v>
      </c>
      <c r="E21" s="2261"/>
      <c r="F21" s="2261"/>
      <c r="G21" s="2262" t="s">
        <v>92</v>
      </c>
      <c r="H21" s="2262"/>
      <c r="I21" s="2262"/>
      <c r="J21" s="115"/>
      <c r="L21" s="2262" t="s">
        <v>93</v>
      </c>
      <c r="M21" s="2262"/>
      <c r="N21" s="2262"/>
      <c r="O21" s="116"/>
      <c r="Q21" s="2262" t="s">
        <v>94</v>
      </c>
      <c r="R21" s="2262"/>
      <c r="S21" s="2262"/>
      <c r="T21" s="117" t="s">
        <v>95</v>
      </c>
      <c r="U21" s="88"/>
      <c r="V21" s="88"/>
      <c r="W21" s="106"/>
      <c r="X21" s="95"/>
    </row>
    <row r="22" spans="2:24" ht="3" customHeight="1">
      <c r="B22" s="93"/>
      <c r="C22" s="2259"/>
      <c r="D22" s="118"/>
      <c r="E22" s="109"/>
      <c r="F22" s="109"/>
      <c r="G22" s="109"/>
      <c r="H22" s="109"/>
      <c r="I22" s="109"/>
      <c r="J22" s="109"/>
      <c r="K22" s="109"/>
      <c r="L22" s="109"/>
      <c r="M22" s="109"/>
      <c r="N22" s="109"/>
      <c r="O22" s="109"/>
      <c r="P22" s="109"/>
      <c r="Q22" s="110"/>
      <c r="R22" s="110"/>
      <c r="S22" s="110"/>
      <c r="T22" s="110"/>
      <c r="U22" s="110"/>
      <c r="V22" s="110"/>
      <c r="W22" s="111"/>
      <c r="X22" s="95"/>
    </row>
    <row r="23" spans="2:24" ht="3" customHeight="1">
      <c r="B23" s="93"/>
      <c r="Q23" s="88"/>
      <c r="R23" s="88"/>
      <c r="S23" s="88"/>
      <c r="T23" s="88"/>
      <c r="U23" s="88"/>
      <c r="V23" s="88"/>
      <c r="W23" s="88"/>
      <c r="X23" s="95"/>
    </row>
    <row r="24" spans="2:24" ht="2.25" customHeight="1">
      <c r="B24" s="93"/>
      <c r="C24" s="2257">
        <v>4</v>
      </c>
      <c r="D24" s="103"/>
      <c r="E24" s="103"/>
      <c r="F24" s="103"/>
      <c r="G24" s="103"/>
      <c r="H24" s="103"/>
      <c r="I24" s="103"/>
      <c r="J24" s="103"/>
      <c r="K24" s="103"/>
      <c r="L24" s="103"/>
      <c r="M24" s="103"/>
      <c r="N24" s="103"/>
      <c r="O24" s="103"/>
      <c r="P24" s="103"/>
      <c r="Q24" s="113"/>
      <c r="R24" s="113"/>
      <c r="S24" s="113"/>
      <c r="T24" s="113"/>
      <c r="U24" s="113"/>
      <c r="V24" s="113"/>
      <c r="W24" s="114"/>
      <c r="X24" s="95"/>
    </row>
    <row r="25" spans="2:24" ht="15.75" customHeight="1">
      <c r="B25" s="93"/>
      <c r="C25" s="2258"/>
      <c r="D25" s="89" t="s">
        <v>96</v>
      </c>
      <c r="G25" s="2263"/>
      <c r="H25" s="2264"/>
      <c r="I25" s="2264"/>
      <c r="J25" s="2264"/>
      <c r="K25" s="2264"/>
      <c r="L25" s="2264"/>
      <c r="M25" s="2264"/>
      <c r="N25" s="2264"/>
      <c r="O25" s="2264"/>
      <c r="P25" s="2264"/>
      <c r="Q25" s="2264"/>
      <c r="R25" s="2264"/>
      <c r="S25" s="2264"/>
      <c r="T25" s="2264"/>
      <c r="U25" s="2264"/>
      <c r="V25" s="2265"/>
      <c r="W25" s="119"/>
      <c r="X25" s="95"/>
    </row>
    <row r="26" spans="2:24" ht="2.25" customHeight="1">
      <c r="B26" s="93"/>
      <c r="C26" s="2259"/>
      <c r="D26" s="109"/>
      <c r="E26" s="109"/>
      <c r="F26" s="109"/>
      <c r="G26" s="109"/>
      <c r="H26" s="109"/>
      <c r="I26" s="120"/>
      <c r="J26" s="120"/>
      <c r="K26" s="120"/>
      <c r="L26" s="120"/>
      <c r="M26" s="120"/>
      <c r="N26" s="120"/>
      <c r="O26" s="120"/>
      <c r="P26" s="120"/>
      <c r="Q26" s="120"/>
      <c r="R26" s="120"/>
      <c r="S26" s="120"/>
      <c r="T26" s="120"/>
      <c r="U26" s="120"/>
      <c r="V26" s="120"/>
      <c r="W26" s="121"/>
      <c r="X26" s="95"/>
    </row>
    <row r="27" spans="2:24" ht="2.25" customHeight="1">
      <c r="B27" s="93"/>
      <c r="I27" s="122"/>
      <c r="J27" s="122"/>
      <c r="K27" s="122"/>
      <c r="L27" s="122"/>
      <c r="M27" s="122"/>
      <c r="N27" s="122"/>
      <c r="O27" s="122"/>
      <c r="P27" s="122"/>
      <c r="Q27" s="122"/>
      <c r="R27" s="122"/>
      <c r="S27" s="122"/>
      <c r="T27" s="122"/>
      <c r="U27" s="122"/>
      <c r="V27" s="122"/>
      <c r="W27" s="122"/>
      <c r="X27" s="95"/>
    </row>
    <row r="28" spans="2:24" ht="2.25" customHeight="1">
      <c r="B28" s="93"/>
      <c r="C28" s="2257">
        <v>5</v>
      </c>
      <c r="D28" s="103"/>
      <c r="E28" s="103"/>
      <c r="F28" s="103"/>
      <c r="G28" s="103"/>
      <c r="H28" s="103"/>
      <c r="I28" s="123"/>
      <c r="J28" s="123"/>
      <c r="K28" s="123"/>
      <c r="L28" s="123"/>
      <c r="M28" s="123"/>
      <c r="N28" s="123"/>
      <c r="O28" s="123"/>
      <c r="P28" s="123"/>
      <c r="Q28" s="123"/>
      <c r="R28" s="123"/>
      <c r="S28" s="123"/>
      <c r="T28" s="123"/>
      <c r="U28" s="123"/>
      <c r="V28" s="123"/>
      <c r="W28" s="124"/>
      <c r="X28" s="95"/>
    </row>
    <row r="29" spans="2:24" ht="15" customHeight="1">
      <c r="B29" s="93"/>
      <c r="C29" s="2258"/>
      <c r="D29" s="2261" t="s">
        <v>97</v>
      </c>
      <c r="E29" s="2261"/>
      <c r="F29" s="2261"/>
      <c r="G29" s="2261"/>
      <c r="H29" s="2261"/>
      <c r="I29" s="2261"/>
      <c r="J29" s="2261"/>
      <c r="K29" s="2261"/>
      <c r="L29" s="2261"/>
      <c r="M29" s="2261"/>
      <c r="N29" s="2261"/>
      <c r="O29" s="2261"/>
      <c r="P29" s="2261"/>
      <c r="Q29" s="2261"/>
      <c r="R29" s="2261"/>
      <c r="S29" s="2261"/>
      <c r="T29" s="122"/>
      <c r="U29" s="2288" t="s">
        <v>98</v>
      </c>
      <c r="V29" s="2289"/>
      <c r="W29" s="125"/>
      <c r="X29" s="95"/>
    </row>
    <row r="30" spans="2:24" ht="3" customHeight="1">
      <c r="B30" s="93"/>
      <c r="C30" s="2259"/>
      <c r="D30" s="120"/>
      <c r="E30" s="120"/>
      <c r="F30" s="120"/>
      <c r="G30" s="120"/>
      <c r="H30" s="120"/>
      <c r="I30" s="120"/>
      <c r="J30" s="120"/>
      <c r="K30" s="120"/>
      <c r="L30" s="120"/>
      <c r="M30" s="120"/>
      <c r="N30" s="120"/>
      <c r="O30" s="120"/>
      <c r="P30" s="120"/>
      <c r="Q30" s="120"/>
      <c r="R30" s="120"/>
      <c r="S30" s="120"/>
      <c r="T30" s="120"/>
      <c r="U30" s="109"/>
      <c r="V30" s="109"/>
      <c r="W30" s="126"/>
      <c r="X30" s="95"/>
    </row>
    <row r="31" spans="2:24" ht="3" customHeight="1">
      <c r="B31" s="93"/>
      <c r="D31" s="122"/>
      <c r="E31" s="122"/>
      <c r="F31" s="122"/>
      <c r="G31" s="122"/>
      <c r="H31" s="122"/>
      <c r="I31" s="122"/>
      <c r="J31" s="122"/>
      <c r="K31" s="122"/>
      <c r="L31" s="122"/>
      <c r="M31" s="122"/>
      <c r="N31" s="122"/>
      <c r="O31" s="122"/>
      <c r="P31" s="122"/>
      <c r="Q31" s="122"/>
      <c r="R31" s="122"/>
      <c r="S31" s="122"/>
      <c r="T31" s="122"/>
      <c r="X31" s="95"/>
    </row>
    <row r="32" spans="2:24" ht="3" customHeight="1">
      <c r="B32" s="93"/>
      <c r="C32" s="2257">
        <v>6</v>
      </c>
      <c r="D32" s="103"/>
      <c r="E32" s="103"/>
      <c r="F32" s="103"/>
      <c r="G32" s="103"/>
      <c r="H32" s="103"/>
      <c r="I32" s="103"/>
      <c r="J32" s="103"/>
      <c r="K32" s="103"/>
      <c r="L32" s="103"/>
      <c r="M32" s="103"/>
      <c r="N32" s="103"/>
      <c r="O32" s="103"/>
      <c r="P32" s="103"/>
      <c r="Q32" s="103"/>
      <c r="R32" s="103"/>
      <c r="S32" s="103"/>
      <c r="T32" s="103"/>
      <c r="U32" s="103"/>
      <c r="V32" s="103"/>
      <c r="W32" s="104"/>
      <c r="X32" s="95"/>
    </row>
    <row r="33" spans="2:24" ht="12.75" customHeight="1">
      <c r="B33" s="93"/>
      <c r="C33" s="2258"/>
      <c r="K33" s="102" t="s">
        <v>99</v>
      </c>
      <c r="L33" s="2290" t="s">
        <v>100</v>
      </c>
      <c r="M33" s="2290"/>
      <c r="N33" s="2290" t="s">
        <v>101</v>
      </c>
      <c r="O33" s="2290"/>
      <c r="P33" s="2290" t="s">
        <v>102</v>
      </c>
      <c r="Q33" s="2290"/>
      <c r="R33" s="2290"/>
      <c r="S33" s="2290" t="s">
        <v>103</v>
      </c>
      <c r="T33" s="2290"/>
      <c r="U33" s="2290"/>
      <c r="V33" s="2290"/>
      <c r="W33" s="125"/>
      <c r="X33" s="95"/>
    </row>
    <row r="34" spans="2:24" ht="15.75" customHeight="1">
      <c r="B34" s="93"/>
      <c r="C34" s="2258"/>
      <c r="D34" s="2291" t="s">
        <v>104</v>
      </c>
      <c r="E34" s="2292"/>
      <c r="F34" s="2292"/>
      <c r="G34" s="2292"/>
      <c r="H34" s="2266" t="s">
        <v>105</v>
      </c>
      <c r="I34" s="2266"/>
      <c r="J34" s="2266"/>
      <c r="K34" s="127"/>
      <c r="L34" s="2287"/>
      <c r="M34" s="2287"/>
      <c r="N34" s="2287"/>
      <c r="O34" s="2287"/>
      <c r="P34" s="2263"/>
      <c r="Q34" s="2264"/>
      <c r="R34" s="2265"/>
      <c r="S34" s="2263"/>
      <c r="T34" s="2264"/>
      <c r="U34" s="2264"/>
      <c r="V34" s="2265"/>
      <c r="W34" s="128"/>
      <c r="X34" s="95"/>
    </row>
    <row r="35" spans="2:24" ht="15.75" customHeight="1">
      <c r="B35" s="93"/>
      <c r="C35" s="2258"/>
      <c r="D35" s="2291"/>
      <c r="E35" s="2292"/>
      <c r="F35" s="2292"/>
      <c r="G35" s="2292"/>
      <c r="H35" s="129" t="s">
        <v>106</v>
      </c>
      <c r="I35" s="129"/>
      <c r="J35" s="129"/>
      <c r="K35" s="127"/>
      <c r="L35" s="2287"/>
      <c r="M35" s="2287"/>
      <c r="N35" s="2287"/>
      <c r="O35" s="2287"/>
      <c r="P35" s="2263"/>
      <c r="Q35" s="2264"/>
      <c r="R35" s="2265"/>
      <c r="S35" s="2263"/>
      <c r="T35" s="2264"/>
      <c r="U35" s="2264"/>
      <c r="V35" s="2265"/>
      <c r="W35" s="128"/>
      <c r="X35" s="95"/>
    </row>
    <row r="36" spans="2:24" ht="15.75" customHeight="1">
      <c r="B36" s="93"/>
      <c r="C36" s="2258"/>
      <c r="D36" s="2291"/>
      <c r="E36" s="2292"/>
      <c r="F36" s="2292"/>
      <c r="G36" s="2292"/>
      <c r="H36" s="2266" t="s">
        <v>107</v>
      </c>
      <c r="I36" s="2266"/>
      <c r="J36" s="2266"/>
      <c r="K36" s="127"/>
      <c r="L36" s="2287"/>
      <c r="M36" s="2287"/>
      <c r="N36" s="2287"/>
      <c r="O36" s="2287"/>
      <c r="P36" s="2263"/>
      <c r="Q36" s="2264"/>
      <c r="R36" s="2265"/>
      <c r="S36" s="2263"/>
      <c r="T36" s="2264"/>
      <c r="U36" s="2264"/>
      <c r="V36" s="2265"/>
      <c r="W36" s="128"/>
      <c r="X36" s="95"/>
    </row>
    <row r="37" spans="2:24" ht="15.75" customHeight="1">
      <c r="B37" s="93"/>
      <c r="C37" s="2258"/>
      <c r="D37" s="2291"/>
      <c r="E37" s="2292"/>
      <c r="F37" s="2292"/>
      <c r="G37" s="2292"/>
      <c r="H37" s="2266" t="s">
        <v>108</v>
      </c>
      <c r="I37" s="2266"/>
      <c r="J37" s="2266"/>
      <c r="K37" s="127"/>
      <c r="L37" s="2287"/>
      <c r="M37" s="2287"/>
      <c r="N37" s="2287"/>
      <c r="O37" s="2287"/>
      <c r="P37" s="2263"/>
      <c r="Q37" s="2264"/>
      <c r="R37" s="2265"/>
      <c r="S37" s="2263"/>
      <c r="T37" s="2264"/>
      <c r="U37" s="2264"/>
      <c r="V37" s="2265"/>
      <c r="W37" s="128"/>
      <c r="X37" s="95"/>
    </row>
    <row r="38" spans="2:24" ht="2.25" customHeight="1">
      <c r="B38" s="93"/>
      <c r="C38" s="2259"/>
      <c r="D38" s="120"/>
      <c r="E38" s="120"/>
      <c r="F38" s="120"/>
      <c r="G38" s="110"/>
      <c r="H38" s="110"/>
      <c r="I38" s="110"/>
      <c r="J38" s="110"/>
      <c r="K38" s="110"/>
      <c r="L38" s="110"/>
      <c r="M38" s="110"/>
      <c r="N38" s="109"/>
      <c r="O38" s="130"/>
      <c r="P38" s="130"/>
      <c r="Q38" s="130"/>
      <c r="R38" s="130"/>
      <c r="S38" s="120"/>
      <c r="T38" s="120"/>
      <c r="U38" s="120"/>
      <c r="V38" s="131"/>
      <c r="W38" s="132"/>
      <c r="X38" s="95"/>
    </row>
    <row r="39" spans="2:24" ht="2.25" customHeight="1">
      <c r="B39" s="93"/>
      <c r="D39" s="122"/>
      <c r="E39" s="122"/>
      <c r="F39" s="122"/>
      <c r="G39" s="88"/>
      <c r="H39" s="88"/>
      <c r="I39" s="88"/>
      <c r="J39" s="88"/>
      <c r="K39" s="88"/>
      <c r="L39" s="88"/>
      <c r="M39" s="88"/>
      <c r="O39" s="133"/>
      <c r="P39" s="133"/>
      <c r="Q39" s="133"/>
      <c r="R39" s="133"/>
      <c r="S39" s="122"/>
      <c r="T39" s="122"/>
      <c r="U39" s="122"/>
      <c r="V39" s="134"/>
      <c r="W39" s="135"/>
      <c r="X39" s="95"/>
    </row>
    <row r="40" spans="2:24" ht="11.25" customHeight="1">
      <c r="B40" s="93"/>
      <c r="C40" s="2257">
        <v>7</v>
      </c>
      <c r="D40" s="2298" t="s">
        <v>109</v>
      </c>
      <c r="E40" s="2299"/>
      <c r="F40" s="2299"/>
      <c r="G40" s="2299"/>
      <c r="H40" s="2299"/>
      <c r="I40" s="2299"/>
      <c r="J40" s="2299"/>
      <c r="K40" s="2299"/>
      <c r="L40" s="2299"/>
      <c r="M40" s="2299"/>
      <c r="N40" s="2299"/>
      <c r="O40" s="2299"/>
      <c r="P40" s="2299"/>
      <c r="Q40" s="2299"/>
      <c r="R40" s="2299"/>
      <c r="S40" s="2299"/>
      <c r="T40" s="2299"/>
      <c r="U40" s="2299"/>
      <c r="V40" s="2299"/>
      <c r="W40" s="2300"/>
      <c r="X40" s="95"/>
    </row>
    <row r="41" spans="2:24" ht="14.25" customHeight="1">
      <c r="B41" s="93"/>
      <c r="C41" s="2258"/>
      <c r="D41" s="2259" t="s">
        <v>110</v>
      </c>
      <c r="E41" s="2259"/>
      <c r="F41" s="2272" t="s">
        <v>111</v>
      </c>
      <c r="G41" s="2302"/>
      <c r="H41" s="2303"/>
      <c r="I41" s="2259" t="s">
        <v>112</v>
      </c>
      <c r="J41" s="2259"/>
      <c r="K41" s="2259"/>
      <c r="L41" s="2259"/>
      <c r="M41" s="2259"/>
      <c r="N41" s="2259"/>
      <c r="O41" s="2259"/>
      <c r="P41" s="2259"/>
      <c r="Q41" s="2259"/>
      <c r="R41" s="2259"/>
      <c r="S41" s="2259"/>
      <c r="T41" s="2298" t="s">
        <v>113</v>
      </c>
      <c r="U41" s="2299"/>
      <c r="V41" s="2299"/>
      <c r="W41" s="2300"/>
      <c r="X41" s="95"/>
    </row>
    <row r="42" spans="2:24" ht="18.75" customHeight="1">
      <c r="B42" s="93"/>
      <c r="C42" s="2258"/>
      <c r="D42" s="2293" t="s">
        <v>114</v>
      </c>
      <c r="E42" s="2293"/>
      <c r="F42" s="2288">
        <v>51720</v>
      </c>
      <c r="G42" s="2294"/>
      <c r="H42" s="2289"/>
      <c r="I42" s="2283" t="s">
        <v>1505</v>
      </c>
      <c r="J42" s="2284"/>
      <c r="K42" s="2284"/>
      <c r="L42" s="2284"/>
      <c r="M42" s="2284"/>
      <c r="N42" s="2284"/>
      <c r="O42" s="2284"/>
      <c r="P42" s="2284"/>
      <c r="Q42" s="2284"/>
      <c r="R42" s="2284"/>
      <c r="S42" s="2285"/>
      <c r="T42" s="2295" t="s">
        <v>1506</v>
      </c>
      <c r="U42" s="2296"/>
      <c r="V42" s="2296"/>
      <c r="W42" s="2297"/>
      <c r="X42" s="95"/>
    </row>
    <row r="43" spans="2:24" ht="18.75" customHeight="1">
      <c r="B43" s="93"/>
      <c r="C43" s="2258"/>
      <c r="D43" s="2293"/>
      <c r="E43" s="2293"/>
      <c r="F43" s="2288"/>
      <c r="G43" s="2294"/>
      <c r="H43" s="2289"/>
      <c r="I43" s="2283"/>
      <c r="J43" s="2284"/>
      <c r="K43" s="2284"/>
      <c r="L43" s="2284"/>
      <c r="M43" s="2284"/>
      <c r="N43" s="2284"/>
      <c r="O43" s="2284"/>
      <c r="P43" s="2284"/>
      <c r="Q43" s="2284"/>
      <c r="R43" s="2284"/>
      <c r="S43" s="2285"/>
      <c r="T43" s="2295"/>
      <c r="U43" s="2296"/>
      <c r="V43" s="2296"/>
      <c r="W43" s="2297"/>
      <c r="X43" s="95"/>
    </row>
    <row r="44" spans="2:24" ht="18.75" customHeight="1">
      <c r="B44" s="93"/>
      <c r="C44" s="2258"/>
      <c r="D44" s="2287"/>
      <c r="E44" s="2287"/>
      <c r="F44" s="2263"/>
      <c r="G44" s="2264"/>
      <c r="H44" s="2265"/>
      <c r="I44" s="2287"/>
      <c r="J44" s="2287"/>
      <c r="K44" s="2287"/>
      <c r="L44" s="2287"/>
      <c r="M44" s="2287"/>
      <c r="N44" s="2287"/>
      <c r="O44" s="2287"/>
      <c r="P44" s="2287"/>
      <c r="Q44" s="2287"/>
      <c r="R44" s="2287"/>
      <c r="S44" s="2287"/>
      <c r="T44" s="2298"/>
      <c r="U44" s="2299"/>
      <c r="V44" s="2299"/>
      <c r="W44" s="2300"/>
      <c r="X44" s="95"/>
    </row>
    <row r="45" spans="2:24" ht="18.75" customHeight="1">
      <c r="B45" s="93"/>
      <c r="C45" s="2259"/>
      <c r="D45" s="2287"/>
      <c r="E45" s="2287"/>
      <c r="F45" s="2263"/>
      <c r="G45" s="2264"/>
      <c r="H45" s="2265"/>
      <c r="I45" s="2287"/>
      <c r="J45" s="2287"/>
      <c r="K45" s="2287"/>
      <c r="L45" s="2287"/>
      <c r="M45" s="2287"/>
      <c r="N45" s="2287"/>
      <c r="O45" s="2287"/>
      <c r="P45" s="2287"/>
      <c r="Q45" s="2287"/>
      <c r="R45" s="2287"/>
      <c r="S45" s="2287"/>
      <c r="T45" s="2298"/>
      <c r="U45" s="2299"/>
      <c r="V45" s="2299"/>
      <c r="W45" s="2300"/>
      <c r="X45" s="95"/>
    </row>
    <row r="46" spans="2:24" ht="5.25" customHeight="1">
      <c r="B46" s="93"/>
      <c r="X46" s="95"/>
    </row>
    <row r="47" spans="2:24" ht="16.5" customHeight="1">
      <c r="B47" s="93"/>
      <c r="C47" s="2304" t="s">
        <v>115</v>
      </c>
      <c r="D47" s="2304"/>
      <c r="E47" s="2304"/>
      <c r="F47" s="2304"/>
      <c r="G47" s="2304"/>
      <c r="H47" s="2304"/>
      <c r="I47" s="2304"/>
      <c r="J47" s="2304"/>
      <c r="K47" s="2304"/>
      <c r="L47" s="2304"/>
      <c r="M47" s="2304"/>
      <c r="N47" s="2304"/>
      <c r="O47" s="2304"/>
      <c r="P47" s="2304"/>
      <c r="Q47" s="2304"/>
      <c r="R47" s="2304"/>
      <c r="S47" s="2304"/>
      <c r="T47" s="2304"/>
      <c r="U47" s="2304"/>
      <c r="V47" s="2304"/>
      <c r="W47" s="2304"/>
      <c r="X47" s="95"/>
    </row>
    <row r="48" spans="2:24" ht="2.25" customHeight="1">
      <c r="B48" s="93"/>
      <c r="X48" s="95"/>
    </row>
    <row r="49" spans="2:24" ht="2.25" customHeight="1">
      <c r="B49" s="93"/>
      <c r="C49" s="2290">
        <v>8</v>
      </c>
      <c r="D49" s="103"/>
      <c r="E49" s="103"/>
      <c r="F49" s="103"/>
      <c r="G49" s="103"/>
      <c r="H49" s="103"/>
      <c r="I49" s="103"/>
      <c r="J49" s="103"/>
      <c r="K49" s="103"/>
      <c r="L49" s="103"/>
      <c r="M49" s="103"/>
      <c r="N49" s="103"/>
      <c r="O49" s="103"/>
      <c r="P49" s="103"/>
      <c r="Q49" s="103"/>
      <c r="R49" s="103"/>
      <c r="S49" s="103"/>
      <c r="T49" s="103"/>
      <c r="U49" s="103"/>
      <c r="V49" s="103"/>
      <c r="W49" s="104"/>
      <c r="X49" s="95"/>
    </row>
    <row r="50" spans="2:24" ht="18.75" customHeight="1">
      <c r="B50" s="93"/>
      <c r="C50" s="2290"/>
      <c r="D50" s="2261" t="s">
        <v>116</v>
      </c>
      <c r="E50" s="2261"/>
      <c r="F50" s="2261"/>
      <c r="G50" s="2261"/>
      <c r="H50" s="2305"/>
      <c r="I50" s="2306"/>
      <c r="J50" s="2307"/>
      <c r="K50" s="2307"/>
      <c r="L50" s="2308"/>
      <c r="M50" s="89" t="s">
        <v>117</v>
      </c>
      <c r="R50" s="2309"/>
      <c r="S50" s="2310"/>
      <c r="T50" s="2310"/>
      <c r="U50" s="2310"/>
      <c r="V50" s="2311"/>
      <c r="W50" s="125"/>
      <c r="X50" s="95"/>
    </row>
    <row r="51" spans="2:24" ht="3" customHeight="1">
      <c r="B51" s="93"/>
      <c r="C51" s="2290"/>
      <c r="W51" s="125"/>
      <c r="X51" s="95"/>
    </row>
    <row r="52" spans="2:24" ht="27" customHeight="1">
      <c r="B52" s="93"/>
      <c r="C52" s="2290"/>
      <c r="D52" s="2312" t="s">
        <v>118</v>
      </c>
      <c r="E52" s="2312"/>
      <c r="F52" s="2312"/>
      <c r="G52" s="2312"/>
      <c r="H52" s="2313"/>
      <c r="I52" s="2317">
        <f>+I50*R50</f>
        <v>0</v>
      </c>
      <c r="J52" s="2318"/>
      <c r="K52" s="2318"/>
      <c r="L52" s="2319"/>
      <c r="M52" s="2320" t="s">
        <v>119</v>
      </c>
      <c r="N52" s="2312"/>
      <c r="O52" s="2312"/>
      <c r="P52" s="2312"/>
      <c r="Q52" s="2313"/>
      <c r="R52" s="2309"/>
      <c r="S52" s="2310"/>
      <c r="T52" s="2310"/>
      <c r="U52" s="2310"/>
      <c r="V52" s="2311"/>
      <c r="W52" s="125"/>
      <c r="X52" s="95"/>
    </row>
    <row r="53" spans="2:24" ht="2.25" customHeight="1">
      <c r="B53" s="93"/>
      <c r="C53" s="2290"/>
      <c r="D53" s="136"/>
      <c r="E53" s="136"/>
      <c r="F53" s="136"/>
      <c r="G53" s="136"/>
      <c r="H53" s="136"/>
      <c r="I53" s="88"/>
      <c r="J53" s="88"/>
      <c r="K53" s="113"/>
      <c r="L53" s="113"/>
      <c r="W53" s="125"/>
      <c r="X53" s="95"/>
    </row>
    <row r="54" spans="2:24" ht="18" customHeight="1">
      <c r="B54" s="93"/>
      <c r="C54" s="2290"/>
      <c r="D54" s="89" t="s">
        <v>120</v>
      </c>
      <c r="K54" s="2321"/>
      <c r="L54" s="2321"/>
      <c r="M54" s="89" t="s">
        <v>121</v>
      </c>
      <c r="N54" s="2322">
        <f>+I52*K54</f>
        <v>0</v>
      </c>
      <c r="O54" s="2322"/>
      <c r="P54" s="2322"/>
      <c r="Q54" s="2322"/>
      <c r="W54" s="125"/>
      <c r="X54" s="95"/>
    </row>
    <row r="55" spans="2:24" ht="2.25" customHeight="1">
      <c r="B55" s="93"/>
      <c r="C55" s="2290"/>
      <c r="D55" s="137"/>
      <c r="E55" s="137"/>
      <c r="F55" s="137"/>
      <c r="G55" s="137"/>
      <c r="H55" s="137"/>
      <c r="I55" s="110"/>
      <c r="J55" s="110"/>
      <c r="K55" s="110"/>
      <c r="L55" s="110"/>
      <c r="M55" s="109"/>
      <c r="N55" s="109"/>
      <c r="O55" s="109"/>
      <c r="P55" s="109"/>
      <c r="Q55" s="109"/>
      <c r="R55" s="109"/>
      <c r="S55" s="109"/>
      <c r="T55" s="109"/>
      <c r="U55" s="109"/>
      <c r="V55" s="109"/>
      <c r="W55" s="126"/>
      <c r="X55" s="95"/>
    </row>
    <row r="56" spans="2:24" ht="2.25" customHeight="1">
      <c r="B56" s="93"/>
      <c r="D56" s="136"/>
      <c r="E56" s="136"/>
      <c r="F56" s="136"/>
      <c r="G56" s="136"/>
      <c r="H56" s="136"/>
      <c r="I56" s="88"/>
      <c r="J56" s="88"/>
      <c r="K56" s="88"/>
      <c r="L56" s="88"/>
      <c r="X56" s="95"/>
    </row>
    <row r="57" spans="2:24" ht="2.25" customHeight="1">
      <c r="B57" s="93"/>
      <c r="C57" s="2290">
        <v>9</v>
      </c>
      <c r="D57" s="138"/>
      <c r="E57" s="138"/>
      <c r="F57" s="138"/>
      <c r="G57" s="138"/>
      <c r="H57" s="138"/>
      <c r="I57" s="113"/>
      <c r="J57" s="113"/>
      <c r="K57" s="113"/>
      <c r="L57" s="113"/>
      <c r="M57" s="103"/>
      <c r="N57" s="103"/>
      <c r="O57" s="103"/>
      <c r="P57" s="103"/>
      <c r="Q57" s="103"/>
      <c r="R57" s="103"/>
      <c r="S57" s="103"/>
      <c r="T57" s="103"/>
      <c r="U57" s="103"/>
      <c r="V57" s="103"/>
      <c r="W57" s="104"/>
      <c r="X57" s="95"/>
    </row>
    <row r="58" spans="2:24" ht="18.75" customHeight="1">
      <c r="B58" s="93"/>
      <c r="C58" s="2290"/>
      <c r="D58" s="2323" t="s">
        <v>122</v>
      </c>
      <c r="E58" s="2323"/>
      <c r="F58" s="2323"/>
      <c r="G58" s="2323"/>
      <c r="H58" s="2323"/>
      <c r="I58" s="2323"/>
      <c r="J58" s="2323"/>
      <c r="K58" s="139" t="s">
        <v>123</v>
      </c>
      <c r="L58" s="140"/>
      <c r="M58" s="139" t="s">
        <v>124</v>
      </c>
      <c r="N58" s="140"/>
      <c r="W58" s="125"/>
      <c r="X58" s="95"/>
    </row>
    <row r="59" spans="2:24" ht="3" customHeight="1">
      <c r="B59" s="93"/>
      <c r="C59" s="2290"/>
      <c r="D59" s="109"/>
      <c r="E59" s="109"/>
      <c r="F59" s="109"/>
      <c r="G59" s="109"/>
      <c r="H59" s="109"/>
      <c r="I59" s="109"/>
      <c r="J59" s="109"/>
      <c r="K59" s="109"/>
      <c r="L59" s="109"/>
      <c r="M59" s="109"/>
      <c r="N59" s="109"/>
      <c r="O59" s="109"/>
      <c r="P59" s="109"/>
      <c r="Q59" s="109"/>
      <c r="R59" s="109"/>
      <c r="S59" s="109"/>
      <c r="T59" s="109"/>
      <c r="U59" s="109"/>
      <c r="V59" s="109"/>
      <c r="W59" s="126"/>
      <c r="X59" s="95"/>
    </row>
    <row r="60" spans="2:24" ht="3" customHeight="1">
      <c r="B60" s="93"/>
      <c r="X60" s="95"/>
    </row>
    <row r="61" spans="2:24" ht="18.75" customHeight="1">
      <c r="B61" s="93"/>
      <c r="C61" s="2256" t="s">
        <v>125</v>
      </c>
      <c r="D61" s="2256"/>
      <c r="E61" s="2256"/>
      <c r="F61" s="2256"/>
      <c r="G61" s="2256"/>
      <c r="H61" s="2256"/>
      <c r="I61" s="2256"/>
      <c r="J61" s="2256"/>
      <c r="K61" s="2256"/>
      <c r="L61" s="2256"/>
      <c r="M61" s="2256"/>
      <c r="N61" s="2256"/>
      <c r="O61" s="2256"/>
      <c r="P61" s="2256"/>
      <c r="Q61" s="2256"/>
      <c r="R61" s="2256"/>
      <c r="S61" s="2256"/>
      <c r="T61" s="2256"/>
      <c r="U61" s="2256"/>
      <c r="V61" s="2256"/>
      <c r="W61" s="2256"/>
      <c r="X61" s="95"/>
    </row>
    <row r="62" spans="2:24" ht="3" customHeight="1">
      <c r="B62" s="93"/>
      <c r="X62" s="95"/>
    </row>
    <row r="63" spans="2:24" ht="18.75" customHeight="1">
      <c r="B63" s="93"/>
      <c r="C63" s="2257">
        <v>10</v>
      </c>
      <c r="D63" s="103" t="s">
        <v>126</v>
      </c>
      <c r="E63" s="103"/>
      <c r="F63" s="103"/>
      <c r="G63" s="103"/>
      <c r="H63" s="103"/>
      <c r="I63" s="103"/>
      <c r="J63" s="103"/>
      <c r="K63" s="103"/>
      <c r="L63" s="103"/>
      <c r="M63" s="103"/>
      <c r="N63" s="103"/>
      <c r="O63" s="103"/>
      <c r="P63" s="103"/>
      <c r="Q63" s="103"/>
      <c r="R63" s="103"/>
      <c r="S63" s="103"/>
      <c r="T63" s="103"/>
      <c r="U63" s="103"/>
      <c r="V63" s="103"/>
      <c r="W63" s="104"/>
      <c r="X63" s="95"/>
    </row>
    <row r="64" spans="2:24" ht="15" customHeight="1">
      <c r="B64" s="93"/>
      <c r="C64" s="2258"/>
      <c r="D64" s="114">
        <v>2013</v>
      </c>
      <c r="E64" s="2314" t="s">
        <v>1263</v>
      </c>
      <c r="F64" s="2315"/>
      <c r="G64" s="2315"/>
      <c r="H64" s="2315"/>
      <c r="I64" s="2315"/>
      <c r="J64" s="2315"/>
      <c r="K64" s="2315"/>
      <c r="L64" s="2315"/>
      <c r="M64" s="2315"/>
      <c r="N64" s="2315"/>
      <c r="O64" s="2315"/>
      <c r="P64" s="2315"/>
      <c r="Q64" s="2315"/>
      <c r="R64" s="2315"/>
      <c r="S64" s="2315"/>
      <c r="T64" s="2315"/>
      <c r="U64" s="2315"/>
      <c r="V64" s="2316"/>
      <c r="W64" s="125"/>
      <c r="X64" s="95"/>
    </row>
    <row r="65" spans="2:37" ht="15" customHeight="1">
      <c r="B65" s="93"/>
      <c r="C65" s="2258"/>
      <c r="D65" s="114">
        <v>2014</v>
      </c>
      <c r="E65" s="2314"/>
      <c r="F65" s="2315"/>
      <c r="G65" s="2315"/>
      <c r="H65" s="2315"/>
      <c r="I65" s="2315"/>
      <c r="J65" s="2315"/>
      <c r="K65" s="2315"/>
      <c r="L65" s="2315"/>
      <c r="M65" s="2315"/>
      <c r="N65" s="2315"/>
      <c r="O65" s="2315"/>
      <c r="P65" s="2315"/>
      <c r="Q65" s="2315"/>
      <c r="R65" s="2315"/>
      <c r="S65" s="2315"/>
      <c r="T65" s="2315"/>
      <c r="U65" s="2315"/>
      <c r="V65" s="2316"/>
      <c r="W65" s="125"/>
      <c r="X65" s="95"/>
    </row>
    <row r="66" spans="2:37" ht="15" customHeight="1">
      <c r="B66" s="93"/>
      <c r="C66" s="2258"/>
      <c r="D66" s="610">
        <v>2015</v>
      </c>
      <c r="E66" s="611"/>
      <c r="F66" s="612"/>
      <c r="G66" s="612"/>
      <c r="H66" s="612"/>
      <c r="I66" s="612"/>
      <c r="J66" s="612"/>
      <c r="K66" s="612"/>
      <c r="L66" s="612"/>
      <c r="M66" s="612"/>
      <c r="N66" s="612"/>
      <c r="O66" s="612"/>
      <c r="P66" s="612"/>
      <c r="Q66" s="612"/>
      <c r="R66" s="612"/>
      <c r="S66" s="612"/>
      <c r="T66" s="612"/>
      <c r="U66" s="612"/>
      <c r="V66" s="613"/>
      <c r="W66" s="125"/>
      <c r="X66" s="95"/>
    </row>
    <row r="67" spans="2:37" ht="15" customHeight="1">
      <c r="B67" s="93"/>
      <c r="C67" s="2258"/>
      <c r="D67" s="1090">
        <v>2016</v>
      </c>
      <c r="E67" s="1091"/>
      <c r="F67" s="1092"/>
      <c r="G67" s="1092"/>
      <c r="H67" s="1092"/>
      <c r="I67" s="1092"/>
      <c r="J67" s="1092"/>
      <c r="K67" s="1092"/>
      <c r="L67" s="1092"/>
      <c r="M67" s="1092"/>
      <c r="N67" s="1092"/>
      <c r="O67" s="1092"/>
      <c r="P67" s="1092"/>
      <c r="Q67" s="1092"/>
      <c r="R67" s="1092"/>
      <c r="S67" s="1092"/>
      <c r="T67" s="1092"/>
      <c r="U67" s="1092"/>
      <c r="V67" s="1093"/>
      <c r="W67" s="125"/>
      <c r="X67" s="95"/>
    </row>
    <row r="68" spans="2:37" ht="15" customHeight="1">
      <c r="B68" s="93"/>
      <c r="C68" s="2258"/>
      <c r="D68" s="1090">
        <v>2017</v>
      </c>
      <c r="E68" s="1091"/>
      <c r="F68" s="1092"/>
      <c r="G68" s="1092"/>
      <c r="H68" s="1092"/>
      <c r="I68" s="1092"/>
      <c r="J68" s="1092"/>
      <c r="K68" s="1092"/>
      <c r="L68" s="1092"/>
      <c r="M68" s="1092"/>
      <c r="N68" s="1092"/>
      <c r="O68" s="1092"/>
      <c r="P68" s="1092"/>
      <c r="Q68" s="1092"/>
      <c r="R68" s="1092"/>
      <c r="S68" s="1092"/>
      <c r="T68" s="1092"/>
      <c r="U68" s="1092"/>
      <c r="V68" s="1093"/>
      <c r="W68" s="125"/>
      <c r="X68" s="95"/>
    </row>
    <row r="69" spans="2:37" ht="15" customHeight="1">
      <c r="B69" s="93"/>
      <c r="C69" s="2258"/>
      <c r="D69" s="1090">
        <v>2018</v>
      </c>
      <c r="E69" s="1091"/>
      <c r="F69" s="1092"/>
      <c r="G69" s="1092"/>
      <c r="H69" s="1092"/>
      <c r="I69" s="1092"/>
      <c r="J69" s="1092"/>
      <c r="K69" s="1092"/>
      <c r="L69" s="1092"/>
      <c r="M69" s="1092"/>
      <c r="N69" s="1092"/>
      <c r="O69" s="1092"/>
      <c r="P69" s="1092"/>
      <c r="Q69" s="1092"/>
      <c r="R69" s="1092"/>
      <c r="S69" s="1092"/>
      <c r="T69" s="1092"/>
      <c r="U69" s="1092"/>
      <c r="V69" s="1093"/>
      <c r="W69" s="125"/>
      <c r="X69" s="95"/>
    </row>
    <row r="70" spans="2:37" ht="30" customHeight="1">
      <c r="B70" s="93"/>
      <c r="C70" s="2259"/>
      <c r="D70" s="994">
        <v>2019</v>
      </c>
      <c r="E70" s="2314" t="s">
        <v>1264</v>
      </c>
      <c r="F70" s="2315"/>
      <c r="G70" s="2315"/>
      <c r="H70" s="2315"/>
      <c r="I70" s="2315"/>
      <c r="J70" s="2315"/>
      <c r="K70" s="2315"/>
      <c r="L70" s="2315"/>
      <c r="M70" s="2315"/>
      <c r="N70" s="2315"/>
      <c r="O70" s="2315"/>
      <c r="P70" s="2315"/>
      <c r="Q70" s="2315"/>
      <c r="R70" s="2315"/>
      <c r="S70" s="2315"/>
      <c r="T70" s="2315"/>
      <c r="U70" s="2315"/>
      <c r="V70" s="2316"/>
      <c r="W70" s="126"/>
      <c r="X70" s="95"/>
    </row>
    <row r="71" spans="2:37" ht="6.75" customHeight="1">
      <c r="B71" s="93"/>
      <c r="X71" s="95"/>
    </row>
    <row r="72" spans="2:37" ht="31.5" customHeight="1">
      <c r="B72" s="93"/>
      <c r="C72" s="2257">
        <v>11</v>
      </c>
      <c r="D72" s="2274" t="s">
        <v>127</v>
      </c>
      <c r="E72" s="2274"/>
      <c r="F72" s="2274"/>
      <c r="G72" s="2274"/>
      <c r="H72" s="2274"/>
      <c r="I72" s="2274"/>
      <c r="J72" s="2274"/>
      <c r="K72" s="2274"/>
      <c r="L72" s="2274"/>
      <c r="M72" s="2274"/>
      <c r="N72" s="2274"/>
      <c r="O72" s="2274"/>
      <c r="P72" s="2274"/>
      <c r="Q72" s="2274"/>
      <c r="R72" s="2274"/>
      <c r="S72" s="2274"/>
      <c r="T72" s="2274"/>
      <c r="U72" s="2274"/>
      <c r="V72" s="2274"/>
      <c r="W72" s="141"/>
      <c r="X72" s="95"/>
    </row>
    <row r="73" spans="2:37" ht="14.4">
      <c r="B73" s="93"/>
      <c r="C73" s="2258"/>
      <c r="D73" s="2298" t="s">
        <v>128</v>
      </c>
      <c r="E73" s="2299"/>
      <c r="F73" s="2299"/>
      <c r="G73" s="2299"/>
      <c r="H73" s="2299"/>
      <c r="I73" s="2299"/>
      <c r="J73" s="2299"/>
      <c r="K73" s="2299"/>
      <c r="L73" s="2299"/>
      <c r="M73" s="2299"/>
      <c r="N73" s="2299"/>
      <c r="O73" s="2299"/>
      <c r="P73" s="2299"/>
      <c r="Q73" s="2299"/>
      <c r="R73" s="2299"/>
      <c r="S73" s="2299"/>
      <c r="T73" s="2299"/>
      <c r="U73" s="2299"/>
      <c r="V73" s="2300"/>
      <c r="W73" s="142"/>
      <c r="X73" s="95"/>
    </row>
    <row r="74" spans="2:37" ht="14.4">
      <c r="B74" s="93"/>
      <c r="C74" s="2258"/>
      <c r="D74" s="2267" t="s">
        <v>129</v>
      </c>
      <c r="E74" s="2268"/>
      <c r="F74" s="2268"/>
      <c r="G74" s="2268"/>
      <c r="H74" s="157"/>
      <c r="I74" s="158"/>
      <c r="J74" s="158"/>
      <c r="K74" s="158"/>
      <c r="L74" s="2296" t="s">
        <v>155</v>
      </c>
      <c r="M74" s="2296"/>
      <c r="N74" s="160">
        <f ca="1">IF(INICIO!$C$6&gt;$R6," ",(VLOOKUP(Z4,MESAÑO,25,)))</f>
        <v>0</v>
      </c>
      <c r="O74" s="160" t="s">
        <v>154</v>
      </c>
      <c r="Q74" s="158"/>
      <c r="R74" s="159"/>
      <c r="S74" s="143" t="s">
        <v>130</v>
      </c>
      <c r="U74" s="144"/>
      <c r="V74" s="145" t="s">
        <v>131</v>
      </c>
      <c r="W74" s="142"/>
      <c r="X74" s="95"/>
    </row>
    <row r="75" spans="2:37" ht="75" customHeight="1">
      <c r="B75" s="93"/>
      <c r="C75" s="2258"/>
      <c r="D75" s="146" t="s">
        <v>132</v>
      </c>
      <c r="E75" s="2332" t="s">
        <v>133</v>
      </c>
      <c r="F75" s="2333"/>
      <c r="G75" s="2333"/>
      <c r="H75" s="2188" t="s">
        <v>134</v>
      </c>
      <c r="I75" s="2188"/>
      <c r="J75" s="2188"/>
      <c r="K75" s="88" t="s">
        <v>95</v>
      </c>
      <c r="L75" s="2334" t="s">
        <v>135</v>
      </c>
      <c r="M75" s="2335"/>
      <c r="N75" s="2332" t="s">
        <v>136</v>
      </c>
      <c r="O75" s="2333"/>
      <c r="P75" s="2336"/>
      <c r="Q75" s="118" t="s">
        <v>137</v>
      </c>
      <c r="R75" s="126"/>
      <c r="S75" s="2335" t="s">
        <v>138</v>
      </c>
      <c r="T75" s="2299"/>
      <c r="U75" s="2299"/>
      <c r="V75" s="2300"/>
      <c r="W75" s="142"/>
      <c r="X75" s="95"/>
      <c r="AA75" s="2261"/>
      <c r="AB75" s="2261"/>
      <c r="AC75" s="2261"/>
      <c r="AD75" s="2261"/>
      <c r="AE75" s="2261"/>
      <c r="AF75" s="2261"/>
      <c r="AG75" s="2261"/>
      <c r="AH75" s="2261"/>
      <c r="AI75" s="2261"/>
      <c r="AJ75" s="2261"/>
      <c r="AK75" s="2261"/>
    </row>
    <row r="76" spans="2:37" ht="31.5" customHeight="1">
      <c r="B76" s="93"/>
      <c r="C76" s="2258"/>
      <c r="D76" s="176">
        <f>INICIO!D13</f>
        <v>45107</v>
      </c>
      <c r="E76" s="2324">
        <f ca="1">VLOOKUP(Z4,MESAÑO,24,)*1000</f>
        <v>0</v>
      </c>
      <c r="F76" s="2324" t="e">
        <f>VLOOKUP(F$9,DATOSAÑO!$B$11:$AI$389,29)</f>
        <v>#N/A</v>
      </c>
      <c r="G76" s="2324" t="e">
        <f>VLOOKUP(G$9,DATOSAÑO!$B$11:$AI$389,29)</f>
        <v>#N/A</v>
      </c>
      <c r="H76" s="2325">
        <f>IF(DAY(D76)=31,INICIO!T9,IF(DAY(D76)=30,INICIO!T8,IF(DAY(D76)=29,INICIO!T7,INICIO!U6)))</f>
        <v>86280</v>
      </c>
      <c r="I76" s="2325"/>
      <c r="J76" s="2325"/>
      <c r="K76" s="88"/>
      <c r="L76" s="2326"/>
      <c r="M76" s="2327"/>
      <c r="N76" s="2328"/>
      <c r="O76" s="2328"/>
      <c r="P76" s="102" t="s">
        <v>139</v>
      </c>
      <c r="Q76" s="2329">
        <f>+L76*H76</f>
        <v>0</v>
      </c>
      <c r="R76" s="2330"/>
      <c r="S76" s="2331">
        <f ca="1">+((E76-H76)*4%)*N76</f>
        <v>0</v>
      </c>
      <c r="T76" s="2331"/>
      <c r="U76" s="2331"/>
      <c r="V76" s="102" t="s">
        <v>140</v>
      </c>
      <c r="W76" s="142"/>
      <c r="X76" s="95"/>
      <c r="AB76" s="147"/>
    </row>
    <row r="77" spans="2:37" ht="18.75" customHeight="1">
      <c r="B77" s="93"/>
      <c r="C77" s="2258"/>
      <c r="D77" s="2298" t="s">
        <v>141</v>
      </c>
      <c r="E77" s="2299"/>
      <c r="F77" s="2299"/>
      <c r="G77" s="2299"/>
      <c r="H77" s="2299"/>
      <c r="I77" s="2299"/>
      <c r="J77" s="2299"/>
      <c r="K77" s="2299"/>
      <c r="L77" s="2299"/>
      <c r="M77" s="2299"/>
      <c r="N77" s="2299"/>
      <c r="O77" s="2299"/>
      <c r="P77" s="2299"/>
      <c r="Q77" s="2299"/>
      <c r="R77" s="2299"/>
      <c r="S77" s="2299"/>
      <c r="T77" s="2299"/>
      <c r="U77" s="2299"/>
      <c r="V77" s="2300"/>
      <c r="W77" s="106"/>
      <c r="X77" s="95"/>
      <c r="AA77" s="148"/>
    </row>
    <row r="78" spans="2:37" ht="18.75" customHeight="1">
      <c r="B78" s="93"/>
      <c r="C78" s="2258"/>
      <c r="D78" s="146" t="s">
        <v>142</v>
      </c>
      <c r="E78" s="2259" t="s">
        <v>143</v>
      </c>
      <c r="F78" s="2259"/>
      <c r="G78" s="2259"/>
      <c r="H78" s="2259"/>
      <c r="I78" s="2259"/>
      <c r="J78" s="2259"/>
      <c r="K78" s="88" t="s">
        <v>95</v>
      </c>
      <c r="L78" s="2298" t="s">
        <v>144</v>
      </c>
      <c r="M78" s="2299"/>
      <c r="N78" s="2300"/>
      <c r="O78" s="88" t="s">
        <v>145</v>
      </c>
      <c r="P78" s="2298" t="s">
        <v>146</v>
      </c>
      <c r="Q78" s="2299"/>
      <c r="R78" s="2299"/>
      <c r="S78" s="2299" t="s">
        <v>147</v>
      </c>
      <c r="T78" s="2299"/>
      <c r="U78" s="2299"/>
      <c r="V78" s="146"/>
      <c r="W78" s="106"/>
      <c r="X78" s="95"/>
    </row>
    <row r="79" spans="2:37" ht="18.75" customHeight="1">
      <c r="B79" s="93"/>
      <c r="C79" s="2258"/>
      <c r="D79" s="146" t="s">
        <v>148</v>
      </c>
      <c r="E79" s="2337"/>
      <c r="F79" s="2338"/>
      <c r="G79" s="2338"/>
      <c r="H79" s="2339"/>
      <c r="I79" s="2290" t="s">
        <v>149</v>
      </c>
      <c r="J79" s="2290"/>
      <c r="K79" s="88" t="s">
        <v>95</v>
      </c>
      <c r="L79" s="2337"/>
      <c r="M79" s="2338"/>
      <c r="N79" s="102" t="s">
        <v>139</v>
      </c>
      <c r="O79" s="88" t="s">
        <v>145</v>
      </c>
      <c r="P79" s="2340">
        <f>+L79*E79</f>
        <v>0</v>
      </c>
      <c r="Q79" s="2341"/>
      <c r="R79" s="2342"/>
      <c r="S79" s="2301">
        <f>+P79*12</f>
        <v>0</v>
      </c>
      <c r="T79" s="2301"/>
      <c r="U79" s="2301"/>
      <c r="V79" s="102" t="s">
        <v>140</v>
      </c>
      <c r="W79" s="125"/>
      <c r="X79" s="95"/>
    </row>
    <row r="80" spans="2:37" ht="18.75" customHeight="1">
      <c r="B80" s="93"/>
      <c r="C80" s="2258"/>
      <c r="D80" s="146" t="s">
        <v>150</v>
      </c>
      <c r="E80" s="2343"/>
      <c r="F80" s="2343"/>
      <c r="G80" s="2343"/>
      <c r="H80" s="2343"/>
      <c r="I80" s="2290" t="s">
        <v>149</v>
      </c>
      <c r="J80" s="2290"/>
      <c r="K80" s="88" t="s">
        <v>95</v>
      </c>
      <c r="L80" s="2337"/>
      <c r="M80" s="2338"/>
      <c r="N80" s="102" t="s">
        <v>139</v>
      </c>
      <c r="O80" s="88" t="s">
        <v>145</v>
      </c>
      <c r="P80" s="2340">
        <f>+L80*E80</f>
        <v>0</v>
      </c>
      <c r="Q80" s="2341"/>
      <c r="R80" s="2342"/>
      <c r="S80" s="2301">
        <f>+P80*12</f>
        <v>0</v>
      </c>
      <c r="T80" s="2301"/>
      <c r="U80" s="2301"/>
      <c r="V80" s="102" t="s">
        <v>140</v>
      </c>
      <c r="W80" s="125"/>
      <c r="X80" s="95"/>
      <c r="AA80" s="149"/>
    </row>
    <row r="81" spans="2:27" ht="18.75" customHeight="1">
      <c r="B81" s="93"/>
      <c r="C81" s="2258"/>
      <c r="D81" s="146" t="s">
        <v>151</v>
      </c>
      <c r="E81" s="2343"/>
      <c r="F81" s="2343"/>
      <c r="G81" s="2343"/>
      <c r="H81" s="2343"/>
      <c r="I81" s="2290" t="s">
        <v>149</v>
      </c>
      <c r="J81" s="2290"/>
      <c r="K81" s="88" t="s">
        <v>95</v>
      </c>
      <c r="L81" s="2337"/>
      <c r="M81" s="2338"/>
      <c r="N81" s="102" t="s">
        <v>139</v>
      </c>
      <c r="O81" s="88" t="s">
        <v>145</v>
      </c>
      <c r="P81" s="2340">
        <f>+L81*E81</f>
        <v>0</v>
      </c>
      <c r="Q81" s="2341"/>
      <c r="R81" s="2342"/>
      <c r="S81" s="2301">
        <f>+P81*12</f>
        <v>0</v>
      </c>
      <c r="T81" s="2301"/>
      <c r="U81" s="2301"/>
      <c r="V81" s="102" t="s">
        <v>140</v>
      </c>
      <c r="W81" s="125"/>
      <c r="X81" s="95"/>
    </row>
    <row r="82" spans="2:27" ht="18.75" customHeight="1">
      <c r="B82" s="93"/>
      <c r="C82" s="2258"/>
      <c r="D82" s="146" t="s">
        <v>151</v>
      </c>
      <c r="E82" s="2343"/>
      <c r="F82" s="2343"/>
      <c r="G82" s="2343"/>
      <c r="H82" s="2343"/>
      <c r="I82" s="2290" t="s">
        <v>149</v>
      </c>
      <c r="J82" s="2290"/>
      <c r="K82" s="88" t="s">
        <v>95</v>
      </c>
      <c r="L82" s="2337"/>
      <c r="M82" s="2338"/>
      <c r="N82" s="102" t="s">
        <v>139</v>
      </c>
      <c r="O82" s="88" t="s">
        <v>145</v>
      </c>
      <c r="P82" s="2340">
        <f>+L82*E82</f>
        <v>0</v>
      </c>
      <c r="Q82" s="2341"/>
      <c r="R82" s="2342"/>
      <c r="S82" s="2301">
        <f>+P82*12</f>
        <v>0</v>
      </c>
      <c r="T82" s="2301"/>
      <c r="U82" s="2301"/>
      <c r="V82" s="102" t="s">
        <v>140</v>
      </c>
      <c r="W82" s="125"/>
      <c r="X82" s="95"/>
    </row>
    <row r="83" spans="2:27" ht="18.75" customHeight="1">
      <c r="B83" s="93"/>
      <c r="C83" s="2259"/>
      <c r="D83" s="146" t="s">
        <v>151</v>
      </c>
      <c r="E83" s="2343"/>
      <c r="F83" s="2343"/>
      <c r="G83" s="2343"/>
      <c r="H83" s="2343"/>
      <c r="I83" s="2290" t="s">
        <v>149</v>
      </c>
      <c r="J83" s="2290"/>
      <c r="K83" s="110" t="s">
        <v>95</v>
      </c>
      <c r="L83" s="2337"/>
      <c r="M83" s="2338"/>
      <c r="N83" s="102" t="s">
        <v>139</v>
      </c>
      <c r="O83" s="110" t="s">
        <v>145</v>
      </c>
      <c r="P83" s="2340">
        <f>+L83*E83</f>
        <v>0</v>
      </c>
      <c r="Q83" s="2341"/>
      <c r="R83" s="2342"/>
      <c r="S83" s="2301">
        <f>+P83*12</f>
        <v>0</v>
      </c>
      <c r="T83" s="2301"/>
      <c r="U83" s="2301"/>
      <c r="V83" s="102" t="s">
        <v>140</v>
      </c>
      <c r="W83" s="126"/>
      <c r="X83" s="95"/>
    </row>
    <row r="84" spans="2:27" ht="9.75" customHeight="1">
      <c r="B84" s="93"/>
      <c r="D84" s="88"/>
      <c r="E84" s="88"/>
      <c r="F84" s="88"/>
      <c r="G84" s="88"/>
      <c r="X84" s="95"/>
    </row>
    <row r="85" spans="2:27" ht="18.75" customHeight="1">
      <c r="B85" s="93"/>
      <c r="D85" s="2323" t="s">
        <v>152</v>
      </c>
      <c r="E85" s="2323"/>
      <c r="F85" s="2323"/>
      <c r="G85" s="2323"/>
      <c r="H85" s="2323"/>
      <c r="I85" s="2290"/>
      <c r="J85" s="2290"/>
      <c r="K85" s="2290"/>
      <c r="L85" s="2290"/>
      <c r="M85" s="2290"/>
      <c r="N85" s="2290"/>
      <c r="O85" s="2290"/>
      <c r="P85" s="2290"/>
      <c r="Q85" s="2290"/>
      <c r="R85" s="2290"/>
      <c r="S85" s="2290"/>
      <c r="T85" s="2290"/>
      <c r="U85" s="2290"/>
      <c r="V85" s="2290"/>
      <c r="W85" s="88"/>
      <c r="X85" s="95"/>
    </row>
    <row r="86" spans="2:27" ht="18.75" customHeight="1">
      <c r="B86" s="93"/>
      <c r="D86" s="2323"/>
      <c r="E86" s="2323"/>
      <c r="F86" s="2323"/>
      <c r="G86" s="2323"/>
      <c r="H86" s="2323"/>
      <c r="I86" s="2290"/>
      <c r="J86" s="2290"/>
      <c r="K86" s="2290"/>
      <c r="L86" s="2290"/>
      <c r="M86" s="2290"/>
      <c r="N86" s="2290"/>
      <c r="O86" s="2290"/>
      <c r="P86" s="2290"/>
      <c r="Q86" s="2290"/>
      <c r="R86" s="2290"/>
      <c r="S86" s="2290"/>
      <c r="T86" s="2290"/>
      <c r="U86" s="2290"/>
      <c r="V86" s="2290"/>
      <c r="W86" s="88"/>
      <c r="X86" s="95"/>
      <c r="AA86" s="149"/>
    </row>
    <row r="87" spans="2:27" ht="18.75" customHeight="1">
      <c r="B87" s="93"/>
      <c r="D87" s="2323"/>
      <c r="E87" s="2323"/>
      <c r="F87" s="2323"/>
      <c r="G87" s="2323"/>
      <c r="H87" s="2323"/>
      <c r="I87" s="2290"/>
      <c r="J87" s="2290"/>
      <c r="K87" s="2290"/>
      <c r="L87" s="2290"/>
      <c r="M87" s="2290"/>
      <c r="N87" s="2290"/>
      <c r="O87" s="2290"/>
      <c r="P87" s="2290"/>
      <c r="Q87" s="2290"/>
      <c r="R87" s="2290"/>
      <c r="S87" s="2290"/>
      <c r="T87" s="2290"/>
      <c r="U87" s="2290"/>
      <c r="V87" s="2290"/>
      <c r="W87" s="88"/>
      <c r="X87" s="95"/>
    </row>
    <row r="88" spans="2:27" ht="18.75" customHeight="1" thickBot="1">
      <c r="B88" s="150"/>
      <c r="C88" s="151"/>
      <c r="D88" s="152" t="s">
        <v>153</v>
      </c>
      <c r="E88" s="152"/>
      <c r="F88" s="152"/>
      <c r="G88" s="152"/>
      <c r="H88" s="152"/>
      <c r="I88" s="152"/>
      <c r="J88" s="152"/>
      <c r="K88" s="152"/>
      <c r="L88" s="152"/>
      <c r="M88" s="152"/>
      <c r="N88" s="152"/>
      <c r="O88" s="152"/>
      <c r="P88" s="152"/>
      <c r="Q88" s="152"/>
      <c r="R88" s="152"/>
      <c r="S88" s="152"/>
      <c r="T88" s="152"/>
      <c r="U88" s="152"/>
      <c r="V88" s="152"/>
      <c r="W88" s="152"/>
      <c r="X88" s="153"/>
      <c r="Y88" s="154"/>
    </row>
  </sheetData>
  <mergeCells count="140">
    <mergeCell ref="D85:H87"/>
    <mergeCell ref="I85:V87"/>
    <mergeCell ref="L74:M74"/>
    <mergeCell ref="E82:H82"/>
    <mergeCell ref="I82:J82"/>
    <mergeCell ref="L82:M82"/>
    <mergeCell ref="P82:R82"/>
    <mergeCell ref="S82:U82"/>
    <mergeCell ref="E83:H83"/>
    <mergeCell ref="I83:J83"/>
    <mergeCell ref="L83:M83"/>
    <mergeCell ref="P83:R83"/>
    <mergeCell ref="S83:U83"/>
    <mergeCell ref="E80:H80"/>
    <mergeCell ref="I80:J80"/>
    <mergeCell ref="L80:M80"/>
    <mergeCell ref="P80:R80"/>
    <mergeCell ref="S80:U80"/>
    <mergeCell ref="E81:H81"/>
    <mergeCell ref="I81:J81"/>
    <mergeCell ref="L81:M81"/>
    <mergeCell ref="P81:R81"/>
    <mergeCell ref="S81:U81"/>
    <mergeCell ref="D77:V77"/>
    <mergeCell ref="AA75:AK75"/>
    <mergeCell ref="E76:G76"/>
    <mergeCell ref="H76:J76"/>
    <mergeCell ref="L76:M76"/>
    <mergeCell ref="N76:O76"/>
    <mergeCell ref="Q76:R76"/>
    <mergeCell ref="S76:U76"/>
    <mergeCell ref="C72:C83"/>
    <mergeCell ref="D72:V72"/>
    <mergeCell ref="D73:V73"/>
    <mergeCell ref="D74:G74"/>
    <mergeCell ref="E75:G75"/>
    <mergeCell ref="H75:J75"/>
    <mergeCell ref="L75:M75"/>
    <mergeCell ref="N75:P75"/>
    <mergeCell ref="S75:V75"/>
    <mergeCell ref="E78:J78"/>
    <mergeCell ref="L78:N78"/>
    <mergeCell ref="P78:R78"/>
    <mergeCell ref="S78:U78"/>
    <mergeCell ref="E79:H79"/>
    <mergeCell ref="I79:J79"/>
    <mergeCell ref="L79:M79"/>
    <mergeCell ref="P79:R79"/>
    <mergeCell ref="E65:V65"/>
    <mergeCell ref="E70:V70"/>
    <mergeCell ref="I52:L52"/>
    <mergeCell ref="M52:Q52"/>
    <mergeCell ref="R52:V52"/>
    <mergeCell ref="K54:L54"/>
    <mergeCell ref="N54:Q54"/>
    <mergeCell ref="C57:C59"/>
    <mergeCell ref="D58:J58"/>
    <mergeCell ref="S79:U79"/>
    <mergeCell ref="C40:C45"/>
    <mergeCell ref="D40:W40"/>
    <mergeCell ref="D41:E41"/>
    <mergeCell ref="F41:H41"/>
    <mergeCell ref="I41:S41"/>
    <mergeCell ref="T41:W41"/>
    <mergeCell ref="D42:E42"/>
    <mergeCell ref="F42:H42"/>
    <mergeCell ref="I42:S42"/>
    <mergeCell ref="T42:W42"/>
    <mergeCell ref="D45:E45"/>
    <mergeCell ref="F45:H45"/>
    <mergeCell ref="I45:S45"/>
    <mergeCell ref="T45:W45"/>
    <mergeCell ref="C47:W47"/>
    <mergeCell ref="C49:C55"/>
    <mergeCell ref="D50:H50"/>
    <mergeCell ref="I50:L50"/>
    <mergeCell ref="R50:V50"/>
    <mergeCell ref="D52:H52"/>
    <mergeCell ref="C61:W61"/>
    <mergeCell ref="C63:C70"/>
    <mergeCell ref="E64:V64"/>
    <mergeCell ref="L37:M37"/>
    <mergeCell ref="N37:O37"/>
    <mergeCell ref="P37:R37"/>
    <mergeCell ref="S37:V37"/>
    <mergeCell ref="D43:E43"/>
    <mergeCell ref="F43:H43"/>
    <mergeCell ref="I43:S43"/>
    <mergeCell ref="T43:W43"/>
    <mergeCell ref="D44:E44"/>
    <mergeCell ref="F44:H44"/>
    <mergeCell ref="I44:S44"/>
    <mergeCell ref="T44:W44"/>
    <mergeCell ref="L34:M34"/>
    <mergeCell ref="N34:O34"/>
    <mergeCell ref="P34:R34"/>
    <mergeCell ref="S34:V34"/>
    <mergeCell ref="L35:M35"/>
    <mergeCell ref="N35:O35"/>
    <mergeCell ref="P35:R35"/>
    <mergeCell ref="S35:V35"/>
    <mergeCell ref="C28:C30"/>
    <mergeCell ref="D29:S29"/>
    <mergeCell ref="U29:V29"/>
    <mergeCell ref="C32:C38"/>
    <mergeCell ref="L33:M33"/>
    <mergeCell ref="N33:O33"/>
    <mergeCell ref="P33:R33"/>
    <mergeCell ref="S33:V33"/>
    <mergeCell ref="D34:G37"/>
    <mergeCell ref="H34:J34"/>
    <mergeCell ref="H36:J36"/>
    <mergeCell ref="L36:M36"/>
    <mergeCell ref="N36:O36"/>
    <mergeCell ref="P36:R36"/>
    <mergeCell ref="S36:V36"/>
    <mergeCell ref="H37:J37"/>
    <mergeCell ref="C24:C26"/>
    <mergeCell ref="G25:V25"/>
    <mergeCell ref="D10:H10"/>
    <mergeCell ref="I10:W10"/>
    <mergeCell ref="C12:C18"/>
    <mergeCell ref="D13:H16"/>
    <mergeCell ref="I13:M13"/>
    <mergeCell ref="O13:V13"/>
    <mergeCell ref="I14:M14"/>
    <mergeCell ref="O14:V14"/>
    <mergeCell ref="I15:V15"/>
    <mergeCell ref="K16:V16"/>
    <mergeCell ref="S3:X3"/>
    <mergeCell ref="D4:V4"/>
    <mergeCell ref="D5:V5"/>
    <mergeCell ref="R6:V6"/>
    <mergeCell ref="D8:V8"/>
    <mergeCell ref="C9:W9"/>
    <mergeCell ref="C20:C22"/>
    <mergeCell ref="D21:F21"/>
    <mergeCell ref="G21:I21"/>
    <mergeCell ref="L21:N21"/>
    <mergeCell ref="Q21:S21"/>
  </mergeCells>
  <printOptions horizontalCentered="1" verticalCentered="1"/>
  <pageMargins left="0.43" right="0.46" top="0.47" bottom="0.45" header="0.31496062992125984" footer="0.31496062992125984"/>
  <pageSetup scale="32" orientation="portrait"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2"/>
  <dimension ref="A1:AE36"/>
  <sheetViews>
    <sheetView topLeftCell="C4" zoomScale="80" zoomScaleNormal="80" workbookViewId="0">
      <pane xSplit="5" ySplit="3" topLeftCell="AB7" activePane="bottomRight" state="frozen"/>
      <selection activeCell="C4" sqref="C4"/>
      <selection pane="topRight" activeCell="H4" sqref="H4"/>
      <selection pane="bottomLeft" activeCell="C7" sqref="C7"/>
      <selection pane="bottomRight" activeCell="L14" sqref="L14:L15"/>
    </sheetView>
  </sheetViews>
  <sheetFormatPr baseColWidth="10" defaultColWidth="10.77734375" defaultRowHeight="14.4"/>
  <cols>
    <col min="1" max="2" width="19.77734375" style="987" hidden="1" customWidth="1"/>
    <col min="3" max="3" width="14.21875" style="988" customWidth="1"/>
    <col min="4" max="4" width="18.77734375" style="1034" customWidth="1"/>
    <col min="5" max="5" width="11.88671875" style="988" customWidth="1"/>
    <col min="6" max="6" width="47.77734375" style="988" customWidth="1"/>
    <col min="7" max="7" width="15.5546875" style="989" customWidth="1"/>
    <col min="8" max="9" width="15.21875" style="989" customWidth="1"/>
    <col min="10" max="13" width="19.77734375" style="989" customWidth="1"/>
    <col min="14" max="15" width="15.44140625" style="989" customWidth="1"/>
    <col min="16" max="17" width="14.77734375" style="989" customWidth="1"/>
    <col min="18" max="21" width="18.21875" style="989" customWidth="1"/>
    <col min="22" max="22" width="20" style="989" customWidth="1"/>
    <col min="23" max="30" width="18.21875" style="989" customWidth="1"/>
    <col min="31" max="31" width="16.77734375" style="988" customWidth="1"/>
    <col min="32" max="96" width="10.77734375" style="988" customWidth="1"/>
    <col min="97" max="16384" width="10.77734375" style="988"/>
  </cols>
  <sheetData>
    <row r="1" spans="1:31" ht="10.050000000000001" customHeight="1"/>
    <row r="2" spans="1:31" ht="10.050000000000001" customHeight="1">
      <c r="E2" s="1035"/>
      <c r="H2" s="2356" t="s">
        <v>1376</v>
      </c>
      <c r="I2" s="2357"/>
      <c r="J2" s="2357"/>
      <c r="K2" s="2357"/>
      <c r="L2" s="2357"/>
      <c r="M2" s="2357"/>
      <c r="N2" s="2357"/>
      <c r="O2" s="2357"/>
      <c r="P2" s="2357"/>
      <c r="Q2" s="2357"/>
      <c r="R2" s="2357"/>
      <c r="S2" s="2357"/>
      <c r="T2" s="2357"/>
      <c r="U2" s="2357"/>
      <c r="V2" s="2357"/>
      <c r="W2" s="2357"/>
      <c r="X2" s="2357"/>
      <c r="Y2" s="2357"/>
      <c r="Z2" s="2357"/>
      <c r="AA2" s="2357"/>
      <c r="AB2" s="2357"/>
      <c r="AC2" s="2357"/>
      <c r="AD2" s="2357"/>
      <c r="AE2" s="2357"/>
    </row>
    <row r="3" spans="1:31" ht="10.050000000000001" customHeight="1" thickBot="1">
      <c r="A3" s="1112"/>
      <c r="B3" s="1112"/>
      <c r="C3" s="1112"/>
      <c r="D3" s="1113"/>
      <c r="E3" s="1112"/>
      <c r="F3" s="1112"/>
      <c r="G3" s="1114"/>
      <c r="H3" s="1115"/>
      <c r="I3" s="1115"/>
      <c r="J3" s="1115"/>
      <c r="K3" s="1115"/>
      <c r="L3" s="1115"/>
      <c r="M3" s="1115"/>
      <c r="N3" s="1115"/>
      <c r="O3" s="1115"/>
      <c r="P3" s="1115"/>
      <c r="Q3" s="1115"/>
      <c r="R3" s="1115"/>
      <c r="S3" s="1115"/>
      <c r="T3" s="1115"/>
      <c r="U3" s="1115"/>
      <c r="V3" s="1115"/>
      <c r="W3" s="1115"/>
      <c r="X3" s="1115"/>
      <c r="Y3" s="1115"/>
      <c r="Z3" s="1115"/>
      <c r="AA3" s="1115"/>
      <c r="AB3" s="1115"/>
      <c r="AC3" s="1115"/>
      <c r="AD3" s="1115"/>
    </row>
    <row r="4" spans="1:31" s="987" customFormat="1" ht="21" customHeight="1" thickBot="1">
      <c r="A4" s="1116" t="s">
        <v>1153</v>
      </c>
      <c r="B4" s="990"/>
      <c r="C4" s="1117"/>
      <c r="D4" s="1118"/>
      <c r="E4" s="1117"/>
      <c r="F4" s="1117"/>
      <c r="G4" s="1119"/>
      <c r="H4" s="2349" t="s">
        <v>1154</v>
      </c>
      <c r="I4" s="2350"/>
      <c r="J4" s="2350"/>
      <c r="K4" s="2350"/>
      <c r="L4" s="2350"/>
      <c r="M4" s="2350"/>
      <c r="N4" s="2350"/>
      <c r="O4" s="2350"/>
      <c r="P4" s="2350"/>
      <c r="Q4" s="2350"/>
      <c r="R4" s="2350"/>
      <c r="S4" s="2350"/>
      <c r="T4" s="2350"/>
      <c r="U4" s="2350"/>
      <c r="V4" s="2350"/>
      <c r="W4" s="2350"/>
      <c r="X4" s="2350"/>
      <c r="Y4" s="2350"/>
      <c r="Z4" s="2350"/>
      <c r="AA4" s="2350"/>
      <c r="AB4" s="2350"/>
      <c r="AC4" s="2350"/>
      <c r="AD4" s="2350"/>
      <c r="AE4" s="2350"/>
    </row>
    <row r="5" spans="1:31" s="1037" customFormat="1" ht="39" customHeight="1" thickBot="1">
      <c r="A5" s="1120"/>
      <c r="B5" s="1036"/>
      <c r="C5" s="1121"/>
      <c r="D5" s="1122"/>
      <c r="E5" s="1121"/>
      <c r="F5" s="1121"/>
      <c r="G5" s="1123"/>
      <c r="H5" s="2351" t="s">
        <v>622</v>
      </c>
      <c r="I5" s="2352"/>
      <c r="J5" s="2351" t="s">
        <v>623</v>
      </c>
      <c r="K5" s="2352"/>
      <c r="L5" s="2351" t="s">
        <v>624</v>
      </c>
      <c r="M5" s="2352"/>
      <c r="N5" s="2351" t="s">
        <v>625</v>
      </c>
      <c r="O5" s="2352"/>
      <c r="P5" s="2351" t="s">
        <v>626</v>
      </c>
      <c r="Q5" s="2352"/>
      <c r="R5" s="2351" t="s">
        <v>627</v>
      </c>
      <c r="S5" s="2352"/>
      <c r="T5" s="2351" t="s">
        <v>628</v>
      </c>
      <c r="U5" s="2352"/>
      <c r="V5" s="2351" t="s">
        <v>629</v>
      </c>
      <c r="W5" s="2352"/>
      <c r="X5" s="2351" t="s">
        <v>630</v>
      </c>
      <c r="Y5" s="2352"/>
      <c r="Z5" s="1367" t="s">
        <v>631</v>
      </c>
      <c r="AA5" s="1367"/>
      <c r="AB5" s="1368" t="s">
        <v>632</v>
      </c>
      <c r="AC5" s="1368"/>
      <c r="AD5" s="1368" t="s">
        <v>633</v>
      </c>
      <c r="AE5" s="1368"/>
    </row>
    <row r="6" spans="1:31" s="987" customFormat="1" ht="40.950000000000003" customHeight="1" thickBot="1">
      <c r="A6" s="1124" t="s">
        <v>227</v>
      </c>
      <c r="B6" s="1125" t="s">
        <v>1155</v>
      </c>
      <c r="C6" s="1125" t="s">
        <v>1156</v>
      </c>
      <c r="D6" s="1125" t="s">
        <v>984</v>
      </c>
      <c r="E6" s="1126" t="s">
        <v>1090</v>
      </c>
      <c r="F6" s="1126" t="s">
        <v>1157</v>
      </c>
      <c r="G6" s="1127" t="s">
        <v>985</v>
      </c>
      <c r="H6" s="1103" t="s">
        <v>1193</v>
      </c>
      <c r="I6" s="991" t="s">
        <v>1194</v>
      </c>
      <c r="J6" s="1103" t="s">
        <v>1193</v>
      </c>
      <c r="K6" s="991" t="s">
        <v>1194</v>
      </c>
      <c r="L6" s="1103" t="s">
        <v>1193</v>
      </c>
      <c r="M6" s="991" t="s">
        <v>1194</v>
      </c>
      <c r="N6" s="1103" t="s">
        <v>1193</v>
      </c>
      <c r="O6" s="991" t="s">
        <v>1194</v>
      </c>
      <c r="P6" s="1103" t="s">
        <v>1193</v>
      </c>
      <c r="Q6" s="991" t="s">
        <v>1194</v>
      </c>
      <c r="R6" s="1103" t="s">
        <v>1193</v>
      </c>
      <c r="S6" s="991" t="s">
        <v>1194</v>
      </c>
      <c r="T6" s="1103" t="s">
        <v>1193</v>
      </c>
      <c r="U6" s="991" t="s">
        <v>1194</v>
      </c>
      <c r="V6" s="1103" t="s">
        <v>1193</v>
      </c>
      <c r="W6" s="991" t="s">
        <v>1194</v>
      </c>
      <c r="X6" s="1103" t="s">
        <v>1193</v>
      </c>
      <c r="Y6" s="991" t="s">
        <v>1194</v>
      </c>
      <c r="Z6" s="1103" t="s">
        <v>1193</v>
      </c>
      <c r="AA6" s="991" t="s">
        <v>1194</v>
      </c>
      <c r="AB6" s="1103" t="s">
        <v>1193</v>
      </c>
      <c r="AC6" s="991" t="s">
        <v>1194</v>
      </c>
      <c r="AD6" s="1103" t="s">
        <v>1193</v>
      </c>
      <c r="AE6" s="991" t="s">
        <v>1194</v>
      </c>
    </row>
    <row r="7" spans="1:31" ht="15" customHeight="1">
      <c r="A7" s="2353"/>
      <c r="B7" s="1247" t="s">
        <v>279</v>
      </c>
      <c r="C7" s="2358" t="s">
        <v>71</v>
      </c>
      <c r="D7" s="1128" t="s">
        <v>1087</v>
      </c>
      <c r="E7" s="2360"/>
      <c r="F7" s="1105" t="s">
        <v>1196</v>
      </c>
      <c r="G7" s="1128" t="s">
        <v>1197</v>
      </c>
      <c r="H7" s="993">
        <v>6696</v>
      </c>
      <c r="I7" s="992"/>
      <c r="J7" s="992">
        <v>6264</v>
      </c>
      <c r="K7" s="992"/>
      <c r="L7" s="992">
        <v>6696</v>
      </c>
      <c r="M7" s="992"/>
      <c r="N7" s="992">
        <v>6480</v>
      </c>
      <c r="O7" s="992"/>
      <c r="P7" s="992">
        <v>6696</v>
      </c>
      <c r="Q7" s="992"/>
      <c r="R7" s="992">
        <v>6480</v>
      </c>
      <c r="S7" s="992"/>
      <c r="T7" s="992">
        <v>6696</v>
      </c>
      <c r="U7" s="992"/>
      <c r="V7" s="992">
        <v>6696</v>
      </c>
      <c r="W7" s="992"/>
      <c r="X7" s="992">
        <v>6480</v>
      </c>
      <c r="Y7" s="992"/>
      <c r="Z7" s="992">
        <v>6696</v>
      </c>
      <c r="AA7" s="992"/>
      <c r="AB7" s="992">
        <v>6480</v>
      </c>
      <c r="AC7" s="992"/>
      <c r="AD7" s="992">
        <v>6696</v>
      </c>
      <c r="AE7" s="992"/>
    </row>
    <row r="8" spans="1:31" ht="15" customHeight="1">
      <c r="A8" s="2354"/>
      <c r="B8" s="1248" t="s">
        <v>279</v>
      </c>
      <c r="C8" s="2359"/>
      <c r="D8" s="1128" t="s">
        <v>1087</v>
      </c>
      <c r="E8" s="2360"/>
      <c r="F8" s="1105" t="s">
        <v>1198</v>
      </c>
      <c r="G8" s="1128" t="s">
        <v>1199</v>
      </c>
      <c r="H8" s="993">
        <v>2232</v>
      </c>
      <c r="I8" s="992"/>
      <c r="J8" s="992">
        <v>2088</v>
      </c>
      <c r="K8" s="992"/>
      <c r="L8" s="992">
        <v>2232</v>
      </c>
      <c r="M8" s="992"/>
      <c r="N8" s="992">
        <v>2160</v>
      </c>
      <c r="O8" s="992"/>
      <c r="P8" s="992">
        <v>2232</v>
      </c>
      <c r="Q8" s="992"/>
      <c r="R8" s="992">
        <v>2160</v>
      </c>
      <c r="S8" s="992"/>
      <c r="T8" s="992">
        <v>2232</v>
      </c>
      <c r="U8" s="992"/>
      <c r="V8" s="992">
        <v>2232</v>
      </c>
      <c r="W8" s="992"/>
      <c r="X8" s="992">
        <v>2160</v>
      </c>
      <c r="Y8" s="992"/>
      <c r="Z8" s="992">
        <v>2232</v>
      </c>
      <c r="AA8" s="992"/>
      <c r="AB8" s="992">
        <v>2160</v>
      </c>
      <c r="AC8" s="992"/>
      <c r="AD8" s="992">
        <v>2232</v>
      </c>
      <c r="AE8" s="992"/>
    </row>
    <row r="9" spans="1:31" ht="15" customHeight="1">
      <c r="A9" s="2354"/>
      <c r="B9" s="1248" t="s">
        <v>279</v>
      </c>
      <c r="C9" s="2359"/>
      <c r="D9" s="1128" t="s">
        <v>1087</v>
      </c>
      <c r="E9" s="2360"/>
      <c r="F9" s="1105" t="s">
        <v>1038</v>
      </c>
      <c r="G9" s="1128" t="s">
        <v>1037</v>
      </c>
      <c r="H9" s="993">
        <v>18972</v>
      </c>
      <c r="I9" s="992"/>
      <c r="J9" s="992">
        <v>17748</v>
      </c>
      <c r="K9" s="992"/>
      <c r="L9" s="992">
        <v>18972</v>
      </c>
      <c r="M9" s="992"/>
      <c r="N9" s="992">
        <v>18360</v>
      </c>
      <c r="O9" s="992"/>
      <c r="P9" s="992">
        <v>18972</v>
      </c>
      <c r="Q9" s="992"/>
      <c r="R9" s="992">
        <v>18360</v>
      </c>
      <c r="S9" s="992"/>
      <c r="T9" s="992">
        <v>18972</v>
      </c>
      <c r="U9" s="992"/>
      <c r="V9" s="992">
        <v>18972</v>
      </c>
      <c r="W9" s="992"/>
      <c r="X9" s="992">
        <v>18360</v>
      </c>
      <c r="Y9" s="992" t="s">
        <v>1327</v>
      </c>
      <c r="Z9" s="992">
        <v>18972</v>
      </c>
      <c r="AA9" s="992"/>
      <c r="AB9" s="992">
        <v>18360</v>
      </c>
      <c r="AC9" s="992"/>
      <c r="AD9" s="992">
        <v>18972</v>
      </c>
      <c r="AE9" s="992"/>
    </row>
    <row r="10" spans="1:31" ht="15" customHeight="1">
      <c r="A10" s="2354"/>
      <c r="B10" s="1248" t="s">
        <v>1158</v>
      </c>
      <c r="C10" s="2359"/>
      <c r="D10" s="1104" t="s">
        <v>1087</v>
      </c>
      <c r="E10" s="2360"/>
      <c r="F10" s="1105" t="s">
        <v>1040</v>
      </c>
      <c r="G10" s="1128" t="s">
        <v>1039</v>
      </c>
      <c r="H10" s="993">
        <v>7812</v>
      </c>
      <c r="I10" s="992"/>
      <c r="J10" s="992">
        <v>7308</v>
      </c>
      <c r="K10" s="992"/>
      <c r="L10" s="992">
        <v>7812</v>
      </c>
      <c r="M10" s="992"/>
      <c r="N10" s="992">
        <v>7560</v>
      </c>
      <c r="O10" s="992"/>
      <c r="P10" s="992">
        <v>7812</v>
      </c>
      <c r="Q10" s="992"/>
      <c r="R10" s="992">
        <v>7560</v>
      </c>
      <c r="S10" s="992"/>
      <c r="T10" s="992">
        <v>7812</v>
      </c>
      <c r="U10" s="992"/>
      <c r="V10" s="992">
        <v>6696</v>
      </c>
      <c r="W10" s="992"/>
      <c r="X10" s="992">
        <v>6480</v>
      </c>
      <c r="Y10" s="992"/>
      <c r="Z10" s="992">
        <v>6696</v>
      </c>
      <c r="AA10" s="992"/>
      <c r="AB10" s="992">
        <v>6480</v>
      </c>
      <c r="AC10" s="992"/>
      <c r="AD10" s="992">
        <v>6696</v>
      </c>
      <c r="AE10" s="992"/>
    </row>
    <row r="11" spans="1:31" ht="15" customHeight="1">
      <c r="A11" s="2354"/>
      <c r="B11" s="1248" t="s">
        <v>1158</v>
      </c>
      <c r="C11" s="2359"/>
      <c r="D11" s="1104" t="s">
        <v>1083</v>
      </c>
      <c r="E11" s="2360"/>
      <c r="F11" s="1105" t="s">
        <v>1200</v>
      </c>
      <c r="G11" s="1106" t="s">
        <v>1132</v>
      </c>
      <c r="H11" s="993">
        <v>86924.858333333337</v>
      </c>
      <c r="I11" s="992">
        <f ca="1">(DATOSAÑO!BL376)*1000</f>
        <v>44068.000000000007</v>
      </c>
      <c r="J11" s="992">
        <v>81316.802956989253</v>
      </c>
      <c r="K11" s="992">
        <f ca="1">(DATOSAÑO!BL377)*1000</f>
        <v>41166.000000000007</v>
      </c>
      <c r="L11" s="992">
        <v>86924.858333333337</v>
      </c>
      <c r="M11" s="992">
        <f ca="1">(DATOSAÑO!BL378)*1000</f>
        <v>43687</v>
      </c>
      <c r="N11" s="992">
        <v>84120.830645161303</v>
      </c>
      <c r="O11" s="992">
        <f ca="1">(DATOSAÑO!BL379)*1000</f>
        <v>31738</v>
      </c>
      <c r="P11" s="992">
        <v>86924.858333333337</v>
      </c>
      <c r="Q11" s="992">
        <f ca="1">(DATOSAÑO!BL380)*1000</f>
        <v>24750.000000000004</v>
      </c>
      <c r="R11" s="992">
        <v>84120.830645161303</v>
      </c>
      <c r="S11" s="992">
        <f ca="1">(DATOSAÑO!BL381)*1000</f>
        <v>0</v>
      </c>
      <c r="T11" s="992">
        <v>86924.858333333337</v>
      </c>
      <c r="U11" s="992">
        <f ca="1">(DATOSAÑO!BL382)*1000</f>
        <v>0</v>
      </c>
      <c r="V11" s="992">
        <v>86924.858333333337</v>
      </c>
      <c r="W11" s="992">
        <f ca="1">(DATOSAÑO!BL383)*1000</f>
        <v>0</v>
      </c>
      <c r="X11" s="992">
        <v>84120.830645161303</v>
      </c>
      <c r="Y11" s="992">
        <f ca="1">(DATOSAÑO!BL384)*1000</f>
        <v>0</v>
      </c>
      <c r="Z11" s="992">
        <v>86924.858333333337</v>
      </c>
      <c r="AA11" s="992">
        <f ca="1">(DATOSAÑO!BL385)*1000</f>
        <v>0</v>
      </c>
      <c r="AB11" s="992">
        <v>84120.830645161303</v>
      </c>
      <c r="AC11" s="992">
        <f ca="1">(DATOSAÑO!BL386)*1000</f>
        <v>0</v>
      </c>
      <c r="AD11" s="992">
        <v>86924.858333333337</v>
      </c>
      <c r="AE11" s="992">
        <f ca="1">(DATOSAÑO!BL387)*1000</f>
        <v>0</v>
      </c>
    </row>
    <row r="12" spans="1:31" ht="15" customHeight="1">
      <c r="A12" s="2354"/>
      <c r="B12" s="1248" t="s">
        <v>279</v>
      </c>
      <c r="C12" s="2359"/>
      <c r="D12" s="1104" t="s">
        <v>991</v>
      </c>
      <c r="E12" s="2360"/>
      <c r="F12" s="1108" t="s">
        <v>1064</v>
      </c>
      <c r="G12" s="1106" t="s">
        <v>1063</v>
      </c>
      <c r="H12" s="993">
        <v>837461.72482993233</v>
      </c>
      <c r="I12" s="992">
        <f ca="1">'ESTADISTICOS JENNY'!C390</f>
        <v>730603.16666665382</v>
      </c>
      <c r="J12" s="992">
        <v>783431.93613122706</v>
      </c>
      <c r="K12" s="992">
        <f ca="1">'ESTADISTICOS JENNY'!C391</f>
        <v>657412.00000001059</v>
      </c>
      <c r="L12" s="992">
        <v>837461.72482993233</v>
      </c>
      <c r="M12" s="992">
        <f ca="1">'ESTADISTICOS JENNY'!C392</f>
        <v>704840.99999999546</v>
      </c>
      <c r="N12" s="992">
        <v>810446.83048057975</v>
      </c>
      <c r="O12" s="992">
        <f ca="1">'ESTADISTICOS JENNY'!C393</f>
        <v>640752.16666666931</v>
      </c>
      <c r="P12" s="992">
        <v>837461.72482993233</v>
      </c>
      <c r="Q12" s="992">
        <f ca="1">'ESTADISTICOS JENNY'!C394</f>
        <v>608443.16666665033</v>
      </c>
      <c r="R12" s="992">
        <v>810446.83048057975</v>
      </c>
      <c r="S12" s="992">
        <f ca="1">'ESTADISTICOS JENNY'!C395</f>
        <v>-171427307.83333334</v>
      </c>
      <c r="T12" s="992">
        <v>837461.72482993233</v>
      </c>
      <c r="U12" s="992">
        <f ca="1">'ESTADISTICOS JENNY'!C396</f>
        <v>-168888</v>
      </c>
      <c r="V12" s="992">
        <v>837461.72482993233</v>
      </c>
      <c r="W12" s="992">
        <f ca="1">'ESTADISTICOS JENNY'!C397</f>
        <v>-168888</v>
      </c>
      <c r="X12" s="992">
        <v>810446.83048057975</v>
      </c>
      <c r="Y12" s="992">
        <f ca="1">'ESTADISTICOS JENNY'!C398</f>
        <v>-163440</v>
      </c>
      <c r="Z12" s="992">
        <v>837461.72482993233</v>
      </c>
      <c r="AA12" s="992">
        <f ca="1">'ESTADISTICOS JENNY'!C399</f>
        <v>-168888</v>
      </c>
      <c r="AB12" s="992">
        <v>810446.83048057975</v>
      </c>
      <c r="AC12" s="992">
        <f ca="1">'ESTADISTICOS JENNY'!C400</f>
        <v>-163440</v>
      </c>
      <c r="AD12" s="992">
        <v>837461.72482993233</v>
      </c>
      <c r="AE12" s="992">
        <f ca="1">'ESTADISTICOS JENNY'!C401</f>
        <v>-168888</v>
      </c>
    </row>
    <row r="13" spans="1:31" ht="26.25" customHeight="1">
      <c r="A13" s="2354"/>
      <c r="B13" s="1248" t="s">
        <v>279</v>
      </c>
      <c r="C13" s="2359"/>
      <c r="D13" s="1104" t="s">
        <v>991</v>
      </c>
      <c r="E13" s="2360"/>
      <c r="F13" s="1108" t="s">
        <v>1065</v>
      </c>
      <c r="G13" s="1106" t="s">
        <v>998</v>
      </c>
      <c r="H13" s="993">
        <v>6144576.0728457989</v>
      </c>
      <c r="I13" s="992">
        <f ca="1">'ESTADISTICOS JENNY'!E390</f>
        <v>5290911.1666666372</v>
      </c>
      <c r="J13" s="992">
        <v>5748151.8100815536</v>
      </c>
      <c r="K13" s="992">
        <f ca="1">'ESTADISTICOS JENNY'!E391</f>
        <v>4603913.9999999907</v>
      </c>
      <c r="L13" s="992">
        <v>6144576.0728457989</v>
      </c>
      <c r="M13" s="992">
        <f ca="1">'ESTADISTICOS JENNY'!E392</f>
        <v>5262919.0000000121</v>
      </c>
      <c r="N13" s="992">
        <v>5946363.9414636763</v>
      </c>
      <c r="O13" s="992">
        <f ca="1">'ESTADISTICOS JENNY'!E393</f>
        <v>5077712.1666667312</v>
      </c>
      <c r="P13" s="992">
        <v>6144576.0728457989</v>
      </c>
      <c r="Q13" s="992">
        <f ca="1">'ESTADISTICOS JENNY'!E394</f>
        <v>4639461.1666666577</v>
      </c>
      <c r="R13" s="992">
        <v>5946363.9414636763</v>
      </c>
      <c r="S13" s="992">
        <f ca="1">'ESTADISTICOS JENNY'!E395</f>
        <v>42176632.166666657</v>
      </c>
      <c r="T13" s="992">
        <v>6144576.0728457989</v>
      </c>
      <c r="U13" s="992">
        <f ca="1">'ESTADISTICOS JENNY'!E396</f>
        <v>0</v>
      </c>
      <c r="V13" s="992">
        <v>6144576.0728457989</v>
      </c>
      <c r="W13" s="992">
        <f ca="1">'ESTADISTICOS JENNY'!E397</f>
        <v>0</v>
      </c>
      <c r="X13" s="992">
        <v>5946363.9414636763</v>
      </c>
      <c r="Y13" s="992">
        <f ca="1">'ESTADISTICOS JENNY'!E398</f>
        <v>0</v>
      </c>
      <c r="Z13" s="992">
        <v>6144576.0728457989</v>
      </c>
      <c r="AA13" s="992">
        <f ca="1">'ESTADISTICOS JENNY'!E399</f>
        <v>0</v>
      </c>
      <c r="AB13" s="992">
        <v>5946363.9414636763</v>
      </c>
      <c r="AC13" s="992">
        <f ca="1">'ESTADISTICOS JENNY'!E400</f>
        <v>0</v>
      </c>
      <c r="AD13" s="992">
        <v>6144576.0728457989</v>
      </c>
      <c r="AE13" s="992">
        <f ca="1">'ESTADISTICOS JENNY'!E401</f>
        <v>0</v>
      </c>
    </row>
    <row r="14" spans="1:31" ht="15.45" customHeight="1">
      <c r="A14" s="2354"/>
      <c r="B14" s="1248" t="s">
        <v>279</v>
      </c>
      <c r="C14" s="2359"/>
      <c r="D14" s="1104" t="s">
        <v>991</v>
      </c>
      <c r="E14" s="2360"/>
      <c r="F14" s="1108" t="s">
        <v>1067</v>
      </c>
      <c r="G14" s="1106" t="s">
        <v>1066</v>
      </c>
      <c r="H14" s="993">
        <v>325804.56213151902</v>
      </c>
      <c r="I14" s="992">
        <f>'ESTADISTICOS JENNY'!F390</f>
        <v>168888</v>
      </c>
      <c r="J14" s="992">
        <v>304784.9129617436</v>
      </c>
      <c r="K14" s="992">
        <f>'ESTADISTICOS JENNY'!F391</f>
        <v>157992</v>
      </c>
      <c r="L14" s="992">
        <v>325804.56213151902</v>
      </c>
      <c r="M14" s="992">
        <f>'ESTADISTICOS JENNY'!F392</f>
        <v>168888</v>
      </c>
      <c r="N14" s="992">
        <v>315294.73754663131</v>
      </c>
      <c r="O14" s="992">
        <f>'ESTADISTICOS JENNY'!F393</f>
        <v>163440</v>
      </c>
      <c r="P14" s="992">
        <v>325804.56213151902</v>
      </c>
      <c r="Q14" s="992">
        <f>'ESTADISTICOS JENNY'!F394</f>
        <v>168888</v>
      </c>
      <c r="R14" s="992">
        <v>315294.73754663131</v>
      </c>
      <c r="S14" s="992">
        <f>'ESTADISTICOS JENNY'!F395</f>
        <v>163440</v>
      </c>
      <c r="T14" s="992">
        <v>325804.56213151902</v>
      </c>
      <c r="U14" s="992">
        <f>'ESTADISTICOS JENNY'!F396</f>
        <v>168888</v>
      </c>
      <c r="V14" s="992">
        <v>325804.56213151902</v>
      </c>
      <c r="W14" s="992">
        <f>'ESTADISTICOS JENNY'!F397</f>
        <v>168888</v>
      </c>
      <c r="X14" s="992">
        <v>315294.73754663131</v>
      </c>
      <c r="Y14" s="992">
        <f>'ESTADISTICOS JENNY'!F398</f>
        <v>163440</v>
      </c>
      <c r="Z14" s="992">
        <v>325804.56213151902</v>
      </c>
      <c r="AA14" s="992">
        <f>'ESTADISTICOS JENNY'!F399</f>
        <v>168888</v>
      </c>
      <c r="AB14" s="992">
        <v>315294.73754663131</v>
      </c>
      <c r="AC14" s="992">
        <f>'ESTADISTICOS JENNY'!F400</f>
        <v>163440</v>
      </c>
      <c r="AD14" s="992">
        <v>325804.56213151902</v>
      </c>
      <c r="AE14" s="992">
        <f>'ESTADISTICOS JENNY'!F401</f>
        <v>168888</v>
      </c>
    </row>
    <row r="15" spans="1:31" ht="27.45" customHeight="1">
      <c r="A15" s="2354"/>
      <c r="B15" s="1248" t="s">
        <v>279</v>
      </c>
      <c r="C15" s="2359"/>
      <c r="D15" s="1104" t="s">
        <v>991</v>
      </c>
      <c r="E15" s="1110"/>
      <c r="F15" s="1108" t="s">
        <v>1160</v>
      </c>
      <c r="G15" s="1106" t="s">
        <v>995</v>
      </c>
      <c r="H15" s="993">
        <v>471887.91133786883</v>
      </c>
      <c r="I15" s="992">
        <f ca="1">'ESTADISTICOS JENNY'!N390</f>
        <v>492511.1666666579</v>
      </c>
      <c r="J15" s="992">
        <v>441443.52996123215</v>
      </c>
      <c r="K15" s="992">
        <f ca="1">'ESTADISTICOS JENNY'!N391</f>
        <v>435314.00000001409</v>
      </c>
      <c r="L15" s="992">
        <v>471887.91133786883</v>
      </c>
      <c r="M15" s="992">
        <f ca="1">'ESTADISTICOS JENNY'!N392</f>
        <v>481318.99999998836</v>
      </c>
      <c r="N15" s="992">
        <v>456665.72064955049</v>
      </c>
      <c r="O15" s="992">
        <f ca="1">'ESTADISTICOS JENNY'!N393</f>
        <v>484962.16666666057</v>
      </c>
      <c r="P15" s="992">
        <v>471887.91133786883</v>
      </c>
      <c r="Q15" s="992">
        <f ca="1">'ESTADISTICOS JENNY'!N394</f>
        <v>517461.1666666622</v>
      </c>
      <c r="R15" s="992">
        <v>456665.72064955049</v>
      </c>
      <c r="S15" s="992">
        <f ca="1">'ESTADISTICOS JENNY'!N395</f>
        <v>-25288167.833333343</v>
      </c>
      <c r="T15" s="992">
        <v>471887.91133786883</v>
      </c>
      <c r="U15" s="992">
        <f ca="1">'ESTADISTICOS JENNY'!N396</f>
        <v>0</v>
      </c>
      <c r="V15" s="992">
        <v>471887.91133786883</v>
      </c>
      <c r="W15" s="992">
        <f ca="1">'ESTADISTICOS JENNY'!N397</f>
        <v>0</v>
      </c>
      <c r="X15" s="992">
        <v>456665.72064955049</v>
      </c>
      <c r="Y15" s="992">
        <f ca="1">'ESTADISTICOS JENNY'!N398</f>
        <v>0</v>
      </c>
      <c r="Z15" s="992">
        <v>471887.91133786883</v>
      </c>
      <c r="AA15" s="992">
        <f ca="1">'ESTADISTICOS JENNY'!N399</f>
        <v>0</v>
      </c>
      <c r="AB15" s="992">
        <v>456665.72064955049</v>
      </c>
      <c r="AC15" s="992">
        <f ca="1">'ESTADISTICOS JENNY'!N400</f>
        <v>0</v>
      </c>
      <c r="AD15" s="992">
        <v>471887.91133786883</v>
      </c>
      <c r="AE15" s="992">
        <f ca="1">'ESTADISTICOS JENNY'!N401</f>
        <v>0</v>
      </c>
    </row>
    <row r="16" spans="1:31" ht="15" customHeight="1">
      <c r="A16" s="2354"/>
      <c r="B16" s="1248" t="s">
        <v>279</v>
      </c>
      <c r="C16" s="2359"/>
      <c r="D16" s="1104" t="s">
        <v>991</v>
      </c>
      <c r="E16" s="1129"/>
      <c r="F16" s="1108" t="s">
        <v>1161</v>
      </c>
      <c r="G16" s="1106" t="s">
        <v>1070</v>
      </c>
      <c r="H16" s="993">
        <v>1586516.1375283445</v>
      </c>
      <c r="I16" s="992">
        <f ca="1">'ESTADISTICOS JENNY'!H390</f>
        <v>1437391.1666666628</v>
      </c>
      <c r="J16" s="992">
        <v>1484160.2576878062</v>
      </c>
      <c r="K16" s="992">
        <f ca="1">'ESTADISTICOS JENNY'!H391</f>
        <v>1252174.0000000219</v>
      </c>
      <c r="L16" s="992">
        <v>1586516.1375283445</v>
      </c>
      <c r="M16" s="992">
        <f ca="1">'ESTADISTICOS JENNY'!H392</f>
        <v>1393058.9999999825</v>
      </c>
      <c r="N16" s="992">
        <v>1535338.1976080753</v>
      </c>
      <c r="O16" s="992">
        <f ca="1">'ESTADISTICOS JENNY'!H393</f>
        <v>1332152.1666666612</v>
      </c>
      <c r="P16" s="992">
        <v>1586516.1375283445</v>
      </c>
      <c r="Q16" s="992">
        <f ca="1">'ESTADISTICOS JENNY'!H394</f>
        <v>1305271.1666666672</v>
      </c>
      <c r="R16" s="992">
        <v>1535338.1976080753</v>
      </c>
      <c r="S16" s="992">
        <f ca="1">'ESTADISTICOS JENNY'!H395</f>
        <v>-63638567.833333358</v>
      </c>
      <c r="T16" s="992">
        <v>1586516.1375283445</v>
      </c>
      <c r="U16" s="992">
        <f ca="1">'ESTADISTICOS JENNY'!H396</f>
        <v>0</v>
      </c>
      <c r="V16" s="992">
        <v>1586516.1375283445</v>
      </c>
      <c r="W16" s="992">
        <f ca="1">'ESTADISTICOS JENNY'!H397</f>
        <v>0</v>
      </c>
      <c r="X16" s="992">
        <v>1535338.1976080753</v>
      </c>
      <c r="Y16" s="992">
        <f ca="1">'ESTADISTICOS JENNY'!H398</f>
        <v>0</v>
      </c>
      <c r="Z16" s="992">
        <v>1586516.1375283445</v>
      </c>
      <c r="AA16" s="992">
        <f ca="1">'ESTADISTICOS JENNY'!H399</f>
        <v>0</v>
      </c>
      <c r="AB16" s="992">
        <v>1535338.1976080753</v>
      </c>
      <c r="AC16" s="992">
        <f ca="1">'ESTADISTICOS JENNY'!H400</f>
        <v>0</v>
      </c>
      <c r="AD16" s="992">
        <v>1586516.1375283445</v>
      </c>
      <c r="AE16" s="992">
        <f ca="1">'ESTADISTICOS JENNY'!H401</f>
        <v>0</v>
      </c>
    </row>
    <row r="17" spans="1:31" ht="15" customHeight="1">
      <c r="A17" s="2354"/>
      <c r="B17" s="1248" t="s">
        <v>279</v>
      </c>
      <c r="C17" s="2359"/>
      <c r="D17" s="1128" t="s">
        <v>1087</v>
      </c>
      <c r="E17" s="1129"/>
      <c r="F17" s="1108" t="s">
        <v>1042</v>
      </c>
      <c r="G17" s="1128" t="s">
        <v>1041</v>
      </c>
      <c r="H17" s="993">
        <v>4464</v>
      </c>
      <c r="I17" s="992"/>
      <c r="J17" s="992">
        <v>4176</v>
      </c>
      <c r="K17" s="992"/>
      <c r="L17" s="992">
        <v>4464</v>
      </c>
      <c r="M17" s="992"/>
      <c r="N17" s="992">
        <v>4320</v>
      </c>
      <c r="O17" s="992"/>
      <c r="P17" s="992">
        <v>4464</v>
      </c>
      <c r="Q17" s="992"/>
      <c r="R17" s="992">
        <v>4320</v>
      </c>
      <c r="S17" s="992"/>
      <c r="T17" s="992">
        <v>4464</v>
      </c>
      <c r="U17" s="992"/>
      <c r="V17" s="992">
        <v>4464</v>
      </c>
      <c r="W17" s="992"/>
      <c r="X17" s="992">
        <v>4320</v>
      </c>
      <c r="Y17" s="992"/>
      <c r="Z17" s="992">
        <v>4464</v>
      </c>
      <c r="AA17" s="992"/>
      <c r="AB17" s="992">
        <v>4320</v>
      </c>
      <c r="AC17" s="992"/>
      <c r="AD17" s="992">
        <v>4464</v>
      </c>
      <c r="AE17" s="992"/>
    </row>
    <row r="18" spans="1:31" ht="15" customHeight="1">
      <c r="A18" s="2354"/>
      <c r="B18" s="1248" t="s">
        <v>1158</v>
      </c>
      <c r="C18" s="2359"/>
      <c r="D18" s="1128" t="s">
        <v>1087</v>
      </c>
      <c r="E18" s="1129"/>
      <c r="F18" s="1108" t="s">
        <v>1162</v>
      </c>
      <c r="G18" s="1128" t="s">
        <v>1043</v>
      </c>
      <c r="H18" s="993">
        <v>2232</v>
      </c>
      <c r="I18" s="992"/>
      <c r="J18" s="992">
        <v>2016</v>
      </c>
      <c r="K18" s="992"/>
      <c r="L18" s="992">
        <v>2232</v>
      </c>
      <c r="M18" s="992"/>
      <c r="N18" s="992">
        <v>2160</v>
      </c>
      <c r="O18" s="992"/>
      <c r="P18" s="992">
        <v>2232</v>
      </c>
      <c r="Q18" s="992"/>
      <c r="R18" s="992">
        <v>2160</v>
      </c>
      <c r="S18" s="992"/>
      <c r="T18" s="992">
        <v>2232</v>
      </c>
      <c r="U18" s="992"/>
      <c r="V18" s="992">
        <v>2232</v>
      </c>
      <c r="W18" s="992"/>
      <c r="X18" s="992">
        <v>2160</v>
      </c>
      <c r="Y18" s="992"/>
      <c r="Z18" s="992">
        <v>2232</v>
      </c>
      <c r="AA18" s="992"/>
      <c r="AB18" s="992">
        <v>2160</v>
      </c>
      <c r="AC18" s="992"/>
      <c r="AD18" s="992">
        <v>2232</v>
      </c>
      <c r="AE18" s="992"/>
    </row>
    <row r="19" spans="1:31" ht="15" customHeight="1">
      <c r="A19" s="2354"/>
      <c r="B19" s="1248" t="s">
        <v>279</v>
      </c>
      <c r="C19" s="2359"/>
      <c r="D19" s="1104" t="s">
        <v>991</v>
      </c>
      <c r="E19" s="1129"/>
      <c r="F19" t="s">
        <v>1073</v>
      </c>
      <c r="G19" s="1106" t="s">
        <v>1072</v>
      </c>
      <c r="H19" s="993">
        <v>4358808.6831632704</v>
      </c>
      <c r="I19" s="992">
        <f ca="1">'ESTADISTICOS JENNY'!I390</f>
        <v>4550279.9166666782</v>
      </c>
      <c r="J19" s="992">
        <v>4077595.2197333821</v>
      </c>
      <c r="K19" s="992">
        <f ca="1">'ESTADISTICOS JENNY'!I391</f>
        <v>4331236.4999999972</v>
      </c>
      <c r="L19" s="992">
        <v>4358808.6831632704</v>
      </c>
      <c r="M19" s="992">
        <f ca="1">'ESTADISTICOS JENNY'!I392</f>
        <v>4784172.7499999935</v>
      </c>
      <c r="N19" s="992">
        <v>4218201.951448326</v>
      </c>
      <c r="O19" s="992">
        <f ca="1">'ESTADISTICOS JENNY'!I393</f>
        <v>4593574.4166666567</v>
      </c>
      <c r="P19" s="992">
        <v>4358808.6831632704</v>
      </c>
      <c r="Q19" s="992">
        <f ca="1">'ESTADISTICOS JENNY'!I394</f>
        <v>4969538.4166666633</v>
      </c>
      <c r="R19" s="992">
        <v>4218201.951448326</v>
      </c>
      <c r="S19" s="992">
        <f ca="1">'ESTADISTICOS JENNY'!I395</f>
        <v>-427481480.33333337</v>
      </c>
      <c r="T19" s="992">
        <v>4358808.6831632704</v>
      </c>
      <c r="U19" s="992">
        <f ca="1">'ESTADISTICOS JENNY'!I396</f>
        <v>0</v>
      </c>
      <c r="V19" s="992">
        <v>4358808.6831632704</v>
      </c>
      <c r="W19" s="992">
        <f ca="1">'ESTADISTICOS JENNY'!I397</f>
        <v>0</v>
      </c>
      <c r="X19" s="992">
        <v>4218201.951448326</v>
      </c>
      <c r="Y19" s="992">
        <f ca="1">'ESTADISTICOS JENNY'!I398</f>
        <v>0</v>
      </c>
      <c r="Z19" s="992">
        <v>4358808.6831632704</v>
      </c>
      <c r="AA19" s="992">
        <f ca="1">'ESTADISTICOS JENNY'!I399</f>
        <v>0</v>
      </c>
      <c r="AB19" s="992">
        <v>4218201.951448326</v>
      </c>
      <c r="AC19" s="992">
        <f ca="1">'ESTADISTICOS JENNY'!I400</f>
        <v>0</v>
      </c>
      <c r="AD19" s="992">
        <v>4358808.6831632704</v>
      </c>
      <c r="AE19" s="992">
        <f ca="1">'ESTADISTICOS JENNY'!I401</f>
        <v>0</v>
      </c>
    </row>
    <row r="20" spans="1:31" ht="15" customHeight="1">
      <c r="A20" s="2354"/>
      <c r="B20" s="1248" t="s">
        <v>279</v>
      </c>
      <c r="C20" s="2359"/>
      <c r="D20" s="1104" t="s">
        <v>991</v>
      </c>
      <c r="E20" s="1129"/>
      <c r="F20" t="s">
        <v>1079</v>
      </c>
      <c r="G20" s="1106" t="s">
        <v>1078</v>
      </c>
      <c r="H20" s="993">
        <v>173623.34784580473</v>
      </c>
      <c r="I20" s="992">
        <f ca="1">'ESTADISTICOS JENNY'!L390</f>
        <v>224096.36666666082</v>
      </c>
      <c r="J20" s="992">
        <v>162421.84153317218</v>
      </c>
      <c r="K20" s="992">
        <f ca="1">'ESTADISTICOS JENNY'!L391</f>
        <v>206706.80000001434</v>
      </c>
      <c r="L20" s="992">
        <v>173623.34784580473</v>
      </c>
      <c r="M20" s="992">
        <f ca="1">'ESTADISTICOS JENNY'!L392</f>
        <v>230059.79999998893</v>
      </c>
      <c r="N20" s="992">
        <v>168022.59468948847</v>
      </c>
      <c r="O20" s="992">
        <f ca="1">'ESTADISTICOS JENNY'!L393</f>
        <v>229616.76666666172</v>
      </c>
      <c r="P20" s="992">
        <v>173623.34784580473</v>
      </c>
      <c r="Q20" s="992">
        <f ca="1">'ESTADISTICOS JENNY'!L394</f>
        <v>236319.56666665798</v>
      </c>
      <c r="R20" s="992">
        <v>168022.59468948847</v>
      </c>
      <c r="S20" s="992">
        <f ca="1">'ESTADISTICOS JENNY'!L395</f>
        <v>45957952.166666657</v>
      </c>
      <c r="T20" s="992">
        <v>173623.34784580473</v>
      </c>
      <c r="U20" s="992">
        <f ca="1">'ESTADISTICOS JENNY'!L396</f>
        <v>0</v>
      </c>
      <c r="V20" s="992">
        <v>173623.34784580473</v>
      </c>
      <c r="W20" s="992">
        <f ca="1">'ESTADISTICOS JENNY'!L397</f>
        <v>0</v>
      </c>
      <c r="X20" s="992">
        <v>168022.59468948847</v>
      </c>
      <c r="Y20" s="992">
        <f ca="1">'ESTADISTICOS JENNY'!L398</f>
        <v>0</v>
      </c>
      <c r="Z20" s="992">
        <v>173623.34784580473</v>
      </c>
      <c r="AA20" s="992">
        <f ca="1">'ESTADISTICOS JENNY'!L399</f>
        <v>0</v>
      </c>
      <c r="AB20" s="992">
        <v>168022.59468948847</v>
      </c>
      <c r="AC20" s="992">
        <f ca="1">'ESTADISTICOS JENNY'!L400</f>
        <v>0</v>
      </c>
      <c r="AD20" s="992">
        <v>173623.34784580473</v>
      </c>
      <c r="AE20" s="992">
        <f ca="1">'ESTADISTICOS JENNY'!L401</f>
        <v>0</v>
      </c>
    </row>
    <row r="21" spans="1:31" ht="15" customHeight="1">
      <c r="A21" s="2354"/>
      <c r="B21" s="1248" t="s">
        <v>279</v>
      </c>
      <c r="C21" s="2359"/>
      <c r="D21" s="1104" t="s">
        <v>991</v>
      </c>
      <c r="E21" s="1129"/>
      <c r="F21" s="1130" t="s">
        <v>1163</v>
      </c>
      <c r="G21" s="1106" t="s">
        <v>1201</v>
      </c>
      <c r="H21" s="993">
        <v>1264800</v>
      </c>
      <c r="I21" s="992">
        <f ca="1">'ESTADISTICOS JENNY'!R390</f>
        <v>659946.05000001786</v>
      </c>
      <c r="J21" s="992">
        <v>1183200</v>
      </c>
      <c r="K21" s="992">
        <f ca="1">'ESTADISTICOS JENNY'!R391</f>
        <v>595984.69999998342</v>
      </c>
      <c r="L21" s="992">
        <v>1264800</v>
      </c>
      <c r="M21" s="992">
        <f ca="1">'ESTADISTICOS JENNY'!R392</f>
        <v>704705.45000000403</v>
      </c>
      <c r="N21" s="992">
        <v>1224000</v>
      </c>
      <c r="O21" s="992">
        <f ca="1">'ESTADISTICOS JENNY'!R393</f>
        <v>632733.14999998407</v>
      </c>
      <c r="P21" s="992">
        <v>1264800</v>
      </c>
      <c r="Q21" s="992">
        <f ca="1">'ESTADISTICOS JENNY'!R394</f>
        <v>680864.35000001721</v>
      </c>
      <c r="R21" s="992">
        <v>1224000</v>
      </c>
      <c r="S21" s="992">
        <f ca="1">'ESTADISTICOS JENNY'!R395</f>
        <v>-34959407.499999978</v>
      </c>
      <c r="T21" s="992">
        <v>1264800</v>
      </c>
      <c r="U21" s="992">
        <f ca="1">'ESTADISTICOS JENNY'!R396</f>
        <v>0</v>
      </c>
      <c r="V21" s="992">
        <v>1264800</v>
      </c>
      <c r="W21" s="992">
        <f ca="1">'ESTADISTICOS JENNY'!R397</f>
        <v>0</v>
      </c>
      <c r="X21" s="992">
        <v>1224000</v>
      </c>
      <c r="Y21" s="992">
        <f ca="1">'ESTADISTICOS JENNY'!R398</f>
        <v>0</v>
      </c>
      <c r="Z21" s="992">
        <v>1264800</v>
      </c>
      <c r="AA21" s="992">
        <f ca="1">'ESTADISTICOS JENNY'!R399</f>
        <v>0</v>
      </c>
      <c r="AB21" s="992">
        <v>1224000</v>
      </c>
      <c r="AC21" s="992">
        <f ca="1">'ESTADISTICOS JENNY'!R400</f>
        <v>0</v>
      </c>
      <c r="AD21" s="992">
        <v>1264800</v>
      </c>
      <c r="AE21" s="992">
        <f ca="1">'ESTADISTICOS JENNY'!R401</f>
        <v>0</v>
      </c>
    </row>
    <row r="22" spans="1:31" ht="15" customHeight="1">
      <c r="A22" s="2354"/>
      <c r="B22" s="1248" t="s">
        <v>279</v>
      </c>
      <c r="C22" s="2359"/>
      <c r="D22" s="1104" t="s">
        <v>1045</v>
      </c>
      <c r="E22" s="1131"/>
      <c r="F22" s="1132" t="s">
        <v>1195</v>
      </c>
      <c r="G22" s="1106" t="s">
        <v>1049</v>
      </c>
      <c r="H22" s="1039">
        <v>15657.3</v>
      </c>
      <c r="I22" s="1038"/>
      <c r="J22" s="1038">
        <v>14692.333333333339</v>
      </c>
      <c r="K22" s="1038"/>
      <c r="L22" s="1038">
        <v>15657.3</v>
      </c>
      <c r="M22" s="1038"/>
      <c r="N22" s="1038">
        <v>15099</v>
      </c>
      <c r="O22" s="1038"/>
      <c r="P22" s="1038">
        <v>15657.3</v>
      </c>
      <c r="Q22" s="1038"/>
      <c r="R22" s="1038">
        <v>15220</v>
      </c>
      <c r="S22" s="1038"/>
      <c r="T22" s="1038">
        <v>15657.3</v>
      </c>
      <c r="U22" s="1038"/>
      <c r="V22" s="1038">
        <v>15657.3</v>
      </c>
      <c r="W22" s="1038"/>
      <c r="X22" s="1038">
        <v>15157</v>
      </c>
      <c r="Y22" s="1038"/>
      <c r="Z22" s="1038">
        <v>15728.099999999999</v>
      </c>
      <c r="AA22" s="1038"/>
      <c r="AB22" s="1038">
        <v>15175</v>
      </c>
      <c r="AC22" s="1038"/>
      <c r="AD22" s="1038">
        <v>15652.099999999999</v>
      </c>
      <c r="AE22" s="992"/>
    </row>
    <row r="23" spans="1:31" s="1135" customFormat="1" ht="15.75" customHeight="1" thickBot="1">
      <c r="A23" s="2355"/>
      <c r="B23" s="1249"/>
      <c r="C23" s="1250" t="s">
        <v>914</v>
      </c>
      <c r="D23" s="1133"/>
      <c r="E23" s="1252" t="s">
        <v>914</v>
      </c>
      <c r="F23" s="1255" t="s">
        <v>1267</v>
      </c>
      <c r="G23" s="1134"/>
      <c r="H23" s="1107">
        <f t="shared" ref="H23:N23" si="0">SUM(H7:H22)</f>
        <v>15308468.598015873</v>
      </c>
      <c r="I23" s="1107">
        <f ca="1">SUM(I7:I22)</f>
        <v>13598694.99999997</v>
      </c>
      <c r="J23" s="1107">
        <f t="shared" si="0"/>
        <v>14320798.644380439</v>
      </c>
      <c r="K23" s="1107">
        <f ca="1">SUM(K7:K22)</f>
        <v>12281900.00000003</v>
      </c>
      <c r="L23" s="1107">
        <f t="shared" si="0"/>
        <v>15308468.598015873</v>
      </c>
      <c r="M23" s="1107">
        <f ca="1">SUM(M7:M22)</f>
        <v>13773650.999999966</v>
      </c>
      <c r="N23" s="1107">
        <f t="shared" si="0"/>
        <v>14814593.804531489</v>
      </c>
      <c r="O23" s="1220">
        <f ca="1">SUM(O12:O22)</f>
        <v>13154943.000000026</v>
      </c>
      <c r="P23" s="1107">
        <f>SUM(P7:P21)</f>
        <v>15292811.298015872</v>
      </c>
      <c r="Q23" s="1348">
        <f ca="1">SUM(Q12:Q22)</f>
        <v>13126246.999999974</v>
      </c>
      <c r="R23" s="1107">
        <f t="shared" ref="R23:AD23" si="1">SUM(R7:R22)</f>
        <v>14814714.804531489</v>
      </c>
      <c r="S23" s="1220">
        <f ca="1">SUM(S12:S22)</f>
        <v>-634496907.00000012</v>
      </c>
      <c r="T23" s="1107">
        <f t="shared" si="1"/>
        <v>15308468.598015873</v>
      </c>
      <c r="U23" s="1107">
        <f ca="1">SUM(U12:U22)</f>
        <v>0</v>
      </c>
      <c r="V23" s="1107">
        <f t="shared" si="1"/>
        <v>15307352.598015873</v>
      </c>
      <c r="W23" s="1220">
        <f ca="1">SUM(W12:W22)</f>
        <v>0</v>
      </c>
      <c r="X23" s="1107">
        <f t="shared" si="1"/>
        <v>14813571.804531489</v>
      </c>
      <c r="Y23" s="1107">
        <f ca="1">SUM(Y12:Y22)</f>
        <v>0</v>
      </c>
      <c r="Z23" s="1107">
        <f t="shared" si="1"/>
        <v>15307423.398015872</v>
      </c>
      <c r="AA23" s="1107">
        <f ca="1">SUM(AA12:AA22)</f>
        <v>0</v>
      </c>
      <c r="AB23" s="1107">
        <f t="shared" si="1"/>
        <v>14813589.804531489</v>
      </c>
      <c r="AC23" s="1107">
        <f ca="1">SUM(AC12:AC22)</f>
        <v>0</v>
      </c>
      <c r="AD23" s="1107">
        <f t="shared" si="1"/>
        <v>15307347.398015872</v>
      </c>
      <c r="AE23" s="1107">
        <f ca="1">SUM(AE12:AE22)</f>
        <v>0</v>
      </c>
    </row>
    <row r="24" spans="1:31">
      <c r="C24" s="2344" t="s">
        <v>71</v>
      </c>
      <c r="D24" s="1242" t="s">
        <v>1004</v>
      </c>
      <c r="E24" s="2347" t="s">
        <v>1159</v>
      </c>
      <c r="F24" s="1108" t="s">
        <v>1064</v>
      </c>
      <c r="G24" s="1109" t="s">
        <v>1063</v>
      </c>
      <c r="H24" s="992">
        <f t="shared" ref="H24:AD28" si="2">+H12</f>
        <v>837461.72482993233</v>
      </c>
      <c r="I24" s="992">
        <f ca="1">I12</f>
        <v>730603.16666665382</v>
      </c>
      <c r="J24" s="992">
        <f t="shared" si="2"/>
        <v>783431.93613122706</v>
      </c>
      <c r="K24" s="992">
        <f ca="1">K12</f>
        <v>657412.00000001059</v>
      </c>
      <c r="L24" s="992">
        <f t="shared" si="2"/>
        <v>837461.72482993233</v>
      </c>
      <c r="M24" s="992">
        <f ca="1">M12</f>
        <v>704840.99999999546</v>
      </c>
      <c r="N24" s="992">
        <f t="shared" si="2"/>
        <v>810446.83048057975</v>
      </c>
      <c r="O24" s="992">
        <f ca="1">O12</f>
        <v>640752.16666666931</v>
      </c>
      <c r="P24" s="992">
        <f t="shared" si="2"/>
        <v>837461.72482993233</v>
      </c>
      <c r="Q24" s="992">
        <f ca="1">Q12</f>
        <v>608443.16666665033</v>
      </c>
      <c r="R24" s="992">
        <f t="shared" si="2"/>
        <v>810446.83048057975</v>
      </c>
      <c r="S24" s="992">
        <f ca="1">S12</f>
        <v>-171427307.83333334</v>
      </c>
      <c r="T24" s="992">
        <f t="shared" si="2"/>
        <v>837461.72482993233</v>
      </c>
      <c r="U24" s="992">
        <f ca="1">U12</f>
        <v>-168888</v>
      </c>
      <c r="V24" s="992">
        <f t="shared" si="2"/>
        <v>837461.72482993233</v>
      </c>
      <c r="W24" s="992">
        <f ca="1">W12</f>
        <v>-168888</v>
      </c>
      <c r="X24" s="992">
        <f t="shared" si="2"/>
        <v>810446.83048057975</v>
      </c>
      <c r="Y24" s="992">
        <f ca="1">Y12</f>
        <v>-163440</v>
      </c>
      <c r="Z24" s="992">
        <f t="shared" si="2"/>
        <v>837461.72482993233</v>
      </c>
      <c r="AA24" s="992">
        <f ca="1">AA12</f>
        <v>-168888</v>
      </c>
      <c r="AB24" s="992">
        <f t="shared" si="2"/>
        <v>810446.83048057975</v>
      </c>
      <c r="AC24" s="992">
        <f ca="1">AC12</f>
        <v>-163440</v>
      </c>
      <c r="AD24" s="992">
        <f t="shared" si="2"/>
        <v>837461.72482993233</v>
      </c>
      <c r="AE24" s="992">
        <f ca="1">AE12</f>
        <v>-168888</v>
      </c>
    </row>
    <row r="25" spans="1:31">
      <c r="C25" s="2345"/>
      <c r="D25" s="1243" t="s">
        <v>1004</v>
      </c>
      <c r="E25" s="2348"/>
      <c r="F25" s="1105" t="s">
        <v>1065</v>
      </c>
      <c r="G25" s="1109" t="s">
        <v>998</v>
      </c>
      <c r="H25" s="992">
        <f t="shared" si="2"/>
        <v>6144576.0728457989</v>
      </c>
      <c r="I25" s="992">
        <f ca="1">I13</f>
        <v>5290911.1666666372</v>
      </c>
      <c r="J25" s="992">
        <f t="shared" si="2"/>
        <v>5748151.8100815536</v>
      </c>
      <c r="K25" s="992">
        <f ca="1">K13</f>
        <v>4603913.9999999907</v>
      </c>
      <c r="L25" s="992">
        <f t="shared" si="2"/>
        <v>6144576.0728457989</v>
      </c>
      <c r="M25" s="992">
        <f ca="1">M13</f>
        <v>5262919.0000000121</v>
      </c>
      <c r="N25" s="992">
        <f t="shared" si="2"/>
        <v>5946363.9414636763</v>
      </c>
      <c r="O25" s="992">
        <f ca="1">O13</f>
        <v>5077712.1666667312</v>
      </c>
      <c r="P25" s="992">
        <f t="shared" si="2"/>
        <v>6144576.0728457989</v>
      </c>
      <c r="Q25" s="992">
        <f ca="1">Q13</f>
        <v>4639461.1666666577</v>
      </c>
      <c r="R25" s="992">
        <f t="shared" si="2"/>
        <v>5946363.9414636763</v>
      </c>
      <c r="S25" s="992">
        <f ca="1">S13</f>
        <v>42176632.166666657</v>
      </c>
      <c r="T25" s="992">
        <f t="shared" si="2"/>
        <v>6144576.0728457989</v>
      </c>
      <c r="U25" s="992">
        <f ca="1">U13</f>
        <v>0</v>
      </c>
      <c r="V25" s="992">
        <f t="shared" si="2"/>
        <v>6144576.0728457989</v>
      </c>
      <c r="W25" s="992">
        <f ca="1">W13</f>
        <v>0</v>
      </c>
      <c r="X25" s="992">
        <f t="shared" si="2"/>
        <v>5946363.9414636763</v>
      </c>
      <c r="Y25" s="992">
        <f ca="1">Y13</f>
        <v>0</v>
      </c>
      <c r="Z25" s="992">
        <f t="shared" si="2"/>
        <v>6144576.0728457989</v>
      </c>
      <c r="AA25" s="992">
        <f ca="1">AA13</f>
        <v>0</v>
      </c>
      <c r="AB25" s="992">
        <f t="shared" si="2"/>
        <v>5946363.9414636763</v>
      </c>
      <c r="AC25" s="992">
        <f ca="1">AC13</f>
        <v>0</v>
      </c>
      <c r="AD25" s="992">
        <f t="shared" si="2"/>
        <v>6144576.0728457989</v>
      </c>
      <c r="AE25" s="992">
        <f ca="1">AE13</f>
        <v>0</v>
      </c>
    </row>
    <row r="26" spans="1:31">
      <c r="C26" s="2345"/>
      <c r="D26" s="1243" t="s">
        <v>1004</v>
      </c>
      <c r="E26" s="2348"/>
      <c r="F26" s="1108" t="s">
        <v>1067</v>
      </c>
      <c r="G26" s="1109" t="s">
        <v>1066</v>
      </c>
      <c r="H26" s="992">
        <f t="shared" si="2"/>
        <v>325804.56213151902</v>
      </c>
      <c r="I26" s="992">
        <f>I14</f>
        <v>168888</v>
      </c>
      <c r="J26" s="992">
        <f t="shared" si="2"/>
        <v>304784.9129617436</v>
      </c>
      <c r="K26" s="992">
        <f>K14</f>
        <v>157992</v>
      </c>
      <c r="L26" s="992">
        <f t="shared" si="2"/>
        <v>325804.56213151902</v>
      </c>
      <c r="M26" s="992">
        <f>M14</f>
        <v>168888</v>
      </c>
      <c r="N26" s="992">
        <f t="shared" si="2"/>
        <v>315294.73754663131</v>
      </c>
      <c r="O26" s="992">
        <f>O14</f>
        <v>163440</v>
      </c>
      <c r="P26" s="992">
        <f t="shared" si="2"/>
        <v>325804.56213151902</v>
      </c>
      <c r="Q26" s="992">
        <f>Q14</f>
        <v>168888</v>
      </c>
      <c r="R26" s="992">
        <f t="shared" si="2"/>
        <v>315294.73754663131</v>
      </c>
      <c r="S26" s="992">
        <f>S14</f>
        <v>163440</v>
      </c>
      <c r="T26" s="992">
        <f t="shared" si="2"/>
        <v>325804.56213151902</v>
      </c>
      <c r="U26" s="992">
        <f>U14</f>
        <v>168888</v>
      </c>
      <c r="V26" s="992">
        <f t="shared" si="2"/>
        <v>325804.56213151902</v>
      </c>
      <c r="W26" s="992">
        <f>W14</f>
        <v>168888</v>
      </c>
      <c r="X26" s="992">
        <f t="shared" si="2"/>
        <v>315294.73754663131</v>
      </c>
      <c r="Y26" s="992">
        <f>Y14</f>
        <v>163440</v>
      </c>
      <c r="Z26" s="992">
        <f t="shared" si="2"/>
        <v>325804.56213151902</v>
      </c>
      <c r="AA26" s="992">
        <f>AA14</f>
        <v>168888</v>
      </c>
      <c r="AB26" s="992">
        <f t="shared" si="2"/>
        <v>315294.73754663131</v>
      </c>
      <c r="AC26" s="992">
        <f>AC14</f>
        <v>163440</v>
      </c>
      <c r="AD26" s="992">
        <f t="shared" si="2"/>
        <v>325804.56213151902</v>
      </c>
      <c r="AE26" s="992">
        <f>AE14</f>
        <v>168888</v>
      </c>
    </row>
    <row r="27" spans="1:31">
      <c r="C27" s="2345"/>
      <c r="D27" s="1243" t="s">
        <v>1004</v>
      </c>
      <c r="E27" s="1244" t="s">
        <v>1202</v>
      </c>
      <c r="F27" s="1105" t="s">
        <v>1160</v>
      </c>
      <c r="G27" s="1109" t="s">
        <v>995</v>
      </c>
      <c r="H27" s="992">
        <f t="shared" si="2"/>
        <v>471887.91133786883</v>
      </c>
      <c r="I27" s="992">
        <f ca="1">I15</f>
        <v>492511.1666666579</v>
      </c>
      <c r="J27" s="992">
        <f t="shared" si="2"/>
        <v>441443.52996123215</v>
      </c>
      <c r="K27" s="992">
        <f ca="1">K15</f>
        <v>435314.00000001409</v>
      </c>
      <c r="L27" s="992">
        <f t="shared" si="2"/>
        <v>471887.91133786883</v>
      </c>
      <c r="M27" s="992">
        <f ca="1">M15</f>
        <v>481318.99999998836</v>
      </c>
      <c r="N27" s="992">
        <f t="shared" si="2"/>
        <v>456665.72064955049</v>
      </c>
      <c r="O27" s="992">
        <f ca="1">O15</f>
        <v>484962.16666666057</v>
      </c>
      <c r="P27" s="992">
        <f t="shared" si="2"/>
        <v>471887.91133786883</v>
      </c>
      <c r="Q27" s="992">
        <f ca="1">Q15</f>
        <v>517461.1666666622</v>
      </c>
      <c r="R27" s="992">
        <f t="shared" si="2"/>
        <v>456665.72064955049</v>
      </c>
      <c r="S27" s="992">
        <f ca="1">S15</f>
        <v>-25288167.833333343</v>
      </c>
      <c r="T27" s="992">
        <f t="shared" si="2"/>
        <v>471887.91133786883</v>
      </c>
      <c r="U27" s="992">
        <f ca="1">U15</f>
        <v>0</v>
      </c>
      <c r="V27" s="992">
        <f t="shared" si="2"/>
        <v>471887.91133786883</v>
      </c>
      <c r="W27" s="992">
        <f ca="1">W15</f>
        <v>0</v>
      </c>
      <c r="X27" s="992">
        <f t="shared" si="2"/>
        <v>456665.72064955049</v>
      </c>
      <c r="Y27" s="992">
        <f ca="1">Y15</f>
        <v>0</v>
      </c>
      <c r="Z27" s="992">
        <f t="shared" si="2"/>
        <v>471887.91133786883</v>
      </c>
      <c r="AA27" s="992">
        <f ca="1">AA15</f>
        <v>0</v>
      </c>
      <c r="AB27" s="992">
        <f t="shared" si="2"/>
        <v>456665.72064955049</v>
      </c>
      <c r="AC27" s="992">
        <f ca="1">AC15</f>
        <v>0</v>
      </c>
      <c r="AD27" s="992">
        <f t="shared" si="2"/>
        <v>471887.91133786883</v>
      </c>
      <c r="AE27" s="992">
        <f ca="1">AE15</f>
        <v>0</v>
      </c>
    </row>
    <row r="28" spans="1:31">
      <c r="C28" s="2345"/>
      <c r="D28" s="1243" t="s">
        <v>1004</v>
      </c>
      <c r="E28" s="1245"/>
      <c r="F28" s="1108" t="s">
        <v>1161</v>
      </c>
      <c r="G28" s="1109" t="s">
        <v>1070</v>
      </c>
      <c r="H28" s="992">
        <f t="shared" si="2"/>
        <v>1586516.1375283445</v>
      </c>
      <c r="I28" s="992">
        <f ca="1">I16</f>
        <v>1437391.1666666628</v>
      </c>
      <c r="J28" s="992">
        <f t="shared" si="2"/>
        <v>1484160.2576878062</v>
      </c>
      <c r="K28" s="992">
        <f ca="1">K16</f>
        <v>1252174.0000000219</v>
      </c>
      <c r="L28" s="992">
        <f t="shared" si="2"/>
        <v>1586516.1375283445</v>
      </c>
      <c r="M28" s="992">
        <f ca="1">M16</f>
        <v>1393058.9999999825</v>
      </c>
      <c r="N28" s="992">
        <f t="shared" si="2"/>
        <v>1535338.1976080753</v>
      </c>
      <c r="O28" s="992">
        <f ca="1">O16</f>
        <v>1332152.1666666612</v>
      </c>
      <c r="P28" s="992">
        <f t="shared" si="2"/>
        <v>1586516.1375283445</v>
      </c>
      <c r="Q28" s="992">
        <f ca="1">Q16</f>
        <v>1305271.1666666672</v>
      </c>
      <c r="R28" s="992">
        <f t="shared" si="2"/>
        <v>1535338.1976080753</v>
      </c>
      <c r="S28" s="992">
        <f ca="1">S16</f>
        <v>-63638567.833333358</v>
      </c>
      <c r="T28" s="992">
        <f t="shared" si="2"/>
        <v>1586516.1375283445</v>
      </c>
      <c r="U28" s="992">
        <f ca="1">U16</f>
        <v>0</v>
      </c>
      <c r="V28" s="992">
        <f t="shared" si="2"/>
        <v>1586516.1375283445</v>
      </c>
      <c r="W28" s="992">
        <f ca="1">W16</f>
        <v>0</v>
      </c>
      <c r="X28" s="992">
        <f t="shared" si="2"/>
        <v>1535338.1976080753</v>
      </c>
      <c r="Y28" s="992">
        <f ca="1">Y16</f>
        <v>0</v>
      </c>
      <c r="Z28" s="992">
        <f t="shared" si="2"/>
        <v>1586516.1375283445</v>
      </c>
      <c r="AA28" s="992">
        <f ca="1">AA16</f>
        <v>0</v>
      </c>
      <c r="AB28" s="992">
        <f t="shared" si="2"/>
        <v>1535338.1976080753</v>
      </c>
      <c r="AC28" s="992">
        <f ca="1">AC16</f>
        <v>0</v>
      </c>
      <c r="AD28" s="992">
        <f t="shared" si="2"/>
        <v>1586516.1375283445</v>
      </c>
      <c r="AE28" s="992">
        <f ca="1">AE16</f>
        <v>0</v>
      </c>
    </row>
    <row r="29" spans="1:31">
      <c r="C29" s="2345"/>
      <c r="D29" s="1243" t="s">
        <v>1004</v>
      </c>
      <c r="E29" s="1245"/>
      <c r="F29" s="1105" t="s">
        <v>1073</v>
      </c>
      <c r="G29" s="1109" t="s">
        <v>1072</v>
      </c>
      <c r="H29" s="992">
        <f t="shared" ref="H29:AD30" si="3">+H19</f>
        <v>4358808.6831632704</v>
      </c>
      <c r="I29" s="992">
        <f ca="1">I19</f>
        <v>4550279.9166666782</v>
      </c>
      <c r="J29" s="992">
        <f t="shared" si="3"/>
        <v>4077595.2197333821</v>
      </c>
      <c r="K29" s="992">
        <f ca="1">K19</f>
        <v>4331236.4999999972</v>
      </c>
      <c r="L29" s="992">
        <f t="shared" si="3"/>
        <v>4358808.6831632704</v>
      </c>
      <c r="M29" s="992">
        <f ca="1">M19</f>
        <v>4784172.7499999935</v>
      </c>
      <c r="N29" s="992">
        <f t="shared" si="3"/>
        <v>4218201.951448326</v>
      </c>
      <c r="O29" s="992">
        <f ca="1">O19</f>
        <v>4593574.4166666567</v>
      </c>
      <c r="P29" s="992">
        <f t="shared" si="3"/>
        <v>4358808.6831632704</v>
      </c>
      <c r="Q29" s="992">
        <f ca="1">Q19</f>
        <v>4969538.4166666633</v>
      </c>
      <c r="R29" s="992">
        <f t="shared" si="3"/>
        <v>4218201.951448326</v>
      </c>
      <c r="S29" s="992">
        <f ca="1">S19</f>
        <v>-427481480.33333337</v>
      </c>
      <c r="T29" s="992">
        <f t="shared" si="3"/>
        <v>4358808.6831632704</v>
      </c>
      <c r="U29" s="992">
        <f ca="1">U19</f>
        <v>0</v>
      </c>
      <c r="V29" s="992">
        <f t="shared" si="3"/>
        <v>4358808.6831632704</v>
      </c>
      <c r="W29" s="992">
        <f ca="1">W19</f>
        <v>0</v>
      </c>
      <c r="X29" s="992">
        <f t="shared" si="3"/>
        <v>4218201.951448326</v>
      </c>
      <c r="Y29" s="992">
        <f ca="1">Y19</f>
        <v>0</v>
      </c>
      <c r="Z29" s="992">
        <f t="shared" si="3"/>
        <v>4358808.6831632704</v>
      </c>
      <c r="AA29" s="992">
        <f ca="1">AA19</f>
        <v>0</v>
      </c>
      <c r="AB29" s="992">
        <f t="shared" si="3"/>
        <v>4218201.951448326</v>
      </c>
      <c r="AC29" s="992">
        <f ca="1">AC19</f>
        <v>0</v>
      </c>
      <c r="AD29" s="992">
        <f t="shared" si="3"/>
        <v>4358808.6831632704</v>
      </c>
      <c r="AE29" s="992">
        <f ca="1">AE19</f>
        <v>0</v>
      </c>
    </row>
    <row r="30" spans="1:31" ht="33" customHeight="1" thickBot="1">
      <c r="C30" s="2346"/>
      <c r="D30" s="1246" t="s">
        <v>1004</v>
      </c>
      <c r="E30" s="1253"/>
      <c r="F30" s="1237" t="s">
        <v>1079</v>
      </c>
      <c r="G30" s="1238" t="s">
        <v>1078</v>
      </c>
      <c r="H30" s="1040">
        <f t="shared" si="3"/>
        <v>173623.34784580473</v>
      </c>
      <c r="I30" s="1040">
        <f ca="1">I20</f>
        <v>224096.36666666082</v>
      </c>
      <c r="J30" s="1040">
        <f t="shared" si="3"/>
        <v>162421.84153317218</v>
      </c>
      <c r="K30" s="1040">
        <f ca="1">K20</f>
        <v>206706.80000001434</v>
      </c>
      <c r="L30" s="1040">
        <f t="shared" si="3"/>
        <v>173623.34784580473</v>
      </c>
      <c r="M30" s="1040">
        <f ca="1">M20</f>
        <v>230059.79999998893</v>
      </c>
      <c r="N30" s="1040">
        <f t="shared" si="3"/>
        <v>168022.59468948847</v>
      </c>
      <c r="O30" s="1040">
        <f ca="1">O20</f>
        <v>229616.76666666172</v>
      </c>
      <c r="P30" s="1040">
        <f t="shared" si="3"/>
        <v>173623.34784580473</v>
      </c>
      <c r="Q30" s="1040">
        <f ca="1">Q20</f>
        <v>236319.56666665798</v>
      </c>
      <c r="R30" s="1040">
        <f t="shared" si="3"/>
        <v>168022.59468948847</v>
      </c>
      <c r="S30" s="1040">
        <f ca="1">S20</f>
        <v>45957952.166666657</v>
      </c>
      <c r="T30" s="1040">
        <f t="shared" si="3"/>
        <v>173623.34784580473</v>
      </c>
      <c r="U30" s="1040">
        <f ca="1">U20</f>
        <v>0</v>
      </c>
      <c r="V30" s="1040">
        <f t="shared" si="3"/>
        <v>173623.34784580473</v>
      </c>
      <c r="W30" s="1040">
        <f ca="1">W20</f>
        <v>0</v>
      </c>
      <c r="X30" s="1040">
        <f t="shared" si="3"/>
        <v>168022.59468948847</v>
      </c>
      <c r="Y30" s="1040">
        <f ca="1">Y20</f>
        <v>0</v>
      </c>
      <c r="Z30" s="1040">
        <f t="shared" si="3"/>
        <v>173623.34784580473</v>
      </c>
      <c r="AA30" s="1040">
        <f ca="1">AA20</f>
        <v>0</v>
      </c>
      <c r="AB30" s="1040">
        <f t="shared" si="3"/>
        <v>168022.59468948847</v>
      </c>
      <c r="AC30" s="1040">
        <f ca="1">AC20</f>
        <v>0</v>
      </c>
      <c r="AD30" s="1040">
        <f t="shared" si="3"/>
        <v>173623.34784580473</v>
      </c>
      <c r="AE30" s="1038">
        <f ca="1">AE20</f>
        <v>0</v>
      </c>
    </row>
    <row r="31" spans="1:31" s="1135" customFormat="1" ht="16.2" thickBot="1">
      <c r="A31" s="1136"/>
      <c r="B31" s="1136"/>
      <c r="C31" s="1251" t="s">
        <v>914</v>
      </c>
      <c r="D31" s="1240"/>
      <c r="E31" s="1254" t="s">
        <v>914</v>
      </c>
      <c r="F31" s="1241"/>
      <c r="G31" s="1239"/>
      <c r="H31" s="1111">
        <f t="shared" ref="H31:AD31" si="4">+SUM(H24:H30)</f>
        <v>13898678.43968254</v>
      </c>
      <c r="I31" s="1111">
        <f ca="1">SUM(I24:I30)</f>
        <v>12894680.949999953</v>
      </c>
      <c r="J31" s="1111">
        <f t="shared" si="4"/>
        <v>13001989.508090118</v>
      </c>
      <c r="K31" s="1111">
        <f ca="1">SUM(K24:K30)</f>
        <v>11644749.300000047</v>
      </c>
      <c r="L31" s="1111">
        <f t="shared" si="4"/>
        <v>13898678.43968254</v>
      </c>
      <c r="M31" s="1111">
        <f ca="1">SUM(M24:M30)</f>
        <v>13025258.549999962</v>
      </c>
      <c r="N31" s="1111">
        <f t="shared" si="4"/>
        <v>13450333.97388633</v>
      </c>
      <c r="O31" s="1111">
        <f ca="1">SUM(O24:O30)</f>
        <v>12522209.850000042</v>
      </c>
      <c r="P31" s="1111">
        <f t="shared" si="4"/>
        <v>13898678.43968254</v>
      </c>
      <c r="Q31" s="1111">
        <f ca="1">SUM(Q24:Q30)</f>
        <v>12445382.649999958</v>
      </c>
      <c r="R31" s="1111">
        <f t="shared" si="4"/>
        <v>13450333.97388633</v>
      </c>
      <c r="S31" s="1111">
        <f ca="1">SUM(S24:S30)</f>
        <v>-599537499.50000012</v>
      </c>
      <c r="T31" s="1111">
        <f t="shared" si="4"/>
        <v>13898678.43968254</v>
      </c>
      <c r="U31" s="1111">
        <f ca="1">SUM(U24:U30)</f>
        <v>0</v>
      </c>
      <c r="V31" s="1111">
        <f t="shared" si="4"/>
        <v>13898678.43968254</v>
      </c>
      <c r="W31" s="1111">
        <f ca="1">SUM(W24:W30)</f>
        <v>0</v>
      </c>
      <c r="X31" s="1111">
        <f t="shared" si="4"/>
        <v>13450333.97388633</v>
      </c>
      <c r="Y31" s="1111">
        <f ca="1">SUM(Y24:Y30)</f>
        <v>0</v>
      </c>
      <c r="Z31" s="1111">
        <f t="shared" si="4"/>
        <v>13898678.43968254</v>
      </c>
      <c r="AA31" s="1111">
        <f ca="1">SUM(AA24:AA30)</f>
        <v>0</v>
      </c>
      <c r="AB31" s="1111">
        <f t="shared" si="4"/>
        <v>13450333.97388633</v>
      </c>
      <c r="AC31" s="1111">
        <f ca="1">SUM(AC24:AC30)</f>
        <v>0</v>
      </c>
      <c r="AD31" s="1111">
        <f t="shared" si="4"/>
        <v>13898678.43968254</v>
      </c>
      <c r="AE31" s="1236">
        <f ca="1">SUM(AE24:AE30)</f>
        <v>0</v>
      </c>
    </row>
    <row r="32" spans="1:31" ht="33" customHeight="1"/>
    <row r="33" spans="8:29">
      <c r="H33" s="989">
        <f>1.7*24*31</f>
        <v>1264.8</v>
      </c>
    </row>
    <row r="36" spans="8:29">
      <c r="N36" s="1137">
        <f t="shared" ref="N36:AB36" si="5">+N33/N31</f>
        <v>0</v>
      </c>
      <c r="O36" s="1137"/>
      <c r="P36" s="1137">
        <f t="shared" si="5"/>
        <v>0</v>
      </c>
      <c r="Q36" s="1137"/>
      <c r="R36" s="1137">
        <f t="shared" si="5"/>
        <v>0</v>
      </c>
      <c r="S36" s="1137"/>
      <c r="T36" s="1137">
        <f t="shared" si="5"/>
        <v>0</v>
      </c>
      <c r="U36" s="1137"/>
      <c r="V36" s="1137">
        <f t="shared" si="5"/>
        <v>0</v>
      </c>
      <c r="W36" s="1137"/>
      <c r="X36" s="1137">
        <f t="shared" si="5"/>
        <v>0</v>
      </c>
      <c r="Y36" s="1137"/>
      <c r="Z36" s="1137">
        <f t="shared" si="5"/>
        <v>0</v>
      </c>
      <c r="AA36" s="1137"/>
      <c r="AB36" s="1137">
        <f t="shared" si="5"/>
        <v>0</v>
      </c>
      <c r="AC36" s="1137"/>
    </row>
  </sheetData>
  <mergeCells count="17">
    <mergeCell ref="A7:A23"/>
    <mergeCell ref="H2:AE2"/>
    <mergeCell ref="C7:C22"/>
    <mergeCell ref="E7:E11"/>
    <mergeCell ref="E12:E14"/>
    <mergeCell ref="C24:C30"/>
    <mergeCell ref="E24:E26"/>
    <mergeCell ref="H4:AE4"/>
    <mergeCell ref="R5:S5"/>
    <mergeCell ref="T5:U5"/>
    <mergeCell ref="V5:W5"/>
    <mergeCell ref="X5:Y5"/>
    <mergeCell ref="H5:I5"/>
    <mergeCell ref="J5:K5"/>
    <mergeCell ref="L5:M5"/>
    <mergeCell ref="N5:O5"/>
    <mergeCell ref="P5:Q5"/>
  </mergeCells>
  <pageMargins left="0.7" right="0.7" top="0.75" bottom="0.75" header="0.3" footer="0.3"/>
  <pageSetup orientation="portrait" r:id="rId1"/>
  <ignoredErrors>
    <ignoredError sqref="I22:O22 H25:H30 I11:N21 P11:Q11 P12:P21 R12:R21 R11 P22:Q22 O11:O21 R22:S22 Q12:Q21 H31 T12:T21 T11 V11 V12:V21 V22:X22 U11:U21 T22:U22 S11:S21 X11 X12:X21 W11:W21 Y11:AE13 Y14:AE22 AE23 I23:M23 H24 H23 AE24 AE30 AE29 AE27 AE28 AE25:AE26 AE31 H33" unlockedFormula="1"/>
    <ignoredError sqref="M25:M30 K25:K30 I25:I31 L25:L31 J25:J31 P25:P30 N25:N31 Q25:Q31 O31:P31 K31 M31 O25:O30 R31:U31 R25:R30 U25:U28 W24 V24 U23:U24 R24 O24 Q24 N24 P24 J24 L24 I24 K24 M24 AA23:AA26 AD24 V31:Y31 AD30 W30 V30 U30 W29 V29 U29 AD29 AA29:AA31 W27:W28 V27:V28 AD27:AD28 AA27:AA28 W25:W26 V25:V26 AD25:AD26 AB25:AB26 AB27:AB28 AB29 AB30 AB24 Y25:Y26 X25:X26 Y27:Y28 X27:X28 Y29 X29 Y30:Z30 X30 Y24 X24 Z24 Z29 Z27:Z28 Z25:Z26 AC25:AC26 AC28 AC27 AC29 AC30 AC24 W23 V23 X23 AB23 Y23:Z23 AC23:AD23 AB31:AD31 Z31 S23:S24 S25:S30 N23 R23 O23 Q23 T23 T24 T25:T30" formula="1" unlockedFormula="1"/>
  </ignoredError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8"/>
  <dimension ref="B1:K396"/>
  <sheetViews>
    <sheetView showGridLines="0" workbookViewId="0">
      <pane xSplit="2" ySplit="6" topLeftCell="C97" activePane="bottomRight" state="frozen"/>
      <selection activeCell="B24" sqref="B24"/>
      <selection pane="topRight" activeCell="B24" sqref="B24"/>
      <selection pane="bottomLeft" activeCell="B24" sqref="B24"/>
      <selection pane="bottomRight" activeCell="C88" sqref="C88"/>
    </sheetView>
  </sheetViews>
  <sheetFormatPr baseColWidth="10" defaultColWidth="8.77734375" defaultRowHeight="14.4"/>
  <cols>
    <col min="1" max="1" width="0.21875" customWidth="1"/>
    <col min="2" max="2" width="10.5546875" style="1139" bestFit="1" customWidth="1"/>
    <col min="3" max="5" width="20.77734375" customWidth="1"/>
    <col min="6" max="6" width="25.77734375" customWidth="1"/>
    <col min="11" max="11" width="10.77734375" bestFit="1" customWidth="1"/>
  </cols>
  <sheetData>
    <row r="1" spans="2:11" ht="15" customHeight="1"/>
    <row r="2" spans="2:11">
      <c r="C2" s="1140" t="s">
        <v>1</v>
      </c>
      <c r="D2" s="1141">
        <f>INICIO!D12</f>
        <v>45078</v>
      </c>
      <c r="E2" s="1141"/>
      <c r="F2" s="1142"/>
    </row>
    <row r="3" spans="2:11">
      <c r="C3" s="1140" t="s">
        <v>2</v>
      </c>
      <c r="D3" s="1141">
        <f>INICIO!D13</f>
        <v>45107</v>
      </c>
      <c r="E3" s="1141"/>
      <c r="F3" s="1140"/>
    </row>
    <row r="4" spans="2:11" ht="15" thickBot="1">
      <c r="C4" s="1140" t="s">
        <v>1268</v>
      </c>
      <c r="D4" s="1143">
        <f ca="1">TODAY()</f>
        <v>45126</v>
      </c>
      <c r="E4" s="1140"/>
      <c r="F4" s="1140"/>
      <c r="K4" s="25"/>
    </row>
    <row r="5" spans="2:11" ht="33.6" customHeight="1">
      <c r="B5" s="2361" t="s">
        <v>1269</v>
      </c>
      <c r="C5" s="2362"/>
      <c r="D5" s="2362"/>
      <c r="E5" s="2362"/>
      <c r="F5" s="2362"/>
    </row>
    <row r="6" spans="2:11" ht="54" customHeight="1" thickBot="1">
      <c r="B6" s="1144"/>
      <c r="C6" s="1145" t="s">
        <v>1270</v>
      </c>
      <c r="D6" s="1145" t="s">
        <v>1271</v>
      </c>
      <c r="E6" s="1145" t="s">
        <v>1272</v>
      </c>
      <c r="F6" s="1145" t="s">
        <v>1273</v>
      </c>
      <c r="G6" s="222"/>
      <c r="H6" s="222"/>
      <c r="I6" s="222"/>
      <c r="J6" s="222"/>
    </row>
    <row r="7" spans="2:11">
      <c r="B7" s="1365">
        <v>44927</v>
      </c>
      <c r="C7" s="1146"/>
      <c r="D7" s="1146"/>
      <c r="E7" s="1146"/>
      <c r="F7" s="1146"/>
      <c r="G7" s="1147"/>
      <c r="H7" s="1147"/>
      <c r="I7" s="1147"/>
      <c r="J7" s="1147"/>
    </row>
    <row r="8" spans="2:11">
      <c r="B8" s="1365">
        <v>44928</v>
      </c>
      <c r="C8" s="1148"/>
      <c r="D8" s="1148"/>
      <c r="E8" s="1148"/>
      <c r="F8" s="1148"/>
      <c r="G8" s="1149"/>
      <c r="H8" s="1149"/>
      <c r="I8" s="1149"/>
      <c r="J8" s="1149"/>
    </row>
    <row r="9" spans="2:11">
      <c r="B9" s="1365">
        <v>44929</v>
      </c>
      <c r="C9" s="1148"/>
      <c r="D9" s="1148"/>
      <c r="E9" s="1148"/>
      <c r="F9" s="1148"/>
      <c r="G9" s="1149"/>
      <c r="H9" s="1149"/>
      <c r="I9" s="1149"/>
      <c r="J9" s="1149"/>
    </row>
    <row r="10" spans="2:11">
      <c r="B10" s="1365">
        <v>44930</v>
      </c>
      <c r="C10" s="1148"/>
      <c r="D10" s="1148"/>
      <c r="E10" s="1148"/>
      <c r="F10" s="1148"/>
      <c r="G10" s="1150"/>
      <c r="H10" s="1150"/>
      <c r="I10" s="1150"/>
      <c r="J10" s="1150"/>
    </row>
    <row r="11" spans="2:11">
      <c r="B11" s="1365">
        <v>44931</v>
      </c>
      <c r="C11" s="1148"/>
      <c r="D11" s="1148"/>
      <c r="E11" s="1148"/>
      <c r="F11" s="1148"/>
      <c r="G11" s="1150"/>
      <c r="H11" s="1150"/>
      <c r="I11" s="1150"/>
      <c r="J11" s="1150"/>
    </row>
    <row r="12" spans="2:11">
      <c r="B12" s="1365">
        <v>44932</v>
      </c>
      <c r="C12" s="1148"/>
      <c r="D12" s="1148"/>
      <c r="E12" s="1148"/>
      <c r="F12" s="1148"/>
      <c r="G12" s="1150"/>
      <c r="H12" s="1150"/>
      <c r="I12" s="1150"/>
      <c r="J12" s="1150"/>
    </row>
    <row r="13" spans="2:11">
      <c r="B13" s="1365">
        <v>44933</v>
      </c>
      <c r="C13" s="1148"/>
      <c r="D13" s="1148"/>
      <c r="E13" s="1148"/>
      <c r="F13" s="1148"/>
      <c r="G13" s="1150"/>
      <c r="H13" s="1150"/>
      <c r="I13" s="1150"/>
      <c r="J13" s="1150"/>
    </row>
    <row r="14" spans="2:11">
      <c r="B14" s="1365">
        <v>44934</v>
      </c>
      <c r="C14" s="1148"/>
      <c r="D14" s="1148"/>
      <c r="E14" s="1148"/>
      <c r="F14" s="1148"/>
      <c r="G14" s="1150"/>
      <c r="H14" s="1150"/>
      <c r="I14" s="1150"/>
      <c r="J14" s="1150"/>
    </row>
    <row r="15" spans="2:11">
      <c r="B15" s="1365">
        <v>44935</v>
      </c>
      <c r="C15" s="1148"/>
      <c r="D15" s="1148"/>
      <c r="E15" s="1148"/>
      <c r="F15" s="1148"/>
      <c r="G15" s="1150"/>
      <c r="H15" s="1150"/>
      <c r="I15" s="1150"/>
      <c r="J15" s="1150"/>
    </row>
    <row r="16" spans="2:11">
      <c r="B16" s="1365">
        <v>44936</v>
      </c>
      <c r="C16" s="1148"/>
      <c r="D16" s="1148"/>
      <c r="E16" s="1148"/>
      <c r="F16" s="1148"/>
      <c r="G16" s="1150"/>
      <c r="H16" s="1150"/>
      <c r="I16" s="1150"/>
      <c r="J16" s="1150"/>
    </row>
    <row r="17" spans="2:10">
      <c r="B17" s="1365">
        <v>44937</v>
      </c>
      <c r="C17" s="1148"/>
      <c r="D17" s="1148"/>
      <c r="E17" s="1148"/>
      <c r="F17" s="1148"/>
      <c r="G17" s="1150"/>
      <c r="H17" s="1150"/>
      <c r="I17" s="1150"/>
      <c r="J17" s="1150"/>
    </row>
    <row r="18" spans="2:10">
      <c r="B18" s="1365">
        <v>44938</v>
      </c>
      <c r="C18" s="1148"/>
      <c r="D18" s="1148"/>
      <c r="E18" s="1148"/>
      <c r="F18" s="1148"/>
      <c r="G18" s="1150"/>
      <c r="H18" s="1150"/>
      <c r="I18" s="1150"/>
      <c r="J18" s="1150"/>
    </row>
    <row r="19" spans="2:10">
      <c r="B19" s="1365">
        <v>44939</v>
      </c>
      <c r="C19" s="1148"/>
      <c r="D19" s="1148"/>
      <c r="E19" s="1148"/>
      <c r="F19" s="1148"/>
      <c r="G19" s="1150"/>
      <c r="H19" s="1150"/>
      <c r="I19" s="1150"/>
      <c r="J19" s="1150"/>
    </row>
    <row r="20" spans="2:10">
      <c r="B20" s="1365">
        <v>44940</v>
      </c>
      <c r="C20" s="1148"/>
      <c r="D20" s="1148"/>
      <c r="E20" s="1148"/>
      <c r="F20" s="1148"/>
      <c r="G20" s="1150"/>
      <c r="H20" s="1150"/>
      <c r="I20" s="1150"/>
      <c r="J20" s="1150"/>
    </row>
    <row r="21" spans="2:10">
      <c r="B21" s="1365">
        <v>44941</v>
      </c>
      <c r="C21" s="1148"/>
      <c r="D21" s="1148"/>
      <c r="E21" s="1148"/>
      <c r="F21" s="1148"/>
      <c r="G21" s="1150"/>
      <c r="H21" s="1150"/>
      <c r="I21" s="1150"/>
      <c r="J21" s="1150"/>
    </row>
    <row r="22" spans="2:10">
      <c r="B22" s="1365">
        <v>44942</v>
      </c>
      <c r="C22" s="1148"/>
      <c r="D22" s="1148"/>
      <c r="E22" s="1148"/>
      <c r="F22" s="1148"/>
      <c r="G22" s="1150"/>
      <c r="H22" s="1150"/>
      <c r="I22" s="1150"/>
      <c r="J22" s="1150"/>
    </row>
    <row r="23" spans="2:10">
      <c r="B23" s="1365">
        <v>44943</v>
      </c>
      <c r="C23" s="1148"/>
      <c r="D23" s="1148"/>
      <c r="E23" s="1148"/>
      <c r="F23" s="1148"/>
      <c r="G23" s="1150"/>
      <c r="H23" s="1150"/>
      <c r="I23" s="1150"/>
      <c r="J23" s="1147"/>
    </row>
    <row r="24" spans="2:10">
      <c r="B24" s="1365">
        <v>44944</v>
      </c>
      <c r="C24" s="1148"/>
      <c r="D24" s="1148"/>
      <c r="E24" s="1148"/>
      <c r="F24" s="1148"/>
      <c r="G24" s="1150"/>
      <c r="H24" s="1150"/>
      <c r="I24" s="1150"/>
      <c r="J24" s="1150"/>
    </row>
    <row r="25" spans="2:10">
      <c r="B25" s="1365">
        <v>44945</v>
      </c>
      <c r="C25" s="1148"/>
      <c r="D25" s="1148"/>
      <c r="E25" s="1148"/>
      <c r="F25" s="1148"/>
      <c r="G25" s="1150"/>
      <c r="H25" s="1150"/>
      <c r="I25" s="1150"/>
      <c r="J25" s="1150"/>
    </row>
    <row r="26" spans="2:10">
      <c r="B26" s="1365">
        <v>44946</v>
      </c>
      <c r="C26" s="1148"/>
      <c r="D26" s="1148"/>
      <c r="E26" s="1148"/>
      <c r="F26" s="1148"/>
      <c r="G26" s="1150"/>
      <c r="H26" s="1150"/>
      <c r="I26" s="1150"/>
      <c r="J26" s="1150"/>
    </row>
    <row r="27" spans="2:10">
      <c r="B27" s="1365">
        <v>44947</v>
      </c>
      <c r="C27" s="1148"/>
      <c r="D27" s="1148"/>
      <c r="E27" s="1148"/>
      <c r="F27" s="1148"/>
      <c r="G27" s="1150"/>
      <c r="H27" s="1150"/>
      <c r="I27" s="1150"/>
      <c r="J27" s="1150"/>
    </row>
    <row r="28" spans="2:10">
      <c r="B28" s="1365">
        <v>44948</v>
      </c>
      <c r="C28" s="1148"/>
      <c r="D28" s="1148"/>
      <c r="E28" s="1148"/>
      <c r="F28" s="1148"/>
      <c r="G28" s="1150"/>
      <c r="H28" s="1150"/>
      <c r="I28" s="1150"/>
      <c r="J28" s="1150"/>
    </row>
    <row r="29" spans="2:10">
      <c r="B29" s="1365">
        <v>44949</v>
      </c>
      <c r="C29" s="1148"/>
      <c r="D29" s="1148"/>
      <c r="E29" s="1148"/>
      <c r="F29" s="1148"/>
      <c r="G29" s="1150"/>
      <c r="H29" s="1150"/>
      <c r="I29" s="1150"/>
      <c r="J29" s="1150"/>
    </row>
    <row r="30" spans="2:10">
      <c r="B30" s="1365">
        <v>44950</v>
      </c>
      <c r="C30" s="1148"/>
      <c r="D30" s="1148"/>
      <c r="E30" s="1148"/>
      <c r="F30" s="1148"/>
      <c r="G30" s="1150"/>
      <c r="H30" s="1150"/>
      <c r="I30" s="1150"/>
      <c r="J30" s="1150"/>
    </row>
    <row r="31" spans="2:10">
      <c r="B31" s="1365">
        <v>44951</v>
      </c>
      <c r="C31" s="1148"/>
      <c r="D31" s="1148"/>
      <c r="E31" s="1148"/>
      <c r="F31" s="1148"/>
      <c r="G31" s="1150"/>
      <c r="H31" s="1150"/>
      <c r="I31" s="1150"/>
      <c r="J31" s="1150"/>
    </row>
    <row r="32" spans="2:10">
      <c r="B32" s="1365">
        <v>44952</v>
      </c>
      <c r="C32" s="1148"/>
      <c r="D32" s="1148"/>
      <c r="E32" s="1148"/>
      <c r="F32" s="1148"/>
      <c r="G32" s="1150"/>
      <c r="H32" s="1150"/>
      <c r="I32" s="1150"/>
      <c r="J32" s="1150"/>
    </row>
    <row r="33" spans="2:10">
      <c r="B33" s="1365">
        <v>44953</v>
      </c>
      <c r="C33" s="1148"/>
      <c r="D33" s="1148"/>
      <c r="E33" s="1148"/>
      <c r="F33" s="1148"/>
      <c r="G33" s="1150"/>
      <c r="H33" s="1150"/>
      <c r="I33" s="1150"/>
      <c r="J33" s="1150"/>
    </row>
    <row r="34" spans="2:10">
      <c r="B34" s="1365">
        <v>44954</v>
      </c>
      <c r="C34" s="1148"/>
      <c r="D34" s="1148"/>
      <c r="E34" s="1148"/>
      <c r="F34" s="1148"/>
      <c r="G34" s="1150"/>
      <c r="H34" s="1150"/>
      <c r="I34" s="1150"/>
      <c r="J34" s="1150"/>
    </row>
    <row r="35" spans="2:10">
      <c r="B35" s="1365">
        <v>44955</v>
      </c>
      <c r="C35" s="1148"/>
      <c r="D35" s="1148"/>
      <c r="E35" s="1148"/>
      <c r="F35" s="1148"/>
      <c r="G35" s="1150"/>
      <c r="H35" s="1150"/>
      <c r="I35" s="1150"/>
      <c r="J35" s="1150"/>
    </row>
    <row r="36" spans="2:10">
      <c r="B36" s="1365">
        <v>44956</v>
      </c>
      <c r="C36" s="1148"/>
      <c r="D36" s="1148"/>
      <c r="E36" s="1148"/>
      <c r="F36" s="1148"/>
      <c r="G36" s="1150"/>
      <c r="H36" s="1150"/>
      <c r="I36" s="1150"/>
      <c r="J36" s="1150"/>
    </row>
    <row r="37" spans="2:10">
      <c r="B37" s="1365">
        <v>44957</v>
      </c>
      <c r="C37" s="1148"/>
      <c r="D37" s="1148"/>
      <c r="E37" s="1148"/>
      <c r="F37" s="1148"/>
      <c r="G37" s="1150"/>
      <c r="H37" s="1150"/>
      <c r="I37" s="1150"/>
      <c r="J37" s="1150"/>
    </row>
    <row r="38" spans="2:10">
      <c r="B38" s="1151"/>
      <c r="C38" s="1152"/>
      <c r="D38" s="1152"/>
      <c r="E38" s="1152"/>
      <c r="F38" s="1152"/>
      <c r="G38" s="1149"/>
      <c r="H38" s="222"/>
      <c r="I38" s="222"/>
      <c r="J38" s="222"/>
    </row>
    <row r="39" spans="2:10">
      <c r="B39" s="1153">
        <v>44958</v>
      </c>
      <c r="C39" s="1148"/>
      <c r="D39" s="1148"/>
      <c r="E39" s="1148"/>
      <c r="F39" s="1148"/>
      <c r="G39" s="222"/>
      <c r="H39" s="222"/>
      <c r="I39" s="222"/>
      <c r="J39" s="222"/>
    </row>
    <row r="40" spans="2:10">
      <c r="B40" s="1153">
        <v>44959</v>
      </c>
      <c r="C40" s="1148"/>
      <c r="D40" s="1148"/>
      <c r="E40" s="1148"/>
      <c r="F40" s="1148"/>
      <c r="G40" s="222"/>
      <c r="H40" s="222"/>
      <c r="I40" s="222"/>
      <c r="J40" s="222"/>
    </row>
    <row r="41" spans="2:10">
      <c r="B41" s="1153">
        <v>44960</v>
      </c>
      <c r="C41" s="1148"/>
      <c r="D41" s="1148"/>
      <c r="E41" s="1148"/>
      <c r="F41" s="1148"/>
      <c r="G41" s="222"/>
      <c r="H41" s="222"/>
      <c r="I41" s="222"/>
      <c r="J41" s="222"/>
    </row>
    <row r="42" spans="2:10">
      <c r="B42" s="1153">
        <v>44961</v>
      </c>
      <c r="C42" s="1148"/>
      <c r="D42" s="1148"/>
      <c r="E42" s="1148"/>
      <c r="F42" s="1148"/>
      <c r="G42" s="222"/>
      <c r="H42" s="222"/>
      <c r="I42" s="222"/>
      <c r="J42" s="222"/>
    </row>
    <row r="43" spans="2:10">
      <c r="B43" s="1153">
        <v>44962</v>
      </c>
      <c r="C43" s="1148"/>
      <c r="D43" s="1148"/>
      <c r="E43" s="1148"/>
      <c r="F43" s="1148"/>
      <c r="G43" s="222"/>
      <c r="H43" s="222"/>
      <c r="I43" s="222"/>
      <c r="J43" s="222"/>
    </row>
    <row r="44" spans="2:10">
      <c r="B44" s="1153">
        <v>44963</v>
      </c>
      <c r="C44" s="1148"/>
      <c r="D44" s="1148"/>
      <c r="E44" s="1148"/>
      <c r="F44" s="1148"/>
      <c r="G44" s="222"/>
      <c r="H44" s="222"/>
      <c r="I44" s="222"/>
      <c r="J44" s="222"/>
    </row>
    <row r="45" spans="2:10">
      <c r="B45" s="1153">
        <v>44964</v>
      </c>
      <c r="C45" s="1148"/>
      <c r="D45" s="1148"/>
      <c r="E45" s="1148"/>
      <c r="F45" s="1148"/>
      <c r="G45" s="222"/>
      <c r="H45" s="222"/>
      <c r="I45" s="222"/>
      <c r="J45" s="222"/>
    </row>
    <row r="46" spans="2:10">
      <c r="B46" s="1153">
        <v>44965</v>
      </c>
      <c r="C46" s="1148"/>
      <c r="D46" s="1148"/>
      <c r="E46" s="1148"/>
      <c r="F46" s="1148"/>
      <c r="G46" s="222"/>
      <c r="H46" s="222"/>
      <c r="I46" s="222"/>
      <c r="J46" s="222"/>
    </row>
    <row r="47" spans="2:10">
      <c r="B47" s="1153">
        <v>44966</v>
      </c>
      <c r="C47" s="1148"/>
      <c r="D47" s="1148"/>
      <c r="E47" s="1148"/>
      <c r="F47" s="1148"/>
      <c r="G47" s="222"/>
      <c r="H47" s="222"/>
      <c r="I47" s="222"/>
      <c r="J47" s="222"/>
    </row>
    <row r="48" spans="2:10">
      <c r="B48" s="1153">
        <v>44967</v>
      </c>
      <c r="C48" s="1148"/>
      <c r="D48" s="1148"/>
      <c r="E48" s="1148"/>
      <c r="F48" s="1148"/>
    </row>
    <row r="49" spans="2:6">
      <c r="B49" s="1153">
        <v>44968</v>
      </c>
      <c r="C49" s="1148"/>
      <c r="D49" s="1148"/>
      <c r="E49" s="1148"/>
      <c r="F49" s="1148"/>
    </row>
    <row r="50" spans="2:6">
      <c r="B50" s="1153">
        <v>44969</v>
      </c>
      <c r="C50" s="1148"/>
      <c r="D50" s="1148"/>
      <c r="E50" s="1148"/>
      <c r="F50" s="1211"/>
    </row>
    <row r="51" spans="2:6">
      <c r="B51" s="1153">
        <v>44970</v>
      </c>
      <c r="C51" s="1148"/>
      <c r="D51" s="1148"/>
      <c r="E51" s="1148"/>
      <c r="F51" s="1148"/>
    </row>
    <row r="52" spans="2:6">
      <c r="B52" s="1153">
        <v>44971</v>
      </c>
      <c r="C52" s="1148"/>
      <c r="D52" s="1148"/>
      <c r="E52" s="1148"/>
      <c r="F52" s="1148"/>
    </row>
    <row r="53" spans="2:6">
      <c r="B53" s="1153">
        <v>44972</v>
      </c>
      <c r="C53" s="1148"/>
      <c r="D53" s="1148"/>
      <c r="E53" s="1148"/>
      <c r="F53" s="1148"/>
    </row>
    <row r="54" spans="2:6">
      <c r="B54" s="1153">
        <v>44973</v>
      </c>
      <c r="C54" s="1148"/>
      <c r="D54" s="1148"/>
      <c r="E54" s="1148"/>
      <c r="F54" s="1148"/>
    </row>
    <row r="55" spans="2:6">
      <c r="B55" s="1153">
        <v>44974</v>
      </c>
      <c r="C55" s="1148"/>
      <c r="D55" s="1148"/>
      <c r="E55" s="1148"/>
      <c r="F55" s="1148"/>
    </row>
    <row r="56" spans="2:6">
      <c r="B56" s="1153">
        <v>44975</v>
      </c>
      <c r="C56" s="1148"/>
      <c r="D56" s="1148"/>
      <c r="E56" s="1148"/>
      <c r="F56" s="1148"/>
    </row>
    <row r="57" spans="2:6">
      <c r="B57" s="1153">
        <v>44976</v>
      </c>
      <c r="C57" s="1148"/>
      <c r="D57" s="1148"/>
      <c r="E57" s="1148"/>
      <c r="F57" s="1148"/>
    </row>
    <row r="58" spans="2:6">
      <c r="B58" s="1153">
        <v>44977</v>
      </c>
      <c r="C58" s="1148"/>
      <c r="D58" s="1148"/>
      <c r="E58" s="1148"/>
      <c r="F58" s="1148"/>
    </row>
    <row r="59" spans="2:6">
      <c r="B59" s="1153">
        <v>44978</v>
      </c>
      <c r="C59" s="1148"/>
      <c r="D59" s="1148"/>
      <c r="E59" s="1148"/>
      <c r="F59" s="1148"/>
    </row>
    <row r="60" spans="2:6">
      <c r="B60" s="1153">
        <v>44979</v>
      </c>
      <c r="C60" s="1148"/>
      <c r="D60" s="1148"/>
      <c r="E60" s="1148"/>
      <c r="F60" s="1148"/>
    </row>
    <row r="61" spans="2:6">
      <c r="B61" s="1153">
        <v>44980</v>
      </c>
      <c r="C61" s="1148"/>
      <c r="D61" s="1148"/>
      <c r="E61" s="1148"/>
      <c r="F61" s="1148"/>
    </row>
    <row r="62" spans="2:6">
      <c r="B62" s="1153">
        <v>44981</v>
      </c>
      <c r="C62" s="1148"/>
      <c r="D62" s="1148"/>
      <c r="E62" s="1148"/>
      <c r="F62" s="1148"/>
    </row>
    <row r="63" spans="2:6">
      <c r="B63" s="1153">
        <v>44982</v>
      </c>
      <c r="C63" s="1148"/>
      <c r="D63" s="1148"/>
      <c r="E63" s="1148"/>
      <c r="F63" s="1148"/>
    </row>
    <row r="64" spans="2:6">
      <c r="B64" s="1153">
        <v>44983</v>
      </c>
      <c r="C64" s="1148"/>
      <c r="D64" s="1148"/>
      <c r="E64" s="1148"/>
      <c r="F64" s="1148"/>
    </row>
    <row r="65" spans="2:6">
      <c r="B65" s="1153">
        <v>44984</v>
      </c>
      <c r="C65" s="1148"/>
      <c r="D65" s="1148"/>
      <c r="E65" s="1148"/>
      <c r="F65" s="1148"/>
    </row>
    <row r="66" spans="2:6">
      <c r="B66" s="1153">
        <v>44985</v>
      </c>
      <c r="C66" s="1148"/>
      <c r="D66" s="1148"/>
      <c r="E66" s="1148"/>
      <c r="F66" s="1148"/>
    </row>
    <row r="67" spans="2:6">
      <c r="B67" s="1151"/>
      <c r="C67" s="1152"/>
      <c r="D67" s="1152"/>
      <c r="E67" s="1152"/>
      <c r="F67" s="1152"/>
    </row>
    <row r="68" spans="2:6">
      <c r="B68" s="1153">
        <v>44986</v>
      </c>
      <c r="C68" s="1148"/>
      <c r="D68" s="1148"/>
      <c r="E68" s="1148"/>
      <c r="F68" s="1148"/>
    </row>
    <row r="69" spans="2:6">
      <c r="B69" s="1153">
        <v>44987</v>
      </c>
      <c r="C69" s="1138"/>
      <c r="D69" s="1138"/>
      <c r="E69" s="1138"/>
      <c r="F69" s="1138"/>
    </row>
    <row r="70" spans="2:6">
      <c r="B70" s="1153">
        <v>44988</v>
      </c>
      <c r="C70" s="1138"/>
      <c r="D70" s="1138"/>
      <c r="E70" s="1138"/>
      <c r="F70" s="1138"/>
    </row>
    <row r="71" spans="2:6">
      <c r="B71" s="1153">
        <v>44989</v>
      </c>
      <c r="C71" s="1138"/>
      <c r="D71" s="1138"/>
      <c r="E71" s="1138"/>
      <c r="F71" s="1138"/>
    </row>
    <row r="72" spans="2:6">
      <c r="B72" s="1153">
        <v>44990</v>
      </c>
      <c r="C72" s="1138"/>
      <c r="D72" s="1138"/>
      <c r="E72" s="1138"/>
      <c r="F72" s="1138"/>
    </row>
    <row r="73" spans="2:6">
      <c r="B73" s="1153">
        <v>44991</v>
      </c>
      <c r="C73" s="1138"/>
      <c r="D73" s="1138"/>
      <c r="E73" s="1138"/>
      <c r="F73" s="1138"/>
    </row>
    <row r="74" spans="2:6">
      <c r="B74" s="1153">
        <v>44992</v>
      </c>
      <c r="C74" s="1138"/>
      <c r="D74" s="1138"/>
      <c r="E74" s="1138"/>
      <c r="F74" s="1138"/>
    </row>
    <row r="75" spans="2:6">
      <c r="B75" s="1153">
        <v>44993</v>
      </c>
      <c r="C75" s="1138"/>
      <c r="D75" s="1138"/>
      <c r="E75" s="1138"/>
      <c r="F75" s="1138"/>
    </row>
    <row r="76" spans="2:6">
      <c r="B76" s="1153">
        <v>44994</v>
      </c>
      <c r="C76" s="1138"/>
      <c r="D76" s="1138"/>
      <c r="E76" s="1138"/>
      <c r="F76" s="1138"/>
    </row>
    <row r="77" spans="2:6">
      <c r="B77" s="1153">
        <v>44995</v>
      </c>
      <c r="C77" s="1138"/>
      <c r="D77" s="1138"/>
      <c r="E77" s="1138"/>
      <c r="F77" s="1138"/>
    </row>
    <row r="78" spans="2:6">
      <c r="B78" s="1153">
        <v>44996</v>
      </c>
      <c r="C78" s="1138"/>
      <c r="D78" s="1138"/>
      <c r="E78" s="1138"/>
      <c r="F78" s="1138"/>
    </row>
    <row r="79" spans="2:6">
      <c r="B79" s="1153">
        <v>44997</v>
      </c>
      <c r="C79" s="1138"/>
      <c r="D79" s="1138"/>
      <c r="E79" s="1138"/>
      <c r="F79" s="1138"/>
    </row>
    <row r="80" spans="2:6">
      <c r="B80" s="1153">
        <v>44998</v>
      </c>
      <c r="C80" s="1138"/>
      <c r="D80" s="1138"/>
      <c r="E80" s="1138"/>
      <c r="F80" s="1138"/>
    </row>
    <row r="81" spans="2:6">
      <c r="B81" s="1153">
        <v>44999</v>
      </c>
      <c r="C81" s="1138"/>
      <c r="D81" s="1138"/>
      <c r="E81" s="1138"/>
      <c r="F81" s="1138"/>
    </row>
    <row r="82" spans="2:6">
      <c r="B82" s="1153">
        <v>45000</v>
      </c>
      <c r="C82" s="1138"/>
      <c r="D82" s="1138"/>
      <c r="E82" s="1138"/>
      <c r="F82" s="1138"/>
    </row>
    <row r="83" spans="2:6">
      <c r="B83" s="1153">
        <v>45001</v>
      </c>
      <c r="C83" s="1138"/>
      <c r="D83" s="1138"/>
      <c r="E83" s="1138"/>
      <c r="F83" s="1138"/>
    </row>
    <row r="84" spans="2:6">
      <c r="B84" s="1153">
        <v>45002</v>
      </c>
      <c r="C84" s="1138"/>
      <c r="D84" s="1138"/>
      <c r="E84" s="1138"/>
      <c r="F84" s="1138"/>
    </row>
    <row r="85" spans="2:6">
      <c r="B85" s="1153">
        <v>45003</v>
      </c>
      <c r="C85" s="1138"/>
      <c r="D85" s="1138"/>
      <c r="E85" s="1138"/>
      <c r="F85" s="1138"/>
    </row>
    <row r="86" spans="2:6">
      <c r="B86" s="1153">
        <v>45004</v>
      </c>
      <c r="C86" s="1138"/>
      <c r="D86" s="1138"/>
      <c r="E86" s="1138"/>
      <c r="F86" s="1138"/>
    </row>
    <row r="87" spans="2:6">
      <c r="B87" s="1153">
        <v>45005</v>
      </c>
      <c r="C87" s="1148"/>
      <c r="D87" s="1148"/>
      <c r="E87" s="1138"/>
      <c r="F87" s="1138"/>
    </row>
    <row r="88" spans="2:6">
      <c r="B88" s="1153">
        <v>45006</v>
      </c>
      <c r="C88" s="1138">
        <v>110</v>
      </c>
      <c r="D88" s="1138">
        <v>110</v>
      </c>
      <c r="E88" s="1138"/>
      <c r="F88" s="1138"/>
    </row>
    <row r="89" spans="2:6">
      <c r="B89" s="1153">
        <v>45007</v>
      </c>
      <c r="C89" s="1138"/>
      <c r="D89" s="1138"/>
      <c r="E89" s="1138"/>
      <c r="F89" s="1138"/>
    </row>
    <row r="90" spans="2:6">
      <c r="B90" s="1153">
        <v>45008</v>
      </c>
      <c r="C90" s="1138"/>
      <c r="D90" s="1138"/>
      <c r="E90" s="1138"/>
      <c r="F90" s="1138"/>
    </row>
    <row r="91" spans="2:6">
      <c r="B91" s="1153">
        <v>45009</v>
      </c>
      <c r="C91" s="1138"/>
      <c r="D91" s="1138"/>
      <c r="E91" s="1138"/>
      <c r="F91" s="1138"/>
    </row>
    <row r="92" spans="2:6">
      <c r="B92" s="1153">
        <v>45010</v>
      </c>
      <c r="C92" s="1138"/>
      <c r="D92" s="1138"/>
      <c r="E92" s="1138"/>
      <c r="F92" s="1138"/>
    </row>
    <row r="93" spans="2:6">
      <c r="B93" s="1153">
        <v>45011</v>
      </c>
      <c r="C93" s="1138"/>
      <c r="D93" s="1138"/>
      <c r="E93" s="1138"/>
      <c r="F93" s="1138"/>
    </row>
    <row r="94" spans="2:6">
      <c r="B94" s="1153">
        <v>45012</v>
      </c>
      <c r="C94" s="1138"/>
      <c r="D94" s="1138"/>
      <c r="E94" s="1138"/>
      <c r="F94" s="1138"/>
    </row>
    <row r="95" spans="2:6">
      <c r="B95" s="1153">
        <v>45013</v>
      </c>
      <c r="C95" s="1138"/>
      <c r="D95" s="1138"/>
      <c r="E95" s="1138"/>
      <c r="F95" s="1138"/>
    </row>
    <row r="96" spans="2:6">
      <c r="B96" s="1153">
        <v>45014</v>
      </c>
      <c r="C96" s="1138"/>
      <c r="D96" s="1138"/>
      <c r="E96" s="1138"/>
      <c r="F96" s="1138"/>
    </row>
    <row r="97" spans="2:6">
      <c r="B97" s="1153">
        <v>45015</v>
      </c>
      <c r="C97" s="1138"/>
      <c r="D97" s="1138"/>
      <c r="E97" s="1138"/>
      <c r="F97" s="1138"/>
    </row>
    <row r="98" spans="2:6">
      <c r="B98" s="1153">
        <v>45016</v>
      </c>
      <c r="C98" s="1138"/>
      <c r="D98" s="1138"/>
      <c r="E98" s="1138"/>
      <c r="F98" s="1138"/>
    </row>
    <row r="99" spans="2:6">
      <c r="B99" s="1151"/>
      <c r="C99" s="1152"/>
      <c r="D99" s="1152"/>
      <c r="E99" s="1152"/>
      <c r="F99" s="1152"/>
    </row>
    <row r="100" spans="2:6">
      <c r="B100" s="1153">
        <v>45017</v>
      </c>
      <c r="C100" s="1138"/>
      <c r="D100" s="1138"/>
      <c r="E100" s="1138"/>
      <c r="F100" s="1138"/>
    </row>
    <row r="101" spans="2:6">
      <c r="B101" s="1153">
        <v>45018</v>
      </c>
      <c r="C101" s="1138"/>
      <c r="D101" s="1138"/>
      <c r="E101" s="1138"/>
      <c r="F101" s="1138"/>
    </row>
    <row r="102" spans="2:6">
      <c r="B102" s="1153">
        <v>45019</v>
      </c>
      <c r="C102" s="1138"/>
      <c r="D102" s="1138"/>
      <c r="E102" s="1138"/>
      <c r="F102" s="1138"/>
    </row>
    <row r="103" spans="2:6">
      <c r="B103" s="1153">
        <v>45020</v>
      </c>
      <c r="C103" s="1138"/>
      <c r="D103" s="1138"/>
      <c r="E103" s="1138"/>
      <c r="F103" s="1138"/>
    </row>
    <row r="104" spans="2:6">
      <c r="B104" s="1153">
        <v>45021</v>
      </c>
      <c r="C104" s="1138"/>
      <c r="D104" s="692"/>
      <c r="E104" s="1138"/>
      <c r="F104" s="1154"/>
    </row>
    <row r="105" spans="2:6">
      <c r="B105" s="1153">
        <v>45022</v>
      </c>
      <c r="C105" s="1138"/>
      <c r="D105" s="692"/>
      <c r="E105" s="1138"/>
      <c r="F105" s="1154"/>
    </row>
    <row r="106" spans="2:6">
      <c r="B106" s="1153">
        <v>45023</v>
      </c>
      <c r="C106" s="1138"/>
      <c r="D106" s="692"/>
      <c r="E106" s="1138"/>
      <c r="F106" s="1154"/>
    </row>
    <row r="107" spans="2:6">
      <c r="B107" s="1153">
        <v>45024</v>
      </c>
      <c r="C107" s="1138"/>
      <c r="D107" s="692"/>
      <c r="E107" s="1138"/>
      <c r="F107" s="1154"/>
    </row>
    <row r="108" spans="2:6">
      <c r="B108" s="1153">
        <v>45025</v>
      </c>
      <c r="C108" s="1138"/>
      <c r="D108" s="692"/>
      <c r="E108" s="1138"/>
      <c r="F108" s="1154"/>
    </row>
    <row r="109" spans="2:6">
      <c r="B109" s="1153">
        <v>45026</v>
      </c>
      <c r="C109" s="1138"/>
      <c r="D109" s="692"/>
      <c r="E109" s="1138"/>
      <c r="F109" s="1154"/>
    </row>
    <row r="110" spans="2:6">
      <c r="B110" s="1153">
        <v>45027</v>
      </c>
      <c r="C110" s="1138"/>
      <c r="D110" s="692"/>
      <c r="E110" s="1138"/>
      <c r="F110" s="1154"/>
    </row>
    <row r="111" spans="2:6">
      <c r="B111" s="1153">
        <v>45028</v>
      </c>
      <c r="C111" s="1138"/>
      <c r="D111" s="692"/>
      <c r="E111" s="1138"/>
      <c r="F111" s="1154"/>
    </row>
    <row r="112" spans="2:6">
      <c r="B112" s="1153">
        <v>45029</v>
      </c>
      <c r="C112" s="1138"/>
      <c r="D112" s="692"/>
      <c r="E112" s="1138"/>
      <c r="F112" s="1154"/>
    </row>
    <row r="113" spans="2:6">
      <c r="B113" s="1153">
        <v>45030</v>
      </c>
      <c r="C113" s="1138"/>
      <c r="D113" s="692"/>
      <c r="E113" s="1138"/>
      <c r="F113" s="1154"/>
    </row>
    <row r="114" spans="2:6">
      <c r="B114" s="1153">
        <v>45031</v>
      </c>
      <c r="C114" s="1138"/>
      <c r="D114" s="692"/>
      <c r="E114" s="1138"/>
      <c r="F114" s="1154"/>
    </row>
    <row r="115" spans="2:6">
      <c r="B115" s="1153">
        <v>45032</v>
      </c>
      <c r="C115" s="1138"/>
      <c r="D115" s="692"/>
      <c r="E115" s="1138"/>
      <c r="F115" s="1154"/>
    </row>
    <row r="116" spans="2:6">
      <c r="B116" s="1153">
        <v>45033</v>
      </c>
      <c r="C116" s="1138"/>
      <c r="D116" s="692"/>
      <c r="E116" s="1138"/>
      <c r="F116" s="1154"/>
    </row>
    <row r="117" spans="2:6">
      <c r="B117" s="1153">
        <v>45034</v>
      </c>
      <c r="C117" s="1138"/>
      <c r="D117" s="692"/>
      <c r="E117" s="1138"/>
      <c r="F117" s="1154"/>
    </row>
    <row r="118" spans="2:6">
      <c r="B118" s="1153">
        <v>45035</v>
      </c>
      <c r="C118" s="1138"/>
      <c r="D118" s="692"/>
      <c r="E118" s="1138"/>
      <c r="F118" s="1154"/>
    </row>
    <row r="119" spans="2:6">
      <c r="B119" s="1153">
        <v>45036</v>
      </c>
      <c r="C119" s="1138"/>
      <c r="D119" s="692"/>
      <c r="E119" s="1138"/>
      <c r="F119" s="1154"/>
    </row>
    <row r="120" spans="2:6">
      <c r="B120" s="1153">
        <v>45037</v>
      </c>
      <c r="C120" s="1138"/>
      <c r="D120" s="692"/>
      <c r="E120" s="1138"/>
      <c r="F120" s="1154"/>
    </row>
    <row r="121" spans="2:6">
      <c r="B121" s="1153">
        <v>45038</v>
      </c>
      <c r="C121" s="1138"/>
      <c r="D121" s="692"/>
      <c r="E121" s="1138"/>
      <c r="F121" s="1154"/>
    </row>
    <row r="122" spans="2:6">
      <c r="B122" s="1153">
        <v>45039</v>
      </c>
      <c r="C122" s="1138"/>
      <c r="D122" s="692"/>
      <c r="E122" s="1138"/>
      <c r="F122" s="1154"/>
    </row>
    <row r="123" spans="2:6">
      <c r="B123" s="1153">
        <v>45040</v>
      </c>
      <c r="C123" s="1138"/>
      <c r="D123" s="692"/>
      <c r="E123" s="1138"/>
      <c r="F123" s="1154"/>
    </row>
    <row r="124" spans="2:6">
      <c r="B124" s="1153">
        <v>45041</v>
      </c>
      <c r="C124" s="1138"/>
      <c r="D124" s="692"/>
      <c r="E124" s="1138"/>
      <c r="F124" s="1154"/>
    </row>
    <row r="125" spans="2:6">
      <c r="B125" s="1153">
        <v>45042</v>
      </c>
      <c r="C125" s="1138"/>
      <c r="D125" s="692"/>
      <c r="E125" s="1138"/>
      <c r="F125" s="1154"/>
    </row>
    <row r="126" spans="2:6">
      <c r="B126" s="1153">
        <v>45043</v>
      </c>
      <c r="C126" s="1138"/>
      <c r="D126" s="692"/>
      <c r="E126" s="1138"/>
      <c r="F126" s="1154"/>
    </row>
    <row r="127" spans="2:6">
      <c r="B127" s="1153">
        <v>45044</v>
      </c>
      <c r="C127" s="1138"/>
      <c r="D127" s="692"/>
      <c r="E127" s="1138"/>
      <c r="F127" s="1154"/>
    </row>
    <row r="128" spans="2:6">
      <c r="B128" s="1153">
        <v>45045</v>
      </c>
      <c r="C128" s="1138"/>
      <c r="D128" s="692"/>
      <c r="E128" s="1138"/>
      <c r="F128" s="1154"/>
    </row>
    <row r="129" spans="2:6">
      <c r="B129" s="1153">
        <v>45046</v>
      </c>
      <c r="C129" s="1138"/>
      <c r="D129" s="692"/>
      <c r="E129" s="1138"/>
      <c r="F129" s="1154"/>
    </row>
    <row r="130" spans="2:6">
      <c r="B130" s="1151"/>
      <c r="C130" s="1152"/>
      <c r="D130" s="1152"/>
      <c r="E130" s="1152"/>
      <c r="F130" s="1152"/>
    </row>
    <row r="131" spans="2:6">
      <c r="B131" s="1153">
        <v>45047</v>
      </c>
      <c r="C131" s="1138"/>
      <c r="D131" s="692"/>
      <c r="E131" s="1138"/>
      <c r="F131" s="1154"/>
    </row>
    <row r="132" spans="2:6">
      <c r="B132" s="1153">
        <v>45048</v>
      </c>
      <c r="C132" s="1138"/>
      <c r="D132" s="692"/>
      <c r="E132" s="1138"/>
      <c r="F132" s="1138"/>
    </row>
    <row r="133" spans="2:6">
      <c r="B133" s="1153">
        <v>45049</v>
      </c>
      <c r="C133" s="1138"/>
      <c r="D133" s="692"/>
      <c r="E133" s="1138"/>
      <c r="F133" s="1138"/>
    </row>
    <row r="134" spans="2:6">
      <c r="B134" s="1153">
        <v>45050</v>
      </c>
      <c r="C134" s="1148"/>
      <c r="D134" s="1148"/>
      <c r="E134" s="1148"/>
      <c r="F134" s="1148"/>
    </row>
    <row r="135" spans="2:6">
      <c r="B135" s="1153">
        <v>45051</v>
      </c>
      <c r="C135" s="1148"/>
      <c r="D135" s="1148"/>
      <c r="E135" s="1148"/>
      <c r="F135" s="1148"/>
    </row>
    <row r="136" spans="2:6">
      <c r="B136" s="1153">
        <v>45052</v>
      </c>
      <c r="C136" s="1148"/>
      <c r="D136" s="1148"/>
      <c r="E136" s="1148"/>
      <c r="F136" s="1148"/>
    </row>
    <row r="137" spans="2:6">
      <c r="B137" s="1153">
        <v>45053</v>
      </c>
      <c r="C137" s="1148"/>
      <c r="D137" s="1148"/>
      <c r="E137" s="1148"/>
      <c r="F137" s="1148"/>
    </row>
    <row r="138" spans="2:6">
      <c r="B138" s="1153">
        <v>45054</v>
      </c>
      <c r="C138" s="1148"/>
      <c r="D138" s="1148"/>
      <c r="E138" s="1148"/>
      <c r="F138" s="1148"/>
    </row>
    <row r="139" spans="2:6">
      <c r="B139" s="1153">
        <v>45055</v>
      </c>
      <c r="C139" s="1148"/>
      <c r="D139" s="1148"/>
      <c r="E139" s="1148"/>
      <c r="F139" s="1148"/>
    </row>
    <row r="140" spans="2:6">
      <c r="B140" s="1153">
        <v>45056</v>
      </c>
      <c r="C140" s="1148"/>
      <c r="D140" s="1148"/>
      <c r="E140" s="1148"/>
      <c r="F140" s="1148"/>
    </row>
    <row r="141" spans="2:6">
      <c r="B141" s="1153">
        <v>45057</v>
      </c>
      <c r="C141" s="1148"/>
      <c r="D141" s="1148"/>
      <c r="E141" s="1148"/>
      <c r="F141" s="1148"/>
    </row>
    <row r="142" spans="2:6">
      <c r="B142" s="1153">
        <v>45058</v>
      </c>
      <c r="C142" s="1148"/>
      <c r="D142" s="1148"/>
      <c r="E142" s="1148"/>
      <c r="F142" s="1148"/>
    </row>
    <row r="143" spans="2:6">
      <c r="B143" s="1153">
        <v>45059</v>
      </c>
      <c r="C143" s="1148"/>
      <c r="D143" s="1148"/>
      <c r="E143" s="1148"/>
      <c r="F143" s="1148"/>
    </row>
    <row r="144" spans="2:6">
      <c r="B144" s="1153">
        <v>45060</v>
      </c>
      <c r="C144" s="1148"/>
      <c r="D144" s="1148"/>
      <c r="E144" s="1148"/>
      <c r="F144" s="1148"/>
    </row>
    <row r="145" spans="2:6">
      <c r="B145" s="1153">
        <v>45061</v>
      </c>
      <c r="C145" s="1148"/>
      <c r="D145" s="1148"/>
      <c r="E145" s="1148"/>
      <c r="F145" s="1148"/>
    </row>
    <row r="146" spans="2:6">
      <c r="B146" s="1153">
        <v>45062</v>
      </c>
      <c r="C146" s="1148"/>
      <c r="D146" s="1148"/>
      <c r="E146" s="1148"/>
      <c r="F146" s="1148"/>
    </row>
    <row r="147" spans="2:6">
      <c r="B147" s="1153">
        <v>45063</v>
      </c>
      <c r="C147" s="1148"/>
      <c r="D147" s="1148"/>
      <c r="E147" s="1148"/>
      <c r="F147" s="1148"/>
    </row>
    <row r="148" spans="2:6">
      <c r="B148" s="1153">
        <v>45064</v>
      </c>
      <c r="C148" s="1148"/>
      <c r="D148" s="1148"/>
      <c r="E148" s="1148"/>
      <c r="F148" s="1148"/>
    </row>
    <row r="149" spans="2:6">
      <c r="B149" s="1153">
        <v>45065</v>
      </c>
      <c r="C149" s="1148"/>
      <c r="D149" s="1148"/>
      <c r="E149" s="1148"/>
      <c r="F149" s="1148"/>
    </row>
    <row r="150" spans="2:6">
      <c r="B150" s="1153">
        <v>45066</v>
      </c>
      <c r="C150" s="1148"/>
      <c r="D150" s="1148"/>
      <c r="E150" s="1148"/>
      <c r="F150" s="1148"/>
    </row>
    <row r="151" spans="2:6">
      <c r="B151" s="1153">
        <v>45067</v>
      </c>
      <c r="C151" s="1148"/>
      <c r="D151" s="1148"/>
      <c r="E151" s="1148"/>
      <c r="F151" s="1148"/>
    </row>
    <row r="152" spans="2:6">
      <c r="B152" s="1153">
        <v>45068</v>
      </c>
      <c r="C152" s="1148"/>
      <c r="D152" s="1148"/>
      <c r="E152" s="1148"/>
      <c r="F152" s="1148"/>
    </row>
    <row r="153" spans="2:6">
      <c r="B153" s="1153">
        <v>45069</v>
      </c>
      <c r="C153" s="1148"/>
      <c r="D153" s="1148"/>
      <c r="E153" s="1148"/>
      <c r="F153" s="1148"/>
    </row>
    <row r="154" spans="2:6">
      <c r="B154" s="1153">
        <v>45070</v>
      </c>
      <c r="C154" s="1148"/>
      <c r="D154" s="1148"/>
      <c r="E154" s="1148"/>
      <c r="F154" s="1148"/>
    </row>
    <row r="155" spans="2:6">
      <c r="B155" s="1153">
        <v>45071</v>
      </c>
      <c r="C155" s="1148"/>
      <c r="D155" s="1148"/>
      <c r="E155" s="1148"/>
      <c r="F155" s="1148"/>
    </row>
    <row r="156" spans="2:6">
      <c r="B156" s="1153">
        <v>45072</v>
      </c>
      <c r="C156" s="1148"/>
      <c r="D156" s="1148"/>
      <c r="E156" s="1148"/>
      <c r="F156" s="1148"/>
    </row>
    <row r="157" spans="2:6">
      <c r="B157" s="1153">
        <v>45073</v>
      </c>
      <c r="C157" s="1148"/>
      <c r="D157" s="1148"/>
      <c r="E157" s="1148"/>
      <c r="F157" s="1148"/>
    </row>
    <row r="158" spans="2:6">
      <c r="B158" s="1153">
        <v>45074</v>
      </c>
      <c r="C158" s="1148"/>
      <c r="D158" s="1148"/>
      <c r="E158" s="1148"/>
      <c r="F158" s="1148"/>
    </row>
    <row r="159" spans="2:6">
      <c r="B159" s="1153">
        <v>45075</v>
      </c>
      <c r="C159" s="1148"/>
      <c r="D159" s="1148"/>
      <c r="E159" s="1148"/>
      <c r="F159" s="1148"/>
    </row>
    <row r="160" spans="2:6">
      <c r="B160" s="1153">
        <v>45076</v>
      </c>
      <c r="C160" s="1148"/>
      <c r="D160" s="1148"/>
      <c r="E160" s="1148"/>
      <c r="F160" s="1148"/>
    </row>
    <row r="161" spans="2:6">
      <c r="B161" s="1153">
        <v>45077</v>
      </c>
      <c r="C161" s="1148"/>
      <c r="D161" s="1148"/>
      <c r="E161" s="1148"/>
      <c r="F161" s="1148"/>
    </row>
    <row r="162" spans="2:6">
      <c r="B162" s="1151"/>
      <c r="C162" s="1152"/>
      <c r="D162" s="1152"/>
      <c r="E162" s="1152"/>
      <c r="F162" s="1152"/>
    </row>
    <row r="163" spans="2:6">
      <c r="B163" s="1153">
        <v>45078</v>
      </c>
      <c r="C163" s="1148"/>
      <c r="D163" s="1148"/>
      <c r="E163" s="1148"/>
      <c r="F163" s="1148"/>
    </row>
    <row r="164" spans="2:6">
      <c r="B164" s="1153">
        <v>45079</v>
      </c>
      <c r="C164" s="1148"/>
      <c r="D164" s="1148"/>
      <c r="E164" s="1148"/>
      <c r="F164" s="1148"/>
    </row>
    <row r="165" spans="2:6">
      <c r="B165" s="1153">
        <v>45080</v>
      </c>
      <c r="C165" s="1148"/>
      <c r="D165" s="1148"/>
      <c r="E165" s="1148"/>
      <c r="F165" s="1148"/>
    </row>
    <row r="166" spans="2:6">
      <c r="B166" s="1153">
        <v>45081</v>
      </c>
      <c r="C166" s="1148"/>
      <c r="D166" s="1148"/>
      <c r="E166" s="1148"/>
      <c r="F166" s="1148"/>
    </row>
    <row r="167" spans="2:6">
      <c r="B167" s="1153">
        <v>45082</v>
      </c>
      <c r="C167" s="1148"/>
      <c r="D167" s="1148"/>
      <c r="E167" s="1148"/>
      <c r="F167" s="1148"/>
    </row>
    <row r="168" spans="2:6">
      <c r="B168" s="1153">
        <v>45083</v>
      </c>
      <c r="C168" s="1148"/>
      <c r="D168" s="1148"/>
      <c r="E168" s="1148"/>
      <c r="F168" s="1148"/>
    </row>
    <row r="169" spans="2:6">
      <c r="B169" s="1153">
        <v>45084</v>
      </c>
      <c r="C169" s="1148"/>
      <c r="D169" s="1148"/>
      <c r="E169" s="1148"/>
      <c r="F169" s="1148"/>
    </row>
    <row r="170" spans="2:6">
      <c r="B170" s="1153">
        <v>45085</v>
      </c>
      <c r="C170" s="1148"/>
      <c r="D170" s="1148"/>
      <c r="E170" s="1148"/>
      <c r="F170" s="1148"/>
    </row>
    <row r="171" spans="2:6">
      <c r="B171" s="1153">
        <v>45086</v>
      </c>
      <c r="C171" s="1148"/>
      <c r="D171" s="1148"/>
      <c r="E171" s="1148"/>
      <c r="F171" s="1148"/>
    </row>
    <row r="172" spans="2:6">
      <c r="B172" s="1153">
        <v>45087</v>
      </c>
      <c r="C172" s="1148"/>
      <c r="D172" s="1148"/>
      <c r="E172" s="1148"/>
      <c r="F172" s="1148"/>
    </row>
    <row r="173" spans="2:6">
      <c r="B173" s="1153">
        <v>45088</v>
      </c>
      <c r="C173" s="1148"/>
      <c r="D173" s="1148"/>
      <c r="E173" s="1148"/>
      <c r="F173" s="1148"/>
    </row>
    <row r="174" spans="2:6">
      <c r="B174" s="1153">
        <v>45089</v>
      </c>
      <c r="C174" s="1148"/>
      <c r="D174" s="1148"/>
      <c r="E174" s="1148"/>
      <c r="F174" s="1148"/>
    </row>
    <row r="175" spans="2:6">
      <c r="B175" s="1153">
        <v>45090</v>
      </c>
      <c r="C175" s="1148"/>
      <c r="D175" s="1148"/>
      <c r="E175" s="1148"/>
      <c r="F175" s="1148"/>
    </row>
    <row r="176" spans="2:6">
      <c r="B176" s="1153">
        <v>45091</v>
      </c>
      <c r="C176" s="1148"/>
      <c r="D176" s="1148"/>
      <c r="E176" s="1148"/>
      <c r="F176" s="1148"/>
    </row>
    <row r="177" spans="2:6">
      <c r="B177" s="1153">
        <v>45092</v>
      </c>
      <c r="C177" s="1148"/>
      <c r="D177" s="1148"/>
      <c r="E177" s="1148"/>
      <c r="F177" s="1148"/>
    </row>
    <row r="178" spans="2:6">
      <c r="B178" s="1153">
        <v>45093</v>
      </c>
      <c r="C178" s="1148"/>
      <c r="D178" s="1148"/>
      <c r="E178" s="1148"/>
      <c r="F178" s="1148"/>
    </row>
    <row r="179" spans="2:6">
      <c r="B179" s="1153">
        <v>45094</v>
      </c>
      <c r="C179" s="1148"/>
      <c r="D179" s="1148"/>
      <c r="E179" s="1148"/>
      <c r="F179" s="1148"/>
    </row>
    <row r="180" spans="2:6">
      <c r="B180" s="1153">
        <v>45095</v>
      </c>
      <c r="C180" s="1148"/>
      <c r="D180" s="1148"/>
      <c r="E180" s="1148"/>
      <c r="F180" s="1148"/>
    </row>
    <row r="181" spans="2:6">
      <c r="B181" s="1153">
        <v>45096</v>
      </c>
      <c r="C181" s="1148"/>
      <c r="D181" s="1148"/>
      <c r="E181" s="1148"/>
      <c r="F181" s="1148"/>
    </row>
    <row r="182" spans="2:6">
      <c r="B182" s="1153">
        <v>45097</v>
      </c>
      <c r="C182" s="1148"/>
      <c r="D182" s="1148"/>
      <c r="E182" s="1148"/>
      <c r="F182" s="1148"/>
    </row>
    <row r="183" spans="2:6">
      <c r="B183" s="1153">
        <v>45098</v>
      </c>
      <c r="C183" s="1148"/>
      <c r="D183" s="1148"/>
      <c r="E183" s="1148"/>
      <c r="F183" s="1148"/>
    </row>
    <row r="184" spans="2:6">
      <c r="B184" s="1153">
        <v>45099</v>
      </c>
      <c r="C184" s="1148"/>
      <c r="D184" s="1148"/>
      <c r="E184" s="1148"/>
      <c r="F184" s="1148"/>
    </row>
    <row r="185" spans="2:6">
      <c r="B185" s="1153">
        <v>45100</v>
      </c>
      <c r="C185" s="1148"/>
      <c r="D185" s="1148"/>
      <c r="E185" s="1148"/>
      <c r="F185" s="1148"/>
    </row>
    <row r="186" spans="2:6">
      <c r="B186" s="1153">
        <v>45101</v>
      </c>
      <c r="C186" s="1148"/>
      <c r="D186" s="1148"/>
      <c r="E186" s="1148"/>
      <c r="F186" s="1148"/>
    </row>
    <row r="187" spans="2:6">
      <c r="B187" s="1153">
        <v>45102</v>
      </c>
      <c r="C187" s="1148"/>
      <c r="D187" s="1148"/>
      <c r="E187" s="1148"/>
      <c r="F187" s="1148"/>
    </row>
    <row r="188" spans="2:6">
      <c r="B188" s="1153">
        <v>45103</v>
      </c>
      <c r="C188" s="1148"/>
      <c r="D188" s="1148"/>
      <c r="E188" s="1148"/>
      <c r="F188" s="1148"/>
    </row>
    <row r="189" spans="2:6">
      <c r="B189" s="1153">
        <v>45104</v>
      </c>
      <c r="C189" s="1148"/>
      <c r="D189" s="1148"/>
      <c r="E189" s="1148"/>
      <c r="F189" s="1148"/>
    </row>
    <row r="190" spans="2:6">
      <c r="B190" s="1153">
        <v>45105</v>
      </c>
      <c r="C190" s="1148"/>
      <c r="D190" s="1148"/>
      <c r="E190" s="1148"/>
      <c r="F190" s="1148"/>
    </row>
    <row r="191" spans="2:6">
      <c r="B191" s="1153">
        <v>45106</v>
      </c>
      <c r="C191" s="1148"/>
      <c r="D191" s="1148"/>
      <c r="E191" s="1148"/>
      <c r="F191" s="1148"/>
    </row>
    <row r="192" spans="2:6">
      <c r="B192" s="1153">
        <v>45107</v>
      </c>
      <c r="C192" s="1148"/>
      <c r="D192" s="1148"/>
      <c r="E192" s="1148"/>
      <c r="F192" s="1148"/>
    </row>
    <row r="193" spans="2:6">
      <c r="B193" s="1151"/>
      <c r="C193" s="1152"/>
      <c r="D193" s="1152"/>
      <c r="E193" s="1152"/>
      <c r="F193" s="1152"/>
    </row>
    <row r="194" spans="2:6">
      <c r="B194" s="1153">
        <v>45108</v>
      </c>
      <c r="C194" s="1148"/>
      <c r="D194" s="1148"/>
      <c r="E194" s="1148"/>
      <c r="F194" s="1148"/>
    </row>
    <row r="195" spans="2:6">
      <c r="B195" s="1153">
        <v>45109</v>
      </c>
      <c r="C195" s="1148"/>
      <c r="D195" s="1148"/>
      <c r="E195" s="1148"/>
      <c r="F195" s="1148"/>
    </row>
    <row r="196" spans="2:6">
      <c r="B196" s="1153">
        <v>45110</v>
      </c>
      <c r="C196" s="1148"/>
      <c r="D196" s="1148"/>
      <c r="E196" s="1148"/>
      <c r="F196" s="1148"/>
    </row>
    <row r="197" spans="2:6">
      <c r="B197" s="1153">
        <v>45111</v>
      </c>
      <c r="C197" s="1148"/>
      <c r="D197" s="1148"/>
      <c r="E197" s="1148"/>
      <c r="F197" s="1148"/>
    </row>
    <row r="198" spans="2:6">
      <c r="B198" s="1153">
        <v>45112</v>
      </c>
      <c r="C198" s="1148"/>
      <c r="D198" s="1148"/>
      <c r="E198" s="1148"/>
      <c r="F198" s="1148"/>
    </row>
    <row r="199" spans="2:6">
      <c r="B199" s="1153">
        <v>45113</v>
      </c>
      <c r="C199" s="1148"/>
      <c r="D199" s="1148"/>
      <c r="E199" s="1148"/>
      <c r="F199" s="1148"/>
    </row>
    <row r="200" spans="2:6">
      <c r="B200" s="1153">
        <v>45114</v>
      </c>
      <c r="C200" s="1148"/>
      <c r="D200" s="1148"/>
      <c r="E200" s="1148"/>
      <c r="F200" s="1148"/>
    </row>
    <row r="201" spans="2:6">
      <c r="B201" s="1153">
        <v>45115</v>
      </c>
      <c r="C201" s="1148"/>
      <c r="D201" s="1148"/>
      <c r="E201" s="1148"/>
      <c r="F201" s="1148"/>
    </row>
    <row r="202" spans="2:6">
      <c r="B202" s="1153">
        <v>45116</v>
      </c>
      <c r="C202" s="1148"/>
      <c r="D202" s="1148"/>
      <c r="E202" s="1148"/>
      <c r="F202" s="1148"/>
    </row>
    <row r="203" spans="2:6">
      <c r="B203" s="1153">
        <v>45117</v>
      </c>
      <c r="C203" s="1148"/>
      <c r="D203" s="1148"/>
      <c r="E203" s="1148"/>
      <c r="F203" s="1148"/>
    </row>
    <row r="204" spans="2:6">
      <c r="B204" s="1153">
        <v>45118</v>
      </c>
      <c r="C204" s="1148"/>
      <c r="D204" s="1148"/>
      <c r="E204" s="1148"/>
      <c r="F204" s="1148"/>
    </row>
    <row r="205" spans="2:6">
      <c r="B205" s="1153">
        <v>45119</v>
      </c>
      <c r="C205" s="1148"/>
      <c r="D205" s="1148"/>
      <c r="E205" s="1148"/>
      <c r="F205" s="1148"/>
    </row>
    <row r="206" spans="2:6">
      <c r="B206" s="1153">
        <v>45120</v>
      </c>
      <c r="C206" s="1148"/>
      <c r="D206" s="1148"/>
      <c r="E206" s="1148"/>
      <c r="F206" s="1148"/>
    </row>
    <row r="207" spans="2:6">
      <c r="B207" s="1153">
        <v>45121</v>
      </c>
      <c r="C207" s="1148"/>
      <c r="D207" s="1148"/>
      <c r="E207" s="1148"/>
      <c r="F207" s="1148"/>
    </row>
    <row r="208" spans="2:6">
      <c r="B208" s="1153">
        <v>45122</v>
      </c>
      <c r="C208" s="1148"/>
      <c r="D208" s="1148"/>
      <c r="E208" s="1148"/>
      <c r="F208" s="1148"/>
    </row>
    <row r="209" spans="2:6">
      <c r="B209" s="1153">
        <v>45123</v>
      </c>
      <c r="C209" s="1148"/>
      <c r="D209" s="1148"/>
      <c r="E209" s="1148"/>
      <c r="F209" s="1148"/>
    </row>
    <row r="210" spans="2:6">
      <c r="B210" s="1153">
        <v>45124</v>
      </c>
      <c r="C210" s="1148"/>
      <c r="D210" s="1148"/>
      <c r="E210" s="1148"/>
      <c r="F210" s="1148"/>
    </row>
    <row r="211" spans="2:6">
      <c r="B211" s="1153">
        <v>45125</v>
      </c>
      <c r="C211" s="1148"/>
      <c r="D211" s="1148"/>
      <c r="E211" s="1148"/>
      <c r="F211" s="1148"/>
    </row>
    <row r="212" spans="2:6">
      <c r="B212" s="1153">
        <v>45126</v>
      </c>
      <c r="C212" s="1148"/>
      <c r="D212" s="1148"/>
      <c r="E212" s="1148"/>
      <c r="F212" s="1148"/>
    </row>
    <row r="213" spans="2:6">
      <c r="B213" s="1153">
        <v>45127</v>
      </c>
      <c r="C213" s="1148"/>
      <c r="D213" s="1148"/>
      <c r="E213" s="1148"/>
      <c r="F213" s="1148"/>
    </row>
    <row r="214" spans="2:6">
      <c r="B214" s="1153">
        <v>45128</v>
      </c>
      <c r="C214" s="1148"/>
      <c r="D214" s="1148"/>
      <c r="E214" s="1148"/>
      <c r="F214" s="1148"/>
    </row>
    <row r="215" spans="2:6">
      <c r="B215" s="1153">
        <v>45129</v>
      </c>
      <c r="C215" s="1148"/>
      <c r="D215" s="1148"/>
      <c r="E215" s="1148"/>
      <c r="F215" s="1148"/>
    </row>
    <row r="216" spans="2:6">
      <c r="B216" s="1153">
        <v>45130</v>
      </c>
      <c r="C216" s="1148"/>
      <c r="D216" s="1148"/>
      <c r="E216" s="1148"/>
      <c r="F216" s="1148"/>
    </row>
    <row r="217" spans="2:6">
      <c r="B217" s="1153">
        <v>45131</v>
      </c>
      <c r="C217" s="1148"/>
      <c r="D217" s="1148"/>
      <c r="E217" s="1148"/>
      <c r="F217" s="1148"/>
    </row>
    <row r="218" spans="2:6">
      <c r="B218" s="1153">
        <v>45132</v>
      </c>
      <c r="C218" s="1148"/>
      <c r="D218" s="1148"/>
      <c r="E218" s="1148"/>
      <c r="F218" s="1148"/>
    </row>
    <row r="219" spans="2:6">
      <c r="B219" s="1153">
        <v>45133</v>
      </c>
      <c r="C219" s="1148"/>
      <c r="D219" s="1148"/>
      <c r="E219" s="1148"/>
      <c r="F219" s="1148"/>
    </row>
    <row r="220" spans="2:6">
      <c r="B220" s="1153">
        <v>45134</v>
      </c>
      <c r="C220" s="1148"/>
      <c r="D220" s="1148"/>
      <c r="E220" s="1148"/>
      <c r="F220" s="1148"/>
    </row>
    <row r="221" spans="2:6">
      <c r="B221" s="1153">
        <v>45135</v>
      </c>
      <c r="C221" s="1148"/>
      <c r="D221" s="1148"/>
      <c r="E221" s="1148"/>
      <c r="F221" s="1148"/>
    </row>
    <row r="222" spans="2:6">
      <c r="B222" s="1153">
        <v>45136</v>
      </c>
      <c r="C222" s="1148"/>
      <c r="D222" s="1148"/>
      <c r="E222" s="1148"/>
      <c r="F222" s="1148"/>
    </row>
    <row r="223" spans="2:6">
      <c r="B223" s="1153">
        <v>45137</v>
      </c>
      <c r="C223" s="1148"/>
      <c r="D223" s="1148"/>
      <c r="E223" s="1148"/>
      <c r="F223" s="1148"/>
    </row>
    <row r="224" spans="2:6">
      <c r="B224" s="1153">
        <v>45138</v>
      </c>
      <c r="C224" s="1148"/>
      <c r="D224" s="1148"/>
      <c r="E224" s="1148"/>
      <c r="F224" s="1148"/>
    </row>
    <row r="225" spans="2:6">
      <c r="B225" s="1151"/>
      <c r="C225" s="1152"/>
      <c r="D225" s="1152"/>
      <c r="E225" s="1152"/>
      <c r="F225" s="1152"/>
    </row>
    <row r="226" spans="2:6">
      <c r="B226" s="1153">
        <v>45139</v>
      </c>
      <c r="C226" s="1148"/>
      <c r="D226" s="1148"/>
      <c r="E226" s="1148"/>
      <c r="F226" s="1148"/>
    </row>
    <row r="227" spans="2:6">
      <c r="B227" s="1153">
        <v>45140</v>
      </c>
      <c r="C227" s="1148"/>
      <c r="D227" s="1148"/>
      <c r="E227" s="1148"/>
      <c r="F227" s="1148"/>
    </row>
    <row r="228" spans="2:6">
      <c r="B228" s="1153">
        <v>45141</v>
      </c>
      <c r="C228" s="1148"/>
      <c r="D228" s="1148"/>
      <c r="E228" s="1148"/>
      <c r="F228" s="1148"/>
    </row>
    <row r="229" spans="2:6">
      <c r="B229" s="1153">
        <v>45142</v>
      </c>
      <c r="C229" s="1148"/>
      <c r="D229" s="1148"/>
      <c r="E229" s="1148"/>
      <c r="F229" s="1148"/>
    </row>
    <row r="230" spans="2:6">
      <c r="B230" s="1153">
        <v>45143</v>
      </c>
      <c r="C230" s="1148"/>
      <c r="D230" s="1148"/>
      <c r="E230" s="1148"/>
      <c r="F230" s="1148"/>
    </row>
    <row r="231" spans="2:6">
      <c r="B231" s="1153">
        <v>45144</v>
      </c>
      <c r="C231" s="1148"/>
      <c r="D231" s="1148"/>
      <c r="E231" s="1148"/>
      <c r="F231" s="1148"/>
    </row>
    <row r="232" spans="2:6">
      <c r="B232" s="1153">
        <v>45145</v>
      </c>
      <c r="C232" s="1148"/>
      <c r="D232" s="1148"/>
      <c r="E232" s="1148"/>
      <c r="F232" s="1148"/>
    </row>
    <row r="233" spans="2:6">
      <c r="B233" s="1153">
        <v>45146</v>
      </c>
      <c r="C233" s="1155"/>
      <c r="D233" s="1155"/>
      <c r="E233" s="1155"/>
      <c r="F233" s="1155"/>
    </row>
    <row r="234" spans="2:6">
      <c r="B234" s="1153">
        <v>45147</v>
      </c>
      <c r="C234" s="1155"/>
      <c r="D234" s="1155"/>
      <c r="E234" s="1155"/>
      <c r="F234" s="1155"/>
    </row>
    <row r="235" spans="2:6">
      <c r="B235" s="1153">
        <v>45148</v>
      </c>
      <c r="C235" s="1155"/>
      <c r="D235" s="1155"/>
      <c r="E235" s="1155"/>
      <c r="F235" s="1155"/>
    </row>
    <row r="236" spans="2:6">
      <c r="B236" s="1153">
        <v>45149</v>
      </c>
      <c r="C236" s="1155"/>
      <c r="D236" s="1155"/>
      <c r="E236" s="1155"/>
      <c r="F236" s="1155"/>
    </row>
    <row r="237" spans="2:6">
      <c r="B237" s="1153">
        <v>45150</v>
      </c>
      <c r="C237" s="1155"/>
      <c r="D237" s="1155"/>
      <c r="E237" s="1155"/>
      <c r="F237" s="1155"/>
    </row>
    <row r="238" spans="2:6">
      <c r="B238" s="1153">
        <v>45151</v>
      </c>
      <c r="C238" s="1155"/>
      <c r="D238" s="1155"/>
      <c r="E238" s="1155"/>
      <c r="F238" s="1155"/>
    </row>
    <row r="239" spans="2:6">
      <c r="B239" s="1153">
        <v>45152</v>
      </c>
      <c r="C239" s="1155"/>
      <c r="D239" s="1155"/>
      <c r="E239" s="1155"/>
      <c r="F239" s="1155"/>
    </row>
    <row r="240" spans="2:6">
      <c r="B240" s="1153">
        <v>45153</v>
      </c>
      <c r="C240" s="1155"/>
      <c r="D240" s="1155"/>
      <c r="E240" s="1155"/>
      <c r="F240" s="1155"/>
    </row>
    <row r="241" spans="2:6">
      <c r="B241" s="1153">
        <v>45154</v>
      </c>
      <c r="C241" s="1155"/>
      <c r="D241" s="1155"/>
      <c r="E241" s="1155"/>
      <c r="F241" s="1155"/>
    </row>
    <row r="242" spans="2:6">
      <c r="B242" s="1153">
        <v>45155</v>
      </c>
      <c r="C242" s="1155"/>
      <c r="D242" s="1155"/>
      <c r="E242" s="1155"/>
      <c r="F242" s="1155"/>
    </row>
    <row r="243" spans="2:6">
      <c r="B243" s="1153">
        <v>45156</v>
      </c>
      <c r="C243" s="1155"/>
      <c r="D243" s="1155"/>
      <c r="E243" s="1155"/>
      <c r="F243" s="1155"/>
    </row>
    <row r="244" spans="2:6">
      <c r="B244" s="1153">
        <v>45157</v>
      </c>
      <c r="C244" s="1155"/>
      <c r="D244" s="1155"/>
      <c r="E244" s="1155"/>
      <c r="F244" s="1155"/>
    </row>
    <row r="245" spans="2:6">
      <c r="B245" s="1153">
        <v>45158</v>
      </c>
      <c r="C245" s="1155"/>
      <c r="D245" s="1155"/>
      <c r="E245" s="1155"/>
      <c r="F245" s="1155"/>
    </row>
    <row r="246" spans="2:6">
      <c r="B246" s="1153">
        <v>45159</v>
      </c>
      <c r="C246" s="1155"/>
      <c r="D246" s="1155"/>
      <c r="E246" s="1155"/>
      <c r="F246" s="1155"/>
    </row>
    <row r="247" spans="2:6">
      <c r="B247" s="1153">
        <v>45160</v>
      </c>
      <c r="C247" s="1155"/>
      <c r="D247" s="1155"/>
      <c r="E247" s="1155"/>
      <c r="F247" s="1155"/>
    </row>
    <row r="248" spans="2:6">
      <c r="B248" s="1153">
        <v>45161</v>
      </c>
      <c r="C248" s="1155"/>
      <c r="D248" s="1155"/>
      <c r="E248" s="1155"/>
      <c r="F248" s="1155"/>
    </row>
    <row r="249" spans="2:6">
      <c r="B249" s="1153">
        <v>45162</v>
      </c>
      <c r="C249" s="1155"/>
      <c r="D249" s="1155"/>
      <c r="E249" s="1155"/>
      <c r="F249" s="1155"/>
    </row>
    <row r="250" spans="2:6">
      <c r="B250" s="1153">
        <v>45163</v>
      </c>
      <c r="C250" s="1155"/>
      <c r="D250" s="1155"/>
      <c r="E250" s="1155"/>
      <c r="F250" s="1155"/>
    </row>
    <row r="251" spans="2:6">
      <c r="B251" s="1153">
        <v>45164</v>
      </c>
      <c r="C251" s="1155"/>
      <c r="D251" s="1155"/>
      <c r="E251" s="1155"/>
      <c r="F251" s="1155"/>
    </row>
    <row r="252" spans="2:6">
      <c r="B252" s="1153">
        <v>45165</v>
      </c>
      <c r="C252" s="1155"/>
      <c r="D252" s="1155"/>
      <c r="E252" s="1155"/>
      <c r="F252" s="1155"/>
    </row>
    <row r="253" spans="2:6">
      <c r="B253" s="1153">
        <v>45166</v>
      </c>
      <c r="C253" s="1155"/>
      <c r="D253" s="1155"/>
      <c r="E253" s="1155"/>
      <c r="F253" s="1155"/>
    </row>
    <row r="254" spans="2:6">
      <c r="B254" s="1153">
        <v>45167</v>
      </c>
      <c r="C254" s="1155"/>
      <c r="D254" s="1155"/>
      <c r="E254" s="1155"/>
      <c r="F254" s="1155"/>
    </row>
    <row r="255" spans="2:6">
      <c r="B255" s="1153">
        <v>45168</v>
      </c>
      <c r="C255" s="1155"/>
      <c r="D255" s="1155"/>
      <c r="E255" s="1155"/>
      <c r="F255" s="1155"/>
    </row>
    <row r="256" spans="2:6">
      <c r="B256" s="1153">
        <v>45169</v>
      </c>
      <c r="C256" s="1155"/>
      <c r="D256" s="1155"/>
      <c r="E256" s="1155"/>
      <c r="F256" s="1155"/>
    </row>
    <row r="257" spans="2:6">
      <c r="B257" s="1151"/>
      <c r="C257" s="1152"/>
      <c r="D257" s="1152"/>
      <c r="E257" s="1152"/>
      <c r="F257" s="1152"/>
    </row>
    <row r="258" spans="2:6">
      <c r="B258" s="1153">
        <v>45170</v>
      </c>
      <c r="C258" s="1155"/>
      <c r="D258" s="1155"/>
      <c r="E258" s="1155"/>
      <c r="F258" s="1155"/>
    </row>
    <row r="259" spans="2:6">
      <c r="B259" s="1153">
        <v>45171</v>
      </c>
      <c r="C259" s="1155"/>
      <c r="D259" s="1155"/>
      <c r="E259" s="1155"/>
      <c r="F259" s="1155"/>
    </row>
    <row r="260" spans="2:6">
      <c r="B260" s="1153">
        <v>45172</v>
      </c>
      <c r="C260" s="1155"/>
      <c r="D260" s="1155"/>
      <c r="E260" s="1155"/>
      <c r="F260" s="1155"/>
    </row>
    <row r="261" spans="2:6">
      <c r="B261" s="1153">
        <v>45173</v>
      </c>
      <c r="C261" s="1155"/>
      <c r="D261" s="1155"/>
      <c r="E261" s="1155"/>
      <c r="F261" s="1155"/>
    </row>
    <row r="262" spans="2:6">
      <c r="B262" s="1153">
        <v>45174</v>
      </c>
      <c r="C262" s="1155"/>
      <c r="D262" s="1155"/>
      <c r="E262" s="1155"/>
      <c r="F262" s="1155"/>
    </row>
    <row r="263" spans="2:6">
      <c r="B263" s="1153">
        <v>45175</v>
      </c>
      <c r="C263" s="1155"/>
      <c r="D263" s="1155"/>
      <c r="E263" s="1155"/>
      <c r="F263" s="1155"/>
    </row>
    <row r="264" spans="2:6">
      <c r="B264" s="1153">
        <v>45176</v>
      </c>
      <c r="C264" s="1155"/>
      <c r="D264" s="1155"/>
      <c r="E264" s="1155"/>
      <c r="F264" s="1155"/>
    </row>
    <row r="265" spans="2:6">
      <c r="B265" s="1153">
        <v>45177</v>
      </c>
      <c r="C265" s="1155"/>
      <c r="D265" s="1155"/>
      <c r="E265" s="1155"/>
      <c r="F265" s="1155"/>
    </row>
    <row r="266" spans="2:6">
      <c r="B266" s="1153">
        <v>45178</v>
      </c>
      <c r="C266" s="1155"/>
      <c r="D266" s="1155"/>
      <c r="E266" s="1155"/>
      <c r="F266" s="1155"/>
    </row>
    <row r="267" spans="2:6">
      <c r="B267" s="1153">
        <v>45179</v>
      </c>
      <c r="C267" s="1148"/>
      <c r="D267" s="1148"/>
      <c r="E267" s="1148"/>
      <c r="F267" s="1148"/>
    </row>
    <row r="268" spans="2:6">
      <c r="B268" s="1153">
        <v>45180</v>
      </c>
      <c r="C268" s="1148"/>
      <c r="D268" s="1148"/>
      <c r="E268" s="1148"/>
      <c r="F268" s="1148"/>
    </row>
    <row r="269" spans="2:6">
      <c r="B269" s="1153">
        <v>45181</v>
      </c>
      <c r="C269" s="1148"/>
      <c r="D269" s="1148"/>
      <c r="E269" s="1148"/>
      <c r="F269" s="1148"/>
    </row>
    <row r="270" spans="2:6">
      <c r="B270" s="1153">
        <v>45182</v>
      </c>
      <c r="C270" s="1148"/>
      <c r="D270" s="1148"/>
      <c r="E270" s="1148"/>
      <c r="F270" s="1148"/>
    </row>
    <row r="271" spans="2:6">
      <c r="B271" s="1153">
        <v>45183</v>
      </c>
      <c r="C271" s="1148"/>
      <c r="D271" s="1148"/>
      <c r="E271" s="1148"/>
      <c r="F271" s="1148"/>
    </row>
    <row r="272" spans="2:6">
      <c r="B272" s="1153">
        <v>45184</v>
      </c>
      <c r="C272" s="1148"/>
      <c r="D272" s="1148"/>
      <c r="E272" s="1148"/>
      <c r="F272" s="1148"/>
    </row>
    <row r="273" spans="2:6">
      <c r="B273" s="1153">
        <v>45185</v>
      </c>
      <c r="C273" s="1148"/>
      <c r="D273" s="1148"/>
      <c r="E273" s="1148"/>
      <c r="F273" s="1148"/>
    </row>
    <row r="274" spans="2:6">
      <c r="B274" s="1153">
        <v>45186</v>
      </c>
      <c r="C274" s="1148"/>
      <c r="D274" s="1148"/>
      <c r="E274" s="1148"/>
      <c r="F274" s="1148"/>
    </row>
    <row r="275" spans="2:6">
      <c r="B275" s="1153">
        <v>45187</v>
      </c>
      <c r="C275" s="1148"/>
      <c r="D275" s="1148"/>
      <c r="E275" s="1148"/>
      <c r="F275" s="1148"/>
    </row>
    <row r="276" spans="2:6">
      <c r="B276" s="1153">
        <v>45188</v>
      </c>
      <c r="C276" s="1148"/>
      <c r="D276" s="1148"/>
      <c r="E276" s="1148"/>
      <c r="F276" s="1148"/>
    </row>
    <row r="277" spans="2:6">
      <c r="B277" s="1153">
        <v>45189</v>
      </c>
      <c r="C277" s="1148"/>
      <c r="D277" s="1148"/>
      <c r="E277" s="1148"/>
      <c r="F277" s="1148"/>
    </row>
    <row r="278" spans="2:6">
      <c r="B278" s="1153">
        <v>45190</v>
      </c>
      <c r="C278" s="1148"/>
      <c r="D278" s="1148"/>
      <c r="E278" s="1148"/>
      <c r="F278" s="1148"/>
    </row>
    <row r="279" spans="2:6">
      <c r="B279" s="1153">
        <v>45191</v>
      </c>
      <c r="C279" s="1148"/>
      <c r="D279" s="1148"/>
      <c r="E279" s="1148"/>
      <c r="F279" s="1148"/>
    </row>
    <row r="280" spans="2:6">
      <c r="B280" s="1153">
        <v>45192</v>
      </c>
      <c r="C280" s="1148"/>
      <c r="D280" s="1148"/>
      <c r="E280" s="1148"/>
      <c r="F280" s="1148"/>
    </row>
    <row r="281" spans="2:6">
      <c r="B281" s="1153">
        <v>45193</v>
      </c>
      <c r="C281" s="1148"/>
      <c r="D281" s="1148"/>
      <c r="E281" s="1148"/>
      <c r="F281" s="1148"/>
    </row>
    <row r="282" spans="2:6">
      <c r="B282" s="1153">
        <v>45194</v>
      </c>
      <c r="C282" s="1148"/>
      <c r="D282" s="1148"/>
      <c r="E282" s="1148"/>
      <c r="F282" s="1148"/>
    </row>
    <row r="283" spans="2:6">
      <c r="B283" s="1153">
        <v>45195</v>
      </c>
      <c r="C283" s="1148"/>
      <c r="D283" s="1148"/>
      <c r="E283" s="1148"/>
      <c r="F283" s="1148"/>
    </row>
    <row r="284" spans="2:6">
      <c r="B284" s="1153">
        <v>45196</v>
      </c>
      <c r="C284" s="1148"/>
      <c r="D284" s="1148"/>
      <c r="E284" s="1148"/>
      <c r="F284" s="1148"/>
    </row>
    <row r="285" spans="2:6">
      <c r="B285" s="1153">
        <v>45197</v>
      </c>
      <c r="C285" s="1148"/>
      <c r="D285" s="1148"/>
      <c r="E285" s="1148"/>
      <c r="F285" s="1148"/>
    </row>
    <row r="286" spans="2:6">
      <c r="B286" s="1153">
        <v>45198</v>
      </c>
      <c r="C286" s="1148"/>
      <c r="D286" s="1148"/>
      <c r="E286" s="1148"/>
      <c r="F286" s="1148"/>
    </row>
    <row r="287" spans="2:6">
      <c r="B287" s="1153">
        <v>45199</v>
      </c>
      <c r="C287" s="1148"/>
      <c r="D287" s="1148"/>
      <c r="E287" s="1148"/>
      <c r="F287" s="1148"/>
    </row>
    <row r="288" spans="2:6">
      <c r="B288" s="1151"/>
      <c r="C288" s="1152"/>
      <c r="D288" s="1152"/>
      <c r="E288" s="1152"/>
      <c r="F288" s="1152"/>
    </row>
    <row r="289" spans="2:6">
      <c r="B289" s="1153">
        <v>45200</v>
      </c>
      <c r="C289" s="1148"/>
      <c r="D289" s="1148"/>
      <c r="E289" s="1148"/>
      <c r="F289" s="1148"/>
    </row>
    <row r="290" spans="2:6">
      <c r="B290" s="1153">
        <v>45201</v>
      </c>
      <c r="C290" s="1148"/>
      <c r="D290" s="1148"/>
      <c r="E290" s="1148"/>
      <c r="F290" s="1148"/>
    </row>
    <row r="291" spans="2:6">
      <c r="B291" s="1153">
        <v>45202</v>
      </c>
      <c r="C291" s="1148"/>
      <c r="D291" s="1148"/>
      <c r="E291" s="1148"/>
      <c r="F291" s="1148"/>
    </row>
    <row r="292" spans="2:6">
      <c r="B292" s="1153">
        <v>45203</v>
      </c>
      <c r="C292" s="1148"/>
      <c r="D292" s="1148"/>
      <c r="E292" s="1148"/>
      <c r="F292" s="1148"/>
    </row>
    <row r="293" spans="2:6">
      <c r="B293" s="1153">
        <v>45204</v>
      </c>
      <c r="C293" s="1148"/>
      <c r="D293" s="1148"/>
      <c r="E293" s="1148"/>
      <c r="F293" s="1148"/>
    </row>
    <row r="294" spans="2:6">
      <c r="B294" s="1153">
        <v>45205</v>
      </c>
      <c r="C294" s="1148"/>
      <c r="D294" s="1148"/>
      <c r="E294" s="1148"/>
      <c r="F294" s="1148"/>
    </row>
    <row r="295" spans="2:6">
      <c r="B295" s="1153">
        <v>45206</v>
      </c>
      <c r="C295" s="1148"/>
      <c r="D295" s="1148"/>
      <c r="E295" s="1148"/>
      <c r="F295" s="1148"/>
    </row>
    <row r="296" spans="2:6">
      <c r="B296" s="1153">
        <v>45207</v>
      </c>
      <c r="C296" s="1148"/>
      <c r="D296" s="1148"/>
      <c r="E296" s="1148"/>
      <c r="F296" s="1148"/>
    </row>
    <row r="297" spans="2:6">
      <c r="B297" s="1153">
        <v>45208</v>
      </c>
      <c r="C297" s="1148"/>
      <c r="D297" s="1148"/>
      <c r="E297" s="1148"/>
      <c r="F297" s="1148"/>
    </row>
    <row r="298" spans="2:6">
      <c r="B298" s="1153">
        <v>45209</v>
      </c>
      <c r="C298" s="1148"/>
      <c r="D298" s="1148"/>
      <c r="E298" s="1148"/>
      <c r="F298" s="1148"/>
    </row>
    <row r="299" spans="2:6">
      <c r="B299" s="1153">
        <v>45210</v>
      </c>
      <c r="C299" s="1148"/>
      <c r="D299" s="1148"/>
      <c r="E299" s="1148"/>
      <c r="F299" s="1148"/>
    </row>
    <row r="300" spans="2:6">
      <c r="B300" s="1153">
        <v>45211</v>
      </c>
      <c r="C300" s="1148"/>
      <c r="D300" s="1148"/>
      <c r="E300" s="1148"/>
      <c r="F300" s="1148"/>
    </row>
    <row r="301" spans="2:6">
      <c r="B301" s="1153">
        <v>45212</v>
      </c>
      <c r="C301" s="1148"/>
      <c r="D301" s="1148"/>
      <c r="E301" s="1148"/>
      <c r="F301" s="1148"/>
    </row>
    <row r="302" spans="2:6">
      <c r="B302" s="1153">
        <v>45213</v>
      </c>
      <c r="C302" s="1148"/>
      <c r="D302" s="1148"/>
      <c r="E302" s="1148"/>
      <c r="F302" s="1148"/>
    </row>
    <row r="303" spans="2:6">
      <c r="B303" s="1153">
        <v>45214</v>
      </c>
      <c r="C303" s="1148"/>
      <c r="D303" s="1148"/>
      <c r="E303" s="1148"/>
      <c r="F303" s="1148"/>
    </row>
    <row r="304" spans="2:6">
      <c r="B304" s="1153">
        <v>45215</v>
      </c>
      <c r="C304" s="1148"/>
      <c r="D304" s="1148"/>
      <c r="E304" s="1148"/>
      <c r="F304" s="1148"/>
    </row>
    <row r="305" spans="2:6">
      <c r="B305" s="1153">
        <v>45216</v>
      </c>
      <c r="C305" s="1148"/>
      <c r="D305" s="1148"/>
      <c r="E305" s="1148"/>
      <c r="F305" s="1148"/>
    </row>
    <row r="306" spans="2:6">
      <c r="B306" s="1153">
        <v>45217</v>
      </c>
      <c r="C306" s="1148"/>
      <c r="D306" s="1148"/>
      <c r="E306" s="1148"/>
      <c r="F306" s="1148"/>
    </row>
    <row r="307" spans="2:6">
      <c r="B307" s="1153">
        <v>45218</v>
      </c>
      <c r="C307" s="1148"/>
      <c r="D307" s="1148"/>
      <c r="E307" s="1148"/>
      <c r="F307" s="1148"/>
    </row>
    <row r="308" spans="2:6">
      <c r="B308" s="1153">
        <v>45219</v>
      </c>
      <c r="C308" s="1148"/>
      <c r="D308" s="1148"/>
      <c r="E308" s="1148"/>
      <c r="F308" s="1148"/>
    </row>
    <row r="309" spans="2:6">
      <c r="B309" s="1153">
        <v>45220</v>
      </c>
      <c r="C309" s="1148"/>
      <c r="D309" s="1148"/>
      <c r="E309" s="1148"/>
      <c r="F309" s="1148"/>
    </row>
    <row r="310" spans="2:6">
      <c r="B310" s="1153">
        <v>45221</v>
      </c>
      <c r="C310" s="1148"/>
      <c r="D310" s="1148"/>
      <c r="E310" s="1148"/>
      <c r="F310" s="1148"/>
    </row>
    <row r="311" spans="2:6">
      <c r="B311" s="1153">
        <v>45222</v>
      </c>
      <c r="C311" s="1148"/>
      <c r="D311" s="1148"/>
      <c r="E311" s="1148"/>
      <c r="F311" s="1148"/>
    </row>
    <row r="312" spans="2:6">
      <c r="B312" s="1153">
        <v>45223</v>
      </c>
      <c r="C312" s="1148"/>
      <c r="D312" s="1148"/>
      <c r="E312" s="1148"/>
      <c r="F312" s="1148"/>
    </row>
    <row r="313" spans="2:6">
      <c r="B313" s="1153">
        <v>45224</v>
      </c>
      <c r="C313" s="1148"/>
      <c r="D313" s="1148"/>
      <c r="E313" s="1148"/>
      <c r="F313" s="1148"/>
    </row>
    <row r="314" spans="2:6">
      <c r="B314" s="1153">
        <v>45225</v>
      </c>
      <c r="C314" s="1148"/>
      <c r="D314" s="1148"/>
      <c r="E314" s="1148"/>
      <c r="F314" s="1148"/>
    </row>
    <row r="315" spans="2:6">
      <c r="B315" s="1153">
        <v>45226</v>
      </c>
      <c r="C315" s="1148"/>
      <c r="D315" s="1148"/>
      <c r="E315" s="1148"/>
      <c r="F315" s="1148"/>
    </row>
    <row r="316" spans="2:6">
      <c r="B316" s="1153">
        <v>45227</v>
      </c>
      <c r="C316" s="1148"/>
      <c r="D316" s="1148"/>
      <c r="E316" s="1148"/>
      <c r="F316" s="1148"/>
    </row>
    <row r="317" spans="2:6">
      <c r="B317" s="1153">
        <v>45228</v>
      </c>
      <c r="C317" s="1148"/>
      <c r="D317" s="1148"/>
      <c r="E317" s="1148"/>
      <c r="F317" s="1148"/>
    </row>
    <row r="318" spans="2:6">
      <c r="B318" s="1153">
        <v>45229</v>
      </c>
      <c r="C318" s="1148"/>
      <c r="D318" s="1148"/>
      <c r="E318" s="1148"/>
      <c r="F318" s="1148"/>
    </row>
    <row r="319" spans="2:6">
      <c r="B319" s="1153">
        <v>45230</v>
      </c>
      <c r="C319" s="1148"/>
      <c r="D319" s="1148"/>
      <c r="E319" s="1148"/>
      <c r="F319" s="1148"/>
    </row>
    <row r="320" spans="2:6">
      <c r="B320" s="1151"/>
      <c r="C320" s="1152"/>
      <c r="D320" s="1152"/>
      <c r="E320" s="1152"/>
      <c r="F320" s="1152"/>
    </row>
    <row r="321" spans="2:6">
      <c r="B321" s="1153">
        <v>45231</v>
      </c>
      <c r="C321" s="1148"/>
      <c r="D321" s="1148"/>
      <c r="E321" s="1148"/>
      <c r="F321" s="1148"/>
    </row>
    <row r="322" spans="2:6">
      <c r="B322" s="1153">
        <v>45232</v>
      </c>
      <c r="C322" s="1148"/>
      <c r="D322" s="1148"/>
      <c r="E322" s="1148"/>
      <c r="F322" s="1148"/>
    </row>
    <row r="323" spans="2:6">
      <c r="B323" s="1153">
        <v>45233</v>
      </c>
      <c r="C323" s="1148"/>
      <c r="D323" s="1148"/>
      <c r="E323" s="1148"/>
      <c r="F323" s="1148"/>
    </row>
    <row r="324" spans="2:6">
      <c r="B324" s="1153">
        <v>45234</v>
      </c>
      <c r="C324" s="1148"/>
      <c r="D324" s="1148"/>
      <c r="E324" s="1148"/>
      <c r="F324" s="1148"/>
    </row>
    <row r="325" spans="2:6">
      <c r="B325" s="1153">
        <v>45235</v>
      </c>
      <c r="C325" s="1148"/>
      <c r="D325" s="1148"/>
      <c r="E325" s="1148"/>
      <c r="F325" s="1148"/>
    </row>
    <row r="326" spans="2:6">
      <c r="B326" s="1153">
        <v>45236</v>
      </c>
      <c r="C326" s="1148"/>
      <c r="D326" s="1148"/>
      <c r="E326" s="1148"/>
      <c r="F326" s="1148"/>
    </row>
    <row r="327" spans="2:6">
      <c r="B327" s="1153">
        <v>45237</v>
      </c>
      <c r="C327" s="1148"/>
      <c r="D327" s="1148"/>
      <c r="E327" s="1148"/>
      <c r="F327" s="1148"/>
    </row>
    <row r="328" spans="2:6">
      <c r="B328" s="1153">
        <v>45238</v>
      </c>
      <c r="C328" s="1148"/>
      <c r="D328" s="1148"/>
      <c r="E328" s="1148"/>
      <c r="F328" s="1148"/>
    </row>
    <row r="329" spans="2:6">
      <c r="B329" s="1153">
        <v>45239</v>
      </c>
      <c r="C329" s="1148"/>
      <c r="D329" s="1148"/>
      <c r="E329" s="1148"/>
      <c r="F329" s="1148"/>
    </row>
    <row r="330" spans="2:6">
      <c r="B330" s="1153">
        <v>45240</v>
      </c>
      <c r="C330" s="1148"/>
      <c r="D330" s="1148"/>
      <c r="E330" s="1148"/>
      <c r="F330" s="1148"/>
    </row>
    <row r="331" spans="2:6">
      <c r="B331" s="1153">
        <v>45241</v>
      </c>
      <c r="C331" s="1148"/>
      <c r="D331" s="1148"/>
      <c r="E331" s="1148"/>
      <c r="F331" s="1148"/>
    </row>
    <row r="332" spans="2:6">
      <c r="B332" s="1153">
        <v>45242</v>
      </c>
      <c r="C332" s="1148"/>
      <c r="D332" s="1148"/>
      <c r="E332" s="1148"/>
      <c r="F332" s="1148"/>
    </row>
    <row r="333" spans="2:6">
      <c r="B333" s="1153">
        <v>45243</v>
      </c>
      <c r="C333" s="1148"/>
      <c r="D333" s="1148"/>
      <c r="E333" s="1148"/>
      <c r="F333" s="1148"/>
    </row>
    <row r="334" spans="2:6">
      <c r="B334" s="1153">
        <v>45244</v>
      </c>
      <c r="C334" s="1148"/>
      <c r="D334" s="1148"/>
      <c r="E334" s="1148"/>
      <c r="F334" s="1148"/>
    </row>
    <row r="335" spans="2:6">
      <c r="B335" s="1153">
        <v>45245</v>
      </c>
      <c r="C335" s="1148"/>
      <c r="D335" s="1148"/>
      <c r="E335" s="1148"/>
      <c r="F335" s="1148"/>
    </row>
    <row r="336" spans="2:6">
      <c r="B336" s="1153">
        <v>45246</v>
      </c>
      <c r="C336" s="1148"/>
      <c r="D336" s="1148"/>
      <c r="E336" s="1148"/>
      <c r="F336" s="1148"/>
    </row>
    <row r="337" spans="2:6">
      <c r="B337" s="1153">
        <v>45247</v>
      </c>
      <c r="C337" s="1148"/>
      <c r="D337" s="1148"/>
      <c r="E337" s="1148"/>
      <c r="F337" s="1148"/>
    </row>
    <row r="338" spans="2:6">
      <c r="B338" s="1153">
        <v>45248</v>
      </c>
      <c r="C338" s="1148"/>
      <c r="D338" s="1148"/>
      <c r="E338" s="1148"/>
      <c r="F338" s="1148"/>
    </row>
    <row r="339" spans="2:6">
      <c r="B339" s="1153">
        <v>45249</v>
      </c>
      <c r="C339" s="1148"/>
      <c r="D339" s="1148"/>
      <c r="E339" s="1148"/>
      <c r="F339" s="1148"/>
    </row>
    <row r="340" spans="2:6">
      <c r="B340" s="1153">
        <v>45250</v>
      </c>
      <c r="C340" s="1148"/>
      <c r="D340" s="1148"/>
      <c r="E340" s="1148"/>
      <c r="F340" s="1148"/>
    </row>
    <row r="341" spans="2:6">
      <c r="B341" s="1153">
        <v>45251</v>
      </c>
      <c r="C341" s="1148"/>
      <c r="D341" s="1148"/>
      <c r="E341" s="1148"/>
      <c r="F341" s="1148"/>
    </row>
    <row r="342" spans="2:6">
      <c r="B342" s="1153">
        <v>45252</v>
      </c>
      <c r="C342" s="1148"/>
      <c r="D342" s="1148"/>
      <c r="E342" s="1148"/>
      <c r="F342" s="1148"/>
    </row>
    <row r="343" spans="2:6">
      <c r="B343" s="1153">
        <v>45253</v>
      </c>
      <c r="C343" s="1148"/>
      <c r="D343" s="1148"/>
      <c r="E343" s="1148"/>
      <c r="F343" s="1148"/>
    </row>
    <row r="344" spans="2:6">
      <c r="B344" s="1153">
        <v>45254</v>
      </c>
      <c r="C344" s="1148"/>
      <c r="D344" s="1148"/>
      <c r="E344" s="1148"/>
      <c r="F344" s="1148"/>
    </row>
    <row r="345" spans="2:6">
      <c r="B345" s="1153">
        <v>45255</v>
      </c>
      <c r="C345" s="1148"/>
      <c r="D345" s="1148"/>
      <c r="E345" s="1148"/>
      <c r="F345" s="1148"/>
    </row>
    <row r="346" spans="2:6">
      <c r="B346" s="1153">
        <v>45256</v>
      </c>
      <c r="C346" s="1148"/>
      <c r="D346" s="1148"/>
      <c r="E346" s="1148"/>
      <c r="F346" s="1148"/>
    </row>
    <row r="347" spans="2:6">
      <c r="B347" s="1153">
        <v>45257</v>
      </c>
      <c r="C347" s="1148"/>
      <c r="D347" s="1148"/>
      <c r="E347" s="1148"/>
      <c r="F347" s="1148"/>
    </row>
    <row r="348" spans="2:6">
      <c r="B348" s="1153">
        <v>45258</v>
      </c>
      <c r="C348" s="1148"/>
      <c r="D348" s="1148"/>
      <c r="E348" s="1148"/>
      <c r="F348" s="1148"/>
    </row>
    <row r="349" spans="2:6">
      <c r="B349" s="1153">
        <v>45259</v>
      </c>
      <c r="C349" s="1148"/>
      <c r="D349" s="1148"/>
      <c r="E349" s="1148"/>
      <c r="F349" s="1148"/>
    </row>
    <row r="350" spans="2:6">
      <c r="B350" s="1153">
        <v>45260</v>
      </c>
      <c r="C350" s="1148"/>
      <c r="D350" s="1148"/>
      <c r="E350" s="1148"/>
      <c r="F350" s="1148"/>
    </row>
    <row r="351" spans="2:6">
      <c r="B351" s="1151"/>
      <c r="C351" s="1152"/>
      <c r="D351" s="1152"/>
      <c r="E351" s="1152"/>
      <c r="F351" s="1152"/>
    </row>
    <row r="352" spans="2:6">
      <c r="B352" s="1153">
        <v>45261</v>
      </c>
      <c r="C352" s="1148"/>
      <c r="D352" s="1148"/>
      <c r="E352" s="1148"/>
      <c r="F352" s="1148"/>
    </row>
    <row r="353" spans="2:6">
      <c r="B353" s="1153">
        <v>45262</v>
      </c>
      <c r="C353" s="1148"/>
      <c r="D353" s="1148"/>
      <c r="E353" s="1148"/>
      <c r="F353" s="1148"/>
    </row>
    <row r="354" spans="2:6">
      <c r="B354" s="1153">
        <v>45263</v>
      </c>
      <c r="C354" s="1148"/>
      <c r="D354" s="1148"/>
      <c r="E354" s="1148"/>
      <c r="F354" s="1148"/>
    </row>
    <row r="355" spans="2:6">
      <c r="B355" s="1153">
        <v>45264</v>
      </c>
      <c r="C355" s="1148"/>
      <c r="D355" s="1148"/>
      <c r="E355" s="1148"/>
      <c r="F355" s="1148"/>
    </row>
    <row r="356" spans="2:6">
      <c r="B356" s="1153">
        <v>45265</v>
      </c>
      <c r="C356" s="1148"/>
      <c r="D356" s="1148"/>
      <c r="E356" s="1148"/>
      <c r="F356" s="1148"/>
    </row>
    <row r="357" spans="2:6">
      <c r="B357" s="1153">
        <v>45266</v>
      </c>
      <c r="C357" s="1148"/>
      <c r="D357" s="1148"/>
      <c r="E357" s="1148"/>
      <c r="F357" s="1148"/>
    </row>
    <row r="358" spans="2:6">
      <c r="B358" s="1153">
        <v>45267</v>
      </c>
      <c r="C358" s="1148"/>
      <c r="D358" s="1148"/>
      <c r="E358" s="1148"/>
      <c r="F358" s="1148"/>
    </row>
    <row r="359" spans="2:6">
      <c r="B359" s="1153">
        <v>45268</v>
      </c>
      <c r="C359" s="1148"/>
      <c r="D359" s="1148"/>
      <c r="E359" s="1148"/>
      <c r="F359" s="1148"/>
    </row>
    <row r="360" spans="2:6">
      <c r="B360" s="1153">
        <v>45269</v>
      </c>
      <c r="C360" s="1148"/>
      <c r="D360" s="1148"/>
      <c r="E360" s="1148"/>
      <c r="F360" s="1148"/>
    </row>
    <row r="361" spans="2:6">
      <c r="B361" s="1153">
        <v>45270</v>
      </c>
      <c r="C361" s="1148"/>
      <c r="D361" s="1148"/>
      <c r="E361" s="1148"/>
      <c r="F361" s="1148"/>
    </row>
    <row r="362" spans="2:6">
      <c r="B362" s="1153">
        <v>45271</v>
      </c>
      <c r="C362" s="1148"/>
      <c r="D362" s="1148"/>
      <c r="E362" s="1148"/>
      <c r="F362" s="1148"/>
    </row>
    <row r="363" spans="2:6">
      <c r="B363" s="1153">
        <v>45272</v>
      </c>
      <c r="C363" s="1148"/>
      <c r="D363" s="1148"/>
      <c r="E363" s="1148"/>
      <c r="F363" s="1148"/>
    </row>
    <row r="364" spans="2:6">
      <c r="B364" s="1153">
        <v>45273</v>
      </c>
      <c r="C364" s="1148"/>
      <c r="D364" s="1148"/>
      <c r="E364" s="1148"/>
      <c r="F364" s="1148"/>
    </row>
    <row r="365" spans="2:6">
      <c r="B365" s="1153">
        <v>45274</v>
      </c>
      <c r="C365" s="1148"/>
      <c r="D365" s="1148"/>
      <c r="E365" s="1148"/>
      <c r="F365" s="1148"/>
    </row>
    <row r="366" spans="2:6">
      <c r="B366" s="1153">
        <v>45275</v>
      </c>
      <c r="C366" s="1148"/>
      <c r="D366" s="1148"/>
      <c r="E366" s="1148"/>
      <c r="F366" s="1148"/>
    </row>
    <row r="367" spans="2:6">
      <c r="B367" s="1153">
        <v>45276</v>
      </c>
      <c r="C367" s="1148"/>
      <c r="D367" s="1148"/>
      <c r="E367" s="1148"/>
      <c r="F367" s="1148"/>
    </row>
    <row r="368" spans="2:6">
      <c r="B368" s="1153">
        <v>45277</v>
      </c>
      <c r="C368" s="1148"/>
      <c r="D368" s="1148"/>
      <c r="E368" s="1148"/>
      <c r="F368" s="1148"/>
    </row>
    <row r="369" spans="2:6">
      <c r="B369" s="1153">
        <v>45278</v>
      </c>
      <c r="C369" s="1148"/>
      <c r="D369" s="1148"/>
      <c r="E369" s="1148"/>
      <c r="F369" s="1148"/>
    </row>
    <row r="370" spans="2:6">
      <c r="B370" s="1153">
        <v>45279</v>
      </c>
      <c r="C370" s="1148"/>
      <c r="D370" s="1148"/>
      <c r="E370" s="1148"/>
      <c r="F370" s="1148"/>
    </row>
    <row r="371" spans="2:6">
      <c r="B371" s="1153">
        <v>45280</v>
      </c>
      <c r="C371" s="1148"/>
      <c r="D371" s="1148"/>
      <c r="E371" s="1148"/>
      <c r="F371" s="1148"/>
    </row>
    <row r="372" spans="2:6">
      <c r="B372" s="1153">
        <v>45281</v>
      </c>
      <c r="C372" s="1148"/>
      <c r="D372" s="1148"/>
      <c r="E372" s="1148"/>
      <c r="F372" s="1148"/>
    </row>
    <row r="373" spans="2:6">
      <c r="B373" s="1153">
        <v>45282</v>
      </c>
      <c r="C373" s="1148"/>
      <c r="D373" s="1148"/>
      <c r="E373" s="1148"/>
      <c r="F373" s="1148"/>
    </row>
    <row r="374" spans="2:6">
      <c r="B374" s="1153">
        <v>45283</v>
      </c>
      <c r="C374" s="1148"/>
      <c r="D374" s="1148"/>
      <c r="E374" s="1148"/>
      <c r="F374" s="1148"/>
    </row>
    <row r="375" spans="2:6">
      <c r="B375" s="1153">
        <v>45284</v>
      </c>
      <c r="C375" s="1148"/>
      <c r="D375" s="1148"/>
      <c r="E375" s="1148"/>
      <c r="F375" s="1148"/>
    </row>
    <row r="376" spans="2:6">
      <c r="B376" s="1153">
        <v>45285</v>
      </c>
      <c r="C376" s="1148"/>
      <c r="D376" s="1148"/>
      <c r="E376" s="1148"/>
      <c r="F376" s="1148"/>
    </row>
    <row r="377" spans="2:6">
      <c r="B377" s="1153">
        <v>45286</v>
      </c>
      <c r="C377" s="1148"/>
      <c r="D377" s="1148"/>
      <c r="E377" s="1148"/>
      <c r="F377" s="1148"/>
    </row>
    <row r="378" spans="2:6">
      <c r="B378" s="1153">
        <v>45287</v>
      </c>
      <c r="C378" s="1148"/>
      <c r="D378" s="1148"/>
      <c r="E378" s="1148"/>
      <c r="F378" s="1148"/>
    </row>
    <row r="379" spans="2:6">
      <c r="B379" s="1153">
        <v>45288</v>
      </c>
      <c r="C379" s="1148"/>
      <c r="D379" s="1148"/>
      <c r="E379" s="1148"/>
      <c r="F379" s="1148"/>
    </row>
    <row r="380" spans="2:6">
      <c r="B380" s="1153">
        <v>45289</v>
      </c>
      <c r="C380" s="1148"/>
      <c r="D380" s="1148"/>
      <c r="E380" s="1148"/>
      <c r="F380" s="1148"/>
    </row>
    <row r="381" spans="2:6">
      <c r="B381" s="1153">
        <v>45290</v>
      </c>
      <c r="C381" s="1148"/>
      <c r="D381" s="1148"/>
      <c r="E381" s="1148"/>
      <c r="F381" s="1148"/>
    </row>
    <row r="382" spans="2:6">
      <c r="B382" s="1153">
        <v>45291</v>
      </c>
      <c r="C382" s="1148"/>
      <c r="D382" s="1148"/>
      <c r="E382" s="1148"/>
      <c r="F382" s="1148"/>
    </row>
    <row r="383" spans="2:6" ht="15" thickBot="1">
      <c r="B383" s="1156"/>
      <c r="C383" s="1157"/>
      <c r="D383" s="1157"/>
      <c r="E383" s="1157"/>
      <c r="F383" s="1157"/>
    </row>
    <row r="384" spans="2:6">
      <c r="B384" s="1158" t="s">
        <v>176</v>
      </c>
      <c r="C384" s="1159">
        <f>SUMIF(C7:C37,"&gt;0")</f>
        <v>0</v>
      </c>
      <c r="D384" s="1159">
        <f>SUMIF(D7:D37,"&gt;0")</f>
        <v>0</v>
      </c>
      <c r="E384" s="1159">
        <f>SUMIF(E7:E37,"&gt;0")</f>
        <v>0</v>
      </c>
      <c r="F384" s="1159">
        <f>SUMIF(F7:F37,"&gt;0")</f>
        <v>0</v>
      </c>
    </row>
    <row r="385" spans="2:6">
      <c r="B385" s="1160" t="s">
        <v>177</v>
      </c>
      <c r="C385" s="1161">
        <f>SUMIF(C39:C66,"&gt;0")</f>
        <v>0</v>
      </c>
      <c r="D385" s="1161">
        <f>SUMIF(D39:D66,"&gt;0")</f>
        <v>0</v>
      </c>
      <c r="E385" s="1161">
        <f>SUMIF(E39:E66,"&gt;0")</f>
        <v>0</v>
      </c>
      <c r="F385" s="1161">
        <f>SUMIF(F39:F66,"&gt;0")</f>
        <v>0</v>
      </c>
    </row>
    <row r="386" spans="2:6">
      <c r="B386" s="1160" t="s">
        <v>178</v>
      </c>
      <c r="C386" s="1161">
        <f>SUMIF(C69:C100,"&gt;0")</f>
        <v>110</v>
      </c>
      <c r="D386" s="1161">
        <f>SUMIF(D69:D100,"&gt;0")</f>
        <v>110</v>
      </c>
      <c r="E386" s="1161">
        <f>SUMIF(E69:E100,"&gt;0")</f>
        <v>0</v>
      </c>
      <c r="F386" s="1161">
        <f>SUMIF(F69:F100,"&gt;0")</f>
        <v>0</v>
      </c>
    </row>
    <row r="387" spans="2:6">
      <c r="B387" s="1160" t="s">
        <v>179</v>
      </c>
      <c r="C387" s="1161">
        <f>SUMIF(C102:C132,"&gt;0")</f>
        <v>0</v>
      </c>
      <c r="D387" s="1161">
        <f>SUMIF(D102:D132,"&gt;0")</f>
        <v>0</v>
      </c>
      <c r="E387" s="1161">
        <f>SUMIF(E102:E132,"&gt;0")</f>
        <v>0</v>
      </c>
      <c r="F387" s="1161">
        <f>SUMIF(F102:F132,"&gt;0")</f>
        <v>0</v>
      </c>
    </row>
    <row r="388" spans="2:6">
      <c r="B388" s="1160" t="s">
        <v>180</v>
      </c>
      <c r="C388" s="1161">
        <f>SUMIF(C134:C165,"&gt;0")</f>
        <v>0</v>
      </c>
      <c r="D388" s="1161">
        <f>SUMIF(D134:D165,"&gt;0")</f>
        <v>0</v>
      </c>
      <c r="E388" s="1161">
        <f>SUMIF(E134:E165,"&gt;0")</f>
        <v>0</v>
      </c>
      <c r="F388" s="1161">
        <f>SUMIF(F134:F165,"&gt;0")</f>
        <v>0</v>
      </c>
    </row>
    <row r="389" spans="2:6">
      <c r="B389" s="1160" t="s">
        <v>182</v>
      </c>
      <c r="C389" s="1161">
        <f>SUMIF(C167:C197,"&gt;0")</f>
        <v>0</v>
      </c>
      <c r="D389" s="1161">
        <f>SUMIF(D167:D197,"&gt;0")</f>
        <v>0</v>
      </c>
      <c r="E389" s="1161">
        <f>SUMIF(E167:E197,"&gt;0")</f>
        <v>0</v>
      </c>
      <c r="F389" s="1161">
        <f>SUMIF(F167:F197,"&gt;0")</f>
        <v>0</v>
      </c>
    </row>
    <row r="390" spans="2:6">
      <c r="B390" s="1160" t="s">
        <v>183</v>
      </c>
      <c r="C390" s="1161">
        <f>SUMIF(C199:C230,"&gt;0")</f>
        <v>0</v>
      </c>
      <c r="D390" s="1161">
        <f>SUMIF(D199:D230,"&gt;0")</f>
        <v>0</v>
      </c>
      <c r="E390" s="1161">
        <f>SUMIF(E199:E230,"&gt;0")</f>
        <v>0</v>
      </c>
      <c r="F390" s="1161">
        <f>SUMIF(F199:F230,"&gt;0")</f>
        <v>0</v>
      </c>
    </row>
    <row r="391" spans="2:6">
      <c r="B391" s="1160" t="s">
        <v>184</v>
      </c>
      <c r="C391" s="1161">
        <f>SUMIF(C232:C263,"&gt;0")</f>
        <v>0</v>
      </c>
      <c r="D391" s="1161">
        <f>SUMIF(D232:D263,"&gt;0")</f>
        <v>0</v>
      </c>
      <c r="E391" s="1161">
        <f>SUMIF(E232:E263,"&gt;0")</f>
        <v>0</v>
      </c>
      <c r="F391" s="1161">
        <f>SUMIF(F232:F263,"&gt;0")</f>
        <v>0</v>
      </c>
    </row>
    <row r="392" spans="2:6">
      <c r="B392" s="1160" t="s">
        <v>185</v>
      </c>
      <c r="C392" s="1161">
        <f>SUMIF(C265:C295,"&gt;0")</f>
        <v>0</v>
      </c>
      <c r="D392" s="1161">
        <f>SUMIF(D265:D295,"&gt;0")</f>
        <v>0</v>
      </c>
      <c r="E392" s="1161">
        <f>SUMIF(E265:E295,"&gt;0")</f>
        <v>0</v>
      </c>
      <c r="F392" s="1161">
        <f>SUMIF(F265:F295,"&gt;0")</f>
        <v>0</v>
      </c>
    </row>
    <row r="393" spans="2:6">
      <c r="B393" s="1160" t="s">
        <v>186</v>
      </c>
      <c r="C393" s="1161">
        <f>SUMIF(C297:C328,"&gt;0")</f>
        <v>0</v>
      </c>
      <c r="D393" s="1161">
        <f>SUMIF(D297:D328,"&gt;0")</f>
        <v>0</v>
      </c>
      <c r="E393" s="1161">
        <f>SUMIF(E297:E328,"&gt;0")</f>
        <v>0</v>
      </c>
      <c r="F393" s="1161">
        <f>SUMIF(F297:F328,"&gt;0")</f>
        <v>0</v>
      </c>
    </row>
    <row r="394" spans="2:6">
      <c r="B394" s="1160" t="s">
        <v>187</v>
      </c>
      <c r="C394" s="1161">
        <f>SUMIF(C330:C360,"&gt;0")</f>
        <v>0</v>
      </c>
      <c r="D394" s="1161">
        <f>SUMIF(D330:D360,"&gt;0")</f>
        <v>0</v>
      </c>
      <c r="E394" s="1161">
        <f>SUMIF(E330:E360,"&gt;0")</f>
        <v>0</v>
      </c>
      <c r="F394" s="1161">
        <f>SUMIF(F330:F360,"&gt;0")</f>
        <v>0</v>
      </c>
    </row>
    <row r="395" spans="2:6" ht="15" thickBot="1">
      <c r="B395" s="1162" t="s">
        <v>188</v>
      </c>
      <c r="C395" s="1163">
        <f>SUMIF(C362:C382,"&gt;0")</f>
        <v>0</v>
      </c>
      <c r="D395" s="1163">
        <f>SUMIF(D362:D382,"&gt;0")</f>
        <v>0</v>
      </c>
      <c r="E395" s="1163">
        <f>SUMIF(E352:E382,"&gt;0")</f>
        <v>0</v>
      </c>
      <c r="F395" s="1163">
        <f>SUMIF(F362:F382,"&gt;0")</f>
        <v>0</v>
      </c>
    </row>
    <row r="396" spans="2:6" ht="15" thickBot="1">
      <c r="B396" s="1164" t="s">
        <v>230</v>
      </c>
      <c r="C396" s="1165">
        <f>SUM(C384:C395)</f>
        <v>110</v>
      </c>
      <c r="D396" s="1165">
        <f>SUM(D384:D395)</f>
        <v>110</v>
      </c>
      <c r="E396" s="1165">
        <f>SUM(E384:E395)</f>
        <v>0</v>
      </c>
      <c r="F396" s="1165">
        <f>SUM(F384:F395)</f>
        <v>0</v>
      </c>
    </row>
  </sheetData>
  <mergeCells count="1">
    <mergeCell ref="B5:F5"/>
  </mergeCells>
  <pageMargins left="0.7" right="0.7" top="0.75" bottom="0.75" header="0.3" footer="0.3"/>
  <pageSetup orientation="portrait" r:id="rId1"/>
  <ignoredErrors>
    <ignoredError sqref="E395"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
    <tabColor rgb="FFFFC000"/>
  </sheetPr>
  <dimension ref="B60:E89"/>
  <sheetViews>
    <sheetView showGridLines="0" topLeftCell="A46" zoomScale="70" zoomScaleNormal="70" zoomScaleSheetLayoutView="50" workbookViewId="0">
      <selection activeCell="X32" sqref="X32"/>
    </sheetView>
  </sheetViews>
  <sheetFormatPr baseColWidth="10" defaultRowHeight="14.4"/>
  <cols>
    <col min="1" max="1" width="5.44140625" customWidth="1"/>
    <col min="2" max="2" width="4.5546875" customWidth="1"/>
    <col min="12" max="12" width="7.44140625" customWidth="1"/>
  </cols>
  <sheetData>
    <row r="60" spans="2:5">
      <c r="B60" s="397"/>
      <c r="C60" s="399"/>
      <c r="D60" s="399"/>
      <c r="E60" s="399"/>
    </row>
    <row r="61" spans="2:5">
      <c r="B61" s="397"/>
      <c r="C61" s="399"/>
      <c r="D61" s="399"/>
      <c r="E61" s="399"/>
    </row>
    <row r="62" spans="2:5">
      <c r="B62" s="397"/>
      <c r="C62" s="399"/>
      <c r="D62" s="399"/>
      <c r="E62" s="399"/>
    </row>
    <row r="63" spans="2:5">
      <c r="B63" s="397"/>
      <c r="C63" s="399"/>
      <c r="D63" s="399"/>
      <c r="E63" s="399"/>
    </row>
    <row r="64" spans="2:5">
      <c r="B64" s="397"/>
      <c r="C64" s="399"/>
      <c r="D64" s="399"/>
      <c r="E64" s="399"/>
    </row>
    <row r="65" spans="2:5">
      <c r="B65" s="397"/>
      <c r="C65" s="399"/>
      <c r="D65" s="399"/>
      <c r="E65" s="399"/>
    </row>
    <row r="66" spans="2:5">
      <c r="B66" s="397"/>
      <c r="C66" s="399"/>
      <c r="D66" s="399"/>
      <c r="E66" s="399"/>
    </row>
    <row r="67" spans="2:5">
      <c r="B67" s="397"/>
      <c r="C67" s="399"/>
      <c r="D67" s="399"/>
      <c r="E67" s="399"/>
    </row>
    <row r="68" spans="2:5">
      <c r="B68" s="397"/>
      <c r="C68" s="399"/>
      <c r="D68" s="399"/>
      <c r="E68" s="399"/>
    </row>
    <row r="69" spans="2:5">
      <c r="B69" s="397"/>
      <c r="C69" s="399"/>
      <c r="D69" s="399"/>
      <c r="E69" s="399"/>
    </row>
    <row r="70" spans="2:5">
      <c r="B70" s="397"/>
      <c r="C70" s="399"/>
      <c r="D70" s="399"/>
      <c r="E70" s="399"/>
    </row>
    <row r="71" spans="2:5">
      <c r="B71" s="397"/>
      <c r="C71" s="399"/>
      <c r="D71" s="399"/>
      <c r="E71" s="399"/>
    </row>
    <row r="72" spans="2:5">
      <c r="B72" s="397"/>
      <c r="C72" s="399"/>
      <c r="D72" s="399"/>
      <c r="E72" s="399"/>
    </row>
    <row r="73" spans="2:5">
      <c r="B73" s="397"/>
      <c r="C73" s="399"/>
      <c r="D73" s="399"/>
      <c r="E73" s="399"/>
    </row>
    <row r="74" spans="2:5">
      <c r="B74" s="397"/>
      <c r="C74" s="399"/>
      <c r="D74" s="399"/>
      <c r="E74" s="399"/>
    </row>
    <row r="75" spans="2:5">
      <c r="B75" s="397"/>
      <c r="C75" s="399"/>
      <c r="D75" s="399"/>
      <c r="E75" s="399"/>
    </row>
    <row r="76" spans="2:5">
      <c r="B76" s="397"/>
      <c r="C76" s="399"/>
      <c r="D76" s="399"/>
      <c r="E76" s="399"/>
    </row>
    <row r="77" spans="2:5">
      <c r="B77" s="397"/>
      <c r="C77" s="399"/>
      <c r="D77" s="399"/>
      <c r="E77" s="399"/>
    </row>
    <row r="78" spans="2:5">
      <c r="B78" s="397"/>
      <c r="C78" s="399"/>
      <c r="D78" s="399"/>
      <c r="E78" s="399"/>
    </row>
    <row r="79" spans="2:5">
      <c r="B79" s="397"/>
      <c r="C79" s="399"/>
      <c r="D79" s="399"/>
      <c r="E79" s="399"/>
    </row>
    <row r="80" spans="2:5">
      <c r="B80" s="397"/>
      <c r="C80" s="399"/>
      <c r="D80" s="399"/>
      <c r="E80" s="399"/>
    </row>
    <row r="81" spans="2:5">
      <c r="B81" s="397"/>
      <c r="C81" s="399"/>
      <c r="D81" s="399"/>
      <c r="E81" s="399"/>
    </row>
    <row r="82" spans="2:5">
      <c r="B82" s="397"/>
      <c r="C82" s="399"/>
      <c r="D82" s="399"/>
      <c r="E82" s="399"/>
    </row>
    <row r="83" spans="2:5">
      <c r="B83" s="397"/>
      <c r="C83" s="399"/>
      <c r="D83" s="399"/>
      <c r="E83" s="399"/>
    </row>
    <row r="84" spans="2:5">
      <c r="B84" s="397"/>
      <c r="C84" s="399"/>
      <c r="D84" s="399"/>
      <c r="E84" s="399"/>
    </row>
    <row r="85" spans="2:5">
      <c r="B85" s="397"/>
      <c r="C85" s="399"/>
      <c r="D85" s="399"/>
      <c r="E85" s="399"/>
    </row>
    <row r="86" spans="2:5">
      <c r="B86" s="397"/>
      <c r="C86" s="399"/>
      <c r="D86" s="399"/>
      <c r="E86" s="399"/>
    </row>
    <row r="87" spans="2:5">
      <c r="B87" s="397"/>
      <c r="C87" s="399"/>
      <c r="D87" s="399"/>
      <c r="E87" s="399"/>
    </row>
    <row r="88" spans="2:5">
      <c r="B88" s="397"/>
      <c r="C88" s="399"/>
      <c r="D88" s="399"/>
      <c r="E88" s="399"/>
    </row>
    <row r="89" spans="2:5">
      <c r="B89" s="397"/>
      <c r="C89" s="399"/>
      <c r="D89" s="399"/>
      <c r="E89" s="399"/>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tabColor rgb="FFFF0000"/>
  </sheetPr>
  <dimension ref="B1:R438"/>
  <sheetViews>
    <sheetView showGridLines="0" topLeftCell="H1" zoomScale="80" zoomScaleNormal="80" workbookViewId="0">
      <pane ySplit="10" topLeftCell="A405" activePane="bottomLeft" state="frozen"/>
      <selection activeCell="B23" sqref="B23"/>
      <selection pane="bottomLeft" activeCell="P392" sqref="P392"/>
    </sheetView>
  </sheetViews>
  <sheetFormatPr baseColWidth="10" defaultColWidth="11.44140625" defaultRowHeight="14.4"/>
  <cols>
    <col min="1" max="1" width="1" customWidth="1"/>
    <col min="2" max="2" width="12.77734375" customWidth="1"/>
    <col min="3" max="3" width="13.5546875" customWidth="1"/>
    <col min="4" max="4" width="13.21875" customWidth="1"/>
    <col min="5" max="5" width="13.5546875" bestFit="1" customWidth="1"/>
    <col min="6" max="6" width="15.5546875" customWidth="1"/>
    <col min="7" max="7" width="13.44140625" customWidth="1"/>
    <col min="8" max="9" width="15.44140625" customWidth="1"/>
    <col min="10" max="10" width="17.21875" customWidth="1"/>
    <col min="11" max="11" width="14.44140625" bestFit="1" customWidth="1"/>
    <col min="12" max="12" width="11.44140625" customWidth="1"/>
    <col min="13" max="13" width="15.77734375" customWidth="1"/>
    <col min="14" max="14" width="18.21875" customWidth="1"/>
    <col min="15" max="15" width="15.88671875" bestFit="1" customWidth="1"/>
    <col min="16" max="16" width="13.44140625" customWidth="1"/>
    <col min="17" max="17" width="8.21875" style="88" bestFit="1" customWidth="1"/>
    <col min="18" max="22" width="11.44140625" customWidth="1"/>
    <col min="25" max="25" width="11.44140625" customWidth="1"/>
    <col min="28" max="28" width="11.44140625" customWidth="1"/>
  </cols>
  <sheetData>
    <row r="1" spans="2:18" ht="4.5" customHeight="1" thickBot="1"/>
    <row r="2" spans="2:18" ht="22.05" customHeight="1" thickTop="1">
      <c r="B2" s="2390"/>
      <c r="C2" s="2390"/>
      <c r="D2" s="2390"/>
      <c r="E2" s="2390"/>
      <c r="F2" s="2375" t="s">
        <v>1017</v>
      </c>
      <c r="G2" s="2376"/>
      <c r="H2" s="2376"/>
      <c r="I2" s="2376"/>
      <c r="J2" s="2376"/>
      <c r="K2" s="2376"/>
      <c r="L2" s="2376"/>
      <c r="M2" s="2376"/>
      <c r="N2" s="2376"/>
      <c r="O2" s="2377"/>
      <c r="P2" s="2375"/>
      <c r="Q2" s="2376"/>
      <c r="R2" s="2377"/>
    </row>
    <row r="3" spans="2:18" ht="14.55" customHeight="1">
      <c r="B3" s="2391"/>
      <c r="C3" s="2391"/>
      <c r="D3" s="2391"/>
      <c r="E3" s="2391"/>
      <c r="F3" s="2378"/>
      <c r="G3" s="2379"/>
      <c r="H3" s="2379"/>
      <c r="I3" s="2379"/>
      <c r="J3" s="2379"/>
      <c r="K3" s="2379"/>
      <c r="L3" s="2379"/>
      <c r="M3" s="2379"/>
      <c r="N3" s="2379"/>
      <c r="O3" s="2380"/>
      <c r="P3" s="2378"/>
      <c r="Q3" s="2379"/>
      <c r="R3" s="2380"/>
    </row>
    <row r="4" spans="2:18" ht="14.55" customHeight="1">
      <c r="B4" s="2391"/>
      <c r="C4" s="2391"/>
      <c r="D4" s="2391"/>
      <c r="E4" s="2391"/>
      <c r="F4" s="2378"/>
      <c r="G4" s="2379"/>
      <c r="H4" s="2379"/>
      <c r="I4" s="2379"/>
      <c r="J4" s="2379"/>
      <c r="K4" s="2379"/>
      <c r="L4" s="2379"/>
      <c r="M4" s="2379"/>
      <c r="N4" s="2379"/>
      <c r="O4" s="2380"/>
      <c r="P4" s="2378"/>
      <c r="Q4" s="2379"/>
      <c r="R4" s="2380"/>
    </row>
    <row r="5" spans="2:18" ht="15" customHeight="1" thickBot="1">
      <c r="B5" s="2392"/>
      <c r="C5" s="2392"/>
      <c r="D5" s="2392"/>
      <c r="E5" s="2392"/>
      <c r="F5" s="2381"/>
      <c r="G5" s="2382"/>
      <c r="H5" s="2382"/>
      <c r="I5" s="2382"/>
      <c r="J5" s="2382"/>
      <c r="K5" s="2382"/>
      <c r="L5" s="2382"/>
      <c r="M5" s="2382"/>
      <c r="N5" s="2382"/>
      <c r="O5" s="2383"/>
      <c r="P5" s="2381"/>
      <c r="Q5" s="2382"/>
      <c r="R5" s="2383"/>
    </row>
    <row r="6" spans="2:18" ht="22.2" thickTop="1" thickBot="1">
      <c r="C6" s="2387" t="s">
        <v>991</v>
      </c>
      <c r="D6" s="2388"/>
      <c r="E6" s="2388"/>
      <c r="F6" s="2388"/>
      <c r="G6" s="2388"/>
      <c r="H6" s="2388"/>
      <c r="I6" s="2388"/>
      <c r="J6" s="2388"/>
      <c r="K6" s="2388"/>
      <c r="L6" s="2388"/>
      <c r="M6" s="2388"/>
      <c r="N6" s="2388"/>
      <c r="O6" s="2389"/>
      <c r="P6" s="1690" t="s">
        <v>1085</v>
      </c>
    </row>
    <row r="7" spans="2:18" ht="42.45" customHeight="1" thickBot="1">
      <c r="C7" s="2384" t="s">
        <v>992</v>
      </c>
      <c r="D7" s="2385"/>
      <c r="E7" s="2385"/>
      <c r="F7" s="2385"/>
      <c r="G7" s="2385"/>
      <c r="H7" s="2385"/>
      <c r="I7" s="2385"/>
      <c r="J7" s="2385"/>
      <c r="K7" s="2385"/>
      <c r="L7" s="2385"/>
      <c r="M7" s="2385"/>
      <c r="N7" s="2385"/>
      <c r="O7" s="2386"/>
      <c r="P7" s="1659" t="s">
        <v>1086</v>
      </c>
      <c r="Q7" s="978" t="s">
        <v>1095</v>
      </c>
    </row>
    <row r="8" spans="2:18" ht="24">
      <c r="B8" s="2393" t="s">
        <v>400</v>
      </c>
      <c r="C8" s="2396" t="s">
        <v>1124</v>
      </c>
      <c r="D8" s="2397"/>
      <c r="E8" s="964" t="s">
        <v>202</v>
      </c>
      <c r="F8" s="964" t="s">
        <v>1128</v>
      </c>
      <c r="G8" s="964" t="s">
        <v>1125</v>
      </c>
      <c r="H8" s="964" t="s">
        <v>197</v>
      </c>
      <c r="I8" s="964" t="s">
        <v>199</v>
      </c>
      <c r="J8" s="964" t="s">
        <v>1126</v>
      </c>
      <c r="K8" s="964" t="s">
        <v>196</v>
      </c>
      <c r="L8" s="964" t="s">
        <v>200</v>
      </c>
      <c r="M8" s="1045" t="s">
        <v>1127</v>
      </c>
      <c r="N8" s="964" t="s">
        <v>164</v>
      </c>
      <c r="O8" s="964" t="s">
        <v>163</v>
      </c>
      <c r="P8" s="963" t="s">
        <v>1133</v>
      </c>
      <c r="Q8" s="963"/>
      <c r="R8" s="1027" t="s">
        <v>1235</v>
      </c>
    </row>
    <row r="9" spans="2:18" s="88" customFormat="1">
      <c r="B9" s="2394"/>
      <c r="C9" s="2398" t="s">
        <v>1063</v>
      </c>
      <c r="D9" s="2399"/>
      <c r="E9" s="1026" t="s">
        <v>998</v>
      </c>
      <c r="F9" s="1026" t="s">
        <v>1066</v>
      </c>
      <c r="G9" s="1026" t="s">
        <v>1068</v>
      </c>
      <c r="H9" s="1026" t="s">
        <v>1070</v>
      </c>
      <c r="I9" s="1026" t="s">
        <v>1072</v>
      </c>
      <c r="J9" s="1026" t="s">
        <v>1074</v>
      </c>
      <c r="K9" s="1026" t="s">
        <v>1076</v>
      </c>
      <c r="L9" s="1026" t="s">
        <v>1078</v>
      </c>
      <c r="M9" s="1046" t="s">
        <v>1080</v>
      </c>
      <c r="N9" s="1026" t="s">
        <v>995</v>
      </c>
      <c r="O9" s="1026" t="s">
        <v>1083</v>
      </c>
      <c r="P9" s="1026" t="s">
        <v>1132</v>
      </c>
      <c r="Q9" s="1026"/>
      <c r="R9" s="1026" t="s">
        <v>991</v>
      </c>
    </row>
    <row r="10" spans="2:18" s="1025" customFormat="1" ht="60">
      <c r="B10" s="2395"/>
      <c r="C10" s="1027" t="s">
        <v>1129</v>
      </c>
      <c r="D10" s="1027" t="s">
        <v>1130</v>
      </c>
      <c r="E10" s="1027" t="s">
        <v>1065</v>
      </c>
      <c r="F10" s="1027" t="s">
        <v>1067</v>
      </c>
      <c r="G10" s="1027" t="s">
        <v>1069</v>
      </c>
      <c r="H10" s="1027" t="s">
        <v>1071</v>
      </c>
      <c r="I10" s="1027" t="s">
        <v>1073</v>
      </c>
      <c r="J10" s="1027" t="s">
        <v>1075</v>
      </c>
      <c r="K10" s="1027" t="s">
        <v>1077</v>
      </c>
      <c r="L10" s="1027" t="s">
        <v>1079</v>
      </c>
      <c r="M10" s="1047" t="s">
        <v>1081</v>
      </c>
      <c r="N10" s="1027" t="s">
        <v>1082</v>
      </c>
      <c r="O10" s="1027" t="s">
        <v>1084</v>
      </c>
      <c r="P10" s="1027" t="s">
        <v>1003</v>
      </c>
      <c r="Q10" s="1027" t="s">
        <v>1095</v>
      </c>
      <c r="R10" s="1027" t="s">
        <v>1236</v>
      </c>
    </row>
    <row r="11" spans="2:18">
      <c r="B11" s="214">
        <v>44927</v>
      </c>
      <c r="C11" s="994">
        <f ca="1">DATOSAÑO!AJ11</f>
        <v>7.2299999999959255</v>
      </c>
      <c r="D11" s="1028">
        <f ca="1">DATOSAÑO!AK11</f>
        <v>14.880000000004657</v>
      </c>
      <c r="E11" s="1028">
        <f ca="1">DATOSAÑO!AD11</f>
        <v>157.19999999995343</v>
      </c>
      <c r="F11" s="994">
        <v>0</v>
      </c>
      <c r="G11" s="994">
        <v>0</v>
      </c>
      <c r="H11" s="1028">
        <f ca="1">DATOSAÑO!AI11</f>
        <v>41.92000000000553</v>
      </c>
      <c r="I11" s="1028">
        <f ca="1">DATOSAÑO!CJ11</f>
        <v>5.3489999999884938</v>
      </c>
      <c r="J11" s="994">
        <v>0</v>
      </c>
      <c r="K11" s="1028">
        <f ca="1">DATOSAÑO!AF11</f>
        <v>134.70000000001164</v>
      </c>
      <c r="L11" s="994">
        <f ca="1">+DATOSAÑO!CK11</f>
        <v>1.8588000000000111</v>
      </c>
      <c r="M11" s="994">
        <f>(VLOOKUP($B11,[8]DATOSAÑO!$B$12:$BS$376,37))</f>
        <v>0</v>
      </c>
      <c r="N11" s="994">
        <f ca="1">+DATOSAÑO!AH11</f>
        <v>8.0999999999985448</v>
      </c>
      <c r="O11" s="1028">
        <f ca="1">DATOSAÑO!AL11</f>
        <v>31.64999999997417</v>
      </c>
      <c r="P11" s="1029">
        <f ca="1">+(DATOSAÑO!BH11)+DATOSAÑO!BJ11</f>
        <v>1.407</v>
      </c>
      <c r="Q11" s="1028">
        <f ca="1">+DATOSAÑO!BQ11</f>
        <v>5.8000000000029104</v>
      </c>
      <c r="R11" s="1166">
        <f ca="1">DATOSAÑO!BS11+DATOSAÑO!BV11+DATOSAÑO!BY11+DATOSAÑO!CF11+DATOSAÑO!CL11</f>
        <v>21.892199999988208</v>
      </c>
    </row>
    <row r="12" spans="2:18">
      <c r="B12" s="214">
        <v>44928</v>
      </c>
      <c r="C12" s="994">
        <f ca="1">DATOSAÑO!AJ12</f>
        <v>7.3600000000005821</v>
      </c>
      <c r="D12" s="1028">
        <f ca="1">DATOSAÑO!AK12</f>
        <v>16.100000000005821</v>
      </c>
      <c r="E12" s="1028">
        <f ca="1">DATOSAÑO!AD12</f>
        <v>162.30000000004657</v>
      </c>
      <c r="F12" s="994">
        <v>0</v>
      </c>
      <c r="G12" s="994">
        <v>0</v>
      </c>
      <c r="H12" s="1028">
        <f ca="1">DATOSAÑO!AI12</f>
        <v>43.020000000004075</v>
      </c>
      <c r="I12" s="1028">
        <f ca="1">DATOSAÑO!CJ12</f>
        <v>3.8430000000173181</v>
      </c>
      <c r="J12" s="994">
        <v>0</v>
      </c>
      <c r="K12" s="1028">
        <f ca="1">DATOSAÑO!AF12</f>
        <v>142.09999999997672</v>
      </c>
      <c r="L12" s="994">
        <f ca="1">+DATOSAÑO!CK12</f>
        <v>2.7798000000001748</v>
      </c>
      <c r="M12" s="994">
        <f>(VLOOKUP($B12,[8]DATOSAÑO!$B$12:$BS$376,37))</f>
        <v>0</v>
      </c>
      <c r="N12" s="994">
        <f ca="1">+DATOSAÑO!AH12</f>
        <v>11.19999999999709</v>
      </c>
      <c r="O12" s="1028">
        <f ca="1">DATOSAÑO!AL12</f>
        <v>33.070000000027051</v>
      </c>
      <c r="P12" s="1029">
        <f ca="1">+(DATOSAÑO!BH12)+DATOSAÑO!BJ12</f>
        <v>1.4730000000000001</v>
      </c>
      <c r="Q12" s="1028">
        <f ca="1">+DATOSAÑO!BQ12</f>
        <v>5</v>
      </c>
      <c r="R12" s="1166">
        <f ca="1">DATOSAÑO!BS12+DATOSAÑO!BV12+DATOSAÑO!BY12+DATOSAÑO!CF12+DATOSAÑO!CL12</f>
        <v>20.977200000017433</v>
      </c>
    </row>
    <row r="13" spans="2:18">
      <c r="B13" s="214">
        <v>44929</v>
      </c>
      <c r="C13" s="994">
        <f ca="1">DATOSAÑO!AJ13</f>
        <v>6.680000000007567</v>
      </c>
      <c r="D13" s="1028">
        <f ca="1">DATOSAÑO!AK13</f>
        <v>15.649999999994179</v>
      </c>
      <c r="E13" s="1028">
        <f ca="1">DATOSAÑO!AD13</f>
        <v>162</v>
      </c>
      <c r="F13" s="994">
        <v>0</v>
      </c>
      <c r="G13" s="994">
        <v>0</v>
      </c>
      <c r="H13" s="1028">
        <f ca="1">DATOSAÑO!AI13</f>
        <v>43.669999999998254</v>
      </c>
      <c r="I13" s="1028">
        <f ca="1">DATOSAÑO!CJ13</f>
        <v>4.0700000000064058</v>
      </c>
      <c r="J13" s="994">
        <v>0</v>
      </c>
      <c r="K13" s="1028">
        <f ca="1">DATOSAÑO!AF13</f>
        <v>148.90000000002328</v>
      </c>
      <c r="L13" s="994">
        <f ca="1">+DATOSAÑO!CK13</f>
        <v>2.3867999999997775</v>
      </c>
      <c r="M13" s="994">
        <f>(VLOOKUP($B13,[8]DATOSAÑO!$B$12:$BS$376,37))</f>
        <v>0</v>
      </c>
      <c r="N13" s="994">
        <f ca="1">+DATOSAÑO!AH13</f>
        <v>8.7000000000043656</v>
      </c>
      <c r="O13" s="1028">
        <f ca="1">DATOSAÑO!AL13</f>
        <v>33.465999999889561</v>
      </c>
      <c r="P13" s="1029">
        <f ca="1">+(DATOSAÑO!BH13)+DATOSAÑO!BJ13</f>
        <v>1.44</v>
      </c>
      <c r="Q13" s="1028">
        <f ca="1">+DATOSAÑO!BQ13</f>
        <v>5</v>
      </c>
      <c r="R13" s="1166">
        <f ca="1">DATOSAÑO!BS13+DATOSAÑO!BV13+DATOSAÑO!BY13+DATOSAÑO!CF13+DATOSAÑO!CL13</f>
        <v>22.04320000000655</v>
      </c>
    </row>
    <row r="14" spans="2:18">
      <c r="B14" s="214">
        <v>44930</v>
      </c>
      <c r="C14" s="994">
        <f ca="1">DATOSAÑO!AJ14</f>
        <v>8.9099999999889405</v>
      </c>
      <c r="D14" s="1028">
        <f ca="1">DATOSAÑO!AK14</f>
        <v>16.309999999997672</v>
      </c>
      <c r="E14" s="1028">
        <f ca="1">DATOSAÑO!AD14</f>
        <v>162</v>
      </c>
      <c r="F14" s="994">
        <v>0</v>
      </c>
      <c r="G14" s="994">
        <v>0</v>
      </c>
      <c r="H14" s="1028">
        <f ca="1">DATOSAÑO!AI14</f>
        <v>45.089999999996508</v>
      </c>
      <c r="I14" s="1028">
        <f ca="1">DATOSAÑO!CJ14</f>
        <v>3.6829999999932337</v>
      </c>
      <c r="J14" s="994">
        <v>0</v>
      </c>
      <c r="K14" s="1028">
        <f ca="1">DATOSAÑO!AF14</f>
        <v>142.59999999997672</v>
      </c>
      <c r="L14" s="994">
        <f ca="1">+DATOSAÑO!CK14</f>
        <v>2.3334000000003492</v>
      </c>
      <c r="M14" s="994">
        <f>(VLOOKUP($B14,[8]DATOSAÑO!$B$12:$BS$376,37))</f>
        <v>0</v>
      </c>
      <c r="N14" s="994">
        <f ca="1">+DATOSAÑO!AH14</f>
        <v>13.19999999999709</v>
      </c>
      <c r="O14" s="1028">
        <f ca="1">DATOSAÑO!AL14</f>
        <v>33.270000000080472</v>
      </c>
      <c r="P14" s="1029">
        <f ca="1">+(DATOSAÑO!BH14)+DATOSAÑO!BJ14</f>
        <v>1.538</v>
      </c>
      <c r="Q14" s="1028">
        <f ca="1">+DATOSAÑO!BQ14</f>
        <v>4.5999999999985448</v>
      </c>
      <c r="R14" s="1166">
        <f ca="1">DATOSAÑO!BS14+DATOSAÑO!BV14+DATOSAÑO!BY14+DATOSAÑO!CF14+DATOSAÑO!CL14</f>
        <v>20.883599999993322</v>
      </c>
    </row>
    <row r="15" spans="2:18">
      <c r="B15" s="214">
        <v>44931</v>
      </c>
      <c r="C15" s="994">
        <f ca="1">DATOSAÑO!AJ15</f>
        <v>10.660000000003492</v>
      </c>
      <c r="D15" s="1028">
        <f ca="1">DATOSAÑO!AK15</f>
        <v>14.799999999988358</v>
      </c>
      <c r="E15" s="1028">
        <f ca="1">DATOSAÑO!AD15</f>
        <v>161.90000000002328</v>
      </c>
      <c r="F15" s="994">
        <v>0</v>
      </c>
      <c r="G15" s="994">
        <v>0</v>
      </c>
      <c r="H15" s="1028">
        <f ca="1">DATOSAÑO!AI15</f>
        <v>46.279999999998836</v>
      </c>
      <c r="I15" s="1028">
        <f ca="1">DATOSAÑO!CJ15</f>
        <v>1.9430000000121779</v>
      </c>
      <c r="J15" s="994">
        <v>0</v>
      </c>
      <c r="K15" s="1028">
        <f ca="1">DATOSAÑO!AF15</f>
        <v>149.70000000001164</v>
      </c>
      <c r="L15" s="994">
        <f ca="1">+DATOSAÑO!CK15</f>
        <v>2.1857999999999018</v>
      </c>
      <c r="M15" s="994">
        <f>(VLOOKUP($B15,[8]DATOSAÑO!$B$12:$BS$376,37))</f>
        <v>0</v>
      </c>
      <c r="N15" s="994">
        <f ca="1">+DATOSAÑO!AH15</f>
        <v>4.4000000000014552</v>
      </c>
      <c r="O15" s="1028">
        <f ca="1">DATOSAÑO!AL15</f>
        <v>35.15999999994915</v>
      </c>
      <c r="P15" s="1029">
        <f ca="1">+(DATOSAÑO!BH15)+DATOSAÑO!BJ15</f>
        <v>1.4319999999999999</v>
      </c>
      <c r="Q15" s="1028">
        <f ca="1">+DATOSAÑO!BQ15</f>
        <v>5.4000000000014552</v>
      </c>
      <c r="R15" s="1166">
        <f ca="1">DATOSAÑO!BS15+DATOSAÑO!BV15+DATOSAÑO!BY15+DATOSAÑO!CF15+DATOSAÑO!CL15</f>
        <v>20.971200000011933</v>
      </c>
    </row>
    <row r="16" spans="2:18">
      <c r="B16" s="214">
        <v>44932</v>
      </c>
      <c r="C16" s="994">
        <f ca="1">DATOSAÑO!AJ16</f>
        <v>10.5</v>
      </c>
      <c r="D16" s="1028">
        <f ca="1">DATOSAÑO!AK16</f>
        <v>15</v>
      </c>
      <c r="E16" s="1028">
        <f ca="1">DATOSAÑO!AD16</f>
        <v>165.29999999993015</v>
      </c>
      <c r="F16" s="994">
        <v>0</v>
      </c>
      <c r="G16" s="994">
        <v>0</v>
      </c>
      <c r="H16" s="1028">
        <f ca="1">DATOSAÑO!AI16</f>
        <v>38.200000000004366</v>
      </c>
      <c r="I16" s="1028">
        <f ca="1">DATOSAÑO!CJ16</f>
        <v>3.0924999999885401</v>
      </c>
      <c r="J16" s="994">
        <v>0</v>
      </c>
      <c r="K16" s="1028">
        <f ca="1">DATOSAÑO!AF16</f>
        <v>25.5</v>
      </c>
      <c r="L16" s="994">
        <f ca="1">+DATOSAÑO!CK16</f>
        <v>1.6583999999998909</v>
      </c>
      <c r="M16" s="994">
        <f>(VLOOKUP($B16,[8]DATOSAÑO!$B$12:$BS$376,37))</f>
        <v>0</v>
      </c>
      <c r="N16" s="994">
        <f ca="1">+DATOSAÑO!AH16</f>
        <v>10.599999999998545</v>
      </c>
      <c r="O16" s="1028">
        <f ca="1">DATOSAÑO!AL16</f>
        <v>33.200000000135333</v>
      </c>
      <c r="P16" s="1029">
        <f ca="1">+(DATOSAÑO!BH16)+DATOSAÑO!BJ16</f>
        <v>1.5149999999999999</v>
      </c>
      <c r="Q16" s="1028">
        <f ca="1">+DATOSAÑO!BQ16</f>
        <v>5.6999999999970896</v>
      </c>
      <c r="R16" s="1166">
        <f ca="1">DATOSAÑO!BS16+DATOSAÑO!BV16+DATOSAÑO!BY16+DATOSAÑO!CF16+DATOSAÑO!CL16</f>
        <v>18.44909999998865</v>
      </c>
    </row>
    <row r="17" spans="2:18">
      <c r="B17" s="214">
        <v>44933</v>
      </c>
      <c r="C17" s="994">
        <f ca="1">DATOSAÑO!AJ17</f>
        <v>11</v>
      </c>
      <c r="D17" s="1028">
        <f ca="1">DATOSAÑO!AK17</f>
        <v>14.899999999994179</v>
      </c>
      <c r="E17" s="1028">
        <f ca="1">DATOSAÑO!AD17</f>
        <v>166.90000000002328</v>
      </c>
      <c r="F17" s="994">
        <v>0</v>
      </c>
      <c r="G17" s="994">
        <v>0</v>
      </c>
      <c r="H17" s="1028">
        <f ca="1">DATOSAÑO!AI17</f>
        <v>29.80000000000291</v>
      </c>
      <c r="I17" s="1028">
        <f ca="1">DATOSAÑO!CJ17</f>
        <v>2.2469999999818953</v>
      </c>
      <c r="J17" s="994">
        <v>0</v>
      </c>
      <c r="K17" s="1028">
        <f ca="1">DATOSAÑO!AF17</f>
        <v>95.200000000011642</v>
      </c>
      <c r="L17" s="994">
        <f ca="1">+DATOSAÑO!CK17</f>
        <v>1.5798000000000061</v>
      </c>
      <c r="M17" s="994">
        <f>(VLOOKUP($B17,[8]DATOSAÑO!$B$12:$BS$376,37))</f>
        <v>0</v>
      </c>
      <c r="N17" s="994">
        <f ca="1">+DATOSAÑO!AH17</f>
        <v>5.5</v>
      </c>
      <c r="O17" s="1028">
        <f ca="1">DATOSAÑO!AL17</f>
        <v>32.217999999911626</v>
      </c>
      <c r="P17" s="1029">
        <f ca="1">+(DATOSAÑO!BH17)+DATOSAÑO!BJ17</f>
        <v>1.46</v>
      </c>
      <c r="Q17" s="1028">
        <f ca="1">+DATOSAÑO!BQ17</f>
        <v>5.2000000000043656</v>
      </c>
      <c r="R17" s="1166">
        <f ca="1">DATOSAÑO!BS17+DATOSAÑO!BV17+DATOSAÑO!BY17+DATOSAÑO!CF17+DATOSAÑO!CL17</f>
        <v>12.773199999982081</v>
      </c>
    </row>
    <row r="18" spans="2:18">
      <c r="B18" s="214">
        <v>44934</v>
      </c>
      <c r="C18" s="994">
        <f ca="1">DATOSAÑO!AJ18</f>
        <v>7.9000000000087311</v>
      </c>
      <c r="D18" s="1028">
        <f ca="1">DATOSAÑO!AK18</f>
        <v>15.5</v>
      </c>
      <c r="E18" s="1028">
        <f ca="1">DATOSAÑO!AD18</f>
        <v>165.90000000002328</v>
      </c>
      <c r="F18" s="994">
        <v>0</v>
      </c>
      <c r="G18" s="994">
        <v>0</v>
      </c>
      <c r="H18" s="1028">
        <f ca="1">DATOSAÑO!AI18</f>
        <v>31.19999999999709</v>
      </c>
      <c r="I18" s="1028">
        <f ca="1">DATOSAÑO!CJ18</f>
        <v>4.2435000000300134</v>
      </c>
      <c r="J18" s="994">
        <v>0</v>
      </c>
      <c r="K18" s="1028">
        <f ca="1">DATOSAÑO!AF18</f>
        <v>146.09999999997672</v>
      </c>
      <c r="L18" s="994">
        <f ca="1">+DATOSAÑO!CK18</f>
        <v>2.0597999999997816</v>
      </c>
      <c r="M18" s="994">
        <f>(VLOOKUP($B18,[8]DATOSAÑO!$B$12:$BS$376,37))</f>
        <v>0</v>
      </c>
      <c r="N18" s="994">
        <f ca="1">+DATOSAÑO!AH18</f>
        <v>14.30000000000291</v>
      </c>
      <c r="O18" s="1028">
        <f ca="1">DATOSAÑO!AL18</f>
        <v>32.099999999954946</v>
      </c>
      <c r="P18" s="1029">
        <f ca="1">+(DATOSAÑO!BH18)+DATOSAÑO!BJ18</f>
        <v>1.5760000000000001</v>
      </c>
      <c r="Q18" s="1028">
        <f ca="1">+DATOSAÑO!BQ18</f>
        <v>4.5</v>
      </c>
      <c r="R18" s="1166">
        <f ca="1">DATOSAÑO!BS18+DATOSAÑO!BV18+DATOSAÑO!BY18+DATOSAÑO!CF18+DATOSAÑO!CL18</f>
        <v>21.496700000029506</v>
      </c>
    </row>
    <row r="19" spans="2:18">
      <c r="B19" s="214">
        <v>44935</v>
      </c>
      <c r="C19" s="994">
        <f ca="1">DATOSAÑO!AJ19</f>
        <v>7.7999999999883585</v>
      </c>
      <c r="D19" s="1028">
        <f ca="1">DATOSAÑO!AK19</f>
        <v>15.800000000017462</v>
      </c>
      <c r="E19" s="1028">
        <f ca="1">DATOSAÑO!AD19</f>
        <v>159.59999999997672</v>
      </c>
      <c r="F19" s="994">
        <v>0</v>
      </c>
      <c r="G19" s="994">
        <v>0</v>
      </c>
      <c r="H19" s="1028">
        <f ca="1">DATOSAÑO!AI19</f>
        <v>31.999999999992724</v>
      </c>
      <c r="I19" s="1028">
        <f ca="1">DATOSAÑO!CJ19</f>
        <v>4.0024999999823097</v>
      </c>
      <c r="J19" s="994">
        <v>0</v>
      </c>
      <c r="K19" s="1028">
        <f ca="1">DATOSAÑO!AF19</f>
        <v>139.60000000003492</v>
      </c>
      <c r="L19" s="994">
        <f ca="1">+DATOSAÑO!CK19</f>
        <v>2.081400000000273</v>
      </c>
      <c r="M19" s="994">
        <f>(VLOOKUP($B19,[8]DATOSAÑO!$B$12:$BS$376,37))</f>
        <v>0</v>
      </c>
      <c r="N19" s="994">
        <f ca="1">+DATOSAÑO!AH19</f>
        <v>15.399999999994179</v>
      </c>
      <c r="O19" s="1028">
        <f ca="1">DATOSAÑO!AL19</f>
        <v>37.406000000075608</v>
      </c>
      <c r="P19" s="1029">
        <f ca="1">+(DATOSAÑO!BH19)+DATOSAÑO!BJ19</f>
        <v>1.5129999999999999</v>
      </c>
      <c r="Q19" s="1028">
        <f ca="1">+DATOSAÑO!BQ19</f>
        <v>4.9000000000014552</v>
      </c>
      <c r="R19" s="1166">
        <f ca="1">DATOSAÑO!BS19+DATOSAÑO!BV19+DATOSAÑO!BY19+DATOSAÑO!CF19+DATOSAÑO!CL19</f>
        <v>22.316099999982491</v>
      </c>
    </row>
    <row r="20" spans="2:18">
      <c r="B20" s="214">
        <v>44936</v>
      </c>
      <c r="C20" s="994">
        <f ca="1">DATOSAÑO!AJ20</f>
        <v>7.4000000000087311</v>
      </c>
      <c r="D20" s="1028">
        <f ca="1">DATOSAÑO!AK20</f>
        <v>14.399999999994179</v>
      </c>
      <c r="E20" s="1028">
        <f ca="1">DATOSAÑO!AD20</f>
        <v>161.30000000004657</v>
      </c>
      <c r="F20" s="994">
        <v>0</v>
      </c>
      <c r="G20" s="994">
        <v>0</v>
      </c>
      <c r="H20" s="1028">
        <f ca="1">DATOSAÑO!AI20</f>
        <v>39.300000000010186</v>
      </c>
      <c r="I20" s="1028">
        <f ca="1">DATOSAÑO!CJ20</f>
        <v>4.0310000000053652</v>
      </c>
      <c r="J20" s="994">
        <v>0</v>
      </c>
      <c r="K20" s="1028">
        <f ca="1">DATOSAÑO!AF20</f>
        <v>138.19999999995343</v>
      </c>
      <c r="L20" s="994">
        <f ca="1">+DATOSAÑO!CK20</f>
        <v>1.8899999999998909</v>
      </c>
      <c r="M20" s="994">
        <f>(VLOOKUP($B20,[8]DATOSAÑO!$B$12:$BS$376,37))</f>
        <v>0</v>
      </c>
      <c r="N20" s="994">
        <f ca="1">+DATOSAÑO!AH20</f>
        <v>8.9000000000014552</v>
      </c>
      <c r="O20" s="1028">
        <f ca="1">DATOSAÑO!AL20</f>
        <v>32.399999999954218</v>
      </c>
      <c r="P20" s="1029">
        <f ca="1">+(DATOSAÑO!BH20)+DATOSAÑO!BJ20</f>
        <v>1.532</v>
      </c>
      <c r="Q20" s="1028">
        <f ca="1">+DATOSAÑO!BQ20</f>
        <v>5.3999999999941792</v>
      </c>
      <c r="R20" s="1166">
        <f ca="1">DATOSAÑO!BS20+DATOSAÑO!BV20+DATOSAÑO!BY20+DATOSAÑO!CF20+DATOSAÑO!CL20</f>
        <v>22.079000000005657</v>
      </c>
    </row>
    <row r="21" spans="2:18">
      <c r="B21" s="214">
        <v>44937</v>
      </c>
      <c r="C21" s="994">
        <f ca="1">DATOSAÑO!AJ21</f>
        <v>7.8999999999941792</v>
      </c>
      <c r="D21" s="1028">
        <f ca="1">DATOSAÑO!AK21</f>
        <v>13.899999999994179</v>
      </c>
      <c r="E21" s="1028">
        <f ca="1">DATOSAÑO!AD21</f>
        <v>162.59999999997672</v>
      </c>
      <c r="F21" s="994">
        <v>0</v>
      </c>
      <c r="G21" s="994">
        <v>0</v>
      </c>
      <c r="H21" s="1028">
        <f ca="1">DATOSAÑO!AI21</f>
        <v>43.799999999995634</v>
      </c>
      <c r="I21" s="1028">
        <f ca="1">DATOSAÑO!CJ21</f>
        <v>4.9275000000000917</v>
      </c>
      <c r="J21" s="994">
        <v>0</v>
      </c>
      <c r="K21" s="1028">
        <f ca="1">DATOSAÑO!AF21</f>
        <v>138.80000000004657</v>
      </c>
      <c r="L21" s="994">
        <f ca="1">+DATOSAÑO!CK21</f>
        <v>1.3584000000001091</v>
      </c>
      <c r="M21" s="994">
        <f>(VLOOKUP($B21,[8]DATOSAÑO!$B$12:$BS$376,37))</f>
        <v>0</v>
      </c>
      <c r="N21" s="994">
        <f ca="1">+DATOSAÑO!AH21</f>
        <v>5.4000000000014552</v>
      </c>
      <c r="O21" s="1028">
        <f ca="1">DATOSAÑO!AL21</f>
        <v>30.699999999988052</v>
      </c>
      <c r="P21" s="1029">
        <f ca="1">+(DATOSAÑO!BH21)+DATOSAÑO!BJ21</f>
        <v>1.518</v>
      </c>
      <c r="Q21" s="1028">
        <f ca="1">+DATOSAÑO!BQ21</f>
        <v>5.5</v>
      </c>
      <c r="R21" s="1166">
        <f ca="1">DATOSAÑO!BS21+DATOSAÑO!BV21+DATOSAÑO!BY21+DATOSAÑO!CF21+DATOSAÑO!CL21</f>
        <v>22.814100000000163</v>
      </c>
    </row>
    <row r="22" spans="2:18">
      <c r="B22" s="214">
        <v>44938</v>
      </c>
      <c r="C22" s="994">
        <f ca="1">DATOSAÑO!AJ22</f>
        <v>7.8000000000029104</v>
      </c>
      <c r="D22" s="1028">
        <f ca="1">DATOSAÑO!AK22</f>
        <v>15.100000000005821</v>
      </c>
      <c r="E22" s="1028">
        <f ca="1">DATOSAÑO!AD22</f>
        <v>169.59999999997672</v>
      </c>
      <c r="F22" s="994">
        <v>0</v>
      </c>
      <c r="G22" s="994">
        <v>0</v>
      </c>
      <c r="H22" s="1028">
        <f ca="1">DATOSAÑO!AI22</f>
        <v>42.69999999999709</v>
      </c>
      <c r="I22" s="1028">
        <f ca="1">DATOSAÑO!CJ22</f>
        <v>5.3650000000004603</v>
      </c>
      <c r="J22" s="994">
        <v>0</v>
      </c>
      <c r="K22" s="1028">
        <f ca="1">DATOSAÑO!AF22</f>
        <v>137.59999999997672</v>
      </c>
      <c r="L22" s="994">
        <f ca="1">+DATOSAÑO!CK22</f>
        <v>1.4873999999999952</v>
      </c>
      <c r="M22" s="994">
        <f>(VLOOKUP($B22,[8]DATOSAÑO!$B$12:$BS$376,37))</f>
        <v>0</v>
      </c>
      <c r="N22" s="994">
        <f ca="1">+DATOSAÑO!AH22</f>
        <v>9.1999999999970896</v>
      </c>
      <c r="O22" s="1028">
        <f ca="1">DATOSAÑO!AL22</f>
        <v>39.800000000044747</v>
      </c>
      <c r="P22" s="1029">
        <f ca="1">+(DATOSAÑO!BH22)+DATOSAÑO!BJ22</f>
        <v>1.4</v>
      </c>
      <c r="Q22" s="1028">
        <f ca="1">+DATOSAÑO!BQ22</f>
        <v>5.8000000000029104</v>
      </c>
      <c r="R22" s="1166">
        <f ca="1">DATOSAÑO!BS22+DATOSAÑO!BV22+DATOSAÑO!BY22+DATOSAÑO!CF22+DATOSAÑO!CL22</f>
        <v>23.747599999999913</v>
      </c>
    </row>
    <row r="23" spans="2:18">
      <c r="B23" s="214">
        <v>44939</v>
      </c>
      <c r="C23" s="994">
        <f ca="1">DATOSAÑO!AJ23</f>
        <v>8.5</v>
      </c>
      <c r="D23" s="1028">
        <f ca="1">DATOSAÑO!AK23</f>
        <v>16.5</v>
      </c>
      <c r="E23" s="1028">
        <f ca="1">DATOSAÑO!AD23</f>
        <v>167</v>
      </c>
      <c r="F23" s="994">
        <v>0</v>
      </c>
      <c r="G23" s="994">
        <v>0</v>
      </c>
      <c r="H23" s="1028">
        <f ca="1">DATOSAÑO!AI23</f>
        <v>41.700000000004366</v>
      </c>
      <c r="I23" s="1028">
        <f ca="1">DATOSAÑO!CJ23</f>
        <v>4.9754999999996761</v>
      </c>
      <c r="J23" s="994">
        <v>0</v>
      </c>
      <c r="K23" s="1028">
        <f ca="1">DATOSAÑO!AF23</f>
        <v>143</v>
      </c>
      <c r="L23" s="994">
        <f ca="1">+DATOSAÑO!CK23</f>
        <v>1.5828000000001634</v>
      </c>
      <c r="M23" s="994">
        <f>(VLOOKUP($B23,[8]DATOSAÑO!$B$12:$BS$376,37))</f>
        <v>0</v>
      </c>
      <c r="N23" s="994">
        <f ca="1">+DATOSAÑO!AH23</f>
        <v>16.5</v>
      </c>
      <c r="O23" s="1028">
        <f ca="1">DATOSAÑO!AL23</f>
        <v>31.399999999995998</v>
      </c>
      <c r="P23" s="1029">
        <f ca="1">+(DATOSAÑO!BH23)+DATOSAÑO!BJ23</f>
        <v>1.478</v>
      </c>
      <c r="Q23" s="1028">
        <f ca="1">+DATOSAÑO!BQ23</f>
        <v>5</v>
      </c>
      <c r="R23" s="1166">
        <f ca="1">DATOSAÑO!BS23+DATOSAÑO!BV23+DATOSAÑO!BY23+DATOSAÑO!CF23+DATOSAÑO!CL23</f>
        <v>22.841699999999786</v>
      </c>
    </row>
    <row r="24" spans="2:18">
      <c r="B24" s="214">
        <v>44940</v>
      </c>
      <c r="C24" s="994">
        <f ca="1">DATOSAÑO!AJ24</f>
        <v>8.8999999999941792</v>
      </c>
      <c r="D24" s="1028">
        <f ca="1">DATOSAÑO!AK24</f>
        <v>14.700000000011642</v>
      </c>
      <c r="E24" s="1028">
        <f ca="1">DATOSAÑO!AD24</f>
        <v>168</v>
      </c>
      <c r="F24" s="994">
        <v>0</v>
      </c>
      <c r="G24" s="994">
        <v>0</v>
      </c>
      <c r="H24" s="1028">
        <f ca="1">DATOSAÑO!AI24</f>
        <v>45.599999999998545</v>
      </c>
      <c r="I24" s="1028">
        <f ca="1">DATOSAÑO!CJ24</f>
        <v>4.7780000000002794</v>
      </c>
      <c r="J24" s="994">
        <v>0</v>
      </c>
      <c r="K24" s="1028">
        <f ca="1">DATOSAÑO!AF24</f>
        <v>143</v>
      </c>
      <c r="L24" s="994">
        <f ca="1">+DATOSAÑO!CK24</f>
        <v>1.6523999999995633</v>
      </c>
      <c r="M24" s="994">
        <f>(VLOOKUP($B24,[8]DATOSAÑO!$B$12:$BS$376,37))</f>
        <v>0</v>
      </c>
      <c r="N24" s="994">
        <f ca="1">+DATOSAÑO!AH24</f>
        <v>5</v>
      </c>
      <c r="O24" s="1028">
        <f ca="1">DATOSAÑO!AL24</f>
        <v>33.799999999995578</v>
      </c>
      <c r="P24" s="1029">
        <f ca="1">+(DATOSAÑO!BH24)+DATOSAÑO!BJ24</f>
        <v>1.506</v>
      </c>
      <c r="Q24" s="1028">
        <f ca="1">+DATOSAÑO!BQ24</f>
        <v>5</v>
      </c>
      <c r="R24" s="1166">
        <f ca="1">DATOSAÑO!BS24+DATOSAÑO!BV24+DATOSAÑO!BY24+DATOSAÑO!CF24+DATOSAÑO!CL24</f>
        <v>22.569600000000172</v>
      </c>
    </row>
    <row r="25" spans="2:18">
      <c r="B25" s="214">
        <v>44941</v>
      </c>
      <c r="C25" s="994">
        <f ca="1">DATOSAÑO!AJ25</f>
        <v>8.2000000000116415</v>
      </c>
      <c r="D25" s="1028">
        <f ca="1">DATOSAÑO!AK25</f>
        <v>15.5</v>
      </c>
      <c r="E25" s="1028">
        <f ca="1">DATOSAÑO!AD25</f>
        <v>166</v>
      </c>
      <c r="F25" s="994">
        <v>0</v>
      </c>
      <c r="G25" s="994">
        <v>0</v>
      </c>
      <c r="H25" s="1028">
        <f ca="1">DATOSAÑO!AI25</f>
        <v>46.900000000001455</v>
      </c>
      <c r="I25" s="1028">
        <f ca="1">DATOSAÑO!CJ25</f>
        <v>5.1620000000002273</v>
      </c>
      <c r="J25" s="994">
        <v>0</v>
      </c>
      <c r="K25" s="1028">
        <f ca="1">DATOSAÑO!AF25</f>
        <v>138</v>
      </c>
      <c r="L25" s="994">
        <f ca="1">+DATOSAÑO!CK25</f>
        <v>1.7148000000000547</v>
      </c>
      <c r="M25" s="994">
        <f>(VLOOKUP($B25,[8]DATOSAÑO!$B$12:$BS$376,37))</f>
        <v>0</v>
      </c>
      <c r="N25" s="994">
        <f ca="1">+DATOSAÑO!AH25</f>
        <v>12.80000000000291</v>
      </c>
      <c r="O25" s="1028">
        <f ca="1">DATOSAÑO!AL25</f>
        <v>32.999999999983686</v>
      </c>
      <c r="P25" s="1029">
        <f ca="1">+(DATOSAÑO!BH25)+DATOSAÑO!BJ25</f>
        <v>1.359</v>
      </c>
      <c r="Q25" s="1028">
        <f ca="1">+DATOSAÑO!BQ25</f>
        <v>6</v>
      </c>
      <c r="R25" s="1166">
        <f ca="1">DATOSAÑO!BS25+DATOSAÑO!BV25+DATOSAÑO!BY25+DATOSAÑO!CF25+DATOSAÑO!CL25</f>
        <v>22.723200000000084</v>
      </c>
    </row>
    <row r="26" spans="2:18">
      <c r="B26" s="214">
        <v>44942</v>
      </c>
      <c r="C26" s="994">
        <f ca="1">DATOSAÑO!AJ26</f>
        <v>8.3999999999941792</v>
      </c>
      <c r="D26" s="1028">
        <f ca="1">DATOSAÑO!AK26</f>
        <v>15.399999999994179</v>
      </c>
      <c r="E26" s="1028">
        <f ca="1">DATOSAÑO!AD26</f>
        <v>165</v>
      </c>
      <c r="F26" s="994">
        <v>0</v>
      </c>
      <c r="G26" s="994">
        <v>0</v>
      </c>
      <c r="H26" s="1028">
        <f ca="1">DATOSAÑO!AI26</f>
        <v>45.099999999998545</v>
      </c>
      <c r="I26" s="1028">
        <f ca="1">DATOSAÑO!CJ26</f>
        <v>4.842999999999499</v>
      </c>
      <c r="J26" s="994">
        <v>0</v>
      </c>
      <c r="K26" s="1028">
        <f ca="1">DATOSAÑO!AF26</f>
        <v>144</v>
      </c>
      <c r="L26" s="994">
        <f ca="1">+DATOSAÑO!CK26</f>
        <v>1.7064000000000545</v>
      </c>
      <c r="M26" s="994">
        <f>(VLOOKUP($B26,[8]DATOSAÑO!$B$12:$BS$376,37))</f>
        <v>0</v>
      </c>
      <c r="N26" s="994">
        <f ca="1">+DATOSAÑO!AH26</f>
        <v>12</v>
      </c>
      <c r="O26" s="1028">
        <f ca="1">DATOSAÑO!AL26</f>
        <v>36.331000000014342</v>
      </c>
      <c r="P26" s="1029">
        <f ca="1">+(DATOSAÑO!BH26)+DATOSAÑO!BJ26</f>
        <v>1.468</v>
      </c>
      <c r="Q26" s="1028">
        <f ca="1">+DATOSAÑO!BQ26</f>
        <v>5</v>
      </c>
      <c r="R26" s="1166">
        <f ca="1">DATOSAÑO!BS26+DATOSAÑO!BV26+DATOSAÑO!BY26+DATOSAÑO!CF26+DATOSAÑO!CL26</f>
        <v>22.150599999999354</v>
      </c>
    </row>
    <row r="27" spans="2:18">
      <c r="B27" s="214">
        <v>44943</v>
      </c>
      <c r="C27" s="994">
        <f ca="1">DATOSAÑO!AJ27</f>
        <v>9.3999999999941792</v>
      </c>
      <c r="D27" s="1028">
        <f ca="1">DATOSAÑO!AK27</f>
        <v>14.100000000005821</v>
      </c>
      <c r="E27" s="1028">
        <f ca="1">DATOSAÑO!AD27</f>
        <v>167</v>
      </c>
      <c r="F27" s="994">
        <v>0</v>
      </c>
      <c r="G27" s="994">
        <v>0</v>
      </c>
      <c r="H27" s="1028">
        <f ca="1">DATOSAÑO!AI27</f>
        <v>44.5</v>
      </c>
      <c r="I27" s="1028">
        <f ca="1">DATOSAÑO!CJ27</f>
        <v>5.5110000000001342</v>
      </c>
      <c r="J27" s="994">
        <v>0</v>
      </c>
      <c r="K27" s="1028">
        <f ca="1">DATOSAÑO!AF27</f>
        <v>142</v>
      </c>
      <c r="L27" s="994">
        <f ca="1">+DATOSAÑO!CK27</f>
        <v>1.7184000000000497</v>
      </c>
      <c r="M27" s="994">
        <f>(VLOOKUP($B27,[8]DATOSAÑO!$B$12:$BS$376,37))</f>
        <v>0</v>
      </c>
      <c r="N27" s="994">
        <f ca="1">+DATOSAÑO!AH27</f>
        <v>9</v>
      </c>
      <c r="O27" s="1028">
        <f ca="1">DATOSAÑO!AL27</f>
        <v>34.299999999999272</v>
      </c>
      <c r="P27" s="1029">
        <f ca="1">+(DATOSAÑO!BH27)+DATOSAÑO!BJ27</f>
        <v>1.3640000000000001</v>
      </c>
      <c r="Q27" s="1028">
        <f ca="1">+DATOSAÑO!BQ27</f>
        <v>6</v>
      </c>
      <c r="R27" s="1166">
        <f ca="1">DATOSAÑO!BS27+DATOSAÑO!BV27+DATOSAÑO!BY27+DATOSAÑO!CF27+DATOSAÑO!CL27</f>
        <v>22.470600000000534</v>
      </c>
    </row>
    <row r="28" spans="2:18">
      <c r="B28" s="214">
        <v>44944</v>
      </c>
      <c r="C28" s="994">
        <f ca="1">DATOSAÑO!AJ28</f>
        <v>9</v>
      </c>
      <c r="D28" s="1028">
        <f ca="1">DATOSAÑO!AK28</f>
        <v>14.699999999982538</v>
      </c>
      <c r="E28" s="1028">
        <f ca="1">DATOSAÑO!AD28</f>
        <v>164</v>
      </c>
      <c r="F28" s="994">
        <v>0</v>
      </c>
      <c r="G28" s="994">
        <v>0</v>
      </c>
      <c r="H28" s="1028">
        <f ca="1">DATOSAÑO!AI28</f>
        <v>43.400000000001455</v>
      </c>
      <c r="I28" s="1028">
        <f ca="1">DATOSAÑO!CJ28</f>
        <v>4.0869999999999536</v>
      </c>
      <c r="J28" s="994">
        <v>0</v>
      </c>
      <c r="K28" s="1028">
        <f ca="1">DATOSAÑO!AF28</f>
        <v>143</v>
      </c>
      <c r="L28" s="994">
        <f ca="1">+DATOSAÑO!CK28</f>
        <v>1.489200000000273</v>
      </c>
      <c r="M28" s="994">
        <f>(VLOOKUP($B28,[8]DATOSAÑO!$B$12:$BS$376,37))</f>
        <v>0</v>
      </c>
      <c r="N28" s="994">
        <f ca="1">+DATOSAÑO!AH28</f>
        <v>10.5</v>
      </c>
      <c r="O28" s="1028">
        <f ca="1">DATOSAÑO!AL28</f>
        <v>34.8000000000157</v>
      </c>
      <c r="P28" s="1029">
        <f ca="1">+(DATOSAÑO!BH28)+DATOSAÑO!BJ28</f>
        <v>1.3480000000000001</v>
      </c>
      <c r="Q28" s="1028">
        <f ca="1">+DATOSAÑO!BQ28</f>
        <v>6</v>
      </c>
      <c r="R28" s="1166">
        <f ca="1">DATOSAÑO!BS28+DATOSAÑO!BV28+DATOSAÑO!BY28+DATOSAÑO!CF28+DATOSAÑO!CL28</f>
        <v>21.023800000000136</v>
      </c>
    </row>
    <row r="29" spans="2:18">
      <c r="B29" s="214">
        <v>44945</v>
      </c>
      <c r="C29" s="994">
        <f ca="1">DATOSAÑO!AJ29</f>
        <v>9.2000000000116415</v>
      </c>
      <c r="D29" s="1028">
        <f ca="1">DATOSAÑO!AK29</f>
        <v>14.899999999994179</v>
      </c>
      <c r="E29" s="1028">
        <f ca="1">DATOSAÑO!AD29</f>
        <v>170.40000000002328</v>
      </c>
      <c r="F29" s="994">
        <v>0</v>
      </c>
      <c r="G29" s="994">
        <v>0</v>
      </c>
      <c r="H29" s="1028">
        <f ca="1">DATOSAÑO!AI29</f>
        <v>44.400000000001455</v>
      </c>
      <c r="I29" s="1028">
        <f ca="1">DATOSAÑO!CJ29</f>
        <v>4.4159999999997765</v>
      </c>
      <c r="J29" s="994">
        <v>0</v>
      </c>
      <c r="K29" s="1028">
        <f ca="1">DATOSAÑO!AF29</f>
        <v>142</v>
      </c>
      <c r="L29" s="994">
        <f ca="1">+DATOSAÑO!CK29</f>
        <v>1.5671999999999453</v>
      </c>
      <c r="M29" s="994">
        <f>(VLOOKUP($B29,[8]DATOSAÑO!$B$12:$BS$376,37))</f>
        <v>0</v>
      </c>
      <c r="N29" s="994">
        <f ca="1">+DATOSAÑO!AH29</f>
        <v>10.099999999998545</v>
      </c>
      <c r="O29" s="1028">
        <f ca="1">DATOSAÑO!AL29</f>
        <v>31.199999999971624</v>
      </c>
      <c r="P29" s="1029">
        <f ca="1">+(DATOSAÑO!BH29)+DATOSAÑO!BJ29</f>
        <v>1.403</v>
      </c>
      <c r="Q29" s="1028">
        <f ca="1">+DATOSAÑO!BQ29</f>
        <v>5</v>
      </c>
      <c r="R29" s="1166">
        <f ca="1">DATOSAÑO!BS29+DATOSAÑO!BV29+DATOSAÑO!BY29+DATOSAÑO!CF29+DATOSAÑO!CL29</f>
        <v>21.816799999999557</v>
      </c>
    </row>
    <row r="30" spans="2:18">
      <c r="B30" s="214">
        <v>44946</v>
      </c>
      <c r="C30" s="994">
        <f ca="1">DATOSAÑO!AJ30</f>
        <v>8.5999999999912689</v>
      </c>
      <c r="D30" s="1028">
        <f ca="1">DATOSAÑO!AK30</f>
        <v>15.300000000017462</v>
      </c>
      <c r="E30" s="1028">
        <f ca="1">DATOSAÑO!AD30</f>
        <v>168.59999999997672</v>
      </c>
      <c r="F30" s="994">
        <v>0</v>
      </c>
      <c r="G30" s="994">
        <v>0</v>
      </c>
      <c r="H30" s="1028">
        <f ca="1">DATOSAÑO!AI30</f>
        <v>44.099999999998545</v>
      </c>
      <c r="I30" s="1028">
        <f ca="1">DATOSAÑO!CJ30</f>
        <v>7.5</v>
      </c>
      <c r="J30" s="994">
        <v>0</v>
      </c>
      <c r="K30" s="1028">
        <f ca="1">DATOSAÑO!AF30</f>
        <v>141</v>
      </c>
      <c r="L30" s="994">
        <f ca="1">+DATOSAÑO!CK30</f>
        <v>1.5047999999999999</v>
      </c>
      <c r="M30" s="994">
        <f>(VLOOKUP($B30,[8]DATOSAÑO!$B$12:$BS$376,37))</f>
        <v>0</v>
      </c>
      <c r="N30" s="994">
        <f ca="1">+DATOSAÑO!AH30</f>
        <v>11.5</v>
      </c>
      <c r="O30" s="1028">
        <f ca="1">DATOSAÑO!AL30</f>
        <v>33.900000000016007</v>
      </c>
      <c r="P30" s="1029">
        <f ca="1">+(DATOSAÑO!BH30)+DATOSAÑO!BJ30</f>
        <v>1.421</v>
      </c>
      <c r="Q30" s="1028">
        <f ca="1">+DATOSAÑO!BQ30</f>
        <v>7</v>
      </c>
      <c r="R30" s="1166">
        <f ca="1">DATOSAÑO!BS30+DATOSAÑO!BV30+DATOSAÑO!BY30+DATOSAÑO!CF30+DATOSAÑO!CL30</f>
        <v>19.995200000000001</v>
      </c>
    </row>
    <row r="31" spans="2:18">
      <c r="B31" s="214">
        <v>44947</v>
      </c>
      <c r="C31" s="994">
        <f ca="1">DATOSAÑO!AJ31</f>
        <v>9.1000000000058208</v>
      </c>
      <c r="D31" s="1028">
        <f ca="1">DATOSAÑO!AK31</f>
        <v>14.899999999994179</v>
      </c>
      <c r="E31" s="1028">
        <f ca="1">DATOSAÑO!AD31</f>
        <v>170</v>
      </c>
      <c r="F31" s="994">
        <v>0</v>
      </c>
      <c r="G31" s="994">
        <v>0</v>
      </c>
      <c r="H31" s="1028">
        <f ca="1">DATOSAÑO!AI31</f>
        <v>42.899999999994179</v>
      </c>
      <c r="I31" s="1028">
        <f ca="1">DATOSAÑO!CJ31</f>
        <v>4.9252500000004948</v>
      </c>
      <c r="J31" s="994">
        <v>0</v>
      </c>
      <c r="K31" s="1028">
        <f ca="1">DATOSAÑO!AF31</f>
        <v>143</v>
      </c>
      <c r="L31" s="994">
        <f ca="1">+DATOSAÑO!CK31</f>
        <v>1.5659999999999452</v>
      </c>
      <c r="M31" s="994">
        <f>(VLOOKUP($B31,[8]DATOSAÑO!$B$12:$BS$376,37))</f>
        <v>0</v>
      </c>
      <c r="N31" s="994">
        <f ca="1">+DATOSAÑO!AH31</f>
        <v>9.8000000000029104</v>
      </c>
      <c r="O31" s="1028">
        <f ca="1">DATOSAÑO!AL31</f>
        <v>33.100000000002183</v>
      </c>
      <c r="P31" s="1029">
        <f ca="1">+(DATOSAÑO!BH31)+DATOSAÑO!BJ31</f>
        <v>1.3740000000000001</v>
      </c>
      <c r="Q31" s="1028">
        <f ca="1">+DATOSAÑO!BQ31</f>
        <v>3</v>
      </c>
      <c r="R31" s="1166">
        <f ca="1">DATOSAÑO!BS31+DATOSAÑO!BV31+DATOSAÑO!BY31+DATOSAÑO!CF31+DATOSAÑO!CL31</f>
        <v>20.708750000000279</v>
      </c>
    </row>
    <row r="32" spans="2:18">
      <c r="B32" s="214">
        <v>44948</v>
      </c>
      <c r="C32" s="994">
        <f ca="1">DATOSAÑO!AJ32</f>
        <v>8.3999999999941792</v>
      </c>
      <c r="D32" s="1028">
        <f ca="1">DATOSAÑO!AK32</f>
        <v>15.200000000011642</v>
      </c>
      <c r="E32" s="1028">
        <f ca="1">DATOSAÑO!AD32</f>
        <v>166</v>
      </c>
      <c r="F32" s="994">
        <v>0</v>
      </c>
      <c r="G32" s="994">
        <v>0</v>
      </c>
      <c r="H32" s="1028">
        <f ca="1">DATOSAÑO!AI32</f>
        <v>38.700000000004366</v>
      </c>
      <c r="I32" s="1028">
        <f ca="1">DATOSAÑO!CJ32</f>
        <v>4.2339999999994085</v>
      </c>
      <c r="J32" s="994">
        <v>0</v>
      </c>
      <c r="K32" s="1028">
        <f ca="1">DATOSAÑO!AF32</f>
        <v>144</v>
      </c>
      <c r="L32" s="994">
        <f ca="1">+DATOSAÑO!CK32</f>
        <v>1.5323999999999451</v>
      </c>
      <c r="M32" s="994">
        <f>(VLOOKUP($B32,[8]DATOSAÑO!$B$12:$BS$376,37))</f>
        <v>0</v>
      </c>
      <c r="N32" s="994">
        <f ca="1">+DATOSAÑO!AH32</f>
        <v>13.5</v>
      </c>
      <c r="O32" s="1028">
        <f ca="1">DATOSAÑO!AL32</f>
        <v>32.999999999990905</v>
      </c>
      <c r="P32" s="1029">
        <f ca="1">+(DATOSAÑO!BH32)+DATOSAÑO!BJ32</f>
        <v>1.421</v>
      </c>
      <c r="Q32" s="1028">
        <f ca="1">+DATOSAÑO!BQ32</f>
        <v>5</v>
      </c>
      <c r="R32" s="1166">
        <f ca="1">DATOSAÑO!BS32+DATOSAÑO!BV32+DATOSAÑO!BY32+DATOSAÑO!CF32+DATOSAÑO!CL32</f>
        <v>21.433599999999554</v>
      </c>
    </row>
    <row r="33" spans="2:18">
      <c r="B33" s="214">
        <v>44949</v>
      </c>
      <c r="C33" s="994">
        <f ca="1">DATOSAÑO!AJ33</f>
        <v>8.9000000000087311</v>
      </c>
      <c r="D33" s="1028">
        <f ca="1">DATOSAÑO!AK33</f>
        <v>14.699999999982538</v>
      </c>
      <c r="E33" s="1028">
        <f ca="1">DATOSAÑO!AD33</f>
        <v>168</v>
      </c>
      <c r="F33" s="994">
        <v>0</v>
      </c>
      <c r="G33" s="994">
        <v>0</v>
      </c>
      <c r="H33" s="1028">
        <f ca="1">DATOSAÑO!AI33</f>
        <v>39.599999999998545</v>
      </c>
      <c r="I33" s="1028">
        <f ca="1">DATOSAÑO!CJ33</f>
        <v>6.2670000000005466</v>
      </c>
      <c r="J33" s="994">
        <v>0</v>
      </c>
      <c r="K33" s="1028">
        <f ca="1">DATOSAÑO!AF33</f>
        <v>142</v>
      </c>
      <c r="L33" s="994">
        <f ca="1">+DATOSAÑO!CK33</f>
        <v>0.40559999999989083</v>
      </c>
      <c r="M33" s="994">
        <f>(VLOOKUP($B33,[8]DATOSAÑO!$B$12:$BS$376,37))</f>
        <v>0</v>
      </c>
      <c r="N33" s="994">
        <f ca="1">+DATOSAÑO!AH33</f>
        <v>9.9000000000014552</v>
      </c>
      <c r="O33" s="1028">
        <f ca="1">DATOSAÑO!AL33</f>
        <v>33.600000000007583</v>
      </c>
      <c r="P33" s="1029">
        <f ca="1">+(DATOSAÑO!BH33)+DATOSAÑO!BJ33</f>
        <v>1.415</v>
      </c>
      <c r="Q33" s="1028">
        <f ca="1">+DATOSAÑO!BQ33</f>
        <v>5</v>
      </c>
      <c r="R33" s="1166">
        <f ca="1">DATOSAÑO!BS33+DATOSAÑO!BV33+DATOSAÑO!BY33+DATOSAÑO!CF33+DATOSAÑO!CL33</f>
        <v>22.627400000000659</v>
      </c>
    </row>
    <row r="34" spans="2:18">
      <c r="B34" s="214">
        <v>44950</v>
      </c>
      <c r="C34" s="994">
        <f ca="1">DATOSAÑO!AJ34</f>
        <v>9</v>
      </c>
      <c r="D34" s="1028">
        <f ca="1">DATOSAÑO!AK34</f>
        <v>13.899999999994179</v>
      </c>
      <c r="E34" s="1028">
        <f ca="1">DATOSAÑO!AD34</f>
        <v>162</v>
      </c>
      <c r="F34" s="994">
        <v>0</v>
      </c>
      <c r="G34" s="994">
        <v>0</v>
      </c>
      <c r="H34" s="1028">
        <f ca="1">DATOSAÑO!AI34</f>
        <v>36.80000000000291</v>
      </c>
      <c r="I34" s="1028">
        <f ca="1">DATOSAÑO!CJ34</f>
        <v>2.9939999999994589</v>
      </c>
      <c r="J34" s="994">
        <v>0</v>
      </c>
      <c r="K34" s="1028">
        <f ca="1">DATOSAÑO!AF34</f>
        <v>141</v>
      </c>
      <c r="L34" s="994">
        <f ca="1">+DATOSAÑO!CK34</f>
        <v>3.0516000000002133</v>
      </c>
      <c r="M34" s="994">
        <f>(VLOOKUP($B34,[8]DATOSAÑO!$B$12:$BS$376,37))</f>
        <v>0</v>
      </c>
      <c r="N34" s="994">
        <f ca="1">+DATOSAÑO!AH34</f>
        <v>7.8999999999941792</v>
      </c>
      <c r="O34" s="1028">
        <f ca="1">DATOSAÑO!AL34</f>
        <v>34.15900000000903</v>
      </c>
      <c r="P34" s="1029">
        <f ca="1">+(DATOSAÑO!BH34)+DATOSAÑO!BJ34</f>
        <v>1.407</v>
      </c>
      <c r="Q34" s="1028">
        <f ca="1">+DATOSAÑO!BQ34</f>
        <v>4.9000000000014552</v>
      </c>
      <c r="R34" s="1166">
        <f ca="1">DATOSAÑO!BS34+DATOSAÑO!BV34+DATOSAÑO!BY34+DATOSAÑO!CF34+DATOSAÑO!CL34</f>
        <v>20.854399999999966</v>
      </c>
    </row>
    <row r="35" spans="2:18">
      <c r="B35" s="214">
        <v>44951</v>
      </c>
      <c r="C35" s="994">
        <f ca="1">DATOSAÑO!AJ35</f>
        <v>9</v>
      </c>
      <c r="D35" s="1028">
        <f ca="1">DATOSAÑO!AK35</f>
        <v>15.700000000011642</v>
      </c>
      <c r="E35" s="1028">
        <f ca="1">DATOSAÑO!AD35</f>
        <v>167</v>
      </c>
      <c r="F35" s="994">
        <v>0</v>
      </c>
      <c r="G35" s="994">
        <v>0</v>
      </c>
      <c r="H35" s="1028">
        <f ca="1">DATOSAÑO!AI35</f>
        <v>38</v>
      </c>
      <c r="I35" s="1028">
        <f ca="1">DATOSAÑO!CJ35</f>
        <v>5.1085000000002267</v>
      </c>
      <c r="J35" s="994">
        <v>0</v>
      </c>
      <c r="K35" s="1028">
        <f ca="1">DATOSAÑO!AF35</f>
        <v>143</v>
      </c>
      <c r="L35" s="994">
        <f ca="1">+DATOSAÑO!CK35</f>
        <v>1.4262000000000548</v>
      </c>
      <c r="M35" s="994">
        <f>(VLOOKUP($B35,[8]DATOSAÑO!$B$12:$BS$376,37))</f>
        <v>0</v>
      </c>
      <c r="N35" s="994">
        <f ca="1">+DATOSAÑO!AH35</f>
        <v>13.30000000000291</v>
      </c>
      <c r="O35" s="1028">
        <f ca="1">DATOSAÑO!AL35</f>
        <v>31.699999999984357</v>
      </c>
      <c r="P35" s="1029">
        <f ca="1">+(DATOSAÑO!BH35)+DATOSAÑO!BJ35</f>
        <v>1.375</v>
      </c>
      <c r="Q35" s="1028">
        <f ca="1">+DATOSAÑO!BQ35</f>
        <v>5.1999999999970896</v>
      </c>
      <c r="R35" s="1166">
        <f ca="1">DATOSAÑO!BS35+DATOSAÑO!BV35+DATOSAÑO!BY35+DATOSAÑO!CF35+DATOSAÑO!CL35</f>
        <v>22.065300000000082</v>
      </c>
    </row>
    <row r="36" spans="2:18">
      <c r="B36" s="214">
        <v>44952</v>
      </c>
      <c r="C36" s="994">
        <f ca="1">DATOSAÑO!AJ36</f>
        <v>8.3999999999941792</v>
      </c>
      <c r="D36" s="1028">
        <f ca="1">DATOSAÑO!AK36</f>
        <v>14</v>
      </c>
      <c r="E36" s="1028">
        <f ca="1">DATOSAÑO!AD36</f>
        <v>167.09999999997672</v>
      </c>
      <c r="F36" s="994">
        <v>0</v>
      </c>
      <c r="G36" s="994">
        <v>0</v>
      </c>
      <c r="H36" s="1028">
        <f ca="1">DATOSAÑO!AI36</f>
        <v>36.900000000001455</v>
      </c>
      <c r="I36" s="1028">
        <f ca="1">DATOSAÑO!CJ36</f>
        <v>4.4615000000003624</v>
      </c>
      <c r="J36" s="994">
        <v>0</v>
      </c>
      <c r="K36" s="1028">
        <f ca="1">DATOSAÑO!AF36</f>
        <v>139</v>
      </c>
      <c r="L36" s="994">
        <f ca="1">+DATOSAÑO!CK36</f>
        <v>1.0217999999996725</v>
      </c>
      <c r="M36" s="994">
        <f>(VLOOKUP($B36,[8]DATOSAÑO!$B$12:$BS$376,37))</f>
        <v>0</v>
      </c>
      <c r="N36" s="994">
        <f ca="1">+DATOSAÑO!AH36</f>
        <v>9.6999999999970896</v>
      </c>
      <c r="O36" s="1028">
        <f ca="1">DATOSAÑO!AL36</f>
        <v>33.600000000031287</v>
      </c>
      <c r="P36" s="1029">
        <f ca="1">+(DATOSAÑO!BH36)+DATOSAÑO!BJ36</f>
        <v>0.91</v>
      </c>
      <c r="Q36" s="1028">
        <f ca="1">+DATOSAÑO!BQ36</f>
        <v>4.9000000000014552</v>
      </c>
      <c r="R36" s="1166">
        <f ca="1">DATOSAÑO!BS36+DATOSAÑO!BV36+DATOSAÑO!BY36+DATOSAÑO!CF36+DATOSAÑO!CL36</f>
        <v>20.516699999999965</v>
      </c>
    </row>
    <row r="37" spans="2:18">
      <c r="B37" s="214">
        <v>44953</v>
      </c>
      <c r="C37" s="994">
        <f ca="1">DATOSAÑO!AJ37</f>
        <v>8.5</v>
      </c>
      <c r="D37" s="1028">
        <f ca="1">DATOSAÑO!AK37</f>
        <v>15</v>
      </c>
      <c r="E37" s="1028">
        <f ca="1">DATOSAÑO!AD37</f>
        <v>162.09999999997672</v>
      </c>
      <c r="F37" s="994">
        <v>0</v>
      </c>
      <c r="G37" s="994">
        <v>0</v>
      </c>
      <c r="H37" s="1028">
        <f ca="1">DATOSAÑO!AI37</f>
        <v>37.299999999995634</v>
      </c>
      <c r="I37" s="1028">
        <f ca="1">DATOSAÑO!CJ37</f>
        <v>4.3570000000001814</v>
      </c>
      <c r="J37" s="994">
        <v>0</v>
      </c>
      <c r="K37" s="1028">
        <f ca="1">DATOSAÑO!AF37</f>
        <v>143</v>
      </c>
      <c r="L37" s="994">
        <f ca="1">+DATOSAÑO!CK37</f>
        <v>1.0925999999998908</v>
      </c>
      <c r="M37" s="994">
        <f>(VLOOKUP($B37,[8]DATOSAÑO!$B$12:$BS$376,37))</f>
        <v>0</v>
      </c>
      <c r="N37" s="994">
        <f ca="1">+DATOSAÑO!AH37</f>
        <v>10.900000000001455</v>
      </c>
      <c r="O37" s="1028">
        <f ca="1">DATOSAÑO!AL37</f>
        <v>31.600000000027592</v>
      </c>
      <c r="P37" s="1029">
        <f ca="1">+(DATOSAÑO!BH37)+DATOSAÑO!BJ37</f>
        <v>0.91200000000000003</v>
      </c>
      <c r="Q37" s="1028">
        <f ca="1">+DATOSAÑO!BQ37</f>
        <v>4.6999999999970896</v>
      </c>
      <c r="R37" s="1166">
        <f ca="1">DATOSAÑO!BS37+DATOSAÑO!BV37+DATOSAÑO!BY37+DATOSAÑO!CF37+DATOSAÑO!CL37</f>
        <v>20.550399999999925</v>
      </c>
    </row>
    <row r="38" spans="2:18">
      <c r="B38" s="214">
        <v>44954</v>
      </c>
      <c r="C38" s="994">
        <f ca="1">DATOSAÑO!AJ38</f>
        <v>7.5</v>
      </c>
      <c r="D38" s="1028">
        <f ca="1">DATOSAÑO!AK38</f>
        <v>16</v>
      </c>
      <c r="E38" s="1028">
        <f ca="1">DATOSAÑO!AD38</f>
        <v>164.80000000004657</v>
      </c>
      <c r="F38" s="994">
        <v>0</v>
      </c>
      <c r="G38" s="994">
        <v>0</v>
      </c>
      <c r="H38" s="1028">
        <f ca="1">DATOSAÑO!AI38</f>
        <v>40.200000000004366</v>
      </c>
      <c r="I38" s="1028">
        <f ca="1">DATOSAÑO!CJ38</f>
        <v>5.5039999999934057</v>
      </c>
      <c r="J38" s="994">
        <v>0</v>
      </c>
      <c r="K38" s="1028">
        <f ca="1">DATOSAÑO!AF38</f>
        <v>142</v>
      </c>
      <c r="L38" s="994">
        <f ca="1">+DATOSAÑO!CK38</f>
        <v>1.1616000000003819</v>
      </c>
      <c r="M38" s="994">
        <f>(VLOOKUP($B38,[8]DATOSAÑO!$B$12:$BS$376,37))</f>
        <v>0</v>
      </c>
      <c r="N38" s="994">
        <f ca="1">+DATOSAÑO!AH38</f>
        <v>13</v>
      </c>
      <c r="O38" s="1028">
        <f ca="1">DATOSAÑO!AL38</f>
        <v>30.607999999958508</v>
      </c>
      <c r="P38" s="1029">
        <f ca="1">+(DATOSAÑO!BH38)+DATOSAÑO!BJ38</f>
        <v>1.5169999999999999</v>
      </c>
      <c r="Q38" s="1028">
        <f ca="1">+DATOSAÑO!BQ38</f>
        <v>4.1000000000058208</v>
      </c>
      <c r="R38" s="1166">
        <f ca="1">DATOSAÑO!BS38+DATOSAÑO!BV38+DATOSAÑO!BY38+DATOSAÑO!CF38+DATOSAÑO!CL38</f>
        <v>21.934399999993843</v>
      </c>
    </row>
    <row r="39" spans="2:18">
      <c r="B39" s="214">
        <v>44955</v>
      </c>
      <c r="C39" s="994">
        <f ca="1">DATOSAÑO!AJ39</f>
        <v>6.1000000000058208</v>
      </c>
      <c r="D39" s="1028">
        <f ca="1">DATOSAÑO!AK39</f>
        <v>15.600000000005821</v>
      </c>
      <c r="E39" s="1028">
        <f ca="1">DATOSAÑO!AD39</f>
        <v>167.90000000002328</v>
      </c>
      <c r="F39" s="994">
        <v>0</v>
      </c>
      <c r="G39" s="994">
        <v>0</v>
      </c>
      <c r="H39" s="1028">
        <f ca="1">DATOSAÑO!AI39</f>
        <v>41.799999999995634</v>
      </c>
      <c r="I39" s="1028">
        <f ca="1">DATOSAÑO!CJ39</f>
        <v>3.6825000000060921</v>
      </c>
      <c r="J39" s="994">
        <v>0</v>
      </c>
      <c r="K39" s="1028">
        <f ca="1">DATOSAÑO!AF39</f>
        <v>144</v>
      </c>
      <c r="L39" s="994">
        <f ca="1">+DATOSAÑO!CK39</f>
        <v>1.3181999999996725</v>
      </c>
      <c r="M39" s="994">
        <f>(VLOOKUP($B39,[8]DATOSAÑO!$B$12:$BS$376,37))</f>
        <v>0</v>
      </c>
      <c r="N39" s="994">
        <f ca="1">+DATOSAÑO!AH39</f>
        <v>9.4000000000014552</v>
      </c>
      <c r="O39" s="1028">
        <f ca="1">DATOSAÑO!AL39</f>
        <v>32.599999999956708</v>
      </c>
      <c r="P39" s="1029">
        <f ca="1">+(DATOSAÑO!BH39)+DATOSAÑO!BJ39</f>
        <v>1.5209999999999999</v>
      </c>
      <c r="Q39" s="1028">
        <f ca="1">+DATOSAÑO!BQ39</f>
        <v>4.2999999999956344</v>
      </c>
      <c r="R39" s="1166">
        <f ca="1">DATOSAÑO!BS39+DATOSAÑO!BV39+DATOSAÑO!BY39+DATOSAÑO!CF39+DATOSAÑO!CL39</f>
        <v>20.599300000005513</v>
      </c>
    </row>
    <row r="40" spans="2:18">
      <c r="B40" s="214">
        <v>44956</v>
      </c>
      <c r="C40" s="994">
        <f ca="1">DATOSAÑO!AJ40</f>
        <v>5.5</v>
      </c>
      <c r="D40" s="1028">
        <f ca="1">DATOSAÑO!AK40</f>
        <v>15.399999999994179</v>
      </c>
      <c r="E40" s="1028">
        <f ca="1">DATOSAÑO!AD40</f>
        <v>165.19999999995343</v>
      </c>
      <c r="F40" s="994">
        <v>0</v>
      </c>
      <c r="G40" s="994">
        <v>0</v>
      </c>
      <c r="H40" s="1028">
        <f ca="1">DATOSAÑO!AI40</f>
        <v>40.900000000001455</v>
      </c>
      <c r="I40" s="1028">
        <f ca="1">DATOSAÑO!CJ40</f>
        <v>4.3574999999995923</v>
      </c>
      <c r="J40" s="994">
        <v>0</v>
      </c>
      <c r="K40" s="1028">
        <f ca="1">DATOSAÑO!AF40</f>
        <v>141</v>
      </c>
      <c r="L40" s="994">
        <f ca="1">+DATOSAÑO!CK40</f>
        <v>2.0064000000001636</v>
      </c>
      <c r="M40" s="994">
        <f>(VLOOKUP($B40,[8]DATOSAÑO!$B$12:$BS$376,37))</f>
        <v>0</v>
      </c>
      <c r="N40" s="994">
        <f ca="1">+DATOSAÑO!AH40</f>
        <v>8.3000000000029104</v>
      </c>
      <c r="O40" s="1028">
        <f ca="1">DATOSAÑO!AL40</f>
        <v>33.004000000024632</v>
      </c>
      <c r="P40" s="1029">
        <f ca="1">+(DATOSAÑO!BH40)+DATOSAÑO!BJ40</f>
        <v>1.542</v>
      </c>
      <c r="Q40" s="1028">
        <f ca="1">+DATOSAÑO!BQ40</f>
        <v>4.7000000000043656</v>
      </c>
      <c r="R40" s="1166">
        <f ca="1">DATOSAÑO!BS40+DATOSAÑO!BV40+DATOSAÑO!BY40+DATOSAÑO!CF40+DATOSAÑO!CL40</f>
        <v>21.636100000000248</v>
      </c>
    </row>
    <row r="41" spans="2:18" ht="15" thickBot="1">
      <c r="B41" s="214">
        <v>44957</v>
      </c>
      <c r="C41" s="994">
        <f ca="1">DATOSAÑO!AJ41</f>
        <v>5.5999999999912689</v>
      </c>
      <c r="D41" s="1028">
        <f ca="1">DATOSAÑO!AK41</f>
        <v>16.5</v>
      </c>
      <c r="E41" s="1028">
        <f ca="1">DATOSAÑO!AD41</f>
        <v>166.40000000002328</v>
      </c>
      <c r="F41" s="994">
        <v>0</v>
      </c>
      <c r="G41" s="994">
        <v>0</v>
      </c>
      <c r="H41" s="1028">
        <f ca="1">DATOSAÑO!AI41</f>
        <v>39.799999999995634</v>
      </c>
      <c r="I41" s="1028">
        <f ca="1">DATOSAÑO!CJ41</f>
        <v>4.5080000000120055</v>
      </c>
      <c r="J41" s="994">
        <v>0</v>
      </c>
      <c r="K41" s="1028">
        <f ca="1">DATOSAÑO!AF41</f>
        <v>143</v>
      </c>
      <c r="L41" s="994">
        <f ca="1">+DATOSAÑO!CK41</f>
        <v>1.106999999999891</v>
      </c>
      <c r="M41" s="994">
        <f ca="1">+DATOSAÑO!AK41</f>
        <v>16.5</v>
      </c>
      <c r="N41" s="994">
        <f ca="1">+DATOSAÑO!AH41</f>
        <v>12.69999999999709</v>
      </c>
      <c r="O41" s="1028">
        <f ca="1">DATOSAÑO!AL41</f>
        <v>30.72499999999485</v>
      </c>
      <c r="P41" s="1029">
        <f ca="1">+(DATOSAÑO!BH41)+DATOSAÑO!BJ41</f>
        <v>1.5229999999999999</v>
      </c>
      <c r="Q41" s="1028">
        <f ca="1">+DATOSAÑO!BQ41</f>
        <v>4.7999999999956344</v>
      </c>
      <c r="R41" s="1166">
        <f ca="1">DATOSAÑO!BS41+DATOSAÑO!BV41+DATOSAÑO!BY41+DATOSAÑO!CF41+DATOSAÑO!CL41</f>
        <v>20.985000000012114</v>
      </c>
    </row>
    <row r="42" spans="2:18" ht="15" thickBot="1">
      <c r="B42" s="1268" t="s">
        <v>1131</v>
      </c>
      <c r="C42" s="1267">
        <f ca="1">SUM(C11:C41)</f>
        <v>257.33999999999651</v>
      </c>
      <c r="D42" s="1030">
        <f ca="1">SUM(D11:D41)</f>
        <v>470.33999999999651</v>
      </c>
      <c r="E42" s="1030">
        <f t="shared" ref="E42:R42" ca="1" si="0">SUM(E11:E41)</f>
        <v>5119.0999999999767</v>
      </c>
      <c r="F42" s="1030">
        <f t="shared" si="0"/>
        <v>0</v>
      </c>
      <c r="G42" s="1030">
        <f t="shared" si="0"/>
        <v>0</v>
      </c>
      <c r="H42" s="1030">
        <f t="shared" ca="1" si="0"/>
        <v>1265.5800000000017</v>
      </c>
      <c r="I42" s="1041">
        <f t="shared" ca="1" si="0"/>
        <v>138.46875000001765</v>
      </c>
      <c r="J42" s="1030">
        <f t="shared" si="0"/>
        <v>0</v>
      </c>
      <c r="K42" s="1030">
        <f t="shared" ca="1" si="0"/>
        <v>4240</v>
      </c>
      <c r="L42" s="1030">
        <f t="shared" ca="1" si="0"/>
        <v>52.285199999999989</v>
      </c>
      <c r="M42" s="1030">
        <f t="shared" ca="1" si="0"/>
        <v>16.5</v>
      </c>
      <c r="N42" s="1030">
        <f t="shared" ca="1" si="0"/>
        <v>320.69999999999709</v>
      </c>
      <c r="O42" s="1030">
        <f t="shared" ca="1" si="0"/>
        <v>1030.8669999999649</v>
      </c>
      <c r="P42" s="1030">
        <f t="shared" ca="1" si="0"/>
        <v>44.068000000000005</v>
      </c>
      <c r="Q42" s="1081">
        <f t="shared" ca="1" si="0"/>
        <v>158.40000000000146</v>
      </c>
      <c r="R42" s="1081">
        <f t="shared" ca="1" si="0"/>
        <v>659.94605000001786</v>
      </c>
    </row>
    <row r="43" spans="2:18">
      <c r="B43" s="390">
        <v>44958</v>
      </c>
      <c r="C43" s="994">
        <f ca="1">DATOSAÑO!AJ42</f>
        <v>8.3000000000029104</v>
      </c>
      <c r="D43" s="994">
        <f ca="1">DATOSAÑO!AK42</f>
        <v>15.299999999988358</v>
      </c>
      <c r="E43" s="994">
        <f ca="1">DATOSAÑO!AD42</f>
        <v>167.30000000004657</v>
      </c>
      <c r="F43" s="994">
        <v>0</v>
      </c>
      <c r="G43" s="994">
        <v>0</v>
      </c>
      <c r="H43" s="994">
        <f ca="1">DATOSAÑO!AI42</f>
        <v>40.700000000004366</v>
      </c>
      <c r="I43" s="994">
        <f ca="1">DATOSAÑO!CJ42</f>
        <v>5.1164999999879033</v>
      </c>
      <c r="J43" s="994">
        <v>0</v>
      </c>
      <c r="K43" s="994">
        <f ca="1">DATOSAÑO!AF42</f>
        <v>153.79999999998836</v>
      </c>
      <c r="L43" s="994">
        <f ca="1">+DATOSAÑO!CK42</f>
        <v>0.81780000000043651</v>
      </c>
      <c r="M43" s="994">
        <f ca="1">+DATOSAÑO!AK42</f>
        <v>15.299999999988358</v>
      </c>
      <c r="N43" s="994">
        <f ca="1">+DATOSAÑO!AH42</f>
        <v>7.5</v>
      </c>
      <c r="O43" s="994">
        <f ca="1">DATOSAÑO!AL42</f>
        <v>32.600000000014859</v>
      </c>
      <c r="P43" s="994">
        <f ca="1">+(DATOSAÑO!BH42)+DATOSAÑO!BJ42</f>
        <v>1.448</v>
      </c>
      <c r="Q43" s="994">
        <f ca="1">+DATOSAÑO!BQ42</f>
        <v>4.8000000000029104</v>
      </c>
      <c r="R43" s="1080">
        <f ca="1">DATOSAÑO!BS42+DATOSAÑO!BV42+DATOSAÑO!BY42+DATOSAÑO!CF42+DATOSAÑO!CL42</f>
        <v>21.065699999988016</v>
      </c>
    </row>
    <row r="44" spans="2:18">
      <c r="B44" s="390">
        <v>44959</v>
      </c>
      <c r="C44" s="994">
        <f ca="1">DATOSAÑO!AJ43</f>
        <v>5.5</v>
      </c>
      <c r="D44" s="994">
        <f ca="1">DATOSAÑO!AK43</f>
        <v>9.9000000000232831</v>
      </c>
      <c r="E44" s="994">
        <f ca="1">DATOSAÑO!AD43</f>
        <v>62.699999999953434</v>
      </c>
      <c r="F44" s="994">
        <v>0</v>
      </c>
      <c r="G44" s="994">
        <v>0</v>
      </c>
      <c r="H44" s="994">
        <f ca="1">DATOSAÑO!AI43</f>
        <v>43.299999999995634</v>
      </c>
      <c r="I44" s="994">
        <f ca="1">DATOSAÑO!CJ43</f>
        <v>5.2379999999830842</v>
      </c>
      <c r="J44" s="994">
        <v>0</v>
      </c>
      <c r="K44" s="994">
        <f ca="1">DATOSAÑO!AF43</f>
        <v>145.10000000003492</v>
      </c>
      <c r="L44" s="994">
        <f ca="1">+DATOSAÑO!CK43</f>
        <v>0.99959999999967242</v>
      </c>
      <c r="M44" s="994">
        <f ca="1">+DATOSAÑO!AK43</f>
        <v>9.9000000000232831</v>
      </c>
      <c r="N44" s="994">
        <f ca="1">+DATOSAÑO!AH43</f>
        <v>10.30000000000291</v>
      </c>
      <c r="O44" s="994">
        <f ca="1">DATOSAÑO!AL43</f>
        <v>30.999999999978229</v>
      </c>
      <c r="P44" s="994">
        <f ca="1">+(DATOSAÑO!BH43)+DATOSAÑO!BJ43</f>
        <v>1.4810000000000001</v>
      </c>
      <c r="Q44" s="994">
        <f ca="1">+DATOSAÑO!BQ43</f>
        <v>4.9000000000014552</v>
      </c>
      <c r="R44" s="1080">
        <f ca="1">DATOSAÑO!BS43+DATOSAÑO!BV43+DATOSAÑO!BY43+DATOSAÑO!CF43+DATOSAÑO!CL43</f>
        <v>20.862399999983047</v>
      </c>
    </row>
    <row r="45" spans="2:18">
      <c r="B45" s="390">
        <v>44960</v>
      </c>
      <c r="C45" s="994">
        <f ca="1">DATOSAÑO!AJ44</f>
        <v>8.8999999999941792</v>
      </c>
      <c r="D45" s="994">
        <f ca="1">DATOSAÑO!AK44</f>
        <v>11.489999999990687</v>
      </c>
      <c r="E45" s="994">
        <f ca="1">DATOSAÑO!AD44</f>
        <v>165</v>
      </c>
      <c r="F45" s="994">
        <v>0</v>
      </c>
      <c r="G45" s="994">
        <v>0</v>
      </c>
      <c r="H45" s="994">
        <f ca="1">DATOSAÑO!AI44</f>
        <v>39.120000000002619</v>
      </c>
      <c r="I45" s="994">
        <f ca="1">DATOSAÑO!CJ44</f>
        <v>5.033000000025547</v>
      </c>
      <c r="J45" s="994">
        <v>0</v>
      </c>
      <c r="K45" s="994">
        <f ca="1">DATOSAÑO!AF44</f>
        <v>145.9199999999837</v>
      </c>
      <c r="L45" s="994">
        <f ca="1">+DATOSAÑO!CK44</f>
        <v>0.8777999999996835</v>
      </c>
      <c r="M45" s="994">
        <f ca="1">+DATOSAÑO!AK44</f>
        <v>11.489999999990687</v>
      </c>
      <c r="N45" s="994">
        <f ca="1">+DATOSAÑO!AH44</f>
        <v>11</v>
      </c>
      <c r="O45" s="994">
        <f ca="1">DATOSAÑO!AL44</f>
        <v>31.65999999999076</v>
      </c>
      <c r="P45" s="994">
        <f ca="1">+(DATOSAÑO!BH44)+DATOSAÑO!BJ44</f>
        <v>1.407</v>
      </c>
      <c r="Q45" s="994">
        <f ca="1">+DATOSAÑO!BQ44</f>
        <v>4.7309999999997672</v>
      </c>
      <c r="R45" s="1080">
        <f ca="1">DATOSAÑO!BS44+DATOSAÑO!BV44+DATOSAÑO!BY44+DATOSAÑO!CF44+DATOSAÑO!CL44</f>
        <v>21.469200000024902</v>
      </c>
    </row>
    <row r="46" spans="2:18">
      <c r="B46" s="390">
        <v>44961</v>
      </c>
      <c r="C46" s="994">
        <f ca="1">DATOSAÑO!AJ45</f>
        <v>8.7200000000011642</v>
      </c>
      <c r="D46" s="994">
        <f ca="1">DATOSAÑO!AK45</f>
        <v>13.85999999998603</v>
      </c>
      <c r="E46" s="994">
        <f ca="1">DATOSAÑO!AD45</f>
        <v>164.68000000005122</v>
      </c>
      <c r="F46" s="994">
        <v>0</v>
      </c>
      <c r="G46" s="994">
        <v>0</v>
      </c>
      <c r="H46" s="994">
        <f ca="1">DATOSAÑO!AI45</f>
        <v>38.760000000002037</v>
      </c>
      <c r="I46" s="994">
        <f ca="1">DATOSAÑO!CJ45</f>
        <v>4.7284999999906665</v>
      </c>
      <c r="J46" s="994">
        <v>0</v>
      </c>
      <c r="K46" s="994">
        <f ca="1">DATOSAÑO!AF45</f>
        <v>150.52000000001863</v>
      </c>
      <c r="L46" s="994">
        <f ca="1">+DATOSAÑO!CK45</f>
        <v>1.9782000000003723</v>
      </c>
      <c r="M46" s="994">
        <f ca="1">+DATOSAÑO!AK45</f>
        <v>13.85999999998603</v>
      </c>
      <c r="N46" s="994">
        <f ca="1">+DATOSAÑO!AH45</f>
        <v>19.5</v>
      </c>
      <c r="O46" s="994">
        <f ca="1">DATOSAÑO!AL45</f>
        <v>30.539999999919019</v>
      </c>
      <c r="P46" s="994">
        <f ca="1">+(DATOSAÑO!BH45)+DATOSAÑO!BJ45</f>
        <v>1.5109999999999999</v>
      </c>
      <c r="Q46" s="994">
        <f ca="1">+DATOSAÑO!BQ45</f>
        <v>4.1869999999980791</v>
      </c>
      <c r="R46" s="1080">
        <f ca="1">DATOSAÑO!BS45+DATOSAÑO!BV45+DATOSAÑO!BY45+DATOSAÑO!CF45+DATOSAÑO!CL45</f>
        <v>21.573299999991427</v>
      </c>
    </row>
    <row r="47" spans="2:18">
      <c r="B47" s="390">
        <v>44962</v>
      </c>
      <c r="C47" s="994">
        <f ca="1">DATOSAÑO!AJ46</f>
        <v>8.680000000007567</v>
      </c>
      <c r="D47" s="994">
        <f ca="1">DATOSAÑO!AK46</f>
        <v>12.730000000010477</v>
      </c>
      <c r="E47" s="994">
        <f ca="1">DATOSAÑO!AD46</f>
        <v>165.71999999997206</v>
      </c>
      <c r="F47" s="994">
        <v>0</v>
      </c>
      <c r="G47" s="994">
        <v>0</v>
      </c>
      <c r="H47" s="994">
        <f ca="1">DATOSAÑO!AI46</f>
        <v>39.209999999999127</v>
      </c>
      <c r="I47" s="994">
        <f ca="1">DATOSAÑO!CJ46</f>
        <v>4.5239999999959428</v>
      </c>
      <c r="J47" s="994">
        <v>0</v>
      </c>
      <c r="K47" s="994">
        <f ca="1">DATOSAÑO!AF46</f>
        <v>152.85999999998603</v>
      </c>
      <c r="L47" s="994">
        <f ca="1">+DATOSAÑO!CK46</f>
        <v>2.4839999999997815</v>
      </c>
      <c r="M47" s="994">
        <f ca="1">+DATOSAÑO!AK46</f>
        <v>12.730000000010477</v>
      </c>
      <c r="N47" s="994">
        <f ca="1">+DATOSAÑO!AH46</f>
        <v>10.599999999998545</v>
      </c>
      <c r="O47" s="994">
        <f ca="1">DATOSAÑO!AL46</f>
        <v>32.550000000135697</v>
      </c>
      <c r="P47" s="994">
        <f ca="1">+(DATOSAÑO!BH46)+DATOSAÑO!BJ46</f>
        <v>1.4630000000000001</v>
      </c>
      <c r="Q47" s="994">
        <f ca="1">+DATOSAÑO!BQ46</f>
        <v>4.25</v>
      </c>
      <c r="R47" s="1080">
        <f ca="1">DATOSAÑO!BS46+DATOSAÑO!BV46+DATOSAÑO!BY46+DATOSAÑO!CF46+DATOSAÑO!CL46</f>
        <v>21.831999999995325</v>
      </c>
    </row>
    <row r="48" spans="2:18">
      <c r="B48" s="390">
        <v>44963</v>
      </c>
      <c r="C48" s="994">
        <f ca="1">DATOSAÑO!AJ47</f>
        <v>8.9199999999982538</v>
      </c>
      <c r="D48" s="994">
        <f ca="1">DATOSAÑO!AK47</f>
        <v>12.64000000001397</v>
      </c>
      <c r="E48" s="994">
        <f ca="1">DATOSAÑO!AD47</f>
        <v>164</v>
      </c>
      <c r="F48" s="994">
        <v>0</v>
      </c>
      <c r="G48" s="994">
        <v>0</v>
      </c>
      <c r="H48" s="994">
        <f ca="1">DATOSAÑO!AI47</f>
        <v>40.180000000000291</v>
      </c>
      <c r="I48" s="994">
        <f ca="1">DATOSAÑO!CJ47</f>
        <v>4.2985000000143874</v>
      </c>
      <c r="J48" s="994">
        <v>0</v>
      </c>
      <c r="K48" s="994">
        <f ca="1">DATOSAÑO!AF47</f>
        <v>152.42999999999302</v>
      </c>
      <c r="L48" s="994">
        <f ca="1">+DATOSAÑO!CK47</f>
        <v>2.6676000000000437</v>
      </c>
      <c r="M48" s="994">
        <f ca="1">+DATOSAÑO!AK47</f>
        <v>12.64000000001397</v>
      </c>
      <c r="N48" s="994">
        <f ca="1">+DATOSAÑO!AH47</f>
        <v>9.0999999999985448</v>
      </c>
      <c r="O48" s="994">
        <f ca="1">DATOSAÑO!AL47</f>
        <v>34.25999999990745</v>
      </c>
      <c r="P48" s="994">
        <f ca="1">+(DATOSAÑO!BH47)+DATOSAÑO!BJ47</f>
        <v>1.4390000000000001</v>
      </c>
      <c r="Q48" s="994">
        <f ca="1">+DATOSAÑO!BQ47</f>
        <v>4.7799999999988358</v>
      </c>
      <c r="R48" s="1080">
        <f ca="1">DATOSAÑO!BS47+DATOSAÑO!BV47+DATOSAÑO!BY47+DATOSAÑO!CF47+DATOSAÑO!CL47</f>
        <v>21.603900000014381</v>
      </c>
    </row>
    <row r="49" spans="2:18">
      <c r="B49" s="390">
        <v>44964</v>
      </c>
      <c r="C49" s="994">
        <f ca="1">DATOSAÑO!AJ48</f>
        <v>10.380000000004657</v>
      </c>
      <c r="D49" s="994">
        <f ca="1">DATOSAÑO!AK48</f>
        <v>14.279999999998836</v>
      </c>
      <c r="E49" s="994">
        <f ca="1">DATOSAÑO!AD48</f>
        <v>164.69999999995343</v>
      </c>
      <c r="F49" s="994">
        <v>0</v>
      </c>
      <c r="G49" s="994">
        <v>0</v>
      </c>
      <c r="H49" s="994">
        <f ca="1">DATOSAÑO!AI48</f>
        <v>42.129999999997381</v>
      </c>
      <c r="I49" s="994">
        <f ca="1">DATOSAÑO!CJ48</f>
        <v>4.6574999999908213</v>
      </c>
      <c r="J49" s="994">
        <v>0</v>
      </c>
      <c r="K49" s="994">
        <f ca="1">DATOSAÑO!AF48</f>
        <v>155.36999999999534</v>
      </c>
      <c r="L49" s="994">
        <f ca="1">+DATOSAÑO!CK48</f>
        <v>2.5944000000001211</v>
      </c>
      <c r="M49" s="994">
        <f ca="1">+DATOSAÑO!AK48</f>
        <v>14.279999999998836</v>
      </c>
      <c r="N49" s="994">
        <f ca="1">+DATOSAÑO!AH48</f>
        <v>14</v>
      </c>
      <c r="O49" s="994">
        <f ca="1">DATOSAÑO!AL48</f>
        <v>37.086000000077661</v>
      </c>
      <c r="P49" s="994">
        <f ca="1">+(DATOSAÑO!BH48)+DATOSAÑO!BJ48</f>
        <v>1.425</v>
      </c>
      <c r="Q49" s="994">
        <f ca="1">+DATOSAÑO!BQ48</f>
        <v>4.7520000000004075</v>
      </c>
      <c r="R49" s="1080">
        <f ca="1">DATOSAÑO!BS48+DATOSAÑO!BV48+DATOSAÑO!BY48+DATOSAÑO!CF48+DATOSAÑO!CL48</f>
        <v>22.078099999990794</v>
      </c>
    </row>
    <row r="50" spans="2:18">
      <c r="B50" s="390">
        <v>44965</v>
      </c>
      <c r="C50" s="994">
        <f ca="1">DATOSAÑO!AJ49</f>
        <v>9.7999999999883585</v>
      </c>
      <c r="D50" s="994">
        <f ca="1">DATOSAÑO!AK49</f>
        <v>12.699999999982538</v>
      </c>
      <c r="E50" s="994">
        <f ca="1">DATOSAÑO!AD49</f>
        <v>152.80000000004657</v>
      </c>
      <c r="F50" s="994">
        <v>0</v>
      </c>
      <c r="G50" s="994">
        <v>0</v>
      </c>
      <c r="H50" s="994">
        <f ca="1">DATOSAÑO!AI49</f>
        <v>42.200000000004366</v>
      </c>
      <c r="I50" s="994">
        <f ca="1">DATOSAÑO!CJ49</f>
        <v>2.8050000000004047</v>
      </c>
      <c r="J50" s="994">
        <v>0</v>
      </c>
      <c r="K50" s="994">
        <f ca="1">DATOSAÑO!AF49</f>
        <v>154</v>
      </c>
      <c r="L50" s="994">
        <f ca="1">+DATOSAÑO!CK49</f>
        <v>2.3304000000000542</v>
      </c>
      <c r="M50" s="994">
        <f ca="1">+DATOSAÑO!AK49</f>
        <v>12.699999999982538</v>
      </c>
      <c r="N50" s="994">
        <f ca="1">+DATOSAÑO!AH49</f>
        <v>9.8000000000029104</v>
      </c>
      <c r="O50" s="994">
        <f ca="1">DATOSAÑO!AL49</f>
        <v>36.295999999974583</v>
      </c>
      <c r="P50" s="994">
        <f ca="1">+(DATOSAÑO!BH49)+DATOSAÑO!BJ49</f>
        <v>1.4390000000000001</v>
      </c>
      <c r="Q50" s="994">
        <f ca="1">+DATOSAÑO!BQ49</f>
        <v>5</v>
      </c>
      <c r="R50" s="1080">
        <f ca="1">DATOSAÑO!BS49+DATOSAÑO!BV49+DATOSAÑO!BY49+DATOSAÑO!CF49+DATOSAÑO!CL49</f>
        <v>19.564600000000262</v>
      </c>
    </row>
    <row r="51" spans="2:18">
      <c r="B51" s="390">
        <v>44966</v>
      </c>
      <c r="C51" s="994">
        <f ca="1">DATOSAÑO!AJ50</f>
        <v>10.100000000005821</v>
      </c>
      <c r="D51" s="994">
        <f ca="1">DATOSAÑO!AK50</f>
        <v>12.800000000017462</v>
      </c>
      <c r="E51" s="994">
        <f ca="1">DATOSAÑO!AD50</f>
        <v>163.59999999997672</v>
      </c>
      <c r="F51" s="994">
        <v>0</v>
      </c>
      <c r="G51" s="994">
        <v>0</v>
      </c>
      <c r="H51" s="994">
        <f ca="1">DATOSAÑO!AI50</f>
        <v>42.69999999999709</v>
      </c>
      <c r="I51" s="994">
        <f ca="1">DATOSAÑO!CJ50</f>
        <v>5.3799999999995975</v>
      </c>
      <c r="J51" s="994">
        <v>0</v>
      </c>
      <c r="K51" s="994">
        <f ca="1">DATOSAÑO!AF50</f>
        <v>152</v>
      </c>
      <c r="L51" s="994">
        <f ca="1">+DATOSAÑO!CK50</f>
        <v>2.0627999999998332</v>
      </c>
      <c r="M51" s="994">
        <f ca="1">+DATOSAÑO!AK50</f>
        <v>12.800000000017462</v>
      </c>
      <c r="N51" s="994">
        <f ca="1">+DATOSAÑO!AH50</f>
        <v>9.5999999999985448</v>
      </c>
      <c r="O51" s="994">
        <f ca="1">DATOSAÑO!AL50</f>
        <v>28.900000000005093</v>
      </c>
      <c r="P51" s="994">
        <f ca="1">+(DATOSAÑO!BH50)+DATOSAÑO!BJ50</f>
        <v>1.325</v>
      </c>
      <c r="Q51" s="994">
        <f ca="1">+DATOSAÑO!BQ50</f>
        <v>5</v>
      </c>
      <c r="R51" s="1080">
        <f ca="1">DATOSAÑO!BS50+DATOSAÑO!BV50+DATOSAÑO!BY50+DATOSAÑO!CF50+DATOSAÑO!CL50</f>
        <v>21.85719999999985</v>
      </c>
    </row>
    <row r="52" spans="2:18">
      <c r="B52" s="390">
        <v>44967</v>
      </c>
      <c r="C52" s="994">
        <f ca="1">DATOSAÑO!AJ51</f>
        <v>9.6999999999970896</v>
      </c>
      <c r="D52" s="994">
        <f ca="1">DATOSAÑO!AK51</f>
        <v>12.5</v>
      </c>
      <c r="E52" s="994">
        <f ca="1">DATOSAÑO!AD51</f>
        <v>165</v>
      </c>
      <c r="F52" s="994">
        <v>0</v>
      </c>
      <c r="G52" s="994">
        <v>0</v>
      </c>
      <c r="H52" s="994">
        <f ca="1">DATOSAÑO!AI51</f>
        <v>43.900000000001455</v>
      </c>
      <c r="I52" s="994">
        <f ca="1">DATOSAÑO!CJ51</f>
        <v>5.8519999999998635</v>
      </c>
      <c r="J52" s="994">
        <v>0</v>
      </c>
      <c r="K52" s="994">
        <f ca="1">DATOSAÑO!AF51</f>
        <v>140</v>
      </c>
      <c r="L52" s="994">
        <f ca="1">+DATOSAÑO!CK51</f>
        <v>1.8216000000000545</v>
      </c>
      <c r="M52" s="994">
        <f ca="1">+DATOSAÑO!AK51</f>
        <v>12.5</v>
      </c>
      <c r="N52" s="994">
        <f ca="1">+DATOSAÑO!AH51</f>
        <v>9.1999999999970896</v>
      </c>
      <c r="O52" s="994">
        <f ca="1">DATOSAÑO!AL51</f>
        <v>32.800000000004729</v>
      </c>
      <c r="P52" s="994">
        <f ca="1">+(DATOSAÑO!BH51)+DATOSAÑO!BJ51</f>
        <v>1.46</v>
      </c>
      <c r="Q52" s="994">
        <f ca="1">+DATOSAÑO!BQ51</f>
        <v>6</v>
      </c>
      <c r="R52" s="1080">
        <f ca="1">DATOSAÑO!BS51+DATOSAÑO!BV51+DATOSAÑO!BY51+DATOSAÑO!CF51+DATOSAÑO!CL51</f>
        <v>19.226399999999721</v>
      </c>
    </row>
    <row r="53" spans="2:18">
      <c r="B53" s="390">
        <v>44968</v>
      </c>
      <c r="C53" s="994">
        <f ca="1">DATOSAÑO!AJ52</f>
        <v>10.100000000005821</v>
      </c>
      <c r="D53" s="994">
        <f ca="1">DATOSAÑO!AK52</f>
        <v>15</v>
      </c>
      <c r="E53" s="994">
        <f ca="1">DATOSAÑO!AD52</f>
        <v>166</v>
      </c>
      <c r="F53" s="994">
        <v>0</v>
      </c>
      <c r="G53" s="994">
        <v>0</v>
      </c>
      <c r="H53" s="994">
        <f ca="1">DATOSAÑO!AI52</f>
        <v>42.900000000001455</v>
      </c>
      <c r="I53" s="994">
        <f ca="1">DATOSAÑO!CJ52</f>
        <v>4.4930000000005901</v>
      </c>
      <c r="J53" s="994">
        <v>0</v>
      </c>
      <c r="K53" s="994">
        <f ca="1">DATOSAÑO!AF52</f>
        <v>132</v>
      </c>
      <c r="L53" s="994">
        <f ca="1">+DATOSAÑO!CK52</f>
        <v>1.3415999999999455</v>
      </c>
      <c r="M53" s="994">
        <f ca="1">+DATOSAÑO!AK52</f>
        <v>15</v>
      </c>
      <c r="N53" s="994">
        <f ca="1">+DATOSAÑO!AH52</f>
        <v>10</v>
      </c>
      <c r="O53" s="994">
        <f ca="1">DATOSAÑO!AL52</f>
        <v>32.599999999991326</v>
      </c>
      <c r="P53" s="994">
        <f ca="1">+(DATOSAÑO!BH52)+DATOSAÑO!BJ52</f>
        <v>1.34</v>
      </c>
      <c r="Q53" s="994">
        <f ca="1">+DATOSAÑO!BQ52</f>
        <v>5</v>
      </c>
      <c r="R53" s="1080">
        <f ca="1">DATOSAÑO!BS52+DATOSAÑO!BV52+DATOSAÑO!BY52+DATOSAÑO!CF52+DATOSAÑO!CL52</f>
        <v>17.565400000000917</v>
      </c>
    </row>
    <row r="54" spans="2:18">
      <c r="B54" s="390">
        <v>44969</v>
      </c>
      <c r="C54" s="994">
        <f ca="1">DATOSAÑO!AJ53</f>
        <v>8.3000000000029104</v>
      </c>
      <c r="D54" s="994">
        <f ca="1">DATOSAÑO!AK53</f>
        <v>16.099999999976717</v>
      </c>
      <c r="E54" s="994">
        <f ca="1">DATOSAÑO!AD53</f>
        <v>160</v>
      </c>
      <c r="F54" s="994">
        <v>0</v>
      </c>
      <c r="G54" s="994">
        <v>0</v>
      </c>
      <c r="H54" s="994">
        <f ca="1">DATOSAÑO!AI53</f>
        <v>42.299999999995634</v>
      </c>
      <c r="I54" s="994">
        <f ca="1">DATOSAÑO!CJ53</f>
        <v>5.025999999998862</v>
      </c>
      <c r="J54" s="994">
        <v>0</v>
      </c>
      <c r="K54" s="994">
        <f ca="1">DATOSAÑO!AF53</f>
        <v>142</v>
      </c>
      <c r="L54" s="994">
        <f ca="1">+DATOSAÑO!CK53</f>
        <v>1.5564000000002729</v>
      </c>
      <c r="M54" s="994">
        <f ca="1">+DATOSAÑO!AK53</f>
        <v>16.099999999976717</v>
      </c>
      <c r="N54" s="994">
        <f ca="1">+DATOSAÑO!AH53</f>
        <v>8.5999999999985448</v>
      </c>
      <c r="O54" s="994">
        <f ca="1">DATOSAÑO!AL53</f>
        <v>33.300000000028376</v>
      </c>
      <c r="P54" s="994">
        <f ca="1">+(DATOSAÑO!BH53)+DATOSAÑO!BJ53</f>
        <v>1.4279999999999999</v>
      </c>
      <c r="Q54" s="994">
        <f ca="1">+DATOSAÑO!BQ53</f>
        <v>5</v>
      </c>
      <c r="R54" s="1080">
        <f ca="1">DATOSAÑO!BS53+DATOSAÑO!BV53+DATOSAÑO!BY53+DATOSAÑO!CF53+DATOSAÑO!CL53</f>
        <v>20.817599999998681</v>
      </c>
    </row>
    <row r="55" spans="2:18">
      <c r="B55" s="390">
        <v>44970</v>
      </c>
      <c r="C55" s="994">
        <f ca="1">DATOSAÑO!AJ54</f>
        <v>8.7999999999883585</v>
      </c>
      <c r="D55" s="994">
        <f ca="1">DATOSAÑO!AK54</f>
        <v>15.900000000023283</v>
      </c>
      <c r="E55" s="994">
        <f ca="1">DATOSAÑO!AD54</f>
        <v>162</v>
      </c>
      <c r="F55" s="994">
        <v>0</v>
      </c>
      <c r="G55" s="994">
        <v>0</v>
      </c>
      <c r="H55" s="994">
        <f ca="1">DATOSAÑO!AI54</f>
        <v>42.69999999999709</v>
      </c>
      <c r="I55" s="994">
        <f ca="1">DATOSAÑO!CJ54</f>
        <v>5.1340000000003609</v>
      </c>
      <c r="J55" s="994">
        <v>0</v>
      </c>
      <c r="K55" s="994">
        <f ca="1">DATOSAÑO!AF54</f>
        <v>146</v>
      </c>
      <c r="L55" s="994">
        <f ca="1">+DATOSAÑO!CK54</f>
        <v>1.6223999999996725</v>
      </c>
      <c r="M55" s="994">
        <f ca="1">+DATOSAÑO!AK54</f>
        <v>15.900000000023283</v>
      </c>
      <c r="N55" s="994">
        <f ca="1">+DATOSAÑO!AH54</f>
        <v>9</v>
      </c>
      <c r="O55" s="994">
        <f ca="1">DATOSAÑO!AL54</f>
        <v>34.399999999990541</v>
      </c>
      <c r="P55" s="994">
        <f ca="1">+(DATOSAÑO!BH54)+DATOSAÑO!BJ54</f>
        <v>1.409</v>
      </c>
      <c r="Q55" s="994">
        <f ca="1">+DATOSAÑO!BQ54</f>
        <v>5</v>
      </c>
      <c r="R55" s="1080">
        <f ca="1">DATOSAÑO!BS54+DATOSAÑO!BV54+DATOSAÑO!BY54+DATOSAÑO!CF54+DATOSAÑO!CL54</f>
        <v>20.443600000000689</v>
      </c>
    </row>
    <row r="56" spans="2:18">
      <c r="B56" s="390">
        <v>44971</v>
      </c>
      <c r="C56" s="994">
        <f ca="1">DATOSAÑO!AJ55</f>
        <v>7.3000000000029104</v>
      </c>
      <c r="D56" s="994">
        <f ca="1">DATOSAÑO!AK55</f>
        <v>15.299999999988358</v>
      </c>
      <c r="E56" s="994">
        <f ca="1">DATOSAÑO!AD55</f>
        <v>162.09999999997672</v>
      </c>
      <c r="F56" s="994">
        <v>0</v>
      </c>
      <c r="G56" s="994">
        <v>0</v>
      </c>
      <c r="H56" s="994">
        <f ca="1">DATOSAÑO!AI55</f>
        <v>40.900000000008731</v>
      </c>
      <c r="I56" s="994">
        <f ca="1">DATOSAÑO!CJ55</f>
        <v>5.1645000000010901</v>
      </c>
      <c r="J56" s="994">
        <v>0</v>
      </c>
      <c r="K56" s="994">
        <f ca="1">DATOSAÑO!AF55</f>
        <v>138</v>
      </c>
      <c r="L56" s="994">
        <f ca="1">+DATOSAÑO!CK55</f>
        <v>1.3488000000000002</v>
      </c>
      <c r="M56" s="994">
        <f ca="1">+DATOSAÑO!AK55</f>
        <v>15.299999999988358</v>
      </c>
      <c r="N56" s="994">
        <f ca="1">+DATOSAÑO!AH55</f>
        <v>7.9000000000014552</v>
      </c>
      <c r="O56" s="994">
        <f ca="1">DATOSAÑO!AL55</f>
        <v>34.300000000021043</v>
      </c>
      <c r="P56" s="994">
        <f ca="1">+(DATOSAÑO!BH55)+DATOSAÑO!BJ55</f>
        <v>1.401</v>
      </c>
      <c r="Q56" s="994">
        <f ca="1">+DATOSAÑO!BQ55</f>
        <v>6.0999999999985448</v>
      </c>
      <c r="R56" s="1080">
        <f ca="1">DATOSAÑO!BS55+DATOSAÑO!BV55+DATOSAÑO!BY55+DATOSAÑO!CF55+DATOSAÑO!CL55</f>
        <v>20.386700000000364</v>
      </c>
    </row>
    <row r="57" spans="2:18">
      <c r="B57" s="390">
        <v>44972</v>
      </c>
      <c r="C57" s="994">
        <f ca="1">DATOSAÑO!AJ56</f>
        <v>7.1999999999970896</v>
      </c>
      <c r="D57" s="994">
        <f ca="1">DATOSAÑO!AK56</f>
        <v>16.600000000005821</v>
      </c>
      <c r="E57" s="994">
        <f ca="1">DATOSAÑO!AD56</f>
        <v>163.90000000002328</v>
      </c>
      <c r="F57" s="994">
        <v>0</v>
      </c>
      <c r="G57" s="994">
        <v>0</v>
      </c>
      <c r="H57" s="994">
        <f ca="1">DATOSAÑO!AI56</f>
        <v>47.099999999998545</v>
      </c>
      <c r="I57" s="994">
        <f ca="1">DATOSAÑO!CJ56</f>
        <v>4.9295000000049107</v>
      </c>
      <c r="J57" s="994">
        <v>0</v>
      </c>
      <c r="K57" s="994">
        <f ca="1">DATOSAÑO!AF56</f>
        <v>146</v>
      </c>
      <c r="L57" s="994">
        <f ca="1">+DATOSAÑO!CK56</f>
        <v>1.6740000000003272</v>
      </c>
      <c r="M57" s="994">
        <f ca="1">+DATOSAÑO!AK56</f>
        <v>16.600000000005821</v>
      </c>
      <c r="N57" s="994">
        <f ca="1">+DATOSAÑO!AH56</f>
        <v>8.5999999999985448</v>
      </c>
      <c r="O57" s="994">
        <f ca="1">DATOSAÑO!AL56</f>
        <v>32.299999999966531</v>
      </c>
      <c r="P57" s="994">
        <f ca="1">+(DATOSAÑO!BH56)+DATOSAÑO!BJ56</f>
        <v>1.514</v>
      </c>
      <c r="Q57" s="994">
        <f ca="1">+DATOSAÑO!BQ56</f>
        <v>5.3000000000029104</v>
      </c>
      <c r="R57" s="1080">
        <f ca="1">DATOSAÑO!BS56+DATOSAÑO!BV56+DATOSAÑO!BY56+DATOSAÑO!CF56+DATOSAÑO!CL56</f>
        <v>22.396500000005673</v>
      </c>
    </row>
    <row r="58" spans="2:18">
      <c r="B58" s="390">
        <v>44973</v>
      </c>
      <c r="C58" s="994">
        <f ca="1">DATOSAÑO!AJ57</f>
        <v>6</v>
      </c>
      <c r="D58" s="994">
        <f ca="1">DATOSAÑO!AK57</f>
        <v>14.399999999994179</v>
      </c>
      <c r="E58" s="994">
        <f ca="1">DATOSAÑO!AD57</f>
        <v>158</v>
      </c>
      <c r="F58" s="994">
        <v>0</v>
      </c>
      <c r="G58" s="994">
        <v>0</v>
      </c>
      <c r="H58" s="994">
        <f ca="1">DATOSAÑO!AI57</f>
        <v>43.599999999998545</v>
      </c>
      <c r="I58" s="994">
        <f ca="1">DATOSAÑO!CJ57</f>
        <v>4.4234999999941333</v>
      </c>
      <c r="J58" s="994">
        <v>0</v>
      </c>
      <c r="K58" s="994">
        <f ca="1">DATOSAÑO!AF57</f>
        <v>142</v>
      </c>
      <c r="L58" s="994">
        <f ca="1">+DATOSAÑO!CK57</f>
        <v>2.2319999999999451</v>
      </c>
      <c r="M58" s="994">
        <f ca="1">+DATOSAÑO!AK57</f>
        <v>14.399999999994179</v>
      </c>
      <c r="N58" s="994">
        <f ca="1">+DATOSAÑO!AH57</f>
        <v>10</v>
      </c>
      <c r="O58" s="994">
        <f ca="1">DATOSAÑO!AL57</f>
        <v>33.400000000016007</v>
      </c>
      <c r="P58" s="994">
        <f ca="1">+(DATOSAÑO!BH57)+DATOSAÑO!BJ57</f>
        <v>1.522</v>
      </c>
      <c r="Q58" s="994">
        <f ca="1">+DATOSAÑO!BQ57</f>
        <v>5.0999999999985448</v>
      </c>
      <c r="R58" s="1080">
        <f ca="1">DATOSAÑO!BS57+DATOSAÑO!BV57+DATOSAÑO!BY57+DATOSAÑO!CF57+DATOSAÑO!CL57</f>
        <v>21.644499999994277</v>
      </c>
    </row>
    <row r="59" spans="2:18">
      <c r="B59" s="390">
        <v>44974</v>
      </c>
      <c r="C59" s="994">
        <f ca="1">DATOSAÑO!AJ58</f>
        <v>8.7000000000116415</v>
      </c>
      <c r="D59" s="994">
        <f ca="1">DATOSAÑO!AK58</f>
        <v>16</v>
      </c>
      <c r="E59" s="994">
        <f ca="1">DATOSAÑO!AD58</f>
        <v>163</v>
      </c>
      <c r="F59" s="994">
        <v>0</v>
      </c>
      <c r="G59" s="994">
        <v>0</v>
      </c>
      <c r="H59" s="994">
        <f ca="1">DATOSAÑO!AI58</f>
        <v>39.299999999995634</v>
      </c>
      <c r="I59" s="994">
        <f ca="1">DATOSAÑO!CJ58</f>
        <v>5.5769999999991828</v>
      </c>
      <c r="J59" s="994">
        <v>0</v>
      </c>
      <c r="K59" s="994">
        <f ca="1">DATOSAÑO!AF58</f>
        <v>135</v>
      </c>
      <c r="L59" s="994">
        <f ca="1">+DATOSAÑO!CK58</f>
        <v>2.0586000000001095</v>
      </c>
      <c r="M59" s="994">
        <f ca="1">+DATOSAÑO!AK58</f>
        <v>16</v>
      </c>
      <c r="N59" s="994">
        <f ca="1">+DATOSAÑO!AH58</f>
        <v>6.7000000000043656</v>
      </c>
      <c r="O59" s="994">
        <f ca="1">DATOSAÑO!AL58</f>
        <v>31.099999999991212</v>
      </c>
      <c r="P59" s="994">
        <f ca="1">+(DATOSAÑO!BH58)+DATOSAÑO!BJ58</f>
        <v>1.526</v>
      </c>
      <c r="Q59" s="994">
        <f ca="1">+DATOSAÑO!BQ58</f>
        <v>4.8000000000029104</v>
      </c>
      <c r="R59" s="1080">
        <f ca="1">DATOSAÑO!BS58+DATOSAÑO!BV58+DATOSAÑO!BY58+DATOSAÑO!CF58+DATOSAÑO!CL58</f>
        <v>22.464399999999255</v>
      </c>
    </row>
    <row r="60" spans="2:18">
      <c r="B60" s="390">
        <v>44975</v>
      </c>
      <c r="C60" s="994">
        <f ca="1">DATOSAÑO!AJ59</f>
        <v>9.1999999999970896</v>
      </c>
      <c r="D60" s="994">
        <f ca="1">DATOSAÑO!AK59</f>
        <v>16</v>
      </c>
      <c r="E60" s="994">
        <f ca="1">DATOSAÑO!AD59</f>
        <v>165</v>
      </c>
      <c r="F60" s="994">
        <v>0</v>
      </c>
      <c r="G60" s="994">
        <v>0</v>
      </c>
      <c r="H60" s="994">
        <f ca="1">DATOSAÑO!AI59</f>
        <v>40.300000000010186</v>
      </c>
      <c r="I60" s="994">
        <f ca="1">DATOSAÑO!CJ59</f>
        <v>3.9909999999999988</v>
      </c>
      <c r="J60" s="994">
        <v>0</v>
      </c>
      <c r="K60" s="994">
        <f ca="1">DATOSAÑO!AF59</f>
        <v>148</v>
      </c>
      <c r="L60" s="994">
        <f ca="1">+DATOSAÑO!CK59</f>
        <v>2.3436000000001087</v>
      </c>
      <c r="M60" s="994">
        <f ca="1">+DATOSAÑO!AK59</f>
        <v>16</v>
      </c>
      <c r="N60" s="994">
        <f ca="1">+DATOSAÑO!AH59</f>
        <v>11.099999999998545</v>
      </c>
      <c r="O60" s="994">
        <f ca="1">DATOSAÑO!AL59</f>
        <v>33.299999999995634</v>
      </c>
      <c r="P60" s="994">
        <f ca="1">+(DATOSAÑO!BH59)+DATOSAÑO!BJ59</f>
        <v>1.52</v>
      </c>
      <c r="Q60" s="994">
        <f ca="1">+DATOSAÑO!BQ59</f>
        <v>4.3999999999941792</v>
      </c>
      <c r="R60" s="1080">
        <f ca="1">DATOSAÑO!BS59+DATOSAÑO!BV59+DATOSAÑO!BY59+DATOSAÑO!CF59+DATOSAÑO!CL59</f>
        <v>22.165399999999892</v>
      </c>
    </row>
    <row r="61" spans="2:18">
      <c r="B61" s="390">
        <v>44976</v>
      </c>
      <c r="C61" s="994">
        <f ca="1">DATOSAÑO!AJ60</f>
        <v>9.1999999999970896</v>
      </c>
      <c r="D61" s="994">
        <f ca="1">DATOSAÑO!AK60</f>
        <v>16</v>
      </c>
      <c r="E61" s="994">
        <f ca="1">DATOSAÑO!AD60</f>
        <v>160</v>
      </c>
      <c r="F61" s="994">
        <v>0</v>
      </c>
      <c r="G61" s="994">
        <v>0</v>
      </c>
      <c r="H61" s="994">
        <f ca="1">DATOSAÑO!AI60</f>
        <v>39.19999999999709</v>
      </c>
      <c r="I61" s="994">
        <f ca="1">DATOSAÑO!CJ60</f>
        <v>5.3305000000008178</v>
      </c>
      <c r="J61" s="994">
        <v>0</v>
      </c>
      <c r="K61" s="994">
        <f ca="1">DATOSAÑO!AF60</f>
        <v>143</v>
      </c>
      <c r="L61" s="994">
        <f ca="1">+DATOSAÑO!CK60</f>
        <v>1.9061999999994543</v>
      </c>
      <c r="M61" s="994">
        <f ca="1">+DATOSAÑO!AK60</f>
        <v>16</v>
      </c>
      <c r="N61" s="994">
        <f ca="1">+DATOSAÑO!AH60</f>
        <v>11.400000000001455</v>
      </c>
      <c r="O61" s="994">
        <f ca="1">DATOSAÑO!AL60</f>
        <v>32.100000000002183</v>
      </c>
      <c r="P61" s="994">
        <f ca="1">+(DATOSAÑO!BH60)+DATOSAÑO!BJ60</f>
        <v>1.498</v>
      </c>
      <c r="Q61" s="994">
        <f ca="1">+DATOSAÑO!BQ60</f>
        <v>4.2000000000043656</v>
      </c>
      <c r="R61" s="1080">
        <f ca="1">DATOSAÑO!BS60+DATOSAÑO!BV60+DATOSAÑO!BY60+DATOSAÑO!CF60+DATOSAÑO!CL60</f>
        <v>21.463300000000455</v>
      </c>
    </row>
    <row r="62" spans="2:18">
      <c r="B62" s="390">
        <v>44977</v>
      </c>
      <c r="C62" s="994">
        <f ca="1">DATOSAÑO!AJ61</f>
        <v>9.6000000000058208</v>
      </c>
      <c r="D62" s="994">
        <f ca="1">DATOSAÑO!AK61</f>
        <v>17</v>
      </c>
      <c r="E62" s="994">
        <f ca="1">DATOSAÑO!AD61</f>
        <v>155</v>
      </c>
      <c r="F62" s="994">
        <v>0</v>
      </c>
      <c r="G62" s="994">
        <v>0</v>
      </c>
      <c r="H62" s="994">
        <f ca="1">DATOSAÑO!AI61</f>
        <v>39.399999999994179</v>
      </c>
      <c r="I62" s="994">
        <f ca="1">DATOSAÑO!CJ61</f>
        <v>5.3429999999999547</v>
      </c>
      <c r="J62" s="994">
        <v>0</v>
      </c>
      <c r="K62" s="994">
        <f ca="1">DATOSAÑO!AF61</f>
        <v>147</v>
      </c>
      <c r="L62" s="994">
        <f ca="1">+DATOSAÑO!CK61</f>
        <v>2.2355999999999452</v>
      </c>
      <c r="M62" s="994">
        <f ca="1">+DATOSAÑO!AK61</f>
        <v>17</v>
      </c>
      <c r="N62" s="994">
        <f ca="1">+DATOSAÑO!AH61</f>
        <v>10.5</v>
      </c>
      <c r="O62" s="994">
        <f ca="1">DATOSAÑO!AL61</f>
        <v>39.30699999999905</v>
      </c>
      <c r="P62" s="994">
        <f ca="1">+(DATOSAÑO!BH61)+DATOSAÑO!BJ61</f>
        <v>1.504</v>
      </c>
      <c r="Q62" s="994">
        <f ca="1">+DATOSAÑO!BQ61</f>
        <v>4.5999999999985448</v>
      </c>
      <c r="R62" s="1080">
        <f ca="1">DATOSAÑO!BS61+DATOSAÑO!BV61+DATOSAÑO!BY61+DATOSAÑO!CF61+DATOSAÑO!CL61</f>
        <v>21.221399999999374</v>
      </c>
    </row>
    <row r="63" spans="2:18">
      <c r="B63" s="390">
        <v>44978</v>
      </c>
      <c r="C63" s="994">
        <f ca="1">DATOSAÑO!AJ62</f>
        <v>10.069999999992433</v>
      </c>
      <c r="D63" s="994">
        <f ca="1">DATOSAÑO!AK62</f>
        <v>16.700000000011642</v>
      </c>
      <c r="E63" s="994">
        <f ca="1">DATOSAÑO!AD62</f>
        <v>169.40000000002328</v>
      </c>
      <c r="F63" s="994">
        <v>0</v>
      </c>
      <c r="G63" s="994">
        <v>0</v>
      </c>
      <c r="H63" s="994">
        <f ca="1">DATOSAÑO!AI62</f>
        <v>38.69999999999709</v>
      </c>
      <c r="I63" s="994">
        <f ca="1">DATOSAÑO!CJ62</f>
        <v>5.238499999988222</v>
      </c>
      <c r="J63" s="994">
        <v>0</v>
      </c>
      <c r="K63" s="994">
        <f ca="1">DATOSAÑO!AF62</f>
        <v>150.70000000001164</v>
      </c>
      <c r="L63" s="994">
        <f ca="1">+DATOSAÑO!CK62</f>
        <v>1.6746000000001637</v>
      </c>
      <c r="M63" s="994">
        <f ca="1">+DATOSAÑO!AK62</f>
        <v>16.700000000011642</v>
      </c>
      <c r="N63" s="994">
        <f ca="1">+DATOSAÑO!AH62</f>
        <v>8.7999999999956344</v>
      </c>
      <c r="O63" s="994">
        <f ca="1">DATOSAÑO!AL62</f>
        <v>27.129999999993743</v>
      </c>
      <c r="P63" s="994">
        <f ca="1">+(DATOSAÑO!BH62)+DATOSAÑO!BJ62</f>
        <v>1.522</v>
      </c>
      <c r="Q63" s="994">
        <f ca="1">+DATOSAÑO!BQ62</f>
        <v>4.9000000000014552</v>
      </c>
      <c r="R63" s="1080">
        <f ca="1">DATOSAÑO!BS62+DATOSAÑO!BV62+DATOSAÑO!BY62+DATOSAÑO!CF62+DATOSAÑO!CL62</f>
        <v>21.686899999988334</v>
      </c>
    </row>
    <row r="64" spans="2:18">
      <c r="B64" s="390">
        <v>44979</v>
      </c>
      <c r="C64" s="994">
        <f ca="1">DATOSAÑO!AJ63</f>
        <v>10.229999999995925</v>
      </c>
      <c r="D64" s="994">
        <f ca="1">DATOSAÑO!AK63</f>
        <v>17</v>
      </c>
      <c r="E64" s="994">
        <f ca="1">DATOSAÑO!AD63</f>
        <v>163.90000000002328</v>
      </c>
      <c r="F64" s="994">
        <v>0</v>
      </c>
      <c r="G64" s="994">
        <v>0</v>
      </c>
      <c r="H64" s="994">
        <f ca="1">DATOSAÑO!AI63</f>
        <v>36.30000000000291</v>
      </c>
      <c r="I64" s="994">
        <f ca="1">DATOSAÑO!CJ63</f>
        <v>3.5784999999953166</v>
      </c>
      <c r="J64" s="994">
        <v>0</v>
      </c>
      <c r="K64" s="994">
        <f ca="1">DATOSAÑO!AF63</f>
        <v>150.20000000001164</v>
      </c>
      <c r="L64" s="994">
        <f ca="1">+DATOSAÑO!CK63</f>
        <v>1.0890000000001636</v>
      </c>
      <c r="M64" s="994">
        <f ca="1">+DATOSAÑO!AK63</f>
        <v>17</v>
      </c>
      <c r="N64" s="994">
        <f ca="1">+DATOSAÑO!AH63</f>
        <v>10.200000000004366</v>
      </c>
      <c r="O64" s="994">
        <f ca="1">DATOSAÑO!AL63</f>
        <v>33.769999999993217</v>
      </c>
      <c r="P64" s="994">
        <f ca="1">+(DATOSAÑO!BH63)+DATOSAÑO!BJ63</f>
        <v>1.552</v>
      </c>
      <c r="Q64" s="994">
        <f ca="1">+DATOSAÑO!BQ63</f>
        <v>5.0999999999985448</v>
      </c>
      <c r="R64" s="1080">
        <f ca="1">DATOSAÑO!BS63+DATOSAÑO!BV63+DATOSAÑO!BY63+DATOSAÑO!CF63+DATOSAÑO!CL63</f>
        <v>23.432499999995791</v>
      </c>
    </row>
    <row r="65" spans="2:18">
      <c r="B65" s="390">
        <v>44980</v>
      </c>
      <c r="C65" s="994">
        <f ca="1">DATOSAÑO!AJ64</f>
        <v>9.9500000000116415</v>
      </c>
      <c r="D65" s="994">
        <f ca="1">DATOSAÑO!AK64</f>
        <v>14.470000000001164</v>
      </c>
      <c r="E65" s="994">
        <f ca="1">DATOSAÑO!AD64</f>
        <v>151.59999999997672</v>
      </c>
      <c r="F65" s="994">
        <v>0</v>
      </c>
      <c r="G65" s="994">
        <v>0</v>
      </c>
      <c r="H65" s="994">
        <f ca="1">DATOSAÑO!AI64</f>
        <v>33.110000000007858</v>
      </c>
      <c r="I65" s="994">
        <f ca="1">DATOSAÑO!CJ64</f>
        <v>3.1170000000147131</v>
      </c>
      <c r="J65" s="994">
        <v>0</v>
      </c>
      <c r="K65" s="994">
        <f ca="1">DATOSAÑO!AF64</f>
        <v>123.88999999995576</v>
      </c>
      <c r="L65" s="994">
        <f ca="1">+DATOSAÑO!CK64</f>
        <v>1.960200000000242</v>
      </c>
      <c r="M65" s="994">
        <f ca="1">+DATOSAÑO!AK64</f>
        <v>14.470000000001164</v>
      </c>
      <c r="N65" s="994">
        <f ca="1">+DATOSAÑO!AH64</f>
        <v>0.1000000000003638</v>
      </c>
      <c r="O65" s="994">
        <f ca="1">DATOSAÑO!AL64</f>
        <v>35.470000000050334</v>
      </c>
      <c r="P65" s="994">
        <f ca="1">+(DATOSAÑO!BH64)+DATOSAÑO!BJ64</f>
        <v>1.47</v>
      </c>
      <c r="Q65" s="994">
        <f ca="1">+DATOSAÑO!BQ64</f>
        <v>4.9389999999984866</v>
      </c>
      <c r="R65" s="1080">
        <f ca="1">DATOSAÑO!BS64+DATOSAÑO!BV64+DATOSAÑO!BY64+DATOSAÑO!CF64+DATOSAÑO!CL64</f>
        <v>19.032800000014731</v>
      </c>
    </row>
    <row r="66" spans="2:18">
      <c r="B66" s="390">
        <v>44981</v>
      </c>
      <c r="C66" s="994">
        <f ca="1">DATOSAÑO!AJ65</f>
        <v>8.3099999999976717</v>
      </c>
      <c r="D66" s="994">
        <f ca="1">DATOSAÑO!AK65</f>
        <v>16.529999999998836</v>
      </c>
      <c r="E66" s="994">
        <f ca="1">DATOSAÑO!AD65</f>
        <v>164.5</v>
      </c>
      <c r="F66" s="994">
        <v>0</v>
      </c>
      <c r="G66" s="994">
        <v>0</v>
      </c>
      <c r="H66" s="994">
        <f ca="1">DATOSAÑO!AI65</f>
        <v>29.959999999999127</v>
      </c>
      <c r="I66" s="994">
        <f ca="1">DATOSAÑO!CJ65</f>
        <v>4.7410000000036927</v>
      </c>
      <c r="J66" s="994">
        <v>0</v>
      </c>
      <c r="K66" s="994">
        <f ca="1">DATOSAÑO!AF65</f>
        <v>142.28000000002794</v>
      </c>
      <c r="L66" s="994">
        <f ca="1">+DATOSAÑO!CK65</f>
        <v>1.302599999999869</v>
      </c>
      <c r="M66" s="994">
        <f ca="1">+DATOSAÑO!AK65</f>
        <v>16.529999999998836</v>
      </c>
      <c r="N66" s="994">
        <f ca="1">+DATOSAÑO!AH65</f>
        <v>6.7999999999956344</v>
      </c>
      <c r="O66" s="994">
        <f ca="1">DATOSAÑO!AL65</f>
        <v>39.349999999922147</v>
      </c>
      <c r="P66" s="994">
        <f ca="1">+(DATOSAÑO!BH65)+DATOSAÑO!BJ65</f>
        <v>1.5249999999999999</v>
      </c>
      <c r="Q66" s="994">
        <f ca="1">+DATOSAÑO!BQ65</f>
        <v>4.9310000000041327</v>
      </c>
      <c r="R66" s="1080">
        <f ca="1">DATOSAÑO!BS65+DATOSAÑO!BV65+DATOSAÑO!BY65+DATOSAÑO!CF65+DATOSAÑO!CL65</f>
        <v>20.976400000004148</v>
      </c>
    </row>
    <row r="67" spans="2:18">
      <c r="B67" s="390">
        <v>44982</v>
      </c>
      <c r="C67" s="994">
        <f ca="1">DATOSAÑO!AJ66</f>
        <v>8.9799999999959255</v>
      </c>
      <c r="D67" s="994">
        <f ca="1">DATOSAÑO!AK66</f>
        <v>15.029999999998836</v>
      </c>
      <c r="E67" s="994">
        <f ca="1">DATOSAÑO!AD66</f>
        <v>162.69999999995343</v>
      </c>
      <c r="F67" s="994">
        <v>0</v>
      </c>
      <c r="G67" s="994">
        <v>0</v>
      </c>
      <c r="H67" s="994">
        <f ca="1">DATOSAÑO!AI66</f>
        <v>32.040000000000873</v>
      </c>
      <c r="I67" s="994">
        <f ca="1">DATOSAÑO!CJ66</f>
        <v>4.6514999999972986</v>
      </c>
      <c r="J67" s="994">
        <v>0</v>
      </c>
      <c r="K67" s="994">
        <f ca="1">DATOSAÑO!AF66</f>
        <v>139.5800000000163</v>
      </c>
      <c r="L67" s="994">
        <f ca="1">+DATOSAÑO!CK66</f>
        <v>2.0802000000001635</v>
      </c>
      <c r="M67" s="994">
        <f ca="1">+DATOSAÑO!AK66</f>
        <v>15.029999999998836</v>
      </c>
      <c r="N67" s="994">
        <f ca="1">+DATOSAÑO!AH66</f>
        <v>17.600000000005821</v>
      </c>
      <c r="O67" s="994">
        <f ca="1">DATOSAÑO!AL66</f>
        <v>27.930000000022062</v>
      </c>
      <c r="P67" s="994">
        <f ca="1">+(DATOSAÑO!BH66)+DATOSAÑO!BJ66</f>
        <v>1.4350000000000001</v>
      </c>
      <c r="Q67" s="994">
        <f ca="1">+DATOSAÑO!BQ66</f>
        <v>4.6419999999998254</v>
      </c>
      <c r="R67" s="1080">
        <f ca="1">DATOSAÑO!BS66+DATOSAÑO!BV66+DATOSAÑO!BY66+DATOSAÑO!CF66+DATOSAÑO!CL66</f>
        <v>22.188299999997152</v>
      </c>
    </row>
    <row r="68" spans="2:18">
      <c r="B68" s="390">
        <v>44983</v>
      </c>
      <c r="C68" s="994">
        <f ca="1">DATOSAÑO!AJ67</f>
        <v>8.6999999999970896</v>
      </c>
      <c r="D68" s="994">
        <f ca="1">DATOSAÑO!AK67</f>
        <v>15.779999999998836</v>
      </c>
      <c r="E68" s="994">
        <f ca="1">DATOSAÑO!AD67</f>
        <v>161.30000000004657</v>
      </c>
      <c r="F68" s="994">
        <v>0</v>
      </c>
      <c r="G68" s="994">
        <v>0</v>
      </c>
      <c r="H68" s="994">
        <f ca="1">DATOSAÑO!AI67</f>
        <v>32.669999999998254</v>
      </c>
      <c r="I68" s="994">
        <f ca="1">DATOSAÑO!CJ67</f>
        <v>4.2075000000012635</v>
      </c>
      <c r="J68" s="994">
        <v>0</v>
      </c>
      <c r="K68" s="994">
        <f ca="1">DATOSAÑO!AF67</f>
        <v>137.84999999997672</v>
      </c>
      <c r="L68" s="994">
        <f ca="1">+DATOSAÑO!CK67</f>
        <v>2.3327999999995526</v>
      </c>
      <c r="M68" s="994">
        <f ca="1">+DATOSAÑO!AK67</f>
        <v>15.779999999998836</v>
      </c>
      <c r="N68" s="994">
        <f ca="1">+DATOSAÑO!AH67</f>
        <v>10.199999999995271</v>
      </c>
      <c r="O68" s="994">
        <f ca="1">DATOSAÑO!AL67</f>
        <v>33.169999999967274</v>
      </c>
      <c r="P68" s="994">
        <f ca="1">+(DATOSAÑO!BH67)+DATOSAÑO!BJ67</f>
        <v>1.5309999999999999</v>
      </c>
      <c r="Q68" s="994">
        <f ca="1">+DATOSAÑO!BQ67</f>
        <v>4.6440000000002328</v>
      </c>
      <c r="R68" s="1080">
        <f ca="1">DATOSAÑO!BS67+DATOSAÑO!BV67+DATOSAÑO!BY67+DATOSAÑO!CF67+DATOSAÑO!CL67</f>
        <v>21.60970000000064</v>
      </c>
    </row>
    <row r="69" spans="2:18">
      <c r="B69" s="390">
        <v>44984</v>
      </c>
      <c r="C69" s="994">
        <f ca="1">DATOSAÑO!AJ68</f>
        <v>8.8500000000058208</v>
      </c>
      <c r="D69" s="994">
        <f ca="1">DATOSAÑO!AK68</f>
        <v>16.319999999977881</v>
      </c>
      <c r="E69" s="994">
        <f ca="1">DATOSAÑO!AD68</f>
        <v>159.79999999993015</v>
      </c>
      <c r="F69" s="994">
        <v>0</v>
      </c>
      <c r="G69" s="994">
        <v>0</v>
      </c>
      <c r="H69" s="994">
        <f ca="1">DATOSAÑO!AI68</f>
        <v>32.489999999997963</v>
      </c>
      <c r="I69" s="994">
        <f ca="1">DATOSAÑO!CJ68</f>
        <v>4.9274999999737608</v>
      </c>
      <c r="J69" s="994">
        <v>0</v>
      </c>
      <c r="K69" s="994">
        <f ca="1">DATOSAÑO!AF68</f>
        <v>139.03000000002794</v>
      </c>
      <c r="L69" s="994">
        <f ca="1">+DATOSAÑO!CK68</f>
        <v>2.2578000000000107</v>
      </c>
      <c r="M69" s="994">
        <f ca="1">+DATOSAÑO!AK68</f>
        <v>16.319999999977881</v>
      </c>
      <c r="N69" s="994">
        <f ca="1">+DATOSAÑO!AH68</f>
        <v>13.80000000000291</v>
      </c>
      <c r="O69" s="994">
        <f ca="1">DATOSAÑO!AL68</f>
        <v>35.240000000088912</v>
      </c>
      <c r="P69" s="994">
        <f ca="1">+(DATOSAÑO!BH68)+DATOSAÑO!BJ68</f>
        <v>1.4990000000000001</v>
      </c>
      <c r="Q69" s="994">
        <f ca="1">+DATOSAÑO!BQ68</f>
        <v>5.1519999999945867</v>
      </c>
      <c r="R69" s="1080">
        <f ca="1">DATOSAÑO!BS68+DATOSAÑO!BV68+DATOSAÑO!BY68+DATOSAÑO!CF68+DATOSAÑO!CL68</f>
        <v>22.48469999997355</v>
      </c>
    </row>
    <row r="70" spans="2:18" ht="15" thickBot="1">
      <c r="B70" s="390">
        <v>44985</v>
      </c>
      <c r="C70" s="994">
        <f ca="1">DATOSAÑO!AJ69</f>
        <v>8.5999999999912689</v>
      </c>
      <c r="D70" s="994">
        <f ca="1">DATOSAÑO!AK69</f>
        <v>15.170000000012806</v>
      </c>
      <c r="E70" s="994">
        <f ca="1">DATOSAÑO!AD69</f>
        <v>165.40000000002328</v>
      </c>
      <c r="F70" s="994">
        <v>0</v>
      </c>
      <c r="G70" s="994">
        <v>0</v>
      </c>
      <c r="H70" s="994">
        <f ca="1">DATOSAÑO!AI69</f>
        <v>32.190000000002328</v>
      </c>
      <c r="I70" s="994">
        <f ca="1">DATOSAÑO!CJ69</f>
        <v>4.9160000000206896</v>
      </c>
      <c r="J70" s="994">
        <v>0</v>
      </c>
      <c r="K70" s="994">
        <f ca="1">DATOSAÑO!AF69</f>
        <v>139.46999999997206</v>
      </c>
      <c r="L70" s="994">
        <f ca="1">+DATOSAÑO!CK69</f>
        <v>2.2422000000002953</v>
      </c>
      <c r="M70" s="994">
        <f ca="1">+DATOSAÑO!AK69</f>
        <v>15.170000000012806</v>
      </c>
      <c r="N70" s="994">
        <f ca="1">+DATOSAÑO!AH69</f>
        <v>8.5999999999985448</v>
      </c>
      <c r="O70" s="994">
        <f ca="1">DATOSAÑO!AL69</f>
        <v>33.025000000036698</v>
      </c>
      <c r="P70" s="994">
        <f ca="1">+(DATOSAÑO!BH69)+DATOSAÑO!BJ69</f>
        <v>1.5720000000000001</v>
      </c>
      <c r="Q70" s="994">
        <f ca="1">+DATOSAÑO!BQ69</f>
        <v>5.2690000000002328</v>
      </c>
      <c r="R70" s="1080">
        <f ca="1">DATOSAÑO!BS69+DATOSAÑO!BV69+DATOSAÑO!BY69+DATOSAÑO!CF69+DATOSAÑO!CL69</f>
        <v>22.871800000021505</v>
      </c>
    </row>
    <row r="71" spans="2:18" ht="15" thickBot="1">
      <c r="B71" s="1268" t="s">
        <v>1131</v>
      </c>
      <c r="C71" s="1267">
        <f t="shared" ref="C71:R71" ca="1" si="1">SUM(C43:C70)</f>
        <v>247.08999999999651</v>
      </c>
      <c r="D71" s="1030">
        <f t="shared" ca="1" si="1"/>
        <v>413.5</v>
      </c>
      <c r="E71" s="1030">
        <f t="shared" ca="1" si="1"/>
        <v>4449.0999999999767</v>
      </c>
      <c r="F71" s="1030">
        <f t="shared" si="1"/>
        <v>0</v>
      </c>
      <c r="G71" s="1030">
        <f t="shared" si="1"/>
        <v>0</v>
      </c>
      <c r="H71" s="1030">
        <f t="shared" ca="1" si="1"/>
        <v>1097.3600000000079</v>
      </c>
      <c r="I71" s="1030">
        <f t="shared" ca="1" si="1"/>
        <v>132.4224999999831</v>
      </c>
      <c r="J71" s="1030">
        <f t="shared" si="1"/>
        <v>0</v>
      </c>
      <c r="K71" s="1030">
        <f t="shared" ca="1" si="1"/>
        <v>4044</v>
      </c>
      <c r="L71" s="1030">
        <f t="shared" ca="1" si="1"/>
        <v>51.892800000000285</v>
      </c>
      <c r="M71" s="1030">
        <f t="shared" ca="1" si="1"/>
        <v>413.5</v>
      </c>
      <c r="N71" s="1030">
        <f t="shared" ca="1" si="1"/>
        <v>280.5</v>
      </c>
      <c r="O71" s="1030">
        <f t="shared" ca="1" si="1"/>
        <v>928.88400000008437</v>
      </c>
      <c r="P71" s="1030">
        <f t="shared" ca="1" si="1"/>
        <v>41.166000000000004</v>
      </c>
      <c r="Q71" s="1081">
        <f t="shared" ca="1" si="1"/>
        <v>137.47699999999895</v>
      </c>
      <c r="R71" s="1081">
        <f t="shared" ca="1" si="1"/>
        <v>595.98469999998338</v>
      </c>
    </row>
    <row r="72" spans="2:18">
      <c r="B72" s="390">
        <v>44986</v>
      </c>
      <c r="C72" s="994">
        <f ca="1">DATOSAÑO!AJ70</f>
        <v>6.4100000000034925</v>
      </c>
      <c r="D72" s="994">
        <f ca="1">DATOSAÑO!AK70</f>
        <v>15.200000000011642</v>
      </c>
      <c r="E72" s="994">
        <f ca="1">DATOSAÑO!AD70</f>
        <v>158.80000000004657</v>
      </c>
      <c r="F72" s="994">
        <f>(VLOOKUP($B72,[8]DATOSAÑO!$B$12:$BS$376,37))</f>
        <v>0</v>
      </c>
      <c r="G72" s="994">
        <v>0</v>
      </c>
      <c r="H72" s="994">
        <f ca="1">DATOSAÑO!AI70</f>
        <v>32.839999999996508</v>
      </c>
      <c r="I72" s="994">
        <f ca="1">DATOSAÑO!CJ70</f>
        <v>5.2660000000234914</v>
      </c>
      <c r="J72" s="994">
        <v>0</v>
      </c>
      <c r="K72" s="994">
        <f ca="1">DATOSAÑO!AF70</f>
        <v>139.79999999998836</v>
      </c>
      <c r="L72" s="994">
        <f ca="1">+DATOSAÑO!CK70</f>
        <v>1.7321999999997053</v>
      </c>
      <c r="M72" s="994">
        <f ca="1">+DATOSAÑO!AK70</f>
        <v>15.200000000011642</v>
      </c>
      <c r="N72" s="994">
        <f ca="1">+DATOSAÑO!AH70</f>
        <v>9</v>
      </c>
      <c r="O72" s="994">
        <f ca="1">DATOSAÑO!AL70</f>
        <v>38.909999999897934</v>
      </c>
      <c r="P72" s="1029">
        <f ca="1">+(DATOSAÑO!BH70)+DATOSAÑO!BJ70</f>
        <v>1.3149999999999999</v>
      </c>
      <c r="Q72" s="994">
        <f ca="1">+DATOSAÑO!BQ70</f>
        <v>5.25</v>
      </c>
      <c r="R72" s="1080">
        <f ca="1">DATOSAÑO!BS70+DATOSAÑO!BV70+DATOSAÑO!BY70+DATOSAÑO!CF70+DATOSAÑO!CL70</f>
        <v>23.101800000022642</v>
      </c>
    </row>
    <row r="73" spans="2:18">
      <c r="B73" s="390">
        <v>44987</v>
      </c>
      <c r="C73" s="994">
        <f ca="1">DATOSAÑO!AJ71</f>
        <v>7.4000000000087311</v>
      </c>
      <c r="D73" s="994">
        <f ca="1">DATOSAÑO!AK71</f>
        <v>15.399999999994179</v>
      </c>
      <c r="E73" s="994">
        <f ca="1">DATOSAÑO!AD71</f>
        <v>167.40000000002328</v>
      </c>
      <c r="F73" s="994">
        <f>(VLOOKUP($B73,[8]DATOSAÑO!$B$12:$BS$376,37))</f>
        <v>0</v>
      </c>
      <c r="G73" s="994">
        <v>0</v>
      </c>
      <c r="H73" s="994">
        <f ca="1">DATOSAÑO!AI71</f>
        <v>36.969999999993888</v>
      </c>
      <c r="I73" s="994">
        <f ca="1">DATOSAÑO!CJ71</f>
        <v>4.1384999999696497</v>
      </c>
      <c r="J73" s="994">
        <v>0</v>
      </c>
      <c r="K73" s="994">
        <f ca="1">DATOSAÑO!AF71</f>
        <v>139.20000000001164</v>
      </c>
      <c r="L73" s="994">
        <f ca="1">+DATOSAÑO!CK71</f>
        <v>1.49880000000012</v>
      </c>
      <c r="M73" s="994">
        <f ca="1">+DATOSAÑO!AK71</f>
        <v>15.399999999994179</v>
      </c>
      <c r="N73" s="994">
        <f ca="1">+DATOSAÑO!AH71</f>
        <v>9.1000000000003638</v>
      </c>
      <c r="O73" s="994">
        <f ca="1">DATOSAÑO!AL71</f>
        <v>29.429999999980282</v>
      </c>
      <c r="P73" s="1029">
        <f ca="1">+(DATOSAÑO!BH71)+DATOSAÑO!BJ71</f>
        <v>1.363</v>
      </c>
      <c r="Q73" s="994">
        <f ca="1">+DATOSAÑO!BQ71</f>
        <v>5.3729999999995925</v>
      </c>
      <c r="R73" s="1080">
        <f ca="1">DATOSAÑO!BS71+DATOSAÑO!BV71+DATOSAÑO!BY71+DATOSAÑO!CF71+DATOSAÑO!CL71</f>
        <v>21.76269999996984</v>
      </c>
    </row>
    <row r="74" spans="2:18">
      <c r="B74" s="390">
        <v>44988</v>
      </c>
      <c r="C74" s="994">
        <f ca="1">DATOSAÑO!AJ72</f>
        <v>7.1299999999901047</v>
      </c>
      <c r="D74" s="994">
        <f ca="1">DATOSAÑO!AK72</f>
        <v>14.940000000002328</v>
      </c>
      <c r="E74" s="994">
        <f ca="1">DATOSAÑO!AD72</f>
        <v>160.29999999993015</v>
      </c>
      <c r="F74" s="1024">
        <f>(VLOOKUP($B74,[8]DATOSAÑO!$B$12:$BS$376,37))</f>
        <v>0</v>
      </c>
      <c r="G74" s="1024">
        <v>0</v>
      </c>
      <c r="H74" s="994">
        <f ca="1">DATOSAÑO!AI72</f>
        <v>36.710000000006403</v>
      </c>
      <c r="I74" s="994">
        <f ca="1">DATOSAÑO!CJ72</f>
        <v>4.4225000000073758</v>
      </c>
      <c r="J74" s="1024">
        <v>0</v>
      </c>
      <c r="K74" s="994">
        <f ca="1">DATOSAÑO!AF72</f>
        <v>137.90000000002328</v>
      </c>
      <c r="L74" s="994">
        <f ca="1">+DATOSAÑO!CK72</f>
        <v>1.5917999999999017</v>
      </c>
      <c r="M74" s="994">
        <f ca="1">+DATOSAÑO!AK72</f>
        <v>14.940000000002328</v>
      </c>
      <c r="N74" s="994">
        <f ca="1">+DATOSAÑO!AH72</f>
        <v>10.599999999996726</v>
      </c>
      <c r="O74" s="994">
        <f ca="1">DATOSAÑO!AL72</f>
        <v>33.800000000066575</v>
      </c>
      <c r="P74" s="1029">
        <f ca="1">+(DATOSAÑO!BH72)+DATOSAÑO!BJ72</f>
        <v>1.3879999999999999</v>
      </c>
      <c r="Q74" s="994">
        <f ca="1">+DATOSAÑO!BQ72</f>
        <v>5.1000000000058208</v>
      </c>
      <c r="R74" s="1080">
        <f ca="1">DATOSAÑO!BS72+DATOSAÑO!BV72+DATOSAÑO!BY72+DATOSAÑO!CF72+DATOSAÑO!CL72</f>
        <v>21.985700000007274</v>
      </c>
    </row>
    <row r="75" spans="2:18">
      <c r="B75" s="390">
        <v>44989</v>
      </c>
      <c r="C75" s="994">
        <f ca="1">DATOSAÑO!AJ73</f>
        <v>8.4700000000011642</v>
      </c>
      <c r="D75" s="994">
        <f ca="1">DATOSAÑO!AK73</f>
        <v>15.910000000003492</v>
      </c>
      <c r="E75" s="994">
        <f ca="1">DATOSAÑO!AD73</f>
        <v>164.30000000004657</v>
      </c>
      <c r="F75" s="994">
        <f>(VLOOKUP($B75,[8]DATOSAÑO!$B$12:$BS$376,37))</f>
        <v>0</v>
      </c>
      <c r="G75" s="994">
        <v>0</v>
      </c>
      <c r="H75" s="994">
        <f ca="1">DATOSAÑO!AI73</f>
        <v>38.220000000001164</v>
      </c>
      <c r="I75" s="994">
        <f ca="1">DATOSAÑO!CJ73</f>
        <v>5.5604999999995544</v>
      </c>
      <c r="J75" s="994">
        <v>0</v>
      </c>
      <c r="K75" s="994">
        <f ca="1">DATOSAÑO!AF73</f>
        <v>137.79999999998836</v>
      </c>
      <c r="L75" s="994">
        <f ca="1">+DATOSAÑO!CK73</f>
        <v>1.498799999999967</v>
      </c>
      <c r="M75" s="994">
        <f ca="1">+DATOSAÑO!AK73</f>
        <v>15.910000000003492</v>
      </c>
      <c r="N75" s="994">
        <f ca="1">+DATOSAÑO!AH73</f>
        <v>11.900000000005093</v>
      </c>
      <c r="O75" s="994">
        <f ca="1">DATOSAÑO!AL73</f>
        <v>33.419999999929189</v>
      </c>
      <c r="P75" s="1029">
        <f ca="1">+(DATOSAÑO!BH73)+DATOSAÑO!BJ73</f>
        <v>1.3680000000000001</v>
      </c>
      <c r="Q75" s="994">
        <f ca="1">+DATOSAÑO!BQ73</f>
        <v>4.6679999999978463</v>
      </c>
      <c r="R75" s="1080">
        <f ca="1">DATOSAÑO!BS73+DATOSAÑO!BV73+DATOSAÑO!BY73+DATOSAÑO!CF73+DATOSAÑO!CL73</f>
        <v>23.240699999999748</v>
      </c>
    </row>
    <row r="76" spans="2:18">
      <c r="B76" s="390">
        <v>44990</v>
      </c>
      <c r="C76" s="994">
        <f ca="1">DATOSAÑO!AJ74</f>
        <v>5.6699999999982538</v>
      </c>
      <c r="D76" s="994">
        <f ca="1">DATOSAÑO!AK74</f>
        <v>14.379999999975553</v>
      </c>
      <c r="E76" s="994">
        <f ca="1">DATOSAÑO!AD74</f>
        <v>162.40000000002328</v>
      </c>
      <c r="F76" s="994">
        <f>(VLOOKUP($B76,[8]DATOSAÑO!$B$12:$BS$376,37))</f>
        <v>0</v>
      </c>
      <c r="G76" s="994">
        <v>0</v>
      </c>
      <c r="H76" s="994">
        <f ca="1">DATOSAÑO!AI74</f>
        <v>38.229999999995925</v>
      </c>
      <c r="I76" s="994">
        <f ca="1">DATOSAÑO!CJ74</f>
        <v>4.6825000000170807</v>
      </c>
      <c r="J76" s="994">
        <v>0</v>
      </c>
      <c r="K76" s="994">
        <f ca="1">DATOSAÑO!AF74</f>
        <v>139.29999999998836</v>
      </c>
      <c r="L76" s="994">
        <f ca="1">+DATOSAÑO!CK74</f>
        <v>1.4796000000001091</v>
      </c>
      <c r="M76" s="994">
        <f ca="1">+DATOSAÑO!AK74</f>
        <v>14.379999999975553</v>
      </c>
      <c r="N76" s="994">
        <f ca="1">+DATOSAÑO!AH74</f>
        <v>7.3999999999996362</v>
      </c>
      <c r="O76" s="994">
        <f ca="1">DATOSAÑO!AL74</f>
        <v>32.969999999959384</v>
      </c>
      <c r="P76" s="1029">
        <f ca="1">+(DATOSAÑO!BH74)+DATOSAÑO!BJ74</f>
        <v>1.3839999999999999</v>
      </c>
      <c r="Q76" s="994">
        <f ca="1">+DATOSAÑO!BQ74</f>
        <v>4.5230000000010477</v>
      </c>
      <c r="R76" s="1080">
        <f ca="1">DATOSAÑO!BS74+DATOSAÑO!BV74+DATOSAÑO!BY74+DATOSAÑO!CF74+DATOSAÑO!CL74</f>
        <v>22.23790000001701</v>
      </c>
    </row>
    <row r="77" spans="2:18">
      <c r="B77" s="390">
        <v>44991</v>
      </c>
      <c r="C77" s="994">
        <f ca="1">DATOSAÑO!AJ75</f>
        <v>8.6300000000046566</v>
      </c>
      <c r="D77" s="994">
        <f ca="1">DATOSAÑO!AK75</f>
        <v>15.170000000012806</v>
      </c>
      <c r="E77" s="994">
        <f ca="1">DATOSAÑO!AD75</f>
        <v>162.19999999995343</v>
      </c>
      <c r="F77" s="994">
        <f>(VLOOKUP($B77,[8]DATOSAÑO!$B$12:$BS$376,37))</f>
        <v>0</v>
      </c>
      <c r="G77" s="994">
        <v>0</v>
      </c>
      <c r="H77" s="994">
        <f ca="1">DATOSAÑO!AI75</f>
        <v>37.270000000004075</v>
      </c>
      <c r="I77" s="994">
        <f ca="1">DATOSAÑO!CJ75</f>
        <v>4.6644999999876591</v>
      </c>
      <c r="J77" s="994">
        <v>0</v>
      </c>
      <c r="K77" s="994">
        <f ca="1">DATOSAÑO!AF75</f>
        <v>136</v>
      </c>
      <c r="L77" s="994">
        <f ca="1">+DATOSAÑO!CK75</f>
        <v>1.5455999999997925</v>
      </c>
      <c r="M77" s="994">
        <f ca="1">+DATOSAÑO!AK75</f>
        <v>15.170000000012806</v>
      </c>
      <c r="N77" s="994">
        <f ca="1">+DATOSAÑO!AH75</f>
        <v>10.600000000000364</v>
      </c>
      <c r="O77" s="994">
        <f ca="1">DATOSAÑO!AL75</f>
        <v>34.680000000093116</v>
      </c>
      <c r="P77" s="1029">
        <f ca="1">+(DATOSAÑO!BH75)+DATOSAÑO!BJ75</f>
        <v>1.419</v>
      </c>
      <c r="Q77" s="994">
        <f ca="1">+DATOSAÑO!BQ75</f>
        <v>5.0089999999981956</v>
      </c>
      <c r="R77" s="1080">
        <f ca="1">DATOSAÑO!BS75+DATOSAÑO!BV75+DATOSAÑO!BY75+DATOSAÑO!CF75+DATOSAÑO!CL75</f>
        <v>23.18989999998854</v>
      </c>
    </row>
    <row r="78" spans="2:18">
      <c r="B78" s="390">
        <v>44992</v>
      </c>
      <c r="C78" s="994">
        <f ca="1">DATOSAÑO!AJ76</f>
        <v>9.8999999999941792</v>
      </c>
      <c r="D78" s="994">
        <f ca="1">DATOSAÑO!AK76</f>
        <v>16</v>
      </c>
      <c r="E78" s="994">
        <f ca="1">DATOSAÑO!AD76</f>
        <v>165</v>
      </c>
      <c r="F78" s="994">
        <f>(VLOOKUP($B78,[8]DATOSAÑO!$B$12:$BS$376,37))</f>
        <v>0</v>
      </c>
      <c r="G78" s="994">
        <v>0</v>
      </c>
      <c r="H78" s="994">
        <f ca="1">DATOSAÑO!AI76</f>
        <v>39</v>
      </c>
      <c r="I78" s="994">
        <f ca="1">DATOSAÑO!CJ76</f>
        <v>4.4090000000015461</v>
      </c>
      <c r="J78" s="994">
        <v>0</v>
      </c>
      <c r="K78" s="994">
        <f ca="1">DATOSAÑO!AF76</f>
        <v>145</v>
      </c>
      <c r="L78" s="994">
        <f ca="1">+DATOSAÑO!CK76</f>
        <v>1.5029999999998906</v>
      </c>
      <c r="M78" s="994">
        <f ca="1">+DATOSAÑO!AK76</f>
        <v>16</v>
      </c>
      <c r="N78" s="994">
        <f ca="1">+DATOSAÑO!AH76</f>
        <v>10.600000000000364</v>
      </c>
      <c r="O78" s="994">
        <f ca="1">DATOSAÑO!AL76</f>
        <v>36.000000000005514</v>
      </c>
      <c r="P78" s="1029">
        <f ca="1">+(DATOSAÑO!BH76)+DATOSAÑO!BJ76</f>
        <v>1.377</v>
      </c>
      <c r="Q78" s="994">
        <f ca="1">+DATOSAÑO!BQ76</f>
        <v>5</v>
      </c>
      <c r="R78" s="1080">
        <f ca="1">DATOSAÑO!BS76+DATOSAÑO!BV76+DATOSAÑO!BY76+DATOSAÑO!CF76+DATOSAÑO!CL76</f>
        <v>24.188000000000745</v>
      </c>
    </row>
    <row r="79" spans="2:18">
      <c r="B79" s="390">
        <v>44993</v>
      </c>
      <c r="C79" s="994">
        <f ca="1">DATOSAÑO!AJ77</f>
        <v>9.5</v>
      </c>
      <c r="D79" s="994">
        <f ca="1">DATOSAÑO!AK77</f>
        <v>17</v>
      </c>
      <c r="E79" s="994">
        <f ca="1">DATOSAÑO!AD77</f>
        <v>152</v>
      </c>
      <c r="F79" s="994">
        <f>(VLOOKUP($B79,[8]DATOSAÑO!$B$12:$BS$376,37))</f>
        <v>0</v>
      </c>
      <c r="G79" s="994">
        <v>0</v>
      </c>
      <c r="H79" s="994">
        <f ca="1">DATOSAÑO!AI77</f>
        <v>38.599999999998545</v>
      </c>
      <c r="I79" s="994">
        <f ca="1">DATOSAÑO!CJ77</f>
        <v>4.6300000000000496</v>
      </c>
      <c r="J79" s="994">
        <v>0</v>
      </c>
      <c r="K79" s="994">
        <f ca="1">DATOSAÑO!AF77</f>
        <v>147</v>
      </c>
      <c r="L79" s="994">
        <f ca="1">+DATOSAÑO!CK77</f>
        <v>1.9056000000003752</v>
      </c>
      <c r="M79" s="994">
        <f ca="1">+DATOSAÑO!AK77</f>
        <v>17</v>
      </c>
      <c r="N79" s="994">
        <f ca="1">+DATOSAÑO!AH77</f>
        <v>11.599999999994907</v>
      </c>
      <c r="O79" s="994">
        <f ca="1">DATOSAÑO!AL77</f>
        <v>38.200000000004366</v>
      </c>
      <c r="P79" s="1029">
        <f ca="1">+(DATOSAÑO!BH77)+DATOSAÑO!BJ77</f>
        <v>1.464</v>
      </c>
      <c r="Q79" s="994">
        <f ca="1">+DATOSAÑO!BQ77</f>
        <v>5.0999999999985448</v>
      </c>
      <c r="R79" s="1080">
        <f ca="1">DATOSAÑO!BS77+DATOSAÑO!BV77+DATOSAÑO!BY77+DATOSAÑO!CF77+DATOSAÑO!CL77</f>
        <v>24.464399999999571</v>
      </c>
    </row>
    <row r="80" spans="2:18">
      <c r="B80" s="390">
        <v>44994</v>
      </c>
      <c r="C80" s="994">
        <f ca="1">DATOSAÑO!AJ78</f>
        <v>7.4000000000087311</v>
      </c>
      <c r="D80" s="994">
        <f ca="1">DATOSAÑO!AK78</f>
        <v>15</v>
      </c>
      <c r="E80" s="994">
        <f ca="1">DATOSAÑO!AD78</f>
        <v>164</v>
      </c>
      <c r="F80" s="994">
        <f>(VLOOKUP($B80,[8]DATOSAÑO!$B$12:$BS$376,37))</f>
        <v>0</v>
      </c>
      <c r="G80" s="994">
        <v>0</v>
      </c>
      <c r="H80" s="994">
        <f ca="1">DATOSAÑO!AI78</f>
        <v>40</v>
      </c>
      <c r="I80" s="994">
        <f ca="1">DATOSAÑO!CJ78</f>
        <v>4.0124999999985356</v>
      </c>
      <c r="J80" s="994">
        <v>0</v>
      </c>
      <c r="K80" s="994">
        <f ca="1">DATOSAÑO!AF78</f>
        <v>137</v>
      </c>
      <c r="L80" s="994">
        <f ca="1">+DATOSAÑO!CK78</f>
        <v>1.6380000000000108</v>
      </c>
      <c r="M80" s="994">
        <f ca="1">+DATOSAÑO!AK78</f>
        <v>15</v>
      </c>
      <c r="N80" s="994">
        <f ca="1">+DATOSAÑO!AH78</f>
        <v>11.30000000000291</v>
      </c>
      <c r="O80" s="994">
        <f ca="1">DATOSAÑO!AL78</f>
        <v>30.699999999993508</v>
      </c>
      <c r="P80" s="1029">
        <f ca="1">+(DATOSAÑO!BH78)+DATOSAÑO!BJ78</f>
        <v>1.3779999999999999</v>
      </c>
      <c r="Q80" s="994">
        <f ca="1">+DATOSAÑO!BQ78</f>
        <v>4.4000000000014552</v>
      </c>
      <c r="R80" s="1080">
        <f ca="1">DATOSAÑO!BS78+DATOSAÑO!BV78+DATOSAÑO!BY78+DATOSAÑO!CF78+DATOSAÑO!CL78</f>
        <v>23.049499999998545</v>
      </c>
    </row>
    <row r="81" spans="2:18">
      <c r="B81" s="390">
        <v>44995</v>
      </c>
      <c r="C81" s="994">
        <f ca="1">DATOSAÑO!AJ79</f>
        <v>5.5999999999912689</v>
      </c>
      <c r="D81" s="994">
        <f ca="1">DATOSAÑO!AK79</f>
        <v>14</v>
      </c>
      <c r="E81" s="994">
        <f ca="1">DATOSAÑO!AD79</f>
        <v>163</v>
      </c>
      <c r="F81" s="994">
        <f>(VLOOKUP($B81,[8]DATOSAÑO!$B$12:$BS$376,37))</f>
        <v>0</v>
      </c>
      <c r="G81" s="994">
        <v>0</v>
      </c>
      <c r="H81" s="994">
        <f ca="1">DATOSAÑO!AI79</f>
        <v>41.80000000000291</v>
      </c>
      <c r="I81" s="994">
        <f ca="1">DATOSAÑO!CJ79</f>
        <v>4.8864999999992715</v>
      </c>
      <c r="J81" s="994">
        <v>0</v>
      </c>
      <c r="K81" s="994">
        <f ca="1">DATOSAÑO!AF79</f>
        <v>145</v>
      </c>
      <c r="L81" s="994">
        <f ca="1">+DATOSAÑO!CK79</f>
        <v>1.5228000000000002</v>
      </c>
      <c r="M81" s="994">
        <f ca="1">+DATOSAÑO!AK79</f>
        <v>14</v>
      </c>
      <c r="N81" s="994">
        <f ca="1">+DATOSAÑO!AH79</f>
        <v>7.0999999999985448</v>
      </c>
      <c r="O81" s="994">
        <f ca="1">DATOSAÑO!AL79</f>
        <v>36.100000000005821</v>
      </c>
      <c r="P81" s="1029">
        <f ca="1">+(DATOSAÑO!BH79)+DATOSAÑO!BJ79</f>
        <v>1.361</v>
      </c>
      <c r="Q81" s="994">
        <f ca="1">+DATOSAÑO!BQ79</f>
        <v>4.5999999999985448</v>
      </c>
      <c r="R81" s="1080">
        <f ca="1">DATOSAÑO!BS79+DATOSAÑO!BV79+DATOSAÑO!BY79+DATOSAÑO!CF79+DATOSAÑO!CL79</f>
        <v>24.090700000000727</v>
      </c>
    </row>
    <row r="82" spans="2:18">
      <c r="B82" s="390">
        <v>44996</v>
      </c>
      <c r="C82" s="994">
        <f ca="1">DATOSAÑO!AJ80</f>
        <v>5.2000000000116415</v>
      </c>
      <c r="D82" s="994">
        <f ca="1">DATOSAÑO!AK80</f>
        <v>14</v>
      </c>
      <c r="E82" s="994">
        <f ca="1">DATOSAÑO!AD80</f>
        <v>162</v>
      </c>
      <c r="F82" s="994">
        <f>(VLOOKUP($B82,[8]DATOSAÑO!$B$12:$BS$376,37))</f>
        <v>0</v>
      </c>
      <c r="G82" s="994">
        <v>0</v>
      </c>
      <c r="H82" s="994">
        <f ca="1">DATOSAÑO!AI80</f>
        <v>36.5</v>
      </c>
      <c r="I82" s="994">
        <f ca="1">DATOSAÑO!CJ80</f>
        <v>4.3560000000012673</v>
      </c>
      <c r="J82" s="994">
        <v>0</v>
      </c>
      <c r="K82" s="994">
        <f ca="1">DATOSAÑO!AF80</f>
        <v>145</v>
      </c>
      <c r="L82" s="994">
        <f ca="1">+DATOSAÑO!CK80</f>
        <v>1.5726</v>
      </c>
      <c r="M82" s="994">
        <f ca="1">+DATOSAÑO!AK80</f>
        <v>14</v>
      </c>
      <c r="N82" s="994">
        <f ca="1">+DATOSAÑO!AH80</f>
        <v>11.099999999998545</v>
      </c>
      <c r="O82" s="994">
        <f ca="1">DATOSAÑO!AL80</f>
        <v>32.599999999987688</v>
      </c>
      <c r="P82" s="1029">
        <f ca="1">+(DATOSAÑO!BH80)+DATOSAÑO!BJ80</f>
        <v>1.3680000000000001</v>
      </c>
      <c r="Q82" s="994">
        <f ca="1">+DATOSAÑO!BQ80</f>
        <v>4</v>
      </c>
      <c r="R82" s="1080">
        <f ca="1">DATOSAÑO!BS80+DATOSAÑO!BV80+DATOSAÑO!BY80+DATOSAÑO!CF80+DATOSAÑO!CL80</f>
        <v>23.171400000000901</v>
      </c>
    </row>
    <row r="83" spans="2:18">
      <c r="B83" s="390">
        <v>44997</v>
      </c>
      <c r="C83" s="994">
        <f ca="1">DATOSAÑO!AJ81</f>
        <v>5.1999999999970896</v>
      </c>
      <c r="D83" s="994">
        <f ca="1">DATOSAÑO!AK81</f>
        <v>14</v>
      </c>
      <c r="E83" s="994">
        <f ca="1">DATOSAÑO!AD81</f>
        <v>161</v>
      </c>
      <c r="F83" s="994">
        <f>(VLOOKUP($B83,[8]DATOSAÑO!$B$12:$BS$376,37))</f>
        <v>0</v>
      </c>
      <c r="G83" s="994">
        <v>0</v>
      </c>
      <c r="H83" s="994">
        <f ca="1">DATOSAÑO!AI81</f>
        <v>38.299999999995634</v>
      </c>
      <c r="I83" s="994">
        <f ca="1">DATOSAÑO!CJ81</f>
        <v>4.6334999999994579</v>
      </c>
      <c r="J83" s="994">
        <v>0</v>
      </c>
      <c r="K83" s="994">
        <f ca="1">DATOSAÑO!AF81</f>
        <v>144</v>
      </c>
      <c r="L83" s="994">
        <f ca="1">+DATOSAÑO!CK81</f>
        <v>1.261799999999782</v>
      </c>
      <c r="M83" s="994">
        <f ca="1">+DATOSAÑO!AK81</f>
        <v>14</v>
      </c>
      <c r="N83" s="994">
        <f ca="1">+DATOSAÑO!AH81</f>
        <v>8.8000000000047294</v>
      </c>
      <c r="O83" s="994">
        <f ca="1">DATOSAÑO!AL81</f>
        <v>31.300000000004729</v>
      </c>
      <c r="P83" s="1029">
        <f ca="1">+(DATOSAÑO!BH81)+DATOSAÑO!BJ81</f>
        <v>1.3680000000000001</v>
      </c>
      <c r="Q83" s="994">
        <f ca="1">+DATOSAÑO!BQ81</f>
        <v>4</v>
      </c>
      <c r="R83" s="1080">
        <f ca="1">DATOSAÑO!BS81+DATOSAÑO!BV81+DATOSAÑO!BY81+DATOSAÑO!CF81+DATOSAÑO!CL81</f>
        <v>23.004699999998586</v>
      </c>
    </row>
    <row r="84" spans="2:18">
      <c r="B84" s="390">
        <v>44998</v>
      </c>
      <c r="C84" s="994">
        <f ca="1">DATOSAÑO!AJ82</f>
        <v>8.1999999999970896</v>
      </c>
      <c r="D84" s="994">
        <f ca="1">DATOSAÑO!AK82</f>
        <v>15</v>
      </c>
      <c r="E84" s="994">
        <f ca="1">DATOSAÑO!AD82</f>
        <v>162</v>
      </c>
      <c r="F84" s="994">
        <f>(VLOOKUP($B84,[8]DATOSAÑO!$B$12:$BS$376,37))</f>
        <v>0</v>
      </c>
      <c r="G84" s="994">
        <v>0</v>
      </c>
      <c r="H84" s="994">
        <f ca="1">DATOSAÑO!AI82</f>
        <v>38.30000000000291</v>
      </c>
      <c r="I84" s="994">
        <f ca="1">DATOSAÑO!CJ82</f>
        <v>4.5125000000015012</v>
      </c>
      <c r="J84" s="994">
        <v>0</v>
      </c>
      <c r="K84" s="994">
        <f ca="1">DATOSAÑO!AF82</f>
        <v>144</v>
      </c>
      <c r="L84" s="994">
        <f ca="1">+DATOSAÑO!CK82</f>
        <v>1.4789999999999455</v>
      </c>
      <c r="M84" s="994">
        <f ca="1">+DATOSAÑO!AK82</f>
        <v>15</v>
      </c>
      <c r="N84" s="994">
        <f ca="1">+DATOSAÑO!AH82</f>
        <v>17</v>
      </c>
      <c r="O84" s="994">
        <f ca="1">DATOSAÑO!AL82</f>
        <v>36.96799999999638</v>
      </c>
      <c r="P84" s="1029">
        <f ca="1">+(DATOSAÑO!BH82)+DATOSAÑO!BJ82</f>
        <v>1.395</v>
      </c>
      <c r="Q84" s="994">
        <f ca="1">+DATOSAÑO!BQ82</f>
        <v>4.8000000000029104</v>
      </c>
      <c r="R84" s="1080">
        <f ca="1">DATOSAÑO!BS82+DATOSAÑO!BV82+DATOSAÑO!BY82+DATOSAÑO!CF82+DATOSAÑO!CL82</f>
        <v>23.308500000001466</v>
      </c>
    </row>
    <row r="85" spans="2:18">
      <c r="B85" s="390">
        <v>44999</v>
      </c>
      <c r="C85" s="994">
        <f ca="1">DATOSAÑO!AJ83</f>
        <v>8.1000000000058208</v>
      </c>
      <c r="D85" s="994">
        <f ca="1">DATOSAÑO!AK83</f>
        <v>15.700000000011642</v>
      </c>
      <c r="E85" s="994">
        <f ca="1">DATOSAÑO!AD83</f>
        <v>157.40000000002328</v>
      </c>
      <c r="F85" s="994">
        <f>(VLOOKUP($B85,[8]DATOSAÑO!$B$12:$BS$376,37))</f>
        <v>0</v>
      </c>
      <c r="G85" s="994">
        <v>0</v>
      </c>
      <c r="H85" s="994">
        <f ca="1">DATOSAÑO!AI83</f>
        <v>39</v>
      </c>
      <c r="I85" s="994">
        <f ca="1">DATOSAÑO!CJ83</f>
        <v>5.3754999999925888</v>
      </c>
      <c r="J85" s="994">
        <v>0</v>
      </c>
      <c r="K85" s="994">
        <f ca="1">DATOSAÑO!AF83</f>
        <v>143.40000000002328</v>
      </c>
      <c r="L85" s="994">
        <f ca="1">+DATOSAÑO!CK83</f>
        <v>1.9739999999999454</v>
      </c>
      <c r="M85" s="994">
        <f ca="1">+DATOSAÑO!AK83</f>
        <v>15.700000000011642</v>
      </c>
      <c r="N85" s="994">
        <f ca="1">+DATOSAÑO!AH83</f>
        <v>7.1999999999970896</v>
      </c>
      <c r="O85" s="994">
        <f ca="1">DATOSAÑO!AL83</f>
        <v>33.299999999908266</v>
      </c>
      <c r="P85" s="1029">
        <f ca="1">+(DATOSAÑO!BH83)+DATOSAÑO!BJ83</f>
        <v>1.387</v>
      </c>
      <c r="Q85" s="994">
        <f ca="1">+DATOSAÑO!BQ83</f>
        <v>5.1999999999970896</v>
      </c>
      <c r="R85" s="1080">
        <f ca="1">DATOSAÑO!BS83+DATOSAÑO!BV83+DATOSAÑO!BY83+DATOSAÑO!CF83+DATOSAÑO!CL83</f>
        <v>22.850499999993644</v>
      </c>
    </row>
    <row r="86" spans="2:18">
      <c r="B86" s="390">
        <v>45000</v>
      </c>
      <c r="C86" s="994">
        <f ca="1">DATOSAÑO!AJ84</f>
        <v>6.6999999999970896</v>
      </c>
      <c r="D86" s="994">
        <f ca="1">DATOSAÑO!AK84</f>
        <v>14.799999999988358</v>
      </c>
      <c r="E86" s="994">
        <f ca="1">DATOSAÑO!AD84</f>
        <v>170.69999999995343</v>
      </c>
      <c r="F86" s="994">
        <f>(VLOOKUP($B86,[8]DATOSAÑO!$B$12:$BS$376,37))</f>
        <v>0</v>
      </c>
      <c r="G86" s="994">
        <v>0</v>
      </c>
      <c r="H86" s="994">
        <f ca="1">DATOSAÑO!AI84</f>
        <v>37.80000000000291</v>
      </c>
      <c r="I86" s="994">
        <f ca="1">DATOSAÑO!CJ84</f>
        <v>5.5079999999949916</v>
      </c>
      <c r="J86" s="994">
        <v>0</v>
      </c>
      <c r="K86" s="994">
        <f ca="1">DATOSAÑO!AF84</f>
        <v>143.79999999998836</v>
      </c>
      <c r="L86" s="994">
        <f ca="1">+DATOSAÑO!CK84</f>
        <v>1.5120000000003275</v>
      </c>
      <c r="M86" s="994">
        <f ca="1">+DATOSAÑO!AK84</f>
        <v>14.799999999988358</v>
      </c>
      <c r="N86" s="994">
        <f ca="1">+DATOSAÑO!AH84</f>
        <v>8.3000000000029104</v>
      </c>
      <c r="O86" s="994">
        <f ca="1">DATOSAÑO!AL84</f>
        <v>32.600000000122293</v>
      </c>
      <c r="P86" s="1029">
        <f ca="1">+(DATOSAÑO!BH84)+DATOSAÑO!BJ84</f>
        <v>1.3919999999999999</v>
      </c>
      <c r="Q86" s="994">
        <f ca="1">+DATOSAÑO!BQ84</f>
        <v>5</v>
      </c>
      <c r="R86" s="1080">
        <f ca="1">DATOSAÑO!BS84+DATOSAÑO!BV84+DATOSAÑO!BY84+DATOSAÑO!CF84+DATOSAÑO!CL84</f>
        <v>22.679999999994482</v>
      </c>
    </row>
    <row r="87" spans="2:18">
      <c r="B87" s="390">
        <v>45001</v>
      </c>
      <c r="C87" s="994">
        <f ca="1">DATOSAÑO!AJ85</f>
        <v>6.8000000000029104</v>
      </c>
      <c r="D87" s="994">
        <f ca="1">DATOSAÑO!AK85</f>
        <v>15.100000000005821</v>
      </c>
      <c r="E87" s="994">
        <f ca="1">DATOSAÑO!AD85</f>
        <v>166.90000000002328</v>
      </c>
      <c r="F87" s="994">
        <f>(VLOOKUP($B87,[8]DATOSAÑO!$B$12:$BS$376,37))</f>
        <v>0</v>
      </c>
      <c r="G87" s="994">
        <v>0</v>
      </c>
      <c r="H87" s="994">
        <f ca="1">DATOSAÑO!AI85</f>
        <v>39.299999999995634</v>
      </c>
      <c r="I87" s="994">
        <f ca="1">DATOSAÑO!CJ85</f>
        <v>4.9607500000104103</v>
      </c>
      <c r="J87" s="994">
        <v>0</v>
      </c>
      <c r="K87" s="994">
        <f ca="1">DATOSAÑO!AF85</f>
        <v>144.79999999998836</v>
      </c>
      <c r="L87" s="994">
        <f ca="1">+DATOSAÑO!CK85</f>
        <v>1.585199999999727</v>
      </c>
      <c r="M87" s="994">
        <f ca="1">+DATOSAÑO!AK85</f>
        <v>15.100000000005821</v>
      </c>
      <c r="N87" s="994">
        <f ca="1">+DATOSAÑO!AH85</f>
        <v>8.7999999999956344</v>
      </c>
      <c r="O87" s="994">
        <f ca="1">DATOSAÑO!AL85</f>
        <v>38.499999999967258</v>
      </c>
      <c r="P87" s="1029">
        <f ca="1">+(DATOSAÑO!BH85)+DATOSAÑO!BJ85</f>
        <v>1.3480000000000001</v>
      </c>
      <c r="Q87" s="994">
        <f ca="1">+DATOSAÑO!BQ85</f>
        <v>4.9000000000014552</v>
      </c>
      <c r="R87" s="1080">
        <f ca="1">DATOSAÑO!BS85+DATOSAÑO!BV85+DATOSAÑO!BY85+DATOSAÑO!CF85+DATOSAÑO!CL85</f>
        <v>22.254050000010956</v>
      </c>
    </row>
    <row r="88" spans="2:18">
      <c r="B88" s="390">
        <v>45002</v>
      </c>
      <c r="C88" s="994">
        <f ca="1">DATOSAÑO!AJ86</f>
        <v>7.3999999999941792</v>
      </c>
      <c r="D88" s="994">
        <f ca="1">DATOSAÑO!AK86</f>
        <v>14.899999999994179</v>
      </c>
      <c r="E88" s="994">
        <f ca="1">DATOSAÑO!AD86</f>
        <v>167</v>
      </c>
      <c r="F88" s="994">
        <f>(VLOOKUP($B88,[8]DATOSAÑO!$B$12:$BS$376,37))</f>
        <v>0</v>
      </c>
      <c r="G88" s="994">
        <v>0</v>
      </c>
      <c r="H88" s="994">
        <f ca="1">DATOSAÑO!AI86</f>
        <v>38.5</v>
      </c>
      <c r="I88" s="994">
        <f ca="1">DATOSAÑO!CJ86</f>
        <v>5.8210000000006419</v>
      </c>
      <c r="J88" s="994">
        <v>0</v>
      </c>
      <c r="K88" s="994">
        <f ca="1">DATOSAÑO!AF86</f>
        <v>144</v>
      </c>
      <c r="L88" s="994">
        <f ca="1">+DATOSAÑO!CK86</f>
        <v>1.5072000000003274</v>
      </c>
      <c r="M88" s="994">
        <f ca="1">+DATOSAÑO!AK86</f>
        <v>14.899999999994179</v>
      </c>
      <c r="N88" s="994">
        <f ca="1">+DATOSAÑO!AH86</f>
        <v>8.2000000000043656</v>
      </c>
      <c r="O88" s="994">
        <f ca="1">DATOSAÑO!AL86</f>
        <v>34.800000000006548</v>
      </c>
      <c r="P88" s="1029">
        <f ca="1">+(DATOSAÑO!BH86)+DATOSAÑO!BJ86</f>
        <v>1.415</v>
      </c>
      <c r="Q88" s="994">
        <f ca="1">+DATOSAÑO!BQ86</f>
        <v>5</v>
      </c>
      <c r="R88" s="1080">
        <f ca="1">DATOSAÑO!BS86+DATOSAÑO!BV86+DATOSAÑO!BY86+DATOSAÑO!CF86+DATOSAÑO!CL86</f>
        <v>22.871799999999769</v>
      </c>
    </row>
    <row r="89" spans="2:18">
      <c r="B89" s="390">
        <v>45003</v>
      </c>
      <c r="C89" s="994">
        <f ca="1">DATOSAÑO!AJ87</f>
        <v>9.3999999999941792</v>
      </c>
      <c r="D89" s="994">
        <f ca="1">DATOSAÑO!AK87</f>
        <v>15.899999999994179</v>
      </c>
      <c r="E89" s="994">
        <f ca="1">DATOSAÑO!AD87</f>
        <v>168</v>
      </c>
      <c r="F89" s="994">
        <f>(VLOOKUP($B89,[8]DATOSAÑO!$B$12:$BS$376,37))</f>
        <v>0</v>
      </c>
      <c r="G89" s="994">
        <v>0</v>
      </c>
      <c r="H89" s="994">
        <f ca="1">DATOSAÑO!AI87</f>
        <v>38.700000000004366</v>
      </c>
      <c r="I89" s="994">
        <f ca="1">DATOSAÑO!CJ87</f>
        <v>5.484500000000228</v>
      </c>
      <c r="J89" s="994">
        <v>0</v>
      </c>
      <c r="K89" s="994">
        <f ca="1">DATOSAÑO!AF87</f>
        <v>145</v>
      </c>
      <c r="L89" s="994">
        <f ca="1">+DATOSAÑO!CK87</f>
        <v>1.5701999999999454</v>
      </c>
      <c r="M89" s="994">
        <f ca="1">+DATOSAÑO!AK87</f>
        <v>15.899999999994179</v>
      </c>
      <c r="N89" s="994">
        <f ca="1">+DATOSAÑO!AH87</f>
        <v>10.099999999998545</v>
      </c>
      <c r="O89" s="994">
        <f ca="1">DATOSAÑO!AL87</f>
        <v>32.400000000008674</v>
      </c>
      <c r="P89" s="1029">
        <f ca="1">+(DATOSAÑO!BH87)+DATOSAÑO!BJ87</f>
        <v>1.429</v>
      </c>
      <c r="Q89" s="994">
        <f ca="1">+DATOSAÑO!BQ87</f>
        <v>5</v>
      </c>
      <c r="R89" s="1080">
        <f ca="1">DATOSAÑO!BS87+DATOSAÑO!BV87+DATOSAÑO!BY87+DATOSAÑO!CF87+DATOSAÑO!CL87</f>
        <v>22.445299999999826</v>
      </c>
    </row>
    <row r="90" spans="2:18">
      <c r="B90" s="390">
        <v>45004</v>
      </c>
      <c r="C90" s="994">
        <f ca="1">DATOSAÑO!AJ88</f>
        <v>9</v>
      </c>
      <c r="D90" s="994">
        <f ca="1">DATOSAÑO!AK88</f>
        <v>15.200000000011642</v>
      </c>
      <c r="E90" s="994">
        <f ca="1">DATOSAÑO!AD88</f>
        <v>168</v>
      </c>
      <c r="F90" s="994">
        <f>(VLOOKUP($B90,[8]DATOSAÑO!$B$12:$BS$376,37))</f>
        <v>0</v>
      </c>
      <c r="G90" s="994">
        <v>0</v>
      </c>
      <c r="H90" s="994">
        <f ca="1">DATOSAÑO!AI88</f>
        <v>38.899999999994179</v>
      </c>
      <c r="I90" s="994">
        <f ca="1">DATOSAÑO!CJ88</f>
        <v>5.3114999999998069</v>
      </c>
      <c r="J90" s="994">
        <v>0</v>
      </c>
      <c r="K90" s="994">
        <f ca="1">DATOSAÑO!AF88</f>
        <v>142</v>
      </c>
      <c r="L90" s="994">
        <f ca="1">+DATOSAÑO!CK88</f>
        <v>1.4981999999997884</v>
      </c>
      <c r="M90" s="994">
        <f ca="1">+DATOSAÑO!AK88</f>
        <v>15.200000000011642</v>
      </c>
      <c r="N90" s="994">
        <f ca="1">+DATOSAÑO!AH88</f>
        <v>7.9000000000014552</v>
      </c>
      <c r="O90" s="994">
        <f ca="1">DATOSAÑO!AL88</f>
        <v>37.799999999991996</v>
      </c>
      <c r="P90" s="1029">
        <f ca="1">+(DATOSAÑO!BH88)+DATOSAÑO!BJ88</f>
        <v>1.4430000000000001</v>
      </c>
      <c r="Q90" s="994">
        <f ca="1">+DATOSAÑO!BQ88</f>
        <v>4</v>
      </c>
      <c r="R90" s="1080">
        <f ca="1">DATOSAÑO!BS88+DATOSAÑO!BV88+DATOSAÑO!BY88+DATOSAÑO!CF88+DATOSAÑO!CL88</f>
        <v>22.390300000001123</v>
      </c>
    </row>
    <row r="91" spans="2:18">
      <c r="B91" s="390">
        <v>45005</v>
      </c>
      <c r="C91" s="994">
        <f ca="1">DATOSAÑO!AJ89</f>
        <v>8.8000000000029104</v>
      </c>
      <c r="D91" s="994">
        <f ca="1">DATOSAÑO!AK89</f>
        <v>16.199999999982538</v>
      </c>
      <c r="E91" s="994">
        <f ca="1">DATOSAÑO!AD89</f>
        <v>168</v>
      </c>
      <c r="F91" s="994">
        <f>(VLOOKUP($B91,[8]DATOSAÑO!$B$12:$BS$376,37))</f>
        <v>0</v>
      </c>
      <c r="G91" s="994">
        <v>0</v>
      </c>
      <c r="H91" s="994">
        <f ca="1">DATOSAÑO!AI89</f>
        <v>41.599999999998545</v>
      </c>
      <c r="I91" s="994">
        <f ca="1">DATOSAÑO!CJ89</f>
        <v>5.3110000000014619</v>
      </c>
      <c r="J91" s="994">
        <v>0</v>
      </c>
      <c r="K91" s="994">
        <f ca="1">DATOSAÑO!AF89</f>
        <v>144</v>
      </c>
      <c r="L91" s="994">
        <f ca="1">+DATOSAÑO!CK89</f>
        <v>1.7609999999997819</v>
      </c>
      <c r="M91" s="994">
        <f ca="1">+DATOSAÑO!AK89</f>
        <v>16.199999999982538</v>
      </c>
      <c r="N91" s="994">
        <f ca="1">+DATOSAÑO!AH89</f>
        <v>11.5</v>
      </c>
      <c r="O91" s="994">
        <f ca="1">DATOSAÑO!AL89</f>
        <v>35.500000000014552</v>
      </c>
      <c r="P91" s="1029">
        <f ca="1">+(DATOSAÑO!BH89)+DATOSAÑO!BJ89</f>
        <v>1.409</v>
      </c>
      <c r="Q91" s="994">
        <f ca="1">+DATOSAÑO!BQ89</f>
        <v>5</v>
      </c>
      <c r="R91" s="1080">
        <f ca="1">DATOSAÑO!BS89+DATOSAÑO!BV89+DATOSAÑO!BY89+DATOSAÑO!CF89+DATOSAÑO!CL89</f>
        <v>23.328000000000223</v>
      </c>
    </row>
    <row r="92" spans="2:18">
      <c r="B92" s="390">
        <v>45006</v>
      </c>
      <c r="C92" s="994">
        <f ca="1">DATOSAÑO!AJ90</f>
        <v>8.5</v>
      </c>
      <c r="D92" s="994">
        <f ca="1">DATOSAÑO!AK90</f>
        <v>16.5</v>
      </c>
      <c r="E92" s="994">
        <f ca="1">DATOSAÑO!AD90</f>
        <v>170</v>
      </c>
      <c r="F92" s="994">
        <f>(VLOOKUP($B92,[8]DATOSAÑO!$B$12:$BS$376,37))</f>
        <v>0</v>
      </c>
      <c r="G92" s="994">
        <v>0</v>
      </c>
      <c r="H92" s="994">
        <f ca="1">DATOSAÑO!AI90</f>
        <v>43.600000000005821</v>
      </c>
      <c r="I92" s="994">
        <f ca="1">DATOSAÑO!CJ90</f>
        <v>3.9189999999995568</v>
      </c>
      <c r="J92" s="994">
        <v>0</v>
      </c>
      <c r="K92" s="994">
        <f ca="1">DATOSAÑO!AF90</f>
        <v>149</v>
      </c>
      <c r="L92" s="994">
        <f ca="1">+DATOSAÑO!CK90</f>
        <v>1.5384000000005356</v>
      </c>
      <c r="M92" s="994">
        <f ca="1">+DATOSAÑO!AK90</f>
        <v>16.5</v>
      </c>
      <c r="N92" s="994">
        <f ca="1">+DATOSAÑO!AH90</f>
        <v>11.399999999994179</v>
      </c>
      <c r="O92" s="994">
        <f ca="1">DATOSAÑO!AL90</f>
        <v>31.052999999999884</v>
      </c>
      <c r="P92" s="1029">
        <f ca="1">+(DATOSAÑO!BH90)+DATOSAÑO!BJ90</f>
        <v>1.448</v>
      </c>
      <c r="Q92" s="994">
        <f ca="1">+DATOSAÑO!BQ90</f>
        <v>5</v>
      </c>
      <c r="R92" s="1080">
        <f ca="1">DATOSAÑO!BS90+DATOSAÑO!BV90+DATOSAÑO!BY90+DATOSAÑO!CF90+DATOSAÑO!CL90</f>
        <v>22.042599999999915</v>
      </c>
    </row>
    <row r="93" spans="2:18">
      <c r="B93" s="390">
        <v>45007</v>
      </c>
      <c r="C93" s="994">
        <f ca="1">DATOSAÑO!AJ91</f>
        <v>8</v>
      </c>
      <c r="D93" s="994">
        <f ca="1">DATOSAÑO!AK91</f>
        <v>15.700000000011642</v>
      </c>
      <c r="E93" s="994">
        <f ca="1">DATOSAÑO!AD91</f>
        <v>166</v>
      </c>
      <c r="F93" s="994">
        <f>(VLOOKUP($B93,[8]DATOSAÑO!$B$12:$BS$376,37))</f>
        <v>0</v>
      </c>
      <c r="G93" s="994">
        <v>0</v>
      </c>
      <c r="H93" s="994">
        <f ca="1">DATOSAÑO!AI91</f>
        <v>39.19999999999709</v>
      </c>
      <c r="I93" s="994">
        <f ca="1">DATOSAÑO!CJ91</f>
        <v>5.7174999999993696</v>
      </c>
      <c r="J93" s="994">
        <v>0</v>
      </c>
      <c r="K93" s="994">
        <f ca="1">DATOSAÑO!AF91</f>
        <v>139</v>
      </c>
      <c r="L93" s="994">
        <f ca="1">+DATOSAÑO!CK91</f>
        <v>1.3925999999998908</v>
      </c>
      <c r="M93" s="994">
        <f ca="1">+DATOSAÑO!AK91</f>
        <v>15.700000000011642</v>
      </c>
      <c r="N93" s="994">
        <f ca="1">+DATOSAÑO!AH91</f>
        <v>14.100000000005821</v>
      </c>
      <c r="O93" s="994">
        <f ca="1">DATOSAÑO!AL91</f>
        <v>39.699999999986233</v>
      </c>
      <c r="P93" s="1029">
        <f ca="1">+(DATOSAÑO!BH91)+DATOSAÑO!BJ91</f>
        <v>1.4610000000000001</v>
      </c>
      <c r="Q93" s="994">
        <f ca="1">+DATOSAÑO!BQ91</f>
        <v>5</v>
      </c>
      <c r="R93" s="1080">
        <f ca="1">DATOSAÑO!BS91+DATOSAÑO!BV91+DATOSAÑO!BY91+DATOSAÑO!CF91+DATOSAÑO!CL91</f>
        <v>23.189900000000023</v>
      </c>
    </row>
    <row r="94" spans="2:18">
      <c r="B94" s="390">
        <v>45008</v>
      </c>
      <c r="C94" s="994">
        <f ca="1">DATOSAÑO!AJ92</f>
        <v>8.3000000000029104</v>
      </c>
      <c r="D94" s="994">
        <f ca="1">DATOSAÑO!AK92</f>
        <v>15.399999999994179</v>
      </c>
      <c r="E94" s="994">
        <f ca="1">DATOSAÑO!AD92</f>
        <v>170</v>
      </c>
      <c r="F94" s="994">
        <f>(VLOOKUP($B94,[8]DATOSAÑO!$B$12:$BS$376,37))</f>
        <v>0</v>
      </c>
      <c r="G94" s="994">
        <v>0</v>
      </c>
      <c r="H94" s="994">
        <f ca="1">DATOSAÑO!AI92</f>
        <v>39.30000000000291</v>
      </c>
      <c r="I94" s="994">
        <f ca="1">DATOSAÑO!CJ92</f>
        <v>4.8779999999992274</v>
      </c>
      <c r="J94" s="994">
        <v>0</v>
      </c>
      <c r="K94" s="994">
        <f ca="1">DATOSAÑO!AF92</f>
        <v>143</v>
      </c>
      <c r="L94" s="994">
        <f ca="1">+DATOSAÑO!CK92</f>
        <v>1.4429999999998362</v>
      </c>
      <c r="M94" s="994">
        <f ca="1">+DATOSAÑO!AK92</f>
        <v>15.399999999994179</v>
      </c>
      <c r="N94" s="994">
        <f ca="1">+DATOSAÑO!AH92</f>
        <v>11.599999999998545</v>
      </c>
      <c r="O94" s="994">
        <f ca="1">DATOSAÑO!AL92</f>
        <v>32.300000000002854</v>
      </c>
      <c r="P94" s="1029">
        <f ca="1">+(DATOSAÑO!BH92)+DATOSAÑO!BJ92</f>
        <v>1.431</v>
      </c>
      <c r="Q94" s="994">
        <f ca="1">+DATOSAÑO!BQ92</f>
        <v>5</v>
      </c>
      <c r="R94" s="1080">
        <f ca="1">DATOSAÑO!BS92+DATOSAÑO!BV92+DATOSAÑO!BY92+DATOSAÑO!CF92+DATOSAÑO!CL92</f>
        <v>22.778999999999485</v>
      </c>
    </row>
    <row r="95" spans="2:18">
      <c r="B95" s="390">
        <v>45009</v>
      </c>
      <c r="C95" s="994">
        <f ca="1">DATOSAÑO!AJ93</f>
        <v>8.3000000000029104</v>
      </c>
      <c r="D95" s="994">
        <f ca="1">DATOSAÑO!AK93</f>
        <v>14.200000000011642</v>
      </c>
      <c r="E95" s="994">
        <f ca="1">DATOSAÑO!AD93</f>
        <v>168</v>
      </c>
      <c r="F95" s="994">
        <f>(VLOOKUP($B95,[8]DATOSAÑO!$B$12:$BS$376,37))</f>
        <v>0</v>
      </c>
      <c r="G95" s="994">
        <v>0</v>
      </c>
      <c r="H95" s="994">
        <f ca="1">DATOSAÑO!AI93</f>
        <v>40.299999999995634</v>
      </c>
      <c r="I95" s="994">
        <f ca="1">DATOSAÑO!CJ93</f>
        <v>4.9270000000012732</v>
      </c>
      <c r="J95" s="994">
        <v>0</v>
      </c>
      <c r="K95" s="994">
        <f ca="1">DATOSAÑO!AF93</f>
        <v>146</v>
      </c>
      <c r="L95" s="994">
        <f ca="1">+DATOSAÑO!CK93</f>
        <v>1.4927999999997819</v>
      </c>
      <c r="M95" s="994">
        <f ca="1">+DATOSAÑO!AK93</f>
        <v>14.200000000011642</v>
      </c>
      <c r="N95" s="994">
        <f ca="1">+DATOSAÑO!AH93</f>
        <v>4.2999999999956344</v>
      </c>
      <c r="O95" s="994">
        <f ca="1">DATOSAÑO!AL93</f>
        <v>34.699999999993452</v>
      </c>
      <c r="P95" s="1029">
        <f ca="1">+(DATOSAÑO!BH93)+DATOSAÑO!BJ93</f>
        <v>1.4419999999999999</v>
      </c>
      <c r="Q95" s="994">
        <f ca="1">+DATOSAÑO!BQ93</f>
        <v>5</v>
      </c>
      <c r="R95" s="1080">
        <f ca="1">DATOSAÑO!BS93+DATOSAÑO!BV93+DATOSAÑO!BY93+DATOSAÑO!CF93+DATOSAÑO!CL93</f>
        <v>22.780199999999674</v>
      </c>
    </row>
    <row r="96" spans="2:18">
      <c r="B96" s="390">
        <v>45010</v>
      </c>
      <c r="C96" s="994">
        <f ca="1">DATOSAÑO!AJ94</f>
        <v>7.6999999999970896</v>
      </c>
      <c r="D96" s="994">
        <f ca="1">DATOSAÑO!AK94</f>
        <v>14.5</v>
      </c>
      <c r="E96" s="994">
        <f ca="1">DATOSAÑO!AD94</f>
        <v>164</v>
      </c>
      <c r="F96" s="994">
        <f>(VLOOKUP($B96,[8]DATOSAÑO!$B$12:$BS$376,37))</f>
        <v>0</v>
      </c>
      <c r="G96" s="994">
        <v>0</v>
      </c>
      <c r="H96" s="994">
        <f ca="1">DATOSAÑO!AI94</f>
        <v>40.099999999998545</v>
      </c>
      <c r="I96" s="994">
        <f ca="1">DATOSAÑO!CJ94</f>
        <v>4.8174999999991348</v>
      </c>
      <c r="J96" s="994">
        <v>0</v>
      </c>
      <c r="K96" s="994">
        <f ca="1">DATOSAÑO!AF94</f>
        <v>145</v>
      </c>
      <c r="L96" s="994">
        <f ca="1">+DATOSAÑO!CK94</f>
        <v>1.4364000000003823</v>
      </c>
      <c r="M96" s="994">
        <f ca="1">+DATOSAÑO!AK94</f>
        <v>14.5</v>
      </c>
      <c r="N96" s="994">
        <f ca="1">+DATOSAÑO!AH94</f>
        <v>11.100000000005821</v>
      </c>
      <c r="O96" s="994">
        <f ca="1">DATOSAÑO!AL94</f>
        <v>35.299999999999272</v>
      </c>
      <c r="P96" s="1029">
        <f ca="1">+(DATOSAÑO!BH94)+DATOSAÑO!BJ94</f>
        <v>1.476</v>
      </c>
      <c r="Q96" s="994">
        <f ca="1">+DATOSAÑO!BQ94</f>
        <v>5</v>
      </c>
      <c r="R96" s="1080">
        <f ca="1">DATOSAÑO!BS94+DATOSAÑO!BV94+DATOSAÑO!BY94+DATOSAÑO!CF94+DATOSAÑO!CL94</f>
        <v>22.046099999999754</v>
      </c>
    </row>
    <row r="97" spans="2:18">
      <c r="B97" s="390">
        <v>45011</v>
      </c>
      <c r="C97" s="994">
        <f ca="1">DATOSAÑO!AJ95</f>
        <v>8.1000000000058208</v>
      </c>
      <c r="D97" s="994">
        <f ca="1">DATOSAÑO!AK95</f>
        <v>14.199999999982538</v>
      </c>
      <c r="E97" s="994">
        <f ca="1">DATOSAÑO!AD95</f>
        <v>160</v>
      </c>
      <c r="F97" s="994">
        <f>(VLOOKUP($B97,[8]DATOSAÑO!$B$12:$BS$376,37))</f>
        <v>0</v>
      </c>
      <c r="G97" s="994">
        <v>0</v>
      </c>
      <c r="H97" s="994">
        <f ca="1">DATOSAÑO!AI95</f>
        <v>40.900000000001455</v>
      </c>
      <c r="I97" s="994">
        <f ca="1">DATOSAÑO!CJ95</f>
        <v>5.4609999999991343</v>
      </c>
      <c r="J97" s="994">
        <v>0</v>
      </c>
      <c r="K97" s="994">
        <f ca="1">DATOSAÑO!AF95</f>
        <v>146</v>
      </c>
      <c r="L97" s="994">
        <f ca="1">+DATOSAÑO!CK95</f>
        <v>1.6836000000001636</v>
      </c>
      <c r="M97" s="994">
        <f ca="1">+DATOSAÑO!AK95</f>
        <v>14.199999999982538</v>
      </c>
      <c r="N97" s="994">
        <f ca="1">+DATOSAÑO!AH95</f>
        <v>8</v>
      </c>
      <c r="O97" s="994">
        <f ca="1">DATOSAÑO!AL95</f>
        <v>35.500000000010857</v>
      </c>
      <c r="P97" s="1029">
        <f ca="1">+(DATOSAÑO!BH95)+DATOSAÑO!BJ95</f>
        <v>1.4550000000000001</v>
      </c>
      <c r="Q97" s="994">
        <f ca="1">+DATOSAÑO!BQ95</f>
        <v>5</v>
      </c>
      <c r="R97" s="1080">
        <f ca="1">DATOSAÑO!BS95+DATOSAÑO!BV95+DATOSAÑO!BY95+DATOSAÑO!CF95+DATOSAÑO!CL95</f>
        <v>22.155399999999972</v>
      </c>
    </row>
    <row r="98" spans="2:18">
      <c r="B98" s="390">
        <v>45012</v>
      </c>
      <c r="C98" s="994">
        <f ca="1">DATOSAÑO!AJ96</f>
        <v>8</v>
      </c>
      <c r="D98" s="994">
        <f ca="1">DATOSAÑO!AK96</f>
        <v>14.200000000011642</v>
      </c>
      <c r="E98" s="994">
        <f ca="1">DATOSAÑO!AD96</f>
        <v>162</v>
      </c>
      <c r="F98" s="994">
        <f>(VLOOKUP($B98,[8]DATOSAÑO!$B$12:$BS$376,37))</f>
        <v>0</v>
      </c>
      <c r="G98" s="994">
        <v>0</v>
      </c>
      <c r="H98" s="994">
        <f ca="1">DATOSAÑO!AI96</f>
        <v>42</v>
      </c>
      <c r="I98" s="994">
        <f ca="1">DATOSAÑO!CJ96</f>
        <v>5.4220000000015007</v>
      </c>
      <c r="J98" s="994">
        <v>0</v>
      </c>
      <c r="K98" s="994">
        <f ca="1">DATOSAÑO!AF96</f>
        <v>146</v>
      </c>
      <c r="L98" s="994">
        <f ca="1">+DATOSAÑO!CK96</f>
        <v>1.5827999999997271</v>
      </c>
      <c r="M98" s="994">
        <f ca="1">+DATOSAÑO!AK96</f>
        <v>14.200000000011642</v>
      </c>
      <c r="N98" s="994">
        <f ca="1">+DATOSAÑO!AH96</f>
        <v>9</v>
      </c>
      <c r="O98" s="994">
        <f ca="1">DATOSAÑO!AL96</f>
        <v>36.320999999985361</v>
      </c>
      <c r="P98" s="1029">
        <f ca="1">+(DATOSAÑO!BH96)+DATOSAÑO!BJ96</f>
        <v>1.458</v>
      </c>
      <c r="Q98" s="994">
        <f ca="1">+DATOSAÑO!BQ96</f>
        <v>5</v>
      </c>
      <c r="R98" s="1080">
        <f ca="1">DATOSAÑO!BS96+DATOSAÑO!BV96+DATOSAÑO!BY96+DATOSAÑO!CF96+DATOSAÑO!CL96</f>
        <v>21.795200000001678</v>
      </c>
    </row>
    <row r="99" spans="2:18">
      <c r="B99" s="390">
        <v>45013</v>
      </c>
      <c r="C99" s="994">
        <f ca="1">DATOSAÑO!AJ97</f>
        <v>7.1999999999970896</v>
      </c>
      <c r="D99" s="994">
        <f ca="1">DATOSAÑO!AK97</f>
        <v>13.5</v>
      </c>
      <c r="E99" s="994">
        <f ca="1">DATOSAÑO!AD97</f>
        <v>165</v>
      </c>
      <c r="F99" s="994">
        <f>(VLOOKUP($B99,[8]DATOSAÑO!$B$12:$BS$376,37))</f>
        <v>0</v>
      </c>
      <c r="G99" s="994">
        <v>0</v>
      </c>
      <c r="H99" s="994">
        <f ca="1">DATOSAÑO!AI97</f>
        <v>41.30000000000291</v>
      </c>
      <c r="I99" s="994">
        <f ca="1">DATOSAÑO!CJ97</f>
        <v>5.7459999999994542</v>
      </c>
      <c r="J99" s="994">
        <v>0</v>
      </c>
      <c r="K99" s="994">
        <f ca="1">DATOSAÑO!AF97</f>
        <v>148</v>
      </c>
      <c r="L99" s="994">
        <f ca="1">+DATOSAÑO!CK97</f>
        <v>1.7981999999997818</v>
      </c>
      <c r="M99" s="994">
        <f ca="1">+DATOSAÑO!AK97</f>
        <v>13.5</v>
      </c>
      <c r="N99" s="994">
        <f ca="1">+DATOSAÑO!AH97</f>
        <v>6.6999999999970896</v>
      </c>
      <c r="O99" s="994">
        <f ca="1">DATOSAÑO!AL97</f>
        <v>32.062000000004275</v>
      </c>
      <c r="P99" s="1029">
        <f ca="1">+(DATOSAÑO!BH97)+DATOSAÑO!BJ97</f>
        <v>1.4139999999999999</v>
      </c>
      <c r="Q99" s="994">
        <f ca="1">+DATOSAÑO!BQ97</f>
        <v>4</v>
      </c>
      <c r="R99" s="1080">
        <f ca="1">DATOSAÑO!BS97+DATOSAÑO!BV97+DATOSAÑO!BY97+DATOSAÑO!CF97+DATOSAÑO!CL97</f>
        <v>23.055799999999309</v>
      </c>
    </row>
    <row r="100" spans="2:18">
      <c r="B100" s="390">
        <v>45014</v>
      </c>
      <c r="C100" s="994">
        <f ca="1">DATOSAÑO!AJ98</f>
        <v>7.5999999999912689</v>
      </c>
      <c r="D100" s="994">
        <f ca="1">DATOSAÑO!AK98</f>
        <v>14</v>
      </c>
      <c r="E100" s="994">
        <f ca="1">DATOSAÑO!AD98</f>
        <v>163</v>
      </c>
      <c r="F100" s="994">
        <f>(VLOOKUP($B100,[8]DATOSAÑO!$B$12:$BS$376,37))</f>
        <v>0</v>
      </c>
      <c r="G100" s="994">
        <v>0</v>
      </c>
      <c r="H100" s="994">
        <f ca="1">DATOSAÑO!AI98</f>
        <v>40</v>
      </c>
      <c r="I100" s="994">
        <f ca="1">DATOSAÑO!CJ98</f>
        <v>5.1610000000012732</v>
      </c>
      <c r="J100" s="994">
        <v>0</v>
      </c>
      <c r="K100" s="994">
        <f ca="1">DATOSAÑO!AF98</f>
        <v>148</v>
      </c>
      <c r="L100" s="994">
        <f ca="1">+DATOSAÑO!CK98</f>
        <v>1.9386000000002184</v>
      </c>
      <c r="M100" s="994">
        <f ca="1">+DATOSAÑO!AK98</f>
        <v>14</v>
      </c>
      <c r="N100" s="994">
        <f ca="1">+DATOSAÑO!AH98</f>
        <v>9</v>
      </c>
      <c r="O100" s="994">
        <f ca="1">DATOSAÑO!AL98</f>
        <v>36.000000000007333</v>
      </c>
      <c r="P100" s="1029">
        <f ca="1">+(DATOSAÑO!BH98)+DATOSAÑO!BJ98</f>
        <v>1.44</v>
      </c>
      <c r="Q100" s="994">
        <f ca="1">+DATOSAÑO!BQ98</f>
        <v>5</v>
      </c>
      <c r="R100" s="1080">
        <f ca="1">DATOSAÑO!BS98+DATOSAÑO!BV98+DATOSAÑO!BY98+DATOSAÑO!CF98+DATOSAÑO!CL98</f>
        <v>21.300399999999964</v>
      </c>
    </row>
    <row r="101" spans="2:18">
      <c r="B101" s="390">
        <v>45015</v>
      </c>
      <c r="C101" s="994">
        <f ca="1">DATOSAÑO!AJ99</f>
        <v>7.9000000000087311</v>
      </c>
      <c r="D101" s="994">
        <f ca="1">DATOSAÑO!AK99</f>
        <v>13</v>
      </c>
      <c r="E101" s="994">
        <f ca="1">DATOSAÑO!AD99</f>
        <v>160</v>
      </c>
      <c r="F101" s="994">
        <f>(VLOOKUP($B101,[8]DATOSAÑO!$B$12:$BS$376,37))</f>
        <v>0</v>
      </c>
      <c r="G101" s="994">
        <v>0</v>
      </c>
      <c r="H101" s="994">
        <f ca="1">DATOSAÑO!AI99</f>
        <v>39.299999999995634</v>
      </c>
      <c r="I101" s="994">
        <f ca="1">DATOSAÑO!CJ99</f>
        <v>5.3454999999990918</v>
      </c>
      <c r="J101" s="994">
        <v>0</v>
      </c>
      <c r="K101" s="994">
        <f ca="1">DATOSAÑO!AF99</f>
        <v>146</v>
      </c>
      <c r="L101" s="994">
        <f ca="1">+DATOSAÑO!CK99</f>
        <v>1.9332000000002181</v>
      </c>
      <c r="M101" s="994">
        <f ca="1">+DATOSAÑO!AK99</f>
        <v>13</v>
      </c>
      <c r="N101" s="994">
        <f ca="1">+DATOSAÑO!AH99</f>
        <v>0.69999999999708962</v>
      </c>
      <c r="O101" s="994">
        <f ca="1">DATOSAÑO!AL99</f>
        <v>35.39999999999776</v>
      </c>
      <c r="P101" s="1029">
        <f ca="1">+(DATOSAÑO!BH99)+DATOSAÑO!BJ99</f>
        <v>1.4870000000000001</v>
      </c>
      <c r="Q101" s="994">
        <f ca="1">+DATOSAÑO!BQ99</f>
        <v>5</v>
      </c>
      <c r="R101" s="1080">
        <f ca="1">DATOSAÑO!BS99+DATOSAÑO!BV99+DATOSAÑO!BY99+DATOSAÑO!CF99+DATOSAÑO!CL99</f>
        <v>21.221300000000692</v>
      </c>
    </row>
    <row r="102" spans="2:18" ht="15" thickBot="1">
      <c r="B102" s="390">
        <v>45016</v>
      </c>
      <c r="C102" s="994">
        <f ca="1">DATOSAÑO!AJ100</f>
        <v>7.0999999999912689</v>
      </c>
      <c r="D102" s="994">
        <f ca="1">DATOSAÑO!AK100</f>
        <v>6.6000000000058208</v>
      </c>
      <c r="E102" s="994">
        <f ca="1">DATOSAÑO!AD100</f>
        <v>164</v>
      </c>
      <c r="F102" s="1024">
        <f>(VLOOKUP($B102,[8]DATOSAÑO!$B$12:$BS$376,37))</f>
        <v>0</v>
      </c>
      <c r="G102" s="1024">
        <v>0</v>
      </c>
      <c r="H102" s="994">
        <f ca="1">DATOSAÑO!AI100</f>
        <v>40</v>
      </c>
      <c r="I102" s="994">
        <f ca="1">DATOSAÑO!CJ100</f>
        <v>6.3124999999993587</v>
      </c>
      <c r="J102" s="1024">
        <v>0</v>
      </c>
      <c r="K102" s="994">
        <f ca="1">DATOSAÑO!AF100</f>
        <v>148</v>
      </c>
      <c r="L102" s="994">
        <f ca="1">+DATOSAÑO!CK100</f>
        <v>1.6637999999998907</v>
      </c>
      <c r="M102" s="994">
        <f ca="1">+DATOSAÑO!AK100</f>
        <v>6.6000000000058208</v>
      </c>
      <c r="N102" s="994">
        <f ca="1">+DATOSAÑO!AH100</f>
        <v>16.80000000000291</v>
      </c>
      <c r="O102" s="994">
        <f ca="1">DATOSAÑO!AL100</f>
        <v>44.800000000002854</v>
      </c>
      <c r="P102" s="1029">
        <f ca="1">+(DATOSAÑO!BH100)+DATOSAÑO!BJ100</f>
        <v>1.4039999999999999</v>
      </c>
      <c r="Q102" s="994">
        <f ca="1">+DATOSAÑO!BQ100</f>
        <v>4.9000000000014552</v>
      </c>
      <c r="R102" s="1080">
        <f ca="1">DATOSAÑO!BS100+DATOSAÑO!BV100+DATOSAÑO!BY100+DATOSAÑO!CF100+DATOSAÑO!CL100</f>
        <v>22.72369999999783</v>
      </c>
    </row>
    <row r="103" spans="2:18" ht="15" thickBot="1">
      <c r="B103" s="1268" t="s">
        <v>1131</v>
      </c>
      <c r="C103" s="1267">
        <f ca="1">SUM(C72:C102)</f>
        <v>237.61000000000058</v>
      </c>
      <c r="D103" s="1030">
        <f ca="1">SUM(D72:D102)</f>
        <v>455.60000000000582</v>
      </c>
      <c r="E103" s="1030">
        <f ca="1">SUM(E72:E102)</f>
        <v>5082.4000000000233</v>
      </c>
      <c r="F103" s="1030">
        <f>SUM(F72:F102)</f>
        <v>0</v>
      </c>
      <c r="G103" s="1030">
        <f t="shared" ref="G103:R103" si="2">SUM(G72:G102)</f>
        <v>0</v>
      </c>
      <c r="H103" s="1030">
        <f t="shared" ca="1" si="2"/>
        <v>1212.5399999999936</v>
      </c>
      <c r="I103" s="1030">
        <f t="shared" ca="1" si="2"/>
        <v>155.65375000000492</v>
      </c>
      <c r="J103" s="1030">
        <f t="shared" si="2"/>
        <v>0</v>
      </c>
      <c r="K103" s="1030">
        <f t="shared" ca="1" si="2"/>
        <v>4448</v>
      </c>
      <c r="L103" s="1030">
        <f t="shared" ca="1" si="2"/>
        <v>49.540799999999869</v>
      </c>
      <c r="M103" s="1030">
        <f t="shared" ca="1" si="2"/>
        <v>455.60000000000582</v>
      </c>
      <c r="N103" s="1030">
        <f t="shared" ca="1" si="2"/>
        <v>300.79999999999927</v>
      </c>
      <c r="O103" s="1030">
        <f t="shared" ca="1" si="2"/>
        <v>1083.1139999999343</v>
      </c>
      <c r="P103" s="1030">
        <f t="shared" ca="1" si="2"/>
        <v>43.686999999999998</v>
      </c>
      <c r="Q103" s="1081">
        <f t="shared" ca="1" si="2"/>
        <v>149.82300000000396</v>
      </c>
      <c r="R103" s="1081">
        <f t="shared" ca="1" si="2"/>
        <v>704.70545000000402</v>
      </c>
    </row>
    <row r="104" spans="2:18">
      <c r="B104" s="390">
        <v>45017</v>
      </c>
      <c r="C104" s="994">
        <f ca="1">DATOSAÑO!AJ101</f>
        <v>7</v>
      </c>
      <c r="D104" s="994">
        <f ca="1">DATOSAÑO!AK101</f>
        <v>24.399999999994179</v>
      </c>
      <c r="E104" s="994">
        <f ca="1">DATOSAÑO!AD101</f>
        <v>166</v>
      </c>
      <c r="F104" s="994">
        <f>(VLOOKUP($B104,[8]DATOSAÑO!$B$12:$BS$376,37))</f>
        <v>0</v>
      </c>
      <c r="G104" s="994">
        <v>0</v>
      </c>
      <c r="H104" s="994">
        <f ca="1">DATOSAÑO!AI101</f>
        <v>39.100000000005821</v>
      </c>
      <c r="I104" s="994">
        <f ca="1">DATOSAÑO!CJ101</f>
        <v>5.5390000000011312</v>
      </c>
      <c r="J104" s="994">
        <v>0</v>
      </c>
      <c r="K104" s="994">
        <f ca="1">DATOSAÑO!AF101</f>
        <v>153</v>
      </c>
      <c r="L104" s="994">
        <f ca="1">+DATOSAÑO!CK101</f>
        <v>1.6692000000003822</v>
      </c>
      <c r="M104" s="994">
        <f ca="1">+DATOSAÑO!AK101</f>
        <v>24.399999999994179</v>
      </c>
      <c r="N104" s="994">
        <f ca="1">+DATOSAÑO!AH101</f>
        <v>10.400000000001455</v>
      </c>
      <c r="O104" s="994">
        <f ca="1">DATOSAÑO!AL101</f>
        <v>24.499999999996362</v>
      </c>
      <c r="P104" s="994">
        <f ca="1">+(DATOSAÑO!BH101)+DATOSAÑO!BJ101</f>
        <v>1.4330000000000001</v>
      </c>
      <c r="Q104" s="994">
        <f ca="1">+DATOSAÑO!BQ101</f>
        <v>4.5</v>
      </c>
      <c r="R104" s="1080">
        <f ca="1">DATOSAÑO!BS101+DATOSAÑO!BV101+DATOSAÑO!BY101+DATOSAÑO!CF101+DATOSAÑO!CL101</f>
        <v>22.591800000001385</v>
      </c>
    </row>
    <row r="105" spans="2:18">
      <c r="B105" s="390">
        <v>45018</v>
      </c>
      <c r="C105" s="994">
        <f ca="1">DATOSAÑO!AJ102</f>
        <v>7</v>
      </c>
      <c r="D105" s="994">
        <f ca="1">DATOSAÑO!AK102</f>
        <v>16</v>
      </c>
      <c r="E105" s="994">
        <f ca="1">DATOSAÑO!AD102</f>
        <v>165</v>
      </c>
      <c r="F105" s="994">
        <f>(VLOOKUP($B105,[8]DATOSAÑO!$B$12:$BS$376,37))</f>
        <v>0</v>
      </c>
      <c r="G105" s="994">
        <v>0</v>
      </c>
      <c r="H105" s="994">
        <f ca="1">DATOSAÑO!AI102</f>
        <v>39.099999999998545</v>
      </c>
      <c r="I105" s="994">
        <f ca="1">DATOSAÑO!CJ102</f>
        <v>5.2276999999987286</v>
      </c>
      <c r="J105" s="994">
        <v>0</v>
      </c>
      <c r="K105" s="994">
        <f ca="1">DATOSAÑO!AF102</f>
        <v>153</v>
      </c>
      <c r="L105" s="994">
        <f ca="1">+DATOSAÑO!CK102</f>
        <v>2.3382000000001639</v>
      </c>
      <c r="M105" s="994">
        <f ca="1">+DATOSAÑO!AK102</f>
        <v>16</v>
      </c>
      <c r="N105" s="994">
        <f ca="1">+DATOSAÑO!AH102</f>
        <v>12.19999999999709</v>
      </c>
      <c r="O105" s="994">
        <f ca="1">DATOSAÑO!AL102</f>
        <v>34.300000000006605</v>
      </c>
      <c r="P105" s="994">
        <f ca="1">+(DATOSAÑO!BH102)+DATOSAÑO!BJ102</f>
        <v>1.3759999999999999</v>
      </c>
      <c r="Q105" s="994">
        <f ca="1">+DATOSAÑO!BQ102</f>
        <v>4</v>
      </c>
      <c r="R105" s="1080">
        <f ca="1">DATOSAÑO!BS102+DATOSAÑO!BV102+DATOSAÑO!BY102+DATOSAÑO!CF102+DATOSAÑO!CL102</f>
        <v>20.83409999999893</v>
      </c>
    </row>
    <row r="106" spans="2:18">
      <c r="B106" s="390">
        <v>45019</v>
      </c>
      <c r="C106" s="994">
        <f ca="1">DATOSAÑO!AJ103</f>
        <v>8.9000000000087311</v>
      </c>
      <c r="D106" s="994">
        <f ca="1">DATOSAÑO!AK103</f>
        <v>15.100000000005821</v>
      </c>
      <c r="E106" s="994">
        <f ca="1">DATOSAÑO!AD103</f>
        <v>169</v>
      </c>
      <c r="F106" s="994">
        <f>(VLOOKUP($B106,[8]DATOSAÑO!$B$12:$BS$376,37))</f>
        <v>0</v>
      </c>
      <c r="G106" s="994">
        <v>0</v>
      </c>
      <c r="H106" s="994">
        <f ca="1">DATOSAÑO!AI103</f>
        <v>38.400000000001455</v>
      </c>
      <c r="I106" s="994">
        <f ca="1">DATOSAÑO!CJ103</f>
        <v>4.070000000000138</v>
      </c>
      <c r="J106" s="994">
        <v>0</v>
      </c>
      <c r="K106" s="994">
        <f ca="1">DATOSAÑO!AF103</f>
        <v>153</v>
      </c>
      <c r="L106" s="994">
        <f ca="1">+DATOSAÑO!CK103</f>
        <v>1.6553999999993996</v>
      </c>
      <c r="M106" s="994">
        <f ca="1">+DATOSAÑO!AK103</f>
        <v>15.100000000005821</v>
      </c>
      <c r="N106" s="994">
        <f ca="1">+DATOSAÑO!AH103</f>
        <v>5</v>
      </c>
      <c r="O106" s="994">
        <f ca="1">DATOSAÑO!AL103</f>
        <v>32.930999999985431</v>
      </c>
      <c r="P106" s="994">
        <f ca="1">+(DATOSAÑO!BH103)+DATOSAÑO!BJ103</f>
        <v>0.94899999999999995</v>
      </c>
      <c r="Q106" s="994">
        <f ca="1">+DATOSAÑO!BQ103</f>
        <v>4.6999999999970896</v>
      </c>
      <c r="R106" s="1080">
        <f ca="1">DATOSAÑO!BS103+DATOSAÑO!BV103+DATOSAÑO!BY103+DATOSAÑO!CF103+DATOSAÑO!CL103</f>
        <v>22.574599999999737</v>
      </c>
    </row>
    <row r="107" spans="2:18">
      <c r="B107" s="390">
        <v>45020</v>
      </c>
      <c r="C107" s="994">
        <f ca="1">DATOSAÑO!AJ104</f>
        <v>9.8999999999941792</v>
      </c>
      <c r="D107" s="994">
        <f ca="1">DATOSAÑO!AK104</f>
        <v>17.299999999988358</v>
      </c>
      <c r="E107" s="994">
        <f ca="1">DATOSAÑO!AD104</f>
        <v>168.90000000002328</v>
      </c>
      <c r="F107" s="994">
        <f>(VLOOKUP($B107,[8]DATOSAÑO!$B$12:$BS$376,37))</f>
        <v>0</v>
      </c>
      <c r="G107" s="994">
        <v>0</v>
      </c>
      <c r="H107" s="994">
        <f ca="1">DATOSAÑO!AI104</f>
        <v>36.899999999994179</v>
      </c>
      <c r="I107" s="994">
        <f ca="1">DATOSAÑO!CJ104</f>
        <v>4.8255000000122799</v>
      </c>
      <c r="J107" s="994">
        <v>0</v>
      </c>
      <c r="K107" s="994">
        <f ca="1">DATOSAÑO!AF104</f>
        <v>152.79999999998836</v>
      </c>
      <c r="L107" s="994">
        <f ca="1">+DATOSAÑO!CK104</f>
        <v>1.7532000000001051</v>
      </c>
      <c r="M107" s="994">
        <f ca="1">+DATOSAÑO!AK104</f>
        <v>17.299999999988358</v>
      </c>
      <c r="N107" s="994">
        <f ca="1">+DATOSAÑO!AH104</f>
        <v>18.900000000001455</v>
      </c>
      <c r="O107" s="994">
        <f ca="1">DATOSAÑO!AL104</f>
        <v>35.756000000007475</v>
      </c>
      <c r="P107" s="994">
        <f ca="1">+(DATOSAÑO!BH104)+DATOSAÑO!BJ104</f>
        <v>0.92</v>
      </c>
      <c r="Q107" s="994">
        <f ca="1">+DATOSAÑO!BQ104</f>
        <v>5</v>
      </c>
      <c r="R107" s="1080">
        <f ca="1">DATOSAÑO!BS104+DATOSAÑO!BV104+DATOSAÑO!BY104+DATOSAÑO!CF104+DATOSAÑO!CL104</f>
        <v>24.221300000012349</v>
      </c>
    </row>
    <row r="108" spans="2:18">
      <c r="B108" s="390">
        <v>45021</v>
      </c>
      <c r="C108" s="994">
        <f ca="1">DATOSAÑO!AJ105</f>
        <v>9.1000000000058208</v>
      </c>
      <c r="D108" s="994">
        <f ca="1">DATOSAÑO!AK105</f>
        <v>15.100000000005821</v>
      </c>
      <c r="E108" s="994">
        <f ca="1">DATOSAÑO!AD105</f>
        <v>168.29999999993015</v>
      </c>
      <c r="F108" s="994">
        <f>(VLOOKUP($B108,[8]DATOSAÑO!$B$12:$BS$376,37))</f>
        <v>0</v>
      </c>
      <c r="G108" s="994">
        <v>0</v>
      </c>
      <c r="H108" s="994">
        <f ca="1">DATOSAÑO!AI105</f>
        <v>37.30000000000291</v>
      </c>
      <c r="I108" s="994">
        <f ca="1">DATOSAÑO!CJ105</f>
        <v>4.4844499999935916</v>
      </c>
      <c r="J108" s="994">
        <v>0</v>
      </c>
      <c r="K108" s="994">
        <f ca="1">DATOSAÑO!AF105</f>
        <v>152.40000000002328</v>
      </c>
      <c r="L108" s="994">
        <f ca="1">+DATOSAÑO!CK105</f>
        <v>1.9242000000002184</v>
      </c>
      <c r="M108" s="994">
        <f ca="1">+DATOSAÑO!AK105</f>
        <v>15.100000000005821</v>
      </c>
      <c r="N108" s="994">
        <f ca="1">+DATOSAÑO!AH105</f>
        <v>7.3000000000029104</v>
      </c>
      <c r="O108" s="994">
        <f ca="1">DATOSAÑO!AL105</f>
        <v>34.700000000066154</v>
      </c>
      <c r="P108" s="994">
        <f ca="1">+(DATOSAÑO!BH105)+DATOSAÑO!BJ105</f>
        <v>0.89300000000000002</v>
      </c>
      <c r="Q108" s="994">
        <f ca="1">+DATOSAÑO!BQ105</f>
        <v>4.5999999999985448</v>
      </c>
      <c r="R108" s="1080">
        <f ca="1">DATOSAÑO!BS105+DATOSAÑO!BV105+DATOSAÑO!BY105+DATOSAÑO!CF105+DATOSAÑO!CL105</f>
        <v>22.191349999993829</v>
      </c>
    </row>
    <row r="109" spans="2:18">
      <c r="B109" s="390">
        <v>45022</v>
      </c>
      <c r="C109" s="994">
        <f ca="1">DATOSAÑO!AJ106</f>
        <v>9.1999999999970896</v>
      </c>
      <c r="D109" s="994">
        <f ca="1">DATOSAÑO!AK106</f>
        <v>15.299999999988358</v>
      </c>
      <c r="E109" s="994">
        <f ca="1">DATOSAÑO!AD106</f>
        <v>168.80000000004657</v>
      </c>
      <c r="F109" s="994">
        <f>(VLOOKUP($B109,[8]DATOSAÑO!$B$12:$BS$376,37))</f>
        <v>0</v>
      </c>
      <c r="G109" s="994">
        <v>0</v>
      </c>
      <c r="H109" s="994">
        <f ca="1">DATOSAÑO!AI106</f>
        <v>39.69999999999709</v>
      </c>
      <c r="I109" s="994">
        <f ca="1">DATOSAÑO!CJ106</f>
        <v>4.1913499999941752</v>
      </c>
      <c r="J109" s="994">
        <v>0</v>
      </c>
      <c r="K109" s="994">
        <f ca="1">DATOSAÑO!AF106</f>
        <v>153.79999999998836</v>
      </c>
      <c r="L109" s="994">
        <f ca="1">+DATOSAÑO!CK106</f>
        <v>1.8750000000001235</v>
      </c>
      <c r="M109" s="994">
        <f ca="1">+DATOSAÑO!AK106</f>
        <v>15.299999999988358</v>
      </c>
      <c r="N109" s="994">
        <f ca="1">+DATOSAÑO!AH106</f>
        <v>10.099999999998545</v>
      </c>
      <c r="O109" s="994">
        <f ca="1">DATOSAÑO!AL106</f>
        <v>35.099999999947556</v>
      </c>
      <c r="P109" s="994">
        <f ca="1">+(DATOSAÑO!BH106)+DATOSAÑO!BJ106</f>
        <v>0.85399999999999998</v>
      </c>
      <c r="Q109" s="994">
        <f ca="1">+DATOSAÑO!BQ106</f>
        <v>4.3000000000029104</v>
      </c>
      <c r="R109" s="1080">
        <f ca="1">DATOSAÑO!BS106+DATOSAÑO!BV106+DATOSAÑO!BY106+DATOSAÑO!CF106+DATOSAÑO!CL106</f>
        <v>21.933649999994799</v>
      </c>
    </row>
    <row r="110" spans="2:18">
      <c r="B110" s="390">
        <v>45023</v>
      </c>
      <c r="C110" s="994">
        <f ca="1">DATOSAÑO!AJ107</f>
        <v>10</v>
      </c>
      <c r="D110" s="994">
        <f ca="1">DATOSAÑO!AK107</f>
        <v>14.900000000023283</v>
      </c>
      <c r="E110" s="994">
        <f ca="1">DATOSAÑO!AD107</f>
        <v>166</v>
      </c>
      <c r="F110" s="994">
        <f>(VLOOKUP($B110,[8]DATOSAÑO!$B$12:$BS$376,37))</f>
        <v>0</v>
      </c>
      <c r="G110" s="994">
        <v>0</v>
      </c>
      <c r="H110" s="994">
        <f ca="1">DATOSAÑO!AI107</f>
        <v>42.30000000000291</v>
      </c>
      <c r="I110" s="994">
        <f ca="1">DATOSAÑO!CJ107</f>
        <v>4.5504999999990465</v>
      </c>
      <c r="J110" s="994">
        <v>0</v>
      </c>
      <c r="K110" s="994">
        <f ca="1">DATOSAÑO!AF107</f>
        <v>154</v>
      </c>
      <c r="L110" s="994">
        <f ca="1">+DATOSAÑO!CK107</f>
        <v>2.0315999999998366</v>
      </c>
      <c r="M110" s="994">
        <f ca="1">+DATOSAÑO!AK107</f>
        <v>14.900000000023283</v>
      </c>
      <c r="N110" s="994">
        <f ca="1">+DATOSAÑO!AH107</f>
        <v>12.399999999995998</v>
      </c>
      <c r="O110" s="994">
        <f ca="1">DATOSAÑO!AL107</f>
        <v>33.799999999979264</v>
      </c>
      <c r="P110" s="994">
        <f ca="1">+(DATOSAÑO!BH107)+DATOSAÑO!BJ107</f>
        <v>0.88500000000000001</v>
      </c>
      <c r="Q110" s="994">
        <f ca="1">+DATOSAÑO!BQ107</f>
        <v>4</v>
      </c>
      <c r="R110" s="1080">
        <f ca="1">DATOSAÑO!BS107+DATOSAÑO!BV107+DATOSAÑO!BY107+DATOSAÑO!CF107+DATOSAÑO!CL107</f>
        <v>22.017899999999663</v>
      </c>
    </row>
    <row r="111" spans="2:18">
      <c r="B111" s="390">
        <v>45024</v>
      </c>
      <c r="C111" s="994">
        <f ca="1">DATOSAÑO!AJ108</f>
        <v>7.3000000000029104</v>
      </c>
      <c r="D111" s="994">
        <f ca="1">DATOSAÑO!AK108</f>
        <v>14.599999999976717</v>
      </c>
      <c r="E111" s="994">
        <f ca="1">DATOSAÑO!AD108</f>
        <v>162</v>
      </c>
      <c r="F111" s="994">
        <f>(VLOOKUP($B111,[8]DATOSAÑO!$B$12:$BS$376,37))</f>
        <v>0</v>
      </c>
      <c r="G111" s="994">
        <v>0</v>
      </c>
      <c r="H111" s="994">
        <f ca="1">DATOSAÑO!AI108</f>
        <v>41.69999999999709</v>
      </c>
      <c r="I111" s="994">
        <f ca="1">DATOSAÑO!CJ108</f>
        <v>4.3400000000009129</v>
      </c>
      <c r="J111" s="994">
        <v>0</v>
      </c>
      <c r="K111" s="994">
        <f ca="1">DATOSAÑO!AF108</f>
        <v>150</v>
      </c>
      <c r="L111" s="994">
        <f ca="1">+DATOSAÑO!CK108</f>
        <v>2.2350000000002179</v>
      </c>
      <c r="M111" s="994">
        <f ca="1">+DATOSAÑO!AK108</f>
        <v>14.599999999976717</v>
      </c>
      <c r="N111" s="994">
        <f ca="1">+DATOSAÑO!AH108</f>
        <v>13.700000000004366</v>
      </c>
      <c r="O111" s="994">
        <f ca="1">DATOSAÑO!AL108</f>
        <v>36.600000000016621</v>
      </c>
      <c r="P111" s="994">
        <f ca="1">+(DATOSAÑO!BH108)+DATOSAÑO!BJ108</f>
        <v>0.85599999999999998</v>
      </c>
      <c r="Q111" s="994">
        <f ca="1">+DATOSAÑO!BQ108</f>
        <v>4</v>
      </c>
      <c r="R111" s="1080">
        <f ca="1">DATOSAÑO!BS108+DATOSAÑO!BV108+DATOSAÑO!BY108+DATOSAÑO!CF108+DATOSAÑO!CL108</f>
        <v>21.525000000001057</v>
      </c>
    </row>
    <row r="112" spans="2:18">
      <c r="B112" s="390">
        <v>45025</v>
      </c>
      <c r="C112" s="994">
        <f ca="1">DATOSAÑO!AJ109</f>
        <v>6.3000000000029104</v>
      </c>
      <c r="D112" s="994">
        <f ca="1">DATOSAÑO!AK109</f>
        <v>14.5</v>
      </c>
      <c r="E112" s="994">
        <f ca="1">DATOSAÑO!AD109</f>
        <v>166</v>
      </c>
      <c r="F112" s="994">
        <f>(VLOOKUP($B112,[8]DATOSAÑO!$B$12:$BS$376,37))</f>
        <v>0</v>
      </c>
      <c r="G112" s="994">
        <v>0</v>
      </c>
      <c r="H112" s="994">
        <f ca="1">DATOSAÑO!AI109</f>
        <v>40.400000000001455</v>
      </c>
      <c r="I112" s="994">
        <f ca="1">DATOSAÑO!CJ109</f>
        <v>2.7140000000005928</v>
      </c>
      <c r="J112" s="994">
        <v>0</v>
      </c>
      <c r="K112" s="994">
        <f ca="1">DATOSAÑO!AF109</f>
        <v>149</v>
      </c>
      <c r="L112" s="994">
        <f ca="1">+DATOSAÑO!CK109</f>
        <v>2.1623999999997285</v>
      </c>
      <c r="M112" s="994">
        <f ca="1">+DATOSAÑO!AK109</f>
        <v>14.5</v>
      </c>
      <c r="N112" s="994">
        <f ca="1">+DATOSAÑO!AH109</f>
        <v>12.19999999999709</v>
      </c>
      <c r="O112" s="994">
        <f ca="1">DATOSAÑO!AL109</f>
        <v>34.299999999999272</v>
      </c>
      <c r="P112" s="994">
        <f ca="1">+(DATOSAÑO!BH109)+DATOSAÑO!BJ109</f>
        <v>0.86099999999999999</v>
      </c>
      <c r="Q112" s="994">
        <f ca="1">+DATOSAÑO!BQ109</f>
        <v>4</v>
      </c>
      <c r="R112" s="1080">
        <f ca="1">DATOSAÑO!BS109+DATOSAÑO!BV109+DATOSAÑO!BY109+DATOSAÑO!CF109+DATOSAÑO!CL109</f>
        <v>20.423599999998956</v>
      </c>
    </row>
    <row r="113" spans="2:18">
      <c r="B113" s="390">
        <v>45026</v>
      </c>
      <c r="C113" s="994">
        <f ca="1">DATOSAÑO!AJ110</f>
        <v>7.5999999999912689</v>
      </c>
      <c r="D113" s="994">
        <f ca="1">DATOSAÑO!AK110</f>
        <v>14.600000000005821</v>
      </c>
      <c r="E113" s="994">
        <f ca="1">DATOSAÑO!AD110</f>
        <v>162</v>
      </c>
      <c r="F113" s="994">
        <f>(VLOOKUP($B113,[8]DATOSAÑO!$B$12:$BS$376,37))</f>
        <v>0</v>
      </c>
      <c r="G113" s="994">
        <v>0</v>
      </c>
      <c r="H113" s="994">
        <f ca="1">DATOSAÑO!AI110</f>
        <v>40.099999999998545</v>
      </c>
      <c r="I113" s="994">
        <f ca="1">DATOSAÑO!CJ110</f>
        <v>5.4229999999998126</v>
      </c>
      <c r="J113" s="994">
        <v>0</v>
      </c>
      <c r="K113" s="994">
        <f ca="1">DATOSAÑO!AF110</f>
        <v>150</v>
      </c>
      <c r="L113" s="994">
        <f ca="1">+DATOSAÑO!CK110</f>
        <v>2.2308000000002184</v>
      </c>
      <c r="M113" s="994">
        <f ca="1">+DATOSAÑO!AK110</f>
        <v>14.600000000005821</v>
      </c>
      <c r="N113" s="994">
        <f ca="1">+DATOSAÑO!AH110</f>
        <v>11.200000000004366</v>
      </c>
      <c r="O113" s="994">
        <f ca="1">DATOSAÑO!AL110</f>
        <v>33.299999999999216</v>
      </c>
      <c r="P113" s="994">
        <f ca="1">+(DATOSAÑO!BH110)+DATOSAÑO!BJ110</f>
        <v>0.879</v>
      </c>
      <c r="Q113" s="994">
        <f ca="1">+DATOSAÑO!BQ110</f>
        <v>5</v>
      </c>
      <c r="R113" s="1080">
        <f ca="1">DATOSAÑO!BS110+DATOSAÑO!BV110+DATOSAÑO!BY110+DATOSAÑO!CF110+DATOSAÑO!CL110</f>
        <v>22.546200000000685</v>
      </c>
    </row>
    <row r="114" spans="2:18">
      <c r="B114" s="390">
        <v>45027</v>
      </c>
      <c r="C114" s="994">
        <f ca="1">DATOSAÑO!AJ111</f>
        <v>5.6000000000058208</v>
      </c>
      <c r="D114" s="994">
        <f ca="1">DATOSAÑO!AK111</f>
        <v>14.200000000011642</v>
      </c>
      <c r="E114" s="994">
        <f ca="1">DATOSAÑO!AD111</f>
        <v>163</v>
      </c>
      <c r="F114" s="994">
        <f>(VLOOKUP($B114,[8]DATOSAÑO!$B$12:$BS$376,37))</f>
        <v>0</v>
      </c>
      <c r="G114" s="994">
        <v>0</v>
      </c>
      <c r="H114" s="994">
        <f ca="1">DATOSAÑO!AI111</f>
        <v>40.30000000000291</v>
      </c>
      <c r="I114" s="994">
        <f ca="1">DATOSAÑO!CJ111</f>
        <v>4.3490000000001467</v>
      </c>
      <c r="J114" s="994">
        <v>0</v>
      </c>
      <c r="K114" s="994">
        <f ca="1">DATOSAÑO!AF111</f>
        <v>152</v>
      </c>
      <c r="L114" s="994">
        <f ca="1">+DATOSAÑO!CK111</f>
        <v>2.3627999999998313</v>
      </c>
      <c r="M114" s="994">
        <f ca="1">+DATOSAÑO!AK111</f>
        <v>14.200000000011642</v>
      </c>
      <c r="N114" s="994">
        <f ca="1">+DATOSAÑO!AH111</f>
        <v>8.0999999999985448</v>
      </c>
      <c r="O114" s="994">
        <f ca="1">DATOSAÑO!AL111</f>
        <v>34.232999999981757</v>
      </c>
      <c r="P114" s="994">
        <f ca="1">+(DATOSAÑO!BH111)+DATOSAÑO!BJ111</f>
        <v>0.56999999999999995</v>
      </c>
      <c r="Q114" s="994">
        <f ca="1">+DATOSAÑO!BQ111</f>
        <v>5</v>
      </c>
      <c r="R114" s="1080">
        <f ca="1">DATOSAÑO!BS111+DATOSAÑO!BV111+DATOSAÑO!BY111+DATOSAÑO!CF111+DATOSAÑO!CL111</f>
        <v>21.588199999999304</v>
      </c>
    </row>
    <row r="115" spans="2:18">
      <c r="B115" s="390">
        <v>45028</v>
      </c>
      <c r="C115" s="994">
        <f ca="1">DATOSAÑO!AJ112</f>
        <v>5.6999999999970896</v>
      </c>
      <c r="D115" s="994">
        <f ca="1">DATOSAÑO!AK112</f>
        <v>14.199999999982538</v>
      </c>
      <c r="E115" s="994">
        <f ca="1">DATOSAÑO!AD112</f>
        <v>162</v>
      </c>
      <c r="F115" s="994">
        <f>(VLOOKUP($B115,[8]DATOSAÑO!$B$12:$BS$376,37))</f>
        <v>0</v>
      </c>
      <c r="G115" s="994">
        <v>0</v>
      </c>
      <c r="H115" s="994">
        <f ca="1">DATOSAÑO!AI112</f>
        <v>38.400000000001455</v>
      </c>
      <c r="I115" s="994">
        <f ca="1">DATOSAÑO!CJ112</f>
        <v>3.839500000000045</v>
      </c>
      <c r="J115" s="994">
        <v>0</v>
      </c>
      <c r="K115" s="994">
        <f ca="1">DATOSAÑO!AF112</f>
        <v>150</v>
      </c>
      <c r="L115" s="994">
        <f ca="1">+DATOSAÑO!CK112</f>
        <v>2.3274000000003818</v>
      </c>
      <c r="M115" s="994">
        <f ca="1">+DATOSAÑO!AK112</f>
        <v>14.199999999982538</v>
      </c>
      <c r="N115" s="994">
        <f ca="1">+DATOSAÑO!AH112</f>
        <v>9.9000000000014552</v>
      </c>
      <c r="O115" s="994">
        <f ca="1">DATOSAÑO!AL112</f>
        <v>33.400000000016007</v>
      </c>
      <c r="P115" s="994">
        <f ca="1">+(DATOSAÑO!BH112)+DATOSAÑO!BJ112</f>
        <v>0.24099999999999999</v>
      </c>
      <c r="Q115" s="994">
        <f ca="1">+DATOSAÑO!BQ112</f>
        <v>4</v>
      </c>
      <c r="R115" s="1080">
        <f ca="1">DATOSAÑO!BS112+DATOSAÑO!BV112+DATOSAÑO!BY112+DATOSAÑO!CF112+DATOSAÑO!CL112</f>
        <v>20.233100000001031</v>
      </c>
    </row>
    <row r="116" spans="2:18">
      <c r="B116" s="390">
        <v>45029</v>
      </c>
      <c r="C116" s="994">
        <f ca="1">DATOSAÑO!AJ113</f>
        <v>7.3999999999941792</v>
      </c>
      <c r="D116" s="994">
        <f ca="1">DATOSAÑO!AK113</f>
        <v>15</v>
      </c>
      <c r="E116" s="994">
        <f ca="1">DATOSAÑO!AD113</f>
        <v>163</v>
      </c>
      <c r="F116" s="994">
        <f>(VLOOKUP($B116,[8]DATOSAÑO!$B$12:$BS$376,37))</f>
        <v>0</v>
      </c>
      <c r="G116" s="994">
        <v>0</v>
      </c>
      <c r="H116" s="994">
        <f ca="1">DATOSAÑO!AI113</f>
        <v>38</v>
      </c>
      <c r="I116" s="994">
        <f ca="1">DATOSAÑO!CJ113</f>
        <v>4.9239999999988617</v>
      </c>
      <c r="J116" s="994">
        <v>0</v>
      </c>
      <c r="K116" s="994">
        <f ca="1">DATOSAÑO!AF113</f>
        <v>149</v>
      </c>
      <c r="L116" s="994">
        <f ca="1">+DATOSAÑO!CK113</f>
        <v>2.2271999999993994</v>
      </c>
      <c r="M116" s="994">
        <f ca="1">+DATOSAÑO!AK113</f>
        <v>15</v>
      </c>
      <c r="N116" s="994">
        <f ca="1">+DATOSAÑO!AH113</f>
        <v>12</v>
      </c>
      <c r="O116" s="994">
        <f ca="1">DATOSAÑO!AL113</f>
        <v>32.400000000008788</v>
      </c>
      <c r="P116" s="994">
        <f ca="1">+(DATOSAÑO!BH113)+DATOSAÑO!BJ113</f>
        <v>0.24099999999999999</v>
      </c>
      <c r="Q116" s="994">
        <f ca="1">+DATOSAÑO!BQ113</f>
        <v>5</v>
      </c>
      <c r="R116" s="1080">
        <f ca="1">DATOSAÑO!BS113+DATOSAÑO!BV113+DATOSAÑO!BY113+DATOSAÑO!CF113+DATOSAÑO!CL113</f>
        <v>21.048799999998828</v>
      </c>
    </row>
    <row r="117" spans="2:18">
      <c r="B117" s="390">
        <v>45030</v>
      </c>
      <c r="C117" s="994">
        <f ca="1">DATOSAÑO!AJ114</f>
        <v>7.6000000000058208</v>
      </c>
      <c r="D117" s="994">
        <f ca="1">DATOSAÑO!AK114</f>
        <v>14.300000000017462</v>
      </c>
      <c r="E117" s="994">
        <f ca="1">DATOSAÑO!AD114</f>
        <v>160</v>
      </c>
      <c r="F117" s="994">
        <f>(VLOOKUP($B117,[8]DATOSAÑO!$B$12:$BS$376,37))</f>
        <v>0</v>
      </c>
      <c r="G117" s="994">
        <v>0</v>
      </c>
      <c r="H117" s="994">
        <f ca="1">DATOSAÑO!AI114</f>
        <v>39.69999999999709</v>
      </c>
      <c r="I117" s="994">
        <f ca="1">DATOSAÑO!CJ114</f>
        <v>5.4155000000010398</v>
      </c>
      <c r="J117" s="994">
        <v>0</v>
      </c>
      <c r="K117" s="994">
        <f ca="1">DATOSAÑO!AF114</f>
        <v>150</v>
      </c>
      <c r="L117" s="994">
        <f ca="1">+DATOSAÑO!CK114</f>
        <v>2.2200000000004909</v>
      </c>
      <c r="M117" s="994">
        <f ca="1">+DATOSAÑO!AK114</f>
        <v>14.300000000017462</v>
      </c>
      <c r="N117" s="994">
        <f ca="1">+DATOSAÑO!AH114</f>
        <v>5.8999999999941792</v>
      </c>
      <c r="O117" s="994">
        <f ca="1">DATOSAÑO!AL114</f>
        <v>31.199999999982538</v>
      </c>
      <c r="P117" s="994">
        <f ca="1">+(DATOSAÑO!BH114)+DATOSAÑO!BJ114</f>
        <v>0.45399999999999996</v>
      </c>
      <c r="Q117" s="994">
        <f ca="1">+DATOSAÑO!BQ114</f>
        <v>5</v>
      </c>
      <c r="R117" s="1080">
        <f ca="1">DATOSAÑO!BS114+DATOSAÑO!BV114+DATOSAÑO!BY114+DATOSAÑO!CF114+DATOSAÑO!CL114</f>
        <v>20.664500000001368</v>
      </c>
    </row>
    <row r="118" spans="2:18">
      <c r="B118" s="390">
        <v>45031</v>
      </c>
      <c r="C118" s="994">
        <f ca="1">DATOSAÑO!AJ115</f>
        <v>8</v>
      </c>
      <c r="D118" s="994">
        <f ca="1">DATOSAÑO!AK115</f>
        <v>15.199999999982538</v>
      </c>
      <c r="E118" s="994">
        <f ca="1">DATOSAÑO!AD115</f>
        <v>162</v>
      </c>
      <c r="F118" s="994">
        <f>(VLOOKUP($B118,[8]DATOSAÑO!$B$12:$BS$376,37))</f>
        <v>0</v>
      </c>
      <c r="G118" s="994">
        <v>0</v>
      </c>
      <c r="H118" s="994">
        <f ca="1">DATOSAÑO!AI115</f>
        <v>41.099999999998545</v>
      </c>
      <c r="I118" s="994">
        <f ca="1">DATOSAÑO!CJ115</f>
        <v>5.2544999999996058</v>
      </c>
      <c r="J118" s="994">
        <v>0</v>
      </c>
      <c r="K118" s="994">
        <f ca="1">DATOSAÑO!AF115</f>
        <v>150</v>
      </c>
      <c r="L118" s="994">
        <f ca="1">+DATOSAÑO!CK115</f>
        <v>2.3321999999998262</v>
      </c>
      <c r="M118" s="994">
        <f ca="1">+DATOSAÑO!AK115</f>
        <v>15.199999999982538</v>
      </c>
      <c r="N118" s="994">
        <f ca="1">+DATOSAÑO!AH115</f>
        <v>12.200000000004366</v>
      </c>
      <c r="O118" s="994">
        <f ca="1">DATOSAÑO!AL115</f>
        <v>33.200000000015223</v>
      </c>
      <c r="P118" s="994">
        <f ca="1">+(DATOSAÑO!BH115)+DATOSAÑO!BJ115</f>
        <v>1.5960000000000001</v>
      </c>
      <c r="Q118" s="994">
        <f ca="1">+DATOSAÑO!BQ115</f>
        <v>5</v>
      </c>
      <c r="R118" s="1080">
        <f ca="1">DATOSAÑO!BS115+DATOSAÑO!BV115+DATOSAÑO!BY115+DATOSAÑO!CF115+DATOSAÑO!CL115</f>
        <v>20.713299999999855</v>
      </c>
    </row>
    <row r="119" spans="2:18">
      <c r="B119" s="390">
        <v>45032</v>
      </c>
      <c r="C119" s="994">
        <f ca="1">DATOSAÑO!AJ116</f>
        <v>7</v>
      </c>
      <c r="D119" s="994">
        <f ca="1">DATOSAÑO!AK116</f>
        <v>14.5</v>
      </c>
      <c r="E119" s="994">
        <f ca="1">DATOSAÑO!AD116</f>
        <v>162</v>
      </c>
      <c r="F119" s="994">
        <f>(VLOOKUP($B119,[8]DATOSAÑO!$B$12:$BS$376,37))</f>
        <v>0</v>
      </c>
      <c r="G119" s="994">
        <v>0</v>
      </c>
      <c r="H119" s="994">
        <f ca="1">DATOSAÑO!AI116</f>
        <v>41.30000000000291</v>
      </c>
      <c r="I119" s="994">
        <f ca="1">DATOSAÑO!CJ116</f>
        <v>3.6380000000001305</v>
      </c>
      <c r="J119" s="994">
        <v>0</v>
      </c>
      <c r="K119" s="994">
        <f ca="1">DATOSAÑO!AF116</f>
        <v>150</v>
      </c>
      <c r="L119" s="994">
        <f ca="1">+DATOSAÑO!CK116</f>
        <v>2.3147999999996181</v>
      </c>
      <c r="M119" s="994">
        <f ca="1">+DATOSAÑO!AK116</f>
        <v>14.5</v>
      </c>
      <c r="N119" s="994">
        <f ca="1">+DATOSAÑO!AH116</f>
        <v>9.1999999999970896</v>
      </c>
      <c r="O119" s="994">
        <f ca="1">DATOSAÑO!AL116</f>
        <v>36.935999999999183</v>
      </c>
      <c r="P119" s="994">
        <f ca="1">+(DATOSAÑO!BH116)+DATOSAÑO!BJ116</f>
        <v>1.454</v>
      </c>
      <c r="Q119" s="994">
        <f ca="1">+DATOSAÑO!BQ116</f>
        <v>4</v>
      </c>
      <c r="R119" s="1080">
        <f ca="1">DATOSAÑO!BS116+DATOSAÑO!BV116+DATOSAÑO!BY116+DATOSAÑO!CF116+DATOSAÑO!CL116</f>
        <v>19.347199999999511</v>
      </c>
    </row>
    <row r="120" spans="2:18">
      <c r="B120" s="390">
        <v>45033</v>
      </c>
      <c r="C120" s="994">
        <f ca="1">DATOSAÑO!AJ117</f>
        <v>7</v>
      </c>
      <c r="D120" s="994">
        <f ca="1">DATOSAÑO!AK117</f>
        <v>13.800000000017462</v>
      </c>
      <c r="E120" s="994">
        <f ca="1">DATOSAÑO!AD117</f>
        <v>163</v>
      </c>
      <c r="F120" s="994">
        <f>(VLOOKUP($B120,[8]DATOSAÑO!$B$12:$BS$376,37))</f>
        <v>0</v>
      </c>
      <c r="G120" s="994">
        <v>0</v>
      </c>
      <c r="H120" s="994">
        <f ca="1">DATOSAÑO!AI117</f>
        <v>39.30000000000291</v>
      </c>
      <c r="I120" s="994">
        <f ca="1">DATOSAÑO!CJ117</f>
        <v>1.519500000001142</v>
      </c>
      <c r="J120" s="994">
        <v>0</v>
      </c>
      <c r="K120" s="994">
        <f ca="1">DATOSAÑO!AF117</f>
        <v>147</v>
      </c>
      <c r="L120" s="994">
        <f ca="1">+DATOSAÑO!CK117</f>
        <v>2.3064000000001634</v>
      </c>
      <c r="M120" s="994">
        <f ca="1">+DATOSAÑO!AK117</f>
        <v>13.800000000017462</v>
      </c>
      <c r="N120" s="994">
        <f ca="1">+DATOSAÑO!AH117</f>
        <v>7.5999999999985448</v>
      </c>
      <c r="O120" s="994">
        <f ca="1">DATOSAÑO!AL117</f>
        <v>38.543999999979633</v>
      </c>
      <c r="P120" s="994">
        <f ca="1">+(DATOSAÑO!BH117)+DATOSAÑO!BJ117</f>
        <v>1.0469999999999999</v>
      </c>
      <c r="Q120" s="994">
        <f ca="1">+DATOSAÑO!BQ117</f>
        <v>5</v>
      </c>
      <c r="R120" s="1080">
        <f ca="1">DATOSAÑO!BS117+DATOSAÑO!BV117+DATOSAÑO!BY117+DATOSAÑO!CF117+DATOSAÑO!CL117</f>
        <v>16.574100000000161</v>
      </c>
    </row>
    <row r="121" spans="2:18">
      <c r="B121" s="390">
        <v>45034</v>
      </c>
      <c r="C121" s="994">
        <f ca="1">DATOSAÑO!AJ118</f>
        <v>5.6000000000058208</v>
      </c>
      <c r="D121" s="994">
        <f ca="1">DATOSAÑO!AK118</f>
        <v>14.399999999994179</v>
      </c>
      <c r="E121" s="994">
        <f ca="1">DATOSAÑO!AD118</f>
        <v>166</v>
      </c>
      <c r="F121" s="994">
        <f>(VLOOKUP($B121,[8]DATOSAÑO!$B$12:$BS$376,37))</f>
        <v>0</v>
      </c>
      <c r="G121" s="994">
        <v>0</v>
      </c>
      <c r="H121" s="994">
        <f ca="1">DATOSAÑO!AI118</f>
        <v>39.799999999995634</v>
      </c>
      <c r="I121" s="994">
        <f ca="1">DATOSAÑO!CJ118</f>
        <v>0.28149999999836861</v>
      </c>
      <c r="J121" s="994">
        <v>0</v>
      </c>
      <c r="K121" s="994">
        <f ca="1">DATOSAÑO!AF118</f>
        <v>147</v>
      </c>
      <c r="L121" s="994">
        <f ca="1">+DATOSAÑO!CK118</f>
        <v>2.2212000000002181</v>
      </c>
      <c r="M121" s="994">
        <f ca="1">+DATOSAÑO!AK118</f>
        <v>14.399999999994179</v>
      </c>
      <c r="N121" s="994">
        <f ca="1">+DATOSAÑO!AH118</f>
        <v>15.600000000005821</v>
      </c>
      <c r="O121" s="994">
        <f ca="1">DATOSAÑO!AL118</f>
        <v>41.78200000000146</v>
      </c>
      <c r="P121" s="994">
        <f ca="1">+(DATOSAÑO!BH118)+DATOSAÑO!BJ118</f>
        <v>0.86599999999999999</v>
      </c>
      <c r="Q121" s="994">
        <f ca="1">+DATOSAÑO!BQ118</f>
        <v>5</v>
      </c>
      <c r="R121" s="1080">
        <f ca="1">DATOSAÑO!BS118+DATOSAÑO!BV118+DATOSAÑO!BY118+DATOSAÑO!CF118+DATOSAÑO!CL118</f>
        <v>15.697299999998515</v>
      </c>
    </row>
    <row r="122" spans="2:18">
      <c r="B122" s="390">
        <v>45035</v>
      </c>
      <c r="C122" s="994">
        <f ca="1">DATOSAÑO!AJ119</f>
        <v>6.5999999999912689</v>
      </c>
      <c r="D122" s="994">
        <f ca="1">DATOSAÑO!AK119</f>
        <v>10</v>
      </c>
      <c r="E122" s="994">
        <f ca="1">DATOSAÑO!AD119</f>
        <v>166</v>
      </c>
      <c r="F122" s="994">
        <f>(VLOOKUP($B122,[8]DATOSAÑO!$B$12:$BS$376,37))</f>
        <v>0</v>
      </c>
      <c r="G122" s="994">
        <v>0</v>
      </c>
      <c r="H122" s="994">
        <f ca="1">DATOSAÑO!AI119</f>
        <v>40.5</v>
      </c>
      <c r="I122" s="994">
        <f ca="1">DATOSAÑO!CJ119</f>
        <v>2.3029999999997712</v>
      </c>
      <c r="J122" s="994">
        <v>0</v>
      </c>
      <c r="K122" s="994">
        <f ca="1">DATOSAÑO!AF119</f>
        <v>41</v>
      </c>
      <c r="L122" s="994">
        <f ca="1">+DATOSAÑO!CK119</f>
        <v>2.1504000000000545</v>
      </c>
      <c r="M122" s="994">
        <f ca="1">+DATOSAÑO!AK119</f>
        <v>10</v>
      </c>
      <c r="N122" s="994">
        <f ca="1">+DATOSAÑO!AH119</f>
        <v>7.1999999999970896</v>
      </c>
      <c r="O122" s="994">
        <f ca="1">DATOSAÑO!AL119</f>
        <v>35.645000000011692</v>
      </c>
      <c r="P122" s="994">
        <f ca="1">+(DATOSAÑO!BH119)+DATOSAÑO!BJ119</f>
        <v>0.93300000000000005</v>
      </c>
      <c r="Q122" s="994">
        <f ca="1">+DATOSAÑO!BQ119</f>
        <v>5</v>
      </c>
      <c r="R122" s="1080">
        <f ca="1">DATOSAÑO!BS119+DATOSAÑO!BV119+DATOSAÑO!BY119+DATOSAÑO!CF119+DATOSAÑO!CL119</f>
        <v>17.546600000000172</v>
      </c>
    </row>
    <row r="123" spans="2:18">
      <c r="B123" s="390">
        <v>45036</v>
      </c>
      <c r="C123" s="994">
        <f ca="1">DATOSAÑO!AJ120</f>
        <v>6.6000000000058208</v>
      </c>
      <c r="D123" s="994">
        <f ca="1">DATOSAÑO!AK120</f>
        <v>10</v>
      </c>
      <c r="E123" s="994">
        <f ca="1">DATOSAÑO!AD120</f>
        <v>163.46900000004098</v>
      </c>
      <c r="F123" s="994">
        <f>(VLOOKUP($B123,[8]DATOSAÑO!$B$12:$BS$376,37))</f>
        <v>0</v>
      </c>
      <c r="G123" s="994">
        <v>0</v>
      </c>
      <c r="H123" s="994">
        <f ca="1">DATOSAÑO!AI120</f>
        <v>39.400000000001455</v>
      </c>
      <c r="I123" s="994">
        <f ca="1">DATOSAÑO!CJ120</f>
        <v>6.0025000000008664</v>
      </c>
      <c r="J123" s="994">
        <v>0</v>
      </c>
      <c r="K123" s="994">
        <f ca="1">DATOSAÑO!AF120</f>
        <v>78</v>
      </c>
      <c r="L123" s="994">
        <f ca="1">+DATOSAÑO!CK120</f>
        <v>1.6793999999996181</v>
      </c>
      <c r="M123" s="994">
        <f ca="1">+DATOSAÑO!AK120</f>
        <v>10</v>
      </c>
      <c r="N123" s="994">
        <f ca="1">+DATOSAÑO!AH120</f>
        <v>7.1999999999970896</v>
      </c>
      <c r="O123" s="994">
        <f ca="1">DATOSAÑO!AL120</f>
        <v>32.330999999958294</v>
      </c>
      <c r="P123" s="994">
        <f ca="1">+(DATOSAÑO!BH120)+DATOSAÑO!BJ120</f>
        <v>0.88100000000000001</v>
      </c>
      <c r="Q123" s="994">
        <f ca="1">+DATOSAÑO!BQ120</f>
        <v>4.6999999999970896</v>
      </c>
      <c r="R123" s="1080">
        <f ca="1">DATOSAÑO!BS120+DATOSAÑO!BV120+DATOSAÑO!BY120+DATOSAÑO!CF120+DATOSAÑO!CL120</f>
        <v>20.518100000000249</v>
      </c>
    </row>
    <row r="124" spans="2:18">
      <c r="B124" s="390">
        <v>45037</v>
      </c>
      <c r="C124" s="994">
        <f ca="1">DATOSAÑO!AJ121</f>
        <v>6.3000000000029104</v>
      </c>
      <c r="D124" s="994">
        <f ca="1">DATOSAÑO!AK121</f>
        <v>12</v>
      </c>
      <c r="E124" s="994">
        <f ca="1">DATOSAÑO!AD121</f>
        <v>125.53099999995902</v>
      </c>
      <c r="F124" s="994">
        <f>(VLOOKUP($B124,[8]DATOSAÑO!$B$12:$BS$376,37))</f>
        <v>0</v>
      </c>
      <c r="G124" s="994">
        <v>0</v>
      </c>
      <c r="H124" s="994">
        <f ca="1">DATOSAÑO!AI121</f>
        <v>37.900000000001455</v>
      </c>
      <c r="I124" s="994">
        <f ca="1">DATOSAÑO!CJ121</f>
        <v>4.4317500000003198</v>
      </c>
      <c r="J124" s="994">
        <v>0</v>
      </c>
      <c r="K124" s="994">
        <f ca="1">DATOSAÑO!AF121</f>
        <v>84</v>
      </c>
      <c r="L124" s="994">
        <f ca="1">+DATOSAÑO!CK121</f>
        <v>0.31440000000049106</v>
      </c>
      <c r="M124" s="994">
        <f ca="1">+DATOSAÑO!AK121</f>
        <v>12</v>
      </c>
      <c r="N124" s="994">
        <f ca="1">+DATOSAÑO!AH121</f>
        <v>14.30000000000291</v>
      </c>
      <c r="O124" s="994">
        <f ca="1">DATOSAÑO!AL121</f>
        <v>33.263000000027091</v>
      </c>
      <c r="P124" s="994">
        <f ca="1">+(DATOSAÑO!BH121)+DATOSAÑO!BJ121</f>
        <v>0.88900000000000001</v>
      </c>
      <c r="Q124" s="994">
        <f ca="1">+DATOSAÑO!BQ121</f>
        <v>4.9000000000014552</v>
      </c>
      <c r="R124" s="1080">
        <f ca="1">DATOSAÑO!BS121+DATOSAÑO!BV121+DATOSAÑO!BY121+DATOSAÑO!CF121+DATOSAÑO!CL121</f>
        <v>14.353850000001376</v>
      </c>
    </row>
    <row r="125" spans="2:18">
      <c r="B125" s="390">
        <v>45038</v>
      </c>
      <c r="C125" s="994">
        <f ca="1">DATOSAÑO!AJ122</f>
        <v>6.2999999999883585</v>
      </c>
      <c r="D125" s="994">
        <f ca="1">DATOSAÑO!AK122</f>
        <v>13</v>
      </c>
      <c r="E125" s="994">
        <f ca="1">DATOSAÑO!AD122</f>
        <v>165.80000000004657</v>
      </c>
      <c r="F125" s="994">
        <f>(VLOOKUP($B125,[8]DATOSAÑO!$B$12:$BS$376,37))</f>
        <v>0</v>
      </c>
      <c r="G125" s="994">
        <v>0</v>
      </c>
      <c r="H125" s="994">
        <f ca="1">DATOSAÑO!AI122</f>
        <v>35.599999999998545</v>
      </c>
      <c r="I125" s="994">
        <f ca="1">DATOSAÑO!CJ122</f>
        <v>4.7070000000117389</v>
      </c>
      <c r="J125" s="994">
        <v>0</v>
      </c>
      <c r="K125" s="994">
        <f ca="1">DATOSAÑO!AF122</f>
        <v>149</v>
      </c>
      <c r="L125" s="994">
        <f ca="1">+DATOSAÑO!CK122</f>
        <v>1.6823999999998909</v>
      </c>
      <c r="M125" s="994">
        <f ca="1">+DATOSAÑO!AK122</f>
        <v>13</v>
      </c>
      <c r="N125" s="994">
        <f ca="1">+DATOSAÑO!AH122</f>
        <v>10</v>
      </c>
      <c r="O125" s="994">
        <f ca="1">DATOSAÑO!AL122</f>
        <v>32.399999999943191</v>
      </c>
      <c r="P125" s="994">
        <f ca="1">+(DATOSAÑO!BH122)+DATOSAÑO!BJ122</f>
        <v>0.86599999999999999</v>
      </c>
      <c r="Q125" s="994">
        <f ca="1">+DATOSAÑO!BQ122</f>
        <v>4.5</v>
      </c>
      <c r="R125" s="1080">
        <f ca="1">DATOSAÑO!BS122+DATOSAÑO!BV122+DATOSAÑO!BY122+DATOSAÑO!CF122+DATOSAÑO!CL122</f>
        <v>22.510600000011667</v>
      </c>
    </row>
    <row r="126" spans="2:18">
      <c r="B126" s="390">
        <v>45039</v>
      </c>
      <c r="C126" s="994">
        <f ca="1">DATOSAÑO!AJ123</f>
        <v>6.2000000000116415</v>
      </c>
      <c r="D126" s="994">
        <f ca="1">DATOSAÑO!AK123</f>
        <v>13</v>
      </c>
      <c r="E126" s="994">
        <f ca="1">DATOSAÑO!AD123</f>
        <v>170.19999999995343</v>
      </c>
      <c r="F126" s="994">
        <f>(VLOOKUP($B126,[8]DATOSAÑO!$B$12:$BS$376,37))</f>
        <v>0</v>
      </c>
      <c r="G126" s="994">
        <v>0</v>
      </c>
      <c r="H126" s="994">
        <f ca="1">DATOSAÑO!AI123</f>
        <v>35.400000000001455</v>
      </c>
      <c r="I126" s="994">
        <f ca="1">DATOSAÑO!CJ123</f>
        <v>4.8464999999875333</v>
      </c>
      <c r="J126" s="994">
        <v>0</v>
      </c>
      <c r="K126" s="994">
        <f ca="1">DATOSAÑO!AF123</f>
        <v>156.5</v>
      </c>
      <c r="L126" s="994">
        <f ca="1">+DATOSAÑO!CK123</f>
        <v>1.4364000000001091</v>
      </c>
      <c r="M126" s="994">
        <f ca="1">+DATOSAÑO!AK123</f>
        <v>13</v>
      </c>
      <c r="N126" s="994">
        <f ca="1">+DATOSAÑO!AH123</f>
        <v>6.6999999999970896</v>
      </c>
      <c r="O126" s="994">
        <f ca="1">DATOSAÑO!AL123</f>
        <v>33.900000000063301</v>
      </c>
      <c r="P126" s="994">
        <f ca="1">+(DATOSAÑO!BH123)+DATOSAÑO!BJ123</f>
        <v>1.4510000000000001</v>
      </c>
      <c r="Q126" s="994">
        <f ca="1">+DATOSAÑO!BQ123</f>
        <v>4.4000000000014552</v>
      </c>
      <c r="R126" s="1080">
        <f ca="1">DATOSAÑO!BS123+DATOSAÑO!BV123+DATOSAÑO!BY123+DATOSAÑO!CF123+DATOSAÑO!CL123</f>
        <v>22.217099999986875</v>
      </c>
    </row>
    <row r="127" spans="2:18">
      <c r="B127" s="390">
        <v>45040</v>
      </c>
      <c r="C127" s="994">
        <f ca="1">DATOSAÑO!AJ124</f>
        <v>5.8999999999941792</v>
      </c>
      <c r="D127" s="994">
        <f ca="1">DATOSAÑO!AK124</f>
        <v>14.299999999988358</v>
      </c>
      <c r="E127" s="994">
        <f ca="1">DATOSAÑO!AD124</f>
        <v>163.09999999997672</v>
      </c>
      <c r="F127" s="994">
        <f>(VLOOKUP($B127,[8]DATOSAÑO!$B$12:$BS$376,37))</f>
        <v>0</v>
      </c>
      <c r="G127" s="994">
        <v>0</v>
      </c>
      <c r="H127" s="994">
        <f ca="1">DATOSAÑO!AI124</f>
        <v>34.900000000001455</v>
      </c>
      <c r="I127" s="994">
        <f ca="1">DATOSAÑO!CJ124</f>
        <v>5.0760000000011711</v>
      </c>
      <c r="J127" s="994">
        <v>0</v>
      </c>
      <c r="K127" s="994">
        <f ca="1">DATOSAÑO!AF124</f>
        <v>154.5</v>
      </c>
      <c r="L127" s="994">
        <f ca="1">+DATOSAÑO!CK124</f>
        <v>1.8071999999999016</v>
      </c>
      <c r="M127" s="994">
        <f ca="1">+DATOSAÑO!AK124</f>
        <v>14.299999999988358</v>
      </c>
      <c r="N127" s="994">
        <f ca="1">+DATOSAÑO!AH124</f>
        <v>18.80000000000291</v>
      </c>
      <c r="O127" s="994">
        <f ca="1">DATOSAÑO!AL124</f>
        <v>35.400000000034197</v>
      </c>
      <c r="P127" s="994">
        <f ca="1">+(DATOSAÑO!BH124)+DATOSAÑO!BJ124</f>
        <v>1.464</v>
      </c>
      <c r="Q127" s="994">
        <f ca="1">+DATOSAÑO!BQ124</f>
        <v>5.1999999999970896</v>
      </c>
      <c r="R127" s="1080">
        <f ca="1">DATOSAÑO!BS124+DATOSAÑO!BV124+DATOSAÑO!BY124+DATOSAÑO!CF124+DATOSAÑO!CL124</f>
        <v>21.216800000001108</v>
      </c>
    </row>
    <row r="128" spans="2:18">
      <c r="B128" s="390">
        <v>45041</v>
      </c>
      <c r="C128" s="994">
        <f ca="1">DATOSAÑO!AJ125</f>
        <v>5.3000000000029104</v>
      </c>
      <c r="D128" s="994">
        <f ca="1">DATOSAÑO!AK125</f>
        <v>11.700000000011642</v>
      </c>
      <c r="E128" s="994">
        <f ca="1">DATOSAÑO!AD125</f>
        <v>168.5</v>
      </c>
      <c r="F128" s="994">
        <f>(VLOOKUP($B128,[8]DATOSAÑO!$B$12:$BS$376,37))</f>
        <v>0</v>
      </c>
      <c r="G128" s="994">
        <v>0</v>
      </c>
      <c r="H128" s="994">
        <f ca="1">DATOSAÑO!AI125</f>
        <v>36.099999999991269</v>
      </c>
      <c r="I128" s="994">
        <f ca="1">DATOSAÑO!CJ125</f>
        <v>4.4279999999988258</v>
      </c>
      <c r="J128" s="994">
        <v>0</v>
      </c>
      <c r="K128" s="994">
        <f ca="1">DATOSAÑO!AF125</f>
        <v>159</v>
      </c>
      <c r="L128" s="994">
        <f ca="1">+DATOSAÑO!CK125</f>
        <v>1.9907999999998867</v>
      </c>
      <c r="M128" s="994">
        <f ca="1">+DATOSAÑO!AK125</f>
        <v>11.700000000011642</v>
      </c>
      <c r="N128" s="994">
        <f ca="1">+DATOSAÑO!AH125</f>
        <v>5</v>
      </c>
      <c r="O128" s="994">
        <f ca="1">DATOSAÑO!AL125</f>
        <v>34.071999999996535</v>
      </c>
      <c r="P128" s="994">
        <f ca="1">+(DATOSAÑO!BH125)+DATOSAÑO!BJ125</f>
        <v>1.4570000000000001</v>
      </c>
      <c r="Q128" s="994">
        <f ca="1">+DATOSAÑO!BQ125</f>
        <v>4.8000000000029104</v>
      </c>
      <c r="R128" s="1080">
        <f ca="1">DATOSAÑO!BS125+DATOSAÑO!BV125+DATOSAÑO!BY125+DATOSAÑO!CF125+DATOSAÑO!CL125</f>
        <v>22.981199999999113</v>
      </c>
    </row>
    <row r="129" spans="2:18">
      <c r="B129" s="390">
        <v>45042</v>
      </c>
      <c r="C129" s="994">
        <f ca="1">DATOSAÑO!AJ126</f>
        <v>6.3499999999912689</v>
      </c>
      <c r="D129" s="994">
        <f ca="1">DATOSAÑO!AK126</f>
        <v>11.260000000009313</v>
      </c>
      <c r="E129" s="994">
        <f ca="1">DATOSAÑO!AD126</f>
        <v>160.40000000002328</v>
      </c>
      <c r="F129" s="994">
        <f>(VLOOKUP($B129,[8]DATOSAÑO!$B$12:$BS$376,37))</f>
        <v>0</v>
      </c>
      <c r="G129" s="994">
        <v>0</v>
      </c>
      <c r="H129" s="994">
        <f ca="1">DATOSAÑO!AI126</f>
        <v>34.660000000003492</v>
      </c>
      <c r="I129" s="994">
        <f ca="1">DATOSAÑO!CJ126</f>
        <v>4.0969999999896354</v>
      </c>
      <c r="J129" s="994">
        <v>0</v>
      </c>
      <c r="K129" s="994">
        <f ca="1">DATOSAÑO!AF126</f>
        <v>151.01000000000931</v>
      </c>
      <c r="L129" s="994">
        <f ca="1">+DATOSAÑO!CK126</f>
        <v>2.1276000000002178</v>
      </c>
      <c r="M129" s="994">
        <f ca="1">+DATOSAÑO!AK126</f>
        <v>11.260000000009313</v>
      </c>
      <c r="N129" s="994">
        <f ca="1">+DATOSAÑO!AH126</f>
        <v>4.5999999999985448</v>
      </c>
      <c r="O129" s="994">
        <f ca="1">DATOSAÑO!AL126</f>
        <v>33.769999999993161</v>
      </c>
      <c r="P129" s="994">
        <f ca="1">+(DATOSAÑO!BH126)+DATOSAÑO!BJ126</f>
        <v>1.458</v>
      </c>
      <c r="Q129" s="994">
        <f ca="1">+DATOSAÑO!BQ126</f>
        <v>5.1070000000036089</v>
      </c>
      <c r="R129" s="1080">
        <f ca="1">DATOSAÑO!BS126+DATOSAÑO!BV126+DATOSAÑO!BY126+DATOSAÑO!CF126+DATOSAÑO!CL126</f>
        <v>22.765399999989928</v>
      </c>
    </row>
    <row r="130" spans="2:18">
      <c r="B130" s="390">
        <v>45043</v>
      </c>
      <c r="C130" s="994">
        <f ca="1">DATOSAÑO!AJ127</f>
        <v>6.5600000000122236</v>
      </c>
      <c r="D130" s="994">
        <f ca="1">DATOSAÑO!AK127</f>
        <v>12.979999999981374</v>
      </c>
      <c r="E130" s="994">
        <f ca="1">DATOSAÑO!AD127</f>
        <v>165.28000000002794</v>
      </c>
      <c r="F130" s="994">
        <f>(VLOOKUP($B130,[8]DATOSAÑO!$B$12:$BS$376,37))</f>
        <v>0</v>
      </c>
      <c r="G130" s="994">
        <v>0</v>
      </c>
      <c r="H130" s="994">
        <f ca="1">DATOSAÑO!AI127</f>
        <v>39.380000000004657</v>
      </c>
      <c r="I130" s="994">
        <f ca="1">DATOSAÑO!CJ127</f>
        <v>4.9625000000056536</v>
      </c>
      <c r="J130" s="994">
        <v>0</v>
      </c>
      <c r="K130" s="994">
        <f ca="1">DATOSAÑO!AF127</f>
        <v>156.89000000001397</v>
      </c>
      <c r="L130" s="994">
        <f ca="1">+DATOSAÑO!CK127</f>
        <v>0.47759999999953823</v>
      </c>
      <c r="M130" s="994">
        <f ca="1">+DATOSAÑO!AK127</f>
        <v>12.979999999981374</v>
      </c>
      <c r="N130" s="994">
        <f ca="1">+DATOSAÑO!AH127</f>
        <v>13.400000000001455</v>
      </c>
      <c r="O130" s="994">
        <f ca="1">DATOSAÑO!AL127</f>
        <v>35.269999999953143</v>
      </c>
      <c r="P130" s="994">
        <f ca="1">+(DATOSAÑO!BH127)+DATOSAÑO!BJ127</f>
        <v>1.4039999999999999</v>
      </c>
      <c r="Q130" s="994">
        <f ca="1">+DATOSAÑO!BQ127</f>
        <v>5.0999999999985448</v>
      </c>
      <c r="R130" s="1080">
        <f ca="1">DATOSAÑO!BS127+DATOSAÑO!BV127+DATOSAÑO!BY127+DATOSAÑO!CF127+DATOSAÑO!CL127</f>
        <v>23.469900000005566</v>
      </c>
    </row>
    <row r="131" spans="2:18">
      <c r="B131" s="390">
        <v>45044</v>
      </c>
      <c r="C131" s="994">
        <f ca="1">DATOSAÑO!AJ128</f>
        <v>6.3899999999994179</v>
      </c>
      <c r="D131" s="994">
        <f ca="1">DATOSAÑO!AK128</f>
        <v>10.930000000022119</v>
      </c>
      <c r="E131" s="994">
        <f ca="1">DATOSAÑO!AD128</f>
        <v>166.93000000005122</v>
      </c>
      <c r="F131" s="994">
        <f>(VLOOKUP($B131,[8]DATOSAÑO!$B$12:$BS$376,37))</f>
        <v>0</v>
      </c>
      <c r="G131" s="994">
        <v>0</v>
      </c>
      <c r="H131" s="994">
        <f ca="1">DATOSAÑO!AI128</f>
        <v>38.209999999991851</v>
      </c>
      <c r="I131" s="994">
        <f ca="1">DATOSAÑO!CJ128</f>
        <v>2.3449999999877162</v>
      </c>
      <c r="J131" s="994">
        <v>0</v>
      </c>
      <c r="K131" s="994">
        <f ca="1">DATOSAÑO!AF128</f>
        <v>154.79999999998836</v>
      </c>
      <c r="L131" s="994">
        <f ca="1">+DATOSAÑO!CK128</f>
        <v>3.2874000000003822</v>
      </c>
      <c r="M131" s="994">
        <f ca="1">+DATOSAÑO!AK128</f>
        <v>10.930000000022119</v>
      </c>
      <c r="N131" s="994">
        <f ca="1">+DATOSAÑO!AH128</f>
        <v>10.69999999999709</v>
      </c>
      <c r="O131" s="994">
        <f ca="1">DATOSAÑO!AL128</f>
        <v>34.439999999962367</v>
      </c>
      <c r="P131" s="994">
        <f ca="1">+(DATOSAÑO!BH128)+DATOSAÑO!BJ128</f>
        <v>1.5229999999999999</v>
      </c>
      <c r="Q131" s="994">
        <f ca="1">+DATOSAÑO!BQ128</f>
        <v>5.1999999999970896</v>
      </c>
      <c r="R131" s="1080">
        <f ca="1">DATOSAÑO!BS128+DATOSAÑO!BV128+DATOSAÑO!BY128+DATOSAÑO!CF128+DATOSAÑO!CL128</f>
        <v>22.767599999987901</v>
      </c>
    </row>
    <row r="132" spans="2:18">
      <c r="B132" s="390">
        <v>45045</v>
      </c>
      <c r="C132" s="994">
        <f ca="1">DATOSAÑO!AJ129</f>
        <v>6.5299999999988358</v>
      </c>
      <c r="D132" s="994">
        <f ca="1">DATOSAÑO!AK129</f>
        <v>12.5</v>
      </c>
      <c r="E132" s="994">
        <f ca="1">DATOSAÑO!AD129</f>
        <v>165.54000000003725</v>
      </c>
      <c r="F132" s="994">
        <f>(VLOOKUP($B132,[8]DATOSAÑO!$B$12:$BS$376,37))</f>
        <v>0</v>
      </c>
      <c r="G132" s="994">
        <v>0</v>
      </c>
      <c r="H132" s="994">
        <f ca="1">DATOSAÑO!AI129</f>
        <v>38.160000000003492</v>
      </c>
      <c r="I132" s="994">
        <f ca="1">DATOSAÑO!CJ129</f>
        <v>4.5695000000174861</v>
      </c>
      <c r="J132" s="994">
        <v>0</v>
      </c>
      <c r="K132" s="994">
        <f ca="1">DATOSAÑO!AF129</f>
        <v>143.85999999998603</v>
      </c>
      <c r="L132" s="994">
        <f ca="1">+DATOSAÑO!CK129</f>
        <v>2.1089999999998472</v>
      </c>
      <c r="M132" s="994">
        <f ca="1">+DATOSAÑO!AK129</f>
        <v>12.5</v>
      </c>
      <c r="N132" s="994">
        <f ca="1">+DATOSAÑO!AH129</f>
        <v>9.2000000000043656</v>
      </c>
      <c r="O132" s="994">
        <f ca="1">DATOSAÑO!AL129</f>
        <v>33.81999999996691</v>
      </c>
      <c r="P132" s="994">
        <f ca="1">+(DATOSAÑO!BH129)+DATOSAÑO!BJ129</f>
        <v>1.5640000000000001</v>
      </c>
      <c r="Q132" s="994">
        <f ca="1">+DATOSAÑO!BQ129</f>
        <v>4.6929999999993015</v>
      </c>
      <c r="R132" s="1080">
        <f ca="1">DATOSAÑO!BS129+DATOSAÑO!BV129+DATOSAÑO!BY129+DATOSAÑO!CF129+DATOSAÑO!CL129</f>
        <v>23.261500000017747</v>
      </c>
    </row>
    <row r="133" spans="2:18" ht="15" thickBot="1">
      <c r="B133" s="390">
        <v>45046</v>
      </c>
      <c r="C133" s="994">
        <f ca="1">DATOSAÑO!AJ130</f>
        <v>6.6999999999970896</v>
      </c>
      <c r="D133" s="994">
        <f ca="1">DATOSAÑO!AK130</f>
        <v>12.429999999993015</v>
      </c>
      <c r="E133" s="994">
        <f ca="1">DATOSAÑO!AD130</f>
        <v>163.19999999995343</v>
      </c>
      <c r="F133" s="994">
        <f>(VLOOKUP($B133,[8]DATOSAÑO!$B$12:$BS$376,37))</f>
        <v>0</v>
      </c>
      <c r="G133" s="994">
        <v>0</v>
      </c>
      <c r="H133" s="994">
        <f ca="1">DATOSAÑO!AI130</f>
        <v>38.279999999998836</v>
      </c>
      <c r="I133" s="994">
        <f ca="1">DATOSAÑO!CJ130</f>
        <v>3.2564999999833413</v>
      </c>
      <c r="J133" s="994">
        <v>0</v>
      </c>
      <c r="K133" s="994">
        <f ca="1">DATOSAÑO!AF130</f>
        <v>152.64000000001397</v>
      </c>
      <c r="L133" s="994">
        <f ca="1">+DATOSAÑO!CK130</f>
        <v>1.6049999999997817</v>
      </c>
      <c r="M133" s="994">
        <f ca="1">+DATOSAÑO!AK130</f>
        <v>12.429999999993015</v>
      </c>
      <c r="N133" s="994">
        <f ca="1">+DATOSAÑO!AH130</f>
        <v>13.19999999999709</v>
      </c>
      <c r="O133" s="994">
        <f ca="1">DATOSAÑO!AL130</f>
        <v>33.280000000071539</v>
      </c>
      <c r="P133" s="994">
        <f ca="1">+(DATOSAÑO!BH130)+DATOSAÑO!BJ130</f>
        <v>1.4730000000000001</v>
      </c>
      <c r="Q133" s="994">
        <f ca="1">+DATOSAÑO!BQ130</f>
        <v>4.7000000000043656</v>
      </c>
      <c r="R133" s="1080">
        <f ca="1">DATOSAÑO!BS130+DATOSAÑO!BV130+DATOSAÑO!BY130+DATOSAÑO!CF130+DATOSAÑO!CL130</f>
        <v>22.39849999998254</v>
      </c>
    </row>
    <row r="134" spans="2:18" ht="15" thickBot="1">
      <c r="B134" s="1268" t="s">
        <v>1131</v>
      </c>
      <c r="C134" s="1267">
        <f ca="1">SUM(C104:C133)</f>
        <v>211.93000000000757</v>
      </c>
      <c r="D134" s="1030">
        <f ca="1">SUM(D104:D133)</f>
        <v>421.5</v>
      </c>
      <c r="E134" s="1030">
        <f t="shared" ref="E134:R134" ca="1" si="3">SUM(E104:E133)</f>
        <v>4906.9500000000698</v>
      </c>
      <c r="F134" s="1030">
        <f t="shared" si="3"/>
        <v>0</v>
      </c>
      <c r="G134" s="1030">
        <f t="shared" si="3"/>
        <v>0</v>
      </c>
      <c r="H134" s="1030">
        <f t="shared" ca="1" si="3"/>
        <v>1161.3899999999994</v>
      </c>
      <c r="I134" s="1030">
        <f t="shared" ca="1" si="3"/>
        <v>125.61224999998382</v>
      </c>
      <c r="J134" s="1030">
        <f t="shared" si="3"/>
        <v>0</v>
      </c>
      <c r="K134" s="1030">
        <f t="shared" ca="1" si="3"/>
        <v>4297.2000000000116</v>
      </c>
      <c r="L134" s="1030">
        <f t="shared" ca="1" si="3"/>
        <v>58.854600000000026</v>
      </c>
      <c r="M134" s="1030">
        <f t="shared" ca="1" si="3"/>
        <v>421.5</v>
      </c>
      <c r="N134" s="1030">
        <f t="shared" ca="1" si="3"/>
        <v>314.19999999999891</v>
      </c>
      <c r="O134" s="1030">
        <f t="shared" ca="1" si="3"/>
        <v>1024.5729999999701</v>
      </c>
      <c r="P134" s="1030">
        <f t="shared" ca="1" si="3"/>
        <v>31.738</v>
      </c>
      <c r="Q134" s="1081">
        <f t="shared" ca="1" si="3"/>
        <v>140.40000000000146</v>
      </c>
      <c r="R134" s="1081">
        <f t="shared" ca="1" si="3"/>
        <v>632.73314999998411</v>
      </c>
    </row>
    <row r="135" spans="2:18">
      <c r="B135" s="390">
        <v>45047</v>
      </c>
      <c r="C135" s="994">
        <f ca="1">DATOSAÑO!AJ131</f>
        <v>8.1699999999982538</v>
      </c>
      <c r="D135" s="994">
        <f ca="1">DATOSAÑO!AK131</f>
        <v>13.619999999995343</v>
      </c>
      <c r="E135" s="994">
        <f ca="1">DATOSAÑO!AD131</f>
        <v>163.69999999999982</v>
      </c>
      <c r="F135" s="994">
        <f>(VLOOKUP($B135,[8]DATOSAÑO!$B$12:$BS$376,37))</f>
        <v>0</v>
      </c>
      <c r="G135" s="994">
        <v>0</v>
      </c>
      <c r="H135" s="994">
        <f ca="1">DATOSAÑO!AI131</f>
        <v>38.180000000007567</v>
      </c>
      <c r="I135" s="994">
        <f ca="1">DATOSAÑO!CJ131</f>
        <v>3.5649999999999387</v>
      </c>
      <c r="J135" s="994">
        <v>0</v>
      </c>
      <c r="K135" s="994">
        <f ca="1">DATOSAÑO!AF131</f>
        <v>153.05999999999767</v>
      </c>
      <c r="L135" s="994">
        <f ca="1">+DATOSAÑO!CK131</f>
        <v>1.9188000000000764</v>
      </c>
      <c r="M135" s="994">
        <f ca="1">+DATOSAÑO!AK131</f>
        <v>13.619999999995343</v>
      </c>
      <c r="N135" s="994">
        <f ca="1">+DATOSAÑO!AH131</f>
        <v>12.900000000001455</v>
      </c>
      <c r="O135" s="994">
        <f ca="1">DATOSAÑO!AL131</f>
        <v>34.080000000020846</v>
      </c>
      <c r="P135" s="994">
        <f ca="1">+(DATOSAÑO!BH131)+DATOSAÑO!BJ131</f>
        <v>1.5169999999999999</v>
      </c>
      <c r="Q135" s="994">
        <f ca="1">+DATOSAÑO!BQ131</f>
        <v>5.0999999999985448</v>
      </c>
      <c r="R135" s="1080">
        <f ca="1">DATOSAÑO!BS131+DATOSAÑO!BV131+DATOSAÑO!BY131+DATOSAÑO!CF131+DATOSAÑO!CL131</f>
        <v>23.056200000000864</v>
      </c>
    </row>
    <row r="136" spans="2:18">
      <c r="B136" s="390">
        <v>45048</v>
      </c>
      <c r="C136" s="994">
        <f ca="1">DATOSAÑO!AJ132</f>
        <v>7.1000000000058208</v>
      </c>
      <c r="D136" s="994">
        <f ca="1">DATOSAÑO!AK132</f>
        <v>14.880000000004657</v>
      </c>
      <c r="E136" s="994">
        <f ca="1">DATOSAÑO!AD132</f>
        <v>167.59999999999991</v>
      </c>
      <c r="F136" s="1031">
        <f>(VLOOKUP($B136,[8]DATOSAÑO!$B$12:$BS$376,37))</f>
        <v>0</v>
      </c>
      <c r="G136" s="1031">
        <v>0</v>
      </c>
      <c r="H136" s="994">
        <f ca="1">DATOSAÑO!AI132</f>
        <v>38.529999999998836</v>
      </c>
      <c r="I136" s="994">
        <f ca="1">DATOSAÑO!CJ132</f>
        <v>3.7405000000171569</v>
      </c>
      <c r="J136" s="1031">
        <v>0</v>
      </c>
      <c r="K136" s="994">
        <f ca="1">DATOSAÑO!AF132</f>
        <v>153.73999999999069</v>
      </c>
      <c r="L136" s="994">
        <f ca="1">+DATOSAÑO!CK132</f>
        <v>1.8683999999999343</v>
      </c>
      <c r="M136" s="994">
        <f ca="1">+DATOSAÑO!AK132</f>
        <v>14.880000000004657</v>
      </c>
      <c r="N136" s="994">
        <f ca="1">+DATOSAÑO!AH132</f>
        <v>14.30000000000291</v>
      </c>
      <c r="O136" s="994">
        <f ca="1">DATOSAÑO!AL132</f>
        <v>36.068999999917196</v>
      </c>
      <c r="P136" s="994">
        <f ca="1">+(DATOSAÑO!BH132)+DATOSAÑO!BJ132</f>
        <v>1.5209999999999999</v>
      </c>
      <c r="Q136" s="994">
        <f ca="1">+DATOSAÑO!BQ132</f>
        <v>4.9000000000014552</v>
      </c>
      <c r="R136" s="1080">
        <f ca="1">DATOSAÑO!BS132+DATOSAÑO!BV132+DATOSAÑO!BY132+DATOSAÑO!CF132+DATOSAÑO!CL132</f>
        <v>23.25110000001624</v>
      </c>
    </row>
    <row r="137" spans="2:18">
      <c r="B137" s="390">
        <v>45049</v>
      </c>
      <c r="C137" s="994">
        <f ca="1">DATOSAÑO!AJ133</f>
        <v>4.1999999999970896</v>
      </c>
      <c r="D137" s="994">
        <f ca="1">DATOSAÑO!AK133</f>
        <v>13.399999999994179</v>
      </c>
      <c r="E137" s="994">
        <f ca="1">DATOSAÑO!AD133</f>
        <v>155</v>
      </c>
      <c r="F137" s="994">
        <f>(VLOOKUP($B137,[8]DATOSAÑO!$B$12:$BS$376,37))</f>
        <v>0</v>
      </c>
      <c r="G137" s="994">
        <v>0</v>
      </c>
      <c r="H137" s="994">
        <f ca="1">DATOSAÑO!AI133</f>
        <v>38.5</v>
      </c>
      <c r="I137" s="994">
        <f ca="1">DATOSAÑO!CJ133</f>
        <v>3.9579999999999567</v>
      </c>
      <c r="J137" s="994">
        <v>0</v>
      </c>
      <c r="K137" s="994">
        <f ca="1">DATOSAÑO!AF133</f>
        <v>152</v>
      </c>
      <c r="L137" s="994">
        <f ca="1">+DATOSAÑO!CK133</f>
        <v>2.0130000000000545</v>
      </c>
      <c r="M137" s="994">
        <f ca="1">+DATOSAÑO!AK133</f>
        <v>13.399999999994179</v>
      </c>
      <c r="N137" s="994">
        <f ca="1">+DATOSAÑO!AH133</f>
        <v>6.1999999999989086</v>
      </c>
      <c r="O137" s="994">
        <f ca="1">DATOSAÑO!AL133</f>
        <v>33.000000000009095</v>
      </c>
      <c r="P137" s="994">
        <f ca="1">+(DATOSAÑO!BH133)+DATOSAÑO!BJ133</f>
        <v>1.583</v>
      </c>
      <c r="Q137" s="994">
        <f ca="1">+DATOSAÑO!BQ133</f>
        <v>5.2999999999956344</v>
      </c>
      <c r="R137" s="1080">
        <f ca="1">DATOSAÑO!BS133+DATOSAÑO!BV133+DATOSAÑO!BY133+DATOSAÑO!CF133+DATOSAÑO!CL133</f>
        <v>23.72900000000072</v>
      </c>
    </row>
    <row r="138" spans="2:18">
      <c r="B138" s="390">
        <v>45050</v>
      </c>
      <c r="C138" s="994">
        <f ca="1">DATOSAÑO!AJ134</f>
        <v>4.8000000000029104</v>
      </c>
      <c r="D138" s="994">
        <f ca="1">DATOSAÑO!AK134</f>
        <v>12.700000000011642</v>
      </c>
      <c r="E138" s="994">
        <f ca="1">DATOSAÑO!AD134</f>
        <v>165.40000000000009</v>
      </c>
      <c r="F138" s="994">
        <v>0</v>
      </c>
      <c r="G138" s="994">
        <v>0</v>
      </c>
      <c r="H138" s="994">
        <f ca="1">DATOSAÑO!AI134</f>
        <v>38.599999999991269</v>
      </c>
      <c r="I138" s="994">
        <f ca="1">DATOSAÑO!CJ134</f>
        <v>2.975999999999507</v>
      </c>
      <c r="J138" s="994">
        <v>0</v>
      </c>
      <c r="K138" s="994">
        <f ca="1">DATOSAÑO!AF134</f>
        <v>154</v>
      </c>
      <c r="L138" s="994">
        <f ca="1">+DATOSAÑO!CK134</f>
        <v>2.3183999999999445</v>
      </c>
      <c r="M138" s="994">
        <f ca="1">+DATOSAÑO!AK134</f>
        <v>12.700000000011642</v>
      </c>
      <c r="N138" s="994">
        <f ca="1">+DATOSAÑO!AH134</f>
        <v>7.2999999999956344</v>
      </c>
      <c r="O138" s="994">
        <f ca="1">DATOSAÑO!AL134</f>
        <v>34.099999999999966</v>
      </c>
      <c r="P138" s="994">
        <f ca="1">+(DATOSAÑO!BH134)+DATOSAÑO!BJ134</f>
        <v>1.472</v>
      </c>
      <c r="Q138" s="994">
        <f ca="1">+DATOSAÑO!BQ134</f>
        <v>5.4000000000014552</v>
      </c>
      <c r="R138" s="1080">
        <f ca="1">DATOSAÑO!BS134+DATOSAÑO!BV134+DATOSAÑO!BY134+DATOSAÑO!CF134+DATOSAÑO!CL134</f>
        <v>22.805599999999107</v>
      </c>
    </row>
    <row r="139" spans="2:18">
      <c r="B139" s="390">
        <v>45051</v>
      </c>
      <c r="C139" s="994">
        <f ca="1">DATOSAÑO!AJ135</f>
        <v>8.0999999999912689</v>
      </c>
      <c r="D139" s="994">
        <f ca="1">DATOSAÑO!AK135</f>
        <v>15.099999999976717</v>
      </c>
      <c r="E139" s="994">
        <f ca="1">DATOSAÑO!AD135</f>
        <v>164</v>
      </c>
      <c r="F139" s="994">
        <v>0</v>
      </c>
      <c r="G139" s="994">
        <v>0</v>
      </c>
      <c r="H139" s="994">
        <f ca="1">DATOSAÑO!AI135</f>
        <v>38.80000000000291</v>
      </c>
      <c r="I139" s="994">
        <f ca="1">DATOSAÑO!CJ135</f>
        <v>3.4119999999998223</v>
      </c>
      <c r="J139" s="994">
        <v>0</v>
      </c>
      <c r="K139" s="994">
        <f ca="1">DATOSAÑO!AF135</f>
        <v>152</v>
      </c>
      <c r="L139" s="994">
        <f ca="1">+DATOSAÑO!CK135</f>
        <v>2.1366000000002181</v>
      </c>
      <c r="M139" s="994">
        <f ca="1">+DATOSAÑO!AK135</f>
        <v>15.099999999976717</v>
      </c>
      <c r="N139" s="994">
        <f ca="1">+DATOSAÑO!AH135</f>
        <v>20.100000000005821</v>
      </c>
      <c r="O139" s="994">
        <f ca="1">DATOSAÑO!AL135</f>
        <v>34.90000000002334</v>
      </c>
      <c r="P139" s="994">
        <f ca="1">+(DATOSAÑO!BH135)+DATOSAÑO!BJ135</f>
        <v>1.5129999999999999</v>
      </c>
      <c r="Q139" s="994">
        <f ca="1">+DATOSAÑO!BQ135</f>
        <v>5</v>
      </c>
      <c r="R139" s="1080">
        <f ca="1">DATOSAÑO!BS135+DATOSAÑO!BV135+DATOSAÑO!BY135+DATOSAÑO!CF135+DATOSAÑO!CL135</f>
        <v>23.451399999999968</v>
      </c>
    </row>
    <row r="140" spans="2:18">
      <c r="B140" s="390">
        <v>45052</v>
      </c>
      <c r="C140" s="994">
        <f ca="1">DATOSAÑO!AJ136</f>
        <v>7.8000000000029104</v>
      </c>
      <c r="D140" s="994">
        <f ca="1">DATOSAÑO!AK136</f>
        <v>13.5</v>
      </c>
      <c r="E140" s="994">
        <f ca="1">DATOSAÑO!AD136</f>
        <v>165</v>
      </c>
      <c r="F140" s="994">
        <v>0</v>
      </c>
      <c r="G140" s="994">
        <v>0</v>
      </c>
      <c r="H140" s="994">
        <f ca="1">DATOSAÑO!AI136</f>
        <v>40.5</v>
      </c>
      <c r="I140" s="994">
        <f ca="1">DATOSAÑO!CJ136</f>
        <v>3.5239999999999965</v>
      </c>
      <c r="J140" s="994">
        <v>0</v>
      </c>
      <c r="K140" s="994">
        <f ca="1">DATOSAÑO!AF136</f>
        <v>152</v>
      </c>
      <c r="L140" s="994">
        <f ca="1">+DATOSAÑO!CK136</f>
        <v>1.8540000000002184</v>
      </c>
      <c r="M140" s="994">
        <f ca="1">+DATOSAÑO!AK136</f>
        <v>13.5</v>
      </c>
      <c r="N140" s="994">
        <f ca="1">+DATOSAÑO!AH136</f>
        <v>12.19999999999709</v>
      </c>
      <c r="O140" s="994">
        <f ca="1">DATOSAÑO!AL136</f>
        <v>34</v>
      </c>
      <c r="P140" s="994">
        <f ca="1">+(DATOSAÑO!BH136)+DATOSAÑO!BJ136</f>
        <v>1.5449999999999999</v>
      </c>
      <c r="Q140" s="994">
        <f ca="1">+DATOSAÑO!BQ136</f>
        <v>5</v>
      </c>
      <c r="R140" s="1080">
        <f ca="1">DATOSAÑO!BS136+DATOSAÑO!BV136+DATOSAÑO!BY136+DATOSAÑO!CF136+DATOSAÑO!CL136</f>
        <v>23.62199999999978</v>
      </c>
    </row>
    <row r="141" spans="2:18">
      <c r="B141" s="390">
        <v>45053</v>
      </c>
      <c r="C141" s="994">
        <f ca="1">DATOSAÑO!AJ137</f>
        <v>7.3000000000029104</v>
      </c>
      <c r="D141" s="994">
        <f ca="1">DATOSAÑO!AK137</f>
        <v>12.5</v>
      </c>
      <c r="E141" s="994">
        <f ca="1">DATOSAÑO!AD137</f>
        <v>168</v>
      </c>
      <c r="F141" s="994">
        <v>0</v>
      </c>
      <c r="G141" s="994">
        <v>0</v>
      </c>
      <c r="H141" s="994">
        <f ca="1">DATOSAÑO!AI137</f>
        <v>40.30000000000291</v>
      </c>
      <c r="I141" s="994">
        <f ca="1">DATOSAÑO!CJ137</f>
        <v>4.5739999999994616</v>
      </c>
      <c r="J141" s="994">
        <v>0</v>
      </c>
      <c r="K141" s="994">
        <f ca="1">DATOSAÑO!AF137</f>
        <v>152</v>
      </c>
      <c r="L141" s="994">
        <f ca="1">+DATOSAÑO!CK137</f>
        <v>1.5036</v>
      </c>
      <c r="M141" s="994">
        <f ca="1">+DATOSAÑO!AK137</f>
        <v>12.5</v>
      </c>
      <c r="N141" s="994">
        <f ca="1">+DATOSAÑO!AH137</f>
        <v>7.4000000000014552</v>
      </c>
      <c r="O141" s="994">
        <f ca="1">DATOSAÑO!AL137</f>
        <v>32.499999999992781</v>
      </c>
      <c r="P141" s="994">
        <f ca="1">+(DATOSAÑO!BH137)+DATOSAÑO!BJ137</f>
        <v>1.5109999999999999</v>
      </c>
      <c r="Q141" s="994">
        <f ca="1">+DATOSAÑO!BQ137</f>
        <v>5</v>
      </c>
      <c r="R141" s="1080">
        <f ca="1">DATOSAÑO!BS137+DATOSAÑO!BV137+DATOSAÑO!BY137+DATOSAÑO!CF137+DATOSAÑO!CL137</f>
        <v>23.922400000000554</v>
      </c>
    </row>
    <row r="142" spans="2:18">
      <c r="B142" s="390">
        <v>45054</v>
      </c>
      <c r="C142" s="994">
        <f ca="1">DATOSAÑO!AJ138</f>
        <v>6.5999999999912689</v>
      </c>
      <c r="D142" s="994">
        <f ca="1">DATOSAÑO!AK138</f>
        <v>13.400000000023283</v>
      </c>
      <c r="E142" s="994">
        <f ca="1">DATOSAÑO!AD138</f>
        <v>156</v>
      </c>
      <c r="F142" s="994">
        <v>0</v>
      </c>
      <c r="G142" s="994">
        <v>0</v>
      </c>
      <c r="H142" s="994">
        <f ca="1">DATOSAÑO!AI138</f>
        <v>38.600000000005821</v>
      </c>
      <c r="I142" s="994">
        <f ca="1">DATOSAÑO!CJ138</f>
        <v>3.2680000000005456</v>
      </c>
      <c r="J142" s="994">
        <v>0</v>
      </c>
      <c r="K142" s="994">
        <f ca="1">DATOSAÑO!AF138</f>
        <v>152</v>
      </c>
      <c r="L142" s="994">
        <f ca="1">+DATOSAÑO!CK138</f>
        <v>1.9595999999995635</v>
      </c>
      <c r="M142" s="994">
        <f ca="1">+DATOSAÑO!AK138</f>
        <v>13.400000000023283</v>
      </c>
      <c r="N142" s="994">
        <f ca="1">+DATOSAÑO!AH138</f>
        <v>12</v>
      </c>
      <c r="O142" s="994">
        <f ca="1">DATOSAÑO!AL138</f>
        <v>34.094999999979848</v>
      </c>
      <c r="P142" s="994">
        <f ca="1">+(DATOSAÑO!BH138)+DATOSAÑO!BJ138</f>
        <v>1.536</v>
      </c>
      <c r="Q142" s="994">
        <f ca="1">+DATOSAÑO!BQ138</f>
        <v>6</v>
      </c>
      <c r="R142" s="1080">
        <f ca="1">DATOSAÑO!BS138+DATOSAÑO!BV138+DATOSAÑO!BY138+DATOSAÑO!CF138+DATOSAÑO!CL138</f>
        <v>22.772399999999891</v>
      </c>
    </row>
    <row r="143" spans="2:18">
      <c r="B143" s="390">
        <v>45055</v>
      </c>
      <c r="C143" s="994">
        <f ca="1">DATOSAÑO!AJ139</f>
        <v>5.3000000000029104</v>
      </c>
      <c r="D143" s="994">
        <f ca="1">DATOSAÑO!AK139</f>
        <v>12.099999999976717</v>
      </c>
      <c r="E143" s="994">
        <f ca="1">DATOSAÑO!AD139</f>
        <v>167.80000000000018</v>
      </c>
      <c r="F143" s="994">
        <v>0</v>
      </c>
      <c r="G143" s="994">
        <v>0</v>
      </c>
      <c r="H143" s="994">
        <f ca="1">DATOSAÑO!AI139</f>
        <v>38.19999999999709</v>
      </c>
      <c r="I143" s="994">
        <f ca="1">DATOSAÑO!CJ139</f>
        <v>5.3179999999878511</v>
      </c>
      <c r="J143" s="994">
        <v>0</v>
      </c>
      <c r="K143" s="994">
        <f ca="1">DATOSAÑO!AF139</f>
        <v>152.20000000001164</v>
      </c>
      <c r="L143" s="994">
        <f ca="1">+DATOSAÑO!CK139</f>
        <v>1.9500000000001636</v>
      </c>
      <c r="M143" s="994">
        <f ca="1">+DATOSAÑO!AK139</f>
        <v>12.099999999976717</v>
      </c>
      <c r="N143" s="994">
        <f ca="1">+DATOSAÑO!AH139</f>
        <v>5.5</v>
      </c>
      <c r="O143" s="994">
        <f ca="1">DATOSAÑO!AL139</f>
        <v>36.400000000084219</v>
      </c>
      <c r="P143" s="994">
        <f ca="1">+(DATOSAÑO!BH139)+DATOSAÑO!BJ139</f>
        <v>1.516</v>
      </c>
      <c r="Q143" s="994">
        <f ca="1">+DATOSAÑO!BQ139</f>
        <v>5</v>
      </c>
      <c r="R143" s="1080">
        <f ca="1">DATOSAÑO!BS139+DATOSAÑO!BV139+DATOSAÑO!BY139+DATOSAÑO!CF139+DATOSAÑO!CL139</f>
        <v>23.431999999987234</v>
      </c>
    </row>
    <row r="144" spans="2:18">
      <c r="B144" s="390">
        <v>45056</v>
      </c>
      <c r="C144" s="994">
        <f ca="1">DATOSAÑO!AJ140</f>
        <v>5.1999999999970896</v>
      </c>
      <c r="D144" s="994">
        <f ca="1">DATOSAÑO!AK140</f>
        <v>10.800000000017462</v>
      </c>
      <c r="E144" s="994">
        <f ca="1">DATOSAÑO!AD140</f>
        <v>165.39999999999964</v>
      </c>
      <c r="F144" s="994">
        <v>0</v>
      </c>
      <c r="G144" s="994">
        <v>0</v>
      </c>
      <c r="H144" s="994">
        <f ca="1">DATOSAÑO!AI140</f>
        <v>37.099999999991269</v>
      </c>
      <c r="I144" s="994">
        <f ca="1">DATOSAÑO!CJ140</f>
        <v>4.2977500000184659</v>
      </c>
      <c r="J144" s="994">
        <v>0</v>
      </c>
      <c r="K144" s="994">
        <f ca="1">DATOSAÑO!AF140</f>
        <v>147.5</v>
      </c>
      <c r="L144" s="994">
        <f ca="1">+DATOSAÑO!CK140</f>
        <v>1.9913999999998906</v>
      </c>
      <c r="M144" s="994">
        <f ca="1">+DATOSAÑO!AK140</f>
        <v>10.800000000017462</v>
      </c>
      <c r="N144" s="994">
        <f ca="1">+DATOSAÑO!AH140</f>
        <v>12.299999999995634</v>
      </c>
      <c r="O144" s="994">
        <f ca="1">DATOSAÑO!AL140</f>
        <v>33.499999999939917</v>
      </c>
      <c r="P144" s="994">
        <f ca="1">+(DATOSAÑO!BH140)+DATOSAÑO!BJ140</f>
        <v>1.153</v>
      </c>
      <c r="Q144" s="994">
        <f ca="1">+DATOSAÑO!BQ140</f>
        <v>5</v>
      </c>
      <c r="R144" s="1080">
        <f ca="1">DATOSAÑO!BS140+DATOSAÑO!BV140+DATOSAÑO!BY140+DATOSAÑO!CF140+DATOSAÑO!CL140</f>
        <v>21.410850000018755</v>
      </c>
    </row>
    <row r="145" spans="2:18">
      <c r="B145" s="390">
        <v>45057</v>
      </c>
      <c r="C145" s="994">
        <f ca="1">DATOSAÑO!AJ141</f>
        <v>6.1000000000058208</v>
      </c>
      <c r="D145" s="994">
        <f ca="1">DATOSAÑO!AK141</f>
        <v>13.399999999994179</v>
      </c>
      <c r="E145" s="994">
        <f ca="1">DATOSAÑO!AD141</f>
        <v>168.40000000000055</v>
      </c>
      <c r="F145" s="994">
        <v>0</v>
      </c>
      <c r="G145" s="994">
        <v>0</v>
      </c>
      <c r="H145" s="994">
        <f ca="1">DATOSAÑO!AI141</f>
        <v>37.900000000008731</v>
      </c>
      <c r="I145" s="994">
        <f ca="1">DATOSAÑO!CJ141</f>
        <v>4.7244999999939052</v>
      </c>
      <c r="J145" s="994">
        <v>0</v>
      </c>
      <c r="K145" s="994">
        <f ca="1">DATOSAÑO!AF141</f>
        <v>147.39999999996508</v>
      </c>
      <c r="L145" s="994">
        <f ca="1">+DATOSAÑO!CK141</f>
        <v>2.0232000000003274</v>
      </c>
      <c r="M145" s="994">
        <f ca="1">+DATOSAÑO!AK141</f>
        <v>13.399999999994179</v>
      </c>
      <c r="N145" s="994">
        <f ca="1">+DATOSAÑO!AH141</f>
        <v>17.80000000000291</v>
      </c>
      <c r="O145" s="994">
        <f ca="1">DATOSAÑO!AL141</f>
        <v>35.100000000010368</v>
      </c>
      <c r="P145" s="994">
        <f ca="1">+(DATOSAÑO!BH141)+DATOSAÑO!BJ141</f>
        <v>0.93200000000000005</v>
      </c>
      <c r="Q145" s="994">
        <f ca="1">+DATOSAÑO!BQ141</f>
        <v>5</v>
      </c>
      <c r="R145" s="1080">
        <f ca="1">DATOSAÑO!BS141+DATOSAÑO!BV141+DATOSAÑO!BY141+DATOSAÑO!CF141+DATOSAÑO!CL141</f>
        <v>22.352299999993399</v>
      </c>
    </row>
    <row r="146" spans="2:18">
      <c r="B146" s="390">
        <v>45058</v>
      </c>
      <c r="C146" s="994">
        <f ca="1">DATOSAÑO!AJ142</f>
        <v>5.8999999999941792</v>
      </c>
      <c r="D146" s="994">
        <f ca="1">DATOSAÑO!AK142</f>
        <v>12</v>
      </c>
      <c r="E146" s="994">
        <f ca="1">DATOSAÑO!AD142</f>
        <v>169.39999999999964</v>
      </c>
      <c r="F146" s="994">
        <v>0</v>
      </c>
      <c r="G146" s="994">
        <v>0</v>
      </c>
      <c r="H146" s="994">
        <f ca="1">DATOSAÑO!AI142</f>
        <v>36.899999999994179</v>
      </c>
      <c r="I146" s="994">
        <f ca="1">DATOSAÑO!CJ142</f>
        <v>5.3420000000000014</v>
      </c>
      <c r="J146" s="994">
        <v>0</v>
      </c>
      <c r="K146" s="994">
        <f ca="1">DATOSAÑO!AF142</f>
        <v>146.90000000002328</v>
      </c>
      <c r="L146" s="994">
        <f ca="1">+DATOSAÑO!CK142</f>
        <v>2.0027999999997812</v>
      </c>
      <c r="M146" s="994">
        <f ca="1">+DATOSAÑO!AK142</f>
        <v>12</v>
      </c>
      <c r="N146" s="994">
        <f ca="1">+DATOSAÑO!AH142</f>
        <v>10.69999999999709</v>
      </c>
      <c r="O146" s="994">
        <f ca="1">DATOSAÑO!AL142</f>
        <v>34.099999999989507</v>
      </c>
      <c r="P146" s="994">
        <f ca="1">+(DATOSAÑO!BH142)+DATOSAÑO!BJ142</f>
        <v>0.96799999999999997</v>
      </c>
      <c r="Q146" s="994">
        <f ca="1">+DATOSAÑO!BQ142</f>
        <v>5</v>
      </c>
      <c r="R146" s="1080">
        <f ca="1">DATOSAÑO!BS142+DATOSAÑO!BV142+DATOSAÑO!BY142+DATOSAÑO!CF142+DATOSAÑO!CL142</f>
        <v>22.855200000000949</v>
      </c>
    </row>
    <row r="147" spans="2:18">
      <c r="B147" s="390">
        <v>45059</v>
      </c>
      <c r="C147" s="994">
        <f ca="1">DATOSAÑO!AJ143</f>
        <v>4.7000000000116415</v>
      </c>
      <c r="D147" s="994">
        <f ca="1">DATOSAÑO!AK143</f>
        <v>9.7999999999883585</v>
      </c>
      <c r="E147" s="994">
        <f ca="1">DATOSAÑO!AD143</f>
        <v>168</v>
      </c>
      <c r="F147" s="994">
        <v>0</v>
      </c>
      <c r="G147" s="994">
        <v>0</v>
      </c>
      <c r="H147" s="994">
        <f ca="1">DATOSAÑO!AI143</f>
        <v>36.900000000008731</v>
      </c>
      <c r="I147" s="994">
        <f ca="1">DATOSAÑO!CJ143</f>
        <v>4.1319999999992261</v>
      </c>
      <c r="J147" s="994">
        <v>0</v>
      </c>
      <c r="K147" s="994">
        <f ca="1">DATOSAÑO!AF143</f>
        <v>148</v>
      </c>
      <c r="L147" s="994">
        <f ca="1">+DATOSAÑO!CK143</f>
        <v>1.7022000000000548</v>
      </c>
      <c r="M147" s="994">
        <f ca="1">+DATOSAÑO!AK143</f>
        <v>9.7999999999883585</v>
      </c>
      <c r="N147" s="994">
        <f ca="1">+DATOSAÑO!AH143</f>
        <v>0</v>
      </c>
      <c r="O147" s="994">
        <f ca="1">DATOSAÑO!AL143</f>
        <v>35.199999999993452</v>
      </c>
      <c r="P147" s="994">
        <f ca="1">+(DATOSAÑO!BH143)+DATOSAÑO!BJ143</f>
        <v>0.752</v>
      </c>
      <c r="Q147" s="994">
        <f ca="1">+DATOSAÑO!BQ143</f>
        <v>5</v>
      </c>
      <c r="R147" s="1080">
        <f ca="1">DATOSAÑO!BS143+DATOSAÑO!BV143+DATOSAÑO!BY143+DATOSAÑO!CF143+DATOSAÑO!CL143</f>
        <v>21.565799999998536</v>
      </c>
    </row>
    <row r="148" spans="2:18">
      <c r="B148" s="390">
        <v>45060</v>
      </c>
      <c r="C148" s="994">
        <f ca="1">DATOSAÑO!AJ144</f>
        <v>3.8999999999941792</v>
      </c>
      <c r="D148" s="994">
        <f ca="1">DATOSAÑO!AK144</f>
        <v>11.900000000023283</v>
      </c>
      <c r="E148" s="994">
        <f ca="1">DATOSAÑO!AD144</f>
        <v>156</v>
      </c>
      <c r="F148" s="994">
        <v>0</v>
      </c>
      <c r="G148" s="994">
        <v>0</v>
      </c>
      <c r="H148" s="994">
        <f ca="1">DATOSAÑO!AI144</f>
        <v>35.899999999994179</v>
      </c>
      <c r="I148" s="994">
        <f ca="1">DATOSAÑO!CJ144</f>
        <v>4.333499999999999</v>
      </c>
      <c r="J148" s="994">
        <v>0</v>
      </c>
      <c r="K148" s="994">
        <f ca="1">DATOSAÑO!AF144</f>
        <v>150</v>
      </c>
      <c r="L148" s="994">
        <f ca="1">+DATOSAÑO!CK144</f>
        <v>1.5498000000002183</v>
      </c>
      <c r="M148" s="994">
        <f ca="1">+DATOSAÑO!AK144</f>
        <v>11.900000000023283</v>
      </c>
      <c r="N148" s="994">
        <f ca="1">+DATOSAÑO!AH144</f>
        <v>10.600000000000364</v>
      </c>
      <c r="O148" s="994">
        <f ca="1">DATOSAÑO!AL144</f>
        <v>31.58099999998791</v>
      </c>
      <c r="P148" s="994">
        <f ca="1">+(DATOSAÑO!BH144)+DATOSAÑO!BJ144</f>
        <v>0.83799999999999997</v>
      </c>
      <c r="Q148" s="994">
        <f ca="1">+DATOSAÑO!BQ144</f>
        <v>5</v>
      </c>
      <c r="R148" s="1080">
        <f ca="1">DATOSAÑO!BS144+DATOSAÑO!BV144+DATOSAÑO!BY144+DATOSAÑO!CF144+DATOSAÑO!CL144</f>
        <v>22.116699999999781</v>
      </c>
    </row>
    <row r="149" spans="2:18">
      <c r="B149" s="390">
        <v>45061</v>
      </c>
      <c r="C149" s="994">
        <f ca="1">DATOSAÑO!AJ145</f>
        <v>5.5</v>
      </c>
      <c r="D149" s="994">
        <f ca="1">DATOSAÑO!AK145</f>
        <v>13.799999999988358</v>
      </c>
      <c r="E149" s="994">
        <f ca="1">DATOSAÑO!AD145</f>
        <v>163</v>
      </c>
      <c r="F149" s="994">
        <v>0</v>
      </c>
      <c r="G149" s="994">
        <v>0</v>
      </c>
      <c r="H149" s="994">
        <f ca="1">DATOSAÑO!AI145</f>
        <v>34.899999999994179</v>
      </c>
      <c r="I149" s="994">
        <f ca="1">DATOSAÑO!CJ145</f>
        <v>4.3690000000009546</v>
      </c>
      <c r="J149" s="994">
        <v>0</v>
      </c>
      <c r="K149" s="994">
        <f ca="1">DATOSAÑO!AF145</f>
        <v>146</v>
      </c>
      <c r="L149" s="994">
        <f ca="1">+DATOSAÑO!CK145</f>
        <v>2.2667999999999453</v>
      </c>
      <c r="M149" s="994">
        <f ca="1">+DATOSAÑO!AK145</f>
        <v>13.799999999988358</v>
      </c>
      <c r="N149" s="994">
        <f ca="1">+DATOSAÑO!AH145</f>
        <v>21.100000000005821</v>
      </c>
      <c r="O149" s="994">
        <f ca="1">DATOSAÑO!AL145</f>
        <v>35.900000000008731</v>
      </c>
      <c r="P149" s="994">
        <f ca="1">+(DATOSAÑO!BH145)+DATOSAÑO!BJ145</f>
        <v>0.95499999999999996</v>
      </c>
      <c r="Q149" s="994">
        <f ca="1">+DATOSAÑO!BQ145</f>
        <v>5</v>
      </c>
      <c r="R149" s="1080">
        <f ca="1">DATOSAÑO!BS145+DATOSAÑO!BV145+DATOSAÑO!BY145+DATOSAÑO!CF145+DATOSAÑO!CL145</f>
        <v>21.164200000002012</v>
      </c>
    </row>
    <row r="150" spans="2:18">
      <c r="B150" s="390">
        <v>45062</v>
      </c>
      <c r="C150" s="994">
        <f ca="1">DATOSAÑO!AJ146</f>
        <v>6.6999999999970896</v>
      </c>
      <c r="D150" s="994">
        <f ca="1">DATOSAÑO!AK146</f>
        <v>12.299999999988358</v>
      </c>
      <c r="E150" s="994">
        <f ca="1">DATOSAÑO!AD146</f>
        <v>166</v>
      </c>
      <c r="F150" s="994">
        <v>0</v>
      </c>
      <c r="G150" s="994">
        <v>0</v>
      </c>
      <c r="H150" s="994">
        <f ca="1">DATOSAÑO!AI146</f>
        <v>35.100000000005821</v>
      </c>
      <c r="I150" s="994">
        <f ca="1">DATOSAÑO!CJ146</f>
        <v>4.1434999999988582</v>
      </c>
      <c r="J150" s="994">
        <v>0</v>
      </c>
      <c r="K150" s="994">
        <f ca="1">DATOSAÑO!AF146</f>
        <v>147</v>
      </c>
      <c r="L150" s="994">
        <f ca="1">+DATOSAÑO!CK146</f>
        <v>2.4041999999998405</v>
      </c>
      <c r="M150" s="994">
        <f ca="1">+DATOSAÑO!AK146</f>
        <v>12.299999999988358</v>
      </c>
      <c r="N150" s="994">
        <f ca="1">+DATOSAÑO!AH146</f>
        <v>6.5</v>
      </c>
      <c r="O150" s="994">
        <f ca="1">DATOSAÑO!AL146</f>
        <v>33.888000000011459</v>
      </c>
      <c r="P150" s="994">
        <f ca="1">+(DATOSAÑO!BH146)+DATOSAÑO!BJ146</f>
        <v>0.98099999999999998</v>
      </c>
      <c r="Q150" s="994">
        <f ca="1">+DATOSAÑO!BQ146</f>
        <v>5</v>
      </c>
      <c r="R150" s="1080">
        <f ca="1">DATOSAÑO!BS146+DATOSAÑO!BV146+DATOSAÑO!BY146+DATOSAÑO!CF146+DATOSAÑO!CL146</f>
        <v>22.652299999998391</v>
      </c>
    </row>
    <row r="151" spans="2:18">
      <c r="B151" s="390">
        <v>45063</v>
      </c>
      <c r="C151" s="994">
        <f ca="1">DATOSAÑO!AJ147</f>
        <v>5.3700000000098953</v>
      </c>
      <c r="D151" s="994">
        <f ca="1">DATOSAÑO!AK147</f>
        <v>13.220000000001164</v>
      </c>
      <c r="E151" s="994">
        <f ca="1">DATOSAÑO!AD147</f>
        <v>165.77000000000044</v>
      </c>
      <c r="F151" s="994">
        <v>0</v>
      </c>
      <c r="G151" s="994">
        <v>0</v>
      </c>
      <c r="H151" s="994">
        <f ca="1">DATOSAÑO!AI147</f>
        <v>35.600000000005821</v>
      </c>
      <c r="I151" s="994">
        <f ca="1">DATOSAÑO!CJ147</f>
        <v>4.1469999999886333</v>
      </c>
      <c r="J151" s="994">
        <v>0</v>
      </c>
      <c r="K151" s="994">
        <f ca="1">DATOSAÑO!AF147</f>
        <v>146.95000000001164</v>
      </c>
      <c r="L151" s="994">
        <f ca="1">+DATOSAÑO!CK147</f>
        <v>2.0075999999998446</v>
      </c>
      <c r="M151" s="994">
        <f ca="1">+DATOSAÑO!AK147</f>
        <v>13.220000000001164</v>
      </c>
      <c r="N151" s="994">
        <f ca="1">+DATOSAÑO!AH147</f>
        <v>10</v>
      </c>
      <c r="O151" s="994">
        <f ca="1">DATOSAÑO!AL147</f>
        <v>34.679999999982158</v>
      </c>
      <c r="P151" s="994">
        <f ca="1">+(DATOSAÑO!BH147)+DATOSAÑO!BJ147</f>
        <v>0.94799999999999995</v>
      </c>
      <c r="Q151" s="994">
        <f ca="1">+DATOSAÑO!BQ147</f>
        <v>4.6920000000027358</v>
      </c>
      <c r="R151" s="1080">
        <f ca="1">DATOSAÑO!BS147+DATOSAÑO!BV147+DATOSAÑO!BY147+DATOSAÑO!CF147+DATOSAÑO!CL147</f>
        <v>21.69539999998824</v>
      </c>
    </row>
    <row r="152" spans="2:18">
      <c r="B152" s="390">
        <v>45064</v>
      </c>
      <c r="C152" s="994">
        <f ca="1">DATOSAÑO!AJ148</f>
        <v>4.8799999999901047</v>
      </c>
      <c r="D152" s="994">
        <f ca="1">DATOSAÑO!AK148</f>
        <v>12.550000000017462</v>
      </c>
      <c r="E152" s="994">
        <f ca="1">DATOSAÑO!AD148</f>
        <v>167.73199999999997</v>
      </c>
      <c r="F152" s="994">
        <v>0</v>
      </c>
      <c r="G152" s="994">
        <v>0</v>
      </c>
      <c r="H152" s="994">
        <f ca="1">DATOSAÑO!AI148</f>
        <v>36.720000000001164</v>
      </c>
      <c r="I152" s="994">
        <f ca="1">DATOSAÑO!CJ148</f>
        <v>3.8754500000297685</v>
      </c>
      <c r="J152" s="994">
        <v>0</v>
      </c>
      <c r="K152" s="994">
        <f ca="1">DATOSAÑO!AF148</f>
        <v>150.64999999996508</v>
      </c>
      <c r="L152" s="994">
        <f ca="1">+DATOSAÑO!CK148</f>
        <v>1.8174000000001975</v>
      </c>
      <c r="M152" s="994">
        <f ca="1">+DATOSAÑO!AK148</f>
        <v>12.550000000017462</v>
      </c>
      <c r="N152" s="994">
        <f ca="1">+DATOSAÑO!AH148</f>
        <v>10.399999999994179</v>
      </c>
      <c r="O152" s="994">
        <f ca="1">DATOSAÑO!AL148</f>
        <v>35.570999999999913</v>
      </c>
      <c r="P152" s="994">
        <f ca="1">+(DATOSAÑO!BH148)+DATOSAÑO!BJ148</f>
        <v>0.26700000000000002</v>
      </c>
      <c r="Q152" s="994">
        <f ca="1">+DATOSAÑO!BQ148</f>
        <v>5.2379999999975553</v>
      </c>
      <c r="R152" s="1080">
        <f ca="1">DATOSAÑO!BS148+DATOSAÑO!BV148+DATOSAÑO!BY148+DATOSAÑO!CF148+DATOSAÑO!CL148</f>
        <v>20.957150000029703</v>
      </c>
    </row>
    <row r="153" spans="2:18">
      <c r="B153" s="390">
        <v>45065</v>
      </c>
      <c r="C153" s="994">
        <f ca="1">DATOSAÑO!AJ149</f>
        <v>6.8700000000098953</v>
      </c>
      <c r="D153" s="994">
        <f ca="1">DATOSAÑO!AK149</f>
        <v>12.299999999988358</v>
      </c>
      <c r="E153" s="994">
        <f ca="1">DATOSAÑO!AD149</f>
        <v>165.33799999999974</v>
      </c>
      <c r="F153" s="994">
        <v>0</v>
      </c>
      <c r="G153" s="994">
        <v>0</v>
      </c>
      <c r="H153" s="994">
        <f ca="1">DATOSAÑO!AI149</f>
        <v>34.969999999986612</v>
      </c>
      <c r="I153" s="994">
        <f ca="1">DATOSAÑO!CJ149</f>
        <v>6.6189999999789055</v>
      </c>
      <c r="J153" s="994">
        <v>0</v>
      </c>
      <c r="K153" s="994">
        <f ca="1">DATOSAÑO!AF149</f>
        <v>145.50900000002002</v>
      </c>
      <c r="L153" s="994">
        <f ca="1">+DATOSAÑO!CK149</f>
        <v>0.46979999999959132</v>
      </c>
      <c r="M153" s="994">
        <f ca="1">+DATOSAÑO!AK149</f>
        <v>12.299999999988358</v>
      </c>
      <c r="N153" s="994">
        <f ca="1">+DATOSAÑO!AH149</f>
        <v>10.400000000001455</v>
      </c>
      <c r="O153" s="994">
        <f ca="1">DATOSAÑO!AL149</f>
        <v>34.189999999976976</v>
      </c>
      <c r="P153" s="994">
        <f ca="1">+(DATOSAÑO!BH149)+DATOSAÑO!BJ149</f>
        <v>0.17199999999999999</v>
      </c>
      <c r="Q153" s="994">
        <f ca="1">+DATOSAÑO!BQ149</f>
        <v>4.9479999999966822</v>
      </c>
      <c r="R153" s="1080">
        <f ca="1">DATOSAÑO!BS149+DATOSAÑO!BV149+DATOSAÑO!BY149+DATOSAÑO!CF149+DATOSAÑO!CL149</f>
        <v>22.402199999979654</v>
      </c>
    </row>
    <row r="154" spans="2:18">
      <c r="B154" s="390">
        <v>45066</v>
      </c>
      <c r="C154" s="994">
        <f ca="1">DATOSAÑO!AJ150</f>
        <v>10.369999999995343</v>
      </c>
      <c r="D154" s="994">
        <f ca="1">DATOSAÑO!AK150</f>
        <v>14.540000000008149</v>
      </c>
      <c r="E154" s="994">
        <f ca="1">DATOSAÑO!AD150</f>
        <v>173.96000000000004</v>
      </c>
      <c r="F154" s="994">
        <v>0</v>
      </c>
      <c r="G154" s="994">
        <v>0</v>
      </c>
      <c r="H154" s="994">
        <f ca="1">DATOSAÑO!AI150</f>
        <v>34.690000000002328</v>
      </c>
      <c r="I154" s="994">
        <f ca="1">DATOSAÑO!CJ150</f>
        <v>4.943550000010136</v>
      </c>
      <c r="J154" s="994">
        <v>0</v>
      </c>
      <c r="K154" s="994">
        <f ca="1">DATOSAÑO!AF150</f>
        <v>150.39100000000326</v>
      </c>
      <c r="L154" s="994">
        <f ca="1">+DATOSAÑO!CK150</f>
        <v>0.13500000000021828</v>
      </c>
      <c r="M154" s="994">
        <f ca="1">+DATOSAÑO!AK150</f>
        <v>14.540000000008149</v>
      </c>
      <c r="N154" s="994">
        <f ca="1">+DATOSAÑO!AH150</f>
        <v>13.30000000000291</v>
      </c>
      <c r="O154" s="994">
        <f ca="1">DATOSAÑO!AL150</f>
        <v>35.052000000009684</v>
      </c>
      <c r="P154" s="994">
        <f ca="1">+(DATOSAÑO!BH150)+DATOSAÑO!BJ150</f>
        <v>0.253</v>
      </c>
      <c r="Q154" s="994">
        <f ca="1">+DATOSAÑO!BQ150</f>
        <v>5.0140000000028522</v>
      </c>
      <c r="R154" s="1080">
        <f ca="1">DATOSAÑO!BS150+DATOSAÑO!BV150+DATOSAÑO!BY150+DATOSAÑO!CF150+DATOSAÑO!CL150</f>
        <v>17.930450000009678</v>
      </c>
    </row>
    <row r="155" spans="2:18">
      <c r="B155" s="390">
        <v>45067</v>
      </c>
      <c r="C155" s="994">
        <f ca="1">DATOSAÑO!AJ151</f>
        <v>8.6499999999941792</v>
      </c>
      <c r="D155" s="994">
        <f ca="1">DATOSAÑO!AK151</f>
        <v>14.049999999988358</v>
      </c>
      <c r="E155" s="994">
        <f ca="1">DATOSAÑO!AD151</f>
        <v>177.59999999999945</v>
      </c>
      <c r="F155" s="994">
        <v>0</v>
      </c>
      <c r="G155" s="994">
        <v>0</v>
      </c>
      <c r="H155" s="994">
        <f ca="1">DATOSAÑO!AI151</f>
        <v>34.669999999998254</v>
      </c>
      <c r="I155" s="994">
        <f ca="1">DATOSAÑO!CJ151</f>
        <v>5.2949999999931592</v>
      </c>
      <c r="J155" s="994">
        <v>0</v>
      </c>
      <c r="K155" s="994">
        <f ca="1">DATOSAÑO!AF151</f>
        <v>147.09999999997672</v>
      </c>
      <c r="L155" s="994">
        <f ca="1">+DATOSAÑO!CK151</f>
        <v>0.73679999999983625</v>
      </c>
      <c r="M155" s="994">
        <f ca="1">+DATOSAÑO!AK151</f>
        <v>14.049999999988358</v>
      </c>
      <c r="N155" s="994">
        <f ca="1">+DATOSAÑO!AH151</f>
        <v>11</v>
      </c>
      <c r="O155" s="994">
        <f ca="1">DATOSAÑO!AL151</f>
        <v>31.303000000057239</v>
      </c>
      <c r="P155" s="994">
        <f ca="1">+(DATOSAÑO!BH151)+DATOSAÑO!BJ151</f>
        <v>0.20599999999999999</v>
      </c>
      <c r="Q155" s="994">
        <f ca="1">+DATOSAÑO!BQ151</f>
        <v>4.6840000000011059</v>
      </c>
      <c r="R155" s="1080">
        <f ca="1">DATOSAÑO!BS151+DATOSAÑO!BV151+DATOSAÑO!BY151+DATOSAÑO!CF151+DATOSAÑO!CL151</f>
        <v>20.468199999992468</v>
      </c>
    </row>
    <row r="156" spans="2:18">
      <c r="B156" s="390">
        <v>45068</v>
      </c>
      <c r="C156" s="994">
        <f ca="1">DATOSAÑO!AJ152</f>
        <v>8.6699999999982538</v>
      </c>
      <c r="D156" s="994">
        <f ca="1">DATOSAÑO!AK152</f>
        <v>13.990000000019791</v>
      </c>
      <c r="E156" s="994">
        <f ca="1">DATOSAÑO!AD152</f>
        <v>178</v>
      </c>
      <c r="F156" s="994">
        <v>0</v>
      </c>
      <c r="G156" s="994">
        <v>0</v>
      </c>
      <c r="H156" s="994">
        <f ca="1">DATOSAÑO!AI152</f>
        <v>32.389999999999418</v>
      </c>
      <c r="I156" s="994">
        <f ca="1">DATOSAÑO!CJ152</f>
        <v>3.522000000000046</v>
      </c>
      <c r="J156" s="994">
        <v>0</v>
      </c>
      <c r="K156" s="994">
        <f ca="1">DATOSAÑO!AF152</f>
        <v>147.20000000001164</v>
      </c>
      <c r="L156" s="994">
        <f ca="1">+DATOSAÑO!CK152</f>
        <v>0.61320000000016373</v>
      </c>
      <c r="M156" s="994">
        <f ca="1">+DATOSAÑO!AK152</f>
        <v>13.990000000019791</v>
      </c>
      <c r="N156" s="994">
        <f ca="1">+DATOSAÑO!AH152</f>
        <v>14.099999999998545</v>
      </c>
      <c r="O156" s="994">
        <f ca="1">DATOSAÑO!AL152</f>
        <v>40.108000000030813</v>
      </c>
      <c r="P156" s="994">
        <f ca="1">+(DATOSAÑO!BH152)+DATOSAÑO!BJ152</f>
        <v>0.216</v>
      </c>
      <c r="Q156" s="994">
        <f ca="1">+DATOSAÑO!BQ152</f>
        <v>4.6710000000020955</v>
      </c>
      <c r="R156" s="1080">
        <f ca="1">DATOSAÑO!BS152+DATOSAÑO!BV152+DATOSAÑO!BY152+DATOSAÑO!CF152+DATOSAÑO!CL152</f>
        <v>19.06480000000052</v>
      </c>
    </row>
    <row r="157" spans="2:18">
      <c r="B157" s="390">
        <v>45069</v>
      </c>
      <c r="C157" s="994">
        <f ca="1">DATOSAÑO!AJ153</f>
        <v>7.9900000000052387</v>
      </c>
      <c r="D157" s="994">
        <f ca="1">DATOSAÑO!AK153</f>
        <v>12.049999999988358</v>
      </c>
      <c r="E157" s="994">
        <f ca="1">DATOSAÑO!AD153</f>
        <v>103.10000000000036</v>
      </c>
      <c r="F157" s="994">
        <v>0</v>
      </c>
      <c r="G157" s="994">
        <v>0</v>
      </c>
      <c r="H157" s="994">
        <f ca="1">DATOSAÑO!AI153</f>
        <v>32.760000000009313</v>
      </c>
      <c r="I157" s="994">
        <f ca="1">DATOSAÑO!CJ153</f>
        <v>6.4185000000009964</v>
      </c>
      <c r="J157" s="994">
        <v>0</v>
      </c>
      <c r="K157" s="994">
        <f ca="1">DATOSAÑO!AF153</f>
        <v>143.20000000001164</v>
      </c>
      <c r="L157" s="994">
        <f ca="1">+DATOSAÑO!CK153</f>
        <v>1.8803999999999363</v>
      </c>
      <c r="M157" s="994">
        <f ca="1">+DATOSAÑO!AK153</f>
        <v>12.049999999988358</v>
      </c>
      <c r="N157" s="994">
        <f ca="1">+DATOSAÑO!AH153</f>
        <v>9.0999999999985448</v>
      </c>
      <c r="O157" s="994">
        <f ca="1">DATOSAÑO!AL153</f>
        <v>35.049999999928275</v>
      </c>
      <c r="P157" s="994">
        <f ca="1">+(DATOSAÑO!BH153)+DATOSAÑO!BJ153</f>
        <v>0.316</v>
      </c>
      <c r="Q157" s="994">
        <f ca="1">+DATOSAÑO!BQ153</f>
        <v>5.7529999999969732</v>
      </c>
      <c r="R157" s="1080">
        <f ca="1">DATOSAÑO!BS153+DATOSAÑO!BV153+DATOSAÑO!BY153+DATOSAÑO!CF153+DATOSAÑO!CL153</f>
        <v>22.601100000000518</v>
      </c>
    </row>
    <row r="158" spans="2:18">
      <c r="B158" s="390">
        <v>45070</v>
      </c>
      <c r="C158" s="994">
        <f ca="1">DATOSAÑO!AJ154</f>
        <v>5.3000000000029104</v>
      </c>
      <c r="D158" s="994">
        <f ca="1">DATOSAÑO!AK154</f>
        <v>12</v>
      </c>
      <c r="E158" s="994">
        <f ca="1">DATOSAÑO!AD154</f>
        <v>0</v>
      </c>
      <c r="F158" s="994">
        <v>0</v>
      </c>
      <c r="G158" s="994">
        <v>0</v>
      </c>
      <c r="H158" s="994">
        <f ca="1">DATOSAÑO!AI154</f>
        <v>34.80000000000291</v>
      </c>
      <c r="I158" s="994">
        <f ca="1">DATOSAÑO!CJ154</f>
        <v>4.891499999998457</v>
      </c>
      <c r="J158" s="994">
        <v>0</v>
      </c>
      <c r="K158" s="994">
        <f ca="1">DATOSAÑO!AF154</f>
        <v>134</v>
      </c>
      <c r="L158" s="994">
        <f ca="1">+DATOSAÑO!CK154</f>
        <v>1.7736000000003274</v>
      </c>
      <c r="M158" s="994">
        <f ca="1">+DATOSAÑO!AK154</f>
        <v>12</v>
      </c>
      <c r="N158" s="994">
        <f ca="1">+DATOSAÑO!AH154</f>
        <v>5.2000000000043656</v>
      </c>
      <c r="O158" s="994">
        <f ca="1">DATOSAÑO!AL154</f>
        <v>31.599999999991297</v>
      </c>
      <c r="P158" s="994">
        <f ca="1">+(DATOSAÑO!BH154)+DATOSAÑO!BJ154</f>
        <v>0.311</v>
      </c>
      <c r="Q158" s="994">
        <f ca="1">+DATOSAÑO!BQ154</f>
        <v>5</v>
      </c>
      <c r="R158" s="1080">
        <f ca="1">DATOSAÑO!BS154+DATOSAÑO!BV154+DATOSAÑO!BY154+DATOSAÑO!CF154+DATOSAÑO!CL154</f>
        <v>20.434899999999764</v>
      </c>
    </row>
    <row r="159" spans="2:18">
      <c r="B159" s="390">
        <v>45071</v>
      </c>
      <c r="C159" s="994">
        <f ca="1">DATOSAÑO!AJ155</f>
        <v>6.3000000000029104</v>
      </c>
      <c r="D159" s="994">
        <f ca="1">DATOSAÑO!AK155</f>
        <v>11</v>
      </c>
      <c r="E159" s="994">
        <f ca="1">DATOSAÑO!AD155</f>
        <v>0</v>
      </c>
      <c r="F159" s="994">
        <v>0</v>
      </c>
      <c r="G159" s="994">
        <v>0</v>
      </c>
      <c r="H159" s="994">
        <f ca="1">DATOSAÑO!AI155</f>
        <v>36.399999999994179</v>
      </c>
      <c r="I159" s="994">
        <f ca="1">DATOSAÑO!CJ155</f>
        <v>5.2550000000017265</v>
      </c>
      <c r="J159" s="994">
        <v>0</v>
      </c>
      <c r="K159" s="994">
        <f ca="1">DATOSAÑO!AF155</f>
        <v>147</v>
      </c>
      <c r="L159" s="994">
        <f ca="1">+DATOSAÑO!CK155</f>
        <v>2.4953999999996723</v>
      </c>
      <c r="M159" s="994">
        <f ca="1">+DATOSAÑO!AK155</f>
        <v>11</v>
      </c>
      <c r="N159" s="994">
        <f ca="1">+DATOSAÑO!AH155</f>
        <v>9.0999999999985448</v>
      </c>
      <c r="O159" s="994">
        <f ca="1">DATOSAÑO!AL155</f>
        <v>33.600000000002183</v>
      </c>
      <c r="P159" s="994">
        <f ca="1">+(DATOSAÑO!BH155)+DATOSAÑO!BJ155</f>
        <v>0.34699999999999998</v>
      </c>
      <c r="Q159" s="994">
        <f ca="1">+DATOSAÑO!BQ155</f>
        <v>6</v>
      </c>
      <c r="R159" s="1080">
        <f ca="1">DATOSAÑO!BS155+DATOSAÑO!BV155+DATOSAÑO!BY155+DATOSAÑO!CF155+DATOSAÑO!CL155</f>
        <v>20.84960000000078</v>
      </c>
    </row>
    <row r="160" spans="2:18">
      <c r="B160" s="390">
        <v>45072</v>
      </c>
      <c r="C160" s="994">
        <f ca="1">DATOSAÑO!AJ156</f>
        <v>7.6999999999970896</v>
      </c>
      <c r="D160" s="994">
        <f ca="1">DATOSAÑO!AK156</f>
        <v>12</v>
      </c>
      <c r="E160" s="994">
        <f ca="1">DATOSAÑO!AD156</f>
        <v>0</v>
      </c>
      <c r="F160" s="994">
        <v>0</v>
      </c>
      <c r="G160" s="994">
        <v>0</v>
      </c>
      <c r="H160" s="994">
        <f ca="1">DATOSAÑO!AI156</f>
        <v>34</v>
      </c>
      <c r="I160" s="994">
        <f ca="1">DATOSAÑO!CJ156</f>
        <v>4.8364999999994547</v>
      </c>
      <c r="J160" s="994">
        <v>0</v>
      </c>
      <c r="K160" s="994">
        <f ca="1">DATOSAÑO!AF156</f>
        <v>153</v>
      </c>
      <c r="L160" s="994">
        <f ca="1">+DATOSAÑO!CK156</f>
        <v>2.5368000000004365</v>
      </c>
      <c r="M160" s="994">
        <f ca="1">+DATOSAÑO!AK156</f>
        <v>12</v>
      </c>
      <c r="N160" s="994">
        <f ca="1">+DATOSAÑO!AH156</f>
        <v>16.299999999995634</v>
      </c>
      <c r="O160" s="994">
        <f ca="1">DATOSAÑO!AL156</f>
        <v>27.500000000007276</v>
      </c>
      <c r="P160" s="994">
        <f ca="1">+(DATOSAÑO!BH156)+DATOSAÑO!BJ156</f>
        <v>0.28000000000000003</v>
      </c>
      <c r="Q160" s="994">
        <f ca="1">+DATOSAÑO!BQ156</f>
        <v>5</v>
      </c>
      <c r="R160" s="1080">
        <f ca="1">DATOSAÑO!BS156+DATOSAÑO!BV156+DATOSAÑO!BY156+DATOSAÑO!CF156+DATOSAÑO!CL156</f>
        <v>20.12670000000011</v>
      </c>
    </row>
    <row r="161" spans="2:18">
      <c r="B161" s="390">
        <v>45073</v>
      </c>
      <c r="C161" s="994">
        <f ca="1">DATOSAÑO!AJ157</f>
        <v>8.3999999999941792</v>
      </c>
      <c r="D161" s="994">
        <f ca="1">DATOSAÑO!AK157</f>
        <v>9</v>
      </c>
      <c r="E161" s="994">
        <f ca="1">DATOSAÑO!AD157</f>
        <v>43</v>
      </c>
      <c r="F161" s="994">
        <v>0</v>
      </c>
      <c r="G161" s="994">
        <v>0</v>
      </c>
      <c r="H161" s="994">
        <f ca="1">DATOSAÑO!AI157</f>
        <v>34.19999999999709</v>
      </c>
      <c r="I161" s="994">
        <f ca="1">DATOSAÑO!CJ157</f>
        <v>4.1249999999995977</v>
      </c>
      <c r="J161" s="994">
        <v>0</v>
      </c>
      <c r="K161" s="994">
        <f ca="1">DATOSAÑO!AF157</f>
        <v>158</v>
      </c>
      <c r="L161" s="994">
        <f ca="1">+DATOSAÑO!CK157</f>
        <v>2.8913999999996083</v>
      </c>
      <c r="M161" s="994">
        <f ca="1">+DATOSAÑO!AK157</f>
        <v>9</v>
      </c>
      <c r="N161" s="994">
        <f ca="1">+DATOSAÑO!AH157</f>
        <v>9.5</v>
      </c>
      <c r="O161" s="994">
        <f ca="1">DATOSAÑO!AL157</f>
        <v>32.500000000010914</v>
      </c>
      <c r="P161" s="994">
        <f ca="1">+(DATOSAÑO!BH157)+DATOSAÑO!BJ157</f>
        <v>0.318</v>
      </c>
      <c r="Q161" s="994">
        <f ca="1">+DATOSAÑO!BQ157</f>
        <v>5</v>
      </c>
      <c r="R161" s="1080">
        <f ca="1">DATOSAÑO!BS157+DATOSAÑO!BV157+DATOSAÑO!BY157+DATOSAÑO!CF157+DATOSAÑO!CL157</f>
        <v>21.383599999998609</v>
      </c>
    </row>
    <row r="162" spans="2:18">
      <c r="B162" s="390">
        <v>45074</v>
      </c>
      <c r="C162" s="994">
        <f ca="1">DATOSAÑO!AJ158</f>
        <v>7.1000000000058208</v>
      </c>
      <c r="D162" s="994">
        <f ca="1">DATOSAÑO!AK158</f>
        <v>13</v>
      </c>
      <c r="E162" s="994">
        <f ca="1">DATOSAÑO!AD158</f>
        <v>166.16499999999996</v>
      </c>
      <c r="F162" s="994">
        <v>0</v>
      </c>
      <c r="G162" s="994">
        <v>0</v>
      </c>
      <c r="H162" s="994">
        <f ca="1">DATOSAÑO!AI158</f>
        <v>35.19999999999709</v>
      </c>
      <c r="I162" s="994">
        <f ca="1">DATOSAÑO!CJ158</f>
        <v>5.603999999999143</v>
      </c>
      <c r="J162" s="994">
        <v>0</v>
      </c>
      <c r="K162" s="994">
        <f ca="1">DATOSAÑO!AF158</f>
        <v>155</v>
      </c>
      <c r="L162" s="994">
        <f ca="1">+DATOSAÑO!CK158</f>
        <v>2.659800000000164</v>
      </c>
      <c r="M162" s="994">
        <f ca="1">+DATOSAÑO!AK158</f>
        <v>13</v>
      </c>
      <c r="N162" s="994">
        <f ca="1">+DATOSAÑO!AH158</f>
        <v>11.799999999999272</v>
      </c>
      <c r="O162" s="994">
        <f ca="1">DATOSAÑO!AL158</f>
        <v>34.834999999996398</v>
      </c>
      <c r="P162" s="994">
        <f ca="1">+(DATOSAÑO!BH158)+DATOSAÑO!BJ158</f>
        <v>0.318</v>
      </c>
      <c r="Q162" s="994">
        <f ca="1">+DATOSAÑO!BQ158</f>
        <v>4.8000000000029104</v>
      </c>
      <c r="R162" s="1080">
        <f ca="1">DATOSAÑO!BS158+DATOSAÑO!BV158+DATOSAÑO!BY158+DATOSAÑO!CF158+DATOSAÑO!CL158</f>
        <v>22.236200000000707</v>
      </c>
    </row>
    <row r="163" spans="2:18">
      <c r="B163" s="390">
        <v>45075</v>
      </c>
      <c r="C163" s="994">
        <f ca="1">DATOSAÑO!AJ159</f>
        <v>6.5</v>
      </c>
      <c r="D163" s="994">
        <f ca="1">DATOSAÑO!AK159</f>
        <v>12</v>
      </c>
      <c r="E163" s="994">
        <f ca="1">DATOSAÑO!AD159</f>
        <v>164.55599999999959</v>
      </c>
      <c r="F163" s="994">
        <v>0</v>
      </c>
      <c r="G163" s="994">
        <v>0</v>
      </c>
      <c r="H163" s="994">
        <f ca="1">DATOSAÑO!AI159</f>
        <v>35.400000000008731</v>
      </c>
      <c r="I163" s="994">
        <f ca="1">DATOSAÑO!CJ159</f>
        <v>6.9060000000006374</v>
      </c>
      <c r="J163" s="994">
        <v>0</v>
      </c>
      <c r="K163" s="994">
        <f ca="1">DATOSAÑO!AF159</f>
        <v>154</v>
      </c>
      <c r="L163" s="994">
        <f ca="1">+DATOSAÑO!CK159</f>
        <v>2.5697999999998906</v>
      </c>
      <c r="M163" s="994">
        <f ca="1">+DATOSAÑO!AK159</f>
        <v>12</v>
      </c>
      <c r="N163" s="994">
        <f ca="1">+DATOSAÑO!AH159</f>
        <v>11</v>
      </c>
      <c r="O163" s="994">
        <f ca="1">DATOSAÑO!AL159</f>
        <v>35.343999999994651</v>
      </c>
      <c r="P163" s="994">
        <f ca="1">+(DATOSAÑO!BH159)+DATOSAÑO!BJ159</f>
        <v>0.28799999999999998</v>
      </c>
      <c r="Q163" s="994">
        <f ca="1">+DATOSAÑO!BQ159</f>
        <v>5.2999999999956344</v>
      </c>
      <c r="R163" s="1080">
        <f ca="1">DATOSAÑO!BS159+DATOSAÑO!BV159+DATOSAÑO!BY159+DATOSAÑO!CF159+DATOSAÑO!CL159</f>
        <v>22.024199999999475</v>
      </c>
    </row>
    <row r="164" spans="2:18">
      <c r="B164" s="390">
        <v>45076</v>
      </c>
      <c r="C164" s="994">
        <f ca="1">DATOSAÑO!AJ160</f>
        <v>7.8000000000029104</v>
      </c>
      <c r="D164" s="994">
        <f ca="1">DATOSAÑO!AK160</f>
        <v>14.399999999994179</v>
      </c>
      <c r="E164" s="994">
        <f ca="1">DATOSAÑO!AD160</f>
        <v>163.8690000000006</v>
      </c>
      <c r="F164" s="994">
        <v>0</v>
      </c>
      <c r="G164" s="994">
        <v>0</v>
      </c>
      <c r="H164" s="994">
        <f ca="1">DATOSAÑO!AI160</f>
        <v>35.5</v>
      </c>
      <c r="I164" s="994">
        <f ca="1">DATOSAÑO!CJ160</f>
        <v>4.8259000000065466</v>
      </c>
      <c r="J164" s="994">
        <v>0</v>
      </c>
      <c r="K164" s="994">
        <f ca="1">DATOSAÑO!AF160</f>
        <v>160</v>
      </c>
      <c r="L164" s="994">
        <f ca="1">+DATOSAÑO!CK160</f>
        <v>2.6082000000001089</v>
      </c>
      <c r="M164" s="994">
        <f ca="1">+DATOSAÑO!AK160</f>
        <v>14.399999999994179</v>
      </c>
      <c r="N164" s="994">
        <f ca="1">+DATOSAÑO!AH160</f>
        <v>11.5</v>
      </c>
      <c r="O164" s="994">
        <f ca="1">DATOSAÑO!AL160</f>
        <v>35.431000000035056</v>
      </c>
      <c r="P164" s="994">
        <f ca="1">+(DATOSAÑO!BH160)+DATOSAÑO!BJ160</f>
        <v>0.217</v>
      </c>
      <c r="Q164" s="994">
        <f ca="1">+DATOSAÑO!BQ160</f>
        <v>5.9000000000014552</v>
      </c>
      <c r="R164" s="1080">
        <f ca="1">DATOSAÑO!BS160+DATOSAÑO!BV160+DATOSAÑO!BY160+DATOSAÑO!CF160+DATOSAÑO!CL160</f>
        <v>22.365900000007169</v>
      </c>
    </row>
    <row r="165" spans="2:18" ht="15" thickBot="1">
      <c r="B165" s="390">
        <v>45077</v>
      </c>
      <c r="C165" s="994">
        <f ca="1">DATOSAÑO!AJ161</f>
        <v>6.7999999999883585</v>
      </c>
      <c r="D165" s="994">
        <f ca="1">DATOSAÑO!AK161</f>
        <v>13.200000000011642</v>
      </c>
      <c r="E165" s="994">
        <f ca="1">DATOSAÑO!AD161</f>
        <v>164.90999999999985</v>
      </c>
      <c r="F165" s="994">
        <v>0</v>
      </c>
      <c r="G165" s="994">
        <v>0</v>
      </c>
      <c r="H165" s="994">
        <f ca="1">DATOSAÑO!AI161</f>
        <v>36.30000000000291</v>
      </c>
      <c r="I165" s="994">
        <f ca="1">DATOSAÑO!CJ161</f>
        <v>5.035099999994185</v>
      </c>
      <c r="J165" s="994">
        <v>0</v>
      </c>
      <c r="K165" s="994">
        <f ca="1">DATOSAÑO!AF161</f>
        <v>153</v>
      </c>
      <c r="L165" s="994">
        <f ca="1">+DATOSAÑO!CK161</f>
        <v>2.9003999999998862</v>
      </c>
      <c r="M165" s="994">
        <f ca="1">+DATOSAÑO!AK161</f>
        <v>13.200000000011642</v>
      </c>
      <c r="N165" s="994">
        <f ca="1">+DATOSAÑO!AH161</f>
        <v>11.100000000005821</v>
      </c>
      <c r="O165" s="994">
        <f ca="1">DATOSAÑO!AL161</f>
        <v>35.389999999955762</v>
      </c>
      <c r="P165" s="994">
        <f ca="1">+(DATOSAÑO!BH161)+DATOSAÑO!BJ161</f>
        <v>0</v>
      </c>
      <c r="Q165" s="994">
        <f ca="1">+DATOSAÑO!BQ161</f>
        <v>5</v>
      </c>
      <c r="R165" s="1080">
        <f ca="1">DATOSAÑO!BS161+DATOSAÑO!BV161+DATOSAÑO!BY161+DATOSAÑO!CF161+DATOSAÑO!CL161</f>
        <v>22.164499999993559</v>
      </c>
    </row>
    <row r="166" spans="2:18" ht="15" thickBot="1">
      <c r="B166" s="1268" t="s">
        <v>1131</v>
      </c>
      <c r="C166" s="1267">
        <f ca="1">SUM(C135:C165)</f>
        <v>206.06999999999243</v>
      </c>
      <c r="D166" s="1030">
        <f ca="1">SUM(D135:D165)</f>
        <v>394.5</v>
      </c>
      <c r="E166" s="1030">
        <f t="shared" ref="E166:R166" ca="1" si="4">SUM(E135:E165)</f>
        <v>4462.7</v>
      </c>
      <c r="F166" s="1030">
        <f t="shared" si="4"/>
        <v>0</v>
      </c>
      <c r="G166" s="1030">
        <f t="shared" si="4"/>
        <v>0</v>
      </c>
      <c r="H166" s="1030">
        <f t="shared" ca="1" si="4"/>
        <v>1128.5100000000093</v>
      </c>
      <c r="I166" s="1030">
        <f t="shared" ca="1" si="4"/>
        <v>141.97725000001705</v>
      </c>
      <c r="J166" s="1030">
        <f t="shared" si="4"/>
        <v>0</v>
      </c>
      <c r="K166" s="1030">
        <f t="shared" ca="1" si="4"/>
        <v>4650.7999999999884</v>
      </c>
      <c r="L166" s="1030">
        <f t="shared" ca="1" si="4"/>
        <v>59.558400000000113</v>
      </c>
      <c r="M166" s="1030">
        <f t="shared" ca="1" si="4"/>
        <v>394.5</v>
      </c>
      <c r="N166" s="1030">
        <f t="shared" ca="1" si="4"/>
        <v>340.70000000000437</v>
      </c>
      <c r="O166" s="1030">
        <f t="shared" ca="1" si="4"/>
        <v>1060.5669999999473</v>
      </c>
      <c r="P166" s="1030">
        <f t="shared" ca="1" si="4"/>
        <v>24.750000000000004</v>
      </c>
      <c r="Q166" s="1081">
        <f t="shared" ca="1" si="4"/>
        <v>158.69999999999709</v>
      </c>
      <c r="R166" s="1081">
        <f t="shared" ca="1" si="4"/>
        <v>680.86435000001723</v>
      </c>
    </row>
    <row r="167" spans="2:18">
      <c r="B167" s="390">
        <v>45078</v>
      </c>
      <c r="C167" s="994">
        <f ca="1">DATOSAÑO!AJ162</f>
        <v>5.4000000000087311</v>
      </c>
      <c r="D167" s="994">
        <f ca="1">DATOSAÑO!AK162</f>
        <v>13</v>
      </c>
      <c r="E167" s="994">
        <f ca="1">DATOSAÑO!AD162</f>
        <v>166</v>
      </c>
      <c r="F167" s="994">
        <v>0</v>
      </c>
      <c r="G167" s="994">
        <v>0</v>
      </c>
      <c r="H167" s="994">
        <f ca="1">DATOSAÑO!AI162</f>
        <v>36.69999999999709</v>
      </c>
      <c r="I167" s="994">
        <f ca="1">DATOSAÑO!CJ162</f>
        <v>5.6279999999991821</v>
      </c>
      <c r="J167" s="994">
        <v>0</v>
      </c>
      <c r="K167" s="994">
        <f ca="1">DATOSAÑO!AF162</f>
        <v>145</v>
      </c>
      <c r="L167" s="994">
        <f ca="1">+DATOSAÑO!CK162</f>
        <v>2.6081999999998908</v>
      </c>
      <c r="M167" s="994">
        <f ca="1">+DATOSAÑO!AK162</f>
        <v>13</v>
      </c>
      <c r="N167" s="994">
        <f ca="1">+DATOSAÑO!AH162</f>
        <v>12.599999999998545</v>
      </c>
      <c r="O167" s="994">
        <f ca="1">DATOSAÑO!AL162</f>
        <v>34.999999999996362</v>
      </c>
      <c r="P167" s="994">
        <f ca="1">+(DATOSAÑO!BH162)+DATOSAÑO!BJ162</f>
        <v>0</v>
      </c>
      <c r="Q167" s="994">
        <f ca="1">+DATOSAÑO!BQ162</f>
        <v>6</v>
      </c>
      <c r="R167" s="1080">
        <f ca="1">DATOSAÑO!BS162+DATOSAÑO!BV162+DATOSAÑO!BY162+DATOSAÑO!CF162+DATOSAÑO!CL162</f>
        <v>22.063800000000203</v>
      </c>
    </row>
    <row r="168" spans="2:18">
      <c r="B168" s="390">
        <v>45079</v>
      </c>
      <c r="C168" s="994">
        <f ca="1">DATOSAÑO!AJ163</f>
        <v>5.5</v>
      </c>
      <c r="D168" s="994">
        <f ca="1">DATOSAÑO!AK163</f>
        <v>13</v>
      </c>
      <c r="E168" s="994">
        <f ca="1">DATOSAÑO!AD163</f>
        <v>170</v>
      </c>
      <c r="F168" s="994">
        <v>0</v>
      </c>
      <c r="G168" s="994">
        <v>0</v>
      </c>
      <c r="H168" s="994">
        <f ca="1">DATOSAÑO!AI163</f>
        <v>35.599999999991269</v>
      </c>
      <c r="I168" s="994">
        <f ca="1">DATOSAÑO!CJ163</f>
        <v>4.5035000000000522</v>
      </c>
      <c r="J168" s="994">
        <v>0</v>
      </c>
      <c r="K168" s="994">
        <f ca="1">DATOSAÑO!AF163</f>
        <v>147</v>
      </c>
      <c r="L168" s="994">
        <f ca="1">+DATOSAÑO!CK163</f>
        <v>2.8860000000001635</v>
      </c>
      <c r="M168" s="994">
        <f ca="1">+DATOSAÑO!AK163</f>
        <v>13</v>
      </c>
      <c r="N168" s="994">
        <f ca="1">+DATOSAÑO!AH163</f>
        <v>9.6999999999970896</v>
      </c>
      <c r="O168" s="994">
        <f ca="1">DATOSAÑO!AL163</f>
        <v>32.700000000011698</v>
      </c>
      <c r="P168" s="994">
        <f ca="1">+(DATOSAÑO!BH163)+DATOSAÑO!BJ163</f>
        <v>0</v>
      </c>
      <c r="Q168" s="994">
        <f ca="1">+DATOSAÑO!BQ163</f>
        <v>5</v>
      </c>
      <c r="R168" s="1080">
        <f ca="1">DATOSAÑO!BS163+DATOSAÑO!BV163+DATOSAÑO!BY163+DATOSAÑO!CF163+DATOSAÑO!CL163</f>
        <v>21.110499999999799</v>
      </c>
    </row>
    <row r="169" spans="2:18">
      <c r="B169" s="390">
        <v>45080</v>
      </c>
      <c r="C169" s="994">
        <f ca="1">DATOSAÑO!AJ164</f>
        <v>5.6999999999970896</v>
      </c>
      <c r="D169" s="994">
        <f ca="1">DATOSAÑO!AK164</f>
        <v>13</v>
      </c>
      <c r="E169" s="994">
        <f ca="1">DATOSAÑO!AD164</f>
        <v>164</v>
      </c>
      <c r="F169" s="994">
        <v>0</v>
      </c>
      <c r="G169" s="994">
        <v>0</v>
      </c>
      <c r="H169" s="994">
        <f ca="1">DATOSAÑO!AI164</f>
        <v>35</v>
      </c>
      <c r="I169" s="994">
        <f ca="1">DATOSAÑO!CJ164</f>
        <v>5.1369999999998166</v>
      </c>
      <c r="J169" s="994">
        <v>0</v>
      </c>
      <c r="K169" s="994">
        <f ca="1">DATOSAÑO!AF164</f>
        <v>145</v>
      </c>
      <c r="L169" s="994">
        <f ca="1">+DATOSAÑO!CK164</f>
        <v>2.7804000000000073</v>
      </c>
      <c r="M169" s="994">
        <f ca="1">+DATOSAÑO!AK164</f>
        <v>13</v>
      </c>
      <c r="N169" s="994">
        <f ca="1">+DATOSAÑO!AH164</f>
        <v>9.8000000000047294</v>
      </c>
      <c r="O169" s="994">
        <f ca="1">DATOSAÑO!AL164</f>
        <v>36.399999999999636</v>
      </c>
      <c r="P169" s="994">
        <f ca="1">+(DATOSAÑO!BH164)+DATOSAÑO!BJ164</f>
        <v>0</v>
      </c>
      <c r="Q169" s="994">
        <f ca="1">+DATOSAÑO!BQ164</f>
        <v>5</v>
      </c>
      <c r="R169" s="1080">
        <f ca="1">DATOSAÑO!BS164+DATOSAÑO!BV164+DATOSAÑO!BY164+DATOSAÑO!CF164+DATOSAÑO!CL164</f>
        <v>21.182599999998729</v>
      </c>
    </row>
    <row r="170" spans="2:18">
      <c r="B170" s="390">
        <v>45081</v>
      </c>
      <c r="C170" s="994">
        <f ca="1">DATOSAÑO!AJ165</f>
        <v>7.5</v>
      </c>
      <c r="D170" s="994">
        <f ca="1">DATOSAÑO!AK165</f>
        <v>12.899999999994179</v>
      </c>
      <c r="E170" s="994">
        <f ca="1">DATOSAÑO!AD165</f>
        <v>164</v>
      </c>
      <c r="F170" s="994">
        <v>0</v>
      </c>
      <c r="G170" s="994">
        <v>0</v>
      </c>
      <c r="H170" s="994">
        <f ca="1">DATOSAÑO!AI165</f>
        <v>37.30000000000291</v>
      </c>
      <c r="I170" s="994">
        <f ca="1">DATOSAÑO!CJ165</f>
        <v>5.6194999999998636</v>
      </c>
      <c r="J170" s="994">
        <v>0</v>
      </c>
      <c r="K170" s="994">
        <f ca="1">DATOSAÑO!AF165</f>
        <v>152</v>
      </c>
      <c r="L170" s="994">
        <f ca="1">+DATOSAÑO!CK165</f>
        <v>2.8422000000001635</v>
      </c>
      <c r="M170" s="994">
        <f ca="1">+DATOSAÑO!AK165</f>
        <v>12.899999999994179</v>
      </c>
      <c r="N170" s="994">
        <f ca="1">+DATOSAÑO!AH165</f>
        <v>10.69999999999709</v>
      </c>
      <c r="O170" s="994">
        <f ca="1">DATOSAÑO!AL165</f>
        <v>32.600000000005878</v>
      </c>
      <c r="P170" s="994">
        <f ca="1">+(DATOSAÑO!BH165)+DATOSAÑO!BJ165</f>
        <v>0</v>
      </c>
      <c r="Q170" s="994">
        <f ca="1">+DATOSAÑO!BQ165</f>
        <v>5</v>
      </c>
      <c r="R170" s="1080">
        <f ca="1">DATOSAÑO!BS165+DATOSAÑO!BV165+DATOSAÑO!BY165+DATOSAÑO!CF165+DATOSAÑO!CL165</f>
        <v>22.538299999999971</v>
      </c>
    </row>
    <row r="171" spans="2:18">
      <c r="B171" s="390">
        <v>45082</v>
      </c>
      <c r="C171" s="994">
        <f ca="1">DATOSAÑO!AJ166</f>
        <v>-82690</v>
      </c>
      <c r="D171" s="994">
        <f ca="1">DATOSAÑO!AK166</f>
        <v>-138128.5</v>
      </c>
      <c r="E171" s="994">
        <f ca="1">DATOSAÑO!AD166</f>
        <v>-7966</v>
      </c>
      <c r="F171" s="994">
        <v>0</v>
      </c>
      <c r="G171" s="994">
        <v>0</v>
      </c>
      <c r="H171" s="994">
        <f ca="1">DATOSAÑO!AI166</f>
        <v>-67065.7</v>
      </c>
      <c r="I171" s="994">
        <f ca="1">DATOSAÑO!CJ166</f>
        <v>-14463.334499999981</v>
      </c>
      <c r="J171" s="994">
        <v>0</v>
      </c>
      <c r="K171" s="994">
        <f ca="1">DATOSAÑO!AF166</f>
        <v>-464667</v>
      </c>
      <c r="L171" s="994">
        <f ca="1">+DATOSAÑO!CK166</f>
        <v>-3531.7968000000001</v>
      </c>
      <c r="M171" s="994">
        <f ca="1">+DATOSAÑO!AK166</f>
        <v>-138128.5</v>
      </c>
      <c r="N171" s="994">
        <f ca="1">+DATOSAÑO!AH166</f>
        <v>-59846.5</v>
      </c>
      <c r="O171" s="994">
        <f ca="1">DATOSAÑO!AL166</f>
        <v>237466.79999999993</v>
      </c>
      <c r="P171" s="994">
        <f ca="1">+(DATOSAÑO!BH166)+DATOSAÑO!BJ166</f>
        <v>0</v>
      </c>
      <c r="Q171" s="994">
        <f ca="1">+DATOSAÑO!BQ166</f>
        <v>-65293</v>
      </c>
      <c r="R171" s="1080">
        <f ca="1">DATOSAÑO!BS166+DATOSAÑO!BV166+DATOSAÑO!BY166+DATOSAÑO!CF166+DATOSAÑO!CL166</f>
        <v>-33485.968699999976</v>
      </c>
    </row>
    <row r="172" spans="2:18">
      <c r="B172" s="390">
        <v>45083</v>
      </c>
      <c r="C172" s="994">
        <f ca="1">DATOSAÑO!AJ167</f>
        <v>0</v>
      </c>
      <c r="D172" s="994">
        <f ca="1">DATOSAÑO!AK167</f>
        <v>0</v>
      </c>
      <c r="E172" s="994">
        <f ca="1">DATOSAÑO!AD167</f>
        <v>0</v>
      </c>
      <c r="F172" s="994">
        <v>0</v>
      </c>
      <c r="G172" s="994">
        <v>0</v>
      </c>
      <c r="H172" s="994">
        <f ca="1">DATOSAÑO!AI167</f>
        <v>-46196.1</v>
      </c>
      <c r="I172" s="994">
        <f ca="1">DATOSAÑO!CJ167</f>
        <v>0</v>
      </c>
      <c r="J172" s="994">
        <v>0</v>
      </c>
      <c r="K172" s="994">
        <f ca="1">DATOSAÑO!AF167</f>
        <v>0</v>
      </c>
      <c r="L172" s="994">
        <f ca="1">+DATOSAÑO!CK167</f>
        <v>0</v>
      </c>
      <c r="M172" s="994">
        <f ca="1">+DATOSAÑO!AK167</f>
        <v>0</v>
      </c>
      <c r="N172" s="994">
        <f ca="1">+DATOSAÑO!AH167</f>
        <v>-14963.1</v>
      </c>
      <c r="O172" s="994">
        <f ca="1">DATOSAÑO!AL167</f>
        <v>60091.201999999997</v>
      </c>
      <c r="P172" s="994">
        <f ca="1">+(DATOSAÑO!BH167)+DATOSAÑO!BJ167</f>
        <v>0</v>
      </c>
      <c r="Q172" s="994">
        <f ca="1">+DATOSAÑO!BQ167</f>
        <v>0</v>
      </c>
      <c r="R172" s="1080">
        <f ca="1">DATOSAÑO!BS167+DATOSAÑO!BV167+DATOSAÑO!BY167+DATOSAÑO!CF167+DATOSAÑO!CL167</f>
        <v>0</v>
      </c>
    </row>
    <row r="173" spans="2:18">
      <c r="B173" s="390">
        <v>45084</v>
      </c>
      <c r="C173" s="994">
        <f ca="1">DATOSAÑO!AJ168</f>
        <v>0</v>
      </c>
      <c r="D173" s="994">
        <f ca="1">DATOSAÑO!AK168</f>
        <v>0</v>
      </c>
      <c r="E173" s="994">
        <f ca="1">DATOSAÑO!AD168</f>
        <v>0</v>
      </c>
      <c r="F173" s="994">
        <v>0</v>
      </c>
      <c r="G173" s="994">
        <v>0</v>
      </c>
      <c r="H173" s="994">
        <f ca="1">DATOSAÑO!AI168</f>
        <v>0</v>
      </c>
      <c r="I173" s="994">
        <f ca="1">DATOSAÑO!CJ168</f>
        <v>1560.3340000000001</v>
      </c>
      <c r="J173" s="994">
        <v>0</v>
      </c>
      <c r="K173" s="994">
        <f ca="1">DATOSAÑO!AF168</f>
        <v>0</v>
      </c>
      <c r="L173" s="994">
        <f ca="1">+DATOSAÑO!CK168</f>
        <v>0</v>
      </c>
      <c r="M173" s="994">
        <f ca="1">+DATOSAÑO!AK168</f>
        <v>0</v>
      </c>
      <c r="N173" s="994">
        <f ca="1">+DATOSAÑO!AH168</f>
        <v>0</v>
      </c>
      <c r="O173" s="994">
        <f ca="1">DATOSAÑO!AL168</f>
        <v>-822.90899999999999</v>
      </c>
      <c r="P173" s="994">
        <f ca="1">+(DATOSAÑO!BH168)+DATOSAÑO!BJ168</f>
        <v>0</v>
      </c>
      <c r="Q173" s="994">
        <f ca="1">+DATOSAÑO!BQ168</f>
        <v>0</v>
      </c>
      <c r="R173" s="1080">
        <f ca="1">DATOSAÑO!BS168+DATOSAÑO!BV168+DATOSAÑO!BY168+DATOSAÑO!CF168+DATOSAÑO!CL168</f>
        <v>-1560.3340000000001</v>
      </c>
    </row>
    <row r="174" spans="2:18">
      <c r="B174" s="390">
        <v>45085</v>
      </c>
      <c r="C174" s="994">
        <f ca="1">DATOSAÑO!AJ169</f>
        <v>0</v>
      </c>
      <c r="D174" s="994">
        <f ca="1">DATOSAÑO!AK169</f>
        <v>0</v>
      </c>
      <c r="E174" s="994">
        <f ca="1">DATOSAÑO!AD169</f>
        <v>0</v>
      </c>
      <c r="F174" s="994">
        <v>0</v>
      </c>
      <c r="G174" s="994">
        <v>0</v>
      </c>
      <c r="H174" s="994">
        <f ca="1">DATOSAÑO!AI169</f>
        <v>0</v>
      </c>
      <c r="I174" s="994">
        <f ca="1">DATOSAÑO!CJ169</f>
        <v>0</v>
      </c>
      <c r="J174" s="994">
        <v>0</v>
      </c>
      <c r="K174" s="994">
        <f ca="1">DATOSAÑO!AF169</f>
        <v>0</v>
      </c>
      <c r="L174" s="994">
        <f ca="1">+DATOSAÑO!CK169</f>
        <v>0</v>
      </c>
      <c r="M174" s="994">
        <f ca="1">+DATOSAÑO!AK169</f>
        <v>0</v>
      </c>
      <c r="N174" s="994">
        <f ca="1">+DATOSAÑO!AH169</f>
        <v>0</v>
      </c>
      <c r="O174" s="994">
        <f ca="1">DATOSAÑO!AL169</f>
        <v>0</v>
      </c>
      <c r="P174" s="994">
        <f ca="1">+(DATOSAÑO!BH169)+DATOSAÑO!BJ169</f>
        <v>0</v>
      </c>
      <c r="Q174" s="994">
        <f ca="1">+DATOSAÑO!BQ169</f>
        <v>0</v>
      </c>
      <c r="R174" s="1080">
        <f ca="1">DATOSAÑO!BS169+DATOSAÑO!BV169+DATOSAÑO!BY169+DATOSAÑO!CF169+DATOSAÑO!CL169</f>
        <v>0</v>
      </c>
    </row>
    <row r="175" spans="2:18">
      <c r="B175" s="390">
        <v>45086</v>
      </c>
      <c r="C175" s="994">
        <f ca="1">DATOSAÑO!AJ170</f>
        <v>0</v>
      </c>
      <c r="D175" s="994">
        <f ca="1">DATOSAÑO!AK170</f>
        <v>0</v>
      </c>
      <c r="E175" s="994">
        <f ca="1">DATOSAÑO!AD170</f>
        <v>0</v>
      </c>
      <c r="F175" s="994">
        <v>0</v>
      </c>
      <c r="G175" s="994">
        <v>0</v>
      </c>
      <c r="H175" s="994">
        <f ca="1">DATOSAÑO!AI170</f>
        <v>0</v>
      </c>
      <c r="I175" s="994">
        <f ca="1">DATOSAÑO!CJ170</f>
        <v>0</v>
      </c>
      <c r="J175" s="994">
        <v>0</v>
      </c>
      <c r="K175" s="994">
        <f ca="1">DATOSAÑO!AF170</f>
        <v>0</v>
      </c>
      <c r="L175" s="994">
        <f ca="1">+DATOSAÑO!CK170</f>
        <v>0</v>
      </c>
      <c r="M175" s="994">
        <f ca="1">+DATOSAÑO!AK170</f>
        <v>0</v>
      </c>
      <c r="N175" s="994">
        <f ca="1">+DATOSAÑO!AH170</f>
        <v>0</v>
      </c>
      <c r="O175" s="994">
        <f ca="1">DATOSAÑO!AL170</f>
        <v>0</v>
      </c>
      <c r="P175" s="994">
        <f ca="1">+(DATOSAÑO!BH170)+DATOSAÑO!BJ170</f>
        <v>0</v>
      </c>
      <c r="Q175" s="994">
        <f ca="1">+DATOSAÑO!BQ170</f>
        <v>0</v>
      </c>
      <c r="R175" s="1080">
        <f ca="1">DATOSAÑO!BS170+DATOSAÑO!BV170+DATOSAÑO!BY170+DATOSAÑO!CF170+DATOSAÑO!CL170</f>
        <v>0</v>
      </c>
    </row>
    <row r="176" spans="2:18">
      <c r="B176" s="390">
        <v>45087</v>
      </c>
      <c r="C176" s="994">
        <f ca="1">DATOSAÑO!AJ171</f>
        <v>0</v>
      </c>
      <c r="D176" s="994">
        <f ca="1">DATOSAÑO!AK171</f>
        <v>0</v>
      </c>
      <c r="E176" s="994">
        <f ca="1">DATOSAÑO!AD171</f>
        <v>0</v>
      </c>
      <c r="F176" s="994">
        <v>0</v>
      </c>
      <c r="G176" s="994">
        <v>0</v>
      </c>
      <c r="H176" s="994">
        <f ca="1">DATOSAÑO!AI171</f>
        <v>0</v>
      </c>
      <c r="I176" s="994">
        <f ca="1">DATOSAÑO!CJ171</f>
        <v>0</v>
      </c>
      <c r="J176" s="994">
        <v>0</v>
      </c>
      <c r="K176" s="994">
        <f ca="1">DATOSAÑO!AF171</f>
        <v>0</v>
      </c>
      <c r="L176" s="994">
        <f ca="1">+DATOSAÑO!CK171</f>
        <v>0</v>
      </c>
      <c r="M176" s="994">
        <f ca="1">+DATOSAÑO!AK171</f>
        <v>0</v>
      </c>
      <c r="N176" s="994">
        <f ca="1">+DATOSAÑO!AH171</f>
        <v>0</v>
      </c>
      <c r="O176" s="994">
        <f ca="1">DATOSAÑO!AL171</f>
        <v>0</v>
      </c>
      <c r="P176" s="994">
        <f ca="1">+(DATOSAÑO!BH171)+DATOSAÑO!BJ171</f>
        <v>0</v>
      </c>
      <c r="Q176" s="994">
        <f ca="1">+DATOSAÑO!BQ171</f>
        <v>0</v>
      </c>
      <c r="R176" s="1080">
        <f ca="1">DATOSAÑO!BS171+DATOSAÑO!BV171+DATOSAÑO!BY171+DATOSAÑO!CF171+DATOSAÑO!CL171</f>
        <v>0</v>
      </c>
    </row>
    <row r="177" spans="2:18">
      <c r="B177" s="390">
        <v>45088</v>
      </c>
      <c r="C177" s="994">
        <f ca="1">DATOSAÑO!AJ172</f>
        <v>0</v>
      </c>
      <c r="D177" s="994">
        <f ca="1">DATOSAÑO!AK172</f>
        <v>0</v>
      </c>
      <c r="E177" s="994">
        <f ca="1">DATOSAÑO!AD172</f>
        <v>0</v>
      </c>
      <c r="F177" s="994">
        <v>0</v>
      </c>
      <c r="G177" s="994">
        <v>0</v>
      </c>
      <c r="H177" s="994">
        <f ca="1">DATOSAÑO!AI172</f>
        <v>0</v>
      </c>
      <c r="I177" s="994">
        <f ca="1">DATOSAÑO!CJ172</f>
        <v>0</v>
      </c>
      <c r="J177" s="994">
        <v>0</v>
      </c>
      <c r="K177" s="994">
        <f ca="1">DATOSAÑO!AF172</f>
        <v>0</v>
      </c>
      <c r="L177" s="994">
        <f ca="1">+DATOSAÑO!CK172</f>
        <v>0</v>
      </c>
      <c r="M177" s="994">
        <f ca="1">+DATOSAÑO!AK172</f>
        <v>0</v>
      </c>
      <c r="N177" s="994">
        <f ca="1">+DATOSAÑO!AH172</f>
        <v>0</v>
      </c>
      <c r="O177" s="994">
        <f ca="1">DATOSAÑO!AL172</f>
        <v>0</v>
      </c>
      <c r="P177" s="994">
        <f ca="1">+(DATOSAÑO!BH172)+DATOSAÑO!BJ172</f>
        <v>0</v>
      </c>
      <c r="Q177" s="994">
        <f ca="1">+DATOSAÑO!BQ172</f>
        <v>0</v>
      </c>
      <c r="R177" s="1080">
        <f ca="1">DATOSAÑO!BS172+DATOSAÑO!BV172+DATOSAÑO!BY172+DATOSAÑO!CF172+DATOSAÑO!CL172</f>
        <v>0</v>
      </c>
    </row>
    <row r="178" spans="2:18">
      <c r="B178" s="390">
        <v>45089</v>
      </c>
      <c r="C178" s="994">
        <f ca="1">DATOSAÑO!AJ173</f>
        <v>0</v>
      </c>
      <c r="D178" s="994">
        <f ca="1">DATOSAÑO!AK173</f>
        <v>0</v>
      </c>
      <c r="E178" s="994">
        <f ca="1">DATOSAÑO!AD173</f>
        <v>0</v>
      </c>
      <c r="F178" s="994">
        <v>0</v>
      </c>
      <c r="G178" s="994">
        <v>0</v>
      </c>
      <c r="H178" s="994">
        <f ca="1">DATOSAÑO!AI173</f>
        <v>0</v>
      </c>
      <c r="I178" s="994">
        <f ca="1">DATOSAÑO!CJ173</f>
        <v>0</v>
      </c>
      <c r="J178" s="994">
        <v>0</v>
      </c>
      <c r="K178" s="994">
        <f ca="1">DATOSAÑO!AF173</f>
        <v>0</v>
      </c>
      <c r="L178" s="994">
        <f ca="1">+DATOSAÑO!CK173</f>
        <v>0</v>
      </c>
      <c r="M178" s="994">
        <f ca="1">+DATOSAÑO!AK173</f>
        <v>0</v>
      </c>
      <c r="N178" s="994">
        <f ca="1">+DATOSAÑO!AH173</f>
        <v>0</v>
      </c>
      <c r="O178" s="994">
        <f ca="1">DATOSAÑO!AL173</f>
        <v>0</v>
      </c>
      <c r="P178" s="994">
        <f ca="1">+(DATOSAÑO!BH173)+DATOSAÑO!BJ173</f>
        <v>0</v>
      </c>
      <c r="Q178" s="994">
        <f ca="1">+DATOSAÑO!BQ173</f>
        <v>0</v>
      </c>
      <c r="R178" s="1080">
        <f ca="1">DATOSAÑO!BS173+DATOSAÑO!BV173+DATOSAÑO!BY173+DATOSAÑO!CF173+DATOSAÑO!CL173</f>
        <v>0</v>
      </c>
    </row>
    <row r="179" spans="2:18">
      <c r="B179" s="390">
        <v>45090</v>
      </c>
      <c r="C179" s="994">
        <f ca="1">DATOSAÑO!AJ174</f>
        <v>0</v>
      </c>
      <c r="D179" s="994">
        <f ca="1">DATOSAÑO!AK174</f>
        <v>0</v>
      </c>
      <c r="E179" s="994">
        <f ca="1">DATOSAÑO!AD174</f>
        <v>0</v>
      </c>
      <c r="F179" s="994">
        <v>0</v>
      </c>
      <c r="G179" s="994">
        <v>0</v>
      </c>
      <c r="H179" s="994">
        <f ca="1">DATOSAÑO!AI174</f>
        <v>0</v>
      </c>
      <c r="I179" s="994">
        <f ca="1">DATOSAÑO!CJ174</f>
        <v>0</v>
      </c>
      <c r="J179" s="994">
        <v>0</v>
      </c>
      <c r="K179" s="994">
        <f ca="1">DATOSAÑO!AF174</f>
        <v>0</v>
      </c>
      <c r="L179" s="994">
        <f ca="1">+DATOSAÑO!CK174</f>
        <v>0</v>
      </c>
      <c r="M179" s="994">
        <f ca="1">+DATOSAÑO!AK174</f>
        <v>0</v>
      </c>
      <c r="N179" s="994">
        <f ca="1">+DATOSAÑO!AH174</f>
        <v>0</v>
      </c>
      <c r="O179" s="994">
        <f ca="1">DATOSAÑO!AL174</f>
        <v>0</v>
      </c>
      <c r="P179" s="994">
        <f ca="1">+(DATOSAÑO!BH174)+DATOSAÑO!BJ174</f>
        <v>0</v>
      </c>
      <c r="Q179" s="994">
        <f ca="1">+DATOSAÑO!BQ174</f>
        <v>0</v>
      </c>
      <c r="R179" s="1080">
        <f ca="1">DATOSAÑO!BS174+DATOSAÑO!BV174+DATOSAÑO!BY174+DATOSAÑO!CF174+DATOSAÑO!CL174</f>
        <v>0</v>
      </c>
    </row>
    <row r="180" spans="2:18">
      <c r="B180" s="390">
        <v>45091</v>
      </c>
      <c r="C180" s="994">
        <f ca="1">DATOSAÑO!AJ175</f>
        <v>0</v>
      </c>
      <c r="D180" s="994">
        <f ca="1">DATOSAÑO!AK175</f>
        <v>0</v>
      </c>
      <c r="E180" s="994">
        <f ca="1">DATOSAÑO!AD175</f>
        <v>0</v>
      </c>
      <c r="F180" s="994">
        <v>0</v>
      </c>
      <c r="G180" s="994">
        <v>0</v>
      </c>
      <c r="H180" s="994">
        <f ca="1">DATOSAÑO!AI175</f>
        <v>0</v>
      </c>
      <c r="I180" s="994">
        <f ca="1">DATOSAÑO!CJ175</f>
        <v>0</v>
      </c>
      <c r="J180" s="994">
        <v>0</v>
      </c>
      <c r="K180" s="994">
        <f ca="1">DATOSAÑO!AF175</f>
        <v>0</v>
      </c>
      <c r="L180" s="994">
        <f ca="1">+DATOSAÑO!CK175</f>
        <v>0</v>
      </c>
      <c r="M180" s="994">
        <f ca="1">+DATOSAÑO!AK175</f>
        <v>0</v>
      </c>
      <c r="N180" s="994">
        <f ca="1">+DATOSAÑO!AH175</f>
        <v>0</v>
      </c>
      <c r="O180" s="994">
        <f ca="1">DATOSAÑO!AL175</f>
        <v>0</v>
      </c>
      <c r="P180" s="994">
        <f ca="1">+(DATOSAÑO!BH175)+DATOSAÑO!BJ175</f>
        <v>0</v>
      </c>
      <c r="Q180" s="994">
        <f ca="1">+DATOSAÑO!BQ175</f>
        <v>0</v>
      </c>
      <c r="R180" s="1080">
        <f ca="1">DATOSAÑO!BS175+DATOSAÑO!BV175+DATOSAÑO!BY175+DATOSAÑO!CF175+DATOSAÑO!CL175</f>
        <v>0</v>
      </c>
    </row>
    <row r="181" spans="2:18">
      <c r="B181" s="390">
        <v>45092</v>
      </c>
      <c r="C181" s="994">
        <f ca="1">DATOSAÑO!AJ176</f>
        <v>0</v>
      </c>
      <c r="D181" s="994">
        <f ca="1">DATOSAÑO!AK176</f>
        <v>0</v>
      </c>
      <c r="E181" s="994">
        <f ca="1">DATOSAÑO!AD176</f>
        <v>0</v>
      </c>
      <c r="F181" s="994">
        <v>0</v>
      </c>
      <c r="G181" s="994">
        <v>0</v>
      </c>
      <c r="H181" s="994">
        <f ca="1">DATOSAÑO!AI176</f>
        <v>0</v>
      </c>
      <c r="I181" s="994">
        <f ca="1">DATOSAÑO!CJ176</f>
        <v>0</v>
      </c>
      <c r="J181" s="994">
        <v>0</v>
      </c>
      <c r="K181" s="994">
        <f ca="1">DATOSAÑO!AF176</f>
        <v>0</v>
      </c>
      <c r="L181" s="994">
        <f ca="1">+DATOSAÑO!CK176</f>
        <v>0</v>
      </c>
      <c r="M181" s="994">
        <f ca="1">+DATOSAÑO!AK176</f>
        <v>0</v>
      </c>
      <c r="N181" s="994">
        <f ca="1">+DATOSAÑO!AH176</f>
        <v>0</v>
      </c>
      <c r="O181" s="994">
        <f ca="1">DATOSAÑO!AL176</f>
        <v>0</v>
      </c>
      <c r="P181" s="994">
        <f ca="1">+(DATOSAÑO!BH176)+DATOSAÑO!BJ176</f>
        <v>0</v>
      </c>
      <c r="Q181" s="994">
        <f ca="1">+DATOSAÑO!BQ176</f>
        <v>0</v>
      </c>
      <c r="R181" s="1080">
        <f ca="1">DATOSAÑO!BS176+DATOSAÑO!BV176+DATOSAÑO!BY176+DATOSAÑO!CF176+DATOSAÑO!CL176</f>
        <v>0</v>
      </c>
    </row>
    <row r="182" spans="2:18">
      <c r="B182" s="390">
        <v>45093</v>
      </c>
      <c r="C182" s="994">
        <f ca="1">DATOSAÑO!AJ177</f>
        <v>0</v>
      </c>
      <c r="D182" s="994">
        <f ca="1">DATOSAÑO!AK177</f>
        <v>0</v>
      </c>
      <c r="E182" s="994">
        <f ca="1">DATOSAÑO!AD177</f>
        <v>0</v>
      </c>
      <c r="F182" s="994">
        <v>0</v>
      </c>
      <c r="G182" s="994">
        <v>0</v>
      </c>
      <c r="H182" s="994">
        <f ca="1">DATOSAÑO!AI177</f>
        <v>0</v>
      </c>
      <c r="I182" s="994">
        <f ca="1">DATOSAÑO!CJ177</f>
        <v>0</v>
      </c>
      <c r="J182" s="994">
        <v>0</v>
      </c>
      <c r="K182" s="994">
        <f ca="1">DATOSAÑO!AF177</f>
        <v>0</v>
      </c>
      <c r="L182" s="994">
        <f ca="1">+DATOSAÑO!CK177</f>
        <v>0</v>
      </c>
      <c r="M182" s="994">
        <f ca="1">+DATOSAÑO!AK177</f>
        <v>0</v>
      </c>
      <c r="N182" s="994">
        <f ca="1">+DATOSAÑO!AH177</f>
        <v>0</v>
      </c>
      <c r="O182" s="994">
        <f ca="1">DATOSAÑO!AL177</f>
        <v>0</v>
      </c>
      <c r="P182" s="994">
        <f ca="1">+(DATOSAÑO!BH177)+DATOSAÑO!BJ177</f>
        <v>0</v>
      </c>
      <c r="Q182" s="994">
        <f ca="1">+DATOSAÑO!BQ177</f>
        <v>0</v>
      </c>
      <c r="R182" s="1080">
        <f ca="1">DATOSAÑO!BS177+DATOSAÑO!BV177+DATOSAÑO!BY177+DATOSAÑO!CF177+DATOSAÑO!CL177</f>
        <v>0</v>
      </c>
    </row>
    <row r="183" spans="2:18">
      <c r="B183" s="390">
        <v>45094</v>
      </c>
      <c r="C183" s="994">
        <f ca="1">DATOSAÑO!AJ178</f>
        <v>0</v>
      </c>
      <c r="D183" s="994">
        <f ca="1">DATOSAÑO!AK178</f>
        <v>0</v>
      </c>
      <c r="E183" s="994">
        <f ca="1">DATOSAÑO!AD178</f>
        <v>0</v>
      </c>
      <c r="F183" s="994">
        <v>0</v>
      </c>
      <c r="G183" s="994">
        <v>0</v>
      </c>
      <c r="H183" s="994">
        <f ca="1">DATOSAÑO!AI178</f>
        <v>0</v>
      </c>
      <c r="I183" s="994">
        <f ca="1">DATOSAÑO!CJ178</f>
        <v>0</v>
      </c>
      <c r="J183" s="994">
        <v>0</v>
      </c>
      <c r="K183" s="994">
        <f ca="1">DATOSAÑO!AF178</f>
        <v>0</v>
      </c>
      <c r="L183" s="994">
        <f ca="1">+DATOSAÑO!CK178</f>
        <v>0</v>
      </c>
      <c r="M183" s="994">
        <f ca="1">+DATOSAÑO!AK178</f>
        <v>0</v>
      </c>
      <c r="N183" s="994">
        <f ca="1">+DATOSAÑO!AH178</f>
        <v>0</v>
      </c>
      <c r="O183" s="994">
        <f ca="1">DATOSAÑO!AL178</f>
        <v>0</v>
      </c>
      <c r="P183" s="994">
        <f ca="1">+(DATOSAÑO!BH178)+DATOSAÑO!BJ178</f>
        <v>0</v>
      </c>
      <c r="Q183" s="994">
        <f ca="1">+DATOSAÑO!BQ178</f>
        <v>0</v>
      </c>
      <c r="R183" s="1080">
        <f ca="1">DATOSAÑO!BS178+DATOSAÑO!BV178+DATOSAÑO!BY178+DATOSAÑO!CF178+DATOSAÑO!CL178</f>
        <v>0</v>
      </c>
    </row>
    <row r="184" spans="2:18">
      <c r="B184" s="390">
        <v>45095</v>
      </c>
      <c r="C184" s="994">
        <f ca="1">DATOSAÑO!AJ179</f>
        <v>0</v>
      </c>
      <c r="D184" s="994">
        <f ca="1">DATOSAÑO!AK179</f>
        <v>0</v>
      </c>
      <c r="E184" s="994">
        <f ca="1">DATOSAÑO!AD179</f>
        <v>0</v>
      </c>
      <c r="F184" s="994">
        <v>0</v>
      </c>
      <c r="G184" s="994">
        <v>0</v>
      </c>
      <c r="H184" s="994">
        <f ca="1">DATOSAÑO!AI179</f>
        <v>0</v>
      </c>
      <c r="I184" s="994">
        <f ca="1">DATOSAÑO!CJ179</f>
        <v>0</v>
      </c>
      <c r="J184" s="994">
        <v>0</v>
      </c>
      <c r="K184" s="994">
        <f ca="1">DATOSAÑO!AF179</f>
        <v>0</v>
      </c>
      <c r="L184" s="994">
        <f ca="1">+DATOSAÑO!CK179</f>
        <v>0</v>
      </c>
      <c r="M184" s="994">
        <f ca="1">+DATOSAÑO!AK179</f>
        <v>0</v>
      </c>
      <c r="N184" s="994">
        <f ca="1">+DATOSAÑO!AH179</f>
        <v>0</v>
      </c>
      <c r="O184" s="994">
        <f ca="1">DATOSAÑO!AL179</f>
        <v>0</v>
      </c>
      <c r="P184" s="994">
        <f ca="1">+(DATOSAÑO!BH179)+DATOSAÑO!BJ179</f>
        <v>0</v>
      </c>
      <c r="Q184" s="994">
        <f ca="1">+DATOSAÑO!BQ179</f>
        <v>0</v>
      </c>
      <c r="R184" s="1080">
        <f ca="1">DATOSAÑO!BS179+DATOSAÑO!BV179+DATOSAÑO!BY179+DATOSAÑO!CF179+DATOSAÑO!CL179</f>
        <v>0</v>
      </c>
    </row>
    <row r="185" spans="2:18">
      <c r="B185" s="390">
        <v>45096</v>
      </c>
      <c r="C185" s="994">
        <f ca="1">DATOSAÑO!AJ180</f>
        <v>0</v>
      </c>
      <c r="D185" s="994">
        <f ca="1">DATOSAÑO!AK180</f>
        <v>0</v>
      </c>
      <c r="E185" s="994">
        <f ca="1">DATOSAÑO!AD180</f>
        <v>0</v>
      </c>
      <c r="F185" s="994">
        <v>0</v>
      </c>
      <c r="G185" s="994">
        <v>0</v>
      </c>
      <c r="H185" s="994">
        <f ca="1">DATOSAÑO!AI180</f>
        <v>0</v>
      </c>
      <c r="I185" s="994">
        <f ca="1">DATOSAÑO!CJ180</f>
        <v>0</v>
      </c>
      <c r="J185" s="994">
        <v>0</v>
      </c>
      <c r="K185" s="994">
        <f ca="1">DATOSAÑO!AF180</f>
        <v>0</v>
      </c>
      <c r="L185" s="994">
        <f ca="1">+DATOSAÑO!CK180</f>
        <v>0</v>
      </c>
      <c r="M185" s="994">
        <f ca="1">+DATOSAÑO!AK180</f>
        <v>0</v>
      </c>
      <c r="N185" s="994">
        <f ca="1">+DATOSAÑO!AH180</f>
        <v>0</v>
      </c>
      <c r="O185" s="994">
        <f ca="1">DATOSAÑO!AL180</f>
        <v>0</v>
      </c>
      <c r="P185" s="994">
        <f ca="1">+(DATOSAÑO!BH180)+DATOSAÑO!BJ180</f>
        <v>0</v>
      </c>
      <c r="Q185" s="994">
        <f ca="1">+DATOSAÑO!BQ180</f>
        <v>0</v>
      </c>
      <c r="R185" s="1080">
        <f ca="1">DATOSAÑO!BS180+DATOSAÑO!BV180+DATOSAÑO!BY180+DATOSAÑO!CF180+DATOSAÑO!CL180</f>
        <v>0</v>
      </c>
    </row>
    <row r="186" spans="2:18">
      <c r="B186" s="390">
        <v>45097</v>
      </c>
      <c r="C186" s="994">
        <f ca="1">DATOSAÑO!AJ181</f>
        <v>0</v>
      </c>
      <c r="D186" s="994">
        <f ca="1">DATOSAÑO!AK181</f>
        <v>0</v>
      </c>
      <c r="E186" s="994">
        <f ca="1">DATOSAÑO!AD181</f>
        <v>0</v>
      </c>
      <c r="F186" s="994">
        <v>0</v>
      </c>
      <c r="G186" s="994">
        <v>0</v>
      </c>
      <c r="H186" s="994">
        <f ca="1">DATOSAÑO!AI181</f>
        <v>0</v>
      </c>
      <c r="I186" s="994">
        <f ca="1">DATOSAÑO!CJ181</f>
        <v>0</v>
      </c>
      <c r="J186" s="994">
        <v>0</v>
      </c>
      <c r="K186" s="994">
        <f ca="1">DATOSAÑO!AF181</f>
        <v>0</v>
      </c>
      <c r="L186" s="994">
        <f ca="1">+DATOSAÑO!CK181</f>
        <v>0</v>
      </c>
      <c r="M186" s="994">
        <f ca="1">+DATOSAÑO!AK181</f>
        <v>0</v>
      </c>
      <c r="N186" s="994">
        <f ca="1">+DATOSAÑO!AH181</f>
        <v>0</v>
      </c>
      <c r="O186" s="994">
        <f ca="1">DATOSAÑO!AL181</f>
        <v>0</v>
      </c>
      <c r="P186" s="994">
        <f ca="1">+(DATOSAÑO!BH181)+DATOSAÑO!BJ181</f>
        <v>0</v>
      </c>
      <c r="Q186" s="994">
        <f ca="1">+DATOSAÑO!BQ181</f>
        <v>0</v>
      </c>
      <c r="R186" s="1080">
        <f ca="1">DATOSAÑO!BS181+DATOSAÑO!BV181+DATOSAÑO!BY181+DATOSAÑO!CF181+DATOSAÑO!CL181</f>
        <v>0</v>
      </c>
    </row>
    <row r="187" spans="2:18">
      <c r="B187" s="390">
        <v>45098</v>
      </c>
      <c r="C187" s="994">
        <f ca="1">DATOSAÑO!AJ182</f>
        <v>0</v>
      </c>
      <c r="D187" s="994">
        <f ca="1">DATOSAÑO!AK182</f>
        <v>0</v>
      </c>
      <c r="E187" s="994">
        <f ca="1">DATOSAÑO!AD182</f>
        <v>0</v>
      </c>
      <c r="F187" s="994">
        <v>0</v>
      </c>
      <c r="G187" s="994">
        <v>0</v>
      </c>
      <c r="H187" s="994">
        <f ca="1">DATOSAÑO!AI182</f>
        <v>0</v>
      </c>
      <c r="I187" s="994">
        <f ca="1">DATOSAÑO!CJ182</f>
        <v>0</v>
      </c>
      <c r="J187" s="994">
        <v>0</v>
      </c>
      <c r="K187" s="994">
        <f ca="1">DATOSAÑO!AF182</f>
        <v>0</v>
      </c>
      <c r="L187" s="994">
        <f ca="1">+DATOSAÑO!CK182</f>
        <v>0</v>
      </c>
      <c r="M187" s="994">
        <f ca="1">+DATOSAÑO!AK182</f>
        <v>0</v>
      </c>
      <c r="N187" s="994">
        <f ca="1">+DATOSAÑO!AH182</f>
        <v>0</v>
      </c>
      <c r="O187" s="994">
        <f ca="1">DATOSAÑO!AL182</f>
        <v>0</v>
      </c>
      <c r="P187" s="994">
        <f ca="1">+(DATOSAÑO!BH182)+DATOSAÑO!BJ182</f>
        <v>0</v>
      </c>
      <c r="Q187" s="994">
        <f ca="1">+DATOSAÑO!BQ182</f>
        <v>0</v>
      </c>
      <c r="R187" s="1080">
        <f ca="1">DATOSAÑO!BS182+DATOSAÑO!BV182+DATOSAÑO!BY182+DATOSAÑO!CF182+DATOSAÑO!CL182</f>
        <v>0</v>
      </c>
    </row>
    <row r="188" spans="2:18">
      <c r="B188" s="390">
        <v>45099</v>
      </c>
      <c r="C188" s="994">
        <f ca="1">DATOSAÑO!AJ183</f>
        <v>0</v>
      </c>
      <c r="D188" s="994">
        <f ca="1">DATOSAÑO!AK183</f>
        <v>0</v>
      </c>
      <c r="E188" s="994">
        <f ca="1">DATOSAÑO!AD183</f>
        <v>0</v>
      </c>
      <c r="F188" s="994">
        <v>0</v>
      </c>
      <c r="G188" s="994">
        <v>0</v>
      </c>
      <c r="H188" s="994">
        <f ca="1">DATOSAÑO!AI183</f>
        <v>0</v>
      </c>
      <c r="I188" s="994">
        <f ca="1">DATOSAÑO!CJ183</f>
        <v>0</v>
      </c>
      <c r="J188" s="994">
        <v>0</v>
      </c>
      <c r="K188" s="994">
        <f ca="1">DATOSAÑO!AF183</f>
        <v>0</v>
      </c>
      <c r="L188" s="994">
        <f ca="1">+DATOSAÑO!CK183</f>
        <v>0</v>
      </c>
      <c r="M188" s="994">
        <f ca="1">+DATOSAÑO!AK183</f>
        <v>0</v>
      </c>
      <c r="N188" s="994">
        <f ca="1">+DATOSAÑO!AH183</f>
        <v>0</v>
      </c>
      <c r="O188" s="994">
        <f ca="1">DATOSAÑO!AL183</f>
        <v>0</v>
      </c>
      <c r="P188" s="994">
        <f ca="1">+(DATOSAÑO!BH183)+DATOSAÑO!BJ183</f>
        <v>0</v>
      </c>
      <c r="Q188" s="994">
        <f ca="1">+DATOSAÑO!BQ183</f>
        <v>0</v>
      </c>
      <c r="R188" s="1080">
        <f ca="1">DATOSAÑO!BS183+DATOSAÑO!BV183+DATOSAÑO!BY183+DATOSAÑO!CF183+DATOSAÑO!CL183</f>
        <v>0</v>
      </c>
    </row>
    <row r="189" spans="2:18">
      <c r="B189" s="390">
        <v>45100</v>
      </c>
      <c r="C189" s="994">
        <f ca="1">DATOSAÑO!AJ184</f>
        <v>0</v>
      </c>
      <c r="D189" s="994">
        <f ca="1">DATOSAÑO!AK184</f>
        <v>0</v>
      </c>
      <c r="E189" s="994">
        <f ca="1">DATOSAÑO!AD184</f>
        <v>0</v>
      </c>
      <c r="F189" s="994">
        <v>0</v>
      </c>
      <c r="G189" s="994">
        <v>0</v>
      </c>
      <c r="H189" s="994">
        <f ca="1">DATOSAÑO!AI184</f>
        <v>0</v>
      </c>
      <c r="I189" s="994">
        <f ca="1">DATOSAÑO!CJ184</f>
        <v>0</v>
      </c>
      <c r="J189" s="994">
        <v>0</v>
      </c>
      <c r="K189" s="994">
        <f ca="1">DATOSAÑO!AF184</f>
        <v>0</v>
      </c>
      <c r="L189" s="994">
        <f ca="1">+DATOSAÑO!CK184</f>
        <v>0</v>
      </c>
      <c r="M189" s="994">
        <f ca="1">+DATOSAÑO!AK184</f>
        <v>0</v>
      </c>
      <c r="N189" s="994">
        <f ca="1">+DATOSAÑO!AH184</f>
        <v>0</v>
      </c>
      <c r="O189" s="994">
        <f ca="1">DATOSAÑO!AL184</f>
        <v>0</v>
      </c>
      <c r="P189" s="994">
        <f ca="1">+(DATOSAÑO!BH184)+DATOSAÑO!BJ184</f>
        <v>0</v>
      </c>
      <c r="Q189" s="994">
        <f ca="1">+DATOSAÑO!BQ184</f>
        <v>0</v>
      </c>
      <c r="R189" s="1080">
        <f ca="1">DATOSAÑO!BS184+DATOSAÑO!BV184+DATOSAÑO!BY184+DATOSAÑO!CF184+DATOSAÑO!CL184</f>
        <v>0</v>
      </c>
    </row>
    <row r="190" spans="2:18">
      <c r="B190" s="390">
        <v>45101</v>
      </c>
      <c r="C190" s="994">
        <f ca="1">DATOSAÑO!AJ185</f>
        <v>0</v>
      </c>
      <c r="D190" s="994">
        <f ca="1">DATOSAÑO!AK185</f>
        <v>0</v>
      </c>
      <c r="E190" s="994">
        <f ca="1">DATOSAÑO!AD185</f>
        <v>0</v>
      </c>
      <c r="F190" s="994">
        <v>0</v>
      </c>
      <c r="G190" s="994">
        <v>0</v>
      </c>
      <c r="H190" s="994">
        <f ca="1">DATOSAÑO!AI185</f>
        <v>0</v>
      </c>
      <c r="I190" s="994">
        <f ca="1">DATOSAÑO!CJ185</f>
        <v>0</v>
      </c>
      <c r="J190" s="994">
        <v>0</v>
      </c>
      <c r="K190" s="994">
        <f ca="1">DATOSAÑO!AF185</f>
        <v>0</v>
      </c>
      <c r="L190" s="994">
        <f ca="1">+DATOSAÑO!CK185</f>
        <v>0</v>
      </c>
      <c r="M190" s="994">
        <f ca="1">+DATOSAÑO!AK185</f>
        <v>0</v>
      </c>
      <c r="N190" s="994">
        <f ca="1">+DATOSAÑO!AH185</f>
        <v>0</v>
      </c>
      <c r="O190" s="994">
        <f ca="1">DATOSAÑO!AL185</f>
        <v>0</v>
      </c>
      <c r="P190" s="994">
        <f ca="1">+(DATOSAÑO!BH185)+DATOSAÑO!BJ185</f>
        <v>0</v>
      </c>
      <c r="Q190" s="994">
        <f ca="1">+DATOSAÑO!BQ185</f>
        <v>0</v>
      </c>
      <c r="R190" s="1080">
        <f ca="1">DATOSAÑO!BS185+DATOSAÑO!BV185+DATOSAÑO!BY185+DATOSAÑO!CF185+DATOSAÑO!CL185</f>
        <v>0</v>
      </c>
    </row>
    <row r="191" spans="2:18">
      <c r="B191" s="390">
        <v>45102</v>
      </c>
      <c r="C191" s="994">
        <f ca="1">DATOSAÑO!AJ186</f>
        <v>0</v>
      </c>
      <c r="D191" s="994">
        <f ca="1">DATOSAÑO!AK186</f>
        <v>0</v>
      </c>
      <c r="E191" s="994">
        <f ca="1">DATOSAÑO!AD186</f>
        <v>0</v>
      </c>
      <c r="F191" s="994">
        <v>0</v>
      </c>
      <c r="G191" s="994">
        <v>0</v>
      </c>
      <c r="H191" s="994">
        <f ca="1">DATOSAÑO!AI186</f>
        <v>0</v>
      </c>
      <c r="I191" s="994">
        <f ca="1">DATOSAÑO!CJ186</f>
        <v>0</v>
      </c>
      <c r="J191" s="994">
        <v>0</v>
      </c>
      <c r="K191" s="994">
        <f ca="1">DATOSAÑO!AF186</f>
        <v>0</v>
      </c>
      <c r="L191" s="994">
        <f ca="1">+DATOSAÑO!CK186</f>
        <v>0</v>
      </c>
      <c r="M191" s="994">
        <f ca="1">+DATOSAÑO!AK186</f>
        <v>0</v>
      </c>
      <c r="N191" s="994">
        <f ca="1">+DATOSAÑO!AH186</f>
        <v>0</v>
      </c>
      <c r="O191" s="994">
        <f ca="1">DATOSAÑO!AL186</f>
        <v>0</v>
      </c>
      <c r="P191" s="994">
        <f ca="1">+(DATOSAÑO!BH186)+DATOSAÑO!BJ186</f>
        <v>0</v>
      </c>
      <c r="Q191" s="994">
        <f ca="1">+DATOSAÑO!BQ186</f>
        <v>0</v>
      </c>
      <c r="R191" s="1080">
        <f ca="1">DATOSAÑO!BS186+DATOSAÑO!BV186+DATOSAÑO!BY186+DATOSAÑO!CF186+DATOSAÑO!CL186</f>
        <v>0</v>
      </c>
    </row>
    <row r="192" spans="2:18">
      <c r="B192" s="390">
        <v>45103</v>
      </c>
      <c r="C192" s="994">
        <f ca="1">DATOSAÑO!AJ187</f>
        <v>0</v>
      </c>
      <c r="D192" s="994">
        <f ca="1">DATOSAÑO!AK187</f>
        <v>0</v>
      </c>
      <c r="E192" s="994">
        <f ca="1">DATOSAÑO!AD187</f>
        <v>0</v>
      </c>
      <c r="F192" s="994">
        <v>0</v>
      </c>
      <c r="G192" s="994">
        <v>0</v>
      </c>
      <c r="H192" s="994">
        <f ca="1">DATOSAÑO!AI187</f>
        <v>0</v>
      </c>
      <c r="I192" s="994">
        <f ca="1">DATOSAÑO!CJ187</f>
        <v>0</v>
      </c>
      <c r="J192" s="994">
        <v>0</v>
      </c>
      <c r="K192" s="994">
        <f ca="1">DATOSAÑO!AF187</f>
        <v>0</v>
      </c>
      <c r="L192" s="994">
        <f ca="1">+DATOSAÑO!CK187</f>
        <v>0</v>
      </c>
      <c r="M192" s="994">
        <f ca="1">+DATOSAÑO!AK187</f>
        <v>0</v>
      </c>
      <c r="N192" s="994">
        <f ca="1">+DATOSAÑO!AH187</f>
        <v>0</v>
      </c>
      <c r="O192" s="994">
        <f ca="1">DATOSAÑO!AL187</f>
        <v>0</v>
      </c>
      <c r="P192" s="994">
        <f ca="1">+(DATOSAÑO!BH187)+DATOSAÑO!BJ187</f>
        <v>0</v>
      </c>
      <c r="Q192" s="994">
        <f ca="1">+DATOSAÑO!BQ187</f>
        <v>0</v>
      </c>
      <c r="R192" s="1080">
        <f ca="1">DATOSAÑO!BS187+DATOSAÑO!BV187+DATOSAÑO!BY187+DATOSAÑO!CF187+DATOSAÑO!CL187</f>
        <v>0</v>
      </c>
    </row>
    <row r="193" spans="2:18">
      <c r="B193" s="390">
        <v>45104</v>
      </c>
      <c r="C193" s="994">
        <f ca="1">DATOSAÑO!AJ188</f>
        <v>0</v>
      </c>
      <c r="D193" s="994">
        <f ca="1">DATOSAÑO!AK188</f>
        <v>0</v>
      </c>
      <c r="E193" s="994">
        <f ca="1">DATOSAÑO!AD188</f>
        <v>0</v>
      </c>
      <c r="F193" s="994">
        <v>0</v>
      </c>
      <c r="G193" s="994">
        <v>0</v>
      </c>
      <c r="H193" s="994">
        <f ca="1">DATOSAÑO!AI188</f>
        <v>0</v>
      </c>
      <c r="I193" s="994">
        <f ca="1">DATOSAÑO!CJ188</f>
        <v>0</v>
      </c>
      <c r="J193" s="994">
        <v>0</v>
      </c>
      <c r="K193" s="994">
        <f ca="1">DATOSAÑO!AF188</f>
        <v>0</v>
      </c>
      <c r="L193" s="994">
        <f ca="1">+DATOSAÑO!CK188</f>
        <v>0</v>
      </c>
      <c r="M193" s="994">
        <f ca="1">+DATOSAÑO!AK188</f>
        <v>0</v>
      </c>
      <c r="N193" s="994">
        <f ca="1">+DATOSAÑO!AH188</f>
        <v>0</v>
      </c>
      <c r="O193" s="994">
        <f ca="1">DATOSAÑO!AL188</f>
        <v>0</v>
      </c>
      <c r="P193" s="994">
        <f ca="1">+(DATOSAÑO!BH188)+DATOSAÑO!BJ188</f>
        <v>0</v>
      </c>
      <c r="Q193" s="994">
        <f ca="1">+DATOSAÑO!BQ188</f>
        <v>0</v>
      </c>
      <c r="R193" s="1080">
        <f ca="1">DATOSAÑO!BS188+DATOSAÑO!BV188+DATOSAÑO!BY188+DATOSAÑO!CF188+DATOSAÑO!CL188</f>
        <v>0</v>
      </c>
    </row>
    <row r="194" spans="2:18">
      <c r="B194" s="390">
        <v>45105</v>
      </c>
      <c r="C194" s="994">
        <f ca="1">DATOSAÑO!AJ189</f>
        <v>0</v>
      </c>
      <c r="D194" s="994">
        <f ca="1">DATOSAÑO!AK189</f>
        <v>0</v>
      </c>
      <c r="E194" s="994">
        <f ca="1">DATOSAÑO!AD189</f>
        <v>0</v>
      </c>
      <c r="F194" s="994">
        <v>0</v>
      </c>
      <c r="G194" s="994">
        <v>0</v>
      </c>
      <c r="H194" s="994">
        <f ca="1">DATOSAÑO!AI189</f>
        <v>0</v>
      </c>
      <c r="I194" s="994">
        <f ca="1">DATOSAÑO!CJ189</f>
        <v>0</v>
      </c>
      <c r="J194" s="994">
        <v>0</v>
      </c>
      <c r="K194" s="994">
        <f ca="1">DATOSAÑO!AF189</f>
        <v>0</v>
      </c>
      <c r="L194" s="994">
        <f ca="1">+DATOSAÑO!CK189</f>
        <v>0</v>
      </c>
      <c r="M194" s="994">
        <f ca="1">+DATOSAÑO!AK189</f>
        <v>0</v>
      </c>
      <c r="N194" s="994">
        <f ca="1">+DATOSAÑO!AH189</f>
        <v>0</v>
      </c>
      <c r="O194" s="994">
        <f ca="1">DATOSAÑO!AL189</f>
        <v>0</v>
      </c>
      <c r="P194" s="994">
        <f ca="1">+(DATOSAÑO!BH189)+DATOSAÑO!BJ189</f>
        <v>0</v>
      </c>
      <c r="Q194" s="994">
        <f ca="1">+DATOSAÑO!BQ189</f>
        <v>0</v>
      </c>
      <c r="R194" s="1080">
        <f ca="1">DATOSAÑO!BS189+DATOSAÑO!BV189+DATOSAÑO!BY189+DATOSAÑO!CF189+DATOSAÑO!CL189</f>
        <v>0</v>
      </c>
    </row>
    <row r="195" spans="2:18">
      <c r="B195" s="390">
        <v>45106</v>
      </c>
      <c r="C195" s="994">
        <f ca="1">DATOSAÑO!AJ190</f>
        <v>0</v>
      </c>
      <c r="D195" s="994">
        <f ca="1">DATOSAÑO!AK190</f>
        <v>0</v>
      </c>
      <c r="E195" s="994">
        <f ca="1">DATOSAÑO!AD190</f>
        <v>0</v>
      </c>
      <c r="F195" s="994">
        <v>0</v>
      </c>
      <c r="G195" s="994">
        <v>0</v>
      </c>
      <c r="H195" s="994">
        <f ca="1">DATOSAÑO!AI190</f>
        <v>0</v>
      </c>
      <c r="I195" s="994">
        <f ca="1">DATOSAÑO!CJ190</f>
        <v>0</v>
      </c>
      <c r="J195" s="994">
        <v>0</v>
      </c>
      <c r="K195" s="994">
        <f ca="1">DATOSAÑO!AF190</f>
        <v>0</v>
      </c>
      <c r="L195" s="994">
        <f ca="1">+DATOSAÑO!CK190</f>
        <v>0</v>
      </c>
      <c r="M195" s="994">
        <f ca="1">+DATOSAÑO!AK190</f>
        <v>0</v>
      </c>
      <c r="N195" s="994">
        <f ca="1">+DATOSAÑO!AH190</f>
        <v>0</v>
      </c>
      <c r="O195" s="994">
        <f ca="1">DATOSAÑO!AL190</f>
        <v>0</v>
      </c>
      <c r="P195" s="994">
        <f ca="1">+(DATOSAÑO!BH190)+DATOSAÑO!BJ190</f>
        <v>0</v>
      </c>
      <c r="Q195" s="994">
        <f ca="1">+DATOSAÑO!BQ190</f>
        <v>0</v>
      </c>
      <c r="R195" s="1080">
        <f ca="1">DATOSAÑO!BS190+DATOSAÑO!BV190+DATOSAÑO!BY190+DATOSAÑO!CF190+DATOSAÑO!CL190</f>
        <v>0</v>
      </c>
    </row>
    <row r="196" spans="2:18" ht="15" thickBot="1">
      <c r="B196" s="390">
        <v>45107</v>
      </c>
      <c r="C196" s="994">
        <f ca="1">DATOSAÑO!AJ191</f>
        <v>0</v>
      </c>
      <c r="D196" s="994">
        <f ca="1">DATOSAÑO!AK191</f>
        <v>0</v>
      </c>
      <c r="E196" s="994">
        <f ca="1">DATOSAÑO!AD191</f>
        <v>0</v>
      </c>
      <c r="F196" s="994">
        <v>0</v>
      </c>
      <c r="G196" s="994">
        <v>0</v>
      </c>
      <c r="H196" s="994">
        <f ca="1">DATOSAÑO!AI191</f>
        <v>0</v>
      </c>
      <c r="I196" s="994">
        <f ca="1">DATOSAÑO!CJ191</f>
        <v>0</v>
      </c>
      <c r="J196" s="994">
        <v>0</v>
      </c>
      <c r="K196" s="994">
        <f ca="1">DATOSAÑO!AF191</f>
        <v>0</v>
      </c>
      <c r="L196" s="994">
        <f ca="1">+DATOSAÑO!CK191</f>
        <v>0</v>
      </c>
      <c r="M196" s="994">
        <f ca="1">+DATOSAÑO!AK191</f>
        <v>0</v>
      </c>
      <c r="N196" s="994">
        <f ca="1">+DATOSAÑO!AH191</f>
        <v>0</v>
      </c>
      <c r="O196" s="994">
        <f ca="1">DATOSAÑO!AL191</f>
        <v>0</v>
      </c>
      <c r="P196" s="994">
        <f ca="1">+(DATOSAÑO!BH191)+DATOSAÑO!BJ191</f>
        <v>0</v>
      </c>
      <c r="Q196" s="994">
        <f ca="1">+DATOSAÑO!BQ191</f>
        <v>0</v>
      </c>
      <c r="R196" s="1080">
        <f ca="1">DATOSAÑO!BS191+DATOSAÑO!BV191+DATOSAÑO!BY191+DATOSAÑO!CF191+DATOSAÑO!CL191</f>
        <v>0</v>
      </c>
    </row>
    <row r="197" spans="2:18" ht="15" thickBot="1">
      <c r="B197" s="1268" t="s">
        <v>1131</v>
      </c>
      <c r="C197" s="1267">
        <f ca="1">SUM(C167:C196)</f>
        <v>-82665.899999999994</v>
      </c>
      <c r="D197" s="1030">
        <f ca="1">SUM(D167:D196)</f>
        <v>-138076.6</v>
      </c>
      <c r="E197" s="1030">
        <f t="shared" ref="E197:R197" ca="1" si="5">SUM(E167:E196)</f>
        <v>-7302</v>
      </c>
      <c r="F197" s="1030">
        <f t="shared" si="5"/>
        <v>0</v>
      </c>
      <c r="G197" s="1030">
        <f t="shared" si="5"/>
        <v>0</v>
      </c>
      <c r="H197" s="1030">
        <f t="shared" ca="1" si="5"/>
        <v>-113117.20000000001</v>
      </c>
      <c r="I197" s="1030">
        <f t="shared" ca="1" si="5"/>
        <v>-12882.112499999981</v>
      </c>
      <c r="J197" s="1030">
        <f t="shared" si="5"/>
        <v>0</v>
      </c>
      <c r="K197" s="1030">
        <f t="shared" ca="1" si="5"/>
        <v>-464078</v>
      </c>
      <c r="L197" s="1030">
        <f t="shared" ca="1" si="5"/>
        <v>-3520.68</v>
      </c>
      <c r="M197" s="1030">
        <f t="shared" ca="1" si="5"/>
        <v>-138076.6</v>
      </c>
      <c r="N197" s="1030">
        <f t="shared" ca="1" si="5"/>
        <v>-74766.8</v>
      </c>
      <c r="O197" s="1030">
        <f t="shared" ca="1" si="5"/>
        <v>296871.79299999995</v>
      </c>
      <c r="P197" s="1030">
        <f t="shared" ca="1" si="5"/>
        <v>0</v>
      </c>
      <c r="Q197" s="1081">
        <f t="shared" ca="1" si="5"/>
        <v>-65272</v>
      </c>
      <c r="R197" s="1081">
        <f t="shared" ca="1" si="5"/>
        <v>-34959.407499999979</v>
      </c>
    </row>
    <row r="198" spans="2:18">
      <c r="B198" s="390">
        <v>45108</v>
      </c>
      <c r="C198" s="994">
        <f ca="1">DATOSAÑO!AJ192</f>
        <v>0</v>
      </c>
      <c r="D198" s="994">
        <f ca="1">DATOSAÑO!AK192</f>
        <v>0</v>
      </c>
      <c r="E198" s="994">
        <f ca="1">DATOSAÑO!AD192</f>
        <v>0</v>
      </c>
      <c r="F198" s="994">
        <v>0</v>
      </c>
      <c r="G198" s="994">
        <v>0</v>
      </c>
      <c r="H198" s="994">
        <f ca="1">DATOSAÑO!AI192</f>
        <v>0</v>
      </c>
      <c r="I198" s="994">
        <f ca="1">DATOSAÑO!CJ192</f>
        <v>0</v>
      </c>
      <c r="J198" s="994">
        <v>0</v>
      </c>
      <c r="K198" s="994">
        <f ca="1">DATOSAÑO!AF192</f>
        <v>0</v>
      </c>
      <c r="L198" s="994">
        <f ca="1">+DATOSAÑO!CK192</f>
        <v>0</v>
      </c>
      <c r="M198" s="994">
        <f ca="1">+DATOSAÑO!AK192</f>
        <v>0</v>
      </c>
      <c r="N198" s="994">
        <f ca="1">+DATOSAÑO!AH192</f>
        <v>0</v>
      </c>
      <c r="O198" s="994">
        <f ca="1">DATOSAÑO!AL192</f>
        <v>0</v>
      </c>
      <c r="P198" s="994">
        <f ca="1">+(DATOSAÑO!BH192)+DATOSAÑO!BJ192</f>
        <v>0</v>
      </c>
      <c r="Q198" s="994">
        <f ca="1">+DATOSAÑO!BQ192</f>
        <v>0</v>
      </c>
      <c r="R198" s="1080">
        <f ca="1">DATOSAÑO!BS192+DATOSAÑO!BV192+DATOSAÑO!BY192+DATOSAÑO!CF192+DATOSAÑO!CL192</f>
        <v>0</v>
      </c>
    </row>
    <row r="199" spans="2:18">
      <c r="B199" s="390">
        <v>45109</v>
      </c>
      <c r="C199" s="994">
        <f ca="1">DATOSAÑO!AJ193</f>
        <v>0</v>
      </c>
      <c r="D199" s="994">
        <f ca="1">DATOSAÑO!AK193</f>
        <v>0</v>
      </c>
      <c r="E199" s="994">
        <f ca="1">DATOSAÑO!AD193</f>
        <v>0</v>
      </c>
      <c r="F199" s="994">
        <v>0</v>
      </c>
      <c r="G199" s="994">
        <v>0</v>
      </c>
      <c r="H199" s="994">
        <f ca="1">DATOSAÑO!AI193</f>
        <v>0</v>
      </c>
      <c r="I199" s="994">
        <f ca="1">DATOSAÑO!CJ193</f>
        <v>0</v>
      </c>
      <c r="J199" s="994">
        <v>0</v>
      </c>
      <c r="K199" s="994">
        <f ca="1">DATOSAÑO!AF193</f>
        <v>0</v>
      </c>
      <c r="L199" s="994">
        <f ca="1">+DATOSAÑO!CK193</f>
        <v>0</v>
      </c>
      <c r="M199" s="994">
        <f ca="1">+DATOSAÑO!AK193</f>
        <v>0</v>
      </c>
      <c r="N199" s="994">
        <f ca="1">+DATOSAÑO!AH193</f>
        <v>0</v>
      </c>
      <c r="O199" s="994">
        <f ca="1">DATOSAÑO!AL193</f>
        <v>0</v>
      </c>
      <c r="P199" s="994">
        <f ca="1">+(DATOSAÑO!BH193)+DATOSAÑO!BJ193</f>
        <v>0</v>
      </c>
      <c r="Q199" s="994">
        <f ca="1">+DATOSAÑO!BQ193</f>
        <v>0</v>
      </c>
      <c r="R199" s="1080">
        <f ca="1">DATOSAÑO!BS193+DATOSAÑO!BV193+DATOSAÑO!BY193+DATOSAÑO!CF193+DATOSAÑO!CL193</f>
        <v>0</v>
      </c>
    </row>
    <row r="200" spans="2:18">
      <c r="B200" s="390">
        <v>45110</v>
      </c>
      <c r="C200" s="994">
        <f ca="1">DATOSAÑO!AJ194</f>
        <v>0</v>
      </c>
      <c r="D200" s="994">
        <f ca="1">DATOSAÑO!AK194</f>
        <v>0</v>
      </c>
      <c r="E200" s="994">
        <f ca="1">DATOSAÑO!AD194</f>
        <v>0</v>
      </c>
      <c r="F200" s="994">
        <v>0</v>
      </c>
      <c r="G200" s="994">
        <v>0</v>
      </c>
      <c r="H200" s="994">
        <f ca="1">DATOSAÑO!AI194</f>
        <v>0</v>
      </c>
      <c r="I200" s="994">
        <f ca="1">DATOSAÑO!CJ194</f>
        <v>0</v>
      </c>
      <c r="J200" s="994">
        <v>0</v>
      </c>
      <c r="K200" s="994">
        <f ca="1">DATOSAÑO!AF194</f>
        <v>0</v>
      </c>
      <c r="L200" s="994">
        <f ca="1">+DATOSAÑO!CK194</f>
        <v>0</v>
      </c>
      <c r="M200" s="994">
        <f ca="1">+DATOSAÑO!AK194</f>
        <v>0</v>
      </c>
      <c r="N200" s="994">
        <f ca="1">+DATOSAÑO!AH194</f>
        <v>0</v>
      </c>
      <c r="O200" s="994">
        <f ca="1">DATOSAÑO!AL194</f>
        <v>0</v>
      </c>
      <c r="P200" s="994">
        <f ca="1">+(DATOSAÑO!BH194)+DATOSAÑO!BJ194</f>
        <v>0</v>
      </c>
      <c r="Q200" s="994">
        <f ca="1">+DATOSAÑO!BQ194</f>
        <v>0</v>
      </c>
      <c r="R200" s="1080">
        <f ca="1">DATOSAÑO!BS194+DATOSAÑO!BV194+DATOSAÑO!BY194+DATOSAÑO!CF194+DATOSAÑO!CL194</f>
        <v>0</v>
      </c>
    </row>
    <row r="201" spans="2:18">
      <c r="B201" s="390">
        <v>45111</v>
      </c>
      <c r="C201" s="994">
        <f ca="1">DATOSAÑO!AJ195</f>
        <v>0</v>
      </c>
      <c r="D201" s="994">
        <f ca="1">DATOSAÑO!AK195</f>
        <v>0</v>
      </c>
      <c r="E201" s="994">
        <f ca="1">DATOSAÑO!AD195</f>
        <v>0</v>
      </c>
      <c r="F201" s="994">
        <v>0</v>
      </c>
      <c r="G201" s="994">
        <v>0</v>
      </c>
      <c r="H201" s="994">
        <f ca="1">DATOSAÑO!AI195</f>
        <v>0</v>
      </c>
      <c r="I201" s="994">
        <f ca="1">DATOSAÑO!CJ195</f>
        <v>0</v>
      </c>
      <c r="J201" s="994">
        <v>0</v>
      </c>
      <c r="K201" s="994">
        <f ca="1">DATOSAÑO!AF195</f>
        <v>0</v>
      </c>
      <c r="L201" s="994">
        <f ca="1">+DATOSAÑO!CK195</f>
        <v>0</v>
      </c>
      <c r="M201" s="994">
        <f ca="1">+DATOSAÑO!AK195</f>
        <v>0</v>
      </c>
      <c r="N201" s="994">
        <f ca="1">+DATOSAÑO!AH195</f>
        <v>0</v>
      </c>
      <c r="O201" s="994">
        <f ca="1">DATOSAÑO!AL195</f>
        <v>0</v>
      </c>
      <c r="P201" s="994">
        <f ca="1">+(DATOSAÑO!BH195)+DATOSAÑO!BJ195</f>
        <v>0</v>
      </c>
      <c r="Q201" s="994">
        <f ca="1">+DATOSAÑO!BQ195</f>
        <v>0</v>
      </c>
      <c r="R201" s="1080">
        <f ca="1">DATOSAÑO!BS195+DATOSAÑO!BV195+DATOSAÑO!BY195+DATOSAÑO!CF195+DATOSAÑO!CL195</f>
        <v>0</v>
      </c>
    </row>
    <row r="202" spans="2:18">
      <c r="B202" s="390">
        <v>45112</v>
      </c>
      <c r="C202" s="994">
        <f ca="1">DATOSAÑO!AJ196</f>
        <v>0</v>
      </c>
      <c r="D202" s="994">
        <f ca="1">DATOSAÑO!AK196</f>
        <v>0</v>
      </c>
      <c r="E202" s="994">
        <f ca="1">DATOSAÑO!AD196</f>
        <v>0</v>
      </c>
      <c r="F202" s="994">
        <v>0</v>
      </c>
      <c r="G202" s="994">
        <v>0</v>
      </c>
      <c r="H202" s="994">
        <f ca="1">DATOSAÑO!AI196</f>
        <v>0</v>
      </c>
      <c r="I202" s="994">
        <f ca="1">DATOSAÑO!CJ196</f>
        <v>0</v>
      </c>
      <c r="J202" s="994">
        <v>0</v>
      </c>
      <c r="K202" s="994">
        <f ca="1">DATOSAÑO!AF196</f>
        <v>0</v>
      </c>
      <c r="L202" s="994">
        <f ca="1">+DATOSAÑO!CK196</f>
        <v>0</v>
      </c>
      <c r="M202" s="994">
        <f ca="1">+DATOSAÑO!AK196</f>
        <v>0</v>
      </c>
      <c r="N202" s="994">
        <f ca="1">+DATOSAÑO!AH196</f>
        <v>0</v>
      </c>
      <c r="O202" s="994">
        <f ca="1">DATOSAÑO!AL196</f>
        <v>0</v>
      </c>
      <c r="P202" s="994">
        <f ca="1">+(DATOSAÑO!BH196)+DATOSAÑO!BJ196</f>
        <v>0</v>
      </c>
      <c r="Q202" s="994">
        <f ca="1">+DATOSAÑO!BQ196</f>
        <v>0</v>
      </c>
      <c r="R202" s="1080">
        <f ca="1">DATOSAÑO!BS196+DATOSAÑO!BV196+DATOSAÑO!BY196+DATOSAÑO!CF196+DATOSAÑO!CL196</f>
        <v>0</v>
      </c>
    </row>
    <row r="203" spans="2:18">
      <c r="B203" s="390">
        <v>45113</v>
      </c>
      <c r="C203" s="994">
        <f ca="1">DATOSAÑO!AJ197</f>
        <v>0</v>
      </c>
      <c r="D203" s="994">
        <f ca="1">DATOSAÑO!AK197</f>
        <v>0</v>
      </c>
      <c r="E203" s="994">
        <f ca="1">DATOSAÑO!AD197</f>
        <v>0</v>
      </c>
      <c r="F203" s="994">
        <v>0</v>
      </c>
      <c r="G203" s="994">
        <v>0</v>
      </c>
      <c r="H203" s="994">
        <f ca="1">DATOSAÑO!AI197</f>
        <v>0</v>
      </c>
      <c r="I203" s="994">
        <f ca="1">DATOSAÑO!CJ197</f>
        <v>0</v>
      </c>
      <c r="J203" s="994">
        <v>0</v>
      </c>
      <c r="K203" s="994">
        <f ca="1">DATOSAÑO!AF197</f>
        <v>0</v>
      </c>
      <c r="L203" s="994">
        <f ca="1">+DATOSAÑO!CK197</f>
        <v>0</v>
      </c>
      <c r="M203" s="994">
        <f ca="1">+DATOSAÑO!AK197</f>
        <v>0</v>
      </c>
      <c r="N203" s="994">
        <f ca="1">+DATOSAÑO!AH197</f>
        <v>0</v>
      </c>
      <c r="O203" s="994">
        <f ca="1">DATOSAÑO!AL197</f>
        <v>0</v>
      </c>
      <c r="P203" s="994">
        <f ca="1">+(DATOSAÑO!BH197)+DATOSAÑO!BJ197</f>
        <v>0</v>
      </c>
      <c r="Q203" s="994">
        <f ca="1">+DATOSAÑO!BQ197</f>
        <v>0</v>
      </c>
      <c r="R203" s="1080">
        <f ca="1">DATOSAÑO!BS197+DATOSAÑO!BV197+DATOSAÑO!BY197+DATOSAÑO!CF197+DATOSAÑO!CL197</f>
        <v>0</v>
      </c>
    </row>
    <row r="204" spans="2:18">
      <c r="B204" s="390">
        <v>45114</v>
      </c>
      <c r="C204" s="994">
        <f ca="1">DATOSAÑO!AJ198</f>
        <v>0</v>
      </c>
      <c r="D204" s="994">
        <f ca="1">DATOSAÑO!AK198</f>
        <v>0</v>
      </c>
      <c r="E204" s="994">
        <f ca="1">DATOSAÑO!AD198</f>
        <v>0</v>
      </c>
      <c r="F204" s="994">
        <v>0</v>
      </c>
      <c r="G204" s="994">
        <v>0</v>
      </c>
      <c r="H204" s="994">
        <f ca="1">DATOSAÑO!AI198</f>
        <v>0</v>
      </c>
      <c r="I204" s="994">
        <f ca="1">DATOSAÑO!CJ198</f>
        <v>0</v>
      </c>
      <c r="J204" s="994">
        <v>0</v>
      </c>
      <c r="K204" s="994">
        <f ca="1">DATOSAÑO!AF198</f>
        <v>0</v>
      </c>
      <c r="L204" s="994">
        <f ca="1">+DATOSAÑO!CK198</f>
        <v>0</v>
      </c>
      <c r="M204" s="994">
        <f ca="1">+DATOSAÑO!AK198</f>
        <v>0</v>
      </c>
      <c r="N204" s="994">
        <f ca="1">+DATOSAÑO!AH198</f>
        <v>0</v>
      </c>
      <c r="O204" s="994">
        <f ca="1">DATOSAÑO!AL198</f>
        <v>0</v>
      </c>
      <c r="P204" s="994">
        <f ca="1">+(DATOSAÑO!BH198)+DATOSAÑO!BJ198</f>
        <v>0</v>
      </c>
      <c r="Q204" s="994">
        <f ca="1">+DATOSAÑO!BQ198</f>
        <v>0</v>
      </c>
      <c r="R204" s="1080">
        <f ca="1">DATOSAÑO!BS198+DATOSAÑO!BV198+DATOSAÑO!BY198+DATOSAÑO!CF198+DATOSAÑO!CL198</f>
        <v>0</v>
      </c>
    </row>
    <row r="205" spans="2:18">
      <c r="B205" s="390">
        <v>45115</v>
      </c>
      <c r="C205" s="994">
        <f ca="1">DATOSAÑO!AJ199</f>
        <v>0</v>
      </c>
      <c r="D205" s="994">
        <f ca="1">DATOSAÑO!AK199</f>
        <v>0</v>
      </c>
      <c r="E205" s="994">
        <f ca="1">DATOSAÑO!AD199</f>
        <v>0</v>
      </c>
      <c r="F205" s="994">
        <v>0</v>
      </c>
      <c r="G205" s="994">
        <v>0</v>
      </c>
      <c r="H205" s="994">
        <f ca="1">DATOSAÑO!AI199</f>
        <v>0</v>
      </c>
      <c r="I205" s="994">
        <f ca="1">DATOSAÑO!CJ199</f>
        <v>0</v>
      </c>
      <c r="J205" s="994">
        <v>0</v>
      </c>
      <c r="K205" s="994">
        <f ca="1">DATOSAÑO!AF199</f>
        <v>0</v>
      </c>
      <c r="L205" s="994">
        <f ca="1">+DATOSAÑO!CK199</f>
        <v>0</v>
      </c>
      <c r="M205" s="994">
        <f ca="1">+DATOSAÑO!AK199</f>
        <v>0</v>
      </c>
      <c r="N205" s="994">
        <f ca="1">+DATOSAÑO!AH199</f>
        <v>0</v>
      </c>
      <c r="O205" s="994">
        <f ca="1">DATOSAÑO!AL199</f>
        <v>0</v>
      </c>
      <c r="P205" s="994">
        <f ca="1">+(DATOSAÑO!BH199)+DATOSAÑO!BJ199</f>
        <v>0</v>
      </c>
      <c r="Q205" s="994">
        <f ca="1">+DATOSAÑO!BQ199</f>
        <v>0</v>
      </c>
      <c r="R205" s="1080">
        <f ca="1">DATOSAÑO!BS199+DATOSAÑO!BV199+DATOSAÑO!BY199+DATOSAÑO!CF199+DATOSAÑO!CL199</f>
        <v>0</v>
      </c>
    </row>
    <row r="206" spans="2:18">
      <c r="B206" s="390">
        <v>45116</v>
      </c>
      <c r="C206" s="994">
        <f ca="1">DATOSAÑO!AJ200</f>
        <v>0</v>
      </c>
      <c r="D206" s="994">
        <f ca="1">DATOSAÑO!AK200</f>
        <v>0</v>
      </c>
      <c r="E206" s="994">
        <f ca="1">DATOSAÑO!AD200</f>
        <v>0</v>
      </c>
      <c r="F206" s="994">
        <v>0</v>
      </c>
      <c r="G206" s="994">
        <v>0</v>
      </c>
      <c r="H206" s="994">
        <f ca="1">DATOSAÑO!AI200</f>
        <v>0</v>
      </c>
      <c r="I206" s="994">
        <f ca="1">DATOSAÑO!CJ200</f>
        <v>0</v>
      </c>
      <c r="J206" s="994">
        <v>0</v>
      </c>
      <c r="K206" s="994">
        <f ca="1">DATOSAÑO!AF200</f>
        <v>0</v>
      </c>
      <c r="L206" s="994">
        <f ca="1">+DATOSAÑO!CK200</f>
        <v>0</v>
      </c>
      <c r="M206" s="994">
        <f ca="1">+DATOSAÑO!AK200</f>
        <v>0</v>
      </c>
      <c r="N206" s="994">
        <f ca="1">+DATOSAÑO!AH200</f>
        <v>0</v>
      </c>
      <c r="O206" s="994">
        <f ca="1">DATOSAÑO!AL200</f>
        <v>0</v>
      </c>
      <c r="P206" s="994">
        <f ca="1">+(DATOSAÑO!BH200)+DATOSAÑO!BJ200</f>
        <v>0</v>
      </c>
      <c r="Q206" s="994">
        <f ca="1">+DATOSAÑO!BQ200</f>
        <v>0</v>
      </c>
      <c r="R206" s="1080">
        <f ca="1">DATOSAÑO!BS200+DATOSAÑO!BV200+DATOSAÑO!BY200+DATOSAÑO!CF200+DATOSAÑO!CL200</f>
        <v>0</v>
      </c>
    </row>
    <row r="207" spans="2:18">
      <c r="B207" s="390">
        <v>45117</v>
      </c>
      <c r="C207" s="994">
        <f ca="1">DATOSAÑO!AJ201</f>
        <v>0</v>
      </c>
      <c r="D207" s="994">
        <f ca="1">DATOSAÑO!AK201</f>
        <v>0</v>
      </c>
      <c r="E207" s="994">
        <f ca="1">DATOSAÑO!AD201</f>
        <v>0</v>
      </c>
      <c r="F207" s="994">
        <v>0</v>
      </c>
      <c r="G207" s="994">
        <v>0</v>
      </c>
      <c r="H207" s="994">
        <f ca="1">DATOSAÑO!AI201</f>
        <v>0</v>
      </c>
      <c r="I207" s="994">
        <f ca="1">DATOSAÑO!CJ201</f>
        <v>0</v>
      </c>
      <c r="J207" s="994">
        <v>0</v>
      </c>
      <c r="K207" s="994">
        <f ca="1">DATOSAÑO!AF201</f>
        <v>0</v>
      </c>
      <c r="L207" s="994">
        <f ca="1">+DATOSAÑO!CK201</f>
        <v>0</v>
      </c>
      <c r="M207" s="994">
        <f ca="1">+DATOSAÑO!AK201</f>
        <v>0</v>
      </c>
      <c r="N207" s="994">
        <f ca="1">+DATOSAÑO!AH201</f>
        <v>0</v>
      </c>
      <c r="O207" s="994">
        <f ca="1">DATOSAÑO!AL201</f>
        <v>0</v>
      </c>
      <c r="P207" s="994">
        <f ca="1">+(DATOSAÑO!BH201)+DATOSAÑO!BJ201</f>
        <v>0</v>
      </c>
      <c r="Q207" s="994">
        <f ca="1">+DATOSAÑO!BQ201</f>
        <v>0</v>
      </c>
      <c r="R207" s="1080">
        <f ca="1">DATOSAÑO!BS201+DATOSAÑO!BV201+DATOSAÑO!BY201+DATOSAÑO!CF201+DATOSAÑO!CL201</f>
        <v>0</v>
      </c>
    </row>
    <row r="208" spans="2:18">
      <c r="B208" s="390">
        <v>45118</v>
      </c>
      <c r="C208" s="994">
        <f ca="1">DATOSAÑO!AJ202</f>
        <v>0</v>
      </c>
      <c r="D208" s="994">
        <f ca="1">DATOSAÑO!AK202</f>
        <v>0</v>
      </c>
      <c r="E208" s="994">
        <f ca="1">DATOSAÑO!AD202</f>
        <v>0</v>
      </c>
      <c r="F208" s="994">
        <v>0</v>
      </c>
      <c r="G208" s="994">
        <v>0</v>
      </c>
      <c r="H208" s="994">
        <f ca="1">DATOSAÑO!AI202</f>
        <v>0</v>
      </c>
      <c r="I208" s="994">
        <f ca="1">DATOSAÑO!CJ202</f>
        <v>0</v>
      </c>
      <c r="J208" s="994">
        <v>0</v>
      </c>
      <c r="K208" s="994">
        <f ca="1">DATOSAÑO!AF202</f>
        <v>0</v>
      </c>
      <c r="L208" s="994">
        <f ca="1">+DATOSAÑO!CK202</f>
        <v>0</v>
      </c>
      <c r="M208" s="994">
        <f ca="1">+DATOSAÑO!AK202</f>
        <v>0</v>
      </c>
      <c r="N208" s="994">
        <f ca="1">+DATOSAÑO!AH202</f>
        <v>0</v>
      </c>
      <c r="O208" s="994">
        <f ca="1">DATOSAÑO!AL202</f>
        <v>0</v>
      </c>
      <c r="P208" s="994">
        <f ca="1">+(DATOSAÑO!BH202)+DATOSAÑO!BJ202</f>
        <v>0</v>
      </c>
      <c r="Q208" s="994">
        <f ca="1">+DATOSAÑO!BQ202</f>
        <v>0</v>
      </c>
      <c r="R208" s="1080">
        <f ca="1">DATOSAÑO!BS202+DATOSAÑO!BV202+DATOSAÑO!BY202+DATOSAÑO!CF202+DATOSAÑO!CL202</f>
        <v>0</v>
      </c>
    </row>
    <row r="209" spans="2:18">
      <c r="B209" s="390">
        <v>45119</v>
      </c>
      <c r="C209" s="994">
        <f ca="1">DATOSAÑO!AJ203</f>
        <v>0</v>
      </c>
      <c r="D209" s="994">
        <f ca="1">DATOSAÑO!AK203</f>
        <v>0</v>
      </c>
      <c r="E209" s="994">
        <f ca="1">DATOSAÑO!AD203</f>
        <v>0</v>
      </c>
      <c r="F209" s="994">
        <v>0</v>
      </c>
      <c r="G209" s="994">
        <v>0</v>
      </c>
      <c r="H209" s="994">
        <f ca="1">DATOSAÑO!AI203</f>
        <v>0</v>
      </c>
      <c r="I209" s="994">
        <f ca="1">DATOSAÑO!CJ203</f>
        <v>0</v>
      </c>
      <c r="J209" s="994">
        <v>0</v>
      </c>
      <c r="K209" s="994">
        <f ca="1">DATOSAÑO!AF203</f>
        <v>0</v>
      </c>
      <c r="L209" s="994">
        <f ca="1">+DATOSAÑO!CK203</f>
        <v>0</v>
      </c>
      <c r="M209" s="994">
        <f ca="1">+DATOSAÑO!AK203</f>
        <v>0</v>
      </c>
      <c r="N209" s="994">
        <f ca="1">+DATOSAÑO!AH203</f>
        <v>0</v>
      </c>
      <c r="O209" s="994">
        <f ca="1">DATOSAÑO!AL203</f>
        <v>0</v>
      </c>
      <c r="P209" s="994">
        <f ca="1">+(DATOSAÑO!BH203)+DATOSAÑO!BJ203</f>
        <v>0</v>
      </c>
      <c r="Q209" s="994">
        <f ca="1">+DATOSAÑO!BQ203</f>
        <v>0</v>
      </c>
      <c r="R209" s="1080">
        <f ca="1">DATOSAÑO!BS203+DATOSAÑO!BV203+DATOSAÑO!BY203+DATOSAÑO!CF203+DATOSAÑO!CL203</f>
        <v>0</v>
      </c>
    </row>
    <row r="210" spans="2:18">
      <c r="B210" s="390">
        <v>45120</v>
      </c>
      <c r="C210" s="994">
        <f ca="1">DATOSAÑO!AJ204</f>
        <v>0</v>
      </c>
      <c r="D210" s="994">
        <f ca="1">DATOSAÑO!AK204</f>
        <v>0</v>
      </c>
      <c r="E210" s="994">
        <f ca="1">DATOSAÑO!AD204</f>
        <v>0</v>
      </c>
      <c r="F210" s="994">
        <v>0</v>
      </c>
      <c r="G210" s="994">
        <v>0</v>
      </c>
      <c r="H210" s="994">
        <f ca="1">DATOSAÑO!AI204</f>
        <v>0</v>
      </c>
      <c r="I210" s="994">
        <f ca="1">DATOSAÑO!CJ204</f>
        <v>0</v>
      </c>
      <c r="J210" s="994">
        <v>0</v>
      </c>
      <c r="K210" s="994">
        <f ca="1">DATOSAÑO!AF204</f>
        <v>0</v>
      </c>
      <c r="L210" s="994">
        <f ca="1">+DATOSAÑO!CK204</f>
        <v>0</v>
      </c>
      <c r="M210" s="994">
        <f ca="1">+DATOSAÑO!AK204</f>
        <v>0</v>
      </c>
      <c r="N210" s="994">
        <f ca="1">+DATOSAÑO!AH204</f>
        <v>0</v>
      </c>
      <c r="O210" s="994">
        <f ca="1">DATOSAÑO!AL204</f>
        <v>0</v>
      </c>
      <c r="P210" s="994">
        <f ca="1">+(DATOSAÑO!BH204)+DATOSAÑO!BJ204</f>
        <v>0</v>
      </c>
      <c r="Q210" s="994">
        <f ca="1">+DATOSAÑO!BQ204</f>
        <v>0</v>
      </c>
      <c r="R210" s="1080">
        <f ca="1">DATOSAÑO!BS204+DATOSAÑO!BV204+DATOSAÑO!BY204+DATOSAÑO!CF204+DATOSAÑO!CL204</f>
        <v>0</v>
      </c>
    </row>
    <row r="211" spans="2:18">
      <c r="B211" s="390">
        <v>45121</v>
      </c>
      <c r="C211" s="994">
        <f ca="1">DATOSAÑO!AJ205</f>
        <v>0</v>
      </c>
      <c r="D211" s="994">
        <f ca="1">DATOSAÑO!AK205</f>
        <v>0</v>
      </c>
      <c r="E211" s="994">
        <f ca="1">DATOSAÑO!AD205</f>
        <v>0</v>
      </c>
      <c r="F211" s="994">
        <v>0</v>
      </c>
      <c r="G211" s="994">
        <v>0</v>
      </c>
      <c r="H211" s="994">
        <f ca="1">DATOSAÑO!AI205</f>
        <v>0</v>
      </c>
      <c r="I211" s="994">
        <f ca="1">DATOSAÑO!CJ205</f>
        <v>0</v>
      </c>
      <c r="J211" s="994">
        <v>0</v>
      </c>
      <c r="K211" s="994">
        <f ca="1">DATOSAÑO!AF205</f>
        <v>0</v>
      </c>
      <c r="L211" s="994">
        <f ca="1">+DATOSAÑO!CK205</f>
        <v>0</v>
      </c>
      <c r="M211" s="994">
        <f ca="1">+DATOSAÑO!AK205</f>
        <v>0</v>
      </c>
      <c r="N211" s="994">
        <f ca="1">+DATOSAÑO!AH205</f>
        <v>0</v>
      </c>
      <c r="O211" s="994">
        <f ca="1">DATOSAÑO!AL205</f>
        <v>0</v>
      </c>
      <c r="P211" s="994">
        <f ca="1">+(DATOSAÑO!BH205)+DATOSAÑO!BJ205</f>
        <v>0</v>
      </c>
      <c r="Q211" s="994">
        <f ca="1">+DATOSAÑO!BQ205</f>
        <v>0</v>
      </c>
      <c r="R211" s="1080">
        <f ca="1">DATOSAÑO!BS205+DATOSAÑO!BV205+DATOSAÑO!BY205+DATOSAÑO!CF205+DATOSAÑO!CL205</f>
        <v>0</v>
      </c>
    </row>
    <row r="212" spans="2:18">
      <c r="B212" s="390">
        <v>45122</v>
      </c>
      <c r="C212" s="994">
        <f ca="1">DATOSAÑO!AJ206</f>
        <v>0</v>
      </c>
      <c r="D212" s="994">
        <f ca="1">DATOSAÑO!AK206</f>
        <v>0</v>
      </c>
      <c r="E212" s="994">
        <f ca="1">DATOSAÑO!AD206</f>
        <v>0</v>
      </c>
      <c r="F212" s="994">
        <v>0</v>
      </c>
      <c r="G212" s="994">
        <v>0</v>
      </c>
      <c r="H212" s="994">
        <f ca="1">DATOSAÑO!AI206</f>
        <v>0</v>
      </c>
      <c r="I212" s="994">
        <f ca="1">DATOSAÑO!CJ206</f>
        <v>0</v>
      </c>
      <c r="J212" s="994">
        <v>0</v>
      </c>
      <c r="K212" s="994">
        <f ca="1">DATOSAÑO!AF206</f>
        <v>0</v>
      </c>
      <c r="L212" s="994">
        <f ca="1">+DATOSAÑO!CK206</f>
        <v>0</v>
      </c>
      <c r="M212" s="994">
        <f ca="1">+DATOSAÑO!AK206</f>
        <v>0</v>
      </c>
      <c r="N212" s="994">
        <f ca="1">+DATOSAÑO!AH206</f>
        <v>0</v>
      </c>
      <c r="O212" s="994">
        <f ca="1">DATOSAÑO!AL206</f>
        <v>0</v>
      </c>
      <c r="P212" s="994">
        <f ca="1">+(DATOSAÑO!BH206)+DATOSAÑO!BJ206</f>
        <v>0</v>
      </c>
      <c r="Q212" s="994">
        <f ca="1">+DATOSAÑO!BQ206</f>
        <v>0</v>
      </c>
      <c r="R212" s="1080">
        <f ca="1">DATOSAÑO!BS206+DATOSAÑO!BV206+DATOSAÑO!BY206+DATOSAÑO!CF206+DATOSAÑO!CL206</f>
        <v>0</v>
      </c>
    </row>
    <row r="213" spans="2:18">
      <c r="B213" s="390">
        <v>45123</v>
      </c>
      <c r="C213" s="994">
        <f ca="1">DATOSAÑO!AJ207</f>
        <v>0</v>
      </c>
      <c r="D213" s="994">
        <f ca="1">DATOSAÑO!AK207</f>
        <v>0</v>
      </c>
      <c r="E213" s="994">
        <f ca="1">DATOSAÑO!AD207</f>
        <v>0</v>
      </c>
      <c r="F213" s="994">
        <v>0</v>
      </c>
      <c r="G213" s="994">
        <v>0</v>
      </c>
      <c r="H213" s="994">
        <f ca="1">DATOSAÑO!AI207</f>
        <v>0</v>
      </c>
      <c r="I213" s="994">
        <f ca="1">DATOSAÑO!CJ207</f>
        <v>0</v>
      </c>
      <c r="J213" s="994">
        <v>0</v>
      </c>
      <c r="K213" s="994">
        <f ca="1">DATOSAÑO!AF207</f>
        <v>0</v>
      </c>
      <c r="L213" s="994">
        <f ca="1">+DATOSAÑO!CK207</f>
        <v>0</v>
      </c>
      <c r="M213" s="994">
        <f ca="1">+DATOSAÑO!AK207</f>
        <v>0</v>
      </c>
      <c r="N213" s="994">
        <f ca="1">+DATOSAÑO!AH207</f>
        <v>0</v>
      </c>
      <c r="O213" s="994">
        <f ca="1">DATOSAÑO!AL207</f>
        <v>0</v>
      </c>
      <c r="P213" s="994">
        <f ca="1">+(DATOSAÑO!BH207)+DATOSAÑO!BJ207</f>
        <v>0</v>
      </c>
      <c r="Q213" s="994">
        <f ca="1">+DATOSAÑO!BQ207</f>
        <v>0</v>
      </c>
      <c r="R213" s="1080">
        <f ca="1">DATOSAÑO!BS207+DATOSAÑO!BV207+DATOSAÑO!BY207+DATOSAÑO!CF207+DATOSAÑO!CL207</f>
        <v>0</v>
      </c>
    </row>
    <row r="214" spans="2:18">
      <c r="B214" s="390">
        <v>45124</v>
      </c>
      <c r="C214" s="994">
        <f ca="1">DATOSAÑO!AJ208</f>
        <v>0</v>
      </c>
      <c r="D214" s="994">
        <f ca="1">DATOSAÑO!AK208</f>
        <v>0</v>
      </c>
      <c r="E214" s="994">
        <f ca="1">DATOSAÑO!AD208</f>
        <v>0</v>
      </c>
      <c r="F214" s="994">
        <v>0</v>
      </c>
      <c r="G214" s="994">
        <v>0</v>
      </c>
      <c r="H214" s="994">
        <f ca="1">DATOSAÑO!AI208</f>
        <v>0</v>
      </c>
      <c r="I214" s="994">
        <f ca="1">DATOSAÑO!CJ208</f>
        <v>0</v>
      </c>
      <c r="J214" s="994">
        <v>0</v>
      </c>
      <c r="K214" s="994">
        <f ca="1">DATOSAÑO!AF208</f>
        <v>0</v>
      </c>
      <c r="L214" s="994">
        <f ca="1">+DATOSAÑO!CK208</f>
        <v>0</v>
      </c>
      <c r="M214" s="994">
        <f ca="1">+DATOSAÑO!AK208</f>
        <v>0</v>
      </c>
      <c r="N214" s="994">
        <f ca="1">+DATOSAÑO!AH208</f>
        <v>0</v>
      </c>
      <c r="O214" s="994">
        <f ca="1">DATOSAÑO!AL208</f>
        <v>0</v>
      </c>
      <c r="P214" s="994">
        <f ca="1">+(DATOSAÑO!BH208)+DATOSAÑO!BJ208</f>
        <v>0</v>
      </c>
      <c r="Q214" s="994">
        <f ca="1">+DATOSAÑO!BQ208</f>
        <v>0</v>
      </c>
      <c r="R214" s="1080">
        <f ca="1">DATOSAÑO!BS208+DATOSAÑO!BV208+DATOSAÑO!BY208+DATOSAÑO!CF208+DATOSAÑO!CL208</f>
        <v>0</v>
      </c>
    </row>
    <row r="215" spans="2:18">
      <c r="B215" s="390">
        <v>45125</v>
      </c>
      <c r="C215" s="994">
        <f ca="1">DATOSAÑO!AJ209</f>
        <v>0</v>
      </c>
      <c r="D215" s="994">
        <f ca="1">DATOSAÑO!AK209</f>
        <v>0</v>
      </c>
      <c r="E215" s="994">
        <f ca="1">DATOSAÑO!AD209</f>
        <v>0</v>
      </c>
      <c r="F215" s="994">
        <v>0</v>
      </c>
      <c r="G215" s="994">
        <v>0</v>
      </c>
      <c r="H215" s="994">
        <f ca="1">DATOSAÑO!AI209</f>
        <v>0</v>
      </c>
      <c r="I215" s="994">
        <f ca="1">DATOSAÑO!CJ209</f>
        <v>0</v>
      </c>
      <c r="J215" s="994">
        <v>0</v>
      </c>
      <c r="K215" s="994">
        <f ca="1">DATOSAÑO!AF209</f>
        <v>0</v>
      </c>
      <c r="L215" s="994">
        <f ca="1">+DATOSAÑO!CK209</f>
        <v>0</v>
      </c>
      <c r="M215" s="994">
        <f ca="1">+DATOSAÑO!AK209</f>
        <v>0</v>
      </c>
      <c r="N215" s="994">
        <f ca="1">+DATOSAÑO!AH209</f>
        <v>0</v>
      </c>
      <c r="O215" s="994">
        <f ca="1">DATOSAÑO!AL209</f>
        <v>0</v>
      </c>
      <c r="P215" s="994">
        <f ca="1">+(DATOSAÑO!BH209)+DATOSAÑO!BJ209</f>
        <v>0</v>
      </c>
      <c r="Q215" s="994">
        <f ca="1">+DATOSAÑO!BQ209</f>
        <v>0</v>
      </c>
      <c r="R215" s="1080">
        <f ca="1">DATOSAÑO!BS209+DATOSAÑO!BV209+DATOSAÑO!BY209+DATOSAÑO!CF209+DATOSAÑO!CL209</f>
        <v>0</v>
      </c>
    </row>
    <row r="216" spans="2:18">
      <c r="B216" s="390">
        <v>45126</v>
      </c>
      <c r="C216" s="994">
        <f ca="1">DATOSAÑO!AJ210</f>
        <v>0</v>
      </c>
      <c r="D216" s="994">
        <f ca="1">DATOSAÑO!AK210</f>
        <v>0</v>
      </c>
      <c r="E216" s="994">
        <f ca="1">DATOSAÑO!AD210</f>
        <v>0</v>
      </c>
      <c r="F216" s="994">
        <v>0</v>
      </c>
      <c r="G216" s="994">
        <v>0</v>
      </c>
      <c r="H216" s="994">
        <f ca="1">DATOSAÑO!AI210</f>
        <v>0</v>
      </c>
      <c r="I216" s="994">
        <f ca="1">DATOSAÑO!CJ210</f>
        <v>0</v>
      </c>
      <c r="J216" s="994">
        <v>0</v>
      </c>
      <c r="K216" s="994">
        <f ca="1">DATOSAÑO!AF210</f>
        <v>0</v>
      </c>
      <c r="L216" s="994">
        <f ca="1">+DATOSAÑO!CK210</f>
        <v>0</v>
      </c>
      <c r="M216" s="994">
        <f ca="1">+DATOSAÑO!AK210</f>
        <v>0</v>
      </c>
      <c r="N216" s="994">
        <f ca="1">+DATOSAÑO!AH210</f>
        <v>0</v>
      </c>
      <c r="O216" s="994">
        <f ca="1">DATOSAÑO!AL210</f>
        <v>0</v>
      </c>
      <c r="P216" s="994">
        <f ca="1">+(DATOSAÑO!BH210)+DATOSAÑO!BJ210</f>
        <v>0</v>
      </c>
      <c r="Q216" s="994">
        <f ca="1">+DATOSAÑO!BQ210</f>
        <v>0</v>
      </c>
      <c r="R216" s="1080">
        <f ca="1">DATOSAÑO!BS210+DATOSAÑO!BV210+DATOSAÑO!BY210+DATOSAÑO!CF210+DATOSAÑO!CL210</f>
        <v>0</v>
      </c>
    </row>
    <row r="217" spans="2:18">
      <c r="B217" s="390">
        <v>45127</v>
      </c>
      <c r="C217" s="994">
        <f ca="1">DATOSAÑO!AJ211</f>
        <v>0</v>
      </c>
      <c r="D217" s="994">
        <f ca="1">DATOSAÑO!AK211</f>
        <v>0</v>
      </c>
      <c r="E217" s="994">
        <f ca="1">DATOSAÑO!AD211</f>
        <v>0</v>
      </c>
      <c r="F217" s="994">
        <v>0</v>
      </c>
      <c r="G217" s="994">
        <v>0</v>
      </c>
      <c r="H217" s="994">
        <f ca="1">DATOSAÑO!AI211</f>
        <v>0</v>
      </c>
      <c r="I217" s="994">
        <f ca="1">DATOSAÑO!CJ211</f>
        <v>0</v>
      </c>
      <c r="J217" s="994">
        <v>0</v>
      </c>
      <c r="K217" s="994">
        <f ca="1">DATOSAÑO!AF211</f>
        <v>0</v>
      </c>
      <c r="L217" s="994">
        <f ca="1">+DATOSAÑO!CK211</f>
        <v>0</v>
      </c>
      <c r="M217" s="994">
        <f ca="1">+DATOSAÑO!AK211</f>
        <v>0</v>
      </c>
      <c r="N217" s="994">
        <f ca="1">+DATOSAÑO!AH211</f>
        <v>0</v>
      </c>
      <c r="O217" s="994">
        <f ca="1">DATOSAÑO!AL211</f>
        <v>0</v>
      </c>
      <c r="P217" s="994">
        <f ca="1">+(DATOSAÑO!BH211)+DATOSAÑO!BJ211</f>
        <v>0</v>
      </c>
      <c r="Q217" s="994">
        <f ca="1">+DATOSAÑO!BQ211</f>
        <v>0</v>
      </c>
      <c r="R217" s="1080">
        <f ca="1">DATOSAÑO!BS211+DATOSAÑO!BV211+DATOSAÑO!BY211+DATOSAÑO!CF211+DATOSAÑO!CL211</f>
        <v>0</v>
      </c>
    </row>
    <row r="218" spans="2:18">
      <c r="B218" s="390">
        <v>45128</v>
      </c>
      <c r="C218" s="994">
        <f ca="1">DATOSAÑO!AJ212</f>
        <v>0</v>
      </c>
      <c r="D218" s="994">
        <f ca="1">DATOSAÑO!AK212</f>
        <v>0</v>
      </c>
      <c r="E218" s="994">
        <f ca="1">DATOSAÑO!AD212</f>
        <v>0</v>
      </c>
      <c r="F218" s="994">
        <v>0</v>
      </c>
      <c r="G218" s="994">
        <v>0</v>
      </c>
      <c r="H218" s="994">
        <f ca="1">DATOSAÑO!AI212</f>
        <v>0</v>
      </c>
      <c r="I218" s="994">
        <f ca="1">DATOSAÑO!CJ212</f>
        <v>0</v>
      </c>
      <c r="J218" s="994">
        <v>0</v>
      </c>
      <c r="K218" s="994">
        <f ca="1">DATOSAÑO!AF212</f>
        <v>0</v>
      </c>
      <c r="L218" s="994">
        <f ca="1">+DATOSAÑO!CK212</f>
        <v>0</v>
      </c>
      <c r="M218" s="994">
        <f ca="1">+DATOSAÑO!AK212</f>
        <v>0</v>
      </c>
      <c r="N218" s="994">
        <f ca="1">+DATOSAÑO!AH212</f>
        <v>0</v>
      </c>
      <c r="O218" s="994">
        <f ca="1">DATOSAÑO!AL212</f>
        <v>0</v>
      </c>
      <c r="P218" s="994">
        <f ca="1">+(DATOSAÑO!BH212)+DATOSAÑO!BJ212</f>
        <v>0</v>
      </c>
      <c r="Q218" s="994">
        <f ca="1">+DATOSAÑO!BQ212</f>
        <v>0</v>
      </c>
      <c r="R218" s="1080">
        <f ca="1">DATOSAÑO!BS212+DATOSAÑO!BV212+DATOSAÑO!BY212+DATOSAÑO!CF212+DATOSAÑO!CL212</f>
        <v>0</v>
      </c>
    </row>
    <row r="219" spans="2:18">
      <c r="B219" s="390">
        <v>45129</v>
      </c>
      <c r="C219" s="994">
        <f ca="1">DATOSAÑO!AJ213</f>
        <v>0</v>
      </c>
      <c r="D219" s="994">
        <f ca="1">DATOSAÑO!AK213</f>
        <v>0</v>
      </c>
      <c r="E219" s="994">
        <f ca="1">DATOSAÑO!AD213</f>
        <v>0</v>
      </c>
      <c r="F219" s="994">
        <v>0</v>
      </c>
      <c r="G219" s="994">
        <v>0</v>
      </c>
      <c r="H219" s="994">
        <f ca="1">DATOSAÑO!AI213</f>
        <v>0</v>
      </c>
      <c r="I219" s="994">
        <f ca="1">DATOSAÑO!CJ213</f>
        <v>0</v>
      </c>
      <c r="J219" s="994">
        <v>0</v>
      </c>
      <c r="K219" s="994">
        <f ca="1">DATOSAÑO!AF213</f>
        <v>0</v>
      </c>
      <c r="L219" s="994">
        <f ca="1">+DATOSAÑO!CK213</f>
        <v>0</v>
      </c>
      <c r="M219" s="994">
        <f ca="1">+DATOSAÑO!AK213</f>
        <v>0</v>
      </c>
      <c r="N219" s="994">
        <f ca="1">+DATOSAÑO!AH213</f>
        <v>0</v>
      </c>
      <c r="O219" s="994">
        <f ca="1">DATOSAÑO!AL213</f>
        <v>0</v>
      </c>
      <c r="P219" s="994">
        <f ca="1">+(DATOSAÑO!BH213)+DATOSAÑO!BJ213</f>
        <v>0</v>
      </c>
      <c r="Q219" s="994">
        <f ca="1">+DATOSAÑO!BQ213</f>
        <v>0</v>
      </c>
      <c r="R219" s="1080">
        <f ca="1">DATOSAÑO!BS213+DATOSAÑO!BV213+DATOSAÑO!BY213+DATOSAÑO!CF213+DATOSAÑO!CL213</f>
        <v>0</v>
      </c>
    </row>
    <row r="220" spans="2:18">
      <c r="B220" s="390">
        <v>45130</v>
      </c>
      <c r="C220" s="994">
        <f ca="1">DATOSAÑO!AJ214</f>
        <v>0</v>
      </c>
      <c r="D220" s="994">
        <f ca="1">DATOSAÑO!AK214</f>
        <v>0</v>
      </c>
      <c r="E220" s="994">
        <f ca="1">DATOSAÑO!AD214</f>
        <v>0</v>
      </c>
      <c r="F220" s="994">
        <v>0</v>
      </c>
      <c r="G220" s="994">
        <v>0</v>
      </c>
      <c r="H220" s="994">
        <f ca="1">DATOSAÑO!AI214</f>
        <v>0</v>
      </c>
      <c r="I220" s="994">
        <f ca="1">DATOSAÑO!CJ214</f>
        <v>0</v>
      </c>
      <c r="J220" s="994">
        <v>0</v>
      </c>
      <c r="K220" s="994">
        <f ca="1">DATOSAÑO!AF214</f>
        <v>0</v>
      </c>
      <c r="L220" s="994">
        <f ca="1">+DATOSAÑO!CK214</f>
        <v>0</v>
      </c>
      <c r="M220" s="994">
        <f ca="1">+DATOSAÑO!AK214</f>
        <v>0</v>
      </c>
      <c r="N220" s="994">
        <f ca="1">+DATOSAÑO!AH214</f>
        <v>0</v>
      </c>
      <c r="O220" s="994">
        <f ca="1">DATOSAÑO!AL214</f>
        <v>0</v>
      </c>
      <c r="P220" s="994">
        <f ca="1">+(DATOSAÑO!BH214)+DATOSAÑO!BJ214</f>
        <v>0</v>
      </c>
      <c r="Q220" s="994">
        <f ca="1">+DATOSAÑO!BQ214</f>
        <v>0</v>
      </c>
      <c r="R220" s="1080">
        <f ca="1">DATOSAÑO!BS214+DATOSAÑO!BV214+DATOSAÑO!BY214+DATOSAÑO!CF214+DATOSAÑO!CL214</f>
        <v>0</v>
      </c>
    </row>
    <row r="221" spans="2:18">
      <c r="B221" s="390">
        <v>45131</v>
      </c>
      <c r="C221" s="994">
        <f ca="1">DATOSAÑO!AJ215</f>
        <v>0</v>
      </c>
      <c r="D221" s="994">
        <f ca="1">DATOSAÑO!AK215</f>
        <v>0</v>
      </c>
      <c r="E221" s="994">
        <f ca="1">DATOSAÑO!AD215</f>
        <v>0</v>
      </c>
      <c r="F221" s="994">
        <v>0</v>
      </c>
      <c r="G221" s="994">
        <v>0</v>
      </c>
      <c r="H221" s="994">
        <f ca="1">DATOSAÑO!AI215</f>
        <v>0</v>
      </c>
      <c r="I221" s="994">
        <f ca="1">DATOSAÑO!CJ215</f>
        <v>0</v>
      </c>
      <c r="J221" s="994">
        <v>0</v>
      </c>
      <c r="K221" s="994">
        <f ca="1">DATOSAÑO!AF215</f>
        <v>0</v>
      </c>
      <c r="L221" s="994">
        <f ca="1">+DATOSAÑO!CK215</f>
        <v>0</v>
      </c>
      <c r="M221" s="994">
        <f ca="1">+DATOSAÑO!AK215</f>
        <v>0</v>
      </c>
      <c r="N221" s="994">
        <f ca="1">+DATOSAÑO!AH215</f>
        <v>0</v>
      </c>
      <c r="O221" s="994">
        <f ca="1">DATOSAÑO!AL215</f>
        <v>0</v>
      </c>
      <c r="P221" s="994">
        <f ca="1">+(DATOSAÑO!BH215)+DATOSAÑO!BJ215</f>
        <v>0</v>
      </c>
      <c r="Q221" s="994">
        <f ca="1">+DATOSAÑO!BQ215</f>
        <v>0</v>
      </c>
      <c r="R221" s="1080">
        <f ca="1">DATOSAÑO!BS215+DATOSAÑO!BV215+DATOSAÑO!BY215+DATOSAÑO!CF215+DATOSAÑO!CL215</f>
        <v>0</v>
      </c>
    </row>
    <row r="222" spans="2:18">
      <c r="B222" s="390">
        <v>45132</v>
      </c>
      <c r="C222" s="994">
        <f ca="1">DATOSAÑO!AJ216</f>
        <v>0</v>
      </c>
      <c r="D222" s="994">
        <f ca="1">DATOSAÑO!AK216</f>
        <v>0</v>
      </c>
      <c r="E222" s="994">
        <f ca="1">DATOSAÑO!AD216</f>
        <v>0</v>
      </c>
      <c r="F222" s="994">
        <v>0</v>
      </c>
      <c r="G222" s="994">
        <v>0</v>
      </c>
      <c r="H222" s="994">
        <f ca="1">DATOSAÑO!AI216</f>
        <v>0</v>
      </c>
      <c r="I222" s="994">
        <f ca="1">DATOSAÑO!CJ216</f>
        <v>0</v>
      </c>
      <c r="J222" s="994">
        <v>0</v>
      </c>
      <c r="K222" s="994">
        <f ca="1">DATOSAÑO!AF216</f>
        <v>0</v>
      </c>
      <c r="L222" s="994">
        <f ca="1">+DATOSAÑO!CK216</f>
        <v>0</v>
      </c>
      <c r="M222" s="994">
        <f ca="1">+DATOSAÑO!AK216</f>
        <v>0</v>
      </c>
      <c r="N222" s="994">
        <f ca="1">+DATOSAÑO!AH216</f>
        <v>0</v>
      </c>
      <c r="O222" s="994">
        <f ca="1">DATOSAÑO!AL216</f>
        <v>0</v>
      </c>
      <c r="P222" s="994">
        <f ca="1">+(DATOSAÑO!BH216)+DATOSAÑO!BJ216</f>
        <v>0</v>
      </c>
      <c r="Q222" s="994">
        <f ca="1">+DATOSAÑO!BQ216</f>
        <v>0</v>
      </c>
      <c r="R222" s="1080">
        <f ca="1">DATOSAÑO!BS216+DATOSAÑO!BV216+DATOSAÑO!BY216+DATOSAÑO!CF216+DATOSAÑO!CL216</f>
        <v>0</v>
      </c>
    </row>
    <row r="223" spans="2:18">
      <c r="B223" s="390">
        <v>45133</v>
      </c>
      <c r="C223" s="994">
        <f ca="1">DATOSAÑO!AJ217</f>
        <v>0</v>
      </c>
      <c r="D223" s="994">
        <f ca="1">DATOSAÑO!AK217</f>
        <v>0</v>
      </c>
      <c r="E223" s="994">
        <f ca="1">DATOSAÑO!AD217</f>
        <v>0</v>
      </c>
      <c r="F223" s="994">
        <v>0</v>
      </c>
      <c r="G223" s="994">
        <v>0</v>
      </c>
      <c r="H223" s="994">
        <f ca="1">DATOSAÑO!AI217</f>
        <v>0</v>
      </c>
      <c r="I223" s="994">
        <f ca="1">DATOSAÑO!CJ217</f>
        <v>0</v>
      </c>
      <c r="J223" s="994">
        <v>0</v>
      </c>
      <c r="K223" s="994">
        <f ca="1">DATOSAÑO!AF217</f>
        <v>0</v>
      </c>
      <c r="L223" s="994">
        <f ca="1">+DATOSAÑO!CK217</f>
        <v>0</v>
      </c>
      <c r="M223" s="994">
        <f ca="1">+DATOSAÑO!AK217</f>
        <v>0</v>
      </c>
      <c r="N223" s="994">
        <f ca="1">+DATOSAÑO!AH217</f>
        <v>0</v>
      </c>
      <c r="O223" s="994">
        <f ca="1">DATOSAÑO!AL217</f>
        <v>0</v>
      </c>
      <c r="P223" s="994">
        <f ca="1">+(DATOSAÑO!BH217)+DATOSAÑO!BJ217</f>
        <v>0</v>
      </c>
      <c r="Q223" s="994">
        <f ca="1">+DATOSAÑO!BQ217</f>
        <v>0</v>
      </c>
      <c r="R223" s="1080">
        <f ca="1">DATOSAÑO!BS217+DATOSAÑO!BV217+DATOSAÑO!BY217+DATOSAÑO!CF217+DATOSAÑO!CL217</f>
        <v>0</v>
      </c>
    </row>
    <row r="224" spans="2:18">
      <c r="B224" s="390">
        <v>45134</v>
      </c>
      <c r="C224" s="994">
        <f ca="1">DATOSAÑO!AJ218</f>
        <v>0</v>
      </c>
      <c r="D224" s="994">
        <f ca="1">DATOSAÑO!AK218</f>
        <v>0</v>
      </c>
      <c r="E224" s="994">
        <f ca="1">DATOSAÑO!AD218</f>
        <v>0</v>
      </c>
      <c r="F224" s="994">
        <v>0</v>
      </c>
      <c r="G224" s="994">
        <v>0</v>
      </c>
      <c r="H224" s="994">
        <f ca="1">DATOSAÑO!AI218</f>
        <v>0</v>
      </c>
      <c r="I224" s="994">
        <f ca="1">DATOSAÑO!CJ218</f>
        <v>0</v>
      </c>
      <c r="J224" s="994">
        <v>0</v>
      </c>
      <c r="K224" s="994">
        <f ca="1">DATOSAÑO!AF218</f>
        <v>0</v>
      </c>
      <c r="L224" s="994">
        <f ca="1">+DATOSAÑO!CK218</f>
        <v>0</v>
      </c>
      <c r="M224" s="994">
        <f ca="1">+DATOSAÑO!AK218</f>
        <v>0</v>
      </c>
      <c r="N224" s="994">
        <f ca="1">+DATOSAÑO!AH218</f>
        <v>0</v>
      </c>
      <c r="O224" s="994">
        <f ca="1">DATOSAÑO!AL218</f>
        <v>0</v>
      </c>
      <c r="P224" s="994">
        <f ca="1">+(DATOSAÑO!BH218)+DATOSAÑO!BJ218</f>
        <v>0</v>
      </c>
      <c r="Q224" s="994">
        <f ca="1">+DATOSAÑO!BQ218</f>
        <v>0</v>
      </c>
      <c r="R224" s="1080">
        <f ca="1">DATOSAÑO!BS218+DATOSAÑO!BV218+DATOSAÑO!BY218+DATOSAÑO!CF218+DATOSAÑO!CL218</f>
        <v>0</v>
      </c>
    </row>
    <row r="225" spans="2:18">
      <c r="B225" s="390">
        <v>45135</v>
      </c>
      <c r="C225" s="994">
        <f ca="1">DATOSAÑO!AJ219</f>
        <v>0</v>
      </c>
      <c r="D225" s="994">
        <f ca="1">DATOSAÑO!AK219</f>
        <v>0</v>
      </c>
      <c r="E225" s="994">
        <f ca="1">DATOSAÑO!AD219</f>
        <v>0</v>
      </c>
      <c r="F225" s="994">
        <v>0</v>
      </c>
      <c r="G225" s="994">
        <v>0</v>
      </c>
      <c r="H225" s="994">
        <f ca="1">DATOSAÑO!AI219</f>
        <v>0</v>
      </c>
      <c r="I225" s="994">
        <f ca="1">DATOSAÑO!CJ219</f>
        <v>0</v>
      </c>
      <c r="J225" s="994">
        <v>0</v>
      </c>
      <c r="K225" s="994">
        <f ca="1">DATOSAÑO!AF219</f>
        <v>0</v>
      </c>
      <c r="L225" s="994">
        <f ca="1">+DATOSAÑO!CK219</f>
        <v>0</v>
      </c>
      <c r="M225" s="994">
        <f ca="1">+DATOSAÑO!AK219</f>
        <v>0</v>
      </c>
      <c r="N225" s="994">
        <f ca="1">+DATOSAÑO!AH219</f>
        <v>0</v>
      </c>
      <c r="O225" s="994">
        <f ca="1">DATOSAÑO!AL219</f>
        <v>0</v>
      </c>
      <c r="P225" s="994">
        <f ca="1">+(DATOSAÑO!BH219)+DATOSAÑO!BJ219</f>
        <v>0</v>
      </c>
      <c r="Q225" s="994">
        <f ca="1">+DATOSAÑO!BQ219</f>
        <v>0</v>
      </c>
      <c r="R225" s="1080">
        <f ca="1">DATOSAÑO!BS219+DATOSAÑO!BV219+DATOSAÑO!BY219+DATOSAÑO!CF219+DATOSAÑO!CL219</f>
        <v>0</v>
      </c>
    </row>
    <row r="226" spans="2:18">
      <c r="B226" s="390">
        <v>45136</v>
      </c>
      <c r="C226" s="994">
        <f ca="1">DATOSAÑO!AJ220</f>
        <v>0</v>
      </c>
      <c r="D226" s="994">
        <f ca="1">DATOSAÑO!AK220</f>
        <v>0</v>
      </c>
      <c r="E226" s="994">
        <f ca="1">DATOSAÑO!AD220</f>
        <v>0</v>
      </c>
      <c r="F226" s="994">
        <v>0</v>
      </c>
      <c r="G226" s="994">
        <v>0</v>
      </c>
      <c r="H226" s="994">
        <f ca="1">DATOSAÑO!AI220</f>
        <v>0</v>
      </c>
      <c r="I226" s="994">
        <f ca="1">DATOSAÑO!CJ220</f>
        <v>0</v>
      </c>
      <c r="J226" s="994">
        <v>0</v>
      </c>
      <c r="K226" s="994">
        <f ca="1">DATOSAÑO!AF220</f>
        <v>0</v>
      </c>
      <c r="L226" s="994">
        <f ca="1">+DATOSAÑO!CK220</f>
        <v>0</v>
      </c>
      <c r="M226" s="994">
        <f ca="1">+DATOSAÑO!AK220</f>
        <v>0</v>
      </c>
      <c r="N226" s="994">
        <f ca="1">+DATOSAÑO!AH220</f>
        <v>0</v>
      </c>
      <c r="O226" s="994">
        <f ca="1">DATOSAÑO!AL220</f>
        <v>0</v>
      </c>
      <c r="P226" s="994">
        <f ca="1">+(DATOSAÑO!BH220)+DATOSAÑO!BJ220</f>
        <v>0</v>
      </c>
      <c r="Q226" s="994">
        <f ca="1">+DATOSAÑO!BQ220</f>
        <v>0</v>
      </c>
      <c r="R226" s="1080">
        <f ca="1">DATOSAÑO!BS220+DATOSAÑO!BV220+DATOSAÑO!BY220+DATOSAÑO!CF220+DATOSAÑO!CL220</f>
        <v>0</v>
      </c>
    </row>
    <row r="227" spans="2:18">
      <c r="B227" s="390">
        <v>45137</v>
      </c>
      <c r="C227" s="994">
        <f ca="1">DATOSAÑO!AJ221</f>
        <v>0</v>
      </c>
      <c r="D227" s="994">
        <f ca="1">DATOSAÑO!AK221</f>
        <v>0</v>
      </c>
      <c r="E227" s="994">
        <f ca="1">DATOSAÑO!AD221</f>
        <v>0</v>
      </c>
      <c r="F227" s="994">
        <v>0</v>
      </c>
      <c r="G227" s="994">
        <v>0</v>
      </c>
      <c r="H227" s="994">
        <f ca="1">DATOSAÑO!AI221</f>
        <v>0</v>
      </c>
      <c r="I227" s="994">
        <f ca="1">DATOSAÑO!CJ221</f>
        <v>0</v>
      </c>
      <c r="J227" s="994">
        <v>0</v>
      </c>
      <c r="K227" s="994">
        <f ca="1">DATOSAÑO!AF221</f>
        <v>0</v>
      </c>
      <c r="L227" s="994">
        <f ca="1">+DATOSAÑO!CK221</f>
        <v>0</v>
      </c>
      <c r="M227" s="994">
        <f ca="1">+DATOSAÑO!AK221</f>
        <v>0</v>
      </c>
      <c r="N227" s="994">
        <f ca="1">+DATOSAÑO!AH221</f>
        <v>0</v>
      </c>
      <c r="O227" s="994">
        <f ca="1">DATOSAÑO!AL221</f>
        <v>0</v>
      </c>
      <c r="P227" s="994">
        <f ca="1">+(DATOSAÑO!BH221)+DATOSAÑO!BJ221</f>
        <v>0</v>
      </c>
      <c r="Q227" s="994">
        <f ca="1">+DATOSAÑO!BQ221</f>
        <v>0</v>
      </c>
      <c r="R227" s="1080">
        <f ca="1">DATOSAÑO!BS221+DATOSAÑO!BV221+DATOSAÑO!BY221+DATOSAÑO!CF221+DATOSAÑO!CL221</f>
        <v>0</v>
      </c>
    </row>
    <row r="228" spans="2:18" ht="15" thickBot="1">
      <c r="B228" s="390">
        <v>45138</v>
      </c>
      <c r="C228" s="994">
        <f ca="1">DATOSAÑO!AJ222</f>
        <v>0</v>
      </c>
      <c r="D228" s="994">
        <f ca="1">DATOSAÑO!AK222</f>
        <v>0</v>
      </c>
      <c r="E228" s="994">
        <f ca="1">DATOSAÑO!AD222</f>
        <v>0</v>
      </c>
      <c r="F228" s="994">
        <v>0</v>
      </c>
      <c r="G228" s="994">
        <v>0</v>
      </c>
      <c r="H228" s="994">
        <f ca="1">DATOSAÑO!AI222</f>
        <v>0</v>
      </c>
      <c r="I228" s="994">
        <f ca="1">DATOSAÑO!CJ222</f>
        <v>0</v>
      </c>
      <c r="J228" s="994">
        <v>0</v>
      </c>
      <c r="K228" s="994">
        <f ca="1">DATOSAÑO!AF222</f>
        <v>0</v>
      </c>
      <c r="L228" s="994">
        <f ca="1">+DATOSAÑO!CK222</f>
        <v>0</v>
      </c>
      <c r="M228" s="994">
        <f ca="1">+DATOSAÑO!AK222</f>
        <v>0</v>
      </c>
      <c r="N228" s="994">
        <f ca="1">+DATOSAÑO!AH222</f>
        <v>0</v>
      </c>
      <c r="O228" s="994">
        <f ca="1">DATOSAÑO!AL222</f>
        <v>0</v>
      </c>
      <c r="P228" s="994">
        <f ca="1">+(DATOSAÑO!BH222)+DATOSAÑO!BJ222</f>
        <v>0</v>
      </c>
      <c r="Q228" s="994">
        <f ca="1">+DATOSAÑO!BQ222</f>
        <v>0</v>
      </c>
      <c r="R228" s="1080">
        <f ca="1">DATOSAÑO!BS222+DATOSAÑO!BV222+DATOSAÑO!BY222+DATOSAÑO!CF222+DATOSAÑO!CL222</f>
        <v>0</v>
      </c>
    </row>
    <row r="229" spans="2:18" ht="15" thickBot="1">
      <c r="B229" s="1268" t="s">
        <v>1131</v>
      </c>
      <c r="C229" s="1267">
        <f ca="1">SUM(C198:C228)</f>
        <v>0</v>
      </c>
      <c r="D229" s="1030">
        <f ca="1">SUM(D198:D228)</f>
        <v>0</v>
      </c>
      <c r="E229" s="1030">
        <f t="shared" ref="E229:R229" ca="1" si="6">SUM(E198:E228)</f>
        <v>0</v>
      </c>
      <c r="F229" s="1030">
        <f t="shared" si="6"/>
        <v>0</v>
      </c>
      <c r="G229" s="1030">
        <f t="shared" si="6"/>
        <v>0</v>
      </c>
      <c r="H229" s="1030">
        <f t="shared" ca="1" si="6"/>
        <v>0</v>
      </c>
      <c r="I229" s="1030">
        <f t="shared" ca="1" si="6"/>
        <v>0</v>
      </c>
      <c r="J229" s="1030">
        <f t="shared" si="6"/>
        <v>0</v>
      </c>
      <c r="K229" s="1030">
        <f t="shared" ca="1" si="6"/>
        <v>0</v>
      </c>
      <c r="L229" s="1030">
        <f t="shared" ca="1" si="6"/>
        <v>0</v>
      </c>
      <c r="M229" s="1030">
        <f t="shared" ca="1" si="6"/>
        <v>0</v>
      </c>
      <c r="N229" s="1030">
        <f t="shared" ca="1" si="6"/>
        <v>0</v>
      </c>
      <c r="O229" s="1030">
        <f t="shared" ca="1" si="6"/>
        <v>0</v>
      </c>
      <c r="P229" s="1030">
        <f t="shared" ca="1" si="6"/>
        <v>0</v>
      </c>
      <c r="Q229" s="1081">
        <f t="shared" ca="1" si="6"/>
        <v>0</v>
      </c>
      <c r="R229" s="1081">
        <f t="shared" ca="1" si="6"/>
        <v>0</v>
      </c>
    </row>
    <row r="230" spans="2:18">
      <c r="B230" s="390">
        <v>45139</v>
      </c>
      <c r="C230" s="994">
        <f ca="1">DATOSAÑO!AJ223</f>
        <v>0</v>
      </c>
      <c r="D230" s="994">
        <f ca="1">DATOSAÑO!AK223</f>
        <v>0</v>
      </c>
      <c r="E230" s="994">
        <f ca="1">DATOSAÑO!AD223</f>
        <v>0</v>
      </c>
      <c r="F230" s="994">
        <v>0</v>
      </c>
      <c r="G230" s="994">
        <v>0</v>
      </c>
      <c r="H230" s="994">
        <f ca="1">DATOSAÑO!AI223</f>
        <v>0</v>
      </c>
      <c r="I230" s="994">
        <f ca="1">DATOSAÑO!CJ223</f>
        <v>0</v>
      </c>
      <c r="J230" s="994">
        <v>0</v>
      </c>
      <c r="K230" s="994">
        <f ca="1">DATOSAÑO!AF223</f>
        <v>0</v>
      </c>
      <c r="L230" s="994">
        <f ca="1">+DATOSAÑO!CK223</f>
        <v>0</v>
      </c>
      <c r="M230" s="994">
        <f ca="1">+DATOSAÑO!AK223</f>
        <v>0</v>
      </c>
      <c r="N230" s="994">
        <f ca="1">+DATOSAÑO!AH223</f>
        <v>0</v>
      </c>
      <c r="O230" s="994">
        <f ca="1">DATOSAÑO!AL223</f>
        <v>0</v>
      </c>
      <c r="P230" s="994">
        <f ca="1">+(DATOSAÑO!BH223)+DATOSAÑO!BJ223</f>
        <v>0</v>
      </c>
      <c r="Q230" s="994">
        <f ca="1">+DATOSAÑO!BQ223</f>
        <v>0</v>
      </c>
      <c r="R230" s="1080">
        <f ca="1">DATOSAÑO!BS223+DATOSAÑO!BV223+DATOSAÑO!BY223+DATOSAÑO!CF223+DATOSAÑO!CL223</f>
        <v>0</v>
      </c>
    </row>
    <row r="231" spans="2:18">
      <c r="B231" s="390">
        <v>45140</v>
      </c>
      <c r="C231" s="994">
        <f ca="1">DATOSAÑO!AJ224</f>
        <v>0</v>
      </c>
      <c r="D231" s="994">
        <f ca="1">DATOSAÑO!AK224</f>
        <v>0</v>
      </c>
      <c r="E231" s="994">
        <f ca="1">DATOSAÑO!AD224</f>
        <v>0</v>
      </c>
      <c r="F231" s="994">
        <v>0</v>
      </c>
      <c r="G231" s="994">
        <v>0</v>
      </c>
      <c r="H231" s="994">
        <f ca="1">DATOSAÑO!AI224</f>
        <v>0</v>
      </c>
      <c r="I231" s="994">
        <f ca="1">DATOSAÑO!CJ224</f>
        <v>0</v>
      </c>
      <c r="J231" s="994">
        <v>0</v>
      </c>
      <c r="K231" s="994">
        <f ca="1">DATOSAÑO!AF224</f>
        <v>0</v>
      </c>
      <c r="L231" s="994">
        <f ca="1">+DATOSAÑO!CK224</f>
        <v>0</v>
      </c>
      <c r="M231" s="994">
        <f ca="1">+DATOSAÑO!AK224</f>
        <v>0</v>
      </c>
      <c r="N231" s="994">
        <f ca="1">+DATOSAÑO!AH224</f>
        <v>0</v>
      </c>
      <c r="O231" s="994">
        <f ca="1">DATOSAÑO!AL224</f>
        <v>0</v>
      </c>
      <c r="P231" s="994">
        <f ca="1">+(DATOSAÑO!BH224)+DATOSAÑO!BJ224</f>
        <v>0</v>
      </c>
      <c r="Q231" s="994">
        <f ca="1">+DATOSAÑO!BQ224</f>
        <v>0</v>
      </c>
      <c r="R231" s="1080">
        <f ca="1">DATOSAÑO!BS224+DATOSAÑO!BV224+DATOSAÑO!BY224+DATOSAÑO!CF224+DATOSAÑO!CL224</f>
        <v>0</v>
      </c>
    </row>
    <row r="232" spans="2:18">
      <c r="B232" s="390">
        <v>45141</v>
      </c>
      <c r="C232" s="994">
        <f ca="1">DATOSAÑO!AJ225</f>
        <v>0</v>
      </c>
      <c r="D232" s="994">
        <f ca="1">DATOSAÑO!AK225</f>
        <v>0</v>
      </c>
      <c r="E232" s="994">
        <f ca="1">DATOSAÑO!AD225</f>
        <v>0</v>
      </c>
      <c r="F232" s="994">
        <v>0</v>
      </c>
      <c r="G232" s="994">
        <v>0</v>
      </c>
      <c r="H232" s="994">
        <f ca="1">DATOSAÑO!AI225</f>
        <v>0</v>
      </c>
      <c r="I232" s="994">
        <f ca="1">DATOSAÑO!CJ225</f>
        <v>0</v>
      </c>
      <c r="J232" s="994">
        <v>0</v>
      </c>
      <c r="K232" s="994">
        <f ca="1">DATOSAÑO!AF225</f>
        <v>0</v>
      </c>
      <c r="L232" s="994">
        <f ca="1">+DATOSAÑO!CK225</f>
        <v>0</v>
      </c>
      <c r="M232" s="994">
        <f ca="1">+DATOSAÑO!AK225</f>
        <v>0</v>
      </c>
      <c r="N232" s="994">
        <f ca="1">+DATOSAÑO!AH225</f>
        <v>0</v>
      </c>
      <c r="O232" s="994">
        <f ca="1">DATOSAÑO!AL225</f>
        <v>0</v>
      </c>
      <c r="P232" s="994">
        <f ca="1">+(DATOSAÑO!BH225)+DATOSAÑO!BJ225</f>
        <v>0</v>
      </c>
      <c r="Q232" s="994">
        <f ca="1">+DATOSAÑO!BQ225</f>
        <v>0</v>
      </c>
      <c r="R232" s="1080">
        <f ca="1">DATOSAÑO!BS225+DATOSAÑO!BV225+DATOSAÑO!BY225+DATOSAÑO!CF225+DATOSAÑO!CL225</f>
        <v>0</v>
      </c>
    </row>
    <row r="233" spans="2:18">
      <c r="B233" s="390">
        <v>45142</v>
      </c>
      <c r="C233" s="994">
        <f ca="1">DATOSAÑO!AJ226</f>
        <v>0</v>
      </c>
      <c r="D233" s="994">
        <f ca="1">DATOSAÑO!AK226</f>
        <v>0</v>
      </c>
      <c r="E233" s="994">
        <f ca="1">DATOSAÑO!AD226</f>
        <v>0</v>
      </c>
      <c r="F233" s="994">
        <v>0</v>
      </c>
      <c r="G233" s="994">
        <v>0</v>
      </c>
      <c r="H233" s="994">
        <f ca="1">DATOSAÑO!AI226</f>
        <v>0</v>
      </c>
      <c r="I233" s="994">
        <f ca="1">DATOSAÑO!CJ226</f>
        <v>0</v>
      </c>
      <c r="J233" s="994">
        <v>0</v>
      </c>
      <c r="K233" s="994">
        <f ca="1">DATOSAÑO!AF226</f>
        <v>0</v>
      </c>
      <c r="L233" s="994">
        <f ca="1">+DATOSAÑO!CK226</f>
        <v>0</v>
      </c>
      <c r="M233" s="994">
        <f ca="1">+DATOSAÑO!AK226</f>
        <v>0</v>
      </c>
      <c r="N233" s="994">
        <f ca="1">+DATOSAÑO!AH226</f>
        <v>0</v>
      </c>
      <c r="O233" s="994">
        <f ca="1">DATOSAÑO!AL226</f>
        <v>0</v>
      </c>
      <c r="P233" s="994">
        <f ca="1">+(DATOSAÑO!BH226)+DATOSAÑO!BJ226</f>
        <v>0</v>
      </c>
      <c r="Q233" s="994">
        <f ca="1">+DATOSAÑO!BQ226</f>
        <v>0</v>
      </c>
      <c r="R233" s="1080">
        <f ca="1">DATOSAÑO!BS226+DATOSAÑO!BV226+DATOSAÑO!BY226+DATOSAÑO!CF226+DATOSAÑO!CL226</f>
        <v>0</v>
      </c>
    </row>
    <row r="234" spans="2:18">
      <c r="B234" s="390">
        <v>45143</v>
      </c>
      <c r="C234" s="994">
        <f ca="1">DATOSAÑO!AJ227</f>
        <v>0</v>
      </c>
      <c r="D234" s="994">
        <f ca="1">DATOSAÑO!AK227</f>
        <v>0</v>
      </c>
      <c r="E234" s="994">
        <f ca="1">DATOSAÑO!AD227</f>
        <v>0</v>
      </c>
      <c r="F234" s="994">
        <v>0</v>
      </c>
      <c r="G234" s="994">
        <v>0</v>
      </c>
      <c r="H234" s="994">
        <f ca="1">DATOSAÑO!AI227</f>
        <v>0</v>
      </c>
      <c r="I234" s="994">
        <f ca="1">DATOSAÑO!CJ227</f>
        <v>0</v>
      </c>
      <c r="J234" s="994">
        <v>0</v>
      </c>
      <c r="K234" s="994">
        <f ca="1">DATOSAÑO!AF227</f>
        <v>0</v>
      </c>
      <c r="L234" s="994">
        <f ca="1">+DATOSAÑO!CK227</f>
        <v>0</v>
      </c>
      <c r="M234" s="994">
        <f ca="1">+DATOSAÑO!AK227</f>
        <v>0</v>
      </c>
      <c r="N234" s="994">
        <f ca="1">+DATOSAÑO!AH227</f>
        <v>0</v>
      </c>
      <c r="O234" s="994">
        <f ca="1">DATOSAÑO!AL227</f>
        <v>0</v>
      </c>
      <c r="P234" s="994">
        <f ca="1">+(DATOSAÑO!BH227)+DATOSAÑO!BJ227</f>
        <v>0</v>
      </c>
      <c r="Q234" s="994">
        <f ca="1">+DATOSAÑO!BQ227</f>
        <v>0</v>
      </c>
      <c r="R234" s="1080">
        <f ca="1">DATOSAÑO!BS227+DATOSAÑO!BV227+DATOSAÑO!BY227+DATOSAÑO!CF227+DATOSAÑO!CL227</f>
        <v>0</v>
      </c>
    </row>
    <row r="235" spans="2:18">
      <c r="B235" s="390">
        <v>45144</v>
      </c>
      <c r="C235" s="994">
        <f ca="1">DATOSAÑO!AJ228</f>
        <v>0</v>
      </c>
      <c r="D235" s="994">
        <f ca="1">DATOSAÑO!AK228</f>
        <v>0</v>
      </c>
      <c r="E235" s="994">
        <f ca="1">DATOSAÑO!AD228</f>
        <v>0</v>
      </c>
      <c r="F235" s="994">
        <v>0</v>
      </c>
      <c r="G235" s="994">
        <v>0</v>
      </c>
      <c r="H235" s="994">
        <f ca="1">DATOSAÑO!AI228</f>
        <v>0</v>
      </c>
      <c r="I235" s="994">
        <f ca="1">DATOSAÑO!CJ228</f>
        <v>0</v>
      </c>
      <c r="J235" s="994">
        <v>0</v>
      </c>
      <c r="K235" s="994">
        <f ca="1">DATOSAÑO!AF228</f>
        <v>0</v>
      </c>
      <c r="L235" s="994">
        <f ca="1">+DATOSAÑO!CK228</f>
        <v>0</v>
      </c>
      <c r="M235" s="994">
        <f ca="1">+DATOSAÑO!AK228</f>
        <v>0</v>
      </c>
      <c r="N235" s="994">
        <f ca="1">+DATOSAÑO!AH228</f>
        <v>0</v>
      </c>
      <c r="O235" s="994">
        <f ca="1">DATOSAÑO!AL228</f>
        <v>0</v>
      </c>
      <c r="P235" s="994">
        <f ca="1">+(DATOSAÑO!BH228)+DATOSAÑO!BJ228</f>
        <v>0</v>
      </c>
      <c r="Q235" s="994">
        <f ca="1">+DATOSAÑO!BQ228</f>
        <v>0</v>
      </c>
      <c r="R235" s="1080">
        <f ca="1">DATOSAÑO!BS228+DATOSAÑO!BV228+DATOSAÑO!BY228+DATOSAÑO!CF228+DATOSAÑO!CL228</f>
        <v>0</v>
      </c>
    </row>
    <row r="236" spans="2:18">
      <c r="B236" s="390">
        <v>45145</v>
      </c>
      <c r="C236" s="994">
        <f ca="1">DATOSAÑO!AJ229</f>
        <v>0</v>
      </c>
      <c r="D236" s="994">
        <f ca="1">DATOSAÑO!AK229</f>
        <v>0</v>
      </c>
      <c r="E236" s="994">
        <f ca="1">DATOSAÑO!AD229</f>
        <v>0</v>
      </c>
      <c r="F236" s="994">
        <v>0</v>
      </c>
      <c r="G236" s="994">
        <v>0</v>
      </c>
      <c r="H236" s="994">
        <f ca="1">DATOSAÑO!AI229</f>
        <v>0</v>
      </c>
      <c r="I236" s="994">
        <f ca="1">DATOSAÑO!CJ229</f>
        <v>0</v>
      </c>
      <c r="J236" s="994">
        <v>0</v>
      </c>
      <c r="K236" s="994">
        <f ca="1">DATOSAÑO!AF229</f>
        <v>0</v>
      </c>
      <c r="L236" s="994">
        <f ca="1">+DATOSAÑO!CK229</f>
        <v>0</v>
      </c>
      <c r="M236" s="994">
        <f ca="1">+DATOSAÑO!AK229</f>
        <v>0</v>
      </c>
      <c r="N236" s="994">
        <f ca="1">+DATOSAÑO!AH229</f>
        <v>0</v>
      </c>
      <c r="O236" s="994">
        <f ca="1">DATOSAÑO!AL229</f>
        <v>0</v>
      </c>
      <c r="P236" s="994">
        <f ca="1">+(DATOSAÑO!BH229)+DATOSAÑO!BJ229</f>
        <v>0</v>
      </c>
      <c r="Q236" s="994">
        <f ca="1">+DATOSAÑO!BQ229</f>
        <v>0</v>
      </c>
      <c r="R236" s="1080">
        <f ca="1">DATOSAÑO!BS229+DATOSAÑO!BV229+DATOSAÑO!BY229+DATOSAÑO!CF229+DATOSAÑO!CL229</f>
        <v>0</v>
      </c>
    </row>
    <row r="237" spans="2:18">
      <c r="B237" s="390">
        <v>45146</v>
      </c>
      <c r="C237" s="994">
        <f ca="1">DATOSAÑO!AJ230</f>
        <v>0</v>
      </c>
      <c r="D237" s="994">
        <f ca="1">DATOSAÑO!AK230</f>
        <v>0</v>
      </c>
      <c r="E237" s="994">
        <f ca="1">DATOSAÑO!AD230</f>
        <v>0</v>
      </c>
      <c r="F237" s="994">
        <v>0</v>
      </c>
      <c r="G237" s="994">
        <v>0</v>
      </c>
      <c r="H237" s="994">
        <f ca="1">DATOSAÑO!AI230</f>
        <v>0</v>
      </c>
      <c r="I237" s="994">
        <f ca="1">DATOSAÑO!CJ230</f>
        <v>0</v>
      </c>
      <c r="J237" s="994">
        <v>0</v>
      </c>
      <c r="K237" s="994">
        <f ca="1">DATOSAÑO!AF230</f>
        <v>0</v>
      </c>
      <c r="L237" s="994">
        <f ca="1">+DATOSAÑO!CK230</f>
        <v>0</v>
      </c>
      <c r="M237" s="994">
        <f ca="1">+DATOSAÑO!AK230</f>
        <v>0</v>
      </c>
      <c r="N237" s="994">
        <f ca="1">+DATOSAÑO!AH230</f>
        <v>0</v>
      </c>
      <c r="O237" s="994">
        <f ca="1">DATOSAÑO!AL230</f>
        <v>0</v>
      </c>
      <c r="P237" s="994">
        <f ca="1">+(DATOSAÑO!BH230)+DATOSAÑO!BJ230</f>
        <v>0</v>
      </c>
      <c r="Q237" s="994">
        <f ca="1">+DATOSAÑO!BQ230</f>
        <v>0</v>
      </c>
      <c r="R237" s="1080">
        <f ca="1">DATOSAÑO!BS230+DATOSAÑO!BV230+DATOSAÑO!BY230+DATOSAÑO!CF230+DATOSAÑO!CL230</f>
        <v>0</v>
      </c>
    </row>
    <row r="238" spans="2:18">
      <c r="B238" s="390">
        <v>45147</v>
      </c>
      <c r="C238" s="994">
        <f ca="1">DATOSAÑO!AJ231</f>
        <v>0</v>
      </c>
      <c r="D238" s="994">
        <f ca="1">DATOSAÑO!AK231</f>
        <v>0</v>
      </c>
      <c r="E238" s="994">
        <f ca="1">DATOSAÑO!AD231</f>
        <v>0</v>
      </c>
      <c r="F238" s="994">
        <v>0</v>
      </c>
      <c r="G238" s="994">
        <v>0</v>
      </c>
      <c r="H238" s="994">
        <f ca="1">DATOSAÑO!AI231</f>
        <v>0</v>
      </c>
      <c r="I238" s="994">
        <f ca="1">DATOSAÑO!CJ231</f>
        <v>0</v>
      </c>
      <c r="J238" s="994">
        <v>0</v>
      </c>
      <c r="K238" s="994">
        <f ca="1">DATOSAÑO!AF231</f>
        <v>0</v>
      </c>
      <c r="L238" s="994">
        <f ca="1">+DATOSAÑO!CK231</f>
        <v>0</v>
      </c>
      <c r="M238" s="994">
        <f ca="1">+DATOSAÑO!AK231</f>
        <v>0</v>
      </c>
      <c r="N238" s="994">
        <f ca="1">+DATOSAÑO!AH231</f>
        <v>0</v>
      </c>
      <c r="O238" s="994">
        <f ca="1">DATOSAÑO!AL231</f>
        <v>0</v>
      </c>
      <c r="P238" s="994">
        <f ca="1">+(DATOSAÑO!BH231)+DATOSAÑO!BJ231</f>
        <v>0</v>
      </c>
      <c r="Q238" s="994">
        <f ca="1">+DATOSAÑO!BQ231</f>
        <v>0</v>
      </c>
      <c r="R238" s="1080">
        <f ca="1">DATOSAÑO!BS231+DATOSAÑO!BV231+DATOSAÑO!BY231+DATOSAÑO!CF231+DATOSAÑO!CL231</f>
        <v>0</v>
      </c>
    </row>
    <row r="239" spans="2:18">
      <c r="B239" s="390">
        <v>45148</v>
      </c>
      <c r="C239" s="994">
        <f ca="1">DATOSAÑO!AJ232</f>
        <v>0</v>
      </c>
      <c r="D239" s="994">
        <f ca="1">DATOSAÑO!AK232</f>
        <v>0</v>
      </c>
      <c r="E239" s="994">
        <f ca="1">DATOSAÑO!AD232</f>
        <v>0</v>
      </c>
      <c r="F239" s="994">
        <v>0</v>
      </c>
      <c r="G239" s="994">
        <v>0</v>
      </c>
      <c r="H239" s="994">
        <f ca="1">DATOSAÑO!AI232</f>
        <v>0</v>
      </c>
      <c r="I239" s="994">
        <f ca="1">DATOSAÑO!CJ232</f>
        <v>0</v>
      </c>
      <c r="J239" s="994">
        <v>0</v>
      </c>
      <c r="K239" s="994">
        <f ca="1">DATOSAÑO!AF232</f>
        <v>0</v>
      </c>
      <c r="L239" s="994">
        <f ca="1">+DATOSAÑO!CK232</f>
        <v>0</v>
      </c>
      <c r="M239" s="994">
        <f ca="1">+DATOSAÑO!AK232</f>
        <v>0</v>
      </c>
      <c r="N239" s="994">
        <f ca="1">+DATOSAÑO!AH232</f>
        <v>0</v>
      </c>
      <c r="O239" s="994">
        <f ca="1">DATOSAÑO!AL232</f>
        <v>0</v>
      </c>
      <c r="P239" s="994">
        <f ca="1">+(DATOSAÑO!BH232)+DATOSAÑO!BJ232</f>
        <v>0</v>
      </c>
      <c r="Q239" s="994">
        <f ca="1">+DATOSAÑO!BQ232</f>
        <v>0</v>
      </c>
      <c r="R239" s="1080">
        <f ca="1">DATOSAÑO!BS232+DATOSAÑO!BV232+DATOSAÑO!BY232+DATOSAÑO!CF232+DATOSAÑO!CL232</f>
        <v>0</v>
      </c>
    </row>
    <row r="240" spans="2:18">
      <c r="B240" s="390">
        <v>45149</v>
      </c>
      <c r="C240" s="994">
        <f ca="1">DATOSAÑO!AJ233</f>
        <v>0</v>
      </c>
      <c r="D240" s="994">
        <f ca="1">DATOSAÑO!AK233</f>
        <v>0</v>
      </c>
      <c r="E240" s="994">
        <f ca="1">DATOSAÑO!AD233</f>
        <v>0</v>
      </c>
      <c r="F240" s="994">
        <v>0</v>
      </c>
      <c r="G240" s="994">
        <v>0</v>
      </c>
      <c r="H240" s="994">
        <f ca="1">DATOSAÑO!AI233</f>
        <v>0</v>
      </c>
      <c r="I240" s="994">
        <f ca="1">DATOSAÑO!CJ233</f>
        <v>0</v>
      </c>
      <c r="J240" s="994">
        <v>0</v>
      </c>
      <c r="K240" s="994">
        <f ca="1">DATOSAÑO!AF233</f>
        <v>0</v>
      </c>
      <c r="L240" s="994">
        <f ca="1">+DATOSAÑO!CK233</f>
        <v>0</v>
      </c>
      <c r="M240" s="994">
        <f ca="1">+DATOSAÑO!AK233</f>
        <v>0</v>
      </c>
      <c r="N240" s="994">
        <f ca="1">+DATOSAÑO!AH233</f>
        <v>0</v>
      </c>
      <c r="O240" s="994">
        <f ca="1">DATOSAÑO!AL233</f>
        <v>0</v>
      </c>
      <c r="P240" s="994">
        <f ca="1">+(DATOSAÑO!BH233)+DATOSAÑO!BJ233</f>
        <v>0</v>
      </c>
      <c r="Q240" s="994">
        <f ca="1">+DATOSAÑO!BQ233</f>
        <v>0</v>
      </c>
      <c r="R240" s="1080">
        <f ca="1">DATOSAÑO!BS233+DATOSAÑO!BV233+DATOSAÑO!BY233+DATOSAÑO!CF233+DATOSAÑO!CL233</f>
        <v>0</v>
      </c>
    </row>
    <row r="241" spans="2:18">
      <c r="B241" s="390">
        <v>45150</v>
      </c>
      <c r="C241" s="994">
        <f ca="1">DATOSAÑO!AJ234</f>
        <v>0</v>
      </c>
      <c r="D241" s="994">
        <f ca="1">DATOSAÑO!AK234</f>
        <v>0</v>
      </c>
      <c r="E241" s="994">
        <f ca="1">DATOSAÑO!AD234</f>
        <v>0</v>
      </c>
      <c r="F241" s="994">
        <v>0</v>
      </c>
      <c r="G241" s="994">
        <v>0</v>
      </c>
      <c r="H241" s="994">
        <f ca="1">DATOSAÑO!AI234</f>
        <v>0</v>
      </c>
      <c r="I241" s="994">
        <f ca="1">DATOSAÑO!CJ234</f>
        <v>0</v>
      </c>
      <c r="J241" s="994">
        <v>0</v>
      </c>
      <c r="K241" s="994">
        <f ca="1">DATOSAÑO!AF234</f>
        <v>0</v>
      </c>
      <c r="L241" s="994">
        <f ca="1">+DATOSAÑO!CK234</f>
        <v>0</v>
      </c>
      <c r="M241" s="994">
        <f ca="1">+DATOSAÑO!AK234</f>
        <v>0</v>
      </c>
      <c r="N241" s="994">
        <f ca="1">+DATOSAÑO!AH234</f>
        <v>0</v>
      </c>
      <c r="O241" s="994">
        <f ca="1">DATOSAÑO!AL234</f>
        <v>0</v>
      </c>
      <c r="P241" s="994">
        <f ca="1">+(DATOSAÑO!BH234)+DATOSAÑO!BJ234</f>
        <v>0</v>
      </c>
      <c r="Q241" s="994">
        <f ca="1">+DATOSAÑO!BQ234</f>
        <v>0</v>
      </c>
      <c r="R241" s="1080">
        <f ca="1">DATOSAÑO!BS234+DATOSAÑO!BV234+DATOSAÑO!BY234+DATOSAÑO!CF234+DATOSAÑO!CL234</f>
        <v>0</v>
      </c>
    </row>
    <row r="242" spans="2:18">
      <c r="B242" s="390">
        <v>45151</v>
      </c>
      <c r="C242" s="994">
        <f ca="1">DATOSAÑO!AJ235</f>
        <v>0</v>
      </c>
      <c r="D242" s="994">
        <f ca="1">DATOSAÑO!AK235</f>
        <v>0</v>
      </c>
      <c r="E242" s="994">
        <f ca="1">DATOSAÑO!AD235</f>
        <v>0</v>
      </c>
      <c r="F242" s="994">
        <v>0</v>
      </c>
      <c r="G242" s="994">
        <v>0</v>
      </c>
      <c r="H242" s="994">
        <f ca="1">DATOSAÑO!AI235</f>
        <v>0</v>
      </c>
      <c r="I242" s="994">
        <f ca="1">DATOSAÑO!CJ235</f>
        <v>0</v>
      </c>
      <c r="J242" s="994">
        <v>0</v>
      </c>
      <c r="K242" s="994">
        <f ca="1">DATOSAÑO!AF235</f>
        <v>0</v>
      </c>
      <c r="L242" s="994">
        <f ca="1">+DATOSAÑO!CK235</f>
        <v>0</v>
      </c>
      <c r="M242" s="994">
        <f ca="1">+DATOSAÑO!AK235</f>
        <v>0</v>
      </c>
      <c r="N242" s="994">
        <f ca="1">+DATOSAÑO!AH235</f>
        <v>0</v>
      </c>
      <c r="O242" s="994">
        <f ca="1">DATOSAÑO!AL235</f>
        <v>0</v>
      </c>
      <c r="P242" s="994">
        <f ca="1">+(DATOSAÑO!BH235)+DATOSAÑO!BJ235</f>
        <v>0</v>
      </c>
      <c r="Q242" s="994">
        <f ca="1">+DATOSAÑO!BQ235</f>
        <v>0</v>
      </c>
      <c r="R242" s="1080">
        <f ca="1">DATOSAÑO!BS235+DATOSAÑO!BV235+DATOSAÑO!BY235+DATOSAÑO!CF235+DATOSAÑO!CL235</f>
        <v>0</v>
      </c>
    </row>
    <row r="243" spans="2:18">
      <c r="B243" s="390">
        <v>45152</v>
      </c>
      <c r="C243" s="994">
        <f ca="1">DATOSAÑO!AJ236</f>
        <v>0</v>
      </c>
      <c r="D243" s="994">
        <f ca="1">DATOSAÑO!AK236</f>
        <v>0</v>
      </c>
      <c r="E243" s="994">
        <f ca="1">DATOSAÑO!AD236</f>
        <v>0</v>
      </c>
      <c r="F243" s="994">
        <v>0</v>
      </c>
      <c r="G243" s="994">
        <v>0</v>
      </c>
      <c r="H243" s="994">
        <f ca="1">DATOSAÑO!AI236</f>
        <v>0</v>
      </c>
      <c r="I243" s="994">
        <f ca="1">DATOSAÑO!CJ236</f>
        <v>0</v>
      </c>
      <c r="J243" s="994">
        <v>0</v>
      </c>
      <c r="K243" s="994">
        <f ca="1">DATOSAÑO!AF236</f>
        <v>0</v>
      </c>
      <c r="L243" s="994">
        <f ca="1">+DATOSAÑO!CK236</f>
        <v>0</v>
      </c>
      <c r="M243" s="994">
        <f ca="1">+DATOSAÑO!AK236</f>
        <v>0</v>
      </c>
      <c r="N243" s="994">
        <f ca="1">+DATOSAÑO!AH236</f>
        <v>0</v>
      </c>
      <c r="O243" s="994">
        <f ca="1">DATOSAÑO!AL236</f>
        <v>0</v>
      </c>
      <c r="P243" s="994">
        <f ca="1">+(DATOSAÑO!BH236)+DATOSAÑO!BJ236</f>
        <v>0</v>
      </c>
      <c r="Q243" s="994">
        <f ca="1">+DATOSAÑO!BQ236</f>
        <v>0</v>
      </c>
      <c r="R243" s="1080">
        <f ca="1">DATOSAÑO!BS236+DATOSAÑO!BV236+DATOSAÑO!BY236+DATOSAÑO!CF236+DATOSAÑO!CL236</f>
        <v>0</v>
      </c>
    </row>
    <row r="244" spans="2:18">
      <c r="B244" s="390">
        <v>45153</v>
      </c>
      <c r="C244" s="994">
        <f ca="1">DATOSAÑO!AJ237</f>
        <v>0</v>
      </c>
      <c r="D244" s="994">
        <f ca="1">DATOSAÑO!AK237</f>
        <v>0</v>
      </c>
      <c r="E244" s="994">
        <f ca="1">DATOSAÑO!AD237</f>
        <v>0</v>
      </c>
      <c r="F244" s="994">
        <v>0</v>
      </c>
      <c r="G244" s="994">
        <v>0</v>
      </c>
      <c r="H244" s="994">
        <f ca="1">DATOSAÑO!AI237</f>
        <v>0</v>
      </c>
      <c r="I244" s="994">
        <f ca="1">DATOSAÑO!CJ237</f>
        <v>0</v>
      </c>
      <c r="J244" s="994">
        <v>0</v>
      </c>
      <c r="K244" s="994">
        <f ca="1">DATOSAÑO!AF237</f>
        <v>0</v>
      </c>
      <c r="L244" s="994">
        <f ca="1">+DATOSAÑO!CK237</f>
        <v>0</v>
      </c>
      <c r="M244" s="994">
        <f ca="1">+DATOSAÑO!AK237</f>
        <v>0</v>
      </c>
      <c r="N244" s="994">
        <f ca="1">+DATOSAÑO!AH237</f>
        <v>0</v>
      </c>
      <c r="O244" s="994">
        <f ca="1">DATOSAÑO!AL237</f>
        <v>0</v>
      </c>
      <c r="P244" s="994">
        <f ca="1">+(DATOSAÑO!BH237)+DATOSAÑO!BJ237</f>
        <v>0</v>
      </c>
      <c r="Q244" s="994">
        <f ca="1">+DATOSAÑO!BQ237</f>
        <v>0</v>
      </c>
      <c r="R244" s="1080">
        <f ca="1">DATOSAÑO!BS237+DATOSAÑO!BV237+DATOSAÑO!BY237+DATOSAÑO!CF237+DATOSAÑO!CL237</f>
        <v>0</v>
      </c>
    </row>
    <row r="245" spans="2:18">
      <c r="B245" s="390">
        <v>45154</v>
      </c>
      <c r="C245" s="994">
        <f ca="1">DATOSAÑO!AJ238</f>
        <v>0</v>
      </c>
      <c r="D245" s="994">
        <f ca="1">DATOSAÑO!AK238</f>
        <v>0</v>
      </c>
      <c r="E245" s="994">
        <f ca="1">DATOSAÑO!AD238</f>
        <v>0</v>
      </c>
      <c r="F245" s="994">
        <v>0</v>
      </c>
      <c r="G245" s="994">
        <v>0</v>
      </c>
      <c r="H245" s="994">
        <f ca="1">DATOSAÑO!AI238</f>
        <v>0</v>
      </c>
      <c r="I245" s="994">
        <f ca="1">DATOSAÑO!CJ238</f>
        <v>0</v>
      </c>
      <c r="J245" s="994">
        <v>0</v>
      </c>
      <c r="K245" s="994">
        <f ca="1">DATOSAÑO!AF238</f>
        <v>0</v>
      </c>
      <c r="L245" s="994">
        <f ca="1">+DATOSAÑO!CK238</f>
        <v>0</v>
      </c>
      <c r="M245" s="994">
        <f ca="1">+DATOSAÑO!AK238</f>
        <v>0</v>
      </c>
      <c r="N245" s="994">
        <f ca="1">+DATOSAÑO!AH238</f>
        <v>0</v>
      </c>
      <c r="O245" s="994">
        <f ca="1">DATOSAÑO!AL238</f>
        <v>0</v>
      </c>
      <c r="P245" s="994">
        <f ca="1">+(DATOSAÑO!BH238)+DATOSAÑO!BJ238</f>
        <v>0</v>
      </c>
      <c r="Q245" s="994">
        <f ca="1">+DATOSAÑO!BQ238</f>
        <v>0</v>
      </c>
      <c r="R245" s="1080">
        <f ca="1">DATOSAÑO!BS238+DATOSAÑO!BV238+DATOSAÑO!BY238+DATOSAÑO!CF238+DATOSAÑO!CL238</f>
        <v>0</v>
      </c>
    </row>
    <row r="246" spans="2:18">
      <c r="B246" s="390">
        <v>45155</v>
      </c>
      <c r="C246" s="994">
        <f ca="1">DATOSAÑO!AJ239</f>
        <v>0</v>
      </c>
      <c r="D246" s="994">
        <f ca="1">DATOSAÑO!AK239</f>
        <v>0</v>
      </c>
      <c r="E246" s="994">
        <f ca="1">DATOSAÑO!AD239</f>
        <v>0</v>
      </c>
      <c r="F246" s="994">
        <v>0</v>
      </c>
      <c r="G246" s="994">
        <v>0</v>
      </c>
      <c r="H246" s="994">
        <f ca="1">DATOSAÑO!AI239</f>
        <v>0</v>
      </c>
      <c r="I246" s="994">
        <f ca="1">DATOSAÑO!CJ239</f>
        <v>0</v>
      </c>
      <c r="J246" s="994">
        <v>0</v>
      </c>
      <c r="K246" s="994">
        <f ca="1">DATOSAÑO!AF239</f>
        <v>0</v>
      </c>
      <c r="L246" s="994">
        <f ca="1">+DATOSAÑO!CK239</f>
        <v>0</v>
      </c>
      <c r="M246" s="994">
        <f ca="1">+DATOSAÑO!AK239</f>
        <v>0</v>
      </c>
      <c r="N246" s="994">
        <f ca="1">+DATOSAÑO!AH239</f>
        <v>0</v>
      </c>
      <c r="O246" s="994">
        <f ca="1">DATOSAÑO!AL239</f>
        <v>0</v>
      </c>
      <c r="P246" s="994">
        <f ca="1">+(DATOSAÑO!BH239)+DATOSAÑO!BJ239</f>
        <v>0</v>
      </c>
      <c r="Q246" s="994">
        <f ca="1">+DATOSAÑO!BQ239</f>
        <v>0</v>
      </c>
      <c r="R246" s="1080">
        <f ca="1">DATOSAÑO!BS239+DATOSAÑO!BV239+DATOSAÑO!BY239+DATOSAÑO!CF239+DATOSAÑO!CL239</f>
        <v>0</v>
      </c>
    </row>
    <row r="247" spans="2:18">
      <c r="B247" s="390">
        <v>45156</v>
      </c>
      <c r="C247" s="994">
        <f ca="1">DATOSAÑO!AJ240</f>
        <v>0</v>
      </c>
      <c r="D247" s="994">
        <f ca="1">DATOSAÑO!AK240</f>
        <v>0</v>
      </c>
      <c r="E247" s="994">
        <f ca="1">DATOSAÑO!AD240</f>
        <v>0</v>
      </c>
      <c r="F247" s="994">
        <v>0</v>
      </c>
      <c r="G247" s="994">
        <v>0</v>
      </c>
      <c r="H247" s="994">
        <f ca="1">DATOSAÑO!AI240</f>
        <v>0</v>
      </c>
      <c r="I247" s="994">
        <f ca="1">DATOSAÑO!CJ240</f>
        <v>0</v>
      </c>
      <c r="J247" s="994">
        <v>0</v>
      </c>
      <c r="K247" s="994">
        <f ca="1">DATOSAÑO!AF240</f>
        <v>0</v>
      </c>
      <c r="L247" s="994">
        <f ca="1">+DATOSAÑO!CK240</f>
        <v>0</v>
      </c>
      <c r="M247" s="994">
        <f ca="1">+DATOSAÑO!AK240</f>
        <v>0</v>
      </c>
      <c r="N247" s="994">
        <f ca="1">+DATOSAÑO!AH240</f>
        <v>0</v>
      </c>
      <c r="O247" s="994">
        <f ca="1">DATOSAÑO!AL240</f>
        <v>0</v>
      </c>
      <c r="P247" s="994">
        <f ca="1">+(DATOSAÑO!BH240)+DATOSAÑO!BJ240</f>
        <v>0</v>
      </c>
      <c r="Q247" s="994">
        <f ca="1">+DATOSAÑO!BQ240</f>
        <v>0</v>
      </c>
      <c r="R247" s="1080">
        <f ca="1">DATOSAÑO!BS240+DATOSAÑO!BV240+DATOSAÑO!BY240+DATOSAÑO!CF240+DATOSAÑO!CL240</f>
        <v>0</v>
      </c>
    </row>
    <row r="248" spans="2:18">
      <c r="B248" s="390">
        <v>45157</v>
      </c>
      <c r="C248" s="994">
        <f ca="1">DATOSAÑO!AJ241</f>
        <v>0</v>
      </c>
      <c r="D248" s="994">
        <f ca="1">DATOSAÑO!AK241</f>
        <v>0</v>
      </c>
      <c r="E248" s="994">
        <f ca="1">DATOSAÑO!AD241</f>
        <v>0</v>
      </c>
      <c r="F248" s="994">
        <v>0</v>
      </c>
      <c r="G248" s="994">
        <v>0</v>
      </c>
      <c r="H248" s="994">
        <f ca="1">DATOSAÑO!AI241</f>
        <v>0</v>
      </c>
      <c r="I248" s="994">
        <f ca="1">DATOSAÑO!CJ241</f>
        <v>0</v>
      </c>
      <c r="J248" s="994">
        <v>0</v>
      </c>
      <c r="K248" s="994">
        <f ca="1">DATOSAÑO!AF241</f>
        <v>0</v>
      </c>
      <c r="L248" s="994">
        <f ca="1">+DATOSAÑO!CK241</f>
        <v>0</v>
      </c>
      <c r="M248" s="994">
        <f ca="1">+DATOSAÑO!AK241</f>
        <v>0</v>
      </c>
      <c r="N248" s="994">
        <f ca="1">+DATOSAÑO!AH241</f>
        <v>0</v>
      </c>
      <c r="O248" s="994">
        <f ca="1">DATOSAÑO!AL241</f>
        <v>0</v>
      </c>
      <c r="P248" s="994">
        <f ca="1">+(DATOSAÑO!BH241)+DATOSAÑO!BJ241</f>
        <v>0</v>
      </c>
      <c r="Q248" s="994">
        <f ca="1">+DATOSAÑO!BQ241</f>
        <v>0</v>
      </c>
      <c r="R248" s="1080">
        <f ca="1">DATOSAÑO!BS241+DATOSAÑO!BV241+DATOSAÑO!BY241+DATOSAÑO!CF241+DATOSAÑO!CL241</f>
        <v>0</v>
      </c>
    </row>
    <row r="249" spans="2:18">
      <c r="B249" s="390">
        <v>45158</v>
      </c>
      <c r="C249" s="994">
        <f ca="1">DATOSAÑO!AJ242</f>
        <v>0</v>
      </c>
      <c r="D249" s="994">
        <f ca="1">DATOSAÑO!AK242</f>
        <v>0</v>
      </c>
      <c r="E249" s="994">
        <f ca="1">DATOSAÑO!AD242</f>
        <v>0</v>
      </c>
      <c r="F249" s="994">
        <v>0</v>
      </c>
      <c r="G249" s="994">
        <v>0</v>
      </c>
      <c r="H249" s="994">
        <f ca="1">DATOSAÑO!AI242</f>
        <v>0</v>
      </c>
      <c r="I249" s="994">
        <f ca="1">DATOSAÑO!CJ242</f>
        <v>0</v>
      </c>
      <c r="J249" s="994">
        <v>0</v>
      </c>
      <c r="K249" s="994">
        <f ca="1">DATOSAÑO!AF242</f>
        <v>0</v>
      </c>
      <c r="L249" s="994">
        <f ca="1">+DATOSAÑO!CK242</f>
        <v>0</v>
      </c>
      <c r="M249" s="994">
        <f ca="1">+DATOSAÑO!AK242</f>
        <v>0</v>
      </c>
      <c r="N249" s="994">
        <f ca="1">+DATOSAÑO!AH242</f>
        <v>0</v>
      </c>
      <c r="O249" s="994">
        <f ca="1">DATOSAÑO!AL242</f>
        <v>0</v>
      </c>
      <c r="P249" s="994">
        <f ca="1">+(DATOSAÑO!BH242)+DATOSAÑO!BJ242</f>
        <v>0</v>
      </c>
      <c r="Q249" s="994">
        <f ca="1">+DATOSAÑO!BQ242</f>
        <v>0</v>
      </c>
      <c r="R249" s="1080">
        <f ca="1">DATOSAÑO!BS242+DATOSAÑO!BV242+DATOSAÑO!BY242+DATOSAÑO!CF242+DATOSAÑO!CL242</f>
        <v>0</v>
      </c>
    </row>
    <row r="250" spans="2:18">
      <c r="B250" s="390">
        <v>45159</v>
      </c>
      <c r="C250" s="994">
        <f ca="1">DATOSAÑO!AJ243</f>
        <v>0</v>
      </c>
      <c r="D250" s="994">
        <f ca="1">DATOSAÑO!AK243</f>
        <v>0</v>
      </c>
      <c r="E250" s="994">
        <f ca="1">DATOSAÑO!AD243</f>
        <v>0</v>
      </c>
      <c r="F250" s="994">
        <v>0</v>
      </c>
      <c r="G250" s="994">
        <v>0</v>
      </c>
      <c r="H250" s="994">
        <f ca="1">DATOSAÑO!AI243</f>
        <v>0</v>
      </c>
      <c r="I250" s="994">
        <f ca="1">DATOSAÑO!CJ243</f>
        <v>0</v>
      </c>
      <c r="J250" s="994">
        <v>0</v>
      </c>
      <c r="K250" s="994">
        <f ca="1">DATOSAÑO!AF243</f>
        <v>0</v>
      </c>
      <c r="L250" s="994">
        <f ca="1">+DATOSAÑO!CK243</f>
        <v>0</v>
      </c>
      <c r="M250" s="994">
        <f ca="1">+DATOSAÑO!AK243</f>
        <v>0</v>
      </c>
      <c r="N250" s="994">
        <f ca="1">+DATOSAÑO!AH243</f>
        <v>0</v>
      </c>
      <c r="O250" s="994">
        <f ca="1">DATOSAÑO!AL243</f>
        <v>0</v>
      </c>
      <c r="P250" s="994">
        <f ca="1">+(DATOSAÑO!BH243)+DATOSAÑO!BJ243</f>
        <v>0</v>
      </c>
      <c r="Q250" s="994">
        <f ca="1">+DATOSAÑO!BQ243</f>
        <v>0</v>
      </c>
      <c r="R250" s="1080">
        <f ca="1">DATOSAÑO!BS243+DATOSAÑO!BV243+DATOSAÑO!BY243+DATOSAÑO!CF243+DATOSAÑO!CL243</f>
        <v>0</v>
      </c>
    </row>
    <row r="251" spans="2:18">
      <c r="B251" s="390">
        <v>45160</v>
      </c>
      <c r="C251" s="994">
        <f ca="1">DATOSAÑO!AJ244</f>
        <v>0</v>
      </c>
      <c r="D251" s="994">
        <f ca="1">DATOSAÑO!AK244</f>
        <v>0</v>
      </c>
      <c r="E251" s="994">
        <f ca="1">DATOSAÑO!AD244</f>
        <v>0</v>
      </c>
      <c r="F251" s="994">
        <v>0</v>
      </c>
      <c r="G251" s="994">
        <v>0</v>
      </c>
      <c r="H251" s="994">
        <f ca="1">DATOSAÑO!AI244</f>
        <v>0</v>
      </c>
      <c r="I251" s="994">
        <f ca="1">DATOSAÑO!CJ244</f>
        <v>0</v>
      </c>
      <c r="J251" s="994">
        <v>0</v>
      </c>
      <c r="K251" s="994">
        <f ca="1">DATOSAÑO!AF244</f>
        <v>0</v>
      </c>
      <c r="L251" s="994">
        <f ca="1">+DATOSAÑO!CK244</f>
        <v>0</v>
      </c>
      <c r="M251" s="994">
        <f ca="1">+DATOSAÑO!AK244</f>
        <v>0</v>
      </c>
      <c r="N251" s="994">
        <f ca="1">+DATOSAÑO!AH244</f>
        <v>0</v>
      </c>
      <c r="O251" s="994">
        <f ca="1">DATOSAÑO!AL244</f>
        <v>0</v>
      </c>
      <c r="P251" s="994">
        <f ca="1">+(DATOSAÑO!BH244)+DATOSAÑO!BJ244</f>
        <v>0</v>
      </c>
      <c r="Q251" s="994">
        <f ca="1">+DATOSAÑO!BQ244</f>
        <v>0</v>
      </c>
      <c r="R251" s="1080">
        <f ca="1">DATOSAÑO!BS244+DATOSAÑO!BV244+DATOSAÑO!BY244+DATOSAÑO!CF244+DATOSAÑO!CL244</f>
        <v>0</v>
      </c>
    </row>
    <row r="252" spans="2:18">
      <c r="B252" s="390">
        <v>45161</v>
      </c>
      <c r="C252" s="994">
        <f ca="1">DATOSAÑO!AJ245</f>
        <v>0</v>
      </c>
      <c r="D252" s="994">
        <f ca="1">DATOSAÑO!AK245</f>
        <v>0</v>
      </c>
      <c r="E252" s="994">
        <f ca="1">DATOSAÑO!AD245</f>
        <v>0</v>
      </c>
      <c r="F252" s="994">
        <v>0</v>
      </c>
      <c r="G252" s="994">
        <v>0</v>
      </c>
      <c r="H252" s="994">
        <f ca="1">DATOSAÑO!AI245</f>
        <v>0</v>
      </c>
      <c r="I252" s="994">
        <f ca="1">DATOSAÑO!CJ245</f>
        <v>0</v>
      </c>
      <c r="J252" s="994">
        <v>0</v>
      </c>
      <c r="K252" s="994">
        <f ca="1">DATOSAÑO!AF245</f>
        <v>0</v>
      </c>
      <c r="L252" s="994">
        <f ca="1">+DATOSAÑO!CK245</f>
        <v>0</v>
      </c>
      <c r="M252" s="994">
        <f ca="1">+DATOSAÑO!AK245</f>
        <v>0</v>
      </c>
      <c r="N252" s="994">
        <f ca="1">+DATOSAÑO!AH245</f>
        <v>0</v>
      </c>
      <c r="O252" s="994">
        <f ca="1">DATOSAÑO!AL245</f>
        <v>0</v>
      </c>
      <c r="P252" s="994">
        <f ca="1">+(DATOSAÑO!BH245)+DATOSAÑO!BJ245</f>
        <v>0</v>
      </c>
      <c r="Q252" s="994">
        <f ca="1">+DATOSAÑO!BQ245</f>
        <v>0</v>
      </c>
      <c r="R252" s="1080">
        <f ca="1">DATOSAÑO!BS245+DATOSAÑO!BV245+DATOSAÑO!BY245+DATOSAÑO!CF245+DATOSAÑO!CL245</f>
        <v>0</v>
      </c>
    </row>
    <row r="253" spans="2:18">
      <c r="B253" s="390">
        <v>45162</v>
      </c>
      <c r="C253" s="994">
        <f ca="1">DATOSAÑO!AJ246</f>
        <v>0</v>
      </c>
      <c r="D253" s="994">
        <f ca="1">DATOSAÑO!AK246</f>
        <v>0</v>
      </c>
      <c r="E253" s="994">
        <f ca="1">DATOSAÑO!AD246</f>
        <v>0</v>
      </c>
      <c r="F253" s="994">
        <v>0</v>
      </c>
      <c r="G253" s="994">
        <v>0</v>
      </c>
      <c r="H253" s="994">
        <f ca="1">DATOSAÑO!AI246</f>
        <v>0</v>
      </c>
      <c r="I253" s="994">
        <f ca="1">DATOSAÑO!CJ246</f>
        <v>0</v>
      </c>
      <c r="J253" s="994">
        <v>0</v>
      </c>
      <c r="K253" s="994">
        <f ca="1">DATOSAÑO!AF246</f>
        <v>0</v>
      </c>
      <c r="L253" s="994">
        <f ca="1">+DATOSAÑO!CK246</f>
        <v>0</v>
      </c>
      <c r="M253" s="994">
        <f ca="1">+DATOSAÑO!AK246</f>
        <v>0</v>
      </c>
      <c r="N253" s="994">
        <f ca="1">+DATOSAÑO!AH246</f>
        <v>0</v>
      </c>
      <c r="O253" s="994">
        <f ca="1">DATOSAÑO!AL246</f>
        <v>0</v>
      </c>
      <c r="P253" s="994">
        <f ca="1">+(DATOSAÑO!BH246)+DATOSAÑO!BJ246</f>
        <v>0</v>
      </c>
      <c r="Q253" s="994">
        <f ca="1">+DATOSAÑO!BQ246</f>
        <v>0</v>
      </c>
      <c r="R253" s="1080">
        <f ca="1">DATOSAÑO!BS246+DATOSAÑO!BV246+DATOSAÑO!BY246+DATOSAÑO!CF246+DATOSAÑO!CL246</f>
        <v>0</v>
      </c>
    </row>
    <row r="254" spans="2:18">
      <c r="B254" s="390">
        <v>45163</v>
      </c>
      <c r="C254" s="994">
        <f ca="1">DATOSAÑO!AJ247</f>
        <v>0</v>
      </c>
      <c r="D254" s="994">
        <f ca="1">DATOSAÑO!AK247</f>
        <v>0</v>
      </c>
      <c r="E254" s="994">
        <f ca="1">DATOSAÑO!AD247</f>
        <v>0</v>
      </c>
      <c r="F254" s="994">
        <v>0</v>
      </c>
      <c r="G254" s="994">
        <v>0</v>
      </c>
      <c r="H254" s="994">
        <f ca="1">DATOSAÑO!AI247</f>
        <v>0</v>
      </c>
      <c r="I254" s="994">
        <f ca="1">DATOSAÑO!CJ247</f>
        <v>0</v>
      </c>
      <c r="J254" s="994">
        <v>0</v>
      </c>
      <c r="K254" s="994">
        <f ca="1">DATOSAÑO!AF247</f>
        <v>0</v>
      </c>
      <c r="L254" s="994">
        <f ca="1">+DATOSAÑO!CK247</f>
        <v>0</v>
      </c>
      <c r="M254" s="994">
        <f ca="1">+DATOSAÑO!AK247</f>
        <v>0</v>
      </c>
      <c r="N254" s="994">
        <f ca="1">+DATOSAÑO!AH247</f>
        <v>0</v>
      </c>
      <c r="O254" s="994">
        <f ca="1">DATOSAÑO!AL247</f>
        <v>0</v>
      </c>
      <c r="P254" s="994">
        <f ca="1">+(DATOSAÑO!BH247)+DATOSAÑO!BJ247</f>
        <v>0</v>
      </c>
      <c r="Q254" s="994">
        <f ca="1">+DATOSAÑO!BQ247</f>
        <v>0</v>
      </c>
      <c r="R254" s="1080">
        <f ca="1">DATOSAÑO!BS247+DATOSAÑO!BV247+DATOSAÑO!BY247+DATOSAÑO!CF247+DATOSAÑO!CL247</f>
        <v>0</v>
      </c>
    </row>
    <row r="255" spans="2:18">
      <c r="B255" s="390">
        <v>45164</v>
      </c>
      <c r="C255" s="994">
        <f ca="1">DATOSAÑO!AJ248</f>
        <v>0</v>
      </c>
      <c r="D255" s="994">
        <f ca="1">DATOSAÑO!AK248</f>
        <v>0</v>
      </c>
      <c r="E255" s="994">
        <f ca="1">DATOSAÑO!AD248</f>
        <v>0</v>
      </c>
      <c r="F255" s="994">
        <v>0</v>
      </c>
      <c r="G255" s="994">
        <v>0</v>
      </c>
      <c r="H255" s="994">
        <f ca="1">DATOSAÑO!AI248</f>
        <v>0</v>
      </c>
      <c r="I255" s="994">
        <f ca="1">DATOSAÑO!CJ248</f>
        <v>0</v>
      </c>
      <c r="J255" s="994">
        <v>0</v>
      </c>
      <c r="K255" s="994">
        <f ca="1">DATOSAÑO!AF248</f>
        <v>0</v>
      </c>
      <c r="L255" s="994">
        <f ca="1">+DATOSAÑO!CK248</f>
        <v>0</v>
      </c>
      <c r="M255" s="994">
        <f ca="1">+DATOSAÑO!AK248</f>
        <v>0</v>
      </c>
      <c r="N255" s="994">
        <f ca="1">+DATOSAÑO!AH248</f>
        <v>0</v>
      </c>
      <c r="O255" s="994">
        <f ca="1">DATOSAÑO!AL248</f>
        <v>0</v>
      </c>
      <c r="P255" s="994">
        <f ca="1">+(DATOSAÑO!BH248)+DATOSAÑO!BJ248</f>
        <v>0</v>
      </c>
      <c r="Q255" s="994">
        <f ca="1">+DATOSAÑO!BQ248</f>
        <v>0</v>
      </c>
      <c r="R255" s="1080">
        <f ca="1">DATOSAÑO!BS248+DATOSAÑO!BV248+DATOSAÑO!BY248+DATOSAÑO!CF248+DATOSAÑO!CL248</f>
        <v>0</v>
      </c>
    </row>
    <row r="256" spans="2:18">
      <c r="B256" s="390">
        <v>45165</v>
      </c>
      <c r="C256" s="994">
        <f ca="1">DATOSAÑO!AJ249</f>
        <v>0</v>
      </c>
      <c r="D256" s="994">
        <f ca="1">DATOSAÑO!AK249</f>
        <v>0</v>
      </c>
      <c r="E256" s="994">
        <f ca="1">DATOSAÑO!AD249</f>
        <v>0</v>
      </c>
      <c r="F256" s="994">
        <v>0</v>
      </c>
      <c r="G256" s="994">
        <v>0</v>
      </c>
      <c r="H256" s="994">
        <f ca="1">DATOSAÑO!AI249</f>
        <v>0</v>
      </c>
      <c r="I256" s="994">
        <f ca="1">DATOSAÑO!CJ249</f>
        <v>0</v>
      </c>
      <c r="J256" s="994">
        <v>0</v>
      </c>
      <c r="K256" s="994">
        <f ca="1">DATOSAÑO!AF249</f>
        <v>0</v>
      </c>
      <c r="L256" s="994">
        <f ca="1">+DATOSAÑO!CK249</f>
        <v>0</v>
      </c>
      <c r="M256" s="994">
        <f ca="1">+DATOSAÑO!AK249</f>
        <v>0</v>
      </c>
      <c r="N256" s="994">
        <f ca="1">+DATOSAÑO!AH249</f>
        <v>0</v>
      </c>
      <c r="O256" s="994">
        <f ca="1">DATOSAÑO!AL249</f>
        <v>0</v>
      </c>
      <c r="P256" s="994">
        <f ca="1">+(DATOSAÑO!BH249)+DATOSAÑO!BJ249</f>
        <v>0</v>
      </c>
      <c r="Q256" s="994">
        <f ca="1">+DATOSAÑO!BQ249</f>
        <v>0</v>
      </c>
      <c r="R256" s="1080">
        <f ca="1">DATOSAÑO!BS249+DATOSAÑO!BV249+DATOSAÑO!BY249+DATOSAÑO!CF249+DATOSAÑO!CL249</f>
        <v>0</v>
      </c>
    </row>
    <row r="257" spans="2:18">
      <c r="B257" s="390">
        <v>45166</v>
      </c>
      <c r="C257" s="994">
        <f ca="1">DATOSAÑO!AJ250</f>
        <v>0</v>
      </c>
      <c r="D257" s="994">
        <f ca="1">DATOSAÑO!AK250</f>
        <v>0</v>
      </c>
      <c r="E257" s="994">
        <f ca="1">DATOSAÑO!AD250</f>
        <v>0</v>
      </c>
      <c r="F257" s="994">
        <v>0</v>
      </c>
      <c r="G257" s="994">
        <v>0</v>
      </c>
      <c r="H257" s="994">
        <f ca="1">DATOSAÑO!AI250</f>
        <v>0</v>
      </c>
      <c r="I257" s="994">
        <f ca="1">DATOSAÑO!CJ250</f>
        <v>0</v>
      </c>
      <c r="J257" s="994">
        <v>0</v>
      </c>
      <c r="K257" s="994">
        <f ca="1">DATOSAÑO!AF250</f>
        <v>0</v>
      </c>
      <c r="L257" s="994">
        <f ca="1">+DATOSAÑO!CK250</f>
        <v>0</v>
      </c>
      <c r="M257" s="994">
        <f ca="1">+DATOSAÑO!AK250</f>
        <v>0</v>
      </c>
      <c r="N257" s="994">
        <f ca="1">+DATOSAÑO!AH250</f>
        <v>0</v>
      </c>
      <c r="O257" s="994">
        <f ca="1">DATOSAÑO!AL250</f>
        <v>0</v>
      </c>
      <c r="P257" s="994">
        <f ca="1">+(DATOSAÑO!BH250)+DATOSAÑO!BJ250</f>
        <v>0</v>
      </c>
      <c r="Q257" s="994">
        <f ca="1">+DATOSAÑO!BQ250</f>
        <v>0</v>
      </c>
      <c r="R257" s="1080">
        <f ca="1">DATOSAÑO!BS250+DATOSAÑO!BV250+DATOSAÑO!BY250+DATOSAÑO!CF250+DATOSAÑO!CL250</f>
        <v>0</v>
      </c>
    </row>
    <row r="258" spans="2:18">
      <c r="B258" s="390">
        <v>45167</v>
      </c>
      <c r="C258" s="994">
        <f ca="1">DATOSAÑO!AJ251</f>
        <v>0</v>
      </c>
      <c r="D258" s="994">
        <f ca="1">DATOSAÑO!AK251</f>
        <v>0</v>
      </c>
      <c r="E258" s="994">
        <f ca="1">DATOSAÑO!AD251</f>
        <v>0</v>
      </c>
      <c r="F258" s="994">
        <v>0</v>
      </c>
      <c r="G258" s="994">
        <v>0</v>
      </c>
      <c r="H258" s="994">
        <f ca="1">DATOSAÑO!AI251</f>
        <v>0</v>
      </c>
      <c r="I258" s="994">
        <f ca="1">DATOSAÑO!CJ251</f>
        <v>0</v>
      </c>
      <c r="J258" s="994">
        <v>0</v>
      </c>
      <c r="K258" s="994">
        <f ca="1">DATOSAÑO!AF251</f>
        <v>0</v>
      </c>
      <c r="L258" s="994">
        <f ca="1">+DATOSAÑO!CK251</f>
        <v>0</v>
      </c>
      <c r="M258" s="994">
        <f ca="1">+DATOSAÑO!AK251</f>
        <v>0</v>
      </c>
      <c r="N258" s="994">
        <f ca="1">+DATOSAÑO!AH251</f>
        <v>0</v>
      </c>
      <c r="O258" s="994">
        <f ca="1">DATOSAÑO!AL251</f>
        <v>0</v>
      </c>
      <c r="P258" s="994">
        <f ca="1">+(DATOSAÑO!BH251)+DATOSAÑO!BJ251</f>
        <v>0</v>
      </c>
      <c r="Q258" s="994">
        <f ca="1">+DATOSAÑO!BQ251</f>
        <v>0</v>
      </c>
      <c r="R258" s="1080">
        <f ca="1">DATOSAÑO!BS251+DATOSAÑO!BV251+DATOSAÑO!BY251+DATOSAÑO!CF251+DATOSAÑO!CL251</f>
        <v>0</v>
      </c>
    </row>
    <row r="259" spans="2:18">
      <c r="B259" s="390">
        <v>45168</v>
      </c>
      <c r="C259" s="994">
        <f ca="1">DATOSAÑO!AJ252</f>
        <v>0</v>
      </c>
      <c r="D259" s="994">
        <f ca="1">DATOSAÑO!AK252</f>
        <v>0</v>
      </c>
      <c r="E259" s="994">
        <f ca="1">DATOSAÑO!AD252</f>
        <v>0</v>
      </c>
      <c r="F259" s="994">
        <v>0</v>
      </c>
      <c r="G259" s="994">
        <v>0</v>
      </c>
      <c r="H259" s="994">
        <f ca="1">DATOSAÑO!AI252</f>
        <v>0</v>
      </c>
      <c r="I259" s="994">
        <f ca="1">DATOSAÑO!CJ252</f>
        <v>0</v>
      </c>
      <c r="J259" s="994">
        <v>0</v>
      </c>
      <c r="K259" s="994">
        <f ca="1">DATOSAÑO!AF252</f>
        <v>0</v>
      </c>
      <c r="L259" s="994">
        <f ca="1">+DATOSAÑO!CK252</f>
        <v>0</v>
      </c>
      <c r="M259" s="994">
        <f ca="1">+DATOSAÑO!AK252</f>
        <v>0</v>
      </c>
      <c r="N259" s="994">
        <f ca="1">+DATOSAÑO!AH252</f>
        <v>0</v>
      </c>
      <c r="O259" s="994">
        <f ca="1">DATOSAÑO!AL252</f>
        <v>0</v>
      </c>
      <c r="P259" s="994">
        <f ca="1">+(DATOSAÑO!BH252)+DATOSAÑO!BJ252</f>
        <v>0</v>
      </c>
      <c r="Q259" s="994">
        <f ca="1">+DATOSAÑO!BQ252</f>
        <v>0</v>
      </c>
      <c r="R259" s="1080">
        <f ca="1">DATOSAÑO!BS252+DATOSAÑO!BV252+DATOSAÑO!BY252+DATOSAÑO!CF252+DATOSAÑO!CL252</f>
        <v>0</v>
      </c>
    </row>
    <row r="260" spans="2:18" ht="15" thickBot="1">
      <c r="B260" s="390">
        <v>45169</v>
      </c>
      <c r="C260" s="994">
        <f ca="1">DATOSAÑO!AJ253</f>
        <v>0</v>
      </c>
      <c r="D260" s="994">
        <f ca="1">DATOSAÑO!AK253</f>
        <v>0</v>
      </c>
      <c r="E260" s="994">
        <f ca="1">DATOSAÑO!AD253</f>
        <v>0</v>
      </c>
      <c r="F260" s="994">
        <v>0</v>
      </c>
      <c r="G260" s="994">
        <v>0</v>
      </c>
      <c r="H260" s="994">
        <f ca="1">DATOSAÑO!AI253</f>
        <v>0</v>
      </c>
      <c r="I260" s="994">
        <f ca="1">DATOSAÑO!CJ253</f>
        <v>0</v>
      </c>
      <c r="J260" s="994">
        <v>0</v>
      </c>
      <c r="K260" s="994">
        <f ca="1">DATOSAÑO!AF253</f>
        <v>0</v>
      </c>
      <c r="L260" s="994">
        <f ca="1">+DATOSAÑO!CK253</f>
        <v>0</v>
      </c>
      <c r="M260" s="994">
        <f ca="1">+DATOSAÑO!AK253</f>
        <v>0</v>
      </c>
      <c r="N260" s="994">
        <f ca="1">+DATOSAÑO!AH253</f>
        <v>0</v>
      </c>
      <c r="O260" s="994">
        <f ca="1">DATOSAÑO!AL253</f>
        <v>0</v>
      </c>
      <c r="P260" s="994">
        <f ca="1">+(DATOSAÑO!BH253)+DATOSAÑO!BJ253</f>
        <v>0</v>
      </c>
      <c r="Q260" s="994">
        <f ca="1">+DATOSAÑO!BQ253</f>
        <v>0</v>
      </c>
      <c r="R260" s="1080">
        <f ca="1">DATOSAÑO!BS253+DATOSAÑO!BV253+DATOSAÑO!BY253+DATOSAÑO!CF253+DATOSAÑO!CL253</f>
        <v>0</v>
      </c>
    </row>
    <row r="261" spans="2:18" ht="15" thickBot="1">
      <c r="B261" s="1268" t="s">
        <v>1131</v>
      </c>
      <c r="C261" s="1267">
        <f t="shared" ref="C261:R261" ca="1" si="7">SUM(C230:C260)</f>
        <v>0</v>
      </c>
      <c r="D261" s="1030">
        <f t="shared" ca="1" si="7"/>
        <v>0</v>
      </c>
      <c r="E261" s="1030">
        <f t="shared" ca="1" si="7"/>
        <v>0</v>
      </c>
      <c r="F261" s="1030">
        <f t="shared" si="7"/>
        <v>0</v>
      </c>
      <c r="G261" s="1030">
        <f t="shared" si="7"/>
        <v>0</v>
      </c>
      <c r="H261" s="1030">
        <f t="shared" ca="1" si="7"/>
        <v>0</v>
      </c>
      <c r="I261" s="1030">
        <f t="shared" ca="1" si="7"/>
        <v>0</v>
      </c>
      <c r="J261" s="1030">
        <f t="shared" si="7"/>
        <v>0</v>
      </c>
      <c r="K261" s="1030">
        <f t="shared" ca="1" si="7"/>
        <v>0</v>
      </c>
      <c r="L261" s="1030">
        <f t="shared" ca="1" si="7"/>
        <v>0</v>
      </c>
      <c r="M261" s="1030">
        <f t="shared" ca="1" si="7"/>
        <v>0</v>
      </c>
      <c r="N261" s="1030">
        <f t="shared" ca="1" si="7"/>
        <v>0</v>
      </c>
      <c r="O261" s="1030">
        <f t="shared" ca="1" si="7"/>
        <v>0</v>
      </c>
      <c r="P261" s="1030">
        <f t="shared" ca="1" si="7"/>
        <v>0</v>
      </c>
      <c r="Q261" s="1081">
        <f t="shared" ca="1" si="7"/>
        <v>0</v>
      </c>
      <c r="R261" s="1081">
        <f t="shared" ca="1" si="7"/>
        <v>0</v>
      </c>
    </row>
    <row r="262" spans="2:18">
      <c r="B262" s="390">
        <v>45170</v>
      </c>
      <c r="C262" s="994">
        <f ca="1">DATOSAÑO!AJ254</f>
        <v>0</v>
      </c>
      <c r="D262" s="994">
        <f ca="1">DATOSAÑO!AK254</f>
        <v>0</v>
      </c>
      <c r="E262" s="994">
        <f ca="1">DATOSAÑO!AD254</f>
        <v>0</v>
      </c>
      <c r="F262" s="994">
        <v>0</v>
      </c>
      <c r="G262" s="994">
        <v>0</v>
      </c>
      <c r="H262" s="994">
        <f ca="1">DATOSAÑO!AI254</f>
        <v>0</v>
      </c>
      <c r="I262" s="994">
        <f ca="1">DATOSAÑO!CJ254</f>
        <v>0</v>
      </c>
      <c r="J262" s="994">
        <v>0</v>
      </c>
      <c r="K262" s="994">
        <f ca="1">DATOSAÑO!AF254</f>
        <v>0</v>
      </c>
      <c r="L262" s="994">
        <f ca="1">+DATOSAÑO!CK254</f>
        <v>0</v>
      </c>
      <c r="M262" s="994">
        <f ca="1">+DATOSAÑO!AK254</f>
        <v>0</v>
      </c>
      <c r="N262" s="994">
        <f ca="1">+DATOSAÑO!AH254</f>
        <v>0</v>
      </c>
      <c r="O262" s="994">
        <f ca="1">DATOSAÑO!AL254</f>
        <v>0</v>
      </c>
      <c r="P262" s="994">
        <f ca="1">+(DATOSAÑO!BH254)+DATOSAÑO!BJ254</f>
        <v>0</v>
      </c>
      <c r="Q262" s="994">
        <f ca="1">+DATOSAÑO!BQ254</f>
        <v>0</v>
      </c>
      <c r="R262" s="1080">
        <f ca="1">DATOSAÑO!BS254+DATOSAÑO!BV254+DATOSAÑO!BY254+DATOSAÑO!CF254+DATOSAÑO!CL254</f>
        <v>0</v>
      </c>
    </row>
    <row r="263" spans="2:18">
      <c r="B263" s="390">
        <v>45171</v>
      </c>
      <c r="C263" s="994">
        <f ca="1">DATOSAÑO!AJ255</f>
        <v>0</v>
      </c>
      <c r="D263" s="994">
        <f ca="1">DATOSAÑO!AK255</f>
        <v>0</v>
      </c>
      <c r="E263" s="994">
        <f ca="1">DATOSAÑO!AD255</f>
        <v>0</v>
      </c>
      <c r="F263" s="994">
        <v>0</v>
      </c>
      <c r="G263" s="994">
        <v>0</v>
      </c>
      <c r="H263" s="994">
        <f ca="1">DATOSAÑO!AI255</f>
        <v>0</v>
      </c>
      <c r="I263" s="994">
        <f ca="1">DATOSAÑO!CJ255</f>
        <v>0</v>
      </c>
      <c r="J263" s="994">
        <v>0</v>
      </c>
      <c r="K263" s="994">
        <f ca="1">DATOSAÑO!AF255</f>
        <v>0</v>
      </c>
      <c r="L263" s="994">
        <f ca="1">+DATOSAÑO!CK255</f>
        <v>0</v>
      </c>
      <c r="M263" s="994">
        <f ca="1">+DATOSAÑO!AK255</f>
        <v>0</v>
      </c>
      <c r="N263" s="994">
        <f ca="1">+DATOSAÑO!AH255</f>
        <v>0</v>
      </c>
      <c r="O263" s="994">
        <f ca="1">DATOSAÑO!AL255</f>
        <v>0</v>
      </c>
      <c r="P263" s="994">
        <f ca="1">+(DATOSAÑO!BH255)+DATOSAÑO!BJ255</f>
        <v>0</v>
      </c>
      <c r="Q263" s="994">
        <f ca="1">+DATOSAÑO!BQ255</f>
        <v>0</v>
      </c>
      <c r="R263" s="1080">
        <f ca="1">DATOSAÑO!BS255+DATOSAÑO!BV255+DATOSAÑO!BY255+DATOSAÑO!CF255+DATOSAÑO!CL255</f>
        <v>0</v>
      </c>
    </row>
    <row r="264" spans="2:18">
      <c r="B264" s="390">
        <v>45172</v>
      </c>
      <c r="C264" s="994">
        <f ca="1">DATOSAÑO!AJ256</f>
        <v>0</v>
      </c>
      <c r="D264" s="994">
        <f ca="1">DATOSAÑO!AK256</f>
        <v>0</v>
      </c>
      <c r="E264" s="994">
        <f ca="1">DATOSAÑO!AD256</f>
        <v>0</v>
      </c>
      <c r="F264" s="994">
        <v>0</v>
      </c>
      <c r="G264" s="994">
        <v>0</v>
      </c>
      <c r="H264" s="994">
        <f ca="1">DATOSAÑO!AI256</f>
        <v>0</v>
      </c>
      <c r="I264" s="994">
        <f ca="1">DATOSAÑO!CJ256</f>
        <v>0</v>
      </c>
      <c r="J264" s="994">
        <v>0</v>
      </c>
      <c r="K264" s="994">
        <f ca="1">DATOSAÑO!AF256</f>
        <v>0</v>
      </c>
      <c r="L264" s="994">
        <f ca="1">+DATOSAÑO!CK256</f>
        <v>0</v>
      </c>
      <c r="M264" s="994">
        <f ca="1">+DATOSAÑO!AK256</f>
        <v>0</v>
      </c>
      <c r="N264" s="994">
        <f ca="1">+DATOSAÑO!AH256</f>
        <v>0</v>
      </c>
      <c r="O264" s="994">
        <f ca="1">DATOSAÑO!AL256</f>
        <v>0</v>
      </c>
      <c r="P264" s="994">
        <f ca="1">+(DATOSAÑO!BH256)+DATOSAÑO!BJ256</f>
        <v>0</v>
      </c>
      <c r="Q264" s="994">
        <f ca="1">+DATOSAÑO!BQ256</f>
        <v>0</v>
      </c>
      <c r="R264" s="1080">
        <f ca="1">DATOSAÑO!BS256+DATOSAÑO!BV256+DATOSAÑO!BY256+DATOSAÑO!CF256+DATOSAÑO!CL256</f>
        <v>0</v>
      </c>
    </row>
    <row r="265" spans="2:18">
      <c r="B265" s="390">
        <v>45173</v>
      </c>
      <c r="C265" s="994">
        <f ca="1">DATOSAÑO!AJ257</f>
        <v>0</v>
      </c>
      <c r="D265" s="994">
        <f ca="1">DATOSAÑO!AK257</f>
        <v>0</v>
      </c>
      <c r="E265" s="994">
        <f ca="1">DATOSAÑO!AD257</f>
        <v>0</v>
      </c>
      <c r="F265" s="994">
        <v>0</v>
      </c>
      <c r="G265" s="994">
        <v>0</v>
      </c>
      <c r="H265" s="994">
        <f ca="1">DATOSAÑO!AI257</f>
        <v>0</v>
      </c>
      <c r="I265" s="994">
        <f ca="1">DATOSAÑO!CJ257</f>
        <v>0</v>
      </c>
      <c r="J265" s="994">
        <v>0</v>
      </c>
      <c r="K265" s="994">
        <f ca="1">DATOSAÑO!AF257</f>
        <v>0</v>
      </c>
      <c r="L265" s="994">
        <f ca="1">+DATOSAÑO!CK257</f>
        <v>0</v>
      </c>
      <c r="M265" s="994">
        <f ca="1">+DATOSAÑO!AK257</f>
        <v>0</v>
      </c>
      <c r="N265" s="994">
        <f ca="1">+DATOSAÑO!AH257</f>
        <v>0</v>
      </c>
      <c r="O265" s="994">
        <f ca="1">DATOSAÑO!AL257</f>
        <v>0</v>
      </c>
      <c r="P265" s="994">
        <f ca="1">+(DATOSAÑO!BH257)+DATOSAÑO!BJ257</f>
        <v>0</v>
      </c>
      <c r="Q265" s="994">
        <f ca="1">+DATOSAÑO!BQ257</f>
        <v>0</v>
      </c>
      <c r="R265" s="1080">
        <f ca="1">DATOSAÑO!BS257+DATOSAÑO!BV257+DATOSAÑO!BY257+DATOSAÑO!CF257+DATOSAÑO!CL257</f>
        <v>0</v>
      </c>
    </row>
    <row r="266" spans="2:18">
      <c r="B266" s="390">
        <v>45174</v>
      </c>
      <c r="C266" s="994">
        <f ca="1">DATOSAÑO!AJ258</f>
        <v>0</v>
      </c>
      <c r="D266" s="994">
        <f ca="1">DATOSAÑO!AK258</f>
        <v>0</v>
      </c>
      <c r="E266" s="994">
        <f ca="1">DATOSAÑO!AD258</f>
        <v>0</v>
      </c>
      <c r="F266" s="994">
        <v>0</v>
      </c>
      <c r="G266" s="994">
        <v>0</v>
      </c>
      <c r="H266" s="994">
        <f ca="1">DATOSAÑO!AI258</f>
        <v>0</v>
      </c>
      <c r="I266" s="994">
        <f ca="1">DATOSAÑO!CJ258</f>
        <v>0</v>
      </c>
      <c r="J266" s="994">
        <v>0</v>
      </c>
      <c r="K266" s="994">
        <f ca="1">DATOSAÑO!AF258</f>
        <v>0</v>
      </c>
      <c r="L266" s="994">
        <f ca="1">+DATOSAÑO!CK258</f>
        <v>0</v>
      </c>
      <c r="M266" s="994">
        <f ca="1">+DATOSAÑO!AK258</f>
        <v>0</v>
      </c>
      <c r="N266" s="994">
        <f ca="1">+DATOSAÑO!AH258</f>
        <v>0</v>
      </c>
      <c r="O266" s="994">
        <f ca="1">DATOSAÑO!AL258</f>
        <v>0</v>
      </c>
      <c r="P266" s="994">
        <f ca="1">+(DATOSAÑO!BH258)+DATOSAÑO!BJ258</f>
        <v>0</v>
      </c>
      <c r="Q266" s="994">
        <f ca="1">+DATOSAÑO!BQ258</f>
        <v>0</v>
      </c>
      <c r="R266" s="1080">
        <f ca="1">DATOSAÑO!BS258+DATOSAÑO!BV258+DATOSAÑO!BY258+DATOSAÑO!CF258+DATOSAÑO!CL258</f>
        <v>0</v>
      </c>
    </row>
    <row r="267" spans="2:18">
      <c r="B267" s="390">
        <v>45175</v>
      </c>
      <c r="C267" s="994">
        <f ca="1">DATOSAÑO!AJ259</f>
        <v>0</v>
      </c>
      <c r="D267" s="994">
        <f ca="1">DATOSAÑO!AK259</f>
        <v>0</v>
      </c>
      <c r="E267" s="994">
        <f ca="1">DATOSAÑO!AD259</f>
        <v>0</v>
      </c>
      <c r="F267" s="994">
        <v>0</v>
      </c>
      <c r="G267" s="994">
        <v>0</v>
      </c>
      <c r="H267" s="994">
        <f ca="1">DATOSAÑO!AI259</f>
        <v>0</v>
      </c>
      <c r="I267" s="994">
        <f ca="1">DATOSAÑO!CJ259</f>
        <v>0</v>
      </c>
      <c r="J267" s="994">
        <v>0</v>
      </c>
      <c r="K267" s="994">
        <f ca="1">DATOSAÑO!AF259</f>
        <v>0</v>
      </c>
      <c r="L267" s="994">
        <f ca="1">+DATOSAÑO!CK259</f>
        <v>0</v>
      </c>
      <c r="M267" s="994">
        <f ca="1">+DATOSAÑO!AK259</f>
        <v>0</v>
      </c>
      <c r="N267" s="994">
        <f ca="1">+DATOSAÑO!AH259</f>
        <v>0</v>
      </c>
      <c r="O267" s="994">
        <f ca="1">DATOSAÑO!AL259</f>
        <v>0</v>
      </c>
      <c r="P267" s="994">
        <f ca="1">+(DATOSAÑO!BH259)+DATOSAÑO!BJ259</f>
        <v>0</v>
      </c>
      <c r="Q267" s="994">
        <f ca="1">+DATOSAÑO!BQ259</f>
        <v>0</v>
      </c>
      <c r="R267" s="1080">
        <f ca="1">DATOSAÑO!BS259+DATOSAÑO!BV259+DATOSAÑO!BY259+DATOSAÑO!CF259+DATOSAÑO!CL259</f>
        <v>0</v>
      </c>
    </row>
    <row r="268" spans="2:18">
      <c r="B268" s="390">
        <v>45176</v>
      </c>
      <c r="C268" s="994">
        <f ca="1">DATOSAÑO!AJ260</f>
        <v>0</v>
      </c>
      <c r="D268" s="994">
        <f ca="1">DATOSAÑO!AK260</f>
        <v>0</v>
      </c>
      <c r="E268" s="994">
        <f ca="1">DATOSAÑO!AD260</f>
        <v>0</v>
      </c>
      <c r="F268" s="994">
        <v>0</v>
      </c>
      <c r="G268" s="994">
        <v>0</v>
      </c>
      <c r="H268" s="994">
        <f ca="1">DATOSAÑO!AI260</f>
        <v>0</v>
      </c>
      <c r="I268" s="994">
        <f ca="1">DATOSAÑO!CJ260</f>
        <v>0</v>
      </c>
      <c r="J268" s="994">
        <v>0</v>
      </c>
      <c r="K268" s="994">
        <f ca="1">DATOSAÑO!AF260</f>
        <v>0</v>
      </c>
      <c r="L268" s="994">
        <f ca="1">+DATOSAÑO!CK260</f>
        <v>0</v>
      </c>
      <c r="M268" s="994">
        <f ca="1">+DATOSAÑO!AK260</f>
        <v>0</v>
      </c>
      <c r="N268" s="994">
        <f ca="1">+DATOSAÑO!AH260</f>
        <v>0</v>
      </c>
      <c r="O268" s="994">
        <f ca="1">DATOSAÑO!AL260</f>
        <v>0</v>
      </c>
      <c r="P268" s="994">
        <f ca="1">+(DATOSAÑO!BH260)+DATOSAÑO!BJ260</f>
        <v>0</v>
      </c>
      <c r="Q268" s="994">
        <f ca="1">+DATOSAÑO!BQ260</f>
        <v>0</v>
      </c>
      <c r="R268" s="1080">
        <f ca="1">DATOSAÑO!BS260+DATOSAÑO!BV260+DATOSAÑO!BY260+DATOSAÑO!CF260+DATOSAÑO!CL260</f>
        <v>0</v>
      </c>
    </row>
    <row r="269" spans="2:18">
      <c r="B269" s="390">
        <v>45177</v>
      </c>
      <c r="C269" s="994">
        <f ca="1">DATOSAÑO!AJ261</f>
        <v>0</v>
      </c>
      <c r="D269" s="994">
        <f ca="1">DATOSAÑO!AK261</f>
        <v>0</v>
      </c>
      <c r="E269" s="994">
        <f ca="1">DATOSAÑO!AD261</f>
        <v>0</v>
      </c>
      <c r="F269" s="994">
        <v>0</v>
      </c>
      <c r="G269" s="994">
        <v>0</v>
      </c>
      <c r="H269" s="994">
        <f ca="1">DATOSAÑO!AI261</f>
        <v>0</v>
      </c>
      <c r="I269" s="994">
        <f ca="1">DATOSAÑO!CJ261</f>
        <v>0</v>
      </c>
      <c r="J269" s="994">
        <v>0</v>
      </c>
      <c r="K269" s="994">
        <f ca="1">DATOSAÑO!AF261</f>
        <v>0</v>
      </c>
      <c r="L269" s="994">
        <f ca="1">+DATOSAÑO!CK261</f>
        <v>0</v>
      </c>
      <c r="M269" s="994">
        <f ca="1">+DATOSAÑO!AK261</f>
        <v>0</v>
      </c>
      <c r="N269" s="994">
        <f ca="1">+DATOSAÑO!AH261</f>
        <v>0</v>
      </c>
      <c r="O269" s="994">
        <f ca="1">DATOSAÑO!AL261</f>
        <v>0</v>
      </c>
      <c r="P269" s="994">
        <f ca="1">+(DATOSAÑO!BH261)+DATOSAÑO!BJ261</f>
        <v>0</v>
      </c>
      <c r="Q269" s="994">
        <f ca="1">+DATOSAÑO!BQ261</f>
        <v>0</v>
      </c>
      <c r="R269" s="1080">
        <f ca="1">DATOSAÑO!BS261+DATOSAÑO!BV261+DATOSAÑO!BY261+DATOSAÑO!CF261+DATOSAÑO!CL261</f>
        <v>0</v>
      </c>
    </row>
    <row r="270" spans="2:18">
      <c r="B270" s="390">
        <v>45178</v>
      </c>
      <c r="C270" s="994">
        <f ca="1">DATOSAÑO!AJ262</f>
        <v>0</v>
      </c>
      <c r="D270" s="994">
        <f ca="1">DATOSAÑO!AK262</f>
        <v>0</v>
      </c>
      <c r="E270" s="994">
        <f ca="1">DATOSAÑO!AD262</f>
        <v>0</v>
      </c>
      <c r="F270" s="994">
        <v>0</v>
      </c>
      <c r="G270" s="994">
        <v>0</v>
      </c>
      <c r="H270" s="994">
        <f ca="1">DATOSAÑO!AI262</f>
        <v>0</v>
      </c>
      <c r="I270" s="994">
        <f ca="1">DATOSAÑO!CJ262</f>
        <v>0</v>
      </c>
      <c r="J270" s="994">
        <v>0</v>
      </c>
      <c r="K270" s="994">
        <f ca="1">DATOSAÑO!AF262</f>
        <v>0</v>
      </c>
      <c r="L270" s="994">
        <f ca="1">+DATOSAÑO!CK262</f>
        <v>0</v>
      </c>
      <c r="M270" s="994">
        <f ca="1">+DATOSAÑO!AK262</f>
        <v>0</v>
      </c>
      <c r="N270" s="994">
        <f ca="1">+DATOSAÑO!AH262</f>
        <v>0</v>
      </c>
      <c r="O270" s="994">
        <f ca="1">DATOSAÑO!AL262</f>
        <v>0</v>
      </c>
      <c r="P270" s="994">
        <f ca="1">+(DATOSAÑO!BH262)+DATOSAÑO!BJ262</f>
        <v>0</v>
      </c>
      <c r="Q270" s="994">
        <f ca="1">+DATOSAÑO!BQ262</f>
        <v>0</v>
      </c>
      <c r="R270" s="1080">
        <f ca="1">DATOSAÑO!BS262+DATOSAÑO!BV262+DATOSAÑO!BY262+DATOSAÑO!CF262+DATOSAÑO!CL262</f>
        <v>0</v>
      </c>
    </row>
    <row r="271" spans="2:18">
      <c r="B271" s="390">
        <v>45179</v>
      </c>
      <c r="C271" s="994">
        <f ca="1">DATOSAÑO!AJ263</f>
        <v>0</v>
      </c>
      <c r="D271" s="994">
        <f ca="1">DATOSAÑO!AK263</f>
        <v>0</v>
      </c>
      <c r="E271" s="994">
        <f ca="1">DATOSAÑO!AD263</f>
        <v>0</v>
      </c>
      <c r="F271" s="994">
        <v>0</v>
      </c>
      <c r="G271" s="994">
        <v>0</v>
      </c>
      <c r="H271" s="994">
        <f ca="1">DATOSAÑO!AI263</f>
        <v>0</v>
      </c>
      <c r="I271" s="994">
        <f ca="1">DATOSAÑO!CJ263</f>
        <v>0</v>
      </c>
      <c r="J271" s="994">
        <v>0</v>
      </c>
      <c r="K271" s="994">
        <f ca="1">DATOSAÑO!AF263</f>
        <v>0</v>
      </c>
      <c r="L271" s="994">
        <f ca="1">+DATOSAÑO!CK263</f>
        <v>0</v>
      </c>
      <c r="M271" s="994">
        <f ca="1">+DATOSAÑO!AK263</f>
        <v>0</v>
      </c>
      <c r="N271" s="994">
        <f ca="1">+DATOSAÑO!AH263</f>
        <v>0</v>
      </c>
      <c r="O271" s="994">
        <f ca="1">DATOSAÑO!AL263</f>
        <v>0</v>
      </c>
      <c r="P271" s="994">
        <f ca="1">+(DATOSAÑO!BH263)+DATOSAÑO!BJ263</f>
        <v>0</v>
      </c>
      <c r="Q271" s="994">
        <f ca="1">+DATOSAÑO!BQ263</f>
        <v>0</v>
      </c>
      <c r="R271" s="1080">
        <f ca="1">DATOSAÑO!BS263+DATOSAÑO!BV263+DATOSAÑO!BY263+DATOSAÑO!CF263+DATOSAÑO!CL263</f>
        <v>0</v>
      </c>
    </row>
    <row r="272" spans="2:18">
      <c r="B272" s="390">
        <v>45180</v>
      </c>
      <c r="C272" s="994">
        <f ca="1">DATOSAÑO!AJ264</f>
        <v>0</v>
      </c>
      <c r="D272" s="994">
        <f ca="1">DATOSAÑO!AK264</f>
        <v>0</v>
      </c>
      <c r="E272" s="994">
        <f ca="1">DATOSAÑO!AD264</f>
        <v>0</v>
      </c>
      <c r="F272" s="994">
        <v>0</v>
      </c>
      <c r="G272" s="994">
        <v>0</v>
      </c>
      <c r="H272" s="994">
        <f ca="1">DATOSAÑO!AI264</f>
        <v>0</v>
      </c>
      <c r="I272" s="994">
        <f ca="1">DATOSAÑO!CJ264</f>
        <v>0</v>
      </c>
      <c r="J272" s="994">
        <v>0</v>
      </c>
      <c r="K272" s="994">
        <f ca="1">DATOSAÑO!AF264</f>
        <v>0</v>
      </c>
      <c r="L272" s="994">
        <f ca="1">+DATOSAÑO!CK264</f>
        <v>0</v>
      </c>
      <c r="M272" s="994">
        <f ca="1">+DATOSAÑO!AK264</f>
        <v>0</v>
      </c>
      <c r="N272" s="994">
        <f ca="1">+DATOSAÑO!AH264</f>
        <v>0</v>
      </c>
      <c r="O272" s="994">
        <f ca="1">DATOSAÑO!AL264</f>
        <v>0</v>
      </c>
      <c r="P272" s="994">
        <f ca="1">+(DATOSAÑO!BH264)+DATOSAÑO!BJ264</f>
        <v>0</v>
      </c>
      <c r="Q272" s="994">
        <f ca="1">+DATOSAÑO!BQ264</f>
        <v>0</v>
      </c>
      <c r="R272" s="1080">
        <f ca="1">DATOSAÑO!BS264+DATOSAÑO!BV264+DATOSAÑO!BY264+DATOSAÑO!CF264+DATOSAÑO!CL264</f>
        <v>0</v>
      </c>
    </row>
    <row r="273" spans="2:18">
      <c r="B273" s="390">
        <v>45181</v>
      </c>
      <c r="C273" s="994">
        <f ca="1">DATOSAÑO!AJ265</f>
        <v>0</v>
      </c>
      <c r="D273" s="994">
        <f ca="1">DATOSAÑO!AK265</f>
        <v>0</v>
      </c>
      <c r="E273" s="994">
        <f ca="1">DATOSAÑO!AD265</f>
        <v>0</v>
      </c>
      <c r="F273" s="994">
        <v>0</v>
      </c>
      <c r="G273" s="994">
        <v>0</v>
      </c>
      <c r="H273" s="994">
        <f ca="1">DATOSAÑO!AI265</f>
        <v>0</v>
      </c>
      <c r="I273" s="994">
        <f ca="1">DATOSAÑO!CJ265</f>
        <v>0</v>
      </c>
      <c r="J273" s="994">
        <v>0</v>
      </c>
      <c r="K273" s="994">
        <f ca="1">DATOSAÑO!AF265</f>
        <v>0</v>
      </c>
      <c r="L273" s="994">
        <f ca="1">+DATOSAÑO!CK265</f>
        <v>0</v>
      </c>
      <c r="M273" s="994">
        <f ca="1">+DATOSAÑO!AK265</f>
        <v>0</v>
      </c>
      <c r="N273" s="994">
        <f ca="1">+DATOSAÑO!AH265</f>
        <v>0</v>
      </c>
      <c r="O273" s="994">
        <f ca="1">DATOSAÑO!AL265</f>
        <v>0</v>
      </c>
      <c r="P273" s="994">
        <f ca="1">+(DATOSAÑO!BH265)+DATOSAÑO!BJ265</f>
        <v>0</v>
      </c>
      <c r="Q273" s="994">
        <f ca="1">+DATOSAÑO!BQ265</f>
        <v>0</v>
      </c>
      <c r="R273" s="1080">
        <f ca="1">DATOSAÑO!BS265+DATOSAÑO!BV265+DATOSAÑO!BY265+DATOSAÑO!CF265+DATOSAÑO!CL265</f>
        <v>0</v>
      </c>
    </row>
    <row r="274" spans="2:18">
      <c r="B274" s="390">
        <v>45182</v>
      </c>
      <c r="C274" s="994">
        <f ca="1">DATOSAÑO!AJ266</f>
        <v>0</v>
      </c>
      <c r="D274" s="994">
        <f ca="1">DATOSAÑO!AK266</f>
        <v>0</v>
      </c>
      <c r="E274" s="994">
        <f ca="1">DATOSAÑO!AD266</f>
        <v>0</v>
      </c>
      <c r="F274" s="994">
        <v>0</v>
      </c>
      <c r="G274" s="994">
        <v>0</v>
      </c>
      <c r="H274" s="994">
        <f ca="1">DATOSAÑO!AI266</f>
        <v>0</v>
      </c>
      <c r="I274" s="994">
        <f ca="1">DATOSAÑO!CJ266</f>
        <v>0</v>
      </c>
      <c r="J274" s="994">
        <v>0</v>
      </c>
      <c r="K274" s="994">
        <f ca="1">DATOSAÑO!AF266</f>
        <v>0</v>
      </c>
      <c r="L274" s="994">
        <f ca="1">+DATOSAÑO!CK266</f>
        <v>0</v>
      </c>
      <c r="M274" s="994">
        <f ca="1">+DATOSAÑO!AK266</f>
        <v>0</v>
      </c>
      <c r="N274" s="994">
        <f ca="1">+DATOSAÑO!AH266</f>
        <v>0</v>
      </c>
      <c r="O274" s="994">
        <f ca="1">DATOSAÑO!AL266</f>
        <v>0</v>
      </c>
      <c r="P274" s="994">
        <f ca="1">+(DATOSAÑO!BH266)+DATOSAÑO!BJ266</f>
        <v>0</v>
      </c>
      <c r="Q274" s="994">
        <f ca="1">+DATOSAÑO!BQ266</f>
        <v>0</v>
      </c>
      <c r="R274" s="1080">
        <f ca="1">DATOSAÑO!BS266+DATOSAÑO!BV266+DATOSAÑO!BY266+DATOSAÑO!CF266+DATOSAÑO!CL266</f>
        <v>0</v>
      </c>
    </row>
    <row r="275" spans="2:18">
      <c r="B275" s="390">
        <v>45183</v>
      </c>
      <c r="C275" s="994">
        <f ca="1">DATOSAÑO!AJ267</f>
        <v>0</v>
      </c>
      <c r="D275" s="994">
        <f ca="1">DATOSAÑO!AK267</f>
        <v>0</v>
      </c>
      <c r="E275" s="994">
        <f ca="1">DATOSAÑO!AD267</f>
        <v>0</v>
      </c>
      <c r="F275" s="994">
        <v>0</v>
      </c>
      <c r="G275" s="994">
        <v>0</v>
      </c>
      <c r="H275" s="994">
        <f ca="1">DATOSAÑO!AI267</f>
        <v>0</v>
      </c>
      <c r="I275" s="994">
        <f ca="1">DATOSAÑO!CJ267</f>
        <v>0</v>
      </c>
      <c r="J275" s="994">
        <v>0</v>
      </c>
      <c r="K275" s="994">
        <f ca="1">DATOSAÑO!AF267</f>
        <v>0</v>
      </c>
      <c r="L275" s="994">
        <f ca="1">+DATOSAÑO!CK267</f>
        <v>0</v>
      </c>
      <c r="M275" s="994">
        <f ca="1">+DATOSAÑO!AK267</f>
        <v>0</v>
      </c>
      <c r="N275" s="994">
        <f ca="1">+DATOSAÑO!AH267</f>
        <v>0</v>
      </c>
      <c r="O275" s="994">
        <f ca="1">DATOSAÑO!AL267</f>
        <v>0</v>
      </c>
      <c r="P275" s="994">
        <f ca="1">+(DATOSAÑO!BH267)+DATOSAÑO!BJ267</f>
        <v>0</v>
      </c>
      <c r="Q275" s="994">
        <f ca="1">+DATOSAÑO!BQ267</f>
        <v>0</v>
      </c>
      <c r="R275" s="1080">
        <f ca="1">DATOSAÑO!BS267+DATOSAÑO!BV267+DATOSAÑO!BY267+DATOSAÑO!CF267+DATOSAÑO!CL267</f>
        <v>0</v>
      </c>
    </row>
    <row r="276" spans="2:18">
      <c r="B276" s="390">
        <v>45184</v>
      </c>
      <c r="C276" s="994">
        <f ca="1">DATOSAÑO!AJ268</f>
        <v>0</v>
      </c>
      <c r="D276" s="994">
        <f ca="1">DATOSAÑO!AK268</f>
        <v>0</v>
      </c>
      <c r="E276" s="994">
        <f ca="1">DATOSAÑO!AD268</f>
        <v>0</v>
      </c>
      <c r="F276" s="994">
        <v>0</v>
      </c>
      <c r="G276" s="994">
        <v>0</v>
      </c>
      <c r="H276" s="994">
        <f ca="1">DATOSAÑO!AI268</f>
        <v>0</v>
      </c>
      <c r="I276" s="994">
        <f ca="1">DATOSAÑO!CJ268</f>
        <v>0</v>
      </c>
      <c r="J276" s="994">
        <v>0</v>
      </c>
      <c r="K276" s="994">
        <f ca="1">DATOSAÑO!AF268</f>
        <v>0</v>
      </c>
      <c r="L276" s="994">
        <f ca="1">+DATOSAÑO!CK268</f>
        <v>0</v>
      </c>
      <c r="M276" s="994">
        <f ca="1">+DATOSAÑO!AK268</f>
        <v>0</v>
      </c>
      <c r="N276" s="994">
        <f ca="1">+DATOSAÑO!AH268</f>
        <v>0</v>
      </c>
      <c r="O276" s="994">
        <f ca="1">DATOSAÑO!AL268</f>
        <v>0</v>
      </c>
      <c r="P276" s="994">
        <f ca="1">+(DATOSAÑO!BH268)+DATOSAÑO!BJ268</f>
        <v>0</v>
      </c>
      <c r="Q276" s="994">
        <f ca="1">+DATOSAÑO!BQ268</f>
        <v>0</v>
      </c>
      <c r="R276" s="1080">
        <f ca="1">DATOSAÑO!BS268+DATOSAÑO!BV268+DATOSAÑO!BY268+DATOSAÑO!CF268+DATOSAÑO!CL268</f>
        <v>0</v>
      </c>
    </row>
    <row r="277" spans="2:18">
      <c r="B277" s="390">
        <v>45185</v>
      </c>
      <c r="C277" s="994">
        <f ca="1">DATOSAÑO!AJ269</f>
        <v>0</v>
      </c>
      <c r="D277" s="994">
        <f ca="1">DATOSAÑO!AK269</f>
        <v>0</v>
      </c>
      <c r="E277" s="994">
        <f ca="1">DATOSAÑO!AD269</f>
        <v>0</v>
      </c>
      <c r="F277" s="994">
        <v>0</v>
      </c>
      <c r="G277" s="994">
        <v>0</v>
      </c>
      <c r="H277" s="994">
        <f ca="1">DATOSAÑO!AI269</f>
        <v>0</v>
      </c>
      <c r="I277" s="994">
        <f ca="1">DATOSAÑO!CJ269</f>
        <v>0</v>
      </c>
      <c r="J277" s="994">
        <v>0</v>
      </c>
      <c r="K277" s="994">
        <f ca="1">DATOSAÑO!AF269</f>
        <v>0</v>
      </c>
      <c r="L277" s="994">
        <f ca="1">+DATOSAÑO!CK269</f>
        <v>0</v>
      </c>
      <c r="M277" s="994">
        <f ca="1">+DATOSAÑO!AK269</f>
        <v>0</v>
      </c>
      <c r="N277" s="994">
        <f ca="1">+DATOSAÑO!AH269</f>
        <v>0</v>
      </c>
      <c r="O277" s="994">
        <f ca="1">DATOSAÑO!AL269</f>
        <v>0</v>
      </c>
      <c r="P277" s="994">
        <f ca="1">+(DATOSAÑO!BH269)+DATOSAÑO!BJ269</f>
        <v>0</v>
      </c>
      <c r="Q277" s="994">
        <f ca="1">+DATOSAÑO!BQ269</f>
        <v>0</v>
      </c>
      <c r="R277" s="1080">
        <f ca="1">DATOSAÑO!BS269+DATOSAÑO!BV269+DATOSAÑO!BY269+DATOSAÑO!CF269+DATOSAÑO!CL269</f>
        <v>0</v>
      </c>
    </row>
    <row r="278" spans="2:18">
      <c r="B278" s="390">
        <v>45186</v>
      </c>
      <c r="C278" s="994">
        <f ca="1">DATOSAÑO!AJ270</f>
        <v>0</v>
      </c>
      <c r="D278" s="994">
        <f ca="1">DATOSAÑO!AK270</f>
        <v>0</v>
      </c>
      <c r="E278" s="994">
        <f ca="1">DATOSAÑO!AD270</f>
        <v>0</v>
      </c>
      <c r="F278" s="994">
        <v>0</v>
      </c>
      <c r="G278" s="994">
        <v>0</v>
      </c>
      <c r="H278" s="994">
        <f ca="1">DATOSAÑO!AI270</f>
        <v>0</v>
      </c>
      <c r="I278" s="994">
        <f ca="1">DATOSAÑO!CJ270</f>
        <v>0</v>
      </c>
      <c r="J278" s="994">
        <v>0</v>
      </c>
      <c r="K278" s="994">
        <f ca="1">DATOSAÑO!AF270</f>
        <v>0</v>
      </c>
      <c r="L278" s="994">
        <f ca="1">+DATOSAÑO!CK270</f>
        <v>0</v>
      </c>
      <c r="M278" s="994">
        <f ca="1">+DATOSAÑO!AK270</f>
        <v>0</v>
      </c>
      <c r="N278" s="994">
        <f ca="1">+DATOSAÑO!AH270</f>
        <v>0</v>
      </c>
      <c r="O278" s="994">
        <f ca="1">DATOSAÑO!AL270</f>
        <v>0</v>
      </c>
      <c r="P278" s="994">
        <f ca="1">+(DATOSAÑO!BH270)+DATOSAÑO!BJ270</f>
        <v>0</v>
      </c>
      <c r="Q278" s="994">
        <f ca="1">+DATOSAÑO!BQ270</f>
        <v>0</v>
      </c>
      <c r="R278" s="1080">
        <f ca="1">DATOSAÑO!BS270+DATOSAÑO!BV270+DATOSAÑO!BY270+DATOSAÑO!CF270+DATOSAÑO!CL270</f>
        <v>0</v>
      </c>
    </row>
    <row r="279" spans="2:18">
      <c r="B279" s="390">
        <v>45187</v>
      </c>
      <c r="C279" s="994">
        <f ca="1">DATOSAÑO!AJ271</f>
        <v>0</v>
      </c>
      <c r="D279" s="994">
        <f ca="1">DATOSAÑO!AK271</f>
        <v>0</v>
      </c>
      <c r="E279" s="994">
        <f ca="1">DATOSAÑO!AD271</f>
        <v>0</v>
      </c>
      <c r="F279" s="994">
        <v>0</v>
      </c>
      <c r="G279" s="994">
        <v>0</v>
      </c>
      <c r="H279" s="994">
        <f ca="1">DATOSAÑO!AI271</f>
        <v>0</v>
      </c>
      <c r="I279" s="994">
        <f ca="1">DATOSAÑO!CJ271</f>
        <v>0</v>
      </c>
      <c r="J279" s="994">
        <v>0</v>
      </c>
      <c r="K279" s="994">
        <f ca="1">DATOSAÑO!AF271</f>
        <v>0</v>
      </c>
      <c r="L279" s="994">
        <f ca="1">+DATOSAÑO!CK271</f>
        <v>0</v>
      </c>
      <c r="M279" s="994">
        <f ca="1">+DATOSAÑO!AK271</f>
        <v>0</v>
      </c>
      <c r="N279" s="994">
        <f ca="1">+DATOSAÑO!AH271</f>
        <v>0</v>
      </c>
      <c r="O279" s="994">
        <f ca="1">DATOSAÑO!AL271</f>
        <v>0</v>
      </c>
      <c r="P279" s="994">
        <f ca="1">+(DATOSAÑO!BH271)+DATOSAÑO!BJ271</f>
        <v>0</v>
      </c>
      <c r="Q279" s="994">
        <f ca="1">+DATOSAÑO!BQ271</f>
        <v>0</v>
      </c>
      <c r="R279" s="1080">
        <f ca="1">DATOSAÑO!BS271+DATOSAÑO!BV271+DATOSAÑO!BY271+DATOSAÑO!CF271+DATOSAÑO!CL271</f>
        <v>0</v>
      </c>
    </row>
    <row r="280" spans="2:18">
      <c r="B280" s="390">
        <v>45188</v>
      </c>
      <c r="C280" s="994">
        <f ca="1">DATOSAÑO!AJ272</f>
        <v>0</v>
      </c>
      <c r="D280" s="994">
        <f ca="1">DATOSAÑO!AK272</f>
        <v>0</v>
      </c>
      <c r="E280" s="994">
        <f ca="1">DATOSAÑO!AD272</f>
        <v>0</v>
      </c>
      <c r="F280" s="994">
        <v>0</v>
      </c>
      <c r="G280" s="994">
        <v>0</v>
      </c>
      <c r="H280" s="994">
        <f ca="1">DATOSAÑO!AI272</f>
        <v>0</v>
      </c>
      <c r="I280" s="994">
        <f ca="1">DATOSAÑO!CJ272</f>
        <v>0</v>
      </c>
      <c r="J280" s="994">
        <v>0</v>
      </c>
      <c r="K280" s="994">
        <f ca="1">DATOSAÑO!AF272</f>
        <v>0</v>
      </c>
      <c r="L280" s="994">
        <f ca="1">+DATOSAÑO!CK272</f>
        <v>0</v>
      </c>
      <c r="M280" s="994">
        <f ca="1">+DATOSAÑO!AK272</f>
        <v>0</v>
      </c>
      <c r="N280" s="994">
        <f ca="1">+DATOSAÑO!AH272</f>
        <v>0</v>
      </c>
      <c r="O280" s="994">
        <f ca="1">DATOSAÑO!AL272</f>
        <v>0</v>
      </c>
      <c r="P280" s="994">
        <f ca="1">+(DATOSAÑO!BH272)+DATOSAÑO!BJ272</f>
        <v>0</v>
      </c>
      <c r="Q280" s="994">
        <f ca="1">+DATOSAÑO!BQ272</f>
        <v>0</v>
      </c>
      <c r="R280" s="1080">
        <f ca="1">DATOSAÑO!BS272+DATOSAÑO!BV272+DATOSAÑO!BY272+DATOSAÑO!CF272+DATOSAÑO!CL272</f>
        <v>0</v>
      </c>
    </row>
    <row r="281" spans="2:18">
      <c r="B281" s="390">
        <v>45189</v>
      </c>
      <c r="C281" s="994">
        <f ca="1">DATOSAÑO!AJ273</f>
        <v>0</v>
      </c>
      <c r="D281" s="994">
        <f ca="1">DATOSAÑO!AK273</f>
        <v>0</v>
      </c>
      <c r="E281" s="994">
        <f ca="1">DATOSAÑO!AD273</f>
        <v>0</v>
      </c>
      <c r="F281" s="994">
        <v>0</v>
      </c>
      <c r="G281" s="994">
        <v>0</v>
      </c>
      <c r="H281" s="994">
        <f ca="1">DATOSAÑO!AI273</f>
        <v>0</v>
      </c>
      <c r="I281" s="994">
        <f ca="1">DATOSAÑO!CJ273</f>
        <v>0</v>
      </c>
      <c r="J281" s="994">
        <v>0</v>
      </c>
      <c r="K281" s="994">
        <f ca="1">DATOSAÑO!AF273</f>
        <v>0</v>
      </c>
      <c r="L281" s="994">
        <f ca="1">+DATOSAÑO!CK273</f>
        <v>0</v>
      </c>
      <c r="M281" s="994">
        <f ca="1">+DATOSAÑO!AK273</f>
        <v>0</v>
      </c>
      <c r="N281" s="994">
        <f ca="1">+DATOSAÑO!AH273</f>
        <v>0</v>
      </c>
      <c r="O281" s="994">
        <f ca="1">DATOSAÑO!AL273</f>
        <v>0</v>
      </c>
      <c r="P281" s="994">
        <f ca="1">+(DATOSAÑO!BH273)+DATOSAÑO!BJ273</f>
        <v>0</v>
      </c>
      <c r="Q281" s="994">
        <f ca="1">+DATOSAÑO!BQ273</f>
        <v>0</v>
      </c>
      <c r="R281" s="1080">
        <f ca="1">DATOSAÑO!BS273+DATOSAÑO!BV273+DATOSAÑO!BY273+DATOSAÑO!CF273+DATOSAÑO!CL273</f>
        <v>0</v>
      </c>
    </row>
    <row r="282" spans="2:18">
      <c r="B282" s="390">
        <v>45190</v>
      </c>
      <c r="C282" s="994">
        <f ca="1">DATOSAÑO!AJ274</f>
        <v>0</v>
      </c>
      <c r="D282" s="994">
        <f ca="1">DATOSAÑO!AK274</f>
        <v>0</v>
      </c>
      <c r="E282" s="994">
        <f ca="1">DATOSAÑO!AD274</f>
        <v>0</v>
      </c>
      <c r="F282" s="994">
        <v>0</v>
      </c>
      <c r="G282" s="994">
        <v>0</v>
      </c>
      <c r="H282" s="994">
        <f ca="1">DATOSAÑO!AI274</f>
        <v>0</v>
      </c>
      <c r="I282" s="994">
        <f ca="1">DATOSAÑO!CJ274</f>
        <v>0</v>
      </c>
      <c r="J282" s="994">
        <v>0</v>
      </c>
      <c r="K282" s="994">
        <f ca="1">DATOSAÑO!AF274</f>
        <v>0</v>
      </c>
      <c r="L282" s="994">
        <f ca="1">+DATOSAÑO!CK274</f>
        <v>0</v>
      </c>
      <c r="M282" s="994">
        <f ca="1">+DATOSAÑO!AK274</f>
        <v>0</v>
      </c>
      <c r="N282" s="994">
        <f ca="1">+DATOSAÑO!AH274</f>
        <v>0</v>
      </c>
      <c r="O282" s="994">
        <f ca="1">DATOSAÑO!AL274</f>
        <v>0</v>
      </c>
      <c r="P282" s="994">
        <f ca="1">+(DATOSAÑO!BH274)+DATOSAÑO!BJ274</f>
        <v>0</v>
      </c>
      <c r="Q282" s="994">
        <f ca="1">+DATOSAÑO!BQ274</f>
        <v>0</v>
      </c>
      <c r="R282" s="1080">
        <f ca="1">DATOSAÑO!BS274+DATOSAÑO!BV274+DATOSAÑO!BY274+DATOSAÑO!CF274+DATOSAÑO!CL274</f>
        <v>0</v>
      </c>
    </row>
    <row r="283" spans="2:18">
      <c r="B283" s="390">
        <v>45191</v>
      </c>
      <c r="C283" s="994">
        <f ca="1">DATOSAÑO!AJ275</f>
        <v>0</v>
      </c>
      <c r="D283" s="994">
        <f ca="1">DATOSAÑO!AK275</f>
        <v>0</v>
      </c>
      <c r="E283" s="994">
        <f ca="1">DATOSAÑO!AD275</f>
        <v>0</v>
      </c>
      <c r="F283" s="994">
        <v>0</v>
      </c>
      <c r="G283" s="994">
        <v>0</v>
      </c>
      <c r="H283" s="994">
        <f ca="1">DATOSAÑO!AI275</f>
        <v>0</v>
      </c>
      <c r="I283" s="994">
        <f ca="1">DATOSAÑO!CJ275</f>
        <v>0</v>
      </c>
      <c r="J283" s="994">
        <v>0</v>
      </c>
      <c r="K283" s="994">
        <f ca="1">DATOSAÑO!AF275</f>
        <v>0</v>
      </c>
      <c r="L283" s="994">
        <f ca="1">+DATOSAÑO!CK275</f>
        <v>0</v>
      </c>
      <c r="M283" s="994">
        <f ca="1">+DATOSAÑO!AK275</f>
        <v>0</v>
      </c>
      <c r="N283" s="994">
        <f ca="1">+DATOSAÑO!AH275</f>
        <v>0</v>
      </c>
      <c r="O283" s="994">
        <f ca="1">DATOSAÑO!AL275</f>
        <v>0</v>
      </c>
      <c r="P283" s="994">
        <f ca="1">+(DATOSAÑO!BH275)+DATOSAÑO!BJ275</f>
        <v>0</v>
      </c>
      <c r="Q283" s="994">
        <f ca="1">+DATOSAÑO!BQ275</f>
        <v>0</v>
      </c>
      <c r="R283" s="1080">
        <f ca="1">DATOSAÑO!BS275+DATOSAÑO!BV275+DATOSAÑO!BY275+DATOSAÑO!CF275+DATOSAÑO!CL275</f>
        <v>0</v>
      </c>
    </row>
    <row r="284" spans="2:18">
      <c r="B284" s="390">
        <v>45192</v>
      </c>
      <c r="C284" s="994">
        <f ca="1">DATOSAÑO!AJ276</f>
        <v>0</v>
      </c>
      <c r="D284" s="994">
        <f ca="1">DATOSAÑO!AK276</f>
        <v>0</v>
      </c>
      <c r="E284" s="994">
        <f ca="1">DATOSAÑO!AD276</f>
        <v>0</v>
      </c>
      <c r="F284" s="994">
        <v>0</v>
      </c>
      <c r="G284" s="994">
        <v>0</v>
      </c>
      <c r="H284" s="994">
        <f ca="1">DATOSAÑO!AI276</f>
        <v>0</v>
      </c>
      <c r="I284" s="994">
        <f ca="1">DATOSAÑO!CJ276</f>
        <v>0</v>
      </c>
      <c r="J284" s="994">
        <v>0</v>
      </c>
      <c r="K284" s="994">
        <f ca="1">DATOSAÑO!AF276</f>
        <v>0</v>
      </c>
      <c r="L284" s="994">
        <f ca="1">+DATOSAÑO!CK276</f>
        <v>0</v>
      </c>
      <c r="M284" s="994">
        <f ca="1">+DATOSAÑO!AK276</f>
        <v>0</v>
      </c>
      <c r="N284" s="994">
        <f ca="1">+DATOSAÑO!AH276</f>
        <v>0</v>
      </c>
      <c r="O284" s="994">
        <f ca="1">DATOSAÑO!AL276</f>
        <v>0</v>
      </c>
      <c r="P284" s="994">
        <f ca="1">+(DATOSAÑO!BH276)+DATOSAÑO!BJ276</f>
        <v>0</v>
      </c>
      <c r="Q284" s="994">
        <f ca="1">+DATOSAÑO!BQ276</f>
        <v>0</v>
      </c>
      <c r="R284" s="1080">
        <f ca="1">DATOSAÑO!BS276+DATOSAÑO!BV276+DATOSAÑO!BY276+DATOSAÑO!CF276+DATOSAÑO!CL276</f>
        <v>0</v>
      </c>
    </row>
    <row r="285" spans="2:18">
      <c r="B285" s="390">
        <v>45193</v>
      </c>
      <c r="C285" s="994">
        <f ca="1">DATOSAÑO!AJ277</f>
        <v>0</v>
      </c>
      <c r="D285" s="994">
        <f ca="1">DATOSAÑO!AK277</f>
        <v>0</v>
      </c>
      <c r="E285" s="994">
        <f ca="1">DATOSAÑO!AD277</f>
        <v>0</v>
      </c>
      <c r="F285" s="994">
        <v>0</v>
      </c>
      <c r="G285" s="994">
        <v>0</v>
      </c>
      <c r="H285" s="994">
        <f ca="1">DATOSAÑO!AI277</f>
        <v>0</v>
      </c>
      <c r="I285" s="994">
        <f ca="1">DATOSAÑO!CJ277</f>
        <v>0</v>
      </c>
      <c r="J285" s="994">
        <v>0</v>
      </c>
      <c r="K285" s="994">
        <f ca="1">DATOSAÑO!AF277</f>
        <v>0</v>
      </c>
      <c r="L285" s="994">
        <f ca="1">+DATOSAÑO!CK277</f>
        <v>0</v>
      </c>
      <c r="M285" s="994">
        <f ca="1">+DATOSAÑO!AK277</f>
        <v>0</v>
      </c>
      <c r="N285" s="994">
        <f ca="1">+DATOSAÑO!AH277</f>
        <v>0</v>
      </c>
      <c r="O285" s="994">
        <f ca="1">DATOSAÑO!AL277</f>
        <v>0</v>
      </c>
      <c r="P285" s="994">
        <f ca="1">+(DATOSAÑO!BH277)+DATOSAÑO!BJ277</f>
        <v>0</v>
      </c>
      <c r="Q285" s="994">
        <f ca="1">+DATOSAÑO!BQ277</f>
        <v>0</v>
      </c>
      <c r="R285" s="1080">
        <f ca="1">DATOSAÑO!BS277+DATOSAÑO!BV277+DATOSAÑO!BY277+DATOSAÑO!CF277+DATOSAÑO!CL277</f>
        <v>0</v>
      </c>
    </row>
    <row r="286" spans="2:18">
      <c r="B286" s="390">
        <v>45194</v>
      </c>
      <c r="C286" s="994">
        <f ca="1">DATOSAÑO!AJ278</f>
        <v>0</v>
      </c>
      <c r="D286" s="994">
        <f ca="1">DATOSAÑO!AK278</f>
        <v>0</v>
      </c>
      <c r="E286" s="994">
        <f ca="1">DATOSAÑO!AD278</f>
        <v>0</v>
      </c>
      <c r="F286" s="994">
        <v>0</v>
      </c>
      <c r="G286" s="994">
        <v>0</v>
      </c>
      <c r="H286" s="994">
        <f ca="1">DATOSAÑO!AI278</f>
        <v>0</v>
      </c>
      <c r="I286" s="994">
        <f ca="1">DATOSAÑO!CJ278</f>
        <v>0</v>
      </c>
      <c r="J286" s="994">
        <v>0</v>
      </c>
      <c r="K286" s="994">
        <f ca="1">DATOSAÑO!AF278</f>
        <v>0</v>
      </c>
      <c r="L286" s="994">
        <f ca="1">+DATOSAÑO!CK278</f>
        <v>0</v>
      </c>
      <c r="M286" s="994">
        <f ca="1">+DATOSAÑO!AK278</f>
        <v>0</v>
      </c>
      <c r="N286" s="994">
        <f ca="1">+DATOSAÑO!AH278</f>
        <v>0</v>
      </c>
      <c r="O286" s="994">
        <f ca="1">DATOSAÑO!AL278</f>
        <v>0</v>
      </c>
      <c r="P286" s="994">
        <f ca="1">+(DATOSAÑO!BH278)+DATOSAÑO!BJ278</f>
        <v>0</v>
      </c>
      <c r="Q286" s="994">
        <f ca="1">+DATOSAÑO!BQ278</f>
        <v>0</v>
      </c>
      <c r="R286" s="1080">
        <f ca="1">DATOSAÑO!BS278+DATOSAÑO!BV278+DATOSAÑO!BY278+DATOSAÑO!CF278+DATOSAÑO!CL278</f>
        <v>0</v>
      </c>
    </row>
    <row r="287" spans="2:18">
      <c r="B287" s="390">
        <v>45195</v>
      </c>
      <c r="C287" s="994">
        <f ca="1">DATOSAÑO!AJ279</f>
        <v>0</v>
      </c>
      <c r="D287" s="994">
        <f ca="1">DATOSAÑO!AK279</f>
        <v>0</v>
      </c>
      <c r="E287" s="994">
        <f ca="1">DATOSAÑO!AD279</f>
        <v>0</v>
      </c>
      <c r="F287" s="994">
        <v>0</v>
      </c>
      <c r="G287" s="994">
        <v>0</v>
      </c>
      <c r="H287" s="994">
        <f ca="1">DATOSAÑO!AI279</f>
        <v>0</v>
      </c>
      <c r="I287" s="994">
        <f ca="1">DATOSAÑO!CJ279</f>
        <v>0</v>
      </c>
      <c r="J287" s="994">
        <v>0</v>
      </c>
      <c r="K287" s="994">
        <f ca="1">DATOSAÑO!AF279</f>
        <v>0</v>
      </c>
      <c r="L287" s="994">
        <f ca="1">+DATOSAÑO!CK279</f>
        <v>0</v>
      </c>
      <c r="M287" s="994">
        <f ca="1">+DATOSAÑO!AK279</f>
        <v>0</v>
      </c>
      <c r="N287" s="994">
        <f ca="1">+DATOSAÑO!AH279</f>
        <v>0</v>
      </c>
      <c r="O287" s="994">
        <f ca="1">DATOSAÑO!AL279</f>
        <v>0</v>
      </c>
      <c r="P287" s="994">
        <f ca="1">+(DATOSAÑO!BH279)+DATOSAÑO!BJ279</f>
        <v>0</v>
      </c>
      <c r="Q287" s="994">
        <f ca="1">+DATOSAÑO!BQ279</f>
        <v>0</v>
      </c>
      <c r="R287" s="1080">
        <f ca="1">DATOSAÑO!BS279+DATOSAÑO!BV279+DATOSAÑO!BY279+DATOSAÑO!CF279+DATOSAÑO!CL279</f>
        <v>0</v>
      </c>
    </row>
    <row r="288" spans="2:18">
      <c r="B288" s="390">
        <v>45196</v>
      </c>
      <c r="C288" s="994">
        <f ca="1">DATOSAÑO!AJ280</f>
        <v>0</v>
      </c>
      <c r="D288" s="994">
        <f ca="1">DATOSAÑO!AK280</f>
        <v>0</v>
      </c>
      <c r="E288" s="994">
        <f ca="1">DATOSAÑO!AD280</f>
        <v>0</v>
      </c>
      <c r="F288" s="994">
        <v>0</v>
      </c>
      <c r="G288" s="994">
        <v>0</v>
      </c>
      <c r="H288" s="994">
        <f ca="1">DATOSAÑO!AI280</f>
        <v>0</v>
      </c>
      <c r="I288" s="994">
        <f ca="1">DATOSAÑO!CJ280</f>
        <v>0</v>
      </c>
      <c r="J288" s="994">
        <v>0</v>
      </c>
      <c r="K288" s="994">
        <f ca="1">DATOSAÑO!AF280</f>
        <v>0</v>
      </c>
      <c r="L288" s="994">
        <f ca="1">+DATOSAÑO!CK280</f>
        <v>0</v>
      </c>
      <c r="M288" s="994">
        <f ca="1">+DATOSAÑO!AK280</f>
        <v>0</v>
      </c>
      <c r="N288" s="994">
        <f ca="1">+DATOSAÑO!AH280</f>
        <v>0</v>
      </c>
      <c r="O288" s="994">
        <f ca="1">DATOSAÑO!AL280</f>
        <v>0</v>
      </c>
      <c r="P288" s="994">
        <f ca="1">+(DATOSAÑO!BH280)+DATOSAÑO!BJ280</f>
        <v>0</v>
      </c>
      <c r="Q288" s="994">
        <f ca="1">+DATOSAÑO!BQ280</f>
        <v>0</v>
      </c>
      <c r="R288" s="1080">
        <f ca="1">DATOSAÑO!BS280+DATOSAÑO!BV280+DATOSAÑO!BY280+DATOSAÑO!CF280+DATOSAÑO!CL280</f>
        <v>0</v>
      </c>
    </row>
    <row r="289" spans="2:18">
      <c r="B289" s="390">
        <v>45197</v>
      </c>
      <c r="C289" s="994">
        <f ca="1">DATOSAÑO!AJ281</f>
        <v>0</v>
      </c>
      <c r="D289" s="994">
        <f ca="1">DATOSAÑO!AK281</f>
        <v>0</v>
      </c>
      <c r="E289" s="994">
        <f ca="1">DATOSAÑO!AD281</f>
        <v>0</v>
      </c>
      <c r="F289" s="994">
        <v>0</v>
      </c>
      <c r="G289" s="994">
        <v>0</v>
      </c>
      <c r="H289" s="994">
        <f ca="1">DATOSAÑO!AI281</f>
        <v>0</v>
      </c>
      <c r="I289" s="994">
        <f ca="1">DATOSAÑO!CJ281</f>
        <v>0</v>
      </c>
      <c r="J289" s="994">
        <v>0</v>
      </c>
      <c r="K289" s="994">
        <f ca="1">DATOSAÑO!AF281</f>
        <v>0</v>
      </c>
      <c r="L289" s="994">
        <f ca="1">+DATOSAÑO!CK281</f>
        <v>0</v>
      </c>
      <c r="M289" s="994">
        <f ca="1">+DATOSAÑO!AK281</f>
        <v>0</v>
      </c>
      <c r="N289" s="994">
        <f ca="1">+DATOSAÑO!AH281</f>
        <v>0</v>
      </c>
      <c r="O289" s="994">
        <f ca="1">DATOSAÑO!AL281</f>
        <v>0</v>
      </c>
      <c r="P289" s="994">
        <f ca="1">+(DATOSAÑO!BH281)+DATOSAÑO!BJ281</f>
        <v>0</v>
      </c>
      <c r="Q289" s="994">
        <f ca="1">+DATOSAÑO!BQ281</f>
        <v>0</v>
      </c>
      <c r="R289" s="1080">
        <f ca="1">DATOSAÑO!BS281+DATOSAÑO!BV281+DATOSAÑO!BY281+DATOSAÑO!CF281+DATOSAÑO!CL281</f>
        <v>0</v>
      </c>
    </row>
    <row r="290" spans="2:18">
      <c r="B290" s="390">
        <v>45198</v>
      </c>
      <c r="C290" s="994">
        <f ca="1">DATOSAÑO!AJ282</f>
        <v>0</v>
      </c>
      <c r="D290" s="994">
        <f ca="1">DATOSAÑO!AK282</f>
        <v>0</v>
      </c>
      <c r="E290" s="994">
        <f ca="1">DATOSAÑO!AD282</f>
        <v>0</v>
      </c>
      <c r="F290" s="994">
        <v>0</v>
      </c>
      <c r="G290" s="994">
        <v>0</v>
      </c>
      <c r="H290" s="994">
        <f ca="1">DATOSAÑO!AI282</f>
        <v>0</v>
      </c>
      <c r="I290" s="994">
        <f ca="1">DATOSAÑO!CJ282</f>
        <v>0</v>
      </c>
      <c r="J290" s="994">
        <v>0</v>
      </c>
      <c r="K290" s="994">
        <f ca="1">DATOSAÑO!AF282</f>
        <v>0</v>
      </c>
      <c r="L290" s="994">
        <f ca="1">+DATOSAÑO!CK282</f>
        <v>0</v>
      </c>
      <c r="M290" s="994">
        <f ca="1">+DATOSAÑO!AK282</f>
        <v>0</v>
      </c>
      <c r="N290" s="994">
        <f ca="1">+DATOSAÑO!AH282</f>
        <v>0</v>
      </c>
      <c r="O290" s="994">
        <f ca="1">DATOSAÑO!AL282</f>
        <v>0</v>
      </c>
      <c r="P290" s="994">
        <f ca="1">+(DATOSAÑO!BH282)+DATOSAÑO!BJ282</f>
        <v>0</v>
      </c>
      <c r="Q290" s="994">
        <f ca="1">+DATOSAÑO!BQ282</f>
        <v>0</v>
      </c>
      <c r="R290" s="1080">
        <f ca="1">DATOSAÑO!BS282+DATOSAÑO!BV282+DATOSAÑO!BY282+DATOSAÑO!CF282+DATOSAÑO!CL282</f>
        <v>0</v>
      </c>
    </row>
    <row r="291" spans="2:18" ht="15" thickBot="1">
      <c r="B291" s="390">
        <v>45199</v>
      </c>
      <c r="C291" s="994">
        <f ca="1">DATOSAÑO!AJ283</f>
        <v>0</v>
      </c>
      <c r="D291" s="994">
        <f ca="1">DATOSAÑO!AK283</f>
        <v>0</v>
      </c>
      <c r="E291" s="994">
        <f ca="1">DATOSAÑO!AD283</f>
        <v>0</v>
      </c>
      <c r="F291" s="994">
        <v>0</v>
      </c>
      <c r="G291" s="994">
        <v>0</v>
      </c>
      <c r="H291" s="994">
        <f ca="1">DATOSAÑO!AI283</f>
        <v>0</v>
      </c>
      <c r="I291" s="994">
        <f ca="1">DATOSAÑO!CJ283</f>
        <v>0</v>
      </c>
      <c r="J291" s="994">
        <v>0</v>
      </c>
      <c r="K291" s="994">
        <f ca="1">DATOSAÑO!AF283</f>
        <v>0</v>
      </c>
      <c r="L291" s="994">
        <f ca="1">+DATOSAÑO!CK283</f>
        <v>0</v>
      </c>
      <c r="M291" s="994">
        <f ca="1">+DATOSAÑO!AK283</f>
        <v>0</v>
      </c>
      <c r="N291" s="994">
        <f ca="1">+DATOSAÑO!AH283</f>
        <v>0</v>
      </c>
      <c r="O291" s="994">
        <f ca="1">DATOSAÑO!AL283</f>
        <v>0</v>
      </c>
      <c r="P291" s="994">
        <f ca="1">+(DATOSAÑO!BH283)+DATOSAÑO!BJ283</f>
        <v>0</v>
      </c>
      <c r="Q291" s="994">
        <f ca="1">+DATOSAÑO!BQ283</f>
        <v>0</v>
      </c>
      <c r="R291" s="1080">
        <f ca="1">DATOSAÑO!BS283+DATOSAÑO!BV283+DATOSAÑO!BY283+DATOSAÑO!CF283+DATOSAÑO!CL283</f>
        <v>0</v>
      </c>
    </row>
    <row r="292" spans="2:18" ht="15" thickBot="1">
      <c r="B292" s="1268" t="s">
        <v>1131</v>
      </c>
      <c r="C292" s="1267">
        <f ca="1">SUM(C262:C291)</f>
        <v>0</v>
      </c>
      <c r="D292" s="1030">
        <f ca="1">SUM(D262:D291)</f>
        <v>0</v>
      </c>
      <c r="E292" s="1030">
        <f t="shared" ref="E292:Q292" ca="1" si="8">SUM(E262:E291)</f>
        <v>0</v>
      </c>
      <c r="F292" s="1030">
        <f t="shared" si="8"/>
        <v>0</v>
      </c>
      <c r="G292" s="1030">
        <f t="shared" si="8"/>
        <v>0</v>
      </c>
      <c r="H292" s="1030">
        <f t="shared" ca="1" si="8"/>
        <v>0</v>
      </c>
      <c r="I292" s="1030">
        <f t="shared" ca="1" si="8"/>
        <v>0</v>
      </c>
      <c r="J292" s="1030">
        <f t="shared" si="8"/>
        <v>0</v>
      </c>
      <c r="K292" s="1030">
        <f t="shared" ca="1" si="8"/>
        <v>0</v>
      </c>
      <c r="L292" s="1030">
        <f t="shared" ca="1" si="8"/>
        <v>0</v>
      </c>
      <c r="M292" s="1030">
        <f t="shared" ca="1" si="8"/>
        <v>0</v>
      </c>
      <c r="N292" s="1030">
        <f t="shared" ca="1" si="8"/>
        <v>0</v>
      </c>
      <c r="O292" s="1030">
        <f t="shared" ca="1" si="8"/>
        <v>0</v>
      </c>
      <c r="P292" s="1030">
        <f t="shared" ca="1" si="8"/>
        <v>0</v>
      </c>
      <c r="Q292" s="1081">
        <f t="shared" ca="1" si="8"/>
        <v>0</v>
      </c>
      <c r="R292" s="1081">
        <f ca="1">SUM(R262:R291)</f>
        <v>0</v>
      </c>
    </row>
    <row r="293" spans="2:18">
      <c r="B293" s="390">
        <v>45200</v>
      </c>
      <c r="C293" s="994">
        <f ca="1">DATOSAÑO!AJ284</f>
        <v>0</v>
      </c>
      <c r="D293" s="994">
        <f ca="1">DATOSAÑO!AK284</f>
        <v>0</v>
      </c>
      <c r="E293" s="994">
        <f ca="1">DATOSAÑO!AD284</f>
        <v>0</v>
      </c>
      <c r="F293" s="994">
        <v>0</v>
      </c>
      <c r="G293" s="994">
        <v>0</v>
      </c>
      <c r="H293" s="994">
        <f ca="1">DATOSAÑO!AI284</f>
        <v>0</v>
      </c>
      <c r="I293" s="994">
        <f ca="1">DATOSAÑO!CJ284</f>
        <v>0</v>
      </c>
      <c r="J293" s="994">
        <v>0</v>
      </c>
      <c r="K293" s="994">
        <f ca="1">DATOSAÑO!AF284</f>
        <v>0</v>
      </c>
      <c r="L293" s="994">
        <f ca="1">DATOSAÑO!CK284</f>
        <v>0</v>
      </c>
      <c r="M293" s="994">
        <f ca="1">+DATOSAÑO!AK284</f>
        <v>0</v>
      </c>
      <c r="N293" s="994">
        <f ca="1">+DATOSAÑO!AH284</f>
        <v>0</v>
      </c>
      <c r="O293" s="1074">
        <f ca="1">DATOSAÑO!AL284</f>
        <v>0</v>
      </c>
      <c r="P293" s="994">
        <f ca="1">+(DATOSAÑO!BH284)+DATOSAÑO!BJ284</f>
        <v>0</v>
      </c>
      <c r="Q293" s="994">
        <f ca="1">+DATOSAÑO!BQ284</f>
        <v>0</v>
      </c>
      <c r="R293" s="1080">
        <f ca="1">DATOSAÑO!BS284+DATOSAÑO!BV284+DATOSAÑO!BY284+DATOSAÑO!CF284+DATOSAÑO!CL284</f>
        <v>0</v>
      </c>
    </row>
    <row r="294" spans="2:18">
      <c r="B294" s="390">
        <v>45201</v>
      </c>
      <c r="C294" s="994">
        <f ca="1">DATOSAÑO!AJ285</f>
        <v>0</v>
      </c>
      <c r="D294" s="994">
        <f ca="1">DATOSAÑO!AK285</f>
        <v>0</v>
      </c>
      <c r="E294" s="994">
        <f ca="1">DATOSAÑO!AD285</f>
        <v>0</v>
      </c>
      <c r="F294" s="994">
        <v>0</v>
      </c>
      <c r="G294" s="994">
        <v>0</v>
      </c>
      <c r="H294" s="994">
        <f ca="1">DATOSAÑO!AI285</f>
        <v>0</v>
      </c>
      <c r="I294" s="994">
        <f ca="1">DATOSAÑO!CJ285</f>
        <v>0</v>
      </c>
      <c r="J294" s="994">
        <v>0</v>
      </c>
      <c r="K294" s="994">
        <f ca="1">DATOSAÑO!AF285</f>
        <v>0</v>
      </c>
      <c r="L294" s="994">
        <f ca="1">+DATOSAÑO!CK285</f>
        <v>0</v>
      </c>
      <c r="M294" s="994">
        <f ca="1">+DATOSAÑO!AK285</f>
        <v>0</v>
      </c>
      <c r="N294" s="994">
        <f ca="1">+DATOSAÑO!AH285</f>
        <v>0</v>
      </c>
      <c r="O294" s="994">
        <f ca="1">DATOSAÑO!AL285</f>
        <v>0</v>
      </c>
      <c r="P294" s="994">
        <f ca="1">+(DATOSAÑO!BH285)+DATOSAÑO!BJ285</f>
        <v>0</v>
      </c>
      <c r="Q294" s="994">
        <f ca="1">+DATOSAÑO!BQ285</f>
        <v>0</v>
      </c>
      <c r="R294" s="1080">
        <f ca="1">DATOSAÑO!BS285+DATOSAÑO!BV285+DATOSAÑO!BY285+DATOSAÑO!CF285+DATOSAÑO!CL285</f>
        <v>0</v>
      </c>
    </row>
    <row r="295" spans="2:18">
      <c r="B295" s="390">
        <v>45202</v>
      </c>
      <c r="C295" s="994">
        <f ca="1">DATOSAÑO!AJ286</f>
        <v>0</v>
      </c>
      <c r="D295" s="994">
        <f ca="1">DATOSAÑO!AK286</f>
        <v>0</v>
      </c>
      <c r="E295" s="994">
        <f ca="1">DATOSAÑO!AD286</f>
        <v>0</v>
      </c>
      <c r="F295" s="994">
        <v>0</v>
      </c>
      <c r="G295" s="994">
        <v>0</v>
      </c>
      <c r="H295" s="994">
        <f ca="1">DATOSAÑO!AI286</f>
        <v>0</v>
      </c>
      <c r="I295" s="994">
        <f ca="1">DATOSAÑO!CJ286</f>
        <v>0</v>
      </c>
      <c r="J295" s="994">
        <v>0</v>
      </c>
      <c r="K295" s="994">
        <f ca="1">DATOSAÑO!AF286</f>
        <v>0</v>
      </c>
      <c r="L295" s="994">
        <f ca="1">+DATOSAÑO!CK286</f>
        <v>0</v>
      </c>
      <c r="M295" s="994">
        <f ca="1">+DATOSAÑO!AK286</f>
        <v>0</v>
      </c>
      <c r="N295" s="994">
        <f ca="1">+DATOSAÑO!AH286</f>
        <v>0</v>
      </c>
      <c r="O295" s="994">
        <f ca="1">DATOSAÑO!AL286</f>
        <v>0</v>
      </c>
      <c r="P295" s="994">
        <f ca="1">+(DATOSAÑO!BH286)+DATOSAÑO!BJ286</f>
        <v>0</v>
      </c>
      <c r="Q295" s="994">
        <f ca="1">+DATOSAÑO!BQ286</f>
        <v>0</v>
      </c>
      <c r="R295" s="1080">
        <f ca="1">DATOSAÑO!BS286+DATOSAÑO!BV286+DATOSAÑO!BY286+DATOSAÑO!CF286+DATOSAÑO!CL286</f>
        <v>0</v>
      </c>
    </row>
    <row r="296" spans="2:18">
      <c r="B296" s="390">
        <v>45203</v>
      </c>
      <c r="C296" s="994">
        <f ca="1">DATOSAÑO!AJ287</f>
        <v>0</v>
      </c>
      <c r="D296" s="994">
        <f ca="1">DATOSAÑO!AK287</f>
        <v>0</v>
      </c>
      <c r="E296" s="994">
        <f ca="1">DATOSAÑO!AD287</f>
        <v>0</v>
      </c>
      <c r="F296" s="994">
        <v>0</v>
      </c>
      <c r="G296" s="994">
        <v>0</v>
      </c>
      <c r="H296" s="994">
        <f ca="1">DATOSAÑO!AI287</f>
        <v>0</v>
      </c>
      <c r="I296" s="994">
        <f ca="1">DATOSAÑO!CJ287</f>
        <v>0</v>
      </c>
      <c r="J296" s="994">
        <v>0</v>
      </c>
      <c r="K296" s="994">
        <f ca="1">DATOSAÑO!AF287</f>
        <v>0</v>
      </c>
      <c r="L296" s="994">
        <f ca="1">+DATOSAÑO!CK287</f>
        <v>0</v>
      </c>
      <c r="M296" s="994">
        <f ca="1">+DATOSAÑO!AK287</f>
        <v>0</v>
      </c>
      <c r="N296" s="994">
        <f ca="1">+DATOSAÑO!AH287</f>
        <v>0</v>
      </c>
      <c r="O296" s="994">
        <f ca="1">DATOSAÑO!AL287</f>
        <v>0</v>
      </c>
      <c r="P296" s="994">
        <f ca="1">+(DATOSAÑO!BH287)+DATOSAÑO!BJ287</f>
        <v>0</v>
      </c>
      <c r="Q296" s="994">
        <f ca="1">+DATOSAÑO!BQ287</f>
        <v>0</v>
      </c>
      <c r="R296" s="1080">
        <f ca="1">DATOSAÑO!BS287+DATOSAÑO!BV287+DATOSAÑO!BY287+DATOSAÑO!CF287+DATOSAÑO!CL287</f>
        <v>0</v>
      </c>
    </row>
    <row r="297" spans="2:18">
      <c r="B297" s="390">
        <v>45204</v>
      </c>
      <c r="C297" s="994">
        <f ca="1">DATOSAÑO!AJ288</f>
        <v>0</v>
      </c>
      <c r="D297" s="994">
        <f ca="1">DATOSAÑO!AK288</f>
        <v>0</v>
      </c>
      <c r="E297" s="994">
        <f ca="1">DATOSAÑO!AD288</f>
        <v>0</v>
      </c>
      <c r="F297" s="994">
        <v>0</v>
      </c>
      <c r="G297" s="994">
        <v>0</v>
      </c>
      <c r="H297" s="994">
        <f ca="1">DATOSAÑO!AI288</f>
        <v>0</v>
      </c>
      <c r="I297" s="994">
        <f ca="1">DATOSAÑO!CJ288</f>
        <v>0</v>
      </c>
      <c r="J297" s="994">
        <v>0</v>
      </c>
      <c r="K297" s="994">
        <f ca="1">DATOSAÑO!AF288</f>
        <v>0</v>
      </c>
      <c r="L297" s="994">
        <f ca="1">+DATOSAÑO!CK288</f>
        <v>0</v>
      </c>
      <c r="M297" s="994">
        <f ca="1">+DATOSAÑO!AK288</f>
        <v>0</v>
      </c>
      <c r="N297" s="994">
        <f ca="1">+DATOSAÑO!AH288</f>
        <v>0</v>
      </c>
      <c r="O297" s="994">
        <f ca="1">DATOSAÑO!AL288</f>
        <v>0</v>
      </c>
      <c r="P297" s="994">
        <f ca="1">+(DATOSAÑO!BH288)+DATOSAÑO!BJ288</f>
        <v>0</v>
      </c>
      <c r="Q297" s="994">
        <f ca="1">+DATOSAÑO!BQ288</f>
        <v>0</v>
      </c>
      <c r="R297" s="1080">
        <f ca="1">DATOSAÑO!BS288+DATOSAÑO!BV288+DATOSAÑO!BY288+DATOSAÑO!CF288+DATOSAÑO!CL288</f>
        <v>0</v>
      </c>
    </row>
    <row r="298" spans="2:18">
      <c r="B298" s="390">
        <v>45205</v>
      </c>
      <c r="C298" s="994">
        <f ca="1">DATOSAÑO!AJ289</f>
        <v>0</v>
      </c>
      <c r="D298" s="994">
        <f ca="1">DATOSAÑO!AK289</f>
        <v>0</v>
      </c>
      <c r="E298" s="994">
        <f ca="1">DATOSAÑO!AD289</f>
        <v>0</v>
      </c>
      <c r="F298" s="994">
        <v>0</v>
      </c>
      <c r="G298" s="994">
        <v>0</v>
      </c>
      <c r="H298" s="994">
        <f ca="1">DATOSAÑO!AI289</f>
        <v>0</v>
      </c>
      <c r="I298" s="994">
        <f ca="1">DATOSAÑO!CJ289</f>
        <v>0</v>
      </c>
      <c r="J298" s="994">
        <v>0</v>
      </c>
      <c r="K298" s="994">
        <f ca="1">DATOSAÑO!AF289</f>
        <v>0</v>
      </c>
      <c r="L298" s="994">
        <f ca="1">+DATOSAÑO!CK289</f>
        <v>0</v>
      </c>
      <c r="M298" s="994">
        <f ca="1">+DATOSAÑO!AK289</f>
        <v>0</v>
      </c>
      <c r="N298" s="994">
        <f ca="1">+DATOSAÑO!AH289</f>
        <v>0</v>
      </c>
      <c r="O298" s="994">
        <f ca="1">DATOSAÑO!AL289</f>
        <v>0</v>
      </c>
      <c r="P298" s="994">
        <f ca="1">+(DATOSAÑO!BH289)+DATOSAÑO!BJ289</f>
        <v>0</v>
      </c>
      <c r="Q298" s="994">
        <f ca="1">+DATOSAÑO!BQ289</f>
        <v>0</v>
      </c>
      <c r="R298" s="1080">
        <f ca="1">DATOSAÑO!BS289+DATOSAÑO!BV289+DATOSAÑO!BY289+DATOSAÑO!CF289+DATOSAÑO!CL289</f>
        <v>0</v>
      </c>
    </row>
    <row r="299" spans="2:18">
      <c r="B299" s="390">
        <v>45206</v>
      </c>
      <c r="C299" s="994">
        <f ca="1">DATOSAÑO!AJ290</f>
        <v>0</v>
      </c>
      <c r="D299" s="994">
        <f ca="1">DATOSAÑO!AK290</f>
        <v>0</v>
      </c>
      <c r="E299" s="994">
        <f ca="1">DATOSAÑO!AD290</f>
        <v>0</v>
      </c>
      <c r="F299" s="994">
        <v>0</v>
      </c>
      <c r="G299" s="994">
        <v>0</v>
      </c>
      <c r="H299" s="994">
        <f ca="1">DATOSAÑO!AI290</f>
        <v>0</v>
      </c>
      <c r="I299" s="994">
        <f ca="1">DATOSAÑO!CJ290</f>
        <v>0</v>
      </c>
      <c r="J299" s="994">
        <v>0</v>
      </c>
      <c r="K299" s="994">
        <f ca="1">DATOSAÑO!AF290</f>
        <v>0</v>
      </c>
      <c r="L299" s="994">
        <f ca="1">+DATOSAÑO!CK290</f>
        <v>0</v>
      </c>
      <c r="M299" s="994">
        <f ca="1">+DATOSAÑO!AK290</f>
        <v>0</v>
      </c>
      <c r="N299" s="994">
        <f ca="1">+DATOSAÑO!AH290</f>
        <v>0</v>
      </c>
      <c r="O299" s="994">
        <f ca="1">DATOSAÑO!AL290</f>
        <v>0</v>
      </c>
      <c r="P299" s="994">
        <f ca="1">+(DATOSAÑO!BH290)+DATOSAÑO!BJ290</f>
        <v>0</v>
      </c>
      <c r="Q299" s="994">
        <f ca="1">+DATOSAÑO!BQ290</f>
        <v>0</v>
      </c>
      <c r="R299" s="1080">
        <f ca="1">DATOSAÑO!BS290+DATOSAÑO!BV290+DATOSAÑO!BY290+DATOSAÑO!CF290+DATOSAÑO!CL290</f>
        <v>0</v>
      </c>
    </row>
    <row r="300" spans="2:18">
      <c r="B300" s="390">
        <v>45207</v>
      </c>
      <c r="C300" s="994">
        <f ca="1">DATOSAÑO!AJ291</f>
        <v>0</v>
      </c>
      <c r="D300" s="994">
        <f ca="1">DATOSAÑO!AK291</f>
        <v>0</v>
      </c>
      <c r="E300" s="994">
        <f ca="1">DATOSAÑO!AD291</f>
        <v>0</v>
      </c>
      <c r="F300" s="994">
        <v>0</v>
      </c>
      <c r="G300" s="994">
        <v>0</v>
      </c>
      <c r="H300" s="994">
        <f ca="1">DATOSAÑO!AI291</f>
        <v>0</v>
      </c>
      <c r="I300" s="994">
        <f ca="1">DATOSAÑO!CJ291</f>
        <v>0</v>
      </c>
      <c r="J300" s="994">
        <v>0</v>
      </c>
      <c r="K300" s="994">
        <f ca="1">DATOSAÑO!AF291</f>
        <v>0</v>
      </c>
      <c r="L300" s="994">
        <f ca="1">+DATOSAÑO!CK291</f>
        <v>0</v>
      </c>
      <c r="M300" s="994">
        <f ca="1">+DATOSAÑO!AK291</f>
        <v>0</v>
      </c>
      <c r="N300" s="994">
        <f ca="1">+DATOSAÑO!AH291</f>
        <v>0</v>
      </c>
      <c r="O300" s="994">
        <f ca="1">DATOSAÑO!AL291</f>
        <v>0</v>
      </c>
      <c r="P300" s="994">
        <f ca="1">+(DATOSAÑO!BH291)+DATOSAÑO!BJ291</f>
        <v>0</v>
      </c>
      <c r="Q300" s="994">
        <f ca="1">+DATOSAÑO!BQ291</f>
        <v>0</v>
      </c>
      <c r="R300" s="1080">
        <f ca="1">DATOSAÑO!BS291+DATOSAÑO!BV291+DATOSAÑO!BY291+DATOSAÑO!CF291+DATOSAÑO!CL291</f>
        <v>0</v>
      </c>
    </row>
    <row r="301" spans="2:18">
      <c r="B301" s="390">
        <v>45208</v>
      </c>
      <c r="C301" s="994">
        <f ca="1">DATOSAÑO!AJ292</f>
        <v>0</v>
      </c>
      <c r="D301" s="994">
        <f ca="1">DATOSAÑO!AK292</f>
        <v>0</v>
      </c>
      <c r="E301" s="994">
        <f ca="1">DATOSAÑO!AD292</f>
        <v>0</v>
      </c>
      <c r="F301" s="994">
        <v>0</v>
      </c>
      <c r="G301" s="994">
        <v>0</v>
      </c>
      <c r="H301" s="994">
        <f ca="1">DATOSAÑO!AI292</f>
        <v>0</v>
      </c>
      <c r="I301" s="994">
        <f ca="1">DATOSAÑO!CJ292</f>
        <v>0</v>
      </c>
      <c r="J301" s="994">
        <v>0</v>
      </c>
      <c r="K301" s="994">
        <f ca="1">DATOSAÑO!AF292</f>
        <v>0</v>
      </c>
      <c r="L301" s="994">
        <f ca="1">+DATOSAÑO!CK292</f>
        <v>0</v>
      </c>
      <c r="M301" s="994">
        <f ca="1">+DATOSAÑO!AK292</f>
        <v>0</v>
      </c>
      <c r="N301" s="994">
        <f ca="1">+DATOSAÑO!AH292</f>
        <v>0</v>
      </c>
      <c r="O301" s="994">
        <f ca="1">DATOSAÑO!AL292</f>
        <v>0</v>
      </c>
      <c r="P301" s="994">
        <f ca="1">+(DATOSAÑO!BH292)+DATOSAÑO!BJ292</f>
        <v>0</v>
      </c>
      <c r="Q301" s="994">
        <f ca="1">+DATOSAÑO!BQ292</f>
        <v>0</v>
      </c>
      <c r="R301" s="1080">
        <f ca="1">DATOSAÑO!BS292+DATOSAÑO!BV292+DATOSAÑO!BY292+DATOSAÑO!CF292+DATOSAÑO!CL292</f>
        <v>0</v>
      </c>
    </row>
    <row r="302" spans="2:18">
      <c r="B302" s="390">
        <v>45209</v>
      </c>
      <c r="C302" s="994">
        <f ca="1">DATOSAÑO!AJ293</f>
        <v>0</v>
      </c>
      <c r="D302" s="994">
        <f ca="1">DATOSAÑO!AK293</f>
        <v>0</v>
      </c>
      <c r="E302" s="994">
        <f ca="1">DATOSAÑO!AD293</f>
        <v>0</v>
      </c>
      <c r="F302" s="994">
        <v>0</v>
      </c>
      <c r="G302" s="994">
        <v>0</v>
      </c>
      <c r="H302" s="994">
        <f ca="1">DATOSAÑO!AI293</f>
        <v>0</v>
      </c>
      <c r="I302" s="994">
        <f ca="1">DATOSAÑO!CJ293</f>
        <v>0</v>
      </c>
      <c r="J302" s="994">
        <v>0</v>
      </c>
      <c r="K302" s="994">
        <f ca="1">DATOSAÑO!AF293</f>
        <v>0</v>
      </c>
      <c r="L302" s="994">
        <f ca="1">+DATOSAÑO!CK293</f>
        <v>0</v>
      </c>
      <c r="M302" s="994">
        <f ca="1">+DATOSAÑO!AK293</f>
        <v>0</v>
      </c>
      <c r="N302" s="994">
        <f ca="1">+DATOSAÑO!AH293</f>
        <v>0</v>
      </c>
      <c r="O302" s="994">
        <f ca="1">DATOSAÑO!AL293</f>
        <v>0</v>
      </c>
      <c r="P302" s="994">
        <f ca="1">+(DATOSAÑO!BH293)+DATOSAÑO!BJ293</f>
        <v>0</v>
      </c>
      <c r="Q302" s="994">
        <f ca="1">+DATOSAÑO!BQ293</f>
        <v>0</v>
      </c>
      <c r="R302" s="1080">
        <f ca="1">DATOSAÑO!BS293+DATOSAÑO!BV293+DATOSAÑO!BY293+DATOSAÑO!CF293+DATOSAÑO!CL293</f>
        <v>0</v>
      </c>
    </row>
    <row r="303" spans="2:18">
      <c r="B303" s="390">
        <v>45210</v>
      </c>
      <c r="C303" s="994">
        <f ca="1">DATOSAÑO!AJ294</f>
        <v>0</v>
      </c>
      <c r="D303" s="994">
        <f ca="1">DATOSAÑO!AK294</f>
        <v>0</v>
      </c>
      <c r="E303" s="994">
        <f ca="1">DATOSAÑO!AD294</f>
        <v>0</v>
      </c>
      <c r="F303" s="994">
        <v>0</v>
      </c>
      <c r="G303" s="994">
        <v>0</v>
      </c>
      <c r="H303" s="994">
        <f ca="1">DATOSAÑO!AI294</f>
        <v>0</v>
      </c>
      <c r="I303" s="994">
        <f ca="1">DATOSAÑO!CJ294</f>
        <v>0</v>
      </c>
      <c r="J303" s="994">
        <v>0</v>
      </c>
      <c r="K303" s="994">
        <f ca="1">DATOSAÑO!AF294</f>
        <v>0</v>
      </c>
      <c r="L303" s="994">
        <f ca="1">+DATOSAÑO!CK294</f>
        <v>0</v>
      </c>
      <c r="M303" s="994">
        <f ca="1">+DATOSAÑO!AK294</f>
        <v>0</v>
      </c>
      <c r="N303" s="994">
        <f ca="1">+DATOSAÑO!AH294</f>
        <v>0</v>
      </c>
      <c r="O303" s="994">
        <f ca="1">DATOSAÑO!AL294</f>
        <v>0</v>
      </c>
      <c r="P303" s="994">
        <f ca="1">+(DATOSAÑO!BH294)+DATOSAÑO!BJ294</f>
        <v>0</v>
      </c>
      <c r="Q303" s="994">
        <f ca="1">+DATOSAÑO!BQ294</f>
        <v>0</v>
      </c>
      <c r="R303" s="1080">
        <f ca="1">DATOSAÑO!BS294+DATOSAÑO!BV294+DATOSAÑO!BY294+DATOSAÑO!CF294+DATOSAÑO!CL294</f>
        <v>0</v>
      </c>
    </row>
    <row r="304" spans="2:18">
      <c r="B304" s="390">
        <v>45211</v>
      </c>
      <c r="C304" s="994">
        <f ca="1">DATOSAÑO!AJ295</f>
        <v>0</v>
      </c>
      <c r="D304" s="994">
        <f ca="1">DATOSAÑO!AK295</f>
        <v>0</v>
      </c>
      <c r="E304" s="994">
        <f ca="1">DATOSAÑO!AD295</f>
        <v>0</v>
      </c>
      <c r="F304" s="994">
        <v>0</v>
      </c>
      <c r="G304" s="994">
        <v>0</v>
      </c>
      <c r="H304" s="994">
        <f ca="1">DATOSAÑO!AI295</f>
        <v>0</v>
      </c>
      <c r="I304" s="994">
        <f ca="1">DATOSAÑO!CJ295</f>
        <v>0</v>
      </c>
      <c r="J304" s="994">
        <v>0</v>
      </c>
      <c r="K304" s="994">
        <f ca="1">DATOSAÑO!AF295</f>
        <v>0</v>
      </c>
      <c r="L304" s="994">
        <f ca="1">+DATOSAÑO!CK295</f>
        <v>0</v>
      </c>
      <c r="M304" s="994">
        <f ca="1">+DATOSAÑO!AK295</f>
        <v>0</v>
      </c>
      <c r="N304" s="994">
        <f ca="1">+DATOSAÑO!AH295</f>
        <v>0</v>
      </c>
      <c r="O304" s="994">
        <f ca="1">DATOSAÑO!AL295</f>
        <v>0</v>
      </c>
      <c r="P304" s="994">
        <f ca="1">+(DATOSAÑO!BH295)+DATOSAÑO!BJ295</f>
        <v>0</v>
      </c>
      <c r="Q304" s="994">
        <f ca="1">+DATOSAÑO!BQ295</f>
        <v>0</v>
      </c>
      <c r="R304" s="1080">
        <f ca="1">DATOSAÑO!BS295+DATOSAÑO!BV295+DATOSAÑO!BY295+DATOSAÑO!CF295+DATOSAÑO!CL295</f>
        <v>0</v>
      </c>
    </row>
    <row r="305" spans="2:18">
      <c r="B305" s="390">
        <v>45212</v>
      </c>
      <c r="C305" s="994">
        <f ca="1">DATOSAÑO!AJ296</f>
        <v>0</v>
      </c>
      <c r="D305" s="994">
        <f ca="1">DATOSAÑO!AK296</f>
        <v>0</v>
      </c>
      <c r="E305" s="994">
        <f ca="1">DATOSAÑO!AD296</f>
        <v>0</v>
      </c>
      <c r="F305" s="994">
        <v>0</v>
      </c>
      <c r="G305" s="994">
        <v>0</v>
      </c>
      <c r="H305" s="994">
        <f ca="1">DATOSAÑO!AI296</f>
        <v>0</v>
      </c>
      <c r="I305" s="994">
        <f ca="1">DATOSAÑO!CJ296</f>
        <v>0</v>
      </c>
      <c r="J305" s="994">
        <v>0</v>
      </c>
      <c r="K305" s="994">
        <f ca="1">DATOSAÑO!AF296</f>
        <v>0</v>
      </c>
      <c r="L305" s="994">
        <f ca="1">+DATOSAÑO!CK296</f>
        <v>0</v>
      </c>
      <c r="M305" s="994">
        <f ca="1">+DATOSAÑO!AK296</f>
        <v>0</v>
      </c>
      <c r="N305" s="994">
        <f ca="1">+DATOSAÑO!AH296</f>
        <v>0</v>
      </c>
      <c r="O305" s="994">
        <f ca="1">DATOSAÑO!AL296</f>
        <v>0</v>
      </c>
      <c r="P305" s="994">
        <f ca="1">+(DATOSAÑO!BH296)+DATOSAÑO!BJ296</f>
        <v>0</v>
      </c>
      <c r="Q305" s="994">
        <f ca="1">+DATOSAÑO!BQ296</f>
        <v>0</v>
      </c>
      <c r="R305" s="1080">
        <f ca="1">DATOSAÑO!BS296+DATOSAÑO!BV296+DATOSAÑO!BY296+DATOSAÑO!CF296+DATOSAÑO!CL296</f>
        <v>0</v>
      </c>
    </row>
    <row r="306" spans="2:18">
      <c r="B306" s="390">
        <v>45213</v>
      </c>
      <c r="C306" s="994">
        <f ca="1">DATOSAÑO!AJ297</f>
        <v>0</v>
      </c>
      <c r="D306" s="994">
        <f ca="1">DATOSAÑO!AK297</f>
        <v>0</v>
      </c>
      <c r="E306" s="994">
        <f ca="1">DATOSAÑO!AD297</f>
        <v>0</v>
      </c>
      <c r="F306" s="994">
        <v>0</v>
      </c>
      <c r="G306" s="994">
        <v>0</v>
      </c>
      <c r="H306" s="994">
        <f ca="1">DATOSAÑO!AI297</f>
        <v>0</v>
      </c>
      <c r="I306" s="994">
        <f ca="1">DATOSAÑO!CJ297</f>
        <v>0</v>
      </c>
      <c r="J306" s="994">
        <v>0</v>
      </c>
      <c r="K306" s="994">
        <f ca="1">DATOSAÑO!AF297</f>
        <v>0</v>
      </c>
      <c r="L306" s="994">
        <f ca="1">+DATOSAÑO!CK297</f>
        <v>0</v>
      </c>
      <c r="M306" s="994">
        <f ca="1">+DATOSAÑO!AK297</f>
        <v>0</v>
      </c>
      <c r="N306" s="994">
        <f ca="1">+DATOSAÑO!AH297</f>
        <v>0</v>
      </c>
      <c r="O306" s="994">
        <f ca="1">DATOSAÑO!AL297</f>
        <v>0</v>
      </c>
      <c r="P306" s="994">
        <f ca="1">+(DATOSAÑO!BH297)+DATOSAÑO!BJ297</f>
        <v>0</v>
      </c>
      <c r="Q306" s="994">
        <f ca="1">+DATOSAÑO!BQ297</f>
        <v>0</v>
      </c>
      <c r="R306" s="1080">
        <f ca="1">DATOSAÑO!BS297+DATOSAÑO!BV297+DATOSAÑO!BY297+DATOSAÑO!CF297+DATOSAÑO!CL297</f>
        <v>0</v>
      </c>
    </row>
    <row r="307" spans="2:18">
      <c r="B307" s="390">
        <v>45214</v>
      </c>
      <c r="C307" s="994">
        <f ca="1">DATOSAÑO!AJ298</f>
        <v>0</v>
      </c>
      <c r="D307" s="994">
        <f ca="1">DATOSAÑO!AK298</f>
        <v>0</v>
      </c>
      <c r="E307" s="994">
        <f ca="1">DATOSAÑO!AD298</f>
        <v>0</v>
      </c>
      <c r="F307" s="994">
        <v>0</v>
      </c>
      <c r="G307" s="994">
        <v>0</v>
      </c>
      <c r="H307" s="994">
        <f ca="1">DATOSAÑO!AI298</f>
        <v>0</v>
      </c>
      <c r="I307" s="994">
        <f ca="1">DATOSAÑO!CJ298</f>
        <v>0</v>
      </c>
      <c r="J307" s="994">
        <v>0</v>
      </c>
      <c r="K307" s="994">
        <f ca="1">DATOSAÑO!AF298</f>
        <v>0</v>
      </c>
      <c r="L307" s="994">
        <f ca="1">+DATOSAÑO!CK298</f>
        <v>0</v>
      </c>
      <c r="M307" s="994">
        <f ca="1">+DATOSAÑO!AK298</f>
        <v>0</v>
      </c>
      <c r="N307" s="994">
        <f ca="1">+DATOSAÑO!AH298</f>
        <v>0</v>
      </c>
      <c r="O307" s="994">
        <f ca="1">DATOSAÑO!AL298</f>
        <v>0</v>
      </c>
      <c r="P307" s="994">
        <f ca="1">+(DATOSAÑO!BH298)+DATOSAÑO!BJ298</f>
        <v>0</v>
      </c>
      <c r="Q307" s="994">
        <f ca="1">+DATOSAÑO!BQ298</f>
        <v>0</v>
      </c>
      <c r="R307" s="1080">
        <f ca="1">DATOSAÑO!BS298+DATOSAÑO!BV298+DATOSAÑO!BY298+DATOSAÑO!CF298+DATOSAÑO!CL298</f>
        <v>0</v>
      </c>
    </row>
    <row r="308" spans="2:18">
      <c r="B308" s="390">
        <v>45215</v>
      </c>
      <c r="C308" s="994">
        <f ca="1">DATOSAÑO!AJ299</f>
        <v>0</v>
      </c>
      <c r="D308" s="994">
        <f ca="1">DATOSAÑO!AK299</f>
        <v>0</v>
      </c>
      <c r="E308" s="994">
        <f ca="1">DATOSAÑO!AD299</f>
        <v>0</v>
      </c>
      <c r="F308" s="994">
        <v>0</v>
      </c>
      <c r="G308" s="994">
        <v>0</v>
      </c>
      <c r="H308" s="994">
        <f ca="1">DATOSAÑO!AI299</f>
        <v>0</v>
      </c>
      <c r="I308" s="994">
        <f ca="1">DATOSAÑO!CJ299</f>
        <v>0</v>
      </c>
      <c r="J308" s="994">
        <v>0</v>
      </c>
      <c r="K308" s="994">
        <f ca="1">DATOSAÑO!AF299</f>
        <v>0</v>
      </c>
      <c r="L308" s="994">
        <f ca="1">+DATOSAÑO!CK299</f>
        <v>0</v>
      </c>
      <c r="M308" s="994">
        <f ca="1">+DATOSAÑO!AK299</f>
        <v>0</v>
      </c>
      <c r="N308" s="994">
        <f ca="1">+DATOSAÑO!AH299</f>
        <v>0</v>
      </c>
      <c r="O308" s="994">
        <f ca="1">DATOSAÑO!AL299</f>
        <v>0</v>
      </c>
      <c r="P308" s="994">
        <f ca="1">+(DATOSAÑO!BH299)+DATOSAÑO!BJ299</f>
        <v>0</v>
      </c>
      <c r="Q308" s="994">
        <f ca="1">+DATOSAÑO!BQ299</f>
        <v>0</v>
      </c>
      <c r="R308" s="1080">
        <f ca="1">DATOSAÑO!BS299+DATOSAÑO!BV299+DATOSAÑO!BY299+DATOSAÑO!CF299+DATOSAÑO!CL299</f>
        <v>0</v>
      </c>
    </row>
    <row r="309" spans="2:18">
      <c r="B309" s="390">
        <v>45216</v>
      </c>
      <c r="C309" s="994">
        <f ca="1">DATOSAÑO!AJ300</f>
        <v>0</v>
      </c>
      <c r="D309" s="994">
        <f ca="1">DATOSAÑO!AK300</f>
        <v>0</v>
      </c>
      <c r="E309" s="994">
        <f ca="1">DATOSAÑO!AD300</f>
        <v>0</v>
      </c>
      <c r="F309" s="994">
        <v>0</v>
      </c>
      <c r="G309" s="994">
        <v>0</v>
      </c>
      <c r="H309" s="994">
        <f ca="1">DATOSAÑO!AI300</f>
        <v>0</v>
      </c>
      <c r="I309" s="994">
        <f ca="1">DATOSAÑO!CJ300</f>
        <v>0</v>
      </c>
      <c r="J309" s="994">
        <v>0</v>
      </c>
      <c r="K309" s="994">
        <f ca="1">DATOSAÑO!AF300</f>
        <v>0</v>
      </c>
      <c r="L309" s="994">
        <f ca="1">+DATOSAÑO!CK300</f>
        <v>0</v>
      </c>
      <c r="M309" s="994">
        <f ca="1">+DATOSAÑO!AK300</f>
        <v>0</v>
      </c>
      <c r="N309" s="994">
        <f ca="1">+DATOSAÑO!AH300</f>
        <v>0</v>
      </c>
      <c r="O309" s="994">
        <f ca="1">DATOSAÑO!AL300</f>
        <v>0</v>
      </c>
      <c r="P309" s="994">
        <f ca="1">+(DATOSAÑO!BH300)+DATOSAÑO!BJ300</f>
        <v>0</v>
      </c>
      <c r="Q309" s="994">
        <f ca="1">+DATOSAÑO!BQ300</f>
        <v>0</v>
      </c>
      <c r="R309" s="1080">
        <f ca="1">DATOSAÑO!BS300+DATOSAÑO!BV300+DATOSAÑO!BY300+DATOSAÑO!CF300+DATOSAÑO!CL300</f>
        <v>0</v>
      </c>
    </row>
    <row r="310" spans="2:18">
      <c r="B310" s="390">
        <v>45217</v>
      </c>
      <c r="C310" s="994">
        <f ca="1">DATOSAÑO!AJ301</f>
        <v>0</v>
      </c>
      <c r="D310" s="994">
        <f ca="1">DATOSAÑO!AK301</f>
        <v>0</v>
      </c>
      <c r="E310" s="994">
        <f ca="1">DATOSAÑO!AD301</f>
        <v>0</v>
      </c>
      <c r="F310" s="994">
        <v>0</v>
      </c>
      <c r="G310" s="994">
        <v>0</v>
      </c>
      <c r="H310" s="994">
        <f ca="1">DATOSAÑO!AI301</f>
        <v>0</v>
      </c>
      <c r="I310" s="994">
        <f ca="1">DATOSAÑO!CJ301</f>
        <v>0</v>
      </c>
      <c r="J310" s="994">
        <v>0</v>
      </c>
      <c r="K310" s="994">
        <f ca="1">DATOSAÑO!AF301</f>
        <v>0</v>
      </c>
      <c r="L310" s="994">
        <f ca="1">+DATOSAÑO!CK301</f>
        <v>0</v>
      </c>
      <c r="M310" s="994">
        <f ca="1">+DATOSAÑO!AK301</f>
        <v>0</v>
      </c>
      <c r="N310" s="994">
        <f ca="1">+DATOSAÑO!AH301</f>
        <v>0</v>
      </c>
      <c r="O310" s="994">
        <f ca="1">DATOSAÑO!AL301</f>
        <v>0</v>
      </c>
      <c r="P310" s="994">
        <f ca="1">+(DATOSAÑO!BH301)+DATOSAÑO!BJ301</f>
        <v>0</v>
      </c>
      <c r="Q310" s="994">
        <f ca="1">+DATOSAÑO!BQ301</f>
        <v>0</v>
      </c>
      <c r="R310" s="1080">
        <f ca="1">DATOSAÑO!BS301+DATOSAÑO!BV301+DATOSAÑO!BY301+DATOSAÑO!CF301+DATOSAÑO!CL301</f>
        <v>0</v>
      </c>
    </row>
    <row r="311" spans="2:18">
      <c r="B311" s="390">
        <v>45218</v>
      </c>
      <c r="C311" s="994">
        <f ca="1">DATOSAÑO!AJ302</f>
        <v>0</v>
      </c>
      <c r="D311" s="994">
        <f ca="1">DATOSAÑO!AK302</f>
        <v>0</v>
      </c>
      <c r="E311" s="994">
        <f ca="1">DATOSAÑO!AD302</f>
        <v>0</v>
      </c>
      <c r="F311" s="994">
        <v>0</v>
      </c>
      <c r="G311" s="994">
        <v>0</v>
      </c>
      <c r="H311" s="994">
        <f ca="1">DATOSAÑO!AI302</f>
        <v>0</v>
      </c>
      <c r="I311" s="994">
        <f ca="1">DATOSAÑO!CJ302</f>
        <v>0</v>
      </c>
      <c r="J311" s="994">
        <v>0</v>
      </c>
      <c r="K311" s="994">
        <f ca="1">DATOSAÑO!AF302</f>
        <v>0</v>
      </c>
      <c r="L311" s="994">
        <f ca="1">+DATOSAÑO!CK302</f>
        <v>0</v>
      </c>
      <c r="M311" s="994">
        <f ca="1">+DATOSAÑO!AK302</f>
        <v>0</v>
      </c>
      <c r="N311" s="994">
        <f ca="1">+DATOSAÑO!AH302</f>
        <v>0</v>
      </c>
      <c r="O311" s="994">
        <f ca="1">DATOSAÑO!AL302</f>
        <v>0</v>
      </c>
      <c r="P311" s="994">
        <f ca="1">+(DATOSAÑO!BH302)+DATOSAÑO!BJ302</f>
        <v>0</v>
      </c>
      <c r="Q311" s="994">
        <f ca="1">+DATOSAÑO!BQ302</f>
        <v>0</v>
      </c>
      <c r="R311" s="1080">
        <f ca="1">DATOSAÑO!BS302+DATOSAÑO!BV302+DATOSAÑO!BY302+DATOSAÑO!CF302+DATOSAÑO!CL302</f>
        <v>0</v>
      </c>
    </row>
    <row r="312" spans="2:18">
      <c r="B312" s="390">
        <v>45219</v>
      </c>
      <c r="C312" s="994">
        <f ca="1">DATOSAÑO!AJ303</f>
        <v>0</v>
      </c>
      <c r="D312" s="994">
        <f ca="1">DATOSAÑO!AK303</f>
        <v>0</v>
      </c>
      <c r="E312" s="994">
        <f ca="1">DATOSAÑO!AD303</f>
        <v>0</v>
      </c>
      <c r="F312" s="994">
        <v>0</v>
      </c>
      <c r="G312" s="994">
        <v>0</v>
      </c>
      <c r="H312" s="994">
        <f ca="1">DATOSAÑO!AI303</f>
        <v>0</v>
      </c>
      <c r="I312" s="994">
        <f ca="1">DATOSAÑO!CJ303</f>
        <v>0</v>
      </c>
      <c r="J312" s="994">
        <v>0</v>
      </c>
      <c r="K312" s="994">
        <f ca="1">DATOSAÑO!AF303</f>
        <v>0</v>
      </c>
      <c r="L312" s="994">
        <f ca="1">+DATOSAÑO!CK303</f>
        <v>0</v>
      </c>
      <c r="M312" s="994">
        <f ca="1">+DATOSAÑO!AK303</f>
        <v>0</v>
      </c>
      <c r="N312" s="994">
        <f ca="1">+DATOSAÑO!AH303</f>
        <v>0</v>
      </c>
      <c r="O312" s="994">
        <f ca="1">DATOSAÑO!AL303</f>
        <v>0</v>
      </c>
      <c r="P312" s="994">
        <f ca="1">+(DATOSAÑO!BH303)+DATOSAÑO!BJ303</f>
        <v>0</v>
      </c>
      <c r="Q312" s="994">
        <f ca="1">+DATOSAÑO!BQ303</f>
        <v>0</v>
      </c>
      <c r="R312" s="1080">
        <f ca="1">DATOSAÑO!BS303+DATOSAÑO!BV303+DATOSAÑO!BY303+DATOSAÑO!CF303+DATOSAÑO!CL303</f>
        <v>0</v>
      </c>
    </row>
    <row r="313" spans="2:18">
      <c r="B313" s="390">
        <v>45220</v>
      </c>
      <c r="C313" s="994">
        <f ca="1">DATOSAÑO!AJ304</f>
        <v>0</v>
      </c>
      <c r="D313" s="994">
        <f ca="1">DATOSAÑO!AK304</f>
        <v>0</v>
      </c>
      <c r="E313" s="994">
        <f ca="1">DATOSAÑO!AD304</f>
        <v>0</v>
      </c>
      <c r="F313" s="994">
        <v>0</v>
      </c>
      <c r="G313" s="994">
        <v>0</v>
      </c>
      <c r="H313" s="994">
        <f ca="1">DATOSAÑO!AI304</f>
        <v>0</v>
      </c>
      <c r="I313" s="994">
        <f ca="1">DATOSAÑO!CJ304</f>
        <v>0</v>
      </c>
      <c r="J313" s="994">
        <v>0</v>
      </c>
      <c r="K313" s="994">
        <f ca="1">DATOSAÑO!AF304</f>
        <v>0</v>
      </c>
      <c r="L313" s="994">
        <f ca="1">+DATOSAÑO!CK304</f>
        <v>0</v>
      </c>
      <c r="M313" s="994">
        <f ca="1">+DATOSAÑO!AK304</f>
        <v>0</v>
      </c>
      <c r="N313" s="994">
        <f ca="1">+DATOSAÑO!AH304</f>
        <v>0</v>
      </c>
      <c r="O313" s="994">
        <f ca="1">DATOSAÑO!AL304</f>
        <v>0</v>
      </c>
      <c r="P313" s="994">
        <f ca="1">+(DATOSAÑO!BH304)+DATOSAÑO!BJ304</f>
        <v>0</v>
      </c>
      <c r="Q313" s="994">
        <f ca="1">+DATOSAÑO!BQ304</f>
        <v>0</v>
      </c>
      <c r="R313" s="1080">
        <f ca="1">DATOSAÑO!BS304+DATOSAÑO!BV304+DATOSAÑO!BY304+DATOSAÑO!CF304+DATOSAÑO!CL304</f>
        <v>0</v>
      </c>
    </row>
    <row r="314" spans="2:18">
      <c r="B314" s="390">
        <v>45221</v>
      </c>
      <c r="C314" s="994">
        <f ca="1">DATOSAÑO!AJ305</f>
        <v>0</v>
      </c>
      <c r="D314" s="994">
        <f ca="1">DATOSAÑO!AK305</f>
        <v>0</v>
      </c>
      <c r="E314" s="994">
        <f ca="1">DATOSAÑO!AD305</f>
        <v>0</v>
      </c>
      <c r="F314" s="994">
        <v>0</v>
      </c>
      <c r="G314" s="994">
        <v>0</v>
      </c>
      <c r="H314" s="994">
        <f ca="1">DATOSAÑO!AI305</f>
        <v>0</v>
      </c>
      <c r="I314" s="994">
        <f ca="1">DATOSAÑO!CJ305</f>
        <v>0</v>
      </c>
      <c r="J314" s="994">
        <v>0</v>
      </c>
      <c r="K314" s="994">
        <f ca="1">DATOSAÑO!AF305</f>
        <v>0</v>
      </c>
      <c r="L314" s="994">
        <f ca="1">+DATOSAÑO!CK305</f>
        <v>0</v>
      </c>
      <c r="M314" s="994">
        <f ca="1">+DATOSAÑO!AK305</f>
        <v>0</v>
      </c>
      <c r="N314" s="994">
        <f ca="1">+DATOSAÑO!AH305</f>
        <v>0</v>
      </c>
      <c r="O314" s="994">
        <f ca="1">DATOSAÑO!AL305</f>
        <v>0</v>
      </c>
      <c r="P314" s="994">
        <f ca="1">+(DATOSAÑO!BH305)+DATOSAÑO!BJ305</f>
        <v>0</v>
      </c>
      <c r="Q314" s="994">
        <f ca="1">+DATOSAÑO!BQ305</f>
        <v>0</v>
      </c>
      <c r="R314" s="1080">
        <f ca="1">DATOSAÑO!BS305+DATOSAÑO!BV305+DATOSAÑO!BY305+DATOSAÑO!CF305+DATOSAÑO!CL305</f>
        <v>0</v>
      </c>
    </row>
    <row r="315" spans="2:18">
      <c r="B315" s="390">
        <v>45222</v>
      </c>
      <c r="C315" s="994">
        <f ca="1">DATOSAÑO!AJ306</f>
        <v>0</v>
      </c>
      <c r="D315" s="994">
        <f ca="1">DATOSAÑO!AK306</f>
        <v>0</v>
      </c>
      <c r="E315" s="994">
        <f ca="1">DATOSAÑO!AD306</f>
        <v>0</v>
      </c>
      <c r="F315" s="994">
        <v>0</v>
      </c>
      <c r="G315" s="994">
        <v>0</v>
      </c>
      <c r="H315" s="994">
        <f ca="1">DATOSAÑO!AI306</f>
        <v>0</v>
      </c>
      <c r="I315" s="994">
        <f ca="1">DATOSAÑO!CJ306</f>
        <v>0</v>
      </c>
      <c r="J315" s="994">
        <v>0</v>
      </c>
      <c r="K315" s="994">
        <f ca="1">DATOSAÑO!AF306</f>
        <v>0</v>
      </c>
      <c r="L315" s="994">
        <f ca="1">+DATOSAÑO!CK306</f>
        <v>0</v>
      </c>
      <c r="M315" s="994">
        <f ca="1">+DATOSAÑO!AK306</f>
        <v>0</v>
      </c>
      <c r="N315" s="994">
        <f ca="1">+DATOSAÑO!AH306</f>
        <v>0</v>
      </c>
      <c r="O315" s="994">
        <f ca="1">DATOSAÑO!AL306</f>
        <v>0</v>
      </c>
      <c r="P315" s="994">
        <f ca="1">+(DATOSAÑO!BH306)+DATOSAÑO!BJ306</f>
        <v>0</v>
      </c>
      <c r="Q315" s="994">
        <f ca="1">+DATOSAÑO!BQ306</f>
        <v>0</v>
      </c>
      <c r="R315" s="1080">
        <f ca="1">DATOSAÑO!BS306+DATOSAÑO!BV306+DATOSAÑO!BY306+DATOSAÑO!CF306+DATOSAÑO!CL306</f>
        <v>0</v>
      </c>
    </row>
    <row r="316" spans="2:18">
      <c r="B316" s="390">
        <v>45223</v>
      </c>
      <c r="C316" s="994">
        <f ca="1">DATOSAÑO!AJ307</f>
        <v>0</v>
      </c>
      <c r="D316" s="994">
        <f ca="1">DATOSAÑO!AK307</f>
        <v>0</v>
      </c>
      <c r="E316" s="994">
        <f ca="1">DATOSAÑO!AD307</f>
        <v>0</v>
      </c>
      <c r="F316" s="994">
        <v>0</v>
      </c>
      <c r="G316" s="994">
        <v>0</v>
      </c>
      <c r="H316" s="994">
        <f ca="1">DATOSAÑO!AI307</f>
        <v>0</v>
      </c>
      <c r="I316" s="994">
        <f ca="1">DATOSAÑO!CJ307</f>
        <v>0</v>
      </c>
      <c r="J316" s="994">
        <v>0</v>
      </c>
      <c r="K316" s="994">
        <f ca="1">DATOSAÑO!AF307</f>
        <v>0</v>
      </c>
      <c r="L316" s="994">
        <f ca="1">+DATOSAÑO!CK307</f>
        <v>0</v>
      </c>
      <c r="M316" s="994">
        <f ca="1">+DATOSAÑO!AK307</f>
        <v>0</v>
      </c>
      <c r="N316" s="994">
        <f ca="1">+DATOSAÑO!AH307</f>
        <v>0</v>
      </c>
      <c r="O316" s="994">
        <f ca="1">DATOSAÑO!AL307</f>
        <v>0</v>
      </c>
      <c r="P316" s="994">
        <f ca="1">+(DATOSAÑO!BH307)+DATOSAÑO!BJ307</f>
        <v>0</v>
      </c>
      <c r="Q316" s="994">
        <f ca="1">+DATOSAÑO!BQ307</f>
        <v>0</v>
      </c>
      <c r="R316" s="1080">
        <f ca="1">DATOSAÑO!BS307+DATOSAÑO!BV307+DATOSAÑO!BY307+DATOSAÑO!CF307+DATOSAÑO!CL307</f>
        <v>0</v>
      </c>
    </row>
    <row r="317" spans="2:18">
      <c r="B317" s="390">
        <v>45224</v>
      </c>
      <c r="C317" s="994">
        <f ca="1">DATOSAÑO!AJ308</f>
        <v>0</v>
      </c>
      <c r="D317" s="994">
        <f ca="1">DATOSAÑO!AK308</f>
        <v>0</v>
      </c>
      <c r="E317" s="994">
        <f ca="1">DATOSAÑO!AD308</f>
        <v>0</v>
      </c>
      <c r="F317" s="994">
        <v>0</v>
      </c>
      <c r="G317" s="994">
        <v>0</v>
      </c>
      <c r="H317" s="994">
        <f ca="1">DATOSAÑO!AI308</f>
        <v>0</v>
      </c>
      <c r="I317" s="994">
        <f ca="1">DATOSAÑO!CJ308</f>
        <v>0</v>
      </c>
      <c r="J317" s="994">
        <v>0</v>
      </c>
      <c r="K317" s="994">
        <f ca="1">DATOSAÑO!AF308</f>
        <v>0</v>
      </c>
      <c r="L317" s="994">
        <f ca="1">+DATOSAÑO!CK308</f>
        <v>0</v>
      </c>
      <c r="M317" s="994">
        <f ca="1">+DATOSAÑO!AK308</f>
        <v>0</v>
      </c>
      <c r="N317" s="994">
        <f ca="1">+DATOSAÑO!AH308</f>
        <v>0</v>
      </c>
      <c r="O317" s="994">
        <f ca="1">DATOSAÑO!AL308</f>
        <v>0</v>
      </c>
      <c r="P317" s="994">
        <f ca="1">+(DATOSAÑO!BH308)+DATOSAÑO!BJ308</f>
        <v>0</v>
      </c>
      <c r="Q317" s="994">
        <f ca="1">+DATOSAÑO!BQ308</f>
        <v>0</v>
      </c>
      <c r="R317" s="1080">
        <f ca="1">DATOSAÑO!BS308+DATOSAÑO!BV308+DATOSAÑO!BY308+DATOSAÑO!CF308+DATOSAÑO!CL308</f>
        <v>0</v>
      </c>
    </row>
    <row r="318" spans="2:18">
      <c r="B318" s="390">
        <v>45225</v>
      </c>
      <c r="C318" s="994">
        <f ca="1">DATOSAÑO!AJ309</f>
        <v>0</v>
      </c>
      <c r="D318" s="994">
        <f ca="1">DATOSAÑO!AK309</f>
        <v>0</v>
      </c>
      <c r="E318" s="994">
        <f ca="1">DATOSAÑO!AD309</f>
        <v>0</v>
      </c>
      <c r="F318" s="994">
        <v>0</v>
      </c>
      <c r="G318" s="994">
        <v>0</v>
      </c>
      <c r="H318" s="994">
        <f ca="1">DATOSAÑO!AI309</f>
        <v>0</v>
      </c>
      <c r="I318" s="994">
        <f ca="1">DATOSAÑO!CJ309</f>
        <v>0</v>
      </c>
      <c r="J318" s="994">
        <v>0</v>
      </c>
      <c r="K318" s="994">
        <f ca="1">DATOSAÑO!AF309</f>
        <v>0</v>
      </c>
      <c r="L318" s="994">
        <f ca="1">+DATOSAÑO!CK309</f>
        <v>0</v>
      </c>
      <c r="M318" s="994">
        <f ca="1">+DATOSAÑO!AK309</f>
        <v>0</v>
      </c>
      <c r="N318" s="994">
        <f ca="1">+DATOSAÑO!AH309</f>
        <v>0</v>
      </c>
      <c r="O318" s="994">
        <f ca="1">DATOSAÑO!AL309</f>
        <v>0</v>
      </c>
      <c r="P318" s="994">
        <f ca="1">+(DATOSAÑO!BH309)+DATOSAÑO!BJ309</f>
        <v>0</v>
      </c>
      <c r="Q318" s="994">
        <f ca="1">+DATOSAÑO!BQ309</f>
        <v>0</v>
      </c>
      <c r="R318" s="1080">
        <f ca="1">DATOSAÑO!BS309+DATOSAÑO!BV309+DATOSAÑO!BY309+DATOSAÑO!CF309+DATOSAÑO!CL309</f>
        <v>0</v>
      </c>
    </row>
    <row r="319" spans="2:18">
      <c r="B319" s="390">
        <v>45226</v>
      </c>
      <c r="C319" s="994">
        <f ca="1">DATOSAÑO!AJ310</f>
        <v>0</v>
      </c>
      <c r="D319" s="994">
        <f ca="1">DATOSAÑO!AK310</f>
        <v>0</v>
      </c>
      <c r="E319" s="994">
        <f ca="1">DATOSAÑO!AD310</f>
        <v>0</v>
      </c>
      <c r="F319" s="994">
        <v>0</v>
      </c>
      <c r="G319" s="994">
        <v>0</v>
      </c>
      <c r="H319" s="994">
        <f ca="1">DATOSAÑO!AI310</f>
        <v>0</v>
      </c>
      <c r="I319" s="994">
        <f ca="1">DATOSAÑO!CJ310</f>
        <v>0</v>
      </c>
      <c r="J319" s="994">
        <v>0</v>
      </c>
      <c r="K319" s="994">
        <f ca="1">DATOSAÑO!AF310</f>
        <v>0</v>
      </c>
      <c r="L319" s="994">
        <f ca="1">+DATOSAÑO!CK310</f>
        <v>0</v>
      </c>
      <c r="M319" s="994">
        <f ca="1">+DATOSAÑO!AK310</f>
        <v>0</v>
      </c>
      <c r="N319" s="994">
        <f ca="1">+DATOSAÑO!AH310</f>
        <v>0</v>
      </c>
      <c r="O319" s="994">
        <f ca="1">DATOSAÑO!AL310</f>
        <v>0</v>
      </c>
      <c r="P319" s="994">
        <f ca="1">+(DATOSAÑO!BH310)+DATOSAÑO!BJ310</f>
        <v>0</v>
      </c>
      <c r="Q319" s="994">
        <f ca="1">+DATOSAÑO!BQ310</f>
        <v>0</v>
      </c>
      <c r="R319" s="1080">
        <f ca="1">DATOSAÑO!BS310+DATOSAÑO!BV310+DATOSAÑO!BY310+DATOSAÑO!CF310+DATOSAÑO!CL310</f>
        <v>0</v>
      </c>
    </row>
    <row r="320" spans="2:18">
      <c r="B320" s="390">
        <v>45227</v>
      </c>
      <c r="C320" s="994">
        <f ca="1">DATOSAÑO!AJ311</f>
        <v>0</v>
      </c>
      <c r="D320" s="994">
        <f ca="1">DATOSAÑO!AK311</f>
        <v>0</v>
      </c>
      <c r="E320" s="994">
        <f ca="1">DATOSAÑO!AD311</f>
        <v>0</v>
      </c>
      <c r="F320" s="994">
        <v>0</v>
      </c>
      <c r="G320" s="994">
        <v>0</v>
      </c>
      <c r="H320" s="994">
        <f ca="1">DATOSAÑO!AI311</f>
        <v>0</v>
      </c>
      <c r="I320" s="994">
        <f ca="1">DATOSAÑO!CJ311</f>
        <v>0</v>
      </c>
      <c r="J320" s="994">
        <v>0</v>
      </c>
      <c r="K320" s="994">
        <f ca="1">DATOSAÑO!AF311</f>
        <v>0</v>
      </c>
      <c r="L320" s="994">
        <f ca="1">+DATOSAÑO!CK311</f>
        <v>0</v>
      </c>
      <c r="M320" s="994">
        <f ca="1">+DATOSAÑO!AK311</f>
        <v>0</v>
      </c>
      <c r="N320" s="994">
        <f ca="1">+DATOSAÑO!AH311</f>
        <v>0</v>
      </c>
      <c r="O320" s="994">
        <f ca="1">DATOSAÑO!AL311</f>
        <v>0</v>
      </c>
      <c r="P320" s="994">
        <f ca="1">+(DATOSAÑO!BH311)+DATOSAÑO!BJ311</f>
        <v>0</v>
      </c>
      <c r="Q320" s="994">
        <f ca="1">+DATOSAÑO!BQ311</f>
        <v>0</v>
      </c>
      <c r="R320" s="1080">
        <f ca="1">DATOSAÑO!BS311+DATOSAÑO!BV311+DATOSAÑO!BY311+DATOSAÑO!CF311+DATOSAÑO!CL311</f>
        <v>0</v>
      </c>
    </row>
    <row r="321" spans="2:18">
      <c r="B321" s="390">
        <v>45228</v>
      </c>
      <c r="C321" s="994">
        <f ca="1">DATOSAÑO!AJ312</f>
        <v>0</v>
      </c>
      <c r="D321" s="994">
        <f ca="1">DATOSAÑO!AK312</f>
        <v>0</v>
      </c>
      <c r="E321" s="994">
        <f ca="1">DATOSAÑO!AD312</f>
        <v>0</v>
      </c>
      <c r="F321" s="994">
        <v>0</v>
      </c>
      <c r="G321" s="994">
        <v>0</v>
      </c>
      <c r="H321" s="994">
        <f ca="1">DATOSAÑO!AI312</f>
        <v>0</v>
      </c>
      <c r="I321" s="994">
        <f ca="1">DATOSAÑO!CJ312</f>
        <v>0</v>
      </c>
      <c r="J321" s="994">
        <v>0</v>
      </c>
      <c r="K321" s="994">
        <f ca="1">DATOSAÑO!AF312</f>
        <v>0</v>
      </c>
      <c r="L321" s="994">
        <f ca="1">+DATOSAÑO!CK312</f>
        <v>0</v>
      </c>
      <c r="M321" s="994">
        <f ca="1">+DATOSAÑO!AK312</f>
        <v>0</v>
      </c>
      <c r="N321" s="994">
        <f ca="1">+DATOSAÑO!AH312</f>
        <v>0</v>
      </c>
      <c r="O321" s="994">
        <f ca="1">DATOSAÑO!AL312</f>
        <v>0</v>
      </c>
      <c r="P321" s="994">
        <f ca="1">+(DATOSAÑO!BH312)+DATOSAÑO!BJ312</f>
        <v>0</v>
      </c>
      <c r="Q321" s="994">
        <f ca="1">+DATOSAÑO!BQ312</f>
        <v>0</v>
      </c>
      <c r="R321" s="1080">
        <f ca="1">DATOSAÑO!BS312+DATOSAÑO!BV312+DATOSAÑO!BY312+DATOSAÑO!CF312+DATOSAÑO!CL312</f>
        <v>0</v>
      </c>
    </row>
    <row r="322" spans="2:18">
      <c r="B322" s="390">
        <v>45229</v>
      </c>
      <c r="C322" s="994">
        <f ca="1">DATOSAÑO!AJ313</f>
        <v>0</v>
      </c>
      <c r="D322" s="994">
        <f ca="1">DATOSAÑO!AK313</f>
        <v>0</v>
      </c>
      <c r="E322" s="994">
        <f ca="1">DATOSAÑO!AD313</f>
        <v>0</v>
      </c>
      <c r="F322" s="994">
        <v>0</v>
      </c>
      <c r="G322" s="994">
        <v>0</v>
      </c>
      <c r="H322" s="994">
        <f ca="1">DATOSAÑO!AI313</f>
        <v>0</v>
      </c>
      <c r="I322" s="994">
        <f ca="1">DATOSAÑO!CJ313</f>
        <v>0</v>
      </c>
      <c r="J322" s="994">
        <v>0</v>
      </c>
      <c r="K322" s="994">
        <f ca="1">DATOSAÑO!AF313</f>
        <v>0</v>
      </c>
      <c r="L322" s="994">
        <f ca="1">+DATOSAÑO!CK313</f>
        <v>0</v>
      </c>
      <c r="M322" s="994">
        <f ca="1">+DATOSAÑO!AK313</f>
        <v>0</v>
      </c>
      <c r="N322" s="994">
        <f ca="1">+DATOSAÑO!AH313</f>
        <v>0</v>
      </c>
      <c r="O322" s="994">
        <f ca="1">DATOSAÑO!AL313</f>
        <v>0</v>
      </c>
      <c r="P322" s="994">
        <f ca="1">+(DATOSAÑO!BH313)+DATOSAÑO!BJ313</f>
        <v>0</v>
      </c>
      <c r="Q322" s="994">
        <f ca="1">+DATOSAÑO!BQ313</f>
        <v>0</v>
      </c>
      <c r="R322" s="1080">
        <f ca="1">DATOSAÑO!BS313+DATOSAÑO!BV313+DATOSAÑO!BY313+DATOSAÑO!CF313+DATOSAÑO!CL313</f>
        <v>0</v>
      </c>
    </row>
    <row r="323" spans="2:18" ht="15" thickBot="1">
      <c r="B323" s="390">
        <v>45230</v>
      </c>
      <c r="C323" s="994">
        <f ca="1">DATOSAÑO!AJ314</f>
        <v>0</v>
      </c>
      <c r="D323" s="994">
        <f ca="1">DATOSAÑO!AK314</f>
        <v>0</v>
      </c>
      <c r="E323" s="994">
        <f ca="1">DATOSAÑO!AD314</f>
        <v>0</v>
      </c>
      <c r="F323" s="994">
        <v>0</v>
      </c>
      <c r="G323" s="994">
        <v>0</v>
      </c>
      <c r="H323" s="994">
        <f ca="1">DATOSAÑO!AI314</f>
        <v>0</v>
      </c>
      <c r="I323" s="994">
        <f ca="1">DATOSAÑO!CJ314</f>
        <v>0</v>
      </c>
      <c r="J323" s="994">
        <v>0</v>
      </c>
      <c r="K323" s="994">
        <f ca="1">DATOSAÑO!AF314</f>
        <v>0</v>
      </c>
      <c r="L323" s="994">
        <f ca="1">+DATOSAÑO!CK314</f>
        <v>0</v>
      </c>
      <c r="M323" s="994">
        <f ca="1">+DATOSAÑO!AK314</f>
        <v>0</v>
      </c>
      <c r="N323" s="994">
        <f ca="1">+DATOSAÑO!AH314</f>
        <v>0</v>
      </c>
      <c r="O323" s="994">
        <f ca="1">DATOSAÑO!AL314</f>
        <v>0</v>
      </c>
      <c r="P323" s="994">
        <f ca="1">+(DATOSAÑO!BH314)+DATOSAÑO!BJ314</f>
        <v>0</v>
      </c>
      <c r="Q323" s="994">
        <f ca="1">+DATOSAÑO!BQ314</f>
        <v>0</v>
      </c>
      <c r="R323" s="1080">
        <f ca="1">DATOSAÑO!BS314+DATOSAÑO!BV314+DATOSAÑO!BY314+DATOSAÑO!CF314+DATOSAÑO!CL314</f>
        <v>0</v>
      </c>
    </row>
    <row r="324" spans="2:18" ht="15" thickBot="1">
      <c r="B324" s="1268" t="s">
        <v>1131</v>
      </c>
      <c r="C324" s="1267">
        <f ca="1">SUM(C293:C323)</f>
        <v>0</v>
      </c>
      <c r="D324" s="1030">
        <f ca="1">SUM(D293:D323)</f>
        <v>0</v>
      </c>
      <c r="E324" s="1030">
        <f t="shared" ref="E324:R324" ca="1" si="9">SUM(E293:E323)</f>
        <v>0</v>
      </c>
      <c r="F324" s="1030">
        <f t="shared" si="9"/>
        <v>0</v>
      </c>
      <c r="G324" s="1030">
        <f t="shared" si="9"/>
        <v>0</v>
      </c>
      <c r="H324" s="1030">
        <f t="shared" ca="1" si="9"/>
        <v>0</v>
      </c>
      <c r="I324" s="1030">
        <f t="shared" ca="1" si="9"/>
        <v>0</v>
      </c>
      <c r="J324" s="1030">
        <f t="shared" si="9"/>
        <v>0</v>
      </c>
      <c r="K324" s="1030">
        <f t="shared" ca="1" si="9"/>
        <v>0</v>
      </c>
      <c r="L324" s="1030">
        <f t="shared" ca="1" si="9"/>
        <v>0</v>
      </c>
      <c r="M324" s="1030">
        <f t="shared" ca="1" si="9"/>
        <v>0</v>
      </c>
      <c r="N324" s="1030">
        <f t="shared" ca="1" si="9"/>
        <v>0</v>
      </c>
      <c r="O324" s="1030">
        <f t="shared" ca="1" si="9"/>
        <v>0</v>
      </c>
      <c r="P324" s="1030">
        <f t="shared" ca="1" si="9"/>
        <v>0</v>
      </c>
      <c r="Q324" s="1081">
        <f t="shared" ca="1" si="9"/>
        <v>0</v>
      </c>
      <c r="R324" s="1081">
        <f t="shared" ca="1" si="9"/>
        <v>0</v>
      </c>
    </row>
    <row r="325" spans="2:18">
      <c r="B325" s="390">
        <v>45231</v>
      </c>
      <c r="C325" s="994">
        <f ca="1">DATOSAÑO!AJ315</f>
        <v>0</v>
      </c>
      <c r="D325" s="994">
        <f ca="1">DATOSAÑO!AK315</f>
        <v>0</v>
      </c>
      <c r="E325" s="994">
        <f ca="1">DATOSAÑO!AD315</f>
        <v>0</v>
      </c>
      <c r="F325" s="994">
        <v>0</v>
      </c>
      <c r="G325" s="994">
        <v>0</v>
      </c>
      <c r="H325" s="994">
        <f ca="1">DATOSAÑO!AI315</f>
        <v>0</v>
      </c>
      <c r="I325" s="994">
        <f ca="1">DATOSAÑO!CJ315</f>
        <v>0</v>
      </c>
      <c r="J325" s="994">
        <v>0</v>
      </c>
      <c r="K325" s="994">
        <f ca="1">DATOSAÑO!AF315</f>
        <v>0</v>
      </c>
      <c r="L325" s="994">
        <f ca="1">+DATOSAÑO!CK315</f>
        <v>0</v>
      </c>
      <c r="M325" s="994">
        <f ca="1">+DATOSAÑO!AK315</f>
        <v>0</v>
      </c>
      <c r="N325" s="994">
        <f ca="1">+DATOSAÑO!AH315</f>
        <v>0</v>
      </c>
      <c r="O325" s="994">
        <f ca="1">DATOSAÑO!AL315</f>
        <v>0</v>
      </c>
      <c r="P325" s="994">
        <f ca="1">+(DATOSAÑO!BH315)+DATOSAÑO!BJ315</f>
        <v>0</v>
      </c>
      <c r="Q325" s="994">
        <f ca="1">+DATOSAÑO!BQ315</f>
        <v>0</v>
      </c>
      <c r="R325" s="1080">
        <f ca="1">DATOSAÑO!BS315+DATOSAÑO!BV315+DATOSAÑO!BY315+DATOSAÑO!CF315+DATOSAÑO!CL315</f>
        <v>0</v>
      </c>
    </row>
    <row r="326" spans="2:18">
      <c r="B326" s="390">
        <v>45232</v>
      </c>
      <c r="C326" s="994">
        <f ca="1">DATOSAÑO!AJ316</f>
        <v>0</v>
      </c>
      <c r="D326" s="994">
        <f ca="1">DATOSAÑO!AK316</f>
        <v>0</v>
      </c>
      <c r="E326" s="994">
        <f ca="1">DATOSAÑO!AD316</f>
        <v>0</v>
      </c>
      <c r="F326" s="994">
        <v>0</v>
      </c>
      <c r="G326" s="994">
        <v>0</v>
      </c>
      <c r="H326" s="994">
        <f ca="1">DATOSAÑO!AI316</f>
        <v>0</v>
      </c>
      <c r="I326" s="994">
        <f ca="1">DATOSAÑO!CJ316</f>
        <v>0</v>
      </c>
      <c r="J326" s="994">
        <v>0</v>
      </c>
      <c r="K326" s="994">
        <f ca="1">DATOSAÑO!AF316</f>
        <v>0</v>
      </c>
      <c r="L326" s="994">
        <f ca="1">+DATOSAÑO!CK316</f>
        <v>0</v>
      </c>
      <c r="M326" s="994">
        <f ca="1">+DATOSAÑO!AK316</f>
        <v>0</v>
      </c>
      <c r="N326" s="994">
        <f ca="1">+DATOSAÑO!AH316</f>
        <v>0</v>
      </c>
      <c r="O326" s="994">
        <f ca="1">DATOSAÑO!AL316</f>
        <v>0</v>
      </c>
      <c r="P326" s="994">
        <f ca="1">+(DATOSAÑO!BH316)+DATOSAÑO!BJ316</f>
        <v>0</v>
      </c>
      <c r="Q326" s="994">
        <f ca="1">+DATOSAÑO!BQ316</f>
        <v>0</v>
      </c>
      <c r="R326" s="1080">
        <f ca="1">DATOSAÑO!BS316+DATOSAÑO!BV316+DATOSAÑO!BY316+DATOSAÑO!CF316+DATOSAÑO!CL316</f>
        <v>0</v>
      </c>
    </row>
    <row r="327" spans="2:18">
      <c r="B327" s="390">
        <v>45233</v>
      </c>
      <c r="C327" s="994">
        <f ca="1">DATOSAÑO!AJ317</f>
        <v>0</v>
      </c>
      <c r="D327" s="994">
        <f ca="1">DATOSAÑO!AK317</f>
        <v>0</v>
      </c>
      <c r="E327" s="994">
        <f ca="1">DATOSAÑO!AD317</f>
        <v>0</v>
      </c>
      <c r="F327" s="994">
        <v>0</v>
      </c>
      <c r="G327" s="994">
        <v>0</v>
      </c>
      <c r="H327" s="994">
        <f ca="1">DATOSAÑO!AI317</f>
        <v>0</v>
      </c>
      <c r="I327" s="994">
        <f ca="1">DATOSAÑO!CJ317</f>
        <v>0</v>
      </c>
      <c r="J327" s="994">
        <v>0</v>
      </c>
      <c r="K327" s="994">
        <f ca="1">DATOSAÑO!AF317</f>
        <v>0</v>
      </c>
      <c r="L327" s="994">
        <f ca="1">+DATOSAÑO!CK317</f>
        <v>0</v>
      </c>
      <c r="M327" s="994">
        <f ca="1">+DATOSAÑO!AK317</f>
        <v>0</v>
      </c>
      <c r="N327" s="994">
        <f ca="1">+DATOSAÑO!AH317</f>
        <v>0</v>
      </c>
      <c r="O327" s="994">
        <f ca="1">DATOSAÑO!AL317</f>
        <v>0</v>
      </c>
      <c r="P327" s="994">
        <f ca="1">+(DATOSAÑO!BH317)+DATOSAÑO!BJ317</f>
        <v>0</v>
      </c>
      <c r="Q327" s="994">
        <f ca="1">+DATOSAÑO!BQ317</f>
        <v>0</v>
      </c>
      <c r="R327" s="1080">
        <f ca="1">DATOSAÑO!BS317+DATOSAÑO!BV317+DATOSAÑO!BY317+DATOSAÑO!CF317+DATOSAÑO!CL317</f>
        <v>0</v>
      </c>
    </row>
    <row r="328" spans="2:18">
      <c r="B328" s="390">
        <v>45234</v>
      </c>
      <c r="C328" s="994">
        <f ca="1">DATOSAÑO!AJ318</f>
        <v>0</v>
      </c>
      <c r="D328" s="994">
        <f ca="1">DATOSAÑO!AK318</f>
        <v>0</v>
      </c>
      <c r="E328" s="994">
        <f ca="1">DATOSAÑO!AD318</f>
        <v>0</v>
      </c>
      <c r="F328" s="994">
        <v>0</v>
      </c>
      <c r="G328" s="994">
        <v>0</v>
      </c>
      <c r="H328" s="994">
        <f ca="1">DATOSAÑO!AI318</f>
        <v>0</v>
      </c>
      <c r="I328" s="994">
        <f ca="1">DATOSAÑO!CJ318</f>
        <v>0</v>
      </c>
      <c r="J328" s="994">
        <v>0</v>
      </c>
      <c r="K328" s="994">
        <f ca="1">DATOSAÑO!AF318</f>
        <v>0</v>
      </c>
      <c r="L328" s="994">
        <f ca="1">+DATOSAÑO!CK318</f>
        <v>0</v>
      </c>
      <c r="M328" s="994">
        <f ca="1">+DATOSAÑO!AK318</f>
        <v>0</v>
      </c>
      <c r="N328" s="994">
        <f ca="1">+DATOSAÑO!AH318</f>
        <v>0</v>
      </c>
      <c r="O328" s="994">
        <f ca="1">DATOSAÑO!AL318</f>
        <v>0</v>
      </c>
      <c r="P328" s="994">
        <f ca="1">+(DATOSAÑO!BH318)+DATOSAÑO!BJ318</f>
        <v>0</v>
      </c>
      <c r="Q328" s="994">
        <f ca="1">+DATOSAÑO!BQ318</f>
        <v>0</v>
      </c>
      <c r="R328" s="1080">
        <f ca="1">DATOSAÑO!BS318+DATOSAÑO!BV318+DATOSAÑO!BY318+DATOSAÑO!CF318+DATOSAÑO!CL318</f>
        <v>0</v>
      </c>
    </row>
    <row r="329" spans="2:18">
      <c r="B329" s="390">
        <v>45235</v>
      </c>
      <c r="C329" s="994">
        <f ca="1">DATOSAÑO!AJ319</f>
        <v>0</v>
      </c>
      <c r="D329" s="994">
        <f ca="1">DATOSAÑO!AK319</f>
        <v>0</v>
      </c>
      <c r="E329" s="994">
        <f ca="1">DATOSAÑO!AD319</f>
        <v>0</v>
      </c>
      <c r="F329" s="994">
        <v>0</v>
      </c>
      <c r="G329" s="994">
        <v>0</v>
      </c>
      <c r="H329" s="994">
        <f ca="1">DATOSAÑO!AI319</f>
        <v>0</v>
      </c>
      <c r="I329" s="994">
        <f ca="1">DATOSAÑO!CJ319</f>
        <v>0</v>
      </c>
      <c r="J329" s="994">
        <v>0</v>
      </c>
      <c r="K329" s="994">
        <f ca="1">DATOSAÑO!AF319</f>
        <v>0</v>
      </c>
      <c r="L329" s="994">
        <f ca="1">+DATOSAÑO!CK319</f>
        <v>0</v>
      </c>
      <c r="M329" s="994">
        <f ca="1">+DATOSAÑO!AK319</f>
        <v>0</v>
      </c>
      <c r="N329" s="994">
        <f ca="1">+DATOSAÑO!AH319</f>
        <v>0</v>
      </c>
      <c r="O329" s="994">
        <f ca="1">DATOSAÑO!AL319</f>
        <v>0</v>
      </c>
      <c r="P329" s="994">
        <f ca="1">+(DATOSAÑO!BH319)+DATOSAÑO!BJ319</f>
        <v>0</v>
      </c>
      <c r="Q329" s="994">
        <f ca="1">+DATOSAÑO!BQ319</f>
        <v>0</v>
      </c>
      <c r="R329" s="1080">
        <f ca="1">DATOSAÑO!BS319+DATOSAÑO!BV319+DATOSAÑO!BY319+DATOSAÑO!CF319+DATOSAÑO!CL319</f>
        <v>0</v>
      </c>
    </row>
    <row r="330" spans="2:18">
      <c r="B330" s="390">
        <v>45236</v>
      </c>
      <c r="C330" s="994">
        <f ca="1">DATOSAÑO!AJ320</f>
        <v>0</v>
      </c>
      <c r="D330" s="994">
        <f ca="1">DATOSAÑO!AK320</f>
        <v>0</v>
      </c>
      <c r="E330" s="994">
        <f ca="1">DATOSAÑO!AD320</f>
        <v>0</v>
      </c>
      <c r="F330" s="994">
        <v>0</v>
      </c>
      <c r="G330" s="994">
        <v>0</v>
      </c>
      <c r="H330" s="994">
        <f ca="1">DATOSAÑO!AI320</f>
        <v>0</v>
      </c>
      <c r="I330" s="994">
        <f ca="1">DATOSAÑO!CJ320</f>
        <v>0</v>
      </c>
      <c r="J330" s="994">
        <v>0</v>
      </c>
      <c r="K330" s="994">
        <f ca="1">DATOSAÑO!AF320</f>
        <v>0</v>
      </c>
      <c r="L330" s="994">
        <f ca="1">+DATOSAÑO!CK320</f>
        <v>0</v>
      </c>
      <c r="M330" s="994">
        <f ca="1">+DATOSAÑO!AK320</f>
        <v>0</v>
      </c>
      <c r="N330" s="994">
        <f ca="1">+DATOSAÑO!AH320</f>
        <v>0</v>
      </c>
      <c r="O330" s="994">
        <f ca="1">DATOSAÑO!AL320</f>
        <v>0</v>
      </c>
      <c r="P330" s="994">
        <f ca="1">+(DATOSAÑO!BH320)+DATOSAÑO!BJ320</f>
        <v>0</v>
      </c>
      <c r="Q330" s="994">
        <f ca="1">+DATOSAÑO!BQ320</f>
        <v>0</v>
      </c>
      <c r="R330" s="1080">
        <f ca="1">DATOSAÑO!BS320+DATOSAÑO!BV320+DATOSAÑO!BY320+DATOSAÑO!CF320+DATOSAÑO!CL320</f>
        <v>0</v>
      </c>
    </row>
    <row r="331" spans="2:18">
      <c r="B331" s="390">
        <v>45237</v>
      </c>
      <c r="C331" s="994">
        <f ca="1">DATOSAÑO!AJ321</f>
        <v>0</v>
      </c>
      <c r="D331" s="994">
        <f ca="1">DATOSAÑO!AK321</f>
        <v>0</v>
      </c>
      <c r="E331" s="994">
        <f ca="1">DATOSAÑO!AD321</f>
        <v>0</v>
      </c>
      <c r="F331" s="994">
        <v>0</v>
      </c>
      <c r="G331" s="994">
        <v>0</v>
      </c>
      <c r="H331" s="994">
        <f ca="1">DATOSAÑO!AI321</f>
        <v>0</v>
      </c>
      <c r="I331" s="994">
        <f ca="1">DATOSAÑO!CJ321</f>
        <v>0</v>
      </c>
      <c r="J331" s="994">
        <v>0</v>
      </c>
      <c r="K331" s="994">
        <f ca="1">DATOSAÑO!AF321</f>
        <v>0</v>
      </c>
      <c r="L331" s="994">
        <f ca="1">+DATOSAÑO!CK321</f>
        <v>0</v>
      </c>
      <c r="M331" s="994">
        <f ca="1">+DATOSAÑO!AK321</f>
        <v>0</v>
      </c>
      <c r="N331" s="994">
        <f ca="1">+DATOSAÑO!AH321</f>
        <v>0</v>
      </c>
      <c r="O331" s="994">
        <f ca="1">DATOSAÑO!AL321</f>
        <v>0</v>
      </c>
      <c r="P331" s="994">
        <f ca="1">+(DATOSAÑO!BH321)+DATOSAÑO!BJ321</f>
        <v>0</v>
      </c>
      <c r="Q331" s="994">
        <f ca="1">+DATOSAÑO!BQ321</f>
        <v>0</v>
      </c>
      <c r="R331" s="1080">
        <f ca="1">DATOSAÑO!BS321+DATOSAÑO!BV321+DATOSAÑO!BY321+DATOSAÑO!CF321+DATOSAÑO!CL321</f>
        <v>0</v>
      </c>
    </row>
    <row r="332" spans="2:18">
      <c r="B332" s="390">
        <v>45238</v>
      </c>
      <c r="C332" s="994">
        <f ca="1">DATOSAÑO!AJ322</f>
        <v>0</v>
      </c>
      <c r="D332" s="994">
        <f ca="1">DATOSAÑO!AK322</f>
        <v>0</v>
      </c>
      <c r="E332" s="994">
        <f ca="1">DATOSAÑO!AD322</f>
        <v>0</v>
      </c>
      <c r="F332" s="994">
        <v>0</v>
      </c>
      <c r="G332" s="994">
        <v>0</v>
      </c>
      <c r="H332" s="994">
        <f ca="1">DATOSAÑO!AI322</f>
        <v>0</v>
      </c>
      <c r="I332" s="994">
        <f ca="1">DATOSAÑO!CJ322</f>
        <v>0</v>
      </c>
      <c r="J332" s="994">
        <v>0</v>
      </c>
      <c r="K332" s="994">
        <f ca="1">DATOSAÑO!AF322</f>
        <v>0</v>
      </c>
      <c r="L332" s="994">
        <f ca="1">+DATOSAÑO!CK322</f>
        <v>0</v>
      </c>
      <c r="M332" s="994">
        <f ca="1">+DATOSAÑO!AK322</f>
        <v>0</v>
      </c>
      <c r="N332" s="994">
        <f ca="1">+DATOSAÑO!AH322</f>
        <v>0</v>
      </c>
      <c r="O332" s="994">
        <f ca="1">DATOSAÑO!AL322</f>
        <v>0</v>
      </c>
      <c r="P332" s="994">
        <f ca="1">+(DATOSAÑO!BH322)+DATOSAÑO!BJ322</f>
        <v>0</v>
      </c>
      <c r="Q332" s="994">
        <f ca="1">+DATOSAÑO!BQ322</f>
        <v>0</v>
      </c>
      <c r="R332" s="1080">
        <f ca="1">DATOSAÑO!BS322+DATOSAÑO!BV322+DATOSAÑO!BY322+DATOSAÑO!CF322+DATOSAÑO!CL322</f>
        <v>0</v>
      </c>
    </row>
    <row r="333" spans="2:18">
      <c r="B333" s="390">
        <v>45239</v>
      </c>
      <c r="C333" s="994">
        <f ca="1">DATOSAÑO!AJ323</f>
        <v>0</v>
      </c>
      <c r="D333" s="994">
        <f ca="1">DATOSAÑO!AK323</f>
        <v>0</v>
      </c>
      <c r="E333" s="994">
        <f ca="1">DATOSAÑO!AD323</f>
        <v>0</v>
      </c>
      <c r="F333" s="994">
        <v>0</v>
      </c>
      <c r="G333" s="994">
        <v>0</v>
      </c>
      <c r="H333" s="994">
        <f ca="1">DATOSAÑO!AI323</f>
        <v>0</v>
      </c>
      <c r="I333" s="994">
        <f ca="1">DATOSAÑO!CJ323</f>
        <v>0</v>
      </c>
      <c r="J333" s="994">
        <v>0</v>
      </c>
      <c r="K333" s="994">
        <f ca="1">DATOSAÑO!AF323</f>
        <v>0</v>
      </c>
      <c r="L333" s="994">
        <f ca="1">+DATOSAÑO!CK323</f>
        <v>0</v>
      </c>
      <c r="M333" s="994">
        <f ca="1">+DATOSAÑO!AK323</f>
        <v>0</v>
      </c>
      <c r="N333" s="994">
        <f ca="1">+DATOSAÑO!AH323</f>
        <v>0</v>
      </c>
      <c r="O333" s="994">
        <f ca="1">DATOSAÑO!AL323</f>
        <v>0</v>
      </c>
      <c r="P333" s="994">
        <f ca="1">+(DATOSAÑO!BH323)+DATOSAÑO!BJ323</f>
        <v>0</v>
      </c>
      <c r="Q333" s="994">
        <f ca="1">+DATOSAÑO!BQ323</f>
        <v>0</v>
      </c>
      <c r="R333" s="1080">
        <f ca="1">DATOSAÑO!BS323+DATOSAÑO!BV323+DATOSAÑO!BY323+DATOSAÑO!CF323+DATOSAÑO!CL323</f>
        <v>0</v>
      </c>
    </row>
    <row r="334" spans="2:18">
      <c r="B334" s="390">
        <v>45240</v>
      </c>
      <c r="C334" s="994">
        <f ca="1">DATOSAÑO!AJ324</f>
        <v>0</v>
      </c>
      <c r="D334" s="994">
        <f ca="1">DATOSAÑO!AK324</f>
        <v>0</v>
      </c>
      <c r="E334" s="994">
        <f ca="1">DATOSAÑO!AD324</f>
        <v>0</v>
      </c>
      <c r="F334" s="994">
        <v>0</v>
      </c>
      <c r="G334" s="994">
        <v>0</v>
      </c>
      <c r="H334" s="994">
        <f ca="1">DATOSAÑO!AI324</f>
        <v>0</v>
      </c>
      <c r="I334" s="994">
        <f ca="1">DATOSAÑO!CJ324</f>
        <v>0</v>
      </c>
      <c r="J334" s="994">
        <v>0</v>
      </c>
      <c r="K334" s="994">
        <f ca="1">DATOSAÑO!AF324</f>
        <v>0</v>
      </c>
      <c r="L334" s="994">
        <f ca="1">+DATOSAÑO!CK324</f>
        <v>0</v>
      </c>
      <c r="M334" s="994">
        <f ca="1">+DATOSAÑO!AK324</f>
        <v>0</v>
      </c>
      <c r="N334" s="994">
        <f ca="1">+DATOSAÑO!AH324</f>
        <v>0</v>
      </c>
      <c r="O334" s="994">
        <f ca="1">DATOSAÑO!AL324</f>
        <v>0</v>
      </c>
      <c r="P334" s="994">
        <f ca="1">+(DATOSAÑO!BH324)+DATOSAÑO!BJ324</f>
        <v>0</v>
      </c>
      <c r="Q334" s="994">
        <f ca="1">+DATOSAÑO!BQ324</f>
        <v>0</v>
      </c>
      <c r="R334" s="1080">
        <f ca="1">DATOSAÑO!BS324+DATOSAÑO!BV324+DATOSAÑO!BY324+DATOSAÑO!CF324+DATOSAÑO!CL324</f>
        <v>0</v>
      </c>
    </row>
    <row r="335" spans="2:18">
      <c r="B335" s="390">
        <v>45241</v>
      </c>
      <c r="C335" s="994">
        <f ca="1">DATOSAÑO!AJ325</f>
        <v>0</v>
      </c>
      <c r="D335" s="994">
        <f ca="1">DATOSAÑO!AK325</f>
        <v>0</v>
      </c>
      <c r="E335" s="994">
        <f ca="1">DATOSAÑO!AD325</f>
        <v>0</v>
      </c>
      <c r="F335" s="994">
        <v>0</v>
      </c>
      <c r="G335" s="994">
        <v>0</v>
      </c>
      <c r="H335" s="994">
        <f ca="1">DATOSAÑO!AI325</f>
        <v>0</v>
      </c>
      <c r="I335" s="994">
        <f ca="1">DATOSAÑO!CJ325</f>
        <v>0</v>
      </c>
      <c r="J335" s="994">
        <v>0</v>
      </c>
      <c r="K335" s="994">
        <f ca="1">DATOSAÑO!AF325</f>
        <v>0</v>
      </c>
      <c r="L335" s="994">
        <f ca="1">+DATOSAÑO!CK325</f>
        <v>0</v>
      </c>
      <c r="M335" s="994">
        <f ca="1">+DATOSAÑO!AK325</f>
        <v>0</v>
      </c>
      <c r="N335" s="994">
        <f ca="1">+DATOSAÑO!AH325</f>
        <v>0</v>
      </c>
      <c r="O335" s="994">
        <f ca="1">DATOSAÑO!AL325</f>
        <v>0</v>
      </c>
      <c r="P335" s="994">
        <f ca="1">+(DATOSAÑO!BH325)+DATOSAÑO!BJ325</f>
        <v>0</v>
      </c>
      <c r="Q335" s="994">
        <f ca="1">+DATOSAÑO!BQ325</f>
        <v>0</v>
      </c>
      <c r="R335" s="1080">
        <f ca="1">DATOSAÑO!BS325+DATOSAÑO!BV325+DATOSAÑO!BY325+DATOSAÑO!CF325+DATOSAÑO!CL325</f>
        <v>0</v>
      </c>
    </row>
    <row r="336" spans="2:18">
      <c r="B336" s="390">
        <v>45242</v>
      </c>
      <c r="C336" s="994">
        <f ca="1">DATOSAÑO!AJ326</f>
        <v>0</v>
      </c>
      <c r="D336" s="994">
        <f ca="1">DATOSAÑO!AK326</f>
        <v>0</v>
      </c>
      <c r="E336" s="994">
        <f ca="1">DATOSAÑO!AD326</f>
        <v>0</v>
      </c>
      <c r="F336" s="994">
        <v>0</v>
      </c>
      <c r="G336" s="994">
        <v>0</v>
      </c>
      <c r="H336" s="994">
        <f ca="1">DATOSAÑO!AI326</f>
        <v>0</v>
      </c>
      <c r="I336" s="994">
        <f ca="1">DATOSAÑO!CJ326</f>
        <v>0</v>
      </c>
      <c r="J336" s="994">
        <v>0</v>
      </c>
      <c r="K336" s="994">
        <f ca="1">DATOSAÑO!AF326</f>
        <v>0</v>
      </c>
      <c r="L336" s="994">
        <f ca="1">+DATOSAÑO!CK326</f>
        <v>0</v>
      </c>
      <c r="M336" s="994">
        <f ca="1">+DATOSAÑO!AK326</f>
        <v>0</v>
      </c>
      <c r="N336" s="994">
        <f ca="1">+DATOSAÑO!AH326</f>
        <v>0</v>
      </c>
      <c r="O336" s="994">
        <f ca="1">DATOSAÑO!AL326</f>
        <v>0</v>
      </c>
      <c r="P336" s="994">
        <f ca="1">+(DATOSAÑO!BH326)+DATOSAÑO!BJ326</f>
        <v>0</v>
      </c>
      <c r="Q336" s="994">
        <f ca="1">+DATOSAÑO!BQ326</f>
        <v>0</v>
      </c>
      <c r="R336" s="1080">
        <f ca="1">DATOSAÑO!BS326+DATOSAÑO!BV326+DATOSAÑO!BY326+DATOSAÑO!CF326+DATOSAÑO!CL326</f>
        <v>0</v>
      </c>
    </row>
    <row r="337" spans="2:18">
      <c r="B337" s="390">
        <v>45243</v>
      </c>
      <c r="C337" s="994">
        <f ca="1">DATOSAÑO!AJ327</f>
        <v>0</v>
      </c>
      <c r="D337" s="994">
        <f ca="1">DATOSAÑO!AK327</f>
        <v>0</v>
      </c>
      <c r="E337" s="994">
        <f ca="1">DATOSAÑO!AD327</f>
        <v>0</v>
      </c>
      <c r="F337" s="994">
        <v>0</v>
      </c>
      <c r="G337" s="994">
        <v>0</v>
      </c>
      <c r="H337" s="994">
        <f ca="1">DATOSAÑO!AI327</f>
        <v>0</v>
      </c>
      <c r="I337" s="994">
        <f ca="1">DATOSAÑO!CJ327</f>
        <v>0</v>
      </c>
      <c r="J337" s="994">
        <v>0</v>
      </c>
      <c r="K337" s="994">
        <f ca="1">DATOSAÑO!AF327</f>
        <v>0</v>
      </c>
      <c r="L337" s="994">
        <f ca="1">+DATOSAÑO!CK327</f>
        <v>0</v>
      </c>
      <c r="M337" s="994">
        <f ca="1">+DATOSAÑO!AK327</f>
        <v>0</v>
      </c>
      <c r="N337" s="994">
        <f ca="1">+DATOSAÑO!AH327</f>
        <v>0</v>
      </c>
      <c r="O337" s="994">
        <f ca="1">DATOSAÑO!AL327</f>
        <v>0</v>
      </c>
      <c r="P337" s="994">
        <f ca="1">+(DATOSAÑO!BH327)+DATOSAÑO!BJ327</f>
        <v>0</v>
      </c>
      <c r="Q337" s="994">
        <f ca="1">+DATOSAÑO!BQ327</f>
        <v>0</v>
      </c>
      <c r="R337" s="1080">
        <f ca="1">DATOSAÑO!BS327+DATOSAÑO!BV327+DATOSAÑO!BY327+DATOSAÑO!CF327+DATOSAÑO!CL327</f>
        <v>0</v>
      </c>
    </row>
    <row r="338" spans="2:18">
      <c r="B338" s="390">
        <v>45244</v>
      </c>
      <c r="C338" s="994">
        <f ca="1">DATOSAÑO!AJ328</f>
        <v>0</v>
      </c>
      <c r="D338" s="994">
        <f ca="1">DATOSAÑO!AK328</f>
        <v>0</v>
      </c>
      <c r="E338" s="994">
        <f ca="1">DATOSAÑO!AD328</f>
        <v>0</v>
      </c>
      <c r="F338" s="994">
        <v>0</v>
      </c>
      <c r="G338" s="994">
        <v>0</v>
      </c>
      <c r="H338" s="994">
        <f ca="1">DATOSAÑO!AI328</f>
        <v>0</v>
      </c>
      <c r="I338" s="994">
        <f ca="1">DATOSAÑO!CJ328</f>
        <v>0</v>
      </c>
      <c r="J338" s="994">
        <v>0</v>
      </c>
      <c r="K338" s="994">
        <f ca="1">DATOSAÑO!AF328</f>
        <v>0</v>
      </c>
      <c r="L338" s="994">
        <f ca="1">+DATOSAÑO!CK328</f>
        <v>0</v>
      </c>
      <c r="M338" s="994">
        <f ca="1">+DATOSAÑO!AK328</f>
        <v>0</v>
      </c>
      <c r="N338" s="994">
        <f ca="1">+DATOSAÑO!AH328</f>
        <v>0</v>
      </c>
      <c r="O338" s="994">
        <f ca="1">DATOSAÑO!AL328</f>
        <v>0</v>
      </c>
      <c r="P338" s="994">
        <f ca="1">+(DATOSAÑO!BH328)+DATOSAÑO!BJ328</f>
        <v>0</v>
      </c>
      <c r="Q338" s="994">
        <f ca="1">+DATOSAÑO!BQ328</f>
        <v>0</v>
      </c>
      <c r="R338" s="1080">
        <f ca="1">DATOSAÑO!BS328+DATOSAÑO!BV328+DATOSAÑO!BY328+DATOSAÑO!CF328+DATOSAÑO!CL328</f>
        <v>0</v>
      </c>
    </row>
    <row r="339" spans="2:18">
      <c r="B339" s="390">
        <v>45245</v>
      </c>
      <c r="C339" s="994">
        <f ca="1">DATOSAÑO!AJ329</f>
        <v>0</v>
      </c>
      <c r="D339" s="994">
        <f ca="1">DATOSAÑO!AK329</f>
        <v>0</v>
      </c>
      <c r="E339" s="994">
        <f ca="1">DATOSAÑO!AD329</f>
        <v>0</v>
      </c>
      <c r="F339" s="994">
        <v>0</v>
      </c>
      <c r="G339" s="994">
        <v>0</v>
      </c>
      <c r="H339" s="994">
        <f ca="1">DATOSAÑO!AI329</f>
        <v>0</v>
      </c>
      <c r="I339" s="994">
        <f ca="1">DATOSAÑO!CJ329</f>
        <v>0</v>
      </c>
      <c r="J339" s="994">
        <v>0</v>
      </c>
      <c r="K339" s="994">
        <f ca="1">DATOSAÑO!AF329</f>
        <v>0</v>
      </c>
      <c r="L339" s="994">
        <f ca="1">+DATOSAÑO!CK329</f>
        <v>0</v>
      </c>
      <c r="M339" s="994">
        <f ca="1">+DATOSAÑO!AK329</f>
        <v>0</v>
      </c>
      <c r="N339" s="994">
        <f ca="1">+DATOSAÑO!AH329</f>
        <v>0</v>
      </c>
      <c r="O339" s="994">
        <f ca="1">DATOSAÑO!AL329</f>
        <v>0</v>
      </c>
      <c r="P339" s="994">
        <f ca="1">+(DATOSAÑO!BH329)+DATOSAÑO!BJ329</f>
        <v>0</v>
      </c>
      <c r="Q339" s="994">
        <f ca="1">+DATOSAÑO!BQ329</f>
        <v>0</v>
      </c>
      <c r="R339" s="1080">
        <f ca="1">DATOSAÑO!BS329+DATOSAÑO!BV329+DATOSAÑO!BY329+DATOSAÑO!CF329+DATOSAÑO!CL329</f>
        <v>0</v>
      </c>
    </row>
    <row r="340" spans="2:18">
      <c r="B340" s="390">
        <v>45246</v>
      </c>
      <c r="C340" s="994">
        <f ca="1">DATOSAÑO!AJ330</f>
        <v>0</v>
      </c>
      <c r="D340" s="994">
        <f ca="1">DATOSAÑO!AK330</f>
        <v>0</v>
      </c>
      <c r="E340" s="994">
        <f ca="1">DATOSAÑO!AD330</f>
        <v>0</v>
      </c>
      <c r="F340" s="994">
        <v>0</v>
      </c>
      <c r="G340" s="994">
        <v>0</v>
      </c>
      <c r="H340" s="994">
        <f ca="1">DATOSAÑO!AI330</f>
        <v>0</v>
      </c>
      <c r="I340" s="994">
        <f ca="1">DATOSAÑO!CJ330</f>
        <v>0</v>
      </c>
      <c r="J340" s="994">
        <v>0</v>
      </c>
      <c r="K340" s="994">
        <f ca="1">DATOSAÑO!AF330</f>
        <v>0</v>
      </c>
      <c r="L340" s="994">
        <f ca="1">+DATOSAÑO!CK330</f>
        <v>0</v>
      </c>
      <c r="M340" s="994">
        <f ca="1">+DATOSAÑO!AK330</f>
        <v>0</v>
      </c>
      <c r="N340" s="994">
        <f ca="1">+DATOSAÑO!AH330</f>
        <v>0</v>
      </c>
      <c r="O340" s="994">
        <f ca="1">DATOSAÑO!AL330</f>
        <v>0</v>
      </c>
      <c r="P340" s="994">
        <f ca="1">+(DATOSAÑO!BH330)+DATOSAÑO!BJ330</f>
        <v>0</v>
      </c>
      <c r="Q340" s="994">
        <f ca="1">+DATOSAÑO!BQ330</f>
        <v>0</v>
      </c>
      <c r="R340" s="1080">
        <f ca="1">DATOSAÑO!BS330+DATOSAÑO!BV330+DATOSAÑO!BY330+DATOSAÑO!CF330+DATOSAÑO!CL330</f>
        <v>0</v>
      </c>
    </row>
    <row r="341" spans="2:18">
      <c r="B341" s="390">
        <v>45247</v>
      </c>
      <c r="C341" s="994">
        <f ca="1">DATOSAÑO!AJ331</f>
        <v>0</v>
      </c>
      <c r="D341" s="994">
        <f ca="1">DATOSAÑO!AK331</f>
        <v>0</v>
      </c>
      <c r="E341" s="994">
        <f ca="1">DATOSAÑO!AD331</f>
        <v>0</v>
      </c>
      <c r="F341" s="994">
        <v>0</v>
      </c>
      <c r="G341" s="994">
        <v>0</v>
      </c>
      <c r="H341" s="994">
        <f ca="1">DATOSAÑO!AI331</f>
        <v>0</v>
      </c>
      <c r="I341" s="994">
        <f ca="1">DATOSAÑO!CJ331</f>
        <v>0</v>
      </c>
      <c r="J341" s="994">
        <v>0</v>
      </c>
      <c r="K341" s="994">
        <f ca="1">DATOSAÑO!AF331</f>
        <v>0</v>
      </c>
      <c r="L341" s="994">
        <f ca="1">+DATOSAÑO!CK331</f>
        <v>0</v>
      </c>
      <c r="M341" s="994">
        <f ca="1">+DATOSAÑO!AK331</f>
        <v>0</v>
      </c>
      <c r="N341" s="994">
        <f ca="1">+DATOSAÑO!AH331</f>
        <v>0</v>
      </c>
      <c r="O341" s="994">
        <f ca="1">DATOSAÑO!AL331</f>
        <v>0</v>
      </c>
      <c r="P341" s="994">
        <f ca="1">+(DATOSAÑO!BH331)+DATOSAÑO!BJ331</f>
        <v>0</v>
      </c>
      <c r="Q341" s="994">
        <f ca="1">+DATOSAÑO!BQ331</f>
        <v>0</v>
      </c>
      <c r="R341" s="1080">
        <f ca="1">DATOSAÑO!BS331+DATOSAÑO!BV331+DATOSAÑO!BY331+DATOSAÑO!CF331+DATOSAÑO!CL331</f>
        <v>0</v>
      </c>
    </row>
    <row r="342" spans="2:18">
      <c r="B342" s="390">
        <v>45248</v>
      </c>
      <c r="C342" s="994">
        <f ca="1">DATOSAÑO!AJ332</f>
        <v>0</v>
      </c>
      <c r="D342" s="994">
        <f ca="1">DATOSAÑO!AK332</f>
        <v>0</v>
      </c>
      <c r="E342" s="994">
        <f ca="1">DATOSAÑO!AD332</f>
        <v>0</v>
      </c>
      <c r="F342" s="994">
        <v>0</v>
      </c>
      <c r="G342" s="994">
        <v>0</v>
      </c>
      <c r="H342" s="994">
        <f ca="1">DATOSAÑO!AI332</f>
        <v>0</v>
      </c>
      <c r="I342" s="994">
        <f ca="1">DATOSAÑO!CJ332</f>
        <v>0</v>
      </c>
      <c r="J342" s="994">
        <v>0</v>
      </c>
      <c r="K342" s="994">
        <f ca="1">DATOSAÑO!AF332</f>
        <v>0</v>
      </c>
      <c r="L342" s="994">
        <f ca="1">+DATOSAÑO!CK332</f>
        <v>0</v>
      </c>
      <c r="M342" s="994">
        <f ca="1">+DATOSAÑO!AK332</f>
        <v>0</v>
      </c>
      <c r="N342" s="994">
        <f ca="1">+DATOSAÑO!AH332</f>
        <v>0</v>
      </c>
      <c r="O342" s="994">
        <f ca="1">DATOSAÑO!AL332</f>
        <v>0</v>
      </c>
      <c r="P342" s="994">
        <f ca="1">+(DATOSAÑO!BH332)+DATOSAÑO!BJ332</f>
        <v>0</v>
      </c>
      <c r="Q342" s="994">
        <f ca="1">+DATOSAÑO!BQ332</f>
        <v>0</v>
      </c>
      <c r="R342" s="1080">
        <f ca="1">DATOSAÑO!BS332+DATOSAÑO!BV332+DATOSAÑO!BY332+DATOSAÑO!CF332+DATOSAÑO!CL332</f>
        <v>0</v>
      </c>
    </row>
    <row r="343" spans="2:18">
      <c r="B343" s="390">
        <v>45249</v>
      </c>
      <c r="C343" s="994">
        <f ca="1">DATOSAÑO!AJ333</f>
        <v>0</v>
      </c>
      <c r="D343" s="994">
        <f ca="1">DATOSAÑO!AK333</f>
        <v>0</v>
      </c>
      <c r="E343" s="994">
        <f ca="1">DATOSAÑO!AD333</f>
        <v>0</v>
      </c>
      <c r="F343" s="994">
        <v>0</v>
      </c>
      <c r="G343" s="994">
        <v>0</v>
      </c>
      <c r="H343" s="994">
        <f ca="1">DATOSAÑO!AI333</f>
        <v>0</v>
      </c>
      <c r="I343" s="994">
        <f ca="1">DATOSAÑO!CJ333</f>
        <v>0</v>
      </c>
      <c r="J343" s="994">
        <v>0</v>
      </c>
      <c r="K343" s="994">
        <f ca="1">DATOSAÑO!AF333</f>
        <v>0</v>
      </c>
      <c r="L343" s="994">
        <f ca="1">+DATOSAÑO!CK333</f>
        <v>0</v>
      </c>
      <c r="M343" s="994">
        <f ca="1">+DATOSAÑO!AK333</f>
        <v>0</v>
      </c>
      <c r="N343" s="994">
        <f ca="1">+DATOSAÑO!AH333</f>
        <v>0</v>
      </c>
      <c r="O343" s="994">
        <f ca="1">DATOSAÑO!AL333</f>
        <v>0</v>
      </c>
      <c r="P343" s="994">
        <f ca="1">+(DATOSAÑO!BH333)+DATOSAÑO!BJ333</f>
        <v>0</v>
      </c>
      <c r="Q343" s="994">
        <f ca="1">+DATOSAÑO!BQ333</f>
        <v>0</v>
      </c>
      <c r="R343" s="1080">
        <f ca="1">DATOSAÑO!BS333+DATOSAÑO!BV333+DATOSAÑO!BY333+DATOSAÑO!CF333+DATOSAÑO!CL333</f>
        <v>0</v>
      </c>
    </row>
    <row r="344" spans="2:18">
      <c r="B344" s="390">
        <v>45250</v>
      </c>
      <c r="C344" s="994">
        <f ca="1">DATOSAÑO!AJ334</f>
        <v>0</v>
      </c>
      <c r="D344" s="994">
        <f ca="1">DATOSAÑO!AK334</f>
        <v>0</v>
      </c>
      <c r="E344" s="994">
        <f ca="1">DATOSAÑO!AD334</f>
        <v>0</v>
      </c>
      <c r="F344" s="994">
        <v>0</v>
      </c>
      <c r="G344" s="994">
        <v>0</v>
      </c>
      <c r="H344" s="994">
        <f ca="1">DATOSAÑO!AI334</f>
        <v>0</v>
      </c>
      <c r="I344" s="994">
        <f ca="1">DATOSAÑO!CJ334</f>
        <v>0</v>
      </c>
      <c r="J344" s="994">
        <v>0</v>
      </c>
      <c r="K344" s="994">
        <f ca="1">DATOSAÑO!AF334</f>
        <v>0</v>
      </c>
      <c r="L344" s="994">
        <f ca="1">+DATOSAÑO!CK334</f>
        <v>0</v>
      </c>
      <c r="M344" s="994">
        <f ca="1">+DATOSAÑO!AK334</f>
        <v>0</v>
      </c>
      <c r="N344" s="994">
        <f ca="1">+DATOSAÑO!AH334</f>
        <v>0</v>
      </c>
      <c r="O344" s="994">
        <f ca="1">DATOSAÑO!AL334</f>
        <v>0</v>
      </c>
      <c r="P344" s="994">
        <f ca="1">+(DATOSAÑO!BH334)+DATOSAÑO!BJ334</f>
        <v>0</v>
      </c>
      <c r="Q344" s="994">
        <f ca="1">+DATOSAÑO!BQ334</f>
        <v>0</v>
      </c>
      <c r="R344" s="1080">
        <f ca="1">DATOSAÑO!BS334+DATOSAÑO!BV334+DATOSAÑO!BY334+DATOSAÑO!CF334+DATOSAÑO!CL334</f>
        <v>0</v>
      </c>
    </row>
    <row r="345" spans="2:18">
      <c r="B345" s="390">
        <v>45251</v>
      </c>
      <c r="C345" s="994">
        <f ca="1">DATOSAÑO!AJ335</f>
        <v>0</v>
      </c>
      <c r="D345" s="994">
        <f ca="1">DATOSAÑO!AK335</f>
        <v>0</v>
      </c>
      <c r="E345" s="994">
        <f ca="1">DATOSAÑO!AD335</f>
        <v>0</v>
      </c>
      <c r="F345" s="994">
        <v>0</v>
      </c>
      <c r="G345" s="994">
        <v>0</v>
      </c>
      <c r="H345" s="994">
        <f ca="1">DATOSAÑO!AI335</f>
        <v>0</v>
      </c>
      <c r="I345" s="994">
        <f ca="1">DATOSAÑO!CJ335</f>
        <v>0</v>
      </c>
      <c r="J345" s="994">
        <v>0</v>
      </c>
      <c r="K345" s="994">
        <f ca="1">DATOSAÑO!AF335</f>
        <v>0</v>
      </c>
      <c r="L345" s="994">
        <f ca="1">+DATOSAÑO!CK335</f>
        <v>0</v>
      </c>
      <c r="M345" s="994">
        <f ca="1">+DATOSAÑO!AK335</f>
        <v>0</v>
      </c>
      <c r="N345" s="994">
        <f ca="1">+DATOSAÑO!AH335</f>
        <v>0</v>
      </c>
      <c r="O345" s="994">
        <f ca="1">DATOSAÑO!AL335</f>
        <v>0</v>
      </c>
      <c r="P345" s="994">
        <f ca="1">+(DATOSAÑO!BH335)+DATOSAÑO!BJ335</f>
        <v>0</v>
      </c>
      <c r="Q345" s="994">
        <f ca="1">+DATOSAÑO!BQ335</f>
        <v>0</v>
      </c>
      <c r="R345" s="1080">
        <f ca="1">DATOSAÑO!BS335+DATOSAÑO!BV335+DATOSAÑO!BY335+DATOSAÑO!CF335+DATOSAÑO!CL335</f>
        <v>0</v>
      </c>
    </row>
    <row r="346" spans="2:18">
      <c r="B346" s="390">
        <v>45252</v>
      </c>
      <c r="C346" s="994">
        <f ca="1">DATOSAÑO!AJ336</f>
        <v>0</v>
      </c>
      <c r="D346" s="994">
        <f ca="1">DATOSAÑO!AK336</f>
        <v>0</v>
      </c>
      <c r="E346" s="994">
        <f ca="1">DATOSAÑO!AD336</f>
        <v>0</v>
      </c>
      <c r="F346" s="994">
        <v>0</v>
      </c>
      <c r="G346" s="994">
        <v>0</v>
      </c>
      <c r="H346" s="994">
        <f ca="1">DATOSAÑO!AI336</f>
        <v>0</v>
      </c>
      <c r="I346" s="994">
        <f ca="1">DATOSAÑO!CJ336</f>
        <v>0</v>
      </c>
      <c r="J346" s="994">
        <v>0</v>
      </c>
      <c r="K346" s="994">
        <f ca="1">DATOSAÑO!AF336</f>
        <v>0</v>
      </c>
      <c r="L346" s="994">
        <f ca="1">+DATOSAÑO!CK336</f>
        <v>0</v>
      </c>
      <c r="M346" s="994">
        <f ca="1">+DATOSAÑO!AK336</f>
        <v>0</v>
      </c>
      <c r="N346" s="994">
        <f ca="1">+DATOSAÑO!AH336</f>
        <v>0</v>
      </c>
      <c r="O346" s="994">
        <f ca="1">DATOSAÑO!AL336</f>
        <v>0</v>
      </c>
      <c r="P346" s="994">
        <f ca="1">+(DATOSAÑO!BH336)+DATOSAÑO!BJ336</f>
        <v>0</v>
      </c>
      <c r="Q346" s="994">
        <f ca="1">+DATOSAÑO!BQ336</f>
        <v>0</v>
      </c>
      <c r="R346" s="1080">
        <f ca="1">DATOSAÑO!BS336+DATOSAÑO!BV336+DATOSAÑO!BY336+DATOSAÑO!CF336+DATOSAÑO!CL336</f>
        <v>0</v>
      </c>
    </row>
    <row r="347" spans="2:18">
      <c r="B347" s="390">
        <v>45253</v>
      </c>
      <c r="C347" s="994">
        <f ca="1">DATOSAÑO!AJ337</f>
        <v>0</v>
      </c>
      <c r="D347" s="994">
        <f ca="1">DATOSAÑO!AK337</f>
        <v>0</v>
      </c>
      <c r="E347" s="994">
        <f ca="1">DATOSAÑO!AD337</f>
        <v>0</v>
      </c>
      <c r="F347" s="994">
        <v>0</v>
      </c>
      <c r="G347" s="994">
        <v>0</v>
      </c>
      <c r="H347" s="994">
        <f ca="1">DATOSAÑO!AI337</f>
        <v>0</v>
      </c>
      <c r="I347" s="994">
        <f ca="1">DATOSAÑO!CJ337</f>
        <v>0</v>
      </c>
      <c r="J347" s="994">
        <v>0</v>
      </c>
      <c r="K347" s="994">
        <f ca="1">DATOSAÑO!AF337</f>
        <v>0</v>
      </c>
      <c r="L347" s="994">
        <f ca="1">+DATOSAÑO!CK337</f>
        <v>0</v>
      </c>
      <c r="M347" s="994">
        <f ca="1">+DATOSAÑO!AK337</f>
        <v>0</v>
      </c>
      <c r="N347" s="994">
        <f ca="1">+DATOSAÑO!AH337</f>
        <v>0</v>
      </c>
      <c r="O347" s="994">
        <f ca="1">DATOSAÑO!AL337</f>
        <v>0</v>
      </c>
      <c r="P347" s="994">
        <f ca="1">+(DATOSAÑO!BH337)+DATOSAÑO!BJ337</f>
        <v>0</v>
      </c>
      <c r="Q347" s="994">
        <f ca="1">+DATOSAÑO!BQ337</f>
        <v>0</v>
      </c>
      <c r="R347" s="1080">
        <f ca="1">DATOSAÑO!BS337+DATOSAÑO!BV337+DATOSAÑO!BY337+DATOSAÑO!CF337+DATOSAÑO!CL337</f>
        <v>0</v>
      </c>
    </row>
    <row r="348" spans="2:18">
      <c r="B348" s="390">
        <v>45254</v>
      </c>
      <c r="C348" s="994">
        <f ca="1">DATOSAÑO!AJ338</f>
        <v>0</v>
      </c>
      <c r="D348" s="994">
        <f ca="1">DATOSAÑO!AK338</f>
        <v>0</v>
      </c>
      <c r="E348" s="994">
        <f ca="1">DATOSAÑO!AD338</f>
        <v>0</v>
      </c>
      <c r="F348" s="994">
        <v>0</v>
      </c>
      <c r="G348" s="994">
        <v>0</v>
      </c>
      <c r="H348" s="994">
        <f ca="1">DATOSAÑO!AI338</f>
        <v>0</v>
      </c>
      <c r="I348" s="994">
        <f ca="1">DATOSAÑO!CJ338</f>
        <v>0</v>
      </c>
      <c r="J348" s="994">
        <v>0</v>
      </c>
      <c r="K348" s="994">
        <f ca="1">DATOSAÑO!AF338</f>
        <v>0</v>
      </c>
      <c r="L348" s="994">
        <f ca="1">+DATOSAÑO!CK338</f>
        <v>0</v>
      </c>
      <c r="M348" s="994">
        <f ca="1">+DATOSAÑO!AK338</f>
        <v>0</v>
      </c>
      <c r="N348" s="994">
        <f ca="1">+DATOSAÑO!AH338</f>
        <v>0</v>
      </c>
      <c r="O348" s="994">
        <f ca="1">DATOSAÑO!AL338</f>
        <v>0</v>
      </c>
      <c r="P348" s="994">
        <f ca="1">+(DATOSAÑO!BH338)+DATOSAÑO!BJ338</f>
        <v>0</v>
      </c>
      <c r="Q348" s="994">
        <f ca="1">+DATOSAÑO!BQ338</f>
        <v>0</v>
      </c>
      <c r="R348" s="1080">
        <f ca="1">DATOSAÑO!BS338+DATOSAÑO!BV338+DATOSAÑO!BY338+DATOSAÑO!CF338+DATOSAÑO!CL338</f>
        <v>0</v>
      </c>
    </row>
    <row r="349" spans="2:18">
      <c r="B349" s="390">
        <v>45255</v>
      </c>
      <c r="C349" s="994">
        <f ca="1">DATOSAÑO!AJ339</f>
        <v>0</v>
      </c>
      <c r="D349" s="994">
        <f ca="1">DATOSAÑO!AK339</f>
        <v>0</v>
      </c>
      <c r="E349" s="994">
        <f ca="1">DATOSAÑO!AD339</f>
        <v>0</v>
      </c>
      <c r="F349" s="994">
        <v>0</v>
      </c>
      <c r="G349" s="994">
        <v>0</v>
      </c>
      <c r="H349" s="994">
        <f ca="1">DATOSAÑO!AI339</f>
        <v>0</v>
      </c>
      <c r="I349" s="994">
        <f ca="1">DATOSAÑO!CJ339</f>
        <v>0</v>
      </c>
      <c r="J349" s="994">
        <v>0</v>
      </c>
      <c r="K349" s="994">
        <f ca="1">DATOSAÑO!AF339</f>
        <v>0</v>
      </c>
      <c r="L349" s="994">
        <f ca="1">+DATOSAÑO!CK339</f>
        <v>0</v>
      </c>
      <c r="M349" s="994">
        <f ca="1">+DATOSAÑO!AK339</f>
        <v>0</v>
      </c>
      <c r="N349" s="994">
        <f ca="1">+DATOSAÑO!AH339</f>
        <v>0</v>
      </c>
      <c r="O349" s="994">
        <f ca="1">DATOSAÑO!AL339</f>
        <v>0</v>
      </c>
      <c r="P349" s="994">
        <f ca="1">+(DATOSAÑO!BH339)+DATOSAÑO!BJ339</f>
        <v>0</v>
      </c>
      <c r="Q349" s="994">
        <f ca="1">+DATOSAÑO!BQ339</f>
        <v>0</v>
      </c>
      <c r="R349" s="1080">
        <f ca="1">DATOSAÑO!BS339+DATOSAÑO!BV339+DATOSAÑO!BY339+DATOSAÑO!CF339+DATOSAÑO!CL339</f>
        <v>0</v>
      </c>
    </row>
    <row r="350" spans="2:18">
      <c r="B350" s="390">
        <v>45256</v>
      </c>
      <c r="C350" s="994">
        <f ca="1">DATOSAÑO!AJ340</f>
        <v>0</v>
      </c>
      <c r="D350" s="994">
        <f ca="1">DATOSAÑO!AK340</f>
        <v>0</v>
      </c>
      <c r="E350" s="994">
        <f ca="1">DATOSAÑO!AD340</f>
        <v>0</v>
      </c>
      <c r="F350" s="994">
        <v>0</v>
      </c>
      <c r="G350" s="994">
        <v>0</v>
      </c>
      <c r="H350" s="994">
        <f ca="1">DATOSAÑO!AI340</f>
        <v>0</v>
      </c>
      <c r="I350" s="994">
        <f ca="1">DATOSAÑO!CJ340</f>
        <v>0</v>
      </c>
      <c r="J350" s="994">
        <v>0</v>
      </c>
      <c r="K350" s="994">
        <f ca="1">DATOSAÑO!AF340</f>
        <v>0</v>
      </c>
      <c r="L350" s="994">
        <f ca="1">+DATOSAÑO!CK340</f>
        <v>0</v>
      </c>
      <c r="M350" s="994">
        <f ca="1">+DATOSAÑO!AK340</f>
        <v>0</v>
      </c>
      <c r="N350" s="994">
        <f ca="1">+DATOSAÑO!AH340</f>
        <v>0</v>
      </c>
      <c r="O350" s="994">
        <f ca="1">DATOSAÑO!AL340</f>
        <v>0</v>
      </c>
      <c r="P350" s="994">
        <f ca="1">+(DATOSAÑO!BH340)+DATOSAÑO!BJ340</f>
        <v>0</v>
      </c>
      <c r="Q350" s="994">
        <f ca="1">+DATOSAÑO!BQ340</f>
        <v>0</v>
      </c>
      <c r="R350" s="1080">
        <f ca="1">DATOSAÑO!BS340+DATOSAÑO!BV340+DATOSAÑO!BY340+DATOSAÑO!CF340+DATOSAÑO!CL340</f>
        <v>0</v>
      </c>
    </row>
    <row r="351" spans="2:18">
      <c r="B351" s="390">
        <v>45257</v>
      </c>
      <c r="C351" s="994">
        <f ca="1">DATOSAÑO!AJ341</f>
        <v>0</v>
      </c>
      <c r="D351" s="994">
        <f ca="1">DATOSAÑO!AK341</f>
        <v>0</v>
      </c>
      <c r="E351" s="994">
        <f ca="1">DATOSAÑO!AD341</f>
        <v>0</v>
      </c>
      <c r="F351" s="994">
        <v>0</v>
      </c>
      <c r="G351" s="994">
        <v>0</v>
      </c>
      <c r="H351" s="994">
        <f ca="1">DATOSAÑO!AI341</f>
        <v>0</v>
      </c>
      <c r="I351" s="994">
        <f ca="1">DATOSAÑO!CJ341</f>
        <v>0</v>
      </c>
      <c r="J351" s="994">
        <v>0</v>
      </c>
      <c r="K351" s="994">
        <f ca="1">DATOSAÑO!AF341</f>
        <v>0</v>
      </c>
      <c r="L351" s="994">
        <f ca="1">+DATOSAÑO!CK341</f>
        <v>0</v>
      </c>
      <c r="M351" s="994">
        <f ca="1">+DATOSAÑO!AK341</f>
        <v>0</v>
      </c>
      <c r="N351" s="994">
        <f ca="1">+DATOSAÑO!AH341</f>
        <v>0</v>
      </c>
      <c r="O351" s="994">
        <f ca="1">DATOSAÑO!AL341</f>
        <v>0</v>
      </c>
      <c r="P351" s="994">
        <f ca="1">+(DATOSAÑO!BH341)+DATOSAÑO!BJ341</f>
        <v>0</v>
      </c>
      <c r="Q351" s="994">
        <f ca="1">+DATOSAÑO!BQ341</f>
        <v>0</v>
      </c>
      <c r="R351" s="1080">
        <f ca="1">DATOSAÑO!BS341+DATOSAÑO!BV341+DATOSAÑO!BY341+DATOSAÑO!CF341+DATOSAÑO!CL341</f>
        <v>0</v>
      </c>
    </row>
    <row r="352" spans="2:18">
      <c r="B352" s="390">
        <v>45258</v>
      </c>
      <c r="C352" s="994">
        <f ca="1">DATOSAÑO!AJ342</f>
        <v>0</v>
      </c>
      <c r="D352" s="994">
        <f ca="1">DATOSAÑO!AK342</f>
        <v>0</v>
      </c>
      <c r="E352" s="994">
        <f ca="1">DATOSAÑO!AD342</f>
        <v>0</v>
      </c>
      <c r="F352" s="994">
        <v>0</v>
      </c>
      <c r="G352" s="994">
        <v>0</v>
      </c>
      <c r="H352" s="994">
        <f ca="1">DATOSAÑO!AI342</f>
        <v>0</v>
      </c>
      <c r="I352" s="994">
        <f ca="1">DATOSAÑO!CJ342</f>
        <v>0</v>
      </c>
      <c r="J352" s="994">
        <v>0</v>
      </c>
      <c r="K352" s="994">
        <f ca="1">DATOSAÑO!AF342</f>
        <v>0</v>
      </c>
      <c r="L352" s="994">
        <f ca="1">+DATOSAÑO!CK342</f>
        <v>0</v>
      </c>
      <c r="M352" s="994">
        <f ca="1">+DATOSAÑO!AK342</f>
        <v>0</v>
      </c>
      <c r="N352" s="994">
        <f ca="1">+DATOSAÑO!AH342</f>
        <v>0</v>
      </c>
      <c r="O352" s="994">
        <f ca="1">DATOSAÑO!AL342</f>
        <v>0</v>
      </c>
      <c r="P352" s="994">
        <f ca="1">+(DATOSAÑO!BH342)+DATOSAÑO!BJ342</f>
        <v>0</v>
      </c>
      <c r="Q352" s="994">
        <f ca="1">+DATOSAÑO!BQ342</f>
        <v>0</v>
      </c>
      <c r="R352" s="1080">
        <f ca="1">DATOSAÑO!BS342+DATOSAÑO!BV342+DATOSAÑO!BY342+DATOSAÑO!CF342+DATOSAÑO!CL342</f>
        <v>0</v>
      </c>
    </row>
    <row r="353" spans="2:18">
      <c r="B353" s="390">
        <v>45259</v>
      </c>
      <c r="C353" s="994">
        <f ca="1">DATOSAÑO!AJ343</f>
        <v>0</v>
      </c>
      <c r="D353" s="994">
        <f ca="1">DATOSAÑO!AK343</f>
        <v>0</v>
      </c>
      <c r="E353" s="994">
        <f ca="1">DATOSAÑO!AD343</f>
        <v>0</v>
      </c>
      <c r="F353" s="994">
        <v>0</v>
      </c>
      <c r="G353" s="994">
        <v>0</v>
      </c>
      <c r="H353" s="994">
        <f ca="1">DATOSAÑO!AI343</f>
        <v>0</v>
      </c>
      <c r="I353" s="994">
        <f ca="1">DATOSAÑO!CJ343</f>
        <v>0</v>
      </c>
      <c r="J353" s="994">
        <v>0</v>
      </c>
      <c r="K353" s="994">
        <f ca="1">DATOSAÑO!AF343</f>
        <v>0</v>
      </c>
      <c r="L353" s="994">
        <f ca="1">+DATOSAÑO!CK343</f>
        <v>0</v>
      </c>
      <c r="M353" s="994">
        <f ca="1">+DATOSAÑO!AK343</f>
        <v>0</v>
      </c>
      <c r="N353" s="994">
        <f ca="1">+DATOSAÑO!AH343</f>
        <v>0</v>
      </c>
      <c r="O353" s="994">
        <f ca="1">DATOSAÑO!AL343</f>
        <v>0</v>
      </c>
      <c r="P353" s="994">
        <f ca="1">+(DATOSAÑO!BH343)+DATOSAÑO!BJ343</f>
        <v>0</v>
      </c>
      <c r="Q353" s="994">
        <f ca="1">+DATOSAÑO!BQ343</f>
        <v>0</v>
      </c>
      <c r="R353" s="1080">
        <f ca="1">DATOSAÑO!BS343+DATOSAÑO!BV343+DATOSAÑO!BY343+DATOSAÑO!CF343+DATOSAÑO!CL343</f>
        <v>0</v>
      </c>
    </row>
    <row r="354" spans="2:18" ht="15" thickBot="1">
      <c r="B354" s="390">
        <v>45260</v>
      </c>
      <c r="C354" s="994">
        <f ca="1">DATOSAÑO!AJ344</f>
        <v>0</v>
      </c>
      <c r="D354" s="994">
        <f ca="1">DATOSAÑO!AK344</f>
        <v>0</v>
      </c>
      <c r="E354" s="994">
        <f ca="1">DATOSAÑO!AD344</f>
        <v>0</v>
      </c>
      <c r="F354" s="994">
        <v>0</v>
      </c>
      <c r="G354" s="994">
        <v>0</v>
      </c>
      <c r="H354" s="994">
        <f ca="1">DATOSAÑO!AI344</f>
        <v>0</v>
      </c>
      <c r="I354" s="994">
        <f ca="1">DATOSAÑO!CJ344</f>
        <v>0</v>
      </c>
      <c r="J354" s="994">
        <v>0</v>
      </c>
      <c r="K354" s="994">
        <f ca="1">DATOSAÑO!AF344</f>
        <v>0</v>
      </c>
      <c r="L354" s="994">
        <f ca="1">+DATOSAÑO!CK344</f>
        <v>0</v>
      </c>
      <c r="M354" s="994">
        <f ca="1">+DATOSAÑO!AK344</f>
        <v>0</v>
      </c>
      <c r="N354" s="994">
        <f ca="1">+DATOSAÑO!AH344</f>
        <v>0</v>
      </c>
      <c r="O354" s="994">
        <f ca="1">DATOSAÑO!AL344</f>
        <v>0</v>
      </c>
      <c r="P354" s="994">
        <f ca="1">+(DATOSAÑO!BH344)+DATOSAÑO!BJ344</f>
        <v>0</v>
      </c>
      <c r="Q354" s="994">
        <f ca="1">+DATOSAÑO!BQ344</f>
        <v>0</v>
      </c>
      <c r="R354" s="1080">
        <f ca="1">DATOSAÑO!BS344+DATOSAÑO!BV344+DATOSAÑO!BY344+DATOSAÑO!CF344+DATOSAÑO!CL344</f>
        <v>0</v>
      </c>
    </row>
    <row r="355" spans="2:18" ht="15" thickBot="1">
      <c r="B355" s="1268" t="s">
        <v>1131</v>
      </c>
      <c r="C355" s="1267">
        <f ca="1">SUM(C325:C354)</f>
        <v>0</v>
      </c>
      <c r="D355" s="1030">
        <f ca="1">SUM(D325:D354)</f>
        <v>0</v>
      </c>
      <c r="E355" s="1030">
        <f t="shared" ref="E355:Q355" ca="1" si="10">SUM(E325:E354)</f>
        <v>0</v>
      </c>
      <c r="F355" s="1030">
        <f t="shared" si="10"/>
        <v>0</v>
      </c>
      <c r="G355" s="1030">
        <f t="shared" si="10"/>
        <v>0</v>
      </c>
      <c r="H355" s="1030">
        <f t="shared" ca="1" si="10"/>
        <v>0</v>
      </c>
      <c r="I355" s="1030">
        <f t="shared" ca="1" si="10"/>
        <v>0</v>
      </c>
      <c r="J355" s="1030">
        <f t="shared" si="10"/>
        <v>0</v>
      </c>
      <c r="K355" s="1030">
        <f t="shared" ca="1" si="10"/>
        <v>0</v>
      </c>
      <c r="L355" s="1030">
        <f t="shared" ca="1" si="10"/>
        <v>0</v>
      </c>
      <c r="M355" s="1030">
        <f t="shared" ca="1" si="10"/>
        <v>0</v>
      </c>
      <c r="N355" s="1030">
        <f t="shared" ca="1" si="10"/>
        <v>0</v>
      </c>
      <c r="O355" s="1030">
        <f t="shared" ca="1" si="10"/>
        <v>0</v>
      </c>
      <c r="P355" s="1030">
        <f t="shared" ca="1" si="10"/>
        <v>0</v>
      </c>
      <c r="Q355" s="1081">
        <f t="shared" ca="1" si="10"/>
        <v>0</v>
      </c>
      <c r="R355" s="1081">
        <f ca="1">SUM(R325:R354)</f>
        <v>0</v>
      </c>
    </row>
    <row r="356" spans="2:18">
      <c r="B356" s="390">
        <v>45261</v>
      </c>
      <c r="C356" s="994">
        <f ca="1">DATOSAÑO!AJ345</f>
        <v>0</v>
      </c>
      <c r="D356" s="994">
        <f ca="1">DATOSAÑO!AK345</f>
        <v>0</v>
      </c>
      <c r="E356" s="994">
        <f ca="1">DATOSAÑO!AD345</f>
        <v>0</v>
      </c>
      <c r="F356" s="994">
        <v>0</v>
      </c>
      <c r="G356" s="994">
        <v>0</v>
      </c>
      <c r="H356" s="994">
        <f ca="1">DATOSAÑO!AI345</f>
        <v>0</v>
      </c>
      <c r="I356" s="994">
        <f ca="1">DATOSAÑO!CJ345</f>
        <v>0</v>
      </c>
      <c r="J356" s="994">
        <v>0</v>
      </c>
      <c r="K356" s="994">
        <f ca="1">DATOSAÑO!AF345</f>
        <v>0</v>
      </c>
      <c r="L356" s="994">
        <f ca="1">+DATOSAÑO!CK345</f>
        <v>0</v>
      </c>
      <c r="M356" s="994">
        <f ca="1">+DATOSAÑO!AK345</f>
        <v>0</v>
      </c>
      <c r="N356" s="994">
        <f ca="1">+DATOSAÑO!AH345</f>
        <v>0</v>
      </c>
      <c r="O356" s="994">
        <f ca="1">DATOSAÑO!AL345</f>
        <v>0</v>
      </c>
      <c r="P356" s="994">
        <f ca="1">+(DATOSAÑO!BH345)+DATOSAÑO!BJ345</f>
        <v>0</v>
      </c>
      <c r="Q356" s="994">
        <f ca="1">+DATOSAÑO!BQ345</f>
        <v>0</v>
      </c>
      <c r="R356" s="1080">
        <f ca="1">DATOSAÑO!BS345+DATOSAÑO!BV345+DATOSAÑO!BY345+DATOSAÑO!CF345+DATOSAÑO!CL345</f>
        <v>0</v>
      </c>
    </row>
    <row r="357" spans="2:18">
      <c r="B357" s="390">
        <v>45262</v>
      </c>
      <c r="C357" s="994">
        <f ca="1">DATOSAÑO!AJ346</f>
        <v>0</v>
      </c>
      <c r="D357" s="994">
        <f ca="1">DATOSAÑO!AK346</f>
        <v>0</v>
      </c>
      <c r="E357" s="994">
        <f ca="1">DATOSAÑO!AD346</f>
        <v>0</v>
      </c>
      <c r="F357" s="994">
        <v>0</v>
      </c>
      <c r="G357" s="994">
        <v>0</v>
      </c>
      <c r="H357" s="994">
        <f ca="1">DATOSAÑO!AI346</f>
        <v>0</v>
      </c>
      <c r="I357" s="994">
        <f ca="1">DATOSAÑO!CJ346</f>
        <v>0</v>
      </c>
      <c r="J357" s="994">
        <v>0</v>
      </c>
      <c r="K357" s="994">
        <f ca="1">DATOSAÑO!AF346</f>
        <v>0</v>
      </c>
      <c r="L357" s="994">
        <f ca="1">+DATOSAÑO!CK346</f>
        <v>0</v>
      </c>
      <c r="M357" s="994">
        <f ca="1">+DATOSAÑO!AK346</f>
        <v>0</v>
      </c>
      <c r="N357" s="994">
        <f ca="1">+DATOSAÑO!AH346</f>
        <v>0</v>
      </c>
      <c r="O357" s="994">
        <f ca="1">DATOSAÑO!AL346</f>
        <v>0</v>
      </c>
      <c r="P357" s="994">
        <f ca="1">+(DATOSAÑO!BH346)+DATOSAÑO!BJ346</f>
        <v>0</v>
      </c>
      <c r="Q357" s="994">
        <f ca="1">+DATOSAÑO!BQ346</f>
        <v>0</v>
      </c>
      <c r="R357" s="1080">
        <f ca="1">DATOSAÑO!BS346+DATOSAÑO!BV346+DATOSAÑO!BY346+DATOSAÑO!CF346+DATOSAÑO!CL346</f>
        <v>0</v>
      </c>
    </row>
    <row r="358" spans="2:18">
      <c r="B358" s="390">
        <v>45263</v>
      </c>
      <c r="C358" s="994">
        <f ca="1">DATOSAÑO!AJ347</f>
        <v>0</v>
      </c>
      <c r="D358" s="994">
        <f ca="1">DATOSAÑO!AK347</f>
        <v>0</v>
      </c>
      <c r="E358" s="994">
        <f ca="1">DATOSAÑO!AD347</f>
        <v>0</v>
      </c>
      <c r="F358" s="994">
        <v>0</v>
      </c>
      <c r="G358" s="994">
        <v>0</v>
      </c>
      <c r="H358" s="994">
        <f ca="1">DATOSAÑO!AI347</f>
        <v>0</v>
      </c>
      <c r="I358" s="994">
        <f ca="1">DATOSAÑO!CJ347</f>
        <v>0</v>
      </c>
      <c r="J358" s="994">
        <v>0</v>
      </c>
      <c r="K358" s="994">
        <f ca="1">DATOSAÑO!AF347</f>
        <v>0</v>
      </c>
      <c r="L358" s="994">
        <f ca="1">+DATOSAÑO!CK347</f>
        <v>0</v>
      </c>
      <c r="M358" s="994">
        <f ca="1">+DATOSAÑO!AK347</f>
        <v>0</v>
      </c>
      <c r="N358" s="994">
        <f ca="1">+DATOSAÑO!AH347</f>
        <v>0</v>
      </c>
      <c r="O358" s="994">
        <f ca="1">DATOSAÑO!AL347</f>
        <v>0</v>
      </c>
      <c r="P358" s="994">
        <f ca="1">+(DATOSAÑO!BH347)+DATOSAÑO!BJ347</f>
        <v>0</v>
      </c>
      <c r="Q358" s="994">
        <f ca="1">+DATOSAÑO!BQ347</f>
        <v>0</v>
      </c>
      <c r="R358" s="1080">
        <f ca="1">DATOSAÑO!BS347+DATOSAÑO!BV347+DATOSAÑO!BY347+DATOSAÑO!CF347+DATOSAÑO!CL347</f>
        <v>0</v>
      </c>
    </row>
    <row r="359" spans="2:18">
      <c r="B359" s="390">
        <v>45264</v>
      </c>
      <c r="C359" s="994">
        <f ca="1">DATOSAÑO!AJ348</f>
        <v>0</v>
      </c>
      <c r="D359" s="994">
        <f ca="1">DATOSAÑO!AK348</f>
        <v>0</v>
      </c>
      <c r="E359" s="994">
        <f ca="1">DATOSAÑO!AD348</f>
        <v>0</v>
      </c>
      <c r="F359" s="994">
        <v>0</v>
      </c>
      <c r="G359" s="994">
        <v>0</v>
      </c>
      <c r="H359" s="994">
        <f ca="1">DATOSAÑO!AI348</f>
        <v>0</v>
      </c>
      <c r="I359" s="994">
        <f ca="1">DATOSAÑO!CJ348</f>
        <v>0</v>
      </c>
      <c r="J359" s="994">
        <v>0</v>
      </c>
      <c r="K359" s="994">
        <f ca="1">DATOSAÑO!AF348</f>
        <v>0</v>
      </c>
      <c r="L359" s="994">
        <f ca="1">+DATOSAÑO!CK348</f>
        <v>0</v>
      </c>
      <c r="M359" s="994">
        <f ca="1">+DATOSAÑO!AK348</f>
        <v>0</v>
      </c>
      <c r="N359" s="994">
        <f ca="1">+DATOSAÑO!AH348</f>
        <v>0</v>
      </c>
      <c r="O359" s="994">
        <f ca="1">DATOSAÑO!AL348</f>
        <v>0</v>
      </c>
      <c r="P359" s="994">
        <f ca="1">+(DATOSAÑO!BH348)+DATOSAÑO!BJ348</f>
        <v>0</v>
      </c>
      <c r="Q359" s="994">
        <f ca="1">+DATOSAÑO!BQ348</f>
        <v>0</v>
      </c>
      <c r="R359" s="1080">
        <f ca="1">DATOSAÑO!BS348+DATOSAÑO!BV348+DATOSAÑO!BY348+DATOSAÑO!CF348+DATOSAÑO!CL348</f>
        <v>0</v>
      </c>
    </row>
    <row r="360" spans="2:18">
      <c r="B360" s="390">
        <v>45265</v>
      </c>
      <c r="C360" s="994">
        <f ca="1">DATOSAÑO!AJ349</f>
        <v>0</v>
      </c>
      <c r="D360" s="994">
        <f ca="1">DATOSAÑO!AK349</f>
        <v>0</v>
      </c>
      <c r="E360" s="994">
        <f ca="1">DATOSAÑO!AD349</f>
        <v>0</v>
      </c>
      <c r="F360" s="994">
        <v>0</v>
      </c>
      <c r="G360" s="994">
        <v>0</v>
      </c>
      <c r="H360" s="994">
        <f ca="1">DATOSAÑO!AI349</f>
        <v>0</v>
      </c>
      <c r="I360" s="994">
        <f ca="1">DATOSAÑO!CJ349</f>
        <v>0</v>
      </c>
      <c r="J360" s="994">
        <v>0</v>
      </c>
      <c r="K360" s="994">
        <f ca="1">DATOSAÑO!AF349</f>
        <v>0</v>
      </c>
      <c r="L360" s="994">
        <f ca="1">+DATOSAÑO!CK349</f>
        <v>0</v>
      </c>
      <c r="M360" s="994">
        <f ca="1">+DATOSAÑO!AK349</f>
        <v>0</v>
      </c>
      <c r="N360" s="994">
        <f ca="1">+DATOSAÑO!AH349</f>
        <v>0</v>
      </c>
      <c r="O360" s="994">
        <f ca="1">DATOSAÑO!AL349</f>
        <v>0</v>
      </c>
      <c r="P360" s="994">
        <f ca="1">+(DATOSAÑO!BH349)+DATOSAÑO!BJ349</f>
        <v>0</v>
      </c>
      <c r="Q360" s="994">
        <f ca="1">+DATOSAÑO!BQ349</f>
        <v>0</v>
      </c>
      <c r="R360" s="1080">
        <f ca="1">DATOSAÑO!BS349+DATOSAÑO!BV349+DATOSAÑO!BY349+DATOSAÑO!CF349+DATOSAÑO!CL349</f>
        <v>0</v>
      </c>
    </row>
    <row r="361" spans="2:18">
      <c r="B361" s="390">
        <v>45266</v>
      </c>
      <c r="C361" s="994">
        <f ca="1">DATOSAÑO!AJ350</f>
        <v>0</v>
      </c>
      <c r="D361" s="994">
        <f ca="1">DATOSAÑO!AK350</f>
        <v>0</v>
      </c>
      <c r="E361" s="994">
        <f ca="1">DATOSAÑO!AD350</f>
        <v>0</v>
      </c>
      <c r="F361" s="994">
        <v>0</v>
      </c>
      <c r="G361" s="994">
        <v>0</v>
      </c>
      <c r="H361" s="994">
        <f ca="1">DATOSAÑO!AI350</f>
        <v>0</v>
      </c>
      <c r="I361" s="994">
        <f ca="1">DATOSAÑO!CJ350</f>
        <v>0</v>
      </c>
      <c r="J361" s="994">
        <v>0</v>
      </c>
      <c r="K361" s="994">
        <f ca="1">DATOSAÑO!AF350</f>
        <v>0</v>
      </c>
      <c r="L361" s="994">
        <f ca="1">+DATOSAÑO!CK350</f>
        <v>0</v>
      </c>
      <c r="M361" s="994">
        <f ca="1">+DATOSAÑO!AK350</f>
        <v>0</v>
      </c>
      <c r="N361" s="994">
        <f ca="1">+DATOSAÑO!AH350</f>
        <v>0</v>
      </c>
      <c r="O361" s="994">
        <f ca="1">DATOSAÑO!AL350</f>
        <v>0</v>
      </c>
      <c r="P361" s="994">
        <f ca="1">+(DATOSAÑO!BH350)+DATOSAÑO!BJ350</f>
        <v>0</v>
      </c>
      <c r="Q361" s="994">
        <f ca="1">+DATOSAÑO!BQ350</f>
        <v>0</v>
      </c>
      <c r="R361" s="1080">
        <f ca="1">DATOSAÑO!BS350+DATOSAÑO!BV350+DATOSAÑO!BY350+DATOSAÑO!CF350+DATOSAÑO!CL350</f>
        <v>0</v>
      </c>
    </row>
    <row r="362" spans="2:18">
      <c r="B362" s="390">
        <v>45267</v>
      </c>
      <c r="C362" s="994">
        <f ca="1">DATOSAÑO!AJ351</f>
        <v>0</v>
      </c>
      <c r="D362" s="994">
        <f ca="1">DATOSAÑO!AK351</f>
        <v>0</v>
      </c>
      <c r="E362" s="994">
        <f ca="1">DATOSAÑO!AD351</f>
        <v>0</v>
      </c>
      <c r="F362" s="994">
        <v>0</v>
      </c>
      <c r="G362" s="994">
        <v>0</v>
      </c>
      <c r="H362" s="994">
        <f ca="1">DATOSAÑO!AI351</f>
        <v>0</v>
      </c>
      <c r="I362" s="994">
        <f ca="1">DATOSAÑO!CJ351</f>
        <v>0</v>
      </c>
      <c r="J362" s="994">
        <v>0</v>
      </c>
      <c r="K362" s="994">
        <f ca="1">DATOSAÑO!AF351</f>
        <v>0</v>
      </c>
      <c r="L362" s="994">
        <f ca="1">+DATOSAÑO!CK351</f>
        <v>0</v>
      </c>
      <c r="M362" s="994">
        <f ca="1">+DATOSAÑO!AK351</f>
        <v>0</v>
      </c>
      <c r="N362" s="994">
        <f ca="1">+DATOSAÑO!AH351</f>
        <v>0</v>
      </c>
      <c r="O362" s="994">
        <f ca="1">DATOSAÑO!AL351</f>
        <v>0</v>
      </c>
      <c r="P362" s="994">
        <f ca="1">+(DATOSAÑO!BH351)+DATOSAÑO!BJ351</f>
        <v>0</v>
      </c>
      <c r="Q362" s="994">
        <f ca="1">+DATOSAÑO!BQ351</f>
        <v>0</v>
      </c>
      <c r="R362" s="1080">
        <f ca="1">DATOSAÑO!BS351+DATOSAÑO!BV351+DATOSAÑO!BY351+DATOSAÑO!CF351+DATOSAÑO!CL351</f>
        <v>0</v>
      </c>
    </row>
    <row r="363" spans="2:18">
      <c r="B363" s="390">
        <v>45268</v>
      </c>
      <c r="C363" s="994">
        <f ca="1">DATOSAÑO!AJ352</f>
        <v>0</v>
      </c>
      <c r="D363" s="994">
        <f ca="1">DATOSAÑO!AK352</f>
        <v>0</v>
      </c>
      <c r="E363" s="994">
        <f ca="1">DATOSAÑO!AD352</f>
        <v>0</v>
      </c>
      <c r="F363" s="994">
        <v>0</v>
      </c>
      <c r="G363" s="994">
        <v>0</v>
      </c>
      <c r="H363" s="994">
        <f ca="1">DATOSAÑO!AI352</f>
        <v>0</v>
      </c>
      <c r="I363" s="994">
        <f ca="1">DATOSAÑO!CJ352</f>
        <v>0</v>
      </c>
      <c r="J363" s="994">
        <v>0</v>
      </c>
      <c r="K363" s="994">
        <f ca="1">DATOSAÑO!AF352</f>
        <v>0</v>
      </c>
      <c r="L363" s="994">
        <f ca="1">+DATOSAÑO!CK352</f>
        <v>0</v>
      </c>
      <c r="M363" s="994">
        <f ca="1">+DATOSAÑO!AK352</f>
        <v>0</v>
      </c>
      <c r="N363" s="994">
        <f ca="1">+DATOSAÑO!AH352</f>
        <v>0</v>
      </c>
      <c r="O363" s="994">
        <f ca="1">DATOSAÑO!AL352</f>
        <v>0</v>
      </c>
      <c r="P363" s="994">
        <f ca="1">+(DATOSAÑO!BH352)+DATOSAÑO!BJ352</f>
        <v>0</v>
      </c>
      <c r="Q363" s="994">
        <f ca="1">+DATOSAÑO!BQ352</f>
        <v>0</v>
      </c>
      <c r="R363" s="1080">
        <f ca="1">DATOSAÑO!BS352+DATOSAÑO!BV352+DATOSAÑO!BY352+DATOSAÑO!CF352+DATOSAÑO!CL352</f>
        <v>0</v>
      </c>
    </row>
    <row r="364" spans="2:18">
      <c r="B364" s="390">
        <v>45269</v>
      </c>
      <c r="C364" s="994">
        <f ca="1">DATOSAÑO!AJ353</f>
        <v>0</v>
      </c>
      <c r="D364" s="994">
        <f ca="1">DATOSAÑO!AK353</f>
        <v>0</v>
      </c>
      <c r="E364" s="994">
        <f ca="1">DATOSAÑO!AD353</f>
        <v>0</v>
      </c>
      <c r="F364" s="994">
        <v>0</v>
      </c>
      <c r="G364" s="994">
        <v>0</v>
      </c>
      <c r="H364" s="994">
        <f ca="1">DATOSAÑO!AI353</f>
        <v>0</v>
      </c>
      <c r="I364" s="994">
        <f ca="1">DATOSAÑO!CJ353</f>
        <v>0</v>
      </c>
      <c r="J364" s="994">
        <v>0</v>
      </c>
      <c r="K364" s="994">
        <f ca="1">DATOSAÑO!AF353</f>
        <v>0</v>
      </c>
      <c r="L364" s="994">
        <f ca="1">+DATOSAÑO!CK353</f>
        <v>0</v>
      </c>
      <c r="M364" s="994">
        <f ca="1">+DATOSAÑO!AK353</f>
        <v>0</v>
      </c>
      <c r="N364" s="994">
        <f ca="1">+DATOSAÑO!AH353</f>
        <v>0</v>
      </c>
      <c r="O364" s="994">
        <f ca="1">DATOSAÑO!AL353</f>
        <v>0</v>
      </c>
      <c r="P364" s="994">
        <f ca="1">+(DATOSAÑO!BH353)+DATOSAÑO!BJ353</f>
        <v>0</v>
      </c>
      <c r="Q364" s="994">
        <f ca="1">+DATOSAÑO!BQ353</f>
        <v>0</v>
      </c>
      <c r="R364" s="1080">
        <f ca="1">DATOSAÑO!BS353+DATOSAÑO!BV353+DATOSAÑO!BY353+DATOSAÑO!CF353+DATOSAÑO!CL353</f>
        <v>0</v>
      </c>
    </row>
    <row r="365" spans="2:18">
      <c r="B365" s="390">
        <v>45270</v>
      </c>
      <c r="C365" s="994">
        <f ca="1">DATOSAÑO!AJ354</f>
        <v>0</v>
      </c>
      <c r="D365" s="994">
        <f ca="1">DATOSAÑO!AK354</f>
        <v>0</v>
      </c>
      <c r="E365" s="994">
        <f ca="1">DATOSAÑO!AD354</f>
        <v>0</v>
      </c>
      <c r="F365" s="994">
        <v>0</v>
      </c>
      <c r="G365" s="994">
        <v>0</v>
      </c>
      <c r="H365" s="994">
        <f ca="1">DATOSAÑO!AI354</f>
        <v>0</v>
      </c>
      <c r="I365" s="994">
        <f ca="1">DATOSAÑO!CJ354</f>
        <v>0</v>
      </c>
      <c r="J365" s="994">
        <v>0</v>
      </c>
      <c r="K365" s="994">
        <f ca="1">DATOSAÑO!AF354</f>
        <v>0</v>
      </c>
      <c r="L365" s="994">
        <f ca="1">+DATOSAÑO!CK354</f>
        <v>0</v>
      </c>
      <c r="M365" s="994">
        <f ca="1">+DATOSAÑO!AK354</f>
        <v>0</v>
      </c>
      <c r="N365" s="994">
        <f ca="1">+DATOSAÑO!AH354</f>
        <v>0</v>
      </c>
      <c r="O365" s="994">
        <f ca="1">DATOSAÑO!AL354</f>
        <v>0</v>
      </c>
      <c r="P365" s="994">
        <f ca="1">+(DATOSAÑO!BH354)+DATOSAÑO!BJ354</f>
        <v>0</v>
      </c>
      <c r="Q365" s="994">
        <f ca="1">+DATOSAÑO!BQ354</f>
        <v>0</v>
      </c>
      <c r="R365" s="1080">
        <f ca="1">DATOSAÑO!BS354+DATOSAÑO!BV354+DATOSAÑO!BY354+DATOSAÑO!CF354+DATOSAÑO!CL354</f>
        <v>0</v>
      </c>
    </row>
    <row r="366" spans="2:18">
      <c r="B366" s="390">
        <v>45271</v>
      </c>
      <c r="C366" s="994">
        <f ca="1">DATOSAÑO!AJ355</f>
        <v>0</v>
      </c>
      <c r="D366" s="994">
        <f ca="1">DATOSAÑO!AK355</f>
        <v>0</v>
      </c>
      <c r="E366" s="994">
        <f ca="1">DATOSAÑO!AD355</f>
        <v>0</v>
      </c>
      <c r="F366" s="994">
        <v>0</v>
      </c>
      <c r="G366" s="994">
        <v>0</v>
      </c>
      <c r="H366" s="994">
        <f ca="1">DATOSAÑO!AI355</f>
        <v>0</v>
      </c>
      <c r="I366" s="994">
        <f ca="1">DATOSAÑO!CJ355</f>
        <v>0</v>
      </c>
      <c r="J366" s="994">
        <v>0</v>
      </c>
      <c r="K366" s="994">
        <f ca="1">DATOSAÑO!AF355</f>
        <v>0</v>
      </c>
      <c r="L366" s="994">
        <f ca="1">+DATOSAÑO!CK355</f>
        <v>0</v>
      </c>
      <c r="M366" s="994">
        <f ca="1">+DATOSAÑO!AK355</f>
        <v>0</v>
      </c>
      <c r="N366" s="994">
        <f ca="1">+DATOSAÑO!AH355</f>
        <v>0</v>
      </c>
      <c r="O366" s="994">
        <f ca="1">DATOSAÑO!AL355</f>
        <v>0</v>
      </c>
      <c r="P366" s="994">
        <f ca="1">+(DATOSAÑO!BH355)+DATOSAÑO!BJ355</f>
        <v>0</v>
      </c>
      <c r="Q366" s="994">
        <f ca="1">+DATOSAÑO!BQ355</f>
        <v>0</v>
      </c>
      <c r="R366" s="1080">
        <f ca="1">DATOSAÑO!BS355+DATOSAÑO!BV355+DATOSAÑO!BY355+DATOSAÑO!CF355+DATOSAÑO!CL355</f>
        <v>0</v>
      </c>
    </row>
    <row r="367" spans="2:18">
      <c r="B367" s="390">
        <v>45272</v>
      </c>
      <c r="C367" s="994">
        <f ca="1">DATOSAÑO!AJ356</f>
        <v>0</v>
      </c>
      <c r="D367" s="994">
        <f ca="1">DATOSAÑO!AK356</f>
        <v>0</v>
      </c>
      <c r="E367" s="994">
        <f ca="1">DATOSAÑO!AD356</f>
        <v>0</v>
      </c>
      <c r="F367" s="994">
        <v>0</v>
      </c>
      <c r="G367" s="994">
        <v>0</v>
      </c>
      <c r="H367" s="994">
        <f ca="1">DATOSAÑO!AI356</f>
        <v>0</v>
      </c>
      <c r="I367" s="994">
        <f ca="1">DATOSAÑO!CJ356</f>
        <v>0</v>
      </c>
      <c r="J367" s="994">
        <v>0</v>
      </c>
      <c r="K367" s="994">
        <f ca="1">DATOSAÑO!AF356</f>
        <v>0</v>
      </c>
      <c r="L367" s="994">
        <f ca="1">+DATOSAÑO!CK356</f>
        <v>0</v>
      </c>
      <c r="M367" s="994">
        <f ca="1">+DATOSAÑO!AK356</f>
        <v>0</v>
      </c>
      <c r="N367" s="994">
        <f ca="1">+DATOSAÑO!AH356</f>
        <v>0</v>
      </c>
      <c r="O367" s="994">
        <f ca="1">DATOSAÑO!AL356</f>
        <v>0</v>
      </c>
      <c r="P367" s="994">
        <f ca="1">+(DATOSAÑO!BH356)+DATOSAÑO!BJ356</f>
        <v>0</v>
      </c>
      <c r="Q367" s="994">
        <f ca="1">+DATOSAÑO!BQ356</f>
        <v>0</v>
      </c>
      <c r="R367" s="1080">
        <f ca="1">DATOSAÑO!BS356+DATOSAÑO!BV356+DATOSAÑO!BY356+DATOSAÑO!CF356+DATOSAÑO!CL356</f>
        <v>0</v>
      </c>
    </row>
    <row r="368" spans="2:18">
      <c r="B368" s="390">
        <v>45273</v>
      </c>
      <c r="C368" s="994">
        <f ca="1">DATOSAÑO!AJ357</f>
        <v>0</v>
      </c>
      <c r="D368" s="994">
        <f ca="1">DATOSAÑO!AK357</f>
        <v>0</v>
      </c>
      <c r="E368" s="994">
        <f ca="1">DATOSAÑO!AD357</f>
        <v>0</v>
      </c>
      <c r="F368" s="994">
        <v>0</v>
      </c>
      <c r="G368" s="994">
        <v>0</v>
      </c>
      <c r="H368" s="994">
        <f ca="1">DATOSAÑO!AI357</f>
        <v>0</v>
      </c>
      <c r="I368" s="994">
        <f ca="1">DATOSAÑO!CJ357</f>
        <v>0</v>
      </c>
      <c r="J368" s="994">
        <v>0</v>
      </c>
      <c r="K368" s="994">
        <f ca="1">DATOSAÑO!AF357</f>
        <v>0</v>
      </c>
      <c r="L368" s="994">
        <f ca="1">+DATOSAÑO!CK357</f>
        <v>0</v>
      </c>
      <c r="M368" s="994">
        <f ca="1">+DATOSAÑO!AK357</f>
        <v>0</v>
      </c>
      <c r="N368" s="994">
        <f ca="1">+DATOSAÑO!AH357</f>
        <v>0</v>
      </c>
      <c r="O368" s="994">
        <f ca="1">DATOSAÑO!AL357</f>
        <v>0</v>
      </c>
      <c r="P368" s="994">
        <f ca="1">+(DATOSAÑO!BH357)+DATOSAÑO!BJ357</f>
        <v>0</v>
      </c>
      <c r="Q368" s="994">
        <f ca="1">+DATOSAÑO!BQ357</f>
        <v>0</v>
      </c>
      <c r="R368" s="1080">
        <f ca="1">DATOSAÑO!BS357+DATOSAÑO!BV357+DATOSAÑO!BY357+DATOSAÑO!CF357+DATOSAÑO!CL357</f>
        <v>0</v>
      </c>
    </row>
    <row r="369" spans="2:18">
      <c r="B369" s="390">
        <v>45274</v>
      </c>
      <c r="C369" s="994">
        <f ca="1">DATOSAÑO!AJ358</f>
        <v>0</v>
      </c>
      <c r="D369" s="994">
        <f ca="1">DATOSAÑO!AK358</f>
        <v>0</v>
      </c>
      <c r="E369" s="994">
        <f ca="1">DATOSAÑO!AD358</f>
        <v>0</v>
      </c>
      <c r="F369" s="994">
        <v>0</v>
      </c>
      <c r="G369" s="994">
        <v>0</v>
      </c>
      <c r="H369" s="994">
        <f ca="1">DATOSAÑO!AI358</f>
        <v>0</v>
      </c>
      <c r="I369" s="994">
        <f ca="1">DATOSAÑO!CJ358</f>
        <v>0</v>
      </c>
      <c r="J369" s="994">
        <v>0</v>
      </c>
      <c r="K369" s="994">
        <f ca="1">DATOSAÑO!AF358</f>
        <v>0</v>
      </c>
      <c r="L369" s="994">
        <f ca="1">+DATOSAÑO!CK358</f>
        <v>0</v>
      </c>
      <c r="M369" s="994">
        <f ca="1">+DATOSAÑO!AK358</f>
        <v>0</v>
      </c>
      <c r="N369" s="994">
        <f ca="1">+DATOSAÑO!AH358</f>
        <v>0</v>
      </c>
      <c r="O369" s="994">
        <f ca="1">DATOSAÑO!AL358</f>
        <v>0</v>
      </c>
      <c r="P369" s="994">
        <f ca="1">+(DATOSAÑO!BH358)+DATOSAÑO!BJ358</f>
        <v>0</v>
      </c>
      <c r="Q369" s="994">
        <f ca="1">+DATOSAÑO!BQ358</f>
        <v>0</v>
      </c>
      <c r="R369" s="1080">
        <f ca="1">DATOSAÑO!BS358+DATOSAÑO!BV358+DATOSAÑO!BY358+DATOSAÑO!CF358+DATOSAÑO!CL358</f>
        <v>0</v>
      </c>
    </row>
    <row r="370" spans="2:18">
      <c r="B370" s="390">
        <v>45275</v>
      </c>
      <c r="C370" s="994">
        <f ca="1">DATOSAÑO!AJ359</f>
        <v>0</v>
      </c>
      <c r="D370" s="994">
        <f ca="1">DATOSAÑO!AK359</f>
        <v>0</v>
      </c>
      <c r="E370" s="994">
        <f ca="1">DATOSAÑO!AD359</f>
        <v>0</v>
      </c>
      <c r="F370" s="994">
        <v>0</v>
      </c>
      <c r="G370" s="994">
        <v>0</v>
      </c>
      <c r="H370" s="994">
        <f ca="1">DATOSAÑO!AI359</f>
        <v>0</v>
      </c>
      <c r="I370" s="994">
        <f ca="1">DATOSAÑO!CJ359</f>
        <v>0</v>
      </c>
      <c r="J370" s="994">
        <v>0</v>
      </c>
      <c r="K370" s="994">
        <f ca="1">DATOSAÑO!AF359</f>
        <v>0</v>
      </c>
      <c r="L370" s="994">
        <f ca="1">+DATOSAÑO!CK359</f>
        <v>0</v>
      </c>
      <c r="M370" s="994">
        <f ca="1">+DATOSAÑO!AK359</f>
        <v>0</v>
      </c>
      <c r="N370" s="994">
        <f ca="1">+DATOSAÑO!AH359</f>
        <v>0</v>
      </c>
      <c r="O370" s="994">
        <f ca="1">DATOSAÑO!AL359</f>
        <v>0</v>
      </c>
      <c r="P370" s="994">
        <f ca="1">+(DATOSAÑO!BH359)+DATOSAÑO!BJ359</f>
        <v>0</v>
      </c>
      <c r="Q370" s="994">
        <f ca="1">+DATOSAÑO!BQ359</f>
        <v>0</v>
      </c>
      <c r="R370" s="1080">
        <f ca="1">DATOSAÑO!BS359+DATOSAÑO!BV359+DATOSAÑO!BY359+DATOSAÑO!CF359+DATOSAÑO!CL359</f>
        <v>0</v>
      </c>
    </row>
    <row r="371" spans="2:18">
      <c r="B371" s="390">
        <v>45276</v>
      </c>
      <c r="C371" s="994">
        <f ca="1">DATOSAÑO!AJ360</f>
        <v>0</v>
      </c>
      <c r="D371" s="994">
        <f ca="1">DATOSAÑO!AK360</f>
        <v>0</v>
      </c>
      <c r="E371" s="994">
        <f ca="1">DATOSAÑO!AD360</f>
        <v>0</v>
      </c>
      <c r="F371" s="994">
        <v>0</v>
      </c>
      <c r="G371" s="994">
        <v>0</v>
      </c>
      <c r="H371" s="994">
        <f ca="1">DATOSAÑO!AI360</f>
        <v>0</v>
      </c>
      <c r="I371" s="994">
        <f ca="1">DATOSAÑO!CJ360</f>
        <v>0</v>
      </c>
      <c r="J371" s="994">
        <v>0</v>
      </c>
      <c r="K371" s="994">
        <f ca="1">DATOSAÑO!AF360</f>
        <v>0</v>
      </c>
      <c r="L371" s="994">
        <f ca="1">+DATOSAÑO!CK360</f>
        <v>0</v>
      </c>
      <c r="M371" s="994">
        <f ca="1">+DATOSAÑO!AK360</f>
        <v>0</v>
      </c>
      <c r="N371" s="994">
        <f ca="1">+DATOSAÑO!AH360</f>
        <v>0</v>
      </c>
      <c r="O371" s="994">
        <f ca="1">DATOSAÑO!AL360</f>
        <v>0</v>
      </c>
      <c r="P371" s="994">
        <f ca="1">+(DATOSAÑO!BH360)+DATOSAÑO!BJ360</f>
        <v>0</v>
      </c>
      <c r="Q371" s="994">
        <f ca="1">+DATOSAÑO!BQ360</f>
        <v>0</v>
      </c>
      <c r="R371" s="1080">
        <f ca="1">DATOSAÑO!BS360+DATOSAÑO!BV360+DATOSAÑO!BY360+DATOSAÑO!CF360+DATOSAÑO!CL360</f>
        <v>0</v>
      </c>
    </row>
    <row r="372" spans="2:18">
      <c r="B372" s="390">
        <v>45277</v>
      </c>
      <c r="C372" s="994">
        <f ca="1">DATOSAÑO!AJ361</f>
        <v>0</v>
      </c>
      <c r="D372" s="994">
        <f ca="1">DATOSAÑO!AK361</f>
        <v>0</v>
      </c>
      <c r="E372" s="994">
        <f ca="1">DATOSAÑO!AD361</f>
        <v>0</v>
      </c>
      <c r="F372" s="994">
        <v>0</v>
      </c>
      <c r="G372" s="994">
        <v>0</v>
      </c>
      <c r="H372" s="994">
        <f ca="1">DATOSAÑO!AI361</f>
        <v>0</v>
      </c>
      <c r="I372" s="994">
        <f ca="1">DATOSAÑO!CJ361</f>
        <v>0</v>
      </c>
      <c r="J372" s="994">
        <v>0</v>
      </c>
      <c r="K372" s="994">
        <f ca="1">DATOSAÑO!AF361</f>
        <v>0</v>
      </c>
      <c r="L372" s="994">
        <f ca="1">+DATOSAÑO!CK361</f>
        <v>0</v>
      </c>
      <c r="M372" s="994">
        <f ca="1">+DATOSAÑO!AK361</f>
        <v>0</v>
      </c>
      <c r="N372" s="994">
        <f ca="1">+DATOSAÑO!AH361</f>
        <v>0</v>
      </c>
      <c r="O372" s="994">
        <f ca="1">DATOSAÑO!AL361</f>
        <v>0</v>
      </c>
      <c r="P372" s="994">
        <f ca="1">+(DATOSAÑO!BH361)+DATOSAÑO!BJ361</f>
        <v>0</v>
      </c>
      <c r="Q372" s="994">
        <f ca="1">+DATOSAÑO!BQ361</f>
        <v>0</v>
      </c>
      <c r="R372" s="1080">
        <f ca="1">DATOSAÑO!BS361+DATOSAÑO!BV361+DATOSAÑO!BY361+DATOSAÑO!CF361+DATOSAÑO!CL361</f>
        <v>0</v>
      </c>
    </row>
    <row r="373" spans="2:18">
      <c r="B373" s="390">
        <v>45278</v>
      </c>
      <c r="C373" s="994">
        <f ca="1">DATOSAÑO!AJ362</f>
        <v>0</v>
      </c>
      <c r="D373" s="994">
        <f ca="1">DATOSAÑO!AK362</f>
        <v>0</v>
      </c>
      <c r="E373" s="994">
        <f ca="1">DATOSAÑO!AD362</f>
        <v>0</v>
      </c>
      <c r="F373" s="994">
        <v>0</v>
      </c>
      <c r="G373" s="994">
        <v>0</v>
      </c>
      <c r="H373" s="994">
        <f ca="1">DATOSAÑO!AI362</f>
        <v>0</v>
      </c>
      <c r="I373" s="994">
        <f ca="1">DATOSAÑO!CJ362</f>
        <v>0</v>
      </c>
      <c r="J373" s="994">
        <v>0</v>
      </c>
      <c r="K373" s="994">
        <f ca="1">DATOSAÑO!AF362</f>
        <v>0</v>
      </c>
      <c r="L373" s="994">
        <f ca="1">+DATOSAÑO!CK362</f>
        <v>0</v>
      </c>
      <c r="M373" s="994">
        <f ca="1">+DATOSAÑO!AK362</f>
        <v>0</v>
      </c>
      <c r="N373" s="994">
        <f ca="1">+DATOSAÑO!AH362</f>
        <v>0</v>
      </c>
      <c r="O373" s="994">
        <f ca="1">DATOSAÑO!AL362</f>
        <v>0</v>
      </c>
      <c r="P373" s="994">
        <f ca="1">+(DATOSAÑO!BH362)+DATOSAÑO!BJ362</f>
        <v>0</v>
      </c>
      <c r="Q373" s="994">
        <f ca="1">+DATOSAÑO!BQ362</f>
        <v>0</v>
      </c>
      <c r="R373" s="1080">
        <f ca="1">DATOSAÑO!BS362+DATOSAÑO!BV362+DATOSAÑO!BY362+DATOSAÑO!CF362+DATOSAÑO!CL362</f>
        <v>0</v>
      </c>
    </row>
    <row r="374" spans="2:18">
      <c r="B374" s="390">
        <v>45279</v>
      </c>
      <c r="C374" s="994">
        <f ca="1">DATOSAÑO!AJ363</f>
        <v>0</v>
      </c>
      <c r="D374" s="994">
        <f ca="1">DATOSAÑO!AK363</f>
        <v>0</v>
      </c>
      <c r="E374" s="994">
        <f ca="1">DATOSAÑO!AD363</f>
        <v>0</v>
      </c>
      <c r="F374" s="994">
        <v>0</v>
      </c>
      <c r="G374" s="994">
        <v>0</v>
      </c>
      <c r="H374" s="994">
        <f ca="1">DATOSAÑO!AI363</f>
        <v>0</v>
      </c>
      <c r="I374" s="994">
        <f ca="1">DATOSAÑO!CJ363</f>
        <v>0</v>
      </c>
      <c r="J374" s="994">
        <v>0</v>
      </c>
      <c r="K374" s="994">
        <f ca="1">DATOSAÑO!AF363</f>
        <v>0</v>
      </c>
      <c r="L374" s="994">
        <f ca="1">+DATOSAÑO!CK363</f>
        <v>0</v>
      </c>
      <c r="M374" s="994">
        <f ca="1">+DATOSAÑO!AK363</f>
        <v>0</v>
      </c>
      <c r="N374" s="994">
        <f ca="1">+DATOSAÑO!AH363</f>
        <v>0</v>
      </c>
      <c r="O374" s="994">
        <f ca="1">DATOSAÑO!AL363</f>
        <v>0</v>
      </c>
      <c r="P374" s="994">
        <f ca="1">+(DATOSAÑO!BH363)+DATOSAÑO!BJ363</f>
        <v>0</v>
      </c>
      <c r="Q374" s="994">
        <f ca="1">+DATOSAÑO!BQ363</f>
        <v>0</v>
      </c>
      <c r="R374" s="1080">
        <f ca="1">DATOSAÑO!BS363+DATOSAÑO!BV363+DATOSAÑO!BY363+DATOSAÑO!CF363+DATOSAÑO!CL363</f>
        <v>0</v>
      </c>
    </row>
    <row r="375" spans="2:18">
      <c r="B375" s="390">
        <v>45280</v>
      </c>
      <c r="C375" s="994">
        <f ca="1">DATOSAÑO!AJ364</f>
        <v>0</v>
      </c>
      <c r="D375" s="994">
        <f ca="1">DATOSAÑO!AK364</f>
        <v>0</v>
      </c>
      <c r="E375" s="994">
        <f ca="1">DATOSAÑO!AD364</f>
        <v>0</v>
      </c>
      <c r="F375" s="994">
        <v>0</v>
      </c>
      <c r="G375" s="994">
        <v>0</v>
      </c>
      <c r="H375" s="994">
        <f ca="1">DATOSAÑO!AI364</f>
        <v>0</v>
      </c>
      <c r="I375" s="994">
        <f ca="1">DATOSAÑO!CJ364</f>
        <v>0</v>
      </c>
      <c r="J375" s="994">
        <v>0</v>
      </c>
      <c r="K375" s="994">
        <f ca="1">DATOSAÑO!AF364</f>
        <v>0</v>
      </c>
      <c r="L375" s="994">
        <f ca="1">+DATOSAÑO!CK364</f>
        <v>0</v>
      </c>
      <c r="M375" s="994">
        <f ca="1">+DATOSAÑO!AK364</f>
        <v>0</v>
      </c>
      <c r="N375" s="994">
        <f ca="1">+DATOSAÑO!AH364</f>
        <v>0</v>
      </c>
      <c r="O375" s="994">
        <f ca="1">DATOSAÑO!AL364</f>
        <v>0</v>
      </c>
      <c r="P375" s="994">
        <f ca="1">+(DATOSAÑO!BH364)+DATOSAÑO!BJ364</f>
        <v>0</v>
      </c>
      <c r="Q375" s="994">
        <f ca="1">+DATOSAÑO!BQ364</f>
        <v>0</v>
      </c>
      <c r="R375" s="1080">
        <f ca="1">DATOSAÑO!BS364+DATOSAÑO!BV364+DATOSAÑO!BY364+DATOSAÑO!CF364+DATOSAÑO!CL364</f>
        <v>0</v>
      </c>
    </row>
    <row r="376" spans="2:18">
      <c r="B376" s="390">
        <v>45281</v>
      </c>
      <c r="C376" s="994">
        <f ca="1">DATOSAÑO!AJ365</f>
        <v>0</v>
      </c>
      <c r="D376" s="994">
        <f ca="1">DATOSAÑO!AK365</f>
        <v>0</v>
      </c>
      <c r="E376" s="994">
        <f ca="1">DATOSAÑO!AD365</f>
        <v>0</v>
      </c>
      <c r="F376" s="994">
        <v>0</v>
      </c>
      <c r="G376" s="994">
        <v>0</v>
      </c>
      <c r="H376" s="994">
        <f ca="1">DATOSAÑO!AI365</f>
        <v>0</v>
      </c>
      <c r="I376" s="994">
        <f ca="1">DATOSAÑO!CJ365</f>
        <v>0</v>
      </c>
      <c r="J376" s="994">
        <v>0</v>
      </c>
      <c r="K376" s="994">
        <f ca="1">DATOSAÑO!AF365</f>
        <v>0</v>
      </c>
      <c r="L376" s="994">
        <f ca="1">+DATOSAÑO!CK365</f>
        <v>0</v>
      </c>
      <c r="M376" s="994">
        <f ca="1">+DATOSAÑO!AK365</f>
        <v>0</v>
      </c>
      <c r="N376" s="994">
        <f ca="1">+DATOSAÑO!AH365</f>
        <v>0</v>
      </c>
      <c r="O376" s="994">
        <f ca="1">DATOSAÑO!AL365</f>
        <v>0</v>
      </c>
      <c r="P376" s="994">
        <f ca="1">+(DATOSAÑO!BH365)+DATOSAÑO!BJ365</f>
        <v>0</v>
      </c>
      <c r="Q376" s="994">
        <f ca="1">+DATOSAÑO!BQ365</f>
        <v>0</v>
      </c>
      <c r="R376" s="1080">
        <f ca="1">DATOSAÑO!BS365+DATOSAÑO!BV365+DATOSAÑO!BY365+DATOSAÑO!CF365+DATOSAÑO!CL365</f>
        <v>0</v>
      </c>
    </row>
    <row r="377" spans="2:18">
      <c r="B377" s="390">
        <v>45282</v>
      </c>
      <c r="C377" s="994">
        <f ca="1">DATOSAÑO!AJ366</f>
        <v>0</v>
      </c>
      <c r="D377" s="994">
        <f ca="1">DATOSAÑO!AK366</f>
        <v>0</v>
      </c>
      <c r="E377" s="994">
        <f ca="1">DATOSAÑO!AD366</f>
        <v>0</v>
      </c>
      <c r="F377" s="994">
        <v>0</v>
      </c>
      <c r="G377" s="994">
        <v>0</v>
      </c>
      <c r="H377" s="994">
        <f ca="1">DATOSAÑO!AI366</f>
        <v>0</v>
      </c>
      <c r="I377" s="994">
        <f ca="1">DATOSAÑO!CJ366</f>
        <v>0</v>
      </c>
      <c r="J377" s="994">
        <v>0</v>
      </c>
      <c r="K377" s="994">
        <f ca="1">DATOSAÑO!AF366</f>
        <v>0</v>
      </c>
      <c r="L377" s="994">
        <f ca="1">+DATOSAÑO!CK366</f>
        <v>0</v>
      </c>
      <c r="M377" s="994">
        <f ca="1">+DATOSAÑO!AK366</f>
        <v>0</v>
      </c>
      <c r="N377" s="994">
        <f ca="1">+DATOSAÑO!AH366</f>
        <v>0</v>
      </c>
      <c r="O377" s="994">
        <f ca="1">DATOSAÑO!AL366</f>
        <v>0</v>
      </c>
      <c r="P377" s="994">
        <f ca="1">+(DATOSAÑO!BH366)+DATOSAÑO!BJ366</f>
        <v>0</v>
      </c>
      <c r="Q377" s="994">
        <f ca="1">+DATOSAÑO!BQ366</f>
        <v>0</v>
      </c>
      <c r="R377" s="1080">
        <f ca="1">DATOSAÑO!BS366+DATOSAÑO!BV366+DATOSAÑO!BY366+DATOSAÑO!CF366+DATOSAÑO!CL366</f>
        <v>0</v>
      </c>
    </row>
    <row r="378" spans="2:18">
      <c r="B378" s="390">
        <v>45283</v>
      </c>
      <c r="C378" s="994">
        <f ca="1">DATOSAÑO!AJ367</f>
        <v>0</v>
      </c>
      <c r="D378" s="994">
        <f ca="1">DATOSAÑO!AK367</f>
        <v>0</v>
      </c>
      <c r="E378" s="994">
        <f ca="1">DATOSAÑO!AD367</f>
        <v>0</v>
      </c>
      <c r="F378" s="994">
        <v>0</v>
      </c>
      <c r="G378" s="994">
        <v>0</v>
      </c>
      <c r="H378" s="994">
        <f ca="1">DATOSAÑO!AI367</f>
        <v>0</v>
      </c>
      <c r="I378" s="994">
        <f ca="1">DATOSAÑO!CJ367</f>
        <v>0</v>
      </c>
      <c r="J378" s="994">
        <v>0</v>
      </c>
      <c r="K378" s="994">
        <f ca="1">DATOSAÑO!AF367</f>
        <v>0</v>
      </c>
      <c r="L378" s="994">
        <f ca="1">+DATOSAÑO!CK367</f>
        <v>0</v>
      </c>
      <c r="M378" s="994">
        <f ca="1">+DATOSAÑO!AK367</f>
        <v>0</v>
      </c>
      <c r="N378" s="994">
        <f ca="1">+DATOSAÑO!AH367</f>
        <v>0</v>
      </c>
      <c r="O378" s="994">
        <f ca="1">DATOSAÑO!AL367</f>
        <v>0</v>
      </c>
      <c r="P378" s="994">
        <f ca="1">+(DATOSAÑO!BH367)+DATOSAÑO!BJ367</f>
        <v>0</v>
      </c>
      <c r="Q378" s="994">
        <f ca="1">+DATOSAÑO!BQ367</f>
        <v>0</v>
      </c>
      <c r="R378" s="1080">
        <f ca="1">DATOSAÑO!BS367+DATOSAÑO!BV367+DATOSAÑO!BY367+DATOSAÑO!CF367+DATOSAÑO!CL367</f>
        <v>0</v>
      </c>
    </row>
    <row r="379" spans="2:18">
      <c r="B379" s="390">
        <v>45284</v>
      </c>
      <c r="C379" s="994">
        <f ca="1">DATOSAÑO!AJ368</f>
        <v>0</v>
      </c>
      <c r="D379" s="994">
        <f ca="1">DATOSAÑO!AK368</f>
        <v>0</v>
      </c>
      <c r="E379" s="994">
        <f ca="1">DATOSAÑO!AD368</f>
        <v>0</v>
      </c>
      <c r="F379" s="994">
        <v>0</v>
      </c>
      <c r="G379" s="994">
        <v>0</v>
      </c>
      <c r="H379" s="994">
        <f ca="1">DATOSAÑO!AI368</f>
        <v>0</v>
      </c>
      <c r="I379" s="994">
        <f ca="1">DATOSAÑO!CJ368</f>
        <v>0</v>
      </c>
      <c r="J379" s="994">
        <v>0</v>
      </c>
      <c r="K379" s="994">
        <f ca="1">DATOSAÑO!AF368</f>
        <v>0</v>
      </c>
      <c r="L379" s="994">
        <f ca="1">+DATOSAÑO!CK368</f>
        <v>0</v>
      </c>
      <c r="M379" s="994">
        <f ca="1">+DATOSAÑO!AK368</f>
        <v>0</v>
      </c>
      <c r="N379" s="994">
        <f ca="1">+DATOSAÑO!AH368</f>
        <v>0</v>
      </c>
      <c r="O379" s="994">
        <f ca="1">DATOSAÑO!AL368</f>
        <v>0</v>
      </c>
      <c r="P379" s="994">
        <f ca="1">+(DATOSAÑO!BH368)+DATOSAÑO!BJ368</f>
        <v>0</v>
      </c>
      <c r="Q379" s="994">
        <f ca="1">+DATOSAÑO!BQ368</f>
        <v>0</v>
      </c>
      <c r="R379" s="1080">
        <f ca="1">DATOSAÑO!BS368+DATOSAÑO!BV368+DATOSAÑO!BY368+DATOSAÑO!CF368+DATOSAÑO!CL368</f>
        <v>0</v>
      </c>
    </row>
    <row r="380" spans="2:18">
      <c r="B380" s="390">
        <v>45285</v>
      </c>
      <c r="C380" s="994">
        <f ca="1">DATOSAÑO!AJ369</f>
        <v>0</v>
      </c>
      <c r="D380" s="994">
        <f ca="1">DATOSAÑO!AK369</f>
        <v>0</v>
      </c>
      <c r="E380" s="994">
        <f ca="1">DATOSAÑO!AD369</f>
        <v>0</v>
      </c>
      <c r="F380" s="994">
        <v>0</v>
      </c>
      <c r="G380" s="994">
        <v>0</v>
      </c>
      <c r="H380" s="994">
        <f ca="1">DATOSAÑO!AI369</f>
        <v>0</v>
      </c>
      <c r="I380" s="994">
        <f ca="1">DATOSAÑO!CJ369</f>
        <v>0</v>
      </c>
      <c r="J380" s="994">
        <v>0</v>
      </c>
      <c r="K380" s="994">
        <f ca="1">DATOSAÑO!AF369</f>
        <v>0</v>
      </c>
      <c r="L380" s="994">
        <f ca="1">+DATOSAÑO!CK369</f>
        <v>0</v>
      </c>
      <c r="M380" s="994">
        <f ca="1">+DATOSAÑO!AK369</f>
        <v>0</v>
      </c>
      <c r="N380" s="994">
        <f ca="1">+DATOSAÑO!AH369</f>
        <v>0</v>
      </c>
      <c r="O380" s="994">
        <f ca="1">DATOSAÑO!AL369</f>
        <v>0</v>
      </c>
      <c r="P380" s="994">
        <f ca="1">+(DATOSAÑO!BH369)+DATOSAÑO!BJ369</f>
        <v>0</v>
      </c>
      <c r="Q380" s="994">
        <f ca="1">+DATOSAÑO!BQ369</f>
        <v>0</v>
      </c>
      <c r="R380" s="1080">
        <f ca="1">DATOSAÑO!BS369+DATOSAÑO!BV369+DATOSAÑO!BY369+DATOSAÑO!CF369+DATOSAÑO!CL369</f>
        <v>0</v>
      </c>
    </row>
    <row r="381" spans="2:18">
      <c r="B381" s="390">
        <v>45286</v>
      </c>
      <c r="C381" s="994">
        <f ca="1">DATOSAÑO!AJ370</f>
        <v>0</v>
      </c>
      <c r="D381" s="994">
        <f ca="1">DATOSAÑO!AK370</f>
        <v>0</v>
      </c>
      <c r="E381" s="994">
        <f ca="1">DATOSAÑO!AD370</f>
        <v>0</v>
      </c>
      <c r="F381" s="994">
        <v>0</v>
      </c>
      <c r="G381" s="994">
        <v>0</v>
      </c>
      <c r="H381" s="994">
        <f ca="1">DATOSAÑO!AI370</f>
        <v>0</v>
      </c>
      <c r="I381" s="994">
        <f ca="1">DATOSAÑO!CJ370</f>
        <v>0</v>
      </c>
      <c r="J381" s="994">
        <v>0</v>
      </c>
      <c r="K381" s="994">
        <f ca="1">DATOSAÑO!AF370</f>
        <v>0</v>
      </c>
      <c r="L381" s="994">
        <f ca="1">+DATOSAÑO!CK370</f>
        <v>0</v>
      </c>
      <c r="M381" s="994">
        <f ca="1">+DATOSAÑO!AK370</f>
        <v>0</v>
      </c>
      <c r="N381" s="994">
        <f ca="1">+DATOSAÑO!AH370</f>
        <v>0</v>
      </c>
      <c r="O381" s="994">
        <f ca="1">DATOSAÑO!AL370</f>
        <v>0</v>
      </c>
      <c r="P381" s="994">
        <f ca="1">+(DATOSAÑO!BH370)+DATOSAÑO!BJ370</f>
        <v>0</v>
      </c>
      <c r="Q381" s="994">
        <f ca="1">+DATOSAÑO!BQ370</f>
        <v>0</v>
      </c>
      <c r="R381" s="1080">
        <f ca="1">DATOSAÑO!BS370+DATOSAÑO!BV370+DATOSAÑO!BY370+DATOSAÑO!CF370+DATOSAÑO!CL370</f>
        <v>0</v>
      </c>
    </row>
    <row r="382" spans="2:18">
      <c r="B382" s="390">
        <v>45287</v>
      </c>
      <c r="C382" s="994">
        <f ca="1">DATOSAÑO!AJ371</f>
        <v>0</v>
      </c>
      <c r="D382" s="994">
        <f ca="1">DATOSAÑO!AK371</f>
        <v>0</v>
      </c>
      <c r="E382" s="994">
        <f ca="1">DATOSAÑO!AD371</f>
        <v>0</v>
      </c>
      <c r="F382" s="994">
        <v>0</v>
      </c>
      <c r="G382" s="994">
        <v>0</v>
      </c>
      <c r="H382" s="994">
        <f ca="1">DATOSAÑO!AI371</f>
        <v>0</v>
      </c>
      <c r="I382" s="994">
        <f ca="1">DATOSAÑO!CJ371</f>
        <v>0</v>
      </c>
      <c r="J382" s="994">
        <v>0</v>
      </c>
      <c r="K382" s="994">
        <f ca="1">DATOSAÑO!AF371</f>
        <v>0</v>
      </c>
      <c r="L382" s="994">
        <f ca="1">+DATOSAÑO!CK371</f>
        <v>0</v>
      </c>
      <c r="M382" s="994">
        <f ca="1">+DATOSAÑO!AK371</f>
        <v>0</v>
      </c>
      <c r="N382" s="994">
        <f ca="1">+DATOSAÑO!AH371</f>
        <v>0</v>
      </c>
      <c r="O382" s="994">
        <f ca="1">DATOSAÑO!AL371</f>
        <v>0</v>
      </c>
      <c r="P382" s="994">
        <f ca="1">+(DATOSAÑO!BH371)+DATOSAÑO!BJ371</f>
        <v>0</v>
      </c>
      <c r="Q382" s="994">
        <f ca="1">+DATOSAÑO!BQ371</f>
        <v>0</v>
      </c>
      <c r="R382" s="1080">
        <f ca="1">DATOSAÑO!BS371+DATOSAÑO!BV371+DATOSAÑO!BY371+DATOSAÑO!CF371+DATOSAÑO!CL371</f>
        <v>0</v>
      </c>
    </row>
    <row r="383" spans="2:18">
      <c r="B383" s="390">
        <v>45288</v>
      </c>
      <c r="C383" s="994">
        <f ca="1">DATOSAÑO!AJ372</f>
        <v>0</v>
      </c>
      <c r="D383" s="994">
        <f ca="1">DATOSAÑO!AK372</f>
        <v>0</v>
      </c>
      <c r="E383" s="994">
        <f ca="1">DATOSAÑO!AD372</f>
        <v>0</v>
      </c>
      <c r="F383" s="994">
        <v>0</v>
      </c>
      <c r="G383" s="994">
        <v>0</v>
      </c>
      <c r="H383" s="994">
        <f ca="1">DATOSAÑO!AI372</f>
        <v>0</v>
      </c>
      <c r="I383" s="994">
        <f ca="1">DATOSAÑO!CJ372</f>
        <v>0</v>
      </c>
      <c r="J383" s="994">
        <v>0</v>
      </c>
      <c r="K383" s="994">
        <f ca="1">DATOSAÑO!AF372</f>
        <v>0</v>
      </c>
      <c r="L383" s="994">
        <f ca="1">+DATOSAÑO!CK372</f>
        <v>0</v>
      </c>
      <c r="M383" s="994">
        <f ca="1">+DATOSAÑO!AK372</f>
        <v>0</v>
      </c>
      <c r="N383" s="994">
        <f ca="1">+DATOSAÑO!AH372</f>
        <v>0</v>
      </c>
      <c r="O383" s="994">
        <f ca="1">DATOSAÑO!AL372</f>
        <v>0</v>
      </c>
      <c r="P383" s="994">
        <f ca="1">+(DATOSAÑO!BH372)+DATOSAÑO!BJ372</f>
        <v>0</v>
      </c>
      <c r="Q383" s="994">
        <f ca="1">+DATOSAÑO!BQ372</f>
        <v>0</v>
      </c>
      <c r="R383" s="1080">
        <f ca="1">DATOSAÑO!BS372+DATOSAÑO!BV372+DATOSAÑO!BY372+DATOSAÑO!CF372+DATOSAÑO!CL372</f>
        <v>0</v>
      </c>
    </row>
    <row r="384" spans="2:18">
      <c r="B384" s="390">
        <v>45289</v>
      </c>
      <c r="C384" s="994">
        <f ca="1">DATOSAÑO!AJ373</f>
        <v>0</v>
      </c>
      <c r="D384" s="994">
        <f ca="1">DATOSAÑO!AK373</f>
        <v>0</v>
      </c>
      <c r="E384" s="994">
        <f ca="1">DATOSAÑO!AD373</f>
        <v>0</v>
      </c>
      <c r="F384" s="994">
        <v>0</v>
      </c>
      <c r="G384" s="994">
        <v>0</v>
      </c>
      <c r="H384" s="994">
        <f ca="1">DATOSAÑO!AI373</f>
        <v>0</v>
      </c>
      <c r="I384" s="994">
        <f ca="1">DATOSAÑO!CJ373</f>
        <v>0</v>
      </c>
      <c r="J384" s="994">
        <v>0</v>
      </c>
      <c r="K384" s="994">
        <f ca="1">DATOSAÑO!AF373</f>
        <v>0</v>
      </c>
      <c r="L384" s="994">
        <f ca="1">+DATOSAÑO!CK373</f>
        <v>0</v>
      </c>
      <c r="M384" s="994">
        <f ca="1">+DATOSAÑO!AK373</f>
        <v>0</v>
      </c>
      <c r="N384" s="994">
        <f ca="1">+DATOSAÑO!AH373</f>
        <v>0</v>
      </c>
      <c r="O384" s="994">
        <f ca="1">DATOSAÑO!AL373</f>
        <v>0</v>
      </c>
      <c r="P384" s="994">
        <f ca="1">+(DATOSAÑO!BH373)+DATOSAÑO!BJ373</f>
        <v>0</v>
      </c>
      <c r="Q384" s="994">
        <f ca="1">+DATOSAÑO!BQ373</f>
        <v>0</v>
      </c>
      <c r="R384" s="1080">
        <f ca="1">DATOSAÑO!BS373+DATOSAÑO!BV373+DATOSAÑO!BY373+DATOSAÑO!CF373+DATOSAÑO!CL373</f>
        <v>0</v>
      </c>
    </row>
    <row r="385" spans="2:18">
      <c r="B385" s="390">
        <v>45290</v>
      </c>
      <c r="C385" s="994">
        <f ca="1">DATOSAÑO!AJ374</f>
        <v>0</v>
      </c>
      <c r="D385" s="994">
        <f ca="1">DATOSAÑO!AK374</f>
        <v>0</v>
      </c>
      <c r="E385" s="994">
        <f ca="1">DATOSAÑO!AD374</f>
        <v>0</v>
      </c>
      <c r="F385" s="994">
        <v>0</v>
      </c>
      <c r="G385" s="994">
        <v>0</v>
      </c>
      <c r="H385" s="994">
        <f ca="1">DATOSAÑO!AI374</f>
        <v>0</v>
      </c>
      <c r="I385" s="994">
        <f ca="1">DATOSAÑO!CJ374</f>
        <v>0</v>
      </c>
      <c r="J385" s="994">
        <v>0</v>
      </c>
      <c r="K385" s="994">
        <f ca="1">DATOSAÑO!AF374</f>
        <v>0</v>
      </c>
      <c r="L385" s="994">
        <f ca="1">+DATOSAÑO!CK374</f>
        <v>0</v>
      </c>
      <c r="M385" s="994">
        <f ca="1">+DATOSAÑO!AK374</f>
        <v>0</v>
      </c>
      <c r="N385" s="994">
        <f ca="1">+DATOSAÑO!AH374</f>
        <v>0</v>
      </c>
      <c r="O385" s="994">
        <f ca="1">DATOSAÑO!AL374</f>
        <v>0</v>
      </c>
      <c r="P385" s="994">
        <f ca="1">+(DATOSAÑO!BH374)+DATOSAÑO!BJ374</f>
        <v>0</v>
      </c>
      <c r="Q385" s="994">
        <f ca="1">+DATOSAÑO!BQ374</f>
        <v>0</v>
      </c>
      <c r="R385" s="1080">
        <f ca="1">DATOSAÑO!BS374+DATOSAÑO!BV374+DATOSAÑO!BY374+DATOSAÑO!CF374+DATOSAÑO!CL374</f>
        <v>0</v>
      </c>
    </row>
    <row r="386" spans="2:18" ht="15" thickBot="1">
      <c r="B386" s="390">
        <v>45291</v>
      </c>
      <c r="C386" s="994">
        <f ca="1">DATOSAÑO!AJ375</f>
        <v>0</v>
      </c>
      <c r="D386" s="994">
        <f ca="1">DATOSAÑO!AK375</f>
        <v>0</v>
      </c>
      <c r="E386" s="994">
        <f ca="1">DATOSAÑO!AD375</f>
        <v>0</v>
      </c>
      <c r="F386" s="994">
        <v>0</v>
      </c>
      <c r="G386" s="994">
        <v>0</v>
      </c>
      <c r="H386" s="994">
        <f ca="1">DATOSAÑO!AI375</f>
        <v>0</v>
      </c>
      <c r="I386" s="994">
        <f ca="1">DATOSAÑO!CJ375</f>
        <v>0</v>
      </c>
      <c r="J386" s="994">
        <v>0</v>
      </c>
      <c r="K386" s="994">
        <f ca="1">DATOSAÑO!AF375</f>
        <v>0</v>
      </c>
      <c r="L386" s="994">
        <f ca="1">+DATOSAÑO!CK375</f>
        <v>0</v>
      </c>
      <c r="M386" s="994">
        <f ca="1">+DATOSAÑO!AK375</f>
        <v>0</v>
      </c>
      <c r="N386" s="994">
        <f ca="1">+DATOSAÑO!AH375</f>
        <v>0</v>
      </c>
      <c r="O386" s="994">
        <f ca="1">DATOSAÑO!AL375</f>
        <v>0</v>
      </c>
      <c r="P386" s="994">
        <f ca="1">+(DATOSAÑO!BH375)+DATOSAÑO!BJ375</f>
        <v>0</v>
      </c>
      <c r="Q386" s="994">
        <f ca="1">+DATOSAÑO!BQ375</f>
        <v>0</v>
      </c>
      <c r="R386" s="1080">
        <f ca="1">DATOSAÑO!BS375+DATOSAÑO!BV375+DATOSAÑO!BY375+DATOSAÑO!CF375+DATOSAÑO!CL375</f>
        <v>0</v>
      </c>
    </row>
    <row r="387" spans="2:18" ht="15" thickBot="1">
      <c r="B387" s="1268" t="s">
        <v>1131</v>
      </c>
      <c r="C387" s="1269">
        <f ca="1">SUM(C356:C386)</f>
        <v>0</v>
      </c>
      <c r="D387" s="1081">
        <f ca="1">SUM(D356:D386)</f>
        <v>0</v>
      </c>
      <c r="E387" s="1081">
        <f t="shared" ref="E387:R387" ca="1" si="11">SUM(E356:E386)</f>
        <v>0</v>
      </c>
      <c r="F387" s="1081">
        <f t="shared" si="11"/>
        <v>0</v>
      </c>
      <c r="G387" s="1081">
        <f t="shared" si="11"/>
        <v>0</v>
      </c>
      <c r="H387" s="1081">
        <f t="shared" ca="1" si="11"/>
        <v>0</v>
      </c>
      <c r="I387" s="1081">
        <f t="shared" ca="1" si="11"/>
        <v>0</v>
      </c>
      <c r="J387" s="1081">
        <f t="shared" si="11"/>
        <v>0</v>
      </c>
      <c r="K387" s="1081">
        <f t="shared" ca="1" si="11"/>
        <v>0</v>
      </c>
      <c r="L387" s="1081">
        <f t="shared" ca="1" si="11"/>
        <v>0</v>
      </c>
      <c r="M387" s="1081">
        <f t="shared" ca="1" si="11"/>
        <v>0</v>
      </c>
      <c r="N387" s="1081">
        <f t="shared" ca="1" si="11"/>
        <v>0</v>
      </c>
      <c r="O387" s="1081">
        <f t="shared" ca="1" si="11"/>
        <v>0</v>
      </c>
      <c r="P387" s="1081">
        <f t="shared" ca="1" si="11"/>
        <v>0</v>
      </c>
      <c r="Q387" s="1081">
        <f t="shared" ca="1" si="11"/>
        <v>0</v>
      </c>
      <c r="R387" s="1081">
        <f t="shared" ca="1" si="11"/>
        <v>0</v>
      </c>
    </row>
    <row r="388" spans="2:18" ht="15" thickBot="1">
      <c r="B388" s="980"/>
      <c r="C388" s="88"/>
      <c r="D388" s="88"/>
      <c r="E388" s="88"/>
      <c r="F388" s="88"/>
      <c r="G388" s="88"/>
      <c r="H388" s="88"/>
      <c r="I388" s="88"/>
      <c r="J388" s="88"/>
      <c r="K388" s="88"/>
      <c r="L388" s="88"/>
      <c r="M388" s="88"/>
      <c r="N388" s="88"/>
      <c r="O388" s="88"/>
      <c r="P388" s="88"/>
    </row>
    <row r="389" spans="2:18" ht="60.75" customHeight="1" thickBot="1">
      <c r="B389" s="1256" t="s">
        <v>1131</v>
      </c>
      <c r="C389" s="1266" t="s">
        <v>1129</v>
      </c>
      <c r="D389" s="1264" t="s">
        <v>1130</v>
      </c>
      <c r="E389" s="1264" t="s">
        <v>1065</v>
      </c>
      <c r="F389" s="1264" t="s">
        <v>1067</v>
      </c>
      <c r="G389" s="1264" t="s">
        <v>1069</v>
      </c>
      <c r="H389" s="1264" t="s">
        <v>1071</v>
      </c>
      <c r="I389" s="1264" t="s">
        <v>1073</v>
      </c>
      <c r="J389" s="1264" t="s">
        <v>1075</v>
      </c>
      <c r="K389" s="1264" t="s">
        <v>1077</v>
      </c>
      <c r="L389" s="1264" t="s">
        <v>1079</v>
      </c>
      <c r="M389" s="1264" t="s">
        <v>1081</v>
      </c>
      <c r="N389" s="1264" t="s">
        <v>1082</v>
      </c>
      <c r="O389" s="1265" t="s">
        <v>1084</v>
      </c>
      <c r="P389" s="1660" t="s">
        <v>1003</v>
      </c>
    </row>
    <row r="390" spans="2:18" ht="15.75" customHeight="1" thickBot="1">
      <c r="B390" s="1261" t="s">
        <v>1030</v>
      </c>
      <c r="C390" s="2371">
        <f ca="1">((SUM(C42:D42)*1000)-$F$410)+I427</f>
        <v>730603.16666665382</v>
      </c>
      <c r="D390" s="2372"/>
      <c r="E390" s="1022">
        <f ca="1">(SUM(E11:E41)*1000)+I427</f>
        <v>5290911.1666666372</v>
      </c>
      <c r="F390" s="1022">
        <f>$F$410</f>
        <v>168888</v>
      </c>
      <c r="G390" s="1022">
        <v>0</v>
      </c>
      <c r="H390" s="1022">
        <f ca="1">(SUM(H11:H41)*1000)+I427</f>
        <v>1437391.1666666628</v>
      </c>
      <c r="I390" s="1049">
        <f ca="1">(SUM(I11:I41)*1000)+K390+I427</f>
        <v>4550279.9166666782</v>
      </c>
      <c r="J390" s="1022">
        <v>0</v>
      </c>
      <c r="K390" s="1022">
        <f ca="1">(SUM(K11:K41)*1000)</f>
        <v>4240000</v>
      </c>
      <c r="L390" s="1022">
        <f ca="1">(SUM(L11:L41)*1000)+I427</f>
        <v>224096.36666666082</v>
      </c>
      <c r="M390" s="1022">
        <v>0</v>
      </c>
      <c r="N390" s="1022">
        <f ca="1">(SUM(N11:N41)*1000)+I427</f>
        <v>492511.1666666579</v>
      </c>
      <c r="O390" s="979">
        <f ca="1">(SUM(O11:O41)*1000)</f>
        <v>1030866.999999965</v>
      </c>
      <c r="P390" s="1661">
        <f ca="1">(SUM(P11:P41)*1000)</f>
        <v>44068.000000000007</v>
      </c>
      <c r="R390" s="979">
        <f ca="1">(SUM(R11:R41))*1000</f>
        <v>659946.05000001786</v>
      </c>
    </row>
    <row r="391" spans="2:18" ht="15.75" customHeight="1" thickBot="1">
      <c r="B391" s="1262" t="s">
        <v>1031</v>
      </c>
      <c r="C391" s="2373">
        <f ca="1">((SUM(C43:D70)*1000)-$F$412)+I428</f>
        <v>657412.00000001059</v>
      </c>
      <c r="D391" s="2374"/>
      <c r="E391" s="1022">
        <f ca="1">(SUM(E43:E70)*1000)+I428</f>
        <v>4603913.9999999907</v>
      </c>
      <c r="F391" s="1022">
        <f>$F$412</f>
        <v>157992</v>
      </c>
      <c r="G391" s="1022">
        <v>0</v>
      </c>
      <c r="H391" s="1022">
        <f ca="1">(SUM(H43:H70)*1000)+I428</f>
        <v>1252174.0000000219</v>
      </c>
      <c r="I391" s="1049">
        <f ca="1">(SUM(I43:I70)*1000)+K391+I428</f>
        <v>4331236.4999999972</v>
      </c>
      <c r="J391" s="1022">
        <v>0</v>
      </c>
      <c r="K391" s="1022">
        <f ca="1">(SUM(K43:K70)*1000)</f>
        <v>4044000</v>
      </c>
      <c r="L391" s="1022">
        <f ca="1">(SUM(L43:L70)*1000)+I428</f>
        <v>206706.80000001434</v>
      </c>
      <c r="M391" s="1022">
        <f ca="1">(SUM(M43:M70)*1000)+I428</f>
        <v>568314.00000001409</v>
      </c>
      <c r="N391" s="1022">
        <f ca="1">(SUM(N43:N70)*1000)+I428</f>
        <v>435314.00000001409</v>
      </c>
      <c r="O391" s="979">
        <f ca="1">(SUM(O43:O70)*1000)</f>
        <v>928884.0000000844</v>
      </c>
      <c r="P391" s="1661">
        <f ca="1">(SUM(P43:P70)*1000)</f>
        <v>41166.000000000007</v>
      </c>
      <c r="R391" s="979">
        <f ca="1">(SUM(R43:R70))*1000</f>
        <v>595984.69999998342</v>
      </c>
    </row>
    <row r="392" spans="2:18" ht="15.75" customHeight="1" thickBot="1">
      <c r="B392" s="1262" t="s">
        <v>1032</v>
      </c>
      <c r="C392" s="2373">
        <f ca="1">((SUM(C72:D102)*1000)-$F$410)+I429</f>
        <v>704840.99999999546</v>
      </c>
      <c r="D392" s="2374"/>
      <c r="E392" s="1049">
        <f ca="1">(SUM(E72:E102)*1000)+I429</f>
        <v>5262919.0000000121</v>
      </c>
      <c r="F392" s="1022">
        <f>$F$410</f>
        <v>168888</v>
      </c>
      <c r="G392" s="1022">
        <v>0</v>
      </c>
      <c r="H392" s="1049">
        <f ca="1">(SUM(H72:H102)*1000)+I429</f>
        <v>1393058.9999999825</v>
      </c>
      <c r="I392" s="1049">
        <f ca="1">(SUM(I72:I102)*1000)+K392+I429</f>
        <v>4784172.7499999935</v>
      </c>
      <c r="J392" s="1022">
        <v>0</v>
      </c>
      <c r="K392" s="1049">
        <f ca="1">(SUM(K72:K102)*1000)</f>
        <v>4448000</v>
      </c>
      <c r="L392" s="1049">
        <f ca="1">(SUM(L72:L102)*1000)+I429</f>
        <v>230059.79999998893</v>
      </c>
      <c r="M392" s="1049">
        <f ca="1">(SUM(M72:M102)*1000)+I429</f>
        <v>636118.99999999488</v>
      </c>
      <c r="N392" s="1049">
        <f ca="1">(SUM(N72:N102)*1000)+I429</f>
        <v>481318.99999998836</v>
      </c>
      <c r="O392" s="1050">
        <f ca="1">(SUM(O72:O102)*1000)</f>
        <v>1083113.9999999343</v>
      </c>
      <c r="P392" s="1661">
        <f ca="1">(SUM(P72:P102)*1000)</f>
        <v>43687</v>
      </c>
      <c r="R392" s="979">
        <f ca="1">(SUM(R72:R102))*1000</f>
        <v>704705.45000000403</v>
      </c>
    </row>
    <row r="393" spans="2:18" ht="15.75" customHeight="1" thickBot="1">
      <c r="B393" s="1262" t="s">
        <v>1033</v>
      </c>
      <c r="C393" s="2373">
        <f ca="1">((SUM(C104:D133)*1000)-$F$411)+I430</f>
        <v>640752.16666666931</v>
      </c>
      <c r="D393" s="2374"/>
      <c r="E393" s="1049">
        <f ca="1">(SUM(E104:E133)*1000)+I430</f>
        <v>5077712.1666667312</v>
      </c>
      <c r="F393" s="1022">
        <f>$F$411</f>
        <v>163440</v>
      </c>
      <c r="G393" s="1022">
        <v>0</v>
      </c>
      <c r="H393" s="1049">
        <f ca="1">(SUM(H104:H133)*1000)+I430</f>
        <v>1332152.1666666612</v>
      </c>
      <c r="I393" s="1049">
        <f ca="1">(SUM(I104:I133)*1000)+K393+I430</f>
        <v>4593574.4166666567</v>
      </c>
      <c r="J393" s="1022">
        <v>0</v>
      </c>
      <c r="K393" s="1022">
        <f ca="1">(SUM(K104:K133)*1000)</f>
        <v>4297200.0000000112</v>
      </c>
      <c r="L393" s="1049">
        <f ca="1">(SUM(L104:L133)*1000)+I430</f>
        <v>229616.76666666172</v>
      </c>
      <c r="M393" s="1022">
        <v>0</v>
      </c>
      <c r="N393" s="1049">
        <f ca="1">(SUM(N104:N133)*1000)+I430</f>
        <v>484962.16666666057</v>
      </c>
      <c r="O393" s="979">
        <f ca="1">(SUM(O104:O133)*1000)</f>
        <v>1024572.9999999701</v>
      </c>
      <c r="P393" s="1661">
        <f ca="1">(SUM(P104:P133)*1000)</f>
        <v>31738</v>
      </c>
      <c r="R393" s="979">
        <f ca="1">(SUM(R104:R133))*1000</f>
        <v>632733.14999998407</v>
      </c>
    </row>
    <row r="394" spans="2:18" ht="15.75" customHeight="1" thickBot="1">
      <c r="B394" s="1262" t="s">
        <v>1034</v>
      </c>
      <c r="C394" s="2373">
        <f ca="1">((SUM(C135:D165)*1000)-$F$410)+I431</f>
        <v>608443.16666665033</v>
      </c>
      <c r="D394" s="2374"/>
      <c r="E394" s="1049">
        <f ca="1">(SUM(E135:E165)*1000)+I431</f>
        <v>4639461.1666666577</v>
      </c>
      <c r="F394" s="1022">
        <f>$F$410</f>
        <v>168888</v>
      </c>
      <c r="G394" s="1022">
        <v>0</v>
      </c>
      <c r="H394" s="1049">
        <f ca="1">(SUM(H135:H165)*1000)+I431</f>
        <v>1305271.1666666672</v>
      </c>
      <c r="I394" s="1049">
        <f ca="1">(SUM(I135:I165)*1000)+K394+I431</f>
        <v>4969538.4166666633</v>
      </c>
      <c r="J394" s="1022">
        <v>0</v>
      </c>
      <c r="K394" s="1022">
        <f ca="1">(SUM(K135:K165)*1000)</f>
        <v>4650799.9999999888</v>
      </c>
      <c r="L394" s="1049">
        <f ca="1">(SUM(L135:L165)*1000)+I431</f>
        <v>236319.56666665798</v>
      </c>
      <c r="M394" s="1022">
        <v>0</v>
      </c>
      <c r="N394" s="1049">
        <f ca="1">(SUM(N135:N165)*1000)+I431</f>
        <v>517461.1666666622</v>
      </c>
      <c r="O394" s="979">
        <f ca="1">(SUM(O135:O165)*1000)</f>
        <v>1060566.9999999471</v>
      </c>
      <c r="P394" s="1661">
        <f ca="1">(SUM(P135:P165)*1000)</f>
        <v>24750.000000000004</v>
      </c>
      <c r="R394" s="979">
        <f ca="1">(SUM(R135:R165))*1000</f>
        <v>680864.35000001721</v>
      </c>
    </row>
    <row r="395" spans="2:18" ht="15.75" customHeight="1" thickBot="1">
      <c r="B395" s="1262" t="s">
        <v>1035</v>
      </c>
      <c r="C395" s="2373">
        <f ca="1">((SUM(C197:D197)*1000)-$F$411)+I432</f>
        <v>-171427307.83333334</v>
      </c>
      <c r="D395" s="2374"/>
      <c r="E395" s="1049">
        <f ca="1">(SUM(E167:E196)*1000)+I432</f>
        <v>42176632.166666657</v>
      </c>
      <c r="F395" s="1168">
        <f>$F$411</f>
        <v>163440</v>
      </c>
      <c r="G395" s="1022">
        <v>0</v>
      </c>
      <c r="H395" s="1049">
        <f ca="1">(SUM(H167:H196)*1000)+I432</f>
        <v>-63638567.833333358</v>
      </c>
      <c r="I395" s="1049">
        <f ca="1">(SUM(I167:I196)*1000)+K395+I432</f>
        <v>-427481480.33333337</v>
      </c>
      <c r="J395" s="1022">
        <v>0</v>
      </c>
      <c r="K395" s="1022">
        <f ca="1">(SUM(K167:K196)*1000)</f>
        <v>-464078000</v>
      </c>
      <c r="L395" s="1049">
        <f ca="1">(SUM(L167:L196)*1000)+I432</f>
        <v>45957952.166666657</v>
      </c>
      <c r="M395" s="1022">
        <v>0</v>
      </c>
      <c r="N395" s="1049">
        <f ca="1">(SUM(N167:N196)*1000)+I432</f>
        <v>-25288167.833333343</v>
      </c>
      <c r="O395" s="979">
        <f ca="1">(SUM(O167:O196)*1000)</f>
        <v>296871792.99999994</v>
      </c>
      <c r="P395" s="1661">
        <f ca="1">(SUM(P167:P196)*1000)</f>
        <v>0</v>
      </c>
      <c r="R395" s="979">
        <f ca="1">(SUM(R167:R196))*1000</f>
        <v>-34959407.499999978</v>
      </c>
    </row>
    <row r="396" spans="2:18" ht="15.75" customHeight="1" thickBot="1">
      <c r="B396" s="1262" t="s">
        <v>988</v>
      </c>
      <c r="C396" s="2373">
        <f ca="1">((SUM(C229:D229)*1000)-$F$410)+I433</f>
        <v>-168888</v>
      </c>
      <c r="D396" s="2374"/>
      <c r="E396" s="1049">
        <f ca="1">(SUM(E198:E228)*1000)+I433</f>
        <v>0</v>
      </c>
      <c r="F396" s="1168">
        <f>$F$410</f>
        <v>168888</v>
      </c>
      <c r="G396" s="1022">
        <v>0</v>
      </c>
      <c r="H396" s="1049">
        <f ca="1">(SUM(H198:H228)*1000)+I433</f>
        <v>0</v>
      </c>
      <c r="I396" s="1049">
        <f ca="1">(SUM(I198:I228)*1000)+K396+I433</f>
        <v>0</v>
      </c>
      <c r="J396" s="1022">
        <v>0</v>
      </c>
      <c r="K396" s="1022">
        <f ca="1">(SUM(K198:K228)*1000)</f>
        <v>0</v>
      </c>
      <c r="L396" s="1049">
        <f ca="1">(SUM(L198:L228)*1000)+I433</f>
        <v>0</v>
      </c>
      <c r="M396" s="1022">
        <v>0</v>
      </c>
      <c r="N396" s="1049">
        <f ca="1">(SUM(N198:N228)*1000)+I433</f>
        <v>0</v>
      </c>
      <c r="O396" s="979">
        <f ca="1">(SUM(O198:O228)*1000)</f>
        <v>0</v>
      </c>
      <c r="P396" s="1661">
        <f ca="1">(SUM(P198:P228)*1000)</f>
        <v>0</v>
      </c>
      <c r="R396" s="979">
        <f ca="1">(SUM(R198:R228))*1000</f>
        <v>0</v>
      </c>
    </row>
    <row r="397" spans="2:18" ht="15.75" customHeight="1" thickBot="1">
      <c r="B397" s="1262" t="s">
        <v>989</v>
      </c>
      <c r="C397" s="2373">
        <f ca="1">((SUM(C261:D261)*1000)-$F$410)+I434</f>
        <v>-168888</v>
      </c>
      <c r="D397" s="2374"/>
      <c r="E397" s="1049">
        <f ca="1">(SUM(E230:E260)*1000)+I434</f>
        <v>0</v>
      </c>
      <c r="F397" s="1168">
        <f>$F$410</f>
        <v>168888</v>
      </c>
      <c r="G397" s="1022">
        <v>0</v>
      </c>
      <c r="H397" s="1049">
        <f ca="1">(SUM(H230:H260)*1000)+I434</f>
        <v>0</v>
      </c>
      <c r="I397" s="1049">
        <f ca="1">(SUM(I230:I260)*1000)+K397+I434</f>
        <v>0</v>
      </c>
      <c r="J397" s="1022">
        <v>0</v>
      </c>
      <c r="K397" s="1022">
        <f ca="1">(SUM(K230:K260)*1000)</f>
        <v>0</v>
      </c>
      <c r="L397" s="1049">
        <f ca="1">(SUM(L230:L260)*1000)+I434</f>
        <v>0</v>
      </c>
      <c r="M397" s="1022">
        <v>0</v>
      </c>
      <c r="N397" s="1049">
        <f ca="1">(SUM(N230:N260)*1000)+I434</f>
        <v>0</v>
      </c>
      <c r="O397" s="979">
        <f ca="1">(SUM(O230:O260)*1000)</f>
        <v>0</v>
      </c>
      <c r="P397" s="1661">
        <f ca="1">(SUM(P230:P260)*1000)</f>
        <v>0</v>
      </c>
      <c r="R397" s="979">
        <f ca="1">(SUM(R230:R260)*1000)</f>
        <v>0</v>
      </c>
    </row>
    <row r="398" spans="2:18" s="442" customFormat="1" ht="15.75" customHeight="1" thickBot="1">
      <c r="B398" s="1262" t="s">
        <v>1052</v>
      </c>
      <c r="C398" s="2373">
        <f ca="1">((SUM(C292:D292)*1000)-$F$411)+I435</f>
        <v>-163440</v>
      </c>
      <c r="D398" s="2374"/>
      <c r="E398" s="1049">
        <f ca="1">(SUM(E262:E291)*1000)+I435</f>
        <v>0</v>
      </c>
      <c r="F398" s="1168">
        <f>$F$411</f>
        <v>163440</v>
      </c>
      <c r="G398" s="1022">
        <v>0</v>
      </c>
      <c r="H398" s="1049">
        <f ca="1">(SUM(H262:H291)*1000)+I435</f>
        <v>0</v>
      </c>
      <c r="I398" s="1049">
        <f ca="1">(SUM(I262:I291)*1000)+K398+I435</f>
        <v>0</v>
      </c>
      <c r="J398" s="1022">
        <v>0</v>
      </c>
      <c r="K398" s="1022">
        <f ca="1">(SUM(K262:K291)*1000)</f>
        <v>0</v>
      </c>
      <c r="L398" s="1049">
        <f ca="1">(SUM(L262:L291)*1000)+I435</f>
        <v>0</v>
      </c>
      <c r="M398" s="1022">
        <v>0</v>
      </c>
      <c r="N398" s="1049">
        <f ca="1">(SUM(N262:N291)*1000)+I435</f>
        <v>0</v>
      </c>
      <c r="O398" s="979">
        <f ca="1">(SUM(O262:O291)*1000)</f>
        <v>0</v>
      </c>
      <c r="P398" s="1661">
        <f ca="1">(SUM(P262:P291)*1000)</f>
        <v>0</v>
      </c>
      <c r="Q398" s="534"/>
      <c r="R398" s="979">
        <f ca="1">(SUM(R262:R291)*1000)</f>
        <v>0</v>
      </c>
    </row>
    <row r="399" spans="2:18" ht="15.75" customHeight="1" thickBot="1">
      <c r="B399" s="1262" t="s">
        <v>1053</v>
      </c>
      <c r="C399" s="2371">
        <f ca="1">((SUM(C324:D324)*1000)-$F$410)+I436</f>
        <v>-168888</v>
      </c>
      <c r="D399" s="2372"/>
      <c r="E399" s="1049">
        <f ca="1">(SUM(E293:E323)*1000)+I436</f>
        <v>0</v>
      </c>
      <c r="F399" s="1168">
        <f>$F$410</f>
        <v>168888</v>
      </c>
      <c r="G399" s="1022">
        <v>0</v>
      </c>
      <c r="H399" s="1049">
        <f ca="1">(SUM(H293:H323)*1000)+I436</f>
        <v>0</v>
      </c>
      <c r="I399" s="1049">
        <f ca="1">(SUM(I293:I323)*1000)+K399+I436</f>
        <v>0</v>
      </c>
      <c r="J399" s="1022">
        <v>0</v>
      </c>
      <c r="K399" s="1022">
        <f ca="1">(SUM(K293:K323)*1000)</f>
        <v>0</v>
      </c>
      <c r="L399" s="1049">
        <f ca="1">(SUM(L293:L323)*1000)+I436</f>
        <v>0</v>
      </c>
      <c r="M399" s="1022">
        <v>0</v>
      </c>
      <c r="N399" s="1049">
        <f ca="1">(SUM(N293:N323)*1000)+I436</f>
        <v>0</v>
      </c>
      <c r="O399" s="979">
        <f ca="1">(SUM(O293:O323)*1000)</f>
        <v>0</v>
      </c>
      <c r="P399" s="1661">
        <f ca="1">(SUM(P293:P323)*1000)</f>
        <v>0</v>
      </c>
      <c r="R399" s="979">
        <f ca="1">(SUM(R293:R323))*1000</f>
        <v>0</v>
      </c>
    </row>
    <row r="400" spans="2:18" ht="15.75" customHeight="1" thickBot="1">
      <c r="B400" s="1262" t="s">
        <v>1210</v>
      </c>
      <c r="C400" s="2371">
        <f ca="1">((SUM(C355:D355)*1000)-$F$411)+I437</f>
        <v>-163440</v>
      </c>
      <c r="D400" s="2372"/>
      <c r="E400" s="1049">
        <f ca="1">(SUM(E325:E354)*1000)+I437</f>
        <v>0</v>
      </c>
      <c r="F400" s="1168">
        <f>$F$411</f>
        <v>163440</v>
      </c>
      <c r="G400" s="1022">
        <v>0</v>
      </c>
      <c r="H400" s="1049">
        <f ca="1">(SUM(H325:H354)*1000)+I437</f>
        <v>0</v>
      </c>
      <c r="I400" s="1049">
        <f ca="1">(SUM(I325:I354)*1000)+K400+I437</f>
        <v>0</v>
      </c>
      <c r="J400" s="1022">
        <v>0</v>
      </c>
      <c r="K400" s="1022">
        <f ca="1">(SUM(K325:K354)*1000)</f>
        <v>0</v>
      </c>
      <c r="L400" s="1049">
        <f ca="1">(SUM(L325:L354)*1000)+I437</f>
        <v>0</v>
      </c>
      <c r="M400" s="1022">
        <v>0</v>
      </c>
      <c r="N400" s="1049">
        <f ca="1">(SUM(N325:N354)*1000)+I437</f>
        <v>0</v>
      </c>
      <c r="O400" s="979">
        <f ca="1">(SUM(O325:O354)*1000)</f>
        <v>0</v>
      </c>
      <c r="P400" s="1661">
        <f ca="1">(SUM(P325:P354)*1000)</f>
        <v>0</v>
      </c>
      <c r="R400" s="979">
        <f ca="1">(SUM(R325:R354))*1000</f>
        <v>0</v>
      </c>
    </row>
    <row r="401" spans="2:18" ht="15.75" customHeight="1" thickBot="1">
      <c r="B401" s="1263" t="s">
        <v>1054</v>
      </c>
      <c r="C401" s="2371">
        <f ca="1">((SUM(C387:D387)*1000)-$F$410)+I438</f>
        <v>-168888</v>
      </c>
      <c r="D401" s="2372"/>
      <c r="E401" s="1049">
        <f ca="1">(SUM(E356:E386)*1000)+I438</f>
        <v>0</v>
      </c>
      <c r="F401" s="1168">
        <f>$F$410</f>
        <v>168888</v>
      </c>
      <c r="G401" s="1022">
        <v>0</v>
      </c>
      <c r="H401" s="1049">
        <f ca="1">(SUM(H356:H386)*1000)+I438</f>
        <v>0</v>
      </c>
      <c r="I401" s="1049">
        <f ca="1">(SUM(I356:I386)*1000)+K401+I438</f>
        <v>0</v>
      </c>
      <c r="J401" s="1022">
        <v>0</v>
      </c>
      <c r="K401" s="1022">
        <f ca="1">(SUM(K356:K386)*1000)</f>
        <v>0</v>
      </c>
      <c r="L401" s="1049">
        <f ca="1">(SUM(L356:L386)*1000)+I438</f>
        <v>0</v>
      </c>
      <c r="M401" s="1022">
        <v>0</v>
      </c>
      <c r="N401" s="1049">
        <f ca="1">(SUM(N356:N386)*1000)+I438</f>
        <v>0</v>
      </c>
      <c r="O401" s="979">
        <f ca="1">(SUM(O356:O386)*1000)</f>
        <v>0</v>
      </c>
      <c r="P401" s="1661">
        <f ca="1">(SUM(P356:P386)*1000)</f>
        <v>0</v>
      </c>
      <c r="R401" s="979">
        <f ca="1">(SUM(R356:R386))*1000</f>
        <v>0</v>
      </c>
    </row>
    <row r="402" spans="2:18" ht="15" customHeight="1"/>
    <row r="403" spans="2:18" ht="15" customHeight="1"/>
    <row r="404" spans="2:18" ht="15" customHeight="1"/>
    <row r="405" spans="2:18" ht="15" customHeight="1"/>
    <row r="407" spans="2:18" ht="15" thickBot="1"/>
    <row r="408" spans="2:18" ht="15" thickBot="1">
      <c r="C408" s="1256" t="s">
        <v>1095</v>
      </c>
      <c r="E408" s="2367" t="s">
        <v>1131</v>
      </c>
      <c r="F408" s="2367" t="s">
        <v>1135</v>
      </c>
      <c r="G408" s="2367" t="s">
        <v>1131</v>
      </c>
      <c r="H408" s="2367" t="s">
        <v>1136</v>
      </c>
      <c r="I408" s="2367" t="s">
        <v>1131</v>
      </c>
      <c r="J408" s="2367" t="s">
        <v>1147</v>
      </c>
      <c r="K408" s="2367" t="s">
        <v>1148</v>
      </c>
      <c r="M408" s="2363" t="s">
        <v>1139</v>
      </c>
      <c r="N408" s="2364"/>
    </row>
    <row r="409" spans="2:18" ht="15" thickBot="1">
      <c r="B409" s="8" t="s">
        <v>1030</v>
      </c>
      <c r="C409" s="1257">
        <f ca="1">(Q42*1000)+I427</f>
        <v>330211.16666666232</v>
      </c>
      <c r="E409" s="2368"/>
      <c r="F409" s="2368"/>
      <c r="G409" s="2368"/>
      <c r="H409" s="2368"/>
      <c r="I409" s="2368"/>
      <c r="J409" s="2368"/>
      <c r="K409" s="2368"/>
      <c r="M409" s="2365"/>
      <c r="N409" s="2366"/>
    </row>
    <row r="410" spans="2:18" ht="15" thickBot="1">
      <c r="B410" s="214" t="s">
        <v>1031</v>
      </c>
      <c r="C410" s="1258">
        <f ca="1">(Q71*1000)+I428</f>
        <v>292291.00000001304</v>
      </c>
      <c r="E410" s="966" t="s">
        <v>1144</v>
      </c>
      <c r="F410" s="965">
        <f>227*24*31</f>
        <v>168888</v>
      </c>
      <c r="G410" s="966" t="s">
        <v>1144</v>
      </c>
      <c r="H410" s="965">
        <f>353*24*31</f>
        <v>262632</v>
      </c>
      <c r="I410" s="966" t="s">
        <v>1144</v>
      </c>
      <c r="J410" s="965">
        <f>116*24*31</f>
        <v>86304</v>
      </c>
      <c r="K410" s="965">
        <f>78*24*31</f>
        <v>58032</v>
      </c>
      <c r="M410" s="1023" t="s">
        <v>1030</v>
      </c>
      <c r="N410" s="1053">
        <f t="shared" ref="N410:N421" ca="1" si="12">SUM(C390+E390+F390+H390+I390+L390+N390+R390)</f>
        <v>13554626.999999968</v>
      </c>
      <c r="O410" s="729"/>
    </row>
    <row r="411" spans="2:18" ht="15.75" customHeight="1" thickBot="1">
      <c r="B411" s="214" t="s">
        <v>1032</v>
      </c>
      <c r="C411" s="1258">
        <f ca="1">(Q103*1000)+I429</f>
        <v>330341.99999999302</v>
      </c>
      <c r="E411" s="966" t="s">
        <v>1143</v>
      </c>
      <c r="F411" s="965">
        <f>227*24*30</f>
        <v>163440</v>
      </c>
      <c r="G411" s="966" t="s">
        <v>1145</v>
      </c>
      <c r="H411" s="965">
        <f>353*24*30</f>
        <v>254160</v>
      </c>
      <c r="I411" s="966" t="s">
        <v>1145</v>
      </c>
      <c r="J411" s="965">
        <f>116*24*30</f>
        <v>83520</v>
      </c>
      <c r="K411" s="965">
        <f>78*24*30</f>
        <v>56160</v>
      </c>
      <c r="M411" s="985" t="s">
        <v>1031</v>
      </c>
      <c r="N411" s="1212">
        <f t="shared" ca="1" si="12"/>
        <v>12240734.00000003</v>
      </c>
    </row>
    <row r="412" spans="2:18" ht="15" customHeight="1" thickBot="1">
      <c r="B412" s="214" t="s">
        <v>1033</v>
      </c>
      <c r="C412" s="1258">
        <f ca="1">(Q134*1000)+I430</f>
        <v>311162.16666666314</v>
      </c>
      <c r="E412" s="966" t="s">
        <v>1331</v>
      </c>
      <c r="F412" s="965">
        <f>227*24*29</f>
        <v>157992</v>
      </c>
      <c r="G412" s="966" t="s">
        <v>1332</v>
      </c>
      <c r="H412" s="965">
        <f>353*24*28</f>
        <v>237216</v>
      </c>
      <c r="I412" s="966" t="s">
        <v>1332</v>
      </c>
      <c r="J412" s="965">
        <f>116*24*29</f>
        <v>80736</v>
      </c>
      <c r="K412" s="965">
        <f>78*24*29</f>
        <v>54288</v>
      </c>
      <c r="M412" s="985" t="s">
        <v>1032</v>
      </c>
      <c r="N412" s="1053">
        <f t="shared" ca="1" si="12"/>
        <v>13729963.999999966</v>
      </c>
    </row>
    <row r="413" spans="2:18" ht="15" thickBot="1">
      <c r="B413" s="214" t="s">
        <v>1034</v>
      </c>
      <c r="C413" s="1258">
        <f ca="1">(Q166*1000)+I431</f>
        <v>335461.16666665499</v>
      </c>
      <c r="E413" s="966" t="s">
        <v>1152</v>
      </c>
      <c r="F413" s="965">
        <f>227*24*10</f>
        <v>54480</v>
      </c>
      <c r="G413" s="966" t="s">
        <v>1265</v>
      </c>
      <c r="H413" s="965">
        <f>353*24*10</f>
        <v>84720</v>
      </c>
      <c r="I413" s="966" t="s">
        <v>1265</v>
      </c>
      <c r="J413" s="965">
        <f>116*24*10</f>
        <v>27840</v>
      </c>
      <c r="K413" s="965">
        <f>78*24*10</f>
        <v>18720</v>
      </c>
      <c r="M413" s="985" t="s">
        <v>1033</v>
      </c>
      <c r="N413" s="1053">
        <f t="shared" ca="1" si="12"/>
        <v>13154943.000000026</v>
      </c>
    </row>
    <row r="414" spans="2:18" ht="15" thickBot="1">
      <c r="B414" s="214" t="s">
        <v>1035</v>
      </c>
      <c r="C414" s="1258">
        <f ca="1">(Q197*1000)+I432</f>
        <v>-15793367.833333343</v>
      </c>
      <c r="E414" s="966" t="s">
        <v>1192</v>
      </c>
      <c r="F414" s="965">
        <f>227*24*20</f>
        <v>108960</v>
      </c>
      <c r="G414" s="966" t="s">
        <v>1266</v>
      </c>
      <c r="H414" s="965">
        <f>353*24*20</f>
        <v>169440</v>
      </c>
      <c r="I414" s="966" t="s">
        <v>1266</v>
      </c>
      <c r="J414" s="965">
        <f>116*24*20</f>
        <v>55680</v>
      </c>
      <c r="K414" s="965">
        <f>78*24*20</f>
        <v>37440</v>
      </c>
      <c r="M414" s="985" t="s">
        <v>1034</v>
      </c>
      <c r="N414" s="1053">
        <f t="shared" ca="1" si="12"/>
        <v>13126246.999999974</v>
      </c>
    </row>
    <row r="415" spans="2:18" ht="15" thickBot="1">
      <c r="B415" s="214" t="s">
        <v>988</v>
      </c>
      <c r="C415" s="1258">
        <f ca="1">(Q229*1000)+I433</f>
        <v>0</v>
      </c>
      <c r="I415" s="400"/>
      <c r="M415" s="967" t="s">
        <v>1035</v>
      </c>
      <c r="N415" s="1053">
        <f t="shared" ca="1" si="12"/>
        <v>-634496907.00000024</v>
      </c>
    </row>
    <row r="416" spans="2:18" ht="15" thickBot="1">
      <c r="B416" s="214" t="s">
        <v>989</v>
      </c>
      <c r="C416" s="1258">
        <f ca="1">(Q261*1000)+I434</f>
        <v>0</v>
      </c>
      <c r="M416" s="986" t="s">
        <v>988</v>
      </c>
      <c r="N416" s="1078">
        <f t="shared" ca="1" si="12"/>
        <v>0</v>
      </c>
    </row>
    <row r="417" spans="2:14" ht="15" thickBot="1">
      <c r="B417" s="214" t="s">
        <v>1052</v>
      </c>
      <c r="C417" s="1258">
        <f ca="1">(Q292*1000)+I435</f>
        <v>0</v>
      </c>
      <c r="M417" s="986" t="s">
        <v>989</v>
      </c>
      <c r="N417" s="1044">
        <f t="shared" ca="1" si="12"/>
        <v>0</v>
      </c>
    </row>
    <row r="418" spans="2:14" ht="15" thickBot="1">
      <c r="B418" s="214" t="s">
        <v>1053</v>
      </c>
      <c r="C418" s="1258">
        <f ca="1">(Q324*1000)+I436</f>
        <v>0</v>
      </c>
      <c r="M418" s="986" t="s">
        <v>1052</v>
      </c>
      <c r="N418" s="1044">
        <f t="shared" ca="1" si="12"/>
        <v>0</v>
      </c>
    </row>
    <row r="419" spans="2:14" ht="15" thickBot="1">
      <c r="B419" s="214" t="s">
        <v>1210</v>
      </c>
      <c r="C419" s="1258">
        <f ca="1">(Q355*1000)+I437</f>
        <v>0</v>
      </c>
      <c r="M419" s="986" t="s">
        <v>1053</v>
      </c>
      <c r="N419" s="1078">
        <f t="shared" ca="1" si="12"/>
        <v>0</v>
      </c>
    </row>
    <row r="420" spans="2:14" ht="15" thickBot="1">
      <c r="B420" s="214" t="s">
        <v>1054</v>
      </c>
      <c r="C420" s="1258">
        <f ca="1">(Q387*1000)+I438</f>
        <v>0</v>
      </c>
      <c r="M420" s="968" t="s">
        <v>1210</v>
      </c>
      <c r="N420" s="1078">
        <f t="shared" ca="1" si="12"/>
        <v>0</v>
      </c>
    </row>
    <row r="421" spans="2:14" ht="15" thickBot="1">
      <c r="B421" s="1043" t="s">
        <v>914</v>
      </c>
      <c r="C421" s="1259">
        <f ca="1">SUM(C409:C420)</f>
        <v>-14193900.333333356</v>
      </c>
      <c r="M421" s="1032" t="s">
        <v>1054</v>
      </c>
      <c r="N421" s="1260">
        <f t="shared" ca="1" si="12"/>
        <v>0</v>
      </c>
    </row>
    <row r="422" spans="2:14">
      <c r="B422" s="980"/>
      <c r="C422" s="88"/>
    </row>
    <row r="423" spans="2:14">
      <c r="B423" s="980"/>
    </row>
    <row r="424" spans="2:14" ht="15" thickBot="1">
      <c r="B424" s="980"/>
    </row>
    <row r="425" spans="2:14" ht="19.5" customHeight="1">
      <c r="B425" s="980"/>
      <c r="C425" s="2367" t="s">
        <v>1137</v>
      </c>
      <c r="D425" s="2367" t="s">
        <v>1134</v>
      </c>
      <c r="E425" s="2367" t="s">
        <v>1138</v>
      </c>
      <c r="F425" s="2367" t="s">
        <v>1149</v>
      </c>
      <c r="G425" s="2369" t="s">
        <v>196</v>
      </c>
      <c r="H425" s="2369" t="s">
        <v>163</v>
      </c>
      <c r="I425" s="2369" t="s">
        <v>1169</v>
      </c>
    </row>
    <row r="426" spans="2:14" ht="18.75" customHeight="1" thickBot="1">
      <c r="B426" s="980"/>
      <c r="C426" s="2368"/>
      <c r="D426" s="2368"/>
      <c r="E426" s="2368"/>
      <c r="F426" s="2368"/>
      <c r="G426" s="2370"/>
      <c r="H426" s="2370"/>
      <c r="I426" s="2370"/>
    </row>
    <row r="427" spans="2:14">
      <c r="B427" s="8" t="s">
        <v>1030</v>
      </c>
      <c r="C427" s="1675">
        <f ca="1">(F410+H410+J410+K410+C409)</f>
        <v>906067.16666666232</v>
      </c>
      <c r="D427" s="1676">
        <v>0.125</v>
      </c>
      <c r="E427" s="1677">
        <f t="shared" ref="E427:E438" ca="1" si="13">C427*D427</f>
        <v>113258.39583333279</v>
      </c>
      <c r="F427" s="667">
        <f t="shared" ref="F427:F434" ca="1" si="14">E427/7</f>
        <v>16179.770833333256</v>
      </c>
      <c r="G427" s="1678">
        <f ca="1">K390</f>
        <v>4240000</v>
      </c>
      <c r="H427" s="1678">
        <f ca="1">O390</f>
        <v>1030866.999999965</v>
      </c>
      <c r="I427" s="1679">
        <f t="shared" ref="I427:I432" ca="1" si="15">H427/6</f>
        <v>171811.16666666084</v>
      </c>
      <c r="K427" s="535">
        <f ca="1">+I427/H427</f>
        <v>0.16666666666666669</v>
      </c>
    </row>
    <row r="428" spans="2:14">
      <c r="B428" s="214" t="s">
        <v>1031</v>
      </c>
      <c r="C428" s="1680">
        <f ca="1">(F410+H410+J410+K410+C410)</f>
        <v>868147.00000001304</v>
      </c>
      <c r="D428" s="1681">
        <v>0.125</v>
      </c>
      <c r="E428" s="994">
        <f ca="1">C428*D428</f>
        <v>108518.37500000163</v>
      </c>
      <c r="F428" s="1028">
        <f t="shared" ca="1" si="14"/>
        <v>15502.625000000233</v>
      </c>
      <c r="G428" s="1033">
        <f t="shared" ref="G428:G438" ca="1" si="16">K391</f>
        <v>4044000</v>
      </c>
      <c r="H428" s="1033">
        <f t="shared" ref="H428:H438" ca="1" si="17">O391</f>
        <v>928884.0000000844</v>
      </c>
      <c r="I428" s="1682">
        <f t="shared" ca="1" si="15"/>
        <v>154814.00000001406</v>
      </c>
    </row>
    <row r="429" spans="2:14" ht="15" customHeight="1">
      <c r="B429" s="214" t="s">
        <v>1032</v>
      </c>
      <c r="C429" s="1680">
        <f ca="1">(F410+H410+J410+K410+C411)</f>
        <v>906197.99999999302</v>
      </c>
      <c r="D429" s="1681">
        <v>0.125</v>
      </c>
      <c r="E429" s="994">
        <f ca="1">C429*D429</f>
        <v>113274.74999999913</v>
      </c>
      <c r="F429" s="1028">
        <f t="shared" ca="1" si="14"/>
        <v>16182.107142857018</v>
      </c>
      <c r="G429" s="1033">
        <f t="shared" ca="1" si="16"/>
        <v>4448000</v>
      </c>
      <c r="H429" s="1033">
        <f ca="1">O392</f>
        <v>1083113.9999999343</v>
      </c>
      <c r="I429" s="1682">
        <f t="shared" ca="1" si="15"/>
        <v>180518.99999998906</v>
      </c>
    </row>
    <row r="430" spans="2:14">
      <c r="B430" s="214" t="s">
        <v>1033</v>
      </c>
      <c r="C430" s="1680">
        <f ca="1">(F411+H411+J411+K411+C412)</f>
        <v>868442.16666666314</v>
      </c>
      <c r="D430" s="1681">
        <v>0.125</v>
      </c>
      <c r="E430" s="994">
        <f ca="1">C430*D430</f>
        <v>108555.27083333289</v>
      </c>
      <c r="F430" s="1028">
        <f t="shared" ca="1" si="14"/>
        <v>15507.89583333327</v>
      </c>
      <c r="G430" s="1033">
        <f t="shared" ca="1" si="16"/>
        <v>4297200.0000000112</v>
      </c>
      <c r="H430" s="1033">
        <f t="shared" ca="1" si="17"/>
        <v>1024572.9999999701</v>
      </c>
      <c r="I430" s="1682">
        <f t="shared" ca="1" si="15"/>
        <v>170762.16666666168</v>
      </c>
    </row>
    <row r="431" spans="2:14">
      <c r="B431" s="214" t="s">
        <v>1034</v>
      </c>
      <c r="C431" s="1680">
        <f ca="1">(F410+H410+J410+K410+C413)</f>
        <v>911317.16666665499</v>
      </c>
      <c r="D431" s="1681">
        <v>0.125</v>
      </c>
      <c r="E431" s="994">
        <f t="shared" ca="1" si="13"/>
        <v>113914.64583333187</v>
      </c>
      <c r="F431" s="1028">
        <f ca="1">E431/7</f>
        <v>16273.520833333125</v>
      </c>
      <c r="G431" s="1033">
        <f t="shared" ca="1" si="16"/>
        <v>4650799.9999999888</v>
      </c>
      <c r="H431" s="1033">
        <f t="shared" ca="1" si="17"/>
        <v>1060566.9999999471</v>
      </c>
      <c r="I431" s="1682">
        <f t="shared" ca="1" si="15"/>
        <v>176761.16666665787</v>
      </c>
    </row>
    <row r="432" spans="2:14">
      <c r="B432" s="214" t="s">
        <v>1035</v>
      </c>
      <c r="C432" s="1680">
        <f ca="1">(F411+H411+J411+K411+C414)</f>
        <v>-15236087.833333343</v>
      </c>
      <c r="D432" s="1681">
        <v>0.125</v>
      </c>
      <c r="E432" s="994">
        <f t="shared" ca="1" si="13"/>
        <v>-1904510.9791666679</v>
      </c>
      <c r="F432" s="1028">
        <f t="shared" ca="1" si="14"/>
        <v>-272072.9970238097</v>
      </c>
      <c r="G432" s="1033">
        <f t="shared" ca="1" si="16"/>
        <v>-464078000</v>
      </c>
      <c r="H432" s="1033">
        <f t="shared" ca="1" si="17"/>
        <v>296871792.99999994</v>
      </c>
      <c r="I432" s="1682">
        <f t="shared" ca="1" si="15"/>
        <v>49478632.166666657</v>
      </c>
    </row>
    <row r="433" spans="2:9">
      <c r="B433" s="214" t="s">
        <v>988</v>
      </c>
      <c r="C433" s="1680">
        <f ca="1">(F410+H410+J410+K410+C415)</f>
        <v>575856</v>
      </c>
      <c r="D433" s="1681">
        <v>0.125</v>
      </c>
      <c r="E433" s="994">
        <f t="shared" ca="1" si="13"/>
        <v>71982</v>
      </c>
      <c r="F433" s="1028">
        <f t="shared" ca="1" si="14"/>
        <v>10283.142857142857</v>
      </c>
      <c r="G433" s="1033">
        <f t="shared" ca="1" si="16"/>
        <v>0</v>
      </c>
      <c r="H433" s="1033">
        <f t="shared" ca="1" si="17"/>
        <v>0</v>
      </c>
      <c r="I433" s="1682">
        <f t="shared" ref="I433:I438" ca="1" si="18">H433/6</f>
        <v>0</v>
      </c>
    </row>
    <row r="434" spans="2:9">
      <c r="B434" s="214" t="s">
        <v>989</v>
      </c>
      <c r="C434" s="1680">
        <f ca="1">(F410+H410+J410+K410+C416)</f>
        <v>575856</v>
      </c>
      <c r="D434" s="1681">
        <v>0.125</v>
      </c>
      <c r="E434" s="994">
        <f t="shared" ca="1" si="13"/>
        <v>71982</v>
      </c>
      <c r="F434" s="1028">
        <f t="shared" ca="1" si="14"/>
        <v>10283.142857142857</v>
      </c>
      <c r="G434" s="1033">
        <f t="shared" ca="1" si="16"/>
        <v>0</v>
      </c>
      <c r="H434" s="1033">
        <f t="shared" ca="1" si="17"/>
        <v>0</v>
      </c>
      <c r="I434" s="1683">
        <f t="shared" ca="1" si="18"/>
        <v>0</v>
      </c>
    </row>
    <row r="435" spans="2:9">
      <c r="B435" s="214" t="s">
        <v>1052</v>
      </c>
      <c r="C435" s="1680">
        <f ca="1">(F411+H411+J411+K411+C417)</f>
        <v>557280</v>
      </c>
      <c r="D435" s="1681">
        <v>0.125</v>
      </c>
      <c r="E435" s="994">
        <f t="shared" ca="1" si="13"/>
        <v>69660</v>
      </c>
      <c r="F435" s="1028">
        <f ca="1">E435/7</f>
        <v>9951.4285714285706</v>
      </c>
      <c r="G435" s="1033">
        <f t="shared" ca="1" si="16"/>
        <v>0</v>
      </c>
      <c r="H435" s="1033">
        <f t="shared" ca="1" si="17"/>
        <v>0</v>
      </c>
      <c r="I435" s="1682">
        <f t="shared" ca="1" si="18"/>
        <v>0</v>
      </c>
    </row>
    <row r="436" spans="2:9">
      <c r="B436" s="214" t="s">
        <v>1053</v>
      </c>
      <c r="C436" s="1680">
        <f ca="1">(F410+H410+J410+K410+C418)</f>
        <v>575856</v>
      </c>
      <c r="D436" s="1681">
        <v>0.125</v>
      </c>
      <c r="E436" s="994">
        <f t="shared" ca="1" si="13"/>
        <v>71982</v>
      </c>
      <c r="F436" s="1028">
        <f ca="1">E436/7</f>
        <v>10283.142857142857</v>
      </c>
      <c r="G436" s="1033">
        <f t="shared" ca="1" si="16"/>
        <v>0</v>
      </c>
      <c r="H436" s="1033">
        <f t="shared" ca="1" si="17"/>
        <v>0</v>
      </c>
      <c r="I436" s="1682">
        <f t="shared" ca="1" si="18"/>
        <v>0</v>
      </c>
    </row>
    <row r="437" spans="2:9">
      <c r="B437" s="214" t="s">
        <v>1210</v>
      </c>
      <c r="C437" s="1680">
        <f ca="1">(F411+H411+J411+K411+C419)</f>
        <v>557280</v>
      </c>
      <c r="D437" s="1681">
        <v>0.125</v>
      </c>
      <c r="E437" s="994">
        <f t="shared" ca="1" si="13"/>
        <v>69660</v>
      </c>
      <c r="F437" s="1028">
        <f ca="1">E437/7</f>
        <v>9951.4285714285706</v>
      </c>
      <c r="G437" s="1033">
        <f t="shared" ca="1" si="16"/>
        <v>0</v>
      </c>
      <c r="H437" s="1033">
        <f t="shared" ca="1" si="17"/>
        <v>0</v>
      </c>
      <c r="I437" s="1682">
        <f t="shared" ca="1" si="18"/>
        <v>0</v>
      </c>
    </row>
    <row r="438" spans="2:9" ht="15" thickBot="1">
      <c r="B438" s="1043" t="s">
        <v>1054</v>
      </c>
      <c r="C438" s="1684">
        <f ca="1">(F410+H410+J410+K410+C420)</f>
        <v>575856</v>
      </c>
      <c r="D438" s="1685">
        <v>0.125</v>
      </c>
      <c r="E438" s="1686">
        <f t="shared" ca="1" si="13"/>
        <v>71982</v>
      </c>
      <c r="F438" s="1687">
        <f ca="1">E438/7</f>
        <v>10283.142857142857</v>
      </c>
      <c r="G438" s="1688">
        <f t="shared" ca="1" si="16"/>
        <v>0</v>
      </c>
      <c r="H438" s="1688">
        <f t="shared" ca="1" si="17"/>
        <v>0</v>
      </c>
      <c r="I438" s="1689">
        <f t="shared" ca="1" si="18"/>
        <v>0</v>
      </c>
    </row>
  </sheetData>
  <mergeCells count="35">
    <mergeCell ref="F2:O5"/>
    <mergeCell ref="P2:R5"/>
    <mergeCell ref="C397:D397"/>
    <mergeCell ref="C398:D398"/>
    <mergeCell ref="C399:D399"/>
    <mergeCell ref="C7:O7"/>
    <mergeCell ref="C6:O6"/>
    <mergeCell ref="B2:E5"/>
    <mergeCell ref="B8:B10"/>
    <mergeCell ref="C8:D8"/>
    <mergeCell ref="C9:D9"/>
    <mergeCell ref="C390:D390"/>
    <mergeCell ref="C391:D391"/>
    <mergeCell ref="C400:D400"/>
    <mergeCell ref="C401:D401"/>
    <mergeCell ref="C392:D392"/>
    <mergeCell ref="C393:D393"/>
    <mergeCell ref="C394:D394"/>
    <mergeCell ref="C395:D395"/>
    <mergeCell ref="C396:D396"/>
    <mergeCell ref="M408:N409"/>
    <mergeCell ref="C425:C426"/>
    <mergeCell ref="D425:D426"/>
    <mergeCell ref="E425:E426"/>
    <mergeCell ref="F425:F426"/>
    <mergeCell ref="G425:G426"/>
    <mergeCell ref="H425:H426"/>
    <mergeCell ref="I425:I426"/>
    <mergeCell ref="G408:G409"/>
    <mergeCell ref="H408:H409"/>
    <mergeCell ref="I408:I409"/>
    <mergeCell ref="J408:J409"/>
    <mergeCell ref="K408:K409"/>
    <mergeCell ref="E408:E409"/>
    <mergeCell ref="F408:F409"/>
  </mergeCells>
  <pageMargins left="0.7" right="0.7" top="0.75" bottom="0.75" header="0.3" footer="0.3"/>
  <pageSetup orientation="portrait" r:id="rId1"/>
  <ignoredErrors>
    <ignoredError sqref="F134 C428 F398:F399 F393:F397 F400:F401 F103 F391" formula="1"/>
    <ignoredError sqref="R262:R291" evalError="1"/>
  </ignoredErrors>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tabColor rgb="FF00B0F0"/>
  </sheetPr>
  <dimension ref="B1:AC407"/>
  <sheetViews>
    <sheetView showGridLines="0" zoomScale="80" zoomScaleNormal="80" workbookViewId="0">
      <pane xSplit="2" ySplit="10" topLeftCell="C397" activePane="bottomRight" state="frozen"/>
      <selection activeCell="U363" sqref="U363"/>
      <selection pane="topRight" activeCell="U363" sqref="U363"/>
      <selection pane="bottomLeft" activeCell="U363" sqref="U363"/>
      <selection pane="bottomRight" activeCell="M287" sqref="M287"/>
    </sheetView>
  </sheetViews>
  <sheetFormatPr baseColWidth="10" defaultColWidth="9.21875" defaultRowHeight="14.4"/>
  <cols>
    <col min="1" max="1" width="0.77734375" style="1" customWidth="1"/>
    <col min="2" max="7" width="12.44140625" style="1" customWidth="1"/>
    <col min="8" max="10" width="18.5546875" style="1" customWidth="1"/>
    <col min="11" max="11" width="20.77734375" style="1" customWidth="1"/>
    <col min="12" max="16" width="18.5546875" style="1" customWidth="1"/>
    <col min="17" max="17" width="20.77734375" style="1" customWidth="1"/>
    <col min="18" max="18" width="18.77734375" style="1" customWidth="1"/>
    <col min="19" max="25" width="12.44140625" style="1" customWidth="1"/>
    <col min="26" max="26" width="15.44140625" style="1" customWidth="1"/>
    <col min="27" max="27" width="16" style="1" customWidth="1"/>
    <col min="28" max="28" width="20.44140625" style="1" customWidth="1"/>
    <col min="29" max="29" width="14.44140625" style="1" customWidth="1"/>
    <col min="30" max="189" width="9.21875" style="1"/>
    <col min="190" max="190" width="0.77734375" style="1" customWidth="1"/>
    <col min="191" max="191" width="11.44140625" style="1" bestFit="1" customWidth="1"/>
    <col min="192" max="192" width="13.44140625" style="1" customWidth="1"/>
    <col min="193" max="195" width="13.21875" style="1" customWidth="1"/>
    <col min="196" max="209" width="13.44140625" style="1" customWidth="1"/>
    <col min="210" max="210" width="14" style="1" customWidth="1"/>
    <col min="211" max="211" width="13.5546875" style="1" customWidth="1"/>
    <col min="212" max="212" width="48.44140625" style="1" customWidth="1"/>
    <col min="213" max="445" width="9.21875" style="1"/>
    <col min="446" max="446" width="0.77734375" style="1" customWidth="1"/>
    <col min="447" max="447" width="11.44140625" style="1" bestFit="1" customWidth="1"/>
    <col min="448" max="448" width="13.44140625" style="1" customWidth="1"/>
    <col min="449" max="451" width="13.21875" style="1" customWidth="1"/>
    <col min="452" max="465" width="13.44140625" style="1" customWidth="1"/>
    <col min="466" max="466" width="14" style="1" customWidth="1"/>
    <col min="467" max="467" width="13.5546875" style="1" customWidth="1"/>
    <col min="468" max="468" width="48.44140625" style="1" customWidth="1"/>
    <col min="469" max="701" width="9.21875" style="1"/>
    <col min="702" max="702" width="0.77734375" style="1" customWidth="1"/>
    <col min="703" max="703" width="11.44140625" style="1" bestFit="1" customWidth="1"/>
    <col min="704" max="704" width="13.44140625" style="1" customWidth="1"/>
    <col min="705" max="707" width="13.21875" style="1" customWidth="1"/>
    <col min="708" max="721" width="13.44140625" style="1" customWidth="1"/>
    <col min="722" max="722" width="14" style="1" customWidth="1"/>
    <col min="723" max="723" width="13.5546875" style="1" customWidth="1"/>
    <col min="724" max="724" width="48.44140625" style="1" customWidth="1"/>
    <col min="725" max="957" width="9.21875" style="1"/>
    <col min="958" max="958" width="0.77734375" style="1" customWidth="1"/>
    <col min="959" max="959" width="11.44140625" style="1" bestFit="1" customWidth="1"/>
    <col min="960" max="960" width="13.44140625" style="1" customWidth="1"/>
    <col min="961" max="963" width="13.21875" style="1" customWidth="1"/>
    <col min="964" max="977" width="13.44140625" style="1" customWidth="1"/>
    <col min="978" max="978" width="14" style="1" customWidth="1"/>
    <col min="979" max="979" width="13.5546875" style="1" customWidth="1"/>
    <col min="980" max="980" width="48.44140625" style="1" customWidth="1"/>
    <col min="981" max="1213" width="9.21875" style="1"/>
    <col min="1214" max="1214" width="0.77734375" style="1" customWidth="1"/>
    <col min="1215" max="1215" width="11.44140625" style="1" bestFit="1" customWidth="1"/>
    <col min="1216" max="1216" width="13.44140625" style="1" customWidth="1"/>
    <col min="1217" max="1219" width="13.21875" style="1" customWidth="1"/>
    <col min="1220" max="1233" width="13.44140625" style="1" customWidth="1"/>
    <col min="1234" max="1234" width="14" style="1" customWidth="1"/>
    <col min="1235" max="1235" width="13.5546875" style="1" customWidth="1"/>
    <col min="1236" max="1236" width="48.44140625" style="1" customWidth="1"/>
    <col min="1237" max="1469" width="9.21875" style="1"/>
    <col min="1470" max="1470" width="0.77734375" style="1" customWidth="1"/>
    <col min="1471" max="1471" width="11.44140625" style="1" bestFit="1" customWidth="1"/>
    <col min="1472" max="1472" width="13.44140625" style="1" customWidth="1"/>
    <col min="1473" max="1475" width="13.21875" style="1" customWidth="1"/>
    <col min="1476" max="1489" width="13.44140625" style="1" customWidth="1"/>
    <col min="1490" max="1490" width="14" style="1" customWidth="1"/>
    <col min="1491" max="1491" width="13.5546875" style="1" customWidth="1"/>
    <col min="1492" max="1492" width="48.44140625" style="1" customWidth="1"/>
    <col min="1493" max="1725" width="9.21875" style="1"/>
    <col min="1726" max="1726" width="0.77734375" style="1" customWidth="1"/>
    <col min="1727" max="1727" width="11.44140625" style="1" bestFit="1" customWidth="1"/>
    <col min="1728" max="1728" width="13.44140625" style="1" customWidth="1"/>
    <col min="1729" max="1731" width="13.21875" style="1" customWidth="1"/>
    <col min="1732" max="1745" width="13.44140625" style="1" customWidth="1"/>
    <col min="1746" max="1746" width="14" style="1" customWidth="1"/>
    <col min="1747" max="1747" width="13.5546875" style="1" customWidth="1"/>
    <col min="1748" max="1748" width="48.44140625" style="1" customWidth="1"/>
    <col min="1749" max="1981" width="9.21875" style="1"/>
    <col min="1982" max="1982" width="0.77734375" style="1" customWidth="1"/>
    <col min="1983" max="1983" width="11.44140625" style="1" bestFit="1" customWidth="1"/>
    <col min="1984" max="1984" width="13.44140625" style="1" customWidth="1"/>
    <col min="1985" max="1987" width="13.21875" style="1" customWidth="1"/>
    <col min="1988" max="2001" width="13.44140625" style="1" customWidth="1"/>
    <col min="2002" max="2002" width="14" style="1" customWidth="1"/>
    <col min="2003" max="2003" width="13.5546875" style="1" customWidth="1"/>
    <col min="2004" max="2004" width="48.44140625" style="1" customWidth="1"/>
    <col min="2005" max="2237" width="9.21875" style="1"/>
    <col min="2238" max="2238" width="0.77734375" style="1" customWidth="1"/>
    <col min="2239" max="2239" width="11.44140625" style="1" bestFit="1" customWidth="1"/>
    <col min="2240" max="2240" width="13.44140625" style="1" customWidth="1"/>
    <col min="2241" max="2243" width="13.21875" style="1" customWidth="1"/>
    <col min="2244" max="2257" width="13.44140625" style="1" customWidth="1"/>
    <col min="2258" max="2258" width="14" style="1" customWidth="1"/>
    <col min="2259" max="2259" width="13.5546875" style="1" customWidth="1"/>
    <col min="2260" max="2260" width="48.44140625" style="1" customWidth="1"/>
    <col min="2261" max="2493" width="9.21875" style="1"/>
    <col min="2494" max="2494" width="0.77734375" style="1" customWidth="1"/>
    <col min="2495" max="2495" width="11.44140625" style="1" bestFit="1" customWidth="1"/>
    <col min="2496" max="2496" width="13.44140625" style="1" customWidth="1"/>
    <col min="2497" max="2499" width="13.21875" style="1" customWidth="1"/>
    <col min="2500" max="2513" width="13.44140625" style="1" customWidth="1"/>
    <col min="2514" max="2514" width="14" style="1" customWidth="1"/>
    <col min="2515" max="2515" width="13.5546875" style="1" customWidth="1"/>
    <col min="2516" max="2516" width="48.44140625" style="1" customWidth="1"/>
    <col min="2517" max="2749" width="9.21875" style="1"/>
    <col min="2750" max="2750" width="0.77734375" style="1" customWidth="1"/>
    <col min="2751" max="2751" width="11.44140625" style="1" bestFit="1" customWidth="1"/>
    <col min="2752" max="2752" width="13.44140625" style="1" customWidth="1"/>
    <col min="2753" max="2755" width="13.21875" style="1" customWidth="1"/>
    <col min="2756" max="2769" width="13.44140625" style="1" customWidth="1"/>
    <col min="2770" max="2770" width="14" style="1" customWidth="1"/>
    <col min="2771" max="2771" width="13.5546875" style="1" customWidth="1"/>
    <col min="2772" max="2772" width="48.44140625" style="1" customWidth="1"/>
    <col min="2773" max="3005" width="9.21875" style="1"/>
    <col min="3006" max="3006" width="0.77734375" style="1" customWidth="1"/>
    <col min="3007" max="3007" width="11.44140625" style="1" bestFit="1" customWidth="1"/>
    <col min="3008" max="3008" width="13.44140625" style="1" customWidth="1"/>
    <col min="3009" max="3011" width="13.21875" style="1" customWidth="1"/>
    <col min="3012" max="3025" width="13.44140625" style="1" customWidth="1"/>
    <col min="3026" max="3026" width="14" style="1" customWidth="1"/>
    <col min="3027" max="3027" width="13.5546875" style="1" customWidth="1"/>
    <col min="3028" max="3028" width="48.44140625" style="1" customWidth="1"/>
    <col min="3029" max="3261" width="9.21875" style="1"/>
    <col min="3262" max="3262" width="0.77734375" style="1" customWidth="1"/>
    <col min="3263" max="3263" width="11.44140625" style="1" bestFit="1" customWidth="1"/>
    <col min="3264" max="3264" width="13.44140625" style="1" customWidth="1"/>
    <col min="3265" max="3267" width="13.21875" style="1" customWidth="1"/>
    <col min="3268" max="3281" width="13.44140625" style="1" customWidth="1"/>
    <col min="3282" max="3282" width="14" style="1" customWidth="1"/>
    <col min="3283" max="3283" width="13.5546875" style="1" customWidth="1"/>
    <col min="3284" max="3284" width="48.44140625" style="1" customWidth="1"/>
    <col min="3285" max="3517" width="9.21875" style="1"/>
    <col min="3518" max="3518" width="0.77734375" style="1" customWidth="1"/>
    <col min="3519" max="3519" width="11.44140625" style="1" bestFit="1" customWidth="1"/>
    <col min="3520" max="3520" width="13.44140625" style="1" customWidth="1"/>
    <col min="3521" max="3523" width="13.21875" style="1" customWidth="1"/>
    <col min="3524" max="3537" width="13.44140625" style="1" customWidth="1"/>
    <col min="3538" max="3538" width="14" style="1" customWidth="1"/>
    <col min="3539" max="3539" width="13.5546875" style="1" customWidth="1"/>
    <col min="3540" max="3540" width="48.44140625" style="1" customWidth="1"/>
    <col min="3541" max="3773" width="9.21875" style="1"/>
    <col min="3774" max="3774" width="0.77734375" style="1" customWidth="1"/>
    <col min="3775" max="3775" width="11.44140625" style="1" bestFit="1" customWidth="1"/>
    <col min="3776" max="3776" width="13.44140625" style="1" customWidth="1"/>
    <col min="3777" max="3779" width="13.21875" style="1" customWidth="1"/>
    <col min="3780" max="3793" width="13.44140625" style="1" customWidth="1"/>
    <col min="3794" max="3794" width="14" style="1" customWidth="1"/>
    <col min="3795" max="3795" width="13.5546875" style="1" customWidth="1"/>
    <col min="3796" max="3796" width="48.44140625" style="1" customWidth="1"/>
    <col min="3797" max="4029" width="9.21875" style="1"/>
    <col min="4030" max="4030" width="0.77734375" style="1" customWidth="1"/>
    <col min="4031" max="4031" width="11.44140625" style="1" bestFit="1" customWidth="1"/>
    <col min="4032" max="4032" width="13.44140625" style="1" customWidth="1"/>
    <col min="4033" max="4035" width="13.21875" style="1" customWidth="1"/>
    <col min="4036" max="4049" width="13.44140625" style="1" customWidth="1"/>
    <col min="4050" max="4050" width="14" style="1" customWidth="1"/>
    <col min="4051" max="4051" width="13.5546875" style="1" customWidth="1"/>
    <col min="4052" max="4052" width="48.44140625" style="1" customWidth="1"/>
    <col min="4053" max="4285" width="9.21875" style="1"/>
    <col min="4286" max="4286" width="0.77734375" style="1" customWidth="1"/>
    <col min="4287" max="4287" width="11.44140625" style="1" bestFit="1" customWidth="1"/>
    <col min="4288" max="4288" width="13.44140625" style="1" customWidth="1"/>
    <col min="4289" max="4291" width="13.21875" style="1" customWidth="1"/>
    <col min="4292" max="4305" width="13.44140625" style="1" customWidth="1"/>
    <col min="4306" max="4306" width="14" style="1" customWidth="1"/>
    <col min="4307" max="4307" width="13.5546875" style="1" customWidth="1"/>
    <col min="4308" max="4308" width="48.44140625" style="1" customWidth="1"/>
    <col min="4309" max="4541" width="9.21875" style="1"/>
    <col min="4542" max="4542" width="0.77734375" style="1" customWidth="1"/>
    <col min="4543" max="4543" width="11.44140625" style="1" bestFit="1" customWidth="1"/>
    <col min="4544" max="4544" width="13.44140625" style="1" customWidth="1"/>
    <col min="4545" max="4547" width="13.21875" style="1" customWidth="1"/>
    <col min="4548" max="4561" width="13.44140625" style="1" customWidth="1"/>
    <col min="4562" max="4562" width="14" style="1" customWidth="1"/>
    <col min="4563" max="4563" width="13.5546875" style="1" customWidth="1"/>
    <col min="4564" max="4564" width="48.44140625" style="1" customWidth="1"/>
    <col min="4565" max="4797" width="9.21875" style="1"/>
    <col min="4798" max="4798" width="0.77734375" style="1" customWidth="1"/>
    <col min="4799" max="4799" width="11.44140625" style="1" bestFit="1" customWidth="1"/>
    <col min="4800" max="4800" width="13.44140625" style="1" customWidth="1"/>
    <col min="4801" max="4803" width="13.21875" style="1" customWidth="1"/>
    <col min="4804" max="4817" width="13.44140625" style="1" customWidth="1"/>
    <col min="4818" max="4818" width="14" style="1" customWidth="1"/>
    <col min="4819" max="4819" width="13.5546875" style="1" customWidth="1"/>
    <col min="4820" max="4820" width="48.44140625" style="1" customWidth="1"/>
    <col min="4821" max="5053" width="9.21875" style="1"/>
    <col min="5054" max="5054" width="0.77734375" style="1" customWidth="1"/>
    <col min="5055" max="5055" width="11.44140625" style="1" bestFit="1" customWidth="1"/>
    <col min="5056" max="5056" width="13.44140625" style="1" customWidth="1"/>
    <col min="5057" max="5059" width="13.21875" style="1" customWidth="1"/>
    <col min="5060" max="5073" width="13.44140625" style="1" customWidth="1"/>
    <col min="5074" max="5074" width="14" style="1" customWidth="1"/>
    <col min="5075" max="5075" width="13.5546875" style="1" customWidth="1"/>
    <col min="5076" max="5076" width="48.44140625" style="1" customWidth="1"/>
    <col min="5077" max="5309" width="9.21875" style="1"/>
    <col min="5310" max="5310" width="0.77734375" style="1" customWidth="1"/>
    <col min="5311" max="5311" width="11.44140625" style="1" bestFit="1" customWidth="1"/>
    <col min="5312" max="5312" width="13.44140625" style="1" customWidth="1"/>
    <col min="5313" max="5315" width="13.21875" style="1" customWidth="1"/>
    <col min="5316" max="5329" width="13.44140625" style="1" customWidth="1"/>
    <col min="5330" max="5330" width="14" style="1" customWidth="1"/>
    <col min="5331" max="5331" width="13.5546875" style="1" customWidth="1"/>
    <col min="5332" max="5332" width="48.44140625" style="1" customWidth="1"/>
    <col min="5333" max="5565" width="9.21875" style="1"/>
    <col min="5566" max="5566" width="0.77734375" style="1" customWidth="1"/>
    <col min="5567" max="5567" width="11.44140625" style="1" bestFit="1" customWidth="1"/>
    <col min="5568" max="5568" width="13.44140625" style="1" customWidth="1"/>
    <col min="5569" max="5571" width="13.21875" style="1" customWidth="1"/>
    <col min="5572" max="5585" width="13.44140625" style="1" customWidth="1"/>
    <col min="5586" max="5586" width="14" style="1" customWidth="1"/>
    <col min="5587" max="5587" width="13.5546875" style="1" customWidth="1"/>
    <col min="5588" max="5588" width="48.44140625" style="1" customWidth="1"/>
    <col min="5589" max="5821" width="9.21875" style="1"/>
    <col min="5822" max="5822" width="0.77734375" style="1" customWidth="1"/>
    <col min="5823" max="5823" width="11.44140625" style="1" bestFit="1" customWidth="1"/>
    <col min="5824" max="5824" width="13.44140625" style="1" customWidth="1"/>
    <col min="5825" max="5827" width="13.21875" style="1" customWidth="1"/>
    <col min="5828" max="5841" width="13.44140625" style="1" customWidth="1"/>
    <col min="5842" max="5842" width="14" style="1" customWidth="1"/>
    <col min="5843" max="5843" width="13.5546875" style="1" customWidth="1"/>
    <col min="5844" max="5844" width="48.44140625" style="1" customWidth="1"/>
    <col min="5845" max="6077" width="9.21875" style="1"/>
    <col min="6078" max="6078" width="0.77734375" style="1" customWidth="1"/>
    <col min="6079" max="6079" width="11.44140625" style="1" bestFit="1" customWidth="1"/>
    <col min="6080" max="6080" width="13.44140625" style="1" customWidth="1"/>
    <col min="6081" max="6083" width="13.21875" style="1" customWidth="1"/>
    <col min="6084" max="6097" width="13.44140625" style="1" customWidth="1"/>
    <col min="6098" max="6098" width="14" style="1" customWidth="1"/>
    <col min="6099" max="6099" width="13.5546875" style="1" customWidth="1"/>
    <col min="6100" max="6100" width="48.44140625" style="1" customWidth="1"/>
    <col min="6101" max="6333" width="9.21875" style="1"/>
    <col min="6334" max="6334" width="0.77734375" style="1" customWidth="1"/>
    <col min="6335" max="6335" width="11.44140625" style="1" bestFit="1" customWidth="1"/>
    <col min="6336" max="6336" width="13.44140625" style="1" customWidth="1"/>
    <col min="6337" max="6339" width="13.21875" style="1" customWidth="1"/>
    <col min="6340" max="6353" width="13.44140625" style="1" customWidth="1"/>
    <col min="6354" max="6354" width="14" style="1" customWidth="1"/>
    <col min="6355" max="6355" width="13.5546875" style="1" customWidth="1"/>
    <col min="6356" max="6356" width="48.44140625" style="1" customWidth="1"/>
    <col min="6357" max="6589" width="9.21875" style="1"/>
    <col min="6590" max="6590" width="0.77734375" style="1" customWidth="1"/>
    <col min="6591" max="6591" width="11.44140625" style="1" bestFit="1" customWidth="1"/>
    <col min="6592" max="6592" width="13.44140625" style="1" customWidth="1"/>
    <col min="6593" max="6595" width="13.21875" style="1" customWidth="1"/>
    <col min="6596" max="6609" width="13.44140625" style="1" customWidth="1"/>
    <col min="6610" max="6610" width="14" style="1" customWidth="1"/>
    <col min="6611" max="6611" width="13.5546875" style="1" customWidth="1"/>
    <col min="6612" max="6612" width="48.44140625" style="1" customWidth="1"/>
    <col min="6613" max="6845" width="9.21875" style="1"/>
    <col min="6846" max="6846" width="0.77734375" style="1" customWidth="1"/>
    <col min="6847" max="6847" width="11.44140625" style="1" bestFit="1" customWidth="1"/>
    <col min="6848" max="6848" width="13.44140625" style="1" customWidth="1"/>
    <col min="6849" max="6851" width="13.21875" style="1" customWidth="1"/>
    <col min="6852" max="6865" width="13.44140625" style="1" customWidth="1"/>
    <col min="6866" max="6866" width="14" style="1" customWidth="1"/>
    <col min="6867" max="6867" width="13.5546875" style="1" customWidth="1"/>
    <col min="6868" max="6868" width="48.44140625" style="1" customWidth="1"/>
    <col min="6869" max="7101" width="9.21875" style="1"/>
    <col min="7102" max="7102" width="0.77734375" style="1" customWidth="1"/>
    <col min="7103" max="7103" width="11.44140625" style="1" bestFit="1" customWidth="1"/>
    <col min="7104" max="7104" width="13.44140625" style="1" customWidth="1"/>
    <col min="7105" max="7107" width="13.21875" style="1" customWidth="1"/>
    <col min="7108" max="7121" width="13.44140625" style="1" customWidth="1"/>
    <col min="7122" max="7122" width="14" style="1" customWidth="1"/>
    <col min="7123" max="7123" width="13.5546875" style="1" customWidth="1"/>
    <col min="7124" max="7124" width="48.44140625" style="1" customWidth="1"/>
    <col min="7125" max="7357" width="9.21875" style="1"/>
    <col min="7358" max="7358" width="0.77734375" style="1" customWidth="1"/>
    <col min="7359" max="7359" width="11.44140625" style="1" bestFit="1" customWidth="1"/>
    <col min="7360" max="7360" width="13.44140625" style="1" customWidth="1"/>
    <col min="7361" max="7363" width="13.21875" style="1" customWidth="1"/>
    <col min="7364" max="7377" width="13.44140625" style="1" customWidth="1"/>
    <col min="7378" max="7378" width="14" style="1" customWidth="1"/>
    <col min="7379" max="7379" width="13.5546875" style="1" customWidth="1"/>
    <col min="7380" max="7380" width="48.44140625" style="1" customWidth="1"/>
    <col min="7381" max="7613" width="9.21875" style="1"/>
    <col min="7614" max="7614" width="0.77734375" style="1" customWidth="1"/>
    <col min="7615" max="7615" width="11.44140625" style="1" bestFit="1" customWidth="1"/>
    <col min="7616" max="7616" width="13.44140625" style="1" customWidth="1"/>
    <col min="7617" max="7619" width="13.21875" style="1" customWidth="1"/>
    <col min="7620" max="7633" width="13.44140625" style="1" customWidth="1"/>
    <col min="7634" max="7634" width="14" style="1" customWidth="1"/>
    <col min="7635" max="7635" width="13.5546875" style="1" customWidth="1"/>
    <col min="7636" max="7636" width="48.44140625" style="1" customWidth="1"/>
    <col min="7637" max="7869" width="9.21875" style="1"/>
    <col min="7870" max="7870" width="0.77734375" style="1" customWidth="1"/>
    <col min="7871" max="7871" width="11.44140625" style="1" bestFit="1" customWidth="1"/>
    <col min="7872" max="7872" width="13.44140625" style="1" customWidth="1"/>
    <col min="7873" max="7875" width="13.21875" style="1" customWidth="1"/>
    <col min="7876" max="7889" width="13.44140625" style="1" customWidth="1"/>
    <col min="7890" max="7890" width="14" style="1" customWidth="1"/>
    <col min="7891" max="7891" width="13.5546875" style="1" customWidth="1"/>
    <col min="7892" max="7892" width="48.44140625" style="1" customWidth="1"/>
    <col min="7893" max="8125" width="9.21875" style="1"/>
    <col min="8126" max="8126" width="0.77734375" style="1" customWidth="1"/>
    <col min="8127" max="8127" width="11.44140625" style="1" bestFit="1" customWidth="1"/>
    <col min="8128" max="8128" width="13.44140625" style="1" customWidth="1"/>
    <col min="8129" max="8131" width="13.21875" style="1" customWidth="1"/>
    <col min="8132" max="8145" width="13.44140625" style="1" customWidth="1"/>
    <col min="8146" max="8146" width="14" style="1" customWidth="1"/>
    <col min="8147" max="8147" width="13.5546875" style="1" customWidth="1"/>
    <col min="8148" max="8148" width="48.44140625" style="1" customWidth="1"/>
    <col min="8149" max="8381" width="9.21875" style="1"/>
    <col min="8382" max="8382" width="0.77734375" style="1" customWidth="1"/>
    <col min="8383" max="8383" width="11.44140625" style="1" bestFit="1" customWidth="1"/>
    <col min="8384" max="8384" width="13.44140625" style="1" customWidth="1"/>
    <col min="8385" max="8387" width="13.21875" style="1" customWidth="1"/>
    <col min="8388" max="8401" width="13.44140625" style="1" customWidth="1"/>
    <col min="8402" max="8402" width="14" style="1" customWidth="1"/>
    <col min="8403" max="8403" width="13.5546875" style="1" customWidth="1"/>
    <col min="8404" max="8404" width="48.44140625" style="1" customWidth="1"/>
    <col min="8405" max="8637" width="9.21875" style="1"/>
    <col min="8638" max="8638" width="0.77734375" style="1" customWidth="1"/>
    <col min="8639" max="8639" width="11.44140625" style="1" bestFit="1" customWidth="1"/>
    <col min="8640" max="8640" width="13.44140625" style="1" customWidth="1"/>
    <col min="8641" max="8643" width="13.21875" style="1" customWidth="1"/>
    <col min="8644" max="8657" width="13.44140625" style="1" customWidth="1"/>
    <col min="8658" max="8658" width="14" style="1" customWidth="1"/>
    <col min="8659" max="8659" width="13.5546875" style="1" customWidth="1"/>
    <col min="8660" max="8660" width="48.44140625" style="1" customWidth="1"/>
    <col min="8661" max="8893" width="9.21875" style="1"/>
    <col min="8894" max="8894" width="0.77734375" style="1" customWidth="1"/>
    <col min="8895" max="8895" width="11.44140625" style="1" bestFit="1" customWidth="1"/>
    <col min="8896" max="8896" width="13.44140625" style="1" customWidth="1"/>
    <col min="8897" max="8899" width="13.21875" style="1" customWidth="1"/>
    <col min="8900" max="8913" width="13.44140625" style="1" customWidth="1"/>
    <col min="8914" max="8914" width="14" style="1" customWidth="1"/>
    <col min="8915" max="8915" width="13.5546875" style="1" customWidth="1"/>
    <col min="8916" max="8916" width="48.44140625" style="1" customWidth="1"/>
    <col min="8917" max="9149" width="9.21875" style="1"/>
    <col min="9150" max="9150" width="0.77734375" style="1" customWidth="1"/>
    <col min="9151" max="9151" width="11.44140625" style="1" bestFit="1" customWidth="1"/>
    <col min="9152" max="9152" width="13.44140625" style="1" customWidth="1"/>
    <col min="9153" max="9155" width="13.21875" style="1" customWidth="1"/>
    <col min="9156" max="9169" width="13.44140625" style="1" customWidth="1"/>
    <col min="9170" max="9170" width="14" style="1" customWidth="1"/>
    <col min="9171" max="9171" width="13.5546875" style="1" customWidth="1"/>
    <col min="9172" max="9172" width="48.44140625" style="1" customWidth="1"/>
    <col min="9173" max="9405" width="9.21875" style="1"/>
    <col min="9406" max="9406" width="0.77734375" style="1" customWidth="1"/>
    <col min="9407" max="9407" width="11.44140625" style="1" bestFit="1" customWidth="1"/>
    <col min="9408" max="9408" width="13.44140625" style="1" customWidth="1"/>
    <col min="9409" max="9411" width="13.21875" style="1" customWidth="1"/>
    <col min="9412" max="9425" width="13.44140625" style="1" customWidth="1"/>
    <col min="9426" max="9426" width="14" style="1" customWidth="1"/>
    <col min="9427" max="9427" width="13.5546875" style="1" customWidth="1"/>
    <col min="9428" max="9428" width="48.44140625" style="1" customWidth="1"/>
    <col min="9429" max="9661" width="9.21875" style="1"/>
    <col min="9662" max="9662" width="0.77734375" style="1" customWidth="1"/>
    <col min="9663" max="9663" width="11.44140625" style="1" bestFit="1" customWidth="1"/>
    <col min="9664" max="9664" width="13.44140625" style="1" customWidth="1"/>
    <col min="9665" max="9667" width="13.21875" style="1" customWidth="1"/>
    <col min="9668" max="9681" width="13.44140625" style="1" customWidth="1"/>
    <col min="9682" max="9682" width="14" style="1" customWidth="1"/>
    <col min="9683" max="9683" width="13.5546875" style="1" customWidth="1"/>
    <col min="9684" max="9684" width="48.44140625" style="1" customWidth="1"/>
    <col min="9685" max="9917" width="9.21875" style="1"/>
    <col min="9918" max="9918" width="0.77734375" style="1" customWidth="1"/>
    <col min="9919" max="9919" width="11.44140625" style="1" bestFit="1" customWidth="1"/>
    <col min="9920" max="9920" width="13.44140625" style="1" customWidth="1"/>
    <col min="9921" max="9923" width="13.21875" style="1" customWidth="1"/>
    <col min="9924" max="9937" width="13.44140625" style="1" customWidth="1"/>
    <col min="9938" max="9938" width="14" style="1" customWidth="1"/>
    <col min="9939" max="9939" width="13.5546875" style="1" customWidth="1"/>
    <col min="9940" max="9940" width="48.44140625" style="1" customWidth="1"/>
    <col min="9941" max="10173" width="9.21875" style="1"/>
    <col min="10174" max="10174" width="0.77734375" style="1" customWidth="1"/>
    <col min="10175" max="10175" width="11.44140625" style="1" bestFit="1" customWidth="1"/>
    <col min="10176" max="10176" width="13.44140625" style="1" customWidth="1"/>
    <col min="10177" max="10179" width="13.21875" style="1" customWidth="1"/>
    <col min="10180" max="10193" width="13.44140625" style="1" customWidth="1"/>
    <col min="10194" max="10194" width="14" style="1" customWidth="1"/>
    <col min="10195" max="10195" width="13.5546875" style="1" customWidth="1"/>
    <col min="10196" max="10196" width="48.44140625" style="1" customWidth="1"/>
    <col min="10197" max="10429" width="9.21875" style="1"/>
    <col min="10430" max="10430" width="0.77734375" style="1" customWidth="1"/>
    <col min="10431" max="10431" width="11.44140625" style="1" bestFit="1" customWidth="1"/>
    <col min="10432" max="10432" width="13.44140625" style="1" customWidth="1"/>
    <col min="10433" max="10435" width="13.21875" style="1" customWidth="1"/>
    <col min="10436" max="10449" width="13.44140625" style="1" customWidth="1"/>
    <col min="10450" max="10450" width="14" style="1" customWidth="1"/>
    <col min="10451" max="10451" width="13.5546875" style="1" customWidth="1"/>
    <col min="10452" max="10452" width="48.44140625" style="1" customWidth="1"/>
    <col min="10453" max="10685" width="9.21875" style="1"/>
    <col min="10686" max="10686" width="0.77734375" style="1" customWidth="1"/>
    <col min="10687" max="10687" width="11.44140625" style="1" bestFit="1" customWidth="1"/>
    <col min="10688" max="10688" width="13.44140625" style="1" customWidth="1"/>
    <col min="10689" max="10691" width="13.21875" style="1" customWidth="1"/>
    <col min="10692" max="10705" width="13.44140625" style="1" customWidth="1"/>
    <col min="10706" max="10706" width="14" style="1" customWidth="1"/>
    <col min="10707" max="10707" width="13.5546875" style="1" customWidth="1"/>
    <col min="10708" max="10708" width="48.44140625" style="1" customWidth="1"/>
    <col min="10709" max="10941" width="9.21875" style="1"/>
    <col min="10942" max="10942" width="0.77734375" style="1" customWidth="1"/>
    <col min="10943" max="10943" width="11.44140625" style="1" bestFit="1" customWidth="1"/>
    <col min="10944" max="10944" width="13.44140625" style="1" customWidth="1"/>
    <col min="10945" max="10947" width="13.21875" style="1" customWidth="1"/>
    <col min="10948" max="10961" width="13.44140625" style="1" customWidth="1"/>
    <col min="10962" max="10962" width="14" style="1" customWidth="1"/>
    <col min="10963" max="10963" width="13.5546875" style="1" customWidth="1"/>
    <col min="10964" max="10964" width="48.44140625" style="1" customWidth="1"/>
    <col min="10965" max="11197" width="9.21875" style="1"/>
    <col min="11198" max="11198" width="0.77734375" style="1" customWidth="1"/>
    <col min="11199" max="11199" width="11.44140625" style="1" bestFit="1" customWidth="1"/>
    <col min="11200" max="11200" width="13.44140625" style="1" customWidth="1"/>
    <col min="11201" max="11203" width="13.21875" style="1" customWidth="1"/>
    <col min="11204" max="11217" width="13.44140625" style="1" customWidth="1"/>
    <col min="11218" max="11218" width="14" style="1" customWidth="1"/>
    <col min="11219" max="11219" width="13.5546875" style="1" customWidth="1"/>
    <col min="11220" max="11220" width="48.44140625" style="1" customWidth="1"/>
    <col min="11221" max="11453" width="9.21875" style="1"/>
    <col min="11454" max="11454" width="0.77734375" style="1" customWidth="1"/>
    <col min="11455" max="11455" width="11.44140625" style="1" bestFit="1" customWidth="1"/>
    <col min="11456" max="11456" width="13.44140625" style="1" customWidth="1"/>
    <col min="11457" max="11459" width="13.21875" style="1" customWidth="1"/>
    <col min="11460" max="11473" width="13.44140625" style="1" customWidth="1"/>
    <col min="11474" max="11474" width="14" style="1" customWidth="1"/>
    <col min="11475" max="11475" width="13.5546875" style="1" customWidth="1"/>
    <col min="11476" max="11476" width="48.44140625" style="1" customWidth="1"/>
    <col min="11477" max="11709" width="9.21875" style="1"/>
    <col min="11710" max="11710" width="0.77734375" style="1" customWidth="1"/>
    <col min="11711" max="11711" width="11.44140625" style="1" bestFit="1" customWidth="1"/>
    <col min="11712" max="11712" width="13.44140625" style="1" customWidth="1"/>
    <col min="11713" max="11715" width="13.21875" style="1" customWidth="1"/>
    <col min="11716" max="11729" width="13.44140625" style="1" customWidth="1"/>
    <col min="11730" max="11730" width="14" style="1" customWidth="1"/>
    <col min="11731" max="11731" width="13.5546875" style="1" customWidth="1"/>
    <col min="11732" max="11732" width="48.44140625" style="1" customWidth="1"/>
    <col min="11733" max="11965" width="9.21875" style="1"/>
    <col min="11966" max="11966" width="0.77734375" style="1" customWidth="1"/>
    <col min="11967" max="11967" width="11.44140625" style="1" bestFit="1" customWidth="1"/>
    <col min="11968" max="11968" width="13.44140625" style="1" customWidth="1"/>
    <col min="11969" max="11971" width="13.21875" style="1" customWidth="1"/>
    <col min="11972" max="11985" width="13.44140625" style="1" customWidth="1"/>
    <col min="11986" max="11986" width="14" style="1" customWidth="1"/>
    <col min="11987" max="11987" width="13.5546875" style="1" customWidth="1"/>
    <col min="11988" max="11988" width="48.44140625" style="1" customWidth="1"/>
    <col min="11989" max="12221" width="9.21875" style="1"/>
    <col min="12222" max="12222" width="0.77734375" style="1" customWidth="1"/>
    <col min="12223" max="12223" width="11.44140625" style="1" bestFit="1" customWidth="1"/>
    <col min="12224" max="12224" width="13.44140625" style="1" customWidth="1"/>
    <col min="12225" max="12227" width="13.21875" style="1" customWidth="1"/>
    <col min="12228" max="12241" width="13.44140625" style="1" customWidth="1"/>
    <col min="12242" max="12242" width="14" style="1" customWidth="1"/>
    <col min="12243" max="12243" width="13.5546875" style="1" customWidth="1"/>
    <col min="12244" max="12244" width="48.44140625" style="1" customWidth="1"/>
    <col min="12245" max="12477" width="9.21875" style="1"/>
    <col min="12478" max="12478" width="0.77734375" style="1" customWidth="1"/>
    <col min="12479" max="12479" width="11.44140625" style="1" bestFit="1" customWidth="1"/>
    <col min="12480" max="12480" width="13.44140625" style="1" customWidth="1"/>
    <col min="12481" max="12483" width="13.21875" style="1" customWidth="1"/>
    <col min="12484" max="12497" width="13.44140625" style="1" customWidth="1"/>
    <col min="12498" max="12498" width="14" style="1" customWidth="1"/>
    <col min="12499" max="12499" width="13.5546875" style="1" customWidth="1"/>
    <col min="12500" max="12500" width="48.44140625" style="1" customWidth="1"/>
    <col min="12501" max="12733" width="9.21875" style="1"/>
    <col min="12734" max="12734" width="0.77734375" style="1" customWidth="1"/>
    <col min="12735" max="12735" width="11.44140625" style="1" bestFit="1" customWidth="1"/>
    <col min="12736" max="12736" width="13.44140625" style="1" customWidth="1"/>
    <col min="12737" max="12739" width="13.21875" style="1" customWidth="1"/>
    <col min="12740" max="12753" width="13.44140625" style="1" customWidth="1"/>
    <col min="12754" max="12754" width="14" style="1" customWidth="1"/>
    <col min="12755" max="12755" width="13.5546875" style="1" customWidth="1"/>
    <col min="12756" max="12756" width="48.44140625" style="1" customWidth="1"/>
    <col min="12757" max="12989" width="9.21875" style="1"/>
    <col min="12990" max="12990" width="0.77734375" style="1" customWidth="1"/>
    <col min="12991" max="12991" width="11.44140625" style="1" bestFit="1" customWidth="1"/>
    <col min="12992" max="12992" width="13.44140625" style="1" customWidth="1"/>
    <col min="12993" max="12995" width="13.21875" style="1" customWidth="1"/>
    <col min="12996" max="13009" width="13.44140625" style="1" customWidth="1"/>
    <col min="13010" max="13010" width="14" style="1" customWidth="1"/>
    <col min="13011" max="13011" width="13.5546875" style="1" customWidth="1"/>
    <col min="13012" max="13012" width="48.44140625" style="1" customWidth="1"/>
    <col min="13013" max="13245" width="9.21875" style="1"/>
    <col min="13246" max="13246" width="0.77734375" style="1" customWidth="1"/>
    <col min="13247" max="13247" width="11.44140625" style="1" bestFit="1" customWidth="1"/>
    <col min="13248" max="13248" width="13.44140625" style="1" customWidth="1"/>
    <col min="13249" max="13251" width="13.21875" style="1" customWidth="1"/>
    <col min="13252" max="13265" width="13.44140625" style="1" customWidth="1"/>
    <col min="13266" max="13266" width="14" style="1" customWidth="1"/>
    <col min="13267" max="13267" width="13.5546875" style="1" customWidth="1"/>
    <col min="13268" max="13268" width="48.44140625" style="1" customWidth="1"/>
    <col min="13269" max="13501" width="9.21875" style="1"/>
    <col min="13502" max="13502" width="0.77734375" style="1" customWidth="1"/>
    <col min="13503" max="13503" width="11.44140625" style="1" bestFit="1" customWidth="1"/>
    <col min="13504" max="13504" width="13.44140625" style="1" customWidth="1"/>
    <col min="13505" max="13507" width="13.21875" style="1" customWidth="1"/>
    <col min="13508" max="13521" width="13.44140625" style="1" customWidth="1"/>
    <col min="13522" max="13522" width="14" style="1" customWidth="1"/>
    <col min="13523" max="13523" width="13.5546875" style="1" customWidth="1"/>
    <col min="13524" max="13524" width="48.44140625" style="1" customWidth="1"/>
    <col min="13525" max="13757" width="9.21875" style="1"/>
    <col min="13758" max="13758" width="0.77734375" style="1" customWidth="1"/>
    <col min="13759" max="13759" width="11.44140625" style="1" bestFit="1" customWidth="1"/>
    <col min="13760" max="13760" width="13.44140625" style="1" customWidth="1"/>
    <col min="13761" max="13763" width="13.21875" style="1" customWidth="1"/>
    <col min="13764" max="13777" width="13.44140625" style="1" customWidth="1"/>
    <col min="13778" max="13778" width="14" style="1" customWidth="1"/>
    <col min="13779" max="13779" width="13.5546875" style="1" customWidth="1"/>
    <col min="13780" max="13780" width="48.44140625" style="1" customWidth="1"/>
    <col min="13781" max="14013" width="9.21875" style="1"/>
    <col min="14014" max="14014" width="0.77734375" style="1" customWidth="1"/>
    <col min="14015" max="14015" width="11.44140625" style="1" bestFit="1" customWidth="1"/>
    <col min="14016" max="14016" width="13.44140625" style="1" customWidth="1"/>
    <col min="14017" max="14019" width="13.21875" style="1" customWidth="1"/>
    <col min="14020" max="14033" width="13.44140625" style="1" customWidth="1"/>
    <col min="14034" max="14034" width="14" style="1" customWidth="1"/>
    <col min="14035" max="14035" width="13.5546875" style="1" customWidth="1"/>
    <col min="14036" max="14036" width="48.44140625" style="1" customWidth="1"/>
    <col min="14037" max="14269" width="9.21875" style="1"/>
    <col min="14270" max="14270" width="0.77734375" style="1" customWidth="1"/>
    <col min="14271" max="14271" width="11.44140625" style="1" bestFit="1" customWidth="1"/>
    <col min="14272" max="14272" width="13.44140625" style="1" customWidth="1"/>
    <col min="14273" max="14275" width="13.21875" style="1" customWidth="1"/>
    <col min="14276" max="14289" width="13.44140625" style="1" customWidth="1"/>
    <col min="14290" max="14290" width="14" style="1" customWidth="1"/>
    <col min="14291" max="14291" width="13.5546875" style="1" customWidth="1"/>
    <col min="14292" max="14292" width="48.44140625" style="1" customWidth="1"/>
    <col min="14293" max="14525" width="9.21875" style="1"/>
    <col min="14526" max="14526" width="0.77734375" style="1" customWidth="1"/>
    <col min="14527" max="14527" width="11.44140625" style="1" bestFit="1" customWidth="1"/>
    <col min="14528" max="14528" width="13.44140625" style="1" customWidth="1"/>
    <col min="14529" max="14531" width="13.21875" style="1" customWidth="1"/>
    <col min="14532" max="14545" width="13.44140625" style="1" customWidth="1"/>
    <col min="14546" max="14546" width="14" style="1" customWidth="1"/>
    <col min="14547" max="14547" width="13.5546875" style="1" customWidth="1"/>
    <col min="14548" max="14548" width="48.44140625" style="1" customWidth="1"/>
    <col min="14549" max="14781" width="9.21875" style="1"/>
    <col min="14782" max="14782" width="0.77734375" style="1" customWidth="1"/>
    <col min="14783" max="14783" width="11.44140625" style="1" bestFit="1" customWidth="1"/>
    <col min="14784" max="14784" width="13.44140625" style="1" customWidth="1"/>
    <col min="14785" max="14787" width="13.21875" style="1" customWidth="1"/>
    <col min="14788" max="14801" width="13.44140625" style="1" customWidth="1"/>
    <col min="14802" max="14802" width="14" style="1" customWidth="1"/>
    <col min="14803" max="14803" width="13.5546875" style="1" customWidth="1"/>
    <col min="14804" max="14804" width="48.44140625" style="1" customWidth="1"/>
    <col min="14805" max="15037" width="9.21875" style="1"/>
    <col min="15038" max="15038" width="0.77734375" style="1" customWidth="1"/>
    <col min="15039" max="15039" width="11.44140625" style="1" bestFit="1" customWidth="1"/>
    <col min="15040" max="15040" width="13.44140625" style="1" customWidth="1"/>
    <col min="15041" max="15043" width="13.21875" style="1" customWidth="1"/>
    <col min="15044" max="15057" width="13.44140625" style="1" customWidth="1"/>
    <col min="15058" max="15058" width="14" style="1" customWidth="1"/>
    <col min="15059" max="15059" width="13.5546875" style="1" customWidth="1"/>
    <col min="15060" max="15060" width="48.44140625" style="1" customWidth="1"/>
    <col min="15061" max="15293" width="9.21875" style="1"/>
    <col min="15294" max="15294" width="0.77734375" style="1" customWidth="1"/>
    <col min="15295" max="15295" width="11.44140625" style="1" bestFit="1" customWidth="1"/>
    <col min="15296" max="15296" width="13.44140625" style="1" customWidth="1"/>
    <col min="15297" max="15299" width="13.21875" style="1" customWidth="1"/>
    <col min="15300" max="15313" width="13.44140625" style="1" customWidth="1"/>
    <col min="15314" max="15314" width="14" style="1" customWidth="1"/>
    <col min="15315" max="15315" width="13.5546875" style="1" customWidth="1"/>
    <col min="15316" max="15316" width="48.44140625" style="1" customWidth="1"/>
    <col min="15317" max="15549" width="9.21875" style="1"/>
    <col min="15550" max="15550" width="0.77734375" style="1" customWidth="1"/>
    <col min="15551" max="15551" width="11.44140625" style="1" bestFit="1" customWidth="1"/>
    <col min="15552" max="15552" width="13.44140625" style="1" customWidth="1"/>
    <col min="15553" max="15555" width="13.21875" style="1" customWidth="1"/>
    <col min="15556" max="15569" width="13.44140625" style="1" customWidth="1"/>
    <col min="15570" max="15570" width="14" style="1" customWidth="1"/>
    <col min="15571" max="15571" width="13.5546875" style="1" customWidth="1"/>
    <col min="15572" max="15572" width="48.44140625" style="1" customWidth="1"/>
    <col min="15573" max="15805" width="9.21875" style="1"/>
    <col min="15806" max="15806" width="0.77734375" style="1" customWidth="1"/>
    <col min="15807" max="15807" width="11.44140625" style="1" bestFit="1" customWidth="1"/>
    <col min="15808" max="15808" width="13.44140625" style="1" customWidth="1"/>
    <col min="15809" max="15811" width="13.21875" style="1" customWidth="1"/>
    <col min="15812" max="15825" width="13.44140625" style="1" customWidth="1"/>
    <col min="15826" max="15826" width="14" style="1" customWidth="1"/>
    <col min="15827" max="15827" width="13.5546875" style="1" customWidth="1"/>
    <col min="15828" max="15828" width="48.44140625" style="1" customWidth="1"/>
    <col min="15829" max="16061" width="9.21875" style="1"/>
    <col min="16062" max="16062" width="0.77734375" style="1" customWidth="1"/>
    <col min="16063" max="16063" width="11.44140625" style="1" bestFit="1" customWidth="1"/>
    <col min="16064" max="16064" width="13.44140625" style="1" customWidth="1"/>
    <col min="16065" max="16067" width="13.21875" style="1" customWidth="1"/>
    <col min="16068" max="16081" width="13.44140625" style="1" customWidth="1"/>
    <col min="16082" max="16082" width="14" style="1" customWidth="1"/>
    <col min="16083" max="16083" width="13.5546875" style="1" customWidth="1"/>
    <col min="16084" max="16084" width="48.44140625" style="1" customWidth="1"/>
    <col min="16085" max="16384" width="9.21875" style="1"/>
  </cols>
  <sheetData>
    <row r="1" spans="2:29" ht="24" customHeight="1">
      <c r="H1" s="2" t="s">
        <v>275</v>
      </c>
      <c r="I1" s="2"/>
      <c r="J1" s="2"/>
      <c r="K1" s="1224"/>
      <c r="L1" s="2"/>
      <c r="M1" s="2"/>
      <c r="N1" s="2"/>
      <c r="P1" s="2"/>
      <c r="Q1" s="2"/>
      <c r="R1" s="2"/>
    </row>
    <row r="2" spans="2:29" ht="22.2">
      <c r="H2" s="2" t="s">
        <v>0</v>
      </c>
      <c r="I2" s="2"/>
      <c r="J2" s="2"/>
      <c r="K2" s="1224"/>
      <c r="L2" s="2"/>
      <c r="M2" s="2"/>
      <c r="N2" s="2"/>
      <c r="P2" s="2"/>
      <c r="Q2" s="2"/>
      <c r="R2" s="2"/>
      <c r="S2" s="3"/>
      <c r="T2" s="3"/>
      <c r="U2" s="3"/>
      <c r="V2" s="3"/>
      <c r="W2" s="3"/>
      <c r="X2" s="3"/>
      <c r="Y2" s="3"/>
      <c r="Z2" s="3"/>
      <c r="AA2" s="3"/>
      <c r="AB2" s="3"/>
      <c r="AC2" s="3"/>
    </row>
    <row r="3" spans="2:29">
      <c r="H3" s="4"/>
      <c r="I3" s="4"/>
      <c r="J3" s="4"/>
      <c r="K3" s="1225"/>
      <c r="L3" s="4"/>
      <c r="M3" s="4"/>
      <c r="N3" s="4"/>
      <c r="O3" s="4" t="s">
        <v>1</v>
      </c>
      <c r="P3" s="5">
        <v>44562</v>
      </c>
      <c r="Q3" s="4"/>
      <c r="R3" s="4"/>
      <c r="S3" s="3"/>
      <c r="T3" s="3"/>
      <c r="U3" s="3"/>
      <c r="V3" s="3"/>
      <c r="W3" s="3"/>
      <c r="X3" s="3"/>
      <c r="Y3" s="3"/>
      <c r="Z3" s="3"/>
      <c r="AA3" s="3"/>
      <c r="AB3" s="3"/>
      <c r="AC3" s="3"/>
    </row>
    <row r="4" spans="2:29">
      <c r="H4" s="4"/>
      <c r="I4" s="4"/>
      <c r="J4" s="4"/>
      <c r="K4" s="1225"/>
      <c r="L4" s="4"/>
      <c r="M4" s="4"/>
      <c r="N4" s="4"/>
      <c r="O4" s="4" t="s">
        <v>2</v>
      </c>
      <c r="P4" s="5">
        <v>44926</v>
      </c>
      <c r="Q4" s="4"/>
      <c r="R4" s="4"/>
      <c r="S4" s="6"/>
      <c r="T4" s="6"/>
      <c r="U4" s="6"/>
      <c r="V4" s="6"/>
      <c r="W4" s="6"/>
      <c r="X4" s="6"/>
      <c r="Y4" s="6"/>
      <c r="Z4" s="6"/>
      <c r="AA4" s="6"/>
      <c r="AB4" s="6"/>
      <c r="AC4" s="6"/>
    </row>
    <row r="5" spans="2:29">
      <c r="H5" s="4"/>
      <c r="I5" s="4"/>
      <c r="J5" s="4"/>
      <c r="K5" s="1225"/>
      <c r="L5" s="4"/>
      <c r="M5" s="4"/>
      <c r="N5" s="4"/>
      <c r="O5" s="4" t="s">
        <v>3</v>
      </c>
      <c r="P5" s="7">
        <f ca="1">TODAY()</f>
        <v>45126</v>
      </c>
      <c r="Q5" s="4"/>
      <c r="R5" s="4"/>
    </row>
    <row r="6" spans="2:29" ht="15" thickBot="1">
      <c r="B6" s="161">
        <v>1</v>
      </c>
      <c r="C6" s="161">
        <v>2</v>
      </c>
      <c r="D6" s="161"/>
      <c r="E6" s="162">
        <v>3</v>
      </c>
      <c r="F6" s="162">
        <v>4</v>
      </c>
      <c r="G6" s="162"/>
      <c r="H6" s="162">
        <v>5</v>
      </c>
      <c r="I6" s="162"/>
      <c r="J6" s="162"/>
      <c r="K6" s="1219"/>
      <c r="L6" s="162"/>
      <c r="M6" s="162"/>
      <c r="N6" s="162">
        <v>9</v>
      </c>
      <c r="O6" s="162">
        <v>6</v>
      </c>
      <c r="P6" s="162">
        <v>7</v>
      </c>
      <c r="Q6" s="162">
        <v>8</v>
      </c>
      <c r="R6" s="162">
        <v>9</v>
      </c>
      <c r="S6" s="162">
        <v>10</v>
      </c>
      <c r="T6" s="162">
        <v>11</v>
      </c>
      <c r="U6" s="162"/>
      <c r="V6" s="162"/>
      <c r="W6" s="162"/>
      <c r="X6" s="162"/>
      <c r="Y6" s="162"/>
      <c r="Z6" s="162"/>
      <c r="AA6" s="162"/>
      <c r="AB6" s="162"/>
      <c r="AC6" s="162"/>
    </row>
    <row r="7" spans="2:29" ht="39.75" customHeight="1" thickBot="1">
      <c r="B7" s="1810" t="s">
        <v>1390</v>
      </c>
      <c r="C7" s="1811"/>
      <c r="D7" s="1811"/>
      <c r="E7" s="1811"/>
      <c r="F7" s="1811"/>
      <c r="G7" s="1811"/>
      <c r="H7" s="1811"/>
      <c r="I7" s="1811"/>
      <c r="J7" s="1811"/>
      <c r="K7" s="1811"/>
      <c r="L7" s="1811"/>
      <c r="M7" s="1811"/>
      <c r="N7" s="1811"/>
      <c r="O7" s="1811"/>
      <c r="P7" s="1811"/>
      <c r="Q7" s="1811"/>
      <c r="R7" s="1811"/>
      <c r="S7" s="1811"/>
      <c r="T7" s="1811"/>
      <c r="U7" s="1811"/>
      <c r="V7" s="1811"/>
      <c r="W7" s="1811"/>
      <c r="X7" s="1811"/>
      <c r="Y7" s="1811"/>
      <c r="Z7" s="1811"/>
      <c r="AA7" s="1811"/>
      <c r="AB7" s="1811"/>
      <c r="AC7" s="1812"/>
    </row>
    <row r="8" spans="2:29" ht="32.25" customHeight="1" thickBot="1">
      <c r="B8" s="1813" t="s">
        <v>4</v>
      </c>
      <c r="C8" s="2403" t="s">
        <v>190</v>
      </c>
      <c r="D8" s="2404"/>
      <c r="E8" s="2404"/>
      <c r="F8" s="2404"/>
      <c r="G8" s="2405"/>
      <c r="H8" s="2409" t="s">
        <v>1015</v>
      </c>
      <c r="I8" s="2410"/>
      <c r="J8" s="2410"/>
      <c r="K8" s="2410"/>
      <c r="L8" s="2410"/>
      <c r="M8" s="2411"/>
      <c r="N8" s="2412" t="s">
        <v>1014</v>
      </c>
      <c r="O8" s="2413"/>
      <c r="P8" s="2413"/>
      <c r="Q8" s="2413"/>
      <c r="R8" s="2414"/>
      <c r="S8" s="2406"/>
      <c r="T8" s="2407"/>
      <c r="U8" s="2407"/>
      <c r="V8" s="2407"/>
      <c r="W8" s="2407"/>
      <c r="X8" s="2407"/>
      <c r="Y8" s="2408"/>
      <c r="Z8" s="723"/>
      <c r="AA8" s="723"/>
      <c r="AB8" s="723"/>
      <c r="AC8" s="724"/>
    </row>
    <row r="9" spans="2:29" ht="44.25" customHeight="1" thickBot="1">
      <c r="B9" s="1813"/>
      <c r="C9" s="2400" t="s">
        <v>915</v>
      </c>
      <c r="D9" s="2401"/>
      <c r="E9" s="2401"/>
      <c r="F9" s="2401"/>
      <c r="G9" s="2402"/>
      <c r="H9" s="725" t="s">
        <v>916</v>
      </c>
      <c r="I9" s="658" t="s">
        <v>921</v>
      </c>
      <c r="J9" s="658" t="s">
        <v>920</v>
      </c>
      <c r="K9" s="658" t="s">
        <v>922</v>
      </c>
      <c r="L9" s="658" t="s">
        <v>954</v>
      </c>
      <c r="M9" s="658" t="s">
        <v>919</v>
      </c>
      <c r="N9" s="658" t="s">
        <v>919</v>
      </c>
      <c r="O9" s="658" t="s">
        <v>921</v>
      </c>
      <c r="P9" s="658" t="s">
        <v>920</v>
      </c>
      <c r="Q9" s="658" t="s">
        <v>922</v>
      </c>
      <c r="R9" s="658" t="s">
        <v>954</v>
      </c>
      <c r="S9" s="712" t="s">
        <v>273</v>
      </c>
      <c r="T9" s="712" t="s">
        <v>274</v>
      </c>
      <c r="U9" s="712" t="s">
        <v>946</v>
      </c>
      <c r="V9" s="712" t="s">
        <v>945</v>
      </c>
      <c r="W9" s="712" t="s">
        <v>977</v>
      </c>
      <c r="X9" s="712" t="s">
        <v>978</v>
      </c>
      <c r="Y9" s="170" t="s">
        <v>979</v>
      </c>
      <c r="Z9" s="733" t="s">
        <v>921</v>
      </c>
      <c r="AA9" s="658" t="s">
        <v>920</v>
      </c>
      <c r="AB9" s="658" t="s">
        <v>922</v>
      </c>
      <c r="AC9" s="658" t="s">
        <v>919</v>
      </c>
    </row>
    <row r="10" spans="2:29" ht="66" customHeight="1" thickBot="1">
      <c r="B10" s="2127"/>
      <c r="C10" s="16" t="s">
        <v>912</v>
      </c>
      <c r="D10" s="16" t="s">
        <v>911</v>
      </c>
      <c r="E10" s="16" t="s">
        <v>910</v>
      </c>
      <c r="F10" s="16" t="s">
        <v>913</v>
      </c>
      <c r="G10" s="659" t="s">
        <v>914</v>
      </c>
      <c r="H10" s="17" t="s">
        <v>981</v>
      </c>
      <c r="I10" s="17" t="s">
        <v>1009</v>
      </c>
      <c r="J10" s="17" t="s">
        <v>1008</v>
      </c>
      <c r="K10" s="17" t="s">
        <v>1010</v>
      </c>
      <c r="L10" s="17" t="s">
        <v>917</v>
      </c>
      <c r="M10" s="17" t="s">
        <v>918</v>
      </c>
      <c r="N10" s="17" t="s">
        <v>918</v>
      </c>
      <c r="O10" s="734" t="s">
        <v>1011</v>
      </c>
      <c r="P10" s="734" t="s">
        <v>1012</v>
      </c>
      <c r="Q10" s="734" t="s">
        <v>1013</v>
      </c>
      <c r="R10" s="17" t="s">
        <v>917</v>
      </c>
      <c r="S10" s="18" t="s">
        <v>11</v>
      </c>
      <c r="T10" s="18" t="s">
        <v>11</v>
      </c>
      <c r="U10" s="18" t="s">
        <v>11</v>
      </c>
      <c r="V10" s="18" t="s">
        <v>11</v>
      </c>
      <c r="W10" s="18" t="s">
        <v>976</v>
      </c>
      <c r="X10" s="18" t="s">
        <v>11</v>
      </c>
      <c r="Y10" s="19" t="s">
        <v>11</v>
      </c>
      <c r="Z10" s="734" t="s">
        <v>1011</v>
      </c>
      <c r="AA10" s="734" t="s">
        <v>1012</v>
      </c>
      <c r="AB10" s="734" t="s">
        <v>1013</v>
      </c>
      <c r="AC10" s="713" t="s">
        <v>980</v>
      </c>
    </row>
    <row r="11" spans="2:29">
      <c r="B11" s="8">
        <v>44562</v>
      </c>
      <c r="C11" s="211">
        <f ca="1">DATOSAÑO!I11</f>
        <v>143.53999999992084</v>
      </c>
      <c r="D11" s="204">
        <f ca="1">DATOSAÑO!P11</f>
        <v>281.23999999999978</v>
      </c>
      <c r="E11" s="204">
        <f ca="1">DATOSAÑO!Q11</f>
        <v>0</v>
      </c>
      <c r="F11" s="204">
        <f ca="1">DATOSAÑO!T11</f>
        <v>0</v>
      </c>
      <c r="G11" s="204">
        <f ca="1">SUM(C11:F11)</f>
        <v>424.77999999992062</v>
      </c>
      <c r="H11" s="204">
        <f ca="1">G11-SUM(I11:M11)</f>
        <v>29.933999999984394</v>
      </c>
      <c r="I11" s="204">
        <f t="shared" ref="I11:I73" ca="1" si="0">O11+Z11</f>
        <v>187.86636541481991</v>
      </c>
      <c r="J11" s="204">
        <f t="shared" ref="J11:J73" ca="1" si="1">P11+AA11</f>
        <v>43.920350444438732</v>
      </c>
      <c r="K11" s="204">
        <f t="shared" ref="K11:K73" ca="1" si="2">Q11+AB11</f>
        <v>8.4865180963702986</v>
      </c>
      <c r="L11" s="204">
        <f ca="1">R11</f>
        <v>148.49599999998864</v>
      </c>
      <c r="M11" s="204">
        <f t="shared" ref="M11:M73" ca="1" si="3">N11+AC11</f>
        <v>6.0767660443186751</v>
      </c>
      <c r="N11" s="204">
        <f ca="1">U11</f>
        <v>5.8000000000029104</v>
      </c>
      <c r="O11" s="204">
        <f ca="1">(DATOSAÑO!AJ11+DATOSAÑO!AK11+DATOSAÑO!AD11)</f>
        <v>179.30999999995402</v>
      </c>
      <c r="P11" s="204">
        <f ca="1">DATOSAÑO!AI11</f>
        <v>41.92000000000553</v>
      </c>
      <c r="Q11" s="204">
        <f ca="1">DATOSAÑO!AH11</f>
        <v>8.0999999999985448</v>
      </c>
      <c r="R11" s="204">
        <f ca="1">DATOSAÑO!AM11+DATOSAÑO!AN11+DATOSAÑO!AF11</f>
        <v>148.49599999998864</v>
      </c>
      <c r="S11" s="211">
        <f ca="1">IF(B11&gt;=$P$5,0,CONTADORES!S3-CONTADORES!S2)</f>
        <v>17.019999999989523</v>
      </c>
      <c r="T11" s="204">
        <f ca="1">IF(B11&gt;=$P$5,0,(CONTADORES!U3-CONTADORES!U2)+(CONTADORES!AG3-CONTADORES!AG2))</f>
        <v>2.0299999999988358</v>
      </c>
      <c r="U11" s="204">
        <f ca="1">IF(B11&gt;=$P$5,0,(CONTADORES!AS3-CONTADORES!AS2))</f>
        <v>5.8000000000029104</v>
      </c>
      <c r="V11" s="204">
        <f ca="1">IF(B11&gt;=$P$5,0,(CONTADORES!AT3-CONTADORES!AT2))</f>
        <v>0</v>
      </c>
      <c r="W11" s="719">
        <v>0</v>
      </c>
      <c r="X11" s="204">
        <f ca="1">IF(W11=0,(T11-INICIO!$W$6),((T11-INICIO!$W$6)+V11))</f>
        <v>2.0299999999988358</v>
      </c>
      <c r="Y11" s="212">
        <f ca="1">(IF(W11=0,(S11-U11),((S11-U11)-V11))+E11)</f>
        <v>11.219999999986612</v>
      </c>
      <c r="Z11" s="211">
        <f ca="1">IF(B11&gt;=$P$5,0,($Y11*O11)/SUM($N11:$Q11))</f>
        <v>8.5563654148658923</v>
      </c>
      <c r="AA11" s="204">
        <f ca="1">IF(B11&gt;=$P$5,0,($Y11*P11)/SUM($N11:$Q11))</f>
        <v>2.0003504444332023</v>
      </c>
      <c r="AB11" s="204">
        <f ca="1">IF(B11&gt;=$P$5,0,($Y11*Q11)/SUM($N11:$Q11))</f>
        <v>0.38651809637175311</v>
      </c>
      <c r="AC11" s="212">
        <f ca="1">IF(B11&gt;=$P$5,0,($Y11*N11)/SUM($N11:$Q11))</f>
        <v>0.2767660443157649</v>
      </c>
    </row>
    <row r="12" spans="2:29">
      <c r="B12" s="214">
        <v>44563</v>
      </c>
      <c r="C12" s="202">
        <f ca="1">DATOSAÑO!I12</f>
        <v>148.60000000009313</v>
      </c>
      <c r="D12" s="196">
        <f ca="1">DATOSAÑO!P12</f>
        <v>294.14999999999964</v>
      </c>
      <c r="E12" s="196">
        <f ca="1">DATOSAÑO!Q12</f>
        <v>0</v>
      </c>
      <c r="F12" s="196">
        <f ca="1">DATOSAÑO!T12</f>
        <v>0</v>
      </c>
      <c r="G12" s="196">
        <f t="shared" ref="G12:G74" ca="1" si="4">SUM(C12:F12)</f>
        <v>442.75000000009277</v>
      </c>
      <c r="H12" s="196">
        <f t="shared" ref="H12:H41" ca="1" si="5">G12-SUM(I12:M12)</f>
        <v>31.031000000020015</v>
      </c>
      <c r="I12" s="196">
        <f t="shared" ca="1" si="0"/>
        <v>195.10183688470252</v>
      </c>
      <c r="J12" s="196">
        <f t="shared" ca="1" si="1"/>
        <v>45.183468038212226</v>
      </c>
      <c r="K12" s="196">
        <f t="shared" ca="1" si="2"/>
        <v>11.763245979260752</v>
      </c>
      <c r="L12" s="196">
        <f ca="1">R12</f>
        <v>154.41900000001164</v>
      </c>
      <c r="M12" s="196">
        <f t="shared" ca="1" si="3"/>
        <v>5.2514490978856285</v>
      </c>
      <c r="N12" s="196">
        <f ca="1">U12</f>
        <v>5</v>
      </c>
      <c r="O12" s="196">
        <f ca="1">(DATOSAÑO!AJ12+DATOSAÑO!AK12+DATOSAÑO!AD12)</f>
        <v>185.76000000005297</v>
      </c>
      <c r="P12" s="196">
        <f ca="1">DATOSAÑO!AI12</f>
        <v>43.020000000004075</v>
      </c>
      <c r="Q12" s="196">
        <f ca="1">DATOSAÑO!AH12</f>
        <v>11.19999999999709</v>
      </c>
      <c r="R12" s="206">
        <f ca="1">DATOSAÑO!AM12+DATOSAÑO!AN12+DATOSAÑO!AF12</f>
        <v>154.41900000001164</v>
      </c>
      <c r="S12" s="209">
        <f ca="1">IF(B12&gt;=$P$5,0,CONTADORES!S4-CONTADORES!S3)</f>
        <v>17.320000000006985</v>
      </c>
      <c r="T12" s="206">
        <f ca="1">IF(B12&gt;=$P$5,0,(CONTADORES!U4-CONTADORES!U3)+(CONTADORES!AG4-CONTADORES!AG3))</f>
        <v>2.0800000000017462</v>
      </c>
      <c r="U12" s="206">
        <f ca="1">IF(B12&gt;=$P$5,0,(CONTADORES!AS4-CONTADORES!AS3))</f>
        <v>5</v>
      </c>
      <c r="V12" s="206">
        <f ca="1">IF(B12&gt;=$P$5,0,(CONTADORES!AT4-CONTADORES!AT3))</f>
        <v>0</v>
      </c>
      <c r="W12" s="715">
        <v>0</v>
      </c>
      <c r="X12" s="206">
        <f ca="1">IF(W12=0,(T12-INICIO!$W$6),((T12-INICIO!$W$6)+V12))</f>
        <v>2.0800000000017462</v>
      </c>
      <c r="Y12" s="208">
        <f ca="1">(IF(W12=0,(S12-U12),((S12-U12)-V12))+E12)</f>
        <v>12.320000000006985</v>
      </c>
      <c r="Z12" s="209">
        <f ca="1">IF(B12&gt;=$P$5,0,($Y12*O12)/SUM($N12:$Q12))</f>
        <v>9.3418368846495401</v>
      </c>
      <c r="AA12" s="206">
        <f ca="1">IF(B12&gt;=$P$5,0,($Y12*P12)/SUM($N12:$Q12))</f>
        <v>2.1634680382081539</v>
      </c>
      <c r="AB12" s="206">
        <f ca="1">IF(B12&gt;=$P$5,0,($Y12*Q12)/SUM($N12:$Q12))</f>
        <v>0.56324597926366193</v>
      </c>
      <c r="AC12" s="208">
        <f t="shared" ref="AC12:AC74" ca="1" si="6">IF(B12&gt;=$P$5,0,($Y12*N12)/SUM($N12:$Q12))</f>
        <v>0.25144909788562869</v>
      </c>
    </row>
    <row r="13" spans="2:29">
      <c r="B13" s="214">
        <v>44564</v>
      </c>
      <c r="C13" s="202">
        <f ca="1">DATOSAÑO!I13</f>
        <v>148.29999999993015</v>
      </c>
      <c r="D13" s="196">
        <f ca="1">DATOSAÑO!P13</f>
        <v>298.82999999999993</v>
      </c>
      <c r="E13" s="196">
        <f ca="1">DATOSAÑO!Q13</f>
        <v>0.21199999999998909</v>
      </c>
      <c r="F13" s="196">
        <f ca="1">DATOSAÑO!T13</f>
        <v>0.2239999999999327</v>
      </c>
      <c r="G13" s="196">
        <f t="shared" ca="1" si="4"/>
        <v>447.56599999993</v>
      </c>
      <c r="H13" s="196">
        <f t="shared" ca="1" si="5"/>
        <v>32.605999999891026</v>
      </c>
      <c r="I13" s="196">
        <f t="shared" ca="1" si="0"/>
        <v>193.66623442283901</v>
      </c>
      <c r="J13" s="196">
        <f t="shared" ca="1" si="1"/>
        <v>45.881866528752568</v>
      </c>
      <c r="K13" s="196">
        <f t="shared" ca="1" si="2"/>
        <v>9.140651220525843</v>
      </c>
      <c r="L13" s="196">
        <f ca="1">R13</f>
        <v>161.01800000003573</v>
      </c>
      <c r="M13" s="196">
        <f t="shared" ca="1" si="3"/>
        <v>5.2532478278857804</v>
      </c>
      <c r="N13" s="196">
        <f t="shared" ref="N13:N75" ca="1" si="7">U13</f>
        <v>5</v>
      </c>
      <c r="O13" s="196">
        <f ca="1">(DATOSAÑO!AJ13+DATOSAÑO!AK13+DATOSAÑO!AD13)</f>
        <v>184.33000000000175</v>
      </c>
      <c r="P13" s="196">
        <f ca="1">DATOSAÑO!AI13</f>
        <v>43.669999999998254</v>
      </c>
      <c r="Q13" s="196">
        <f ca="1">DATOSAÑO!AH13</f>
        <v>8.7000000000043656</v>
      </c>
      <c r="R13" s="206">
        <f ca="1">DATOSAÑO!AM13+DATOSAÑO!AN13+DATOSAÑO!AF13</f>
        <v>161.01800000003573</v>
      </c>
      <c r="S13" s="209">
        <f ca="1">IF(B13&gt;=$P$5,0,CONTADORES!S5-CONTADORES!S4)</f>
        <v>17.029999999998836</v>
      </c>
      <c r="T13" s="206">
        <f ca="1">IF(B13&gt;=$P$5,0,(CONTADORES!U5-CONTADORES!U4)+(CONTADORES!AG5-CONTADORES!AG4))</f>
        <v>2.1100000000005821</v>
      </c>
      <c r="U13" s="206">
        <f ca="1">IF(B13&gt;=$P$5,0,(CONTADORES!AS5-CONTADORES!AS4))</f>
        <v>5</v>
      </c>
      <c r="V13" s="206">
        <f ca="1">IF(B13&gt;=$P$5,0,(CONTADORES!AT5-CONTADORES!AT4))</f>
        <v>0</v>
      </c>
      <c r="W13" s="715">
        <v>0</v>
      </c>
      <c r="X13" s="206">
        <f ca="1">IF(W13=0,(T13-INICIO!$W$6),((T13-INICIO!$W$6)+V13))</f>
        <v>2.1100000000005821</v>
      </c>
      <c r="Y13" s="208">
        <f t="shared" ref="Y13:Y75" ca="1" si="8">(IF(W13=0,(S13-U13),((S13-U13)-V13))+E13)</f>
        <v>12.241999999998825</v>
      </c>
      <c r="Z13" s="209">
        <f t="shared" ref="Z13:Z75" ca="1" si="9">IF(B13&gt;=$P$5,0,($Y13*O13)/SUM($N13:$Q13))</f>
        <v>9.3362344228372525</v>
      </c>
      <c r="AA13" s="206">
        <f t="shared" ref="AA13:AA75" ca="1" si="10">IF(B13&gt;=$P$5,0,($Y13*P13)/SUM($N13:$Q13))</f>
        <v>2.2118665287543138</v>
      </c>
      <c r="AB13" s="206">
        <f t="shared" ref="AB13:AB75" ca="1" si="11">IF(B13&gt;=$P$5,0,($Y13*Q13)/SUM($N13:$Q13))</f>
        <v>0.44065122052147826</v>
      </c>
      <c r="AC13" s="208">
        <f t="shared" ca="1" si="6"/>
        <v>0.25324782788577999</v>
      </c>
    </row>
    <row r="14" spans="2:29">
      <c r="B14" s="214">
        <v>44565</v>
      </c>
      <c r="C14" s="202">
        <f ca="1">DATOSAÑO!I14</f>
        <v>147.90000000002328</v>
      </c>
      <c r="D14" s="196">
        <f ca="1">DATOSAÑO!P14</f>
        <v>300.38000000000102</v>
      </c>
      <c r="E14" s="196">
        <f ca="1">DATOSAÑO!Q14</f>
        <v>0</v>
      </c>
      <c r="F14" s="196">
        <f ca="1">DATOSAÑO!T14</f>
        <v>0</v>
      </c>
      <c r="G14" s="196">
        <f t="shared" ca="1" si="4"/>
        <v>448.2800000000243</v>
      </c>
      <c r="H14" s="196">
        <f t="shared" ca="1" si="5"/>
        <v>31.655000000071027</v>
      </c>
      <c r="I14" s="196">
        <f t="shared" ca="1" si="0"/>
        <v>196.69665107352245</v>
      </c>
      <c r="J14" s="196">
        <f t="shared" ca="1" si="1"/>
        <v>47.372353364518077</v>
      </c>
      <c r="K14" s="196">
        <f t="shared" ca="1" si="2"/>
        <v>13.868154012232184</v>
      </c>
      <c r="L14" s="196">
        <f t="shared" ref="L14:L76" ca="1" si="12">R14</f>
        <v>153.85499999996375</v>
      </c>
      <c r="M14" s="196">
        <f t="shared" ca="1" si="3"/>
        <v>4.8328415497168127</v>
      </c>
      <c r="N14" s="196">
        <f t="shared" ca="1" si="7"/>
        <v>4.5999999999985448</v>
      </c>
      <c r="O14" s="196">
        <f ca="1">(DATOSAÑO!AJ14+DATOSAÑO!AK14+DATOSAÑO!AD14)</f>
        <v>187.21999999998661</v>
      </c>
      <c r="P14" s="196">
        <f ca="1">DATOSAÑO!AI14</f>
        <v>45.089999999996508</v>
      </c>
      <c r="Q14" s="196">
        <f ca="1">DATOSAÑO!AH14</f>
        <v>13.19999999999709</v>
      </c>
      <c r="R14" s="206">
        <f ca="1">DATOSAÑO!AM14+DATOSAÑO!AN14+DATOSAÑO!AF14</f>
        <v>153.85499999996375</v>
      </c>
      <c r="S14" s="209">
        <f ca="1">IF(B14&gt;=$P$5,0,CONTADORES!S6-CONTADORES!S5)</f>
        <v>17.260000000009313</v>
      </c>
      <c r="T14" s="206">
        <f ca="1">IF(B14&gt;=$P$5,0,(CONTADORES!U6-CONTADORES!U5)+(CONTADORES!AG6-CONTADORES!AG5))</f>
        <v>2.1100000000005821</v>
      </c>
      <c r="U14" s="206">
        <f ca="1">IF(B14&gt;=$P$5,0,(CONTADORES!AS6-CONTADORES!AS5))</f>
        <v>4.5999999999985448</v>
      </c>
      <c r="V14" s="206">
        <f ca="1">IF(B14&gt;=$P$5,0,(CONTADORES!AT6-CONTADORES!AT5))</f>
        <v>0</v>
      </c>
      <c r="W14" s="715">
        <v>0</v>
      </c>
      <c r="X14" s="206">
        <f ca="1">IF(W14=0,(T14-INICIO!$W$6),((T14-INICIO!$W$6)+V14))</f>
        <v>2.1100000000005821</v>
      </c>
      <c r="Y14" s="208">
        <f t="shared" ca="1" si="8"/>
        <v>12.660000000010768</v>
      </c>
      <c r="Z14" s="209">
        <f t="shared" ca="1" si="9"/>
        <v>9.4766510735358356</v>
      </c>
      <c r="AA14" s="206">
        <f t="shared" ca="1" si="10"/>
        <v>2.2823533645215694</v>
      </c>
      <c r="AB14" s="206">
        <f t="shared" ca="1" si="11"/>
        <v>0.66815401223509452</v>
      </c>
      <c r="AC14" s="208">
        <f t="shared" ca="1" si="6"/>
        <v>0.2328415497182682</v>
      </c>
    </row>
    <row r="15" spans="2:29">
      <c r="B15" s="214">
        <v>44566</v>
      </c>
      <c r="C15" s="202">
        <f ca="1">DATOSAÑO!I15</f>
        <v>146.5</v>
      </c>
      <c r="D15" s="196">
        <f ca="1">DATOSAÑO!P15</f>
        <v>301.10000000000036</v>
      </c>
      <c r="E15" s="196">
        <f ca="1">DATOSAÑO!Q15</f>
        <v>0.39999999999986358</v>
      </c>
      <c r="F15" s="196">
        <f ca="1">DATOSAÑO!T15</f>
        <v>0</v>
      </c>
      <c r="G15" s="196">
        <f t="shared" ca="1" si="4"/>
        <v>448.00000000000023</v>
      </c>
      <c r="H15" s="196">
        <f t="shared" ca="1" si="5"/>
        <v>35.030999999960727</v>
      </c>
      <c r="I15" s="196">
        <f t="shared" ca="1" si="0"/>
        <v>196.82651330923937</v>
      </c>
      <c r="J15" s="196">
        <f t="shared" ca="1" si="1"/>
        <v>48.618333881034545</v>
      </c>
      <c r="K15" s="196">
        <f t="shared" ca="1" si="2"/>
        <v>4.6223135064094238</v>
      </c>
      <c r="L15" s="196">
        <f t="shared" ca="1" si="12"/>
        <v>157.22900000003582</v>
      </c>
      <c r="M15" s="196">
        <f t="shared" ca="1" si="3"/>
        <v>5.6728393033203091</v>
      </c>
      <c r="N15" s="196">
        <f t="shared" ca="1" si="7"/>
        <v>5.4000000000014552</v>
      </c>
      <c r="O15" s="196">
        <f ca="1">(DATOSAÑO!AJ15+DATOSAÑO!AK15+DATOSAÑO!AD15)</f>
        <v>187.36000000001513</v>
      </c>
      <c r="P15" s="196">
        <f ca="1">DATOSAÑO!AI15</f>
        <v>46.279999999998836</v>
      </c>
      <c r="Q15" s="196">
        <f ca="1">DATOSAÑO!AH15</f>
        <v>4.4000000000014552</v>
      </c>
      <c r="R15" s="206">
        <f ca="1">DATOSAÑO!AM15+DATOSAÑO!AN15+DATOSAÑO!AF15</f>
        <v>157.22900000003582</v>
      </c>
      <c r="S15" s="209">
        <f ca="1">IF(B15&gt;=$P$5,0,CONTADORES!S7-CONTADORES!S6)</f>
        <v>17.299999999988358</v>
      </c>
      <c r="T15" s="206">
        <f ca="1">IF(B15&gt;=$P$5,0,(CONTADORES!U7-CONTADORES!U6)+(CONTADORES!AG7-CONTADORES!AG6))</f>
        <v>2.0599999999976717</v>
      </c>
      <c r="U15" s="206">
        <f ca="1">IF(B15&gt;=$P$5,0,(CONTADORES!AS7-CONTADORES!AS6))</f>
        <v>5.4000000000014552</v>
      </c>
      <c r="V15" s="206">
        <f ca="1">IF(B15&gt;=$P$5,0,(CONTADORES!AT7-CONTADORES!AT6))</f>
        <v>0</v>
      </c>
      <c r="W15" s="715">
        <v>0</v>
      </c>
      <c r="X15" s="206">
        <f ca="1">IF(W15=0,(T15-INICIO!$W$6),((T15-INICIO!$W$6)+V15))</f>
        <v>2.0599999999976717</v>
      </c>
      <c r="Y15" s="208">
        <f t="shared" ca="1" si="8"/>
        <v>12.299999999986767</v>
      </c>
      <c r="Z15" s="209">
        <f t="shared" ca="1" si="9"/>
        <v>9.4665133092242328</v>
      </c>
      <c r="AA15" s="206">
        <f t="shared" ca="1" si="10"/>
        <v>2.3383338810357124</v>
      </c>
      <c r="AB15" s="206">
        <f t="shared" ca="1" si="11"/>
        <v>0.22231350640796879</v>
      </c>
      <c r="AC15" s="208">
        <f t="shared" ca="1" si="6"/>
        <v>0.27283930331885409</v>
      </c>
    </row>
    <row r="16" spans="2:29">
      <c r="B16" s="214">
        <v>44567</v>
      </c>
      <c r="C16" s="202">
        <f ca="1">DATOSAÑO!I16</f>
        <v>108.80000000004657</v>
      </c>
      <c r="D16" s="196">
        <f ca="1">DATOSAÑO!P16</f>
        <v>212.69999999999891</v>
      </c>
      <c r="E16" s="196">
        <f ca="1">DATOSAÑO!Q16</f>
        <v>0</v>
      </c>
      <c r="F16" s="196">
        <f ca="1">DATOSAÑO!T16</f>
        <v>0</v>
      </c>
      <c r="G16" s="196">
        <f t="shared" ca="1" si="4"/>
        <v>321.50000000004547</v>
      </c>
      <c r="H16" s="196">
        <f t="shared" ca="1" si="5"/>
        <v>29.151000000118074</v>
      </c>
      <c r="I16" s="196">
        <f t="shared" ca="1" si="0"/>
        <v>200.6005707296639</v>
      </c>
      <c r="J16" s="196">
        <f t="shared" ca="1" si="1"/>
        <v>40.162168772939424</v>
      </c>
      <c r="K16" s="196">
        <f t="shared" ca="1" si="2"/>
        <v>11.144476151650546</v>
      </c>
      <c r="L16" s="196">
        <f t="shared" ca="1" si="12"/>
        <v>34.448999999976898</v>
      </c>
      <c r="M16" s="196">
        <f t="shared" ca="1" si="3"/>
        <v>5.9927843456966405</v>
      </c>
      <c r="N16" s="196">
        <f t="shared" ca="1" si="7"/>
        <v>5.6999999999970896</v>
      </c>
      <c r="O16" s="196">
        <f ca="1">(DATOSAÑO!AJ16+DATOSAÑO!AK16+DATOSAÑO!AD16)</f>
        <v>190.79999999993015</v>
      </c>
      <c r="P16" s="196">
        <f ca="1">DATOSAÑO!AI16</f>
        <v>38.200000000004366</v>
      </c>
      <c r="Q16" s="196">
        <f ca="1">DATOSAÑO!AH16</f>
        <v>10.599999999998545</v>
      </c>
      <c r="R16" s="206">
        <f ca="1">DATOSAÑO!AM16+DATOSAÑO!AN16+DATOSAÑO!AF16</f>
        <v>34.448999999976898</v>
      </c>
      <c r="S16" s="209">
        <f ca="1">IF(B16&gt;=$P$5,0,CONTADORES!S8-CONTADORES!S7)</f>
        <v>18.300000000017462</v>
      </c>
      <c r="T16" s="206">
        <f ca="1">IF(B16&gt;=$P$5,0,(CONTADORES!U8-CONTADORES!U7)+(CONTADORES!AG8-CONTADORES!AG7))</f>
        <v>2.2000000000043656</v>
      </c>
      <c r="U16" s="206">
        <f ca="1">IF(B16&gt;=$P$5,0,(CONTADORES!AS8-CONTADORES!AS7))</f>
        <v>5.6999999999970896</v>
      </c>
      <c r="V16" s="206">
        <f ca="1">IF(B16&gt;=$P$5,0,(CONTADORES!AT8-CONTADORES!AT7))</f>
        <v>0</v>
      </c>
      <c r="W16" s="715">
        <v>0</v>
      </c>
      <c r="X16" s="206">
        <f ca="1">IF(W16=0,(T16-INICIO!$W$6),((T16-INICIO!$W$6)+V16))</f>
        <v>2.2000000000043656</v>
      </c>
      <c r="Y16" s="208">
        <f t="shared" ca="1" si="8"/>
        <v>12.600000000020373</v>
      </c>
      <c r="Z16" s="209">
        <f t="shared" ca="1" si="9"/>
        <v>9.8005707297337619</v>
      </c>
      <c r="AA16" s="206">
        <f t="shared" ca="1" si="10"/>
        <v>1.9621687729350603</v>
      </c>
      <c r="AB16" s="206">
        <f t="shared" ca="1" si="11"/>
        <v>0.54447615165200025</v>
      </c>
      <c r="AC16" s="208">
        <f t="shared" ca="1" si="6"/>
        <v>0.2927843456995512</v>
      </c>
    </row>
    <row r="17" spans="2:29">
      <c r="B17" s="214">
        <v>44568</v>
      </c>
      <c r="C17" s="202">
        <f ca="1">DATOSAÑO!I17</f>
        <v>124.89999999990687</v>
      </c>
      <c r="D17" s="196">
        <f ca="1">DATOSAÑO!P17</f>
        <v>246.20000000000073</v>
      </c>
      <c r="E17" s="196">
        <f ca="1">DATOSAÑO!Q17</f>
        <v>0</v>
      </c>
      <c r="F17" s="196">
        <f ca="1">DATOSAÑO!T17</f>
        <v>1.0180000000000291</v>
      </c>
      <c r="G17" s="196">
        <f t="shared" ca="1" si="4"/>
        <v>372.11799999990762</v>
      </c>
      <c r="H17" s="196">
        <f t="shared" ca="1" si="5"/>
        <v>24.390999999923451</v>
      </c>
      <c r="I17" s="196">
        <f t="shared" ca="1" si="0"/>
        <v>202.79948564080991</v>
      </c>
      <c r="J17" s="196">
        <f t="shared" ca="1" si="1"/>
        <v>31.345563651951132</v>
      </c>
      <c r="K17" s="196">
        <f t="shared" ca="1" si="2"/>
        <v>5.7852550364333686</v>
      </c>
      <c r="L17" s="196">
        <f t="shared" ca="1" si="12"/>
        <v>102.32699999997544</v>
      </c>
      <c r="M17" s="196">
        <f t="shared" ca="1" si="3"/>
        <v>5.4696956708143221</v>
      </c>
      <c r="N17" s="196">
        <f t="shared" ca="1" si="7"/>
        <v>5.2000000000043656</v>
      </c>
      <c r="O17" s="196">
        <f ca="1">(DATOSAÑO!AJ17+DATOSAÑO!AK17+DATOSAÑO!AD17)</f>
        <v>192.80000000001746</v>
      </c>
      <c r="P17" s="196">
        <f ca="1">DATOSAÑO!AI17</f>
        <v>29.80000000000291</v>
      </c>
      <c r="Q17" s="196">
        <f ca="1">DATOSAÑO!AH17</f>
        <v>5.5</v>
      </c>
      <c r="R17" s="206">
        <f ca="1">DATOSAÑO!AM17+DATOSAÑO!AN17+DATOSAÑO!AF17</f>
        <v>102.32699999997544</v>
      </c>
      <c r="S17" s="209">
        <f ca="1">IF(B17&gt;=$P$5,0,CONTADORES!S9-CONTADORES!S8)</f>
        <v>17.299999999988358</v>
      </c>
      <c r="T17" s="206">
        <f ca="1">IF(B17&gt;=$P$5,0,(CONTADORES!U9-CONTADORES!U8)+(CONTADORES!AG9-CONTADORES!AG8))</f>
        <v>2.0999999999985448</v>
      </c>
      <c r="U17" s="206">
        <f ca="1">IF(B17&gt;=$P$5,0,(CONTADORES!AS9-CONTADORES!AS8))</f>
        <v>5.2000000000043656</v>
      </c>
      <c r="V17" s="206">
        <f ca="1">IF(B17&gt;=$P$5,0,(CONTADORES!AT9-CONTADORES!AT8))</f>
        <v>0</v>
      </c>
      <c r="W17" s="715">
        <v>0</v>
      </c>
      <c r="X17" s="206">
        <f ca="1">IF(W17=0,(T17-INICIO!$W$6),((T17-INICIO!$W$6)+V17))</f>
        <v>2.0999999999985448</v>
      </c>
      <c r="Y17" s="208">
        <f t="shared" ca="1" si="8"/>
        <v>12.099999999983993</v>
      </c>
      <c r="Z17" s="209">
        <f t="shared" ca="1" si="9"/>
        <v>9.9994856407924466</v>
      </c>
      <c r="AA17" s="206">
        <f t="shared" ca="1" si="10"/>
        <v>1.545563651948221</v>
      </c>
      <c r="AB17" s="206">
        <f t="shared" ca="1" si="11"/>
        <v>0.28525503643336864</v>
      </c>
      <c r="AC17" s="208">
        <f t="shared" ca="1" si="6"/>
        <v>0.26969567080995677</v>
      </c>
    </row>
    <row r="18" spans="2:29">
      <c r="B18" s="214">
        <v>44569</v>
      </c>
      <c r="C18" s="202">
        <f ca="1">DATOSAÑO!I18</f>
        <v>149.40000000002328</v>
      </c>
      <c r="D18" s="196">
        <f ca="1">DATOSAÑO!P18</f>
        <v>291.39999999999964</v>
      </c>
      <c r="E18" s="196">
        <f ca="1">DATOSAÑO!Q18</f>
        <v>0</v>
      </c>
      <c r="F18" s="196">
        <f ca="1">DATOSAÑO!T18</f>
        <v>0</v>
      </c>
      <c r="G18" s="196">
        <f t="shared" ca="1" si="4"/>
        <v>440.80000000002292</v>
      </c>
      <c r="H18" s="196">
        <f t="shared" ca="1" si="5"/>
        <v>31.079999999960364</v>
      </c>
      <c r="I18" s="196">
        <f t="shared" ca="1" si="0"/>
        <v>199.10910990391409</v>
      </c>
      <c r="J18" s="196">
        <f t="shared" ca="1" si="1"/>
        <v>32.81671541997089</v>
      </c>
      <c r="K18" s="196">
        <f t="shared" ca="1" si="2"/>
        <v>15.040994567491122</v>
      </c>
      <c r="L18" s="196">
        <f t="shared" ca="1" si="12"/>
        <v>158.02000000003639</v>
      </c>
      <c r="M18" s="196">
        <f t="shared" ca="1" si="3"/>
        <v>4.7331801086500889</v>
      </c>
      <c r="N18" s="196">
        <f t="shared" ca="1" si="7"/>
        <v>4.5</v>
      </c>
      <c r="O18" s="196">
        <f ca="1">(DATOSAÑO!AJ18+DATOSAÑO!AK18+DATOSAÑO!AD18)</f>
        <v>189.30000000003201</v>
      </c>
      <c r="P18" s="196">
        <f ca="1">DATOSAÑO!AI18</f>
        <v>31.19999999999709</v>
      </c>
      <c r="Q18" s="196">
        <f ca="1">DATOSAÑO!AH18</f>
        <v>14.30000000000291</v>
      </c>
      <c r="R18" s="206">
        <f ca="1">DATOSAÑO!AM18+DATOSAÑO!AN18+DATOSAÑO!AF18</f>
        <v>158.02000000003639</v>
      </c>
      <c r="S18" s="209">
        <f ca="1">IF(B18&gt;=$P$5,0,CONTADORES!S10-CONTADORES!S9)</f>
        <v>16.899999999994179</v>
      </c>
      <c r="T18" s="206">
        <f ca="1">IF(B18&gt;=$P$5,0,(CONTADORES!U10-CONTADORES!U9)+(CONTADORES!AG10-CONTADORES!AG9))</f>
        <v>2</v>
      </c>
      <c r="U18" s="206">
        <f ca="1">IF(B18&gt;=$P$5,0,(CONTADORES!AS10-CONTADORES!AS9))</f>
        <v>4.5</v>
      </c>
      <c r="V18" s="206">
        <f ca="1">IF(B18&gt;=$P$5,0,(CONTADORES!AT10-CONTADORES!AT9))</f>
        <v>0</v>
      </c>
      <c r="W18" s="715">
        <v>0</v>
      </c>
      <c r="X18" s="206">
        <f ca="1">IF(W18=0,(T18-INICIO!$W$6),((T18-INICIO!$W$6)+V18))</f>
        <v>2</v>
      </c>
      <c r="Y18" s="208">
        <f t="shared" ca="1" si="8"/>
        <v>12.399999999994179</v>
      </c>
      <c r="Z18" s="209">
        <f t="shared" ca="1" si="9"/>
        <v>9.8091099038820779</v>
      </c>
      <c r="AA18" s="206">
        <f t="shared" ca="1" si="10"/>
        <v>1.6167154199738007</v>
      </c>
      <c r="AB18" s="206">
        <f t="shared" ca="1" si="11"/>
        <v>0.74099456748821191</v>
      </c>
      <c r="AC18" s="208">
        <f t="shared" ca="1" si="6"/>
        <v>0.23318010865008917</v>
      </c>
    </row>
    <row r="19" spans="2:29">
      <c r="B19" s="214">
        <v>44570</v>
      </c>
      <c r="C19" s="202">
        <f ca="1">DATOSAÑO!I19</f>
        <v>148.30000000004657</v>
      </c>
      <c r="D19" s="196">
        <f ca="1">DATOSAÑO!P19</f>
        <v>287.09999999999854</v>
      </c>
      <c r="E19" s="196">
        <f ca="1">DATOSAÑO!Q19</f>
        <v>0.18200000000001637</v>
      </c>
      <c r="F19" s="196">
        <f ca="1">DATOSAÑO!T19</f>
        <v>0.42399999999997817</v>
      </c>
      <c r="G19" s="196">
        <f t="shared" ca="1" si="4"/>
        <v>436.00600000004511</v>
      </c>
      <c r="H19" s="196">
        <f t="shared" ca="1" si="5"/>
        <v>36.950000000063937</v>
      </c>
      <c r="I19" s="196">
        <f t="shared" ca="1" si="0"/>
        <v>192.90998895965106</v>
      </c>
      <c r="J19" s="196">
        <f t="shared" ca="1" si="1"/>
        <v>33.696067940545952</v>
      </c>
      <c r="K19" s="196">
        <f t="shared" ca="1" si="2"/>
        <v>16.216232696385298</v>
      </c>
      <c r="L19" s="196">
        <f t="shared" ca="1" si="12"/>
        <v>151.07400000000001</v>
      </c>
      <c r="M19" s="196">
        <f t="shared" ca="1" si="3"/>
        <v>5.1597104033988046</v>
      </c>
      <c r="N19" s="196">
        <f t="shared" ca="1" si="7"/>
        <v>4.9000000000014552</v>
      </c>
      <c r="O19" s="196">
        <f ca="1">(DATOSAÑO!AJ19+DATOSAÑO!AK19+DATOSAÑO!AD19)</f>
        <v>183.19999999998254</v>
      </c>
      <c r="P19" s="196">
        <f ca="1">DATOSAÑO!AI19</f>
        <v>31.999999999992724</v>
      </c>
      <c r="Q19" s="196">
        <f ca="1">DATOSAÑO!AH19</f>
        <v>15.399999999994179</v>
      </c>
      <c r="R19" s="206">
        <f ca="1">DATOSAÑO!AM19+DATOSAÑO!AN19+DATOSAÑO!AF19</f>
        <v>151.07400000000001</v>
      </c>
      <c r="S19" s="209">
        <f ca="1">IF(B19&gt;=$P$5,0,CONTADORES!S11-CONTADORES!S10)</f>
        <v>17.200000000011642</v>
      </c>
      <c r="T19" s="206">
        <f ca="1">IF(B19&gt;=$P$5,0,(CONTADORES!U11-CONTADORES!U10)+(CONTADORES!AG11-CONTADORES!AG10))</f>
        <v>2.0999999999985448</v>
      </c>
      <c r="U19" s="206">
        <f ca="1">IF(B19&gt;=$P$5,0,(CONTADORES!AS11-CONTADORES!AS10))</f>
        <v>4.9000000000014552</v>
      </c>
      <c r="V19" s="206">
        <f ca="1">IF(B19&gt;=$P$5,0,(CONTADORES!AT11-CONTADORES!AT10))</f>
        <v>0</v>
      </c>
      <c r="W19" s="715">
        <v>0</v>
      </c>
      <c r="X19" s="206">
        <f ca="1">IF(W19=0,(T19-INICIO!$W$6),((T19-INICIO!$W$6)+V19))</f>
        <v>2.0999999999985448</v>
      </c>
      <c r="Y19" s="208">
        <f t="shared" ca="1" si="8"/>
        <v>12.482000000010203</v>
      </c>
      <c r="Z19" s="209">
        <f t="shared" ca="1" si="9"/>
        <v>9.7099889596685092</v>
      </c>
      <c r="AA19" s="206">
        <f t="shared" ca="1" si="10"/>
        <v>1.6960679405532273</v>
      </c>
      <c r="AB19" s="206">
        <f t="shared" ca="1" si="11"/>
        <v>0.81623269639111773</v>
      </c>
      <c r="AC19" s="208">
        <f t="shared" ca="1" si="6"/>
        <v>0.25971040339734908</v>
      </c>
    </row>
    <row r="20" spans="2:29">
      <c r="B20" s="214">
        <v>44571</v>
      </c>
      <c r="C20" s="202">
        <f ca="1">DATOSAÑO!I20</f>
        <v>146.59999999997672</v>
      </c>
      <c r="D20" s="196">
        <f ca="1">DATOSAÑO!P20</f>
        <v>283.30000000000291</v>
      </c>
      <c r="E20" s="196">
        <f ca="1">DATOSAÑO!Q20</f>
        <v>0</v>
      </c>
      <c r="F20" s="196">
        <f ca="1">DATOSAÑO!T20</f>
        <v>0</v>
      </c>
      <c r="G20" s="196">
        <f t="shared" ca="1" si="4"/>
        <v>429.89999999997963</v>
      </c>
      <c r="H20" s="196">
        <f t="shared" ca="1" si="5"/>
        <v>31.487999999971919</v>
      </c>
      <c r="I20" s="196">
        <f t="shared" ca="1" si="0"/>
        <v>192.61470215466693</v>
      </c>
      <c r="J20" s="196">
        <f t="shared" ca="1" si="1"/>
        <v>41.342205323202222</v>
      </c>
      <c r="K20" s="196">
        <f t="shared" ca="1" si="2"/>
        <v>9.3624841571619477</v>
      </c>
      <c r="L20" s="196">
        <f t="shared" ca="1" si="12"/>
        <v>149.411999999964</v>
      </c>
      <c r="M20" s="196">
        <f t="shared" ca="1" si="3"/>
        <v>5.6806083650125574</v>
      </c>
      <c r="N20" s="196">
        <f t="shared" ca="1" si="7"/>
        <v>5.3999999999941792</v>
      </c>
      <c r="O20" s="196">
        <f ca="1">(DATOSAÑO!AJ20+DATOSAÑO!AK20+DATOSAÑO!AD20)</f>
        <v>183.10000000004948</v>
      </c>
      <c r="P20" s="196">
        <f ca="1">DATOSAÑO!AI20</f>
        <v>39.300000000010186</v>
      </c>
      <c r="Q20" s="196">
        <f ca="1">DATOSAÑO!AH20</f>
        <v>8.9000000000014552</v>
      </c>
      <c r="R20" s="206">
        <f ca="1">DATOSAÑO!AM20+DATOSAÑO!AN20+DATOSAÑO!AF20</f>
        <v>149.411999999964</v>
      </c>
      <c r="S20" s="209">
        <f ca="1">IF(B20&gt;=$P$5,0,CONTADORES!S12-CONTADORES!S11)</f>
        <v>17.699999999982538</v>
      </c>
      <c r="T20" s="206">
        <f ca="1">IF(B20&gt;=$P$5,0,(CONTADORES!U12-CONTADORES!U11)+(CONTADORES!AG12-CONTADORES!AG11))</f>
        <v>2.0999999999985448</v>
      </c>
      <c r="U20" s="206">
        <f ca="1">IF(B20&gt;=$P$5,0,(CONTADORES!AS12-CONTADORES!AS11))</f>
        <v>5.3999999999941792</v>
      </c>
      <c r="V20" s="206">
        <f ca="1">IF(B20&gt;=$P$5,0,(CONTADORES!AT12-CONTADORES!AT11))</f>
        <v>0</v>
      </c>
      <c r="W20" s="715">
        <v>0</v>
      </c>
      <c r="X20" s="206">
        <f ca="1">IF(W20=0,(T20-INICIO!$W$6),((T20-INICIO!$W$6)+V20))</f>
        <v>2.0999999999985448</v>
      </c>
      <c r="Y20" s="208">
        <f t="shared" ca="1" si="8"/>
        <v>12.299999999988358</v>
      </c>
      <c r="Z20" s="209">
        <f t="shared" ca="1" si="9"/>
        <v>9.5147021546174528</v>
      </c>
      <c r="AA20" s="206">
        <f t="shared" ca="1" si="10"/>
        <v>2.0422053231920358</v>
      </c>
      <c r="AB20" s="206">
        <f t="shared" ca="1" si="11"/>
        <v>0.46248415716049313</v>
      </c>
      <c r="AC20" s="208">
        <f t="shared" ca="1" si="6"/>
        <v>0.28060836501837777</v>
      </c>
    </row>
    <row r="21" spans="2:29">
      <c r="B21" s="214">
        <v>44572</v>
      </c>
      <c r="C21" s="202">
        <f ca="1">DATOSAÑO!I21</f>
        <v>148.5</v>
      </c>
      <c r="D21" s="196">
        <f ca="1">DATOSAÑO!P21</f>
        <v>283.69999999999709</v>
      </c>
      <c r="E21" s="196">
        <f ca="1">DATOSAÑO!Q21</f>
        <v>0</v>
      </c>
      <c r="F21" s="196">
        <f ca="1">DATOSAÑO!T21</f>
        <v>0</v>
      </c>
      <c r="G21" s="196">
        <f t="shared" ca="1" si="4"/>
        <v>432.19999999999709</v>
      </c>
      <c r="H21" s="196">
        <f t="shared" ca="1" si="5"/>
        <v>29.680999999987989</v>
      </c>
      <c r="I21" s="196">
        <f t="shared" ca="1" si="0"/>
        <v>194.04031785860133</v>
      </c>
      <c r="J21" s="196">
        <f t="shared" ca="1" si="1"/>
        <v>46.089836888327014</v>
      </c>
      <c r="K21" s="196">
        <f t="shared" ca="1" si="2"/>
        <v>5.6823086574670718</v>
      </c>
      <c r="L21" s="196">
        <f t="shared" ca="1" si="12"/>
        <v>150.91900000004694</v>
      </c>
      <c r="M21" s="196">
        <f t="shared" ca="1" si="3"/>
        <v>5.7875365955667544</v>
      </c>
      <c r="N21" s="196">
        <f t="shared" ca="1" si="7"/>
        <v>5.5</v>
      </c>
      <c r="O21" s="196">
        <f ca="1">(DATOSAÑO!AJ21+DATOSAÑO!AK21+DATOSAÑO!AD21)</f>
        <v>184.39999999996508</v>
      </c>
      <c r="P21" s="196">
        <f ca="1">DATOSAÑO!AI21</f>
        <v>43.799999999995634</v>
      </c>
      <c r="Q21" s="196">
        <f ca="1">DATOSAÑO!AH21</f>
        <v>5.4000000000014552</v>
      </c>
      <c r="R21" s="206">
        <f ca="1">DATOSAÑO!AM21+DATOSAÑO!AN21+DATOSAÑO!AF21</f>
        <v>150.91900000004694</v>
      </c>
      <c r="S21" s="209">
        <f ca="1">IF(B21&gt;=$P$5,0,CONTADORES!S13-CONTADORES!S12)</f>
        <v>18</v>
      </c>
      <c r="T21" s="206">
        <f ca="1">IF(B21&gt;=$P$5,0,(CONTADORES!U13-CONTADORES!U12)+(CONTADORES!AG13-CONTADORES!AG12))</f>
        <v>2.1000000000058208</v>
      </c>
      <c r="U21" s="206">
        <f ca="1">IF(B21&gt;=$P$5,0,(CONTADORES!AS13-CONTADORES!AS12))</f>
        <v>5.5</v>
      </c>
      <c r="V21" s="206">
        <f ca="1">IF(B21&gt;=$P$5,0,(CONTADORES!AT13-CONTADORES!AT12))</f>
        <v>0</v>
      </c>
      <c r="W21" s="715">
        <v>0</v>
      </c>
      <c r="X21" s="206">
        <f ca="1">IF(W21=0,(T21-INICIO!$W$6),((T21-INICIO!$W$6)+V21))</f>
        <v>2.1000000000058208</v>
      </c>
      <c r="Y21" s="208">
        <f t="shared" ca="1" si="8"/>
        <v>12.5</v>
      </c>
      <c r="Z21" s="209">
        <f t="shared" ca="1" si="9"/>
        <v>9.6403178586362532</v>
      </c>
      <c r="AA21" s="206">
        <f t="shared" ca="1" si="10"/>
        <v>2.2898368883313762</v>
      </c>
      <c r="AB21" s="206">
        <f t="shared" ca="1" si="11"/>
        <v>0.28230865746561634</v>
      </c>
      <c r="AC21" s="208">
        <f t="shared" ca="1" si="6"/>
        <v>0.28753659556675398</v>
      </c>
    </row>
    <row r="22" spans="2:29">
      <c r="B22" s="214">
        <v>44573</v>
      </c>
      <c r="C22" s="202">
        <f ca="1">DATOSAÑO!I22</f>
        <v>151.5</v>
      </c>
      <c r="D22" s="196">
        <f ca="1">DATOSAÑO!P22</f>
        <v>300.90000000000146</v>
      </c>
      <c r="E22" s="196">
        <f ca="1">DATOSAÑO!Q22</f>
        <v>0</v>
      </c>
      <c r="F22" s="196">
        <f ca="1">DATOSAÑO!T22</f>
        <v>0</v>
      </c>
      <c r="G22" s="196">
        <f t="shared" ca="1" si="4"/>
        <v>452.40000000000146</v>
      </c>
      <c r="H22" s="196">
        <f t="shared" ca="1" si="5"/>
        <v>38.491000000032557</v>
      </c>
      <c r="I22" s="196">
        <f t="shared" ca="1" si="0"/>
        <v>202.42505995203047</v>
      </c>
      <c r="J22" s="196">
        <f t="shared" ca="1" si="1"/>
        <v>44.901558752996188</v>
      </c>
      <c r="K22" s="196">
        <f t="shared" ca="1" si="2"/>
        <v>9.6743405275752306</v>
      </c>
      <c r="L22" s="196">
        <f t="shared" ca="1" si="12"/>
        <v>150.80899999997763</v>
      </c>
      <c r="M22" s="196">
        <f t="shared" ca="1" si="3"/>
        <v>6.0990407673893747</v>
      </c>
      <c r="N22" s="196">
        <f t="shared" ca="1" si="7"/>
        <v>5.8000000000029104</v>
      </c>
      <c r="O22" s="196">
        <f ca="1">(DATOSAÑO!AJ22+DATOSAÑO!AK22+DATOSAÑO!AD22)</f>
        <v>192.49999999998545</v>
      </c>
      <c r="P22" s="196">
        <f ca="1">DATOSAÑO!AI22</f>
        <v>42.69999999999709</v>
      </c>
      <c r="Q22" s="196">
        <f ca="1">DATOSAÑO!AH22</f>
        <v>9.1999999999970896</v>
      </c>
      <c r="R22" s="206">
        <f ca="1">DATOSAÑO!AM22+DATOSAÑO!AN22+DATOSAÑO!AF22</f>
        <v>150.80899999997763</v>
      </c>
      <c r="S22" s="209">
        <f ca="1">IF(B22&gt;=$P$5,0,CONTADORES!S14-CONTADORES!S13)</f>
        <v>18.700000000011642</v>
      </c>
      <c r="T22" s="206">
        <f ca="1">IF(B22&gt;=$P$5,0,(CONTADORES!U14-CONTADORES!U13)+(CONTADORES!AG14-CONTADORES!AG13))</f>
        <v>2.1999999999970896</v>
      </c>
      <c r="U22" s="206">
        <f ca="1">IF(B22&gt;=$P$5,0,(CONTADORES!AS14-CONTADORES!AS13))</f>
        <v>5.8000000000029104</v>
      </c>
      <c r="V22" s="206">
        <f ca="1">IF(B22&gt;=$P$5,0,(CONTADORES!AT14-CONTADORES!AT13))</f>
        <v>0</v>
      </c>
      <c r="W22" s="715">
        <v>0</v>
      </c>
      <c r="X22" s="206">
        <f ca="1">IF(W22=0,(T22-INICIO!$W$6),((T22-INICIO!$W$6)+V22))</f>
        <v>2.1999999999970896</v>
      </c>
      <c r="Y22" s="208">
        <f t="shared" ca="1" si="8"/>
        <v>12.900000000008731</v>
      </c>
      <c r="Z22" s="209">
        <f t="shared" ca="1" si="9"/>
        <v>9.9250599520450287</v>
      </c>
      <c r="AA22" s="206">
        <f t="shared" ca="1" si="10"/>
        <v>2.2015587529990959</v>
      </c>
      <c r="AB22" s="206">
        <f t="shared" ca="1" si="11"/>
        <v>0.47434052757814177</v>
      </c>
      <c r="AC22" s="208">
        <f t="shared" ca="1" si="6"/>
        <v>0.29904076738646446</v>
      </c>
    </row>
    <row r="23" spans="2:29">
      <c r="B23" s="214">
        <v>44574</v>
      </c>
      <c r="C23" s="202">
        <f ca="1">DATOSAÑO!I23</f>
        <v>146</v>
      </c>
      <c r="D23" s="196">
        <f ca="1">DATOSAÑO!P23</f>
        <v>308</v>
      </c>
      <c r="E23" s="196">
        <f ca="1">DATOSAÑO!Q23</f>
        <v>0</v>
      </c>
      <c r="F23" s="196">
        <f ca="1">DATOSAÑO!T23</f>
        <v>0</v>
      </c>
      <c r="G23" s="196">
        <f t="shared" ca="1" si="4"/>
        <v>454</v>
      </c>
      <c r="H23" s="196">
        <f t="shared" ca="1" si="5"/>
        <v>30.010999999984335</v>
      </c>
      <c r="I23" s="196">
        <f t="shared" ca="1" si="0"/>
        <v>201.93103448276722</v>
      </c>
      <c r="J23" s="196">
        <f t="shared" ca="1" si="1"/>
        <v>43.856896551730593</v>
      </c>
      <c r="K23" s="196">
        <f t="shared" ca="1" si="2"/>
        <v>17.353448275862807</v>
      </c>
      <c r="L23" s="196">
        <f t="shared" ca="1" si="12"/>
        <v>155.58899999999963</v>
      </c>
      <c r="M23" s="196">
        <f t="shared" ca="1" si="3"/>
        <v>5.2586206896553964</v>
      </c>
      <c r="N23" s="196">
        <f t="shared" ca="1" si="7"/>
        <v>5</v>
      </c>
      <c r="O23" s="196">
        <f ca="1">(DATOSAÑO!AJ23+DATOSAÑO!AK23+DATOSAÑO!AD23)</f>
        <v>192</v>
      </c>
      <c r="P23" s="196">
        <f ca="1">DATOSAÑO!AI23</f>
        <v>41.700000000004366</v>
      </c>
      <c r="Q23" s="196">
        <f ca="1">DATOSAÑO!AH23</f>
        <v>16.5</v>
      </c>
      <c r="R23" s="206">
        <f ca="1">DATOSAÑO!AM23+DATOSAÑO!AN23+DATOSAÑO!AF23</f>
        <v>155.58899999999963</v>
      </c>
      <c r="S23" s="209">
        <f ca="1">IF(B23&gt;=$P$5,0,CONTADORES!S15-CONTADORES!S14)</f>
        <v>18.200000000011642</v>
      </c>
      <c r="T23" s="206">
        <f ca="1">IF(B23&gt;=$P$5,0,(CONTADORES!U15-CONTADORES!U14)+(CONTADORES!AG15-CONTADORES!AG14))</f>
        <v>2.0999999999985448</v>
      </c>
      <c r="U23" s="206">
        <f ca="1">IF(B23&gt;=$P$5,0,(CONTADORES!AS15-CONTADORES!AS14))</f>
        <v>5</v>
      </c>
      <c r="V23" s="206">
        <f ca="1">IF(B23&gt;=$P$5,0,(CONTADORES!AT15-CONTADORES!AT14))</f>
        <v>0</v>
      </c>
      <c r="W23" s="715">
        <v>0</v>
      </c>
      <c r="X23" s="206">
        <f ca="1">IF(W23=0,(T23-INICIO!$W$6),((T23-INICIO!$W$6)+V23))</f>
        <v>2.0999999999985448</v>
      </c>
      <c r="Y23" s="208">
        <f t="shared" ca="1" si="8"/>
        <v>13.200000000011642</v>
      </c>
      <c r="Z23" s="209">
        <f t="shared" ca="1" si="9"/>
        <v>9.9310344827672097</v>
      </c>
      <c r="AA23" s="206">
        <f t="shared" ca="1" si="10"/>
        <v>2.1568965517262289</v>
      </c>
      <c r="AB23" s="206">
        <f t="shared" ca="1" si="11"/>
        <v>0.85344827586280703</v>
      </c>
      <c r="AC23" s="208">
        <f t="shared" ca="1" si="6"/>
        <v>0.25862068965539609</v>
      </c>
    </row>
    <row r="24" spans="2:29">
      <c r="B24" s="214">
        <v>44575</v>
      </c>
      <c r="C24" s="202">
        <f ca="1">DATOSAÑO!I24</f>
        <v>148</v>
      </c>
      <c r="D24" s="196">
        <f ca="1">DATOSAÑO!P24</f>
        <v>300</v>
      </c>
      <c r="E24" s="196">
        <f ca="1">DATOSAÑO!Q24</f>
        <v>0</v>
      </c>
      <c r="F24" s="196">
        <f ca="1">DATOSAÑO!T24</f>
        <v>0</v>
      </c>
      <c r="G24" s="196">
        <f t="shared" ca="1" si="4"/>
        <v>448</v>
      </c>
      <c r="H24" s="196">
        <f t="shared" ca="1" si="5"/>
        <v>32.890000000019086</v>
      </c>
      <c r="I24" s="196">
        <f t="shared" ca="1" si="0"/>
        <v>201.36601941746363</v>
      </c>
      <c r="J24" s="196">
        <f t="shared" ca="1" si="1"/>
        <v>47.924271844654328</v>
      </c>
      <c r="K24" s="196">
        <f t="shared" ca="1" si="2"/>
        <v>5.2548543689315634</v>
      </c>
      <c r="L24" s="196">
        <f t="shared" ca="1" si="12"/>
        <v>155.30999999999983</v>
      </c>
      <c r="M24" s="196">
        <f t="shared" ca="1" si="3"/>
        <v>5.2548543689315634</v>
      </c>
      <c r="N24" s="196">
        <f t="shared" ca="1" si="7"/>
        <v>5</v>
      </c>
      <c r="O24" s="196">
        <f ca="1">(DATOSAÑO!AJ24+DATOSAÑO!AK24+DATOSAÑO!AD24)</f>
        <v>191.60000000000582</v>
      </c>
      <c r="P24" s="196">
        <f ca="1">DATOSAÑO!AI24</f>
        <v>45.599999999998545</v>
      </c>
      <c r="Q24" s="196">
        <f ca="1">DATOSAÑO!AH24</f>
        <v>5</v>
      </c>
      <c r="R24" s="206">
        <f ca="1">DATOSAÑO!AM24+DATOSAÑO!AN24+DATOSAÑO!AF24</f>
        <v>155.30999999999983</v>
      </c>
      <c r="S24" s="209">
        <f ca="1">IF(B24&gt;=$P$5,0,CONTADORES!S16-CONTADORES!S15)</f>
        <v>17.599999999976717</v>
      </c>
      <c r="T24" s="206">
        <f ca="1">IF(B24&gt;=$P$5,0,(CONTADORES!U16-CONTADORES!U15)+(CONTADORES!AG16-CONTADORES!AG15))</f>
        <v>2.0999999999985448</v>
      </c>
      <c r="U24" s="206">
        <f ca="1">IF(B24&gt;=$P$5,0,(CONTADORES!AS16-CONTADORES!AS15))</f>
        <v>5</v>
      </c>
      <c r="V24" s="206">
        <f ca="1">IF(B24&gt;=$P$5,0,(CONTADORES!AT16-CONTADORES!AT15))</f>
        <v>0</v>
      </c>
      <c r="W24" s="715">
        <v>0</v>
      </c>
      <c r="X24" s="206">
        <f ca="1">IF(W24=0,(T24-INICIO!$W$6),((T24-INICIO!$W$6)+V24))</f>
        <v>2.0999999999985448</v>
      </c>
      <c r="Y24" s="208">
        <f t="shared" ca="1" si="8"/>
        <v>12.599999999976717</v>
      </c>
      <c r="Z24" s="209">
        <f t="shared" ca="1" si="9"/>
        <v>9.766019417457807</v>
      </c>
      <c r="AA24" s="206">
        <f t="shared" ca="1" si="10"/>
        <v>2.324271844655784</v>
      </c>
      <c r="AB24" s="206">
        <f t="shared" ca="1" si="11"/>
        <v>0.25485436893156338</v>
      </c>
      <c r="AC24" s="208">
        <f t="shared" ca="1" si="6"/>
        <v>0.25485436893156338</v>
      </c>
    </row>
    <row r="25" spans="2:29">
      <c r="B25" s="214">
        <v>44576</v>
      </c>
      <c r="C25" s="202">
        <f ca="1">DATOSAÑO!I25</f>
        <v>150</v>
      </c>
      <c r="D25" s="196">
        <f ca="1">DATOSAÑO!P25</f>
        <v>300</v>
      </c>
      <c r="E25" s="196">
        <f ca="1">DATOSAÑO!Q25</f>
        <v>0</v>
      </c>
      <c r="F25" s="196">
        <f ca="1">DATOSAÑO!T25</f>
        <v>0</v>
      </c>
      <c r="G25" s="196">
        <f t="shared" ca="1" si="4"/>
        <v>450</v>
      </c>
      <c r="H25" s="196">
        <f t="shared" ca="1" si="5"/>
        <v>32.017999999960125</v>
      </c>
      <c r="I25" s="196">
        <f t="shared" ca="1" si="0"/>
        <v>198.16742364920668</v>
      </c>
      <c r="J25" s="196">
        <f t="shared" ca="1" si="1"/>
        <v>48.99342208301271</v>
      </c>
      <c r="K25" s="196">
        <f t="shared" ca="1" si="2"/>
        <v>13.371339075963451</v>
      </c>
      <c r="L25" s="196">
        <f t="shared" ca="1" si="12"/>
        <v>151.18200000000056</v>
      </c>
      <c r="M25" s="196">
        <f t="shared" ca="1" si="3"/>
        <v>6.2678151918564424</v>
      </c>
      <c r="N25" s="196">
        <f t="shared" ca="1" si="7"/>
        <v>6</v>
      </c>
      <c r="O25" s="196">
        <f ca="1">(DATOSAÑO!AJ25+DATOSAÑO!AK25+DATOSAÑO!AD25)</f>
        <v>189.70000000001164</v>
      </c>
      <c r="P25" s="196">
        <f ca="1">DATOSAÑO!AI25</f>
        <v>46.900000000001455</v>
      </c>
      <c r="Q25" s="196">
        <f ca="1">DATOSAÑO!AH25</f>
        <v>12.80000000000291</v>
      </c>
      <c r="R25" s="206">
        <f ca="1">DATOSAÑO!AM25+DATOSAÑO!AN25+DATOSAÑO!AF25</f>
        <v>151.18200000000056</v>
      </c>
      <c r="S25" s="209">
        <f ca="1">IF(B25&gt;=$P$5,0,CONTADORES!S17-CONTADORES!S16)</f>
        <v>17.400000000023283</v>
      </c>
      <c r="T25" s="206">
        <f ca="1">IF(B25&gt;=$P$5,0,(CONTADORES!U17-CONTADORES!U16)+(CONTADORES!AG17-CONTADORES!AG16))</f>
        <v>2.1000000000058208</v>
      </c>
      <c r="U25" s="206">
        <f ca="1">IF(B25&gt;=$P$5,0,(CONTADORES!AS17-CONTADORES!AS16))</f>
        <v>6</v>
      </c>
      <c r="V25" s="206">
        <f ca="1">IF(B25&gt;=$P$5,0,(CONTADORES!AT17-CONTADORES!AT16))</f>
        <v>0</v>
      </c>
      <c r="W25" s="715">
        <v>0</v>
      </c>
      <c r="X25" s="206">
        <f ca="1">IF(W25=0,(T25-INICIO!$W$6),((T25-INICIO!$W$6)+V25))</f>
        <v>2.1000000000058208</v>
      </c>
      <c r="Y25" s="208">
        <f t="shared" ca="1" si="8"/>
        <v>11.400000000023283</v>
      </c>
      <c r="Z25" s="209">
        <f t="shared" ca="1" si="9"/>
        <v>8.4674236491950428</v>
      </c>
      <c r="AA25" s="206">
        <f t="shared" ca="1" si="10"/>
        <v>2.0934220830112569</v>
      </c>
      <c r="AB25" s="206">
        <f t="shared" ca="1" si="11"/>
        <v>0.57133907596054057</v>
      </c>
      <c r="AC25" s="208">
        <f t="shared" ca="1" si="6"/>
        <v>0.26781519185644248</v>
      </c>
    </row>
    <row r="26" spans="2:29">
      <c r="B26" s="214">
        <v>44577</v>
      </c>
      <c r="C26" s="202">
        <f ca="1">DATOSAÑO!I26</f>
        <v>150</v>
      </c>
      <c r="D26" s="196">
        <f ca="1">DATOSAÑO!P26</f>
        <v>304</v>
      </c>
      <c r="E26" s="196">
        <f ca="1">DATOSAÑO!Q26</f>
        <v>0.48500000000012733</v>
      </c>
      <c r="F26" s="196">
        <f ca="1">DATOSAÑO!T26</f>
        <v>0.44600000000002638</v>
      </c>
      <c r="G26" s="196">
        <f t="shared" ca="1" si="4"/>
        <v>454.93100000000015</v>
      </c>
      <c r="H26" s="196">
        <f t="shared" ca="1" si="5"/>
        <v>34.216000000025645</v>
      </c>
      <c r="I26" s="196">
        <f t="shared" ca="1" si="0"/>
        <v>198.79684336386958</v>
      </c>
      <c r="J26" s="196">
        <f t="shared" ca="1" si="1"/>
        <v>47.488017138298638</v>
      </c>
      <c r="K26" s="196">
        <f t="shared" ca="1" si="2"/>
        <v>12.635392586687406</v>
      </c>
      <c r="L26" s="196">
        <f t="shared" ca="1" si="12"/>
        <v>156.52999999999909</v>
      </c>
      <c r="M26" s="196">
        <f t="shared" ca="1" si="3"/>
        <v>5.2647469111197527</v>
      </c>
      <c r="N26" s="196">
        <f t="shared" ca="1" si="7"/>
        <v>5</v>
      </c>
      <c r="O26" s="196">
        <f ca="1">(DATOSAÑO!AJ26+DATOSAÑO!AK26+DATOSAÑO!AD26)</f>
        <v>188.79999999998836</v>
      </c>
      <c r="P26" s="196">
        <f ca="1">DATOSAÑO!AI26</f>
        <v>45.099999999998545</v>
      </c>
      <c r="Q26" s="196">
        <f ca="1">DATOSAÑO!AH26</f>
        <v>12</v>
      </c>
      <c r="R26" s="206">
        <f ca="1">DATOSAÑO!AM26+DATOSAÑO!AN26+DATOSAÑO!AF26</f>
        <v>156.52999999999909</v>
      </c>
      <c r="S26" s="209">
        <f ca="1">IF(B26&gt;=$P$5,0,CONTADORES!S18-CONTADORES!S17)</f>
        <v>17.799999999988358</v>
      </c>
      <c r="T26" s="206">
        <f ca="1">IF(B26&gt;=$P$5,0,(CONTADORES!U18-CONTADORES!U17)+(CONTADORES!AG18-CONTADORES!AG17))</f>
        <v>2.0999999999985448</v>
      </c>
      <c r="U26" s="206">
        <f ca="1">IF(B26&gt;=$P$5,0,(CONTADORES!AS18-CONTADORES!AS17))</f>
        <v>5</v>
      </c>
      <c r="V26" s="206">
        <f ca="1">IF(B26&gt;=$P$5,0,(CONTADORES!AT18-CONTADORES!AT17))</f>
        <v>0</v>
      </c>
      <c r="W26" s="715">
        <v>0</v>
      </c>
      <c r="X26" s="206">
        <f ca="1">IF(W26=0,(T26-INICIO!$W$6),((T26-INICIO!$W$6)+V26))</f>
        <v>2.0999999999985448</v>
      </c>
      <c r="Y26" s="208">
        <f t="shared" ca="1" si="8"/>
        <v>13.284999999988486</v>
      </c>
      <c r="Z26" s="209">
        <f t="shared" ca="1" si="9"/>
        <v>9.9968433638812364</v>
      </c>
      <c r="AA26" s="206">
        <f t="shared" ca="1" si="10"/>
        <v>2.3880171383000901</v>
      </c>
      <c r="AB26" s="206">
        <f t="shared" ca="1" si="11"/>
        <v>0.63539258668740595</v>
      </c>
      <c r="AC26" s="208">
        <f t="shared" ca="1" si="6"/>
        <v>0.26474691111975246</v>
      </c>
    </row>
    <row r="27" spans="2:29">
      <c r="B27" s="214">
        <v>44578</v>
      </c>
      <c r="C27" s="202">
        <f ca="1">DATOSAÑO!I27</f>
        <v>150</v>
      </c>
      <c r="D27" s="196">
        <f ca="1">DATOSAÑO!P27</f>
        <v>300</v>
      </c>
      <c r="E27" s="196">
        <f ca="1">DATOSAÑO!Q27</f>
        <v>0</v>
      </c>
      <c r="F27" s="196">
        <f ca="1">DATOSAÑO!T27</f>
        <v>0</v>
      </c>
      <c r="G27" s="196">
        <f t="shared" ca="1" si="4"/>
        <v>450</v>
      </c>
      <c r="H27" s="196">
        <f t="shared" ca="1" si="5"/>
        <v>32.013999999993814</v>
      </c>
      <c r="I27" s="196">
        <f t="shared" ca="1" si="0"/>
        <v>199.72020000000444</v>
      </c>
      <c r="J27" s="196">
        <f t="shared" ca="1" si="1"/>
        <v>46.653800000001034</v>
      </c>
      <c r="K27" s="196">
        <f t="shared" ca="1" si="2"/>
        <v>9.4356000000002087</v>
      </c>
      <c r="L27" s="196">
        <f t="shared" ca="1" si="12"/>
        <v>155.88600000000037</v>
      </c>
      <c r="M27" s="196">
        <f t="shared" ca="1" si="3"/>
        <v>6.2904000000001394</v>
      </c>
      <c r="N27" s="196">
        <f t="shared" ca="1" si="7"/>
        <v>6</v>
      </c>
      <c r="O27" s="196">
        <f ca="1">(DATOSAÑO!AJ27+DATOSAÑO!AK27+DATOSAÑO!AD27)</f>
        <v>190.5</v>
      </c>
      <c r="P27" s="196">
        <f ca="1">DATOSAÑO!AI27</f>
        <v>44.5</v>
      </c>
      <c r="Q27" s="196">
        <f ca="1">DATOSAÑO!AH27</f>
        <v>9</v>
      </c>
      <c r="R27" s="206">
        <f ca="1">DATOSAÑO!AM27+DATOSAÑO!AN27+DATOSAÑO!AF27</f>
        <v>155.88600000000037</v>
      </c>
      <c r="S27" s="209">
        <f ca="1">IF(B27&gt;=$P$5,0,CONTADORES!S19-CONTADORES!S18)</f>
        <v>18.100000000005821</v>
      </c>
      <c r="T27" s="206">
        <f ca="1">IF(B27&gt;=$P$5,0,(CONTADORES!U19-CONTADORES!U18)+(CONTADORES!AG19-CONTADORES!AG18))</f>
        <v>2.0999999999985448</v>
      </c>
      <c r="U27" s="206">
        <f ca="1">IF(B27&gt;=$P$5,0,(CONTADORES!AS19-CONTADORES!AS18))</f>
        <v>6</v>
      </c>
      <c r="V27" s="206">
        <f ca="1">IF(B27&gt;=$P$5,0,(CONTADORES!AT19-CONTADORES!AT18))</f>
        <v>0</v>
      </c>
      <c r="W27" s="715">
        <v>0</v>
      </c>
      <c r="X27" s="206">
        <f ca="1">IF(W27=0,(T27-INICIO!$W$6),((T27-INICIO!$W$6)+V27))</f>
        <v>2.0999999999985448</v>
      </c>
      <c r="Y27" s="208">
        <f t="shared" ca="1" si="8"/>
        <v>12.100000000005821</v>
      </c>
      <c r="Z27" s="209">
        <f t="shared" ca="1" si="9"/>
        <v>9.2202000000044357</v>
      </c>
      <c r="AA27" s="206">
        <f t="shared" ca="1" si="10"/>
        <v>2.153800000001036</v>
      </c>
      <c r="AB27" s="206">
        <f t="shared" ca="1" si="11"/>
        <v>0.43560000000020954</v>
      </c>
      <c r="AC27" s="208">
        <f t="shared" ca="1" si="6"/>
        <v>0.29040000000013971</v>
      </c>
    </row>
    <row r="28" spans="2:29">
      <c r="B28" s="214">
        <v>44579</v>
      </c>
      <c r="C28" s="202">
        <f ca="1">DATOSAÑO!I28</f>
        <v>150</v>
      </c>
      <c r="D28" s="196">
        <f ca="1">DATOSAÑO!P28</f>
        <v>296</v>
      </c>
      <c r="E28" s="196">
        <f ca="1">DATOSAÑO!Q28</f>
        <v>0</v>
      </c>
      <c r="F28" s="196">
        <f ca="1">DATOSAÑO!T28</f>
        <v>0</v>
      </c>
      <c r="G28" s="196">
        <f t="shared" ca="1" si="4"/>
        <v>446</v>
      </c>
      <c r="H28" s="196">
        <f t="shared" ca="1" si="5"/>
        <v>33.044000000033122</v>
      </c>
      <c r="I28" s="196">
        <f t="shared" ca="1" si="0"/>
        <v>196.56950726975904</v>
      </c>
      <c r="J28" s="196">
        <f t="shared" ca="1" si="1"/>
        <v>45.450807754441243</v>
      </c>
      <c r="K28" s="196">
        <f t="shared" ca="1" si="2"/>
        <v>10.996163166396707</v>
      </c>
      <c r="L28" s="196">
        <f t="shared" ca="1" si="12"/>
        <v>153.65600000000035</v>
      </c>
      <c r="M28" s="196">
        <f t="shared" ca="1" si="3"/>
        <v>6.2835218093695469</v>
      </c>
      <c r="N28" s="196">
        <f t="shared" ca="1" si="7"/>
        <v>6</v>
      </c>
      <c r="O28" s="196">
        <f ca="1">(DATOSAÑO!AJ28+DATOSAÑO!AK28+DATOSAÑO!AD28)</f>
        <v>187.69999999998254</v>
      </c>
      <c r="P28" s="196">
        <f ca="1">DATOSAÑO!AI28</f>
        <v>43.400000000001455</v>
      </c>
      <c r="Q28" s="196">
        <f ca="1">DATOSAÑO!AH28</f>
        <v>10.5</v>
      </c>
      <c r="R28" s="206">
        <f ca="1">DATOSAÑO!AM28+DATOSAÑO!AN28+DATOSAÑO!AF28</f>
        <v>153.65600000000035</v>
      </c>
      <c r="S28" s="209">
        <f ca="1">IF(B28&gt;=$P$5,0,CONTADORES!S20-CONTADORES!S19)</f>
        <v>17.699999999982538</v>
      </c>
      <c r="T28" s="206">
        <f ca="1">IF(B28&gt;=$P$5,0,(CONTADORES!U20-CONTADORES!U19)+(CONTADORES!AG20-CONTADORES!AG19))</f>
        <v>2.0999999999985448</v>
      </c>
      <c r="U28" s="206">
        <f ca="1">IF(B28&gt;=$P$5,0,(CONTADORES!AS20-CONTADORES!AS19))</f>
        <v>6</v>
      </c>
      <c r="V28" s="206">
        <f ca="1">IF(B28&gt;=$P$5,0,(CONTADORES!AT20-CONTADORES!AT19))</f>
        <v>0</v>
      </c>
      <c r="W28" s="715">
        <v>0</v>
      </c>
      <c r="X28" s="206">
        <f ca="1">IF(W28=0,(T28-INICIO!$W$6),((T28-INICIO!$W$6)+V28))</f>
        <v>2.0999999999985448</v>
      </c>
      <c r="Y28" s="208">
        <f t="shared" ca="1" si="8"/>
        <v>11.699999999982538</v>
      </c>
      <c r="Z28" s="209">
        <f t="shared" ca="1" si="9"/>
        <v>8.869507269776495</v>
      </c>
      <c r="AA28" s="206">
        <f t="shared" ca="1" si="10"/>
        <v>2.05080775443979</v>
      </c>
      <c r="AB28" s="206">
        <f t="shared" ca="1" si="11"/>
        <v>0.49616316639670671</v>
      </c>
      <c r="AC28" s="208">
        <f t="shared" ca="1" si="6"/>
        <v>0.28352180936954668</v>
      </c>
    </row>
    <row r="29" spans="2:29">
      <c r="B29" s="214">
        <v>44580</v>
      </c>
      <c r="C29" s="202">
        <f ca="1">DATOSAÑO!I29</f>
        <v>146</v>
      </c>
      <c r="D29" s="196">
        <f ca="1">DATOSAÑO!P29</f>
        <v>304</v>
      </c>
      <c r="E29" s="196">
        <f ca="1">DATOSAÑO!Q29</f>
        <v>0</v>
      </c>
      <c r="F29" s="196">
        <f ca="1">DATOSAÑO!T29</f>
        <v>0</v>
      </c>
      <c r="G29" s="196">
        <f t="shared" ca="1" si="4"/>
        <v>450</v>
      </c>
      <c r="H29" s="196">
        <f t="shared" ca="1" si="5"/>
        <v>29.755999999953929</v>
      </c>
      <c r="I29" s="196">
        <f t="shared" ca="1" si="0"/>
        <v>204.30157480319244</v>
      </c>
      <c r="J29" s="196">
        <f t="shared" ca="1" si="1"/>
        <v>46.637480314964954</v>
      </c>
      <c r="K29" s="196">
        <f t="shared" ca="1" si="2"/>
        <v>10.608976377951864</v>
      </c>
      <c r="L29" s="196">
        <f t="shared" ca="1" si="12"/>
        <v>153.44399999999945</v>
      </c>
      <c r="M29" s="196">
        <f t="shared" ca="1" si="3"/>
        <v>5.2519685039373227</v>
      </c>
      <c r="N29" s="196">
        <f t="shared" ca="1" si="7"/>
        <v>5</v>
      </c>
      <c r="O29" s="196">
        <f ca="1">(DATOSAÑO!AJ29+DATOSAÑO!AK29+DATOSAÑO!AD29)</f>
        <v>194.5000000000291</v>
      </c>
      <c r="P29" s="196">
        <f ca="1">DATOSAÑO!AI29</f>
        <v>44.400000000001455</v>
      </c>
      <c r="Q29" s="196">
        <f ca="1">DATOSAÑO!AH29</f>
        <v>10.099999999998545</v>
      </c>
      <c r="R29" s="206">
        <f ca="1">DATOSAÑO!AM29+DATOSAÑO!AN29+DATOSAÑO!AF29</f>
        <v>153.44399999999945</v>
      </c>
      <c r="S29" s="209">
        <f ca="1">IF(B29&gt;=$P$5,0,CONTADORES!S21-CONTADORES!S20)</f>
        <v>17.800000000017462</v>
      </c>
      <c r="T29" s="206">
        <f ca="1">IF(B29&gt;=$P$5,0,(CONTADORES!U21-CONTADORES!U20)+(CONTADORES!AG21-CONTADORES!AG20))</f>
        <v>2.0999999999985448</v>
      </c>
      <c r="U29" s="206">
        <f ca="1">IF(B29&gt;=$P$5,0,(CONTADORES!AS21-CONTADORES!AS20))</f>
        <v>5</v>
      </c>
      <c r="V29" s="206">
        <f ca="1">IF(B29&gt;=$P$5,0,(CONTADORES!AT21-CONTADORES!AT20))</f>
        <v>0</v>
      </c>
      <c r="W29" s="715">
        <v>0</v>
      </c>
      <c r="X29" s="206">
        <f ca="1">IF(W29=0,(T29-INICIO!$W$6),((T29-INICIO!$W$6)+V29))</f>
        <v>2.0999999999985448</v>
      </c>
      <c r="Y29" s="208">
        <f t="shared" ca="1" si="8"/>
        <v>12.800000000017462</v>
      </c>
      <c r="Z29" s="209">
        <f t="shared" ca="1" si="9"/>
        <v>9.8015748031633212</v>
      </c>
      <c r="AA29" s="206">
        <f t="shared" ca="1" si="10"/>
        <v>2.2374803149634994</v>
      </c>
      <c r="AB29" s="206">
        <f t="shared" ca="1" si="11"/>
        <v>0.50897637795331863</v>
      </c>
      <c r="AC29" s="208">
        <f t="shared" ca="1" si="6"/>
        <v>0.25196850393732273</v>
      </c>
    </row>
    <row r="30" spans="2:29">
      <c r="B30" s="214">
        <v>44581</v>
      </c>
      <c r="C30" s="202">
        <f ca="1">DATOSAÑO!I30</f>
        <v>152</v>
      </c>
      <c r="D30" s="196">
        <f ca="1">DATOSAÑO!P30</f>
        <v>300</v>
      </c>
      <c r="E30" s="196">
        <f ca="1">DATOSAÑO!Q30</f>
        <v>0</v>
      </c>
      <c r="F30" s="196">
        <f ca="1">DATOSAÑO!T30</f>
        <v>0</v>
      </c>
      <c r="G30" s="196">
        <f t="shared" ca="1" si="4"/>
        <v>452</v>
      </c>
      <c r="H30" s="196">
        <f t="shared" ca="1" si="5"/>
        <v>27.892000000016026</v>
      </c>
      <c r="I30" s="196">
        <f t="shared" ca="1" si="0"/>
        <v>200.42336338689245</v>
      </c>
      <c r="J30" s="196">
        <f t="shared" ca="1" si="1"/>
        <v>45.915170521362768</v>
      </c>
      <c r="K30" s="196">
        <f t="shared" ca="1" si="2"/>
        <v>11.973343786750323</v>
      </c>
      <c r="L30" s="196">
        <f t="shared" ca="1" si="12"/>
        <v>158.50800000000001</v>
      </c>
      <c r="M30" s="196">
        <f t="shared" ca="1" si="3"/>
        <v>7.288122304978458</v>
      </c>
      <c r="N30" s="196">
        <f t="shared" ca="1" si="7"/>
        <v>7</v>
      </c>
      <c r="O30" s="196">
        <f ca="1">(DATOSAÑO!AJ30+DATOSAÑO!AK30+DATOSAÑO!AD30)</f>
        <v>192.49999999998545</v>
      </c>
      <c r="P30" s="196">
        <f ca="1">DATOSAÑO!AI30</f>
        <v>44.099999999998545</v>
      </c>
      <c r="Q30" s="196">
        <f ca="1">DATOSAÑO!AH30</f>
        <v>11.5</v>
      </c>
      <c r="R30" s="206">
        <f ca="1">DATOSAÑO!AM30+DATOSAÑO!AN30+DATOSAÑO!AF30</f>
        <v>158.50800000000001</v>
      </c>
      <c r="S30" s="209">
        <f ca="1">IF(B30&gt;=$P$5,0,CONTADORES!S22-CONTADORES!S21)</f>
        <v>17.5</v>
      </c>
      <c r="T30" s="206">
        <f ca="1">IF(B30&gt;=$P$5,0,(CONTADORES!U22-CONTADORES!U21)+(CONTADORES!AG22-CONTADORES!AG21))</f>
        <v>2.1000000000058208</v>
      </c>
      <c r="U30" s="206">
        <f ca="1">IF(B30&gt;=$P$5,0,(CONTADORES!AS22-CONTADORES!AS21))</f>
        <v>7</v>
      </c>
      <c r="V30" s="206">
        <f ca="1">IF(B30&gt;=$P$5,0,(CONTADORES!AT22-CONTADORES!AT21))</f>
        <v>0</v>
      </c>
      <c r="W30" s="715">
        <v>0</v>
      </c>
      <c r="X30" s="206">
        <f ca="1">IF(W30=0,(T30-INICIO!$W$6),((T30-INICIO!$W$6)+V30))</f>
        <v>2.1000000000058208</v>
      </c>
      <c r="Y30" s="208">
        <f t="shared" ca="1" si="8"/>
        <v>10.5</v>
      </c>
      <c r="Z30" s="209">
        <f t="shared" ca="1" si="9"/>
        <v>7.9233633869069937</v>
      </c>
      <c r="AA30" s="206">
        <f t="shared" ca="1" si="10"/>
        <v>1.8151705213642249</v>
      </c>
      <c r="AB30" s="206">
        <f t="shared" ca="1" si="11"/>
        <v>0.47334378675032368</v>
      </c>
      <c r="AC30" s="208">
        <f t="shared" ca="1" si="6"/>
        <v>0.28812230497845792</v>
      </c>
    </row>
    <row r="31" spans="2:29">
      <c r="B31" s="214">
        <v>44582</v>
      </c>
      <c r="C31" s="202">
        <f ca="1">DATOSAÑO!I31</f>
        <v>150</v>
      </c>
      <c r="D31" s="196">
        <f ca="1">DATOSAÑO!P31</f>
        <v>300</v>
      </c>
      <c r="E31" s="196">
        <f ca="1">DATOSAÑO!Q31</f>
        <v>0</v>
      </c>
      <c r="F31" s="196">
        <f ca="1">DATOSAÑO!T31</f>
        <v>0</v>
      </c>
      <c r="G31" s="196">
        <f t="shared" ca="1" si="4"/>
        <v>450</v>
      </c>
      <c r="H31" s="196">
        <f t="shared" ca="1" si="5"/>
        <v>30.839500000002033</v>
      </c>
      <c r="I31" s="196">
        <f t="shared" ca="1" si="0"/>
        <v>204.87705246295567</v>
      </c>
      <c r="J31" s="196">
        <f t="shared" ca="1" si="1"/>
        <v>45.305286343606213</v>
      </c>
      <c r="K31" s="196">
        <f t="shared" ca="1" si="2"/>
        <v>10.349459351224546</v>
      </c>
      <c r="L31" s="196">
        <f t="shared" ca="1" si="12"/>
        <v>155.46050000000091</v>
      </c>
      <c r="M31" s="196">
        <f t="shared" ca="1" si="3"/>
        <v>3.1682018422106548</v>
      </c>
      <c r="N31" s="196">
        <f t="shared" ca="1" si="7"/>
        <v>3</v>
      </c>
      <c r="O31" s="196">
        <f ca="1">(DATOSAÑO!AJ31+DATOSAÑO!AK31+DATOSAÑO!AD31)</f>
        <v>194</v>
      </c>
      <c r="P31" s="196">
        <f ca="1">DATOSAÑO!AI31</f>
        <v>42.899999999994179</v>
      </c>
      <c r="Q31" s="196">
        <f ca="1">DATOSAÑO!AH31</f>
        <v>9.8000000000029104</v>
      </c>
      <c r="R31" s="206">
        <f ca="1">DATOSAÑO!AM31+DATOSAÑO!AN31+DATOSAÑO!AF31</f>
        <v>155.46050000000091</v>
      </c>
      <c r="S31" s="209">
        <f ca="1">IF(B31&gt;=$P$5,0,CONTADORES!S23-CONTADORES!S22)</f>
        <v>17</v>
      </c>
      <c r="T31" s="206">
        <f ca="1">IF(B31&gt;=$P$5,0,(CONTADORES!U23-CONTADORES!U22)+(CONTADORES!AG23-CONTADORES!AG22))</f>
        <v>2.1999999999970896</v>
      </c>
      <c r="U31" s="206">
        <f ca="1">IF(B31&gt;=$P$5,0,(CONTADORES!AS23-CONTADORES!AS22))</f>
        <v>3</v>
      </c>
      <c r="V31" s="206">
        <f ca="1">IF(B31&gt;=$P$5,0,(CONTADORES!AT23-CONTADORES!AT22))</f>
        <v>0</v>
      </c>
      <c r="W31" s="715">
        <v>0</v>
      </c>
      <c r="X31" s="206">
        <f ca="1">IF(W31=0,(T31-INICIO!$W$6),((T31-INICIO!$W$6)+V31))</f>
        <v>2.1999999999970896</v>
      </c>
      <c r="Y31" s="208">
        <f t="shared" ca="1" si="8"/>
        <v>14</v>
      </c>
      <c r="Z31" s="209">
        <f t="shared" ca="1" si="9"/>
        <v>10.877052462955673</v>
      </c>
      <c r="AA31" s="206">
        <f t="shared" ca="1" si="10"/>
        <v>2.4052863436120364</v>
      </c>
      <c r="AB31" s="206">
        <f t="shared" ca="1" si="11"/>
        <v>0.54945935122163536</v>
      </c>
      <c r="AC31" s="208">
        <f t="shared" ca="1" si="6"/>
        <v>0.16820184221065473</v>
      </c>
    </row>
    <row r="32" spans="2:29">
      <c r="B32" s="214">
        <v>44583</v>
      </c>
      <c r="C32" s="202">
        <f ca="1">DATOSAÑO!I32</f>
        <v>152</v>
      </c>
      <c r="D32" s="196">
        <f ca="1">DATOSAÑO!P32</f>
        <v>294</v>
      </c>
      <c r="E32" s="196">
        <f ca="1">DATOSAÑO!Q32</f>
        <v>0</v>
      </c>
      <c r="F32" s="196">
        <f ca="1">DATOSAÑO!T32</f>
        <v>0</v>
      </c>
      <c r="G32" s="196">
        <f t="shared" ca="1" si="4"/>
        <v>446</v>
      </c>
      <c r="H32" s="196">
        <f t="shared" ca="1" si="5"/>
        <v>32.277999999996894</v>
      </c>
      <c r="I32" s="196">
        <f t="shared" ca="1" si="0"/>
        <v>198.74197730956365</v>
      </c>
      <c r="J32" s="196">
        <f t="shared" ca="1" si="1"/>
        <v>40.566004862240213</v>
      </c>
      <c r="K32" s="196">
        <f t="shared" ca="1" si="2"/>
        <v>14.150931928686852</v>
      </c>
      <c r="L32" s="196">
        <f t="shared" ca="1" si="12"/>
        <v>155.02199999999874</v>
      </c>
      <c r="M32" s="196">
        <f t="shared" ca="1" si="3"/>
        <v>5.2410858995136484</v>
      </c>
      <c r="N32" s="196">
        <f t="shared" ca="1" si="7"/>
        <v>5</v>
      </c>
      <c r="O32" s="196">
        <f ca="1">(DATOSAÑO!AJ32+DATOSAÑO!AK32+DATOSAÑO!AD32)</f>
        <v>189.60000000000582</v>
      </c>
      <c r="P32" s="196">
        <f ca="1">DATOSAÑO!AI32</f>
        <v>38.700000000004366</v>
      </c>
      <c r="Q32" s="196">
        <f ca="1">DATOSAÑO!AH32</f>
        <v>13.5</v>
      </c>
      <c r="R32" s="206">
        <f ca="1">DATOSAÑO!AM32+DATOSAÑO!AN32+DATOSAÑO!AF32</f>
        <v>155.02199999999874</v>
      </c>
      <c r="S32" s="209">
        <f ca="1">IF(B32&gt;=$P$5,0,CONTADORES!S24-CONTADORES!S23)</f>
        <v>16.899999999994179</v>
      </c>
      <c r="T32" s="206">
        <f ca="1">IF(B32&gt;=$P$5,0,(CONTADORES!U24-CONTADORES!U23)+(CONTADORES!AG24-CONTADORES!AG23))</f>
        <v>2.0999999999985448</v>
      </c>
      <c r="U32" s="206">
        <f ca="1">IF(B32&gt;=$P$5,0,(CONTADORES!AS24-CONTADORES!AS23))</f>
        <v>5</v>
      </c>
      <c r="V32" s="206">
        <f ca="1">IF(B32&gt;=$P$5,0,(CONTADORES!AT24-CONTADORES!AT23))</f>
        <v>0</v>
      </c>
      <c r="W32" s="715">
        <v>0</v>
      </c>
      <c r="X32" s="206">
        <f ca="1">IF(W32=0,(T32-INICIO!$W$6),((T32-INICIO!$W$6)+V32))</f>
        <v>2.0999999999985448</v>
      </c>
      <c r="Y32" s="208">
        <f t="shared" ca="1" si="8"/>
        <v>11.899999999994179</v>
      </c>
      <c r="Z32" s="209">
        <f t="shared" ca="1" si="9"/>
        <v>9.1419773095578307</v>
      </c>
      <c r="AA32" s="206">
        <f t="shared" ca="1" si="10"/>
        <v>1.8660048622358496</v>
      </c>
      <c r="AB32" s="206">
        <f t="shared" ca="1" si="11"/>
        <v>0.6509319286868509</v>
      </c>
      <c r="AC32" s="208">
        <f t="shared" ca="1" si="6"/>
        <v>0.24108589951364845</v>
      </c>
    </row>
    <row r="33" spans="2:29">
      <c r="B33" s="214">
        <v>44584</v>
      </c>
      <c r="C33" s="202">
        <f ca="1">DATOSAÑO!I33</f>
        <v>152</v>
      </c>
      <c r="D33" s="196">
        <f ca="1">DATOSAÑO!P33</f>
        <v>294</v>
      </c>
      <c r="E33" s="196">
        <f ca="1">DATOSAÑO!Q33</f>
        <v>0</v>
      </c>
      <c r="F33" s="196">
        <f ca="1">DATOSAÑO!T33</f>
        <v>0</v>
      </c>
      <c r="G33" s="196">
        <f t="shared" ca="1" si="4"/>
        <v>446</v>
      </c>
      <c r="H33" s="196">
        <f t="shared" ca="1" si="5"/>
        <v>32.790000000013663</v>
      </c>
      <c r="I33" s="196">
        <f t="shared" ca="1" si="0"/>
        <v>200.86468915073837</v>
      </c>
      <c r="J33" s="196">
        <f t="shared" ca="1" si="1"/>
        <v>41.514831369359655</v>
      </c>
      <c r="K33" s="196">
        <f t="shared" ca="1" si="2"/>
        <v>10.37870784234182</v>
      </c>
      <c r="L33" s="196">
        <f t="shared" ca="1" si="12"/>
        <v>155.21000000000092</v>
      </c>
      <c r="M33" s="196">
        <f t="shared" ca="1" si="3"/>
        <v>5.2417716375456038</v>
      </c>
      <c r="N33" s="196">
        <f t="shared" ca="1" si="7"/>
        <v>5</v>
      </c>
      <c r="O33" s="196">
        <f ca="1">(DATOSAÑO!AJ33+DATOSAÑO!AK33+DATOSAÑO!AD33)</f>
        <v>191.59999999999127</v>
      </c>
      <c r="P33" s="196">
        <f ca="1">DATOSAÑO!AI33</f>
        <v>39.599999999998545</v>
      </c>
      <c r="Q33" s="196">
        <f ca="1">DATOSAÑO!AH33</f>
        <v>9.9000000000014552</v>
      </c>
      <c r="R33" s="206">
        <f ca="1">DATOSAÑO!AM33+DATOSAÑO!AN33+DATOSAÑO!AF33</f>
        <v>155.21000000000092</v>
      </c>
      <c r="S33" s="209">
        <f ca="1">IF(B33&gt;=$P$5,0,CONTADORES!S25-CONTADORES!S24)</f>
        <v>16.899999999994179</v>
      </c>
      <c r="T33" s="206">
        <f ca="1">IF(B33&gt;=$P$5,0,(CONTADORES!U25-CONTADORES!U24)+(CONTADORES!AG25-CONTADORES!AG24))</f>
        <v>2.0999999999985448</v>
      </c>
      <c r="U33" s="206">
        <f ca="1">IF(B33&gt;=$P$5,0,(CONTADORES!AS25-CONTADORES!AS24))</f>
        <v>5</v>
      </c>
      <c r="V33" s="206">
        <f ca="1">IF(B33&gt;=$P$5,0,(CONTADORES!AT25-CONTADORES!AT24))</f>
        <v>0</v>
      </c>
      <c r="W33" s="715">
        <v>0</v>
      </c>
      <c r="X33" s="206">
        <f ca="1">IF(W33=0,(T33-INICIO!$W$6),((T33-INICIO!$W$6)+V33))</f>
        <v>2.0999999999985448</v>
      </c>
      <c r="Y33" s="208">
        <f t="shared" ca="1" si="8"/>
        <v>11.899999999994179</v>
      </c>
      <c r="Z33" s="209">
        <f t="shared" ca="1" si="9"/>
        <v>9.2646891507471008</v>
      </c>
      <c r="AA33" s="206">
        <f t="shared" ca="1" si="10"/>
        <v>1.9148313693611088</v>
      </c>
      <c r="AB33" s="206">
        <f t="shared" ca="1" si="11"/>
        <v>0.47870784234036518</v>
      </c>
      <c r="AC33" s="208">
        <f t="shared" ca="1" si="6"/>
        <v>0.24177163754560344</v>
      </c>
    </row>
    <row r="34" spans="2:29">
      <c r="B34" s="214">
        <v>44585</v>
      </c>
      <c r="C34" s="202">
        <f ca="1">DATOSAÑO!I34</f>
        <v>225</v>
      </c>
      <c r="D34" s="196">
        <f ca="1">DATOSAÑO!P34</f>
        <v>206</v>
      </c>
      <c r="E34" s="196">
        <f ca="1">DATOSAÑO!Q34</f>
        <v>0.33899999999994179</v>
      </c>
      <c r="F34" s="196">
        <f ca="1">DATOSAÑO!T34</f>
        <v>0.32000000000005002</v>
      </c>
      <c r="G34" s="196">
        <f t="shared" ca="1" si="4"/>
        <v>431.65899999999999</v>
      </c>
      <c r="H34" s="196">
        <f t="shared" ca="1" si="5"/>
        <v>32.845999999992046</v>
      </c>
      <c r="I34" s="196">
        <f t="shared" ca="1" si="0"/>
        <v>194.55028187633937</v>
      </c>
      <c r="J34" s="196">
        <f t="shared" ca="1" si="1"/>
        <v>38.720661833694322</v>
      </c>
      <c r="K34" s="196">
        <f t="shared" ca="1" si="2"/>
        <v>8.3123159914656402</v>
      </c>
      <c r="L34" s="196">
        <f t="shared" ca="1" si="12"/>
        <v>152.07399999999927</v>
      </c>
      <c r="M34" s="196">
        <f t="shared" ca="1" si="3"/>
        <v>5.1557402985093352</v>
      </c>
      <c r="N34" s="196">
        <f t="shared" ca="1" si="7"/>
        <v>4.9000000000014552</v>
      </c>
      <c r="O34" s="196">
        <f ca="1">(DATOSAÑO!AJ34+DATOSAÑO!AK34+DATOSAÑO!AD34)</f>
        <v>184.89999999999418</v>
      </c>
      <c r="P34" s="196">
        <f ca="1">DATOSAÑO!AI34</f>
        <v>36.80000000000291</v>
      </c>
      <c r="Q34" s="196">
        <f ca="1">DATOSAÑO!AH34</f>
        <v>7.8999999999941792</v>
      </c>
      <c r="R34" s="206">
        <f ca="1">DATOSAÑO!AM34+DATOSAÑO!AN34+DATOSAÑO!AF34</f>
        <v>152.07399999999927</v>
      </c>
      <c r="S34" s="209">
        <f ca="1">IF(B34&gt;=$P$5,0,CONTADORES!S26-CONTADORES!S25)</f>
        <v>16.800000000017462</v>
      </c>
      <c r="T34" s="206">
        <f ca="1">IF(B34&gt;=$P$5,0,(CONTADORES!U26-CONTADORES!U25)+(CONTADORES!AG26-CONTADORES!AG25))</f>
        <v>2.1000000000058208</v>
      </c>
      <c r="U34" s="206">
        <f ca="1">IF(B34&gt;=$P$5,0,(CONTADORES!AS26-CONTADORES!AS25))</f>
        <v>4.9000000000014552</v>
      </c>
      <c r="V34" s="206">
        <f ca="1">IF(B34&gt;=$P$5,0,(CONTADORES!AT26-CONTADORES!AT25))</f>
        <v>0</v>
      </c>
      <c r="W34" s="715">
        <v>0</v>
      </c>
      <c r="X34" s="206">
        <f ca="1">IF(W34=0,(T34-INICIO!$W$6),((T34-INICIO!$W$6)+V34))</f>
        <v>2.1000000000058208</v>
      </c>
      <c r="Y34" s="208">
        <f t="shared" ca="1" si="8"/>
        <v>12.239000000015949</v>
      </c>
      <c r="Z34" s="209">
        <f t="shared" ca="1" si="9"/>
        <v>9.6502818763451934</v>
      </c>
      <c r="AA34" s="206">
        <f t="shared" ca="1" si="10"/>
        <v>1.9206618336914136</v>
      </c>
      <c r="AB34" s="206">
        <f t="shared" ca="1" si="11"/>
        <v>0.41231599147146164</v>
      </c>
      <c r="AC34" s="208">
        <f t="shared" ca="1" si="6"/>
        <v>0.25574029850787983</v>
      </c>
    </row>
    <row r="35" spans="2:29">
      <c r="B35" s="214">
        <v>44586</v>
      </c>
      <c r="C35" s="202">
        <f ca="1">DATOSAÑO!I35</f>
        <v>295</v>
      </c>
      <c r="D35" s="196">
        <f ca="1">DATOSAÑO!P35</f>
        <v>151.29999999999927</v>
      </c>
      <c r="E35" s="196">
        <f ca="1">DATOSAÑO!Q35</f>
        <v>0</v>
      </c>
      <c r="F35" s="196">
        <f ca="1">DATOSAÑO!T35</f>
        <v>0</v>
      </c>
      <c r="G35" s="196">
        <f t="shared" ca="1" si="4"/>
        <v>446.29999999999927</v>
      </c>
      <c r="H35" s="196">
        <f t="shared" ca="1" si="5"/>
        <v>30.205999999984158</v>
      </c>
      <c r="I35" s="196">
        <f t="shared" ca="1" si="0"/>
        <v>201.20004029010266</v>
      </c>
      <c r="J35" s="196">
        <f t="shared" ca="1" si="1"/>
        <v>39.88315874294959</v>
      </c>
      <c r="K35" s="196">
        <f t="shared" ca="1" si="2"/>
        <v>13.959105560035411</v>
      </c>
      <c r="L35" s="196">
        <f t="shared" ca="1" si="12"/>
        <v>155.59400000000053</v>
      </c>
      <c r="M35" s="196">
        <f t="shared" ca="1" si="3"/>
        <v>5.4576954069268897</v>
      </c>
      <c r="N35" s="196">
        <f t="shared" ca="1" si="7"/>
        <v>5.1999999999970896</v>
      </c>
      <c r="O35" s="196">
        <f ca="1">(DATOSAÑO!AJ35+DATOSAÑO!AK35+DATOSAÑO!AD35)</f>
        <v>191.70000000001164</v>
      </c>
      <c r="P35" s="196">
        <f ca="1">DATOSAÑO!AI35</f>
        <v>38</v>
      </c>
      <c r="Q35" s="196">
        <f ca="1">DATOSAÑO!AH35</f>
        <v>13.30000000000291</v>
      </c>
      <c r="R35" s="206">
        <f ca="1">DATOSAÑO!AM35+DATOSAÑO!AN35+DATOSAÑO!AF35</f>
        <v>155.59400000000053</v>
      </c>
      <c r="S35" s="209">
        <f ca="1">IF(B35&gt;=$P$5,0,CONTADORES!S27-CONTADORES!S26)</f>
        <v>17.5</v>
      </c>
      <c r="T35" s="206">
        <f ca="1">IF(B35&gt;=$P$5,0,(CONTADORES!U27-CONTADORES!U26)+(CONTADORES!AG27-CONTADORES!AG26))</f>
        <v>2.0999999999985448</v>
      </c>
      <c r="U35" s="206">
        <f ca="1">IF(B35&gt;=$P$5,0,(CONTADORES!AS27-CONTADORES!AS26))</f>
        <v>5.1999999999970896</v>
      </c>
      <c r="V35" s="206">
        <f ca="1">IF(B35&gt;=$P$5,0,(CONTADORES!AT27-CONTADORES!AT26))</f>
        <v>0</v>
      </c>
      <c r="W35" s="715">
        <v>0</v>
      </c>
      <c r="X35" s="206">
        <f ca="1">IF(W35=0,(T35-INICIO!$W$6),((T35-INICIO!$W$6)+V35))</f>
        <v>2.0999999999985448</v>
      </c>
      <c r="Y35" s="208">
        <f t="shared" ca="1" si="8"/>
        <v>12.30000000000291</v>
      </c>
      <c r="Z35" s="209">
        <f t="shared" ca="1" si="9"/>
        <v>9.5000402900910164</v>
      </c>
      <c r="AA35" s="206">
        <f t="shared" ca="1" si="10"/>
        <v>1.8831587429495917</v>
      </c>
      <c r="AB35" s="206">
        <f t="shared" ca="1" si="11"/>
        <v>0.65910556003250131</v>
      </c>
      <c r="AC35" s="208">
        <f t="shared" ca="1" si="6"/>
        <v>0.25769540692979992</v>
      </c>
    </row>
    <row r="36" spans="2:29">
      <c r="B36" s="214">
        <v>44587</v>
      </c>
      <c r="C36" s="202">
        <f ca="1">DATOSAÑO!I36</f>
        <v>284</v>
      </c>
      <c r="D36" s="196">
        <f ca="1">DATOSAÑO!P36</f>
        <v>150.70000000000073</v>
      </c>
      <c r="E36" s="196">
        <f ca="1">DATOSAÑO!Q36</f>
        <v>0</v>
      </c>
      <c r="F36" s="196">
        <f ca="1">DATOSAÑO!T36</f>
        <v>0</v>
      </c>
      <c r="G36" s="196">
        <f t="shared" ca="1" si="4"/>
        <v>434.70000000000073</v>
      </c>
      <c r="H36" s="196">
        <f t="shared" ca="1" si="5"/>
        <v>31.674000000042724</v>
      </c>
      <c r="I36" s="196">
        <f t="shared" ca="1" si="0"/>
        <v>199.25020746883996</v>
      </c>
      <c r="J36" s="196">
        <f t="shared" ca="1" si="1"/>
        <v>38.798589211618008</v>
      </c>
      <c r="K36" s="196">
        <f t="shared" ca="1" si="2"/>
        <v>10.199087136925934</v>
      </c>
      <c r="L36" s="196">
        <f t="shared" ca="1" si="12"/>
        <v>149.62600000000018</v>
      </c>
      <c r="M36" s="196">
        <f t="shared" ca="1" si="3"/>
        <v>5.1521161825739084</v>
      </c>
      <c r="N36" s="196">
        <f t="shared" ca="1" si="7"/>
        <v>4.9000000000014552</v>
      </c>
      <c r="O36" s="196">
        <f ca="1">(DATOSAÑO!AJ36+DATOSAÑO!AK36+DATOSAÑO!AD36)</f>
        <v>189.4999999999709</v>
      </c>
      <c r="P36" s="196">
        <f ca="1">DATOSAÑO!AI36</f>
        <v>36.900000000001455</v>
      </c>
      <c r="Q36" s="196">
        <f ca="1">DATOSAÑO!AH36</f>
        <v>9.6999999999970896</v>
      </c>
      <c r="R36" s="206">
        <f ca="1">DATOSAÑO!AM36+DATOSAÑO!AN36+DATOSAÑO!AF36</f>
        <v>149.62600000000018</v>
      </c>
      <c r="S36" s="209">
        <f ca="1">IF(B36&gt;=$P$5,0,CONTADORES!S28-CONTADORES!S27)</f>
        <v>17.299999999988358</v>
      </c>
      <c r="T36" s="206">
        <f ca="1">IF(B36&gt;=$P$5,0,(CONTADORES!U28-CONTADORES!U27)+(CONTADORES!AG28-CONTADORES!AG27))</f>
        <v>2.0999999999985448</v>
      </c>
      <c r="U36" s="206">
        <f ca="1">IF(B36&gt;=$P$5,0,(CONTADORES!AS28-CONTADORES!AS27))</f>
        <v>4.9000000000014552</v>
      </c>
      <c r="V36" s="206">
        <f ca="1">IF(B36&gt;=$P$5,0,(CONTADORES!AT28-CONTADORES!AT27))</f>
        <v>0</v>
      </c>
      <c r="W36" s="715">
        <v>0</v>
      </c>
      <c r="X36" s="206">
        <f ca="1">IF(W36=0,(T36-INICIO!$W$6),((T36-INICIO!$W$6)+V36))</f>
        <v>2.0999999999985448</v>
      </c>
      <c r="Y36" s="208">
        <f t="shared" ca="1" si="8"/>
        <v>12.399999999986903</v>
      </c>
      <c r="Z36" s="209">
        <f t="shared" ca="1" si="9"/>
        <v>9.7502074688690499</v>
      </c>
      <c r="AA36" s="206">
        <f t="shared" ca="1" si="10"/>
        <v>1.8985892116165561</v>
      </c>
      <c r="AB36" s="206">
        <f t="shared" ca="1" si="11"/>
        <v>0.49908713692884399</v>
      </c>
      <c r="AC36" s="208">
        <f t="shared" ca="1" si="6"/>
        <v>0.25211618257245316</v>
      </c>
    </row>
    <row r="37" spans="2:29">
      <c r="B37" s="214">
        <v>44588</v>
      </c>
      <c r="C37" s="202">
        <f ca="1">DATOSAÑO!I37</f>
        <v>286</v>
      </c>
      <c r="D37" s="196">
        <f ca="1">DATOSAÑO!P37</f>
        <v>148.40000000000146</v>
      </c>
      <c r="E37" s="196">
        <f ca="1">DATOSAÑO!Q37</f>
        <v>0</v>
      </c>
      <c r="F37" s="196">
        <f ca="1">DATOSAÑO!T37</f>
        <v>0</v>
      </c>
      <c r="G37" s="196">
        <f t="shared" ca="1" si="4"/>
        <v>434.40000000000146</v>
      </c>
      <c r="H37" s="196">
        <f t="shared" ca="1" si="5"/>
        <v>30.565000000027453</v>
      </c>
      <c r="I37" s="196">
        <f t="shared" ca="1" si="0"/>
        <v>194.78272536685526</v>
      </c>
      <c r="J37" s="196">
        <f t="shared" ca="1" si="1"/>
        <v>39.145450733748717</v>
      </c>
      <c r="K37" s="196">
        <f t="shared" ca="1" si="2"/>
        <v>11.439287211741767</v>
      </c>
      <c r="L37" s="196">
        <f t="shared" ca="1" si="12"/>
        <v>153.5350000000002</v>
      </c>
      <c r="M37" s="196">
        <f t="shared" ca="1" si="3"/>
        <v>4.9325366876280583</v>
      </c>
      <c r="N37" s="196">
        <f t="shared" ca="1" si="7"/>
        <v>4.6999999999970896</v>
      </c>
      <c r="O37" s="196">
        <f ca="1">(DATOSAÑO!AJ37+DATOSAÑO!AK37+DATOSAÑO!AD37)</f>
        <v>185.59999999997672</v>
      </c>
      <c r="P37" s="196">
        <f ca="1">DATOSAÑO!AI37</f>
        <v>37.299999999995634</v>
      </c>
      <c r="Q37" s="196">
        <f ca="1">DATOSAÑO!AH37</f>
        <v>10.900000000001455</v>
      </c>
      <c r="R37" s="206">
        <f ca="1">DATOSAÑO!AM37+DATOSAÑO!AN37+DATOSAÑO!AF37</f>
        <v>153.5350000000002</v>
      </c>
      <c r="S37" s="209">
        <f ca="1">IF(B37&gt;=$P$5,0,CONTADORES!S29-CONTADORES!S28)</f>
        <v>16.5</v>
      </c>
      <c r="T37" s="206">
        <f ca="1">IF(B37&gt;=$P$5,0,(CONTADORES!U29-CONTADORES!U28)+(CONTADORES!AG29-CONTADORES!AG28))</f>
        <v>2.1999999999970896</v>
      </c>
      <c r="U37" s="206">
        <f ca="1">IF(B37&gt;=$P$5,0,(CONTADORES!AS29-CONTADORES!AS28))</f>
        <v>4.6999999999970896</v>
      </c>
      <c r="V37" s="206">
        <f ca="1">IF(B37&gt;=$P$5,0,(CONTADORES!AT29-CONTADORES!AT28))</f>
        <v>0</v>
      </c>
      <c r="W37" s="715">
        <v>0</v>
      </c>
      <c r="X37" s="206">
        <f ca="1">IF(W37=0,(T37-INICIO!$W$6),((T37-INICIO!$W$6)+V37))</f>
        <v>2.1999999999970896</v>
      </c>
      <c r="Y37" s="208">
        <f t="shared" ca="1" si="8"/>
        <v>11.80000000000291</v>
      </c>
      <c r="Z37" s="209">
        <f t="shared" ca="1" si="9"/>
        <v>9.1827253668785449</v>
      </c>
      <c r="AA37" s="206">
        <f t="shared" ca="1" si="10"/>
        <v>1.845450733753085</v>
      </c>
      <c r="AB37" s="206">
        <f t="shared" ca="1" si="11"/>
        <v>0.53928721174031269</v>
      </c>
      <c r="AC37" s="208">
        <f t="shared" ca="1" si="6"/>
        <v>0.23253668763096899</v>
      </c>
    </row>
    <row r="38" spans="2:29">
      <c r="B38" s="214">
        <v>44589</v>
      </c>
      <c r="C38" s="202">
        <f ca="1">DATOSAÑO!I38</f>
        <v>293</v>
      </c>
      <c r="D38" s="196">
        <f ca="1">DATOSAÑO!P38</f>
        <v>149.69999999999709</v>
      </c>
      <c r="E38" s="196">
        <f ca="1">DATOSAÑO!Q38</f>
        <v>8.0000000000381988E-3</v>
      </c>
      <c r="F38" s="196">
        <f ca="1">DATOSAÑO!T38</f>
        <v>0</v>
      </c>
      <c r="G38" s="196">
        <f t="shared" ca="1" si="4"/>
        <v>442.70799999999713</v>
      </c>
      <c r="H38" s="196">
        <f t="shared" ca="1" si="5"/>
        <v>30.255999999958703</v>
      </c>
      <c r="I38" s="196">
        <f t="shared" ca="1" si="0"/>
        <v>197.4297899023224</v>
      </c>
      <c r="J38" s="196">
        <f t="shared" ca="1" si="1"/>
        <v>42.14911074918885</v>
      </c>
      <c r="K38" s="196">
        <f t="shared" ca="1" si="2"/>
        <v>13.630309446253619</v>
      </c>
      <c r="L38" s="196">
        <f t="shared" ca="1" si="12"/>
        <v>154.94399999998745</v>
      </c>
      <c r="M38" s="196">
        <f t="shared" ca="1" si="3"/>
        <v>4.2987899022860905</v>
      </c>
      <c r="N38" s="196">
        <f t="shared" ca="1" si="7"/>
        <v>4.1000000000058208</v>
      </c>
      <c r="O38" s="196">
        <f ca="1">(DATOSAÑO!AJ38+DATOSAÑO!AK38+DATOSAÑO!AD38)</f>
        <v>188.30000000004657</v>
      </c>
      <c r="P38" s="196">
        <f ca="1">DATOSAÑO!AI38</f>
        <v>40.200000000004366</v>
      </c>
      <c r="Q38" s="196">
        <f ca="1">DATOSAÑO!AH38</f>
        <v>13</v>
      </c>
      <c r="R38" s="206">
        <f ca="1">DATOSAÑO!AM38+DATOSAÑO!AN38+DATOSAÑO!AF38</f>
        <v>154.94399999998745</v>
      </c>
      <c r="S38" s="209">
        <f ca="1">IF(B38&gt;=$P$5,0,CONTADORES!S30-CONTADORES!S29)</f>
        <v>16</v>
      </c>
      <c r="T38" s="206">
        <f ca="1">IF(B38&gt;=$P$5,0,(CONTADORES!U30-CONTADORES!U29)+(CONTADORES!AG30-CONTADORES!AG29))</f>
        <v>2.1000000000058208</v>
      </c>
      <c r="U38" s="206">
        <f ca="1">IF(B38&gt;=$P$5,0,(CONTADORES!AS30-CONTADORES!AS29))</f>
        <v>4.1000000000058208</v>
      </c>
      <c r="V38" s="206">
        <f ca="1">IF(B38&gt;=$P$5,0,(CONTADORES!AT30-CONTADORES!AT29))</f>
        <v>0</v>
      </c>
      <c r="W38" s="715">
        <v>0</v>
      </c>
      <c r="X38" s="206">
        <f ca="1">IF(W38=0,(T38-INICIO!$W$6),((T38-INICIO!$W$6)+V38))</f>
        <v>2.1000000000058208</v>
      </c>
      <c r="Y38" s="208">
        <f t="shared" ca="1" si="8"/>
        <v>11.907999999994217</v>
      </c>
      <c r="Z38" s="209">
        <f t="shared" ca="1" si="9"/>
        <v>9.1297899022758457</v>
      </c>
      <c r="AA38" s="206">
        <f t="shared" ca="1" si="10"/>
        <v>1.9491107491844823</v>
      </c>
      <c r="AB38" s="206">
        <f t="shared" ca="1" si="11"/>
        <v>0.63030944625361995</v>
      </c>
      <c r="AC38" s="208">
        <f t="shared" ca="1" si="6"/>
        <v>0.19878990228027005</v>
      </c>
    </row>
    <row r="39" spans="2:29">
      <c r="B39" s="214">
        <v>44590</v>
      </c>
      <c r="C39" s="202">
        <f ca="1">DATOSAÑO!I39</f>
        <v>293</v>
      </c>
      <c r="D39" s="196">
        <f ca="1">DATOSAÑO!P39</f>
        <v>150</v>
      </c>
      <c r="E39" s="196">
        <f ca="1">DATOSAÑO!Q39</f>
        <v>0</v>
      </c>
      <c r="F39" s="196">
        <f ca="1">DATOSAÑO!T39</f>
        <v>0</v>
      </c>
      <c r="G39" s="196">
        <f t="shared" ca="1" si="4"/>
        <v>443</v>
      </c>
      <c r="H39" s="196">
        <f t="shared" ca="1" si="5"/>
        <v>32.637999999956378</v>
      </c>
      <c r="I39" s="196">
        <f t="shared" ca="1" si="0"/>
        <v>198.65067319465339</v>
      </c>
      <c r="J39" s="196">
        <f t="shared" ca="1" si="1"/>
        <v>43.795348837205246</v>
      </c>
      <c r="K39" s="196">
        <f t="shared" ca="1" si="2"/>
        <v>9.848714810283159</v>
      </c>
      <c r="L39" s="196">
        <f t="shared" ca="1" si="12"/>
        <v>153.56200000001164</v>
      </c>
      <c r="M39" s="196">
        <f t="shared" ca="1" si="3"/>
        <v>4.5052631578902167</v>
      </c>
      <c r="N39" s="196">
        <f t="shared" ca="1" si="7"/>
        <v>4.2999999999956344</v>
      </c>
      <c r="O39" s="196">
        <f ca="1">(DATOSAÑO!AJ39+DATOSAÑO!AK39+DATOSAÑO!AD39)</f>
        <v>189.60000000003492</v>
      </c>
      <c r="P39" s="196">
        <f ca="1">DATOSAÑO!AI39</f>
        <v>41.799999999995634</v>
      </c>
      <c r="Q39" s="196">
        <f ca="1">DATOSAÑO!AH39</f>
        <v>9.4000000000014552</v>
      </c>
      <c r="R39" s="206">
        <f ca="1">DATOSAÑO!AM39+DATOSAÑO!AN39+DATOSAÑO!AF39</f>
        <v>153.56200000001164</v>
      </c>
      <c r="S39" s="209">
        <f ca="1">IF(B39&gt;=$P$5,0,CONTADORES!S31-CONTADORES!S30)</f>
        <v>16</v>
      </c>
      <c r="T39" s="206">
        <f ca="1">IF(B39&gt;=$P$5,0,(CONTADORES!U31-CONTADORES!U30)+(CONTADORES!AG31-CONTADORES!AG30))</f>
        <v>2.1999999999970896</v>
      </c>
      <c r="U39" s="206">
        <f ca="1">IF(B39&gt;=$P$5,0,(CONTADORES!AS31-CONTADORES!AS30))</f>
        <v>4.2999999999956344</v>
      </c>
      <c r="V39" s="206">
        <f ca="1">IF(B39&gt;=$P$5,0,(CONTADORES!AT31-CONTADORES!AT30))</f>
        <v>0</v>
      </c>
      <c r="W39" s="715">
        <v>0</v>
      </c>
      <c r="X39" s="206">
        <f ca="1">IF(W39=0,(T39-INICIO!$W$6),((T39-INICIO!$W$6)+V39))</f>
        <v>2.1999999999970896</v>
      </c>
      <c r="Y39" s="208">
        <f t="shared" ca="1" si="8"/>
        <v>11.700000000004366</v>
      </c>
      <c r="Z39" s="209">
        <f t="shared" ca="1" si="9"/>
        <v>9.0506731946184651</v>
      </c>
      <c r="AA39" s="206">
        <f t="shared" ca="1" si="10"/>
        <v>1.9953488372096135</v>
      </c>
      <c r="AB39" s="206">
        <f t="shared" ca="1" si="11"/>
        <v>0.44871481028170401</v>
      </c>
      <c r="AC39" s="208">
        <f t="shared" ca="1" si="6"/>
        <v>0.20526315789458188</v>
      </c>
    </row>
    <row r="40" spans="2:29">
      <c r="B40" s="214">
        <v>44591</v>
      </c>
      <c r="C40" s="202">
        <f ca="1">DATOSAÑO!I40</f>
        <v>287.09999999997672</v>
      </c>
      <c r="D40" s="196">
        <f ca="1">DATOSAÑO!P40</f>
        <v>150</v>
      </c>
      <c r="E40" s="196">
        <f ca="1">DATOSAÑO!Q40</f>
        <v>0.20399999999995089</v>
      </c>
      <c r="F40" s="196">
        <f ca="1">DATOSAÑO!T40</f>
        <v>0</v>
      </c>
      <c r="G40" s="196">
        <f t="shared" ca="1" si="4"/>
        <v>437.30399999997667</v>
      </c>
      <c r="H40" s="196">
        <f t="shared" ca="1" si="5"/>
        <v>31.741000000025281</v>
      </c>
      <c r="I40" s="196">
        <f t="shared" ca="1" si="0"/>
        <v>195.79580999994323</v>
      </c>
      <c r="J40" s="196">
        <f t="shared" ca="1" si="1"/>
        <v>43.030890000001165</v>
      </c>
      <c r="K40" s="196">
        <f t="shared" ca="1" si="2"/>
        <v>8.7324300000029886</v>
      </c>
      <c r="L40" s="196">
        <f t="shared" ca="1" si="12"/>
        <v>153.05899999999946</v>
      </c>
      <c r="M40" s="196">
        <f t="shared" ca="1" si="3"/>
        <v>4.9448700000045509</v>
      </c>
      <c r="N40" s="196">
        <f t="shared" ca="1" si="7"/>
        <v>4.7000000000043656</v>
      </c>
      <c r="O40" s="196">
        <f ca="1">(DATOSAÑO!AJ40+DATOSAÑO!AK40+DATOSAÑO!AD40)</f>
        <v>186.09999999994761</v>
      </c>
      <c r="P40" s="196">
        <f ca="1">DATOSAÑO!AI40</f>
        <v>40.900000000001455</v>
      </c>
      <c r="Q40" s="196">
        <f ca="1">DATOSAÑO!AH40</f>
        <v>8.3000000000029104</v>
      </c>
      <c r="R40" s="206">
        <f ca="1">DATOSAÑO!AM40+DATOSAÑO!AN40+DATOSAÑO!AF40</f>
        <v>153.05899999999946</v>
      </c>
      <c r="S40" s="209">
        <f ca="1">IF(B40&gt;=$P$5,0,CONTADORES!S32-CONTADORES!S31)</f>
        <v>17</v>
      </c>
      <c r="T40" s="206">
        <f ca="1">IF(B40&gt;=$P$5,0,(CONTADORES!U32-CONTADORES!U31)+(CONTADORES!AG32-CONTADORES!AG31))</f>
        <v>2.1999999999970896</v>
      </c>
      <c r="U40" s="206">
        <f ca="1">IF(B40&gt;=$P$5,0,(CONTADORES!AS32-CONTADORES!AS31))</f>
        <v>4.7000000000043656</v>
      </c>
      <c r="V40" s="206">
        <f ca="1">IF(B40&gt;=$P$5,0,(CONTADORES!AT32-CONTADORES!AT31))</f>
        <v>0</v>
      </c>
      <c r="W40" s="715">
        <v>0</v>
      </c>
      <c r="X40" s="206">
        <f ca="1">IF(W40=0,(T40-INICIO!$W$6),((T40-INICIO!$W$6)+V40))</f>
        <v>2.1999999999970896</v>
      </c>
      <c r="Y40" s="208">
        <f t="shared" ca="1" si="8"/>
        <v>12.503999999995585</v>
      </c>
      <c r="Z40" s="209">
        <f t="shared" ca="1" si="9"/>
        <v>9.6958099999956122</v>
      </c>
      <c r="AA40" s="206">
        <f t="shared" ca="1" si="10"/>
        <v>2.1308899999997108</v>
      </c>
      <c r="AB40" s="206">
        <f t="shared" ca="1" si="11"/>
        <v>0.43243000000007764</v>
      </c>
      <c r="AC40" s="208">
        <f t="shared" ca="1" si="6"/>
        <v>0.24487000000018552</v>
      </c>
    </row>
    <row r="41" spans="2:29" ht="15" thickBot="1">
      <c r="B41" s="214">
        <v>44592</v>
      </c>
      <c r="C41" s="203">
        <f ca="1">DATOSAÑO!I41</f>
        <v>291.90000000002328</v>
      </c>
      <c r="D41" s="197">
        <f ca="1">DATOSAÑO!P41</f>
        <v>149.30000000000291</v>
      </c>
      <c r="E41" s="197">
        <f ca="1">DATOSAÑO!Q41</f>
        <v>0</v>
      </c>
      <c r="F41" s="197">
        <f ca="1">DATOSAÑO!T41</f>
        <v>0.125</v>
      </c>
      <c r="G41" s="197">
        <f t="shared" ca="1" si="4"/>
        <v>441.32500000002619</v>
      </c>
      <c r="H41" s="197">
        <f t="shared" ca="1" si="5"/>
        <v>28.963999999995053</v>
      </c>
      <c r="I41" s="197">
        <f t="shared" ca="1" si="0"/>
        <v>198.23942229456696</v>
      </c>
      <c r="J41" s="197">
        <f t="shared" ca="1" si="1"/>
        <v>41.856387306749546</v>
      </c>
      <c r="K41" s="197">
        <f t="shared" ca="1" si="2"/>
        <v>13.356183889338084</v>
      </c>
      <c r="L41" s="197">
        <f t="shared" ca="1" si="12"/>
        <v>153.86100000002384</v>
      </c>
      <c r="M41" s="197">
        <f t="shared" ca="1" si="3"/>
        <v>5.0480065093526925</v>
      </c>
      <c r="N41" s="197">
        <f t="shared" ca="1" si="7"/>
        <v>4.7999999999956344</v>
      </c>
      <c r="O41" s="197">
        <f ca="1">(DATOSAÑO!AJ41+DATOSAÑO!AK41+DATOSAÑO!AD41)</f>
        <v>188.50000000001455</v>
      </c>
      <c r="P41" s="197">
        <f ca="1">DATOSAÑO!AI41</f>
        <v>39.799999999995634</v>
      </c>
      <c r="Q41" s="197">
        <f ca="1">DATOSAÑO!AH41</f>
        <v>12.69999999999709</v>
      </c>
      <c r="R41" s="197">
        <f ca="1">DATOSAÑO!AM41+DATOSAÑO!AN41+DATOSAÑO!AF41</f>
        <v>153.86100000002384</v>
      </c>
      <c r="S41" s="203">
        <f ca="1">IF(B41&gt;=$P$5,0,CONTADORES!S33-CONTADORES!S32)</f>
        <v>17.5</v>
      </c>
      <c r="T41" s="197">
        <f ca="1">IF(B41&gt;=$P$5,0,(CONTADORES!U33-CONTADORES!U32)+(CONTADORES!AG33-CONTADORES!AG32))</f>
        <v>2.2000000000043656</v>
      </c>
      <c r="U41" s="197">
        <f ca="1">IF(B41&gt;=$P$5,0,(CONTADORES!AS33-CONTADORES!AS32))</f>
        <v>4.7999999999956344</v>
      </c>
      <c r="V41" s="197">
        <f ca="1">IF(B41&gt;=$P$5,0,(CONTADORES!AT33-CONTADORES!AT32))</f>
        <v>0</v>
      </c>
      <c r="W41" s="716">
        <v>0</v>
      </c>
      <c r="X41" s="197">
        <f ca="1">IF(W41=0,(T41-INICIO!$W$6),((T41-INICIO!$W$6)+V41))</f>
        <v>2.2000000000043656</v>
      </c>
      <c r="Y41" s="201">
        <f t="shared" ca="1" si="8"/>
        <v>12.700000000004366</v>
      </c>
      <c r="Z41" s="200">
        <f t="shared" ca="1" si="9"/>
        <v>9.7394222945523978</v>
      </c>
      <c r="AA41" s="197">
        <f t="shared" ca="1" si="10"/>
        <v>2.0563873067539151</v>
      </c>
      <c r="AB41" s="197">
        <f t="shared" ca="1" si="11"/>
        <v>0.65618388934099503</v>
      </c>
      <c r="AC41" s="201">
        <f t="shared" ca="1" si="6"/>
        <v>0.24800650935705773</v>
      </c>
    </row>
    <row r="42" spans="2:29">
      <c r="B42" s="8">
        <v>44593</v>
      </c>
      <c r="C42" s="202">
        <f ca="1">DATOSAÑO!I42</f>
        <v>293.90000000002328</v>
      </c>
      <c r="D42" s="196">
        <f ca="1">DATOSAÑO!P42</f>
        <v>158.59999999999854</v>
      </c>
      <c r="E42" s="196">
        <f ca="1">DATOSAÑO!Q42</f>
        <v>0</v>
      </c>
      <c r="F42" s="196">
        <f ca="1">DATOSAÑO!T42</f>
        <v>0</v>
      </c>
      <c r="G42" s="196">
        <f t="shared" ca="1" si="4"/>
        <v>452.50000000002183</v>
      </c>
      <c r="H42" s="196">
        <f ca="1">G42-SUM(I42:M42)</f>
        <v>30.8040000000031</v>
      </c>
      <c r="I42" s="196">
        <f t="shared" ca="1" si="0"/>
        <v>200.60545305457535</v>
      </c>
      <c r="J42" s="196">
        <f t="shared" ca="1" si="1"/>
        <v>42.769208692092583</v>
      </c>
      <c r="K42" s="196">
        <f t="shared" ca="1" si="2"/>
        <v>7.8813038130383282</v>
      </c>
      <c r="L42" s="196">
        <f t="shared" ca="1" si="12"/>
        <v>165.39599999996489</v>
      </c>
      <c r="M42" s="196">
        <f t="shared" ca="1" si="3"/>
        <v>5.0440344403475885</v>
      </c>
      <c r="N42" s="196">
        <f t="shared" ca="1" si="7"/>
        <v>4.8000000000029104</v>
      </c>
      <c r="O42" s="196">
        <f ca="1">(DATOSAÑO!AJ42+DATOSAÑO!AK42+DATOSAÑO!AD42)</f>
        <v>190.90000000003783</v>
      </c>
      <c r="P42" s="196">
        <f ca="1">DATOSAÑO!AI42</f>
        <v>40.700000000004366</v>
      </c>
      <c r="Q42" s="196">
        <f ca="1">DATOSAÑO!AH42</f>
        <v>7.5</v>
      </c>
      <c r="R42" s="196">
        <f ca="1">DATOSAÑO!AM42+DATOSAÑO!AN42+DATOSAÑO!AF42</f>
        <v>165.39599999996489</v>
      </c>
      <c r="S42" s="202">
        <f ca="1">IF(B42&gt;=$P$5,0,CONTADORES!S36-CONTADORES!S35)</f>
        <v>17.200000000011642</v>
      </c>
      <c r="T42" s="196">
        <f ca="1">IF(B42&gt;=$P$5,0,(CONTADORES!U36-CONTADORES!U35)+(CONTADORES!AG36-CONTADORES!AG35))</f>
        <v>2.1999999999970896</v>
      </c>
      <c r="U42" s="196">
        <f ca="1">IF(B42&gt;=$P$5,0,(CONTADORES!AS36-CONTADORES!AS35))</f>
        <v>4.8000000000029104</v>
      </c>
      <c r="V42" s="196">
        <f ca="1">IF(B42&gt;=$P$5,0,(CONTADORES!AT36-CONTADORES!AT35))</f>
        <v>0</v>
      </c>
      <c r="W42" s="714">
        <v>0</v>
      </c>
      <c r="X42" s="196">
        <f ca="1">IF(W42=0,(T42-INICIO!$W$6),((T42-INICIO!$W$6)+V42))</f>
        <v>2.1999999999970896</v>
      </c>
      <c r="Y42" s="208">
        <f t="shared" ca="1" si="8"/>
        <v>12.400000000008731</v>
      </c>
      <c r="Z42" s="209">
        <f t="shared" ca="1" si="9"/>
        <v>9.7054530545375073</v>
      </c>
      <c r="AA42" s="206">
        <f t="shared" ca="1" si="10"/>
        <v>2.0692086920882171</v>
      </c>
      <c r="AB42" s="206">
        <f t="shared" ca="1" si="11"/>
        <v>0.38130381303832833</v>
      </c>
      <c r="AC42" s="208">
        <f t="shared" ca="1" si="6"/>
        <v>0.24403444034467811</v>
      </c>
    </row>
    <row r="43" spans="2:29">
      <c r="B43" s="214">
        <v>44594</v>
      </c>
      <c r="C43" s="202">
        <f ca="1">DATOSAÑO!I43</f>
        <v>221.69999999995343</v>
      </c>
      <c r="D43" s="196">
        <f ca="1">DATOSAÑO!P43</f>
        <v>113.20000000000073</v>
      </c>
      <c r="E43" s="196">
        <f ca="1">DATOSAÑO!Q43</f>
        <v>0</v>
      </c>
      <c r="F43" s="196">
        <f ca="1">DATOSAÑO!T43</f>
        <v>0</v>
      </c>
      <c r="G43" s="196">
        <f t="shared" ca="1" si="4"/>
        <v>334.89999999995416</v>
      </c>
      <c r="H43" s="196">
        <f t="shared" ref="H43:H69" ca="1" si="13">G43-SUM(I43:M43)</f>
        <v>28.757999999995775</v>
      </c>
      <c r="I43" s="196">
        <f t="shared" ca="1" si="0"/>
        <v>85.132430453844947</v>
      </c>
      <c r="J43" s="196">
        <f t="shared" ca="1" si="1"/>
        <v>47.198901903357402</v>
      </c>
      <c r="K43" s="196">
        <f t="shared" ca="1" si="2"/>
        <v>11.227452415814495</v>
      </c>
      <c r="L43" s="196">
        <f t="shared" ca="1" si="12"/>
        <v>157.24200000000056</v>
      </c>
      <c r="M43" s="196">
        <f t="shared" ca="1" si="3"/>
        <v>5.3412152269409532</v>
      </c>
      <c r="N43" s="196">
        <f t="shared" ca="1" si="7"/>
        <v>4.9000000000014552</v>
      </c>
      <c r="O43" s="196">
        <f ca="1">(DATOSAÑO!AJ43+DATOSAÑO!AK43+DATOSAÑO!AD43)</f>
        <v>78.099999999976717</v>
      </c>
      <c r="P43" s="196">
        <f ca="1">DATOSAÑO!AI43</f>
        <v>43.299999999995634</v>
      </c>
      <c r="Q43" s="196">
        <f ca="1">DATOSAÑO!AH43</f>
        <v>10.30000000000291</v>
      </c>
      <c r="R43" s="196">
        <f ca="1">DATOSAÑO!AM43+DATOSAÑO!AN43+DATOSAÑO!AF43</f>
        <v>157.24200000000056</v>
      </c>
      <c r="S43" s="209">
        <f ca="1">IF(B43&gt;=$P$5,0,CONTADORES!S37-CONTADORES!S36)</f>
        <v>17.199999999982538</v>
      </c>
      <c r="T43" s="206">
        <f ca="1">IF(B43&gt;=$P$5,0,(CONTADORES!U37-CONTADORES!U36)+(CONTADORES!AG37-CONTADORES!AG36))</f>
        <v>2.3000000000029104</v>
      </c>
      <c r="U43" s="206">
        <f ca="1">IF(B43&gt;=$P$5,0,(CONTADORES!AS37-CONTADORES!AS36))</f>
        <v>4.9000000000014552</v>
      </c>
      <c r="V43" s="206">
        <f ca="1">IF(B43&gt;=$P$5,0,(CONTADORES!AT37-CONTADORES!AT36))</f>
        <v>0</v>
      </c>
      <c r="W43" s="715">
        <v>0</v>
      </c>
      <c r="X43" s="206">
        <f ca="1">IF(W43=0,(T43-INICIO!$W$6),((T43-INICIO!$W$6)+V43))</f>
        <v>2.3000000000029104</v>
      </c>
      <c r="Y43" s="208">
        <f t="shared" ca="1" si="8"/>
        <v>12.299999999981083</v>
      </c>
      <c r="Z43" s="209">
        <f t="shared" ca="1" si="9"/>
        <v>7.0324304538682272</v>
      </c>
      <c r="AA43" s="206">
        <f t="shared" ca="1" si="10"/>
        <v>3.8989019033617711</v>
      </c>
      <c r="AB43" s="206">
        <f t="shared" ca="1" si="11"/>
        <v>0.92745241581158522</v>
      </c>
      <c r="AC43" s="208">
        <f t="shared" ca="1" si="6"/>
        <v>0.44121522693949838</v>
      </c>
    </row>
    <row r="44" spans="2:29">
      <c r="B44" s="214">
        <v>44595</v>
      </c>
      <c r="C44" s="202">
        <f ca="1">DATOSAÑO!I44</f>
        <v>293.39000000001397</v>
      </c>
      <c r="D44" s="196">
        <f ca="1">DATOSAÑO!P44</f>
        <v>147.07999999999811</v>
      </c>
      <c r="E44" s="196">
        <f ca="1">DATOSAÑO!Q44</f>
        <v>0</v>
      </c>
      <c r="F44" s="196">
        <f ca="1">DATOSAÑO!T44</f>
        <v>0</v>
      </c>
      <c r="G44" s="196">
        <f t="shared" ca="1" si="4"/>
        <v>440.47000000001208</v>
      </c>
      <c r="H44" s="196">
        <f t="shared" ca="1" si="13"/>
        <v>30.620999999976391</v>
      </c>
      <c r="I44" s="196">
        <f t="shared" ca="1" si="0"/>
        <v>194.77289888070285</v>
      </c>
      <c r="J44" s="196">
        <f t="shared" ca="1" si="1"/>
        <v>41.099928821480269</v>
      </c>
      <c r="K44" s="196">
        <f t="shared" ca="1" si="2"/>
        <v>11.556728451846951</v>
      </c>
      <c r="L44" s="196">
        <f t="shared" ca="1" si="12"/>
        <v>157.44900000003426</v>
      </c>
      <c r="M44" s="196">
        <f t="shared" ca="1" si="3"/>
        <v>4.9704438459713849</v>
      </c>
      <c r="N44" s="196">
        <f t="shared" ca="1" si="7"/>
        <v>4.7309999999997672</v>
      </c>
      <c r="O44" s="196">
        <f ca="1">(DATOSAÑO!AJ44+DATOSAÑO!AK44+DATOSAÑO!AD44)</f>
        <v>185.38999999998487</v>
      </c>
      <c r="P44" s="196">
        <f ca="1">DATOSAÑO!AI44</f>
        <v>39.120000000002619</v>
      </c>
      <c r="Q44" s="196">
        <f ca="1">DATOSAÑO!AH44</f>
        <v>11</v>
      </c>
      <c r="R44" s="196">
        <f ca="1">DATOSAÑO!AM44+DATOSAÑO!AN44+DATOSAÑO!AF44</f>
        <v>157.44900000003426</v>
      </c>
      <c r="S44" s="209">
        <f ca="1">IF(B44&gt;=$P$5,0,CONTADORES!S38-CONTADORES!S37)</f>
        <v>16.89000000001397</v>
      </c>
      <c r="T44" s="206">
        <f ca="1">IF(B44&gt;=$P$5,0,(CONTADORES!U38-CONTADORES!U37)+(CONTADORES!AG38-CONTADORES!AG37))</f>
        <v>2.25</v>
      </c>
      <c r="U44" s="206">
        <f ca="1">IF(B44&gt;=$P$5,0,(CONTADORES!AS38-CONTADORES!AS37))</f>
        <v>4.7309999999997672</v>
      </c>
      <c r="V44" s="206">
        <f ca="1">IF(B44&gt;=$P$5,0,(CONTADORES!AT38-CONTADORES!AT37))</f>
        <v>0</v>
      </c>
      <c r="W44" s="715">
        <v>0</v>
      </c>
      <c r="X44" s="206">
        <f ca="1">IF(W44=0,(T44-INICIO!$W$6),((T44-INICIO!$W$6)+V44))</f>
        <v>2.25</v>
      </c>
      <c r="Y44" s="208">
        <f t="shared" ca="1" si="8"/>
        <v>12.159000000014203</v>
      </c>
      <c r="Z44" s="209">
        <f t="shared" ca="1" si="9"/>
        <v>9.3828988807179829</v>
      </c>
      <c r="AA44" s="206">
        <f t="shared" ca="1" si="10"/>
        <v>1.9799288214776525</v>
      </c>
      <c r="AB44" s="206">
        <f t="shared" ca="1" si="11"/>
        <v>0.55672845184695086</v>
      </c>
      <c r="AC44" s="208">
        <f t="shared" ca="1" si="6"/>
        <v>0.23944384597161772</v>
      </c>
    </row>
    <row r="45" spans="2:29">
      <c r="B45" s="214">
        <v>44596</v>
      </c>
      <c r="C45" s="202">
        <f ca="1">DATOSAÑO!I45</f>
        <v>309.57999999995809</v>
      </c>
      <c r="D45" s="196">
        <f ca="1">DATOSAÑO!P45</f>
        <v>145.28000000000247</v>
      </c>
      <c r="E45" s="196">
        <f ca="1">DATOSAÑO!Q45</f>
        <v>0</v>
      </c>
      <c r="F45" s="196">
        <f ca="1">DATOSAÑO!T45</f>
        <v>0</v>
      </c>
      <c r="G45" s="196">
        <f t="shared" ca="1" si="4"/>
        <v>454.85999999996056</v>
      </c>
      <c r="H45" s="196">
        <f t="shared" ca="1" si="13"/>
        <v>29.635999999926526</v>
      </c>
      <c r="I45" s="196">
        <f t="shared" ca="1" si="0"/>
        <v>196.44125715341886</v>
      </c>
      <c r="J45" s="196">
        <f t="shared" ca="1" si="1"/>
        <v>40.660381967667163</v>
      </c>
      <c r="K45" s="196">
        <f t="shared" ca="1" si="2"/>
        <v>20.45607451933612</v>
      </c>
      <c r="L45" s="196">
        <f t="shared" ca="1" si="12"/>
        <v>163.27400000000057</v>
      </c>
      <c r="M45" s="196">
        <f t="shared" ca="1" si="3"/>
        <v>4.3922863596113357</v>
      </c>
      <c r="N45" s="196">
        <f t="shared" ca="1" si="7"/>
        <v>4.1869999999980791</v>
      </c>
      <c r="O45" s="196">
        <f ca="1">(DATOSAÑO!AJ45+DATOSAÑO!AK45+DATOSAÑO!AD45)</f>
        <v>187.26000000003842</v>
      </c>
      <c r="P45" s="196">
        <f ca="1">DATOSAÑO!AI45</f>
        <v>38.760000000002037</v>
      </c>
      <c r="Q45" s="196">
        <f ca="1">DATOSAÑO!AH45</f>
        <v>19.5</v>
      </c>
      <c r="R45" s="196">
        <f ca="1">DATOSAÑO!AM45+DATOSAÑO!AN45+DATOSAÑO!AF45</f>
        <v>163.27400000000057</v>
      </c>
      <c r="S45" s="209">
        <f ca="1">IF(B45&gt;=$P$5,0,CONTADORES!S39-CONTADORES!S38)</f>
        <v>16.429999999993015</v>
      </c>
      <c r="T45" s="206">
        <f ca="1">IF(B45&gt;=$P$5,0,(CONTADORES!U39-CONTADORES!U38)+(CONTADORES!AG39-CONTADORES!AG38))</f>
        <v>2.2399999999979627</v>
      </c>
      <c r="U45" s="206">
        <f ca="1">IF(B45&gt;=$P$5,0,(CONTADORES!AS39-CONTADORES!AS38))</f>
        <v>4.1869999999980791</v>
      </c>
      <c r="V45" s="206">
        <f ca="1">IF(B45&gt;=$P$5,0,(CONTADORES!AT39-CONTADORES!AT38))</f>
        <v>0</v>
      </c>
      <c r="W45" s="715">
        <v>0</v>
      </c>
      <c r="X45" s="206">
        <f ca="1">IF(W45=0,(T45-INICIO!$W$6),((T45-INICIO!$W$6)+V45))</f>
        <v>2.2399999999979627</v>
      </c>
      <c r="Y45" s="208">
        <f t="shared" ca="1" si="8"/>
        <v>12.242999999994936</v>
      </c>
      <c r="Z45" s="209">
        <f t="shared" ca="1" si="9"/>
        <v>9.1812571533804341</v>
      </c>
      <c r="AA45" s="206">
        <f t="shared" ca="1" si="10"/>
        <v>1.9003819676651252</v>
      </c>
      <c r="AB45" s="206">
        <f t="shared" ca="1" si="11"/>
        <v>0.95607451933611953</v>
      </c>
      <c r="AC45" s="208">
        <f t="shared" ca="1" si="6"/>
        <v>0.2052863596132562</v>
      </c>
    </row>
    <row r="46" spans="2:29">
      <c r="B46" s="214">
        <v>44597</v>
      </c>
      <c r="C46" s="202">
        <f ca="1">DATOSAÑO!I46</f>
        <v>304.11000000010245</v>
      </c>
      <c r="D46" s="196">
        <f ca="1">DATOSAÑO!P46</f>
        <v>147.07999999999811</v>
      </c>
      <c r="E46" s="196">
        <f ca="1">DATOSAÑO!Q46</f>
        <v>0</v>
      </c>
      <c r="F46" s="196">
        <f ca="1">DATOSAÑO!T46</f>
        <v>0</v>
      </c>
      <c r="G46" s="196">
        <f t="shared" ca="1" si="4"/>
        <v>451.19000000010055</v>
      </c>
      <c r="H46" s="196">
        <f t="shared" ca="1" si="13"/>
        <v>31.692000000125915</v>
      </c>
      <c r="I46" s="196">
        <f t="shared" ca="1" si="0"/>
        <v>196.6420602014982</v>
      </c>
      <c r="J46" s="196">
        <f t="shared" ca="1" si="1"/>
        <v>41.203095070277243</v>
      </c>
      <c r="K46" s="196">
        <f t="shared" ca="1" si="2"/>
        <v>11.138811725194811</v>
      </c>
      <c r="L46" s="196">
        <f t="shared" ca="1" si="12"/>
        <v>166.04799999997755</v>
      </c>
      <c r="M46" s="196">
        <f t="shared" ca="1" si="3"/>
        <v>4.4660330030268343</v>
      </c>
      <c r="N46" s="196">
        <f t="shared" ca="1" si="7"/>
        <v>4.25</v>
      </c>
      <c r="O46" s="196">
        <f ca="1">(DATOSAÑO!AJ46+DATOSAÑO!AK46+DATOSAÑO!AD46)</f>
        <v>187.1299999999901</v>
      </c>
      <c r="P46" s="196">
        <f ca="1">DATOSAÑO!AI46</f>
        <v>39.209999999999127</v>
      </c>
      <c r="Q46" s="196">
        <f ca="1">DATOSAÑO!AH46</f>
        <v>10.599999999998545</v>
      </c>
      <c r="R46" s="196">
        <f ca="1">DATOSAÑO!AM46+DATOSAÑO!AN46+DATOSAÑO!AF46</f>
        <v>166.04799999997755</v>
      </c>
      <c r="S46" s="209">
        <f ca="1">IF(B46&gt;=$P$5,0,CONTADORES!S40-CONTADORES!S39)</f>
        <v>16.510000000009313</v>
      </c>
      <c r="T46" s="206">
        <f ca="1">IF(B46&gt;=$P$5,0,(CONTADORES!U40-CONTADORES!U39)+(CONTADORES!AG40-CONTADORES!AG39))</f>
        <v>2.2600000000020373</v>
      </c>
      <c r="U46" s="206">
        <f ca="1">IF(B46&gt;=$P$5,0,(CONTADORES!AS40-CONTADORES!AS39))</f>
        <v>4.25</v>
      </c>
      <c r="V46" s="206">
        <f ca="1">IF(B46&gt;=$P$5,0,(CONTADORES!AT40-CONTADORES!AT39))</f>
        <v>0</v>
      </c>
      <c r="W46" s="715">
        <v>0</v>
      </c>
      <c r="X46" s="206">
        <f ca="1">IF(W46=0,(T46-INICIO!$W$6),((T46-INICIO!$W$6)+V46))</f>
        <v>2.2600000000020373</v>
      </c>
      <c r="Y46" s="208">
        <f t="shared" ca="1" si="8"/>
        <v>12.260000000009313</v>
      </c>
      <c r="Z46" s="209">
        <f t="shared" ca="1" si="9"/>
        <v>9.5120602015080973</v>
      </c>
      <c r="AA46" s="206">
        <f t="shared" ca="1" si="10"/>
        <v>1.9930950702781163</v>
      </c>
      <c r="AB46" s="206">
        <f t="shared" ca="1" si="11"/>
        <v>0.5388117251962663</v>
      </c>
      <c r="AC46" s="208">
        <f t="shared" ca="1" si="6"/>
        <v>0.21603300302683454</v>
      </c>
    </row>
    <row r="47" spans="2:29">
      <c r="B47" s="214">
        <v>44598</v>
      </c>
      <c r="C47" s="202">
        <f ca="1">DATOSAÑO!I47</f>
        <v>303.55999999993946</v>
      </c>
      <c r="D47" s="196">
        <f ca="1">DATOSAÑO!P47</f>
        <v>146.54000000000087</v>
      </c>
      <c r="E47" s="196">
        <f ca="1">DATOSAÑO!Q47</f>
        <v>0</v>
      </c>
      <c r="F47" s="196">
        <f ca="1">DATOSAÑO!T47</f>
        <v>0</v>
      </c>
      <c r="G47" s="196">
        <f t="shared" ca="1" si="4"/>
        <v>450.09999999994034</v>
      </c>
      <c r="H47" s="196">
        <f t="shared" ca="1" si="13"/>
        <v>32.79699999991675</v>
      </c>
      <c r="I47" s="196">
        <f t="shared" ca="1" si="0"/>
        <v>195.0153359485914</v>
      </c>
      <c r="J47" s="196">
        <f t="shared" ca="1" si="1"/>
        <v>42.227399215423276</v>
      </c>
      <c r="K47" s="196">
        <f t="shared" ca="1" si="2"/>
        <v>9.5636966864183073</v>
      </c>
      <c r="L47" s="196">
        <f t="shared" ca="1" si="12"/>
        <v>165.47300000002187</v>
      </c>
      <c r="M47" s="196">
        <f t="shared" ca="1" si="3"/>
        <v>5.0235681495687565</v>
      </c>
      <c r="N47" s="196">
        <f t="shared" ca="1" si="7"/>
        <v>4.7799999999988358</v>
      </c>
      <c r="O47" s="196">
        <f ca="1">(DATOSAÑO!AJ47+DATOSAÑO!AK47+DATOSAÑO!AD47)</f>
        <v>185.56000000001222</v>
      </c>
      <c r="P47" s="196">
        <f ca="1">DATOSAÑO!AI47</f>
        <v>40.180000000000291</v>
      </c>
      <c r="Q47" s="196">
        <f ca="1">DATOSAÑO!AH47</f>
        <v>9.0999999999985448</v>
      </c>
      <c r="R47" s="196">
        <f ca="1">DATOSAÑO!AM47+DATOSAÑO!AN47+DATOSAÑO!AF47</f>
        <v>165.47300000002187</v>
      </c>
      <c r="S47" s="209">
        <f ca="1">IF(B47&gt;=$P$5,0,CONTADORES!S41-CONTADORES!S40)</f>
        <v>16.989999999990687</v>
      </c>
      <c r="T47" s="206">
        <f ca="1">IF(B47&gt;=$P$5,0,(CONTADORES!U41-CONTADORES!U40)+(CONTADORES!AG41-CONTADORES!AG40))</f>
        <v>2.3600000000005821</v>
      </c>
      <c r="U47" s="206">
        <f ca="1">IF(B47&gt;=$P$5,0,(CONTADORES!AS41-CONTADORES!AS40))</f>
        <v>4.7799999999988358</v>
      </c>
      <c r="V47" s="206">
        <f ca="1">IF(B47&gt;=$P$5,0,(CONTADORES!AT41-CONTADORES!AT40))</f>
        <v>0</v>
      </c>
      <c r="W47" s="715">
        <v>0</v>
      </c>
      <c r="X47" s="206">
        <f ca="1">IF(W47=0,(T47-INICIO!$W$6),((T47-INICIO!$W$6)+V47))</f>
        <v>2.3600000000005821</v>
      </c>
      <c r="Y47" s="208">
        <f t="shared" ca="1" si="8"/>
        <v>12.209999999991851</v>
      </c>
      <c r="Z47" s="209">
        <f t="shared" ca="1" si="9"/>
        <v>9.455335948579183</v>
      </c>
      <c r="AA47" s="206">
        <f t="shared" ca="1" si="10"/>
        <v>2.0473992154229856</v>
      </c>
      <c r="AB47" s="206">
        <f t="shared" ca="1" si="11"/>
        <v>0.46369668641976247</v>
      </c>
      <c r="AC47" s="208">
        <f t="shared" ca="1" si="6"/>
        <v>0.24356814956992082</v>
      </c>
    </row>
    <row r="48" spans="2:29">
      <c r="B48" s="214">
        <v>44599</v>
      </c>
      <c r="C48" s="202">
        <f ca="1">DATOSAÑO!I48</f>
        <v>317.76000000000931</v>
      </c>
      <c r="D48" s="196">
        <f ca="1">DATOSAÑO!P48</f>
        <v>148.81999999999971</v>
      </c>
      <c r="E48" s="196">
        <f ca="1">DATOSAÑO!Q48</f>
        <v>0.33100000000013097</v>
      </c>
      <c r="F48" s="196">
        <f ca="1">DATOSAÑO!T48</f>
        <v>0.36499999999989541</v>
      </c>
      <c r="G48" s="196">
        <f t="shared" ca="1" si="4"/>
        <v>467.27600000000905</v>
      </c>
      <c r="H48" s="196">
        <f t="shared" ca="1" si="13"/>
        <v>35.266000000084432</v>
      </c>
      <c r="I48" s="196">
        <f t="shared" ca="1" si="0"/>
        <v>199.01483108346216</v>
      </c>
      <c r="J48" s="196">
        <f t="shared" ca="1" si="1"/>
        <v>44.278067350800832</v>
      </c>
      <c r="K48" s="196">
        <f t="shared" ca="1" si="2"/>
        <v>14.713813028987662</v>
      </c>
      <c r="L48" s="196">
        <f t="shared" ca="1" si="12"/>
        <v>169.00899999997719</v>
      </c>
      <c r="M48" s="196">
        <f t="shared" ca="1" si="3"/>
        <v>4.9942885366968124</v>
      </c>
      <c r="N48" s="196">
        <f t="shared" ca="1" si="7"/>
        <v>4.7520000000004075</v>
      </c>
      <c r="O48" s="196">
        <f ca="1">(DATOSAÑO!AJ48+DATOSAÑO!AK48+DATOSAÑO!AD48)</f>
        <v>189.35999999995693</v>
      </c>
      <c r="P48" s="196">
        <f ca="1">DATOSAÑO!AI48</f>
        <v>42.129999999997381</v>
      </c>
      <c r="Q48" s="196">
        <f ca="1">DATOSAÑO!AH48</f>
        <v>14</v>
      </c>
      <c r="R48" s="196">
        <f ca="1">DATOSAÑO!AM48+DATOSAÑO!AN48+DATOSAÑO!AF48</f>
        <v>169.00899999997719</v>
      </c>
      <c r="S48" s="209">
        <f ca="1">IF(B48&gt;=$P$5,0,CONTADORES!S42-CONTADORES!S41)</f>
        <v>17.179999999993015</v>
      </c>
      <c r="T48" s="206">
        <f ca="1">IF(B48&gt;=$P$5,0,(CONTADORES!U42-CONTADORES!U41)+(CONTADORES!AG42-CONTADORES!AG41))</f>
        <v>2.4899999999979627</v>
      </c>
      <c r="U48" s="206">
        <f ca="1">IF(B48&gt;=$P$5,0,(CONTADORES!AS42-CONTADORES!AS41))</f>
        <v>4.7520000000004075</v>
      </c>
      <c r="V48" s="206">
        <f ca="1">IF(B48&gt;=$P$5,0,(CONTADORES!AT42-CONTADORES!AT41))</f>
        <v>0</v>
      </c>
      <c r="W48" s="715">
        <v>0</v>
      </c>
      <c r="X48" s="206">
        <f ca="1">IF(W48=0,(T48-INICIO!$W$6),((T48-INICIO!$W$6)+V48))</f>
        <v>2.4899999999979627</v>
      </c>
      <c r="Y48" s="208">
        <f t="shared" ca="1" si="8"/>
        <v>12.758999999992739</v>
      </c>
      <c r="Z48" s="209">
        <f t="shared" ca="1" si="9"/>
        <v>9.6548310835052167</v>
      </c>
      <c r="AA48" s="206">
        <f t="shared" ca="1" si="10"/>
        <v>2.1480673508034536</v>
      </c>
      <c r="AB48" s="206">
        <f t="shared" ca="1" si="11"/>
        <v>0.71381302898766263</v>
      </c>
      <c r="AC48" s="208">
        <f t="shared" ca="1" si="6"/>
        <v>0.24228853669640454</v>
      </c>
    </row>
    <row r="49" spans="2:29">
      <c r="B49" s="214">
        <v>44600</v>
      </c>
      <c r="C49" s="202">
        <f ca="1">DATOSAÑO!I49</f>
        <v>314</v>
      </c>
      <c r="D49" s="196">
        <f ca="1">DATOSAÑO!P49</f>
        <v>126</v>
      </c>
      <c r="E49" s="196">
        <f ca="1">DATOSAÑO!Q49</f>
        <v>0</v>
      </c>
      <c r="F49" s="196">
        <f ca="1">DATOSAÑO!T49</f>
        <v>2.2960000000000491</v>
      </c>
      <c r="G49" s="196">
        <f t="shared" ca="1" si="4"/>
        <v>442.29600000000005</v>
      </c>
      <c r="H49" s="196">
        <f t="shared" ca="1" si="13"/>
        <v>34.101999999980251</v>
      </c>
      <c r="I49" s="196">
        <f t="shared" ca="1" si="0"/>
        <v>184.65738269480423</v>
      </c>
      <c r="J49" s="196">
        <f t="shared" ca="1" si="1"/>
        <v>44.45260439087717</v>
      </c>
      <c r="K49" s="196">
        <f t="shared" ca="1" si="2"/>
        <v>10.323116659494801</v>
      </c>
      <c r="L49" s="196">
        <f t="shared" ca="1" si="12"/>
        <v>163.49400000000091</v>
      </c>
      <c r="M49" s="196">
        <f t="shared" ca="1" si="3"/>
        <v>5.2668962548427221</v>
      </c>
      <c r="N49" s="196">
        <f t="shared" ca="1" si="7"/>
        <v>5</v>
      </c>
      <c r="O49" s="196">
        <f ca="1">(DATOSAÑO!AJ49+DATOSAÑO!AK49+DATOSAÑO!AD49)</f>
        <v>175.30000000001746</v>
      </c>
      <c r="P49" s="196">
        <f ca="1">DATOSAÑO!AI49</f>
        <v>42.200000000004366</v>
      </c>
      <c r="Q49" s="196">
        <f ca="1">DATOSAÑO!AH49</f>
        <v>9.8000000000029104</v>
      </c>
      <c r="R49" s="196">
        <f ca="1">DATOSAÑO!AM49+DATOSAÑO!AN49+DATOSAÑO!AF49</f>
        <v>163.49400000000091</v>
      </c>
      <c r="S49" s="209">
        <f ca="1">IF(B49&gt;=$P$5,0,CONTADORES!S43-CONTADORES!S42)</f>
        <v>17.399999999994179</v>
      </c>
      <c r="T49" s="206">
        <f ca="1">IF(B49&gt;=$P$5,0,(CONTADORES!U43-CONTADORES!U42)+(CONTADORES!AG43-CONTADORES!AG42))</f>
        <v>0</v>
      </c>
      <c r="U49" s="206">
        <f ca="1">IF(B49&gt;=$P$5,0,(CONTADORES!AS43-CONTADORES!AS42))</f>
        <v>5</v>
      </c>
      <c r="V49" s="206">
        <f ca="1">IF(B49&gt;=$P$5,0,(CONTADORES!AT43-CONTADORES!AT42))</f>
        <v>0</v>
      </c>
      <c r="W49" s="715">
        <v>0</v>
      </c>
      <c r="X49" s="206">
        <f ca="1">IF(W49=0,(T49-INICIO!$W$6),((T49-INICIO!$W$6)+V49))</f>
        <v>0</v>
      </c>
      <c r="Y49" s="208">
        <f t="shared" ca="1" si="8"/>
        <v>12.399999999994179</v>
      </c>
      <c r="Z49" s="209">
        <f t="shared" ca="1" si="9"/>
        <v>9.3573826947867627</v>
      </c>
      <c r="AA49" s="206">
        <f t="shared" ca="1" si="10"/>
        <v>2.252604390872806</v>
      </c>
      <c r="AB49" s="206">
        <f t="shared" ca="1" si="11"/>
        <v>0.52311665949189023</v>
      </c>
      <c r="AC49" s="208">
        <f t="shared" ca="1" si="6"/>
        <v>0.26689625484272189</v>
      </c>
    </row>
    <row r="50" spans="2:29">
      <c r="B50" s="214">
        <v>44601</v>
      </c>
      <c r="C50" s="202">
        <f ca="1">DATOSAÑO!I50</f>
        <v>303</v>
      </c>
      <c r="D50" s="196">
        <f ca="1">DATOSAÑO!P50</f>
        <v>146</v>
      </c>
      <c r="E50" s="196">
        <f ca="1">DATOSAÑO!Q50</f>
        <v>0</v>
      </c>
      <c r="F50" s="196">
        <f ca="1">DATOSAÑO!T50</f>
        <v>0</v>
      </c>
      <c r="G50" s="196">
        <f t="shared" ca="1" si="4"/>
        <v>449</v>
      </c>
      <c r="H50" s="196">
        <f t="shared" ca="1" si="13"/>
        <v>27.101999999982127</v>
      </c>
      <c r="I50" s="196">
        <f t="shared" ca="1" si="0"/>
        <v>195.60315832651511</v>
      </c>
      <c r="J50" s="196">
        <f t="shared" ca="1" si="1"/>
        <v>44.784208367515419</v>
      </c>
      <c r="K50" s="196">
        <f t="shared" ca="1" si="2"/>
        <v>10.068580803937053</v>
      </c>
      <c r="L50" s="196">
        <f t="shared" ca="1" si="12"/>
        <v>166.19799999999893</v>
      </c>
      <c r="M50" s="196">
        <f t="shared" ca="1" si="3"/>
        <v>5.2440525020513435</v>
      </c>
      <c r="N50" s="196">
        <f t="shared" ca="1" si="7"/>
        <v>5</v>
      </c>
      <c r="O50" s="196">
        <f ca="1">(DATOSAÑO!AJ50+DATOSAÑO!AK50+DATOSAÑO!AD50)</f>
        <v>186.5</v>
      </c>
      <c r="P50" s="196">
        <f ca="1">DATOSAÑO!AI50</f>
        <v>42.69999999999709</v>
      </c>
      <c r="Q50" s="196">
        <f ca="1">DATOSAÑO!AH50</f>
        <v>9.5999999999985448</v>
      </c>
      <c r="R50" s="196">
        <f ca="1">DATOSAÑO!AM50+DATOSAÑO!AN50+DATOSAÑO!AF50</f>
        <v>166.19799999999893</v>
      </c>
      <c r="S50" s="209">
        <f ca="1">IF(B50&gt;=$P$5,0,CONTADORES!S44-CONTADORES!S43)</f>
        <v>16.900000000023283</v>
      </c>
      <c r="T50" s="206">
        <f ca="1">IF(B50&gt;=$P$5,0,(CONTADORES!U44-CONTADORES!U43)+(CONTADORES!AG44-CONTADORES!AG43))</f>
        <v>4.4000000000014552</v>
      </c>
      <c r="U50" s="206">
        <f ca="1">IF(B50&gt;=$P$5,0,(CONTADORES!AS44-CONTADORES!AS43))</f>
        <v>5</v>
      </c>
      <c r="V50" s="206">
        <f ca="1">IF(B50&gt;=$P$5,0,(CONTADORES!AT44-CONTADORES!AT43))</f>
        <v>0</v>
      </c>
      <c r="W50" s="715">
        <v>0</v>
      </c>
      <c r="X50" s="206">
        <f ca="1">IF(W50=0,(T50-INICIO!$W$6),((T50-INICIO!$W$6)+V50))</f>
        <v>4.4000000000014552</v>
      </c>
      <c r="Y50" s="208">
        <f t="shared" ca="1" si="8"/>
        <v>11.900000000023283</v>
      </c>
      <c r="Z50" s="209">
        <f t="shared" ca="1" si="9"/>
        <v>9.1031583265151035</v>
      </c>
      <c r="AA50" s="206">
        <f t="shared" ca="1" si="10"/>
        <v>2.0842083675183294</v>
      </c>
      <c r="AB50" s="206">
        <f t="shared" ca="1" si="11"/>
        <v>0.46858080393850798</v>
      </c>
      <c r="AC50" s="208">
        <f t="shared" ca="1" si="6"/>
        <v>0.24405250205134324</v>
      </c>
    </row>
    <row r="51" spans="2:29">
      <c r="B51" s="214">
        <v>44602</v>
      </c>
      <c r="C51" s="202">
        <f ca="1">DATOSAÑO!I51</f>
        <v>290</v>
      </c>
      <c r="D51" s="196">
        <f ca="1">DATOSAÑO!P51</f>
        <v>150</v>
      </c>
      <c r="E51" s="196">
        <f ca="1">DATOSAÑO!Q51</f>
        <v>0</v>
      </c>
      <c r="F51" s="196">
        <f ca="1">DATOSAÑO!T51</f>
        <v>0</v>
      </c>
      <c r="G51" s="196">
        <f t="shared" ca="1" si="4"/>
        <v>440</v>
      </c>
      <c r="H51" s="196">
        <f t="shared" ca="1" si="13"/>
        <v>27.660000000016225</v>
      </c>
      <c r="I51" s="196">
        <f t="shared" ca="1" si="0"/>
        <v>195.78855054810032</v>
      </c>
      <c r="J51" s="196">
        <f t="shared" ca="1" si="1"/>
        <v>45.914088509946701</v>
      </c>
      <c r="K51" s="196">
        <f t="shared" ca="1" si="2"/>
        <v>9.6220868859080184</v>
      </c>
      <c r="L51" s="196">
        <f t="shared" ca="1" si="12"/>
        <v>154.73999999999981</v>
      </c>
      <c r="M51" s="196">
        <f t="shared" ca="1" si="3"/>
        <v>6.2752740560289535</v>
      </c>
      <c r="N51" s="196">
        <f t="shared" ca="1" si="7"/>
        <v>6</v>
      </c>
      <c r="O51" s="196">
        <f ca="1">(DATOSAÑO!AJ51+DATOSAÑO!AK51+DATOSAÑO!AD51)</f>
        <v>187.19999999999709</v>
      </c>
      <c r="P51" s="196">
        <f ca="1">DATOSAÑO!AI51</f>
        <v>43.900000000001455</v>
      </c>
      <c r="Q51" s="196">
        <f ca="1">DATOSAÑO!AH51</f>
        <v>9.1999999999970896</v>
      </c>
      <c r="R51" s="196">
        <f ca="1">DATOSAÑO!AM51+DATOSAÑO!AN51+DATOSAÑO!AF51</f>
        <v>154.73999999999981</v>
      </c>
      <c r="S51" s="209">
        <f ca="1">IF(B51&gt;=$P$5,0,CONTADORES!S45-CONTADORES!S44)</f>
        <v>17.299999999988358</v>
      </c>
      <c r="T51" s="206">
        <f ca="1">IF(B51&gt;=$P$5,0,(CONTADORES!U45-CONTADORES!U44)+(CONTADORES!AG45-CONTADORES!AG44))</f>
        <v>2.2999999999956344</v>
      </c>
      <c r="U51" s="206">
        <f ca="1">IF(B51&gt;=$P$5,0,(CONTADORES!AS45-CONTADORES!AS44))</f>
        <v>6</v>
      </c>
      <c r="V51" s="206">
        <f ca="1">IF(B51&gt;=$P$5,0,(CONTADORES!AT45-CONTADORES!AT44))</f>
        <v>0</v>
      </c>
      <c r="W51" s="715">
        <v>0</v>
      </c>
      <c r="X51" s="206">
        <f ca="1">IF(W51=0,(T51-INICIO!$W$6),((T51-INICIO!$W$6)+V51))</f>
        <v>2.2999999999956344</v>
      </c>
      <c r="Y51" s="208">
        <f t="shared" ca="1" si="8"/>
        <v>11.299999999988358</v>
      </c>
      <c r="Z51" s="209">
        <f t="shared" ca="1" si="9"/>
        <v>8.5885505481032283</v>
      </c>
      <c r="AA51" s="206">
        <f t="shared" ca="1" si="10"/>
        <v>2.0140885099452466</v>
      </c>
      <c r="AB51" s="206">
        <f t="shared" ca="1" si="11"/>
        <v>0.42208688591092919</v>
      </c>
      <c r="AC51" s="208">
        <f t="shared" ca="1" si="6"/>
        <v>0.27527405602895394</v>
      </c>
    </row>
    <row r="52" spans="2:29">
      <c r="B52" s="214">
        <v>44603</v>
      </c>
      <c r="C52" s="202">
        <f ca="1">DATOSAÑO!I52</f>
        <v>284</v>
      </c>
      <c r="D52" s="196">
        <f ca="1">DATOSAÑO!P52</f>
        <v>148</v>
      </c>
      <c r="E52" s="196">
        <f ca="1">DATOSAÑO!Q52</f>
        <v>0</v>
      </c>
      <c r="F52" s="196">
        <f ca="1">DATOSAÑO!T52</f>
        <v>0</v>
      </c>
      <c r="G52" s="196">
        <f t="shared" ca="1" si="4"/>
        <v>432</v>
      </c>
      <c r="H52" s="196">
        <f t="shared" ca="1" si="13"/>
        <v>27.877999999997428</v>
      </c>
      <c r="I52" s="196">
        <f t="shared" ca="1" si="0"/>
        <v>200.23289156626643</v>
      </c>
      <c r="J52" s="196">
        <f t="shared" ca="1" si="1"/>
        <v>44.950240963855883</v>
      </c>
      <c r="K52" s="196">
        <f t="shared" ca="1" si="2"/>
        <v>10.477911646586097</v>
      </c>
      <c r="L52" s="196">
        <f t="shared" ca="1" si="12"/>
        <v>143.22200000000109</v>
      </c>
      <c r="M52" s="196">
        <f t="shared" ca="1" si="3"/>
        <v>5.2389558232930487</v>
      </c>
      <c r="N52" s="196">
        <f t="shared" ca="1" si="7"/>
        <v>5</v>
      </c>
      <c r="O52" s="196">
        <f ca="1">(DATOSAÑO!AJ52+DATOSAÑO!AK52+DATOSAÑO!AD52)</f>
        <v>191.10000000000582</v>
      </c>
      <c r="P52" s="196">
        <f ca="1">DATOSAÑO!AI52</f>
        <v>42.900000000001455</v>
      </c>
      <c r="Q52" s="196">
        <f ca="1">DATOSAÑO!AH52</f>
        <v>10</v>
      </c>
      <c r="R52" s="196">
        <f ca="1">DATOSAÑO!AM52+DATOSAÑO!AN52+DATOSAÑO!AF52</f>
        <v>143.22200000000109</v>
      </c>
      <c r="S52" s="209">
        <f ca="1">IF(B52&gt;=$P$5,0,CONTADORES!S46-CONTADORES!S45)</f>
        <v>16.899999999994179</v>
      </c>
      <c r="T52" s="206">
        <f ca="1">IF(B52&gt;=$P$5,0,(CONTADORES!U46-CONTADORES!U45)+(CONTADORES!AG46-CONTADORES!AG45))</f>
        <v>2.3000000000029104</v>
      </c>
      <c r="U52" s="206">
        <f ca="1">IF(B52&gt;=$P$5,0,(CONTADORES!AS46-CONTADORES!AS45))</f>
        <v>5</v>
      </c>
      <c r="V52" s="206">
        <f ca="1">IF(B52&gt;=$P$5,0,(CONTADORES!AT46-CONTADORES!AT45))</f>
        <v>0</v>
      </c>
      <c r="W52" s="715">
        <v>0</v>
      </c>
      <c r="X52" s="206">
        <f ca="1">IF(W52=0,(T52-INICIO!$W$6),((T52-INICIO!$W$6)+V52))</f>
        <v>2.3000000000029104</v>
      </c>
      <c r="Y52" s="208">
        <f t="shared" ca="1" si="8"/>
        <v>11.899999999994179</v>
      </c>
      <c r="Z52" s="209">
        <f t="shared" ca="1" si="9"/>
        <v>9.1328915662606036</v>
      </c>
      <c r="AA52" s="206">
        <f t="shared" ca="1" si="10"/>
        <v>2.0502409638544283</v>
      </c>
      <c r="AB52" s="206">
        <f t="shared" ca="1" si="11"/>
        <v>0.47791164658609764</v>
      </c>
      <c r="AC52" s="208">
        <f t="shared" ca="1" si="6"/>
        <v>0.23895582329304882</v>
      </c>
    </row>
    <row r="53" spans="2:29">
      <c r="B53" s="214">
        <v>44604</v>
      </c>
      <c r="C53" s="202">
        <f ca="1">DATOSAÑO!I53</f>
        <v>288</v>
      </c>
      <c r="D53" s="196">
        <f ca="1">DATOSAÑO!P53</f>
        <v>150</v>
      </c>
      <c r="E53" s="196">
        <f ca="1">DATOSAÑO!Q53</f>
        <v>0</v>
      </c>
      <c r="F53" s="196">
        <f ca="1">DATOSAÑO!T53</f>
        <v>0</v>
      </c>
      <c r="G53" s="196">
        <f t="shared" ca="1" si="4"/>
        <v>438</v>
      </c>
      <c r="H53" s="196">
        <f t="shared" ca="1" si="13"/>
        <v>31.054000000027997</v>
      </c>
      <c r="I53" s="196">
        <f t="shared" ca="1" si="0"/>
        <v>193.60848938824429</v>
      </c>
      <c r="J53" s="196">
        <f t="shared" ca="1" si="1"/>
        <v>44.412359550557447</v>
      </c>
      <c r="K53" s="196">
        <f t="shared" ca="1" si="2"/>
        <v>9.029463171034724</v>
      </c>
      <c r="L53" s="196">
        <f t="shared" ca="1" si="12"/>
        <v>154.64599999999817</v>
      </c>
      <c r="M53" s="196">
        <f t="shared" ca="1" si="3"/>
        <v>5.2496878901373556</v>
      </c>
      <c r="N53" s="196">
        <f t="shared" ca="1" si="7"/>
        <v>5</v>
      </c>
      <c r="O53" s="196">
        <f ca="1">(DATOSAÑO!AJ53+DATOSAÑO!AK53+DATOSAÑO!AD53)</f>
        <v>184.39999999997963</v>
      </c>
      <c r="P53" s="196">
        <f ca="1">DATOSAÑO!AI53</f>
        <v>42.299999999995634</v>
      </c>
      <c r="Q53" s="196">
        <f ca="1">DATOSAÑO!AH53</f>
        <v>8.5999999999985448</v>
      </c>
      <c r="R53" s="196">
        <f ca="1">DATOSAÑO!AM53+DATOSAÑO!AN53+DATOSAÑO!AF53</f>
        <v>154.64599999999817</v>
      </c>
      <c r="S53" s="209">
        <f ca="1">IF(B53&gt;=$P$5,0,CONTADORES!S47-CONTADORES!S46)</f>
        <v>17</v>
      </c>
      <c r="T53" s="206">
        <f ca="1">IF(B53&gt;=$P$5,0,(CONTADORES!U47-CONTADORES!U46)+(CONTADORES!AG47-CONTADORES!AG46))</f>
        <v>2.3000000000029104</v>
      </c>
      <c r="U53" s="206">
        <f ca="1">IF(B53&gt;=$P$5,0,(CONTADORES!AS47-CONTADORES!AS46))</f>
        <v>5</v>
      </c>
      <c r="V53" s="206">
        <f ca="1">IF(B53&gt;=$P$5,0,(CONTADORES!AT47-CONTADORES!AT46))</f>
        <v>0</v>
      </c>
      <c r="W53" s="715">
        <v>0</v>
      </c>
      <c r="X53" s="206">
        <f ca="1">IF(W53=0,(T53-INICIO!$W$6),((T53-INICIO!$W$6)+V53))</f>
        <v>2.3000000000029104</v>
      </c>
      <c r="Y53" s="208">
        <f t="shared" ca="1" si="8"/>
        <v>12</v>
      </c>
      <c r="Z53" s="209">
        <f t="shared" ca="1" si="9"/>
        <v>9.2084893882646561</v>
      </c>
      <c r="AA53" s="206">
        <f t="shared" ca="1" si="10"/>
        <v>2.11235955056181</v>
      </c>
      <c r="AB53" s="206">
        <f t="shared" ca="1" si="11"/>
        <v>0.42946317103617887</v>
      </c>
      <c r="AC53" s="208">
        <f t="shared" ca="1" si="6"/>
        <v>0.24968789013735557</v>
      </c>
    </row>
    <row r="54" spans="2:29">
      <c r="B54" s="214">
        <v>44605</v>
      </c>
      <c r="C54" s="202">
        <f ca="1">DATOSAÑO!I54</f>
        <v>282</v>
      </c>
      <c r="D54" s="196">
        <f ca="1">DATOSAÑO!P54</f>
        <v>164</v>
      </c>
      <c r="E54" s="196">
        <f ca="1">DATOSAÑO!Q54</f>
        <v>0</v>
      </c>
      <c r="F54" s="196">
        <f ca="1">DATOSAÑO!T54</f>
        <v>0</v>
      </c>
      <c r="G54" s="196">
        <f t="shared" ca="1" si="4"/>
        <v>446</v>
      </c>
      <c r="H54" s="196">
        <f t="shared" ca="1" si="13"/>
        <v>31.027999999985241</v>
      </c>
      <c r="I54" s="196">
        <f t="shared" ca="1" si="0"/>
        <v>196.36483155301553</v>
      </c>
      <c r="J54" s="196">
        <f t="shared" ca="1" si="1"/>
        <v>44.910435497121959</v>
      </c>
      <c r="K54" s="196">
        <f t="shared" ca="1" si="2"/>
        <v>9.4658997534923923</v>
      </c>
      <c r="L54" s="196">
        <f t="shared" ca="1" si="12"/>
        <v>158.97200000000018</v>
      </c>
      <c r="M54" s="196">
        <f t="shared" ca="1" si="3"/>
        <v>5.2588331963846624</v>
      </c>
      <c r="N54" s="196">
        <f t="shared" ca="1" si="7"/>
        <v>5</v>
      </c>
      <c r="O54" s="196">
        <f ca="1">(DATOSAÑO!AJ54+DATOSAÑO!AK54+DATOSAÑO!AD54)</f>
        <v>186.70000000001164</v>
      </c>
      <c r="P54" s="196">
        <f ca="1">DATOSAÑO!AI54</f>
        <v>42.69999999999709</v>
      </c>
      <c r="Q54" s="196">
        <f ca="1">DATOSAÑO!AH54</f>
        <v>9</v>
      </c>
      <c r="R54" s="196">
        <f ca="1">DATOSAÑO!AM54+DATOSAÑO!AN54+DATOSAÑO!AF54</f>
        <v>158.97200000000018</v>
      </c>
      <c r="S54" s="209">
        <f ca="1">IF(B54&gt;=$P$5,0,CONTADORES!S48-CONTADORES!S47)</f>
        <v>17.600000000005821</v>
      </c>
      <c r="T54" s="206">
        <f ca="1">IF(B54&gt;=$P$5,0,(CONTADORES!U48-CONTADORES!U47)+(CONTADORES!AG48-CONTADORES!AG47))</f>
        <v>2.1999999999970896</v>
      </c>
      <c r="U54" s="206">
        <f ca="1">IF(B54&gt;=$P$5,0,(CONTADORES!AS48-CONTADORES!AS47))</f>
        <v>5</v>
      </c>
      <c r="V54" s="206">
        <f ca="1">IF(B54&gt;=$P$5,0,(CONTADORES!AT48-CONTADORES!AT47))</f>
        <v>0</v>
      </c>
      <c r="W54" s="715">
        <v>0</v>
      </c>
      <c r="X54" s="206">
        <f ca="1">IF(W54=0,(T54-INICIO!$W$6),((T54-INICIO!$W$6)+V54))</f>
        <v>2.1999999999970896</v>
      </c>
      <c r="Y54" s="208">
        <f t="shared" ca="1" si="8"/>
        <v>12.600000000005821</v>
      </c>
      <c r="Z54" s="209">
        <f t="shared" ca="1" si="9"/>
        <v>9.6648315530038982</v>
      </c>
      <c r="AA54" s="206">
        <f t="shared" ca="1" si="10"/>
        <v>2.210435497124867</v>
      </c>
      <c r="AB54" s="206">
        <f t="shared" ca="1" si="11"/>
        <v>0.46589975349239243</v>
      </c>
      <c r="AC54" s="208">
        <f t="shared" ca="1" si="6"/>
        <v>0.25883319638466246</v>
      </c>
    </row>
    <row r="55" spans="2:29">
      <c r="B55" s="214">
        <v>44606</v>
      </c>
      <c r="C55" s="202">
        <f ca="1">DATOSAÑO!I55</f>
        <v>282</v>
      </c>
      <c r="D55" s="196">
        <f ca="1">DATOSAÑO!P55</f>
        <v>150.70000000000073</v>
      </c>
      <c r="E55" s="196">
        <f ca="1">DATOSAÑO!Q55</f>
        <v>0</v>
      </c>
      <c r="F55" s="196">
        <f ca="1">DATOSAÑO!T55</f>
        <v>0</v>
      </c>
      <c r="G55" s="196">
        <f t="shared" ca="1" si="4"/>
        <v>432.70000000000073</v>
      </c>
      <c r="H55" s="196">
        <f t="shared" ca="1" si="13"/>
        <v>31.623000000020397</v>
      </c>
      <c r="I55" s="196">
        <f t="shared" ca="1" si="0"/>
        <v>193.10246243736412</v>
      </c>
      <c r="J55" s="196">
        <f t="shared" ca="1" si="1"/>
        <v>42.760642737906053</v>
      </c>
      <c r="K55" s="196">
        <f t="shared" ca="1" si="2"/>
        <v>8.259390651086747</v>
      </c>
      <c r="L55" s="196">
        <f t="shared" ca="1" si="12"/>
        <v>150.57700000000219</v>
      </c>
      <c r="M55" s="196">
        <f t="shared" ca="1" si="3"/>
        <v>6.3775041736212472</v>
      </c>
      <c r="N55" s="196">
        <f t="shared" ca="1" si="7"/>
        <v>6.0999999999985448</v>
      </c>
      <c r="O55" s="196">
        <f ca="1">(DATOSAÑO!AJ55+DATOSAÑO!AK55+DATOSAÑO!AD55)</f>
        <v>184.69999999996799</v>
      </c>
      <c r="P55" s="196">
        <f ca="1">DATOSAÑO!AI55</f>
        <v>40.900000000008731</v>
      </c>
      <c r="Q55" s="196">
        <f ca="1">DATOSAÑO!AH55</f>
        <v>7.9000000000014552</v>
      </c>
      <c r="R55" s="196">
        <f ca="1">DATOSAÑO!AM55+DATOSAÑO!AN55+DATOSAÑO!AF55</f>
        <v>150.57700000000219</v>
      </c>
      <c r="S55" s="209">
        <f ca="1">IF(B55&gt;=$P$5,0,CONTADORES!S49-CONTADORES!S48)</f>
        <v>17</v>
      </c>
      <c r="T55" s="206">
        <f ca="1">IF(B55&gt;=$P$5,0,(CONTADORES!U49-CONTADORES!U48)+(CONTADORES!AG49-CONTADORES!AG48))</f>
        <v>2.0999999999985448</v>
      </c>
      <c r="U55" s="206">
        <f ca="1">IF(B55&gt;=$P$5,0,(CONTADORES!AS49-CONTADORES!AS48))</f>
        <v>6.0999999999985448</v>
      </c>
      <c r="V55" s="206">
        <f ca="1">IF(B55&gt;=$P$5,0,(CONTADORES!AT49-CONTADORES!AT48))</f>
        <v>0</v>
      </c>
      <c r="W55" s="715">
        <v>0</v>
      </c>
      <c r="X55" s="206">
        <f ca="1">IF(W55=0,(T55-INICIO!$W$6),((T55-INICIO!$W$6)+V55))</f>
        <v>2.0999999999985448</v>
      </c>
      <c r="Y55" s="208">
        <f t="shared" ca="1" si="8"/>
        <v>10.900000000001455</v>
      </c>
      <c r="Z55" s="209">
        <f t="shared" ca="1" si="9"/>
        <v>8.4024624373961405</v>
      </c>
      <c r="AA55" s="206">
        <f t="shared" ca="1" si="10"/>
        <v>1.8606427378973205</v>
      </c>
      <c r="AB55" s="206">
        <f t="shared" ca="1" si="11"/>
        <v>0.359390651085291</v>
      </c>
      <c r="AC55" s="208">
        <f t="shared" ca="1" si="6"/>
        <v>0.27750417362270235</v>
      </c>
    </row>
    <row r="56" spans="2:29">
      <c r="B56" s="214">
        <v>44607</v>
      </c>
      <c r="C56" s="202">
        <f ca="1">DATOSAÑO!I56</f>
        <v>300</v>
      </c>
      <c r="D56" s="196">
        <f ca="1">DATOSAÑO!P56</f>
        <v>150.70000000000073</v>
      </c>
      <c r="E56" s="196">
        <f ca="1">DATOSAÑO!Q56</f>
        <v>0</v>
      </c>
      <c r="F56" s="196">
        <f ca="1">DATOSAÑO!T56</f>
        <v>0</v>
      </c>
      <c r="G56" s="196">
        <f t="shared" ca="1" si="4"/>
        <v>450.70000000000073</v>
      </c>
      <c r="H56" s="196">
        <f t="shared" ca="1" si="13"/>
        <v>29.750999999972919</v>
      </c>
      <c r="I56" s="196">
        <f t="shared" ca="1" si="0"/>
        <v>197.9642541214514</v>
      </c>
      <c r="J56" s="196">
        <f t="shared" ca="1" si="1"/>
        <v>49.675633293120789</v>
      </c>
      <c r="K56" s="196">
        <f t="shared" ca="1" si="2"/>
        <v>9.0702854845176155</v>
      </c>
      <c r="L56" s="196">
        <f t="shared" ca="1" si="12"/>
        <v>158.64900000001037</v>
      </c>
      <c r="M56" s="196">
        <f t="shared" ca="1" si="3"/>
        <v>5.5898271009276623</v>
      </c>
      <c r="N56" s="196">
        <f t="shared" ca="1" si="7"/>
        <v>5.3000000000029104</v>
      </c>
      <c r="O56" s="196">
        <f ca="1">(DATOSAÑO!AJ56+DATOSAÑO!AK56+DATOSAÑO!AD56)</f>
        <v>187.70000000002619</v>
      </c>
      <c r="P56" s="196">
        <f ca="1">DATOSAÑO!AI56</f>
        <v>47.099999999998545</v>
      </c>
      <c r="Q56" s="196">
        <f ca="1">DATOSAÑO!AH56</f>
        <v>8.5999999999985448</v>
      </c>
      <c r="R56" s="196">
        <f ca="1">DATOSAÑO!AM56+DATOSAÑO!AN56+DATOSAÑO!AF56</f>
        <v>158.64900000001037</v>
      </c>
      <c r="S56" s="209">
        <f ca="1">IF(B56&gt;=$P$5,0,CONTADORES!S50-CONTADORES!S49)</f>
        <v>18.899999999994179</v>
      </c>
      <c r="T56" s="206">
        <f ca="1">IF(B56&gt;=$P$5,0,(CONTADORES!U50-CONTADORES!U49)+(CONTADORES!AG50-CONTADORES!AG49))</f>
        <v>2.2000000000043656</v>
      </c>
      <c r="U56" s="206">
        <f ca="1">IF(B56&gt;=$P$5,0,(CONTADORES!AS50-CONTADORES!AS49))</f>
        <v>5.3000000000029104</v>
      </c>
      <c r="V56" s="206">
        <f ca="1">IF(B56&gt;=$P$5,0,(CONTADORES!AT50-CONTADORES!AT49))</f>
        <v>0</v>
      </c>
      <c r="W56" s="715">
        <v>0</v>
      </c>
      <c r="X56" s="206">
        <f ca="1">IF(W56=0,(T56-INICIO!$W$6),((T56-INICIO!$W$6)+V56))</f>
        <v>2.2000000000043656</v>
      </c>
      <c r="Y56" s="208">
        <f t="shared" ca="1" si="8"/>
        <v>13.599999999991269</v>
      </c>
      <c r="Z56" s="209">
        <f t="shared" ca="1" si="9"/>
        <v>10.264254121425205</v>
      </c>
      <c r="AA56" s="206">
        <f t="shared" ca="1" si="10"/>
        <v>2.5756332931222414</v>
      </c>
      <c r="AB56" s="206">
        <f t="shared" ca="1" si="11"/>
        <v>0.47028548451907037</v>
      </c>
      <c r="AC56" s="208">
        <f t="shared" ca="1" si="6"/>
        <v>0.28982710092475156</v>
      </c>
    </row>
    <row r="57" spans="2:29">
      <c r="B57" s="214">
        <v>44608</v>
      </c>
      <c r="C57" s="202">
        <f ca="1">DATOSAÑO!I57</f>
        <v>290</v>
      </c>
      <c r="D57" s="196">
        <f ca="1">DATOSAÑO!P57</f>
        <v>145.69999999999709</v>
      </c>
      <c r="E57" s="196">
        <f ca="1">DATOSAÑO!Q57</f>
        <v>0</v>
      </c>
      <c r="F57" s="196">
        <f ca="1">DATOSAÑO!T57</f>
        <v>0</v>
      </c>
      <c r="G57" s="196">
        <f t="shared" ca="1" si="4"/>
        <v>435.69999999999709</v>
      </c>
      <c r="H57" s="196">
        <f t="shared" ca="1" si="13"/>
        <v>32.033000000010361</v>
      </c>
      <c r="I57" s="196">
        <f t="shared" ca="1" si="0"/>
        <v>187.42910164487526</v>
      </c>
      <c r="J57" s="196">
        <f t="shared" ca="1" si="1"/>
        <v>45.806663854913431</v>
      </c>
      <c r="K57" s="196">
        <f t="shared" ca="1" si="2"/>
        <v>10.506115563053889</v>
      </c>
      <c r="L57" s="196">
        <f t="shared" ca="1" si="12"/>
        <v>154.56699999998818</v>
      </c>
      <c r="M57" s="196">
        <f t="shared" ca="1" si="3"/>
        <v>5.3581189371559548</v>
      </c>
      <c r="N57" s="196">
        <f t="shared" ca="1" si="7"/>
        <v>5.0999999999985448</v>
      </c>
      <c r="O57" s="196">
        <f ca="1">(DATOSAÑO!AJ57+DATOSAÑO!AK57+DATOSAÑO!AD57)</f>
        <v>178.39999999999418</v>
      </c>
      <c r="P57" s="196">
        <f ca="1">DATOSAÑO!AI57</f>
        <v>43.599999999998545</v>
      </c>
      <c r="Q57" s="196">
        <f ca="1">DATOSAÑO!AH57</f>
        <v>10</v>
      </c>
      <c r="R57" s="196">
        <f ca="1">DATOSAÑO!AM57+DATOSAÑO!AN57+DATOSAÑO!AF57</f>
        <v>154.56699999998818</v>
      </c>
      <c r="S57" s="209">
        <f ca="1">IF(B57&gt;=$P$5,0,CONTADORES!S51-CONTADORES!S50)</f>
        <v>17.100000000005821</v>
      </c>
      <c r="T57" s="206">
        <f ca="1">IF(B57&gt;=$P$5,0,(CONTADORES!U51-CONTADORES!U50)+(CONTADORES!AG51-CONTADORES!AG50))</f>
        <v>2</v>
      </c>
      <c r="U57" s="206">
        <f ca="1">IF(B57&gt;=$P$5,0,(CONTADORES!AS51-CONTADORES!AS50))</f>
        <v>5.0999999999985448</v>
      </c>
      <c r="V57" s="206">
        <f ca="1">IF(B57&gt;=$P$5,0,(CONTADORES!AT51-CONTADORES!AT50))</f>
        <v>0</v>
      </c>
      <c r="W57" s="715">
        <v>0</v>
      </c>
      <c r="X57" s="206">
        <f ca="1">IF(W57=0,(T57-INICIO!$W$6),((T57-INICIO!$W$6)+V57))</f>
        <v>2</v>
      </c>
      <c r="Y57" s="208">
        <f t="shared" ca="1" si="8"/>
        <v>12.000000000007276</v>
      </c>
      <c r="Z57" s="209">
        <f t="shared" ca="1" si="9"/>
        <v>9.0291016448810915</v>
      </c>
      <c r="AA57" s="206">
        <f t="shared" ca="1" si="10"/>
        <v>2.206663854914884</v>
      </c>
      <c r="AB57" s="206">
        <f t="shared" ca="1" si="11"/>
        <v>0.50611556305388938</v>
      </c>
      <c r="AC57" s="208">
        <f t="shared" ca="1" si="6"/>
        <v>0.25811893715740991</v>
      </c>
    </row>
    <row r="58" spans="2:29">
      <c r="B58" s="214">
        <v>44609</v>
      </c>
      <c r="C58" s="202">
        <f ca="1">DATOSAÑO!I58</f>
        <v>288</v>
      </c>
      <c r="D58" s="196">
        <f ca="1">DATOSAÑO!P58</f>
        <v>141.90000000000146</v>
      </c>
      <c r="E58" s="196">
        <f ca="1">DATOSAÑO!Q58</f>
        <v>0</v>
      </c>
      <c r="F58" s="196">
        <f ca="1">DATOSAÑO!T58</f>
        <v>0</v>
      </c>
      <c r="G58" s="196">
        <f t="shared" ca="1" si="4"/>
        <v>429.90000000000146</v>
      </c>
      <c r="H58" s="196">
        <f t="shared" ca="1" si="13"/>
        <v>30.614999999991255</v>
      </c>
      <c r="I58" s="196">
        <f t="shared" ca="1" si="0"/>
        <v>196.51442348009323</v>
      </c>
      <c r="J58" s="196">
        <f t="shared" ca="1" si="1"/>
        <v>41.145534591189808</v>
      </c>
      <c r="K58" s="196">
        <f t="shared" ca="1" si="2"/>
        <v>7.014633123694197</v>
      </c>
      <c r="L58" s="196">
        <f t="shared" ca="1" si="12"/>
        <v>149.58499999999856</v>
      </c>
      <c r="M58" s="196">
        <f t="shared" ca="1" si="3"/>
        <v>5.025408805034421</v>
      </c>
      <c r="N58" s="196">
        <f t="shared" ca="1" si="7"/>
        <v>4.8000000000029104</v>
      </c>
      <c r="O58" s="196">
        <f ca="1">(DATOSAÑO!AJ58+DATOSAÑO!AK58+DATOSAÑO!AD58)</f>
        <v>187.70000000001164</v>
      </c>
      <c r="P58" s="196">
        <f ca="1">DATOSAÑO!AI58</f>
        <v>39.299999999995634</v>
      </c>
      <c r="Q58" s="196">
        <f ca="1">DATOSAÑO!AH58</f>
        <v>6.7000000000043656</v>
      </c>
      <c r="R58" s="196">
        <f ca="1">DATOSAÑO!AM58+DATOSAÑO!AN58+DATOSAÑO!AF58</f>
        <v>149.58499999999856</v>
      </c>
      <c r="S58" s="209">
        <f ca="1">IF(B58&gt;=$P$5,0,CONTADORES!S52-CONTADORES!S51)</f>
        <v>16</v>
      </c>
      <c r="T58" s="206">
        <f ca="1">IF(B58&gt;=$P$5,0,(CONTADORES!U52-CONTADORES!U51)+(CONTADORES!AG52-CONTADORES!AG51))</f>
        <v>2.0999999999985448</v>
      </c>
      <c r="U58" s="206">
        <f ca="1">IF(B58&gt;=$P$5,0,(CONTADORES!AS52-CONTADORES!AS51))</f>
        <v>4.8000000000029104</v>
      </c>
      <c r="V58" s="206">
        <f ca="1">IF(B58&gt;=$P$5,0,(CONTADORES!AT52-CONTADORES!AT51))</f>
        <v>0</v>
      </c>
      <c r="W58" s="715">
        <v>0</v>
      </c>
      <c r="X58" s="206">
        <f ca="1">IF(W58=0,(T58-INICIO!$W$6),((T58-INICIO!$W$6)+V58))</f>
        <v>2.0999999999985448</v>
      </c>
      <c r="Y58" s="208">
        <f t="shared" ca="1" si="8"/>
        <v>11.19999999999709</v>
      </c>
      <c r="Z58" s="209">
        <f t="shared" ca="1" si="9"/>
        <v>8.8144234800815759</v>
      </c>
      <c r="AA58" s="206">
        <f t="shared" ca="1" si="10"/>
        <v>1.8455345911941714</v>
      </c>
      <c r="AB58" s="206">
        <f t="shared" ca="1" si="11"/>
        <v>0.31463312368983154</v>
      </c>
      <c r="AC58" s="208">
        <f t="shared" ca="1" si="6"/>
        <v>0.22540880503151089</v>
      </c>
    </row>
    <row r="59" spans="2:29">
      <c r="B59" s="214">
        <v>44610</v>
      </c>
      <c r="C59" s="202">
        <f ca="1">DATOSAÑO!I59</f>
        <v>301</v>
      </c>
      <c r="D59" s="196">
        <f ca="1">DATOSAÑO!P59</f>
        <v>150.40000000000146</v>
      </c>
      <c r="E59" s="196">
        <f ca="1">DATOSAÑO!Q59</f>
        <v>0</v>
      </c>
      <c r="F59" s="196">
        <f ca="1">DATOSAÑO!T59</f>
        <v>0</v>
      </c>
      <c r="G59" s="196">
        <f t="shared" ca="1" si="4"/>
        <v>451.40000000000146</v>
      </c>
      <c r="H59" s="196">
        <f t="shared" ca="1" si="13"/>
        <v>32.911999999995487</v>
      </c>
      <c r="I59" s="196">
        <f t="shared" ca="1" si="0"/>
        <v>199.94195121951364</v>
      </c>
      <c r="J59" s="196">
        <f t="shared" ca="1" si="1"/>
        <v>42.364146341475077</v>
      </c>
      <c r="K59" s="196">
        <f t="shared" ca="1" si="2"/>
        <v>11.668536585364587</v>
      </c>
      <c r="L59" s="196">
        <f t="shared" ca="1" si="12"/>
        <v>159.88800000000018</v>
      </c>
      <c r="M59" s="196">
        <f t="shared" ca="1" si="3"/>
        <v>4.6253658536525215</v>
      </c>
      <c r="N59" s="196">
        <f t="shared" ca="1" si="7"/>
        <v>4.3999999999941792</v>
      </c>
      <c r="O59" s="196">
        <f ca="1">(DATOSAÑO!AJ59+DATOSAÑO!AK59+DATOSAÑO!AD59)</f>
        <v>190.19999999999709</v>
      </c>
      <c r="P59" s="196">
        <f ca="1">DATOSAÑO!AI59</f>
        <v>40.300000000010186</v>
      </c>
      <c r="Q59" s="196">
        <f ca="1">DATOSAÑO!AH59</f>
        <v>11.099999999998545</v>
      </c>
      <c r="R59" s="196">
        <f ca="1">DATOSAÑO!AM59+DATOSAÑO!AN59+DATOSAÑO!AF59</f>
        <v>159.88800000000018</v>
      </c>
      <c r="S59" s="209">
        <f ca="1">IF(B59&gt;=$P$5,0,CONTADORES!S53-CONTADORES!S52)</f>
        <v>17</v>
      </c>
      <c r="T59" s="206">
        <f ca="1">IF(B59&gt;=$P$5,0,(CONTADORES!U53-CONTADORES!U52)+(CONTADORES!AG53-CONTADORES!AG52))</f>
        <v>2.0999999999985448</v>
      </c>
      <c r="U59" s="206">
        <f ca="1">IF(B59&gt;=$P$5,0,(CONTADORES!AS53-CONTADORES!AS52))</f>
        <v>4.3999999999941792</v>
      </c>
      <c r="V59" s="206">
        <f ca="1">IF(B59&gt;=$P$5,0,(CONTADORES!AT53-CONTADORES!AT52))</f>
        <v>0</v>
      </c>
      <c r="W59" s="715">
        <v>0</v>
      </c>
      <c r="X59" s="206">
        <f ca="1">IF(W59=0,(T59-INICIO!$W$6),((T59-INICIO!$W$6)+V59))</f>
        <v>2.0999999999985448</v>
      </c>
      <c r="Y59" s="208">
        <f t="shared" ca="1" si="8"/>
        <v>12.600000000005821</v>
      </c>
      <c r="Z59" s="209">
        <f t="shared" ca="1" si="9"/>
        <v>9.7419512195165474</v>
      </c>
      <c r="AA59" s="206">
        <f t="shared" ca="1" si="10"/>
        <v>2.0641463414648897</v>
      </c>
      <c r="AB59" s="206">
        <f t="shared" ca="1" si="11"/>
        <v>0.56853658536604179</v>
      </c>
      <c r="AC59" s="208">
        <f t="shared" ca="1" si="6"/>
        <v>0.22536585365834255</v>
      </c>
    </row>
    <row r="60" spans="2:29">
      <c r="B60" s="214">
        <v>44611</v>
      </c>
      <c r="C60" s="202">
        <f ca="1">DATOSAÑO!I60</f>
        <v>294</v>
      </c>
      <c r="D60" s="196">
        <f ca="1">DATOSAÑO!P60</f>
        <v>145.59999999999854</v>
      </c>
      <c r="E60" s="196">
        <f ca="1">DATOSAÑO!Q60</f>
        <v>0</v>
      </c>
      <c r="F60" s="196">
        <f ca="1">DATOSAÑO!T60</f>
        <v>0</v>
      </c>
      <c r="G60" s="196">
        <f t="shared" ca="1" si="4"/>
        <v>439.59999999999854</v>
      </c>
      <c r="H60" s="196">
        <f t="shared" ca="1" si="13"/>
        <v>29.962000000002206</v>
      </c>
      <c r="I60" s="196">
        <f t="shared" ca="1" si="0"/>
        <v>195.07733333332689</v>
      </c>
      <c r="J60" s="196">
        <f t="shared" ca="1" si="1"/>
        <v>41.290666666662887</v>
      </c>
      <c r="K60" s="196">
        <f t="shared" ca="1" si="2"/>
        <v>12.008000000001326</v>
      </c>
      <c r="L60" s="196">
        <f t="shared" ca="1" si="12"/>
        <v>156.83800000000073</v>
      </c>
      <c r="M60" s="196">
        <f t="shared" ca="1" si="3"/>
        <v>4.4240000000045221</v>
      </c>
      <c r="N60" s="196">
        <f t="shared" ca="1" si="7"/>
        <v>4.2000000000043656</v>
      </c>
      <c r="O60" s="196">
        <f ca="1">(DATOSAÑO!AJ60+DATOSAÑO!AK60+DATOSAÑO!AD60)</f>
        <v>185.19999999999709</v>
      </c>
      <c r="P60" s="196">
        <f ca="1">DATOSAÑO!AI60</f>
        <v>39.19999999999709</v>
      </c>
      <c r="Q60" s="196">
        <f ca="1">DATOSAÑO!AH60</f>
        <v>11.400000000001455</v>
      </c>
      <c r="R60" s="196">
        <f ca="1">DATOSAÑO!AM60+DATOSAÑO!AN60+DATOSAÑO!AF60</f>
        <v>156.83800000000073</v>
      </c>
      <c r="S60" s="209">
        <f ca="1">IF(B60&gt;=$P$5,0,CONTADORES!S54-CONTADORES!S53)</f>
        <v>17</v>
      </c>
      <c r="T60" s="206">
        <f ca="1">IF(B60&gt;=$P$5,0,(CONTADORES!U54-CONTADORES!U53)+(CONTADORES!AG54-CONTADORES!AG53))</f>
        <v>2.0999999999985448</v>
      </c>
      <c r="U60" s="206">
        <f ca="1">IF(B60&gt;=$P$5,0,(CONTADORES!AS54-CONTADORES!AS53))</f>
        <v>4.2000000000043656</v>
      </c>
      <c r="V60" s="206">
        <f ca="1">IF(B60&gt;=$P$5,0,(CONTADORES!AT54-CONTADORES!AT53))</f>
        <v>0</v>
      </c>
      <c r="W60" s="715">
        <v>0</v>
      </c>
      <c r="X60" s="206">
        <f ca="1">IF(W60=0,(T60-INICIO!$W$6),((T60-INICIO!$W$6)+V60))</f>
        <v>2.0999999999985448</v>
      </c>
      <c r="Y60" s="208">
        <f t="shared" ca="1" si="8"/>
        <v>12.799999999995634</v>
      </c>
      <c r="Z60" s="209">
        <f t="shared" ca="1" si="9"/>
        <v>9.8773333333298083</v>
      </c>
      <c r="AA60" s="206">
        <f t="shared" ca="1" si="10"/>
        <v>2.0906666666657983</v>
      </c>
      <c r="AB60" s="206">
        <f t="shared" ca="1" si="11"/>
        <v>0.60799999999987031</v>
      </c>
      <c r="AC60" s="208">
        <f t="shared" ca="1" si="6"/>
        <v>0.22400000000015644</v>
      </c>
    </row>
    <row r="61" spans="2:29">
      <c r="B61" s="214">
        <v>44612</v>
      </c>
      <c r="C61" s="202">
        <f ca="1">DATOSAÑO!I61</f>
        <v>297</v>
      </c>
      <c r="D61" s="196">
        <f ca="1">DATOSAÑO!P61</f>
        <v>148.59999999999854</v>
      </c>
      <c r="E61" s="196">
        <f ca="1">DATOSAÑO!Q61</f>
        <v>0.8149999999998272</v>
      </c>
      <c r="F61" s="196">
        <f ca="1">DATOSAÑO!T61</f>
        <v>0.19200000000000728</v>
      </c>
      <c r="G61" s="196">
        <f t="shared" ca="1" si="4"/>
        <v>446.60699999999838</v>
      </c>
      <c r="H61" s="196">
        <f t="shared" ca="1" si="13"/>
        <v>36.879999999998745</v>
      </c>
      <c r="I61" s="196">
        <f t="shared" ca="1" si="0"/>
        <v>190.99535789920242</v>
      </c>
      <c r="J61" s="196">
        <f t="shared" ca="1" si="1"/>
        <v>41.438420160942854</v>
      </c>
      <c r="K61" s="196">
        <f t="shared" ca="1" si="2"/>
        <v>11.043233799237672</v>
      </c>
      <c r="L61" s="196">
        <f t="shared" ca="1" si="12"/>
        <v>161.41199999999981</v>
      </c>
      <c r="M61" s="196">
        <f t="shared" ca="1" si="3"/>
        <v>4.8379881406168783</v>
      </c>
      <c r="N61" s="196">
        <f t="shared" ca="1" si="7"/>
        <v>4.5999999999985448</v>
      </c>
      <c r="O61" s="196">
        <f ca="1">(DATOSAÑO!AJ61+DATOSAÑO!AK61+DATOSAÑO!AD61)</f>
        <v>181.60000000000582</v>
      </c>
      <c r="P61" s="196">
        <f ca="1">DATOSAÑO!AI61</f>
        <v>39.399999999994179</v>
      </c>
      <c r="Q61" s="196">
        <f ca="1">DATOSAÑO!AH61</f>
        <v>10.5</v>
      </c>
      <c r="R61" s="196">
        <f ca="1">DATOSAÑO!AM61+DATOSAÑO!AN61+DATOSAÑO!AF61</f>
        <v>161.41199999999981</v>
      </c>
      <c r="S61" s="209">
        <f ca="1">IF(B61&gt;=$P$5,0,CONTADORES!S55-CONTADORES!S54)</f>
        <v>16</v>
      </c>
      <c r="T61" s="206">
        <f ca="1">IF(B61&gt;=$P$5,0,(CONTADORES!U55-CONTADORES!U54)+(CONTADORES!AG55-CONTADORES!AG54))</f>
        <v>2.0999999999985448</v>
      </c>
      <c r="U61" s="206">
        <f ca="1">IF(B61&gt;=$P$5,0,(CONTADORES!AS55-CONTADORES!AS54))</f>
        <v>4.5999999999985448</v>
      </c>
      <c r="V61" s="206">
        <f ca="1">IF(B61&gt;=$P$5,0,(CONTADORES!AT55-CONTADORES!AT54))</f>
        <v>0</v>
      </c>
      <c r="W61" s="715">
        <v>0</v>
      </c>
      <c r="X61" s="206">
        <f ca="1">IF(W61=0,(T61-INICIO!$W$6),((T61-INICIO!$W$6)+V61))</f>
        <v>2.0999999999985448</v>
      </c>
      <c r="Y61" s="208">
        <f t="shared" ca="1" si="8"/>
        <v>12.215000000001282</v>
      </c>
      <c r="Z61" s="209">
        <f t="shared" ca="1" si="9"/>
        <v>9.3953578991966022</v>
      </c>
      <c r="AA61" s="206">
        <f t="shared" ca="1" si="10"/>
        <v>2.0384201609486761</v>
      </c>
      <c r="AB61" s="206">
        <f t="shared" ca="1" si="11"/>
        <v>0.54323379923767157</v>
      </c>
      <c r="AC61" s="208">
        <f t="shared" ca="1" si="6"/>
        <v>0.23798814061833323</v>
      </c>
    </row>
    <row r="62" spans="2:29">
      <c r="B62" s="214">
        <v>44613</v>
      </c>
      <c r="C62" s="202">
        <f ca="1">DATOSAÑO!I62</f>
        <v>303</v>
      </c>
      <c r="D62" s="196">
        <f ca="1">DATOSAÑO!P62</f>
        <v>147.10000000000218</v>
      </c>
      <c r="E62" s="196">
        <f ca="1">DATOSAÑO!Q62</f>
        <v>0</v>
      </c>
      <c r="F62" s="196">
        <f ca="1">DATOSAÑO!T62</f>
        <v>0</v>
      </c>
      <c r="G62" s="196">
        <f t="shared" ca="1" si="4"/>
        <v>450.10000000000218</v>
      </c>
      <c r="H62" s="196">
        <f t="shared" ca="1" si="13"/>
        <v>24.961999999993736</v>
      </c>
      <c r="I62" s="196">
        <f t="shared" ca="1" si="0"/>
        <v>206.113846803744</v>
      </c>
      <c r="J62" s="196">
        <f t="shared" ca="1" si="1"/>
        <v>40.661700929312232</v>
      </c>
      <c r="K62" s="196">
        <f t="shared" ca="1" si="2"/>
        <v>9.2460715291420428</v>
      </c>
      <c r="L62" s="196">
        <f t="shared" ca="1" si="12"/>
        <v>163.96799999998836</v>
      </c>
      <c r="M62" s="196">
        <f t="shared" ca="1" si="3"/>
        <v>5.1483807378218112</v>
      </c>
      <c r="N62" s="196">
        <f t="shared" ca="1" si="7"/>
        <v>4.9000000000014552</v>
      </c>
      <c r="O62" s="196">
        <f ca="1">(DATOSAÑO!AJ62+DATOSAÑO!AK62+DATOSAÑO!AD62)</f>
        <v>196.17000000002736</v>
      </c>
      <c r="P62" s="196">
        <f ca="1">DATOSAÑO!AI62</f>
        <v>38.69999999999709</v>
      </c>
      <c r="Q62" s="196">
        <f ca="1">DATOSAÑO!AH62</f>
        <v>8.7999999999956344</v>
      </c>
      <c r="R62" s="196">
        <f ca="1">DATOSAÑO!AM62+DATOSAÑO!AN62+DATOSAÑO!AF62</f>
        <v>163.96799999998836</v>
      </c>
      <c r="S62" s="209">
        <f ca="1">IF(B62&gt;=$P$5,0,CONTADORES!S56-CONTADORES!S55)</f>
        <v>17.5</v>
      </c>
      <c r="T62" s="206">
        <f ca="1">IF(B62&gt;=$P$5,0,(CONTADORES!U56-CONTADORES!U55)+(CONTADORES!AG56-CONTADORES!AG55))</f>
        <v>2.1000000000058208</v>
      </c>
      <c r="U62" s="206">
        <f ca="1">IF(B62&gt;=$P$5,0,(CONTADORES!AS56-CONTADORES!AS55))</f>
        <v>4.9000000000014552</v>
      </c>
      <c r="V62" s="206">
        <f ca="1">IF(B62&gt;=$P$5,0,(CONTADORES!AT56-CONTADORES!AT55))</f>
        <v>0</v>
      </c>
      <c r="W62" s="715">
        <v>0</v>
      </c>
      <c r="X62" s="206">
        <f ca="1">IF(W62=0,(T62-INICIO!$W$6),((T62-INICIO!$W$6)+V62))</f>
        <v>2.1000000000058208</v>
      </c>
      <c r="Y62" s="208">
        <f t="shared" ca="1" si="8"/>
        <v>12.599999999998545</v>
      </c>
      <c r="Z62" s="209">
        <f t="shared" ca="1" si="9"/>
        <v>9.9438468037166405</v>
      </c>
      <c r="AA62" s="206">
        <f t="shared" ca="1" si="10"/>
        <v>1.9617009293151417</v>
      </c>
      <c r="AB62" s="206">
        <f t="shared" ca="1" si="11"/>
        <v>0.44607152914640774</v>
      </c>
      <c r="AC62" s="208">
        <f t="shared" ca="1" si="6"/>
        <v>0.24838073782035586</v>
      </c>
    </row>
    <row r="63" spans="2:29">
      <c r="B63" s="214">
        <v>44614</v>
      </c>
      <c r="C63" s="202">
        <f ca="1">DATOSAÑO!I63</f>
        <v>302.40000000002328</v>
      </c>
      <c r="D63" s="196">
        <f ca="1">DATOSAÑO!P63</f>
        <v>147.29999999999927</v>
      </c>
      <c r="E63" s="196">
        <f ca="1">DATOSAÑO!Q63</f>
        <v>0</v>
      </c>
      <c r="F63" s="196">
        <f ca="1">DATOSAÑO!T63</f>
        <v>0</v>
      </c>
      <c r="G63" s="196">
        <f t="shared" ca="1" si="4"/>
        <v>449.70000000002256</v>
      </c>
      <c r="H63" s="196">
        <f t="shared" ca="1" si="13"/>
        <v>35.397999999993488</v>
      </c>
      <c r="I63" s="196">
        <f t="shared" ca="1" si="0"/>
        <v>200.89398467434984</v>
      </c>
      <c r="J63" s="196">
        <f t="shared" ca="1" si="1"/>
        <v>38.154406130271283</v>
      </c>
      <c r="K63" s="196">
        <f t="shared" ca="1" si="2"/>
        <v>10.721072796939461</v>
      </c>
      <c r="L63" s="196">
        <f t="shared" ca="1" si="12"/>
        <v>159.17200000000255</v>
      </c>
      <c r="M63" s="196">
        <f t="shared" ca="1" si="3"/>
        <v>5.3605363984659071</v>
      </c>
      <c r="N63" s="196">
        <f t="shared" ca="1" si="7"/>
        <v>5.0999999999985448</v>
      </c>
      <c r="O63" s="196">
        <f ca="1">(DATOSAÑO!AJ63+DATOSAÑO!AK63+DATOSAÑO!AD63)</f>
        <v>191.13000000001921</v>
      </c>
      <c r="P63" s="196">
        <f ca="1">DATOSAÑO!AI63</f>
        <v>36.30000000000291</v>
      </c>
      <c r="Q63" s="196">
        <f ca="1">DATOSAÑO!AH63</f>
        <v>10.200000000004366</v>
      </c>
      <c r="R63" s="196">
        <f ca="1">DATOSAÑO!AM63+DATOSAÑO!AN63+DATOSAÑO!AF63</f>
        <v>159.17200000000255</v>
      </c>
      <c r="S63" s="209">
        <f ca="1">IF(B63&gt;=$P$5,0,CONTADORES!S57-CONTADORES!S56)</f>
        <v>17.5</v>
      </c>
      <c r="T63" s="206">
        <f ca="1">IF(B63&gt;=$P$5,0,(CONTADORES!U57-CONTADORES!U56)+(CONTADORES!AG57-CONTADORES!AG56))</f>
        <v>2.1999999999970896</v>
      </c>
      <c r="U63" s="206">
        <f ca="1">IF(B63&gt;=$P$5,0,(CONTADORES!AS57-CONTADORES!AS56))</f>
        <v>5.0999999999985448</v>
      </c>
      <c r="V63" s="206">
        <f ca="1">IF(B63&gt;=$P$5,0,(CONTADORES!AT57-CONTADORES!AT56))</f>
        <v>0</v>
      </c>
      <c r="W63" s="715">
        <v>0</v>
      </c>
      <c r="X63" s="206">
        <f ca="1">IF(W63=0,(T63-INICIO!$W$6),((T63-INICIO!$W$6)+V63))</f>
        <v>2.1999999999970896</v>
      </c>
      <c r="Y63" s="208">
        <f t="shared" ca="1" si="8"/>
        <v>12.400000000001455</v>
      </c>
      <c r="Z63" s="209">
        <f t="shared" ca="1" si="9"/>
        <v>9.7639846743306222</v>
      </c>
      <c r="AA63" s="206">
        <f t="shared" ca="1" si="10"/>
        <v>1.8544061302683743</v>
      </c>
      <c r="AB63" s="206">
        <f t="shared" ca="1" si="11"/>
        <v>0.52107279693509634</v>
      </c>
      <c r="AC63" s="208">
        <f t="shared" ca="1" si="6"/>
        <v>0.26053639846736232</v>
      </c>
    </row>
    <row r="64" spans="2:29">
      <c r="B64" s="214">
        <v>44615</v>
      </c>
      <c r="C64" s="202">
        <f ca="1">DATOSAÑO!I64</f>
        <v>259.1600000000326</v>
      </c>
      <c r="D64" s="196">
        <f ca="1">DATOSAÑO!P64</f>
        <v>133.54000000000087</v>
      </c>
      <c r="E64" s="196">
        <f ca="1">DATOSAÑO!Q64</f>
        <v>0</v>
      </c>
      <c r="F64" s="196">
        <f ca="1">DATOSAÑO!T64</f>
        <v>0</v>
      </c>
      <c r="G64" s="196">
        <f t="shared" ca="1" si="4"/>
        <v>392.70000000003347</v>
      </c>
      <c r="H64" s="196">
        <f t="shared" ca="1" si="13"/>
        <v>32.72900000004438</v>
      </c>
      <c r="I64" s="196">
        <f t="shared" ca="1" si="0"/>
        <v>186.22028211365301</v>
      </c>
      <c r="J64" s="196">
        <f t="shared" ca="1" si="1"/>
        <v>35.028710037409851</v>
      </c>
      <c r="K64" s="196">
        <f t="shared" ca="1" si="2"/>
        <v>0.10579495631993045</v>
      </c>
      <c r="L64" s="196">
        <f t="shared" ca="1" si="12"/>
        <v>133.39099999998558</v>
      </c>
      <c r="M64" s="196">
        <f t="shared" ca="1" si="3"/>
        <v>5.2252128926207551</v>
      </c>
      <c r="N64" s="196">
        <f t="shared" ca="1" si="7"/>
        <v>4.9389999999984866</v>
      </c>
      <c r="O64" s="196">
        <f ca="1">(DATOSAÑO!AJ64+DATOSAÑO!AK64+DATOSAÑO!AD64)</f>
        <v>176.01999999998952</v>
      </c>
      <c r="P64" s="196">
        <f ca="1">DATOSAÑO!AI64</f>
        <v>33.110000000007858</v>
      </c>
      <c r="Q64" s="196">
        <f ca="1">DATOSAÑO!AH64</f>
        <v>0.1000000000003638</v>
      </c>
      <c r="R64" s="196">
        <f ca="1">DATOSAÑO!AM64+DATOSAÑO!AN64+DATOSAÑO!AF64</f>
        <v>133.39099999998558</v>
      </c>
      <c r="S64" s="209">
        <f ca="1">IF(B64&gt;=$P$5,0,CONTADORES!S58-CONTADORES!S57)</f>
        <v>17.350000000005821</v>
      </c>
      <c r="T64" s="206">
        <f ca="1">IF(B64&gt;=$P$5,0,(CONTADORES!U58-CONTADORES!U57)+(CONTADORES!AG58-CONTADORES!AG57))</f>
        <v>2.3000000000029104</v>
      </c>
      <c r="U64" s="206">
        <f ca="1">IF(B64&gt;=$P$5,0,(CONTADORES!AS58-CONTADORES!AS57))</f>
        <v>4.9389999999984866</v>
      </c>
      <c r="V64" s="206">
        <f ca="1">IF(B64&gt;=$P$5,0,(CONTADORES!AT58-CONTADORES!AT57))</f>
        <v>0</v>
      </c>
      <c r="W64" s="715">
        <v>0</v>
      </c>
      <c r="X64" s="206">
        <f ca="1">IF(W64=0,(T64-INICIO!$W$6),((T64-INICIO!$W$6)+V64))</f>
        <v>2.3000000000029104</v>
      </c>
      <c r="Y64" s="208">
        <f t="shared" ca="1" si="8"/>
        <v>12.411000000007334</v>
      </c>
      <c r="Z64" s="209">
        <f t="shared" ca="1" si="9"/>
        <v>10.200282113663505</v>
      </c>
      <c r="AA64" s="206">
        <f t="shared" ca="1" si="10"/>
        <v>1.9187100374019936</v>
      </c>
      <c r="AB64" s="206">
        <f t="shared" ca="1" si="11"/>
        <v>5.7949563195666522E-3</v>
      </c>
      <c r="AC64" s="208">
        <f t="shared" ca="1" si="6"/>
        <v>0.28621289262226801</v>
      </c>
    </row>
    <row r="65" spans="2:29">
      <c r="B65" s="214">
        <v>44616</v>
      </c>
      <c r="C65" s="202">
        <f ca="1">DATOSAÑO!I65</f>
        <v>285.06999999994878</v>
      </c>
      <c r="D65" s="196">
        <f ca="1">DATOSAÑO!P65</f>
        <v>149.68000000000029</v>
      </c>
      <c r="E65" s="196">
        <f ca="1">DATOSAÑO!Q65</f>
        <v>0</v>
      </c>
      <c r="F65" s="196">
        <f ca="1">DATOSAÑO!T65</f>
        <v>0</v>
      </c>
      <c r="G65" s="196">
        <f t="shared" ca="1" si="4"/>
        <v>434.74999999994907</v>
      </c>
      <c r="H65" s="196">
        <f t="shared" ca="1" si="13"/>
        <v>37.716999999922677</v>
      </c>
      <c r="I65" s="196">
        <f t="shared" ca="1" si="0"/>
        <v>199.23107288631576</v>
      </c>
      <c r="J65" s="196">
        <f t="shared" ca="1" si="1"/>
        <v>31.525102691845124</v>
      </c>
      <c r="K65" s="196">
        <f t="shared" ca="1" si="2"/>
        <v>7.1552302504811571</v>
      </c>
      <c r="L65" s="196">
        <f t="shared" ca="1" si="12"/>
        <v>153.93300000003512</v>
      </c>
      <c r="M65" s="196">
        <f t="shared" ca="1" si="3"/>
        <v>5.1885941713492363</v>
      </c>
      <c r="N65" s="196">
        <f t="shared" ca="1" si="7"/>
        <v>4.9310000000041327</v>
      </c>
      <c r="O65" s="196">
        <f ca="1">(DATOSAÑO!AJ65+DATOSAÑO!AK65+DATOSAÑO!AD65)</f>
        <v>189.33999999999651</v>
      </c>
      <c r="P65" s="196">
        <f ca="1">DATOSAÑO!AI65</f>
        <v>29.959999999999127</v>
      </c>
      <c r="Q65" s="196">
        <f ca="1">DATOSAÑO!AH65</f>
        <v>6.7999999999956344</v>
      </c>
      <c r="R65" s="196">
        <f ca="1">DATOSAÑO!AM65+DATOSAÑO!AN65+DATOSAÑO!AF65</f>
        <v>153.93300000003512</v>
      </c>
      <c r="S65" s="209">
        <f ca="1">IF(B65&gt;=$P$5,0,CONTADORES!S59-CONTADORES!S58)</f>
        <v>17</v>
      </c>
      <c r="T65" s="206">
        <f ca="1">IF(B65&gt;=$P$5,0,(CONTADORES!U59-CONTADORES!U58)+(CONTADORES!AG59-CONTADORES!AG58))</f>
        <v>2.2299999999959255</v>
      </c>
      <c r="U65" s="206">
        <f ca="1">IF(B65&gt;=$P$5,0,(CONTADORES!AS59-CONTADORES!AS58))</f>
        <v>4.9310000000041327</v>
      </c>
      <c r="V65" s="206">
        <f ca="1">IF(B65&gt;=$P$5,0,(CONTADORES!AT59-CONTADORES!AT58))</f>
        <v>0</v>
      </c>
      <c r="W65" s="715">
        <v>0</v>
      </c>
      <c r="X65" s="206">
        <f ca="1">IF(W65=0,(T65-INICIO!$W$6),((T65-INICIO!$W$6)+V65))</f>
        <v>2.2299999999959255</v>
      </c>
      <c r="Y65" s="208">
        <f t="shared" ca="1" si="8"/>
        <v>12.068999999995867</v>
      </c>
      <c r="Z65" s="209">
        <f t="shared" ca="1" si="9"/>
        <v>9.8910728863192432</v>
      </c>
      <c r="AA65" s="206">
        <f t="shared" ca="1" si="10"/>
        <v>1.5651026918459983</v>
      </c>
      <c r="AB65" s="206">
        <f t="shared" ca="1" si="11"/>
        <v>0.35523025048552287</v>
      </c>
      <c r="AC65" s="208">
        <f t="shared" ca="1" si="6"/>
        <v>0.25759417134510387</v>
      </c>
    </row>
    <row r="66" spans="2:29">
      <c r="B66" s="214">
        <v>44617</v>
      </c>
      <c r="C66" s="202">
        <f ca="1">DATOSAÑO!I66</f>
        <v>281.48999999999069</v>
      </c>
      <c r="D66" s="196">
        <f ca="1">DATOSAÑO!P66</f>
        <v>151.28999999999724</v>
      </c>
      <c r="E66" s="196">
        <f ca="1">DATOSAÑO!Q66</f>
        <v>0</v>
      </c>
      <c r="F66" s="196">
        <f ca="1">DATOSAÑO!T66</f>
        <v>0</v>
      </c>
      <c r="G66" s="196">
        <f t="shared" ca="1" si="4"/>
        <v>432.77999999998792</v>
      </c>
      <c r="H66" s="196">
        <f t="shared" ca="1" si="13"/>
        <v>27.400000000028854</v>
      </c>
      <c r="I66" s="196">
        <f t="shared" ca="1" si="0"/>
        <v>196.03651283024351</v>
      </c>
      <c r="J66" s="196">
        <f t="shared" ca="1" si="1"/>
        <v>33.640457774532244</v>
      </c>
      <c r="K66" s="196">
        <f t="shared" ca="1" si="2"/>
        <v>18.479152834954657</v>
      </c>
      <c r="L66" s="196">
        <f t="shared" ca="1" si="12"/>
        <v>152.35000000001116</v>
      </c>
      <c r="M66" s="196">
        <f t="shared" ca="1" si="3"/>
        <v>4.8738765602174956</v>
      </c>
      <c r="N66" s="196">
        <f t="shared" ca="1" si="7"/>
        <v>4.6419999999998254</v>
      </c>
      <c r="O66" s="196">
        <f ca="1">(DATOSAÑO!AJ66+DATOSAÑO!AK66+DATOSAÑO!AD66)</f>
        <v>186.7099999999482</v>
      </c>
      <c r="P66" s="196">
        <f ca="1">DATOSAÑO!AI66</f>
        <v>32.040000000000873</v>
      </c>
      <c r="Q66" s="196">
        <f ca="1">DATOSAÑO!AH66</f>
        <v>17.600000000005821</v>
      </c>
      <c r="R66" s="196">
        <f ca="1">DATOSAÑO!AM66+DATOSAÑO!AN66+DATOSAÑO!AF66</f>
        <v>152.35000000001116</v>
      </c>
      <c r="S66" s="209">
        <f ca="1">IF(B66&gt;=$P$5,0,CONTADORES!S60-CONTADORES!S59)</f>
        <v>16.679999999993015</v>
      </c>
      <c r="T66" s="206">
        <f ca="1">IF(B66&gt;=$P$5,0,(CONTADORES!U60-CONTADORES!U59)+(CONTADORES!AG60-CONTADORES!AG59))</f>
        <v>2.2399999999979627</v>
      </c>
      <c r="U66" s="206">
        <f ca="1">IF(B66&gt;=$P$5,0,(CONTADORES!AS60-CONTADORES!AS59))</f>
        <v>4.6419999999998254</v>
      </c>
      <c r="V66" s="206">
        <f ca="1">IF(B66&gt;=$P$5,0,(CONTADORES!AT60-CONTADORES!AT59))</f>
        <v>0</v>
      </c>
      <c r="W66" s="715">
        <v>0</v>
      </c>
      <c r="X66" s="206">
        <f ca="1">IF(W66=0,(T66-INICIO!$W$6),((T66-INICIO!$W$6)+V66))</f>
        <v>2.2399999999979627</v>
      </c>
      <c r="Y66" s="208">
        <f t="shared" ca="1" si="8"/>
        <v>12.03799999999319</v>
      </c>
      <c r="Z66" s="209">
        <f t="shared" ca="1" si="9"/>
        <v>9.3265128302953091</v>
      </c>
      <c r="AA66" s="206">
        <f t="shared" ca="1" si="10"/>
        <v>1.6004577745313735</v>
      </c>
      <c r="AB66" s="206">
        <f t="shared" ca="1" si="11"/>
        <v>0.87915283494883656</v>
      </c>
      <c r="AC66" s="208">
        <f t="shared" ca="1" si="6"/>
        <v>0.23187656021767022</v>
      </c>
    </row>
    <row r="67" spans="2:29">
      <c r="B67" s="214">
        <v>44618</v>
      </c>
      <c r="C67" s="202">
        <f ca="1">DATOSAÑO!I67</f>
        <v>276.72999999998137</v>
      </c>
      <c r="D67" s="196">
        <f ca="1">DATOSAÑO!P67</f>
        <v>151.09000000000015</v>
      </c>
      <c r="E67" s="196">
        <f ca="1">DATOSAÑO!Q67</f>
        <v>0</v>
      </c>
      <c r="F67" s="196">
        <f ca="1">DATOSAÑO!T67</f>
        <v>0</v>
      </c>
      <c r="G67" s="196">
        <f t="shared" ca="1" si="4"/>
        <v>427.81999999998152</v>
      </c>
      <c r="H67" s="196">
        <f t="shared" ca="1" si="13"/>
        <v>32.596999999954164</v>
      </c>
      <c r="I67" s="196">
        <f t="shared" ca="1" si="0"/>
        <v>195.15763200087619</v>
      </c>
      <c r="J67" s="196">
        <f t="shared" ca="1" si="1"/>
        <v>34.319086217390598</v>
      </c>
      <c r="K67" s="196">
        <f t="shared" ca="1" si="2"/>
        <v>10.714866220301211</v>
      </c>
      <c r="L67" s="196">
        <f t="shared" ca="1" si="12"/>
        <v>150.1529999999785</v>
      </c>
      <c r="M67" s="196">
        <f t="shared" ca="1" si="3"/>
        <v>4.8784155614808222</v>
      </c>
      <c r="N67" s="196">
        <f t="shared" ca="1" si="7"/>
        <v>4.6440000000002328</v>
      </c>
      <c r="O67" s="196">
        <f ca="1">(DATOSAÑO!AJ67+DATOSAÑO!AK67+DATOSAÑO!AD67)</f>
        <v>185.78000000004249</v>
      </c>
      <c r="P67" s="196">
        <f ca="1">DATOSAÑO!AI67</f>
        <v>32.669999999998254</v>
      </c>
      <c r="Q67" s="196">
        <f ca="1">DATOSAÑO!AH67</f>
        <v>10.199999999995271</v>
      </c>
      <c r="R67" s="196">
        <f ca="1">DATOSAÑO!AM67+DATOSAÑO!AN67+DATOSAÑO!AF67</f>
        <v>150.1529999999785</v>
      </c>
      <c r="S67" s="209">
        <f ca="1">IF(B67&gt;=$P$5,0,CONTADORES!S61-CONTADORES!S60)</f>
        <v>16.420000000012806</v>
      </c>
      <c r="T67" s="206">
        <f ca="1">IF(B67&gt;=$P$5,0,(CONTADORES!U61-CONTADORES!U60)+(CONTADORES!AG61-CONTADORES!AG60))</f>
        <v>2.2300000000032014</v>
      </c>
      <c r="U67" s="206">
        <f ca="1">IF(B67&gt;=$P$5,0,(CONTADORES!AS61-CONTADORES!AS60))</f>
        <v>4.6440000000002328</v>
      </c>
      <c r="V67" s="206">
        <f ca="1">IF(B67&gt;=$P$5,0,(CONTADORES!AT61-CONTADORES!AT60))</f>
        <v>0</v>
      </c>
      <c r="W67" s="715">
        <v>0</v>
      </c>
      <c r="X67" s="206">
        <f ca="1">IF(W67=0,(T67-INICIO!$W$6),((T67-INICIO!$W$6)+V67))</f>
        <v>2.2300000000032014</v>
      </c>
      <c r="Y67" s="208">
        <f t="shared" ca="1" si="8"/>
        <v>11.776000000012573</v>
      </c>
      <c r="Z67" s="209">
        <f t="shared" ca="1" si="9"/>
        <v>9.377632000833696</v>
      </c>
      <c r="AA67" s="206">
        <f t="shared" ca="1" si="10"/>
        <v>1.649086217392348</v>
      </c>
      <c r="AB67" s="206">
        <f t="shared" ca="1" si="11"/>
        <v>0.51486622030593965</v>
      </c>
      <c r="AC67" s="208">
        <f t="shared" ca="1" si="6"/>
        <v>0.23441556148058945</v>
      </c>
    </row>
    <row r="68" spans="2:29" ht="14.25" customHeight="1">
      <c r="B68" s="214">
        <v>44619</v>
      </c>
      <c r="C68" s="202">
        <f ca="1">DATOSAÑO!I68</f>
        <v>283.84999999997672</v>
      </c>
      <c r="D68" s="196">
        <f ca="1">DATOSAÑO!P68</f>
        <v>151.35000000000218</v>
      </c>
      <c r="E68" s="196">
        <f ca="1">DATOSAÑO!Q68</f>
        <v>0</v>
      </c>
      <c r="F68" s="196">
        <f ca="1">DATOSAÑO!T68</f>
        <v>0</v>
      </c>
      <c r="G68" s="196">
        <f t="shared" ca="1" si="4"/>
        <v>435.1999999999789</v>
      </c>
      <c r="H68" s="196">
        <f t="shared" ca="1" si="13"/>
        <v>34.362000000095691</v>
      </c>
      <c r="I68" s="196">
        <f t="shared" ca="1" si="0"/>
        <v>194.18516953445325</v>
      </c>
      <c r="J68" s="196">
        <f t="shared" ca="1" si="1"/>
        <v>34.108645500226679</v>
      </c>
      <c r="K68" s="196">
        <f t="shared" ca="1" si="2"/>
        <v>14.487513324199968</v>
      </c>
      <c r="L68" s="196">
        <f t="shared" ca="1" si="12"/>
        <v>152.64799999997547</v>
      </c>
      <c r="M68" s="196">
        <f t="shared" ca="1" si="3"/>
        <v>5.4086716410278317</v>
      </c>
      <c r="N68" s="196">
        <f t="shared" ca="1" si="7"/>
        <v>5.1519999999945867</v>
      </c>
      <c r="O68" s="196">
        <f ca="1">(DATOSAÑO!AJ68+DATOSAÑO!AK68+DATOSAÑO!AD68)</f>
        <v>184.96999999991385</v>
      </c>
      <c r="P68" s="196">
        <f ca="1">DATOSAÑO!AI68</f>
        <v>32.489999999997963</v>
      </c>
      <c r="Q68" s="196">
        <f ca="1">DATOSAÑO!AH68</f>
        <v>13.80000000000291</v>
      </c>
      <c r="R68" s="196">
        <f ca="1">DATOSAÑO!AM68+DATOSAÑO!AN68+DATOSAÑO!AF68</f>
        <v>152.64799999997547</v>
      </c>
      <c r="S68" s="209">
        <f ca="1">IF(B68&gt;=$P$5,0,CONTADORES!S62-CONTADORES!S61)</f>
        <v>16.929999999993015</v>
      </c>
      <c r="T68" s="206">
        <f ca="1">IF(B68&gt;=$P$5,0,(CONTADORES!U62-CONTADORES!U61)+(CONTADORES!AG62-CONTADORES!AG61))</f>
        <v>2.25</v>
      </c>
      <c r="U68" s="206">
        <f ca="1">IF(B68&gt;=$P$5,0,(CONTADORES!AS62-CONTADORES!AS61))</f>
        <v>5.1519999999945867</v>
      </c>
      <c r="V68" s="206">
        <f ca="1">IF(B68&gt;=$P$5,0,(CONTADORES!AT62-CONTADORES!AT61))</f>
        <v>0</v>
      </c>
      <c r="W68" s="715">
        <v>0</v>
      </c>
      <c r="X68" s="206">
        <f ca="1">IF(W68=0,(T68-INICIO!$W$6),((T68-INICIO!$W$6)+V68))</f>
        <v>2.25</v>
      </c>
      <c r="Y68" s="208">
        <f t="shared" ca="1" si="8"/>
        <v>11.777999999998428</v>
      </c>
      <c r="Z68" s="209">
        <f t="shared" ca="1" si="9"/>
        <v>9.2151695345394078</v>
      </c>
      <c r="AA68" s="206">
        <f t="shared" ca="1" si="10"/>
        <v>1.6186455002287183</v>
      </c>
      <c r="AB68" s="206">
        <f t="shared" ca="1" si="11"/>
        <v>0.68751332419705824</v>
      </c>
      <c r="AC68" s="208">
        <f t="shared" ca="1" si="6"/>
        <v>0.25667164103324458</v>
      </c>
    </row>
    <row r="69" spans="2:29" ht="15.75" customHeight="1" thickBot="1">
      <c r="B69" s="1043">
        <v>44620</v>
      </c>
      <c r="C69" s="203">
        <f ca="1">DATOSAÑO!I69</f>
        <v>279.46000000007916</v>
      </c>
      <c r="D69" s="197">
        <f ca="1">DATOSAÑO!P69</f>
        <v>152.43000000000029</v>
      </c>
      <c r="E69" s="197">
        <f ca="1">DATOSAÑO!Q69</f>
        <v>7.0000000000618456E-3</v>
      </c>
      <c r="F69" s="197">
        <f ca="1">DATOSAÑO!T69</f>
        <v>0.58799999999996544</v>
      </c>
      <c r="G69" s="197">
        <f t="shared" ca="1" si="4"/>
        <v>432.48500000007948</v>
      </c>
      <c r="H69" s="197">
        <f t="shared" ca="1" si="13"/>
        <v>31.859000000041931</v>
      </c>
      <c r="I69" s="197">
        <f t="shared" ca="1" si="0"/>
        <v>199.10824256365319</v>
      </c>
      <c r="J69" s="197">
        <f t="shared" ca="1" si="1"/>
        <v>33.881135106642347</v>
      </c>
      <c r="K69" s="197">
        <f t="shared" ca="1" si="2"/>
        <v>9.051809938398689</v>
      </c>
      <c r="L69" s="197">
        <f t="shared" ca="1" si="12"/>
        <v>153.03900000001394</v>
      </c>
      <c r="M69" s="197">
        <f t="shared" ca="1" si="3"/>
        <v>5.5458123913294042</v>
      </c>
      <c r="N69" s="197">
        <f t="shared" ca="1" si="7"/>
        <v>5.2690000000002328</v>
      </c>
      <c r="O69" s="197">
        <f ca="1">(DATOSAÑO!AJ69+DATOSAÑO!AK69+DATOSAÑO!AD69)</f>
        <v>189.17000000002736</v>
      </c>
      <c r="P69" s="197">
        <f ca="1">DATOSAÑO!AI69</f>
        <v>32.190000000002328</v>
      </c>
      <c r="Q69" s="197">
        <f ca="1">DATOSAÑO!AH69</f>
        <v>8.5999999999985448</v>
      </c>
      <c r="R69" s="197">
        <f ca="1">DATOSAÑO!AM69+DATOSAÑO!AN69+DATOSAÑO!AF69</f>
        <v>153.03900000001394</v>
      </c>
      <c r="S69" s="203">
        <f ca="1">IF(B69&gt;=$P$5,0,CONTADORES!S63-CONTADORES!S62)</f>
        <v>17.619999999995343</v>
      </c>
      <c r="T69" s="197">
        <f ca="1">IF(B69&gt;=$P$5,0,(CONTADORES!U63-CONTADORES!U62)+(CONTADORES!AG63-CONTADORES!AG62))</f>
        <v>2.25</v>
      </c>
      <c r="U69" s="197">
        <f ca="1">IF(B69&gt;=$P$5,0,(CONTADORES!AS63-CONTADORES!AS62))</f>
        <v>5.2690000000002328</v>
      </c>
      <c r="V69" s="197">
        <f ca="1">IF(B69&gt;=$P$5,0,(CONTADORES!AT63-CONTADORES!AT62))</f>
        <v>0</v>
      </c>
      <c r="W69" s="716">
        <v>0</v>
      </c>
      <c r="X69" s="197">
        <f ca="1">IF(W69=0,(T69-INICIO!$W$6),((T69-INICIO!$W$6)+V69))</f>
        <v>2.25</v>
      </c>
      <c r="Y69" s="201">
        <f t="shared" ca="1" si="8"/>
        <v>12.357999999995172</v>
      </c>
      <c r="Z69" s="203">
        <f t="shared" ca="1" si="9"/>
        <v>9.9382425636258382</v>
      </c>
      <c r="AA69" s="197">
        <f t="shared" ca="1" si="10"/>
        <v>1.69113510664002</v>
      </c>
      <c r="AB69" s="197">
        <f t="shared" ca="1" si="11"/>
        <v>0.45180993840014472</v>
      </c>
      <c r="AC69" s="201">
        <f t="shared" ca="1" si="6"/>
        <v>0.27681239132917101</v>
      </c>
    </row>
    <row r="70" spans="2:29">
      <c r="B70" s="390">
        <v>44621</v>
      </c>
      <c r="C70" s="202">
        <f ca="1">DATOSAÑO!I70</f>
        <v>277.73999999999069</v>
      </c>
      <c r="D70" s="196">
        <f ca="1">DATOSAÑO!P70</f>
        <v>153.31999999999971</v>
      </c>
      <c r="E70" s="196">
        <f ca="1">DATOSAÑO!Q70</f>
        <v>0</v>
      </c>
      <c r="F70" s="196">
        <f ca="1">DATOSAÑO!T70</f>
        <v>0</v>
      </c>
      <c r="G70" s="196">
        <f t="shared" ca="1" si="4"/>
        <v>431.0599999999904</v>
      </c>
      <c r="H70" s="196">
        <f ca="1">G70-SUM(I70:M70)</f>
        <v>38.290999999908991</v>
      </c>
      <c r="I70" s="196">
        <f t="shared" ca="1" si="0"/>
        <v>189.96578241763569</v>
      </c>
      <c r="J70" s="196">
        <f t="shared" ca="1" si="1"/>
        <v>34.579437362631559</v>
      </c>
      <c r="K70" s="196">
        <f t="shared" ca="1" si="2"/>
        <v>9.4767032967027145</v>
      </c>
      <c r="L70" s="196">
        <f t="shared" ca="1" si="12"/>
        <v>153.21900000003484</v>
      </c>
      <c r="M70" s="196">
        <f t="shared" ca="1" si="3"/>
        <v>5.5280769230765836</v>
      </c>
      <c r="N70" s="196">
        <f t="shared" ca="1" si="7"/>
        <v>5.25</v>
      </c>
      <c r="O70" s="196">
        <f ca="1">(DATOSAÑO!AJ70+DATOSAÑO!AK70+DATOSAÑO!AD70)</f>
        <v>180.4100000000617</v>
      </c>
      <c r="P70" s="196">
        <f ca="1">DATOSAÑO!AI70</f>
        <v>32.839999999996508</v>
      </c>
      <c r="Q70" s="196">
        <f ca="1">DATOSAÑO!AH70</f>
        <v>9</v>
      </c>
      <c r="R70" s="196">
        <f ca="1">DATOSAÑO!AM70+DATOSAÑO!AN70+DATOSAÑO!AF70</f>
        <v>153.21900000003484</v>
      </c>
      <c r="S70" s="202">
        <f ca="1">IF(B70&gt;=$P$5,0,CONTADORES!S66-CONTADORES!S65)</f>
        <v>17.299999999988358</v>
      </c>
      <c r="T70" s="196">
        <f ca="1">IF(B70&gt;=$P$5,0,(CONTADORES!U66-CONTADORES!U65)+(CONTADORES!AG66-CONTADORES!AG65))</f>
        <v>2.1999999999970896</v>
      </c>
      <c r="U70" s="196">
        <f ca="1">IF(B70&gt;=$P$5,0,(CONTADORES!AS66-CONTADORES!AS65))</f>
        <v>5.25</v>
      </c>
      <c r="V70" s="196">
        <f ca="1">IF(B70&gt;=$P$5,0,(CONTADORES!AT66-CONTADORES!AT65))</f>
        <v>0</v>
      </c>
      <c r="W70" s="714">
        <v>0</v>
      </c>
      <c r="X70" s="196">
        <f ca="1">IF(W70=0,(T70-INICIO!$W$6),((T70-INICIO!$W$6)+V70))</f>
        <v>2.1999999999970896</v>
      </c>
      <c r="Y70" s="199">
        <f t="shared" ca="1" si="8"/>
        <v>12.049999999988358</v>
      </c>
      <c r="Z70" s="202">
        <f t="shared" ca="1" si="9"/>
        <v>9.555782417574008</v>
      </c>
      <c r="AA70" s="196">
        <f t="shared" ca="1" si="10"/>
        <v>1.7394373626350521</v>
      </c>
      <c r="AB70" s="196">
        <f t="shared" ca="1" si="11"/>
        <v>0.47670329670271416</v>
      </c>
      <c r="AC70" s="199">
        <f t="shared" ca="1" si="6"/>
        <v>0.27807692307658327</v>
      </c>
    </row>
    <row r="71" spans="2:29">
      <c r="B71" s="214">
        <v>44622</v>
      </c>
      <c r="C71" s="202">
        <f ca="1">DATOSAÑO!I71</f>
        <v>281.19999999995343</v>
      </c>
      <c r="D71" s="196">
        <f ca="1">DATOSAÑO!P71</f>
        <v>151.09999999999854</v>
      </c>
      <c r="E71" s="196">
        <f ca="1">DATOSAÑO!Q71</f>
        <v>0</v>
      </c>
      <c r="F71" s="196">
        <f ca="1">DATOSAÑO!T71</f>
        <v>0</v>
      </c>
      <c r="G71" s="196">
        <f t="shared" ca="1" si="4"/>
        <v>432.29999999995198</v>
      </c>
      <c r="H71" s="196">
        <f t="shared" ref="H71:H100" ca="1" si="14">G71-SUM(I71:M71)</f>
        <v>28.854999999968754</v>
      </c>
      <c r="I71" s="196">
        <f t="shared" ca="1" si="0"/>
        <v>199.50916848412223</v>
      </c>
      <c r="J71" s="196">
        <f t="shared" ca="1" si="1"/>
        <v>38.779463506076567</v>
      </c>
      <c r="K71" s="196">
        <f t="shared" ca="1" si="2"/>
        <v>9.5453913417735787</v>
      </c>
      <c r="L71" s="196">
        <f t="shared" ca="1" si="12"/>
        <v>149.97499999995114</v>
      </c>
      <c r="M71" s="196">
        <f t="shared" ca="1" si="3"/>
        <v>5.6359766680597252</v>
      </c>
      <c r="N71" s="196">
        <f t="shared" ca="1" si="7"/>
        <v>5.3729999999995925</v>
      </c>
      <c r="O71" s="196">
        <f ca="1">(DATOSAÑO!AJ71+DATOSAÑO!AK71+DATOSAÑO!AD71)</f>
        <v>190.20000000002619</v>
      </c>
      <c r="P71" s="196">
        <f ca="1">DATOSAÑO!AI71</f>
        <v>36.969999999993888</v>
      </c>
      <c r="Q71" s="196">
        <f ca="1">DATOSAÑO!AH71</f>
        <v>9.1000000000003638</v>
      </c>
      <c r="R71" s="196">
        <f ca="1">DATOSAÑO!AM71+DATOSAÑO!AN71+DATOSAÑO!AF71</f>
        <v>149.97499999995114</v>
      </c>
      <c r="S71" s="209">
        <f ca="1">IF(B71&gt;=$P$5,0,CONTADORES!S67-CONTADORES!S66)</f>
        <v>17.200000000011642</v>
      </c>
      <c r="T71" s="206">
        <f ca="1">IF(B71&gt;=$P$5,0,(CONTADORES!U67-CONTADORES!U66)+(CONTADORES!AG67-CONTADORES!AG66))</f>
        <v>2.2000000000043656</v>
      </c>
      <c r="U71" s="206">
        <f ca="1">IF(B71&gt;=$P$5,0,(CONTADORES!AS67-CONTADORES!AS66))</f>
        <v>5.3729999999995925</v>
      </c>
      <c r="V71" s="206">
        <f ca="1">IF(B71&gt;=$P$5,0,(CONTADORES!AT67-CONTADORES!AT66))</f>
        <v>0</v>
      </c>
      <c r="W71" s="715">
        <v>0</v>
      </c>
      <c r="X71" s="206">
        <f ca="1">IF(W71=0,(T71-INICIO!$W$6),((T71-INICIO!$W$6)+V71))</f>
        <v>2.2000000000043656</v>
      </c>
      <c r="Y71" s="208">
        <f t="shared" ca="1" si="8"/>
        <v>11.827000000012049</v>
      </c>
      <c r="Z71" s="209">
        <f t="shared" ca="1" si="9"/>
        <v>9.3091684840960216</v>
      </c>
      <c r="AA71" s="206">
        <f t="shared" ca="1" si="10"/>
        <v>1.8094635060826796</v>
      </c>
      <c r="AB71" s="206">
        <f t="shared" ca="1" si="11"/>
        <v>0.44539134177321515</v>
      </c>
      <c r="AC71" s="208">
        <f t="shared" ca="1" si="6"/>
        <v>0.2629766680601327</v>
      </c>
    </row>
    <row r="72" spans="2:29">
      <c r="B72" s="214">
        <v>44623</v>
      </c>
      <c r="C72" s="202">
        <f ca="1">DATOSAÑO!I72</f>
        <v>280.03000000002794</v>
      </c>
      <c r="D72" s="196">
        <f ca="1">DATOSAÑO!P72</f>
        <v>149.35000000000218</v>
      </c>
      <c r="E72" s="196">
        <f ca="1">DATOSAÑO!Q72</f>
        <v>0</v>
      </c>
      <c r="F72" s="196">
        <f ca="1">DATOSAÑO!T72</f>
        <v>0</v>
      </c>
      <c r="G72" s="196">
        <f t="shared" ca="1" si="4"/>
        <v>429.38000000003012</v>
      </c>
      <c r="H72" s="196">
        <f t="shared" ca="1" si="14"/>
        <v>33.652000000072348</v>
      </c>
      <c r="I72" s="196">
        <f t="shared" ca="1" si="0"/>
        <v>191.34169051869588</v>
      </c>
      <c r="J72" s="196">
        <f t="shared" ca="1" si="1"/>
        <v>38.515948121651221</v>
      </c>
      <c r="K72" s="196">
        <f t="shared" ca="1" si="2"/>
        <v>11.121466905184027</v>
      </c>
      <c r="L72" s="196">
        <f t="shared" ca="1" si="12"/>
        <v>149.39800000003788</v>
      </c>
      <c r="M72" s="196">
        <f t="shared" ca="1" si="3"/>
        <v>5.3508944543887536</v>
      </c>
      <c r="N72" s="196">
        <f t="shared" ca="1" si="7"/>
        <v>5.1000000000058208</v>
      </c>
      <c r="O72" s="196">
        <f ca="1">(DATOSAÑO!AJ72+DATOSAÑO!AK72+DATOSAÑO!AD72)</f>
        <v>182.36999999992258</v>
      </c>
      <c r="P72" s="196">
        <f ca="1">DATOSAÑO!AI72</f>
        <v>36.710000000006403</v>
      </c>
      <c r="Q72" s="196">
        <f ca="1">DATOSAÑO!AH72</f>
        <v>10.599999999996726</v>
      </c>
      <c r="R72" s="196">
        <f ca="1">DATOSAÑO!AM72+DATOSAÑO!AN72+DATOSAÑO!AF72</f>
        <v>149.39800000003788</v>
      </c>
      <c r="S72" s="209">
        <f ca="1">IF(B72&gt;=$P$5,0,CONTADORES!S68-CONTADORES!S67)</f>
        <v>16.649999999994179</v>
      </c>
      <c r="T72" s="206">
        <f ca="1">IF(B72&gt;=$P$5,0,(CONTADORES!U68-CONTADORES!U67)+(CONTADORES!AG68-CONTADORES!AG67))</f>
        <v>2.2600000000020373</v>
      </c>
      <c r="U72" s="206">
        <f ca="1">IF(B72&gt;=$P$5,0,(CONTADORES!AS68-CONTADORES!AS67))</f>
        <v>5.1000000000058208</v>
      </c>
      <c r="V72" s="206">
        <f ca="1">IF(B72&gt;=$P$5,0,(CONTADORES!AT68-CONTADORES!AT67))</f>
        <v>0</v>
      </c>
      <c r="W72" s="715">
        <v>0</v>
      </c>
      <c r="X72" s="206">
        <f ca="1">IF(W72=0,(T72-INICIO!$W$6),((T72-INICIO!$W$6)+V72))</f>
        <v>2.2600000000020373</v>
      </c>
      <c r="Y72" s="208">
        <f t="shared" ca="1" si="8"/>
        <v>11.549999999988358</v>
      </c>
      <c r="Z72" s="209">
        <f t="shared" ca="1" si="9"/>
        <v>8.9716905187733076</v>
      </c>
      <c r="AA72" s="206">
        <f t="shared" ca="1" si="10"/>
        <v>1.8059481216448174</v>
      </c>
      <c r="AB72" s="206">
        <f t="shared" ca="1" si="11"/>
        <v>0.52146690518730088</v>
      </c>
      <c r="AC72" s="208">
        <f t="shared" ca="1" si="6"/>
        <v>0.25089445438293312</v>
      </c>
    </row>
    <row r="73" spans="2:29">
      <c r="B73" s="214">
        <v>44624</v>
      </c>
      <c r="C73" s="202">
        <f ca="1">DATOSAÑO!I73</f>
        <v>290.34999999997672</v>
      </c>
      <c r="D73" s="196">
        <f ca="1">DATOSAÑO!P73</f>
        <v>149.96999999999753</v>
      </c>
      <c r="E73" s="196">
        <f ca="1">DATOSAÑO!Q73</f>
        <v>0</v>
      </c>
      <c r="F73" s="196">
        <f ca="1">DATOSAÑO!T73</f>
        <v>0</v>
      </c>
      <c r="G73" s="196">
        <f t="shared" ca="1" si="4"/>
        <v>440.31999999997424</v>
      </c>
      <c r="H73" s="196">
        <f t="shared" ca="1" si="14"/>
        <v>33.840999999920029</v>
      </c>
      <c r="I73" s="196">
        <f t="shared" ca="1" si="0"/>
        <v>197.66343338761041</v>
      </c>
      <c r="J73" s="196">
        <f t="shared" ca="1" si="1"/>
        <v>40.039730888661488</v>
      </c>
      <c r="K73" s="196">
        <f t="shared" ca="1" si="2"/>
        <v>12.46658287742703</v>
      </c>
      <c r="L73" s="196">
        <f t="shared" ca="1" si="12"/>
        <v>151.41899999998742</v>
      </c>
      <c r="M73" s="196">
        <f t="shared" ca="1" si="3"/>
        <v>4.8902528463678676</v>
      </c>
      <c r="N73" s="196">
        <f t="shared" ca="1" si="7"/>
        <v>4.6679999999978463</v>
      </c>
      <c r="O73" s="196">
        <f ca="1">(DATOSAÑO!AJ73+DATOSAÑO!AK73+DATOSAÑO!AD73)</f>
        <v>188.68000000005122</v>
      </c>
      <c r="P73" s="196">
        <f ca="1">DATOSAÑO!AI73</f>
        <v>38.220000000001164</v>
      </c>
      <c r="Q73" s="196">
        <f ca="1">DATOSAÑO!AH73</f>
        <v>11.900000000005093</v>
      </c>
      <c r="R73" s="196">
        <f ca="1">DATOSAÑO!AM73+DATOSAÑO!AN73+DATOSAÑO!AF73</f>
        <v>151.41899999998742</v>
      </c>
      <c r="S73" s="209">
        <f ca="1">IF(B73&gt;=$P$5,0,CONTADORES!S69-CONTADORES!S68)</f>
        <v>16.260000000009313</v>
      </c>
      <c r="T73" s="206">
        <f ca="1">IF(B73&gt;=$P$5,0,(CONTADORES!U69-CONTADORES!U68)+(CONTADORES!AG69-CONTADORES!AG68))</f>
        <v>2.1199999999953434</v>
      </c>
      <c r="U73" s="206">
        <f ca="1">IF(B73&gt;=$P$5,0,(CONTADORES!AS69-CONTADORES!AS68))</f>
        <v>4.6679999999978463</v>
      </c>
      <c r="V73" s="206">
        <f ca="1">IF(B73&gt;=$P$5,0,(CONTADORES!AT69-CONTADORES!AT68))</f>
        <v>0</v>
      </c>
      <c r="W73" s="715">
        <v>0</v>
      </c>
      <c r="X73" s="206">
        <f ca="1">IF(W73=0,(T73-INICIO!$W$6),((T73-INICIO!$W$6)+V73))</f>
        <v>2.1199999999953434</v>
      </c>
      <c r="Y73" s="208">
        <f t="shared" ca="1" si="8"/>
        <v>11.592000000011467</v>
      </c>
      <c r="Z73" s="209">
        <f t="shared" ca="1" si="9"/>
        <v>8.9834333875591881</v>
      </c>
      <c r="AA73" s="206">
        <f t="shared" ca="1" si="10"/>
        <v>1.8197308886603212</v>
      </c>
      <c r="AB73" s="206">
        <f t="shared" ca="1" si="11"/>
        <v>0.56658287742193703</v>
      </c>
      <c r="AC73" s="208">
        <f t="shared" ca="1" si="6"/>
        <v>0.22225284637002096</v>
      </c>
    </row>
    <row r="74" spans="2:29">
      <c r="B74" s="214">
        <v>44625</v>
      </c>
      <c r="C74" s="202">
        <f ca="1">DATOSAÑO!I74</f>
        <v>278.21999999997206</v>
      </c>
      <c r="D74" s="196">
        <f ca="1">DATOSAÑO!P74</f>
        <v>150.53000000000247</v>
      </c>
      <c r="E74" s="196">
        <f ca="1">DATOSAÑO!Q74</f>
        <v>0</v>
      </c>
      <c r="F74" s="196">
        <f ca="1">DATOSAÑO!T74</f>
        <v>0</v>
      </c>
      <c r="G74" s="196">
        <f t="shared" ca="1" si="4"/>
        <v>428.74999999997453</v>
      </c>
      <c r="H74" s="196">
        <f t="shared" ca="1" si="14"/>
        <v>33.058999999948696</v>
      </c>
      <c r="I74" s="196">
        <f t="shared" ref="I74:I137" ca="1" si="15">O74+Z74</f>
        <v>191.82887580986088</v>
      </c>
      <c r="J74" s="196">
        <f t="shared" ref="J74:J137" ca="1" si="16">P74+AA74</f>
        <v>40.195220182024208</v>
      </c>
      <c r="K74" s="196">
        <f t="shared" ref="K74:K137" ca="1" si="17">Q74+AB74</f>
        <v>7.7803983611560605</v>
      </c>
      <c r="L74" s="196">
        <f t="shared" ca="1" si="12"/>
        <v>151.13100000002271</v>
      </c>
      <c r="M74" s="196">
        <f t="shared" ref="M74:M137" ca="1" si="18">N74+AC74</f>
        <v>4.7555056469619927</v>
      </c>
      <c r="N74" s="196">
        <f t="shared" ca="1" si="7"/>
        <v>4.5230000000010477</v>
      </c>
      <c r="O74" s="196">
        <f ca="1">(DATOSAÑO!AJ74+DATOSAÑO!AK74+DATOSAÑO!AD74)</f>
        <v>182.44999999999709</v>
      </c>
      <c r="P74" s="196">
        <f ca="1">DATOSAÑO!AI74</f>
        <v>38.229999999995925</v>
      </c>
      <c r="Q74" s="196">
        <f ca="1">DATOSAÑO!AH74</f>
        <v>7.3999999999996362</v>
      </c>
      <c r="R74" s="196">
        <f ca="1">DATOSAÑO!AM74+DATOSAÑO!AN74+DATOSAÑO!AF74</f>
        <v>151.13100000002271</v>
      </c>
      <c r="S74" s="209">
        <f ca="1">IF(B74&gt;=$P$5,0,CONTADORES!S70-CONTADORES!S69)</f>
        <v>16.480000000010477</v>
      </c>
      <c r="T74" s="206">
        <f ca="1">IF(B74&gt;=$P$5,0,(CONTADORES!U70-CONTADORES!U69)+(CONTADORES!AG70-CONTADORES!AG69))</f>
        <v>2.0800000000017462</v>
      </c>
      <c r="U74" s="206">
        <f ca="1">IF(B74&gt;=$P$5,0,(CONTADORES!AS70-CONTADORES!AS69))</f>
        <v>4.5230000000010477</v>
      </c>
      <c r="V74" s="206">
        <f ca="1">IF(B74&gt;=$P$5,0,(CONTADORES!AT70-CONTADORES!AT69))</f>
        <v>0</v>
      </c>
      <c r="W74" s="715">
        <v>0</v>
      </c>
      <c r="X74" s="206">
        <f ca="1">IF(W74=0,(T74-INICIO!$W$6),((T74-INICIO!$W$6)+V74))</f>
        <v>2.0800000000017462</v>
      </c>
      <c r="Y74" s="208">
        <f t="shared" ca="1" si="8"/>
        <v>11.95700000000943</v>
      </c>
      <c r="Z74" s="209">
        <f t="shared" ca="1" si="9"/>
        <v>9.3788758098637803</v>
      </c>
      <c r="AA74" s="206">
        <f t="shared" ca="1" si="10"/>
        <v>1.9652201820282806</v>
      </c>
      <c r="AB74" s="206">
        <f t="shared" ca="1" si="11"/>
        <v>0.38039836115642461</v>
      </c>
      <c r="AC74" s="208">
        <f t="shared" ca="1" si="6"/>
        <v>0.23250564696094481</v>
      </c>
    </row>
    <row r="75" spans="2:29">
      <c r="B75" s="214">
        <v>44626</v>
      </c>
      <c r="C75" s="202">
        <f ca="1">DATOSAÑO!I75</f>
        <v>285.30000000004657</v>
      </c>
      <c r="D75" s="196">
        <f ca="1">DATOSAÑO!P75</f>
        <v>148.64999999999782</v>
      </c>
      <c r="E75" s="196">
        <f ca="1">DATOSAÑO!Q75</f>
        <v>0</v>
      </c>
      <c r="F75" s="196">
        <f ca="1">DATOSAÑO!T75</f>
        <v>0</v>
      </c>
      <c r="G75" s="196">
        <f t="shared" ref="G75:G138" ca="1" si="19">SUM(C75:F75)</f>
        <v>433.95000000004438</v>
      </c>
      <c r="H75" s="196">
        <f t="shared" ca="1" si="14"/>
        <v>36.065000000108057</v>
      </c>
      <c r="I75" s="196">
        <f t="shared" ca="1" si="15"/>
        <v>194.64364803934498</v>
      </c>
      <c r="J75" s="196">
        <f t="shared" ca="1" si="16"/>
        <v>39.001982593700625</v>
      </c>
      <c r="K75" s="196">
        <f t="shared" ca="1" si="17"/>
        <v>11.092594995792744</v>
      </c>
      <c r="L75" s="196">
        <f t="shared" ca="1" si="12"/>
        <v>147.90499999997496</v>
      </c>
      <c r="M75" s="196">
        <f t="shared" ca="1" si="18"/>
        <v>5.2417743711230127</v>
      </c>
      <c r="N75" s="196">
        <f t="shared" ca="1" si="7"/>
        <v>5.0089999999981956</v>
      </c>
      <c r="O75" s="196">
        <f ca="1">(DATOSAÑO!AJ75+DATOSAÑO!AK75+DATOSAÑO!AD75)</f>
        <v>185.9999999999709</v>
      </c>
      <c r="P75" s="196">
        <f ca="1">DATOSAÑO!AI75</f>
        <v>37.270000000004075</v>
      </c>
      <c r="Q75" s="196">
        <f ca="1">DATOSAÑO!AH75</f>
        <v>10.600000000000364</v>
      </c>
      <c r="R75" s="196">
        <f ca="1">DATOSAÑO!AM75+DATOSAÑO!AN75+DATOSAÑO!AF75</f>
        <v>147.90499999997496</v>
      </c>
      <c r="S75" s="209">
        <f ca="1">IF(B75&gt;=$P$5,0,CONTADORES!S71-CONTADORES!S70)</f>
        <v>16.10999999998603</v>
      </c>
      <c r="T75" s="206">
        <f ca="1">IF(B75&gt;=$P$5,0,(CONTADORES!U71-CONTADORES!U70)+(CONTADORES!AG71-CONTADORES!AG70))</f>
        <v>2.0400000000008731</v>
      </c>
      <c r="U75" s="206">
        <f ca="1">IF(B75&gt;=$P$5,0,(CONTADORES!AS71-CONTADORES!AS70))</f>
        <v>5.0089999999981956</v>
      </c>
      <c r="V75" s="206">
        <f ca="1">IF(B75&gt;=$P$5,0,(CONTADORES!AT71-CONTADORES!AT70))</f>
        <v>0</v>
      </c>
      <c r="W75" s="715">
        <v>0</v>
      </c>
      <c r="X75" s="206">
        <f ca="1">IF(W75=0,(T75-INICIO!$W$6),((T75-INICIO!$W$6)+V75))</f>
        <v>2.0400000000008731</v>
      </c>
      <c r="Y75" s="208">
        <f t="shared" ca="1" si="8"/>
        <v>11.100999999987835</v>
      </c>
      <c r="Z75" s="209">
        <f t="shared" ca="1" si="9"/>
        <v>8.6436480393740904</v>
      </c>
      <c r="AA75" s="206">
        <f t="shared" ca="1" si="10"/>
        <v>1.7319825936965481</v>
      </c>
      <c r="AB75" s="206">
        <f t="shared" ca="1" si="11"/>
        <v>0.49259499579238075</v>
      </c>
      <c r="AC75" s="208">
        <f t="shared" ref="AC75:AC138" ca="1" si="20">IF(B75&gt;=$P$5,0,($Y75*N75)/SUM($N75:$Q75))</f>
        <v>0.23277437112481714</v>
      </c>
    </row>
    <row r="76" spans="2:29">
      <c r="B76" s="214">
        <v>44627</v>
      </c>
      <c r="C76" s="202">
        <f ca="1">DATOSAÑO!I76</f>
        <v>299</v>
      </c>
      <c r="D76" s="196">
        <f ca="1">DATOSAÑO!P76</f>
        <v>152.60000000000218</v>
      </c>
      <c r="E76" s="196">
        <f ca="1">DATOSAÑO!Q76</f>
        <v>0</v>
      </c>
      <c r="F76" s="196">
        <f ca="1">DATOSAÑO!T76</f>
        <v>0</v>
      </c>
      <c r="G76" s="196">
        <f t="shared" ca="1" si="19"/>
        <v>451.60000000000218</v>
      </c>
      <c r="H76" s="196">
        <f t="shared" ca="1" si="14"/>
        <v>36.777000000004705</v>
      </c>
      <c r="I76" s="196">
        <f t="shared" ca="1" si="15"/>
        <v>201.00875763746865</v>
      </c>
      <c r="J76" s="196">
        <f t="shared" ca="1" si="16"/>
        <v>41.06517311608966</v>
      </c>
      <c r="K76" s="196">
        <f t="shared" ca="1" si="17"/>
        <v>11.161303462322188</v>
      </c>
      <c r="L76" s="196">
        <f t="shared" ca="1" si="12"/>
        <v>156.32300000000291</v>
      </c>
      <c r="M76" s="196">
        <f t="shared" ca="1" si="18"/>
        <v>5.2647657841140587</v>
      </c>
      <c r="N76" s="196">
        <f t="shared" ref="N76:N139" ca="1" si="21">U76</f>
        <v>5</v>
      </c>
      <c r="O76" s="196">
        <f ca="1">(DATOSAÑO!AJ76+DATOSAÑO!AK76+DATOSAÑO!AD76)</f>
        <v>190.89999999999418</v>
      </c>
      <c r="P76" s="196">
        <f ca="1">DATOSAÑO!AI76</f>
        <v>39</v>
      </c>
      <c r="Q76" s="196">
        <f ca="1">DATOSAÑO!AH76</f>
        <v>10.600000000000364</v>
      </c>
      <c r="R76" s="196">
        <f ca="1">DATOSAÑO!AM76+DATOSAÑO!AN76+DATOSAÑO!AF76</f>
        <v>156.32300000000291</v>
      </c>
      <c r="S76" s="209">
        <f ca="1">IF(B76&gt;=$P$5,0,CONTADORES!S72-CONTADORES!S71)</f>
        <v>18</v>
      </c>
      <c r="T76" s="206">
        <f ca="1">IF(B76&gt;=$P$5,0,(CONTADORES!U72-CONTADORES!U71)+(CONTADORES!AG72-CONTADORES!AG71))</f>
        <v>2.1999999999970896</v>
      </c>
      <c r="U76" s="206">
        <f ca="1">IF(B76&gt;=$P$5,0,(CONTADORES!AS72-CONTADORES!AS71))</f>
        <v>5</v>
      </c>
      <c r="V76" s="206">
        <f ca="1">IF(B76&gt;=$P$5,0,(CONTADORES!AT72-CONTADORES!AT71))</f>
        <v>0</v>
      </c>
      <c r="W76" s="715">
        <v>0</v>
      </c>
      <c r="X76" s="206">
        <f ca="1">IF(W76=0,(T76-INICIO!$W$6),((T76-INICIO!$W$6)+V76))</f>
        <v>2.1999999999970896</v>
      </c>
      <c r="Y76" s="208">
        <f t="shared" ref="Y76:Y139" ca="1" si="22">(IF(W76=0,(S76-U76),((S76-U76)-V76))+E76)</f>
        <v>13</v>
      </c>
      <c r="Z76" s="209">
        <f t="shared" ref="Z76:Z139" ca="1" si="23">IF(B76&gt;=$P$5,0,($Y76*O76)/SUM($N76:$Q76))</f>
        <v>10.108757637474458</v>
      </c>
      <c r="AA76" s="206">
        <f t="shared" ref="AA76:AA139" ca="1" si="24">IF(B76&gt;=$P$5,0,($Y76*P76)/SUM($N76:$Q76))</f>
        <v>2.0651731160896589</v>
      </c>
      <c r="AB76" s="206">
        <f t="shared" ref="AB76:AB139" ca="1" si="25">IF(B76&gt;=$P$5,0,($Y76*Q76)/SUM($N76:$Q76))</f>
        <v>0.56130346232182404</v>
      </c>
      <c r="AC76" s="208">
        <f t="shared" ca="1" si="20"/>
        <v>0.26476578411405882</v>
      </c>
    </row>
    <row r="77" spans="2:29">
      <c r="B77" s="214">
        <v>44628</v>
      </c>
      <c r="C77" s="202">
        <f ca="1">DATOSAÑO!I77</f>
        <v>293</v>
      </c>
      <c r="D77" s="196">
        <f ca="1">DATOSAÑO!P77</f>
        <v>151.89999999999782</v>
      </c>
      <c r="E77" s="196">
        <f ca="1">DATOSAÑO!Q77</f>
        <v>0</v>
      </c>
      <c r="F77" s="196">
        <f ca="1">DATOSAÑO!T77</f>
        <v>0</v>
      </c>
      <c r="G77" s="196">
        <f t="shared" ca="1" si="19"/>
        <v>444.89999999999782</v>
      </c>
      <c r="H77" s="196">
        <f t="shared" ca="1" si="14"/>
        <v>39.764000000003648</v>
      </c>
      <c r="I77" s="196">
        <f t="shared" ca="1" si="15"/>
        <v>187.58532934131878</v>
      </c>
      <c r="J77" s="196">
        <f t="shared" ca="1" si="16"/>
        <v>40.564670658681415</v>
      </c>
      <c r="K77" s="196">
        <f t="shared" ca="1" si="17"/>
        <v>12.190419161671386</v>
      </c>
      <c r="L77" s="196">
        <f t="shared" ref="L77:L114" ca="1" si="26">R77</f>
        <v>159.43600000000072</v>
      </c>
      <c r="M77" s="196">
        <f t="shared" ca="1" si="18"/>
        <v>5.3595808383218646</v>
      </c>
      <c r="N77" s="196">
        <f t="shared" ca="1" si="21"/>
        <v>5.0999999999985448</v>
      </c>
      <c r="O77" s="196">
        <f ca="1">(DATOSAÑO!AJ77+DATOSAÑO!AK77+DATOSAÑO!AD77)</f>
        <v>178.5</v>
      </c>
      <c r="P77" s="196">
        <f ca="1">DATOSAÑO!AI77</f>
        <v>38.599999999998545</v>
      </c>
      <c r="Q77" s="196">
        <f ca="1">DATOSAÑO!AH77</f>
        <v>11.599999999994907</v>
      </c>
      <c r="R77" s="196">
        <f ca="1">DATOSAÑO!AM77+DATOSAÑO!AN77+DATOSAÑO!AF77</f>
        <v>159.43600000000072</v>
      </c>
      <c r="S77" s="209">
        <f ca="1">IF(B77&gt;=$P$5,0,CONTADORES!S73-CONTADORES!S72)</f>
        <v>17</v>
      </c>
      <c r="T77" s="206">
        <f ca="1">IF(B77&gt;=$P$5,0,(CONTADORES!U73-CONTADORES!U72)+(CONTADORES!AG73-CONTADORES!AG72))</f>
        <v>2.2000000000043656</v>
      </c>
      <c r="U77" s="206">
        <f ca="1">IF(B77&gt;=$P$5,0,(CONTADORES!AS73-CONTADORES!AS72))</f>
        <v>5.0999999999985448</v>
      </c>
      <c r="V77" s="206">
        <f ca="1">IF(B77&gt;=$P$5,0,(CONTADORES!AT73-CONTADORES!AT72))</f>
        <v>0</v>
      </c>
      <c r="W77" s="715">
        <v>0</v>
      </c>
      <c r="X77" s="206">
        <f ca="1">IF(W77=0,(T77-INICIO!$W$6),((T77-INICIO!$W$6)+V77))</f>
        <v>2.2000000000043656</v>
      </c>
      <c r="Y77" s="208">
        <f t="shared" ca="1" si="22"/>
        <v>11.900000000001455</v>
      </c>
      <c r="Z77" s="209">
        <f t="shared" ca="1" si="23"/>
        <v>9.0853293413187881</v>
      </c>
      <c r="AA77" s="206">
        <f t="shared" ca="1" si="24"/>
        <v>1.9646706586828682</v>
      </c>
      <c r="AB77" s="206">
        <f t="shared" ca="1" si="25"/>
        <v>0.5904191616764799</v>
      </c>
      <c r="AC77" s="208">
        <f t="shared" ca="1" si="20"/>
        <v>0.25958083832331985</v>
      </c>
    </row>
    <row r="78" spans="2:29">
      <c r="B78" s="214">
        <v>44629</v>
      </c>
      <c r="C78" s="202">
        <f ca="1">DATOSAÑO!I78</f>
        <v>288</v>
      </c>
      <c r="D78" s="196">
        <f ca="1">DATOSAÑO!P78</f>
        <v>146.10000000000218</v>
      </c>
      <c r="E78" s="196">
        <f ca="1">DATOSAÑO!Q78</f>
        <v>0</v>
      </c>
      <c r="F78" s="196">
        <f ca="1">DATOSAÑO!T78</f>
        <v>0</v>
      </c>
      <c r="G78" s="196">
        <f t="shared" ca="1" si="19"/>
        <v>434.10000000000218</v>
      </c>
      <c r="H78" s="196">
        <f t="shared" ca="1" si="14"/>
        <v>31.644999999993445</v>
      </c>
      <c r="I78" s="196">
        <f t="shared" ca="1" si="15"/>
        <v>196.10111524164324</v>
      </c>
      <c r="J78" s="196">
        <f t="shared" ca="1" si="16"/>
        <v>42.081784386616746</v>
      </c>
      <c r="K78" s="196">
        <f t="shared" ca="1" si="17"/>
        <v>11.888104089222294</v>
      </c>
      <c r="L78" s="196">
        <f t="shared" ca="1" si="26"/>
        <v>147.7549999999971</v>
      </c>
      <c r="M78" s="196">
        <f t="shared" ca="1" si="18"/>
        <v>4.6289962825293731</v>
      </c>
      <c r="N78" s="196">
        <f t="shared" ca="1" si="21"/>
        <v>4.4000000000014552</v>
      </c>
      <c r="O78" s="196">
        <f ca="1">(DATOSAÑO!AJ78+DATOSAÑO!AK78+DATOSAÑO!AD78)</f>
        <v>186.40000000000873</v>
      </c>
      <c r="P78" s="196">
        <f ca="1">DATOSAÑO!AI78</f>
        <v>40</v>
      </c>
      <c r="Q78" s="196">
        <f ca="1">DATOSAÑO!AH78</f>
        <v>11.30000000000291</v>
      </c>
      <c r="R78" s="196">
        <f ca="1">DATOSAÑO!AM78+DATOSAÑO!AN78+DATOSAÑO!AF78</f>
        <v>147.7549999999971</v>
      </c>
      <c r="S78" s="209">
        <f ca="1">IF(B78&gt;=$P$5,0,CONTADORES!S74-CONTADORES!S73)</f>
        <v>17</v>
      </c>
      <c r="T78" s="206">
        <f ca="1">IF(B78&gt;=$P$5,0,(CONTADORES!U74-CONTADORES!U73)+(CONTADORES!AG74-CONTADORES!AG73))</f>
        <v>2</v>
      </c>
      <c r="U78" s="206">
        <f ca="1">IF(B78&gt;=$P$5,0,(CONTADORES!AS74-CONTADORES!AS73))</f>
        <v>4.4000000000014552</v>
      </c>
      <c r="V78" s="206">
        <f ca="1">IF(B78&gt;=$P$5,0,(CONTADORES!AT74-CONTADORES!AT73))</f>
        <v>0</v>
      </c>
      <c r="W78" s="715">
        <v>0</v>
      </c>
      <c r="X78" s="206">
        <f ca="1">IF(W78=0,(T78-INICIO!$W$6),((T78-INICIO!$W$6)+V78))</f>
        <v>2</v>
      </c>
      <c r="Y78" s="208">
        <f t="shared" ca="1" si="22"/>
        <v>12.599999999998545</v>
      </c>
      <c r="Z78" s="209">
        <f t="shared" ca="1" si="23"/>
        <v>9.701115241634497</v>
      </c>
      <c r="AA78" s="206">
        <f t="shared" ca="1" si="24"/>
        <v>2.0817843866167474</v>
      </c>
      <c r="AB78" s="206">
        <f t="shared" ca="1" si="25"/>
        <v>0.58810408921938262</v>
      </c>
      <c r="AC78" s="208">
        <f t="shared" ca="1" si="20"/>
        <v>0.22899628252791795</v>
      </c>
    </row>
    <row r="79" spans="2:29">
      <c r="B79" s="214">
        <v>44630</v>
      </c>
      <c r="C79" s="202">
        <f ca="1">DATOSAÑO!I79</f>
        <v>293</v>
      </c>
      <c r="D79" s="196">
        <f ca="1">DATOSAÑO!P79</f>
        <v>150.09999999999854</v>
      </c>
      <c r="E79" s="196">
        <f ca="1">DATOSAÑO!Q79</f>
        <v>0</v>
      </c>
      <c r="F79" s="196">
        <f ca="1">DATOSAÑO!T79</f>
        <v>0</v>
      </c>
      <c r="G79" s="196">
        <f t="shared" ca="1" si="19"/>
        <v>443.09999999999854</v>
      </c>
      <c r="H79" s="196">
        <f t="shared" ca="1" si="14"/>
        <v>38.289000000007263</v>
      </c>
      <c r="I79" s="196">
        <f t="shared" ca="1" si="15"/>
        <v>191.41677255399483</v>
      </c>
      <c r="J79" s="196">
        <f t="shared" ca="1" si="16"/>
        <v>43.818297331642519</v>
      </c>
      <c r="K79" s="196">
        <f t="shared" ca="1" si="17"/>
        <v>7.4428208386262309</v>
      </c>
      <c r="L79" s="196">
        <f t="shared" ca="1" si="26"/>
        <v>157.31099999999856</v>
      </c>
      <c r="M79" s="196">
        <f t="shared" ca="1" si="18"/>
        <v>4.8221092757291339</v>
      </c>
      <c r="N79" s="196">
        <f t="shared" ca="1" si="21"/>
        <v>4.5999999999985448</v>
      </c>
      <c r="O79" s="196">
        <f ca="1">(DATOSAÑO!AJ79+DATOSAÑO!AK79+DATOSAÑO!AD79)</f>
        <v>182.59999999999127</v>
      </c>
      <c r="P79" s="196">
        <f ca="1">DATOSAÑO!AI79</f>
        <v>41.80000000000291</v>
      </c>
      <c r="Q79" s="196">
        <f ca="1">DATOSAÑO!AH79</f>
        <v>7.0999999999985448</v>
      </c>
      <c r="R79" s="196">
        <f ca="1">DATOSAÑO!AM79+DATOSAÑO!AN79+DATOSAÑO!AF79</f>
        <v>157.31099999999856</v>
      </c>
      <c r="S79" s="209">
        <f ca="1">IF(B79&gt;=$P$5,0,CONTADORES!S75-CONTADORES!S74)</f>
        <v>16</v>
      </c>
      <c r="T79" s="206">
        <f ca="1">IF(B79&gt;=$P$5,0,(CONTADORES!U75-CONTADORES!U74)+(CONTADORES!AG75-CONTADORES!AG74))</f>
        <v>2.1999999999970896</v>
      </c>
      <c r="U79" s="206">
        <f ca="1">IF(B79&gt;=$P$5,0,(CONTADORES!AS75-CONTADORES!AS74))</f>
        <v>4.5999999999985448</v>
      </c>
      <c r="V79" s="206">
        <f ca="1">IF(B79&gt;=$P$5,0,(CONTADORES!AT75-CONTADORES!AT74))</f>
        <v>0</v>
      </c>
      <c r="W79" s="715">
        <v>0</v>
      </c>
      <c r="X79" s="206">
        <f ca="1">IF(W79=0,(T79-INICIO!$W$6),((T79-INICIO!$W$6)+V79))</f>
        <v>2.1999999999970896</v>
      </c>
      <c r="Y79" s="208">
        <f t="shared" ca="1" si="22"/>
        <v>11.400000000001455</v>
      </c>
      <c r="Z79" s="209">
        <f t="shared" ca="1" si="23"/>
        <v>8.8167725540035722</v>
      </c>
      <c r="AA79" s="206">
        <f t="shared" ca="1" si="24"/>
        <v>2.0182973316396087</v>
      </c>
      <c r="AB79" s="206">
        <f t="shared" ca="1" si="25"/>
        <v>0.34282083862768631</v>
      </c>
      <c r="AC79" s="208">
        <f t="shared" ca="1" si="20"/>
        <v>0.22210927573058892</v>
      </c>
    </row>
    <row r="80" spans="2:29">
      <c r="B80" s="214">
        <v>44631</v>
      </c>
      <c r="C80" s="202">
        <f ca="1">DATOSAÑO!I80</f>
        <v>259</v>
      </c>
      <c r="D80" s="196">
        <f ca="1">DATOSAÑO!P80</f>
        <v>176.5</v>
      </c>
      <c r="E80" s="196">
        <f ca="1">DATOSAÑO!Q80</f>
        <v>0</v>
      </c>
      <c r="F80" s="196">
        <f ca="1">DATOSAÑO!T80</f>
        <v>0</v>
      </c>
      <c r="G80" s="196">
        <f t="shared" ca="1" si="19"/>
        <v>435.5</v>
      </c>
      <c r="H80" s="196">
        <f t="shared" ca="1" si="14"/>
        <v>34.366999999987229</v>
      </c>
      <c r="I80" s="196">
        <f t="shared" ca="1" si="15"/>
        <v>190.54020618557885</v>
      </c>
      <c r="J80" s="196">
        <f t="shared" ca="1" si="16"/>
        <v>38.381443298968989</v>
      </c>
      <c r="K80" s="196">
        <f t="shared" ca="1" si="17"/>
        <v>11.672164948452053</v>
      </c>
      <c r="L80" s="196">
        <f t="shared" ca="1" si="26"/>
        <v>156.33300000000253</v>
      </c>
      <c r="M80" s="196">
        <f t="shared" ca="1" si="18"/>
        <v>4.2061855670103006</v>
      </c>
      <c r="N80" s="196">
        <f t="shared" ca="1" si="21"/>
        <v>4</v>
      </c>
      <c r="O80" s="196">
        <f ca="1">(DATOSAÑO!AJ80+DATOSAÑO!AK80+DATOSAÑO!AD80)</f>
        <v>181.20000000001164</v>
      </c>
      <c r="P80" s="196">
        <f ca="1">DATOSAÑO!AI80</f>
        <v>36.5</v>
      </c>
      <c r="Q80" s="196">
        <f ca="1">DATOSAÑO!AH80</f>
        <v>11.099999999998545</v>
      </c>
      <c r="R80" s="196">
        <f ca="1">DATOSAÑO!AM80+DATOSAÑO!AN80+DATOSAÑO!AF80</f>
        <v>156.33300000000253</v>
      </c>
      <c r="S80" s="209">
        <f ca="1">IF(B80&gt;=$P$5,0,CONTADORES!S76-CONTADORES!S75)</f>
        <v>16</v>
      </c>
      <c r="T80" s="206">
        <f ca="1">IF(B80&gt;=$P$5,0,(CONTADORES!U76-CONTADORES!U75)+(CONTADORES!AG76-CONTADORES!AG75))</f>
        <v>2.0999999999985448</v>
      </c>
      <c r="U80" s="206">
        <f ca="1">IF(B80&gt;=$P$5,0,(CONTADORES!AS76-CONTADORES!AS75))</f>
        <v>4</v>
      </c>
      <c r="V80" s="206">
        <f ca="1">IF(B80&gt;=$P$5,0,(CONTADORES!AT76-CONTADORES!AT75))</f>
        <v>0</v>
      </c>
      <c r="W80" s="715">
        <v>0</v>
      </c>
      <c r="X80" s="206">
        <f ca="1">IF(W80=0,(T80-INICIO!$W$6),((T80-INICIO!$W$6)+V80))</f>
        <v>2.0999999999985448</v>
      </c>
      <c r="Y80" s="208">
        <f t="shared" ca="1" si="22"/>
        <v>12</v>
      </c>
      <c r="Z80" s="209">
        <f t="shared" ca="1" si="23"/>
        <v>9.3402061855672009</v>
      </c>
      <c r="AA80" s="206">
        <f t="shared" ca="1" si="24"/>
        <v>1.8814432989689898</v>
      </c>
      <c r="AB80" s="206">
        <f t="shared" ca="1" si="25"/>
        <v>0.57216494845350818</v>
      </c>
      <c r="AC80" s="208">
        <f t="shared" ca="1" si="20"/>
        <v>0.20618556701030025</v>
      </c>
    </row>
    <row r="81" spans="2:29">
      <c r="B81" s="214">
        <v>44632</v>
      </c>
      <c r="C81" s="202">
        <f ca="1">DATOSAÑO!I81</f>
        <v>276</v>
      </c>
      <c r="D81" s="196">
        <f ca="1">DATOSAÑO!P81</f>
        <v>155.5</v>
      </c>
      <c r="E81" s="196">
        <f ca="1">DATOSAÑO!Q81</f>
        <v>0</v>
      </c>
      <c r="F81" s="196">
        <f ca="1">DATOSAÑO!T81</f>
        <v>0</v>
      </c>
      <c r="G81" s="196">
        <f t="shared" ca="1" si="19"/>
        <v>431.5</v>
      </c>
      <c r="H81" s="196">
        <f t="shared" ca="1" si="14"/>
        <v>32.83000000000402</v>
      </c>
      <c r="I81" s="196">
        <f t="shared" ca="1" si="15"/>
        <v>189.54889753566499</v>
      </c>
      <c r="J81" s="196">
        <f t="shared" ca="1" si="16"/>
        <v>40.287029831383236</v>
      </c>
      <c r="K81" s="196">
        <f t="shared" ca="1" si="17"/>
        <v>9.2565499351541369</v>
      </c>
      <c r="L81" s="196">
        <f t="shared" ca="1" si="26"/>
        <v>155.36999999999856</v>
      </c>
      <c r="M81" s="196">
        <f t="shared" ca="1" si="18"/>
        <v>4.2075226977950733</v>
      </c>
      <c r="N81" s="196">
        <f t="shared" ca="1" si="21"/>
        <v>4</v>
      </c>
      <c r="O81" s="196">
        <f ca="1">(DATOSAÑO!AJ81+DATOSAÑO!AK81+DATOSAÑO!AD81)</f>
        <v>180.19999999999709</v>
      </c>
      <c r="P81" s="196">
        <f ca="1">DATOSAÑO!AI81</f>
        <v>38.299999999995634</v>
      </c>
      <c r="Q81" s="196">
        <f ca="1">DATOSAÑO!AH81</f>
        <v>8.8000000000047294</v>
      </c>
      <c r="R81" s="196">
        <f ca="1">DATOSAÑO!AM81+DATOSAÑO!AN81+DATOSAÑO!AF81</f>
        <v>155.36999999999856</v>
      </c>
      <c r="S81" s="209">
        <f ca="1">IF(B81&gt;=$P$5,0,CONTADORES!S77-CONTADORES!S76)</f>
        <v>16</v>
      </c>
      <c r="T81" s="206">
        <f ca="1">IF(B81&gt;=$P$5,0,(CONTADORES!U77-CONTADORES!U76)+(CONTADORES!AG77-CONTADORES!AG76))</f>
        <v>2</v>
      </c>
      <c r="U81" s="206">
        <f ca="1">IF(B81&gt;=$P$5,0,(CONTADORES!AS77-CONTADORES!AS76))</f>
        <v>4</v>
      </c>
      <c r="V81" s="206">
        <f ca="1">IF(B81&gt;=$P$5,0,(CONTADORES!AT77-CONTADORES!AT76))</f>
        <v>0</v>
      </c>
      <c r="W81" s="715">
        <v>0</v>
      </c>
      <c r="X81" s="206">
        <f ca="1">IF(W81=0,(T81-INICIO!$W$6),((T81-INICIO!$W$6)+V81))</f>
        <v>2</v>
      </c>
      <c r="Y81" s="208">
        <f t="shared" ca="1" si="22"/>
        <v>12</v>
      </c>
      <c r="Z81" s="209">
        <f t="shared" ca="1" si="23"/>
        <v>9.3488975356679163</v>
      </c>
      <c r="AA81" s="206">
        <f t="shared" ca="1" si="24"/>
        <v>1.9870298313876034</v>
      </c>
      <c r="AB81" s="206">
        <f t="shared" ca="1" si="25"/>
        <v>0.45654993514940734</v>
      </c>
      <c r="AC81" s="208">
        <f t="shared" ca="1" si="20"/>
        <v>0.20752269779507362</v>
      </c>
    </row>
    <row r="82" spans="2:29">
      <c r="B82" s="214">
        <v>44633</v>
      </c>
      <c r="C82" s="202">
        <f ca="1">DATOSAÑO!I82</f>
        <v>299</v>
      </c>
      <c r="D82" s="196">
        <f ca="1">DATOSAÑO!P82</f>
        <v>151.29999999999927</v>
      </c>
      <c r="E82" s="196">
        <f ca="1">DATOSAÑO!Q82</f>
        <v>8.3000000000083674E-2</v>
      </c>
      <c r="F82" s="196">
        <f ca="1">DATOSAÑO!T82</f>
        <v>0.38499999999999091</v>
      </c>
      <c r="G82" s="196">
        <f t="shared" ca="1" si="19"/>
        <v>450.76799999999935</v>
      </c>
      <c r="H82" s="196">
        <f t="shared" ca="1" si="14"/>
        <v>37.694999999996355</v>
      </c>
      <c r="I82" s="196">
        <f t="shared" ca="1" si="15"/>
        <v>194.47358988992539</v>
      </c>
      <c r="J82" s="196">
        <f t="shared" ca="1" si="16"/>
        <v>40.217810436203166</v>
      </c>
      <c r="K82" s="196">
        <f t="shared" ca="1" si="17"/>
        <v>17.851247452099265</v>
      </c>
      <c r="L82" s="196">
        <f t="shared" ca="1" si="26"/>
        <v>155.49000000000291</v>
      </c>
      <c r="M82" s="196">
        <f t="shared" ca="1" si="18"/>
        <v>5.0403522217722605</v>
      </c>
      <c r="N82" s="196">
        <f t="shared" ca="1" si="21"/>
        <v>4.8000000000029104</v>
      </c>
      <c r="O82" s="196">
        <f ca="1">(DATOSAÑO!AJ82+DATOSAÑO!AK82+DATOSAÑO!AD82)</f>
        <v>185.19999999999709</v>
      </c>
      <c r="P82" s="196">
        <f ca="1">DATOSAÑO!AI82</f>
        <v>38.30000000000291</v>
      </c>
      <c r="Q82" s="196">
        <f ca="1">DATOSAÑO!AH82</f>
        <v>17</v>
      </c>
      <c r="R82" s="196">
        <f ca="1">DATOSAÑO!AM82+DATOSAÑO!AN82+DATOSAÑO!AF82</f>
        <v>155.49000000000291</v>
      </c>
      <c r="S82" s="209">
        <f ca="1">IF(B82&gt;=$P$5,0,CONTADORES!S78-CONTADORES!S77)</f>
        <v>17</v>
      </c>
      <c r="T82" s="206">
        <f ca="1">IF(B82&gt;=$P$5,0,(CONTADORES!U78-CONTADORES!U77)+(CONTADORES!AG78-CONTADORES!AG77))</f>
        <v>2.2000000000043656</v>
      </c>
      <c r="U82" s="206">
        <f ca="1">IF(B82&gt;=$P$5,0,(CONTADORES!AS78-CONTADORES!AS77))</f>
        <v>4.8000000000029104</v>
      </c>
      <c r="V82" s="206">
        <f ca="1">IF(B82&gt;=$P$5,0,(CONTADORES!AT78-CONTADORES!AT77))</f>
        <v>0</v>
      </c>
      <c r="W82" s="715">
        <v>0</v>
      </c>
      <c r="X82" s="206">
        <f ca="1">IF(W82=0,(T82-INICIO!$W$6),((T82-INICIO!$W$6)+V82))</f>
        <v>2.2000000000043656</v>
      </c>
      <c r="Y82" s="208">
        <f t="shared" ca="1" si="22"/>
        <v>12.282999999997173</v>
      </c>
      <c r="Z82" s="209">
        <f t="shared" ca="1" si="23"/>
        <v>9.2735898899283065</v>
      </c>
      <c r="AA82" s="206">
        <f t="shared" ca="1" si="24"/>
        <v>1.9178104362002522</v>
      </c>
      <c r="AB82" s="206">
        <f t="shared" ca="1" si="25"/>
        <v>0.851247452099264</v>
      </c>
      <c r="AC82" s="208">
        <f t="shared" ca="1" si="20"/>
        <v>0.2403522217693497</v>
      </c>
    </row>
    <row r="83" spans="2:29">
      <c r="B83" s="214">
        <v>44634</v>
      </c>
      <c r="C83" s="202">
        <f ca="1">DATOSAÑO!I83</f>
        <v>288.69999999995343</v>
      </c>
      <c r="D83" s="196">
        <f ca="1">DATOSAÑO!P83</f>
        <v>145.60000000000218</v>
      </c>
      <c r="E83" s="196">
        <f ca="1">DATOSAÑO!Q83</f>
        <v>0</v>
      </c>
      <c r="F83" s="196">
        <f ca="1">DATOSAÑO!T83</f>
        <v>0</v>
      </c>
      <c r="G83" s="196">
        <f t="shared" ca="1" si="19"/>
        <v>434.29999999995562</v>
      </c>
      <c r="H83" s="196">
        <f t="shared" ca="1" si="14"/>
        <v>31.058999999915216</v>
      </c>
      <c r="I83" s="196">
        <f t="shared" ca="1" si="15"/>
        <v>191.48306104905043</v>
      </c>
      <c r="J83" s="196">
        <f t="shared" ca="1" si="16"/>
        <v>41.213241616508206</v>
      </c>
      <c r="K83" s="196">
        <f t="shared" ca="1" si="17"/>
        <v>7.6085984522753627</v>
      </c>
      <c r="L83" s="196">
        <f t="shared" ca="1" si="26"/>
        <v>157.44100000000836</v>
      </c>
      <c r="M83" s="196">
        <f t="shared" ca="1" si="18"/>
        <v>5.4950988821980191</v>
      </c>
      <c r="N83" s="196">
        <f t="shared" ca="1" si="21"/>
        <v>5.1999999999970896</v>
      </c>
      <c r="O83" s="196">
        <f ca="1">(DATOSAÑO!AJ83+DATOSAÑO!AK83+DATOSAÑO!AD83)</f>
        <v>181.20000000004075</v>
      </c>
      <c r="P83" s="196">
        <f ca="1">DATOSAÑO!AI83</f>
        <v>39</v>
      </c>
      <c r="Q83" s="196">
        <f ca="1">DATOSAÑO!AH83</f>
        <v>7.1999999999970896</v>
      </c>
      <c r="R83" s="196">
        <f ca="1">DATOSAÑO!AM83+DATOSAÑO!AN83+DATOSAÑO!AF83</f>
        <v>157.44100000000836</v>
      </c>
      <c r="S83" s="209">
        <f ca="1">IF(B83&gt;=$P$5,0,CONTADORES!S79-CONTADORES!S78)</f>
        <v>18.399999999994179</v>
      </c>
      <c r="T83" s="206">
        <f ca="1">IF(B83&gt;=$P$5,0,(CONTADORES!U79-CONTADORES!U78)+(CONTADORES!AG79-CONTADORES!AG78))</f>
        <v>2.1999999999970896</v>
      </c>
      <c r="U83" s="206">
        <f ca="1">IF(B83&gt;=$P$5,0,(CONTADORES!AS79-CONTADORES!AS78))</f>
        <v>5.1999999999970896</v>
      </c>
      <c r="V83" s="206">
        <f ca="1">IF(B83&gt;=$P$5,0,(CONTADORES!AT79-CONTADORES!AT78))</f>
        <v>0</v>
      </c>
      <c r="W83" s="715">
        <v>0</v>
      </c>
      <c r="X83" s="206">
        <f ca="1">IF(W83=0,(T83-INICIO!$W$6),((T83-INICIO!$W$6)+V83))</f>
        <v>2.1999999999970896</v>
      </c>
      <c r="Y83" s="208">
        <f t="shared" ca="1" si="22"/>
        <v>13.19999999999709</v>
      </c>
      <c r="Z83" s="209">
        <f t="shared" ca="1" si="23"/>
        <v>10.28306104900968</v>
      </c>
      <c r="AA83" s="206">
        <f t="shared" ca="1" si="24"/>
        <v>2.2132416165082081</v>
      </c>
      <c r="AB83" s="206">
        <f t="shared" ca="1" si="25"/>
        <v>0.40859845227827329</v>
      </c>
      <c r="AC83" s="208">
        <f t="shared" ca="1" si="20"/>
        <v>0.29509888220092928</v>
      </c>
    </row>
    <row r="84" spans="2:29">
      <c r="B84" s="214">
        <v>44635</v>
      </c>
      <c r="C84" s="202">
        <f ca="1">DATOSAÑO!I84</f>
        <v>295.80000000004657</v>
      </c>
      <c r="D84" s="196">
        <f ca="1">DATOSAÑO!P84</f>
        <v>148.59999999999854</v>
      </c>
      <c r="E84" s="196">
        <f ca="1">DATOSAÑO!Q84</f>
        <v>0</v>
      </c>
      <c r="F84" s="196">
        <f ca="1">DATOSAÑO!T84</f>
        <v>0</v>
      </c>
      <c r="G84" s="196">
        <f t="shared" ca="1" si="19"/>
        <v>444.40000000004511</v>
      </c>
      <c r="H84" s="196">
        <f t="shared" ca="1" si="14"/>
        <v>31.464000000104079</v>
      </c>
      <c r="I84" s="196">
        <f t="shared" ca="1" si="15"/>
        <v>201.91664611585807</v>
      </c>
      <c r="J84" s="196">
        <f t="shared" ca="1" si="16"/>
        <v>39.710974106048127</v>
      </c>
      <c r="K84" s="196">
        <f t="shared" ca="1" si="17"/>
        <v>8.7196054254044881</v>
      </c>
      <c r="L84" s="196">
        <f t="shared" ca="1" si="26"/>
        <v>157.3359999999789</v>
      </c>
      <c r="M84" s="196">
        <f t="shared" ca="1" si="18"/>
        <v>5.2527743526514641</v>
      </c>
      <c r="N84" s="196">
        <f t="shared" ca="1" si="21"/>
        <v>5</v>
      </c>
      <c r="O84" s="196">
        <f ca="1">(DATOSAÑO!AJ84+DATOSAÑO!AK84+DATOSAÑO!AD84)</f>
        <v>192.19999999993888</v>
      </c>
      <c r="P84" s="196">
        <f ca="1">DATOSAÑO!AI84</f>
        <v>37.80000000000291</v>
      </c>
      <c r="Q84" s="196">
        <f ca="1">DATOSAÑO!AH84</f>
        <v>8.3000000000029104</v>
      </c>
      <c r="R84" s="196">
        <f ca="1">DATOSAÑO!AM84+DATOSAÑO!AN84+DATOSAÑO!AF84</f>
        <v>157.3359999999789</v>
      </c>
      <c r="S84" s="209">
        <f ca="1">IF(B84&gt;=$P$5,0,CONTADORES!S80-CONTADORES!S79)</f>
        <v>17.300000000017462</v>
      </c>
      <c r="T84" s="206">
        <f ca="1">IF(B84&gt;=$P$5,0,(CONTADORES!U80-CONTADORES!U79)+(CONTADORES!AG80-CONTADORES!AG79))</f>
        <v>2.0999999999985448</v>
      </c>
      <c r="U84" s="206">
        <f ca="1">IF(B84&gt;=$P$5,0,(CONTADORES!AS80-CONTADORES!AS79))</f>
        <v>5</v>
      </c>
      <c r="V84" s="206">
        <f ca="1">IF(B84&gt;=$P$5,0,(CONTADORES!AT80-CONTADORES!AT79))</f>
        <v>0</v>
      </c>
      <c r="W84" s="715">
        <v>0</v>
      </c>
      <c r="X84" s="206">
        <f ca="1">IF(W84=0,(T84-INICIO!$W$6),((T84-INICIO!$W$6)+V84))</f>
        <v>2.0999999999985448</v>
      </c>
      <c r="Y84" s="208">
        <f t="shared" ca="1" si="22"/>
        <v>12.300000000017462</v>
      </c>
      <c r="Z84" s="209">
        <f t="shared" ca="1" si="23"/>
        <v>9.7166461159192004</v>
      </c>
      <c r="AA84" s="206">
        <f t="shared" ca="1" si="24"/>
        <v>1.9109741060452181</v>
      </c>
      <c r="AB84" s="206">
        <f t="shared" ca="1" si="25"/>
        <v>0.41960542540157802</v>
      </c>
      <c r="AC84" s="208">
        <f t="shared" ca="1" si="20"/>
        <v>0.25277435265146442</v>
      </c>
    </row>
    <row r="85" spans="2:29">
      <c r="B85" s="214">
        <v>44636</v>
      </c>
      <c r="C85" s="202">
        <f ca="1">DATOSAÑO!I85</f>
        <v>290.5</v>
      </c>
      <c r="D85" s="196">
        <f ca="1">DATOSAÑO!P85</f>
        <v>158.5</v>
      </c>
      <c r="E85" s="196">
        <f ca="1">DATOSAÑO!Q85</f>
        <v>0</v>
      </c>
      <c r="F85" s="196">
        <f ca="1">DATOSAÑO!T85</f>
        <v>0</v>
      </c>
      <c r="G85" s="196">
        <f t="shared" ca="1" si="19"/>
        <v>449</v>
      </c>
      <c r="H85" s="196">
        <f t="shared" ca="1" si="14"/>
        <v>37.436499999979617</v>
      </c>
      <c r="I85" s="196">
        <f t="shared" ca="1" si="15"/>
        <v>198.48205128207371</v>
      </c>
      <c r="J85" s="196">
        <f t="shared" ca="1" si="16"/>
        <v>41.315384615377688</v>
      </c>
      <c r="K85" s="196">
        <f t="shared" ca="1" si="17"/>
        <v>9.2512820512769398</v>
      </c>
      <c r="L85" s="196">
        <f t="shared" ca="1" si="26"/>
        <v>157.36350000000871</v>
      </c>
      <c r="M85" s="196">
        <f t="shared" ca="1" si="18"/>
        <v>5.1512820512832898</v>
      </c>
      <c r="N85" s="196">
        <f t="shared" ca="1" si="21"/>
        <v>4.9000000000014552</v>
      </c>
      <c r="O85" s="196">
        <f ca="1">(DATOSAÑO!AJ85+DATOSAÑO!AK85+DATOSAÑO!AD85)</f>
        <v>188.80000000003201</v>
      </c>
      <c r="P85" s="196">
        <f ca="1">DATOSAÑO!AI85</f>
        <v>39.299999999995634</v>
      </c>
      <c r="Q85" s="196">
        <f ca="1">DATOSAÑO!AH85</f>
        <v>8.7999999999956344</v>
      </c>
      <c r="R85" s="196">
        <f ca="1">DATOSAÑO!AM85+DATOSAÑO!AN85+DATOSAÑO!AF85</f>
        <v>157.36350000000871</v>
      </c>
      <c r="S85" s="209">
        <f ca="1">IF(B85&gt;=$P$5,0,CONTADORES!S81-CONTADORES!S80)</f>
        <v>17.299999999988358</v>
      </c>
      <c r="T85" s="206">
        <f ca="1">IF(B85&gt;=$P$5,0,(CONTADORES!U81-CONTADORES!U80)+(CONTADORES!AG81-CONTADORES!AG80))</f>
        <v>2.3000000000029104</v>
      </c>
      <c r="U85" s="206">
        <f ca="1">IF(B85&gt;=$P$5,0,(CONTADORES!AS81-CONTADORES!AS80))</f>
        <v>4.9000000000014552</v>
      </c>
      <c r="V85" s="206">
        <f ca="1">IF(B85&gt;=$P$5,0,(CONTADORES!AT81-CONTADORES!AT80))</f>
        <v>0</v>
      </c>
      <c r="W85" s="715">
        <v>0</v>
      </c>
      <c r="X85" s="206">
        <f ca="1">IF(W85=0,(T85-INICIO!$W$6),((T85-INICIO!$W$6)+V85))</f>
        <v>2.3000000000029104</v>
      </c>
      <c r="Y85" s="208">
        <f t="shared" ca="1" si="22"/>
        <v>12.399999999986903</v>
      </c>
      <c r="Z85" s="209">
        <f t="shared" ca="1" si="23"/>
        <v>9.6820512820417068</v>
      </c>
      <c r="AA85" s="206">
        <f t="shared" ca="1" si="24"/>
        <v>2.0153846153820565</v>
      </c>
      <c r="AB85" s="206">
        <f t="shared" ca="1" si="25"/>
        <v>0.45128205128130455</v>
      </c>
      <c r="AC85" s="208">
        <f t="shared" ca="1" si="20"/>
        <v>0.25128205128183478</v>
      </c>
    </row>
    <row r="86" spans="2:29">
      <c r="B86" s="214">
        <v>44637</v>
      </c>
      <c r="C86" s="202">
        <f ca="1">DATOSAÑO!I86</f>
        <v>283</v>
      </c>
      <c r="D86" s="196">
        <f ca="1">DATOSAÑO!P86</f>
        <v>162</v>
      </c>
      <c r="E86" s="196">
        <f ca="1">DATOSAÑO!Q86</f>
        <v>0</v>
      </c>
      <c r="F86" s="196">
        <f ca="1">DATOSAÑO!T86</f>
        <v>0</v>
      </c>
      <c r="G86" s="196">
        <f t="shared" ca="1" si="19"/>
        <v>445</v>
      </c>
      <c r="H86" s="196">
        <f t="shared" ca="1" si="14"/>
        <v>33.546000000017045</v>
      </c>
      <c r="I86" s="196">
        <f t="shared" ca="1" si="15"/>
        <v>198.96136929458473</v>
      </c>
      <c r="J86" s="196">
        <f t="shared" ca="1" si="16"/>
        <v>40.464937759334298</v>
      </c>
      <c r="K86" s="196">
        <f t="shared" ca="1" si="17"/>
        <v>8.618506224070595</v>
      </c>
      <c r="L86" s="196">
        <f t="shared" ca="1" si="26"/>
        <v>158.15400000000182</v>
      </c>
      <c r="M86" s="196">
        <f t="shared" ca="1" si="18"/>
        <v>5.2551867219914676</v>
      </c>
      <c r="N86" s="196">
        <f t="shared" ca="1" si="21"/>
        <v>5</v>
      </c>
      <c r="O86" s="196">
        <f ca="1">(DATOSAÑO!AJ86+DATOSAÑO!AK86+DATOSAÑO!AD86)</f>
        <v>189.29999999998836</v>
      </c>
      <c r="P86" s="196">
        <f ca="1">DATOSAÑO!AI86</f>
        <v>38.5</v>
      </c>
      <c r="Q86" s="196">
        <f ca="1">DATOSAÑO!AH86</f>
        <v>8.2000000000043656</v>
      </c>
      <c r="R86" s="196">
        <f ca="1">DATOSAÑO!AM86+DATOSAÑO!AN86+DATOSAÑO!AF86</f>
        <v>158.15400000000182</v>
      </c>
      <c r="S86" s="209">
        <f ca="1">IF(B86&gt;=$P$5,0,CONTADORES!S82-CONTADORES!S81)</f>
        <v>17.299999999988358</v>
      </c>
      <c r="T86" s="206">
        <f ca="1">IF(B86&gt;=$P$5,0,(CONTADORES!U82-CONTADORES!U81)+(CONTADORES!AG82-CONTADORES!AG81))</f>
        <v>2.0999999999985448</v>
      </c>
      <c r="U86" s="206">
        <f ca="1">IF(B86&gt;=$P$5,0,(CONTADORES!AS82-CONTADORES!AS81))</f>
        <v>5</v>
      </c>
      <c r="V86" s="206">
        <f ca="1">IF(B86&gt;=$P$5,0,(CONTADORES!AT82-CONTADORES!AT81))</f>
        <v>0</v>
      </c>
      <c r="W86" s="715">
        <v>0</v>
      </c>
      <c r="X86" s="206">
        <f ca="1">IF(W86=0,(T86-INICIO!$W$6),((T86-INICIO!$W$6)+V86))</f>
        <v>2.0999999999985448</v>
      </c>
      <c r="Y86" s="208">
        <f t="shared" ca="1" si="22"/>
        <v>12.299999999988358</v>
      </c>
      <c r="Z86" s="209">
        <f t="shared" ca="1" si="23"/>
        <v>9.6613692945963621</v>
      </c>
      <c r="AA86" s="206">
        <f t="shared" ca="1" si="24"/>
        <v>1.9649377593342991</v>
      </c>
      <c r="AB86" s="206">
        <f t="shared" ca="1" si="25"/>
        <v>0.41850622406622939</v>
      </c>
      <c r="AC86" s="208">
        <f t="shared" ca="1" si="20"/>
        <v>0.25518672199146741</v>
      </c>
    </row>
    <row r="87" spans="2:29">
      <c r="B87" s="214">
        <v>44638</v>
      </c>
      <c r="C87" s="202">
        <f ca="1">DATOSAÑO!I87</f>
        <v>298</v>
      </c>
      <c r="D87" s="196">
        <f ca="1">DATOSAÑO!P87</f>
        <v>151</v>
      </c>
      <c r="E87" s="196">
        <f ca="1">DATOSAÑO!Q87</f>
        <v>0</v>
      </c>
      <c r="F87" s="196">
        <f ca="1">DATOSAÑO!T87</f>
        <v>0</v>
      </c>
      <c r="G87" s="196">
        <f t="shared" ca="1" si="19"/>
        <v>449</v>
      </c>
      <c r="H87" s="196">
        <f t="shared" ca="1" si="14"/>
        <v>31.013999999990858</v>
      </c>
      <c r="I87" s="196">
        <f t="shared" ca="1" si="15"/>
        <v>202.92197490894551</v>
      </c>
      <c r="J87" s="196">
        <f t="shared" ca="1" si="16"/>
        <v>40.626386078518109</v>
      </c>
      <c r="K87" s="196">
        <f t="shared" ca="1" si="17"/>
        <v>10.602751922297868</v>
      </c>
      <c r="L87" s="196">
        <f t="shared" ca="1" si="26"/>
        <v>158.58600000000035</v>
      </c>
      <c r="M87" s="196">
        <f t="shared" ca="1" si="18"/>
        <v>5.2488870902472256</v>
      </c>
      <c r="N87" s="196">
        <f t="shared" ca="1" si="21"/>
        <v>5</v>
      </c>
      <c r="O87" s="196">
        <f ca="1">(DATOSAÑO!AJ87+DATOSAÑO!AK87+DATOSAÑO!AD87)</f>
        <v>193.29999999998836</v>
      </c>
      <c r="P87" s="196">
        <f ca="1">DATOSAÑO!AI87</f>
        <v>38.700000000004366</v>
      </c>
      <c r="Q87" s="196">
        <f ca="1">DATOSAÑO!AH87</f>
        <v>10.099999999998545</v>
      </c>
      <c r="R87" s="196">
        <f ca="1">DATOSAÑO!AM87+DATOSAÑO!AN87+DATOSAÑO!AF87</f>
        <v>158.58600000000035</v>
      </c>
      <c r="S87" s="209">
        <f ca="1">IF(B87&gt;=$P$5,0,CONTADORES!S83-CONTADORES!S82)</f>
        <v>17.300000000017462</v>
      </c>
      <c r="T87" s="206">
        <f ca="1">IF(B87&gt;=$P$5,0,(CONTADORES!U83-CONTADORES!U82)+(CONTADORES!AG83-CONTADORES!AG82))</f>
        <v>2.1999999999970896</v>
      </c>
      <c r="U87" s="206">
        <f ca="1">IF(B87&gt;=$P$5,0,(CONTADORES!AS83-CONTADORES!AS82))</f>
        <v>5</v>
      </c>
      <c r="V87" s="206">
        <f ca="1">IF(B87&gt;=$P$5,0,(CONTADORES!AT83-CONTADORES!AT82))</f>
        <v>0</v>
      </c>
      <c r="W87" s="715">
        <v>0</v>
      </c>
      <c r="X87" s="206">
        <f ca="1">IF(W87=0,(T87-INICIO!$W$6),((T87-INICIO!$W$6)+V87))</f>
        <v>2.1999999999970896</v>
      </c>
      <c r="Y87" s="208">
        <f t="shared" ca="1" si="22"/>
        <v>12.300000000017462</v>
      </c>
      <c r="Z87" s="209">
        <f t="shared" ca="1" si="23"/>
        <v>9.6219749089571689</v>
      </c>
      <c r="AA87" s="206">
        <f t="shared" ca="1" si="24"/>
        <v>1.9263860785137445</v>
      </c>
      <c r="AB87" s="206">
        <f t="shared" ca="1" si="25"/>
        <v>0.50275192229932364</v>
      </c>
      <c r="AC87" s="208">
        <f t="shared" ca="1" si="20"/>
        <v>0.24888709024722575</v>
      </c>
    </row>
    <row r="88" spans="2:29">
      <c r="B88" s="214">
        <v>44639</v>
      </c>
      <c r="C88" s="202">
        <f ca="1">DATOSAÑO!I88</f>
        <v>290</v>
      </c>
      <c r="D88" s="196">
        <f ca="1">DATOSAÑO!P88</f>
        <v>158</v>
      </c>
      <c r="E88" s="196">
        <f ca="1">DATOSAÑO!Q88</f>
        <v>0</v>
      </c>
      <c r="F88" s="196">
        <f ca="1">DATOSAÑO!T88</f>
        <v>0</v>
      </c>
      <c r="G88" s="196">
        <f t="shared" ca="1" si="19"/>
        <v>448</v>
      </c>
      <c r="H88" s="196">
        <f t="shared" ca="1" si="14"/>
        <v>36.979999999999279</v>
      </c>
      <c r="I88" s="196">
        <f t="shared" ca="1" si="15"/>
        <v>202.40320987655056</v>
      </c>
      <c r="J88" s="196">
        <f t="shared" ca="1" si="16"/>
        <v>40.965061728387937</v>
      </c>
      <c r="K88" s="196">
        <f t="shared" ca="1" si="17"/>
        <v>8.319382716050713</v>
      </c>
      <c r="L88" s="196">
        <f t="shared" ca="1" si="26"/>
        <v>155.11999999999927</v>
      </c>
      <c r="M88" s="196">
        <f t="shared" ca="1" si="18"/>
        <v>4.2123456790122438</v>
      </c>
      <c r="N88" s="196">
        <f t="shared" ca="1" si="21"/>
        <v>4</v>
      </c>
      <c r="O88" s="196">
        <f ca="1">(DATOSAÑO!AJ88+DATOSAÑO!AK88+DATOSAÑO!AD88)</f>
        <v>192.20000000001164</v>
      </c>
      <c r="P88" s="196">
        <f ca="1">DATOSAÑO!AI88</f>
        <v>38.899999999994179</v>
      </c>
      <c r="Q88" s="196">
        <f ca="1">DATOSAÑO!AH88</f>
        <v>7.9000000000014552</v>
      </c>
      <c r="R88" s="196">
        <f ca="1">DATOSAÑO!AM88+DATOSAÑO!AN88+DATOSAÑO!AF88</f>
        <v>155.11999999999927</v>
      </c>
      <c r="S88" s="209">
        <f ca="1">IF(B88&gt;=$P$5,0,CONTADORES!S84-CONTADORES!S83)</f>
        <v>16.899999999994179</v>
      </c>
      <c r="T88" s="206">
        <f ca="1">IF(B88&gt;=$P$5,0,(CONTADORES!U84-CONTADORES!U83)+(CONTADORES!AG84-CONTADORES!AG83))</f>
        <v>2.2000000000043656</v>
      </c>
      <c r="U88" s="206">
        <f ca="1">IF(B88&gt;=$P$5,0,(CONTADORES!AS84-CONTADORES!AS83))</f>
        <v>4</v>
      </c>
      <c r="V88" s="206">
        <f ca="1">IF(B88&gt;=$P$5,0,(CONTADORES!AT84-CONTADORES!AT83))</f>
        <v>0</v>
      </c>
      <c r="W88" s="715">
        <v>0</v>
      </c>
      <c r="X88" s="206">
        <f ca="1">IF(W88=0,(T88-INICIO!$W$6),((T88-INICIO!$W$6)+V88))</f>
        <v>2.2000000000043656</v>
      </c>
      <c r="Y88" s="208">
        <f t="shared" ca="1" si="22"/>
        <v>12.899999999994179</v>
      </c>
      <c r="Z88" s="209">
        <f t="shared" ca="1" si="23"/>
        <v>10.203209876538919</v>
      </c>
      <c r="AA88" s="206">
        <f t="shared" ca="1" si="24"/>
        <v>2.0650617283937591</v>
      </c>
      <c r="AB88" s="206">
        <f t="shared" ca="1" si="25"/>
        <v>0.41938271604925814</v>
      </c>
      <c r="AC88" s="208">
        <f t="shared" ca="1" si="20"/>
        <v>0.21234567901224349</v>
      </c>
    </row>
    <row r="89" spans="2:29">
      <c r="B89" s="214">
        <v>44640</v>
      </c>
      <c r="C89" s="202">
        <f ca="1">DATOSAÑO!I89</f>
        <v>300</v>
      </c>
      <c r="D89" s="196">
        <f ca="1">DATOSAÑO!P89</f>
        <v>156</v>
      </c>
      <c r="E89" s="196">
        <f ca="1">DATOSAÑO!Q89</f>
        <v>0</v>
      </c>
      <c r="F89" s="196">
        <f ca="1">DATOSAÑO!T89</f>
        <v>0</v>
      </c>
      <c r="G89" s="196">
        <f t="shared" ca="1" si="19"/>
        <v>456</v>
      </c>
      <c r="H89" s="196">
        <f t="shared" ca="1" si="14"/>
        <v>35.243000000007555</v>
      </c>
      <c r="I89" s="196">
        <f t="shared" ca="1" si="15"/>
        <v>202.30027877338688</v>
      </c>
      <c r="J89" s="196">
        <f t="shared" ca="1" si="16"/>
        <v>43.604619673436446</v>
      </c>
      <c r="K89" s="196">
        <f t="shared" ca="1" si="17"/>
        <v>12.054161688570593</v>
      </c>
      <c r="L89" s="196">
        <f t="shared" ca="1" si="26"/>
        <v>157.55700000000257</v>
      </c>
      <c r="M89" s="196">
        <f t="shared" ca="1" si="18"/>
        <v>5.2409398645959095</v>
      </c>
      <c r="N89" s="196">
        <f t="shared" ca="1" si="21"/>
        <v>5</v>
      </c>
      <c r="O89" s="196">
        <f ca="1">(DATOSAÑO!AJ89+DATOSAÑO!AK89+DATOSAÑO!AD89)</f>
        <v>192.99999999998545</v>
      </c>
      <c r="P89" s="196">
        <f ca="1">DATOSAÑO!AI89</f>
        <v>41.599999999998545</v>
      </c>
      <c r="Q89" s="196">
        <f ca="1">DATOSAÑO!AH89</f>
        <v>11.5</v>
      </c>
      <c r="R89" s="196">
        <f ca="1">DATOSAÑO!AM89+DATOSAÑO!AN89+DATOSAÑO!AF89</f>
        <v>157.55700000000257</v>
      </c>
      <c r="S89" s="209">
        <f ca="1">IF(B89&gt;=$P$5,0,CONTADORES!S85-CONTADORES!S84)</f>
        <v>17.100000000005821</v>
      </c>
      <c r="T89" s="206">
        <f ca="1">IF(B89&gt;=$P$5,0,(CONTADORES!U85-CONTADORES!U84)+(CONTADORES!AG85-CONTADORES!AG84))</f>
        <v>2.1999999999970896</v>
      </c>
      <c r="U89" s="206">
        <f ca="1">IF(B89&gt;=$P$5,0,(CONTADORES!AS85-CONTADORES!AS84))</f>
        <v>5</v>
      </c>
      <c r="V89" s="206">
        <f ca="1">IF(B89&gt;=$P$5,0,(CONTADORES!AT85-CONTADORES!AT84))</f>
        <v>0</v>
      </c>
      <c r="W89" s="715">
        <v>0</v>
      </c>
      <c r="X89" s="206">
        <f ca="1">IF(W89=0,(T89-INICIO!$W$6),((T89-INICIO!$W$6)+V89))</f>
        <v>2.1999999999970896</v>
      </c>
      <c r="Y89" s="208">
        <f t="shared" ca="1" si="22"/>
        <v>12.100000000005821</v>
      </c>
      <c r="Z89" s="209">
        <f t="shared" ca="1" si="23"/>
        <v>9.3002787734014181</v>
      </c>
      <c r="AA89" s="206">
        <f t="shared" ca="1" si="24"/>
        <v>2.0046196734378996</v>
      </c>
      <c r="AB89" s="206">
        <f t="shared" ca="1" si="25"/>
        <v>0.55416168857059267</v>
      </c>
      <c r="AC89" s="208">
        <f t="shared" ca="1" si="20"/>
        <v>0.24093986459590985</v>
      </c>
    </row>
    <row r="90" spans="2:29">
      <c r="B90" s="214">
        <v>44641</v>
      </c>
      <c r="C90" s="202">
        <f ca="1">DATOSAÑO!I90</f>
        <v>303</v>
      </c>
      <c r="D90" s="196">
        <f ca="1">DATOSAÑO!P90</f>
        <v>154</v>
      </c>
      <c r="E90" s="196">
        <f ca="1">DATOSAÑO!Q90</f>
        <v>0.2419999999999618</v>
      </c>
      <c r="F90" s="196">
        <f ca="1">DATOSAÑO!T90</f>
        <v>0.31100000000003547</v>
      </c>
      <c r="G90" s="196">
        <f t="shared" ca="1" si="19"/>
        <v>457.553</v>
      </c>
      <c r="H90" s="196">
        <f t="shared" ca="1" si="14"/>
        <v>32.109000000011633</v>
      </c>
      <c r="I90" s="196">
        <f t="shared" ca="1" si="15"/>
        <v>203.44388235293223</v>
      </c>
      <c r="J90" s="196">
        <f t="shared" ca="1" si="16"/>
        <v>45.487965490200153</v>
      </c>
      <c r="K90" s="196">
        <f t="shared" ca="1" si="17"/>
        <v>11.893642352934581</v>
      </c>
      <c r="L90" s="196">
        <f t="shared" ca="1" si="26"/>
        <v>159.40200000000002</v>
      </c>
      <c r="M90" s="196">
        <f t="shared" ca="1" si="18"/>
        <v>5.2165098039213396</v>
      </c>
      <c r="N90" s="196">
        <f t="shared" ca="1" si="21"/>
        <v>5</v>
      </c>
      <c r="O90" s="196">
        <f ca="1">(DATOSAÑO!AJ90+DATOSAÑO!AK90+DATOSAÑO!AD90)</f>
        <v>195</v>
      </c>
      <c r="P90" s="196">
        <f ca="1">DATOSAÑO!AI90</f>
        <v>43.600000000005821</v>
      </c>
      <c r="Q90" s="196">
        <f ca="1">DATOSAÑO!AH90</f>
        <v>11.399999999994179</v>
      </c>
      <c r="R90" s="196">
        <f ca="1">DATOSAÑO!AM90+DATOSAÑO!AN90+DATOSAÑO!AF90</f>
        <v>159.40200000000002</v>
      </c>
      <c r="S90" s="209">
        <f ca="1">IF(B90&gt;=$P$5,0,CONTADORES!S86-CONTADORES!S85)</f>
        <v>15.799999999988358</v>
      </c>
      <c r="T90" s="206">
        <f ca="1">IF(B90&gt;=$P$5,0,(CONTADORES!U86-CONTADORES!U85)+(CONTADORES!AG86-CONTADORES!AG85))</f>
        <v>2.5</v>
      </c>
      <c r="U90" s="206">
        <f ca="1">IF(B90&gt;=$P$5,0,(CONTADORES!AS86-CONTADORES!AS85))</f>
        <v>5</v>
      </c>
      <c r="V90" s="206">
        <f ca="1">IF(B90&gt;=$P$5,0,(CONTADORES!AT86-CONTADORES!AT85))</f>
        <v>0</v>
      </c>
      <c r="W90" s="715">
        <v>0</v>
      </c>
      <c r="X90" s="206">
        <f ca="1">IF(W90=0,(T90-INICIO!$W$6),((T90-INICIO!$W$6)+V90))</f>
        <v>2.5</v>
      </c>
      <c r="Y90" s="208">
        <f t="shared" ca="1" si="22"/>
        <v>11.04199999998832</v>
      </c>
      <c r="Z90" s="209">
        <f t="shared" ca="1" si="23"/>
        <v>8.4438823529322438</v>
      </c>
      <c r="AA90" s="206">
        <f t="shared" ca="1" si="24"/>
        <v>1.8879654901943335</v>
      </c>
      <c r="AB90" s="206">
        <f t="shared" ca="1" si="25"/>
        <v>0.49364235294040226</v>
      </c>
      <c r="AC90" s="208">
        <f t="shared" ca="1" si="20"/>
        <v>0.21650980392133962</v>
      </c>
    </row>
    <row r="91" spans="2:29">
      <c r="B91" s="214">
        <v>44642</v>
      </c>
      <c r="C91" s="202">
        <f ca="1">DATOSAÑO!I91</f>
        <v>298</v>
      </c>
      <c r="D91" s="196">
        <f ca="1">DATOSAÑO!P91</f>
        <v>154</v>
      </c>
      <c r="E91" s="196">
        <f ca="1">DATOSAÑO!Q91</f>
        <v>0</v>
      </c>
      <c r="F91" s="196">
        <f ca="1">DATOSAÑO!T91</f>
        <v>0</v>
      </c>
      <c r="G91" s="196">
        <f t="shared" ca="1" si="19"/>
        <v>452</v>
      </c>
      <c r="H91" s="196">
        <f t="shared" ca="1" si="14"/>
        <v>41.743999999986897</v>
      </c>
      <c r="I91" s="196">
        <f t="shared" ca="1" si="15"/>
        <v>196.9667338709794</v>
      </c>
      <c r="J91" s="196">
        <f t="shared" ca="1" si="16"/>
        <v>40.701612903222696</v>
      </c>
      <c r="K91" s="196">
        <f t="shared" ca="1" si="17"/>
        <v>14.640120967747947</v>
      </c>
      <c r="L91" s="196">
        <f t="shared" ca="1" si="26"/>
        <v>152.75599999999855</v>
      </c>
      <c r="M91" s="196">
        <f t="shared" ca="1" si="18"/>
        <v>5.1915322580645045</v>
      </c>
      <c r="N91" s="196">
        <f t="shared" ca="1" si="21"/>
        <v>5</v>
      </c>
      <c r="O91" s="196">
        <f ca="1">(DATOSAÑO!AJ91+DATOSAÑO!AK91+DATOSAÑO!AD91)</f>
        <v>189.70000000001164</v>
      </c>
      <c r="P91" s="196">
        <f ca="1">DATOSAÑO!AI91</f>
        <v>39.19999999999709</v>
      </c>
      <c r="Q91" s="196">
        <f ca="1">DATOSAÑO!AH91</f>
        <v>14.100000000005821</v>
      </c>
      <c r="R91" s="196">
        <f ca="1">DATOSAÑO!AM91+DATOSAÑO!AN91+DATOSAÑO!AF91</f>
        <v>152.75599999999855</v>
      </c>
      <c r="S91" s="209">
        <f ca="1">IF(B91&gt;=$P$5,0,CONTADORES!S87-CONTADORES!S86)</f>
        <v>14.5</v>
      </c>
      <c r="T91" s="206">
        <f ca="1">IF(B91&gt;=$P$5,0,(CONTADORES!U87-CONTADORES!U86)+(CONTADORES!AG87-CONTADORES!AG86))</f>
        <v>2.5999999999985448</v>
      </c>
      <c r="U91" s="206">
        <f ca="1">IF(B91&gt;=$P$5,0,(CONTADORES!AS87-CONTADORES!AS86))</f>
        <v>5</v>
      </c>
      <c r="V91" s="206">
        <f ca="1">IF(B91&gt;=$P$5,0,(CONTADORES!AT87-CONTADORES!AT86))</f>
        <v>0</v>
      </c>
      <c r="W91" s="715">
        <v>0</v>
      </c>
      <c r="X91" s="206">
        <f ca="1">IF(W91=0,(T91-INICIO!$W$6),((T91-INICIO!$W$6)+V91))</f>
        <v>2.5999999999985448</v>
      </c>
      <c r="Y91" s="208">
        <f t="shared" ca="1" si="22"/>
        <v>9.5</v>
      </c>
      <c r="Z91" s="209">
        <f t="shared" ca="1" si="23"/>
        <v>7.2667338709677614</v>
      </c>
      <c r="AA91" s="206">
        <f t="shared" ca="1" si="24"/>
        <v>1.5016129032256069</v>
      </c>
      <c r="AB91" s="206">
        <f t="shared" ca="1" si="25"/>
        <v>0.54012096774212681</v>
      </c>
      <c r="AC91" s="208">
        <f t="shared" ca="1" si="20"/>
        <v>0.19153225806450488</v>
      </c>
    </row>
    <row r="92" spans="2:29">
      <c r="B92" s="214">
        <v>44643</v>
      </c>
      <c r="C92" s="202">
        <f ca="1">DATOSAÑO!I92</f>
        <v>300</v>
      </c>
      <c r="D92" s="196">
        <f ca="1">DATOSAÑO!P92</f>
        <v>149</v>
      </c>
      <c r="E92" s="196">
        <f ca="1">DATOSAÑO!Q92</f>
        <v>0</v>
      </c>
      <c r="F92" s="196">
        <f ca="1">DATOSAÑO!T92</f>
        <v>0</v>
      </c>
      <c r="G92" s="196">
        <f t="shared" ca="1" si="19"/>
        <v>449</v>
      </c>
      <c r="H92" s="196">
        <f t="shared" ca="1" si="14"/>
        <v>34.339000000009094</v>
      </c>
      <c r="I92" s="196">
        <f t="shared" ca="1" si="15"/>
        <v>201.3828124999925</v>
      </c>
      <c r="J92" s="196">
        <f t="shared" ca="1" si="16"/>
        <v>40.858774038463658</v>
      </c>
      <c r="K92" s="196">
        <f t="shared" ca="1" si="17"/>
        <v>12.060096153844373</v>
      </c>
      <c r="L92" s="196">
        <f t="shared" ca="1" si="26"/>
        <v>155.16099999999818</v>
      </c>
      <c r="M92" s="196">
        <f t="shared" ca="1" si="18"/>
        <v>5.198317307692192</v>
      </c>
      <c r="N92" s="196">
        <f t="shared" ca="1" si="21"/>
        <v>5</v>
      </c>
      <c r="O92" s="196">
        <f ca="1">(DATOSAÑO!AJ92+DATOSAÑO!AK92+DATOSAÑO!AD92)</f>
        <v>193.69999999999709</v>
      </c>
      <c r="P92" s="196">
        <f ca="1">DATOSAÑO!AI92</f>
        <v>39.30000000000291</v>
      </c>
      <c r="Q92" s="196">
        <f ca="1">DATOSAÑO!AH92</f>
        <v>11.599999999998545</v>
      </c>
      <c r="R92" s="196">
        <f ca="1">DATOSAÑO!AM92+DATOSAÑO!AN92+DATOSAÑO!AF92</f>
        <v>155.16099999999818</v>
      </c>
      <c r="S92" s="209">
        <f ca="1">IF(B92&gt;=$P$5,0,CONTADORES!S88-CONTADORES!S87)</f>
        <v>14.899999999994179</v>
      </c>
      <c r="T92" s="206">
        <f ca="1">IF(B92&gt;=$P$5,0,(CONTADORES!U88-CONTADORES!U87)+(CONTADORES!AG88-CONTADORES!AG87))</f>
        <v>2.7000000000043656</v>
      </c>
      <c r="U92" s="206">
        <f ca="1">IF(B92&gt;=$P$5,0,(CONTADORES!AS88-CONTADORES!AS87))</f>
        <v>5</v>
      </c>
      <c r="V92" s="206">
        <f ca="1">IF(B92&gt;=$P$5,0,(CONTADORES!AT88-CONTADORES!AT87))</f>
        <v>0</v>
      </c>
      <c r="W92" s="715">
        <v>0</v>
      </c>
      <c r="X92" s="206">
        <f ca="1">IF(W92=0,(T92-INICIO!$W$6),((T92-INICIO!$W$6)+V92))</f>
        <v>2.7000000000043656</v>
      </c>
      <c r="Y92" s="208">
        <f t="shared" ca="1" si="22"/>
        <v>9.8999999999941792</v>
      </c>
      <c r="Z92" s="209">
        <f t="shared" ca="1" si="23"/>
        <v>7.6828124999954124</v>
      </c>
      <c r="AA92" s="206">
        <f t="shared" ca="1" si="24"/>
        <v>1.5587740384607465</v>
      </c>
      <c r="AB92" s="206">
        <f t="shared" ca="1" si="25"/>
        <v>0.4600961538458283</v>
      </c>
      <c r="AC92" s="208">
        <f t="shared" ca="1" si="20"/>
        <v>0.19831730769219225</v>
      </c>
    </row>
    <row r="93" spans="2:29">
      <c r="B93" s="214">
        <v>44644</v>
      </c>
      <c r="C93" s="202">
        <f ca="1">DATOSAÑO!I93</f>
        <v>299</v>
      </c>
      <c r="D93" s="196">
        <f ca="1">DATOSAÑO!P93</f>
        <v>146</v>
      </c>
      <c r="E93" s="196">
        <f ca="1">DATOSAÑO!Q93</f>
        <v>0</v>
      </c>
      <c r="F93" s="196">
        <f ca="1">DATOSAÑO!T93</f>
        <v>0</v>
      </c>
      <c r="G93" s="196">
        <f t="shared" ca="1" si="19"/>
        <v>445</v>
      </c>
      <c r="H93" s="196">
        <f t="shared" ca="1" si="14"/>
        <v>36.357999999980336</v>
      </c>
      <c r="I93" s="196">
        <f t="shared" ca="1" si="15"/>
        <v>198.59287796753776</v>
      </c>
      <c r="J93" s="196">
        <f t="shared" ca="1" si="16"/>
        <v>42.012036651392613</v>
      </c>
      <c r="K93" s="196">
        <f t="shared" ca="1" si="17"/>
        <v>4.4826738858765358</v>
      </c>
      <c r="L93" s="196">
        <f t="shared" ca="1" si="26"/>
        <v>158.34200000000217</v>
      </c>
      <c r="M93" s="196">
        <f t="shared" ca="1" si="18"/>
        <v>5.2124114952105662</v>
      </c>
      <c r="N93" s="196">
        <f t="shared" ca="1" si="21"/>
        <v>5</v>
      </c>
      <c r="O93" s="196">
        <f ca="1">(DATOSAÑO!AJ93+DATOSAÑO!AK93+DATOSAÑO!AD93)</f>
        <v>190.50000000001455</v>
      </c>
      <c r="P93" s="196">
        <f ca="1">DATOSAÑO!AI93</f>
        <v>40.299999999995634</v>
      </c>
      <c r="Q93" s="196">
        <f ca="1">DATOSAÑO!AH93</f>
        <v>4.2999999999956344</v>
      </c>
      <c r="R93" s="196">
        <f ca="1">DATOSAÑO!AM93+DATOSAÑO!AN93+DATOSAÑO!AF93</f>
        <v>158.34200000000217</v>
      </c>
      <c r="S93" s="209">
        <f ca="1">IF(B93&gt;=$P$5,0,CONTADORES!S89-CONTADORES!S88)</f>
        <v>15.200000000011642</v>
      </c>
      <c r="T93" s="206">
        <f ca="1">IF(B93&gt;=$P$5,0,(CONTADORES!U89-CONTADORES!U88)+(CONTADORES!AG89-CONTADORES!AG88))</f>
        <v>2.6999999999970896</v>
      </c>
      <c r="U93" s="206">
        <f ca="1">IF(B93&gt;=$P$5,0,(CONTADORES!AS89-CONTADORES!AS88))</f>
        <v>5</v>
      </c>
      <c r="V93" s="206">
        <f ca="1">IF(B93&gt;=$P$5,0,(CONTADORES!AT89-CONTADORES!AT88))</f>
        <v>0</v>
      </c>
      <c r="W93" s="715">
        <v>0</v>
      </c>
      <c r="X93" s="206">
        <f ca="1">IF(W93=0,(T93-INICIO!$W$6),((T93-INICIO!$W$6)+V93))</f>
        <v>2.6999999999970896</v>
      </c>
      <c r="Y93" s="208">
        <f t="shared" ca="1" si="22"/>
        <v>10.200000000011642</v>
      </c>
      <c r="Z93" s="209">
        <f t="shared" ca="1" si="23"/>
        <v>8.0928779675231954</v>
      </c>
      <c r="AA93" s="206">
        <f t="shared" ca="1" si="24"/>
        <v>1.7120366513969789</v>
      </c>
      <c r="AB93" s="206">
        <f t="shared" ca="1" si="25"/>
        <v>0.18267388588090155</v>
      </c>
      <c r="AC93" s="208">
        <f t="shared" ca="1" si="20"/>
        <v>0.21241149521056632</v>
      </c>
    </row>
    <row r="94" spans="2:29">
      <c r="B94" s="214">
        <v>44645</v>
      </c>
      <c r="C94" s="202">
        <f ca="1">DATOSAÑO!I94</f>
        <v>300</v>
      </c>
      <c r="D94" s="196">
        <f ca="1">DATOSAÑO!P94</f>
        <v>146</v>
      </c>
      <c r="E94" s="196">
        <f ca="1">DATOSAÑO!Q94</f>
        <v>0</v>
      </c>
      <c r="F94" s="196">
        <f ca="1">DATOSAÑO!T94</f>
        <v>0</v>
      </c>
      <c r="G94" s="196">
        <f t="shared" ca="1" si="19"/>
        <v>446</v>
      </c>
      <c r="H94" s="196">
        <f t="shared" ca="1" si="14"/>
        <v>35.470999999993808</v>
      </c>
      <c r="I94" s="196">
        <f t="shared" ca="1" si="15"/>
        <v>194.72648514851622</v>
      </c>
      <c r="J94" s="196">
        <f t="shared" ca="1" si="16"/>
        <v>41.936262376237053</v>
      </c>
      <c r="K94" s="196">
        <f t="shared" ca="1" si="17"/>
        <v>11.608292079214271</v>
      </c>
      <c r="L94" s="196">
        <f t="shared" ca="1" si="26"/>
        <v>157.02899999999892</v>
      </c>
      <c r="M94" s="196">
        <f t="shared" ca="1" si="18"/>
        <v>5.2289603960397226</v>
      </c>
      <c r="N94" s="196">
        <f t="shared" ca="1" si="21"/>
        <v>5</v>
      </c>
      <c r="O94" s="196">
        <f ca="1">(DATOSAÑO!AJ94+DATOSAÑO!AK94+DATOSAÑO!AD94)</f>
        <v>186.19999999999709</v>
      </c>
      <c r="P94" s="196">
        <f ca="1">DATOSAÑO!AI94</f>
        <v>40.099999999998545</v>
      </c>
      <c r="Q94" s="196">
        <f ca="1">DATOSAÑO!AH94</f>
        <v>11.100000000005821</v>
      </c>
      <c r="R94" s="196">
        <f ca="1">DATOSAÑO!AM94+DATOSAÑO!AN94+DATOSAÑO!AF94</f>
        <v>157.02899999999892</v>
      </c>
      <c r="S94" s="209">
        <f ca="1">IF(B94&gt;=$P$5,0,CONTADORES!S90-CONTADORES!S89)</f>
        <v>16.100000000005821</v>
      </c>
      <c r="T94" s="206">
        <f ca="1">IF(B94&gt;=$P$5,0,(CONTADORES!U90-CONTADORES!U89)+(CONTADORES!AG90-CONTADORES!AG89))</f>
        <v>2.4000000000014552</v>
      </c>
      <c r="U94" s="206">
        <f ca="1">IF(B94&gt;=$P$5,0,(CONTADORES!AS90-CONTADORES!AS89))</f>
        <v>5</v>
      </c>
      <c r="V94" s="206">
        <f ca="1">IF(B94&gt;=$P$5,0,(CONTADORES!AT90-CONTADORES!AT89))</f>
        <v>0</v>
      </c>
      <c r="W94" s="715">
        <v>0</v>
      </c>
      <c r="X94" s="206">
        <f ca="1">IF(W94=0,(T94-INICIO!$W$6),((T94-INICIO!$W$6)+V94))</f>
        <v>2.4000000000014552</v>
      </c>
      <c r="Y94" s="208">
        <f t="shared" ca="1" si="22"/>
        <v>11.100000000005821</v>
      </c>
      <c r="Z94" s="209">
        <f t="shared" ca="1" si="23"/>
        <v>8.5264851485191375</v>
      </c>
      <c r="AA94" s="206">
        <f t="shared" ca="1" si="24"/>
        <v>1.8362623762385091</v>
      </c>
      <c r="AB94" s="206">
        <f t="shared" ca="1" si="25"/>
        <v>0.50829207920845088</v>
      </c>
      <c r="AC94" s="208">
        <f t="shared" ca="1" si="20"/>
        <v>0.22896039603972265</v>
      </c>
    </row>
    <row r="95" spans="2:29">
      <c r="B95" s="214">
        <v>44646</v>
      </c>
      <c r="C95" s="202">
        <f ca="1">DATOSAÑO!I95</f>
        <v>296</v>
      </c>
      <c r="D95" s="196">
        <f ca="1">DATOSAÑO!P95</f>
        <v>146</v>
      </c>
      <c r="E95" s="196">
        <f ca="1">DATOSAÑO!Q95</f>
        <v>0</v>
      </c>
      <c r="F95" s="196">
        <f ca="1">DATOSAÑO!T95</f>
        <v>0</v>
      </c>
      <c r="G95" s="196">
        <f t="shared" ca="1" si="19"/>
        <v>442</v>
      </c>
      <c r="H95" s="196">
        <f t="shared" ca="1" si="14"/>
        <v>33.872000000029061</v>
      </c>
      <c r="I95" s="196">
        <f t="shared" ca="1" si="15"/>
        <v>191.71600338693489</v>
      </c>
      <c r="J95" s="196">
        <f t="shared" ca="1" si="16"/>
        <v>43.012531752750505</v>
      </c>
      <c r="K95" s="196">
        <f t="shared" ca="1" si="17"/>
        <v>8.4132091447919759</v>
      </c>
      <c r="L95" s="196">
        <f t="shared" ca="1" si="26"/>
        <v>159.72799999999853</v>
      </c>
      <c r="M95" s="196">
        <f t="shared" ca="1" si="18"/>
        <v>5.2582557154949843</v>
      </c>
      <c r="N95" s="196">
        <f t="shared" ca="1" si="21"/>
        <v>5</v>
      </c>
      <c r="O95" s="196">
        <f ca="1">(DATOSAÑO!AJ95+DATOSAÑO!AK95+DATOSAÑO!AD95)</f>
        <v>182.29999999998836</v>
      </c>
      <c r="P95" s="196">
        <f ca="1">DATOSAÑO!AI95</f>
        <v>40.900000000001455</v>
      </c>
      <c r="Q95" s="196">
        <f ca="1">DATOSAÑO!AH95</f>
        <v>8</v>
      </c>
      <c r="R95" s="196">
        <f ca="1">DATOSAÑO!AM95+DATOSAÑO!AN95+DATOSAÑO!AF95</f>
        <v>159.72799999999853</v>
      </c>
      <c r="S95" s="209">
        <f ca="1">IF(B95&gt;=$P$5,0,CONTADORES!S91-CONTADORES!S90)</f>
        <v>17.199999999982538</v>
      </c>
      <c r="T95" s="206">
        <f ca="1">IF(B95&gt;=$P$5,0,(CONTADORES!U91-CONTADORES!U90)+(CONTADORES!AG91-CONTADORES!AG90))</f>
        <v>2.3000000000029104</v>
      </c>
      <c r="U95" s="206">
        <f ca="1">IF(B95&gt;=$P$5,0,(CONTADORES!AS91-CONTADORES!AS90))</f>
        <v>5</v>
      </c>
      <c r="V95" s="206">
        <f ca="1">IF(B95&gt;=$P$5,0,(CONTADORES!AT91-CONTADORES!AT90))</f>
        <v>0</v>
      </c>
      <c r="W95" s="715">
        <v>0</v>
      </c>
      <c r="X95" s="206">
        <f ca="1">IF(W95=0,(T95-INICIO!$W$6),((T95-INICIO!$W$6)+V95))</f>
        <v>2.3000000000029104</v>
      </c>
      <c r="Y95" s="208">
        <f t="shared" ca="1" si="22"/>
        <v>12.199999999982538</v>
      </c>
      <c r="Z95" s="209">
        <f t="shared" ca="1" si="23"/>
        <v>9.4160033869465298</v>
      </c>
      <c r="AA95" s="206">
        <f t="shared" ca="1" si="24"/>
        <v>2.1125317527490477</v>
      </c>
      <c r="AB95" s="206">
        <f t="shared" ca="1" si="25"/>
        <v>0.41320914479197507</v>
      </c>
      <c r="AC95" s="208">
        <f t="shared" ca="1" si="20"/>
        <v>0.25825571549498444</v>
      </c>
    </row>
    <row r="96" spans="2:29">
      <c r="B96" s="214">
        <v>44647</v>
      </c>
      <c r="C96" s="202">
        <f ca="1">DATOSAÑO!I96</f>
        <v>294</v>
      </c>
      <c r="D96" s="196">
        <f ca="1">DATOSAÑO!P96</f>
        <v>152</v>
      </c>
      <c r="E96" s="196">
        <f ca="1">DATOSAÑO!Q96</f>
        <v>0.32099999999991269</v>
      </c>
      <c r="F96" s="196">
        <f ca="1">DATOSAÑO!T96</f>
        <v>0</v>
      </c>
      <c r="G96" s="196">
        <f t="shared" ca="1" si="19"/>
        <v>446.32099999999991</v>
      </c>
      <c r="H96" s="196">
        <f t="shared" ca="1" si="14"/>
        <v>35.81799999998583</v>
      </c>
      <c r="I96" s="196">
        <f t="shared" ca="1" si="15"/>
        <v>192.49820233140221</v>
      </c>
      <c r="J96" s="196">
        <f t="shared" ca="1" si="16"/>
        <v>43.892098251457014</v>
      </c>
      <c r="K96" s="196">
        <f t="shared" ca="1" si="17"/>
        <v>9.4054496253122171</v>
      </c>
      <c r="L96" s="196">
        <f t="shared" ca="1" si="26"/>
        <v>159.48200000000256</v>
      </c>
      <c r="M96" s="196">
        <f t="shared" ca="1" si="18"/>
        <v>5.2252497918401204</v>
      </c>
      <c r="N96" s="196">
        <f t="shared" ca="1" si="21"/>
        <v>5</v>
      </c>
      <c r="O96" s="196">
        <f ca="1">(DATOSAÑO!AJ96+DATOSAÑO!AK96+DATOSAÑO!AD96)</f>
        <v>184.20000000001164</v>
      </c>
      <c r="P96" s="196">
        <f ca="1">DATOSAÑO!AI96</f>
        <v>42</v>
      </c>
      <c r="Q96" s="196">
        <f ca="1">DATOSAÑO!AH96</f>
        <v>9</v>
      </c>
      <c r="R96" s="196">
        <f ca="1">DATOSAÑO!AM96+DATOSAÑO!AN96+DATOSAÑO!AF96</f>
        <v>159.48200000000256</v>
      </c>
      <c r="S96" s="209">
        <f ca="1">IF(B96&gt;=$P$5,0,CONTADORES!S92-CONTADORES!S91)</f>
        <v>15.5</v>
      </c>
      <c r="T96" s="206">
        <f ca="1">IF(B96&gt;=$P$5,0,(CONTADORES!U92-CONTADORES!U91)+(CONTADORES!AG92-CONTADORES!AG91))</f>
        <v>2.3999999999941792</v>
      </c>
      <c r="U96" s="206">
        <f ca="1">IF(B96&gt;=$P$5,0,(CONTADORES!AS92-CONTADORES!AS91))</f>
        <v>5</v>
      </c>
      <c r="V96" s="206">
        <f ca="1">IF(B96&gt;=$P$5,0,(CONTADORES!AT92-CONTADORES!AT91))</f>
        <v>0</v>
      </c>
      <c r="W96" s="715">
        <v>0</v>
      </c>
      <c r="X96" s="206">
        <f ca="1">IF(W96=0,(T96-INICIO!$W$6),((T96-INICIO!$W$6)+V96))</f>
        <v>2.3999999999941792</v>
      </c>
      <c r="Y96" s="208">
        <f t="shared" ca="1" si="22"/>
        <v>10.820999999999913</v>
      </c>
      <c r="Z96" s="209">
        <f t="shared" ca="1" si="23"/>
        <v>8.2982023313905628</v>
      </c>
      <c r="AA96" s="206">
        <f t="shared" ca="1" si="24"/>
        <v>1.8920982514570122</v>
      </c>
      <c r="AB96" s="206">
        <f t="shared" ca="1" si="25"/>
        <v>0.4054496253122169</v>
      </c>
      <c r="AC96" s="208">
        <f t="shared" ca="1" si="20"/>
        <v>0.22524979184012048</v>
      </c>
    </row>
    <row r="97" spans="2:29">
      <c r="B97" s="214">
        <v>44648</v>
      </c>
      <c r="C97" s="202">
        <f ca="1">DATOSAÑO!I97</f>
        <v>297</v>
      </c>
      <c r="D97" s="196">
        <f ca="1">DATOSAÑO!P97</f>
        <v>147</v>
      </c>
      <c r="E97" s="196">
        <f ca="1">DATOSAÑO!Q97</f>
        <v>0</v>
      </c>
      <c r="F97" s="196">
        <f ca="1">DATOSAÑO!T97</f>
        <v>0.36199999999996635</v>
      </c>
      <c r="G97" s="196">
        <f t="shared" ca="1" si="19"/>
        <v>444.36199999999997</v>
      </c>
      <c r="H97" s="196">
        <f t="shared" ca="1" si="14"/>
        <v>33.97299999999268</v>
      </c>
      <c r="I97" s="196">
        <f t="shared" ca="1" si="15"/>
        <v>193.66861590240413</v>
      </c>
      <c r="J97" s="196">
        <f t="shared" ca="1" si="16"/>
        <v>43.072233908292837</v>
      </c>
      <c r="K97" s="196">
        <f t="shared" ca="1" si="17"/>
        <v>6.9875052587267872</v>
      </c>
      <c r="L97" s="196">
        <f t="shared" ca="1" si="26"/>
        <v>162.48899999999855</v>
      </c>
      <c r="M97" s="196">
        <f t="shared" ca="1" si="18"/>
        <v>4.1716449305849688</v>
      </c>
      <c r="N97" s="196">
        <f t="shared" ca="1" si="21"/>
        <v>4</v>
      </c>
      <c r="O97" s="196">
        <f ca="1">(DATOSAÑO!AJ97+DATOSAÑO!AK97+DATOSAÑO!AD97)</f>
        <v>185.69999999999709</v>
      </c>
      <c r="P97" s="196">
        <f ca="1">DATOSAÑO!AI97</f>
        <v>41.30000000000291</v>
      </c>
      <c r="Q97" s="196">
        <f ca="1">DATOSAÑO!AH97</f>
        <v>6.6999999999970896</v>
      </c>
      <c r="R97" s="196">
        <f ca="1">DATOSAÑO!AM97+DATOSAÑO!AN97+DATOSAÑO!AF97</f>
        <v>162.48899999999855</v>
      </c>
      <c r="S97" s="209">
        <f ca="1">IF(B97&gt;=$P$5,0,CONTADORES!S93-CONTADORES!S92)</f>
        <v>14.200000000011642</v>
      </c>
      <c r="T97" s="206">
        <f ca="1">IF(B97&gt;=$P$5,0,(CONTADORES!U93-CONTADORES!U92)+(CONTADORES!AG93-CONTADORES!AG92))</f>
        <v>2.6000000000058208</v>
      </c>
      <c r="U97" s="206">
        <f ca="1">IF(B97&gt;=$P$5,0,(CONTADORES!AS93-CONTADORES!AS92))</f>
        <v>4</v>
      </c>
      <c r="V97" s="206">
        <f ca="1">IF(B97&gt;=$P$5,0,(CONTADORES!AT93-CONTADORES!AT92))</f>
        <v>0</v>
      </c>
      <c r="W97" s="715">
        <v>0</v>
      </c>
      <c r="X97" s="206">
        <f ca="1">IF(W97=0,(T97-INICIO!$W$6),((T97-INICIO!$W$6)+V97))</f>
        <v>2.6000000000058208</v>
      </c>
      <c r="Y97" s="208">
        <f t="shared" ca="1" si="22"/>
        <v>10.200000000011642</v>
      </c>
      <c r="Z97" s="209">
        <f t="shared" ca="1" si="23"/>
        <v>7.9686159024070484</v>
      </c>
      <c r="AA97" s="206">
        <f t="shared" ca="1" si="24"/>
        <v>1.772233908289927</v>
      </c>
      <c r="AB97" s="206">
        <f t="shared" ca="1" si="25"/>
        <v>0.28750525872969768</v>
      </c>
      <c r="AC97" s="208">
        <f t="shared" ca="1" si="20"/>
        <v>0.17164493058496871</v>
      </c>
    </row>
    <row r="98" spans="2:29">
      <c r="B98" s="214">
        <v>44649</v>
      </c>
      <c r="C98" s="202">
        <f ca="1">DATOSAÑO!I98</f>
        <v>295</v>
      </c>
      <c r="D98" s="196">
        <f ca="1">DATOSAÑO!P98</f>
        <v>151</v>
      </c>
      <c r="E98" s="196">
        <f ca="1">DATOSAÑO!Q98</f>
        <v>0</v>
      </c>
      <c r="F98" s="196">
        <f ca="1">DATOSAÑO!T98</f>
        <v>0</v>
      </c>
      <c r="G98" s="196">
        <f t="shared" ca="1" si="19"/>
        <v>446</v>
      </c>
      <c r="H98" s="196">
        <f t="shared" ca="1" si="14"/>
        <v>34.847000000005892</v>
      </c>
      <c r="I98" s="196">
        <f t="shared" ca="1" si="15"/>
        <v>193.11047778708254</v>
      </c>
      <c r="J98" s="196">
        <f t="shared" ca="1" si="16"/>
        <v>41.844090528080535</v>
      </c>
      <c r="K98" s="196">
        <f t="shared" ca="1" si="17"/>
        <v>9.4149203688181213</v>
      </c>
      <c r="L98" s="196">
        <f t="shared" ca="1" si="26"/>
        <v>161.5530000000029</v>
      </c>
      <c r="M98" s="196">
        <f t="shared" ca="1" si="18"/>
        <v>5.2305113160100669</v>
      </c>
      <c r="N98" s="196">
        <f t="shared" ca="1" si="21"/>
        <v>5</v>
      </c>
      <c r="O98" s="196">
        <f ca="1">(DATOSAÑO!AJ98+DATOSAÑO!AK98+DATOSAÑO!AD98)</f>
        <v>184.59999999999127</v>
      </c>
      <c r="P98" s="196">
        <f ca="1">DATOSAÑO!AI98</f>
        <v>40</v>
      </c>
      <c r="Q98" s="196">
        <f ca="1">DATOSAÑO!AH98</f>
        <v>9</v>
      </c>
      <c r="R98" s="196">
        <f ca="1">DATOSAÑO!AM98+DATOSAÑO!AN98+DATOSAÑO!AF98</f>
        <v>161.5530000000029</v>
      </c>
      <c r="S98" s="209">
        <f ca="1">IF(B98&gt;=$P$5,0,CONTADORES!S94-CONTADORES!S93)</f>
        <v>16</v>
      </c>
      <c r="T98" s="206">
        <f ca="1">IF(B98&gt;=$P$5,0,(CONTADORES!U94-CONTADORES!U93)+(CONTADORES!AG94-CONTADORES!AG93))</f>
        <v>2.5</v>
      </c>
      <c r="U98" s="206">
        <f ca="1">IF(B98&gt;=$P$5,0,(CONTADORES!AS94-CONTADORES!AS93))</f>
        <v>5</v>
      </c>
      <c r="V98" s="206">
        <f ca="1">IF(B98&gt;=$P$5,0,(CONTADORES!AT94-CONTADORES!AT93))</f>
        <v>0</v>
      </c>
      <c r="W98" s="715">
        <v>0</v>
      </c>
      <c r="X98" s="206">
        <f ca="1">IF(W98=0,(T98-INICIO!$W$6),((T98-INICIO!$W$6)+V98))</f>
        <v>2.5</v>
      </c>
      <c r="Y98" s="208">
        <f t="shared" ca="1" si="22"/>
        <v>11</v>
      </c>
      <c r="Z98" s="209">
        <f t="shared" ca="1" si="23"/>
        <v>8.5104777870912756</v>
      </c>
      <c r="AA98" s="206">
        <f t="shared" ca="1" si="24"/>
        <v>1.8440905280805369</v>
      </c>
      <c r="AB98" s="206">
        <f t="shared" ca="1" si="25"/>
        <v>0.41492036881812078</v>
      </c>
      <c r="AC98" s="208">
        <f t="shared" ca="1" si="20"/>
        <v>0.23051131601006711</v>
      </c>
    </row>
    <row r="99" spans="2:29">
      <c r="B99" s="214">
        <v>44650</v>
      </c>
      <c r="C99" s="202">
        <f ca="1">DATOSAÑO!I99</f>
        <v>285</v>
      </c>
      <c r="D99" s="196">
        <f ca="1">DATOSAÑO!P99</f>
        <v>145.79999999999927</v>
      </c>
      <c r="E99" s="196">
        <f ca="1">DATOSAÑO!Q99</f>
        <v>0</v>
      </c>
      <c r="F99" s="196">
        <f ca="1">DATOSAÑO!T99</f>
        <v>0</v>
      </c>
      <c r="G99" s="196">
        <f t="shared" ca="1" si="19"/>
        <v>430.79999999999927</v>
      </c>
      <c r="H99" s="196">
        <f t="shared" ca="1" si="14"/>
        <v>32.986999999999284</v>
      </c>
      <c r="I99" s="196">
        <f t="shared" ca="1" si="15"/>
        <v>190.50956175299717</v>
      </c>
      <c r="J99" s="196">
        <f t="shared" ca="1" si="16"/>
        <v>41.387649402385826</v>
      </c>
      <c r="K99" s="196">
        <f t="shared" ca="1" si="17"/>
        <v>0.73718459495045408</v>
      </c>
      <c r="L99" s="196">
        <f t="shared" ca="1" si="26"/>
        <v>159.91299999999853</v>
      </c>
      <c r="M99" s="196">
        <f t="shared" ca="1" si="18"/>
        <v>5.2656042496679927</v>
      </c>
      <c r="N99" s="196">
        <f t="shared" ca="1" si="21"/>
        <v>5</v>
      </c>
      <c r="O99" s="196">
        <f ca="1">(DATOSAÑO!AJ99+DATOSAÑO!AK99+DATOSAÑO!AD99)</f>
        <v>180.90000000000873</v>
      </c>
      <c r="P99" s="196">
        <f ca="1">DATOSAÑO!AI99</f>
        <v>39.299999999995634</v>
      </c>
      <c r="Q99" s="196">
        <f ca="1">DATOSAÑO!AH99</f>
        <v>0.69999999999708962</v>
      </c>
      <c r="R99" s="196">
        <f ca="1">DATOSAÑO!AM99+DATOSAÑO!AN99+DATOSAÑO!AF99</f>
        <v>159.91299999999853</v>
      </c>
      <c r="S99" s="209">
        <f ca="1">IF(B99&gt;=$P$5,0,CONTADORES!S95-CONTADORES!S94)</f>
        <v>17</v>
      </c>
      <c r="T99" s="206">
        <f ca="1">IF(B99&gt;=$P$5,0,(CONTADORES!U95-CONTADORES!U94)+(CONTADORES!AG95-CONTADORES!AG94))</f>
        <v>2.0999999999985448</v>
      </c>
      <c r="U99" s="206">
        <f ca="1">IF(B99&gt;=$P$5,0,(CONTADORES!AS95-CONTADORES!AS94))</f>
        <v>5</v>
      </c>
      <c r="V99" s="206">
        <f ca="1">IF(B99&gt;=$P$5,0,(CONTADORES!AT95-CONTADORES!AT94))</f>
        <v>0</v>
      </c>
      <c r="W99" s="715">
        <v>0</v>
      </c>
      <c r="X99" s="206">
        <f ca="1">IF(W99=0,(T99-INICIO!$W$6),((T99-INICIO!$W$6)+V99))</f>
        <v>2.0999999999985448</v>
      </c>
      <c r="Y99" s="208">
        <f t="shared" ca="1" si="22"/>
        <v>12</v>
      </c>
      <c r="Z99" s="209">
        <f t="shared" ca="1" si="23"/>
        <v>9.6095617529884496</v>
      </c>
      <c r="AA99" s="206">
        <f t="shared" ca="1" si="24"/>
        <v>2.087649402390193</v>
      </c>
      <c r="AB99" s="206">
        <f t="shared" ca="1" si="25"/>
        <v>3.7184594953364417E-2</v>
      </c>
      <c r="AC99" s="208">
        <f t="shared" ca="1" si="20"/>
        <v>0.26560424966799295</v>
      </c>
    </row>
    <row r="100" spans="2:29" ht="15" thickBot="1">
      <c r="B100" s="1043">
        <v>44651</v>
      </c>
      <c r="C100" s="203">
        <f ca="1">DATOSAÑO!I100</f>
        <v>310</v>
      </c>
      <c r="D100" s="197">
        <f ca="1">DATOSAÑO!P100</f>
        <v>148</v>
      </c>
      <c r="E100" s="197">
        <f ca="1">DATOSAÑO!Q100</f>
        <v>0</v>
      </c>
      <c r="F100" s="197">
        <f ca="1">DATOSAÑO!T100</f>
        <v>0</v>
      </c>
      <c r="G100" s="197">
        <f t="shared" ca="1" si="19"/>
        <v>458</v>
      </c>
      <c r="H100" s="197">
        <f t="shared" ca="1" si="14"/>
        <v>44.102000000001453</v>
      </c>
      <c r="I100" s="197">
        <f t="shared" ca="1" si="15"/>
        <v>185.93922305763994</v>
      </c>
      <c r="J100" s="197">
        <f t="shared" ca="1" si="16"/>
        <v>41.854636591478439</v>
      </c>
      <c r="K100" s="197">
        <f t="shared" ca="1" si="17"/>
        <v>17.578947368423989</v>
      </c>
      <c r="L100" s="197">
        <f t="shared" ca="1" si="26"/>
        <v>163.39799999999855</v>
      </c>
      <c r="M100" s="197">
        <f t="shared" ca="1" si="18"/>
        <v>5.1271929824576317</v>
      </c>
      <c r="N100" s="197">
        <f t="shared" ca="1" si="21"/>
        <v>4.9000000000014552</v>
      </c>
      <c r="O100" s="197">
        <f ca="1">(DATOSAÑO!AJ100+DATOSAÑO!AK100+DATOSAÑO!AD100)</f>
        <v>177.69999999999709</v>
      </c>
      <c r="P100" s="197">
        <f ca="1">DATOSAÑO!AI100</f>
        <v>40</v>
      </c>
      <c r="Q100" s="197">
        <f ca="1">DATOSAÑO!AH100</f>
        <v>16.80000000000291</v>
      </c>
      <c r="R100" s="197">
        <f ca="1">DATOSAÑO!AM100+DATOSAÑO!AN100+DATOSAÑO!AF100</f>
        <v>163.39799999999855</v>
      </c>
      <c r="S100" s="203">
        <f ca="1">IF(B100&gt;=$P$5,0,CONTADORES!S96-CONTADORES!S95)</f>
        <v>16</v>
      </c>
      <c r="T100" s="197">
        <f ca="1">IF(B100&gt;=$P$5,0,(CONTADORES!U96-CONTADORES!U95)+(CONTADORES!AG96-CONTADORES!AG95))</f>
        <v>2.5</v>
      </c>
      <c r="U100" s="197">
        <f ca="1">IF(B100&gt;=$P$5,0,(CONTADORES!AS96-CONTADORES!AS95))</f>
        <v>4.9000000000014552</v>
      </c>
      <c r="V100" s="197">
        <f ca="1">IF(B100&gt;=$P$5,0,(CONTADORES!AT96-CONTADORES!AT95))</f>
        <v>0</v>
      </c>
      <c r="W100" s="716">
        <v>0</v>
      </c>
      <c r="X100" s="197">
        <f ca="1">IF(W100=0,(T100-INICIO!$W$6),((T100-INICIO!$W$6)+V100))</f>
        <v>2.5</v>
      </c>
      <c r="Y100" s="201">
        <f t="shared" ca="1" si="22"/>
        <v>11.099999999998545</v>
      </c>
      <c r="Z100" s="197">
        <f t="shared" ca="1" si="23"/>
        <v>8.239223057642846</v>
      </c>
      <c r="AA100" s="197">
        <f t="shared" ca="1" si="24"/>
        <v>1.8546365914784424</v>
      </c>
      <c r="AB100" s="197">
        <f t="shared" ca="1" si="25"/>
        <v>0.7789473684210807</v>
      </c>
      <c r="AC100" s="201">
        <f t="shared" ca="1" si="20"/>
        <v>0.22719298245617667</v>
      </c>
    </row>
    <row r="101" spans="2:29">
      <c r="B101" s="390">
        <v>44652</v>
      </c>
      <c r="C101" s="202">
        <f ca="1">DATOSAÑO!I101</f>
        <v>307</v>
      </c>
      <c r="D101" s="196">
        <f ca="1">DATOSAÑO!P101</f>
        <v>147.20000000000073</v>
      </c>
      <c r="E101" s="196">
        <f ca="1">DATOSAÑO!Q101</f>
        <v>0</v>
      </c>
      <c r="F101" s="196">
        <f ca="1">DATOSAÑO!T101</f>
        <v>0</v>
      </c>
      <c r="G101" s="196">
        <f t="shared" ca="1" si="19"/>
        <v>454.20000000000073</v>
      </c>
      <c r="H101" s="196">
        <f ca="1">G101-SUM(I101:M101)</f>
        <v>25.43999999999636</v>
      </c>
      <c r="I101" s="196">
        <f t="shared" ca="1" si="15"/>
        <v>205.64463007159293</v>
      </c>
      <c r="J101" s="196">
        <f t="shared" ca="1" si="16"/>
        <v>40.733054892607484</v>
      </c>
      <c r="K101" s="196">
        <f t="shared" ca="1" si="17"/>
        <v>10.834367541767623</v>
      </c>
      <c r="L101" s="196">
        <f t="shared" ca="1" si="26"/>
        <v>166.86000000000291</v>
      </c>
      <c r="M101" s="196">
        <f t="shared" ca="1" si="18"/>
        <v>4.6879474940334118</v>
      </c>
      <c r="N101" s="196">
        <f t="shared" ca="1" si="21"/>
        <v>4.5</v>
      </c>
      <c r="O101" s="196">
        <f ca="1">(DATOSAÑO!AJ101+DATOSAÑO!AK101+DATOSAÑO!AD101)</f>
        <v>197.39999999999418</v>
      </c>
      <c r="P101" s="196">
        <f ca="1">DATOSAÑO!AI101</f>
        <v>39.100000000005821</v>
      </c>
      <c r="Q101" s="196">
        <f ca="1">DATOSAÑO!AH101</f>
        <v>10.400000000001455</v>
      </c>
      <c r="R101" s="196">
        <f ca="1">DATOSAÑO!AM101+DATOSAÑO!AN101+DATOSAÑO!AF101</f>
        <v>166.86000000000291</v>
      </c>
      <c r="S101" s="202">
        <f ca="1">IF(B101&gt;=$P$5,0,CONTADORES!S99-CONTADORES!S98)</f>
        <v>15</v>
      </c>
      <c r="T101" s="196">
        <f ca="1">IF(B101&gt;=$P$5,0,(CONTADORES!U99-CONTADORES!U98)+(CONTADORES!AG99-CONTADORES!AG98))</f>
        <v>2.5999999999985448</v>
      </c>
      <c r="U101" s="196">
        <f ca="1">IF(B101&gt;=$P$5,0,(CONTADORES!AS99-CONTADORES!AS98))</f>
        <v>4.5</v>
      </c>
      <c r="V101" s="196">
        <f ca="1">IF(B101&gt;=$P$5,0,(CONTADORES!AT99-CONTADORES!AT98))</f>
        <v>0</v>
      </c>
      <c r="W101" s="714">
        <v>0</v>
      </c>
      <c r="X101" s="196">
        <f ca="1">IF(W101=0,(T101-INICIO!$W$6),((T101-INICIO!$W$6)+V101))</f>
        <v>2.5999999999985448</v>
      </c>
      <c r="Y101" s="208">
        <f t="shared" ca="1" si="22"/>
        <v>10.5</v>
      </c>
      <c r="Z101" s="209">
        <f t="shared" ca="1" si="23"/>
        <v>8.2446300715987544</v>
      </c>
      <c r="AA101" s="206">
        <f t="shared" ca="1" si="24"/>
        <v>1.6330548926016657</v>
      </c>
      <c r="AB101" s="206">
        <f t="shared" ca="1" si="25"/>
        <v>0.43436754176616804</v>
      </c>
      <c r="AC101" s="208">
        <f t="shared" ca="1" si="20"/>
        <v>0.18794749403341179</v>
      </c>
    </row>
    <row r="102" spans="2:29">
      <c r="B102" s="214">
        <v>44653</v>
      </c>
      <c r="C102" s="202">
        <f ca="1">DATOSAÑO!I102</f>
        <v>308</v>
      </c>
      <c r="D102" s="196">
        <f ca="1">DATOSAÑO!P102</f>
        <v>147</v>
      </c>
      <c r="E102" s="196">
        <f ca="1">DATOSAÑO!Q102</f>
        <v>0</v>
      </c>
      <c r="F102" s="196">
        <f ca="1">DATOSAÑO!T102</f>
        <v>0</v>
      </c>
      <c r="G102" s="196">
        <f t="shared" ca="1" si="19"/>
        <v>455</v>
      </c>
      <c r="H102" s="196">
        <f t="shared" ref="H102:H130" ca="1" si="27">G102-SUM(I102:M102)</f>
        <v>35.347600000006651</v>
      </c>
      <c r="I102" s="196">
        <f t="shared" ca="1" si="15"/>
        <v>194.95437731196066</v>
      </c>
      <c r="J102" s="196">
        <f t="shared" ca="1" si="16"/>
        <v>40.546362515411587</v>
      </c>
      <c r="K102" s="196">
        <f t="shared" ca="1" si="17"/>
        <v>12.651294697900813</v>
      </c>
      <c r="L102" s="196">
        <f t="shared" ca="1" si="26"/>
        <v>167.35239999999771</v>
      </c>
      <c r="M102" s="196">
        <f t="shared" ca="1" si="18"/>
        <v>4.1479654747225672</v>
      </c>
      <c r="N102" s="196">
        <f t="shared" ca="1" si="21"/>
        <v>4</v>
      </c>
      <c r="O102" s="196">
        <f ca="1">(DATOSAÑO!AJ102+DATOSAÑO!AK102+DATOSAÑO!AD102)</f>
        <v>188</v>
      </c>
      <c r="P102" s="196">
        <f ca="1">DATOSAÑO!AI102</f>
        <v>39.099999999998545</v>
      </c>
      <c r="Q102" s="196">
        <f ca="1">DATOSAÑO!AH102</f>
        <v>12.19999999999709</v>
      </c>
      <c r="R102" s="196">
        <f ca="1">DATOSAÑO!AM102+DATOSAÑO!AN102+DATOSAÑO!AF102</f>
        <v>167.35239999999771</v>
      </c>
      <c r="S102" s="209">
        <f ca="1">IF(B102&gt;=$P$5,0,CONTADORES!S100-CONTADORES!S99)</f>
        <v>13</v>
      </c>
      <c r="T102" s="206">
        <f ca="1">IF(B102&gt;=$P$5,0,(CONTADORES!U100-CONTADORES!U99)+(CONTADORES!AG100-CONTADORES!AG99))</f>
        <v>2.4000000000014552</v>
      </c>
      <c r="U102" s="206">
        <f ca="1">IF(B102&gt;=$P$5,0,(CONTADORES!AS100-CONTADORES!AS99))</f>
        <v>4</v>
      </c>
      <c r="V102" s="206">
        <f ca="1">IF(B102&gt;=$P$5,0,(CONTADORES!AT100-CONTADORES!AT99))</f>
        <v>0</v>
      </c>
      <c r="W102" s="715">
        <v>0</v>
      </c>
      <c r="X102" s="206">
        <f ca="1">IF(W102=0,(T102-INICIO!$W$6),((T102-INICIO!$W$6)+V102))</f>
        <v>2.4000000000014552</v>
      </c>
      <c r="Y102" s="208">
        <f t="shared" ca="1" si="22"/>
        <v>9</v>
      </c>
      <c r="Z102" s="209">
        <f t="shared" ca="1" si="23"/>
        <v>6.9543773119606671</v>
      </c>
      <c r="AA102" s="206">
        <f t="shared" ca="1" si="24"/>
        <v>1.4463625154130424</v>
      </c>
      <c r="AB102" s="206">
        <f t="shared" ca="1" si="25"/>
        <v>0.4512946979037229</v>
      </c>
      <c r="AC102" s="208">
        <f t="shared" ca="1" si="20"/>
        <v>0.14796547472256738</v>
      </c>
    </row>
    <row r="103" spans="2:29">
      <c r="B103" s="214">
        <v>44654</v>
      </c>
      <c r="C103" s="202">
        <f ca="1">DATOSAÑO!I103</f>
        <v>303</v>
      </c>
      <c r="D103" s="196">
        <f ca="1">DATOSAÑO!P103</f>
        <v>147.20000000000073</v>
      </c>
      <c r="E103" s="196">
        <f ca="1">DATOSAÑO!Q103</f>
        <v>0.14499999999998181</v>
      </c>
      <c r="F103" s="196">
        <f ca="1">DATOSAÑO!T103</f>
        <v>0.28600000000005821</v>
      </c>
      <c r="G103" s="196">
        <f t="shared" ca="1" si="19"/>
        <v>450.63100000000077</v>
      </c>
      <c r="H103" s="196">
        <f t="shared" ca="1" si="27"/>
        <v>35.186999999985517</v>
      </c>
      <c r="I103" s="196">
        <f t="shared" ca="1" si="15"/>
        <v>201.36119867276693</v>
      </c>
      <c r="J103" s="196">
        <f t="shared" ca="1" si="16"/>
        <v>40.06357527996871</v>
      </c>
      <c r="K103" s="196">
        <f t="shared" ca="1" si="17"/>
        <v>5.2166113645790615</v>
      </c>
      <c r="L103" s="196">
        <f t="shared" ca="1" si="26"/>
        <v>163.89899999999926</v>
      </c>
      <c r="M103" s="196">
        <f t="shared" ca="1" si="18"/>
        <v>4.9036146827012805</v>
      </c>
      <c r="N103" s="196">
        <f t="shared" ca="1" si="21"/>
        <v>4.6999999999970896</v>
      </c>
      <c r="O103" s="196">
        <f ca="1">(DATOSAÑO!AJ103+DATOSAÑO!AK103+DATOSAÑO!AD103)</f>
        <v>193.00000000001455</v>
      </c>
      <c r="P103" s="196">
        <f ca="1">DATOSAÑO!AI103</f>
        <v>38.400000000001455</v>
      </c>
      <c r="Q103" s="196">
        <f ca="1">DATOSAÑO!AH103</f>
        <v>5</v>
      </c>
      <c r="R103" s="196">
        <f ca="1">DATOSAÑO!AM103+DATOSAÑO!AN103+DATOSAÑO!AF103</f>
        <v>163.89899999999926</v>
      </c>
      <c r="S103" s="209">
        <f ca="1">IF(B103&gt;=$P$5,0,CONTADORES!S101-CONTADORES!S100)</f>
        <v>15</v>
      </c>
      <c r="T103" s="206">
        <f ca="1">IF(B103&gt;=$P$5,0,(CONTADORES!U101-CONTADORES!U100)+(CONTADORES!AG101-CONTADORES!AG100))</f>
        <v>2.4000000000014552</v>
      </c>
      <c r="U103" s="206">
        <f ca="1">IF(B103&gt;=$P$5,0,(CONTADORES!AS101-CONTADORES!AS100))</f>
        <v>4.6999999999970896</v>
      </c>
      <c r="V103" s="206">
        <f ca="1">IF(B103&gt;=$P$5,0,(CONTADORES!AT101-CONTADORES!AT100))</f>
        <v>0</v>
      </c>
      <c r="W103" s="715">
        <v>0</v>
      </c>
      <c r="X103" s="206">
        <f ca="1">IF(W103=0,(T103-INICIO!$W$6),((T103-INICIO!$W$6)+V103))</f>
        <v>2.4000000000014552</v>
      </c>
      <c r="Y103" s="208">
        <f t="shared" ca="1" si="22"/>
        <v>10.445000000002892</v>
      </c>
      <c r="Z103" s="209">
        <f t="shared" ca="1" si="23"/>
        <v>8.361198672752387</v>
      </c>
      <c r="AA103" s="206">
        <f t="shared" ca="1" si="24"/>
        <v>1.6635752799672521</v>
      </c>
      <c r="AB103" s="206">
        <f t="shared" ca="1" si="25"/>
        <v>0.21661136457906108</v>
      </c>
      <c r="AC103" s="208">
        <f t="shared" ca="1" si="20"/>
        <v>0.20361468270419131</v>
      </c>
    </row>
    <row r="104" spans="2:29">
      <c r="B104" s="214">
        <v>44655</v>
      </c>
      <c r="C104" s="202">
        <f ca="1">DATOSAÑO!I104</f>
        <v>322.90000000002328</v>
      </c>
      <c r="D104" s="196">
        <f ca="1">DATOSAÑO!P104</f>
        <v>148.09999999999854</v>
      </c>
      <c r="E104" s="196">
        <f ca="1">DATOSAÑO!Q104</f>
        <v>0.25600000000008549</v>
      </c>
      <c r="F104" s="196">
        <f ca="1">DATOSAÑO!T104</f>
        <v>0</v>
      </c>
      <c r="G104" s="196">
        <f t="shared" ca="1" si="19"/>
        <v>471.25600000002191</v>
      </c>
      <c r="H104" s="196">
        <f t="shared" ca="1" si="27"/>
        <v>37.727000000007308</v>
      </c>
      <c r="I104" s="196">
        <f t="shared" ca="1" si="15"/>
        <v>204.69206539510145</v>
      </c>
      <c r="J104" s="196">
        <f t="shared" ca="1" si="16"/>
        <v>38.516762942773219</v>
      </c>
      <c r="K104" s="196">
        <f t="shared" ca="1" si="17"/>
        <v>19.728098092644572</v>
      </c>
      <c r="L104" s="196">
        <f t="shared" ca="1" si="26"/>
        <v>165.37300000001309</v>
      </c>
      <c r="M104" s="196">
        <f t="shared" ca="1" si="18"/>
        <v>5.2190735694822896</v>
      </c>
      <c r="N104" s="196">
        <f t="shared" ca="1" si="21"/>
        <v>5</v>
      </c>
      <c r="O104" s="196">
        <f ca="1">(DATOSAÑO!AJ104+DATOSAÑO!AK104+DATOSAÑO!AD104)</f>
        <v>196.10000000000582</v>
      </c>
      <c r="P104" s="196">
        <f ca="1">DATOSAÑO!AI104</f>
        <v>36.899999999994179</v>
      </c>
      <c r="Q104" s="196">
        <f ca="1">DATOSAÑO!AH104</f>
        <v>18.900000000001455</v>
      </c>
      <c r="R104" s="196">
        <f ca="1">DATOSAÑO!AM104+DATOSAÑO!AN104+DATOSAÑO!AF104</f>
        <v>165.37300000001309</v>
      </c>
      <c r="S104" s="209">
        <f ca="1">IF(B104&gt;=$P$5,0,CONTADORES!S102-CONTADORES!S101)</f>
        <v>16</v>
      </c>
      <c r="T104" s="206">
        <f ca="1">IF(B104&gt;=$P$5,0,(CONTADORES!U102-CONTADORES!U101)+(CONTADORES!AG102-CONTADORES!AG101))</f>
        <v>2.2999999999956344</v>
      </c>
      <c r="U104" s="206">
        <f ca="1">IF(B104&gt;=$P$5,0,(CONTADORES!AS102-CONTADORES!AS101))</f>
        <v>5</v>
      </c>
      <c r="V104" s="206">
        <f ca="1">IF(B104&gt;=$P$5,0,(CONTADORES!AT102-CONTADORES!AT101))</f>
        <v>0</v>
      </c>
      <c r="W104" s="715">
        <v>0</v>
      </c>
      <c r="X104" s="206">
        <f ca="1">IF(W104=0,(T104-INICIO!$W$6),((T104-INICIO!$W$6)+V104))</f>
        <v>2.2999999999956344</v>
      </c>
      <c r="Y104" s="208">
        <f t="shared" ca="1" si="22"/>
        <v>11.256000000000085</v>
      </c>
      <c r="Z104" s="209">
        <f t="shared" ca="1" si="23"/>
        <v>8.5920653950956396</v>
      </c>
      <c r="AA104" s="206">
        <f t="shared" ca="1" si="24"/>
        <v>1.6167629427790398</v>
      </c>
      <c r="AB104" s="206">
        <f t="shared" ca="1" si="25"/>
        <v>0.82809809264311718</v>
      </c>
      <c r="AC104" s="208">
        <f t="shared" ca="1" si="20"/>
        <v>0.21907356948228926</v>
      </c>
    </row>
    <row r="105" spans="2:29">
      <c r="B105" s="214">
        <v>44656</v>
      </c>
      <c r="C105" s="202">
        <f ca="1">DATOSAÑO!I105</f>
        <v>302.40000000002328</v>
      </c>
      <c r="D105" s="196">
        <f ca="1">DATOSAÑO!P105</f>
        <v>150.40000000000146</v>
      </c>
      <c r="E105" s="196">
        <f ca="1">DATOSAÑO!Q105</f>
        <v>0</v>
      </c>
      <c r="F105" s="196">
        <f ca="1">DATOSAÑO!T105</f>
        <v>0</v>
      </c>
      <c r="G105" s="196">
        <f t="shared" ca="1" si="19"/>
        <v>452.80000000002474</v>
      </c>
      <c r="H105" s="196">
        <f t="shared" ca="1" si="27"/>
        <v>34.224100000072099</v>
      </c>
      <c r="I105" s="196">
        <f t="shared" ca="1" si="15"/>
        <v>202.29623500200623</v>
      </c>
      <c r="J105" s="196">
        <f t="shared" ca="1" si="16"/>
        <v>39.198179561442608</v>
      </c>
      <c r="K105" s="196">
        <f t="shared" ca="1" si="17"/>
        <v>7.671493587094445</v>
      </c>
      <c r="L105" s="196">
        <f t="shared" ca="1" si="26"/>
        <v>164.57590000001082</v>
      </c>
      <c r="M105" s="196">
        <f t="shared" ca="1" si="18"/>
        <v>4.834091849398523</v>
      </c>
      <c r="N105" s="196">
        <f t="shared" ca="1" si="21"/>
        <v>4.5999999999985448</v>
      </c>
      <c r="O105" s="196">
        <f ca="1">(DATOSAÑO!AJ105+DATOSAÑO!AK105+DATOSAÑO!AD105)</f>
        <v>192.49999999994179</v>
      </c>
      <c r="P105" s="196">
        <f ca="1">DATOSAÑO!AI105</f>
        <v>37.30000000000291</v>
      </c>
      <c r="Q105" s="196">
        <f ca="1">DATOSAÑO!AH105</f>
        <v>7.3000000000029104</v>
      </c>
      <c r="R105" s="196">
        <f ca="1">DATOSAÑO!AM105+DATOSAÑO!AN105+DATOSAÑO!AF105</f>
        <v>164.57590000001082</v>
      </c>
      <c r="S105" s="209">
        <f ca="1">IF(B105&gt;=$P$5,0,CONTADORES!S103-CONTADORES!S102)</f>
        <v>16.899999999994179</v>
      </c>
      <c r="T105" s="206">
        <f ca="1">IF(B105&gt;=$P$5,0,(CONTADORES!U103-CONTADORES!U102)+(CONTADORES!AG103-CONTADORES!AG102))</f>
        <v>2.0999999999985448</v>
      </c>
      <c r="U105" s="206">
        <f ca="1">IF(B105&gt;=$P$5,0,(CONTADORES!AS103-CONTADORES!AS102))</f>
        <v>4.5999999999985448</v>
      </c>
      <c r="V105" s="206">
        <f ca="1">IF(B105&gt;=$P$5,0,(CONTADORES!AT103-CONTADORES!AT102))</f>
        <v>0</v>
      </c>
      <c r="W105" s="715">
        <v>0</v>
      </c>
      <c r="X105" s="206">
        <f ca="1">IF(W105=0,(T105-INICIO!$W$6),((T105-INICIO!$W$6)+V105))</f>
        <v>2.0999999999985448</v>
      </c>
      <c r="Y105" s="208">
        <f t="shared" ca="1" si="22"/>
        <v>12.299999999995634</v>
      </c>
      <c r="Z105" s="209">
        <f t="shared" ca="1" si="23"/>
        <v>9.7962350020644244</v>
      </c>
      <c r="AA105" s="206">
        <f t="shared" ca="1" si="24"/>
        <v>1.8981795614396988</v>
      </c>
      <c r="AB105" s="206">
        <f t="shared" ca="1" si="25"/>
        <v>0.37149358709153468</v>
      </c>
      <c r="AC105" s="208">
        <f t="shared" ca="1" si="20"/>
        <v>0.23409184939997776</v>
      </c>
    </row>
    <row r="106" spans="2:29">
      <c r="B106" s="214">
        <v>44657</v>
      </c>
      <c r="C106" s="202">
        <f ca="1">DATOSAÑO!I106</f>
        <v>308.69999999995343</v>
      </c>
      <c r="D106" s="196">
        <f ca="1">DATOSAÑO!P106</f>
        <v>151.29999999999927</v>
      </c>
      <c r="E106" s="196">
        <f ca="1">DATOSAÑO!Q106</f>
        <v>0</v>
      </c>
      <c r="F106" s="196">
        <f ca="1">DATOSAÑO!T106</f>
        <v>0</v>
      </c>
      <c r="G106" s="196">
        <f t="shared" ca="1" si="19"/>
        <v>459.99999999995271</v>
      </c>
      <c r="H106" s="196">
        <f t="shared" ca="1" si="27"/>
        <v>35.992299999942304</v>
      </c>
      <c r="I106" s="196">
        <f t="shared" ca="1" si="15"/>
        <v>202.1289814066636</v>
      </c>
      <c r="J106" s="196">
        <f t="shared" ca="1" si="16"/>
        <v>41.513298302341582</v>
      </c>
      <c r="K106" s="196">
        <f t="shared" ca="1" si="17"/>
        <v>10.561317704121418</v>
      </c>
      <c r="L106" s="196">
        <f t="shared" ca="1" si="26"/>
        <v>165.3076999999769</v>
      </c>
      <c r="M106" s="196">
        <f t="shared" ca="1" si="18"/>
        <v>4.4964025869068696</v>
      </c>
      <c r="N106" s="196">
        <f t="shared" ca="1" si="21"/>
        <v>4.3000000000029104</v>
      </c>
      <c r="O106" s="196">
        <f ca="1">(DATOSAÑO!AJ106+DATOSAÑO!AK106+DATOSAÑO!AD106)</f>
        <v>193.30000000003201</v>
      </c>
      <c r="P106" s="196">
        <f ca="1">DATOSAÑO!AI106</f>
        <v>39.69999999999709</v>
      </c>
      <c r="Q106" s="196">
        <f ca="1">DATOSAÑO!AH106</f>
        <v>10.099999999998545</v>
      </c>
      <c r="R106" s="196">
        <f ca="1">DATOSAÑO!AM106+DATOSAÑO!AN106+DATOSAÑO!AF106</f>
        <v>165.3076999999769</v>
      </c>
      <c r="S106" s="209">
        <f ca="1">IF(B106&gt;=$P$5,0,CONTADORES!S104-CONTADORES!S103)</f>
        <v>15.600000000005821</v>
      </c>
      <c r="T106" s="206">
        <f ca="1">IF(B106&gt;=$P$5,0,(CONTADORES!U104-CONTADORES!U103)+(CONTADORES!AG104-CONTADORES!AG103))</f>
        <v>2.2000000000043656</v>
      </c>
      <c r="U106" s="206">
        <f ca="1">IF(B106&gt;=$P$5,0,(CONTADORES!AS104-CONTADORES!AS103))</f>
        <v>4.3000000000029104</v>
      </c>
      <c r="V106" s="206">
        <f ca="1">IF(B106&gt;=$P$5,0,(CONTADORES!AT104-CONTADORES!AT103))</f>
        <v>0</v>
      </c>
      <c r="W106" s="715">
        <v>0</v>
      </c>
      <c r="X106" s="206">
        <f ca="1">IF(W106=0,(T106-INICIO!$W$6),((T106-INICIO!$W$6)+V106))</f>
        <v>2.2000000000043656</v>
      </c>
      <c r="Y106" s="208">
        <f t="shared" ca="1" si="22"/>
        <v>11.30000000000291</v>
      </c>
      <c r="Z106" s="209">
        <f t="shared" ca="1" si="23"/>
        <v>8.8289814066315877</v>
      </c>
      <c r="AA106" s="206">
        <f t="shared" ca="1" si="24"/>
        <v>1.8132983023444917</v>
      </c>
      <c r="AB106" s="206">
        <f t="shared" ca="1" si="25"/>
        <v>0.46131770412287332</v>
      </c>
      <c r="AC106" s="208">
        <f t="shared" ca="1" si="20"/>
        <v>0.19640258690395876</v>
      </c>
    </row>
    <row r="107" spans="2:29">
      <c r="B107" s="214">
        <v>44658</v>
      </c>
      <c r="C107" s="202">
        <f ca="1">DATOSAÑO!I107</f>
        <v>314</v>
      </c>
      <c r="D107" s="196">
        <f ca="1">DATOSAÑO!P107</f>
        <v>148</v>
      </c>
      <c r="E107" s="196">
        <f ca="1">DATOSAÑO!Q107</f>
        <v>0</v>
      </c>
      <c r="F107" s="196">
        <f ca="1">DATOSAÑO!T107</f>
        <v>0</v>
      </c>
      <c r="G107" s="196">
        <f t="shared" ca="1" si="19"/>
        <v>462</v>
      </c>
      <c r="H107" s="196">
        <f t="shared" ca="1" si="27"/>
        <v>34.612999999991644</v>
      </c>
      <c r="I107" s="196">
        <f t="shared" ca="1" si="15"/>
        <v>199.54250801283519</v>
      </c>
      <c r="J107" s="196">
        <f t="shared" ca="1" si="16"/>
        <v>44.215024038462438</v>
      </c>
      <c r="K107" s="196">
        <f t="shared" ca="1" si="17"/>
        <v>12.961378205123394</v>
      </c>
      <c r="L107" s="196">
        <f t="shared" ca="1" si="26"/>
        <v>166.48699999999781</v>
      </c>
      <c r="M107" s="196">
        <f t="shared" ca="1" si="18"/>
        <v>4.1810897435895411</v>
      </c>
      <c r="N107" s="196">
        <f t="shared" ca="1" si="21"/>
        <v>4</v>
      </c>
      <c r="O107" s="196">
        <f ca="1">(DATOSAÑO!AJ107+DATOSAÑO!AK107+DATOSAÑO!AD107)</f>
        <v>190.90000000002328</v>
      </c>
      <c r="P107" s="196">
        <f ca="1">DATOSAÑO!AI107</f>
        <v>42.30000000000291</v>
      </c>
      <c r="Q107" s="196">
        <f ca="1">DATOSAÑO!AH107</f>
        <v>12.399999999995998</v>
      </c>
      <c r="R107" s="196">
        <f ca="1">DATOSAÑO!AM107+DATOSAÑO!AN107+DATOSAÑO!AF107</f>
        <v>166.48699999999781</v>
      </c>
      <c r="S107" s="209">
        <f ca="1">IF(B107&gt;=$P$5,0,CONTADORES!S105-CONTADORES!S104)</f>
        <v>15.299999999988358</v>
      </c>
      <c r="T107" s="206">
        <f ca="1">IF(B107&gt;=$P$5,0,(CONTADORES!U105-CONTADORES!U104)+(CONTADORES!AG105-CONTADORES!AG104))</f>
        <v>2.1999999999970896</v>
      </c>
      <c r="U107" s="206">
        <f ca="1">IF(B107&gt;=$P$5,0,(CONTADORES!AS105-CONTADORES!AS104))</f>
        <v>4</v>
      </c>
      <c r="V107" s="206">
        <f ca="1">IF(B107&gt;=$P$5,0,(CONTADORES!AT105-CONTADORES!AT104))</f>
        <v>0</v>
      </c>
      <c r="W107" s="715">
        <v>0</v>
      </c>
      <c r="X107" s="206">
        <f ca="1">IF(W107=0,(T107-INICIO!$W$6),((T107-INICIO!$W$6)+V107))</f>
        <v>2.1999999999970896</v>
      </c>
      <c r="Y107" s="208">
        <f t="shared" ca="1" si="22"/>
        <v>11.299999999988358</v>
      </c>
      <c r="Z107" s="209">
        <f t="shared" ca="1" si="23"/>
        <v>8.642508012811895</v>
      </c>
      <c r="AA107" s="206">
        <f t="shared" ca="1" si="24"/>
        <v>1.915024038459527</v>
      </c>
      <c r="AB107" s="206">
        <f t="shared" ca="1" si="25"/>
        <v>0.56137820512739578</v>
      </c>
      <c r="AC107" s="208">
        <f t="shared" ca="1" si="20"/>
        <v>0.18108974358954091</v>
      </c>
    </row>
    <row r="108" spans="2:29">
      <c r="B108" s="214">
        <v>44659</v>
      </c>
      <c r="C108" s="202">
        <f ca="1">DATOSAÑO!I108</f>
        <v>308</v>
      </c>
      <c r="D108" s="196">
        <f ca="1">DATOSAÑO!P108</f>
        <v>146</v>
      </c>
      <c r="E108" s="196">
        <f ca="1">DATOSAÑO!Q108</f>
        <v>0</v>
      </c>
      <c r="F108" s="196">
        <f ca="1">DATOSAÑO!T108</f>
        <v>0</v>
      </c>
      <c r="G108" s="196">
        <f t="shared" ca="1" si="19"/>
        <v>454</v>
      </c>
      <c r="H108" s="196">
        <f t="shared" ca="1" si="27"/>
        <v>38.394999999993445</v>
      </c>
      <c r="I108" s="196">
        <f t="shared" ca="1" si="15"/>
        <v>191.38298397040387</v>
      </c>
      <c r="J108" s="196">
        <f t="shared" ca="1" si="16"/>
        <v>43.396794081382104</v>
      </c>
      <c r="K108" s="196">
        <f t="shared" ca="1" si="17"/>
        <v>14.257459926023159</v>
      </c>
      <c r="L108" s="196">
        <f t="shared" ca="1" si="26"/>
        <v>162.40500000000219</v>
      </c>
      <c r="M108" s="196">
        <f t="shared" ca="1" si="18"/>
        <v>4.1627620221952171</v>
      </c>
      <c r="N108" s="196">
        <f t="shared" ca="1" si="21"/>
        <v>4</v>
      </c>
      <c r="O108" s="196">
        <f ca="1">(DATOSAÑO!AJ108+DATOSAÑO!AK108+DATOSAÑO!AD108)</f>
        <v>183.89999999997963</v>
      </c>
      <c r="P108" s="196">
        <f ca="1">DATOSAÑO!AI108</f>
        <v>41.69999999999709</v>
      </c>
      <c r="Q108" s="196">
        <f ca="1">DATOSAÑO!AH108</f>
        <v>13.700000000004366</v>
      </c>
      <c r="R108" s="196">
        <f ca="1">DATOSAÑO!AM108+DATOSAÑO!AN108+DATOSAÑO!AF108</f>
        <v>162.40500000000219</v>
      </c>
      <c r="S108" s="209">
        <f ca="1">IF(B108&gt;=$P$5,0,CONTADORES!S106-CONTADORES!S105)</f>
        <v>13.900000000023283</v>
      </c>
      <c r="T108" s="206">
        <f ca="1">IF(B108&gt;=$P$5,0,(CONTADORES!U106-CONTADORES!U105)+(CONTADORES!AG106-CONTADORES!AG105))</f>
        <v>2.4000000000014552</v>
      </c>
      <c r="U108" s="206">
        <f ca="1">IF(B108&gt;=$P$5,0,(CONTADORES!AS106-CONTADORES!AS105))</f>
        <v>4</v>
      </c>
      <c r="V108" s="206">
        <f ca="1">IF(B108&gt;=$P$5,0,(CONTADORES!AT106-CONTADORES!AT105))</f>
        <v>0</v>
      </c>
      <c r="W108" s="715">
        <v>0</v>
      </c>
      <c r="X108" s="206">
        <f ca="1">IF(W108=0,(T108-INICIO!$W$6),((T108-INICIO!$W$6)+V108))</f>
        <v>2.4000000000014552</v>
      </c>
      <c r="Y108" s="208">
        <f t="shared" ca="1" si="22"/>
        <v>9.9000000000232831</v>
      </c>
      <c r="Z108" s="209">
        <f t="shared" ca="1" si="23"/>
        <v>7.4829839704242564</v>
      </c>
      <c r="AA108" s="206">
        <f t="shared" ca="1" si="24"/>
        <v>1.6967940813850153</v>
      </c>
      <c r="AB108" s="206">
        <f t="shared" ca="1" si="25"/>
        <v>0.55745992601879468</v>
      </c>
      <c r="AC108" s="208">
        <f t="shared" ca="1" si="20"/>
        <v>0.16276202219521665</v>
      </c>
    </row>
    <row r="109" spans="2:29">
      <c r="B109" s="214">
        <v>44660</v>
      </c>
      <c r="C109" s="202">
        <f ca="1">DATOSAÑO!I109</f>
        <v>299</v>
      </c>
      <c r="D109" s="196">
        <f ca="1">DATOSAÑO!P109</f>
        <v>149</v>
      </c>
      <c r="E109" s="196">
        <f ca="1">DATOSAÑO!Q109</f>
        <v>0</v>
      </c>
      <c r="F109" s="196">
        <f ca="1">DATOSAÑO!T109</f>
        <v>0</v>
      </c>
      <c r="G109" s="196">
        <f t="shared" ca="1" si="19"/>
        <v>448</v>
      </c>
      <c r="H109" s="196">
        <f t="shared" ca="1" si="27"/>
        <v>36.668000000003644</v>
      </c>
      <c r="I109" s="196">
        <f t="shared" ca="1" si="15"/>
        <v>194.39786359901248</v>
      </c>
      <c r="J109" s="196">
        <f t="shared" ca="1" si="16"/>
        <v>42.043221035333325</v>
      </c>
      <c r="K109" s="196">
        <f t="shared" ca="1" si="17"/>
        <v>12.696220213636774</v>
      </c>
      <c r="L109" s="196">
        <f t="shared" ca="1" si="26"/>
        <v>158.03200000000072</v>
      </c>
      <c r="M109" s="196">
        <f t="shared" ca="1" si="18"/>
        <v>4.1626951520130504</v>
      </c>
      <c r="N109" s="196">
        <f t="shared" ca="1" si="21"/>
        <v>4</v>
      </c>
      <c r="O109" s="196">
        <f ca="1">(DATOSAÑO!AJ109+DATOSAÑO!AK109+DATOSAÑO!AD109)</f>
        <v>186.80000000000291</v>
      </c>
      <c r="P109" s="196">
        <f ca="1">DATOSAÑO!AI109</f>
        <v>40.400000000001455</v>
      </c>
      <c r="Q109" s="196">
        <f ca="1">DATOSAÑO!AH109</f>
        <v>12.19999999999709</v>
      </c>
      <c r="R109" s="196">
        <f ca="1">DATOSAÑO!AM109+DATOSAÑO!AN109+DATOSAÑO!AF109</f>
        <v>158.03200000000072</v>
      </c>
      <c r="S109" s="209">
        <f ca="1">IF(B109&gt;=$P$5,0,CONTADORES!S107-CONTADORES!S106)</f>
        <v>13.899999999994179</v>
      </c>
      <c r="T109" s="206">
        <f ca="1">IF(B109&gt;=$P$5,0,(CONTADORES!U107-CONTADORES!U106)+(CONTADORES!AG107-CONTADORES!AG106))</f>
        <v>2.4000000000014552</v>
      </c>
      <c r="U109" s="206">
        <f ca="1">IF(B109&gt;=$P$5,0,(CONTADORES!AS107-CONTADORES!AS106))</f>
        <v>4</v>
      </c>
      <c r="V109" s="206">
        <f ca="1">IF(B109&gt;=$P$5,0,(CONTADORES!AT107-CONTADORES!AT106))</f>
        <v>0</v>
      </c>
      <c r="W109" s="715">
        <v>0</v>
      </c>
      <c r="X109" s="206">
        <f ca="1">IF(W109=0,(T109-INICIO!$W$6),((T109-INICIO!$W$6)+V109))</f>
        <v>2.4000000000014552</v>
      </c>
      <c r="Y109" s="208">
        <f t="shared" ca="1" si="22"/>
        <v>9.8999999999941792</v>
      </c>
      <c r="Z109" s="209">
        <f t="shared" ca="1" si="23"/>
        <v>7.5978635990095746</v>
      </c>
      <c r="AA109" s="206">
        <f t="shared" ca="1" si="24"/>
        <v>1.6432210353318688</v>
      </c>
      <c r="AB109" s="206">
        <f t="shared" ca="1" si="25"/>
        <v>0.49622021363968549</v>
      </c>
      <c r="AC109" s="208">
        <f t="shared" ca="1" si="20"/>
        <v>0.16269515201305046</v>
      </c>
    </row>
    <row r="110" spans="2:29">
      <c r="B110" s="214">
        <v>44661</v>
      </c>
      <c r="C110" s="202">
        <f ca="1">DATOSAÑO!I110</f>
        <v>303</v>
      </c>
      <c r="D110" s="196">
        <f ca="1">DATOSAÑO!P110</f>
        <v>146</v>
      </c>
      <c r="E110" s="196">
        <f ca="1">DATOSAÑO!Q110</f>
        <v>0</v>
      </c>
      <c r="F110" s="196">
        <f ca="1">DATOSAÑO!T110</f>
        <v>0</v>
      </c>
      <c r="G110" s="196">
        <f t="shared" ca="1" si="19"/>
        <v>449</v>
      </c>
      <c r="H110" s="196">
        <f t="shared" ca="1" si="27"/>
        <v>34.236000000017498</v>
      </c>
      <c r="I110" s="196">
        <f t="shared" ca="1" si="15"/>
        <v>191.62927234925596</v>
      </c>
      <c r="J110" s="196">
        <f t="shared" ca="1" si="16"/>
        <v>41.717338877334448</v>
      </c>
      <c r="K110" s="196">
        <f t="shared" ca="1" si="17"/>
        <v>11.651725571729299</v>
      </c>
      <c r="L110" s="196">
        <f t="shared" ca="1" si="26"/>
        <v>164.56399999999999</v>
      </c>
      <c r="M110" s="196">
        <f t="shared" ca="1" si="18"/>
        <v>5.2016632016628384</v>
      </c>
      <c r="N110" s="196">
        <f t="shared" ca="1" si="21"/>
        <v>5</v>
      </c>
      <c r="O110" s="196">
        <f ca="1">(DATOSAÑO!AJ110+DATOSAÑO!AK110+DATOSAÑO!AD110)</f>
        <v>184.19999999999709</v>
      </c>
      <c r="P110" s="196">
        <f ca="1">DATOSAÑO!AI110</f>
        <v>40.099999999998545</v>
      </c>
      <c r="Q110" s="196">
        <f ca="1">DATOSAÑO!AH110</f>
        <v>11.200000000004366</v>
      </c>
      <c r="R110" s="196">
        <f ca="1">DATOSAÑO!AM110+DATOSAÑO!AN110+DATOSAÑO!AF110</f>
        <v>164.56399999999999</v>
      </c>
      <c r="S110" s="209">
        <f ca="1">IF(B110&gt;=$P$5,0,CONTADORES!S108-CONTADORES!S107)</f>
        <v>14.699999999982538</v>
      </c>
      <c r="T110" s="206">
        <f ca="1">IF(B110&gt;=$P$5,0,(CONTADORES!U108-CONTADORES!U107)+(CONTADORES!AG108-CONTADORES!AG107))</f>
        <v>2.5999999999985448</v>
      </c>
      <c r="U110" s="206">
        <f ca="1">IF(B110&gt;=$P$5,0,(CONTADORES!AS108-CONTADORES!AS107))</f>
        <v>5</v>
      </c>
      <c r="V110" s="206">
        <f ca="1">IF(B110&gt;=$P$5,0,(CONTADORES!AT108-CONTADORES!AT107))</f>
        <v>0</v>
      </c>
      <c r="W110" s="715">
        <v>0</v>
      </c>
      <c r="X110" s="206">
        <f ca="1">IF(W110=0,(T110-INICIO!$W$6),((T110-INICIO!$W$6)+V110))</f>
        <v>2.5999999999985448</v>
      </c>
      <c r="Y110" s="208">
        <f t="shared" ca="1" si="22"/>
        <v>9.6999999999825377</v>
      </c>
      <c r="Z110" s="209">
        <f t="shared" ca="1" si="23"/>
        <v>7.4292723492588575</v>
      </c>
      <c r="AA110" s="206">
        <f t="shared" ca="1" si="24"/>
        <v>1.617338877335907</v>
      </c>
      <c r="AB110" s="206">
        <f t="shared" ca="1" si="25"/>
        <v>0.45172557172493455</v>
      </c>
      <c r="AC110" s="208">
        <f t="shared" ca="1" si="20"/>
        <v>0.20166320166283863</v>
      </c>
    </row>
    <row r="111" spans="2:29">
      <c r="B111" s="214">
        <v>44662</v>
      </c>
      <c r="C111" s="202">
        <f ca="1">DATOSAÑO!I111</f>
        <v>296</v>
      </c>
      <c r="D111" s="196">
        <f ca="1">DATOSAÑO!P111</f>
        <v>149</v>
      </c>
      <c r="E111" s="196">
        <f ca="1">DATOSAÑO!Q111</f>
        <v>0.32999999999992724</v>
      </c>
      <c r="F111" s="196">
        <f ca="1">DATOSAÑO!T111</f>
        <v>0.40300000000002001</v>
      </c>
      <c r="G111" s="196">
        <f t="shared" ca="1" si="19"/>
        <v>445.73299999999995</v>
      </c>
      <c r="H111" s="196">
        <f t="shared" ca="1" si="27"/>
        <v>34.766999999963616</v>
      </c>
      <c r="I111" s="196">
        <f t="shared" ca="1" si="15"/>
        <v>190.63981371721985</v>
      </c>
      <c r="J111" s="196">
        <f t="shared" ca="1" si="16"/>
        <v>42.02836155800756</v>
      </c>
      <c r="K111" s="196">
        <f t="shared" ca="1" si="17"/>
        <v>8.4473878069423201</v>
      </c>
      <c r="L111" s="196">
        <f t="shared" ca="1" si="26"/>
        <v>164.63600000000002</v>
      </c>
      <c r="M111" s="196">
        <f t="shared" ca="1" si="18"/>
        <v>5.2144369178665659</v>
      </c>
      <c r="N111" s="196">
        <f t="shared" ca="1" si="21"/>
        <v>5</v>
      </c>
      <c r="O111" s="196">
        <f ca="1">(DATOSAÑO!AJ111+DATOSAÑO!AK111+DATOSAÑO!AD111)</f>
        <v>182.80000000001746</v>
      </c>
      <c r="P111" s="196">
        <f ca="1">DATOSAÑO!AI111</f>
        <v>40.30000000000291</v>
      </c>
      <c r="Q111" s="196">
        <f ca="1">DATOSAÑO!AH111</f>
        <v>8.0999999999985448</v>
      </c>
      <c r="R111" s="196">
        <f ca="1">DATOSAÑO!AM111+DATOSAÑO!AN111+DATOSAÑO!AF111</f>
        <v>164.63600000000002</v>
      </c>
      <c r="S111" s="209">
        <f ca="1">IF(B111&gt;=$P$5,0,CONTADORES!S109-CONTADORES!S108)</f>
        <v>14.800000000017462</v>
      </c>
      <c r="T111" s="206">
        <f ca="1">IF(B111&gt;=$P$5,0,(CONTADORES!U109-CONTADORES!U108)+(CONTADORES!AG109-CONTADORES!AG108))</f>
        <v>2.5</v>
      </c>
      <c r="U111" s="206">
        <f ca="1">IF(B111&gt;=$P$5,0,(CONTADORES!AS109-CONTADORES!AS108))</f>
        <v>5</v>
      </c>
      <c r="V111" s="206">
        <f ca="1">IF(B111&gt;=$P$5,0,(CONTADORES!AT109-CONTADORES!AT108))</f>
        <v>0</v>
      </c>
      <c r="W111" s="715">
        <v>0</v>
      </c>
      <c r="X111" s="206">
        <f ca="1">IF(W111=0,(T111-INICIO!$W$6),((T111-INICIO!$W$6)+V111))</f>
        <v>2.5</v>
      </c>
      <c r="Y111" s="208">
        <f t="shared" ca="1" si="22"/>
        <v>10.13000000001739</v>
      </c>
      <c r="Z111" s="209">
        <f t="shared" ca="1" si="23"/>
        <v>7.8398137172024018</v>
      </c>
      <c r="AA111" s="206">
        <f t="shared" ca="1" si="24"/>
        <v>1.728361558004647</v>
      </c>
      <c r="AB111" s="206">
        <f t="shared" ca="1" si="25"/>
        <v>0.34738780694377452</v>
      </c>
      <c r="AC111" s="208">
        <f t="shared" ca="1" si="20"/>
        <v>0.21443691786656602</v>
      </c>
    </row>
    <row r="112" spans="2:29">
      <c r="B112" s="214">
        <v>44663</v>
      </c>
      <c r="C112" s="202">
        <f ca="1">DATOSAÑO!I112</f>
        <v>292</v>
      </c>
      <c r="D112" s="196">
        <f ca="1">DATOSAÑO!P112</f>
        <v>148</v>
      </c>
      <c r="E112" s="196">
        <f ca="1">DATOSAÑO!Q112</f>
        <v>0</v>
      </c>
      <c r="F112" s="196">
        <f ca="1">DATOSAÑO!T112</f>
        <v>0</v>
      </c>
      <c r="G112" s="196">
        <f t="shared" ca="1" si="19"/>
        <v>440</v>
      </c>
      <c r="H112" s="196">
        <f t="shared" ca="1" si="27"/>
        <v>33.242000000016731</v>
      </c>
      <c r="I112" s="196">
        <f t="shared" ca="1" si="15"/>
        <v>190.44355251919364</v>
      </c>
      <c r="J112" s="196">
        <f t="shared" ca="1" si="16"/>
        <v>40.203586678054606</v>
      </c>
      <c r="K112" s="196">
        <f t="shared" ca="1" si="17"/>
        <v>10.364987190437084</v>
      </c>
      <c r="L112" s="196">
        <f t="shared" ca="1" si="26"/>
        <v>161.55800000000073</v>
      </c>
      <c r="M112" s="196">
        <f t="shared" ca="1" si="18"/>
        <v>4.1878736122971958</v>
      </c>
      <c r="N112" s="196">
        <f t="shared" ca="1" si="21"/>
        <v>4</v>
      </c>
      <c r="O112" s="196">
        <f ca="1">(DATOSAÑO!AJ112+DATOSAÑO!AK112+DATOSAÑO!AD112)</f>
        <v>181.89999999997963</v>
      </c>
      <c r="P112" s="196">
        <f ca="1">DATOSAÑO!AI112</f>
        <v>38.400000000001455</v>
      </c>
      <c r="Q112" s="196">
        <f ca="1">DATOSAÑO!AH112</f>
        <v>9.9000000000014552</v>
      </c>
      <c r="R112" s="196">
        <f ca="1">DATOSAÑO!AM112+DATOSAÑO!AN112+DATOSAÑO!AF112</f>
        <v>161.55800000000073</v>
      </c>
      <c r="S112" s="209">
        <f ca="1">IF(B112&gt;=$P$5,0,CONTADORES!S110-CONTADORES!S109)</f>
        <v>15</v>
      </c>
      <c r="T112" s="206">
        <f ca="1">IF(B112&gt;=$P$5,0,(CONTADORES!U110-CONTADORES!U109)+(CONTADORES!AG110-CONTADORES!AG109))</f>
        <v>2.5</v>
      </c>
      <c r="U112" s="206">
        <f ca="1">IF(B112&gt;=$P$5,0,(CONTADORES!AS110-CONTADORES!AS109))</f>
        <v>4</v>
      </c>
      <c r="V112" s="206">
        <f ca="1">IF(B112&gt;=$P$5,0,(CONTADORES!AT110-CONTADORES!AT109))</f>
        <v>0</v>
      </c>
      <c r="W112" s="715">
        <v>0</v>
      </c>
      <c r="X112" s="206">
        <f ca="1">IF(W112=0,(T112-INICIO!$W$6),((T112-INICIO!$W$6)+V112))</f>
        <v>2.5</v>
      </c>
      <c r="Y112" s="208">
        <f t="shared" ca="1" si="22"/>
        <v>11</v>
      </c>
      <c r="Z112" s="209">
        <f t="shared" ca="1" si="23"/>
        <v>8.5435525192140265</v>
      </c>
      <c r="AA112" s="206">
        <f t="shared" ca="1" si="24"/>
        <v>1.8035866780531491</v>
      </c>
      <c r="AB112" s="206">
        <f t="shared" ca="1" si="25"/>
        <v>0.46498719043562819</v>
      </c>
      <c r="AC112" s="208">
        <f t="shared" ca="1" si="20"/>
        <v>0.1878736122971959</v>
      </c>
    </row>
    <row r="113" spans="2:29">
      <c r="B113" s="214">
        <v>44664</v>
      </c>
      <c r="C113" s="202">
        <f ca="1">DATOSAÑO!I113</f>
        <v>298</v>
      </c>
      <c r="D113" s="196">
        <f ca="1">DATOSAÑO!P113</f>
        <v>147</v>
      </c>
      <c r="E113" s="196">
        <f ca="1">DATOSAÑO!Q113</f>
        <v>0</v>
      </c>
      <c r="F113" s="196">
        <f ca="1">DATOSAÑO!T113</f>
        <v>0</v>
      </c>
      <c r="G113" s="196">
        <f t="shared" ca="1" si="19"/>
        <v>445</v>
      </c>
      <c r="H113" s="196">
        <f t="shared" ca="1" si="27"/>
        <v>32.140000000014936</v>
      </c>
      <c r="I113" s="196">
        <f t="shared" ca="1" si="15"/>
        <v>193.03502495839228</v>
      </c>
      <c r="J113" s="196">
        <f t="shared" ca="1" si="16"/>
        <v>39.564891846920915</v>
      </c>
      <c r="K113" s="196">
        <f t="shared" ca="1" si="17"/>
        <v>12.494176372711868</v>
      </c>
      <c r="L113" s="196">
        <f t="shared" ca="1" si="26"/>
        <v>162.55999999999673</v>
      </c>
      <c r="M113" s="196">
        <f t="shared" ca="1" si="18"/>
        <v>5.2059068219632785</v>
      </c>
      <c r="N113" s="196">
        <f t="shared" ca="1" si="21"/>
        <v>5</v>
      </c>
      <c r="O113" s="196">
        <f ca="1">(DATOSAÑO!AJ113+DATOSAÑO!AK113+DATOSAÑO!AD113)</f>
        <v>185.39999999999418</v>
      </c>
      <c r="P113" s="196">
        <f ca="1">DATOSAÑO!AI113</f>
        <v>38</v>
      </c>
      <c r="Q113" s="196">
        <f ca="1">DATOSAÑO!AH113</f>
        <v>12</v>
      </c>
      <c r="R113" s="196">
        <f ca="1">DATOSAÑO!AM113+DATOSAÑO!AN113+DATOSAÑO!AF113</f>
        <v>162.55999999999673</v>
      </c>
      <c r="S113" s="209">
        <f ca="1">IF(B113&gt;=$P$5,0,CONTADORES!S111-CONTADORES!S110)</f>
        <v>14.899999999994179</v>
      </c>
      <c r="T113" s="206">
        <f ca="1">IF(B113&gt;=$P$5,0,(CONTADORES!U111-CONTADORES!U110)+(CONTADORES!AG111-CONTADORES!AG110))</f>
        <v>2.3000000000029104</v>
      </c>
      <c r="U113" s="206">
        <f ca="1">IF(B113&gt;=$P$5,0,(CONTADORES!AS111-CONTADORES!AS110))</f>
        <v>5</v>
      </c>
      <c r="V113" s="206">
        <f ca="1">IF(B113&gt;=$P$5,0,(CONTADORES!AT111-CONTADORES!AT110))</f>
        <v>0</v>
      </c>
      <c r="W113" s="715">
        <v>0</v>
      </c>
      <c r="X113" s="206">
        <f ca="1">IF(W113=0,(T113-INICIO!$W$6),((T113-INICIO!$W$6)+V113))</f>
        <v>2.3000000000029104</v>
      </c>
      <c r="Y113" s="208">
        <f t="shared" ca="1" si="22"/>
        <v>9.8999999999941792</v>
      </c>
      <c r="Z113" s="209">
        <f t="shared" ca="1" si="23"/>
        <v>7.6350249583981178</v>
      </c>
      <c r="AA113" s="206">
        <f t="shared" ca="1" si="24"/>
        <v>1.5648918469209148</v>
      </c>
      <c r="AB113" s="206">
        <f t="shared" ca="1" si="25"/>
        <v>0.49417637271186782</v>
      </c>
      <c r="AC113" s="208">
        <f t="shared" ca="1" si="20"/>
        <v>0.20590682196327825</v>
      </c>
    </row>
    <row r="114" spans="2:29">
      <c r="B114" s="214">
        <v>44665</v>
      </c>
      <c r="C114" s="202">
        <f ca="1">DATOSAÑO!I114</f>
        <v>320</v>
      </c>
      <c r="D114" s="196">
        <f ca="1">DATOSAÑO!P114</f>
        <v>117</v>
      </c>
      <c r="E114" s="196">
        <f ca="1">DATOSAÑO!Q114</f>
        <v>0</v>
      </c>
      <c r="F114" s="196">
        <f ca="1">DATOSAÑO!T114</f>
        <v>0</v>
      </c>
      <c r="G114" s="196">
        <f t="shared" ca="1" si="19"/>
        <v>437</v>
      </c>
      <c r="H114" s="196">
        <f t="shared" ca="1" si="27"/>
        <v>29.668999999994185</v>
      </c>
      <c r="I114" s="196">
        <f t="shared" ca="1" si="15"/>
        <v>189.95836559141256</v>
      </c>
      <c r="J114" s="196">
        <f t="shared" ca="1" si="16"/>
        <v>41.458752688166904</v>
      </c>
      <c r="K114" s="196">
        <f t="shared" ca="1" si="17"/>
        <v>6.1613763440796312</v>
      </c>
      <c r="L114" s="196">
        <f t="shared" ca="1" si="26"/>
        <v>164.5310000000029</v>
      </c>
      <c r="M114" s="196">
        <f t="shared" ca="1" si="18"/>
        <v>5.2215053763438215</v>
      </c>
      <c r="N114" s="196">
        <f t="shared" ca="1" si="21"/>
        <v>5</v>
      </c>
      <c r="O114" s="196">
        <f ca="1">(DATOSAÑO!AJ114+DATOSAÑO!AK114+DATOSAÑO!AD114)</f>
        <v>181.90000000002328</v>
      </c>
      <c r="P114" s="196">
        <f ca="1">DATOSAÑO!AI114</f>
        <v>39.69999999999709</v>
      </c>
      <c r="Q114" s="196">
        <f ca="1">DATOSAÑO!AH114</f>
        <v>5.8999999999941792</v>
      </c>
      <c r="R114" s="196">
        <f ca="1">DATOSAÑO!AM114+DATOSAÑO!AN114+DATOSAÑO!AF114</f>
        <v>164.5310000000029</v>
      </c>
      <c r="S114" s="209">
        <f ca="1">IF(B114&gt;=$P$5,0,CONTADORES!S112-CONTADORES!S111)</f>
        <v>15.299999999988358</v>
      </c>
      <c r="T114" s="206">
        <f ca="1">IF(B114&gt;=$P$5,0,(CONTADORES!U112-CONTADORES!U111)+(CONTADORES!AG112-CONTADORES!AG111))</f>
        <v>2.0999999999985448</v>
      </c>
      <c r="U114" s="206">
        <f ca="1">IF(B114&gt;=$P$5,0,(CONTADORES!AS112-CONTADORES!AS111))</f>
        <v>5</v>
      </c>
      <c r="V114" s="206">
        <f ca="1">IF(B114&gt;=$P$5,0,(CONTADORES!AT112-CONTADORES!AT111))</f>
        <v>0</v>
      </c>
      <c r="W114" s="715">
        <v>0</v>
      </c>
      <c r="X114" s="206">
        <f ca="1">IF(W114=0,(T114-INICIO!$W$6),((T114-INICIO!$W$6)+V114))</f>
        <v>2.0999999999985448</v>
      </c>
      <c r="Y114" s="208">
        <f t="shared" ca="1" si="22"/>
        <v>10.299999999988358</v>
      </c>
      <c r="Z114" s="209">
        <f t="shared" ca="1" si="23"/>
        <v>8.0583655913892684</v>
      </c>
      <c r="AA114" s="206">
        <f t="shared" ca="1" si="24"/>
        <v>1.7587526881698163</v>
      </c>
      <c r="AB114" s="206">
        <f t="shared" ca="1" si="25"/>
        <v>0.26137634408545185</v>
      </c>
      <c r="AC114" s="208">
        <f t="shared" ca="1" si="20"/>
        <v>0.22150537634382181</v>
      </c>
    </row>
    <row r="115" spans="2:29">
      <c r="B115" s="214">
        <v>44666</v>
      </c>
      <c r="C115" s="202">
        <f ca="1">DATOSAÑO!I115</f>
        <v>364</v>
      </c>
      <c r="D115" s="196">
        <f ca="1">DATOSAÑO!P115</f>
        <v>86</v>
      </c>
      <c r="E115" s="196">
        <f ca="1">DATOSAÑO!Q115</f>
        <v>0</v>
      </c>
      <c r="F115" s="196">
        <f ca="1">DATOSAÑO!T115</f>
        <v>0</v>
      </c>
      <c r="G115" s="196">
        <f t="shared" ca="1" si="19"/>
        <v>450</v>
      </c>
      <c r="H115" s="196">
        <f t="shared" ca="1" si="27"/>
        <v>32.104000000015617</v>
      </c>
      <c r="I115" s="196">
        <f t="shared" ca="1" si="15"/>
        <v>192.80574948663525</v>
      </c>
      <c r="J115" s="196">
        <f t="shared" ca="1" si="16"/>
        <v>42.787885010265526</v>
      </c>
      <c r="K115" s="196">
        <f t="shared" ca="1" si="17"/>
        <v>12.70102669404975</v>
      </c>
      <c r="L115" s="196">
        <f ca="1">R115</f>
        <v>164.39599999999893</v>
      </c>
      <c r="M115" s="196">
        <f t="shared" ca="1" si="18"/>
        <v>5.2053388090349202</v>
      </c>
      <c r="N115" s="196">
        <f t="shared" ca="1" si="21"/>
        <v>5</v>
      </c>
      <c r="O115" s="196">
        <f ca="1">(DATOSAÑO!AJ115+DATOSAÑO!AK115+DATOSAÑO!AD115)</f>
        <v>185.19999999998254</v>
      </c>
      <c r="P115" s="196">
        <f ca="1">DATOSAÑO!AI115</f>
        <v>41.099999999998545</v>
      </c>
      <c r="Q115" s="196">
        <f ca="1">DATOSAÑO!AH115</f>
        <v>12.200000000004366</v>
      </c>
      <c r="R115" s="196">
        <f ca="1">DATOSAÑO!AM115+DATOSAÑO!AN115+DATOSAÑO!AF115</f>
        <v>164.39599999999893</v>
      </c>
      <c r="S115" s="209">
        <f ca="1">IF(B115&gt;=$P$5,0,CONTADORES!S113-CONTADORES!S112)</f>
        <v>15</v>
      </c>
      <c r="T115" s="206">
        <f ca="1">IF(B115&gt;=$P$5,0,(CONTADORES!U113-CONTADORES!U112)+(CONTADORES!AG113-CONTADORES!AG112))</f>
        <v>2.5</v>
      </c>
      <c r="U115" s="206">
        <f ca="1">IF(B115&gt;=$P$5,0,(CONTADORES!AS113-CONTADORES!AS112))</f>
        <v>5</v>
      </c>
      <c r="V115" s="206">
        <f ca="1">IF(B115&gt;=$P$5,0,(CONTADORES!AT113-CONTADORES!AT112))</f>
        <v>0</v>
      </c>
      <c r="W115" s="715">
        <v>0</v>
      </c>
      <c r="X115" s="206">
        <f ca="1">IF(W115=0,(T115-INICIO!$W$6),((T115-INICIO!$W$6)+V115))</f>
        <v>2.5</v>
      </c>
      <c r="Y115" s="208">
        <f t="shared" ca="1" si="22"/>
        <v>10</v>
      </c>
      <c r="Z115" s="209">
        <f t="shared" ca="1" si="23"/>
        <v>7.6057494866527149</v>
      </c>
      <c r="AA115" s="206">
        <f t="shared" ca="1" si="24"/>
        <v>1.6878850102669816</v>
      </c>
      <c r="AB115" s="206">
        <f t="shared" ca="1" si="25"/>
        <v>0.5010266940453838</v>
      </c>
      <c r="AC115" s="208">
        <f t="shared" ca="1" si="20"/>
        <v>0.20533880903491986</v>
      </c>
    </row>
    <row r="116" spans="2:29">
      <c r="B116" s="214">
        <v>44667</v>
      </c>
      <c r="C116" s="202">
        <f ca="1">DATOSAÑO!I116</f>
        <v>380</v>
      </c>
      <c r="D116" s="196">
        <f ca="1">DATOSAÑO!P116</f>
        <v>62.599999999998545</v>
      </c>
      <c r="E116" s="196">
        <f ca="1">DATOSAÑO!Q116</f>
        <v>0</v>
      </c>
      <c r="F116" s="196">
        <f ca="1">DATOSAÑO!T116</f>
        <v>3.6359999999999673</v>
      </c>
      <c r="G116" s="196">
        <f t="shared" ca="1" si="19"/>
        <v>446.23599999999851</v>
      </c>
      <c r="H116" s="196">
        <f t="shared" ca="1" si="27"/>
        <v>36.801999999981433</v>
      </c>
      <c r="I116" s="196">
        <f t="shared" ca="1" si="15"/>
        <v>191.4413865546353</v>
      </c>
      <c r="J116" s="196">
        <f t="shared" ca="1" si="16"/>
        <v>43.087352941182537</v>
      </c>
      <c r="K116" s="196">
        <f t="shared" ca="1" si="17"/>
        <v>9.5981512605018402</v>
      </c>
      <c r="L116" s="196">
        <f t="shared" ref="L116:L130" ca="1" si="28">R116</f>
        <v>161.13399999999962</v>
      </c>
      <c r="M116" s="196">
        <f t="shared" ca="1" si="18"/>
        <v>4.1731092436977724</v>
      </c>
      <c r="N116" s="196">
        <f t="shared" ca="1" si="21"/>
        <v>4</v>
      </c>
      <c r="O116" s="196">
        <f ca="1">(DATOSAÑO!AJ116+DATOSAÑO!AK116+DATOSAÑO!AD116)</f>
        <v>183.5</v>
      </c>
      <c r="P116" s="196">
        <f ca="1">DATOSAÑO!AI116</f>
        <v>41.30000000000291</v>
      </c>
      <c r="Q116" s="196">
        <f ca="1">DATOSAÑO!AH116</f>
        <v>9.1999999999970896</v>
      </c>
      <c r="R116" s="196">
        <f ca="1">DATOSAÑO!AM116+DATOSAÑO!AN116+DATOSAÑO!AF116</f>
        <v>161.13399999999962</v>
      </c>
      <c r="S116" s="209">
        <f ca="1">IF(B116&gt;=$P$5,0,CONTADORES!S114-CONTADORES!S113)</f>
        <v>14.300000000017462</v>
      </c>
      <c r="T116" s="206">
        <f ca="1">IF(B116&gt;=$P$5,0,(CONTADORES!U114-CONTADORES!U113)+(CONTADORES!AG114-CONTADORES!AG113))</f>
        <v>2.4000000000014552</v>
      </c>
      <c r="U116" s="206">
        <f ca="1">IF(B116&gt;=$P$5,0,(CONTADORES!AS114-CONTADORES!AS113))</f>
        <v>4</v>
      </c>
      <c r="V116" s="206">
        <f ca="1">IF(B116&gt;=$P$5,0,(CONTADORES!AT114-CONTADORES!AT113))</f>
        <v>0</v>
      </c>
      <c r="W116" s="715">
        <v>0</v>
      </c>
      <c r="X116" s="206">
        <f ca="1">IF(W116=0,(T116-INICIO!$W$6),((T116-INICIO!$W$6)+V116))</f>
        <v>2.4000000000014552</v>
      </c>
      <c r="Y116" s="208">
        <f t="shared" ca="1" si="22"/>
        <v>10.300000000017462</v>
      </c>
      <c r="Z116" s="209">
        <f t="shared" ca="1" si="23"/>
        <v>7.9413865546353124</v>
      </c>
      <c r="AA116" s="206">
        <f t="shared" ca="1" si="24"/>
        <v>1.7873529411796267</v>
      </c>
      <c r="AB116" s="206">
        <f t="shared" ca="1" si="25"/>
        <v>0.39815126050475075</v>
      </c>
      <c r="AC116" s="208">
        <f t="shared" ca="1" si="20"/>
        <v>0.17310924369777247</v>
      </c>
    </row>
    <row r="117" spans="2:29">
      <c r="B117" s="214">
        <v>44668</v>
      </c>
      <c r="C117" s="202">
        <f ca="1">DATOSAÑO!I117</f>
        <v>427</v>
      </c>
      <c r="D117" s="196">
        <f ca="1">DATOSAÑO!P117</f>
        <v>0</v>
      </c>
      <c r="E117" s="196">
        <f ca="1">DATOSAÑO!Q117</f>
        <v>1.7300000000000182</v>
      </c>
      <c r="F117" s="196">
        <f ca="1">DATOSAÑO!T117</f>
        <v>7.9139999999999873</v>
      </c>
      <c r="G117" s="196">
        <f t="shared" ca="1" si="19"/>
        <v>436.64400000000001</v>
      </c>
      <c r="H117" s="196">
        <f t="shared" ca="1" si="27"/>
        <v>37.130999999995936</v>
      </c>
      <c r="I117" s="196">
        <f t="shared" ca="1" si="15"/>
        <v>191.54346202800568</v>
      </c>
      <c r="J117" s="196">
        <f t="shared" ca="1" si="16"/>
        <v>40.955702163767491</v>
      </c>
      <c r="K117" s="196">
        <f t="shared" ca="1" si="17"/>
        <v>7.9201866779783794</v>
      </c>
      <c r="L117" s="196">
        <f t="shared" ca="1" si="28"/>
        <v>153.88300000000257</v>
      </c>
      <c r="M117" s="196">
        <f t="shared" ca="1" si="18"/>
        <v>5.2106491302499309</v>
      </c>
      <c r="N117" s="196">
        <f t="shared" ca="1" si="21"/>
        <v>5</v>
      </c>
      <c r="O117" s="196">
        <f ca="1">(DATOSAÑO!AJ117+DATOSAÑO!AK117+DATOSAÑO!AD117)</f>
        <v>183.80000000001746</v>
      </c>
      <c r="P117" s="196">
        <f ca="1">DATOSAÑO!AI117</f>
        <v>39.30000000000291</v>
      </c>
      <c r="Q117" s="196">
        <f ca="1">DATOSAÑO!AH117</f>
        <v>7.5999999999985448</v>
      </c>
      <c r="R117" s="196">
        <f ca="1">DATOSAÑO!AM117+DATOSAÑO!AN117+DATOSAÑO!AF117</f>
        <v>153.88300000000257</v>
      </c>
      <c r="S117" s="209">
        <f ca="1">IF(B117&gt;=$P$5,0,CONTADORES!S115-CONTADORES!S114)</f>
        <v>13.199999999982538</v>
      </c>
      <c r="T117" s="206">
        <f ca="1">IF(B117&gt;=$P$5,0,(CONTADORES!U115-CONTADORES!U114)+(CONTADORES!AG115-CONTADORES!AG114))</f>
        <v>2.0999999999985448</v>
      </c>
      <c r="U117" s="206">
        <f ca="1">IF(B117&gt;=$P$5,0,(CONTADORES!AS115-CONTADORES!AS114))</f>
        <v>5</v>
      </c>
      <c r="V117" s="206">
        <f ca="1">IF(B117&gt;=$P$5,0,(CONTADORES!AT115-CONTADORES!AT114))</f>
        <v>0</v>
      </c>
      <c r="W117" s="715">
        <v>0</v>
      </c>
      <c r="X117" s="206">
        <f ca="1">IF(W117=0,(T117-INICIO!$W$6),((T117-INICIO!$W$6)+V117))</f>
        <v>2.0999999999985448</v>
      </c>
      <c r="Y117" s="208">
        <f t="shared" ca="1" si="22"/>
        <v>9.9299999999825559</v>
      </c>
      <c r="Z117" s="209">
        <f t="shared" ca="1" si="23"/>
        <v>7.7434620279882083</v>
      </c>
      <c r="AA117" s="206">
        <f t="shared" ca="1" si="24"/>
        <v>1.6557021637645823</v>
      </c>
      <c r="AB117" s="206">
        <f t="shared" ca="1" si="25"/>
        <v>0.32018667797983419</v>
      </c>
      <c r="AC117" s="208">
        <f t="shared" ca="1" si="20"/>
        <v>0.21064913024993123</v>
      </c>
    </row>
    <row r="118" spans="2:29">
      <c r="B118" s="214">
        <v>44669</v>
      </c>
      <c r="C118" s="202">
        <f ca="1">DATOSAÑO!I118</f>
        <v>438</v>
      </c>
      <c r="D118" s="196">
        <f ca="1">DATOSAÑO!P118</f>
        <v>0</v>
      </c>
      <c r="E118" s="196">
        <f ca="1">DATOSAÑO!Q118</f>
        <v>0</v>
      </c>
      <c r="F118" s="196">
        <f ca="1">DATOSAÑO!T118</f>
        <v>10.381999999999948</v>
      </c>
      <c r="G118" s="196">
        <f t="shared" ca="1" si="19"/>
        <v>448.38199999999995</v>
      </c>
      <c r="H118" s="196">
        <f t="shared" ca="1" si="27"/>
        <v>41.516999999989764</v>
      </c>
      <c r="I118" s="196">
        <f t="shared" ca="1" si="15"/>
        <v>192.94480519481394</v>
      </c>
      <c r="J118" s="196">
        <f t="shared" ca="1" si="16"/>
        <v>41.286038961036304</v>
      </c>
      <c r="K118" s="196">
        <f t="shared" ca="1" si="17"/>
        <v>16.182467532474305</v>
      </c>
      <c r="L118" s="196">
        <f t="shared" ca="1" si="28"/>
        <v>151.26499999999709</v>
      </c>
      <c r="M118" s="196">
        <f t="shared" ca="1" si="18"/>
        <v>5.1866883116885472</v>
      </c>
      <c r="N118" s="196">
        <f t="shared" ca="1" si="21"/>
        <v>5</v>
      </c>
      <c r="O118" s="196">
        <f ca="1">(DATOSAÑO!AJ118+DATOSAÑO!AK118+DATOSAÑO!AD118)</f>
        <v>186</v>
      </c>
      <c r="P118" s="196">
        <f ca="1">DATOSAÑO!AI118</f>
        <v>39.799999999995634</v>
      </c>
      <c r="Q118" s="196">
        <f ca="1">DATOSAÑO!AH118</f>
        <v>15.600000000005821</v>
      </c>
      <c r="R118" s="196">
        <f ca="1">DATOSAÑO!AM118+DATOSAÑO!AN118+DATOSAÑO!AF118</f>
        <v>151.26499999999709</v>
      </c>
      <c r="S118" s="209">
        <f ca="1">IF(B118&gt;=$P$5,0,CONTADORES!S116-CONTADORES!S115)</f>
        <v>14.200000000011642</v>
      </c>
      <c r="T118" s="206">
        <f ca="1">IF(B118&gt;=$P$5,0,(CONTADORES!U116-CONTADORES!U115)+(CONTADORES!AG116-CONTADORES!AG115))</f>
        <v>1.9000000000014552</v>
      </c>
      <c r="U118" s="206">
        <f ca="1">IF(B118&gt;=$P$5,0,(CONTADORES!AS116-CONTADORES!AS115))</f>
        <v>5</v>
      </c>
      <c r="V118" s="206">
        <f ca="1">IF(B118&gt;=$P$5,0,(CONTADORES!AT116-CONTADORES!AT115))</f>
        <v>0</v>
      </c>
      <c r="W118" s="715">
        <v>0</v>
      </c>
      <c r="X118" s="206">
        <f ca="1">IF(W118=0,(T118-INICIO!$W$6),((T118-INICIO!$W$6)+V118))</f>
        <v>1.9000000000014552</v>
      </c>
      <c r="Y118" s="208">
        <f t="shared" ca="1" si="22"/>
        <v>9.2000000000116415</v>
      </c>
      <c r="Z118" s="209">
        <f t="shared" ca="1" si="23"/>
        <v>6.9448051948139415</v>
      </c>
      <c r="AA118" s="206">
        <f t="shared" ca="1" si="24"/>
        <v>1.4860389610406697</v>
      </c>
      <c r="AB118" s="206">
        <f t="shared" ca="1" si="25"/>
        <v>0.58246753246848348</v>
      </c>
      <c r="AC118" s="208">
        <f t="shared" ca="1" si="20"/>
        <v>0.18668831168854683</v>
      </c>
    </row>
    <row r="119" spans="2:29">
      <c r="B119" s="214">
        <v>44670</v>
      </c>
      <c r="C119" s="202">
        <f ca="1">DATOSAÑO!I119</f>
        <v>326</v>
      </c>
      <c r="D119" s="196">
        <f ca="1">DATOSAÑO!P119</f>
        <v>0</v>
      </c>
      <c r="E119" s="196">
        <f ca="1">DATOSAÑO!Q119</f>
        <v>0</v>
      </c>
      <c r="F119" s="196">
        <f ca="1">DATOSAÑO!T119</f>
        <v>2.94500000000005</v>
      </c>
      <c r="G119" s="196">
        <f t="shared" ca="1" si="19"/>
        <v>328.94500000000005</v>
      </c>
      <c r="H119" s="196">
        <f t="shared" ca="1" si="27"/>
        <v>34.455000000012035</v>
      </c>
      <c r="I119" s="196">
        <f t="shared" ca="1" si="15"/>
        <v>190.36030599234147</v>
      </c>
      <c r="J119" s="196">
        <f t="shared" ca="1" si="16"/>
        <v>42.221206969825836</v>
      </c>
      <c r="K119" s="196">
        <f t="shared" ca="1" si="17"/>
        <v>7.505992350188226</v>
      </c>
      <c r="L119" s="196">
        <f t="shared" ca="1" si="28"/>
        <v>49.189999999999635</v>
      </c>
      <c r="M119" s="196">
        <f t="shared" ca="1" si="18"/>
        <v>5.2124946876328195</v>
      </c>
      <c r="N119" s="196">
        <f t="shared" ca="1" si="21"/>
        <v>5</v>
      </c>
      <c r="O119" s="196">
        <f ca="1">(DATOSAÑO!AJ119+DATOSAÑO!AK119+DATOSAÑO!AD119)</f>
        <v>182.59999999999127</v>
      </c>
      <c r="P119" s="196">
        <f ca="1">DATOSAÑO!AI119</f>
        <v>40.5</v>
      </c>
      <c r="Q119" s="196">
        <f ca="1">DATOSAÑO!AH119</f>
        <v>7.1999999999970896</v>
      </c>
      <c r="R119" s="196">
        <f ca="1">DATOSAÑO!AM119+DATOSAÑO!AN119+DATOSAÑO!AF119</f>
        <v>49.189999999999635</v>
      </c>
      <c r="S119" s="209">
        <f ca="1">IF(B119&gt;=$P$5,0,CONTADORES!S117-CONTADORES!S116)</f>
        <v>15</v>
      </c>
      <c r="T119" s="206">
        <f ca="1">IF(B119&gt;=$P$5,0,(CONTADORES!U117-CONTADORES!U116)+(CONTADORES!AG117-CONTADORES!AG116))</f>
        <v>2.0999999999985448</v>
      </c>
      <c r="U119" s="206">
        <f ca="1">IF(B119&gt;=$P$5,0,(CONTADORES!AS117-CONTADORES!AS116))</f>
        <v>5</v>
      </c>
      <c r="V119" s="206">
        <f ca="1">IF(B119&gt;=$P$5,0,(CONTADORES!AT117-CONTADORES!AT116))</f>
        <v>0</v>
      </c>
      <c r="W119" s="715">
        <v>0</v>
      </c>
      <c r="X119" s="206">
        <f ca="1">IF(W119=0,(T119-INICIO!$W$6),((T119-INICIO!$W$6)+V119))</f>
        <v>2.0999999999985448</v>
      </c>
      <c r="Y119" s="208">
        <f t="shared" ca="1" si="22"/>
        <v>10</v>
      </c>
      <c r="Z119" s="209">
        <f t="shared" ca="1" si="23"/>
        <v>7.7603059923502045</v>
      </c>
      <c r="AA119" s="206">
        <f t="shared" ca="1" si="24"/>
        <v>1.7212069698258394</v>
      </c>
      <c r="AB119" s="206">
        <f t="shared" ca="1" si="25"/>
        <v>0.30599235019113669</v>
      </c>
      <c r="AC119" s="208">
        <f t="shared" ca="1" si="20"/>
        <v>0.2124946876328197</v>
      </c>
    </row>
    <row r="120" spans="2:29">
      <c r="B120" s="214">
        <v>44671</v>
      </c>
      <c r="C120" s="202">
        <f ca="1">DATOSAÑO!I120</f>
        <v>265</v>
      </c>
      <c r="D120" s="196">
        <f ca="1">DATOSAÑO!P120</f>
        <v>100.20000000000437</v>
      </c>
      <c r="E120" s="196">
        <f ca="1">DATOSAÑO!Q120</f>
        <v>0</v>
      </c>
      <c r="F120" s="196">
        <f ca="1">DATOSAÑO!T120</f>
        <v>0</v>
      </c>
      <c r="G120" s="196">
        <f t="shared" ca="1" si="19"/>
        <v>365.20000000000437</v>
      </c>
      <c r="H120" s="196">
        <f t="shared" ca="1" si="27"/>
        <v>29.726999999957911</v>
      </c>
      <c r="I120" s="196">
        <f t="shared" ca="1" si="15"/>
        <v>188.86352173805267</v>
      </c>
      <c r="J120" s="196">
        <f t="shared" ca="1" si="16"/>
        <v>41.324285448786945</v>
      </c>
      <c r="K120" s="196">
        <f t="shared" ca="1" si="17"/>
        <v>7.5516460718562115</v>
      </c>
      <c r="L120" s="196">
        <f t="shared" ca="1" si="28"/>
        <v>92.804000000001096</v>
      </c>
      <c r="M120" s="196">
        <f t="shared" ca="1" si="18"/>
        <v>4.9295467413495224</v>
      </c>
      <c r="N120" s="196">
        <f t="shared" ca="1" si="21"/>
        <v>4.6999999999970896</v>
      </c>
      <c r="O120" s="196">
        <f ca="1">(DATOSAÑO!AJ120+DATOSAÑO!AK120+DATOSAÑO!AD120)</f>
        <v>180.0690000000468</v>
      </c>
      <c r="P120" s="196">
        <f ca="1">DATOSAÑO!AI120</f>
        <v>39.400000000001455</v>
      </c>
      <c r="Q120" s="196">
        <f ca="1">DATOSAÑO!AH120</f>
        <v>7.1999999999970896</v>
      </c>
      <c r="R120" s="196">
        <f ca="1">DATOSAÑO!AM120+DATOSAÑO!AN120+DATOSAÑO!AF120</f>
        <v>92.804000000001096</v>
      </c>
      <c r="S120" s="209">
        <f ca="1">IF(B120&gt;=$P$5,0,CONTADORES!S118-CONTADORES!S117)</f>
        <v>16</v>
      </c>
      <c r="T120" s="206">
        <f ca="1">IF(B120&gt;=$P$5,0,(CONTADORES!U118-CONTADORES!U117)+(CONTADORES!AG118-CONTADORES!AG117))</f>
        <v>2.5</v>
      </c>
      <c r="U120" s="206">
        <f ca="1">IF(B120&gt;=$P$5,0,(CONTADORES!AS118-CONTADORES!AS117))</f>
        <v>4.6999999999970896</v>
      </c>
      <c r="V120" s="206">
        <f ca="1">IF(B120&gt;=$P$5,0,(CONTADORES!AT118-CONTADORES!AT117))</f>
        <v>0</v>
      </c>
      <c r="W120" s="715">
        <v>0</v>
      </c>
      <c r="X120" s="206">
        <f ca="1">IF(W120=0,(T120-INICIO!$W$6),((T120-INICIO!$W$6)+V120))</f>
        <v>2.5</v>
      </c>
      <c r="Y120" s="208">
        <f t="shared" ca="1" si="22"/>
        <v>11.30000000000291</v>
      </c>
      <c r="Z120" s="209">
        <f t="shared" ca="1" si="23"/>
        <v>8.7945217380058676</v>
      </c>
      <c r="AA120" s="206">
        <f t="shared" ca="1" si="24"/>
        <v>1.9242854487854875</v>
      </c>
      <c r="AB120" s="206">
        <f t="shared" ca="1" si="25"/>
        <v>0.35164607185912178</v>
      </c>
      <c r="AC120" s="208">
        <f t="shared" ca="1" si="20"/>
        <v>0.22954674135243291</v>
      </c>
    </row>
    <row r="121" spans="2:29">
      <c r="B121" s="214">
        <v>44672</v>
      </c>
      <c r="C121" s="202">
        <f ca="1">DATOSAÑO!I121</f>
        <v>216</v>
      </c>
      <c r="D121" s="196">
        <f ca="1">DATOSAÑO!P121</f>
        <v>113.79999999999563</v>
      </c>
      <c r="E121" s="196">
        <f ca="1">DATOSAÑO!Q121</f>
        <v>2.3489999999999327</v>
      </c>
      <c r="F121" s="196">
        <f ca="1">DATOSAÑO!T121</f>
        <v>0.24500000000000455</v>
      </c>
      <c r="G121" s="196">
        <f t="shared" ca="1" si="19"/>
        <v>332.39399999999557</v>
      </c>
      <c r="H121" s="196">
        <f t="shared" ca="1" si="27"/>
        <v>26.626500000027875</v>
      </c>
      <c r="I121" s="196">
        <f t="shared" ca="1" si="15"/>
        <v>152.02645574845076</v>
      </c>
      <c r="J121" s="196">
        <f t="shared" ca="1" si="16"/>
        <v>40.059532874470946</v>
      </c>
      <c r="K121" s="196">
        <f t="shared" ca="1" si="17"/>
        <v>15.114810556860926</v>
      </c>
      <c r="L121" s="196">
        <f t="shared" ca="1" si="28"/>
        <v>93.387500000001452</v>
      </c>
      <c r="M121" s="196">
        <f t="shared" ca="1" si="18"/>
        <v>5.1792008201835982</v>
      </c>
      <c r="N121" s="196">
        <f t="shared" ca="1" si="21"/>
        <v>4.9000000000014552</v>
      </c>
      <c r="O121" s="196">
        <f ca="1">(DATOSAÑO!AJ121+DATOSAÑO!AK121+DATOSAÑO!AD121)</f>
        <v>143.83099999996193</v>
      </c>
      <c r="P121" s="196">
        <f ca="1">DATOSAÑO!AI121</f>
        <v>37.900000000001455</v>
      </c>
      <c r="Q121" s="196">
        <f ca="1">DATOSAÑO!AH121</f>
        <v>14.30000000000291</v>
      </c>
      <c r="R121" s="196">
        <f ca="1">DATOSAÑO!AM121+DATOSAÑO!AN121+DATOSAÑO!AF121</f>
        <v>93.387500000001452</v>
      </c>
      <c r="S121" s="209">
        <f ca="1">IF(B121&gt;=$P$5,0,CONTADORES!S119-CONTADORES!S118)</f>
        <v>14</v>
      </c>
      <c r="T121" s="206">
        <f ca="1">IF(B121&gt;=$P$5,0,(CONTADORES!U119-CONTADORES!U118)+(CONTADORES!AG119-CONTADORES!AG118))</f>
        <v>2.2999999999956344</v>
      </c>
      <c r="U121" s="206">
        <f ca="1">IF(B121&gt;=$P$5,0,(CONTADORES!AS119-CONTADORES!AS118))</f>
        <v>4.9000000000014552</v>
      </c>
      <c r="V121" s="206">
        <f ca="1">IF(B121&gt;=$P$5,0,(CONTADORES!AT119-CONTADORES!AT118))</f>
        <v>0</v>
      </c>
      <c r="W121" s="715">
        <v>0</v>
      </c>
      <c r="X121" s="206">
        <f ca="1">IF(W121=0,(T121-INICIO!$W$6),((T121-INICIO!$W$6)+V121))</f>
        <v>2.2999999999956344</v>
      </c>
      <c r="Y121" s="208">
        <f t="shared" ca="1" si="22"/>
        <v>11.448999999998478</v>
      </c>
      <c r="Z121" s="209">
        <f t="shared" ca="1" si="23"/>
        <v>8.1954557484888326</v>
      </c>
      <c r="AA121" s="206">
        <f t="shared" ca="1" si="24"/>
        <v>2.1595328744694875</v>
      </c>
      <c r="AB121" s="206">
        <f t="shared" ca="1" si="25"/>
        <v>0.81481055685801507</v>
      </c>
      <c r="AC121" s="208">
        <f t="shared" ca="1" si="20"/>
        <v>0.27920082018214315</v>
      </c>
    </row>
    <row r="122" spans="2:29">
      <c r="B122" s="214">
        <v>44673</v>
      </c>
      <c r="C122" s="202">
        <f ca="1">DATOSAÑO!I122</f>
        <v>288</v>
      </c>
      <c r="D122" s="196">
        <f ca="1">DATOSAÑO!P122</f>
        <v>153</v>
      </c>
      <c r="E122" s="196">
        <f ca="1">DATOSAÑO!Q122</f>
        <v>0</v>
      </c>
      <c r="F122" s="196">
        <f ca="1">DATOSAÑO!T122</f>
        <v>0</v>
      </c>
      <c r="G122" s="196">
        <f t="shared" ca="1" si="19"/>
        <v>441</v>
      </c>
      <c r="H122" s="196">
        <f t="shared" ca="1" si="27"/>
        <v>36.081999999943264</v>
      </c>
      <c r="I122" s="196">
        <f t="shared" ca="1" si="15"/>
        <v>191.78941326534135</v>
      </c>
      <c r="J122" s="196">
        <f t="shared" ca="1" si="16"/>
        <v>36.886564625848649</v>
      </c>
      <c r="K122" s="196">
        <f t="shared" ca="1" si="17"/>
        <v>10.361394557823077</v>
      </c>
      <c r="L122" s="196">
        <f t="shared" ca="1" si="28"/>
        <v>161.2180000000233</v>
      </c>
      <c r="M122" s="196">
        <f t="shared" ca="1" si="18"/>
        <v>4.6626275510203854</v>
      </c>
      <c r="N122" s="196">
        <f t="shared" ca="1" si="21"/>
        <v>4.5</v>
      </c>
      <c r="O122" s="196">
        <f ca="1">(DATOSAÑO!AJ122+DATOSAÑO!AK122+DATOSAÑO!AD122)</f>
        <v>185.10000000003492</v>
      </c>
      <c r="P122" s="196">
        <f ca="1">DATOSAÑO!AI122</f>
        <v>35.599999999998545</v>
      </c>
      <c r="Q122" s="196">
        <f ca="1">DATOSAÑO!AH122</f>
        <v>10</v>
      </c>
      <c r="R122" s="196">
        <f ca="1">DATOSAÑO!AM122+DATOSAÑO!AN122+DATOSAÑO!AF122</f>
        <v>161.2180000000233</v>
      </c>
      <c r="S122" s="209">
        <f ca="1">IF(B122&gt;=$P$5,0,CONTADORES!S120-CONTADORES!S119)</f>
        <v>13</v>
      </c>
      <c r="T122" s="206">
        <f ca="1">IF(B122&gt;=$P$5,0,(CONTADORES!U120-CONTADORES!U119)+(CONTADORES!AG120-CONTADORES!AG119))</f>
        <v>2.4000000000014552</v>
      </c>
      <c r="U122" s="206">
        <f ca="1">IF(B122&gt;=$P$5,0,(CONTADORES!AS120-CONTADORES!AS119))</f>
        <v>4.5</v>
      </c>
      <c r="V122" s="206">
        <f ca="1">IF(B122&gt;=$P$5,0,(CONTADORES!AT120-CONTADORES!AT119))</f>
        <v>0</v>
      </c>
      <c r="W122" s="715">
        <v>0</v>
      </c>
      <c r="X122" s="206">
        <f ca="1">IF(W122=0,(T122-INICIO!$W$6),((T122-INICIO!$W$6)+V122))</f>
        <v>2.4000000000014552</v>
      </c>
      <c r="Y122" s="208">
        <f t="shared" ca="1" si="22"/>
        <v>8.5</v>
      </c>
      <c r="Z122" s="209">
        <f t="shared" ca="1" si="23"/>
        <v>6.6894132653064329</v>
      </c>
      <c r="AA122" s="206">
        <f t="shared" ca="1" si="24"/>
        <v>1.2865646258501044</v>
      </c>
      <c r="AB122" s="206">
        <f t="shared" ca="1" si="25"/>
        <v>0.36139455782307783</v>
      </c>
      <c r="AC122" s="208">
        <f t="shared" ca="1" si="20"/>
        <v>0.16262755102038501</v>
      </c>
    </row>
    <row r="123" spans="2:29">
      <c r="B123" s="214">
        <v>44674</v>
      </c>
      <c r="C123" s="202">
        <f ca="1">DATOSAÑO!I123</f>
        <v>295</v>
      </c>
      <c r="D123" s="196">
        <f ca="1">DATOSAÑO!P123</f>
        <v>155.40000000000146</v>
      </c>
      <c r="E123" s="196">
        <f ca="1">DATOSAÑO!Q123</f>
        <v>0</v>
      </c>
      <c r="F123" s="196">
        <f ca="1">DATOSAÑO!T123</f>
        <v>0</v>
      </c>
      <c r="G123" s="196">
        <f t="shared" ca="1" si="19"/>
        <v>450.40000000000146</v>
      </c>
      <c r="H123" s="196">
        <f t="shared" ca="1" si="27"/>
        <v>35.313000000062573</v>
      </c>
      <c r="I123" s="196">
        <f t="shared" ca="1" si="15"/>
        <v>197.91055532001445</v>
      </c>
      <c r="J123" s="196">
        <f t="shared" ca="1" si="16"/>
        <v>36.990674014414424</v>
      </c>
      <c r="K123" s="196">
        <f t="shared" ca="1" si="17"/>
        <v>7.0010597710864069</v>
      </c>
      <c r="L123" s="196">
        <f t="shared" ca="1" si="28"/>
        <v>168.58699999997526</v>
      </c>
      <c r="M123" s="196">
        <f t="shared" ca="1" si="18"/>
        <v>4.5977108944483218</v>
      </c>
      <c r="N123" s="196">
        <f t="shared" ca="1" si="21"/>
        <v>4.4000000000014552</v>
      </c>
      <c r="O123" s="196">
        <f ca="1">(DATOSAÑO!AJ123+DATOSAÑO!AK123+DATOSAÑO!AD123)</f>
        <v>189.39999999996508</v>
      </c>
      <c r="P123" s="196">
        <f ca="1">DATOSAÑO!AI123</f>
        <v>35.400000000001455</v>
      </c>
      <c r="Q123" s="196">
        <f ca="1">DATOSAÑO!AH123</f>
        <v>6.6999999999970896</v>
      </c>
      <c r="R123" s="196">
        <f ca="1">DATOSAÑO!AM123+DATOSAÑO!AN123+DATOSAÑO!AF123</f>
        <v>168.58699999997526</v>
      </c>
      <c r="S123" s="209">
        <f ca="1">IF(B123&gt;=$P$5,0,CONTADORES!S121-CONTADORES!S120)</f>
        <v>15</v>
      </c>
      <c r="T123" s="206">
        <f ca="1">IF(B123&gt;=$P$5,0,(CONTADORES!U121-CONTADORES!U120)+(CONTADORES!AG121-CONTADORES!AG120))</f>
        <v>2.5</v>
      </c>
      <c r="U123" s="206">
        <f ca="1">IF(B123&gt;=$P$5,0,(CONTADORES!AS121-CONTADORES!AS120))</f>
        <v>4.4000000000014552</v>
      </c>
      <c r="V123" s="206">
        <f ca="1">IF(B123&gt;=$P$5,0,(CONTADORES!AT121-CONTADORES!AT120))</f>
        <v>0</v>
      </c>
      <c r="W123" s="715">
        <v>0</v>
      </c>
      <c r="X123" s="206">
        <f ca="1">IF(W123=0,(T123-INICIO!$W$6),((T123-INICIO!$W$6)+V123))</f>
        <v>2.5</v>
      </c>
      <c r="Y123" s="208">
        <f t="shared" ca="1" si="22"/>
        <v>10.599999999998545</v>
      </c>
      <c r="Z123" s="209">
        <f t="shared" ca="1" si="23"/>
        <v>8.5105553200493915</v>
      </c>
      <c r="AA123" s="206">
        <f t="shared" ca="1" si="24"/>
        <v>1.5906740144129694</v>
      </c>
      <c r="AB123" s="206">
        <f t="shared" ca="1" si="25"/>
        <v>0.30105977108931714</v>
      </c>
      <c r="AC123" s="208">
        <f t="shared" ca="1" si="20"/>
        <v>0.19771089444686701</v>
      </c>
    </row>
    <row r="124" spans="2:29">
      <c r="B124" s="214">
        <v>44675</v>
      </c>
      <c r="C124" s="202">
        <f ca="1">DATOSAÑO!I124</f>
        <v>302</v>
      </c>
      <c r="D124" s="196">
        <f ca="1">DATOSAÑO!P124</f>
        <v>153</v>
      </c>
      <c r="E124" s="196">
        <f ca="1">DATOSAÑO!Q124</f>
        <v>0</v>
      </c>
      <c r="F124" s="196">
        <f ca="1">DATOSAÑO!T124</f>
        <v>0</v>
      </c>
      <c r="G124" s="196">
        <f t="shared" ca="1" si="19"/>
        <v>455</v>
      </c>
      <c r="H124" s="196">
        <f t="shared" ca="1" si="27"/>
        <v>35.336000000034232</v>
      </c>
      <c r="I124" s="196">
        <f t="shared" ca="1" si="15"/>
        <v>190.71676300574137</v>
      </c>
      <c r="J124" s="196">
        <f t="shared" ca="1" si="16"/>
        <v>36.312138728325863</v>
      </c>
      <c r="K124" s="196">
        <f t="shared" ca="1" si="17"/>
        <v>19.560693641621874</v>
      </c>
      <c r="L124" s="196">
        <f t="shared" ca="1" si="28"/>
        <v>167.66400000000218</v>
      </c>
      <c r="M124" s="196">
        <f t="shared" ca="1" si="18"/>
        <v>5.4104046242745252</v>
      </c>
      <c r="N124" s="196">
        <f t="shared" ca="1" si="21"/>
        <v>5.1999999999970896</v>
      </c>
      <c r="O124" s="196">
        <f ca="1">(DATOSAÑO!AJ124+DATOSAÑO!AK124+DATOSAÑO!AD124)</f>
        <v>183.29999999995925</v>
      </c>
      <c r="P124" s="196">
        <f ca="1">DATOSAÑO!AI124</f>
        <v>34.900000000001455</v>
      </c>
      <c r="Q124" s="196">
        <f ca="1">DATOSAÑO!AH124</f>
        <v>18.80000000000291</v>
      </c>
      <c r="R124" s="196">
        <f ca="1">DATOSAÑO!AM124+DATOSAÑO!AN124+DATOSAÑO!AF124</f>
        <v>167.66400000000218</v>
      </c>
      <c r="S124" s="209">
        <f ca="1">IF(B124&gt;=$P$5,0,CONTADORES!S122-CONTADORES!S121)</f>
        <v>15</v>
      </c>
      <c r="T124" s="206">
        <f ca="1">IF(B124&gt;=$P$5,0,(CONTADORES!U122-CONTADORES!U121)+(CONTADORES!AG122-CONTADORES!AG121))</f>
        <v>2.4000000000014552</v>
      </c>
      <c r="U124" s="206">
        <f ca="1">IF(B124&gt;=$P$5,0,(CONTADORES!AS122-CONTADORES!AS121))</f>
        <v>5.1999999999970896</v>
      </c>
      <c r="V124" s="206">
        <f ca="1">IF(B124&gt;=$P$5,0,(CONTADORES!AT122-CONTADORES!AT121))</f>
        <v>0</v>
      </c>
      <c r="W124" s="715">
        <v>0</v>
      </c>
      <c r="X124" s="206">
        <f ca="1">IF(W124=0,(T124-INICIO!$W$6),((T124-INICIO!$W$6)+V124))</f>
        <v>2.4000000000014552</v>
      </c>
      <c r="Y124" s="208">
        <f t="shared" ca="1" si="22"/>
        <v>9.8000000000029104</v>
      </c>
      <c r="Z124" s="209">
        <f t="shared" ca="1" si="23"/>
        <v>7.4167630057821032</v>
      </c>
      <c r="AA124" s="206">
        <f t="shared" ca="1" si="24"/>
        <v>1.4121387283244067</v>
      </c>
      <c r="AB124" s="206">
        <f t="shared" ca="1" si="25"/>
        <v>0.76069364161896413</v>
      </c>
      <c r="AC124" s="208">
        <f t="shared" ca="1" si="20"/>
        <v>0.2104046242774355</v>
      </c>
    </row>
    <row r="125" spans="2:29">
      <c r="B125" s="214">
        <v>44676</v>
      </c>
      <c r="C125" s="202">
        <f ca="1">DATOSAÑO!I125</f>
        <v>291</v>
      </c>
      <c r="D125" s="196">
        <f ca="1">DATOSAÑO!P125</f>
        <v>157</v>
      </c>
      <c r="E125" s="196">
        <f ca="1">DATOSAÑO!Q125</f>
        <v>0.38200000000006185</v>
      </c>
      <c r="F125" s="196">
        <f ca="1">DATOSAÑO!T125</f>
        <v>0.69000000000005457</v>
      </c>
      <c r="G125" s="196">
        <f t="shared" ca="1" si="19"/>
        <v>449.07200000000012</v>
      </c>
      <c r="H125" s="196">
        <f t="shared" ca="1" si="27"/>
        <v>36.915999999996757</v>
      </c>
      <c r="I125" s="196">
        <f t="shared" ca="1" si="15"/>
        <v>193.1813353500558</v>
      </c>
      <c r="J125" s="196">
        <f t="shared" ca="1" si="16"/>
        <v>37.594858254095854</v>
      </c>
      <c r="K125" s="196">
        <f t="shared" ca="1" si="17"/>
        <v>5.2070440795159199</v>
      </c>
      <c r="L125" s="196">
        <f t="shared" ca="1" si="28"/>
        <v>171.17399999999748</v>
      </c>
      <c r="M125" s="196">
        <f t="shared" ca="1" si="18"/>
        <v>4.9987623163383139</v>
      </c>
      <c r="N125" s="196">
        <f t="shared" ca="1" si="21"/>
        <v>4.8000000000029104</v>
      </c>
      <c r="O125" s="196">
        <f ca="1">(DATOSAÑO!AJ125+DATOSAÑO!AK125+DATOSAÑO!AD125)</f>
        <v>185.50000000001455</v>
      </c>
      <c r="P125" s="196">
        <f ca="1">DATOSAÑO!AI125</f>
        <v>36.099999999991269</v>
      </c>
      <c r="Q125" s="196">
        <f ca="1">DATOSAÑO!AH125</f>
        <v>5</v>
      </c>
      <c r="R125" s="196">
        <f ca="1">DATOSAÑO!AM125+DATOSAÑO!AN125+DATOSAÑO!AF125</f>
        <v>171.17399999999748</v>
      </c>
      <c r="S125" s="209">
        <f ca="1">IF(B125&gt;=$P$5,0,CONTADORES!S123-CONTADORES!S122)</f>
        <v>14</v>
      </c>
      <c r="T125" s="206">
        <f ca="1">IF(B125&gt;=$P$5,0,(CONTADORES!U123-CONTADORES!U122)+(CONTADORES!AG123-CONTADORES!AG122))</f>
        <v>2.5999999999985448</v>
      </c>
      <c r="U125" s="206">
        <f ca="1">IF(B125&gt;=$P$5,0,(CONTADORES!AS123-CONTADORES!AS122))</f>
        <v>4.8000000000029104</v>
      </c>
      <c r="V125" s="206">
        <f ca="1">IF(B125&gt;=$P$5,0,(CONTADORES!AT123-CONTADORES!AT122))</f>
        <v>0</v>
      </c>
      <c r="W125" s="715">
        <v>0</v>
      </c>
      <c r="X125" s="206">
        <f ca="1">IF(W125=0,(T125-INICIO!$W$6),((T125-INICIO!$W$6)+V125))</f>
        <v>2.5999999999985448</v>
      </c>
      <c r="Y125" s="208">
        <f t="shared" ca="1" si="22"/>
        <v>9.5819999999971515</v>
      </c>
      <c r="Z125" s="209">
        <f t="shared" ca="1" si="23"/>
        <v>7.6813353500412438</v>
      </c>
      <c r="AA125" s="206">
        <f t="shared" ca="1" si="24"/>
        <v>1.494858254104583</v>
      </c>
      <c r="AB125" s="206">
        <f t="shared" ca="1" si="25"/>
        <v>0.20704407951592027</v>
      </c>
      <c r="AC125" s="208">
        <f t="shared" ca="1" si="20"/>
        <v>0.19876231633540395</v>
      </c>
    </row>
    <row r="126" spans="2:29">
      <c r="B126" s="214">
        <v>44677</v>
      </c>
      <c r="C126" s="202">
        <f ca="1">DATOSAÑO!I126</f>
        <v>282.13000000000466</v>
      </c>
      <c r="D126" s="196">
        <f ca="1">DATOSAÑO!P126</f>
        <v>148.91000000000349</v>
      </c>
      <c r="E126" s="196">
        <f ca="1">DATOSAÑO!Q126</f>
        <v>0</v>
      </c>
      <c r="F126" s="196">
        <f ca="1">DATOSAÑO!T126</f>
        <v>0</v>
      </c>
      <c r="G126" s="196">
        <f t="shared" ca="1" si="19"/>
        <v>431.04000000000815</v>
      </c>
      <c r="H126" s="196">
        <f t="shared" ca="1" si="27"/>
        <v>35.869999999999095</v>
      </c>
      <c r="I126" s="196">
        <f t="shared" ca="1" si="15"/>
        <v>186.04929556565486</v>
      </c>
      <c r="J126" s="196">
        <f t="shared" ca="1" si="16"/>
        <v>36.225316467082649</v>
      </c>
      <c r="K126" s="196">
        <f t="shared" ca="1" si="17"/>
        <v>4.8077454053234474</v>
      </c>
      <c r="L126" s="196">
        <f t="shared" ca="1" si="28"/>
        <v>162.74999999998894</v>
      </c>
      <c r="M126" s="196">
        <f t="shared" ca="1" si="18"/>
        <v>5.3376425619591226</v>
      </c>
      <c r="N126" s="196">
        <f t="shared" ca="1" si="21"/>
        <v>5.1070000000036089</v>
      </c>
      <c r="O126" s="196">
        <f ca="1">(DATOSAÑO!AJ126+DATOSAÑO!AK126+DATOSAÑO!AD126)</f>
        <v>178.01000000002387</v>
      </c>
      <c r="P126" s="196">
        <f ca="1">DATOSAÑO!AI126</f>
        <v>34.660000000003492</v>
      </c>
      <c r="Q126" s="196">
        <f ca="1">DATOSAÑO!AH126</f>
        <v>4.5999999999985448</v>
      </c>
      <c r="R126" s="196">
        <f ca="1">DATOSAÑO!AM126+DATOSAÑO!AN126+DATOSAÑO!AF126</f>
        <v>162.74999999998894</v>
      </c>
      <c r="S126" s="209">
        <f ca="1">IF(B126&gt;=$P$5,0,CONTADORES!S124-CONTADORES!S123)</f>
        <v>15.149999999994179</v>
      </c>
      <c r="T126" s="206">
        <f ca="1">IF(B126&gt;=$P$5,0,(CONTADORES!U124-CONTADORES!U123)+(CONTADORES!AG124-CONTADORES!AG123))</f>
        <v>2.4700000000011642</v>
      </c>
      <c r="U126" s="206">
        <f ca="1">IF(B126&gt;=$P$5,0,(CONTADORES!AS124-CONTADORES!AS123))</f>
        <v>5.1070000000036089</v>
      </c>
      <c r="V126" s="206">
        <f ca="1">IF(B126&gt;=$P$5,0,(CONTADORES!AT124-CONTADORES!AT123))</f>
        <v>0</v>
      </c>
      <c r="W126" s="715">
        <v>0</v>
      </c>
      <c r="X126" s="206">
        <f ca="1">IF(W126=0,(T126-INICIO!$W$6),((T126-INICIO!$W$6)+V126))</f>
        <v>2.4700000000011642</v>
      </c>
      <c r="Y126" s="208">
        <f t="shared" ca="1" si="22"/>
        <v>10.04299999999057</v>
      </c>
      <c r="Z126" s="209">
        <f t="shared" ca="1" si="23"/>
        <v>8.0392955656309955</v>
      </c>
      <c r="AA126" s="206">
        <f t="shared" ca="1" si="24"/>
        <v>1.5653164670791586</v>
      </c>
      <c r="AB126" s="206">
        <f t="shared" ca="1" si="25"/>
        <v>0.20774540532490265</v>
      </c>
      <c r="AC126" s="208">
        <f t="shared" ca="1" si="20"/>
        <v>0.23064256195551375</v>
      </c>
    </row>
    <row r="127" spans="2:29">
      <c r="B127" s="214">
        <v>44678</v>
      </c>
      <c r="C127" s="202">
        <f ca="1">DATOSAÑO!I127</f>
        <v>307.51000000000931</v>
      </c>
      <c r="D127" s="196">
        <f ca="1">DATOSAÑO!P127</f>
        <v>151.15999999999622</v>
      </c>
      <c r="E127" s="196">
        <f ca="1">DATOSAÑO!Q127</f>
        <v>0</v>
      </c>
      <c r="F127" s="196">
        <f ca="1">DATOSAÑO!T127</f>
        <v>0</v>
      </c>
      <c r="G127" s="196">
        <f t="shared" ca="1" si="19"/>
        <v>458.67000000000553</v>
      </c>
      <c r="H127" s="196">
        <f t="shared" ca="1" si="27"/>
        <v>38.268999999951006</v>
      </c>
      <c r="I127" s="196">
        <f t="shared" ca="1" si="15"/>
        <v>192.50369921716498</v>
      </c>
      <c r="J127" s="196">
        <f t="shared" ca="1" si="16"/>
        <v>41.017182529877559</v>
      </c>
      <c r="K127" s="196">
        <f t="shared" ca="1" si="17"/>
        <v>13.957091058922142</v>
      </c>
      <c r="L127" s="196">
        <f t="shared" ca="1" si="28"/>
        <v>167.61100000002452</v>
      </c>
      <c r="M127" s="196">
        <f t="shared" ca="1" si="18"/>
        <v>5.3120271940652897</v>
      </c>
      <c r="N127" s="196">
        <f t="shared" ca="1" si="21"/>
        <v>5.0999999999985448</v>
      </c>
      <c r="O127" s="196">
        <f ca="1">(DATOSAÑO!AJ127+DATOSAÑO!AK127+DATOSAÑO!AD127)</f>
        <v>184.82000000002154</v>
      </c>
      <c r="P127" s="196">
        <f ca="1">DATOSAÑO!AI127</f>
        <v>39.380000000004657</v>
      </c>
      <c r="Q127" s="196">
        <f ca="1">DATOSAÑO!AH127</f>
        <v>13.400000000001455</v>
      </c>
      <c r="R127" s="196">
        <f ca="1">DATOSAÑO!AM127+DATOSAÑO!AN127+DATOSAÑO!AF127</f>
        <v>167.61100000002452</v>
      </c>
      <c r="S127" s="209">
        <f ca="1">IF(B127&gt;=$P$5,0,CONTADORES!S125-CONTADORES!S124)</f>
        <v>15.190000000002328</v>
      </c>
      <c r="T127" s="206">
        <f ca="1">IF(B127&gt;=$P$5,0,(CONTADORES!U125-CONTADORES!U124)+(CONTADORES!AG125-CONTADORES!AG124))</f>
        <v>2.5100000000020373</v>
      </c>
      <c r="U127" s="206">
        <f ca="1">IF(B127&gt;=$P$5,0,(CONTADORES!AS125-CONTADORES!AS124))</f>
        <v>5.0999999999985448</v>
      </c>
      <c r="V127" s="206">
        <f ca="1">IF(B127&gt;=$P$5,0,(CONTADORES!AT125-CONTADORES!AT124))</f>
        <v>0</v>
      </c>
      <c r="W127" s="715">
        <v>0</v>
      </c>
      <c r="X127" s="206">
        <f ca="1">IF(W127=0,(T127-INICIO!$W$6),((T127-INICIO!$W$6)+V127))</f>
        <v>2.5100000000020373</v>
      </c>
      <c r="Y127" s="208">
        <f t="shared" ca="1" si="22"/>
        <v>10.090000000003783</v>
      </c>
      <c r="Z127" s="209">
        <f t="shared" ca="1" si="23"/>
        <v>7.6836992171434506</v>
      </c>
      <c r="AA127" s="206">
        <f t="shared" ca="1" si="24"/>
        <v>1.6371825298729012</v>
      </c>
      <c r="AB127" s="206">
        <f t="shared" ca="1" si="25"/>
        <v>0.55709105892068722</v>
      </c>
      <c r="AC127" s="208">
        <f t="shared" ca="1" si="20"/>
        <v>0.21202719406674519</v>
      </c>
    </row>
    <row r="128" spans="2:29">
      <c r="B128" s="214">
        <v>44679</v>
      </c>
      <c r="C128" s="202">
        <f ca="1">DATOSAÑO!I128</f>
        <v>298.85999999998603</v>
      </c>
      <c r="D128" s="196">
        <f ca="1">DATOSAÑO!P128</f>
        <v>151.94000000000233</v>
      </c>
      <c r="E128" s="196">
        <f ca="1">DATOSAÑO!Q128</f>
        <v>0</v>
      </c>
      <c r="F128" s="196">
        <f ca="1">DATOSAÑO!T128</f>
        <v>0</v>
      </c>
      <c r="G128" s="196">
        <f t="shared" ca="1" si="19"/>
        <v>450.79999999998836</v>
      </c>
      <c r="H128" s="196">
        <f t="shared" ca="1" si="27"/>
        <v>37.520999999968012</v>
      </c>
      <c r="I128" s="196">
        <f t="shared" ca="1" si="15"/>
        <v>191.94125482470665</v>
      </c>
      <c r="J128" s="196">
        <f t="shared" ca="1" si="16"/>
        <v>39.805022235265028</v>
      </c>
      <c r="K128" s="196">
        <f t="shared" ca="1" si="17"/>
        <v>11.146656318170917</v>
      </c>
      <c r="L128" s="196">
        <f t="shared" ca="1" si="28"/>
        <v>164.96899999996444</v>
      </c>
      <c r="M128" s="196">
        <f t="shared" ca="1" si="18"/>
        <v>5.4170666219132801</v>
      </c>
      <c r="N128" s="196">
        <f t="shared" ca="1" si="21"/>
        <v>5.1999999999970896</v>
      </c>
      <c r="O128" s="196">
        <f ca="1">(DATOSAÑO!AJ128+DATOSAÑO!AK128+DATOSAÑO!AD128)</f>
        <v>184.25000000007276</v>
      </c>
      <c r="P128" s="196">
        <f ca="1">DATOSAÑO!AI128</f>
        <v>38.209999999991851</v>
      </c>
      <c r="Q128" s="196">
        <f ca="1">DATOSAÑO!AH128</f>
        <v>10.69999999999709</v>
      </c>
      <c r="R128" s="196">
        <f ca="1">DATOSAÑO!AM128+DATOSAÑO!AN128+DATOSAÑO!AF128</f>
        <v>164.96899999996444</v>
      </c>
      <c r="S128" s="209">
        <f ca="1">IF(B128&gt;=$P$5,0,CONTADORES!S126-CONTADORES!S125)</f>
        <v>15.149999999994179</v>
      </c>
      <c r="T128" s="206">
        <f ca="1">IF(B128&gt;=$P$5,0,(CONTADORES!U126-CONTADORES!U125)+(CONTADORES!AG126-CONTADORES!AG125))</f>
        <v>2.5199999999967986</v>
      </c>
      <c r="U128" s="206">
        <f ca="1">IF(B128&gt;=$P$5,0,(CONTADORES!AS126-CONTADORES!AS125))</f>
        <v>5.1999999999970896</v>
      </c>
      <c r="V128" s="206">
        <f ca="1">IF(B128&gt;=$P$5,0,(CONTADORES!AT126-CONTADORES!AT125))</f>
        <v>0</v>
      </c>
      <c r="W128" s="715">
        <v>0</v>
      </c>
      <c r="X128" s="206">
        <f ca="1">IF(W128=0,(T128-INICIO!$W$6),((T128-INICIO!$W$6)+V128))</f>
        <v>2.5199999999967986</v>
      </c>
      <c r="Y128" s="208">
        <f t="shared" ca="1" si="22"/>
        <v>9.9499999999970896</v>
      </c>
      <c r="Z128" s="209">
        <f t="shared" ca="1" si="23"/>
        <v>7.6912548246338961</v>
      </c>
      <c r="AA128" s="206">
        <f t="shared" ca="1" si="24"/>
        <v>1.5950222352731747</v>
      </c>
      <c r="AB128" s="206">
        <f t="shared" ca="1" si="25"/>
        <v>0.446656318173828</v>
      </c>
      <c r="AC128" s="208">
        <f t="shared" ca="1" si="20"/>
        <v>0.21706662191619042</v>
      </c>
    </row>
    <row r="129" spans="2:29">
      <c r="B129" s="214">
        <v>44680</v>
      </c>
      <c r="C129" s="202">
        <f ca="1">DATOSAÑO!I129</f>
        <v>291.6600000000326</v>
      </c>
      <c r="D129" s="196">
        <f ca="1">DATOSAÑO!P129</f>
        <v>147.88999999999942</v>
      </c>
      <c r="E129" s="196">
        <f ca="1">DATOSAÑO!Q129</f>
        <v>0</v>
      </c>
      <c r="F129" s="196">
        <f ca="1">DATOSAÑO!T129</f>
        <v>0</v>
      </c>
      <c r="G129" s="196">
        <f t="shared" ca="1" si="19"/>
        <v>439.55000000003201</v>
      </c>
      <c r="H129" s="196">
        <f t="shared" ca="1" si="27"/>
        <v>36.565999999959161</v>
      </c>
      <c r="I129" s="196">
        <f t="shared" ca="1" si="15"/>
        <v>192.25082895580817</v>
      </c>
      <c r="J129" s="196">
        <f t="shared" ca="1" si="16"/>
        <v>39.748017732854073</v>
      </c>
      <c r="K129" s="196">
        <f t="shared" ca="1" si="17"/>
        <v>9.5828554282598937</v>
      </c>
      <c r="L129" s="196">
        <f t="shared" ca="1" si="28"/>
        <v>156.51400000002076</v>
      </c>
      <c r="M129" s="196">
        <f t="shared" ca="1" si="18"/>
        <v>4.8882978831299617</v>
      </c>
      <c r="N129" s="196">
        <f t="shared" ca="1" si="21"/>
        <v>4.6929999999993015</v>
      </c>
      <c r="O129" s="196">
        <f ca="1">(DATOSAÑO!AJ129+DATOSAÑO!AK129+DATOSAÑO!AD129)</f>
        <v>184.57000000003609</v>
      </c>
      <c r="P129" s="196">
        <f ca="1">DATOSAÑO!AI129</f>
        <v>38.160000000003492</v>
      </c>
      <c r="Q129" s="196">
        <f ca="1">DATOSAÑO!AH129</f>
        <v>9.2000000000043656</v>
      </c>
      <c r="R129" s="196">
        <f ca="1">DATOSAÑO!AM129+DATOSAÑO!AN129+DATOSAÑO!AF129</f>
        <v>156.51400000002076</v>
      </c>
      <c r="S129" s="209">
        <f ca="1">IF(B129&gt;=$P$5,0,CONTADORES!S127-CONTADORES!S126)</f>
        <v>14.540000000008149</v>
      </c>
      <c r="T129" s="206">
        <f ca="1">IF(B129&gt;=$P$5,0,(CONTADORES!U127-CONTADORES!U126)+(CONTADORES!AG127-CONTADORES!AG126))</f>
        <v>2.4800000000032014</v>
      </c>
      <c r="U129" s="206">
        <f ca="1">IF(B129&gt;=$P$5,0,(CONTADORES!AS127-CONTADORES!AS126))</f>
        <v>4.6929999999993015</v>
      </c>
      <c r="V129" s="206">
        <f ca="1">IF(B129&gt;=$P$5,0,(CONTADORES!AT127-CONTADORES!AT126))</f>
        <v>0</v>
      </c>
      <c r="W129" s="715">
        <v>0</v>
      </c>
      <c r="X129" s="206">
        <f ca="1">IF(W129=0,(T129-INICIO!$W$6),((T129-INICIO!$W$6)+V129))</f>
        <v>2.4800000000032014</v>
      </c>
      <c r="Y129" s="208">
        <f t="shared" ca="1" si="22"/>
        <v>9.8470000000088476</v>
      </c>
      <c r="Z129" s="209">
        <f t="shared" ca="1" si="23"/>
        <v>7.6808289557720775</v>
      </c>
      <c r="AA129" s="206">
        <f t="shared" ca="1" si="24"/>
        <v>1.5880177328505822</v>
      </c>
      <c r="AB129" s="206">
        <f t="shared" ca="1" si="25"/>
        <v>0.3828554282555281</v>
      </c>
      <c r="AC129" s="208">
        <f t="shared" ca="1" si="20"/>
        <v>0.19529788313066015</v>
      </c>
    </row>
    <row r="130" spans="2:29" ht="15" thickBot="1">
      <c r="B130" s="1043">
        <v>44681</v>
      </c>
      <c r="C130" s="203">
        <f ca="1">DATOSAÑO!I130</f>
        <v>302.98999999999069</v>
      </c>
      <c r="D130" s="197">
        <f ca="1">DATOSAÑO!P130</f>
        <v>144</v>
      </c>
      <c r="E130" s="197">
        <f ca="1">DATOSAÑO!Q130</f>
        <v>0</v>
      </c>
      <c r="F130" s="197">
        <f ca="1">DATOSAÑO!T130</f>
        <v>0</v>
      </c>
      <c r="G130" s="197">
        <f t="shared" ca="1" si="19"/>
        <v>446.98999999999069</v>
      </c>
      <c r="H130" s="197">
        <f t="shared" ca="1" si="27"/>
        <v>37.272000000083722</v>
      </c>
      <c r="I130" s="197">
        <f t="shared" ca="1" si="15"/>
        <v>189.50058152690988</v>
      </c>
      <c r="J130" s="197">
        <f t="shared" ca="1" si="16"/>
        <v>39.785456374991149</v>
      </c>
      <c r="K130" s="197">
        <f t="shared" ca="1" si="17"/>
        <v>13.719122887925375</v>
      </c>
      <c r="L130" s="197">
        <f t="shared" ca="1" si="28"/>
        <v>161.82799999998028</v>
      </c>
      <c r="M130" s="197">
        <f t="shared" ca="1" si="18"/>
        <v>4.8848392101002549</v>
      </c>
      <c r="N130" s="197">
        <f t="shared" ca="1" si="21"/>
        <v>4.7000000000043656</v>
      </c>
      <c r="O130" s="197">
        <f ca="1">(DATOSAÑO!AJ130+DATOSAÑO!AK130+DATOSAÑO!AD130)</f>
        <v>182.32999999994354</v>
      </c>
      <c r="P130" s="197">
        <f ca="1">DATOSAÑO!AI130</f>
        <v>38.279999999998836</v>
      </c>
      <c r="Q130" s="197">
        <f ca="1">DATOSAÑO!AH130</f>
        <v>13.19999999999709</v>
      </c>
      <c r="R130" s="197">
        <f ca="1">DATOSAÑO!AM130+DATOSAÑO!AN130+DATOSAÑO!AF130</f>
        <v>161.82799999998028</v>
      </c>
      <c r="S130" s="203">
        <f ca="1">IF(B130&gt;=$P$5,0,CONTADORES!S128-CONTADORES!S127)</f>
        <v>14.079999999987194</v>
      </c>
      <c r="T130" s="197">
        <f ca="1">IF(B130&gt;=$P$5,0,(CONTADORES!U128-CONTADORES!U127)+(CONTADORES!AG128-CONTADORES!AG127))</f>
        <v>2.3899999999994179</v>
      </c>
      <c r="U130" s="197">
        <f ca="1">IF(B130&gt;=$P$5,0,(CONTADORES!AS128-CONTADORES!AS127))</f>
        <v>4.7000000000043656</v>
      </c>
      <c r="V130" s="197">
        <f ca="1">IF(B130&gt;=$P$5,0,(CONTADORES!AT128-CONTADORES!AT127))</f>
        <v>0</v>
      </c>
      <c r="W130" s="716">
        <v>0</v>
      </c>
      <c r="X130" s="197">
        <f ca="1">IF(W130=0,(T130-INICIO!$W$6),((T130-INICIO!$W$6)+V130))</f>
        <v>2.3899999999994179</v>
      </c>
      <c r="Y130" s="201">
        <f t="shared" ca="1" si="22"/>
        <v>9.3799999999828287</v>
      </c>
      <c r="Z130" s="197">
        <f t="shared" ca="1" si="23"/>
        <v>7.170581526966342</v>
      </c>
      <c r="AA130" s="197">
        <f t="shared" ca="1" si="24"/>
        <v>1.5054563749923118</v>
      </c>
      <c r="AB130" s="197">
        <f t="shared" ca="1" si="25"/>
        <v>0.51912288792828476</v>
      </c>
      <c r="AC130" s="201">
        <f t="shared" ca="1" si="20"/>
        <v>0.18483921009588958</v>
      </c>
    </row>
    <row r="131" spans="2:29">
      <c r="B131" s="390">
        <v>44682</v>
      </c>
      <c r="C131" s="202">
        <f ca="1">DATOSAÑO!I131</f>
        <v>307.15000000002328</v>
      </c>
      <c r="D131" s="196">
        <f ca="1">DATOSAÑO!P131</f>
        <v>145.09999999999854</v>
      </c>
      <c r="E131" s="196">
        <f ca="1">DATOSAÑO!Q131</f>
        <v>0</v>
      </c>
      <c r="F131" s="196">
        <f ca="1">DATOSAÑO!T131</f>
        <v>0</v>
      </c>
      <c r="G131" s="196">
        <f t="shared" ca="1" si="19"/>
        <v>452.25000000002183</v>
      </c>
      <c r="H131" s="196">
        <f ca="1">G131-SUM(I131:M131)</f>
        <v>37.102000000019416</v>
      </c>
      <c r="I131" s="196">
        <f t="shared" ca="1" si="15"/>
        <v>193.23442049074785</v>
      </c>
      <c r="J131" s="196">
        <f t="shared" ca="1" si="16"/>
        <v>39.774058840576188</v>
      </c>
      <c r="K131" s="196">
        <f t="shared" ca="1" si="17"/>
        <v>13.438589812556025</v>
      </c>
      <c r="L131" s="196">
        <f ca="1">R131</f>
        <v>163.38799999999767</v>
      </c>
      <c r="M131" s="196">
        <f t="shared" ca="1" si="18"/>
        <v>5.3129308561246855</v>
      </c>
      <c r="N131" s="196">
        <f t="shared" ca="1" si="21"/>
        <v>5.0999999999985448</v>
      </c>
      <c r="O131" s="196">
        <f ca="1">(DATOSAÑO!AJ131+DATOSAÑO!AK131+DATOSAÑO!AD131)</f>
        <v>185.48999999999342</v>
      </c>
      <c r="P131" s="196">
        <f ca="1">DATOSAÑO!AI131</f>
        <v>38.180000000007567</v>
      </c>
      <c r="Q131" s="196">
        <f ca="1">DATOSAÑO!AH131</f>
        <v>12.900000000001455</v>
      </c>
      <c r="R131" s="196">
        <f ca="1">DATOSAÑO!AM131+DATOSAÑO!AN131+DATOSAÑO!AF131</f>
        <v>163.38799999999767</v>
      </c>
      <c r="S131" s="202">
        <f ca="1">IF(B131&gt;=$P$5,0,CONTADORES!S125-CONTADORES!S124)</f>
        <v>15.190000000002328</v>
      </c>
      <c r="T131" s="196">
        <f ca="1">IF(B131&gt;=$P$5,0,(CONTADORES!U125-CONTADORES!U124)+(CONTADORES!AG125-CONTADORES!AG124))</f>
        <v>2.5100000000020373</v>
      </c>
      <c r="U131" s="196">
        <f ca="1">IF(B131&gt;=$P$5,0,(CONTADORES!AS125-CONTADORES!AS124))</f>
        <v>5.0999999999985448</v>
      </c>
      <c r="V131" s="196">
        <f ca="1">IF(B131&gt;=$P$5,0,(CONTADORES!AT125-CONTADORES!AT124))</f>
        <v>0</v>
      </c>
      <c r="W131" s="714">
        <v>0</v>
      </c>
      <c r="X131" s="196">
        <f ca="1">IF(W131=0,(T131-INICIO!$W$6),((T131-INICIO!$W$6)+V131))</f>
        <v>2.5100000000020373</v>
      </c>
      <c r="Y131" s="208">
        <f t="shared" ca="1" si="22"/>
        <v>10.090000000003783</v>
      </c>
      <c r="Z131" s="209">
        <f t="shared" ca="1" si="23"/>
        <v>7.7444204907544494</v>
      </c>
      <c r="AA131" s="206">
        <f t="shared" ca="1" si="24"/>
        <v>1.5940588405686236</v>
      </c>
      <c r="AB131" s="206">
        <f t="shared" ca="1" si="25"/>
        <v>0.53858981255457017</v>
      </c>
      <c r="AC131" s="208">
        <f t="shared" ca="1" si="20"/>
        <v>0.21293085612614063</v>
      </c>
    </row>
    <row r="132" spans="2:29">
      <c r="B132" s="214">
        <v>44683</v>
      </c>
      <c r="C132" s="202">
        <f ca="1">DATOSAÑO!I132</f>
        <v>312.69999999995343</v>
      </c>
      <c r="D132" s="196">
        <f ca="1">DATOSAÑO!P132</f>
        <v>148</v>
      </c>
      <c r="E132" s="196">
        <f ca="1">DATOSAÑO!Q132</f>
        <v>0.17599999999993088</v>
      </c>
      <c r="F132" s="196">
        <f ca="1">DATOSAÑO!T132</f>
        <v>0.20299999999997453</v>
      </c>
      <c r="G132" s="196">
        <f t="shared" ca="1" si="19"/>
        <v>461.07899999995334</v>
      </c>
      <c r="H132" s="196">
        <f t="shared" ref="H132:H161" ca="1" si="29">G132-SUM(I132:M132)</f>
        <v>39.00799999992222</v>
      </c>
      <c r="I132" s="196">
        <f t="shared" ca="1" si="15"/>
        <v>197.33286571625555</v>
      </c>
      <c r="J132" s="196">
        <f t="shared" ca="1" si="16"/>
        <v>40.105682646094948</v>
      </c>
      <c r="K132" s="196">
        <f t="shared" ca="1" si="17"/>
        <v>14.884797867617229</v>
      </c>
      <c r="L132" s="196">
        <f t="shared" ref="L132:L195" ca="1" si="30">R132</f>
        <v>164.33500000002488</v>
      </c>
      <c r="M132" s="196">
        <f t="shared" ca="1" si="18"/>
        <v>5.4126537700384976</v>
      </c>
      <c r="N132" s="196">
        <f t="shared" ca="1" si="21"/>
        <v>5.1999999999970896</v>
      </c>
      <c r="O132" s="196">
        <f ca="1">(DATOSAÑO!AJ132+DATOSAÑO!AK132+DATOSAÑO!AD132)</f>
        <v>189.58000000001039</v>
      </c>
      <c r="P132" s="196">
        <f ca="1">DATOSAÑO!AI132</f>
        <v>38.529999999998836</v>
      </c>
      <c r="Q132" s="196">
        <f ca="1">DATOSAÑO!AH132</f>
        <v>14.30000000000291</v>
      </c>
      <c r="R132" s="196">
        <f ca="1">DATOSAÑO!AM132+DATOSAÑO!AN132+DATOSAÑO!AF132</f>
        <v>164.33500000002488</v>
      </c>
      <c r="S132" s="209">
        <f ca="1">IF(B132&gt;=$P$5,0,CONTADORES!S126-CONTADORES!S125)</f>
        <v>15.149999999994179</v>
      </c>
      <c r="T132" s="206">
        <f ca="1">IF(B132&gt;=$P$5,0,(CONTADORES!U126-CONTADORES!U125)+(CONTADORES!AG126-CONTADORES!AG125))</f>
        <v>2.5199999999967986</v>
      </c>
      <c r="U132" s="206">
        <f ca="1">IF(B132&gt;=$P$5,0,(CONTADORES!AS126-CONTADORES!AS125))</f>
        <v>5.1999999999970896</v>
      </c>
      <c r="V132" s="206">
        <f ca="1">IF(B132&gt;=$P$5,0,(CONTADORES!AT126-CONTADORES!AT125))</f>
        <v>0</v>
      </c>
      <c r="W132" s="715">
        <v>0</v>
      </c>
      <c r="X132" s="206">
        <f ca="1">IF(W132=0,(T132-INICIO!$W$6),((T132-INICIO!$W$6)+V132))</f>
        <v>2.5199999999967986</v>
      </c>
      <c r="Y132" s="208">
        <f t="shared" ca="1" si="22"/>
        <v>10.12599999999702</v>
      </c>
      <c r="Z132" s="209">
        <f t="shared" ca="1" si="23"/>
        <v>7.7528657162451795</v>
      </c>
      <c r="AA132" s="206">
        <f t="shared" ca="1" si="24"/>
        <v>1.5756826460961144</v>
      </c>
      <c r="AB132" s="206">
        <f t="shared" ca="1" si="25"/>
        <v>0.58479786761431873</v>
      </c>
      <c r="AC132" s="208">
        <f t="shared" ca="1" si="20"/>
        <v>0.21265377004140817</v>
      </c>
    </row>
    <row r="133" spans="2:29">
      <c r="B133" s="214">
        <v>44684</v>
      </c>
      <c r="C133" s="202">
        <f ca="1">DATOSAÑO!I133</f>
        <v>286</v>
      </c>
      <c r="D133" s="196">
        <f ca="1">DATOSAÑO!P133</f>
        <v>146</v>
      </c>
      <c r="E133" s="196">
        <f ca="1">DATOSAÑO!Q133</f>
        <v>0</v>
      </c>
      <c r="F133" s="196">
        <f ca="1">DATOSAÑO!T133</f>
        <v>0</v>
      </c>
      <c r="G133" s="196">
        <f t="shared" ca="1" si="19"/>
        <v>432</v>
      </c>
      <c r="H133" s="196">
        <f t="shared" ca="1" si="29"/>
        <v>36.889000000001658</v>
      </c>
      <c r="I133" s="196">
        <f t="shared" ca="1" si="15"/>
        <v>180.25606212808324</v>
      </c>
      <c r="J133" s="196">
        <f t="shared" ca="1" si="16"/>
        <v>40.20775429856058</v>
      </c>
      <c r="K133" s="196">
        <f t="shared" ca="1" si="17"/>
        <v>6.4750149779488755</v>
      </c>
      <c r="L133" s="196">
        <f t="shared" ca="1" si="30"/>
        <v>163.27100000000002</v>
      </c>
      <c r="M133" s="196">
        <f t="shared" ca="1" si="18"/>
        <v>4.901168595405629</v>
      </c>
      <c r="N133" s="196">
        <f t="shared" ca="1" si="21"/>
        <v>4.6929999999993015</v>
      </c>
      <c r="O133" s="196">
        <f ca="1">(DATOSAÑO!AJ133+DATOSAÑO!AK133+DATOSAÑO!AD133)</f>
        <v>172.59999999999127</v>
      </c>
      <c r="P133" s="196">
        <f ca="1">DATOSAÑO!AI133</f>
        <v>38.5</v>
      </c>
      <c r="Q133" s="196">
        <f ca="1">DATOSAÑO!AH133</f>
        <v>6.1999999999989086</v>
      </c>
      <c r="R133" s="196">
        <f ca="1">DATOSAÑO!AM133+DATOSAÑO!AN133+DATOSAÑO!AF133</f>
        <v>163.27100000000002</v>
      </c>
      <c r="S133" s="209">
        <f ca="1">IF(B133&gt;=$P$5,0,CONTADORES!S127-CONTADORES!S126)</f>
        <v>14.540000000008149</v>
      </c>
      <c r="T133" s="206">
        <f ca="1">IF(B133&gt;=$P$5,0,(CONTADORES!U127-CONTADORES!U126)+(CONTADORES!AG127-CONTADORES!AG126))</f>
        <v>2.4800000000032014</v>
      </c>
      <c r="U133" s="206">
        <f ca="1">IF(B133&gt;=$P$5,0,(CONTADORES!AS127-CONTADORES!AS126))</f>
        <v>4.6929999999993015</v>
      </c>
      <c r="V133" s="206">
        <f ca="1">IF(B133&gt;=$P$5,0,(CONTADORES!AT127-CONTADORES!AT126))</f>
        <v>0</v>
      </c>
      <c r="W133" s="715">
        <v>0</v>
      </c>
      <c r="X133" s="206">
        <f ca="1">IF(W133=0,(T133-INICIO!$W$6),((T133-INICIO!$W$6)+V133))</f>
        <v>2.4800000000032014</v>
      </c>
      <c r="Y133" s="208">
        <f t="shared" ca="1" si="22"/>
        <v>9.8470000000088476</v>
      </c>
      <c r="Z133" s="209">
        <f t="shared" ca="1" si="23"/>
        <v>7.6560621280919747</v>
      </c>
      <c r="AA133" s="206">
        <f t="shared" ca="1" si="24"/>
        <v>1.7077542985605789</v>
      </c>
      <c r="AB133" s="206">
        <f t="shared" ca="1" si="25"/>
        <v>0.27501497794996693</v>
      </c>
      <c r="AC133" s="208">
        <f t="shared" ca="1" si="20"/>
        <v>0.20816859540632737</v>
      </c>
    </row>
    <row r="134" spans="2:29">
      <c r="B134" s="214">
        <v>44685</v>
      </c>
      <c r="C134" s="202">
        <f ca="1">DATOSAÑO!I134</f>
        <v>295</v>
      </c>
      <c r="D134" s="196">
        <f ca="1">DATOSAÑO!P134</f>
        <v>150</v>
      </c>
      <c r="E134" s="196">
        <f ca="1">DATOSAÑO!Q134</f>
        <v>0</v>
      </c>
      <c r="F134" s="196">
        <f ca="1">DATOSAÑO!T134</f>
        <v>0</v>
      </c>
      <c r="G134" s="196">
        <f t="shared" ca="1" si="19"/>
        <v>445</v>
      </c>
      <c r="H134" s="196">
        <f t="shared" ca="1" si="29"/>
        <v>38.304000000012365</v>
      </c>
      <c r="I134" s="196">
        <f t="shared" ca="1" si="15"/>
        <v>190.24733190578317</v>
      </c>
      <c r="J134" s="196">
        <f t="shared" ca="1" si="16"/>
        <v>40.150612419688251</v>
      </c>
      <c r="K134" s="196">
        <f t="shared" ca="1" si="17"/>
        <v>7.5932505353268205</v>
      </c>
      <c r="L134" s="196">
        <f t="shared" ca="1" si="30"/>
        <v>163.81599999999892</v>
      </c>
      <c r="M134" s="196">
        <f t="shared" ca="1" si="18"/>
        <v>4.8888051391904863</v>
      </c>
      <c r="N134" s="196">
        <f t="shared" ca="1" si="21"/>
        <v>4.7000000000043656</v>
      </c>
      <c r="O134" s="196">
        <f ca="1">(DATOSAÑO!AJ134+DATOSAÑO!AK134+DATOSAÑO!AD134)</f>
        <v>182.90000000001464</v>
      </c>
      <c r="P134" s="196">
        <f ca="1">DATOSAÑO!AI134</f>
        <v>38.599999999991269</v>
      </c>
      <c r="Q134" s="196">
        <f ca="1">DATOSAÑO!AH134</f>
        <v>7.2999999999956344</v>
      </c>
      <c r="R134" s="196">
        <f ca="1">DATOSAÑO!AM134+DATOSAÑO!AN134+DATOSAÑO!AF134</f>
        <v>163.81599999999892</v>
      </c>
      <c r="S134" s="209">
        <f ca="1">IF(B134&gt;=$P$5,0,CONTADORES!S128-CONTADORES!S127)</f>
        <v>14.079999999987194</v>
      </c>
      <c r="T134" s="206">
        <f ca="1">IF(B134&gt;=$P$5,0,(CONTADORES!U128-CONTADORES!U127)+(CONTADORES!AG128-CONTADORES!AG127))</f>
        <v>2.3899999999994179</v>
      </c>
      <c r="U134" s="206">
        <f ca="1">IF(B134&gt;=$P$5,0,(CONTADORES!AS128-CONTADORES!AS127))</f>
        <v>4.7000000000043656</v>
      </c>
      <c r="V134" s="206">
        <f ca="1">IF(B134&gt;=$P$5,0,(CONTADORES!AT128-CONTADORES!AT127))</f>
        <v>0</v>
      </c>
      <c r="W134" s="715">
        <v>0</v>
      </c>
      <c r="X134" s="206">
        <f ca="1">IF(W134=0,(T134-INICIO!$W$6),((T134-INICIO!$W$6)+V134))</f>
        <v>2.3899999999994179</v>
      </c>
      <c r="Y134" s="208">
        <f t="shared" ca="1" si="22"/>
        <v>9.3799999999828287</v>
      </c>
      <c r="Z134" s="209">
        <f t="shared" ca="1" si="23"/>
        <v>7.3473319057685362</v>
      </c>
      <c r="AA134" s="206">
        <f t="shared" ca="1" si="24"/>
        <v>1.5506124196969855</v>
      </c>
      <c r="AB134" s="206">
        <f t="shared" ca="1" si="25"/>
        <v>0.29325053533118611</v>
      </c>
      <c r="AC134" s="208">
        <f t="shared" ca="1" si="20"/>
        <v>0.18880513918612046</v>
      </c>
    </row>
    <row r="135" spans="2:29">
      <c r="B135" s="214">
        <v>44686</v>
      </c>
      <c r="C135" s="202">
        <f ca="1">DATOSAÑO!I135</f>
        <v>314</v>
      </c>
      <c r="D135" s="196">
        <f ca="1">DATOSAÑO!P135</f>
        <v>148</v>
      </c>
      <c r="E135" s="196">
        <f ca="1">DATOSAÑO!Q135</f>
        <v>0</v>
      </c>
      <c r="F135" s="196">
        <f ca="1">DATOSAÑO!T135</f>
        <v>0</v>
      </c>
      <c r="G135" s="196">
        <f t="shared" ca="1" si="19"/>
        <v>462</v>
      </c>
      <c r="H135" s="196">
        <f t="shared" ca="1" si="29"/>
        <v>140001.625</v>
      </c>
      <c r="I135" s="196">
        <f t="shared" ca="1" si="15"/>
        <v>403.16548690240245</v>
      </c>
      <c r="J135" s="196">
        <f t="shared" ca="1" si="16"/>
        <v>83.562077413552686</v>
      </c>
      <c r="K135" s="196">
        <f t="shared" ca="1" si="17"/>
        <v>43.288601959091991</v>
      </c>
      <c r="L135" s="196">
        <f t="shared" ca="1" si="30"/>
        <v>162.38500000000002</v>
      </c>
      <c r="M135" s="196">
        <f t="shared" ca="1" si="18"/>
        <v>-140232.02616627506</v>
      </c>
      <c r="N135" s="196">
        <f t="shared" ca="1" si="21"/>
        <v>-65113.3</v>
      </c>
      <c r="O135" s="196">
        <f ca="1">(DATOSAÑO!AJ135+DATOSAÑO!AK135+DATOSAÑO!AD135)</f>
        <v>187.19999999996799</v>
      </c>
      <c r="P135" s="196">
        <f ca="1">DATOSAÑO!AI135</f>
        <v>38.80000000000291</v>
      </c>
      <c r="Q135" s="196">
        <f ca="1">DATOSAÑO!AH135</f>
        <v>20.100000000005821</v>
      </c>
      <c r="R135" s="196">
        <f ca="1">DATOSAÑO!AM135+DATOSAÑO!AN135+DATOSAÑO!AF135</f>
        <v>162.38500000000002</v>
      </c>
      <c r="S135" s="209">
        <f ca="1">IF(B135&gt;=$P$5,0,CONTADORES!S129-CONTADORES!S128)</f>
        <v>-139948.10999999999</v>
      </c>
      <c r="T135" s="206">
        <f ca="1">IF(B135&gt;=$P$5,0,(CONTADORES!U129-CONTADORES!U128)+(CONTADORES!AG129-CONTADORES!AG128))</f>
        <v>-49587.1</v>
      </c>
      <c r="U135" s="206">
        <f ca="1">IF(B135&gt;=$P$5,0,(CONTADORES!AS129-CONTADORES!AS128))</f>
        <v>-65113.3</v>
      </c>
      <c r="V135" s="206">
        <f ca="1">IF(B135&gt;=$P$5,0,(CONTADORES!AT129-CONTADORES!AT128))</f>
        <v>0</v>
      </c>
      <c r="W135" s="715">
        <v>0</v>
      </c>
      <c r="X135" s="206">
        <f ca="1">IF(W135=0,(T135-INICIO!$W$6),((T135-INICIO!$W$6)+V135))</f>
        <v>-49587.1</v>
      </c>
      <c r="Y135" s="208">
        <f t="shared" ca="1" si="22"/>
        <v>-74834.809999999983</v>
      </c>
      <c r="Z135" s="209">
        <f t="shared" ca="1" si="23"/>
        <v>215.96548690243444</v>
      </c>
      <c r="AA135" s="206">
        <f t="shared" ca="1" si="24"/>
        <v>44.762077413549775</v>
      </c>
      <c r="AB135" s="206">
        <f t="shared" ca="1" si="25"/>
        <v>23.188601959086174</v>
      </c>
      <c r="AC135" s="208">
        <f t="shared" ca="1" si="20"/>
        <v>-75118.726166275053</v>
      </c>
    </row>
    <row r="136" spans="2:29">
      <c r="B136" s="214">
        <v>44687</v>
      </c>
      <c r="C136" s="202">
        <f ca="1">DATOSAÑO!I136</f>
        <v>216</v>
      </c>
      <c r="D136" s="196">
        <f ca="1">DATOSAÑO!P136</f>
        <v>238</v>
      </c>
      <c r="E136" s="196">
        <f ca="1">DATOSAÑO!Q136</f>
        <v>0</v>
      </c>
      <c r="F136" s="196">
        <f ca="1">DATOSAÑO!T136</f>
        <v>0</v>
      </c>
      <c r="G136" s="196">
        <f t="shared" ca="1" si="19"/>
        <v>454</v>
      </c>
      <c r="H136" s="196">
        <f t="shared" ca="1" si="29"/>
        <v>-139895.24799999999</v>
      </c>
      <c r="I136" s="196">
        <f t="shared" ca="1" si="15"/>
        <v>399.63182004306509</v>
      </c>
      <c r="J136" s="196">
        <f t="shared" ca="1" si="16"/>
        <v>86.876482618056272</v>
      </c>
      <c r="K136" s="196">
        <f t="shared" ca="1" si="17"/>
        <v>26.170199702223055</v>
      </c>
      <c r="L136" s="196">
        <f t="shared" ca="1" si="30"/>
        <v>162.13800000000035</v>
      </c>
      <c r="M136" s="196">
        <f t="shared" ca="1" si="18"/>
        <v>139674.43149763666</v>
      </c>
      <c r="N136" s="196">
        <f t="shared" ca="1" si="21"/>
        <v>65113.3</v>
      </c>
      <c r="O136" s="196">
        <f ca="1">(DATOSAÑO!AJ136+DATOSAÑO!AK136+DATOSAÑO!AD136)</f>
        <v>186.30000000000291</v>
      </c>
      <c r="P136" s="196">
        <f ca="1">DATOSAÑO!AI136</f>
        <v>40.5</v>
      </c>
      <c r="Q136" s="196">
        <f ca="1">DATOSAÑO!AH136</f>
        <v>12.19999999999709</v>
      </c>
      <c r="R136" s="196">
        <f ca="1">DATOSAÑO!AM136+DATOSAÑO!AN136+DATOSAÑO!AF136</f>
        <v>162.13800000000035</v>
      </c>
      <c r="S136" s="209">
        <f ca="1">IF(B136&gt;=$P$5,0,CONTADORES!S130-CONTADORES!S129)</f>
        <v>139948.10999999999</v>
      </c>
      <c r="T136" s="206">
        <f ca="1">IF(B136&gt;=$P$5,0,(CONTADORES!U130-CONTADORES!U129)+(CONTADORES!AG130-CONTADORES!AG129))</f>
        <v>49587.1</v>
      </c>
      <c r="U136" s="206">
        <f ca="1">IF(B136&gt;=$P$5,0,(CONTADORES!AS130-CONTADORES!AS129))</f>
        <v>65113.3</v>
      </c>
      <c r="V136" s="206">
        <f ca="1">IF(B136&gt;=$P$5,0,(CONTADORES!AT130-CONTADORES!AT129))</f>
        <v>0</v>
      </c>
      <c r="W136" s="715">
        <v>0</v>
      </c>
      <c r="X136" s="206">
        <f ca="1">IF(W136=0,(T136-INICIO!$W$6),((T136-INICIO!$W$6)+V136))</f>
        <v>49587.1</v>
      </c>
      <c r="Y136" s="208">
        <f t="shared" ca="1" si="22"/>
        <v>74834.809999999983</v>
      </c>
      <c r="Z136" s="209">
        <f t="shared" ca="1" si="23"/>
        <v>213.33182004306221</v>
      </c>
      <c r="AA136" s="206">
        <f t="shared" ca="1" si="24"/>
        <v>46.376482618056272</v>
      </c>
      <c r="AB136" s="206">
        <f t="shared" ca="1" si="25"/>
        <v>13.970199702225965</v>
      </c>
      <c r="AC136" s="208">
        <f t="shared" ca="1" si="20"/>
        <v>74561.131497636641</v>
      </c>
    </row>
    <row r="137" spans="2:29">
      <c r="B137" s="214">
        <v>44688</v>
      </c>
      <c r="C137" s="202">
        <f ca="1">DATOSAÑO!I137</f>
        <v>149</v>
      </c>
      <c r="D137" s="196">
        <f ca="1">DATOSAÑO!P137</f>
        <v>301</v>
      </c>
      <c r="E137" s="196">
        <f ca="1">DATOSAÑO!Q137</f>
        <v>0</v>
      </c>
      <c r="F137" s="196">
        <f ca="1">DATOSAÑO!T137</f>
        <v>0</v>
      </c>
      <c r="G137" s="196">
        <f t="shared" ca="1" si="19"/>
        <v>450</v>
      </c>
      <c r="H137" s="196">
        <f t="shared" ca="1" si="29"/>
        <v>36.535999999967032</v>
      </c>
      <c r="I137" s="196">
        <f t="shared" ca="1" si="15"/>
        <v>194.98885286785531</v>
      </c>
      <c r="J137" s="196">
        <f t="shared" ca="1" si="16"/>
        <v>41.842655860356842</v>
      </c>
      <c r="K137" s="196">
        <f t="shared" ca="1" si="17"/>
        <v>7.6832668329200784</v>
      </c>
      <c r="L137" s="196">
        <f t="shared" ca="1" si="30"/>
        <v>163.65399999999892</v>
      </c>
      <c r="M137" s="196">
        <f t="shared" ca="1" si="18"/>
        <v>5.2952244389018261</v>
      </c>
      <c r="N137" s="196">
        <f t="shared" ca="1" si="21"/>
        <v>5.0999999999985448</v>
      </c>
      <c r="O137" s="196">
        <f ca="1">(DATOSAÑO!AJ137+DATOSAÑO!AK137+DATOSAÑO!AD137)</f>
        <v>187.80000000000291</v>
      </c>
      <c r="P137" s="196">
        <f ca="1">DATOSAÑO!AI137</f>
        <v>40.30000000000291</v>
      </c>
      <c r="Q137" s="196">
        <f ca="1">DATOSAÑO!AH137</f>
        <v>7.4000000000014552</v>
      </c>
      <c r="R137" s="196">
        <f ca="1">DATOSAÑO!AM137+DATOSAÑO!AN137+DATOSAÑO!AF137</f>
        <v>163.65399999999892</v>
      </c>
      <c r="S137" s="209">
        <f ca="1">IF(B137&gt;=$P$5,0,CONTADORES!S131-CONTADORES!S130)</f>
        <v>14.310000000026776</v>
      </c>
      <c r="T137" s="206">
        <f ca="1">IF(B137&gt;=$P$5,0,(CONTADORES!U131-CONTADORES!U130)+(CONTADORES!AG131-CONTADORES!AG130))</f>
        <v>2.430000000000291</v>
      </c>
      <c r="U137" s="206">
        <f ca="1">IF(B137&gt;=$P$5,0,(CONTADORES!AS131-CONTADORES!AS130))</f>
        <v>5.0999999999985448</v>
      </c>
      <c r="V137" s="206">
        <f ca="1">IF(B137&gt;=$P$5,0,(CONTADORES!AT131-CONTADORES!AT130))</f>
        <v>0</v>
      </c>
      <c r="W137" s="715">
        <v>0</v>
      </c>
      <c r="X137" s="206">
        <f ca="1">IF(W137=0,(T137-INICIO!$W$6),((T137-INICIO!$W$6)+V137))</f>
        <v>2.430000000000291</v>
      </c>
      <c r="Y137" s="208">
        <f t="shared" ca="1" si="22"/>
        <v>9.2100000000282307</v>
      </c>
      <c r="Z137" s="209">
        <f t="shared" ca="1" si="23"/>
        <v>7.1888528678523969</v>
      </c>
      <c r="AA137" s="206">
        <f t="shared" ca="1" si="24"/>
        <v>1.5426558603539298</v>
      </c>
      <c r="AB137" s="206">
        <f t="shared" ca="1" si="25"/>
        <v>0.28326683291862287</v>
      </c>
      <c r="AC137" s="208">
        <f t="shared" ca="1" si="20"/>
        <v>0.19522443890328112</v>
      </c>
    </row>
    <row r="138" spans="2:29">
      <c r="B138" s="214">
        <v>44689</v>
      </c>
      <c r="C138" s="202">
        <f ca="1">DATOSAÑO!I138</f>
        <v>148</v>
      </c>
      <c r="D138" s="196">
        <f ca="1">DATOSAÑO!P138</f>
        <v>292</v>
      </c>
      <c r="E138" s="196">
        <f ca="1">DATOSAÑO!Q138</f>
        <v>0.36800000000016553</v>
      </c>
      <c r="F138" s="196">
        <f ca="1">DATOSAÑO!T138</f>
        <v>0.32699999999999818</v>
      </c>
      <c r="G138" s="196">
        <f t="shared" ca="1" si="19"/>
        <v>440.69500000000016</v>
      </c>
      <c r="H138" s="196">
        <f t="shared" ca="1" si="29"/>
        <v>37.105000000001382</v>
      </c>
      <c r="I138" s="196">
        <f t="shared" ref="I138:I201" ca="1" si="31">O138+Z138</f>
        <v>183.82154643628175</v>
      </c>
      <c r="J138" s="196">
        <f t="shared" ref="J138:J201" ca="1" si="32">P138+AA138</f>
        <v>40.315407343414542</v>
      </c>
      <c r="K138" s="196">
        <f t="shared" ref="K138:K201" ca="1" si="33">Q138+AB138</f>
        <v>12.533287257018175</v>
      </c>
      <c r="L138" s="196">
        <f t="shared" ca="1" si="30"/>
        <v>161.80200000000036</v>
      </c>
      <c r="M138" s="196">
        <f t="shared" ref="M138:M201" ca="1" si="34">N138+AC138</f>
        <v>5.1177589632839409</v>
      </c>
      <c r="N138" s="196">
        <f t="shared" ca="1" si="21"/>
        <v>4.9000000000014552</v>
      </c>
      <c r="O138" s="196">
        <f ca="1">(DATOSAÑO!AJ138+DATOSAÑO!AK138+DATOSAÑO!AD138)</f>
        <v>176.00000000001455</v>
      </c>
      <c r="P138" s="196">
        <f ca="1">DATOSAÑO!AI138</f>
        <v>38.600000000005821</v>
      </c>
      <c r="Q138" s="196">
        <f ca="1">DATOSAÑO!AH138</f>
        <v>12</v>
      </c>
      <c r="R138" s="196">
        <f ca="1">DATOSAÑO!AM138+DATOSAÑO!AN138+DATOSAÑO!AF138</f>
        <v>161.80200000000036</v>
      </c>
      <c r="S138" s="209">
        <f ca="1">IF(B138&gt;=$P$5,0,CONTADORES!S132-CONTADORES!S131)</f>
        <v>14.819999999977881</v>
      </c>
      <c r="T138" s="206">
        <f ca="1">IF(B138&gt;=$P$5,0,(CONTADORES!U132-CONTADORES!U131)+(CONTADORES!AG132-CONTADORES!AG131))</f>
        <v>2.5</v>
      </c>
      <c r="U138" s="206">
        <f ca="1">IF(B138&gt;=$P$5,0,(CONTADORES!AS132-CONTADORES!AS131))</f>
        <v>4.9000000000014552</v>
      </c>
      <c r="V138" s="206">
        <f ca="1">IF(B138&gt;=$P$5,0,(CONTADORES!AT132-CONTADORES!AT131))</f>
        <v>0</v>
      </c>
      <c r="W138" s="715">
        <v>0</v>
      </c>
      <c r="X138" s="206">
        <f ca="1">IF(W138=0,(T138-INICIO!$W$6),((T138-INICIO!$W$6)+V138))</f>
        <v>2.5</v>
      </c>
      <c r="Y138" s="208">
        <f t="shared" ca="1" si="22"/>
        <v>10.287999999976591</v>
      </c>
      <c r="Z138" s="209">
        <f t="shared" ca="1" si="23"/>
        <v>7.8215464362672096</v>
      </c>
      <c r="AA138" s="206">
        <f t="shared" ca="1" si="24"/>
        <v>1.7154073434087207</v>
      </c>
      <c r="AB138" s="206">
        <f t="shared" ca="1" si="25"/>
        <v>0.53328725701817481</v>
      </c>
      <c r="AC138" s="208">
        <f t="shared" ca="1" si="20"/>
        <v>0.21775896328248603</v>
      </c>
    </row>
    <row r="139" spans="2:29">
      <c r="B139" s="214">
        <v>44690</v>
      </c>
      <c r="C139" s="202">
        <f ca="1">DATOSAÑO!I139</f>
        <v>152.30000000004657</v>
      </c>
      <c r="D139" s="196">
        <f ca="1">DATOSAÑO!P139</f>
        <v>295.90000000000146</v>
      </c>
      <c r="E139" s="196">
        <f ca="1">DATOSAÑO!Q139</f>
        <v>0</v>
      </c>
      <c r="F139" s="196">
        <f ca="1">DATOSAÑO!T139</f>
        <v>0</v>
      </c>
      <c r="G139" s="196">
        <f t="shared" ref="G139:G202" ca="1" si="35">SUM(C139:F139)</f>
        <v>448.20000000004802</v>
      </c>
      <c r="H139" s="196">
        <f t="shared" ca="1" si="29"/>
        <v>38.254000000062547</v>
      </c>
      <c r="I139" s="196">
        <f t="shared" ca="1" si="31"/>
        <v>192.83890691716471</v>
      </c>
      <c r="J139" s="196">
        <f t="shared" ca="1" si="32"/>
        <v>39.775627668660547</v>
      </c>
      <c r="K139" s="196">
        <f t="shared" ca="1" si="33"/>
        <v>5.7268573868494688</v>
      </c>
      <c r="L139" s="196">
        <f t="shared" ca="1" si="30"/>
        <v>166.08599999998762</v>
      </c>
      <c r="M139" s="196">
        <f t="shared" ca="1" si="34"/>
        <v>5.5186080273231237</v>
      </c>
      <c r="N139" s="196">
        <f t="shared" ca="1" si="21"/>
        <v>5.2999999999956344</v>
      </c>
      <c r="O139" s="196">
        <f ca="1">(DATOSAÑO!AJ139+DATOSAÑO!AK139+DATOSAÑO!AD139)</f>
        <v>185.19999999997981</v>
      </c>
      <c r="P139" s="196">
        <f ca="1">DATOSAÑO!AI139</f>
        <v>38.19999999999709</v>
      </c>
      <c r="Q139" s="196">
        <f ca="1">DATOSAÑO!AH139</f>
        <v>5.5</v>
      </c>
      <c r="R139" s="196">
        <f ca="1">DATOSAÑO!AM139+DATOSAÑO!AN139+DATOSAÑO!AF139</f>
        <v>166.08599999998762</v>
      </c>
      <c r="S139" s="209">
        <f ca="1">IF(B139&gt;=$P$5,0,CONTADORES!S133-CONTADORES!S132)</f>
        <v>14.960000000020955</v>
      </c>
      <c r="T139" s="206">
        <f ca="1">IF(B139&gt;=$P$5,0,(CONTADORES!U133-CONTADORES!U132)+(CONTADORES!AG133-CONTADORES!AG132))</f>
        <v>2.5</v>
      </c>
      <c r="U139" s="206">
        <f ca="1">IF(B139&gt;=$P$5,0,(CONTADORES!AS133-CONTADORES!AS132))</f>
        <v>5.2999999999956344</v>
      </c>
      <c r="V139" s="206">
        <f ca="1">IF(B139&gt;=$P$5,0,(CONTADORES!AT133-CONTADORES!AT132))</f>
        <v>0</v>
      </c>
      <c r="W139" s="715">
        <v>0</v>
      </c>
      <c r="X139" s="206">
        <f ca="1">IF(W139=0,(T139-INICIO!$W$6),((T139-INICIO!$W$6)+V139))</f>
        <v>2.5</v>
      </c>
      <c r="Y139" s="208">
        <f t="shared" ca="1" si="22"/>
        <v>9.6600000000253203</v>
      </c>
      <c r="Z139" s="209">
        <f t="shared" ca="1" si="23"/>
        <v>7.6389069171849018</v>
      </c>
      <c r="AA139" s="206">
        <f t="shared" ca="1" si="24"/>
        <v>1.5756276686634603</v>
      </c>
      <c r="AB139" s="206">
        <f t="shared" ca="1" si="25"/>
        <v>0.22685738684946838</v>
      </c>
      <c r="AC139" s="208">
        <f t="shared" ref="AC139:AC202" ca="1" si="36">IF(B139&gt;=$P$5,0,($Y139*N139)/SUM($N139:$Q139))</f>
        <v>0.21860802732748943</v>
      </c>
    </row>
    <row r="140" spans="2:29">
      <c r="B140" s="214">
        <v>44691</v>
      </c>
      <c r="C140" s="202">
        <f ca="1">DATOSAÑO!I140</f>
        <v>147.59999999997672</v>
      </c>
      <c r="D140" s="196">
        <f ca="1">DATOSAÑO!P140</f>
        <v>291.90000000000146</v>
      </c>
      <c r="E140" s="196">
        <f ca="1">DATOSAÑO!Q140</f>
        <v>0</v>
      </c>
      <c r="F140" s="196">
        <f ca="1">DATOSAÑO!T140</f>
        <v>0</v>
      </c>
      <c r="G140" s="196">
        <f t="shared" ca="1" si="35"/>
        <v>439.49999999997817</v>
      </c>
      <c r="H140" s="196">
        <f t="shared" ca="1" si="29"/>
        <v>35.185499999963611</v>
      </c>
      <c r="I140" s="196">
        <f t="shared" ca="1" si="31"/>
        <v>188.08154106688809</v>
      </c>
      <c r="J140" s="196">
        <f t="shared" ca="1" si="32"/>
        <v>38.466511430977732</v>
      </c>
      <c r="K140" s="196">
        <f t="shared" ca="1" si="33"/>
        <v>12.753048264177076</v>
      </c>
      <c r="L140" s="196">
        <f t="shared" ca="1" si="30"/>
        <v>159.41450000003675</v>
      </c>
      <c r="M140" s="196">
        <f t="shared" ca="1" si="34"/>
        <v>5.5988992379348952</v>
      </c>
      <c r="N140" s="196">
        <f t="shared" ref="N140:N203" ca="1" si="37">U140</f>
        <v>5.4000000000014552</v>
      </c>
      <c r="O140" s="196">
        <f ca="1">(DATOSAÑO!AJ140+DATOSAÑO!AK140+DATOSAÑO!AD140)</f>
        <v>181.40000000001419</v>
      </c>
      <c r="P140" s="196">
        <f ca="1">DATOSAÑO!AI140</f>
        <v>37.099999999991269</v>
      </c>
      <c r="Q140" s="196">
        <f ca="1">DATOSAÑO!AH140</f>
        <v>12.299999999995634</v>
      </c>
      <c r="R140" s="196">
        <f ca="1">DATOSAÑO!AM140+DATOSAÑO!AN140+DATOSAÑO!AF140</f>
        <v>159.41450000003675</v>
      </c>
      <c r="S140" s="209">
        <f ca="1">IF(B140&gt;=$P$5,0,CONTADORES!S134-CONTADORES!S133)</f>
        <v>14.099999999976717</v>
      </c>
      <c r="T140" s="206">
        <f ca="1">IF(B140&gt;=$P$5,0,(CONTADORES!U134-CONTADORES!U133)+(CONTADORES!AG134-CONTADORES!AG133))</f>
        <v>2.5</v>
      </c>
      <c r="U140" s="206">
        <f ca="1">IF(B140&gt;=$P$5,0,(CONTADORES!AS134-CONTADORES!AS133))</f>
        <v>5.4000000000014552</v>
      </c>
      <c r="V140" s="206">
        <f ca="1">IF(B140&gt;=$P$5,0,(CONTADORES!AT134-CONTADORES!AT133))</f>
        <v>0</v>
      </c>
      <c r="W140" s="715">
        <v>0</v>
      </c>
      <c r="X140" s="206">
        <f ca="1">IF(W140=0,(T140-INICIO!$W$6),((T140-INICIO!$W$6)+V140))</f>
        <v>2.5</v>
      </c>
      <c r="Y140" s="208">
        <f t="shared" ref="Y140:Y203" ca="1" si="38">(IF(W140=0,(S140-U140),((S140-U140)-V140))+E140)</f>
        <v>8.6999999999752617</v>
      </c>
      <c r="Z140" s="209">
        <f t="shared" ref="Z140:Z203" ca="1" si="39">IF(B140&gt;=$P$5,0,($Y140*O140)/SUM($N140:$Q140))</f>
        <v>6.6815410668739155</v>
      </c>
      <c r="AA140" s="206">
        <f t="shared" ref="AA140:AA203" ca="1" si="40">IF(B140&gt;=$P$5,0,($Y140*P140)/SUM($N140:$Q140))</f>
        <v>1.3665114309864639</v>
      </c>
      <c r="AB140" s="206">
        <f t="shared" ref="AB140:AB203" ca="1" si="41">IF(B140&gt;=$P$5,0,($Y140*Q140)/SUM($N140:$Q140))</f>
        <v>0.45304826418144195</v>
      </c>
      <c r="AC140" s="208">
        <f t="shared" ca="1" si="36"/>
        <v>0.19889923793344017</v>
      </c>
    </row>
    <row r="141" spans="2:29">
      <c r="B141" s="214">
        <v>44692</v>
      </c>
      <c r="C141" s="202">
        <f ca="1">DATOSAÑO!I141</f>
        <v>149.09999999997672</v>
      </c>
      <c r="D141" s="196">
        <f ca="1">DATOSAÑO!P141</f>
        <v>306.09999999999854</v>
      </c>
      <c r="E141" s="196">
        <f ca="1">DATOSAÑO!Q141</f>
        <v>0</v>
      </c>
      <c r="F141" s="196">
        <f ca="1">DATOSAÑO!T141</f>
        <v>0</v>
      </c>
      <c r="G141" s="196">
        <f t="shared" ca="1" si="35"/>
        <v>455.19999999997526</v>
      </c>
      <c r="H141" s="196">
        <f t="shared" ca="1" si="29"/>
        <v>36.678999999997984</v>
      </c>
      <c r="I141" s="196">
        <f t="shared" ca="1" si="31"/>
        <v>195.2315768302584</v>
      </c>
      <c r="J141" s="196">
        <f t="shared" ca="1" si="32"/>
        <v>39.37880128721914</v>
      </c>
      <c r="K141" s="196">
        <f t="shared" ca="1" si="33"/>
        <v>18.494529364444691</v>
      </c>
      <c r="L141" s="196">
        <f t="shared" ca="1" si="30"/>
        <v>160.22099999995342</v>
      </c>
      <c r="M141" s="196">
        <f t="shared" ca="1" si="34"/>
        <v>5.1950925181015926</v>
      </c>
      <c r="N141" s="196">
        <f t="shared" ca="1" si="37"/>
        <v>5</v>
      </c>
      <c r="O141" s="196">
        <f ca="1">(DATOSAÑO!AJ141+DATOSAÑO!AK141+DATOSAÑO!AD141)</f>
        <v>187.90000000000055</v>
      </c>
      <c r="P141" s="196">
        <f ca="1">DATOSAÑO!AI141</f>
        <v>37.900000000008731</v>
      </c>
      <c r="Q141" s="196">
        <f ca="1">DATOSAÑO!AH141</f>
        <v>17.80000000000291</v>
      </c>
      <c r="R141" s="196">
        <f ca="1">DATOSAÑO!AM141+DATOSAÑO!AN141+DATOSAÑO!AF141</f>
        <v>160.22099999995342</v>
      </c>
      <c r="S141" s="209">
        <f ca="1">IF(B141&gt;=$P$5,0,CONTADORES!S135-CONTADORES!S134)</f>
        <v>14.700000000011642</v>
      </c>
      <c r="T141" s="206">
        <f ca="1">IF(B141&gt;=$P$5,0,(CONTADORES!U135-CONTADORES!U134)+(CONTADORES!AG135-CONTADORES!AG134))</f>
        <v>2.4000000000014552</v>
      </c>
      <c r="U141" s="206">
        <f ca="1">IF(B141&gt;=$P$5,0,(CONTADORES!AS135-CONTADORES!AS134))</f>
        <v>5</v>
      </c>
      <c r="V141" s="206">
        <f ca="1">IF(B141&gt;=$P$5,0,(CONTADORES!AT135-CONTADORES!AT134))</f>
        <v>0</v>
      </c>
      <c r="W141" s="715">
        <v>0</v>
      </c>
      <c r="X141" s="206">
        <f ca="1">IF(W141=0,(T141-INICIO!$W$6),((T141-INICIO!$W$6)+V141))</f>
        <v>2.4000000000014552</v>
      </c>
      <c r="Y141" s="208">
        <f t="shared" ca="1" si="38"/>
        <v>9.7000000000116415</v>
      </c>
      <c r="Z141" s="209">
        <f t="shared" ca="1" si="39"/>
        <v>7.3315768302578572</v>
      </c>
      <c r="AA141" s="206">
        <f t="shared" ca="1" si="40"/>
        <v>1.4788012872104099</v>
      </c>
      <c r="AB141" s="206">
        <f t="shared" ca="1" si="41"/>
        <v>0.69452936444178193</v>
      </c>
      <c r="AC141" s="208">
        <f t="shared" ca="1" si="36"/>
        <v>0.19509251810159223</v>
      </c>
    </row>
    <row r="142" spans="2:29">
      <c r="B142" s="214">
        <v>44693</v>
      </c>
      <c r="C142" s="202">
        <f ca="1">DATOSAÑO!I142</f>
        <v>150</v>
      </c>
      <c r="D142" s="196">
        <f ca="1">DATOSAÑO!P142</f>
        <v>296.09999999999854</v>
      </c>
      <c r="E142" s="196">
        <f ca="1">DATOSAÑO!Q142</f>
        <v>0</v>
      </c>
      <c r="F142" s="196">
        <f ca="1">DATOSAÑO!T142</f>
        <v>0</v>
      </c>
      <c r="G142" s="196">
        <f t="shared" ca="1" si="35"/>
        <v>446.09999999999854</v>
      </c>
      <c r="H142" s="196">
        <f t="shared" ca="1" si="29"/>
        <v>35.877999999996291</v>
      </c>
      <c r="I142" s="196">
        <f t="shared" ca="1" si="31"/>
        <v>194.63897457272813</v>
      </c>
      <c r="J142" s="196">
        <f t="shared" ca="1" si="32"/>
        <v>38.345852438509198</v>
      </c>
      <c r="K142" s="196">
        <f t="shared" ca="1" si="33"/>
        <v>11.119258024173483</v>
      </c>
      <c r="L142" s="196">
        <f t="shared" ca="1" si="30"/>
        <v>160.92200000002293</v>
      </c>
      <c r="M142" s="196">
        <f t="shared" ca="1" si="34"/>
        <v>5.1959149645684608</v>
      </c>
      <c r="N142" s="196">
        <f t="shared" ca="1" si="37"/>
        <v>5</v>
      </c>
      <c r="O142" s="196">
        <f ca="1">(DATOSAÑO!AJ142+DATOSAÑO!AK142+DATOSAÑO!AD142)</f>
        <v>187.29999999999382</v>
      </c>
      <c r="P142" s="196">
        <f ca="1">DATOSAÑO!AI142</f>
        <v>36.899999999994179</v>
      </c>
      <c r="Q142" s="196">
        <f ca="1">DATOSAÑO!AH142</f>
        <v>10.69999999999709</v>
      </c>
      <c r="R142" s="196">
        <f ca="1">DATOSAÑO!AM142+DATOSAÑO!AN142+DATOSAÑO!AF142</f>
        <v>160.92200000002293</v>
      </c>
      <c r="S142" s="209">
        <f ca="1">IF(B142&gt;=$P$5,0,CONTADORES!S136-CONTADORES!S135)</f>
        <v>14.399999999994179</v>
      </c>
      <c r="T142" s="206">
        <f ca="1">IF(B142&gt;=$P$5,0,(CONTADORES!U136-CONTADORES!U135)+(CONTADORES!AG136-CONTADORES!AG135))</f>
        <v>2.5999999999985448</v>
      </c>
      <c r="U142" s="206">
        <f ca="1">IF(B142&gt;=$P$5,0,(CONTADORES!AS136-CONTADORES!AS135))</f>
        <v>5</v>
      </c>
      <c r="V142" s="206">
        <f ca="1">IF(B142&gt;=$P$5,0,(CONTADORES!AT136-CONTADORES!AT135))</f>
        <v>0</v>
      </c>
      <c r="W142" s="715">
        <v>0</v>
      </c>
      <c r="X142" s="206">
        <f ca="1">IF(W142=0,(T142-INICIO!$W$6),((T142-INICIO!$W$6)+V142))</f>
        <v>2.5999999999985448</v>
      </c>
      <c r="Y142" s="208">
        <f t="shared" ca="1" si="38"/>
        <v>9.3999999999941792</v>
      </c>
      <c r="Z142" s="209">
        <f t="shared" ca="1" si="39"/>
        <v>7.338974572734311</v>
      </c>
      <c r="AA142" s="206">
        <f t="shared" ca="1" si="40"/>
        <v>1.4458524385150149</v>
      </c>
      <c r="AB142" s="206">
        <f t="shared" ca="1" si="41"/>
        <v>0.41925802417639269</v>
      </c>
      <c r="AC142" s="208">
        <f t="shared" ca="1" si="36"/>
        <v>0.19591496456846111</v>
      </c>
    </row>
    <row r="143" spans="2:29">
      <c r="B143" s="214">
        <v>44694</v>
      </c>
      <c r="C143" s="202">
        <f ca="1">DATOSAÑO!I143</f>
        <v>150</v>
      </c>
      <c r="D143" s="196">
        <f ca="1">DATOSAÑO!P143</f>
        <v>280</v>
      </c>
      <c r="E143" s="196">
        <f ca="1">DATOSAÑO!Q143</f>
        <v>0</v>
      </c>
      <c r="F143" s="196">
        <f ca="1">DATOSAÑO!T143</f>
        <v>0</v>
      </c>
      <c r="G143" s="196">
        <f t="shared" ca="1" si="35"/>
        <v>430</v>
      </c>
      <c r="H143" s="196">
        <f t="shared" ca="1" si="29"/>
        <v>37.598999999998512</v>
      </c>
      <c r="I143" s="196">
        <f t="shared" ca="1" si="31"/>
        <v>189.73819073083277</v>
      </c>
      <c r="J143" s="196">
        <f t="shared" ca="1" si="32"/>
        <v>38.363502673804852</v>
      </c>
      <c r="K143" s="196">
        <f t="shared" ca="1" si="33"/>
        <v>0</v>
      </c>
      <c r="L143" s="196">
        <f t="shared" ca="1" si="30"/>
        <v>159.10099999999855</v>
      </c>
      <c r="M143" s="196">
        <f t="shared" ca="1" si="34"/>
        <v>5.1983065953652812</v>
      </c>
      <c r="N143" s="196">
        <f t="shared" ca="1" si="37"/>
        <v>5</v>
      </c>
      <c r="O143" s="196">
        <f ca="1">(DATOSAÑO!AJ143+DATOSAÑO!AK143+DATOSAÑO!AD143)</f>
        <v>182.5</v>
      </c>
      <c r="P143" s="196">
        <f ca="1">DATOSAÑO!AI143</f>
        <v>36.900000000008731</v>
      </c>
      <c r="Q143" s="196">
        <f ca="1">DATOSAÑO!AH143</f>
        <v>0</v>
      </c>
      <c r="R143" s="196">
        <f ca="1">DATOSAÑO!AM143+DATOSAÑO!AN143+DATOSAÑO!AF143</f>
        <v>159.10099999999855</v>
      </c>
      <c r="S143" s="209">
        <f ca="1">IF(B143&gt;=$P$5,0,CONTADORES!S137-CONTADORES!S136)</f>
        <v>13.899999999994179</v>
      </c>
      <c r="T143" s="206">
        <f ca="1">IF(B143&gt;=$P$5,0,(CONTADORES!U137-CONTADORES!U136)+(CONTADORES!AG137-CONTADORES!AG136))</f>
        <v>2.4000000000014552</v>
      </c>
      <c r="U143" s="206">
        <f ca="1">IF(B143&gt;=$P$5,0,(CONTADORES!AS137-CONTADORES!AS136))</f>
        <v>5</v>
      </c>
      <c r="V143" s="206">
        <f ca="1">IF(B143&gt;=$P$5,0,(CONTADORES!AT137-CONTADORES!AT136))</f>
        <v>0</v>
      </c>
      <c r="W143" s="715">
        <v>0</v>
      </c>
      <c r="X143" s="206">
        <f ca="1">IF(W143=0,(T143-INICIO!$W$6),((T143-INICIO!$W$6)+V143))</f>
        <v>2.4000000000014552</v>
      </c>
      <c r="Y143" s="208">
        <f t="shared" ca="1" si="38"/>
        <v>8.8999999999941792</v>
      </c>
      <c r="Z143" s="209">
        <f t="shared" ca="1" si="39"/>
        <v>7.2381907308327742</v>
      </c>
      <c r="AA143" s="206">
        <f t="shared" ca="1" si="40"/>
        <v>1.4635026737961236</v>
      </c>
      <c r="AB143" s="206">
        <f t="shared" ca="1" si="41"/>
        <v>0</v>
      </c>
      <c r="AC143" s="208">
        <f t="shared" ca="1" si="36"/>
        <v>0.19830659536528147</v>
      </c>
    </row>
    <row r="144" spans="2:29">
      <c r="B144" s="214">
        <v>44695</v>
      </c>
      <c r="C144" s="202">
        <f ca="1">DATOSAÑO!I144</f>
        <v>32</v>
      </c>
      <c r="D144" s="196">
        <f ca="1">DATOSAÑO!P144</f>
        <v>394</v>
      </c>
      <c r="E144" s="196">
        <f ca="1">DATOSAÑO!Q144</f>
        <v>0</v>
      </c>
      <c r="F144" s="196">
        <f ca="1">DATOSAÑO!T144</f>
        <v>1.8809999999999718</v>
      </c>
      <c r="G144" s="196">
        <f t="shared" ca="1" si="35"/>
        <v>427.88099999999997</v>
      </c>
      <c r="H144" s="196">
        <f t="shared" ca="1" si="29"/>
        <v>33.830999999987569</v>
      </c>
      <c r="I144" s="196">
        <f t="shared" ca="1" si="31"/>
        <v>178.31047703969676</v>
      </c>
      <c r="J144" s="196">
        <f t="shared" ca="1" si="32"/>
        <v>37.2604547480991</v>
      </c>
      <c r="K144" s="196">
        <f t="shared" ca="1" si="33"/>
        <v>11.001694159608025</v>
      </c>
      <c r="L144" s="196">
        <f t="shared" ca="1" si="30"/>
        <v>161.25000000000037</v>
      </c>
      <c r="M144" s="196">
        <f t="shared" ca="1" si="34"/>
        <v>6.2273740526081021</v>
      </c>
      <c r="N144" s="196">
        <f t="shared" ca="1" si="37"/>
        <v>6</v>
      </c>
      <c r="O144" s="196">
        <f ca="1">(DATOSAÑO!AJ144+DATOSAÑO!AK144+DATOSAÑO!AD144)</f>
        <v>171.80000000001746</v>
      </c>
      <c r="P144" s="196">
        <f ca="1">DATOSAÑO!AI144</f>
        <v>35.899999999994179</v>
      </c>
      <c r="Q144" s="196">
        <f ca="1">DATOSAÑO!AH144</f>
        <v>10.600000000000364</v>
      </c>
      <c r="R144" s="196">
        <f ca="1">DATOSAÑO!AM144+DATOSAÑO!AN144+DATOSAÑO!AF144</f>
        <v>161.25000000000037</v>
      </c>
      <c r="S144" s="209">
        <f ca="1">IF(B144&gt;=$P$5,0,CONTADORES!S138-CONTADORES!S137)</f>
        <v>14.5</v>
      </c>
      <c r="T144" s="206">
        <f ca="1">IF(B144&gt;=$P$5,0,(CONTADORES!U138-CONTADORES!U137)+(CONTADORES!AG138-CONTADORES!AG137))</f>
        <v>2.3999999999941792</v>
      </c>
      <c r="U144" s="206">
        <f ca="1">IF(B144&gt;=$P$5,0,(CONTADORES!AS138-CONTADORES!AS137))</f>
        <v>6</v>
      </c>
      <c r="V144" s="206">
        <f ca="1">IF(B144&gt;=$P$5,0,(CONTADORES!AT138-CONTADORES!AT137))</f>
        <v>0</v>
      </c>
      <c r="W144" s="715">
        <v>0</v>
      </c>
      <c r="X144" s="206">
        <f ca="1">IF(W144=0,(T144-INICIO!$W$6),((T144-INICIO!$W$6)+V144))</f>
        <v>2.3999999999941792</v>
      </c>
      <c r="Y144" s="208">
        <f t="shared" ca="1" si="38"/>
        <v>8.5</v>
      </c>
      <c r="Z144" s="209">
        <f t="shared" ca="1" si="39"/>
        <v>6.5104770396793148</v>
      </c>
      <c r="AA144" s="206">
        <f t="shared" ca="1" si="40"/>
        <v>1.3604547481049227</v>
      </c>
      <c r="AB144" s="206">
        <f t="shared" ca="1" si="41"/>
        <v>0.40169415960766058</v>
      </c>
      <c r="AC144" s="208">
        <f t="shared" ca="1" si="36"/>
        <v>0.22737405260810195</v>
      </c>
    </row>
    <row r="145" spans="2:29">
      <c r="B145" s="214">
        <v>44696</v>
      </c>
      <c r="C145" s="202">
        <f ca="1">DATOSAÑO!I145</f>
        <v>146</v>
      </c>
      <c r="D145" s="196">
        <f ca="1">DATOSAÑO!P145</f>
        <v>302</v>
      </c>
      <c r="E145" s="196">
        <f ca="1">DATOSAÑO!Q145</f>
        <v>0</v>
      </c>
      <c r="F145" s="196">
        <f ca="1">DATOSAÑO!T145</f>
        <v>0</v>
      </c>
      <c r="G145" s="196">
        <f t="shared" ca="1" si="35"/>
        <v>448</v>
      </c>
      <c r="H145" s="196">
        <f t="shared" ca="1" si="29"/>
        <v>36.68400000000986</v>
      </c>
      <c r="I145" s="196">
        <f t="shared" ca="1" si="31"/>
        <v>189.41816687216252</v>
      </c>
      <c r="J145" s="196">
        <f t="shared" ca="1" si="32"/>
        <v>36.26272092066808</v>
      </c>
      <c r="K145" s="196">
        <f t="shared" ca="1" si="33"/>
        <v>21.923879983565477</v>
      </c>
      <c r="L145" s="196">
        <f t="shared" ca="1" si="30"/>
        <v>158.51600000000181</v>
      </c>
      <c r="M145" s="196">
        <f t="shared" ca="1" si="34"/>
        <v>5.1952322235922823</v>
      </c>
      <c r="N145" s="196">
        <f t="shared" ca="1" si="37"/>
        <v>5</v>
      </c>
      <c r="O145" s="196">
        <f ca="1">(DATOSAÑO!AJ145+DATOSAÑO!AK145+DATOSAÑO!AD145)</f>
        <v>182.29999999998836</v>
      </c>
      <c r="P145" s="196">
        <f ca="1">DATOSAÑO!AI145</f>
        <v>34.899999999994179</v>
      </c>
      <c r="Q145" s="196">
        <f ca="1">DATOSAÑO!AH145</f>
        <v>21.100000000005821</v>
      </c>
      <c r="R145" s="196">
        <f ca="1">DATOSAÑO!AM145+DATOSAÑO!AN145+DATOSAÑO!AF145</f>
        <v>158.51600000000181</v>
      </c>
      <c r="S145" s="209">
        <f ca="1">IF(B145&gt;=$P$5,0,CONTADORES!S139-CONTADORES!S138)</f>
        <v>14.5</v>
      </c>
      <c r="T145" s="206">
        <f ca="1">IF(B145&gt;=$P$5,0,(CONTADORES!U139-CONTADORES!U138)+(CONTADORES!AG139-CONTADORES!AG138))</f>
        <v>2.5</v>
      </c>
      <c r="U145" s="206">
        <f ca="1">IF(B145&gt;=$P$5,0,(CONTADORES!AS139-CONTADORES!AS138))</f>
        <v>5</v>
      </c>
      <c r="V145" s="206">
        <f ca="1">IF(B145&gt;=$P$5,0,(CONTADORES!AT139-CONTADORES!AT138))</f>
        <v>0</v>
      </c>
      <c r="W145" s="715">
        <v>0</v>
      </c>
      <c r="X145" s="206">
        <f ca="1">IF(W145=0,(T145-INICIO!$W$6),((T145-INICIO!$W$6)+V145))</f>
        <v>2.5</v>
      </c>
      <c r="Y145" s="208">
        <f t="shared" ca="1" si="38"/>
        <v>9.5</v>
      </c>
      <c r="Z145" s="209">
        <f t="shared" ca="1" si="39"/>
        <v>7.1181668721741564</v>
      </c>
      <c r="AA145" s="206">
        <f t="shared" ca="1" si="40"/>
        <v>1.3627209206739028</v>
      </c>
      <c r="AB145" s="206">
        <f t="shared" ca="1" si="41"/>
        <v>0.82387998355965841</v>
      </c>
      <c r="AC145" s="208">
        <f t="shared" ca="1" si="36"/>
        <v>0.19523222359228226</v>
      </c>
    </row>
    <row r="146" spans="2:29">
      <c r="B146" s="214">
        <v>44697</v>
      </c>
      <c r="C146" s="202">
        <f ca="1">DATOSAÑO!I146</f>
        <v>138</v>
      </c>
      <c r="D146" s="196">
        <f ca="1">DATOSAÑO!P146</f>
        <v>298</v>
      </c>
      <c r="E146" s="196">
        <f ca="1">DATOSAÑO!Q146</f>
        <v>0.68799999999987449</v>
      </c>
      <c r="F146" s="196">
        <f ca="1">DATOSAÑO!T146</f>
        <v>0</v>
      </c>
      <c r="G146" s="196">
        <f t="shared" ca="1" si="35"/>
        <v>436.68799999999987</v>
      </c>
      <c r="H146" s="196">
        <f t="shared" ca="1" si="29"/>
        <v>36.006000000005429</v>
      </c>
      <c r="I146" s="196">
        <f t="shared" ca="1" si="31"/>
        <v>192.81856649394479</v>
      </c>
      <c r="J146" s="196">
        <f t="shared" ca="1" si="32"/>
        <v>36.583414507779004</v>
      </c>
      <c r="K146" s="196">
        <f t="shared" ca="1" si="33"/>
        <v>6.7747063903283218</v>
      </c>
      <c r="L146" s="196">
        <f t="shared" ca="1" si="30"/>
        <v>159.29399999999745</v>
      </c>
      <c r="M146" s="196">
        <f t="shared" ca="1" si="34"/>
        <v>5.2113126079448628</v>
      </c>
      <c r="N146" s="196">
        <f t="shared" ca="1" si="37"/>
        <v>5</v>
      </c>
      <c r="O146" s="196">
        <f ca="1">(DATOSAÑO!AJ146+DATOSAÑO!AK146+DATOSAÑO!AD146)</f>
        <v>184.99999999998545</v>
      </c>
      <c r="P146" s="196">
        <f ca="1">DATOSAÑO!AI146</f>
        <v>35.100000000005821</v>
      </c>
      <c r="Q146" s="196">
        <f ca="1">DATOSAÑO!AH146</f>
        <v>6.5</v>
      </c>
      <c r="R146" s="196">
        <f ca="1">DATOSAÑO!AM146+DATOSAÑO!AN146+DATOSAÑO!AF146</f>
        <v>159.29399999999745</v>
      </c>
      <c r="S146" s="209">
        <f ca="1">IF(B146&gt;=$P$5,0,CONTADORES!S140-CONTADORES!S139)</f>
        <v>14.100000000005821</v>
      </c>
      <c r="T146" s="206">
        <f ca="1">IF(B146&gt;=$P$5,0,(CONTADORES!U140-CONTADORES!U139)+(CONTADORES!AG140-CONTADORES!AG139))</f>
        <v>2.4000000000014552</v>
      </c>
      <c r="U146" s="206">
        <f ca="1">IF(B146&gt;=$P$5,0,(CONTADORES!AS140-CONTADORES!AS139))</f>
        <v>5</v>
      </c>
      <c r="V146" s="206">
        <f ca="1">IF(B146&gt;=$P$5,0,(CONTADORES!AT140-CONTADORES!AT139))</f>
        <v>0</v>
      </c>
      <c r="W146" s="715">
        <v>0</v>
      </c>
      <c r="X146" s="206">
        <f ca="1">IF(W146=0,(T146-INICIO!$W$6),((T146-INICIO!$W$6)+V146))</f>
        <v>2.4000000000014552</v>
      </c>
      <c r="Y146" s="208">
        <f t="shared" ca="1" si="38"/>
        <v>9.7880000000056953</v>
      </c>
      <c r="Z146" s="209">
        <f t="shared" ca="1" si="39"/>
        <v>7.8185664939593247</v>
      </c>
      <c r="AA146" s="206">
        <f t="shared" ca="1" si="40"/>
        <v>1.483414507773186</v>
      </c>
      <c r="AB146" s="206">
        <f t="shared" ca="1" si="41"/>
        <v>0.27470639032832217</v>
      </c>
      <c r="AC146" s="208">
        <f t="shared" ca="1" si="36"/>
        <v>0.21131260794486323</v>
      </c>
    </row>
    <row r="147" spans="2:29">
      <c r="B147" s="214">
        <v>44698</v>
      </c>
      <c r="C147" s="202">
        <f ca="1">DATOSAÑO!I147</f>
        <v>134.98999999999069</v>
      </c>
      <c r="D147" s="196">
        <f ca="1">DATOSAÑO!P147</f>
        <v>304.44999999999709</v>
      </c>
      <c r="E147" s="196">
        <f ca="1">DATOSAÑO!Q147</f>
        <v>0</v>
      </c>
      <c r="F147" s="196">
        <f ca="1">DATOSAÑO!T147</f>
        <v>0</v>
      </c>
      <c r="G147" s="196">
        <f t="shared" ca="1" si="35"/>
        <v>439.43999999998778</v>
      </c>
      <c r="H147" s="196">
        <f t="shared" ca="1" si="29"/>
        <v>36.089999999964334</v>
      </c>
      <c r="I147" s="196">
        <f t="shared" ca="1" si="31"/>
        <v>192.04951310863933</v>
      </c>
      <c r="J147" s="196">
        <f t="shared" ca="1" si="32"/>
        <v>37.084848484857083</v>
      </c>
      <c r="K147" s="196">
        <f t="shared" ca="1" si="33"/>
        <v>10.417092271025568</v>
      </c>
      <c r="L147" s="196">
        <f t="shared" ca="1" si="30"/>
        <v>158.58999999998866</v>
      </c>
      <c r="M147" s="196">
        <f t="shared" ca="1" si="34"/>
        <v>5.2085461355127842</v>
      </c>
      <c r="N147" s="196">
        <f t="shared" ca="1" si="37"/>
        <v>5</v>
      </c>
      <c r="O147" s="196">
        <f ca="1">(DATOSAÑO!AJ147+DATOSAÑO!AK147+DATOSAÑO!AD147)</f>
        <v>184.3600000000115</v>
      </c>
      <c r="P147" s="196">
        <f ca="1">DATOSAÑO!AI147</f>
        <v>35.600000000005821</v>
      </c>
      <c r="Q147" s="196">
        <f ca="1">DATOSAÑO!AH147</f>
        <v>10</v>
      </c>
      <c r="R147" s="196">
        <f ca="1">DATOSAÑO!AM147+DATOSAÑO!AN147+DATOSAÑO!AF147</f>
        <v>158.58999999998866</v>
      </c>
      <c r="S147" s="209">
        <f ca="1">IF(B147&gt;=$P$5,0,CONTADORES!S141-CONTADORES!S140)</f>
        <v>14.800000000017462</v>
      </c>
      <c r="T147" s="206">
        <f ca="1">IF(B147&gt;=$P$5,0,(CONTADORES!U141-CONTADORES!U140)+(CONTADORES!AG141-CONTADORES!AG140))</f>
        <v>2.5999999999985448</v>
      </c>
      <c r="U147" s="206">
        <f ca="1">IF(B147&gt;=$P$5,0,(CONTADORES!AS141-CONTADORES!AS140))</f>
        <v>5</v>
      </c>
      <c r="V147" s="206">
        <f ca="1">IF(B147&gt;=$P$5,0,(CONTADORES!AT141-CONTADORES!AT140))</f>
        <v>0</v>
      </c>
      <c r="W147" s="715">
        <v>0</v>
      </c>
      <c r="X147" s="206">
        <f ca="1">IF(W147=0,(T147-INICIO!$W$6),((T147-INICIO!$W$6)+V147))</f>
        <v>2.5999999999985448</v>
      </c>
      <c r="Y147" s="208">
        <f t="shared" ca="1" si="38"/>
        <v>9.8000000000174623</v>
      </c>
      <c r="Z147" s="209">
        <f t="shared" ca="1" si="39"/>
        <v>7.689513108627847</v>
      </c>
      <c r="AA147" s="206">
        <f t="shared" ca="1" si="40"/>
        <v>1.484848484851264</v>
      </c>
      <c r="AB147" s="206">
        <f t="shared" ca="1" si="41"/>
        <v>0.41709227102556778</v>
      </c>
      <c r="AC147" s="208">
        <f t="shared" ca="1" si="36"/>
        <v>0.20854613551278389</v>
      </c>
    </row>
    <row r="148" spans="2:29">
      <c r="B148" s="214">
        <v>44699</v>
      </c>
      <c r="C148" s="202">
        <f ca="1">DATOSAÑO!I148</f>
        <v>176.77500000002328</v>
      </c>
      <c r="D148" s="196">
        <f ca="1">DATOSAÑO!P148</f>
        <v>268.37800000000425</v>
      </c>
      <c r="E148" s="196">
        <f ca="1">DATOSAÑO!Q148</f>
        <v>0</v>
      </c>
      <c r="F148" s="196">
        <f ca="1">DATOSAÑO!T148</f>
        <v>0</v>
      </c>
      <c r="G148" s="196">
        <f t="shared" ca="1" si="35"/>
        <v>445.15300000002753</v>
      </c>
      <c r="H148" s="196">
        <f t="shared" ca="1" si="29"/>
        <v>36.841100000023062</v>
      </c>
      <c r="I148" s="196">
        <f t="shared" ca="1" si="31"/>
        <v>192.65331918981434</v>
      </c>
      <c r="J148" s="196">
        <f t="shared" ca="1" si="32"/>
        <v>38.205624699721966</v>
      </c>
      <c r="K148" s="196">
        <f t="shared" ca="1" si="33"/>
        <v>10.820765165492197</v>
      </c>
      <c r="L148" s="196">
        <f t="shared" ca="1" si="30"/>
        <v>161.42990000002493</v>
      </c>
      <c r="M148" s="196">
        <f t="shared" ca="1" si="34"/>
        <v>5.2022909449510832</v>
      </c>
      <c r="N148" s="196">
        <f t="shared" ca="1" si="37"/>
        <v>5</v>
      </c>
      <c r="O148" s="196">
        <f ca="1">(DATOSAÑO!AJ148+DATOSAÑO!AK148+DATOSAÑO!AD148)</f>
        <v>185.16200000000754</v>
      </c>
      <c r="P148" s="196">
        <f ca="1">DATOSAÑO!AI148</f>
        <v>36.720000000001164</v>
      </c>
      <c r="Q148" s="196">
        <f ca="1">DATOSAÑO!AH148</f>
        <v>10.399999999994179</v>
      </c>
      <c r="R148" s="196">
        <f ca="1">DATOSAÑO!AM148+DATOSAÑO!AN148+DATOSAÑO!AF148</f>
        <v>161.42990000002493</v>
      </c>
      <c r="S148" s="209">
        <f ca="1">IF(B148&gt;=$P$5,0,CONTADORES!S142-CONTADORES!S141)</f>
        <v>14.599999999976717</v>
      </c>
      <c r="T148" s="206">
        <f ca="1">IF(B148&gt;=$P$5,0,(CONTADORES!U142-CONTADORES!U141)+(CONTADORES!AG142-CONTADORES!AG141))</f>
        <v>2.5</v>
      </c>
      <c r="U148" s="206">
        <f ca="1">IF(B148&gt;=$P$5,0,(CONTADORES!AS142-CONTADORES!AS141))</f>
        <v>5</v>
      </c>
      <c r="V148" s="206">
        <f ca="1">IF(B148&gt;=$P$5,0,(CONTADORES!AT142-CONTADORES!AT141))</f>
        <v>0</v>
      </c>
      <c r="W148" s="715">
        <v>0</v>
      </c>
      <c r="X148" s="206">
        <f ca="1">IF(W148=0,(T148-INICIO!$W$6),((T148-INICIO!$W$6)+V148))</f>
        <v>2.5</v>
      </c>
      <c r="Y148" s="208">
        <f t="shared" ca="1" si="38"/>
        <v>9.5999999999767169</v>
      </c>
      <c r="Z148" s="209">
        <f t="shared" ca="1" si="39"/>
        <v>7.491319189806811</v>
      </c>
      <c r="AA148" s="206">
        <f t="shared" ca="1" si="40"/>
        <v>1.4856246997208045</v>
      </c>
      <c r="AB148" s="206">
        <f t="shared" ca="1" si="41"/>
        <v>0.42076516549801823</v>
      </c>
      <c r="AC148" s="208">
        <f t="shared" ca="1" si="36"/>
        <v>0.20229094495108352</v>
      </c>
    </row>
    <row r="149" spans="2:29">
      <c r="B149" s="214">
        <v>44700</v>
      </c>
      <c r="C149" s="202">
        <f ca="1">DATOSAÑO!I149</f>
        <v>291.56499999994412</v>
      </c>
      <c r="D149" s="196">
        <f ca="1">DATOSAÑO!P149</f>
        <v>147.50299999999697</v>
      </c>
      <c r="E149" s="196">
        <f ca="1">DATOSAÑO!Q149</f>
        <v>0</v>
      </c>
      <c r="F149" s="196">
        <f ca="1">DATOSAÑO!T149</f>
        <v>0</v>
      </c>
      <c r="G149" s="196">
        <f t="shared" ca="1" si="35"/>
        <v>439.06799999994109</v>
      </c>
      <c r="H149" s="196">
        <f t="shared" ca="1" si="29"/>
        <v>35.859999999960394</v>
      </c>
      <c r="I149" s="196">
        <f t="shared" ca="1" si="31"/>
        <v>191.42082453019367</v>
      </c>
      <c r="J149" s="196">
        <f t="shared" ca="1" si="32"/>
        <v>36.280195079987763</v>
      </c>
      <c r="K149" s="196">
        <f t="shared" ca="1" si="33"/>
        <v>10.789649094425794</v>
      </c>
      <c r="L149" s="196">
        <f t="shared" ca="1" si="30"/>
        <v>159.52999999997715</v>
      </c>
      <c r="M149" s="196">
        <f t="shared" ca="1" si="34"/>
        <v>5.1873312953962909</v>
      </c>
      <c r="N149" s="196">
        <f t="shared" ca="1" si="37"/>
        <v>5</v>
      </c>
      <c r="O149" s="196">
        <f ca="1">(DATOSAÑO!AJ149+DATOSAÑO!AK149+DATOSAÑO!AD149)</f>
        <v>184.50799999999799</v>
      </c>
      <c r="P149" s="196">
        <f ca="1">DATOSAÑO!AI149</f>
        <v>34.969999999986612</v>
      </c>
      <c r="Q149" s="196">
        <f ca="1">DATOSAÑO!AH149</f>
        <v>10.400000000001455</v>
      </c>
      <c r="R149" s="196">
        <f ca="1">DATOSAÑO!AM149+DATOSAÑO!AN149+DATOSAÑO!AF149</f>
        <v>159.52999999997715</v>
      </c>
      <c r="S149" s="209">
        <f ca="1">IF(B149&gt;=$P$5,0,CONTADORES!S143-CONTADORES!S142)</f>
        <v>13.800000000017462</v>
      </c>
      <c r="T149" s="206">
        <f ca="1">IF(B149&gt;=$P$5,0,(CONTADORES!U143-CONTADORES!U142)+(CONTADORES!AG143-CONTADORES!AG142))</f>
        <v>2.4000000000014552</v>
      </c>
      <c r="U149" s="206">
        <f ca="1">IF(B149&gt;=$P$5,0,(CONTADORES!AS143-CONTADORES!AS142))</f>
        <v>5</v>
      </c>
      <c r="V149" s="206">
        <f ca="1">IF(B149&gt;=$P$5,0,(CONTADORES!AT143-CONTADORES!AT142))</f>
        <v>0</v>
      </c>
      <c r="W149" s="715">
        <v>0</v>
      </c>
      <c r="X149" s="206">
        <f ca="1">IF(W149=0,(T149-INICIO!$W$6),((T149-INICIO!$W$6)+V149))</f>
        <v>2.4000000000014552</v>
      </c>
      <c r="Y149" s="208">
        <f t="shared" ca="1" si="38"/>
        <v>8.8000000000174623</v>
      </c>
      <c r="Z149" s="209">
        <f t="shared" ca="1" si="39"/>
        <v>6.912824530195679</v>
      </c>
      <c r="AA149" s="206">
        <f t="shared" ca="1" si="40"/>
        <v>1.3101950800011541</v>
      </c>
      <c r="AB149" s="206">
        <f t="shared" ca="1" si="41"/>
        <v>0.38964909442433882</v>
      </c>
      <c r="AC149" s="208">
        <f t="shared" ca="1" si="36"/>
        <v>0.18733129539629051</v>
      </c>
    </row>
    <row r="150" spans="2:29">
      <c r="B150" s="214">
        <v>44701</v>
      </c>
      <c r="C150" s="202">
        <f ca="1">DATOSAÑO!I150</f>
        <v>307.67000000004191</v>
      </c>
      <c r="D150" s="196">
        <f ca="1">DATOSAÑO!P150</f>
        <v>147.64199999999983</v>
      </c>
      <c r="E150" s="196">
        <f ca="1">DATOSAÑO!Q150</f>
        <v>0</v>
      </c>
      <c r="F150" s="196">
        <f ca="1">DATOSAÑO!T150</f>
        <v>0</v>
      </c>
      <c r="G150" s="196">
        <f t="shared" ca="1" si="35"/>
        <v>455.31200000004173</v>
      </c>
      <c r="H150" s="196">
        <f t="shared" ca="1" si="29"/>
        <v>33.948900000009075</v>
      </c>
      <c r="I150" s="196">
        <f t="shared" ca="1" si="31"/>
        <v>205.97644802668489</v>
      </c>
      <c r="J150" s="196">
        <f t="shared" ca="1" si="32"/>
        <v>35.929617247679651</v>
      </c>
      <c r="K150" s="196">
        <f t="shared" ca="1" si="33"/>
        <v>13.775264035578317</v>
      </c>
      <c r="L150" s="196">
        <f t="shared" ca="1" si="30"/>
        <v>160.50310000002389</v>
      </c>
      <c r="M150" s="196">
        <f t="shared" ca="1" si="34"/>
        <v>5.1786706900659034</v>
      </c>
      <c r="N150" s="196">
        <f t="shared" ca="1" si="37"/>
        <v>5</v>
      </c>
      <c r="O150" s="196">
        <f ca="1">(DATOSAÑO!AJ150+DATOSAÑO!AK150+DATOSAÑO!AD150)</f>
        <v>198.87000000000353</v>
      </c>
      <c r="P150" s="196">
        <f ca="1">DATOSAÑO!AI150</f>
        <v>34.690000000002328</v>
      </c>
      <c r="Q150" s="196">
        <f ca="1">DATOSAÑO!AH150</f>
        <v>13.30000000000291</v>
      </c>
      <c r="R150" s="196">
        <f ca="1">DATOSAÑO!AM150+DATOSAÑO!AN150+DATOSAÑO!AF150</f>
        <v>160.50310000002389</v>
      </c>
      <c r="S150" s="209">
        <f ca="1">IF(B150&gt;=$P$5,0,CONTADORES!S144-CONTADORES!S143)</f>
        <v>14</v>
      </c>
      <c r="T150" s="206">
        <f ca="1">IF(B150&gt;=$P$5,0,(CONTADORES!U144-CONTADORES!U143)+(CONTADORES!AG144-CONTADORES!AG143))</f>
        <v>2.2000000000043656</v>
      </c>
      <c r="U150" s="206">
        <f ca="1">IF(B150&gt;=$P$5,0,(CONTADORES!AS144-CONTADORES!AS143))</f>
        <v>5</v>
      </c>
      <c r="V150" s="206">
        <f ca="1">IF(B150&gt;=$P$5,0,(CONTADORES!AT144-CONTADORES!AT143))</f>
        <v>0</v>
      </c>
      <c r="W150" s="715">
        <v>0</v>
      </c>
      <c r="X150" s="206">
        <f ca="1">IF(W150=0,(T150-INICIO!$W$6),((T150-INICIO!$W$6)+V150))</f>
        <v>2.2000000000043656</v>
      </c>
      <c r="Y150" s="208">
        <f t="shared" ca="1" si="38"/>
        <v>9</v>
      </c>
      <c r="Z150" s="209">
        <f t="shared" ca="1" si="39"/>
        <v>7.1064480266813685</v>
      </c>
      <c r="AA150" s="206">
        <f t="shared" ca="1" si="40"/>
        <v>1.2396172476773211</v>
      </c>
      <c r="AB150" s="206">
        <f t="shared" ca="1" si="41"/>
        <v>0.47526403557540708</v>
      </c>
      <c r="AC150" s="208">
        <f t="shared" ca="1" si="36"/>
        <v>0.17867069006590341</v>
      </c>
    </row>
    <row r="151" spans="2:29">
      <c r="B151" s="214">
        <v>44702</v>
      </c>
      <c r="C151" s="202">
        <f ca="1">DATOSAÑO!I151</f>
        <v>303.25</v>
      </c>
      <c r="D151" s="196">
        <f ca="1">DATOSAÑO!P151</f>
        <v>147.62299999999959</v>
      </c>
      <c r="E151" s="196">
        <f ca="1">DATOSAÑO!Q151</f>
        <v>0</v>
      </c>
      <c r="F151" s="196">
        <f ca="1">DATOSAÑO!T151</f>
        <v>0</v>
      </c>
      <c r="G151" s="196">
        <f t="shared" ca="1" si="35"/>
        <v>450.87299999999959</v>
      </c>
      <c r="H151" s="196">
        <f t="shared" ca="1" si="29"/>
        <v>32.785000000074035</v>
      </c>
      <c r="I151" s="196">
        <f t="shared" ca="1" si="31"/>
        <v>206.84444754349909</v>
      </c>
      <c r="J151" s="196">
        <f t="shared" ca="1" si="32"/>
        <v>35.80278081045131</v>
      </c>
      <c r="K151" s="196">
        <f t="shared" ca="1" si="33"/>
        <v>11.359405506633522</v>
      </c>
      <c r="L151" s="196">
        <f t="shared" ca="1" si="30"/>
        <v>158.91799999996277</v>
      </c>
      <c r="M151" s="196">
        <f t="shared" ca="1" si="34"/>
        <v>5.1633661393788737</v>
      </c>
      <c r="N151" s="196">
        <f t="shared" ca="1" si="37"/>
        <v>5</v>
      </c>
      <c r="O151" s="196">
        <f ca="1">(DATOSAÑO!AJ151+DATOSAÑO!AK151+DATOSAÑO!AD151)</f>
        <v>200.29999999998199</v>
      </c>
      <c r="P151" s="196">
        <f ca="1">DATOSAÑO!AI151</f>
        <v>34.669999999998254</v>
      </c>
      <c r="Q151" s="196">
        <f ca="1">DATOSAÑO!AH151</f>
        <v>11</v>
      </c>
      <c r="R151" s="196">
        <f ca="1">DATOSAÑO!AM151+DATOSAÑO!AN151+DATOSAÑO!AF151</f>
        <v>158.91799999996277</v>
      </c>
      <c r="S151" s="209">
        <f ca="1">IF(B151&gt;=$P$5,0,CONTADORES!S145-CONTADORES!S144)</f>
        <v>13.199999999982538</v>
      </c>
      <c r="T151" s="206">
        <f ca="1">IF(B151&gt;=$P$5,0,(CONTADORES!U145-CONTADORES!U144)+(CONTADORES!AG145-CONTADORES!AG144))</f>
        <v>2.3999999999941792</v>
      </c>
      <c r="U151" s="206">
        <f ca="1">IF(B151&gt;=$P$5,0,(CONTADORES!AS145-CONTADORES!AS144))</f>
        <v>5</v>
      </c>
      <c r="V151" s="206">
        <f ca="1">IF(B151&gt;=$P$5,0,(CONTADORES!AT145-CONTADORES!AT144))</f>
        <v>0</v>
      </c>
      <c r="W151" s="715">
        <v>0</v>
      </c>
      <c r="X151" s="206">
        <f ca="1">IF(W151=0,(T151-INICIO!$W$6),((T151-INICIO!$W$6)+V151))</f>
        <v>2.3999999999941792</v>
      </c>
      <c r="Y151" s="208">
        <f t="shared" ca="1" si="38"/>
        <v>8.1999999999825377</v>
      </c>
      <c r="Z151" s="209">
        <f t="shared" ca="1" si="39"/>
        <v>6.544447543517089</v>
      </c>
      <c r="AA151" s="206">
        <f t="shared" ca="1" si="40"/>
        <v>1.1327808104530528</v>
      </c>
      <c r="AB151" s="206">
        <f t="shared" ca="1" si="41"/>
        <v>0.359405506633522</v>
      </c>
      <c r="AC151" s="208">
        <f t="shared" ca="1" si="36"/>
        <v>0.16336613937887362</v>
      </c>
    </row>
    <row r="152" spans="2:29">
      <c r="B152" s="214">
        <v>44703</v>
      </c>
      <c r="C152" s="202">
        <f ca="1">DATOSAÑO!I152</f>
        <v>306.81000000005588</v>
      </c>
      <c r="D152" s="196">
        <f ca="1">DATOSAÑO!P152</f>
        <v>150.19400000000314</v>
      </c>
      <c r="E152" s="196">
        <f ca="1">DATOSAÑO!Q152</f>
        <v>0.24500000000011823</v>
      </c>
      <c r="F152" s="196">
        <f ca="1">DATOSAÑO!T152</f>
        <v>0.40899999999999181</v>
      </c>
      <c r="G152" s="196">
        <f t="shared" ca="1" si="35"/>
        <v>457.65800000005913</v>
      </c>
      <c r="H152" s="196">
        <f t="shared" ca="1" si="29"/>
        <v>40.597000000007711</v>
      </c>
      <c r="I152" s="196">
        <f t="shared" ca="1" si="31"/>
        <v>208.33545389652704</v>
      </c>
      <c r="J152" s="196">
        <f t="shared" ca="1" si="32"/>
        <v>33.628951219514519</v>
      </c>
      <c r="K152" s="196">
        <f t="shared" ca="1" si="33"/>
        <v>14.639339678762404</v>
      </c>
      <c r="L152" s="196">
        <f t="shared" ca="1" si="30"/>
        <v>155.26600000001201</v>
      </c>
      <c r="M152" s="196">
        <f t="shared" ca="1" si="34"/>
        <v>5.1912552052354313</v>
      </c>
      <c r="N152" s="196">
        <f t="shared" ca="1" si="37"/>
        <v>5</v>
      </c>
      <c r="O152" s="196">
        <f ca="1">(DATOSAÑO!AJ152+DATOSAÑO!AK152+DATOSAÑO!AD152)</f>
        <v>200.66000000001804</v>
      </c>
      <c r="P152" s="196">
        <f ca="1">DATOSAÑO!AI152</f>
        <v>32.389999999999418</v>
      </c>
      <c r="Q152" s="196">
        <f ca="1">DATOSAÑO!AH152</f>
        <v>14.099999999998545</v>
      </c>
      <c r="R152" s="196">
        <f ca="1">DATOSAÑO!AM152+DATOSAÑO!AN152+DATOSAÑO!AF152</f>
        <v>155.26600000001201</v>
      </c>
      <c r="S152" s="209">
        <f ca="1">IF(B152&gt;=$P$5,0,CONTADORES!S146-CONTADORES!S145)</f>
        <v>14.400000000023283</v>
      </c>
      <c r="T152" s="206">
        <f ca="1">IF(B152&gt;=$P$5,0,(CONTADORES!U146-CONTADORES!U145)+(CONTADORES!AG146-CONTADORES!AG145))</f>
        <v>2.6000000000058208</v>
      </c>
      <c r="U152" s="206">
        <f ca="1">IF(B152&gt;=$P$5,0,(CONTADORES!AS146-CONTADORES!AS145))</f>
        <v>5</v>
      </c>
      <c r="V152" s="206">
        <f ca="1">IF(B152&gt;=$P$5,0,(CONTADORES!AT146-CONTADORES!AT145))</f>
        <v>0</v>
      </c>
      <c r="W152" s="715">
        <v>0</v>
      </c>
      <c r="X152" s="206">
        <f ca="1">IF(W152=0,(T152-INICIO!$W$6),((T152-INICIO!$W$6)+V152))</f>
        <v>2.6000000000058208</v>
      </c>
      <c r="Y152" s="208">
        <f t="shared" ca="1" si="38"/>
        <v>9.6450000000234013</v>
      </c>
      <c r="Z152" s="209">
        <f t="shared" ca="1" si="39"/>
        <v>7.6754538965090102</v>
      </c>
      <c r="AA152" s="206">
        <f t="shared" ca="1" si="40"/>
        <v>1.2389512195151002</v>
      </c>
      <c r="AB152" s="206">
        <f t="shared" ca="1" si="41"/>
        <v>0.53933967876386002</v>
      </c>
      <c r="AC152" s="208">
        <f t="shared" ca="1" si="36"/>
        <v>0.19125520523543107</v>
      </c>
    </row>
    <row r="153" spans="2:29">
      <c r="B153" s="214">
        <v>44704</v>
      </c>
      <c r="C153" s="202">
        <f ca="1">DATOSAÑO!I153</f>
        <v>246.93999999994412</v>
      </c>
      <c r="D153" s="196">
        <f ca="1">DATOSAÑO!P153</f>
        <v>127.20999999999913</v>
      </c>
      <c r="E153" s="196">
        <f ca="1">DATOSAÑO!Q153</f>
        <v>0</v>
      </c>
      <c r="F153" s="196">
        <f ca="1">DATOSAÑO!T153</f>
        <v>0</v>
      </c>
      <c r="G153" s="196">
        <f t="shared" ca="1" si="35"/>
        <v>374.14999999994325</v>
      </c>
      <c r="H153" s="196">
        <f t="shared" ca="1" si="29"/>
        <v>35.438999999948862</v>
      </c>
      <c r="I153" s="196">
        <f t="shared" ca="1" si="31"/>
        <v>130.28637531525331</v>
      </c>
      <c r="J153" s="196">
        <f t="shared" ca="1" si="32"/>
        <v>34.66121207835895</v>
      </c>
      <c r="K153" s="196">
        <f t="shared" ca="1" si="33"/>
        <v>9.6281144662065437</v>
      </c>
      <c r="L153" s="196">
        <f t="shared" ca="1" si="30"/>
        <v>159.17100000001352</v>
      </c>
      <c r="M153" s="196">
        <f t="shared" ca="1" si="34"/>
        <v>4.9642981401620512</v>
      </c>
      <c r="N153" s="196">
        <f t="shared" ca="1" si="37"/>
        <v>4.6920000000027358</v>
      </c>
      <c r="O153" s="196">
        <f ca="1">(DATOSAÑO!AJ153+DATOSAÑO!AK153+DATOSAÑO!AD153)</f>
        <v>123.13999999999396</v>
      </c>
      <c r="P153" s="196">
        <f ca="1">DATOSAÑO!AI153</f>
        <v>32.760000000009313</v>
      </c>
      <c r="Q153" s="196">
        <f ca="1">DATOSAÑO!AH153</f>
        <v>9.0999999999985448</v>
      </c>
      <c r="R153" s="196">
        <f ca="1">DATOSAÑO!AM153+DATOSAÑO!AN153+DATOSAÑO!AF153</f>
        <v>159.17100000001352</v>
      </c>
      <c r="S153" s="209">
        <f ca="1">IF(B153&gt;=$P$5,0,CONTADORES!S147-CONTADORES!S146)</f>
        <v>14.539999999979045</v>
      </c>
      <c r="T153" s="206">
        <f ca="1">IF(B153&gt;=$P$5,0,(CONTADORES!U147-CONTADORES!U146)+(CONTADORES!AG147-CONTADORES!AG146))</f>
        <v>2.3600000000005821</v>
      </c>
      <c r="U153" s="206">
        <f ca="1">IF(B153&gt;=$P$5,0,(CONTADORES!AS147-CONTADORES!AS146))</f>
        <v>4.6920000000027358</v>
      </c>
      <c r="V153" s="206">
        <f ca="1">IF(B153&gt;=$P$5,0,(CONTADORES!AT147-CONTADORES!AT146))</f>
        <v>0</v>
      </c>
      <c r="W153" s="715">
        <v>0</v>
      </c>
      <c r="X153" s="206">
        <f ca="1">IF(W153=0,(T153-INICIO!$W$6),((T153-INICIO!$W$6)+V153))</f>
        <v>2.3600000000005821</v>
      </c>
      <c r="Y153" s="208">
        <f t="shared" ca="1" si="38"/>
        <v>9.8479999999763095</v>
      </c>
      <c r="Z153" s="209">
        <f t="shared" ca="1" si="39"/>
        <v>7.1463753152593563</v>
      </c>
      <c r="AA153" s="206">
        <f t="shared" ca="1" si="40"/>
        <v>1.9012120783496389</v>
      </c>
      <c r="AB153" s="206">
        <f t="shared" ca="1" si="41"/>
        <v>0.52811446620799851</v>
      </c>
      <c r="AC153" s="208">
        <f t="shared" ca="1" si="36"/>
        <v>0.27229814015931536</v>
      </c>
    </row>
    <row r="154" spans="2:29">
      <c r="B154" s="214">
        <v>44705</v>
      </c>
      <c r="C154" s="202">
        <f ca="1">DATOSAÑO!I154</f>
        <v>166</v>
      </c>
      <c r="D154" s="196">
        <f ca="1">DATOSAÑO!P154</f>
        <v>84</v>
      </c>
      <c r="E154" s="196">
        <f ca="1">DATOSAÑO!Q154</f>
        <v>0</v>
      </c>
      <c r="F154" s="196">
        <f ca="1">DATOSAÑO!T154</f>
        <v>0</v>
      </c>
      <c r="G154" s="196">
        <f t="shared" ca="1" si="35"/>
        <v>250</v>
      </c>
      <c r="H154" s="196">
        <f t="shared" ca="1" si="29"/>
        <v>31.080999999987654</v>
      </c>
      <c r="I154" s="196">
        <f t="shared" ca="1" si="31"/>
        <v>19.967283891399028</v>
      </c>
      <c r="J154" s="196">
        <f t="shared" ca="1" si="32"/>
        <v>40.165403434718343</v>
      </c>
      <c r="K154" s="196">
        <f t="shared" ca="1" si="33"/>
        <v>6.0017269500199211</v>
      </c>
      <c r="L154" s="196">
        <f t="shared" ca="1" si="30"/>
        <v>146.73899999999747</v>
      </c>
      <c r="M154" s="196">
        <f t="shared" ca="1" si="34"/>
        <v>6.0455857238775543</v>
      </c>
      <c r="N154" s="196">
        <f t="shared" ca="1" si="37"/>
        <v>5.2379999999975553</v>
      </c>
      <c r="O154" s="196">
        <f ca="1">(DATOSAÑO!AJ154+DATOSAÑO!AK154+DATOSAÑO!AD154)</f>
        <v>17.30000000000291</v>
      </c>
      <c r="P154" s="196">
        <f ca="1">DATOSAÑO!AI154</f>
        <v>34.80000000000291</v>
      </c>
      <c r="Q154" s="196">
        <f ca="1">DATOSAÑO!AH154</f>
        <v>5.2000000000043656</v>
      </c>
      <c r="R154" s="196">
        <f ca="1">DATOSAÑO!AM154+DATOSAÑO!AN154+DATOSAÑO!AF154</f>
        <v>146.73899999999747</v>
      </c>
      <c r="S154" s="209">
        <f ca="1">IF(B154&gt;=$P$5,0,CONTADORES!S148-CONTADORES!S147)</f>
        <v>14.880000000004657</v>
      </c>
      <c r="T154" s="206">
        <f ca="1">IF(B154&gt;=$P$5,0,(CONTADORES!U148-CONTADORES!U147)+(CONTADORES!AG148-CONTADORES!AG147))</f>
        <v>2.5299999999988358</v>
      </c>
      <c r="U154" s="206">
        <f ca="1">IF(B154&gt;=$P$5,0,(CONTADORES!AS148-CONTADORES!AS147))</f>
        <v>5.2379999999975553</v>
      </c>
      <c r="V154" s="206">
        <f ca="1">IF(B154&gt;=$P$5,0,(CONTADORES!AT148-CONTADORES!AT147))</f>
        <v>0</v>
      </c>
      <c r="W154" s="715">
        <v>0</v>
      </c>
      <c r="X154" s="206">
        <f ca="1">IF(W154=0,(T154-INICIO!$W$6),((T154-INICIO!$W$6)+V154))</f>
        <v>2.5299999999988358</v>
      </c>
      <c r="Y154" s="208">
        <f t="shared" ca="1" si="38"/>
        <v>9.6420000000071013</v>
      </c>
      <c r="Z154" s="209">
        <f t="shared" ca="1" si="39"/>
        <v>2.6672838913961154</v>
      </c>
      <c r="AA154" s="206">
        <f t="shared" ca="1" si="40"/>
        <v>5.3654034347154314</v>
      </c>
      <c r="AB154" s="206">
        <f t="shared" ca="1" si="41"/>
        <v>0.8017269500155555</v>
      </c>
      <c r="AC154" s="208">
        <f t="shared" ca="1" si="36"/>
        <v>0.80758572387999894</v>
      </c>
    </row>
    <row r="155" spans="2:29">
      <c r="B155" s="214">
        <v>44706</v>
      </c>
      <c r="C155" s="202">
        <f ca="1">DATOSAÑO!I155</f>
        <v>188</v>
      </c>
      <c r="D155" s="196">
        <f ca="1">DATOSAÑO!P155</f>
        <v>84</v>
      </c>
      <c r="E155" s="196">
        <f ca="1">DATOSAÑO!Q155</f>
        <v>0</v>
      </c>
      <c r="F155" s="196">
        <f ca="1">DATOSAÑO!T155</f>
        <v>0</v>
      </c>
      <c r="G155" s="196">
        <f t="shared" ca="1" si="35"/>
        <v>272</v>
      </c>
      <c r="H155" s="196">
        <f t="shared" ca="1" si="29"/>
        <v>33.17099999998635</v>
      </c>
      <c r="I155" s="196">
        <f t="shared" ca="1" si="31"/>
        <v>19.70343035957611</v>
      </c>
      <c r="J155" s="196">
        <f t="shared" ca="1" si="32"/>
        <v>41.456928617822832</v>
      </c>
      <c r="K155" s="196">
        <f t="shared" ca="1" si="33"/>
        <v>10.364232154455708</v>
      </c>
      <c r="L155" s="196">
        <f t="shared" ca="1" si="30"/>
        <v>161.66900000000291</v>
      </c>
      <c r="M155" s="196">
        <f t="shared" ca="1" si="34"/>
        <v>5.6354088681561167</v>
      </c>
      <c r="N155" s="196">
        <f t="shared" ca="1" si="37"/>
        <v>4.9479999999966822</v>
      </c>
      <c r="O155" s="196">
        <f ca="1">(DATOSAÑO!AJ155+DATOSAÑO!AK155+DATOSAÑO!AD155)</f>
        <v>17.30000000000291</v>
      </c>
      <c r="P155" s="196">
        <f ca="1">DATOSAÑO!AI155</f>
        <v>36.399999999994179</v>
      </c>
      <c r="Q155" s="196">
        <f ca="1">DATOSAÑO!AH155</f>
        <v>9.0999999999985448</v>
      </c>
      <c r="R155" s="196">
        <f ca="1">DATOSAÑO!AM155+DATOSAÑO!AN155+DATOSAÑO!AF155</f>
        <v>161.66900000000291</v>
      </c>
      <c r="S155" s="209">
        <f ca="1">IF(B155&gt;=$P$5,0,CONTADORES!S149-CONTADORES!S148)</f>
        <v>14.360000000015134</v>
      </c>
      <c r="T155" s="206">
        <f ca="1">IF(B155&gt;=$P$5,0,(CONTADORES!U149-CONTADORES!U148)+(CONTADORES!AG149-CONTADORES!AG148))</f>
        <v>2.4599999999991269</v>
      </c>
      <c r="U155" s="206">
        <f ca="1">IF(B155&gt;=$P$5,0,(CONTADORES!AS149-CONTADORES!AS148))</f>
        <v>4.9479999999966822</v>
      </c>
      <c r="V155" s="206">
        <f ca="1">IF(B155&gt;=$P$5,0,(CONTADORES!AT149-CONTADORES!AT148))</f>
        <v>0</v>
      </c>
      <c r="W155" s="715">
        <v>0</v>
      </c>
      <c r="X155" s="206">
        <f ca="1">IF(W155=0,(T155-INICIO!$W$6),((T155-INICIO!$W$6)+V155))</f>
        <v>2.4599999999991269</v>
      </c>
      <c r="Y155" s="208">
        <f t="shared" ca="1" si="38"/>
        <v>9.4120000000184518</v>
      </c>
      <c r="Z155" s="209">
        <f t="shared" ca="1" si="39"/>
        <v>2.4034303595731989</v>
      </c>
      <c r="AA155" s="206">
        <f t="shared" ca="1" si="40"/>
        <v>5.056928617828655</v>
      </c>
      <c r="AB155" s="206">
        <f t="shared" ca="1" si="41"/>
        <v>1.2642321544571637</v>
      </c>
      <c r="AC155" s="208">
        <f t="shared" ca="1" si="36"/>
        <v>0.68740886815943425</v>
      </c>
    </row>
    <row r="156" spans="2:29">
      <c r="B156" s="214">
        <v>44707</v>
      </c>
      <c r="C156" s="202">
        <f ca="1">DATOSAÑO!I156</f>
        <v>194</v>
      </c>
      <c r="D156" s="196">
        <f ca="1">DATOSAÑO!P156</f>
        <v>84</v>
      </c>
      <c r="E156" s="196">
        <f ca="1">DATOSAÑO!Q156</f>
        <v>0</v>
      </c>
      <c r="F156" s="196">
        <f ca="1">DATOSAÑO!T156</f>
        <v>0</v>
      </c>
      <c r="G156" s="196">
        <f t="shared" ca="1" si="35"/>
        <v>278</v>
      </c>
      <c r="H156" s="196">
        <f t="shared" ca="1" si="29"/>
        <v>26.409000000005278</v>
      </c>
      <c r="I156" s="196">
        <f t="shared" ca="1" si="31"/>
        <v>22.241088330175092</v>
      </c>
      <c r="J156" s="196">
        <f t="shared" ca="1" si="32"/>
        <v>38.385634681526135</v>
      </c>
      <c r="K156" s="196">
        <f t="shared" ca="1" si="33"/>
        <v>18.402524862020837</v>
      </c>
      <c r="L156" s="196">
        <f t="shared" ca="1" si="30"/>
        <v>166.90099999999964</v>
      </c>
      <c r="M156" s="196">
        <f t="shared" ca="1" si="34"/>
        <v>5.6607521262729863</v>
      </c>
      <c r="N156" s="196">
        <f t="shared" ca="1" si="37"/>
        <v>5.0140000000028522</v>
      </c>
      <c r="O156" s="196">
        <f ca="1">(DATOSAÑO!AJ156+DATOSAÑO!AK156+DATOSAÑO!AD156)</f>
        <v>19.69999999999709</v>
      </c>
      <c r="P156" s="196">
        <f ca="1">DATOSAÑO!AI156</f>
        <v>34</v>
      </c>
      <c r="Q156" s="196">
        <f ca="1">DATOSAÑO!AH156</f>
        <v>16.299999999995634</v>
      </c>
      <c r="R156" s="196">
        <f ca="1">DATOSAÑO!AM156+DATOSAÑO!AN156+DATOSAÑO!AF156</f>
        <v>166.90099999999964</v>
      </c>
      <c r="S156" s="209">
        <f ca="1">IF(B156&gt;=$P$5,0,CONTADORES!S150-CONTADORES!S149)</f>
        <v>14.690000000002328</v>
      </c>
      <c r="T156" s="206">
        <f ca="1">IF(B156&gt;=$P$5,0,(CONTADORES!U150-CONTADORES!U149)+(CONTADORES!AG150-CONTADORES!AG149))</f>
        <v>2.4599999999991269</v>
      </c>
      <c r="U156" s="206">
        <f ca="1">IF(B156&gt;=$P$5,0,(CONTADORES!AS150-CONTADORES!AS149))</f>
        <v>5.0140000000028522</v>
      </c>
      <c r="V156" s="206">
        <f ca="1">IF(B156&gt;=$P$5,0,(CONTADORES!AT150-CONTADORES!AT149))</f>
        <v>0</v>
      </c>
      <c r="W156" s="715">
        <v>0</v>
      </c>
      <c r="X156" s="206">
        <f ca="1">IF(W156=0,(T156-INICIO!$W$6),((T156-INICIO!$W$6)+V156))</f>
        <v>2.4599999999991269</v>
      </c>
      <c r="Y156" s="208">
        <f t="shared" ca="1" si="38"/>
        <v>9.6759999999994761</v>
      </c>
      <c r="Z156" s="209">
        <f t="shared" ca="1" si="39"/>
        <v>2.5410883301780034</v>
      </c>
      <c r="AA156" s="206">
        <f t="shared" ca="1" si="40"/>
        <v>4.3856346815261364</v>
      </c>
      <c r="AB156" s="206">
        <f t="shared" ca="1" si="41"/>
        <v>2.1025248620252022</v>
      </c>
      <c r="AC156" s="208">
        <f t="shared" ca="1" si="36"/>
        <v>0.64675212627013401</v>
      </c>
    </row>
    <row r="157" spans="2:29">
      <c r="B157" s="214">
        <v>44708</v>
      </c>
      <c r="C157" s="202">
        <f ca="1">DATOSAÑO!I157</f>
        <v>222</v>
      </c>
      <c r="D157" s="196">
        <f ca="1">DATOSAÑO!P157</f>
        <v>101</v>
      </c>
      <c r="E157" s="196">
        <f ca="1">DATOSAÑO!Q157</f>
        <v>0</v>
      </c>
      <c r="F157" s="196">
        <f ca="1">DATOSAÑO!T157</f>
        <v>0</v>
      </c>
      <c r="G157" s="196">
        <f t="shared" ca="1" si="35"/>
        <v>323</v>
      </c>
      <c r="H157" s="196">
        <f t="shared" ca="1" si="29"/>
        <v>33.481000000033475</v>
      </c>
      <c r="I157" s="196">
        <f t="shared" ca="1" si="31"/>
        <v>65.766840711849895</v>
      </c>
      <c r="J157" s="196">
        <f t="shared" ca="1" si="32"/>
        <v>37.238840270617409</v>
      </c>
      <c r="K157" s="196">
        <f t="shared" ca="1" si="33"/>
        <v>10.344122297394605</v>
      </c>
      <c r="L157" s="196">
        <f t="shared" ca="1" si="30"/>
        <v>171.06899999999854</v>
      </c>
      <c r="M157" s="196">
        <f t="shared" ca="1" si="34"/>
        <v>5.1001967201060809</v>
      </c>
      <c r="N157" s="196">
        <f t="shared" ca="1" si="37"/>
        <v>4.6840000000011059</v>
      </c>
      <c r="O157" s="196">
        <f ca="1">(DATOSAÑO!AJ157+DATOSAÑO!AK157+DATOSAÑO!AD157)</f>
        <v>60.399999999994179</v>
      </c>
      <c r="P157" s="196">
        <f ca="1">DATOSAÑO!AI157</f>
        <v>34.19999999999709</v>
      </c>
      <c r="Q157" s="196">
        <f ca="1">DATOSAÑO!AH157</f>
        <v>9.5</v>
      </c>
      <c r="R157" s="196">
        <f ca="1">DATOSAÑO!AM157+DATOSAÑO!AN157+DATOSAÑO!AF157</f>
        <v>171.06899999999854</v>
      </c>
      <c r="S157" s="209">
        <f ca="1">IF(B157&gt;=$P$5,0,CONTADORES!S151-CONTADORES!S150)</f>
        <v>14.349999999976717</v>
      </c>
      <c r="T157" s="206">
        <f ca="1">IF(B157&gt;=$P$5,0,(CONTADORES!U151-CONTADORES!U150)+(CONTADORES!AG151-CONTADORES!AG150))</f>
        <v>2.4400000000023283</v>
      </c>
      <c r="U157" s="206">
        <f ca="1">IF(B157&gt;=$P$5,0,(CONTADORES!AS151-CONTADORES!AS150))</f>
        <v>4.6840000000011059</v>
      </c>
      <c r="V157" s="206">
        <f ca="1">IF(B157&gt;=$P$5,0,(CONTADORES!AT151-CONTADORES!AT150))</f>
        <v>0</v>
      </c>
      <c r="W157" s="715">
        <v>0</v>
      </c>
      <c r="X157" s="206">
        <f ca="1">IF(W157=0,(T157-INICIO!$W$6),((T157-INICIO!$W$6)+V157))</f>
        <v>2.4400000000023283</v>
      </c>
      <c r="Y157" s="208">
        <f t="shared" ca="1" si="38"/>
        <v>9.665999999975611</v>
      </c>
      <c r="Z157" s="209">
        <f t="shared" ca="1" si="39"/>
        <v>5.3668407118557093</v>
      </c>
      <c r="AA157" s="206">
        <f t="shared" ca="1" si="40"/>
        <v>3.0388402706203204</v>
      </c>
      <c r="AB157" s="206">
        <f t="shared" ca="1" si="41"/>
        <v>0.84412229739460531</v>
      </c>
      <c r="AC157" s="208">
        <f t="shared" ca="1" si="36"/>
        <v>0.41619672010497522</v>
      </c>
    </row>
    <row r="158" spans="2:29">
      <c r="B158" s="214">
        <v>44709</v>
      </c>
      <c r="C158" s="202">
        <f ca="1">DATOSAÑO!I158</f>
        <v>309</v>
      </c>
      <c r="D158" s="196">
        <f ca="1">DATOSAÑO!P158</f>
        <v>144.59999999999854</v>
      </c>
      <c r="E158" s="196">
        <f ca="1">DATOSAÑO!Q158</f>
        <v>0</v>
      </c>
      <c r="F158" s="196">
        <f ca="1">DATOSAÑO!T158</f>
        <v>0</v>
      </c>
      <c r="G158" s="196">
        <f t="shared" ca="1" si="35"/>
        <v>453.59999999999854</v>
      </c>
      <c r="H158" s="196">
        <f t="shared" ca="1" si="29"/>
        <v>35.823999999973353</v>
      </c>
      <c r="I158" s="196">
        <f t="shared" ca="1" si="31"/>
        <v>193.46631352550924</v>
      </c>
      <c r="J158" s="196">
        <f t="shared" ca="1" si="32"/>
        <v>36.560890323448582</v>
      </c>
      <c r="K158" s="196">
        <f t="shared" ca="1" si="33"/>
        <v>12.256207551610862</v>
      </c>
      <c r="L158" s="196">
        <f t="shared" ca="1" si="30"/>
        <v>170.64099999999857</v>
      </c>
      <c r="M158" s="196">
        <f t="shared" ca="1" si="34"/>
        <v>4.8515885994579282</v>
      </c>
      <c r="N158" s="196">
        <f t="shared" ca="1" si="37"/>
        <v>4.6710000000020955</v>
      </c>
      <c r="O158" s="196">
        <f ca="1">(DATOSAÑO!AJ158+DATOSAÑO!AK158+DATOSAÑO!AD158)</f>
        <v>186.26500000000578</v>
      </c>
      <c r="P158" s="196">
        <f ca="1">DATOSAÑO!AI158</f>
        <v>35.19999999999709</v>
      </c>
      <c r="Q158" s="196">
        <f ca="1">DATOSAÑO!AH158</f>
        <v>11.799999999999272</v>
      </c>
      <c r="R158" s="196">
        <f ca="1">DATOSAÑO!AM158+DATOSAÑO!AN158+DATOSAÑO!AF158</f>
        <v>170.64099999999857</v>
      </c>
      <c r="S158" s="209">
        <f ca="1">IF(B158&gt;=$P$5,0,CONTADORES!S152-CONTADORES!S151)</f>
        <v>13.870000000024447</v>
      </c>
      <c r="T158" s="206">
        <f ca="1">IF(B158&gt;=$P$5,0,(CONTADORES!U152-CONTADORES!U151)+(CONTADORES!AG152-CONTADORES!AG151))</f>
        <v>2.3899999999994179</v>
      </c>
      <c r="U158" s="206">
        <f ca="1">IF(B158&gt;=$P$5,0,(CONTADORES!AS152-CONTADORES!AS151))</f>
        <v>4.6710000000020955</v>
      </c>
      <c r="V158" s="206">
        <f ca="1">IF(B158&gt;=$P$5,0,(CONTADORES!AT152-CONTADORES!AT151))</f>
        <v>0</v>
      </c>
      <c r="W158" s="715">
        <v>0</v>
      </c>
      <c r="X158" s="206">
        <f ca="1">IF(W158=0,(T158-INICIO!$W$6),((T158-INICIO!$W$6)+V158))</f>
        <v>2.3899999999994179</v>
      </c>
      <c r="Y158" s="208">
        <f t="shared" ca="1" si="38"/>
        <v>9.1990000000223517</v>
      </c>
      <c r="Z158" s="209">
        <f t="shared" ca="1" si="39"/>
        <v>7.201313525503438</v>
      </c>
      <c r="AA158" s="206">
        <f t="shared" ca="1" si="40"/>
        <v>1.3608903234514922</v>
      </c>
      <c r="AB158" s="206">
        <f t="shared" ca="1" si="41"/>
        <v>0.45620755161158932</v>
      </c>
      <c r="AC158" s="208">
        <f t="shared" ca="1" si="36"/>
        <v>0.1805885994558323</v>
      </c>
    </row>
    <row r="159" spans="2:29">
      <c r="B159" s="214">
        <v>44710</v>
      </c>
      <c r="C159" s="202">
        <f ca="1">DATOSAÑO!I159</f>
        <v>302</v>
      </c>
      <c r="D159" s="196">
        <f ca="1">DATOSAÑO!P159</f>
        <v>148.30000000000291</v>
      </c>
      <c r="E159" s="196">
        <f ca="1">DATOSAÑO!Q159</f>
        <v>0</v>
      </c>
      <c r="F159" s="196">
        <f ca="1">DATOSAÑO!T159</f>
        <v>0</v>
      </c>
      <c r="G159" s="196">
        <f t="shared" ca="1" si="35"/>
        <v>450.30000000000291</v>
      </c>
      <c r="H159" s="196">
        <f t="shared" ca="1" si="29"/>
        <v>33.639000000007456</v>
      </c>
      <c r="I159" s="196">
        <f t="shared" ca="1" si="31"/>
        <v>190.33826807646756</v>
      </c>
      <c r="J159" s="196">
        <f t="shared" ca="1" si="32"/>
        <v>36.808270091713077</v>
      </c>
      <c r="K159" s="196">
        <f t="shared" ca="1" si="33"/>
        <v>11.437598051094461</v>
      </c>
      <c r="L159" s="196">
        <f t="shared" ca="1" si="30"/>
        <v>172.09500000000111</v>
      </c>
      <c r="M159" s="196">
        <f t="shared" ca="1" si="34"/>
        <v>5.9818637807192561</v>
      </c>
      <c r="N159" s="196">
        <f t="shared" ca="1" si="37"/>
        <v>5.7529999999969732</v>
      </c>
      <c r="O159" s="196">
        <f ca="1">(DATOSAÑO!AJ159+DATOSAÑO!AK159+DATOSAÑO!AD159)</f>
        <v>183.05599999999959</v>
      </c>
      <c r="P159" s="196">
        <f ca="1">DATOSAÑO!AI159</f>
        <v>35.400000000008731</v>
      </c>
      <c r="Q159" s="196">
        <f ca="1">DATOSAÑO!AH159</f>
        <v>11</v>
      </c>
      <c r="R159" s="196">
        <f ca="1">DATOSAÑO!AM159+DATOSAÑO!AN159+DATOSAÑO!AF159</f>
        <v>172.09500000000111</v>
      </c>
      <c r="S159" s="209">
        <f ca="1">IF(B159&gt;=$P$5,0,CONTADORES!S153-CONTADORES!S152)</f>
        <v>15.10999999998603</v>
      </c>
      <c r="T159" s="206">
        <f ca="1">IF(B159&gt;=$P$5,0,(CONTADORES!U153-CONTADORES!U152)+(CONTADORES!AG153-CONTADORES!AG152))</f>
        <v>2.4599999999991269</v>
      </c>
      <c r="U159" s="206">
        <f ca="1">IF(B159&gt;=$P$5,0,(CONTADORES!AS153-CONTADORES!AS152))</f>
        <v>5.7529999999969732</v>
      </c>
      <c r="V159" s="206">
        <f ca="1">IF(B159&gt;=$P$5,0,(CONTADORES!AT153-CONTADORES!AT152))</f>
        <v>0</v>
      </c>
      <c r="W159" s="715">
        <v>0</v>
      </c>
      <c r="X159" s="206">
        <f ca="1">IF(W159=0,(T159-INICIO!$W$6),((T159-INICIO!$W$6)+V159))</f>
        <v>2.4599999999991269</v>
      </c>
      <c r="Y159" s="208">
        <f t="shared" ca="1" si="38"/>
        <v>9.356999999989057</v>
      </c>
      <c r="Z159" s="209">
        <f t="shared" ca="1" si="39"/>
        <v>7.282268076467969</v>
      </c>
      <c r="AA159" s="206">
        <f t="shared" ca="1" si="40"/>
        <v>1.4082700917043431</v>
      </c>
      <c r="AB159" s="206">
        <f t="shared" ca="1" si="41"/>
        <v>0.43759805109446198</v>
      </c>
      <c r="AC159" s="208">
        <f t="shared" ca="1" si="36"/>
        <v>0.22886378072228322</v>
      </c>
    </row>
    <row r="160" spans="2:29">
      <c r="B160" s="214">
        <v>44711</v>
      </c>
      <c r="C160" s="202">
        <f ca="1">DATOSAÑO!I160</f>
        <v>307.30000000004657</v>
      </c>
      <c r="D160" s="196">
        <f ca="1">DATOSAÑO!P160</f>
        <v>151</v>
      </c>
      <c r="E160" s="196">
        <f ca="1">DATOSAÑO!Q160</f>
        <v>0</v>
      </c>
      <c r="F160" s="196">
        <f ca="1">DATOSAÑO!T160</f>
        <v>0</v>
      </c>
      <c r="G160" s="196">
        <f t="shared" ca="1" si="35"/>
        <v>458.30000000004657</v>
      </c>
      <c r="H160" s="196">
        <f t="shared" ca="1" si="29"/>
        <v>36.232200000035618</v>
      </c>
      <c r="I160" s="196">
        <f t="shared" ca="1" si="31"/>
        <v>193.88475929667217</v>
      </c>
      <c r="J160" s="196">
        <f t="shared" ca="1" si="32"/>
        <v>36.991164326308777</v>
      </c>
      <c r="K160" s="196">
        <f t="shared" ca="1" si="33"/>
        <v>11.983053232466222</v>
      </c>
      <c r="L160" s="196">
        <f t="shared" ca="1" si="30"/>
        <v>173.99880000001326</v>
      </c>
      <c r="M160" s="196">
        <f t="shared" ca="1" si="34"/>
        <v>5.2100231445505312</v>
      </c>
      <c r="N160" s="196">
        <f t="shared" ca="1" si="37"/>
        <v>5</v>
      </c>
      <c r="O160" s="196">
        <f ca="1">(DATOSAÑO!AJ160+DATOSAÑO!AK160+DATOSAÑO!AD160)</f>
        <v>186.06899999999769</v>
      </c>
      <c r="P160" s="196">
        <f ca="1">DATOSAÑO!AI160</f>
        <v>35.5</v>
      </c>
      <c r="Q160" s="196">
        <f ca="1">DATOSAÑO!AH160</f>
        <v>11.5</v>
      </c>
      <c r="R160" s="196">
        <f ca="1">DATOSAÑO!AM160+DATOSAÑO!AN160+DATOSAÑO!AF160</f>
        <v>173.99880000001326</v>
      </c>
      <c r="S160" s="209">
        <f ca="1">IF(B160&gt;=$P$5,0,CONTADORES!S154-CONTADORES!S153)</f>
        <v>15</v>
      </c>
      <c r="T160" s="206">
        <f ca="1">IF(B160&gt;=$P$5,0,(CONTADORES!U154-CONTADORES!U153)+(CONTADORES!AG154-CONTADORES!AG153))</f>
        <v>2.5</v>
      </c>
      <c r="U160" s="206">
        <f ca="1">IF(B160&gt;=$P$5,0,(CONTADORES!AS154-CONTADORES!AS153))</f>
        <v>5</v>
      </c>
      <c r="V160" s="206">
        <f ca="1">IF(B160&gt;=$P$5,0,(CONTADORES!AT154-CONTADORES!AT153))</f>
        <v>0</v>
      </c>
      <c r="W160" s="715">
        <v>0</v>
      </c>
      <c r="X160" s="206">
        <f ca="1">IF(W160=0,(T160-INICIO!$W$6),((T160-INICIO!$W$6)+V160))</f>
        <v>2.5</v>
      </c>
      <c r="Y160" s="208">
        <f t="shared" ca="1" si="38"/>
        <v>10</v>
      </c>
      <c r="Z160" s="209">
        <f t="shared" ca="1" si="39"/>
        <v>7.8157592966744724</v>
      </c>
      <c r="AA160" s="206">
        <f t="shared" ca="1" si="40"/>
        <v>1.4911643263087737</v>
      </c>
      <c r="AB160" s="206">
        <f t="shared" ca="1" si="41"/>
        <v>0.48305323246622245</v>
      </c>
      <c r="AC160" s="208">
        <f t="shared" ca="1" si="36"/>
        <v>0.2100231445505315</v>
      </c>
    </row>
    <row r="161" spans="2:29" ht="15" customHeight="1" thickBot="1">
      <c r="B161" s="1043">
        <v>44712</v>
      </c>
      <c r="C161" s="203">
        <f ca="1">DATOSAÑO!I161</f>
        <v>301.69999999995343</v>
      </c>
      <c r="D161" s="197">
        <f ca="1">DATOSAÑO!P161</f>
        <v>149.09999999999854</v>
      </c>
      <c r="E161" s="197">
        <f ca="1">DATOSAÑO!Q161</f>
        <v>0</v>
      </c>
      <c r="F161" s="197">
        <f ca="1">DATOSAÑO!T161</f>
        <v>0</v>
      </c>
      <c r="G161" s="197">
        <f t="shared" ca="1" si="35"/>
        <v>450.79999999995198</v>
      </c>
      <c r="H161" s="197">
        <f t="shared" ca="1" si="29"/>
        <v>35.585799999955213</v>
      </c>
      <c r="I161" s="197">
        <f t="shared" ca="1" si="31"/>
        <v>191.89329906424365</v>
      </c>
      <c r="J161" s="197">
        <f t="shared" ca="1" si="32"/>
        <v>37.670903445095497</v>
      </c>
      <c r="K161" s="197">
        <f t="shared" ca="1" si="33"/>
        <v>11.519201879910351</v>
      </c>
      <c r="L161" s="197">
        <f t="shared" ca="1" si="30"/>
        <v>167.90419999998818</v>
      </c>
      <c r="M161" s="197">
        <f t="shared" ca="1" si="34"/>
        <v>6.2265956107590874</v>
      </c>
      <c r="N161" s="197">
        <f t="shared" ca="1" si="37"/>
        <v>6</v>
      </c>
      <c r="O161" s="197">
        <f ca="1">(DATOSAÑO!AJ161+DATOSAÑO!AK161+DATOSAÑO!AD161)</f>
        <v>184.90999999999985</v>
      </c>
      <c r="P161" s="197">
        <f ca="1">DATOSAÑO!AI161</f>
        <v>36.30000000000291</v>
      </c>
      <c r="Q161" s="197">
        <f ca="1">DATOSAÑO!AH161</f>
        <v>11.100000000005821</v>
      </c>
      <c r="R161" s="197">
        <f ca="1">DATOSAÑO!AM161+DATOSAÑO!AN161+DATOSAÑO!AF161</f>
        <v>167.90419999998818</v>
      </c>
      <c r="S161" s="203">
        <f ca="1">IF(B161&gt;=$P$5,0,CONTADORES!S155-CONTADORES!S154)</f>
        <v>15</v>
      </c>
      <c r="T161" s="197">
        <f ca="1">IF(B161&gt;=$P$5,0,(CONTADORES!U155-CONTADORES!U154)+(CONTADORES!AG155-CONTADORES!AG154))</f>
        <v>2.5</v>
      </c>
      <c r="U161" s="197">
        <f ca="1">IF(B161&gt;=$P$5,0,(CONTADORES!AS155-CONTADORES!AS154))</f>
        <v>6</v>
      </c>
      <c r="V161" s="197">
        <f ca="1">IF(B161&gt;=$P$5,0,(CONTADORES!AT155-CONTADORES!AT154))</f>
        <v>0</v>
      </c>
      <c r="W161" s="716">
        <v>0</v>
      </c>
      <c r="X161" s="197">
        <f ca="1">IF(W161=0,(T161-INICIO!$W$6),((T161-INICIO!$W$6)+V161))</f>
        <v>2.5</v>
      </c>
      <c r="Y161" s="201">
        <f t="shared" ca="1" si="38"/>
        <v>9</v>
      </c>
      <c r="Z161" s="200">
        <f t="shared" ca="1" si="39"/>
        <v>6.9832990642437949</v>
      </c>
      <c r="AA161" s="197">
        <f t="shared" ca="1" si="40"/>
        <v>1.370903445092587</v>
      </c>
      <c r="AB161" s="197">
        <f t="shared" ca="1" si="41"/>
        <v>0.41920187990453101</v>
      </c>
      <c r="AC161" s="201">
        <f t="shared" ca="1" si="36"/>
        <v>0.22659561075908713</v>
      </c>
    </row>
    <row r="162" spans="2:29" ht="15" customHeight="1">
      <c r="B162" s="390">
        <v>44713</v>
      </c>
      <c r="C162" s="202">
        <f ca="1">DATOSAÑO!I162</f>
        <v>296</v>
      </c>
      <c r="D162" s="196">
        <f ca="1">DATOSAÑO!P162</f>
        <v>148</v>
      </c>
      <c r="E162" s="196">
        <f ca="1">DATOSAÑO!Q162</f>
        <v>0</v>
      </c>
      <c r="F162" s="196">
        <f ca="1">DATOSAÑO!T162</f>
        <v>0</v>
      </c>
      <c r="G162" s="196">
        <f t="shared" ca="1" si="35"/>
        <v>444</v>
      </c>
      <c r="H162" s="196">
        <f ca="1">G162-SUM(I162:M162)</f>
        <v>34.696999999997445</v>
      </c>
      <c r="I162" s="196">
        <f t="shared" ca="1" si="31"/>
        <v>192.28628930818272</v>
      </c>
      <c r="J162" s="196">
        <f t="shared" ca="1" si="32"/>
        <v>38.269559748424143</v>
      </c>
      <c r="K162" s="196">
        <f t="shared" ca="1" si="33"/>
        <v>13.138867924526615</v>
      </c>
      <c r="L162" s="196">
        <f t="shared" ca="1" si="30"/>
        <v>160.60299999999819</v>
      </c>
      <c r="M162" s="196">
        <f t="shared" ca="1" si="34"/>
        <v>5.0052830188708946</v>
      </c>
      <c r="N162" s="196">
        <f t="shared" ca="1" si="37"/>
        <v>4.8000000000029104</v>
      </c>
      <c r="O162" s="196">
        <f ca="1">(DATOSAÑO!AJ162+DATOSAÑO!AK162+DATOSAÑO!AD162)</f>
        <v>184.40000000000873</v>
      </c>
      <c r="P162" s="196">
        <f ca="1">DATOSAÑO!AI162</f>
        <v>36.69999999999709</v>
      </c>
      <c r="Q162" s="196">
        <f ca="1">DATOSAÑO!AH162</f>
        <v>12.599999999998545</v>
      </c>
      <c r="R162" s="196">
        <f ca="1">DATOSAÑO!AM162+DATOSAÑO!AN162+DATOSAÑO!AF162</f>
        <v>160.60299999999819</v>
      </c>
      <c r="S162" s="202">
        <f ca="1">IF(B162&gt;=$P$5,0,CONTADORES!S158-CONTADORES!S157)</f>
        <v>15</v>
      </c>
      <c r="T162" s="196">
        <f ca="1">IF(B162&gt;=$P$5,0,(CONTADORES!U158-CONTADORES!U157)+(CONTADORES!AG158-CONTADORES!AG157))</f>
        <v>2.3999999999941792</v>
      </c>
      <c r="U162" s="196">
        <f ca="1">IF(B162&gt;=$P$5,0,(CONTADORES!AS158-CONTADORES!AS157))</f>
        <v>4.8000000000029104</v>
      </c>
      <c r="V162" s="196">
        <f ca="1">IF(B162&gt;=$P$5,0,(CONTADORES!AT158-CONTADORES!AT157))</f>
        <v>0</v>
      </c>
      <c r="W162" s="714">
        <v>0</v>
      </c>
      <c r="X162" s="196">
        <f ca="1">IF(W162=0,(T162-INICIO!$W$6),((T162-INICIO!$W$6)+V162))</f>
        <v>2.3999999999941792</v>
      </c>
      <c r="Y162" s="208">
        <f t="shared" ca="1" si="38"/>
        <v>10.19999999999709</v>
      </c>
      <c r="Z162" s="209">
        <f t="shared" ca="1" si="39"/>
        <v>7.8862893081739838</v>
      </c>
      <c r="AA162" s="206">
        <f t="shared" ca="1" si="40"/>
        <v>1.5695597484270527</v>
      </c>
      <c r="AB162" s="206">
        <f t="shared" ca="1" si="41"/>
        <v>0.53886792452806942</v>
      </c>
      <c r="AC162" s="208">
        <f t="shared" ca="1" si="36"/>
        <v>0.20528301886798417</v>
      </c>
    </row>
    <row r="163" spans="2:29" ht="15" customHeight="1">
      <c r="B163" s="214">
        <v>44714</v>
      </c>
      <c r="C163" s="202">
        <f ca="1">DATOSAÑO!I163</f>
        <v>292</v>
      </c>
      <c r="D163" s="196">
        <f ca="1">DATOSAÑO!P163</f>
        <v>150</v>
      </c>
      <c r="E163" s="196">
        <f ca="1">DATOSAÑO!Q163</f>
        <v>0</v>
      </c>
      <c r="F163" s="196">
        <f ca="1">DATOSAÑO!T163</f>
        <v>0</v>
      </c>
      <c r="G163" s="196">
        <f t="shared" ca="1" si="35"/>
        <v>442</v>
      </c>
      <c r="H163" s="196">
        <f t="shared" ref="H163:H191" ca="1" si="42">G163-SUM(I163:M163)</f>
        <v>32.383000000011236</v>
      </c>
      <c r="I163" s="196">
        <f t="shared" ca="1" si="31"/>
        <v>196.14721873693412</v>
      </c>
      <c r="J163" s="196">
        <f t="shared" ca="1" si="32"/>
        <v>37.044249268080328</v>
      </c>
      <c r="K163" s="196">
        <f t="shared" ca="1" si="33"/>
        <v>10.09351735675167</v>
      </c>
      <c r="L163" s="196">
        <f t="shared" ca="1" si="30"/>
        <v>160.81700000000038</v>
      </c>
      <c r="M163" s="196">
        <f t="shared" ca="1" si="34"/>
        <v>5.5150146382222518</v>
      </c>
      <c r="N163" s="196">
        <f t="shared" ca="1" si="37"/>
        <v>5.2999999999956344</v>
      </c>
      <c r="O163" s="196">
        <f ca="1">(DATOSAÑO!AJ163+DATOSAÑO!AK163+DATOSAÑO!AD163)</f>
        <v>188.5</v>
      </c>
      <c r="P163" s="196">
        <f ca="1">DATOSAÑO!AI163</f>
        <v>35.599999999991269</v>
      </c>
      <c r="Q163" s="196">
        <f ca="1">DATOSAÑO!AH163</f>
        <v>9.6999999999970896</v>
      </c>
      <c r="R163" s="196">
        <f ca="1">DATOSAÑO!AM163+DATOSAÑO!AN163+DATOSAÑO!AF163</f>
        <v>160.81700000000038</v>
      </c>
      <c r="S163" s="209">
        <f ca="1">IF(B163&gt;=$P$5,0,CONTADORES!S159-CONTADORES!S158)</f>
        <v>15</v>
      </c>
      <c r="T163" s="206">
        <f ca="1">IF(B163&gt;=$P$5,0,(CONTADORES!U159-CONTADORES!U158)+(CONTADORES!AG159-CONTADORES!AG158))</f>
        <v>2.3700000000008004</v>
      </c>
      <c r="U163" s="206">
        <f ca="1">IF(B163&gt;=$P$5,0,(CONTADORES!AS159-CONTADORES!AS158))</f>
        <v>5.2999999999956344</v>
      </c>
      <c r="V163" s="206">
        <f ca="1">IF(B163&gt;=$P$5,0,(CONTADORES!AT159-CONTADORES!AT158))</f>
        <v>0</v>
      </c>
      <c r="W163" s="715">
        <v>0</v>
      </c>
      <c r="X163" s="206">
        <f ca="1">IF(W163=0,(T163-INICIO!$W$6),((T163-INICIO!$W$6)+V163))</f>
        <v>2.3700000000008004</v>
      </c>
      <c r="Y163" s="208">
        <f t="shared" ca="1" si="38"/>
        <v>9.7000000000043656</v>
      </c>
      <c r="Z163" s="209">
        <f t="shared" ca="1" si="39"/>
        <v>7.647218736934108</v>
      </c>
      <c r="AA163" s="206">
        <f t="shared" ca="1" si="40"/>
        <v>1.4442492680890582</v>
      </c>
      <c r="AB163" s="206">
        <f t="shared" ca="1" si="41"/>
        <v>0.39351735675458138</v>
      </c>
      <c r="AC163" s="208">
        <f t="shared" ca="1" si="36"/>
        <v>0.21501463822661745</v>
      </c>
    </row>
    <row r="164" spans="2:29">
      <c r="B164" s="214">
        <v>44715</v>
      </c>
      <c r="C164" s="202">
        <f ca="1">DATOSAÑO!I164</f>
        <v>290</v>
      </c>
      <c r="D164" s="196">
        <f ca="1">DATOSAÑO!P164</f>
        <v>148</v>
      </c>
      <c r="E164" s="196">
        <f ca="1">DATOSAÑO!Q164</f>
        <v>0</v>
      </c>
      <c r="F164" s="196">
        <f ca="1">DATOSAÑO!T164</f>
        <v>0</v>
      </c>
      <c r="G164" s="196">
        <f t="shared" ca="1" si="35"/>
        <v>438</v>
      </c>
      <c r="H164" s="196">
        <f t="shared" ca="1" si="42"/>
        <v>34.991999999992686</v>
      </c>
      <c r="I164" s="196">
        <f t="shared" ca="1" si="31"/>
        <v>190.29293059125993</v>
      </c>
      <c r="J164" s="196">
        <f t="shared" ca="1" si="32"/>
        <v>36.454584404456504</v>
      </c>
      <c r="K164" s="196">
        <f t="shared" ca="1" si="33"/>
        <v>10.207283633252747</v>
      </c>
      <c r="L164" s="196">
        <f t="shared" ca="1" si="30"/>
        <v>159.90799999999965</v>
      </c>
      <c r="M164" s="196">
        <f t="shared" ca="1" si="34"/>
        <v>6.1452013710384694</v>
      </c>
      <c r="N164" s="196">
        <f t="shared" ca="1" si="37"/>
        <v>5.9000000000014552</v>
      </c>
      <c r="O164" s="196">
        <f ca="1">(DATOSAÑO!AJ164+DATOSAÑO!AK164+DATOSAÑO!AD164)</f>
        <v>182.69999999999709</v>
      </c>
      <c r="P164" s="196">
        <f ca="1">DATOSAÑO!AI164</f>
        <v>35</v>
      </c>
      <c r="Q164" s="196">
        <f ca="1">DATOSAÑO!AH164</f>
        <v>9.8000000000047294</v>
      </c>
      <c r="R164" s="196">
        <f ca="1">DATOSAÑO!AM164+DATOSAÑO!AN164+DATOSAÑO!AF164</f>
        <v>159.90799999999965</v>
      </c>
      <c r="S164" s="209">
        <f ca="1">IF(B164&gt;=$P$5,0,CONTADORES!S160-CONTADORES!S159)</f>
        <v>15.600000000005821</v>
      </c>
      <c r="T164" s="206">
        <f ca="1">IF(B164&gt;=$P$5,0,(CONTADORES!U160-CONTADORES!U159)+(CONTADORES!AG160-CONTADORES!AG159))</f>
        <v>4.1000000000003638</v>
      </c>
      <c r="U164" s="206">
        <f ca="1">IF(B164&gt;=$P$5,0,(CONTADORES!AS160-CONTADORES!AS159))</f>
        <v>5.9000000000014552</v>
      </c>
      <c r="V164" s="206">
        <f ca="1">IF(B164&gt;=$P$5,0,(CONTADORES!AT160-CONTADORES!AT159))</f>
        <v>0</v>
      </c>
      <c r="W164" s="715">
        <v>0</v>
      </c>
      <c r="X164" s="206">
        <f ca="1">IF(W164=0,(T164-INICIO!$W$6),((T164-INICIO!$W$6)+V164))</f>
        <v>4.1000000000003638</v>
      </c>
      <c r="Y164" s="208">
        <f t="shared" ca="1" si="38"/>
        <v>9.7000000000043656</v>
      </c>
      <c r="Z164" s="209">
        <f t="shared" ca="1" si="39"/>
        <v>7.5929305912628298</v>
      </c>
      <c r="AA164" s="206">
        <f t="shared" ca="1" si="40"/>
        <v>1.4545844044565039</v>
      </c>
      <c r="AB164" s="206">
        <f t="shared" ca="1" si="41"/>
        <v>0.4072836332480177</v>
      </c>
      <c r="AC164" s="208">
        <f t="shared" ca="1" si="36"/>
        <v>0.245201371037014</v>
      </c>
    </row>
    <row r="165" spans="2:29">
      <c r="B165" s="214">
        <v>44716</v>
      </c>
      <c r="C165" s="202">
        <f ca="1">DATOSAÑO!I165</f>
        <v>298</v>
      </c>
      <c r="D165" s="196">
        <f ca="1">DATOSAÑO!P165</f>
        <v>150</v>
      </c>
      <c r="E165" s="196">
        <f ca="1">DATOSAÑO!Q165</f>
        <v>0</v>
      </c>
      <c r="F165" s="196">
        <f ca="1">DATOSAÑO!T165</f>
        <v>0</v>
      </c>
      <c r="G165" s="196">
        <f t="shared" ca="1" si="35"/>
        <v>448</v>
      </c>
      <c r="H165" s="196">
        <f t="shared" ca="1" si="42"/>
        <v>32.724000000011642</v>
      </c>
      <c r="I165" s="196">
        <f t="shared" ca="1" si="31"/>
        <v>192.08980623419347</v>
      </c>
      <c r="J165" s="196">
        <f t="shared" ca="1" si="32"/>
        <v>38.855475989892639</v>
      </c>
      <c r="K165" s="196">
        <f t="shared" ca="1" si="33"/>
        <v>11.146208930072538</v>
      </c>
      <c r="L165" s="196">
        <f t="shared" ca="1" si="30"/>
        <v>167.976</v>
      </c>
      <c r="M165" s="196">
        <f t="shared" ca="1" si="34"/>
        <v>5.208508845829706</v>
      </c>
      <c r="N165" s="196">
        <f t="shared" ca="1" si="37"/>
        <v>5</v>
      </c>
      <c r="O165" s="196">
        <f ca="1">(DATOSAÑO!AJ165+DATOSAÑO!AK165+DATOSAÑO!AD165)</f>
        <v>184.39999999999418</v>
      </c>
      <c r="P165" s="196">
        <f ca="1">DATOSAÑO!AI165</f>
        <v>37.30000000000291</v>
      </c>
      <c r="Q165" s="196">
        <f ca="1">DATOSAÑO!AH165</f>
        <v>10.69999999999709</v>
      </c>
      <c r="R165" s="196">
        <f ca="1">DATOSAÑO!AM165+DATOSAÑO!AN165+DATOSAÑO!AF165</f>
        <v>167.976</v>
      </c>
      <c r="S165" s="209">
        <f ca="1">IF(B165&gt;=$P$5,0,CONTADORES!S161-CONTADORES!S160)</f>
        <v>14.899999999994179</v>
      </c>
      <c r="T165" s="206">
        <f ca="1">IF(B165&gt;=$P$5,0,(CONTADORES!U161-CONTADORES!U160)+(CONTADORES!AG161-CONTADORES!AG160))</f>
        <v>4.1000000000003638</v>
      </c>
      <c r="U165" s="206">
        <f ca="1">IF(B165&gt;=$P$5,0,(CONTADORES!AS161-CONTADORES!AS160))</f>
        <v>5</v>
      </c>
      <c r="V165" s="206">
        <f ca="1">IF(B165&gt;=$P$5,0,(CONTADORES!AT161-CONTADORES!AT160))</f>
        <v>0</v>
      </c>
      <c r="W165" s="715">
        <v>0</v>
      </c>
      <c r="X165" s="206">
        <f ca="1">IF(W165=0,(T165-INICIO!$W$6),((T165-INICIO!$W$6)+V165))</f>
        <v>4.1000000000003638</v>
      </c>
      <c r="Y165" s="208">
        <f t="shared" ca="1" si="38"/>
        <v>9.8999999999941792</v>
      </c>
      <c r="Z165" s="209">
        <f t="shared" ca="1" si="39"/>
        <v>7.6898062341992999</v>
      </c>
      <c r="AA165" s="206">
        <f t="shared" ca="1" si="40"/>
        <v>1.5554759898897252</v>
      </c>
      <c r="AB165" s="206">
        <f t="shared" ca="1" si="41"/>
        <v>0.4462089300754486</v>
      </c>
      <c r="AC165" s="208">
        <f t="shared" ca="1" si="36"/>
        <v>0.20850884582970561</v>
      </c>
    </row>
    <row r="166" spans="2:29">
      <c r="B166" s="214">
        <v>44717</v>
      </c>
      <c r="C166" s="202">
        <f ca="1">DATOSAÑO!I166</f>
        <v>-593044</v>
      </c>
      <c r="D166" s="196">
        <f ca="1">DATOSAÑO!P166</f>
        <v>-41334</v>
      </c>
      <c r="E166" s="196">
        <f ca="1">DATOSAÑO!Q166</f>
        <v>0</v>
      </c>
      <c r="F166" s="196">
        <f ca="1">DATOSAÑO!T166</f>
        <v>0</v>
      </c>
      <c r="G166" s="196">
        <f t="shared" ca="1" si="35"/>
        <v>-634378</v>
      </c>
      <c r="H166" s="196">
        <f t="shared" ca="1" si="42"/>
        <v>361197.19700000004</v>
      </c>
      <c r="I166" s="196">
        <f t="shared" ca="1" si="31"/>
        <v>-269613.613279087</v>
      </c>
      <c r="J166" s="196">
        <f t="shared" ca="1" si="32"/>
        <v>-79034.312657069269</v>
      </c>
      <c r="K166" s="196">
        <f t="shared" ca="1" si="33"/>
        <v>-70526.766923051531</v>
      </c>
      <c r="L166" s="196">
        <f t="shared" ca="1" si="30"/>
        <v>-499479.99699999997</v>
      </c>
      <c r="M166" s="196">
        <f t="shared" ca="1" si="34"/>
        <v>-76920.507140792179</v>
      </c>
      <c r="N166" s="196">
        <f t="shared" ca="1" si="37"/>
        <v>-65272</v>
      </c>
      <c r="O166" s="196">
        <f ca="1">(DATOSAÑO!AJ166+DATOSAÑO!AK166+DATOSAÑO!AD166)</f>
        <v>-228784.5</v>
      </c>
      <c r="P166" s="196">
        <f ca="1">DATOSAÑO!AI166</f>
        <v>-67065.7</v>
      </c>
      <c r="Q166" s="196">
        <f ca="1">DATOSAÑO!AH166</f>
        <v>-59846.5</v>
      </c>
      <c r="R166" s="196">
        <f ca="1">DATOSAÑO!AM166+DATOSAÑO!AN166+DATOSAÑO!AF166</f>
        <v>-499479.99699999997</v>
      </c>
      <c r="S166" s="209">
        <f ca="1">IF(B166&gt;=$P$5,0,CONTADORES!S162-CONTADORES!S161)</f>
        <v>-140398.5</v>
      </c>
      <c r="T166" s="206">
        <f ca="1">IF(B166&gt;=$P$5,0,(CONTADORES!U162-CONTADORES!U161)+(CONTADORES!AG162-CONTADORES!AG161))</f>
        <v>-49666.399999999994</v>
      </c>
      <c r="U166" s="206">
        <f ca="1">IF(B166&gt;=$P$5,0,(CONTADORES!AS162-CONTADORES!AS161))</f>
        <v>-65272</v>
      </c>
      <c r="V166" s="206">
        <f ca="1">IF(B166&gt;=$P$5,0,(CONTADORES!AT162-CONTADORES!AT161))</f>
        <v>0</v>
      </c>
      <c r="W166" s="715">
        <v>0</v>
      </c>
      <c r="X166" s="206">
        <f ca="1">IF(W166=0,(T166-INICIO!$W$6),((T166-INICIO!$W$6)+V166))</f>
        <v>-49666.399999999994</v>
      </c>
      <c r="Y166" s="208">
        <f t="shared" ca="1" si="38"/>
        <v>-75126.5</v>
      </c>
      <c r="Z166" s="209">
        <f t="shared" ca="1" si="39"/>
        <v>-40829.113279087018</v>
      </c>
      <c r="AA166" s="206">
        <f t="shared" ca="1" si="40"/>
        <v>-11968.61265706928</v>
      </c>
      <c r="AB166" s="206">
        <f t="shared" ca="1" si="41"/>
        <v>-10680.266923051524</v>
      </c>
      <c r="AC166" s="208">
        <f t="shared" ca="1" si="36"/>
        <v>-11648.507140792177</v>
      </c>
    </row>
    <row r="167" spans="2:29">
      <c r="B167" s="214">
        <v>44718</v>
      </c>
      <c r="C167" s="202">
        <f ca="1">DATOSAÑO!I167</f>
        <v>0</v>
      </c>
      <c r="D167" s="196">
        <f ca="1">DATOSAÑO!P167</f>
        <v>0</v>
      </c>
      <c r="E167" s="196">
        <f ca="1">DATOSAÑO!Q167</f>
        <v>-1067.998</v>
      </c>
      <c r="F167" s="196">
        <f ca="1">DATOSAÑO!T167</f>
        <v>0</v>
      </c>
      <c r="G167" s="196">
        <f t="shared" ca="1" si="35"/>
        <v>-1067.998</v>
      </c>
      <c r="H167" s="196">
        <f t="shared" ca="1" si="42"/>
        <v>-79239.300000000148</v>
      </c>
      <c r="I167" s="196">
        <f t="shared" ca="1" si="31"/>
        <v>0</v>
      </c>
      <c r="J167" s="196">
        <f t="shared" ca="1" si="32"/>
        <v>-878041.54938781331</v>
      </c>
      <c r="K167" s="196">
        <f t="shared" ca="1" si="33"/>
        <v>-284401.14008855267</v>
      </c>
      <c r="L167" s="196">
        <f t="shared" ca="1" si="30"/>
        <v>0</v>
      </c>
      <c r="M167" s="196">
        <f t="shared" ca="1" si="34"/>
        <v>1240613.9914763661</v>
      </c>
      <c r="N167" s="196">
        <f t="shared" ca="1" si="37"/>
        <v>65272</v>
      </c>
      <c r="O167" s="196">
        <f ca="1">(DATOSAÑO!AJ167+DATOSAÑO!AK167+DATOSAÑO!AD167)</f>
        <v>0</v>
      </c>
      <c r="P167" s="196">
        <f ca="1">DATOSAÑO!AI167</f>
        <v>-46196.1</v>
      </c>
      <c r="Q167" s="196">
        <f ca="1">DATOSAÑO!AH167</f>
        <v>-14963.1</v>
      </c>
      <c r="R167" s="196">
        <f ca="1">DATOSAÑO!AM167+DATOSAÑO!AN167+DATOSAÑO!AF167</f>
        <v>0</v>
      </c>
      <c r="S167" s="209">
        <f ca="1">IF(B167&gt;=$P$5,0,CONTADORES!S163-CONTADORES!S162)</f>
        <v>140398.5</v>
      </c>
      <c r="T167" s="206">
        <f ca="1">IF(B167&gt;=$P$5,0,(CONTADORES!U163-CONTADORES!U162)+(CONTADORES!AG163-CONTADORES!AG162))</f>
        <v>14062.2</v>
      </c>
      <c r="U167" s="206">
        <f ca="1">IF(B167&gt;=$P$5,0,(CONTADORES!AS163-CONTADORES!AS162))</f>
        <v>65272</v>
      </c>
      <c r="V167" s="206">
        <f ca="1">IF(B167&gt;=$P$5,0,(CONTADORES!AT163-CONTADORES!AT162))</f>
        <v>0</v>
      </c>
      <c r="W167" s="715">
        <v>0</v>
      </c>
      <c r="X167" s="206">
        <f ca="1">IF(W167=0,(T167-INICIO!$W$6),((T167-INICIO!$W$6)+V167))</f>
        <v>14062.2</v>
      </c>
      <c r="Y167" s="208">
        <f t="shared" ca="1" si="38"/>
        <v>74058.501999999993</v>
      </c>
      <c r="Z167" s="209">
        <f t="shared" ca="1" si="39"/>
        <v>0</v>
      </c>
      <c r="AA167" s="206">
        <f t="shared" ca="1" si="40"/>
        <v>-831845.44938781334</v>
      </c>
      <c r="AB167" s="206">
        <f t="shared" ca="1" si="41"/>
        <v>-269438.04008855269</v>
      </c>
      <c r="AC167" s="208">
        <f t="shared" ca="1" si="36"/>
        <v>1175341.9914763661</v>
      </c>
    </row>
    <row r="168" spans="2:29">
      <c r="B168" s="214">
        <v>44719</v>
      </c>
      <c r="C168" s="202">
        <f ca="1">DATOSAÑO!I168</f>
        <v>0</v>
      </c>
      <c r="D168" s="196">
        <f ca="1">DATOSAÑO!P168</f>
        <v>0</v>
      </c>
      <c r="E168" s="196">
        <f ca="1">DATOSAÑO!Q168</f>
        <v>0</v>
      </c>
      <c r="F168" s="196">
        <f ca="1">DATOSAÑO!T168</f>
        <v>-822.90899999999999</v>
      </c>
      <c r="G168" s="196">
        <f t="shared" ca="1" si="35"/>
        <v>-822.90899999999999</v>
      </c>
      <c r="H168" s="196">
        <f t="shared" ca="1" si="42"/>
        <v>-3958.4769999999944</v>
      </c>
      <c r="I168" s="196">
        <f t="shared" ca="1" si="31"/>
        <v>0</v>
      </c>
      <c r="J168" s="196">
        <f t="shared" ca="1" si="32"/>
        <v>0</v>
      </c>
      <c r="K168" s="196">
        <f t="shared" ca="1" si="33"/>
        <v>0</v>
      </c>
      <c r="L168" s="196">
        <f t="shared" ca="1" si="30"/>
        <v>3120.6680000000001</v>
      </c>
      <c r="M168" s="196">
        <f t="shared" ca="1" si="34"/>
        <v>14.899999999994179</v>
      </c>
      <c r="N168" s="196">
        <f t="shared" ca="1" si="37"/>
        <v>6</v>
      </c>
      <c r="O168" s="196">
        <f ca="1">(DATOSAÑO!AJ168+DATOSAÑO!AK168+DATOSAÑO!AD168)</f>
        <v>0</v>
      </c>
      <c r="P168" s="196">
        <f ca="1">DATOSAÑO!AI168</f>
        <v>0</v>
      </c>
      <c r="Q168" s="196">
        <f ca="1">DATOSAÑO!AH168</f>
        <v>0</v>
      </c>
      <c r="R168" s="196">
        <f ca="1">DATOSAÑO!AM168+DATOSAÑO!AN168+DATOSAÑO!AF168</f>
        <v>3120.6680000000001</v>
      </c>
      <c r="S168" s="209">
        <f ca="1">IF(B168&gt;=$P$5,0,CONTADORES!S164-CONTADORES!S163)</f>
        <v>14.899999999994179</v>
      </c>
      <c r="T168" s="206">
        <f ca="1">IF(B168&gt;=$P$5,0,(CONTADORES!U164-CONTADORES!U163)+(CONTADORES!AG164-CONTADORES!AG163))</f>
        <v>3.3299999999996359</v>
      </c>
      <c r="U168" s="206">
        <f ca="1">IF(B168&gt;=$P$5,0,(CONTADORES!AS164-CONTADORES!AS163))</f>
        <v>6</v>
      </c>
      <c r="V168" s="206">
        <f ca="1">IF(B168&gt;=$P$5,0,(CONTADORES!AT164-CONTADORES!AT163))</f>
        <v>0</v>
      </c>
      <c r="W168" s="715">
        <v>0</v>
      </c>
      <c r="X168" s="206">
        <f ca="1">IF(W168=0,(T168-INICIO!$W$6),((T168-INICIO!$W$6)+V168))</f>
        <v>3.3299999999996359</v>
      </c>
      <c r="Y168" s="208">
        <f t="shared" ca="1" si="38"/>
        <v>8.8999999999941792</v>
      </c>
      <c r="Z168" s="209">
        <f t="shared" ca="1" si="39"/>
        <v>0</v>
      </c>
      <c r="AA168" s="206">
        <f t="shared" ca="1" si="40"/>
        <v>0</v>
      </c>
      <c r="AB168" s="206">
        <f t="shared" ca="1" si="41"/>
        <v>0</v>
      </c>
      <c r="AC168" s="208">
        <f t="shared" ca="1" si="36"/>
        <v>8.8999999999941792</v>
      </c>
    </row>
    <row r="169" spans="2:29">
      <c r="B169" s="214">
        <v>44720</v>
      </c>
      <c r="C169" s="202">
        <f ca="1">DATOSAÑO!I169</f>
        <v>0</v>
      </c>
      <c r="D169" s="196">
        <f ca="1">DATOSAÑO!P169</f>
        <v>0</v>
      </c>
      <c r="E169" s="196">
        <f ca="1">DATOSAÑO!Q169</f>
        <v>0</v>
      </c>
      <c r="F169" s="196">
        <f ca="1">DATOSAÑO!T169</f>
        <v>0</v>
      </c>
      <c r="G169" s="196">
        <f t="shared" ca="1" si="35"/>
        <v>0</v>
      </c>
      <c r="H169" s="196">
        <f t="shared" ca="1" si="42"/>
        <v>-14.600000000005821</v>
      </c>
      <c r="I169" s="196">
        <f t="shared" ca="1" si="31"/>
        <v>0</v>
      </c>
      <c r="J169" s="196">
        <f t="shared" ca="1" si="32"/>
        <v>0</v>
      </c>
      <c r="K169" s="196">
        <f t="shared" ca="1" si="33"/>
        <v>0</v>
      </c>
      <c r="L169" s="196">
        <f t="shared" ca="1" si="30"/>
        <v>0</v>
      </c>
      <c r="M169" s="196">
        <f t="shared" ca="1" si="34"/>
        <v>14.600000000005821</v>
      </c>
      <c r="N169" s="196">
        <f t="shared" ca="1" si="37"/>
        <v>5</v>
      </c>
      <c r="O169" s="196">
        <f ca="1">(DATOSAÑO!AJ169+DATOSAÑO!AK169+DATOSAÑO!AD169)</f>
        <v>0</v>
      </c>
      <c r="P169" s="196">
        <f ca="1">DATOSAÑO!AI169</f>
        <v>0</v>
      </c>
      <c r="Q169" s="196">
        <f ca="1">DATOSAÑO!AH169</f>
        <v>0</v>
      </c>
      <c r="R169" s="196">
        <f ca="1">DATOSAÑO!AM169+DATOSAÑO!AN169+DATOSAÑO!AF169</f>
        <v>0</v>
      </c>
      <c r="S169" s="209">
        <f ca="1">IF(B169&gt;=$P$5,0,CONTADORES!S165-CONTADORES!S164)</f>
        <v>14.600000000005821</v>
      </c>
      <c r="T169" s="206">
        <f ca="1">IF(B169&gt;=$P$5,0,(CONTADORES!U165-CONTADORES!U164)+(CONTADORES!AG165-CONTADORES!AG164))</f>
        <v>3.2700000000000005</v>
      </c>
      <c r="U169" s="206">
        <f ca="1">IF(B169&gt;=$P$5,0,(CONTADORES!AS165-CONTADORES!AS164))</f>
        <v>5</v>
      </c>
      <c r="V169" s="206">
        <f ca="1">IF(B169&gt;=$P$5,0,(CONTADORES!AT165-CONTADORES!AT164))</f>
        <v>0</v>
      </c>
      <c r="W169" s="715">
        <v>0</v>
      </c>
      <c r="X169" s="206">
        <f ca="1">IF(W169=0,(T169-INICIO!$W$6),((T169-INICIO!$W$6)+V169))</f>
        <v>3.2700000000000005</v>
      </c>
      <c r="Y169" s="208">
        <f t="shared" ca="1" si="38"/>
        <v>9.6000000000058208</v>
      </c>
      <c r="Z169" s="209">
        <f t="shared" ca="1" si="39"/>
        <v>0</v>
      </c>
      <c r="AA169" s="206">
        <f t="shared" ca="1" si="40"/>
        <v>0</v>
      </c>
      <c r="AB169" s="206">
        <f t="shared" ca="1" si="41"/>
        <v>0</v>
      </c>
      <c r="AC169" s="208">
        <f t="shared" ca="1" si="36"/>
        <v>9.6000000000058208</v>
      </c>
    </row>
    <row r="170" spans="2:29">
      <c r="B170" s="214">
        <v>44721</v>
      </c>
      <c r="C170" s="202">
        <f ca="1">DATOSAÑO!I170</f>
        <v>0</v>
      </c>
      <c r="D170" s="196">
        <f ca="1">DATOSAÑO!P170</f>
        <v>0</v>
      </c>
      <c r="E170" s="196">
        <f ca="1">DATOSAÑO!Q170</f>
        <v>0</v>
      </c>
      <c r="F170" s="196">
        <f ca="1">DATOSAÑO!T170</f>
        <v>0</v>
      </c>
      <c r="G170" s="196">
        <f t="shared" ca="1" si="35"/>
        <v>0</v>
      </c>
      <c r="H170" s="196">
        <f t="shared" ca="1" si="42"/>
        <v>-15.100000000005821</v>
      </c>
      <c r="I170" s="196">
        <f t="shared" ca="1" si="31"/>
        <v>0</v>
      </c>
      <c r="J170" s="196">
        <f t="shared" ca="1" si="32"/>
        <v>0</v>
      </c>
      <c r="K170" s="196">
        <f t="shared" ca="1" si="33"/>
        <v>0</v>
      </c>
      <c r="L170" s="196">
        <f t="shared" ca="1" si="30"/>
        <v>0</v>
      </c>
      <c r="M170" s="196">
        <f t="shared" ca="1" si="34"/>
        <v>15.100000000005821</v>
      </c>
      <c r="N170" s="196">
        <f t="shared" ca="1" si="37"/>
        <v>5</v>
      </c>
      <c r="O170" s="196">
        <f ca="1">(DATOSAÑO!AJ170+DATOSAÑO!AK170+DATOSAÑO!AD170)</f>
        <v>0</v>
      </c>
      <c r="P170" s="196">
        <f ca="1">DATOSAÑO!AI170</f>
        <v>0</v>
      </c>
      <c r="Q170" s="196">
        <f ca="1">DATOSAÑO!AH170</f>
        <v>0</v>
      </c>
      <c r="R170" s="196">
        <f ca="1">DATOSAÑO!AM170+DATOSAÑO!AN170+DATOSAÑO!AF170</f>
        <v>0</v>
      </c>
      <c r="S170" s="209">
        <f ca="1">IF(B170&gt;=$P$5,0,CONTADORES!S166-CONTADORES!S165)</f>
        <v>15.100000000005821</v>
      </c>
      <c r="T170" s="206">
        <f ca="1">IF(B170&gt;=$P$5,0,(CONTADORES!U166-CONTADORES!U165)+(CONTADORES!AG166-CONTADORES!AG165))</f>
        <v>2.9999999999999991</v>
      </c>
      <c r="U170" s="206">
        <f ca="1">IF(B170&gt;=$P$5,0,(CONTADORES!AS166-CONTADORES!AS165))</f>
        <v>5</v>
      </c>
      <c r="V170" s="206">
        <f ca="1">IF(B170&gt;=$P$5,0,(CONTADORES!AT166-CONTADORES!AT165))</f>
        <v>0</v>
      </c>
      <c r="W170" s="715">
        <v>0</v>
      </c>
      <c r="X170" s="206">
        <f ca="1">IF(W170=0,(T170-INICIO!$W$6),((T170-INICIO!$W$6)+V170))</f>
        <v>2.9999999999999991</v>
      </c>
      <c r="Y170" s="208">
        <f t="shared" ca="1" si="38"/>
        <v>10.100000000005821</v>
      </c>
      <c r="Z170" s="209">
        <f t="shared" ca="1" si="39"/>
        <v>0</v>
      </c>
      <c r="AA170" s="206">
        <f t="shared" ca="1" si="40"/>
        <v>0</v>
      </c>
      <c r="AB170" s="206">
        <f t="shared" ca="1" si="41"/>
        <v>0</v>
      </c>
      <c r="AC170" s="208">
        <f t="shared" ca="1" si="36"/>
        <v>10.100000000005821</v>
      </c>
    </row>
    <row r="171" spans="2:29">
      <c r="B171" s="214">
        <v>44722</v>
      </c>
      <c r="C171" s="202">
        <f ca="1">DATOSAÑO!I171</f>
        <v>0</v>
      </c>
      <c r="D171" s="196">
        <f ca="1">DATOSAÑO!P171</f>
        <v>0</v>
      </c>
      <c r="E171" s="196">
        <f ca="1">DATOSAÑO!Q171</f>
        <v>0</v>
      </c>
      <c r="F171" s="196">
        <f ca="1">DATOSAÑO!T171</f>
        <v>0</v>
      </c>
      <c r="G171" s="196">
        <f t="shared" ca="1" si="35"/>
        <v>0</v>
      </c>
      <c r="H171" s="196">
        <f t="shared" ca="1" si="42"/>
        <v>-14.5</v>
      </c>
      <c r="I171" s="196">
        <f t="shared" ca="1" si="31"/>
        <v>0</v>
      </c>
      <c r="J171" s="196">
        <f t="shared" ca="1" si="32"/>
        <v>0</v>
      </c>
      <c r="K171" s="196">
        <f t="shared" ca="1" si="33"/>
        <v>0</v>
      </c>
      <c r="L171" s="196">
        <f t="shared" ca="1" si="30"/>
        <v>0</v>
      </c>
      <c r="M171" s="196">
        <f t="shared" ca="1" si="34"/>
        <v>14.5</v>
      </c>
      <c r="N171" s="196">
        <f t="shared" ca="1" si="37"/>
        <v>5</v>
      </c>
      <c r="O171" s="196">
        <f ca="1">(DATOSAÑO!AJ171+DATOSAÑO!AK171+DATOSAÑO!AD171)</f>
        <v>0</v>
      </c>
      <c r="P171" s="196">
        <f ca="1">DATOSAÑO!AI171</f>
        <v>0</v>
      </c>
      <c r="Q171" s="196">
        <f ca="1">DATOSAÑO!AH171</f>
        <v>0</v>
      </c>
      <c r="R171" s="196">
        <f ca="1">DATOSAÑO!AM171+DATOSAÑO!AN171+DATOSAÑO!AF171</f>
        <v>0</v>
      </c>
      <c r="S171" s="209">
        <f ca="1">IF(B171&gt;=$P$5,0,CONTADORES!S167-CONTADORES!S166)</f>
        <v>14.5</v>
      </c>
      <c r="T171" s="206">
        <f ca="1">IF(B171&gt;=$P$5,0,(CONTADORES!U167-CONTADORES!U166)+(CONTADORES!AG167-CONTADORES!AG166))</f>
        <v>3.3000000000000007</v>
      </c>
      <c r="U171" s="206">
        <f ca="1">IF(B171&gt;=$P$5,0,(CONTADORES!AS167-CONTADORES!AS166))</f>
        <v>5</v>
      </c>
      <c r="V171" s="206">
        <f ca="1">IF(B171&gt;=$P$5,0,(CONTADORES!AT167-CONTADORES!AT166))</f>
        <v>0</v>
      </c>
      <c r="W171" s="715">
        <v>0</v>
      </c>
      <c r="X171" s="206">
        <f ca="1">IF(W171=0,(T171-INICIO!$W$6),((T171-INICIO!$W$6)+V171))</f>
        <v>3.3000000000000007</v>
      </c>
      <c r="Y171" s="208">
        <f t="shared" ca="1" si="38"/>
        <v>9.5</v>
      </c>
      <c r="Z171" s="209">
        <f t="shared" ca="1" si="39"/>
        <v>0</v>
      </c>
      <c r="AA171" s="206">
        <f t="shared" ca="1" si="40"/>
        <v>0</v>
      </c>
      <c r="AB171" s="206">
        <f t="shared" ca="1" si="41"/>
        <v>0</v>
      </c>
      <c r="AC171" s="208">
        <f t="shared" ca="1" si="36"/>
        <v>9.5</v>
      </c>
    </row>
    <row r="172" spans="2:29">
      <c r="B172" s="214">
        <v>44723</v>
      </c>
      <c r="C172" s="202">
        <f ca="1">DATOSAÑO!I172</f>
        <v>0</v>
      </c>
      <c r="D172" s="196">
        <f ca="1">DATOSAÑO!P172</f>
        <v>0</v>
      </c>
      <c r="E172" s="196">
        <f ca="1">DATOSAÑO!Q172</f>
        <v>0</v>
      </c>
      <c r="F172" s="196">
        <f ca="1">DATOSAÑO!T172</f>
        <v>0</v>
      </c>
      <c r="G172" s="196">
        <f t="shared" ca="1" si="35"/>
        <v>0</v>
      </c>
      <c r="H172" s="196">
        <f t="shared" ca="1" si="42"/>
        <v>140457.60000000001</v>
      </c>
      <c r="I172" s="196">
        <f t="shared" ca="1" si="31"/>
        <v>0</v>
      </c>
      <c r="J172" s="196">
        <f t="shared" ca="1" si="32"/>
        <v>0</v>
      </c>
      <c r="K172" s="196">
        <f t="shared" ca="1" si="33"/>
        <v>0</v>
      </c>
      <c r="L172" s="196">
        <f t="shared" ca="1" si="30"/>
        <v>0</v>
      </c>
      <c r="M172" s="196">
        <f t="shared" ca="1" si="34"/>
        <v>-140457.60000000001</v>
      </c>
      <c r="N172" s="196">
        <f t="shared" ca="1" si="37"/>
        <v>-65293</v>
      </c>
      <c r="O172" s="196">
        <f ca="1">(DATOSAÑO!AJ172+DATOSAÑO!AK172+DATOSAÑO!AD172)</f>
        <v>0</v>
      </c>
      <c r="P172" s="196">
        <f ca="1">DATOSAÑO!AI172</f>
        <v>0</v>
      </c>
      <c r="Q172" s="196">
        <f ca="1">DATOSAÑO!AH172</f>
        <v>0</v>
      </c>
      <c r="R172" s="196">
        <f ca="1">DATOSAÑO!AM172+DATOSAÑO!AN172+DATOSAÑO!AF172</f>
        <v>0</v>
      </c>
      <c r="S172" s="209">
        <f ca="1">IF(B172&gt;=$P$5,0,CONTADORES!S168-CONTADORES!S167)</f>
        <v>-140457.60000000001</v>
      </c>
      <c r="T172" s="206">
        <f ca="1">IF(B172&gt;=$P$5,0,(CONTADORES!U168-CONTADORES!U167)+(CONTADORES!AG168-CONTADORES!AG167))</f>
        <v>-11.5</v>
      </c>
      <c r="U172" s="206">
        <f ca="1">IF(B172&gt;=$P$5,0,(CONTADORES!AS168-CONTADORES!AS167))</f>
        <v>-65293</v>
      </c>
      <c r="V172" s="206">
        <f ca="1">IF(B172&gt;=$P$5,0,(CONTADORES!AT168-CONTADORES!AT167))</f>
        <v>0</v>
      </c>
      <c r="W172" s="715">
        <v>0</v>
      </c>
      <c r="X172" s="206">
        <f ca="1">IF(W172=0,(T172-INICIO!$W$6),((T172-INICIO!$W$6)+V172))</f>
        <v>-11.5</v>
      </c>
      <c r="Y172" s="208">
        <f t="shared" ca="1" si="38"/>
        <v>-75164.600000000006</v>
      </c>
      <c r="Z172" s="209">
        <f t="shared" ca="1" si="39"/>
        <v>0</v>
      </c>
      <c r="AA172" s="206">
        <f t="shared" ca="1" si="40"/>
        <v>0</v>
      </c>
      <c r="AB172" s="206">
        <f t="shared" ca="1" si="41"/>
        <v>0</v>
      </c>
      <c r="AC172" s="208">
        <f t="shared" ca="1" si="36"/>
        <v>-75164.600000000006</v>
      </c>
    </row>
    <row r="173" spans="2:29">
      <c r="B173" s="214">
        <v>44724</v>
      </c>
      <c r="C173" s="202">
        <f ca="1">DATOSAÑO!I173</f>
        <v>0</v>
      </c>
      <c r="D173" s="196">
        <f ca="1">DATOSAÑO!P173</f>
        <v>0</v>
      </c>
      <c r="E173" s="196">
        <f ca="1">DATOSAÑO!Q173</f>
        <v>0</v>
      </c>
      <c r="F173" s="196">
        <f ca="1">DATOSAÑO!T173</f>
        <v>0</v>
      </c>
      <c r="G173" s="196">
        <f t="shared" ca="1" si="35"/>
        <v>0</v>
      </c>
      <c r="H173" s="196" t="e">
        <f t="shared" ca="1" si="42"/>
        <v>#DIV/0!</v>
      </c>
      <c r="I173" s="196" t="e">
        <f t="shared" ca="1" si="31"/>
        <v>#DIV/0!</v>
      </c>
      <c r="J173" s="196" t="e">
        <f t="shared" ca="1" si="32"/>
        <v>#DIV/0!</v>
      </c>
      <c r="K173" s="196" t="e">
        <f t="shared" ca="1" si="33"/>
        <v>#DIV/0!</v>
      </c>
      <c r="L173" s="196">
        <f t="shared" ca="1" si="30"/>
        <v>0</v>
      </c>
      <c r="M173" s="196" t="e">
        <f t="shared" ca="1" si="34"/>
        <v>#DIV/0!</v>
      </c>
      <c r="N173" s="196">
        <f t="shared" ca="1" si="37"/>
        <v>0</v>
      </c>
      <c r="O173" s="196">
        <f ca="1">(DATOSAÑO!AJ173+DATOSAÑO!AK173+DATOSAÑO!AD173)</f>
        <v>0</v>
      </c>
      <c r="P173" s="196">
        <f ca="1">DATOSAÑO!AI173</f>
        <v>0</v>
      </c>
      <c r="Q173" s="196">
        <f ca="1">DATOSAÑO!AH173</f>
        <v>0</v>
      </c>
      <c r="R173" s="196">
        <f ca="1">DATOSAÑO!AM173+DATOSAÑO!AN173+DATOSAÑO!AF173</f>
        <v>0</v>
      </c>
      <c r="S173" s="209">
        <f ca="1">IF(B173&gt;=$P$5,0,CONTADORES!S169-CONTADORES!S168)</f>
        <v>0</v>
      </c>
      <c r="T173" s="206">
        <f ca="1">IF(B173&gt;=$P$5,0,(CONTADORES!U169-CONTADORES!U168)+(CONTADORES!AG169-CONTADORES!AG168))</f>
        <v>0</v>
      </c>
      <c r="U173" s="206">
        <f ca="1">IF(B173&gt;=$P$5,0,(CONTADORES!AS169-CONTADORES!AS168))</f>
        <v>0</v>
      </c>
      <c r="V173" s="206">
        <f ca="1">IF(B173&gt;=$P$5,0,(CONTADORES!AT169-CONTADORES!AT168))</f>
        <v>0</v>
      </c>
      <c r="W173" s="715">
        <v>0</v>
      </c>
      <c r="X173" s="206">
        <f ca="1">IF(W173=0,(T173-INICIO!$W$6),((T173-INICIO!$W$6)+V173))</f>
        <v>0</v>
      </c>
      <c r="Y173" s="208">
        <f t="shared" ca="1" si="38"/>
        <v>0</v>
      </c>
      <c r="Z173" s="209" t="e">
        <f t="shared" ca="1" si="39"/>
        <v>#DIV/0!</v>
      </c>
      <c r="AA173" s="206" t="e">
        <f t="shared" ca="1" si="40"/>
        <v>#DIV/0!</v>
      </c>
      <c r="AB173" s="206" t="e">
        <f t="shared" ca="1" si="41"/>
        <v>#DIV/0!</v>
      </c>
      <c r="AC173" s="208" t="e">
        <f t="shared" ca="1" si="36"/>
        <v>#DIV/0!</v>
      </c>
    </row>
    <row r="174" spans="2:29">
      <c r="B174" s="214">
        <v>44725</v>
      </c>
      <c r="C174" s="202">
        <f ca="1">DATOSAÑO!I174</f>
        <v>0</v>
      </c>
      <c r="D174" s="196">
        <f ca="1">DATOSAÑO!P174</f>
        <v>0</v>
      </c>
      <c r="E174" s="196">
        <f ca="1">DATOSAÑO!Q174</f>
        <v>0</v>
      </c>
      <c r="F174" s="196">
        <f ca="1">DATOSAÑO!T174</f>
        <v>0</v>
      </c>
      <c r="G174" s="196">
        <f t="shared" ca="1" si="35"/>
        <v>0</v>
      </c>
      <c r="H174" s="196" t="e">
        <f t="shared" ca="1" si="42"/>
        <v>#DIV/0!</v>
      </c>
      <c r="I174" s="196" t="e">
        <f t="shared" ca="1" si="31"/>
        <v>#DIV/0!</v>
      </c>
      <c r="J174" s="196" t="e">
        <f t="shared" ca="1" si="32"/>
        <v>#DIV/0!</v>
      </c>
      <c r="K174" s="196" t="e">
        <f t="shared" ca="1" si="33"/>
        <v>#DIV/0!</v>
      </c>
      <c r="L174" s="196">
        <f t="shared" ca="1" si="30"/>
        <v>0</v>
      </c>
      <c r="M174" s="196" t="e">
        <f t="shared" ca="1" si="34"/>
        <v>#DIV/0!</v>
      </c>
      <c r="N174" s="196">
        <f t="shared" ca="1" si="37"/>
        <v>0</v>
      </c>
      <c r="O174" s="196">
        <f ca="1">(DATOSAÑO!AJ174+DATOSAÑO!AK174+DATOSAÑO!AD174)</f>
        <v>0</v>
      </c>
      <c r="P174" s="196">
        <f ca="1">DATOSAÑO!AI174</f>
        <v>0</v>
      </c>
      <c r="Q174" s="196">
        <f ca="1">DATOSAÑO!AH174</f>
        <v>0</v>
      </c>
      <c r="R174" s="196">
        <f ca="1">DATOSAÑO!AM174+DATOSAÑO!AN174+DATOSAÑO!AF174</f>
        <v>0</v>
      </c>
      <c r="S174" s="209">
        <f ca="1">IF(B174&gt;=$P$5,0,CONTADORES!S170-CONTADORES!S169)</f>
        <v>0</v>
      </c>
      <c r="T174" s="206">
        <f ca="1">IF(B174&gt;=$P$5,0,(CONTADORES!U170-CONTADORES!U169)+(CONTADORES!AG170-CONTADORES!AG169))</f>
        <v>-14063.6</v>
      </c>
      <c r="U174" s="206">
        <f ca="1">IF(B174&gt;=$P$5,0,(CONTADORES!AS170-CONTADORES!AS169))</f>
        <v>0</v>
      </c>
      <c r="V174" s="206">
        <f ca="1">IF(B174&gt;=$P$5,0,(CONTADORES!AT170-CONTADORES!AT169))</f>
        <v>0</v>
      </c>
      <c r="W174" s="715">
        <v>0</v>
      </c>
      <c r="X174" s="206">
        <f ca="1">IF(W174=0,(T174-INICIO!$W$6),((T174-INICIO!$W$6)+V174))</f>
        <v>-14063.6</v>
      </c>
      <c r="Y174" s="208">
        <f t="shared" ca="1" si="38"/>
        <v>0</v>
      </c>
      <c r="Z174" s="209" t="e">
        <f t="shared" ca="1" si="39"/>
        <v>#DIV/0!</v>
      </c>
      <c r="AA174" s="206" t="e">
        <f t="shared" ca="1" si="40"/>
        <v>#DIV/0!</v>
      </c>
      <c r="AB174" s="206" t="e">
        <f t="shared" ca="1" si="41"/>
        <v>#DIV/0!</v>
      </c>
      <c r="AC174" s="208" t="e">
        <f t="shared" ca="1" si="36"/>
        <v>#DIV/0!</v>
      </c>
    </row>
    <row r="175" spans="2:29">
      <c r="B175" s="214">
        <v>44726</v>
      </c>
      <c r="C175" s="202">
        <f ca="1">DATOSAÑO!I175</f>
        <v>0</v>
      </c>
      <c r="D175" s="196">
        <f ca="1">DATOSAÑO!P175</f>
        <v>0</v>
      </c>
      <c r="E175" s="196">
        <f ca="1">DATOSAÑO!Q175</f>
        <v>0</v>
      </c>
      <c r="F175" s="196">
        <f ca="1">DATOSAÑO!T175</f>
        <v>0</v>
      </c>
      <c r="G175" s="196">
        <f t="shared" ca="1" si="35"/>
        <v>0</v>
      </c>
      <c r="H175" s="196" t="e">
        <f t="shared" ca="1" si="42"/>
        <v>#DIV/0!</v>
      </c>
      <c r="I175" s="196" t="e">
        <f t="shared" ca="1" si="31"/>
        <v>#DIV/0!</v>
      </c>
      <c r="J175" s="196" t="e">
        <f t="shared" ca="1" si="32"/>
        <v>#DIV/0!</v>
      </c>
      <c r="K175" s="196" t="e">
        <f t="shared" ca="1" si="33"/>
        <v>#DIV/0!</v>
      </c>
      <c r="L175" s="196">
        <f t="shared" ca="1" si="30"/>
        <v>0</v>
      </c>
      <c r="M175" s="196" t="e">
        <f t="shared" ca="1" si="34"/>
        <v>#DIV/0!</v>
      </c>
      <c r="N175" s="196">
        <f t="shared" ca="1" si="37"/>
        <v>0</v>
      </c>
      <c r="O175" s="196">
        <f ca="1">(DATOSAÑO!AJ175+DATOSAÑO!AK175+DATOSAÑO!AD175)</f>
        <v>0</v>
      </c>
      <c r="P175" s="196">
        <f ca="1">DATOSAÑO!AI175</f>
        <v>0</v>
      </c>
      <c r="Q175" s="196">
        <f ca="1">DATOSAÑO!AH175</f>
        <v>0</v>
      </c>
      <c r="R175" s="196">
        <f ca="1">DATOSAÑO!AM175+DATOSAÑO!AN175+DATOSAÑO!AF175</f>
        <v>0</v>
      </c>
      <c r="S175" s="209">
        <f ca="1">IF(B175&gt;=$P$5,0,CONTADORES!S171-CONTADORES!S170)</f>
        <v>0</v>
      </c>
      <c r="T175" s="206">
        <f ca="1">IF(B175&gt;=$P$5,0,(CONTADORES!U171-CONTADORES!U170)+(CONTADORES!AG171-CONTADORES!AG170))</f>
        <v>0</v>
      </c>
      <c r="U175" s="206">
        <f ca="1">IF(B175&gt;=$P$5,0,(CONTADORES!AS171-CONTADORES!AS170))</f>
        <v>0</v>
      </c>
      <c r="V175" s="206">
        <f ca="1">IF(B175&gt;=$P$5,0,(CONTADORES!AT171-CONTADORES!AT170))</f>
        <v>0</v>
      </c>
      <c r="W175" s="715">
        <v>0</v>
      </c>
      <c r="X175" s="206">
        <f ca="1">IF(W175=0,(T175-INICIO!$W$6),((T175-INICIO!$W$6)+V175))</f>
        <v>0</v>
      </c>
      <c r="Y175" s="208">
        <f t="shared" ca="1" si="38"/>
        <v>0</v>
      </c>
      <c r="Z175" s="209" t="e">
        <f t="shared" ca="1" si="39"/>
        <v>#DIV/0!</v>
      </c>
      <c r="AA175" s="206" t="e">
        <f t="shared" ca="1" si="40"/>
        <v>#DIV/0!</v>
      </c>
      <c r="AB175" s="206" t="e">
        <f t="shared" ca="1" si="41"/>
        <v>#DIV/0!</v>
      </c>
      <c r="AC175" s="208" t="e">
        <f t="shared" ca="1" si="36"/>
        <v>#DIV/0!</v>
      </c>
    </row>
    <row r="176" spans="2:29">
      <c r="B176" s="214">
        <v>44727</v>
      </c>
      <c r="C176" s="202">
        <f ca="1">DATOSAÑO!I176</f>
        <v>0</v>
      </c>
      <c r="D176" s="196">
        <f ca="1">DATOSAÑO!P176</f>
        <v>0</v>
      </c>
      <c r="E176" s="196">
        <f ca="1">DATOSAÑO!Q176</f>
        <v>0</v>
      </c>
      <c r="F176" s="196">
        <f ca="1">DATOSAÑO!T176</f>
        <v>0</v>
      </c>
      <c r="G176" s="196">
        <f t="shared" ca="1" si="35"/>
        <v>0</v>
      </c>
      <c r="H176" s="196" t="e">
        <f t="shared" ca="1" si="42"/>
        <v>#DIV/0!</v>
      </c>
      <c r="I176" s="196" t="e">
        <f t="shared" ca="1" si="31"/>
        <v>#DIV/0!</v>
      </c>
      <c r="J176" s="196" t="e">
        <f t="shared" ca="1" si="32"/>
        <v>#DIV/0!</v>
      </c>
      <c r="K176" s="196" t="e">
        <f t="shared" ca="1" si="33"/>
        <v>#DIV/0!</v>
      </c>
      <c r="L176" s="196">
        <f t="shared" ca="1" si="30"/>
        <v>0</v>
      </c>
      <c r="M176" s="196" t="e">
        <f t="shared" ca="1" si="34"/>
        <v>#DIV/0!</v>
      </c>
      <c r="N176" s="196">
        <f t="shared" ca="1" si="37"/>
        <v>0</v>
      </c>
      <c r="O176" s="196">
        <f ca="1">(DATOSAÑO!AJ176+DATOSAÑO!AK176+DATOSAÑO!AD176)</f>
        <v>0</v>
      </c>
      <c r="P176" s="196">
        <f ca="1">DATOSAÑO!AI176</f>
        <v>0</v>
      </c>
      <c r="Q176" s="196">
        <f ca="1">DATOSAÑO!AH176</f>
        <v>0</v>
      </c>
      <c r="R176" s="196">
        <f ca="1">DATOSAÑO!AM176+DATOSAÑO!AN176+DATOSAÑO!AF176</f>
        <v>0</v>
      </c>
      <c r="S176" s="209">
        <f ca="1">IF(B176&gt;=$P$5,0,CONTADORES!S172-CONTADORES!S171)</f>
        <v>0</v>
      </c>
      <c r="T176" s="206">
        <f ca="1">IF(B176&gt;=$P$5,0,(CONTADORES!U172-CONTADORES!U171)+(CONTADORES!AG172-CONTADORES!AG171))</f>
        <v>0</v>
      </c>
      <c r="U176" s="206">
        <f ca="1">IF(B176&gt;=$P$5,0,(CONTADORES!AS172-CONTADORES!AS171))</f>
        <v>0</v>
      </c>
      <c r="V176" s="206">
        <f ca="1">IF(B176&gt;=$P$5,0,(CONTADORES!AT172-CONTADORES!AT171))</f>
        <v>0</v>
      </c>
      <c r="W176" s="715">
        <v>0</v>
      </c>
      <c r="X176" s="206">
        <f ca="1">IF(W176=0,(T176-INICIO!$W$6),((T176-INICIO!$W$6)+V176))</f>
        <v>0</v>
      </c>
      <c r="Y176" s="208">
        <f t="shared" ca="1" si="38"/>
        <v>0</v>
      </c>
      <c r="Z176" s="209" t="e">
        <f t="shared" ca="1" si="39"/>
        <v>#DIV/0!</v>
      </c>
      <c r="AA176" s="206" t="e">
        <f t="shared" ca="1" si="40"/>
        <v>#DIV/0!</v>
      </c>
      <c r="AB176" s="206" t="e">
        <f t="shared" ca="1" si="41"/>
        <v>#DIV/0!</v>
      </c>
      <c r="AC176" s="208" t="e">
        <f t="shared" ca="1" si="36"/>
        <v>#DIV/0!</v>
      </c>
    </row>
    <row r="177" spans="2:29">
      <c r="B177" s="214">
        <v>44728</v>
      </c>
      <c r="C177" s="202">
        <f ca="1">DATOSAÑO!I177</f>
        <v>0</v>
      </c>
      <c r="D177" s="196">
        <f ca="1">DATOSAÑO!P177</f>
        <v>0</v>
      </c>
      <c r="E177" s="196">
        <f ca="1">DATOSAÑO!Q177</f>
        <v>0</v>
      </c>
      <c r="F177" s="196">
        <f ca="1">DATOSAÑO!T177</f>
        <v>0</v>
      </c>
      <c r="G177" s="196">
        <f t="shared" ca="1" si="35"/>
        <v>0</v>
      </c>
      <c r="H177" s="196" t="e">
        <f t="shared" ca="1" si="42"/>
        <v>#DIV/0!</v>
      </c>
      <c r="I177" s="196" t="e">
        <f t="shared" ca="1" si="31"/>
        <v>#DIV/0!</v>
      </c>
      <c r="J177" s="196" t="e">
        <f t="shared" ca="1" si="32"/>
        <v>#DIV/0!</v>
      </c>
      <c r="K177" s="196" t="e">
        <f t="shared" ca="1" si="33"/>
        <v>#DIV/0!</v>
      </c>
      <c r="L177" s="196">
        <f t="shared" ca="1" si="30"/>
        <v>0</v>
      </c>
      <c r="M177" s="196" t="e">
        <f t="shared" ca="1" si="34"/>
        <v>#DIV/0!</v>
      </c>
      <c r="N177" s="196">
        <f t="shared" ca="1" si="37"/>
        <v>0</v>
      </c>
      <c r="O177" s="196">
        <f ca="1">(DATOSAÑO!AJ177+DATOSAÑO!AK177+DATOSAÑO!AD177)</f>
        <v>0</v>
      </c>
      <c r="P177" s="196">
        <f ca="1">DATOSAÑO!AI177</f>
        <v>0</v>
      </c>
      <c r="Q177" s="196">
        <f ca="1">DATOSAÑO!AH177</f>
        <v>0</v>
      </c>
      <c r="R177" s="196">
        <f ca="1">DATOSAÑO!AM177+DATOSAÑO!AN177+DATOSAÑO!AF177</f>
        <v>0</v>
      </c>
      <c r="S177" s="209">
        <f ca="1">IF(B177&gt;=$P$5,0,CONTADORES!S173-CONTADORES!S172)</f>
        <v>0</v>
      </c>
      <c r="T177" s="206">
        <f ca="1">IF(B177&gt;=$P$5,0,(CONTADORES!U173-CONTADORES!U172)+(CONTADORES!AG173-CONTADORES!AG172))</f>
        <v>0</v>
      </c>
      <c r="U177" s="206">
        <f ca="1">IF(B177&gt;=$P$5,0,(CONTADORES!AS173-CONTADORES!AS172))</f>
        <v>0</v>
      </c>
      <c r="V177" s="206">
        <f ca="1">IF(B177&gt;=$P$5,0,(CONTADORES!AT173-CONTADORES!AT172))</f>
        <v>0</v>
      </c>
      <c r="W177" s="715">
        <v>0</v>
      </c>
      <c r="X177" s="206">
        <f ca="1">IF(W177=0,(T177-INICIO!$W$6),((T177-INICIO!$W$6)+V177))</f>
        <v>0</v>
      </c>
      <c r="Y177" s="208">
        <f t="shared" ca="1" si="38"/>
        <v>0</v>
      </c>
      <c r="Z177" s="209" t="e">
        <f t="shared" ca="1" si="39"/>
        <v>#DIV/0!</v>
      </c>
      <c r="AA177" s="206" t="e">
        <f t="shared" ca="1" si="40"/>
        <v>#DIV/0!</v>
      </c>
      <c r="AB177" s="206" t="e">
        <f t="shared" ca="1" si="41"/>
        <v>#DIV/0!</v>
      </c>
      <c r="AC177" s="208" t="e">
        <f t="shared" ca="1" si="36"/>
        <v>#DIV/0!</v>
      </c>
    </row>
    <row r="178" spans="2:29">
      <c r="B178" s="214">
        <v>44729</v>
      </c>
      <c r="C178" s="202">
        <f ca="1">DATOSAÑO!I178</f>
        <v>0</v>
      </c>
      <c r="D178" s="196">
        <f ca="1">DATOSAÑO!P178</f>
        <v>0</v>
      </c>
      <c r="E178" s="196">
        <f ca="1">DATOSAÑO!Q178</f>
        <v>0</v>
      </c>
      <c r="F178" s="196">
        <f ca="1">DATOSAÑO!T178</f>
        <v>0</v>
      </c>
      <c r="G178" s="196">
        <f t="shared" ca="1" si="35"/>
        <v>0</v>
      </c>
      <c r="H178" s="196" t="e">
        <f t="shared" ca="1" si="42"/>
        <v>#DIV/0!</v>
      </c>
      <c r="I178" s="196" t="e">
        <f t="shared" ca="1" si="31"/>
        <v>#DIV/0!</v>
      </c>
      <c r="J178" s="196" t="e">
        <f t="shared" ca="1" si="32"/>
        <v>#DIV/0!</v>
      </c>
      <c r="K178" s="196" t="e">
        <f t="shared" ca="1" si="33"/>
        <v>#DIV/0!</v>
      </c>
      <c r="L178" s="196">
        <f t="shared" ca="1" si="30"/>
        <v>0</v>
      </c>
      <c r="M178" s="196" t="e">
        <f t="shared" ca="1" si="34"/>
        <v>#DIV/0!</v>
      </c>
      <c r="N178" s="196">
        <f t="shared" ca="1" si="37"/>
        <v>0</v>
      </c>
      <c r="O178" s="196">
        <f ca="1">(DATOSAÑO!AJ178+DATOSAÑO!AK178+DATOSAÑO!AD178)</f>
        <v>0</v>
      </c>
      <c r="P178" s="196">
        <f ca="1">DATOSAÑO!AI178</f>
        <v>0</v>
      </c>
      <c r="Q178" s="196">
        <f ca="1">DATOSAÑO!AH178</f>
        <v>0</v>
      </c>
      <c r="R178" s="196">
        <f ca="1">DATOSAÑO!AM178+DATOSAÑO!AN178+DATOSAÑO!AF178</f>
        <v>0</v>
      </c>
      <c r="S178" s="209">
        <f ca="1">IF(B178&gt;=$P$5,0,CONTADORES!S174-CONTADORES!S173)</f>
        <v>0</v>
      </c>
      <c r="T178" s="206">
        <f ca="1">IF(B178&gt;=$P$5,0,(CONTADORES!U174-CONTADORES!U173)+(CONTADORES!AG174-CONTADORES!AG173))</f>
        <v>0</v>
      </c>
      <c r="U178" s="206">
        <f ca="1">IF(B178&gt;=$P$5,0,(CONTADORES!AS174-CONTADORES!AS173))</f>
        <v>0</v>
      </c>
      <c r="V178" s="206">
        <f ca="1">IF(B178&gt;=$P$5,0,(CONTADORES!AT174-CONTADORES!AT173))</f>
        <v>0</v>
      </c>
      <c r="W178" s="715">
        <v>0</v>
      </c>
      <c r="X178" s="206">
        <f ca="1">IF(W178=0,(T178-INICIO!$W$6),((T178-INICIO!$W$6)+V178))</f>
        <v>0</v>
      </c>
      <c r="Y178" s="208">
        <f t="shared" ca="1" si="38"/>
        <v>0</v>
      </c>
      <c r="Z178" s="209" t="e">
        <f t="shared" ca="1" si="39"/>
        <v>#DIV/0!</v>
      </c>
      <c r="AA178" s="206" t="e">
        <f t="shared" ca="1" si="40"/>
        <v>#DIV/0!</v>
      </c>
      <c r="AB178" s="206" t="e">
        <f t="shared" ca="1" si="41"/>
        <v>#DIV/0!</v>
      </c>
      <c r="AC178" s="208" t="e">
        <f t="shared" ca="1" si="36"/>
        <v>#DIV/0!</v>
      </c>
    </row>
    <row r="179" spans="2:29">
      <c r="B179" s="214">
        <v>44730</v>
      </c>
      <c r="C179" s="202">
        <f ca="1">DATOSAÑO!I179</f>
        <v>0</v>
      </c>
      <c r="D179" s="196">
        <f ca="1">DATOSAÑO!P179</f>
        <v>0</v>
      </c>
      <c r="E179" s="196">
        <f ca="1">DATOSAÑO!Q179</f>
        <v>0</v>
      </c>
      <c r="F179" s="196">
        <f ca="1">DATOSAÑO!T179</f>
        <v>0</v>
      </c>
      <c r="G179" s="196">
        <f t="shared" ca="1" si="35"/>
        <v>0</v>
      </c>
      <c r="H179" s="196" t="e">
        <f t="shared" ca="1" si="42"/>
        <v>#DIV/0!</v>
      </c>
      <c r="I179" s="196" t="e">
        <f t="shared" ca="1" si="31"/>
        <v>#DIV/0!</v>
      </c>
      <c r="J179" s="196" t="e">
        <f t="shared" ca="1" si="32"/>
        <v>#DIV/0!</v>
      </c>
      <c r="K179" s="196" t="e">
        <f t="shared" ca="1" si="33"/>
        <v>#DIV/0!</v>
      </c>
      <c r="L179" s="196">
        <f t="shared" ca="1" si="30"/>
        <v>0</v>
      </c>
      <c r="M179" s="196" t="e">
        <f t="shared" ca="1" si="34"/>
        <v>#DIV/0!</v>
      </c>
      <c r="N179" s="196">
        <f t="shared" ca="1" si="37"/>
        <v>0</v>
      </c>
      <c r="O179" s="196">
        <f ca="1">(DATOSAÑO!AJ179+DATOSAÑO!AK179+DATOSAÑO!AD179)</f>
        <v>0</v>
      </c>
      <c r="P179" s="196">
        <f ca="1">DATOSAÑO!AI179</f>
        <v>0</v>
      </c>
      <c r="Q179" s="196">
        <f ca="1">DATOSAÑO!AH179</f>
        <v>0</v>
      </c>
      <c r="R179" s="196">
        <f ca="1">DATOSAÑO!AM179+DATOSAÑO!AN179+DATOSAÑO!AF179</f>
        <v>0</v>
      </c>
      <c r="S179" s="209">
        <f ca="1">IF(B179&gt;=$P$5,0,CONTADORES!S175-CONTADORES!S174)</f>
        <v>0</v>
      </c>
      <c r="T179" s="206">
        <f ca="1">IF(B179&gt;=$P$5,0,(CONTADORES!U175-CONTADORES!U174)+(CONTADORES!AG175-CONTADORES!AG174))</f>
        <v>0</v>
      </c>
      <c r="U179" s="206">
        <f ca="1">IF(B179&gt;=$P$5,0,(CONTADORES!AS175-CONTADORES!AS174))</f>
        <v>0</v>
      </c>
      <c r="V179" s="206">
        <f ca="1">IF(B179&gt;=$P$5,0,(CONTADORES!AT175-CONTADORES!AT174))</f>
        <v>0</v>
      </c>
      <c r="W179" s="715">
        <v>0</v>
      </c>
      <c r="X179" s="206">
        <f ca="1">IF(W179=0,(T179-INICIO!$W$6),((T179-INICIO!$W$6)+V179))</f>
        <v>0</v>
      </c>
      <c r="Y179" s="208">
        <f t="shared" ca="1" si="38"/>
        <v>0</v>
      </c>
      <c r="Z179" s="209" t="e">
        <f t="shared" ca="1" si="39"/>
        <v>#DIV/0!</v>
      </c>
      <c r="AA179" s="206" t="e">
        <f t="shared" ca="1" si="40"/>
        <v>#DIV/0!</v>
      </c>
      <c r="AB179" s="206" t="e">
        <f t="shared" ca="1" si="41"/>
        <v>#DIV/0!</v>
      </c>
      <c r="AC179" s="208" t="e">
        <f t="shared" ca="1" si="36"/>
        <v>#DIV/0!</v>
      </c>
    </row>
    <row r="180" spans="2:29">
      <c r="B180" s="214">
        <v>44731</v>
      </c>
      <c r="C180" s="202">
        <f ca="1">DATOSAÑO!I180</f>
        <v>0</v>
      </c>
      <c r="D180" s="196">
        <f ca="1">DATOSAÑO!P180</f>
        <v>0</v>
      </c>
      <c r="E180" s="196">
        <f ca="1">DATOSAÑO!Q180</f>
        <v>0</v>
      </c>
      <c r="F180" s="196">
        <f ca="1">DATOSAÑO!T180</f>
        <v>0</v>
      </c>
      <c r="G180" s="196">
        <f t="shared" ca="1" si="35"/>
        <v>0</v>
      </c>
      <c r="H180" s="196" t="e">
        <f t="shared" ca="1" si="42"/>
        <v>#DIV/0!</v>
      </c>
      <c r="I180" s="196" t="e">
        <f t="shared" ca="1" si="31"/>
        <v>#DIV/0!</v>
      </c>
      <c r="J180" s="196" t="e">
        <f t="shared" ca="1" si="32"/>
        <v>#DIV/0!</v>
      </c>
      <c r="K180" s="196" t="e">
        <f t="shared" ca="1" si="33"/>
        <v>#DIV/0!</v>
      </c>
      <c r="L180" s="196">
        <f t="shared" ca="1" si="30"/>
        <v>0</v>
      </c>
      <c r="M180" s="196" t="e">
        <f t="shared" ca="1" si="34"/>
        <v>#DIV/0!</v>
      </c>
      <c r="N180" s="196">
        <f t="shared" ca="1" si="37"/>
        <v>0</v>
      </c>
      <c r="O180" s="196">
        <f ca="1">(DATOSAÑO!AJ180+DATOSAÑO!AK180+DATOSAÑO!AD180)</f>
        <v>0</v>
      </c>
      <c r="P180" s="196">
        <f ca="1">DATOSAÑO!AI180</f>
        <v>0</v>
      </c>
      <c r="Q180" s="196">
        <f ca="1">DATOSAÑO!AH180</f>
        <v>0</v>
      </c>
      <c r="R180" s="196">
        <f ca="1">DATOSAÑO!AM180+DATOSAÑO!AN180+DATOSAÑO!AF180</f>
        <v>0</v>
      </c>
      <c r="S180" s="209">
        <f ca="1">IF(B180&gt;=$P$5,0,CONTADORES!S176-CONTADORES!S175)</f>
        <v>0</v>
      </c>
      <c r="T180" s="206">
        <f ca="1">IF(B180&gt;=$P$5,0,(CONTADORES!U176-CONTADORES!U175)+(CONTADORES!AG176-CONTADORES!AG175))</f>
        <v>0</v>
      </c>
      <c r="U180" s="206">
        <f ca="1">IF(B180&gt;=$P$5,0,(CONTADORES!AS176-CONTADORES!AS175))</f>
        <v>0</v>
      </c>
      <c r="V180" s="206">
        <f ca="1">IF(B180&gt;=$P$5,0,(CONTADORES!AT176-CONTADORES!AT175))</f>
        <v>0</v>
      </c>
      <c r="W180" s="715">
        <v>0</v>
      </c>
      <c r="X180" s="206">
        <f ca="1">IF(W180=0,(T180-INICIO!$W$6),((T180-INICIO!$W$6)+V180))</f>
        <v>0</v>
      </c>
      <c r="Y180" s="208">
        <f t="shared" ca="1" si="38"/>
        <v>0</v>
      </c>
      <c r="Z180" s="209" t="e">
        <f t="shared" ca="1" si="39"/>
        <v>#DIV/0!</v>
      </c>
      <c r="AA180" s="206" t="e">
        <f t="shared" ca="1" si="40"/>
        <v>#DIV/0!</v>
      </c>
      <c r="AB180" s="206" t="e">
        <f t="shared" ca="1" si="41"/>
        <v>#DIV/0!</v>
      </c>
      <c r="AC180" s="208" t="e">
        <f t="shared" ca="1" si="36"/>
        <v>#DIV/0!</v>
      </c>
    </row>
    <row r="181" spans="2:29">
      <c r="B181" s="214">
        <v>44732</v>
      </c>
      <c r="C181" s="202">
        <f ca="1">DATOSAÑO!I181</f>
        <v>0</v>
      </c>
      <c r="D181" s="196">
        <f ca="1">DATOSAÑO!P181</f>
        <v>0</v>
      </c>
      <c r="E181" s="196">
        <f ca="1">DATOSAÑO!Q181</f>
        <v>0</v>
      </c>
      <c r="F181" s="196">
        <f ca="1">DATOSAÑO!T181</f>
        <v>0</v>
      </c>
      <c r="G181" s="196">
        <f t="shared" ca="1" si="35"/>
        <v>0</v>
      </c>
      <c r="H181" s="196" t="e">
        <f t="shared" ca="1" si="42"/>
        <v>#DIV/0!</v>
      </c>
      <c r="I181" s="196" t="e">
        <f t="shared" ca="1" si="31"/>
        <v>#DIV/0!</v>
      </c>
      <c r="J181" s="196" t="e">
        <f t="shared" ca="1" si="32"/>
        <v>#DIV/0!</v>
      </c>
      <c r="K181" s="196" t="e">
        <f t="shared" ca="1" si="33"/>
        <v>#DIV/0!</v>
      </c>
      <c r="L181" s="196">
        <f t="shared" ca="1" si="30"/>
        <v>0</v>
      </c>
      <c r="M181" s="196" t="e">
        <f t="shared" ca="1" si="34"/>
        <v>#DIV/0!</v>
      </c>
      <c r="N181" s="196">
        <f t="shared" ca="1" si="37"/>
        <v>0</v>
      </c>
      <c r="O181" s="196">
        <f ca="1">(DATOSAÑO!AJ181+DATOSAÑO!AK181+DATOSAÑO!AD181)</f>
        <v>0</v>
      </c>
      <c r="P181" s="196">
        <f ca="1">DATOSAÑO!AI181</f>
        <v>0</v>
      </c>
      <c r="Q181" s="196">
        <f ca="1">DATOSAÑO!AH181</f>
        <v>0</v>
      </c>
      <c r="R181" s="196">
        <f ca="1">DATOSAÑO!AM181+DATOSAÑO!AN181+DATOSAÑO!AF181</f>
        <v>0</v>
      </c>
      <c r="S181" s="209">
        <f ca="1">IF(B181&gt;=$P$5,0,CONTADORES!S177-CONTADORES!S176)</f>
        <v>0</v>
      </c>
      <c r="T181" s="206">
        <f ca="1">IF(B181&gt;=$P$5,0,(CONTADORES!U177-CONTADORES!U176)+(CONTADORES!AG177-CONTADORES!AG176))</f>
        <v>0</v>
      </c>
      <c r="U181" s="206">
        <f ca="1">IF(B181&gt;=$P$5,0,(CONTADORES!AS177-CONTADORES!AS176))</f>
        <v>0</v>
      </c>
      <c r="V181" s="206">
        <f ca="1">IF(B181&gt;=$P$5,0,(CONTADORES!AT177-CONTADORES!AT176))</f>
        <v>0</v>
      </c>
      <c r="W181" s="715">
        <v>0</v>
      </c>
      <c r="X181" s="206">
        <f ca="1">IF(W181=0,(T181-INICIO!$W$6),((T181-INICIO!$W$6)+V181))</f>
        <v>0</v>
      </c>
      <c r="Y181" s="208">
        <f t="shared" ca="1" si="38"/>
        <v>0</v>
      </c>
      <c r="Z181" s="209" t="e">
        <f t="shared" ca="1" si="39"/>
        <v>#DIV/0!</v>
      </c>
      <c r="AA181" s="206" t="e">
        <f t="shared" ca="1" si="40"/>
        <v>#DIV/0!</v>
      </c>
      <c r="AB181" s="206" t="e">
        <f t="shared" ca="1" si="41"/>
        <v>#DIV/0!</v>
      </c>
      <c r="AC181" s="208" t="e">
        <f t="shared" ca="1" si="36"/>
        <v>#DIV/0!</v>
      </c>
    </row>
    <row r="182" spans="2:29">
      <c r="B182" s="214">
        <v>44733</v>
      </c>
      <c r="C182" s="202">
        <f ca="1">DATOSAÑO!I182</f>
        <v>0</v>
      </c>
      <c r="D182" s="196">
        <f ca="1">DATOSAÑO!P182</f>
        <v>0</v>
      </c>
      <c r="E182" s="196">
        <f ca="1">DATOSAÑO!Q182</f>
        <v>0</v>
      </c>
      <c r="F182" s="196">
        <f ca="1">DATOSAÑO!T182</f>
        <v>0</v>
      </c>
      <c r="G182" s="196">
        <f t="shared" ca="1" si="35"/>
        <v>0</v>
      </c>
      <c r="H182" s="196" t="e">
        <f t="shared" ca="1" si="42"/>
        <v>#DIV/0!</v>
      </c>
      <c r="I182" s="196" t="e">
        <f t="shared" ca="1" si="31"/>
        <v>#DIV/0!</v>
      </c>
      <c r="J182" s="196" t="e">
        <f t="shared" ca="1" si="32"/>
        <v>#DIV/0!</v>
      </c>
      <c r="K182" s="196" t="e">
        <f t="shared" ca="1" si="33"/>
        <v>#DIV/0!</v>
      </c>
      <c r="L182" s="196">
        <f t="shared" ca="1" si="30"/>
        <v>0</v>
      </c>
      <c r="M182" s="196" t="e">
        <f t="shared" ca="1" si="34"/>
        <v>#DIV/0!</v>
      </c>
      <c r="N182" s="196">
        <f t="shared" ca="1" si="37"/>
        <v>0</v>
      </c>
      <c r="O182" s="196">
        <f ca="1">(DATOSAÑO!AJ182+DATOSAÑO!AK182+DATOSAÑO!AD182)</f>
        <v>0</v>
      </c>
      <c r="P182" s="196">
        <f ca="1">DATOSAÑO!AI182</f>
        <v>0</v>
      </c>
      <c r="Q182" s="196">
        <f ca="1">DATOSAÑO!AH182</f>
        <v>0</v>
      </c>
      <c r="R182" s="196">
        <f ca="1">DATOSAÑO!AM182+DATOSAÑO!AN182+DATOSAÑO!AF182</f>
        <v>0</v>
      </c>
      <c r="S182" s="209">
        <f ca="1">IF(B182&gt;=$P$5,0,CONTADORES!S178-CONTADORES!S177)</f>
        <v>0</v>
      </c>
      <c r="T182" s="206">
        <f ca="1">IF(B182&gt;=$P$5,0,(CONTADORES!U178-CONTADORES!U177)+(CONTADORES!AG178-CONTADORES!AG177))</f>
        <v>0</v>
      </c>
      <c r="U182" s="206">
        <f ca="1">IF(B182&gt;=$P$5,0,(CONTADORES!AS178-CONTADORES!AS177))</f>
        <v>0</v>
      </c>
      <c r="V182" s="206">
        <f ca="1">IF(B182&gt;=$P$5,0,(CONTADORES!AT178-CONTADORES!AT177))</f>
        <v>0</v>
      </c>
      <c r="W182" s="715">
        <v>0</v>
      </c>
      <c r="X182" s="206">
        <f ca="1">IF(W182=0,(T182-INICIO!$W$6),((T182-INICIO!$W$6)+V182))</f>
        <v>0</v>
      </c>
      <c r="Y182" s="208">
        <f t="shared" ca="1" si="38"/>
        <v>0</v>
      </c>
      <c r="Z182" s="209" t="e">
        <f t="shared" ca="1" si="39"/>
        <v>#DIV/0!</v>
      </c>
      <c r="AA182" s="206" t="e">
        <f t="shared" ca="1" si="40"/>
        <v>#DIV/0!</v>
      </c>
      <c r="AB182" s="206" t="e">
        <f t="shared" ca="1" si="41"/>
        <v>#DIV/0!</v>
      </c>
      <c r="AC182" s="208" t="e">
        <f t="shared" ca="1" si="36"/>
        <v>#DIV/0!</v>
      </c>
    </row>
    <row r="183" spans="2:29">
      <c r="B183" s="214">
        <v>44734</v>
      </c>
      <c r="C183" s="202">
        <f ca="1">DATOSAÑO!I183</f>
        <v>0</v>
      </c>
      <c r="D183" s="196">
        <f ca="1">DATOSAÑO!P183</f>
        <v>0</v>
      </c>
      <c r="E183" s="196">
        <f ca="1">DATOSAÑO!Q183</f>
        <v>0</v>
      </c>
      <c r="F183" s="196">
        <f ca="1">DATOSAÑO!T183</f>
        <v>0</v>
      </c>
      <c r="G183" s="196">
        <f t="shared" ca="1" si="35"/>
        <v>0</v>
      </c>
      <c r="H183" s="196" t="e">
        <f t="shared" ca="1" si="42"/>
        <v>#DIV/0!</v>
      </c>
      <c r="I183" s="196" t="e">
        <f t="shared" ca="1" si="31"/>
        <v>#DIV/0!</v>
      </c>
      <c r="J183" s="196" t="e">
        <f t="shared" ca="1" si="32"/>
        <v>#DIV/0!</v>
      </c>
      <c r="K183" s="196" t="e">
        <f t="shared" ca="1" si="33"/>
        <v>#DIV/0!</v>
      </c>
      <c r="L183" s="196">
        <f t="shared" ca="1" si="30"/>
        <v>0</v>
      </c>
      <c r="M183" s="196" t="e">
        <f t="shared" ca="1" si="34"/>
        <v>#DIV/0!</v>
      </c>
      <c r="N183" s="196">
        <f t="shared" ca="1" si="37"/>
        <v>0</v>
      </c>
      <c r="O183" s="196">
        <f ca="1">(DATOSAÑO!AJ183+DATOSAÑO!AK183+DATOSAÑO!AD183)</f>
        <v>0</v>
      </c>
      <c r="P183" s="196">
        <f ca="1">DATOSAÑO!AI183</f>
        <v>0</v>
      </c>
      <c r="Q183" s="196">
        <f ca="1">DATOSAÑO!AH183</f>
        <v>0</v>
      </c>
      <c r="R183" s="196">
        <f ca="1">DATOSAÑO!AM183+DATOSAÑO!AN183+DATOSAÑO!AF183</f>
        <v>0</v>
      </c>
      <c r="S183" s="209">
        <f ca="1">IF(B183&gt;=$P$5,0,CONTADORES!S179-CONTADORES!S178)</f>
        <v>0</v>
      </c>
      <c r="T183" s="206">
        <f ca="1">IF(B183&gt;=$P$5,0,(CONTADORES!U179-CONTADORES!U178)+(CONTADORES!AG179-CONTADORES!AG178))</f>
        <v>0</v>
      </c>
      <c r="U183" s="206">
        <f ca="1">IF(B183&gt;=$P$5,0,(CONTADORES!AS179-CONTADORES!AS178))</f>
        <v>0</v>
      </c>
      <c r="V183" s="206">
        <f ca="1">IF(B183&gt;=$P$5,0,(CONTADORES!AT179-CONTADORES!AT178))</f>
        <v>0</v>
      </c>
      <c r="W183" s="715">
        <v>0</v>
      </c>
      <c r="X183" s="206">
        <f ca="1">IF(W183=0,(T183-INICIO!$W$6),((T183-INICIO!$W$6)+V183))</f>
        <v>0</v>
      </c>
      <c r="Y183" s="208">
        <f t="shared" ca="1" si="38"/>
        <v>0</v>
      </c>
      <c r="Z183" s="209" t="e">
        <f t="shared" ca="1" si="39"/>
        <v>#DIV/0!</v>
      </c>
      <c r="AA183" s="206" t="e">
        <f t="shared" ca="1" si="40"/>
        <v>#DIV/0!</v>
      </c>
      <c r="AB183" s="206" t="e">
        <f t="shared" ca="1" si="41"/>
        <v>#DIV/0!</v>
      </c>
      <c r="AC183" s="208" t="e">
        <f t="shared" ca="1" si="36"/>
        <v>#DIV/0!</v>
      </c>
    </row>
    <row r="184" spans="2:29">
      <c r="B184" s="214">
        <v>44735</v>
      </c>
      <c r="C184" s="202">
        <f ca="1">DATOSAÑO!I184</f>
        <v>0</v>
      </c>
      <c r="D184" s="196">
        <f ca="1">DATOSAÑO!P184</f>
        <v>0</v>
      </c>
      <c r="E184" s="196">
        <f ca="1">DATOSAÑO!Q184</f>
        <v>0</v>
      </c>
      <c r="F184" s="196">
        <f ca="1">DATOSAÑO!T184</f>
        <v>0</v>
      </c>
      <c r="G184" s="196">
        <f t="shared" ca="1" si="35"/>
        <v>0</v>
      </c>
      <c r="H184" s="196" t="e">
        <f t="shared" ca="1" si="42"/>
        <v>#DIV/0!</v>
      </c>
      <c r="I184" s="196" t="e">
        <f t="shared" ca="1" si="31"/>
        <v>#DIV/0!</v>
      </c>
      <c r="J184" s="196" t="e">
        <f t="shared" ca="1" si="32"/>
        <v>#DIV/0!</v>
      </c>
      <c r="K184" s="196" t="e">
        <f t="shared" ca="1" si="33"/>
        <v>#DIV/0!</v>
      </c>
      <c r="L184" s="196">
        <f t="shared" ca="1" si="30"/>
        <v>0</v>
      </c>
      <c r="M184" s="196" t="e">
        <f t="shared" ca="1" si="34"/>
        <v>#DIV/0!</v>
      </c>
      <c r="N184" s="196">
        <f t="shared" ca="1" si="37"/>
        <v>0</v>
      </c>
      <c r="O184" s="196">
        <f ca="1">(DATOSAÑO!AJ184+DATOSAÑO!AK184+DATOSAÑO!AD184)</f>
        <v>0</v>
      </c>
      <c r="P184" s="196">
        <f ca="1">DATOSAÑO!AI184</f>
        <v>0</v>
      </c>
      <c r="Q184" s="196">
        <f ca="1">DATOSAÑO!AH184</f>
        <v>0</v>
      </c>
      <c r="R184" s="196">
        <f ca="1">DATOSAÑO!AM184+DATOSAÑO!AN184+DATOSAÑO!AF184</f>
        <v>0</v>
      </c>
      <c r="S184" s="209">
        <f ca="1">IF(B184&gt;=$P$5,0,CONTADORES!S180-CONTADORES!S179)</f>
        <v>0</v>
      </c>
      <c r="T184" s="206">
        <f ca="1">IF(B184&gt;=$P$5,0,(CONTADORES!U180-CONTADORES!U179)+(CONTADORES!AG180-CONTADORES!AG179))</f>
        <v>0</v>
      </c>
      <c r="U184" s="206">
        <f ca="1">IF(B184&gt;=$P$5,0,(CONTADORES!AS180-CONTADORES!AS179))</f>
        <v>0</v>
      </c>
      <c r="V184" s="206">
        <f ca="1">IF(B184&gt;=$P$5,0,(CONTADORES!AT180-CONTADORES!AT179))</f>
        <v>0</v>
      </c>
      <c r="W184" s="715">
        <v>0</v>
      </c>
      <c r="X184" s="206">
        <f ca="1">IF(W184=0,(T184-INICIO!$W$6),((T184-INICIO!$W$6)+V184))</f>
        <v>0</v>
      </c>
      <c r="Y184" s="208">
        <f t="shared" ca="1" si="38"/>
        <v>0</v>
      </c>
      <c r="Z184" s="209" t="e">
        <f t="shared" ca="1" si="39"/>
        <v>#DIV/0!</v>
      </c>
      <c r="AA184" s="206" t="e">
        <f t="shared" ca="1" si="40"/>
        <v>#DIV/0!</v>
      </c>
      <c r="AB184" s="206" t="e">
        <f t="shared" ca="1" si="41"/>
        <v>#DIV/0!</v>
      </c>
      <c r="AC184" s="208" t="e">
        <f t="shared" ca="1" si="36"/>
        <v>#DIV/0!</v>
      </c>
    </row>
    <row r="185" spans="2:29">
      <c r="B185" s="214">
        <v>44736</v>
      </c>
      <c r="C185" s="202">
        <f ca="1">DATOSAÑO!I185</f>
        <v>0</v>
      </c>
      <c r="D185" s="196">
        <f ca="1">DATOSAÑO!P185</f>
        <v>0</v>
      </c>
      <c r="E185" s="196">
        <f ca="1">DATOSAÑO!Q185</f>
        <v>0</v>
      </c>
      <c r="F185" s="196">
        <f ca="1">DATOSAÑO!T185</f>
        <v>0</v>
      </c>
      <c r="G185" s="196">
        <f t="shared" ca="1" si="35"/>
        <v>0</v>
      </c>
      <c r="H185" s="196" t="e">
        <f t="shared" ca="1" si="42"/>
        <v>#DIV/0!</v>
      </c>
      <c r="I185" s="196" t="e">
        <f t="shared" ca="1" si="31"/>
        <v>#DIV/0!</v>
      </c>
      <c r="J185" s="196" t="e">
        <f t="shared" ca="1" si="32"/>
        <v>#DIV/0!</v>
      </c>
      <c r="K185" s="196" t="e">
        <f t="shared" ca="1" si="33"/>
        <v>#DIV/0!</v>
      </c>
      <c r="L185" s="196">
        <f t="shared" ca="1" si="30"/>
        <v>0</v>
      </c>
      <c r="M185" s="196" t="e">
        <f t="shared" ca="1" si="34"/>
        <v>#DIV/0!</v>
      </c>
      <c r="N185" s="196">
        <f t="shared" ca="1" si="37"/>
        <v>0</v>
      </c>
      <c r="O185" s="196">
        <f ca="1">(DATOSAÑO!AJ185+DATOSAÑO!AK185+DATOSAÑO!AD185)</f>
        <v>0</v>
      </c>
      <c r="P185" s="196">
        <f ca="1">DATOSAÑO!AI185</f>
        <v>0</v>
      </c>
      <c r="Q185" s="196">
        <f ca="1">DATOSAÑO!AH185</f>
        <v>0</v>
      </c>
      <c r="R185" s="196">
        <f ca="1">DATOSAÑO!AM185+DATOSAÑO!AN185+DATOSAÑO!AF185</f>
        <v>0</v>
      </c>
      <c r="S185" s="209">
        <f ca="1">IF(B185&gt;=$P$5,0,CONTADORES!S181-CONTADORES!S180)</f>
        <v>0</v>
      </c>
      <c r="T185" s="206">
        <f ca="1">IF(B185&gt;=$P$5,0,(CONTADORES!U181-CONTADORES!U180)+(CONTADORES!AG181-CONTADORES!AG180))</f>
        <v>0</v>
      </c>
      <c r="U185" s="206">
        <f ca="1">IF(B185&gt;=$P$5,0,(CONTADORES!AS181-CONTADORES!AS180))</f>
        <v>0</v>
      </c>
      <c r="V185" s="206">
        <f ca="1">IF(B185&gt;=$P$5,0,(CONTADORES!AT181-CONTADORES!AT180))</f>
        <v>0</v>
      </c>
      <c r="W185" s="715">
        <v>0</v>
      </c>
      <c r="X185" s="206">
        <f ca="1">IF(W185=0,(T185-INICIO!$W$6),((T185-INICIO!$W$6)+V185))</f>
        <v>0</v>
      </c>
      <c r="Y185" s="208">
        <f t="shared" ca="1" si="38"/>
        <v>0</v>
      </c>
      <c r="Z185" s="209" t="e">
        <f t="shared" ca="1" si="39"/>
        <v>#DIV/0!</v>
      </c>
      <c r="AA185" s="206" t="e">
        <f t="shared" ca="1" si="40"/>
        <v>#DIV/0!</v>
      </c>
      <c r="AB185" s="206" t="e">
        <f t="shared" ca="1" si="41"/>
        <v>#DIV/0!</v>
      </c>
      <c r="AC185" s="208" t="e">
        <f t="shared" ca="1" si="36"/>
        <v>#DIV/0!</v>
      </c>
    </row>
    <row r="186" spans="2:29">
      <c r="B186" s="214">
        <v>44737</v>
      </c>
      <c r="C186" s="202">
        <f ca="1">DATOSAÑO!I186</f>
        <v>0</v>
      </c>
      <c r="D186" s="196">
        <f ca="1">DATOSAÑO!P186</f>
        <v>0</v>
      </c>
      <c r="E186" s="196">
        <f ca="1">DATOSAÑO!Q186</f>
        <v>0</v>
      </c>
      <c r="F186" s="196">
        <f ca="1">DATOSAÑO!T186</f>
        <v>0</v>
      </c>
      <c r="G186" s="196">
        <f t="shared" ca="1" si="35"/>
        <v>0</v>
      </c>
      <c r="H186" s="196" t="e">
        <f t="shared" ca="1" si="42"/>
        <v>#DIV/0!</v>
      </c>
      <c r="I186" s="196" t="e">
        <f t="shared" ca="1" si="31"/>
        <v>#DIV/0!</v>
      </c>
      <c r="J186" s="196" t="e">
        <f t="shared" ca="1" si="32"/>
        <v>#DIV/0!</v>
      </c>
      <c r="K186" s="196" t="e">
        <f t="shared" ca="1" si="33"/>
        <v>#DIV/0!</v>
      </c>
      <c r="L186" s="196">
        <f t="shared" ca="1" si="30"/>
        <v>0</v>
      </c>
      <c r="M186" s="196" t="e">
        <f t="shared" ca="1" si="34"/>
        <v>#DIV/0!</v>
      </c>
      <c r="N186" s="196">
        <f t="shared" ca="1" si="37"/>
        <v>0</v>
      </c>
      <c r="O186" s="196">
        <f ca="1">(DATOSAÑO!AJ186+DATOSAÑO!AK186+DATOSAÑO!AD186)</f>
        <v>0</v>
      </c>
      <c r="P186" s="196">
        <f ca="1">DATOSAÑO!AI186</f>
        <v>0</v>
      </c>
      <c r="Q186" s="196">
        <f ca="1">DATOSAÑO!AH186</f>
        <v>0</v>
      </c>
      <c r="R186" s="196">
        <f ca="1">DATOSAÑO!AM186+DATOSAÑO!AN186+DATOSAÑO!AF186</f>
        <v>0</v>
      </c>
      <c r="S186" s="209">
        <f ca="1">IF(B186&gt;=$P$5,0,CONTADORES!S182-CONTADORES!S181)</f>
        <v>0</v>
      </c>
      <c r="T186" s="206">
        <f ca="1">IF(B186&gt;=$P$5,0,(CONTADORES!U182-CONTADORES!U181)+(CONTADORES!AG182-CONTADORES!AG181))</f>
        <v>0</v>
      </c>
      <c r="U186" s="206">
        <f ca="1">IF(B186&gt;=$P$5,0,(CONTADORES!AS182-CONTADORES!AS181))</f>
        <v>0</v>
      </c>
      <c r="V186" s="206">
        <f ca="1">IF(B186&gt;=$P$5,0,(CONTADORES!AT182-CONTADORES!AT181))</f>
        <v>0</v>
      </c>
      <c r="W186" s="715">
        <v>0</v>
      </c>
      <c r="X186" s="206">
        <f ca="1">IF(W186=0,(T186-INICIO!$W$6),((T186-INICIO!$W$6)+V186))</f>
        <v>0</v>
      </c>
      <c r="Y186" s="208">
        <f t="shared" ca="1" si="38"/>
        <v>0</v>
      </c>
      <c r="Z186" s="209" t="e">
        <f t="shared" ca="1" si="39"/>
        <v>#DIV/0!</v>
      </c>
      <c r="AA186" s="206" t="e">
        <f t="shared" ca="1" si="40"/>
        <v>#DIV/0!</v>
      </c>
      <c r="AB186" s="206" t="e">
        <f t="shared" ca="1" si="41"/>
        <v>#DIV/0!</v>
      </c>
      <c r="AC186" s="208" t="e">
        <f t="shared" ca="1" si="36"/>
        <v>#DIV/0!</v>
      </c>
    </row>
    <row r="187" spans="2:29">
      <c r="B187" s="214">
        <v>44738</v>
      </c>
      <c r="C187" s="202">
        <f ca="1">DATOSAÑO!I187</f>
        <v>0</v>
      </c>
      <c r="D187" s="196">
        <f ca="1">DATOSAÑO!P187</f>
        <v>0</v>
      </c>
      <c r="E187" s="196">
        <f ca="1">DATOSAÑO!Q187</f>
        <v>0</v>
      </c>
      <c r="F187" s="196">
        <f ca="1">DATOSAÑO!T187</f>
        <v>0</v>
      </c>
      <c r="G187" s="196">
        <f t="shared" ca="1" si="35"/>
        <v>0</v>
      </c>
      <c r="H187" s="196" t="e">
        <f t="shared" ca="1" si="42"/>
        <v>#DIV/0!</v>
      </c>
      <c r="I187" s="196" t="e">
        <f t="shared" ca="1" si="31"/>
        <v>#DIV/0!</v>
      </c>
      <c r="J187" s="196" t="e">
        <f t="shared" ca="1" si="32"/>
        <v>#DIV/0!</v>
      </c>
      <c r="K187" s="196" t="e">
        <f t="shared" ca="1" si="33"/>
        <v>#DIV/0!</v>
      </c>
      <c r="L187" s="196">
        <f t="shared" ca="1" si="30"/>
        <v>0</v>
      </c>
      <c r="M187" s="196" t="e">
        <f t="shared" ca="1" si="34"/>
        <v>#DIV/0!</v>
      </c>
      <c r="N187" s="196">
        <f t="shared" ca="1" si="37"/>
        <v>0</v>
      </c>
      <c r="O187" s="196">
        <f ca="1">(DATOSAÑO!AJ187+DATOSAÑO!AK187+DATOSAÑO!AD187)</f>
        <v>0</v>
      </c>
      <c r="P187" s="196">
        <f ca="1">DATOSAÑO!AI187</f>
        <v>0</v>
      </c>
      <c r="Q187" s="196">
        <f ca="1">DATOSAÑO!AH187</f>
        <v>0</v>
      </c>
      <c r="R187" s="196">
        <f ca="1">DATOSAÑO!AM187+DATOSAÑO!AN187+DATOSAÑO!AF187</f>
        <v>0</v>
      </c>
      <c r="S187" s="209">
        <f ca="1">IF(B187&gt;=$P$5,0,CONTADORES!S183-CONTADORES!S182)</f>
        <v>0</v>
      </c>
      <c r="T187" s="206">
        <f ca="1">IF(B187&gt;=$P$5,0,(CONTADORES!U183-CONTADORES!U182)+(CONTADORES!AG183-CONTADORES!AG182))</f>
        <v>0</v>
      </c>
      <c r="U187" s="206">
        <f ca="1">IF(B187&gt;=$P$5,0,(CONTADORES!AS183-CONTADORES!AS182))</f>
        <v>0</v>
      </c>
      <c r="V187" s="206">
        <f ca="1">IF(B187&gt;=$P$5,0,(CONTADORES!AT183-CONTADORES!AT182))</f>
        <v>0</v>
      </c>
      <c r="W187" s="715">
        <v>0</v>
      </c>
      <c r="X187" s="206">
        <f ca="1">IF(W187=0,(T187-INICIO!$W$6),((T187-INICIO!$W$6)+V187))</f>
        <v>0</v>
      </c>
      <c r="Y187" s="208">
        <f t="shared" ca="1" si="38"/>
        <v>0</v>
      </c>
      <c r="Z187" s="209" t="e">
        <f t="shared" ca="1" si="39"/>
        <v>#DIV/0!</v>
      </c>
      <c r="AA187" s="206" t="e">
        <f t="shared" ca="1" si="40"/>
        <v>#DIV/0!</v>
      </c>
      <c r="AB187" s="206" t="e">
        <f t="shared" ca="1" si="41"/>
        <v>#DIV/0!</v>
      </c>
      <c r="AC187" s="208" t="e">
        <f t="shared" ca="1" si="36"/>
        <v>#DIV/0!</v>
      </c>
    </row>
    <row r="188" spans="2:29">
      <c r="B188" s="214">
        <v>44739</v>
      </c>
      <c r="C188" s="202">
        <f ca="1">DATOSAÑO!I188</f>
        <v>0</v>
      </c>
      <c r="D188" s="196">
        <f ca="1">DATOSAÑO!P188</f>
        <v>0</v>
      </c>
      <c r="E188" s="196">
        <f ca="1">DATOSAÑO!Q188</f>
        <v>0</v>
      </c>
      <c r="F188" s="196">
        <f ca="1">DATOSAÑO!T188</f>
        <v>0</v>
      </c>
      <c r="G188" s="196">
        <f t="shared" ca="1" si="35"/>
        <v>0</v>
      </c>
      <c r="H188" s="196" t="e">
        <f t="shared" ca="1" si="42"/>
        <v>#DIV/0!</v>
      </c>
      <c r="I188" s="196" t="e">
        <f t="shared" ca="1" si="31"/>
        <v>#DIV/0!</v>
      </c>
      <c r="J188" s="196" t="e">
        <f t="shared" ca="1" si="32"/>
        <v>#DIV/0!</v>
      </c>
      <c r="K188" s="196" t="e">
        <f t="shared" ca="1" si="33"/>
        <v>#DIV/0!</v>
      </c>
      <c r="L188" s="196">
        <f t="shared" ca="1" si="30"/>
        <v>0</v>
      </c>
      <c r="M188" s="196" t="e">
        <f t="shared" ca="1" si="34"/>
        <v>#DIV/0!</v>
      </c>
      <c r="N188" s="196">
        <f t="shared" ca="1" si="37"/>
        <v>0</v>
      </c>
      <c r="O188" s="196">
        <f ca="1">(DATOSAÑO!AJ188+DATOSAÑO!AK188+DATOSAÑO!AD188)</f>
        <v>0</v>
      </c>
      <c r="P188" s="196">
        <f ca="1">DATOSAÑO!AI188</f>
        <v>0</v>
      </c>
      <c r="Q188" s="196">
        <f ca="1">DATOSAÑO!AH188</f>
        <v>0</v>
      </c>
      <c r="R188" s="196">
        <f ca="1">DATOSAÑO!AM188+DATOSAÑO!AN188+DATOSAÑO!AF188</f>
        <v>0</v>
      </c>
      <c r="S188" s="209">
        <f ca="1">IF(B188&gt;=$P$5,0,CONTADORES!S184-CONTADORES!S183)</f>
        <v>0</v>
      </c>
      <c r="T188" s="206">
        <f ca="1">IF(B188&gt;=$P$5,0,(CONTADORES!U184-CONTADORES!U183)+(CONTADORES!AG184-CONTADORES!AG183))</f>
        <v>0</v>
      </c>
      <c r="U188" s="206">
        <f ca="1">IF(B188&gt;=$P$5,0,(CONTADORES!AS184-CONTADORES!AS183))</f>
        <v>0</v>
      </c>
      <c r="V188" s="206">
        <f ca="1">IF(B188&gt;=$P$5,0,(CONTADORES!AT184-CONTADORES!AT183))</f>
        <v>0</v>
      </c>
      <c r="W188" s="715">
        <v>0</v>
      </c>
      <c r="X188" s="206">
        <f ca="1">IF(W188=0,(T188-INICIO!$W$6),((T188-INICIO!$W$6)+V188))</f>
        <v>0</v>
      </c>
      <c r="Y188" s="208">
        <f t="shared" ca="1" si="38"/>
        <v>0</v>
      </c>
      <c r="Z188" s="209" t="e">
        <f t="shared" ca="1" si="39"/>
        <v>#DIV/0!</v>
      </c>
      <c r="AA188" s="206" t="e">
        <f t="shared" ca="1" si="40"/>
        <v>#DIV/0!</v>
      </c>
      <c r="AB188" s="206" t="e">
        <f t="shared" ca="1" si="41"/>
        <v>#DIV/0!</v>
      </c>
      <c r="AC188" s="208" t="e">
        <f t="shared" ca="1" si="36"/>
        <v>#DIV/0!</v>
      </c>
    </row>
    <row r="189" spans="2:29">
      <c r="B189" s="214">
        <v>44740</v>
      </c>
      <c r="C189" s="202">
        <f ca="1">DATOSAÑO!I189</f>
        <v>0</v>
      </c>
      <c r="D189" s="196">
        <f ca="1">DATOSAÑO!P189</f>
        <v>0</v>
      </c>
      <c r="E189" s="196">
        <f ca="1">DATOSAÑO!Q189</f>
        <v>0</v>
      </c>
      <c r="F189" s="196">
        <f ca="1">DATOSAÑO!T189</f>
        <v>0</v>
      </c>
      <c r="G189" s="196">
        <f t="shared" ca="1" si="35"/>
        <v>0</v>
      </c>
      <c r="H189" s="196" t="e">
        <f t="shared" ca="1" si="42"/>
        <v>#DIV/0!</v>
      </c>
      <c r="I189" s="196" t="e">
        <f t="shared" ca="1" si="31"/>
        <v>#DIV/0!</v>
      </c>
      <c r="J189" s="196" t="e">
        <f t="shared" ca="1" si="32"/>
        <v>#DIV/0!</v>
      </c>
      <c r="K189" s="196" t="e">
        <f t="shared" ca="1" si="33"/>
        <v>#DIV/0!</v>
      </c>
      <c r="L189" s="196">
        <f t="shared" ca="1" si="30"/>
        <v>0</v>
      </c>
      <c r="M189" s="196" t="e">
        <f t="shared" ca="1" si="34"/>
        <v>#DIV/0!</v>
      </c>
      <c r="N189" s="196">
        <f t="shared" ca="1" si="37"/>
        <v>0</v>
      </c>
      <c r="O189" s="196">
        <f ca="1">(DATOSAÑO!AJ189+DATOSAÑO!AK189+DATOSAÑO!AD189)</f>
        <v>0</v>
      </c>
      <c r="P189" s="196">
        <f ca="1">DATOSAÑO!AI189</f>
        <v>0</v>
      </c>
      <c r="Q189" s="196">
        <f ca="1">DATOSAÑO!AH189</f>
        <v>0</v>
      </c>
      <c r="R189" s="196">
        <f ca="1">DATOSAÑO!AM189+DATOSAÑO!AN189+DATOSAÑO!AF189</f>
        <v>0</v>
      </c>
      <c r="S189" s="209">
        <f ca="1">IF(B189&gt;=$P$5,0,CONTADORES!S185-CONTADORES!S184)</f>
        <v>0</v>
      </c>
      <c r="T189" s="206">
        <f ca="1">IF(B189&gt;=$P$5,0,(CONTADORES!U185-CONTADORES!U184)+(CONTADORES!AG185-CONTADORES!AG184))</f>
        <v>0</v>
      </c>
      <c r="U189" s="206">
        <f ca="1">IF(B189&gt;=$P$5,0,(CONTADORES!AS185-CONTADORES!AS184))</f>
        <v>0</v>
      </c>
      <c r="V189" s="206">
        <f ca="1">IF(B189&gt;=$P$5,0,(CONTADORES!AT185-CONTADORES!AT184))</f>
        <v>0</v>
      </c>
      <c r="W189" s="715">
        <v>0</v>
      </c>
      <c r="X189" s="206">
        <f ca="1">IF(W189=0,(T189-INICIO!$W$6),((T189-INICIO!$W$6)+V189))</f>
        <v>0</v>
      </c>
      <c r="Y189" s="208">
        <f t="shared" ca="1" si="38"/>
        <v>0</v>
      </c>
      <c r="Z189" s="209" t="e">
        <f t="shared" ca="1" si="39"/>
        <v>#DIV/0!</v>
      </c>
      <c r="AA189" s="206" t="e">
        <f t="shared" ca="1" si="40"/>
        <v>#DIV/0!</v>
      </c>
      <c r="AB189" s="206" t="e">
        <f t="shared" ca="1" si="41"/>
        <v>#DIV/0!</v>
      </c>
      <c r="AC189" s="208" t="e">
        <f t="shared" ca="1" si="36"/>
        <v>#DIV/0!</v>
      </c>
    </row>
    <row r="190" spans="2:29">
      <c r="B190" s="214">
        <v>44741</v>
      </c>
      <c r="C190" s="202">
        <f ca="1">DATOSAÑO!I190</f>
        <v>0</v>
      </c>
      <c r="D190" s="196">
        <f ca="1">DATOSAÑO!P190</f>
        <v>0</v>
      </c>
      <c r="E190" s="196">
        <f ca="1">DATOSAÑO!Q190</f>
        <v>0</v>
      </c>
      <c r="F190" s="196">
        <f ca="1">DATOSAÑO!T190</f>
        <v>0</v>
      </c>
      <c r="G190" s="196">
        <f t="shared" ca="1" si="35"/>
        <v>0</v>
      </c>
      <c r="H190" s="196" t="e">
        <f t="shared" ca="1" si="42"/>
        <v>#DIV/0!</v>
      </c>
      <c r="I190" s="196" t="e">
        <f t="shared" ca="1" si="31"/>
        <v>#DIV/0!</v>
      </c>
      <c r="J190" s="196" t="e">
        <f t="shared" ca="1" si="32"/>
        <v>#DIV/0!</v>
      </c>
      <c r="K190" s="196" t="e">
        <f t="shared" ca="1" si="33"/>
        <v>#DIV/0!</v>
      </c>
      <c r="L190" s="196">
        <f t="shared" ca="1" si="30"/>
        <v>0</v>
      </c>
      <c r="M190" s="196" t="e">
        <f t="shared" ca="1" si="34"/>
        <v>#DIV/0!</v>
      </c>
      <c r="N190" s="196">
        <f t="shared" ca="1" si="37"/>
        <v>0</v>
      </c>
      <c r="O190" s="196">
        <f ca="1">(DATOSAÑO!AJ190+DATOSAÑO!AK190+DATOSAÑO!AD190)</f>
        <v>0</v>
      </c>
      <c r="P190" s="196">
        <f ca="1">DATOSAÑO!AI190</f>
        <v>0</v>
      </c>
      <c r="Q190" s="196">
        <f ca="1">DATOSAÑO!AH190</f>
        <v>0</v>
      </c>
      <c r="R190" s="196">
        <f ca="1">DATOSAÑO!AM190+DATOSAÑO!AN190+DATOSAÑO!AF190</f>
        <v>0</v>
      </c>
      <c r="S190" s="209">
        <f ca="1">IF(B190&gt;=$P$5,0,CONTADORES!S186-CONTADORES!S185)</f>
        <v>0</v>
      </c>
      <c r="T190" s="206">
        <f ca="1">IF(B190&gt;=$P$5,0,(CONTADORES!U186-CONTADORES!U185)+(CONTADORES!AG186-CONTADORES!AG185))</f>
        <v>0</v>
      </c>
      <c r="U190" s="206">
        <f ca="1">IF(B190&gt;=$P$5,0,(CONTADORES!AS186-CONTADORES!AS185))</f>
        <v>0</v>
      </c>
      <c r="V190" s="206">
        <f ca="1">IF(B190&gt;=$P$5,0,(CONTADORES!AT186-CONTADORES!AT185))</f>
        <v>0</v>
      </c>
      <c r="W190" s="715">
        <v>0</v>
      </c>
      <c r="X190" s="206">
        <f ca="1">IF(W190=0,(T190-INICIO!$W$6),((T190-INICIO!$W$6)+V190))</f>
        <v>0</v>
      </c>
      <c r="Y190" s="208">
        <f t="shared" ca="1" si="38"/>
        <v>0</v>
      </c>
      <c r="Z190" s="209" t="e">
        <f t="shared" ca="1" si="39"/>
        <v>#DIV/0!</v>
      </c>
      <c r="AA190" s="206" t="e">
        <f t="shared" ca="1" si="40"/>
        <v>#DIV/0!</v>
      </c>
      <c r="AB190" s="206" t="e">
        <f t="shared" ca="1" si="41"/>
        <v>#DIV/0!</v>
      </c>
      <c r="AC190" s="208" t="e">
        <f t="shared" ca="1" si="36"/>
        <v>#DIV/0!</v>
      </c>
    </row>
    <row r="191" spans="2:29" ht="15" thickBot="1">
      <c r="B191" s="1043">
        <v>44742</v>
      </c>
      <c r="C191" s="203">
        <f ca="1">DATOSAÑO!I191</f>
        <v>0</v>
      </c>
      <c r="D191" s="197">
        <f ca="1">DATOSAÑO!P191</f>
        <v>0</v>
      </c>
      <c r="E191" s="197">
        <f ca="1">DATOSAÑO!Q191</f>
        <v>0</v>
      </c>
      <c r="F191" s="197">
        <f ca="1">DATOSAÑO!T191</f>
        <v>0</v>
      </c>
      <c r="G191" s="197">
        <f t="shared" ca="1" si="35"/>
        <v>0</v>
      </c>
      <c r="H191" s="197" t="e">
        <f t="shared" ca="1" si="42"/>
        <v>#DIV/0!</v>
      </c>
      <c r="I191" s="197" t="e">
        <f t="shared" ca="1" si="31"/>
        <v>#DIV/0!</v>
      </c>
      <c r="J191" s="197" t="e">
        <f t="shared" ca="1" si="32"/>
        <v>#DIV/0!</v>
      </c>
      <c r="K191" s="197" t="e">
        <f t="shared" ca="1" si="33"/>
        <v>#DIV/0!</v>
      </c>
      <c r="L191" s="197">
        <f t="shared" ca="1" si="30"/>
        <v>0</v>
      </c>
      <c r="M191" s="197" t="e">
        <f t="shared" ca="1" si="34"/>
        <v>#DIV/0!</v>
      </c>
      <c r="N191" s="197">
        <f t="shared" ca="1" si="37"/>
        <v>0</v>
      </c>
      <c r="O191" s="197">
        <f ca="1">(DATOSAÑO!AJ191+DATOSAÑO!AK191+DATOSAÑO!AD191)</f>
        <v>0</v>
      </c>
      <c r="P191" s="197">
        <f ca="1">DATOSAÑO!AI191</f>
        <v>0</v>
      </c>
      <c r="Q191" s="197">
        <f ca="1">DATOSAÑO!AH191</f>
        <v>0</v>
      </c>
      <c r="R191" s="197">
        <f ca="1">DATOSAÑO!AM191+DATOSAÑO!AN191+DATOSAÑO!AF191</f>
        <v>0</v>
      </c>
      <c r="S191" s="203">
        <f ca="1">IF(B191&gt;=$P$5,0,CONTADORES!S187-CONTADORES!S186)</f>
        <v>0</v>
      </c>
      <c r="T191" s="197">
        <f ca="1">IF(B191&gt;=$P$5,0,(CONTADORES!U187-CONTADORES!U186)+(CONTADORES!AG187-CONTADORES!AG186))</f>
        <v>0</v>
      </c>
      <c r="U191" s="197">
        <f ca="1">IF(B191&gt;=$P$5,0,(CONTADORES!AS187-CONTADORES!AS186))</f>
        <v>0</v>
      </c>
      <c r="V191" s="197">
        <f ca="1">IF(B191&gt;=$P$5,0,(CONTADORES!AT187-CONTADORES!AT186))</f>
        <v>0</v>
      </c>
      <c r="W191" s="716">
        <v>0</v>
      </c>
      <c r="X191" s="197">
        <f ca="1">IF(W191=0,(T191-INICIO!$W$6),((T191-INICIO!$W$6)+V191))</f>
        <v>0</v>
      </c>
      <c r="Y191" s="201">
        <f t="shared" ca="1" si="38"/>
        <v>0</v>
      </c>
      <c r="Z191" s="203" t="e">
        <f t="shared" ca="1" si="39"/>
        <v>#DIV/0!</v>
      </c>
      <c r="AA191" s="197" t="e">
        <f t="shared" ca="1" si="40"/>
        <v>#DIV/0!</v>
      </c>
      <c r="AB191" s="197" t="e">
        <f t="shared" ca="1" si="41"/>
        <v>#DIV/0!</v>
      </c>
      <c r="AC191" s="201" t="e">
        <f t="shared" ca="1" si="36"/>
        <v>#DIV/0!</v>
      </c>
    </row>
    <row r="192" spans="2:29">
      <c r="B192" s="390">
        <v>44743</v>
      </c>
      <c r="C192" s="202">
        <f ca="1">DATOSAÑO!I192</f>
        <v>0</v>
      </c>
      <c r="D192" s="196">
        <f ca="1">DATOSAÑO!P192</f>
        <v>0</v>
      </c>
      <c r="E192" s="196">
        <f ca="1">DATOSAÑO!Q192</f>
        <v>0</v>
      </c>
      <c r="F192" s="196">
        <f ca="1">DATOSAÑO!T192</f>
        <v>0</v>
      </c>
      <c r="G192" s="196">
        <f t="shared" ca="1" si="35"/>
        <v>0</v>
      </c>
      <c r="H192" s="196" t="e">
        <f ca="1">G192-SUM(I192:M192)</f>
        <v>#DIV/0!</v>
      </c>
      <c r="I192" s="196" t="e">
        <f t="shared" ca="1" si="31"/>
        <v>#DIV/0!</v>
      </c>
      <c r="J192" s="196" t="e">
        <f t="shared" ca="1" si="32"/>
        <v>#DIV/0!</v>
      </c>
      <c r="K192" s="196" t="e">
        <f t="shared" ca="1" si="33"/>
        <v>#DIV/0!</v>
      </c>
      <c r="L192" s="196">
        <f t="shared" ca="1" si="30"/>
        <v>0</v>
      </c>
      <c r="M192" s="196" t="e">
        <f t="shared" ca="1" si="34"/>
        <v>#DIV/0!</v>
      </c>
      <c r="N192" s="196">
        <f t="shared" ca="1" si="37"/>
        <v>0</v>
      </c>
      <c r="O192" s="196">
        <f ca="1">(DATOSAÑO!AJ192+DATOSAÑO!AK192+DATOSAÑO!AD192)</f>
        <v>0</v>
      </c>
      <c r="P192" s="196">
        <f ca="1">DATOSAÑO!AI192</f>
        <v>0</v>
      </c>
      <c r="Q192" s="196">
        <f ca="1">DATOSAÑO!AH192</f>
        <v>0</v>
      </c>
      <c r="R192" s="196">
        <f ca="1">DATOSAÑO!AM192+DATOSAÑO!AN192+DATOSAÑO!AF192</f>
        <v>0</v>
      </c>
      <c r="S192" s="202">
        <f ca="1">IF(B192&gt;=$P$5,0,CONTADORES!S190-CONTADORES!S189)</f>
        <v>0</v>
      </c>
      <c r="T192" s="196">
        <f ca="1">IF(B192&gt;=$P$5,0,(CONTADORES!U190-CONTADORES!U189)+(CONTADORES!AG190-CONTADORES!AG189))</f>
        <v>0</v>
      </c>
      <c r="U192" s="196">
        <f ca="1">IF(B192&gt;=$P$5,0,(CONTADORES!AS190-CONTADORES!AS189))</f>
        <v>0</v>
      </c>
      <c r="V192" s="196">
        <f ca="1">IF(B192&gt;=$P$5,0,(CONTADORES!AT190-CONTADORES!AT189))</f>
        <v>0</v>
      </c>
      <c r="W192" s="714">
        <v>0</v>
      </c>
      <c r="X192" s="196">
        <f ca="1">IF(W192=0,(T192-INICIO!$W$6),((T192-INICIO!$W$6)+V192))</f>
        <v>0</v>
      </c>
      <c r="Y192" s="208">
        <f t="shared" ca="1" si="38"/>
        <v>0</v>
      </c>
      <c r="Z192" s="202" t="e">
        <f t="shared" ca="1" si="39"/>
        <v>#DIV/0!</v>
      </c>
      <c r="AA192" s="196" t="e">
        <f t="shared" ca="1" si="40"/>
        <v>#DIV/0!</v>
      </c>
      <c r="AB192" s="196" t="e">
        <f t="shared" ca="1" si="41"/>
        <v>#DIV/0!</v>
      </c>
      <c r="AC192" s="208" t="e">
        <f t="shared" ca="1" si="36"/>
        <v>#DIV/0!</v>
      </c>
    </row>
    <row r="193" spans="2:29">
      <c r="B193" s="214">
        <v>44744</v>
      </c>
      <c r="C193" s="202">
        <f ca="1">DATOSAÑO!I193</f>
        <v>0</v>
      </c>
      <c r="D193" s="196">
        <f ca="1">DATOSAÑO!P193</f>
        <v>0</v>
      </c>
      <c r="E193" s="196">
        <f ca="1">DATOSAÑO!Q193</f>
        <v>0</v>
      </c>
      <c r="F193" s="196">
        <f ca="1">DATOSAÑO!T193</f>
        <v>0</v>
      </c>
      <c r="G193" s="196">
        <f t="shared" ca="1" si="35"/>
        <v>0</v>
      </c>
      <c r="H193" s="196" t="e">
        <f t="shared" ref="H193:H222" ca="1" si="43">G193-SUM(I193:M193)</f>
        <v>#DIV/0!</v>
      </c>
      <c r="I193" s="196" t="e">
        <f t="shared" ca="1" si="31"/>
        <v>#DIV/0!</v>
      </c>
      <c r="J193" s="196" t="e">
        <f t="shared" ca="1" si="32"/>
        <v>#DIV/0!</v>
      </c>
      <c r="K193" s="196" t="e">
        <f t="shared" ca="1" si="33"/>
        <v>#DIV/0!</v>
      </c>
      <c r="L193" s="196">
        <f t="shared" ca="1" si="30"/>
        <v>0</v>
      </c>
      <c r="M193" s="196" t="e">
        <f t="shared" ca="1" si="34"/>
        <v>#DIV/0!</v>
      </c>
      <c r="N193" s="196">
        <f t="shared" ca="1" si="37"/>
        <v>0</v>
      </c>
      <c r="O193" s="196">
        <f ca="1">(DATOSAÑO!AJ193+DATOSAÑO!AK193+DATOSAÑO!AD193)</f>
        <v>0</v>
      </c>
      <c r="P193" s="196">
        <f ca="1">DATOSAÑO!AI193</f>
        <v>0</v>
      </c>
      <c r="Q193" s="196">
        <f ca="1">DATOSAÑO!AH193</f>
        <v>0</v>
      </c>
      <c r="R193" s="196">
        <f ca="1">DATOSAÑO!AM193+DATOSAÑO!AN193+DATOSAÑO!AF193</f>
        <v>0</v>
      </c>
      <c r="S193" s="209">
        <f ca="1">IF(B193&gt;=$P$5,0,CONTADORES!S191-CONTADORES!S190)</f>
        <v>0</v>
      </c>
      <c r="T193" s="206">
        <f ca="1">IF(B193&gt;=$P$5,0,(CONTADORES!U191-CONTADORES!U190)+(CONTADORES!AG191-CONTADORES!AG190))</f>
        <v>0</v>
      </c>
      <c r="U193" s="206">
        <f ca="1">IF(B193&gt;=$P$5,0,(CONTADORES!AS191-CONTADORES!AS190))</f>
        <v>0</v>
      </c>
      <c r="V193" s="206">
        <f ca="1">IF(B193&gt;=$P$5,0,(CONTADORES!AT191-CONTADORES!AT190))</f>
        <v>0</v>
      </c>
      <c r="W193" s="715">
        <v>0</v>
      </c>
      <c r="X193" s="206">
        <f ca="1">IF(W193=0,(T193-INICIO!$W$6),((T193-INICIO!$W$6)+V193))</f>
        <v>0</v>
      </c>
      <c r="Y193" s="208">
        <f t="shared" ca="1" si="38"/>
        <v>0</v>
      </c>
      <c r="Z193" s="209" t="e">
        <f t="shared" ca="1" si="39"/>
        <v>#DIV/0!</v>
      </c>
      <c r="AA193" s="206" t="e">
        <f t="shared" ca="1" si="40"/>
        <v>#DIV/0!</v>
      </c>
      <c r="AB193" s="206" t="e">
        <f t="shared" ca="1" si="41"/>
        <v>#DIV/0!</v>
      </c>
      <c r="AC193" s="208" t="e">
        <f t="shared" ca="1" si="36"/>
        <v>#DIV/0!</v>
      </c>
    </row>
    <row r="194" spans="2:29">
      <c r="B194" s="214">
        <v>44745</v>
      </c>
      <c r="C194" s="202">
        <f ca="1">DATOSAÑO!I194</f>
        <v>0</v>
      </c>
      <c r="D194" s="196">
        <f ca="1">DATOSAÑO!P194</f>
        <v>0</v>
      </c>
      <c r="E194" s="196">
        <f ca="1">DATOSAÑO!Q194</f>
        <v>0</v>
      </c>
      <c r="F194" s="196">
        <f ca="1">DATOSAÑO!T194</f>
        <v>0</v>
      </c>
      <c r="G194" s="196">
        <f t="shared" ca="1" si="35"/>
        <v>0</v>
      </c>
      <c r="H194" s="196" t="e">
        <f t="shared" ca="1" si="43"/>
        <v>#DIV/0!</v>
      </c>
      <c r="I194" s="196" t="e">
        <f t="shared" ca="1" si="31"/>
        <v>#DIV/0!</v>
      </c>
      <c r="J194" s="196" t="e">
        <f t="shared" ca="1" si="32"/>
        <v>#DIV/0!</v>
      </c>
      <c r="K194" s="196" t="e">
        <f t="shared" ca="1" si="33"/>
        <v>#DIV/0!</v>
      </c>
      <c r="L194" s="196">
        <f t="shared" ca="1" si="30"/>
        <v>0</v>
      </c>
      <c r="M194" s="196" t="e">
        <f t="shared" ca="1" si="34"/>
        <v>#DIV/0!</v>
      </c>
      <c r="N194" s="196">
        <f t="shared" ca="1" si="37"/>
        <v>0</v>
      </c>
      <c r="O194" s="196">
        <f ca="1">(DATOSAÑO!AJ194+DATOSAÑO!AK194+DATOSAÑO!AD194)</f>
        <v>0</v>
      </c>
      <c r="P194" s="196">
        <f ca="1">DATOSAÑO!AI194</f>
        <v>0</v>
      </c>
      <c r="Q194" s="196">
        <f ca="1">DATOSAÑO!AH194</f>
        <v>0</v>
      </c>
      <c r="R194" s="196">
        <f ca="1">DATOSAÑO!AM194+DATOSAÑO!AN194+DATOSAÑO!AF194</f>
        <v>0</v>
      </c>
      <c r="S194" s="209">
        <f ca="1">IF(B194&gt;=$P$5,0,CONTADORES!S192-CONTADORES!S191)</f>
        <v>0</v>
      </c>
      <c r="T194" s="206">
        <f ca="1">IF(B194&gt;=$P$5,0,(CONTADORES!U192-CONTADORES!U191)+(CONTADORES!AG192-CONTADORES!AG191))</f>
        <v>0</v>
      </c>
      <c r="U194" s="206">
        <f ca="1">IF(B194&gt;=$P$5,0,(CONTADORES!AS192-CONTADORES!AS191))</f>
        <v>0</v>
      </c>
      <c r="V194" s="206">
        <f ca="1">IF(B194&gt;=$P$5,0,(CONTADORES!AT192-CONTADORES!AT191))</f>
        <v>0</v>
      </c>
      <c r="W194" s="715">
        <v>0</v>
      </c>
      <c r="X194" s="206">
        <f ca="1">IF(W194=0,(T194-INICIO!$W$6),((T194-INICIO!$W$6)+V194))</f>
        <v>0</v>
      </c>
      <c r="Y194" s="208">
        <f t="shared" ca="1" si="38"/>
        <v>0</v>
      </c>
      <c r="Z194" s="209" t="e">
        <f t="shared" ca="1" si="39"/>
        <v>#DIV/0!</v>
      </c>
      <c r="AA194" s="206" t="e">
        <f t="shared" ca="1" si="40"/>
        <v>#DIV/0!</v>
      </c>
      <c r="AB194" s="206" t="e">
        <f t="shared" ca="1" si="41"/>
        <v>#DIV/0!</v>
      </c>
      <c r="AC194" s="208" t="e">
        <f t="shared" ca="1" si="36"/>
        <v>#DIV/0!</v>
      </c>
    </row>
    <row r="195" spans="2:29">
      <c r="B195" s="214">
        <v>44746</v>
      </c>
      <c r="C195" s="202">
        <f ca="1">DATOSAÑO!I195</f>
        <v>0</v>
      </c>
      <c r="D195" s="196">
        <f ca="1">DATOSAÑO!P195</f>
        <v>0</v>
      </c>
      <c r="E195" s="196">
        <f ca="1">DATOSAÑO!Q195</f>
        <v>0</v>
      </c>
      <c r="F195" s="196">
        <f ca="1">DATOSAÑO!T195</f>
        <v>0</v>
      </c>
      <c r="G195" s="196">
        <f t="shared" ca="1" si="35"/>
        <v>0</v>
      </c>
      <c r="H195" s="196" t="e">
        <f t="shared" ca="1" si="43"/>
        <v>#DIV/0!</v>
      </c>
      <c r="I195" s="196" t="e">
        <f t="shared" ca="1" si="31"/>
        <v>#DIV/0!</v>
      </c>
      <c r="J195" s="196" t="e">
        <f t="shared" ca="1" si="32"/>
        <v>#DIV/0!</v>
      </c>
      <c r="K195" s="196" t="e">
        <f t="shared" ca="1" si="33"/>
        <v>#DIV/0!</v>
      </c>
      <c r="L195" s="196">
        <f t="shared" ca="1" si="30"/>
        <v>0</v>
      </c>
      <c r="M195" s="196" t="e">
        <f t="shared" ca="1" si="34"/>
        <v>#DIV/0!</v>
      </c>
      <c r="N195" s="196">
        <f t="shared" ca="1" si="37"/>
        <v>0</v>
      </c>
      <c r="O195" s="196">
        <f ca="1">(DATOSAÑO!AJ195+DATOSAÑO!AK195+DATOSAÑO!AD195)</f>
        <v>0</v>
      </c>
      <c r="P195" s="196">
        <f ca="1">DATOSAÑO!AI195</f>
        <v>0</v>
      </c>
      <c r="Q195" s="196">
        <f ca="1">DATOSAÑO!AH195</f>
        <v>0</v>
      </c>
      <c r="R195" s="196">
        <f ca="1">DATOSAÑO!AM195+DATOSAÑO!AN195+DATOSAÑO!AF195</f>
        <v>0</v>
      </c>
      <c r="S195" s="209">
        <f ca="1">IF(B195&gt;=$P$5,0,CONTADORES!S193-CONTADORES!S192)</f>
        <v>0</v>
      </c>
      <c r="T195" s="206">
        <f ca="1">IF(B195&gt;=$P$5,0,(CONTADORES!U193-CONTADORES!U192)+(CONTADORES!AG193-CONTADORES!AG192))</f>
        <v>0</v>
      </c>
      <c r="U195" s="206">
        <f ca="1">IF(B195&gt;=$P$5,0,(CONTADORES!AS193-CONTADORES!AS192))</f>
        <v>0</v>
      </c>
      <c r="V195" s="206">
        <f ca="1">IF(B195&gt;=$P$5,0,(CONTADORES!AT193-CONTADORES!AT192))</f>
        <v>0</v>
      </c>
      <c r="W195" s="715">
        <v>0</v>
      </c>
      <c r="X195" s="206">
        <f ca="1">IF(W195=0,(T195-INICIO!$W$6),((T195-INICIO!$W$6)+V195))</f>
        <v>0</v>
      </c>
      <c r="Y195" s="208">
        <f t="shared" ca="1" si="38"/>
        <v>0</v>
      </c>
      <c r="Z195" s="209" t="e">
        <f t="shared" ca="1" si="39"/>
        <v>#DIV/0!</v>
      </c>
      <c r="AA195" s="206" t="e">
        <f t="shared" ca="1" si="40"/>
        <v>#DIV/0!</v>
      </c>
      <c r="AB195" s="206" t="e">
        <f t="shared" ca="1" si="41"/>
        <v>#DIV/0!</v>
      </c>
      <c r="AC195" s="208" t="e">
        <f t="shared" ca="1" si="36"/>
        <v>#DIV/0!</v>
      </c>
    </row>
    <row r="196" spans="2:29">
      <c r="B196" s="214">
        <v>44747</v>
      </c>
      <c r="C196" s="202">
        <f ca="1">DATOSAÑO!I196</f>
        <v>0</v>
      </c>
      <c r="D196" s="196">
        <f ca="1">DATOSAÑO!P196</f>
        <v>0</v>
      </c>
      <c r="E196" s="196">
        <f ca="1">DATOSAÑO!Q196</f>
        <v>0</v>
      </c>
      <c r="F196" s="196">
        <f ca="1">DATOSAÑO!T196</f>
        <v>0</v>
      </c>
      <c r="G196" s="196">
        <f t="shared" ca="1" si="35"/>
        <v>0</v>
      </c>
      <c r="H196" s="196" t="e">
        <f t="shared" ca="1" si="43"/>
        <v>#DIV/0!</v>
      </c>
      <c r="I196" s="196" t="e">
        <f t="shared" ca="1" si="31"/>
        <v>#DIV/0!</v>
      </c>
      <c r="J196" s="196" t="e">
        <f t="shared" ca="1" si="32"/>
        <v>#DIV/0!</v>
      </c>
      <c r="K196" s="196" t="e">
        <f t="shared" ca="1" si="33"/>
        <v>#DIV/0!</v>
      </c>
      <c r="L196" s="196">
        <f t="shared" ref="L196:L259" ca="1" si="44">R196</f>
        <v>0</v>
      </c>
      <c r="M196" s="196" t="e">
        <f t="shared" ca="1" si="34"/>
        <v>#DIV/0!</v>
      </c>
      <c r="N196" s="196">
        <f t="shared" ca="1" si="37"/>
        <v>0</v>
      </c>
      <c r="O196" s="196">
        <f ca="1">(DATOSAÑO!AJ196+DATOSAÑO!AK196+DATOSAÑO!AD196)</f>
        <v>0</v>
      </c>
      <c r="P196" s="196">
        <f ca="1">DATOSAÑO!AI196</f>
        <v>0</v>
      </c>
      <c r="Q196" s="196">
        <f ca="1">DATOSAÑO!AH196</f>
        <v>0</v>
      </c>
      <c r="R196" s="196">
        <f ca="1">DATOSAÑO!AM196+DATOSAÑO!AN196+DATOSAÑO!AF196</f>
        <v>0</v>
      </c>
      <c r="S196" s="209">
        <f ca="1">IF(B196&gt;=$P$5,0,CONTADORES!S194-CONTADORES!S193)</f>
        <v>0</v>
      </c>
      <c r="T196" s="206">
        <f ca="1">IF(B196&gt;=$P$5,0,(CONTADORES!U194-CONTADORES!U193)+(CONTADORES!AG194-CONTADORES!AG193))</f>
        <v>0</v>
      </c>
      <c r="U196" s="206">
        <f ca="1">IF(B196&gt;=$P$5,0,(CONTADORES!AS194-CONTADORES!AS193))</f>
        <v>0</v>
      </c>
      <c r="V196" s="206">
        <f ca="1">IF(B196&gt;=$P$5,0,(CONTADORES!AT194-CONTADORES!AT193))</f>
        <v>0</v>
      </c>
      <c r="W196" s="715">
        <v>0</v>
      </c>
      <c r="X196" s="206">
        <f ca="1">IF(W196=0,(T196-INICIO!$W$6),((T196-INICIO!$W$6)+V196))</f>
        <v>0</v>
      </c>
      <c r="Y196" s="208">
        <f t="shared" ca="1" si="38"/>
        <v>0</v>
      </c>
      <c r="Z196" s="209" t="e">
        <f t="shared" ca="1" si="39"/>
        <v>#DIV/0!</v>
      </c>
      <c r="AA196" s="206" t="e">
        <f t="shared" ca="1" si="40"/>
        <v>#DIV/0!</v>
      </c>
      <c r="AB196" s="206" t="e">
        <f t="shared" ca="1" si="41"/>
        <v>#DIV/0!</v>
      </c>
      <c r="AC196" s="208" t="e">
        <f t="shared" ca="1" si="36"/>
        <v>#DIV/0!</v>
      </c>
    </row>
    <row r="197" spans="2:29">
      <c r="B197" s="214">
        <v>44748</v>
      </c>
      <c r="C197" s="202">
        <f ca="1">DATOSAÑO!I197</f>
        <v>0</v>
      </c>
      <c r="D197" s="196">
        <f ca="1">DATOSAÑO!P197</f>
        <v>0</v>
      </c>
      <c r="E197" s="196">
        <f ca="1">DATOSAÑO!Q197</f>
        <v>0</v>
      </c>
      <c r="F197" s="196">
        <f ca="1">DATOSAÑO!T197</f>
        <v>0</v>
      </c>
      <c r="G197" s="196">
        <f t="shared" ca="1" si="35"/>
        <v>0</v>
      </c>
      <c r="H197" s="196" t="e">
        <f t="shared" ca="1" si="43"/>
        <v>#DIV/0!</v>
      </c>
      <c r="I197" s="196" t="e">
        <f t="shared" ca="1" si="31"/>
        <v>#DIV/0!</v>
      </c>
      <c r="J197" s="196" t="e">
        <f t="shared" ca="1" si="32"/>
        <v>#DIV/0!</v>
      </c>
      <c r="K197" s="196" t="e">
        <f t="shared" ca="1" si="33"/>
        <v>#DIV/0!</v>
      </c>
      <c r="L197" s="196">
        <f t="shared" ca="1" si="44"/>
        <v>0</v>
      </c>
      <c r="M197" s="196" t="e">
        <f t="shared" ca="1" si="34"/>
        <v>#DIV/0!</v>
      </c>
      <c r="N197" s="196">
        <f t="shared" ca="1" si="37"/>
        <v>0</v>
      </c>
      <c r="O197" s="196">
        <f ca="1">(DATOSAÑO!AJ197+DATOSAÑO!AK197+DATOSAÑO!AD197)</f>
        <v>0</v>
      </c>
      <c r="P197" s="196">
        <f ca="1">DATOSAÑO!AI197</f>
        <v>0</v>
      </c>
      <c r="Q197" s="196">
        <f ca="1">DATOSAÑO!AH197</f>
        <v>0</v>
      </c>
      <c r="R197" s="196">
        <f ca="1">DATOSAÑO!AM197+DATOSAÑO!AN197+DATOSAÑO!AF197</f>
        <v>0</v>
      </c>
      <c r="S197" s="209">
        <f ca="1">IF(B197&gt;=$P$5,0,CONTADORES!S195-CONTADORES!S194)</f>
        <v>0</v>
      </c>
      <c r="T197" s="206">
        <f ca="1">IF(B197&gt;=$P$5,0,(CONTADORES!U195-CONTADORES!U194)+(CONTADORES!AG195-CONTADORES!AG194))</f>
        <v>0</v>
      </c>
      <c r="U197" s="206">
        <f ca="1">IF(B197&gt;=$P$5,0,(CONTADORES!AS195-CONTADORES!AS194))</f>
        <v>0</v>
      </c>
      <c r="V197" s="206">
        <f ca="1">IF(B197&gt;=$P$5,0,(CONTADORES!AT195-CONTADORES!AT194))</f>
        <v>0</v>
      </c>
      <c r="W197" s="715">
        <v>0</v>
      </c>
      <c r="X197" s="206">
        <f ca="1">IF(W197=0,(T197-INICIO!$W$6),((T197-INICIO!$W$6)+V197))</f>
        <v>0</v>
      </c>
      <c r="Y197" s="208">
        <f t="shared" ca="1" si="38"/>
        <v>0</v>
      </c>
      <c r="Z197" s="209" t="e">
        <f t="shared" ca="1" si="39"/>
        <v>#DIV/0!</v>
      </c>
      <c r="AA197" s="206" t="e">
        <f t="shared" ca="1" si="40"/>
        <v>#DIV/0!</v>
      </c>
      <c r="AB197" s="206" t="e">
        <f t="shared" ca="1" si="41"/>
        <v>#DIV/0!</v>
      </c>
      <c r="AC197" s="208" t="e">
        <f t="shared" ca="1" si="36"/>
        <v>#DIV/0!</v>
      </c>
    </row>
    <row r="198" spans="2:29">
      <c r="B198" s="214">
        <v>44749</v>
      </c>
      <c r="C198" s="202">
        <f ca="1">DATOSAÑO!I198</f>
        <v>0</v>
      </c>
      <c r="D198" s="196">
        <f ca="1">DATOSAÑO!P198</f>
        <v>0</v>
      </c>
      <c r="E198" s="196">
        <f ca="1">DATOSAÑO!Q198</f>
        <v>0</v>
      </c>
      <c r="F198" s="196">
        <f ca="1">DATOSAÑO!T198</f>
        <v>0</v>
      </c>
      <c r="G198" s="196">
        <f t="shared" ca="1" si="35"/>
        <v>0</v>
      </c>
      <c r="H198" s="196" t="e">
        <f t="shared" ca="1" si="43"/>
        <v>#DIV/0!</v>
      </c>
      <c r="I198" s="196" t="e">
        <f t="shared" ca="1" si="31"/>
        <v>#DIV/0!</v>
      </c>
      <c r="J198" s="196" t="e">
        <f t="shared" ca="1" si="32"/>
        <v>#DIV/0!</v>
      </c>
      <c r="K198" s="196" t="e">
        <f t="shared" ca="1" si="33"/>
        <v>#DIV/0!</v>
      </c>
      <c r="L198" s="196">
        <f t="shared" ca="1" si="44"/>
        <v>0</v>
      </c>
      <c r="M198" s="196" t="e">
        <f t="shared" ca="1" si="34"/>
        <v>#DIV/0!</v>
      </c>
      <c r="N198" s="196">
        <f t="shared" ca="1" si="37"/>
        <v>0</v>
      </c>
      <c r="O198" s="196">
        <f ca="1">(DATOSAÑO!AJ198+DATOSAÑO!AK198+DATOSAÑO!AD198)</f>
        <v>0</v>
      </c>
      <c r="P198" s="196">
        <f ca="1">DATOSAÑO!AI198</f>
        <v>0</v>
      </c>
      <c r="Q198" s="196">
        <f ca="1">DATOSAÑO!AH198</f>
        <v>0</v>
      </c>
      <c r="R198" s="196">
        <f ca="1">DATOSAÑO!AM198+DATOSAÑO!AN198+DATOSAÑO!AF198</f>
        <v>0</v>
      </c>
      <c r="S198" s="209">
        <f ca="1">IF(B198&gt;=$P$5,0,CONTADORES!S196-CONTADORES!S195)</f>
        <v>0</v>
      </c>
      <c r="T198" s="206">
        <f ca="1">IF(B198&gt;=$P$5,0,(CONTADORES!U196-CONTADORES!U195)+(CONTADORES!AG196-CONTADORES!AG195))</f>
        <v>0</v>
      </c>
      <c r="U198" s="206">
        <f ca="1">IF(B198&gt;=$P$5,0,(CONTADORES!AS196-CONTADORES!AS195))</f>
        <v>0</v>
      </c>
      <c r="V198" s="206">
        <f ca="1">IF(B198&gt;=$P$5,0,(CONTADORES!AT196-CONTADORES!AT195))</f>
        <v>0</v>
      </c>
      <c r="W198" s="715">
        <v>0</v>
      </c>
      <c r="X198" s="206">
        <f ca="1">IF(W198=0,(T198-INICIO!$W$6),((T198-INICIO!$W$6)+V198))</f>
        <v>0</v>
      </c>
      <c r="Y198" s="208">
        <f t="shared" ca="1" si="38"/>
        <v>0</v>
      </c>
      <c r="Z198" s="209" t="e">
        <f t="shared" ca="1" si="39"/>
        <v>#DIV/0!</v>
      </c>
      <c r="AA198" s="206" t="e">
        <f t="shared" ca="1" si="40"/>
        <v>#DIV/0!</v>
      </c>
      <c r="AB198" s="206" t="e">
        <f t="shared" ca="1" si="41"/>
        <v>#DIV/0!</v>
      </c>
      <c r="AC198" s="208" t="e">
        <f t="shared" ca="1" si="36"/>
        <v>#DIV/0!</v>
      </c>
    </row>
    <row r="199" spans="2:29">
      <c r="B199" s="214">
        <v>44750</v>
      </c>
      <c r="C199" s="202">
        <f ca="1">DATOSAÑO!I199</f>
        <v>0</v>
      </c>
      <c r="D199" s="196">
        <f ca="1">DATOSAÑO!P199</f>
        <v>0</v>
      </c>
      <c r="E199" s="196">
        <f ca="1">DATOSAÑO!Q199</f>
        <v>0</v>
      </c>
      <c r="F199" s="196">
        <f ca="1">DATOSAÑO!T199</f>
        <v>0</v>
      </c>
      <c r="G199" s="196">
        <f t="shared" ca="1" si="35"/>
        <v>0</v>
      </c>
      <c r="H199" s="196" t="e">
        <f t="shared" ca="1" si="43"/>
        <v>#DIV/0!</v>
      </c>
      <c r="I199" s="196" t="e">
        <f t="shared" ca="1" si="31"/>
        <v>#DIV/0!</v>
      </c>
      <c r="J199" s="196" t="e">
        <f t="shared" ca="1" si="32"/>
        <v>#DIV/0!</v>
      </c>
      <c r="K199" s="196" t="e">
        <f t="shared" ca="1" si="33"/>
        <v>#DIV/0!</v>
      </c>
      <c r="L199" s="196">
        <f t="shared" ca="1" si="44"/>
        <v>0</v>
      </c>
      <c r="M199" s="196" t="e">
        <f t="shared" ca="1" si="34"/>
        <v>#DIV/0!</v>
      </c>
      <c r="N199" s="196">
        <f t="shared" ca="1" si="37"/>
        <v>0</v>
      </c>
      <c r="O199" s="196">
        <f ca="1">(DATOSAÑO!AJ199+DATOSAÑO!AK199+DATOSAÑO!AD199)</f>
        <v>0</v>
      </c>
      <c r="P199" s="196">
        <f ca="1">DATOSAÑO!AI199</f>
        <v>0</v>
      </c>
      <c r="Q199" s="196">
        <f ca="1">DATOSAÑO!AH199</f>
        <v>0</v>
      </c>
      <c r="R199" s="196">
        <f ca="1">DATOSAÑO!AM199+DATOSAÑO!AN199+DATOSAÑO!AF199</f>
        <v>0</v>
      </c>
      <c r="S199" s="209">
        <f ca="1">IF(B199&gt;=$P$5,0,CONTADORES!S197-CONTADORES!S196)</f>
        <v>0</v>
      </c>
      <c r="T199" s="206">
        <f ca="1">IF(B199&gt;=$P$5,0,(CONTADORES!U197-CONTADORES!U196)+(CONTADORES!AG197-CONTADORES!AG196))</f>
        <v>0</v>
      </c>
      <c r="U199" s="206">
        <f ca="1">IF(B199&gt;=$P$5,0,(CONTADORES!AS197-CONTADORES!AS196))</f>
        <v>0</v>
      </c>
      <c r="V199" s="206">
        <f ca="1">IF(B199&gt;=$P$5,0,(CONTADORES!AT197-CONTADORES!AT196))</f>
        <v>0</v>
      </c>
      <c r="W199" s="715">
        <v>0</v>
      </c>
      <c r="X199" s="206">
        <f ca="1">IF(W199=0,(T199-INICIO!$W$6),((T199-INICIO!$W$6)+V199))</f>
        <v>0</v>
      </c>
      <c r="Y199" s="208">
        <f t="shared" ca="1" si="38"/>
        <v>0</v>
      </c>
      <c r="Z199" s="209" t="e">
        <f t="shared" ca="1" si="39"/>
        <v>#DIV/0!</v>
      </c>
      <c r="AA199" s="206" t="e">
        <f t="shared" ca="1" si="40"/>
        <v>#DIV/0!</v>
      </c>
      <c r="AB199" s="206" t="e">
        <f t="shared" ca="1" si="41"/>
        <v>#DIV/0!</v>
      </c>
      <c r="AC199" s="208" t="e">
        <f t="shared" ca="1" si="36"/>
        <v>#DIV/0!</v>
      </c>
    </row>
    <row r="200" spans="2:29">
      <c r="B200" s="214">
        <v>44751</v>
      </c>
      <c r="C200" s="202">
        <f ca="1">DATOSAÑO!I200</f>
        <v>0</v>
      </c>
      <c r="D200" s="196">
        <f ca="1">DATOSAÑO!P200</f>
        <v>0</v>
      </c>
      <c r="E200" s="196">
        <f ca="1">DATOSAÑO!Q200</f>
        <v>0</v>
      </c>
      <c r="F200" s="196">
        <f ca="1">DATOSAÑO!T200</f>
        <v>0</v>
      </c>
      <c r="G200" s="196">
        <f t="shared" ca="1" si="35"/>
        <v>0</v>
      </c>
      <c r="H200" s="196" t="e">
        <f t="shared" ca="1" si="43"/>
        <v>#DIV/0!</v>
      </c>
      <c r="I200" s="196" t="e">
        <f t="shared" ca="1" si="31"/>
        <v>#DIV/0!</v>
      </c>
      <c r="J200" s="196" t="e">
        <f t="shared" ca="1" si="32"/>
        <v>#DIV/0!</v>
      </c>
      <c r="K200" s="196" t="e">
        <f t="shared" ca="1" si="33"/>
        <v>#DIV/0!</v>
      </c>
      <c r="L200" s="196">
        <f t="shared" ca="1" si="44"/>
        <v>0</v>
      </c>
      <c r="M200" s="196" t="e">
        <f t="shared" ca="1" si="34"/>
        <v>#DIV/0!</v>
      </c>
      <c r="N200" s="196">
        <f t="shared" ca="1" si="37"/>
        <v>0</v>
      </c>
      <c r="O200" s="196">
        <f ca="1">(DATOSAÑO!AJ200+DATOSAÑO!AK200+DATOSAÑO!AD200)</f>
        <v>0</v>
      </c>
      <c r="P200" s="196">
        <f ca="1">DATOSAÑO!AI200</f>
        <v>0</v>
      </c>
      <c r="Q200" s="196">
        <f ca="1">DATOSAÑO!AH200</f>
        <v>0</v>
      </c>
      <c r="R200" s="196">
        <f ca="1">DATOSAÑO!AM200+DATOSAÑO!AN200+DATOSAÑO!AF200</f>
        <v>0</v>
      </c>
      <c r="S200" s="209">
        <f ca="1">IF(B200&gt;=$P$5,0,CONTADORES!S198-CONTADORES!S197)</f>
        <v>0</v>
      </c>
      <c r="T200" s="206">
        <f ca="1">IF(B200&gt;=$P$5,0,(CONTADORES!U198-CONTADORES!U197)+(CONTADORES!AG198-CONTADORES!AG197))</f>
        <v>0</v>
      </c>
      <c r="U200" s="206">
        <f ca="1">IF(B200&gt;=$P$5,0,(CONTADORES!AS198-CONTADORES!AS197))</f>
        <v>0</v>
      </c>
      <c r="V200" s="206">
        <f ca="1">IF(B200&gt;=$P$5,0,(CONTADORES!AT198-CONTADORES!AT197))</f>
        <v>0</v>
      </c>
      <c r="W200" s="715">
        <v>0</v>
      </c>
      <c r="X200" s="206">
        <f ca="1">IF(W200=0,(T200-INICIO!$W$6),((T200-INICIO!$W$6)+V200))</f>
        <v>0</v>
      </c>
      <c r="Y200" s="208">
        <f t="shared" ca="1" si="38"/>
        <v>0</v>
      </c>
      <c r="Z200" s="209" t="e">
        <f t="shared" ca="1" si="39"/>
        <v>#DIV/0!</v>
      </c>
      <c r="AA200" s="206" t="e">
        <f t="shared" ca="1" si="40"/>
        <v>#DIV/0!</v>
      </c>
      <c r="AB200" s="206" t="e">
        <f t="shared" ca="1" si="41"/>
        <v>#DIV/0!</v>
      </c>
      <c r="AC200" s="208" t="e">
        <f t="shared" ca="1" si="36"/>
        <v>#DIV/0!</v>
      </c>
    </row>
    <row r="201" spans="2:29">
      <c r="B201" s="214">
        <v>44752</v>
      </c>
      <c r="C201" s="202">
        <f ca="1">DATOSAÑO!I201</f>
        <v>0</v>
      </c>
      <c r="D201" s="196">
        <f ca="1">DATOSAÑO!P201</f>
        <v>0</v>
      </c>
      <c r="E201" s="196">
        <f ca="1">DATOSAÑO!Q201</f>
        <v>0</v>
      </c>
      <c r="F201" s="196">
        <f ca="1">DATOSAÑO!T201</f>
        <v>0</v>
      </c>
      <c r="G201" s="196">
        <f t="shared" ca="1" si="35"/>
        <v>0</v>
      </c>
      <c r="H201" s="196" t="e">
        <f t="shared" ca="1" si="43"/>
        <v>#DIV/0!</v>
      </c>
      <c r="I201" s="196" t="e">
        <f t="shared" ca="1" si="31"/>
        <v>#DIV/0!</v>
      </c>
      <c r="J201" s="196" t="e">
        <f t="shared" ca="1" si="32"/>
        <v>#DIV/0!</v>
      </c>
      <c r="K201" s="196" t="e">
        <f t="shared" ca="1" si="33"/>
        <v>#DIV/0!</v>
      </c>
      <c r="L201" s="196">
        <f t="shared" ca="1" si="44"/>
        <v>0</v>
      </c>
      <c r="M201" s="196" t="e">
        <f t="shared" ca="1" si="34"/>
        <v>#DIV/0!</v>
      </c>
      <c r="N201" s="196">
        <f t="shared" ca="1" si="37"/>
        <v>0</v>
      </c>
      <c r="O201" s="196">
        <f ca="1">(DATOSAÑO!AJ201+DATOSAÑO!AK201+DATOSAÑO!AD201)</f>
        <v>0</v>
      </c>
      <c r="P201" s="196">
        <f ca="1">DATOSAÑO!AI201</f>
        <v>0</v>
      </c>
      <c r="Q201" s="196">
        <f ca="1">DATOSAÑO!AH201</f>
        <v>0</v>
      </c>
      <c r="R201" s="196">
        <f ca="1">DATOSAÑO!AM201+DATOSAÑO!AN201+DATOSAÑO!AF201</f>
        <v>0</v>
      </c>
      <c r="S201" s="209">
        <f ca="1">IF(B201&gt;=$P$5,0,CONTADORES!S199-CONTADORES!S198)</f>
        <v>0</v>
      </c>
      <c r="T201" s="206">
        <f ca="1">IF(B201&gt;=$P$5,0,(CONTADORES!U199-CONTADORES!U198)+(CONTADORES!AG199-CONTADORES!AG198))</f>
        <v>0</v>
      </c>
      <c r="U201" s="206">
        <f ca="1">IF(B201&gt;=$P$5,0,(CONTADORES!AS199-CONTADORES!AS198))</f>
        <v>0</v>
      </c>
      <c r="V201" s="206">
        <f ca="1">IF(B201&gt;=$P$5,0,(CONTADORES!AT199-CONTADORES!AT198))</f>
        <v>0</v>
      </c>
      <c r="W201" s="715">
        <v>0</v>
      </c>
      <c r="X201" s="206">
        <f ca="1">IF(W201=0,(T201-INICIO!$W$6),((T201-INICIO!$W$6)+V201))</f>
        <v>0</v>
      </c>
      <c r="Y201" s="208">
        <f t="shared" ca="1" si="38"/>
        <v>0</v>
      </c>
      <c r="Z201" s="209" t="e">
        <f t="shared" ca="1" si="39"/>
        <v>#DIV/0!</v>
      </c>
      <c r="AA201" s="206" t="e">
        <f t="shared" ca="1" si="40"/>
        <v>#DIV/0!</v>
      </c>
      <c r="AB201" s="206" t="e">
        <f t="shared" ca="1" si="41"/>
        <v>#DIV/0!</v>
      </c>
      <c r="AC201" s="208" t="e">
        <f t="shared" ca="1" si="36"/>
        <v>#DIV/0!</v>
      </c>
    </row>
    <row r="202" spans="2:29">
      <c r="B202" s="214">
        <v>44753</v>
      </c>
      <c r="C202" s="202">
        <f ca="1">DATOSAÑO!I202</f>
        <v>0</v>
      </c>
      <c r="D202" s="196">
        <f ca="1">DATOSAÑO!P202</f>
        <v>0</v>
      </c>
      <c r="E202" s="196">
        <f ca="1">DATOSAÑO!Q202</f>
        <v>0</v>
      </c>
      <c r="F202" s="196">
        <f ca="1">DATOSAÑO!T202</f>
        <v>0</v>
      </c>
      <c r="G202" s="196">
        <f t="shared" ca="1" si="35"/>
        <v>0</v>
      </c>
      <c r="H202" s="196" t="e">
        <f t="shared" ca="1" si="43"/>
        <v>#DIV/0!</v>
      </c>
      <c r="I202" s="196" t="e">
        <f t="shared" ref="I202:I214" ca="1" si="45">O202+Z202</f>
        <v>#DIV/0!</v>
      </c>
      <c r="J202" s="196" t="e">
        <f t="shared" ref="J202:J214" ca="1" si="46">P202+AA202</f>
        <v>#DIV/0!</v>
      </c>
      <c r="K202" s="196" t="e">
        <f t="shared" ref="K202:K214" ca="1" si="47">Q202+AB202</f>
        <v>#DIV/0!</v>
      </c>
      <c r="L202" s="196">
        <f t="shared" ca="1" si="44"/>
        <v>0</v>
      </c>
      <c r="M202" s="196" t="e">
        <f t="shared" ref="M202:M214" ca="1" si="48">N202+AC202</f>
        <v>#DIV/0!</v>
      </c>
      <c r="N202" s="196">
        <f t="shared" ca="1" si="37"/>
        <v>0</v>
      </c>
      <c r="O202" s="196">
        <f ca="1">(DATOSAÑO!AJ202+DATOSAÑO!AK202+DATOSAÑO!AD202)</f>
        <v>0</v>
      </c>
      <c r="P202" s="196">
        <f ca="1">DATOSAÑO!AI202</f>
        <v>0</v>
      </c>
      <c r="Q202" s="196">
        <f ca="1">DATOSAÑO!AH202</f>
        <v>0</v>
      </c>
      <c r="R202" s="196">
        <f ca="1">DATOSAÑO!AM202+DATOSAÑO!AN202+DATOSAÑO!AF202</f>
        <v>0</v>
      </c>
      <c r="S202" s="209">
        <f ca="1">IF(B202&gt;=$P$5,0,CONTADORES!S200-CONTADORES!S199)</f>
        <v>0</v>
      </c>
      <c r="T202" s="206">
        <f ca="1">IF(B202&gt;=$P$5,0,(CONTADORES!U200-CONTADORES!U199)+(CONTADORES!AG200-CONTADORES!AG199))</f>
        <v>0</v>
      </c>
      <c r="U202" s="206">
        <f ca="1">IF(B202&gt;=$P$5,0,(CONTADORES!AS200-CONTADORES!AS199))</f>
        <v>0</v>
      </c>
      <c r="V202" s="206">
        <f ca="1">IF(B202&gt;=$P$5,0,(CONTADORES!AT200-CONTADORES!AT199))</f>
        <v>0</v>
      </c>
      <c r="W202" s="715">
        <v>0</v>
      </c>
      <c r="X202" s="206">
        <f ca="1">IF(W202=0,(T202-INICIO!$W$6),((T202-INICIO!$W$6)+V202))</f>
        <v>0</v>
      </c>
      <c r="Y202" s="208">
        <f t="shared" ca="1" si="38"/>
        <v>0</v>
      </c>
      <c r="Z202" s="209" t="e">
        <f t="shared" ca="1" si="39"/>
        <v>#DIV/0!</v>
      </c>
      <c r="AA202" s="206" t="e">
        <f t="shared" ca="1" si="40"/>
        <v>#DIV/0!</v>
      </c>
      <c r="AB202" s="206" t="e">
        <f t="shared" ca="1" si="41"/>
        <v>#DIV/0!</v>
      </c>
      <c r="AC202" s="208" t="e">
        <f t="shared" ca="1" si="36"/>
        <v>#DIV/0!</v>
      </c>
    </row>
    <row r="203" spans="2:29">
      <c r="B203" s="214">
        <v>44754</v>
      </c>
      <c r="C203" s="202">
        <f ca="1">DATOSAÑO!I203</f>
        <v>0</v>
      </c>
      <c r="D203" s="196">
        <f ca="1">DATOSAÑO!P203</f>
        <v>0</v>
      </c>
      <c r="E203" s="196">
        <f ca="1">DATOSAÑO!Q203</f>
        <v>0</v>
      </c>
      <c r="F203" s="196">
        <f ca="1">DATOSAÑO!T203</f>
        <v>0</v>
      </c>
      <c r="G203" s="196">
        <f t="shared" ref="G203:G266" ca="1" si="49">SUM(C203:F203)</f>
        <v>0</v>
      </c>
      <c r="H203" s="196" t="e">
        <f t="shared" ca="1" si="43"/>
        <v>#DIV/0!</v>
      </c>
      <c r="I203" s="196" t="e">
        <f t="shared" ca="1" si="45"/>
        <v>#DIV/0!</v>
      </c>
      <c r="J203" s="196" t="e">
        <f t="shared" ca="1" si="46"/>
        <v>#DIV/0!</v>
      </c>
      <c r="K203" s="196" t="e">
        <f t="shared" ca="1" si="47"/>
        <v>#DIV/0!</v>
      </c>
      <c r="L203" s="196">
        <f t="shared" ca="1" si="44"/>
        <v>0</v>
      </c>
      <c r="M203" s="196" t="e">
        <f t="shared" ca="1" si="48"/>
        <v>#DIV/0!</v>
      </c>
      <c r="N203" s="196">
        <f t="shared" ca="1" si="37"/>
        <v>0</v>
      </c>
      <c r="O203" s="196">
        <f ca="1">(DATOSAÑO!AJ203+DATOSAÑO!AK203+DATOSAÑO!AD203)</f>
        <v>0</v>
      </c>
      <c r="P203" s="196">
        <f ca="1">DATOSAÑO!AI203</f>
        <v>0</v>
      </c>
      <c r="Q203" s="196">
        <f ca="1">DATOSAÑO!AH203</f>
        <v>0</v>
      </c>
      <c r="R203" s="196">
        <f ca="1">DATOSAÑO!AM203+DATOSAÑO!AN203+DATOSAÑO!AF203</f>
        <v>0</v>
      </c>
      <c r="S203" s="209">
        <f ca="1">IF(B203&gt;=$P$5,0,CONTADORES!S201-CONTADORES!S200)</f>
        <v>0</v>
      </c>
      <c r="T203" s="206">
        <f ca="1">IF(B203&gt;=$P$5,0,(CONTADORES!U201-CONTADORES!U200)+(CONTADORES!AG201-CONTADORES!AG200))</f>
        <v>0</v>
      </c>
      <c r="U203" s="206">
        <f ca="1">IF(B203&gt;=$P$5,0,(CONTADORES!AS201-CONTADORES!AS200))</f>
        <v>0</v>
      </c>
      <c r="V203" s="206">
        <f ca="1">IF(B203&gt;=$P$5,0,(CONTADORES!AT201-CONTADORES!AT200))</f>
        <v>0</v>
      </c>
      <c r="W203" s="715">
        <v>0</v>
      </c>
      <c r="X203" s="206">
        <f ca="1">IF(W203=0,(T203-INICIO!$W$6),((T203-INICIO!$W$6)+V203))</f>
        <v>0</v>
      </c>
      <c r="Y203" s="208">
        <f t="shared" ca="1" si="38"/>
        <v>0</v>
      </c>
      <c r="Z203" s="209" t="e">
        <f t="shared" ca="1" si="39"/>
        <v>#DIV/0!</v>
      </c>
      <c r="AA203" s="206" t="e">
        <f t="shared" ca="1" si="40"/>
        <v>#DIV/0!</v>
      </c>
      <c r="AB203" s="206" t="e">
        <f t="shared" ca="1" si="41"/>
        <v>#DIV/0!</v>
      </c>
      <c r="AC203" s="208" t="e">
        <f t="shared" ref="AC203:AC266" ca="1" si="50">IF(B203&gt;=$P$5,0,($Y203*N203)/SUM($N203:$Q203))</f>
        <v>#DIV/0!</v>
      </c>
    </row>
    <row r="204" spans="2:29">
      <c r="B204" s="214">
        <v>44755</v>
      </c>
      <c r="C204" s="202">
        <f ca="1">DATOSAÑO!I204</f>
        <v>0</v>
      </c>
      <c r="D204" s="196">
        <f ca="1">DATOSAÑO!P204</f>
        <v>0</v>
      </c>
      <c r="E204" s="196">
        <f ca="1">DATOSAÑO!Q204</f>
        <v>0</v>
      </c>
      <c r="F204" s="196">
        <f ca="1">DATOSAÑO!T204</f>
        <v>0</v>
      </c>
      <c r="G204" s="196">
        <f t="shared" ca="1" si="49"/>
        <v>0</v>
      </c>
      <c r="H204" s="196" t="e">
        <f t="shared" ca="1" si="43"/>
        <v>#DIV/0!</v>
      </c>
      <c r="I204" s="196" t="e">
        <f t="shared" ca="1" si="45"/>
        <v>#DIV/0!</v>
      </c>
      <c r="J204" s="196" t="e">
        <f t="shared" ca="1" si="46"/>
        <v>#DIV/0!</v>
      </c>
      <c r="K204" s="196" t="e">
        <f t="shared" ca="1" si="47"/>
        <v>#DIV/0!</v>
      </c>
      <c r="L204" s="196">
        <f t="shared" ca="1" si="44"/>
        <v>0</v>
      </c>
      <c r="M204" s="196" t="e">
        <f t="shared" ca="1" si="48"/>
        <v>#DIV/0!</v>
      </c>
      <c r="N204" s="196">
        <f t="shared" ref="N204:N267" ca="1" si="51">U204</f>
        <v>0</v>
      </c>
      <c r="O204" s="196">
        <f ca="1">(DATOSAÑO!AJ204+DATOSAÑO!AK204+DATOSAÑO!AD204)</f>
        <v>0</v>
      </c>
      <c r="P204" s="196">
        <f ca="1">DATOSAÑO!AI204</f>
        <v>0</v>
      </c>
      <c r="Q204" s="196">
        <f ca="1">DATOSAÑO!AH204</f>
        <v>0</v>
      </c>
      <c r="R204" s="196">
        <f ca="1">DATOSAÑO!AM204+DATOSAÑO!AN204+DATOSAÑO!AF204</f>
        <v>0</v>
      </c>
      <c r="S204" s="209">
        <f ca="1">IF(B204&gt;=$P$5,0,CONTADORES!S202-CONTADORES!S201)</f>
        <v>0</v>
      </c>
      <c r="T204" s="206">
        <f ca="1">IF(B204&gt;=$P$5,0,(CONTADORES!U202-CONTADORES!U201)+(CONTADORES!AG202-CONTADORES!AG201))</f>
        <v>0</v>
      </c>
      <c r="U204" s="206">
        <f ca="1">IF(B204&gt;=$P$5,0,(CONTADORES!AS202-CONTADORES!AS201))</f>
        <v>0</v>
      </c>
      <c r="V204" s="206">
        <f ca="1">IF(B204&gt;=$P$5,0,(CONTADORES!AT202-CONTADORES!AT201))</f>
        <v>0</v>
      </c>
      <c r="W204" s="715">
        <v>0</v>
      </c>
      <c r="X204" s="206">
        <f ca="1">IF(W204=0,(T204-INICIO!$W$6),((T204-INICIO!$W$6)+V204))</f>
        <v>0</v>
      </c>
      <c r="Y204" s="208">
        <f t="shared" ref="Y204:Y267" ca="1" si="52">(IF(W204=0,(S204-U204),((S204-U204)-V204))+E204)</f>
        <v>0</v>
      </c>
      <c r="Z204" s="209" t="e">
        <f t="shared" ref="Z204:Z267" ca="1" si="53">IF(B204&gt;=$P$5,0,($Y204*O204)/SUM($N204:$Q204))</f>
        <v>#DIV/0!</v>
      </c>
      <c r="AA204" s="206" t="e">
        <f t="shared" ref="AA204:AA267" ca="1" si="54">IF(B204&gt;=$P$5,0,($Y204*P204)/SUM($N204:$Q204))</f>
        <v>#DIV/0!</v>
      </c>
      <c r="AB204" s="206" t="e">
        <f t="shared" ref="AB204:AB267" ca="1" si="55">IF(B204&gt;=$P$5,0,($Y204*Q204)/SUM($N204:$Q204))</f>
        <v>#DIV/0!</v>
      </c>
      <c r="AC204" s="208" t="e">
        <f t="shared" ca="1" si="50"/>
        <v>#DIV/0!</v>
      </c>
    </row>
    <row r="205" spans="2:29">
      <c r="B205" s="214">
        <v>44756</v>
      </c>
      <c r="C205" s="202">
        <f ca="1">DATOSAÑO!I205</f>
        <v>0</v>
      </c>
      <c r="D205" s="196">
        <f ca="1">DATOSAÑO!P205</f>
        <v>0</v>
      </c>
      <c r="E205" s="196">
        <f ca="1">DATOSAÑO!Q205</f>
        <v>0</v>
      </c>
      <c r="F205" s="196">
        <f ca="1">DATOSAÑO!T205</f>
        <v>0</v>
      </c>
      <c r="G205" s="196">
        <f t="shared" ca="1" si="49"/>
        <v>0</v>
      </c>
      <c r="H205" s="196" t="e">
        <f t="shared" ca="1" si="43"/>
        <v>#DIV/0!</v>
      </c>
      <c r="I205" s="196" t="e">
        <f t="shared" ca="1" si="45"/>
        <v>#DIV/0!</v>
      </c>
      <c r="J205" s="196" t="e">
        <f t="shared" ca="1" si="46"/>
        <v>#DIV/0!</v>
      </c>
      <c r="K205" s="196" t="e">
        <f t="shared" ca="1" si="47"/>
        <v>#DIV/0!</v>
      </c>
      <c r="L205" s="196">
        <f t="shared" ca="1" si="44"/>
        <v>0</v>
      </c>
      <c r="M205" s="196" t="e">
        <f t="shared" ca="1" si="48"/>
        <v>#DIV/0!</v>
      </c>
      <c r="N205" s="196">
        <f t="shared" ca="1" si="51"/>
        <v>0</v>
      </c>
      <c r="O205" s="196">
        <f ca="1">(DATOSAÑO!AJ205+DATOSAÑO!AK205+DATOSAÑO!AD205)</f>
        <v>0</v>
      </c>
      <c r="P205" s="196">
        <f ca="1">DATOSAÑO!AI205</f>
        <v>0</v>
      </c>
      <c r="Q205" s="196">
        <f ca="1">DATOSAÑO!AH205</f>
        <v>0</v>
      </c>
      <c r="R205" s="196">
        <f ca="1">DATOSAÑO!AM205+DATOSAÑO!AN205+DATOSAÑO!AF205</f>
        <v>0</v>
      </c>
      <c r="S205" s="209">
        <f ca="1">IF(B205&gt;=$P$5,0,CONTADORES!S203-CONTADORES!S202)</f>
        <v>0</v>
      </c>
      <c r="T205" s="206">
        <f ca="1">IF(B205&gt;=$P$5,0,(CONTADORES!U203-CONTADORES!U202)+(CONTADORES!AG203-CONTADORES!AG202))</f>
        <v>0</v>
      </c>
      <c r="U205" s="206">
        <f ca="1">IF(B205&gt;=$P$5,0,(CONTADORES!AS203-CONTADORES!AS202))</f>
        <v>0</v>
      </c>
      <c r="V205" s="206">
        <f ca="1">IF(B205&gt;=$P$5,0,(CONTADORES!AT203-CONTADORES!AT202))</f>
        <v>0</v>
      </c>
      <c r="W205" s="715">
        <v>0</v>
      </c>
      <c r="X205" s="206">
        <f ca="1">IF(W205=0,(T205-INICIO!$W$6),((T205-INICIO!$W$6)+V205))</f>
        <v>0</v>
      </c>
      <c r="Y205" s="208">
        <f t="shared" ca="1" si="52"/>
        <v>0</v>
      </c>
      <c r="Z205" s="209" t="e">
        <f t="shared" ca="1" si="53"/>
        <v>#DIV/0!</v>
      </c>
      <c r="AA205" s="206" t="e">
        <f t="shared" ca="1" si="54"/>
        <v>#DIV/0!</v>
      </c>
      <c r="AB205" s="206" t="e">
        <f t="shared" ca="1" si="55"/>
        <v>#DIV/0!</v>
      </c>
      <c r="AC205" s="208" t="e">
        <f t="shared" ca="1" si="50"/>
        <v>#DIV/0!</v>
      </c>
    </row>
    <row r="206" spans="2:29">
      <c r="B206" s="214">
        <v>44757</v>
      </c>
      <c r="C206" s="202">
        <f ca="1">DATOSAÑO!I206</f>
        <v>0</v>
      </c>
      <c r="D206" s="196">
        <f ca="1">DATOSAÑO!P206</f>
        <v>0</v>
      </c>
      <c r="E206" s="196">
        <f ca="1">DATOSAÑO!Q206</f>
        <v>0</v>
      </c>
      <c r="F206" s="196">
        <f ca="1">DATOSAÑO!T206</f>
        <v>0</v>
      </c>
      <c r="G206" s="196">
        <f t="shared" ca="1" si="49"/>
        <v>0</v>
      </c>
      <c r="H206" s="196" t="e">
        <f t="shared" ca="1" si="43"/>
        <v>#DIV/0!</v>
      </c>
      <c r="I206" s="196" t="e">
        <f t="shared" ca="1" si="45"/>
        <v>#DIV/0!</v>
      </c>
      <c r="J206" s="196" t="e">
        <f t="shared" ca="1" si="46"/>
        <v>#DIV/0!</v>
      </c>
      <c r="K206" s="196" t="e">
        <f t="shared" ca="1" si="47"/>
        <v>#DIV/0!</v>
      </c>
      <c r="L206" s="196">
        <f t="shared" ca="1" si="44"/>
        <v>0</v>
      </c>
      <c r="M206" s="196" t="e">
        <f t="shared" ca="1" si="48"/>
        <v>#DIV/0!</v>
      </c>
      <c r="N206" s="196">
        <f t="shared" ca="1" si="51"/>
        <v>0</v>
      </c>
      <c r="O206" s="196">
        <f ca="1">(DATOSAÑO!AJ206+DATOSAÑO!AK206+DATOSAÑO!AD206)</f>
        <v>0</v>
      </c>
      <c r="P206" s="196">
        <f ca="1">DATOSAÑO!AI206</f>
        <v>0</v>
      </c>
      <c r="Q206" s="196">
        <f ca="1">DATOSAÑO!AH206</f>
        <v>0</v>
      </c>
      <c r="R206" s="196">
        <f ca="1">DATOSAÑO!AM206+DATOSAÑO!AN206+DATOSAÑO!AF206</f>
        <v>0</v>
      </c>
      <c r="S206" s="209">
        <f ca="1">IF(B206&gt;=$P$5,0,CONTADORES!S204-CONTADORES!S203)</f>
        <v>0</v>
      </c>
      <c r="T206" s="206">
        <f ca="1">IF(B206&gt;=$P$5,0,(CONTADORES!U204-CONTADORES!U203)+(CONTADORES!AG204-CONTADORES!AG203))</f>
        <v>0</v>
      </c>
      <c r="U206" s="206">
        <f ca="1">IF(B206&gt;=$P$5,0,(CONTADORES!AS204-CONTADORES!AS203))</f>
        <v>0</v>
      </c>
      <c r="V206" s="206">
        <f ca="1">IF(B206&gt;=$P$5,0,(CONTADORES!AT204-CONTADORES!AT203))</f>
        <v>0</v>
      </c>
      <c r="W206" s="715">
        <v>0</v>
      </c>
      <c r="X206" s="206">
        <f ca="1">IF(W206=0,(T206-INICIO!$W$6),((T206-INICIO!$W$6)+V206))</f>
        <v>0</v>
      </c>
      <c r="Y206" s="208">
        <f t="shared" ca="1" si="52"/>
        <v>0</v>
      </c>
      <c r="Z206" s="209" t="e">
        <f t="shared" ca="1" si="53"/>
        <v>#DIV/0!</v>
      </c>
      <c r="AA206" s="206" t="e">
        <f t="shared" ca="1" si="54"/>
        <v>#DIV/0!</v>
      </c>
      <c r="AB206" s="206" t="e">
        <f t="shared" ca="1" si="55"/>
        <v>#DIV/0!</v>
      </c>
      <c r="AC206" s="208" t="e">
        <f t="shared" ca="1" si="50"/>
        <v>#DIV/0!</v>
      </c>
    </row>
    <row r="207" spans="2:29">
      <c r="B207" s="214">
        <v>44758</v>
      </c>
      <c r="C207" s="202">
        <f ca="1">DATOSAÑO!I207</f>
        <v>0</v>
      </c>
      <c r="D207" s="196">
        <f ca="1">DATOSAÑO!P207</f>
        <v>0</v>
      </c>
      <c r="E207" s="196">
        <f ca="1">DATOSAÑO!Q207</f>
        <v>0</v>
      </c>
      <c r="F207" s="196">
        <f ca="1">DATOSAÑO!T207</f>
        <v>0</v>
      </c>
      <c r="G207" s="196">
        <f t="shared" ca="1" si="49"/>
        <v>0</v>
      </c>
      <c r="H207" s="196" t="e">
        <f t="shared" ca="1" si="43"/>
        <v>#DIV/0!</v>
      </c>
      <c r="I207" s="196" t="e">
        <f t="shared" ca="1" si="45"/>
        <v>#DIV/0!</v>
      </c>
      <c r="J207" s="196" t="e">
        <f t="shared" ca="1" si="46"/>
        <v>#DIV/0!</v>
      </c>
      <c r="K207" s="196" t="e">
        <f t="shared" ca="1" si="47"/>
        <v>#DIV/0!</v>
      </c>
      <c r="L207" s="196">
        <f t="shared" ca="1" si="44"/>
        <v>0</v>
      </c>
      <c r="M207" s="196" t="e">
        <f t="shared" ca="1" si="48"/>
        <v>#DIV/0!</v>
      </c>
      <c r="N207" s="196">
        <f t="shared" ca="1" si="51"/>
        <v>0</v>
      </c>
      <c r="O207" s="196">
        <f ca="1">(DATOSAÑO!AJ207+DATOSAÑO!AK207+DATOSAÑO!AD207)</f>
        <v>0</v>
      </c>
      <c r="P207" s="196">
        <f ca="1">DATOSAÑO!AI207</f>
        <v>0</v>
      </c>
      <c r="Q207" s="196">
        <f ca="1">DATOSAÑO!AH207</f>
        <v>0</v>
      </c>
      <c r="R207" s="196">
        <f ca="1">DATOSAÑO!AM207+DATOSAÑO!AN207+DATOSAÑO!AF207</f>
        <v>0</v>
      </c>
      <c r="S207" s="209">
        <f ca="1">IF(B207&gt;=$P$5,0,CONTADORES!S205-CONTADORES!S204)</f>
        <v>0</v>
      </c>
      <c r="T207" s="206">
        <f ca="1">IF(B207&gt;=$P$5,0,(CONTADORES!U205-CONTADORES!U204)+(CONTADORES!AG205-CONTADORES!AG204))</f>
        <v>0</v>
      </c>
      <c r="U207" s="206">
        <f ca="1">IF(B207&gt;=$P$5,0,(CONTADORES!AS205-CONTADORES!AS204))</f>
        <v>0</v>
      </c>
      <c r="V207" s="206">
        <f ca="1">IF(B207&gt;=$P$5,0,(CONTADORES!AT205-CONTADORES!AT204))</f>
        <v>0</v>
      </c>
      <c r="W207" s="715">
        <v>0</v>
      </c>
      <c r="X207" s="206">
        <f ca="1">IF(W207=0,(T207-INICIO!$W$6),((T207-INICIO!$W$6)+V207))</f>
        <v>0</v>
      </c>
      <c r="Y207" s="208">
        <f t="shared" ca="1" si="52"/>
        <v>0</v>
      </c>
      <c r="Z207" s="209" t="e">
        <f t="shared" ca="1" si="53"/>
        <v>#DIV/0!</v>
      </c>
      <c r="AA207" s="206" t="e">
        <f t="shared" ca="1" si="54"/>
        <v>#DIV/0!</v>
      </c>
      <c r="AB207" s="206" t="e">
        <f t="shared" ca="1" si="55"/>
        <v>#DIV/0!</v>
      </c>
      <c r="AC207" s="208" t="e">
        <f t="shared" ca="1" si="50"/>
        <v>#DIV/0!</v>
      </c>
    </row>
    <row r="208" spans="2:29">
      <c r="B208" s="214">
        <v>44759</v>
      </c>
      <c r="C208" s="202">
        <f ca="1">DATOSAÑO!I208</f>
        <v>0</v>
      </c>
      <c r="D208" s="196">
        <f ca="1">DATOSAÑO!P208</f>
        <v>0</v>
      </c>
      <c r="E208" s="196">
        <f ca="1">DATOSAÑO!Q208</f>
        <v>0</v>
      </c>
      <c r="F208" s="196">
        <f ca="1">DATOSAÑO!T208</f>
        <v>0</v>
      </c>
      <c r="G208" s="196">
        <f t="shared" ca="1" si="49"/>
        <v>0</v>
      </c>
      <c r="H208" s="196" t="e">
        <f t="shared" ca="1" si="43"/>
        <v>#DIV/0!</v>
      </c>
      <c r="I208" s="196" t="e">
        <f t="shared" ca="1" si="45"/>
        <v>#DIV/0!</v>
      </c>
      <c r="J208" s="196" t="e">
        <f t="shared" ca="1" si="46"/>
        <v>#DIV/0!</v>
      </c>
      <c r="K208" s="196" t="e">
        <f t="shared" ca="1" si="47"/>
        <v>#DIV/0!</v>
      </c>
      <c r="L208" s="196">
        <f t="shared" ca="1" si="44"/>
        <v>0</v>
      </c>
      <c r="M208" s="196" t="e">
        <f t="shared" ca="1" si="48"/>
        <v>#DIV/0!</v>
      </c>
      <c r="N208" s="196">
        <f t="shared" ca="1" si="51"/>
        <v>0</v>
      </c>
      <c r="O208" s="196">
        <f ca="1">(DATOSAÑO!AJ208+DATOSAÑO!AK208+DATOSAÑO!AD208)</f>
        <v>0</v>
      </c>
      <c r="P208" s="196">
        <f ca="1">DATOSAÑO!AI208</f>
        <v>0</v>
      </c>
      <c r="Q208" s="196">
        <f ca="1">DATOSAÑO!AH208</f>
        <v>0</v>
      </c>
      <c r="R208" s="196">
        <f ca="1">DATOSAÑO!AM208+DATOSAÑO!AN208+DATOSAÑO!AF208</f>
        <v>0</v>
      </c>
      <c r="S208" s="209">
        <f ca="1">IF(B208&gt;=$P$5,0,CONTADORES!S206-CONTADORES!S205)</f>
        <v>0</v>
      </c>
      <c r="T208" s="206">
        <f ca="1">IF(B208&gt;=$P$5,0,(CONTADORES!U206-CONTADORES!U205)+(CONTADORES!AG206-CONTADORES!AG205))</f>
        <v>0</v>
      </c>
      <c r="U208" s="206">
        <f ca="1">IF(B208&gt;=$P$5,0,(CONTADORES!AS206-CONTADORES!AS205))</f>
        <v>0</v>
      </c>
      <c r="V208" s="206">
        <f ca="1">IF(B208&gt;=$P$5,0,(CONTADORES!AT206-CONTADORES!AT205))</f>
        <v>0</v>
      </c>
      <c r="W208" s="715">
        <v>0</v>
      </c>
      <c r="X208" s="206">
        <f ca="1">IF(W208=0,(T208-INICIO!$W$6),((T208-INICIO!$W$6)+V208))</f>
        <v>0</v>
      </c>
      <c r="Y208" s="208">
        <f t="shared" ca="1" si="52"/>
        <v>0</v>
      </c>
      <c r="Z208" s="209" t="e">
        <f t="shared" ca="1" si="53"/>
        <v>#DIV/0!</v>
      </c>
      <c r="AA208" s="206" t="e">
        <f t="shared" ca="1" si="54"/>
        <v>#DIV/0!</v>
      </c>
      <c r="AB208" s="206" t="e">
        <f t="shared" ca="1" si="55"/>
        <v>#DIV/0!</v>
      </c>
      <c r="AC208" s="208" t="e">
        <f t="shared" ca="1" si="50"/>
        <v>#DIV/0!</v>
      </c>
    </row>
    <row r="209" spans="2:29">
      <c r="B209" s="214">
        <v>44760</v>
      </c>
      <c r="C209" s="202">
        <f ca="1">DATOSAÑO!I209</f>
        <v>0</v>
      </c>
      <c r="D209" s="196">
        <f ca="1">DATOSAÑO!P209</f>
        <v>0</v>
      </c>
      <c r="E209" s="196">
        <f ca="1">DATOSAÑO!Q209</f>
        <v>0</v>
      </c>
      <c r="F209" s="196">
        <f ca="1">DATOSAÑO!T209</f>
        <v>0</v>
      </c>
      <c r="G209" s="196">
        <f t="shared" ca="1" si="49"/>
        <v>0</v>
      </c>
      <c r="H209" s="196" t="e">
        <f t="shared" ca="1" si="43"/>
        <v>#DIV/0!</v>
      </c>
      <c r="I209" s="196" t="e">
        <f t="shared" ca="1" si="45"/>
        <v>#DIV/0!</v>
      </c>
      <c r="J209" s="196" t="e">
        <f t="shared" ca="1" si="46"/>
        <v>#DIV/0!</v>
      </c>
      <c r="K209" s="196" t="e">
        <f t="shared" ca="1" si="47"/>
        <v>#DIV/0!</v>
      </c>
      <c r="L209" s="196">
        <f t="shared" ca="1" si="44"/>
        <v>0</v>
      </c>
      <c r="M209" s="196" t="e">
        <f t="shared" ca="1" si="48"/>
        <v>#DIV/0!</v>
      </c>
      <c r="N209" s="196">
        <f t="shared" ca="1" si="51"/>
        <v>0</v>
      </c>
      <c r="O209" s="196">
        <f ca="1">(DATOSAÑO!AJ209+DATOSAÑO!AK209+DATOSAÑO!AD209)</f>
        <v>0</v>
      </c>
      <c r="P209" s="196">
        <f ca="1">DATOSAÑO!AI209</f>
        <v>0</v>
      </c>
      <c r="Q209" s="196">
        <f ca="1">DATOSAÑO!AH209</f>
        <v>0</v>
      </c>
      <c r="R209" s="196">
        <f ca="1">DATOSAÑO!AM209+DATOSAÑO!AN209+DATOSAÑO!AF209</f>
        <v>0</v>
      </c>
      <c r="S209" s="209">
        <f ca="1">IF(B209&gt;=$P$5,0,CONTADORES!S207-CONTADORES!S206)</f>
        <v>0</v>
      </c>
      <c r="T209" s="206">
        <f ca="1">IF(B209&gt;=$P$5,0,(CONTADORES!U207-CONTADORES!U206)+(CONTADORES!AG207-CONTADORES!AG206))</f>
        <v>0</v>
      </c>
      <c r="U209" s="206">
        <f ca="1">IF(B209&gt;=$P$5,0,(CONTADORES!AS207-CONTADORES!AS206))</f>
        <v>0</v>
      </c>
      <c r="V209" s="206">
        <f ca="1">IF(B209&gt;=$P$5,0,(CONTADORES!AT207-CONTADORES!AT206))</f>
        <v>0</v>
      </c>
      <c r="W209" s="715">
        <v>0</v>
      </c>
      <c r="X209" s="206">
        <f ca="1">IF(W209=0,(T209-INICIO!$W$6),((T209-INICIO!$W$6)+V209))</f>
        <v>0</v>
      </c>
      <c r="Y209" s="208">
        <f t="shared" ca="1" si="52"/>
        <v>0</v>
      </c>
      <c r="Z209" s="209" t="e">
        <f t="shared" ca="1" si="53"/>
        <v>#DIV/0!</v>
      </c>
      <c r="AA209" s="206" t="e">
        <f t="shared" ca="1" si="54"/>
        <v>#DIV/0!</v>
      </c>
      <c r="AB209" s="206" t="e">
        <f t="shared" ca="1" si="55"/>
        <v>#DIV/0!</v>
      </c>
      <c r="AC209" s="208" t="e">
        <f t="shared" ca="1" si="50"/>
        <v>#DIV/0!</v>
      </c>
    </row>
    <row r="210" spans="2:29">
      <c r="B210" s="214">
        <v>44761</v>
      </c>
      <c r="C210" s="202">
        <f ca="1">DATOSAÑO!I210</f>
        <v>0</v>
      </c>
      <c r="D210" s="196">
        <f ca="1">DATOSAÑO!P210</f>
        <v>0</v>
      </c>
      <c r="E210" s="196">
        <f ca="1">DATOSAÑO!Q210</f>
        <v>0</v>
      </c>
      <c r="F210" s="196">
        <f ca="1">DATOSAÑO!T210</f>
        <v>0</v>
      </c>
      <c r="G210" s="196">
        <f t="shared" ca="1" si="49"/>
        <v>0</v>
      </c>
      <c r="H210" s="196" t="e">
        <f t="shared" ca="1" si="43"/>
        <v>#DIV/0!</v>
      </c>
      <c r="I210" s="196" t="e">
        <f t="shared" ca="1" si="45"/>
        <v>#DIV/0!</v>
      </c>
      <c r="J210" s="196" t="e">
        <f t="shared" ca="1" si="46"/>
        <v>#DIV/0!</v>
      </c>
      <c r="K210" s="196" t="e">
        <f t="shared" ca="1" si="47"/>
        <v>#DIV/0!</v>
      </c>
      <c r="L210" s="196">
        <f t="shared" ca="1" si="44"/>
        <v>0</v>
      </c>
      <c r="M210" s="196" t="e">
        <f t="shared" ca="1" si="48"/>
        <v>#DIV/0!</v>
      </c>
      <c r="N210" s="196">
        <f t="shared" ca="1" si="51"/>
        <v>0</v>
      </c>
      <c r="O210" s="196">
        <f ca="1">(DATOSAÑO!AJ210+DATOSAÑO!AK210+DATOSAÑO!AD210)</f>
        <v>0</v>
      </c>
      <c r="P210" s="196">
        <f ca="1">DATOSAÑO!AI210</f>
        <v>0</v>
      </c>
      <c r="Q210" s="196">
        <f ca="1">DATOSAÑO!AH210</f>
        <v>0</v>
      </c>
      <c r="R210" s="196">
        <f ca="1">DATOSAÑO!AM210+DATOSAÑO!AN210+DATOSAÑO!AF210</f>
        <v>0</v>
      </c>
      <c r="S210" s="209">
        <f ca="1">IF(B210&gt;=$P$5,0,CONTADORES!S208-CONTADORES!S207)</f>
        <v>0</v>
      </c>
      <c r="T210" s="206">
        <f ca="1">IF(B210&gt;=$P$5,0,(CONTADORES!U208-CONTADORES!U207)+(CONTADORES!AG208-CONTADORES!AG207))</f>
        <v>0</v>
      </c>
      <c r="U210" s="206">
        <f ca="1">IF(B210&gt;=$P$5,0,(CONTADORES!AS208-CONTADORES!AS207))</f>
        <v>0</v>
      </c>
      <c r="V210" s="206">
        <f ca="1">IF(B210&gt;=$P$5,0,(CONTADORES!AT208-CONTADORES!AT207))</f>
        <v>0</v>
      </c>
      <c r="W210" s="715">
        <v>0</v>
      </c>
      <c r="X210" s="206">
        <f ca="1">IF(W210=0,(T210-INICIO!$W$6),((T210-INICIO!$W$6)+V210))</f>
        <v>0</v>
      </c>
      <c r="Y210" s="208">
        <f t="shared" ca="1" si="52"/>
        <v>0</v>
      </c>
      <c r="Z210" s="209" t="e">
        <f t="shared" ca="1" si="53"/>
        <v>#DIV/0!</v>
      </c>
      <c r="AA210" s="206" t="e">
        <f t="shared" ca="1" si="54"/>
        <v>#DIV/0!</v>
      </c>
      <c r="AB210" s="206" t="e">
        <f t="shared" ca="1" si="55"/>
        <v>#DIV/0!</v>
      </c>
      <c r="AC210" s="208" t="e">
        <f t="shared" ca="1" si="50"/>
        <v>#DIV/0!</v>
      </c>
    </row>
    <row r="211" spans="2:29">
      <c r="B211" s="214">
        <v>44762</v>
      </c>
      <c r="C211" s="202">
        <f ca="1">DATOSAÑO!I211</f>
        <v>0</v>
      </c>
      <c r="D211" s="196">
        <f ca="1">DATOSAÑO!P211</f>
        <v>0</v>
      </c>
      <c r="E211" s="196">
        <f ca="1">DATOSAÑO!Q211</f>
        <v>0</v>
      </c>
      <c r="F211" s="196">
        <f ca="1">DATOSAÑO!T211</f>
        <v>0</v>
      </c>
      <c r="G211" s="196">
        <f t="shared" ca="1" si="49"/>
        <v>0</v>
      </c>
      <c r="H211" s="196" t="e">
        <f t="shared" ca="1" si="43"/>
        <v>#DIV/0!</v>
      </c>
      <c r="I211" s="196" t="e">
        <f t="shared" ca="1" si="45"/>
        <v>#DIV/0!</v>
      </c>
      <c r="J211" s="196" t="e">
        <f t="shared" ca="1" si="46"/>
        <v>#DIV/0!</v>
      </c>
      <c r="K211" s="196" t="e">
        <f t="shared" ca="1" si="47"/>
        <v>#DIV/0!</v>
      </c>
      <c r="L211" s="196">
        <f t="shared" ca="1" si="44"/>
        <v>0</v>
      </c>
      <c r="M211" s="196" t="e">
        <f t="shared" ca="1" si="48"/>
        <v>#DIV/0!</v>
      </c>
      <c r="N211" s="196">
        <f t="shared" ca="1" si="51"/>
        <v>0</v>
      </c>
      <c r="O211" s="196">
        <f ca="1">(DATOSAÑO!AJ211+DATOSAÑO!AK211+DATOSAÑO!AD211)</f>
        <v>0</v>
      </c>
      <c r="P211" s="196">
        <f ca="1">DATOSAÑO!AI211</f>
        <v>0</v>
      </c>
      <c r="Q211" s="196">
        <f ca="1">DATOSAÑO!AH211</f>
        <v>0</v>
      </c>
      <c r="R211" s="196">
        <f ca="1">DATOSAÑO!AM211+DATOSAÑO!AN211+DATOSAÑO!AF211</f>
        <v>0</v>
      </c>
      <c r="S211" s="209">
        <f ca="1">IF(B211&gt;=$P$5,0,CONTADORES!S209-CONTADORES!S208)</f>
        <v>0</v>
      </c>
      <c r="T211" s="206">
        <f ca="1">IF(B211&gt;=$P$5,0,(CONTADORES!U209-CONTADORES!U208)+(CONTADORES!AG209-CONTADORES!AG208))</f>
        <v>0</v>
      </c>
      <c r="U211" s="206">
        <f ca="1">IF(B211&gt;=$P$5,0,(CONTADORES!AS209-CONTADORES!AS208))</f>
        <v>0</v>
      </c>
      <c r="V211" s="206">
        <f ca="1">IF(B211&gt;=$P$5,0,(CONTADORES!AT209-CONTADORES!AT208))</f>
        <v>0</v>
      </c>
      <c r="W211" s="715">
        <v>0</v>
      </c>
      <c r="X211" s="206">
        <f ca="1">IF(W211=0,(T211-INICIO!$W$6),((T211-INICIO!$W$6)+V211))</f>
        <v>0</v>
      </c>
      <c r="Y211" s="208">
        <f t="shared" ca="1" si="52"/>
        <v>0</v>
      </c>
      <c r="Z211" s="209" t="e">
        <f t="shared" ca="1" si="53"/>
        <v>#DIV/0!</v>
      </c>
      <c r="AA211" s="206" t="e">
        <f t="shared" ca="1" si="54"/>
        <v>#DIV/0!</v>
      </c>
      <c r="AB211" s="206" t="e">
        <f t="shared" ca="1" si="55"/>
        <v>#DIV/0!</v>
      </c>
      <c r="AC211" s="208" t="e">
        <f t="shared" ca="1" si="50"/>
        <v>#DIV/0!</v>
      </c>
    </row>
    <row r="212" spans="2:29">
      <c r="B212" s="214">
        <v>44763</v>
      </c>
      <c r="C212" s="202">
        <f ca="1">DATOSAÑO!I212</f>
        <v>0</v>
      </c>
      <c r="D212" s="196">
        <f ca="1">DATOSAÑO!P212</f>
        <v>0</v>
      </c>
      <c r="E212" s="196">
        <f ca="1">DATOSAÑO!Q212</f>
        <v>0</v>
      </c>
      <c r="F212" s="196">
        <f ca="1">DATOSAÑO!T212</f>
        <v>0</v>
      </c>
      <c r="G212" s="196">
        <f t="shared" ca="1" si="49"/>
        <v>0</v>
      </c>
      <c r="H212" s="196" t="e">
        <f t="shared" ca="1" si="43"/>
        <v>#DIV/0!</v>
      </c>
      <c r="I212" s="196" t="e">
        <f t="shared" ca="1" si="45"/>
        <v>#DIV/0!</v>
      </c>
      <c r="J212" s="196" t="e">
        <f t="shared" ca="1" si="46"/>
        <v>#DIV/0!</v>
      </c>
      <c r="K212" s="196" t="e">
        <f t="shared" ca="1" si="47"/>
        <v>#DIV/0!</v>
      </c>
      <c r="L212" s="196">
        <f t="shared" ca="1" si="44"/>
        <v>0</v>
      </c>
      <c r="M212" s="196" t="e">
        <f t="shared" ca="1" si="48"/>
        <v>#DIV/0!</v>
      </c>
      <c r="N212" s="196">
        <f t="shared" ca="1" si="51"/>
        <v>0</v>
      </c>
      <c r="O212" s="196">
        <f ca="1">(DATOSAÑO!AJ212+DATOSAÑO!AK212+DATOSAÑO!AD212)</f>
        <v>0</v>
      </c>
      <c r="P212" s="196">
        <f ca="1">DATOSAÑO!AI212</f>
        <v>0</v>
      </c>
      <c r="Q212" s="196">
        <f ca="1">DATOSAÑO!AH212</f>
        <v>0</v>
      </c>
      <c r="R212" s="196">
        <f ca="1">DATOSAÑO!AM212+DATOSAÑO!AN212+DATOSAÑO!AF212</f>
        <v>0</v>
      </c>
      <c r="S212" s="209">
        <f ca="1">IF(B212&gt;=$P$5,0,CONTADORES!S210-CONTADORES!S209)</f>
        <v>0</v>
      </c>
      <c r="T212" s="206">
        <f ca="1">IF(B212&gt;=$P$5,0,(CONTADORES!U210-CONTADORES!U209)+(CONTADORES!AG210-CONTADORES!AG209))</f>
        <v>0</v>
      </c>
      <c r="U212" s="206">
        <f ca="1">IF(B212&gt;=$P$5,0,(CONTADORES!AS210-CONTADORES!AS209))</f>
        <v>0</v>
      </c>
      <c r="V212" s="206">
        <f ca="1">IF(B212&gt;=$P$5,0,(CONTADORES!AT210-CONTADORES!AT209))</f>
        <v>0</v>
      </c>
      <c r="W212" s="715">
        <v>0</v>
      </c>
      <c r="X212" s="206">
        <f ca="1">IF(W212=0,(T212-INICIO!$W$6),((T212-INICIO!$W$6)+V212))</f>
        <v>0</v>
      </c>
      <c r="Y212" s="208">
        <f t="shared" ca="1" si="52"/>
        <v>0</v>
      </c>
      <c r="Z212" s="209" t="e">
        <f t="shared" ca="1" si="53"/>
        <v>#DIV/0!</v>
      </c>
      <c r="AA212" s="206" t="e">
        <f t="shared" ca="1" si="54"/>
        <v>#DIV/0!</v>
      </c>
      <c r="AB212" s="206" t="e">
        <f t="shared" ca="1" si="55"/>
        <v>#DIV/0!</v>
      </c>
      <c r="AC212" s="208" t="e">
        <f t="shared" ca="1" si="50"/>
        <v>#DIV/0!</v>
      </c>
    </row>
    <row r="213" spans="2:29">
      <c r="B213" s="214">
        <v>44764</v>
      </c>
      <c r="C213" s="202">
        <f ca="1">DATOSAÑO!I213</f>
        <v>0</v>
      </c>
      <c r="D213" s="196">
        <f ca="1">DATOSAÑO!P213</f>
        <v>0</v>
      </c>
      <c r="E213" s="196">
        <f ca="1">DATOSAÑO!Q213</f>
        <v>0</v>
      </c>
      <c r="F213" s="196">
        <f ca="1">DATOSAÑO!T213</f>
        <v>0</v>
      </c>
      <c r="G213" s="196">
        <f t="shared" ca="1" si="49"/>
        <v>0</v>
      </c>
      <c r="H213" s="196" t="e">
        <f t="shared" ca="1" si="43"/>
        <v>#DIV/0!</v>
      </c>
      <c r="I213" s="196" t="e">
        <f t="shared" ca="1" si="45"/>
        <v>#DIV/0!</v>
      </c>
      <c r="J213" s="196" t="e">
        <f t="shared" ca="1" si="46"/>
        <v>#DIV/0!</v>
      </c>
      <c r="K213" s="196" t="e">
        <f t="shared" ca="1" si="47"/>
        <v>#DIV/0!</v>
      </c>
      <c r="L213" s="196">
        <f t="shared" ca="1" si="44"/>
        <v>0</v>
      </c>
      <c r="M213" s="196" t="e">
        <f t="shared" ca="1" si="48"/>
        <v>#DIV/0!</v>
      </c>
      <c r="N213" s="196">
        <f t="shared" ca="1" si="51"/>
        <v>0</v>
      </c>
      <c r="O213" s="196">
        <f ca="1">(DATOSAÑO!AJ213+DATOSAÑO!AK213+DATOSAÑO!AD213)</f>
        <v>0</v>
      </c>
      <c r="P213" s="196">
        <f ca="1">DATOSAÑO!AI213</f>
        <v>0</v>
      </c>
      <c r="Q213" s="196">
        <f ca="1">DATOSAÑO!AH213</f>
        <v>0</v>
      </c>
      <c r="R213" s="196">
        <f ca="1">DATOSAÑO!AM213+DATOSAÑO!AN213+DATOSAÑO!AF213</f>
        <v>0</v>
      </c>
      <c r="S213" s="209">
        <f ca="1">IF(B213&gt;=$P$5,0,CONTADORES!S211-CONTADORES!S210)</f>
        <v>0</v>
      </c>
      <c r="T213" s="206">
        <f ca="1">IF(B213&gt;=$P$5,0,(CONTADORES!U211-CONTADORES!U210)+(CONTADORES!AG211-CONTADORES!AG210))</f>
        <v>0</v>
      </c>
      <c r="U213" s="206">
        <f ca="1">IF(B213&gt;=$P$5,0,(CONTADORES!AS211-CONTADORES!AS210))</f>
        <v>0</v>
      </c>
      <c r="V213" s="206">
        <f ca="1">IF(B213&gt;=$P$5,0,(CONTADORES!AT211-CONTADORES!AT210))</f>
        <v>0</v>
      </c>
      <c r="W213" s="715">
        <v>0</v>
      </c>
      <c r="X213" s="206">
        <f ca="1">IF(W213=0,(T213-INICIO!$W$6),((T213-INICIO!$W$6)+V213))</f>
        <v>0</v>
      </c>
      <c r="Y213" s="208">
        <f t="shared" ca="1" si="52"/>
        <v>0</v>
      </c>
      <c r="Z213" s="209" t="e">
        <f t="shared" ca="1" si="53"/>
        <v>#DIV/0!</v>
      </c>
      <c r="AA213" s="206" t="e">
        <f t="shared" ca="1" si="54"/>
        <v>#DIV/0!</v>
      </c>
      <c r="AB213" s="206" t="e">
        <f t="shared" ca="1" si="55"/>
        <v>#DIV/0!</v>
      </c>
      <c r="AC213" s="208" t="e">
        <f t="shared" ca="1" si="50"/>
        <v>#DIV/0!</v>
      </c>
    </row>
    <row r="214" spans="2:29">
      <c r="B214" s="214">
        <v>44765</v>
      </c>
      <c r="C214" s="202">
        <f ca="1">DATOSAÑO!I214</f>
        <v>0</v>
      </c>
      <c r="D214" s="196">
        <f ca="1">DATOSAÑO!P214</f>
        <v>0</v>
      </c>
      <c r="E214" s="196">
        <f ca="1">DATOSAÑO!Q214</f>
        <v>0</v>
      </c>
      <c r="F214" s="196">
        <f ca="1">DATOSAÑO!T214</f>
        <v>0</v>
      </c>
      <c r="G214" s="196">
        <f t="shared" ca="1" si="49"/>
        <v>0</v>
      </c>
      <c r="H214" s="196" t="e">
        <f t="shared" ca="1" si="43"/>
        <v>#DIV/0!</v>
      </c>
      <c r="I214" s="196" t="e">
        <f t="shared" ca="1" si="45"/>
        <v>#DIV/0!</v>
      </c>
      <c r="J214" s="196" t="e">
        <f t="shared" ca="1" si="46"/>
        <v>#DIV/0!</v>
      </c>
      <c r="K214" s="196" t="e">
        <f t="shared" ca="1" si="47"/>
        <v>#DIV/0!</v>
      </c>
      <c r="L214" s="196">
        <f t="shared" ca="1" si="44"/>
        <v>0</v>
      </c>
      <c r="M214" s="196" t="e">
        <f t="shared" ca="1" si="48"/>
        <v>#DIV/0!</v>
      </c>
      <c r="N214" s="196">
        <f t="shared" ca="1" si="51"/>
        <v>0</v>
      </c>
      <c r="O214" s="196">
        <f ca="1">(DATOSAÑO!AJ214+DATOSAÑO!AK214+DATOSAÑO!AD214)</f>
        <v>0</v>
      </c>
      <c r="P214" s="196">
        <f ca="1">DATOSAÑO!AI214</f>
        <v>0</v>
      </c>
      <c r="Q214" s="196">
        <f ca="1">DATOSAÑO!AH214</f>
        <v>0</v>
      </c>
      <c r="R214" s="196">
        <f ca="1">DATOSAÑO!AM214+DATOSAÑO!AN214+DATOSAÑO!AF214</f>
        <v>0</v>
      </c>
      <c r="S214" s="209">
        <f ca="1">IF(B214&gt;=$P$5,0,CONTADORES!S212-CONTADORES!S211)</f>
        <v>0</v>
      </c>
      <c r="T214" s="206">
        <f ca="1">IF(B214&gt;=$P$5,0,(CONTADORES!U212-CONTADORES!U211)+(CONTADORES!AG212-CONTADORES!AG211))</f>
        <v>0</v>
      </c>
      <c r="U214" s="206">
        <f ca="1">IF(B214&gt;=$P$5,0,(CONTADORES!AS212-CONTADORES!AS211))</f>
        <v>0</v>
      </c>
      <c r="V214" s="206">
        <f ca="1">IF(B214&gt;=$P$5,0,(CONTADORES!AT212-CONTADORES!AT211))</f>
        <v>0</v>
      </c>
      <c r="W214" s="715">
        <v>0</v>
      </c>
      <c r="X214" s="206">
        <f ca="1">IF(W214=0,(T214-INICIO!$W$6),((T214-INICIO!$W$6)+V214))</f>
        <v>0</v>
      </c>
      <c r="Y214" s="208">
        <f t="shared" ca="1" si="52"/>
        <v>0</v>
      </c>
      <c r="Z214" s="209" t="e">
        <f t="shared" ca="1" si="53"/>
        <v>#DIV/0!</v>
      </c>
      <c r="AA214" s="206" t="e">
        <f t="shared" ca="1" si="54"/>
        <v>#DIV/0!</v>
      </c>
      <c r="AB214" s="206" t="e">
        <f t="shared" ca="1" si="55"/>
        <v>#DIV/0!</v>
      </c>
      <c r="AC214" s="208" t="e">
        <f t="shared" ca="1" si="50"/>
        <v>#DIV/0!</v>
      </c>
    </row>
    <row r="215" spans="2:29">
      <c r="B215" s="214">
        <v>44766</v>
      </c>
      <c r="C215" s="202">
        <f ca="1">DATOSAÑO!I215</f>
        <v>0</v>
      </c>
      <c r="D215" s="196">
        <f ca="1">DATOSAÑO!P215</f>
        <v>0</v>
      </c>
      <c r="E215" s="196">
        <f ca="1">DATOSAÑO!Q215</f>
        <v>0</v>
      </c>
      <c r="F215" s="196">
        <f ca="1">DATOSAÑO!T215</f>
        <v>0</v>
      </c>
      <c r="G215" s="196">
        <f t="shared" ca="1" si="49"/>
        <v>0</v>
      </c>
      <c r="H215" s="196" t="e">
        <f t="shared" ca="1" si="43"/>
        <v>#DIV/0!</v>
      </c>
      <c r="I215" s="196" t="e">
        <f t="shared" ref="I215:I246" ca="1" si="56">O215+Z215</f>
        <v>#DIV/0!</v>
      </c>
      <c r="J215" s="196" t="e">
        <f t="shared" ref="J215:J246" ca="1" si="57">P215+AA215</f>
        <v>#DIV/0!</v>
      </c>
      <c r="K215" s="196" t="e">
        <f t="shared" ref="K215:K246" ca="1" si="58">Q215+AB215</f>
        <v>#DIV/0!</v>
      </c>
      <c r="L215" s="196">
        <f t="shared" ca="1" si="44"/>
        <v>0</v>
      </c>
      <c r="M215" s="196" t="e">
        <f t="shared" ref="M215:M246" ca="1" si="59">N215+AC215</f>
        <v>#DIV/0!</v>
      </c>
      <c r="N215" s="196">
        <f t="shared" ca="1" si="51"/>
        <v>0</v>
      </c>
      <c r="O215" s="196">
        <f ca="1">(DATOSAÑO!AJ215+DATOSAÑO!AK215+DATOSAÑO!AD215)</f>
        <v>0</v>
      </c>
      <c r="P215" s="196">
        <f ca="1">DATOSAÑO!AI215</f>
        <v>0</v>
      </c>
      <c r="Q215" s="196">
        <f ca="1">DATOSAÑO!AH215</f>
        <v>0</v>
      </c>
      <c r="R215" s="196">
        <f ca="1">DATOSAÑO!AM215+DATOSAÑO!AN215+DATOSAÑO!AF215</f>
        <v>0</v>
      </c>
      <c r="S215" s="209">
        <f ca="1">IF(B215&gt;=$P$5,0,CONTADORES!S213-CONTADORES!S212)</f>
        <v>0</v>
      </c>
      <c r="T215" s="206">
        <f ca="1">IF(B215&gt;=$P$5,0,(CONTADORES!U213-CONTADORES!U212)+(CONTADORES!AG213-CONTADORES!AG212))</f>
        <v>0</v>
      </c>
      <c r="U215" s="206">
        <f ca="1">IF(B215&gt;=$P$5,0,(CONTADORES!AS213-CONTADORES!AS212))</f>
        <v>0</v>
      </c>
      <c r="V215" s="206">
        <f ca="1">IF(B215&gt;=$P$5,0,(CONTADORES!AT213-CONTADORES!AT212))</f>
        <v>0</v>
      </c>
      <c r="W215" s="715">
        <v>0</v>
      </c>
      <c r="X215" s="206">
        <f ca="1">IF(W215=0,(T215-INICIO!$W$6),((T215-INICIO!$W$6)+V215))</f>
        <v>0</v>
      </c>
      <c r="Y215" s="208">
        <f t="shared" ca="1" si="52"/>
        <v>0</v>
      </c>
      <c r="Z215" s="209" t="e">
        <f t="shared" ca="1" si="53"/>
        <v>#DIV/0!</v>
      </c>
      <c r="AA215" s="206" t="e">
        <f t="shared" ca="1" si="54"/>
        <v>#DIV/0!</v>
      </c>
      <c r="AB215" s="206" t="e">
        <f t="shared" ca="1" si="55"/>
        <v>#DIV/0!</v>
      </c>
      <c r="AC215" s="208" t="e">
        <f t="shared" ca="1" si="50"/>
        <v>#DIV/0!</v>
      </c>
    </row>
    <row r="216" spans="2:29">
      <c r="B216" s="214">
        <v>44767</v>
      </c>
      <c r="C216" s="202">
        <f ca="1">DATOSAÑO!I216</f>
        <v>0</v>
      </c>
      <c r="D216" s="196">
        <f ca="1">DATOSAÑO!P216</f>
        <v>0</v>
      </c>
      <c r="E216" s="196">
        <f ca="1">DATOSAÑO!Q216</f>
        <v>0</v>
      </c>
      <c r="F216" s="196">
        <f ca="1">DATOSAÑO!T216</f>
        <v>0</v>
      </c>
      <c r="G216" s="196">
        <f t="shared" ca="1" si="49"/>
        <v>0</v>
      </c>
      <c r="H216" s="196" t="e">
        <f t="shared" ca="1" si="43"/>
        <v>#DIV/0!</v>
      </c>
      <c r="I216" s="196" t="e">
        <f t="shared" ca="1" si="56"/>
        <v>#DIV/0!</v>
      </c>
      <c r="J216" s="196" t="e">
        <f t="shared" ca="1" si="57"/>
        <v>#DIV/0!</v>
      </c>
      <c r="K216" s="196" t="e">
        <f t="shared" ca="1" si="58"/>
        <v>#DIV/0!</v>
      </c>
      <c r="L216" s="196">
        <f t="shared" ca="1" si="44"/>
        <v>0</v>
      </c>
      <c r="M216" s="196" t="e">
        <f t="shared" ca="1" si="59"/>
        <v>#DIV/0!</v>
      </c>
      <c r="N216" s="196">
        <f t="shared" ca="1" si="51"/>
        <v>0</v>
      </c>
      <c r="O216" s="196">
        <f ca="1">(DATOSAÑO!AJ216+DATOSAÑO!AK216+DATOSAÑO!AD216)</f>
        <v>0</v>
      </c>
      <c r="P216" s="196">
        <f ca="1">DATOSAÑO!AI216</f>
        <v>0</v>
      </c>
      <c r="Q216" s="196">
        <f ca="1">DATOSAÑO!AH216</f>
        <v>0</v>
      </c>
      <c r="R216" s="196">
        <f ca="1">DATOSAÑO!AM216+DATOSAÑO!AN216+DATOSAÑO!AF216</f>
        <v>0</v>
      </c>
      <c r="S216" s="209">
        <f ca="1">IF(B216&gt;=$P$5,0,CONTADORES!S214-CONTADORES!S213)</f>
        <v>0</v>
      </c>
      <c r="T216" s="206">
        <f ca="1">IF(B216&gt;=$P$5,0,(CONTADORES!U214-CONTADORES!U213)+(CONTADORES!AG214-CONTADORES!AG213))</f>
        <v>0</v>
      </c>
      <c r="U216" s="206">
        <f ca="1">IF(B216&gt;=$P$5,0,(CONTADORES!AS214-CONTADORES!AS213))</f>
        <v>0</v>
      </c>
      <c r="V216" s="206">
        <f ca="1">IF(B216&gt;=$P$5,0,(CONTADORES!AT214-CONTADORES!AT213))</f>
        <v>0</v>
      </c>
      <c r="W216" s="715">
        <v>0</v>
      </c>
      <c r="X216" s="206">
        <f ca="1">IF(W216=0,(T216-INICIO!$W$6),((T216-INICIO!$W$6)+V216))</f>
        <v>0</v>
      </c>
      <c r="Y216" s="208">
        <f t="shared" ca="1" si="52"/>
        <v>0</v>
      </c>
      <c r="Z216" s="209" t="e">
        <f t="shared" ca="1" si="53"/>
        <v>#DIV/0!</v>
      </c>
      <c r="AA216" s="206" t="e">
        <f t="shared" ca="1" si="54"/>
        <v>#DIV/0!</v>
      </c>
      <c r="AB216" s="206" t="e">
        <f t="shared" ca="1" si="55"/>
        <v>#DIV/0!</v>
      </c>
      <c r="AC216" s="208" t="e">
        <f t="shared" ca="1" si="50"/>
        <v>#DIV/0!</v>
      </c>
    </row>
    <row r="217" spans="2:29">
      <c r="B217" s="214">
        <v>44768</v>
      </c>
      <c r="C217" s="202">
        <f ca="1">DATOSAÑO!I217</f>
        <v>0</v>
      </c>
      <c r="D217" s="196">
        <f ca="1">DATOSAÑO!P217</f>
        <v>0</v>
      </c>
      <c r="E217" s="196">
        <f ca="1">DATOSAÑO!Q217</f>
        <v>0</v>
      </c>
      <c r="F217" s="196">
        <f ca="1">DATOSAÑO!T217</f>
        <v>0</v>
      </c>
      <c r="G217" s="196">
        <f t="shared" ca="1" si="49"/>
        <v>0</v>
      </c>
      <c r="H217" s="196" t="e">
        <f t="shared" ca="1" si="43"/>
        <v>#DIV/0!</v>
      </c>
      <c r="I217" s="196" t="e">
        <f t="shared" ca="1" si="56"/>
        <v>#DIV/0!</v>
      </c>
      <c r="J217" s="196" t="e">
        <f t="shared" ca="1" si="57"/>
        <v>#DIV/0!</v>
      </c>
      <c r="K217" s="196" t="e">
        <f t="shared" ca="1" si="58"/>
        <v>#DIV/0!</v>
      </c>
      <c r="L217" s="196">
        <f t="shared" ca="1" si="44"/>
        <v>0</v>
      </c>
      <c r="M217" s="196" t="e">
        <f t="shared" ca="1" si="59"/>
        <v>#DIV/0!</v>
      </c>
      <c r="N217" s="196">
        <f t="shared" ca="1" si="51"/>
        <v>0</v>
      </c>
      <c r="O217" s="196">
        <f ca="1">(DATOSAÑO!AJ217+DATOSAÑO!AK217+DATOSAÑO!AD217)</f>
        <v>0</v>
      </c>
      <c r="P217" s="196">
        <f ca="1">DATOSAÑO!AI217</f>
        <v>0</v>
      </c>
      <c r="Q217" s="196">
        <f ca="1">DATOSAÑO!AH217</f>
        <v>0</v>
      </c>
      <c r="R217" s="196">
        <f ca="1">DATOSAÑO!AM217+DATOSAÑO!AN217+DATOSAÑO!AF217</f>
        <v>0</v>
      </c>
      <c r="S217" s="209">
        <f ca="1">IF(B217&gt;=$P$5,0,CONTADORES!S215-CONTADORES!S214)</f>
        <v>0</v>
      </c>
      <c r="T217" s="206">
        <f ca="1">IF(B217&gt;=$P$5,0,(CONTADORES!U215-CONTADORES!U214)+(CONTADORES!AG215-CONTADORES!AG214))</f>
        <v>0</v>
      </c>
      <c r="U217" s="206">
        <f ca="1">IF(B217&gt;=$P$5,0,(CONTADORES!AS215-CONTADORES!AS214))</f>
        <v>0</v>
      </c>
      <c r="V217" s="206">
        <f ca="1">IF(B217&gt;=$P$5,0,(CONTADORES!AT215-CONTADORES!AT214))</f>
        <v>0</v>
      </c>
      <c r="W217" s="715">
        <v>0</v>
      </c>
      <c r="X217" s="206">
        <f ca="1">IF(W217=0,(T217-INICIO!$W$6),((T217-INICIO!$W$6)+V217))</f>
        <v>0</v>
      </c>
      <c r="Y217" s="208">
        <f t="shared" ca="1" si="52"/>
        <v>0</v>
      </c>
      <c r="Z217" s="209" t="e">
        <f t="shared" ca="1" si="53"/>
        <v>#DIV/0!</v>
      </c>
      <c r="AA217" s="206" t="e">
        <f t="shared" ca="1" si="54"/>
        <v>#DIV/0!</v>
      </c>
      <c r="AB217" s="206" t="e">
        <f t="shared" ca="1" si="55"/>
        <v>#DIV/0!</v>
      </c>
      <c r="AC217" s="208" t="e">
        <f t="shared" ca="1" si="50"/>
        <v>#DIV/0!</v>
      </c>
    </row>
    <row r="218" spans="2:29">
      <c r="B218" s="214">
        <v>44769</v>
      </c>
      <c r="C218" s="202">
        <f ca="1">DATOSAÑO!I218</f>
        <v>0</v>
      </c>
      <c r="D218" s="196">
        <f ca="1">DATOSAÑO!P218</f>
        <v>0</v>
      </c>
      <c r="E218" s="196">
        <f ca="1">DATOSAÑO!Q218</f>
        <v>0</v>
      </c>
      <c r="F218" s="196">
        <f ca="1">DATOSAÑO!T218</f>
        <v>0</v>
      </c>
      <c r="G218" s="196">
        <f t="shared" ca="1" si="49"/>
        <v>0</v>
      </c>
      <c r="H218" s="196" t="e">
        <f t="shared" ca="1" si="43"/>
        <v>#DIV/0!</v>
      </c>
      <c r="I218" s="196" t="e">
        <f t="shared" ca="1" si="56"/>
        <v>#DIV/0!</v>
      </c>
      <c r="J218" s="196" t="e">
        <f t="shared" ca="1" si="57"/>
        <v>#DIV/0!</v>
      </c>
      <c r="K218" s="196" t="e">
        <f t="shared" ca="1" si="58"/>
        <v>#DIV/0!</v>
      </c>
      <c r="L218" s="196">
        <f t="shared" ca="1" si="44"/>
        <v>0</v>
      </c>
      <c r="M218" s="196" t="e">
        <f t="shared" ca="1" si="59"/>
        <v>#DIV/0!</v>
      </c>
      <c r="N218" s="196">
        <f t="shared" ca="1" si="51"/>
        <v>0</v>
      </c>
      <c r="O218" s="196">
        <f ca="1">(DATOSAÑO!AJ218+DATOSAÑO!AK218+DATOSAÑO!AD218)</f>
        <v>0</v>
      </c>
      <c r="P218" s="196">
        <f ca="1">DATOSAÑO!AI218</f>
        <v>0</v>
      </c>
      <c r="Q218" s="196">
        <f ca="1">DATOSAÑO!AH218</f>
        <v>0</v>
      </c>
      <c r="R218" s="196">
        <f ca="1">DATOSAÑO!AM218+DATOSAÑO!AN218+DATOSAÑO!AF218</f>
        <v>0</v>
      </c>
      <c r="S218" s="209">
        <f ca="1">IF(B218&gt;=$P$5,0,CONTADORES!S216-CONTADORES!S215)</f>
        <v>0</v>
      </c>
      <c r="T218" s="206">
        <f ca="1">IF(B218&gt;=$P$5,0,(CONTADORES!U216-CONTADORES!U215)+(CONTADORES!AG216-CONTADORES!AG215))</f>
        <v>0</v>
      </c>
      <c r="U218" s="206">
        <f ca="1">IF(B218&gt;=$P$5,0,(CONTADORES!AS216-CONTADORES!AS215))</f>
        <v>0</v>
      </c>
      <c r="V218" s="206">
        <f ca="1">IF(B218&gt;=$P$5,0,(CONTADORES!AT216-CONTADORES!AT215))</f>
        <v>0</v>
      </c>
      <c r="W218" s="715">
        <v>0</v>
      </c>
      <c r="X218" s="206">
        <f ca="1">IF(W218=0,(T218-INICIO!$W$6),((T218-INICIO!$W$6)+V218))</f>
        <v>0</v>
      </c>
      <c r="Y218" s="208">
        <f t="shared" ca="1" si="52"/>
        <v>0</v>
      </c>
      <c r="Z218" s="209" t="e">
        <f t="shared" ca="1" si="53"/>
        <v>#DIV/0!</v>
      </c>
      <c r="AA218" s="206" t="e">
        <f t="shared" ca="1" si="54"/>
        <v>#DIV/0!</v>
      </c>
      <c r="AB218" s="206" t="e">
        <f t="shared" ca="1" si="55"/>
        <v>#DIV/0!</v>
      </c>
      <c r="AC218" s="208" t="e">
        <f t="shared" ca="1" si="50"/>
        <v>#DIV/0!</v>
      </c>
    </row>
    <row r="219" spans="2:29">
      <c r="B219" s="214">
        <v>44770</v>
      </c>
      <c r="C219" s="202">
        <f ca="1">DATOSAÑO!I219</f>
        <v>0</v>
      </c>
      <c r="D219" s="196">
        <f ca="1">DATOSAÑO!P219</f>
        <v>0</v>
      </c>
      <c r="E219" s="196">
        <f ca="1">DATOSAÑO!Q219</f>
        <v>0</v>
      </c>
      <c r="F219" s="196">
        <f ca="1">DATOSAÑO!T219</f>
        <v>0</v>
      </c>
      <c r="G219" s="196">
        <f t="shared" ca="1" si="49"/>
        <v>0</v>
      </c>
      <c r="H219" s="196" t="e">
        <f t="shared" ca="1" si="43"/>
        <v>#DIV/0!</v>
      </c>
      <c r="I219" s="196" t="e">
        <f t="shared" ca="1" si="56"/>
        <v>#DIV/0!</v>
      </c>
      <c r="J219" s="196" t="e">
        <f t="shared" ca="1" si="57"/>
        <v>#DIV/0!</v>
      </c>
      <c r="K219" s="196" t="e">
        <f t="shared" ca="1" si="58"/>
        <v>#DIV/0!</v>
      </c>
      <c r="L219" s="196">
        <f t="shared" ca="1" si="44"/>
        <v>0</v>
      </c>
      <c r="M219" s="196" t="e">
        <f t="shared" ca="1" si="59"/>
        <v>#DIV/0!</v>
      </c>
      <c r="N219" s="196">
        <f t="shared" ca="1" si="51"/>
        <v>0</v>
      </c>
      <c r="O219" s="196">
        <f ca="1">(DATOSAÑO!AJ219+DATOSAÑO!AK219+DATOSAÑO!AD219)</f>
        <v>0</v>
      </c>
      <c r="P219" s="196">
        <f ca="1">DATOSAÑO!AI219</f>
        <v>0</v>
      </c>
      <c r="Q219" s="196">
        <f ca="1">DATOSAÑO!AH219</f>
        <v>0</v>
      </c>
      <c r="R219" s="196">
        <f ca="1">DATOSAÑO!AM219+DATOSAÑO!AN219+DATOSAÑO!AF219</f>
        <v>0</v>
      </c>
      <c r="S219" s="209">
        <f ca="1">IF(B219&gt;=$P$5,0,CONTADORES!S217-CONTADORES!S216)</f>
        <v>0</v>
      </c>
      <c r="T219" s="206">
        <f ca="1">IF(B219&gt;=$P$5,0,(CONTADORES!U217-CONTADORES!U216)+(CONTADORES!AG217-CONTADORES!AG216))</f>
        <v>0</v>
      </c>
      <c r="U219" s="206">
        <f ca="1">IF(B219&gt;=$P$5,0,(CONTADORES!AS217-CONTADORES!AS216))</f>
        <v>0</v>
      </c>
      <c r="V219" s="206">
        <f ca="1">IF(B219&gt;=$P$5,0,(CONTADORES!AT217-CONTADORES!AT216))</f>
        <v>0</v>
      </c>
      <c r="W219" s="715">
        <v>0</v>
      </c>
      <c r="X219" s="206">
        <f ca="1">IF(W219=0,(T219-INICIO!$W$6),((T219-INICIO!$W$6)+V219))</f>
        <v>0</v>
      </c>
      <c r="Y219" s="208">
        <f t="shared" ca="1" si="52"/>
        <v>0</v>
      </c>
      <c r="Z219" s="209" t="e">
        <f t="shared" ca="1" si="53"/>
        <v>#DIV/0!</v>
      </c>
      <c r="AA219" s="206" t="e">
        <f t="shared" ca="1" si="54"/>
        <v>#DIV/0!</v>
      </c>
      <c r="AB219" s="206" t="e">
        <f t="shared" ca="1" si="55"/>
        <v>#DIV/0!</v>
      </c>
      <c r="AC219" s="208" t="e">
        <f t="shared" ca="1" si="50"/>
        <v>#DIV/0!</v>
      </c>
    </row>
    <row r="220" spans="2:29">
      <c r="B220" s="214">
        <v>44771</v>
      </c>
      <c r="C220" s="202">
        <f ca="1">DATOSAÑO!I220</f>
        <v>0</v>
      </c>
      <c r="D220" s="196">
        <f ca="1">DATOSAÑO!P220</f>
        <v>0</v>
      </c>
      <c r="E220" s="196">
        <f ca="1">DATOSAÑO!Q220</f>
        <v>0</v>
      </c>
      <c r="F220" s="196">
        <f ca="1">DATOSAÑO!T220</f>
        <v>0</v>
      </c>
      <c r="G220" s="196">
        <f t="shared" ca="1" si="49"/>
        <v>0</v>
      </c>
      <c r="H220" s="196" t="e">
        <f t="shared" ca="1" si="43"/>
        <v>#DIV/0!</v>
      </c>
      <c r="I220" s="196" t="e">
        <f t="shared" ca="1" si="56"/>
        <v>#DIV/0!</v>
      </c>
      <c r="J220" s="196" t="e">
        <f t="shared" ca="1" si="57"/>
        <v>#DIV/0!</v>
      </c>
      <c r="K220" s="196" t="e">
        <f t="shared" ca="1" si="58"/>
        <v>#DIV/0!</v>
      </c>
      <c r="L220" s="196">
        <f t="shared" ca="1" si="44"/>
        <v>0</v>
      </c>
      <c r="M220" s="196" t="e">
        <f t="shared" ca="1" si="59"/>
        <v>#DIV/0!</v>
      </c>
      <c r="N220" s="196">
        <f t="shared" ca="1" si="51"/>
        <v>0</v>
      </c>
      <c r="O220" s="196">
        <f ca="1">(DATOSAÑO!AJ220+DATOSAÑO!AK220+DATOSAÑO!AD220)</f>
        <v>0</v>
      </c>
      <c r="P220" s="196">
        <f ca="1">DATOSAÑO!AI220</f>
        <v>0</v>
      </c>
      <c r="Q220" s="196">
        <f ca="1">DATOSAÑO!AH220</f>
        <v>0</v>
      </c>
      <c r="R220" s="196">
        <f ca="1">DATOSAÑO!AM220+DATOSAÑO!AN220+DATOSAÑO!AF220</f>
        <v>0</v>
      </c>
      <c r="S220" s="209">
        <f ca="1">IF(B220&gt;=$P$5,0,CONTADORES!S218-CONTADORES!S217)</f>
        <v>0</v>
      </c>
      <c r="T220" s="206">
        <f ca="1">IF(B220&gt;=$P$5,0,(CONTADORES!U218-CONTADORES!U217)+(CONTADORES!AG218-CONTADORES!AG217))</f>
        <v>0</v>
      </c>
      <c r="U220" s="206">
        <f ca="1">IF(B220&gt;=$P$5,0,(CONTADORES!AS218-CONTADORES!AS217))</f>
        <v>0</v>
      </c>
      <c r="V220" s="206">
        <f ca="1">IF(B220&gt;=$P$5,0,(CONTADORES!AT218-CONTADORES!AT217))</f>
        <v>0</v>
      </c>
      <c r="W220" s="715">
        <v>0</v>
      </c>
      <c r="X220" s="206">
        <f ca="1">IF(W220=0,(T220-INICIO!$W$6),((T220-INICIO!$W$6)+V220))</f>
        <v>0</v>
      </c>
      <c r="Y220" s="208">
        <f t="shared" ca="1" si="52"/>
        <v>0</v>
      </c>
      <c r="Z220" s="209" t="e">
        <f t="shared" ca="1" si="53"/>
        <v>#DIV/0!</v>
      </c>
      <c r="AA220" s="206" t="e">
        <f t="shared" ca="1" si="54"/>
        <v>#DIV/0!</v>
      </c>
      <c r="AB220" s="206" t="e">
        <f t="shared" ca="1" si="55"/>
        <v>#DIV/0!</v>
      </c>
      <c r="AC220" s="208" t="e">
        <f t="shared" ca="1" si="50"/>
        <v>#DIV/0!</v>
      </c>
    </row>
    <row r="221" spans="2:29">
      <c r="B221" s="214">
        <v>44772</v>
      </c>
      <c r="C221" s="202">
        <f ca="1">DATOSAÑO!I221</f>
        <v>0</v>
      </c>
      <c r="D221" s="196">
        <f ca="1">DATOSAÑO!P221</f>
        <v>0</v>
      </c>
      <c r="E221" s="196">
        <f ca="1">DATOSAÑO!Q221</f>
        <v>0</v>
      </c>
      <c r="F221" s="196">
        <f ca="1">DATOSAÑO!T221</f>
        <v>0</v>
      </c>
      <c r="G221" s="196">
        <f t="shared" ca="1" si="49"/>
        <v>0</v>
      </c>
      <c r="H221" s="196" t="e">
        <f t="shared" ca="1" si="43"/>
        <v>#DIV/0!</v>
      </c>
      <c r="I221" s="196" t="e">
        <f t="shared" ca="1" si="56"/>
        <v>#DIV/0!</v>
      </c>
      <c r="J221" s="196" t="e">
        <f t="shared" ca="1" si="57"/>
        <v>#DIV/0!</v>
      </c>
      <c r="K221" s="196" t="e">
        <f t="shared" ca="1" si="58"/>
        <v>#DIV/0!</v>
      </c>
      <c r="L221" s="196">
        <f t="shared" ca="1" si="44"/>
        <v>0</v>
      </c>
      <c r="M221" s="196" t="e">
        <f t="shared" ca="1" si="59"/>
        <v>#DIV/0!</v>
      </c>
      <c r="N221" s="196">
        <f t="shared" ca="1" si="51"/>
        <v>0</v>
      </c>
      <c r="O221" s="196">
        <f ca="1">(DATOSAÑO!AJ221+DATOSAÑO!AK221+DATOSAÑO!AD221)</f>
        <v>0</v>
      </c>
      <c r="P221" s="196">
        <f ca="1">DATOSAÑO!AI221</f>
        <v>0</v>
      </c>
      <c r="Q221" s="196">
        <f ca="1">DATOSAÑO!AH221</f>
        <v>0</v>
      </c>
      <c r="R221" s="196">
        <f ca="1">DATOSAÑO!AM221+DATOSAÑO!AN221+DATOSAÑO!AF221</f>
        <v>0</v>
      </c>
      <c r="S221" s="209">
        <f ca="1">IF(B221&gt;=$P$5,0,CONTADORES!S219-CONTADORES!S218)</f>
        <v>0</v>
      </c>
      <c r="T221" s="206">
        <f ca="1">IF(B221&gt;=$P$5,0,(CONTADORES!U219-CONTADORES!U218)+(CONTADORES!AG219-CONTADORES!AG218))</f>
        <v>0</v>
      </c>
      <c r="U221" s="206">
        <f ca="1">IF(B221&gt;=$P$5,0,(CONTADORES!AS219-CONTADORES!AS218))</f>
        <v>0</v>
      </c>
      <c r="V221" s="206">
        <f ca="1">IF(B221&gt;=$P$5,0,(CONTADORES!AT219-CONTADORES!AT218))</f>
        <v>0</v>
      </c>
      <c r="W221" s="715">
        <v>0</v>
      </c>
      <c r="X221" s="206">
        <f ca="1">IF(W221=0,(T221-INICIO!$W$6),((T221-INICIO!$W$6)+V221))</f>
        <v>0</v>
      </c>
      <c r="Y221" s="208">
        <f t="shared" ca="1" si="52"/>
        <v>0</v>
      </c>
      <c r="Z221" s="209" t="e">
        <f t="shared" ca="1" si="53"/>
        <v>#DIV/0!</v>
      </c>
      <c r="AA221" s="206" t="e">
        <f t="shared" ca="1" si="54"/>
        <v>#DIV/0!</v>
      </c>
      <c r="AB221" s="206" t="e">
        <f t="shared" ca="1" si="55"/>
        <v>#DIV/0!</v>
      </c>
      <c r="AC221" s="208" t="e">
        <f t="shared" ca="1" si="50"/>
        <v>#DIV/0!</v>
      </c>
    </row>
    <row r="222" spans="2:29" ht="15" thickBot="1">
      <c r="B222" s="1043">
        <v>44773</v>
      </c>
      <c r="C222" s="203">
        <f ca="1">DATOSAÑO!I222</f>
        <v>0</v>
      </c>
      <c r="D222" s="197">
        <f ca="1">DATOSAÑO!P222</f>
        <v>0</v>
      </c>
      <c r="E222" s="197">
        <f ca="1">DATOSAÑO!Q222</f>
        <v>0</v>
      </c>
      <c r="F222" s="197">
        <f ca="1">DATOSAÑO!T222</f>
        <v>0</v>
      </c>
      <c r="G222" s="197">
        <f t="shared" ca="1" si="49"/>
        <v>0</v>
      </c>
      <c r="H222" s="197" t="e">
        <f t="shared" ca="1" si="43"/>
        <v>#DIV/0!</v>
      </c>
      <c r="I222" s="197" t="e">
        <f t="shared" ca="1" si="56"/>
        <v>#DIV/0!</v>
      </c>
      <c r="J222" s="197" t="e">
        <f t="shared" ca="1" si="57"/>
        <v>#DIV/0!</v>
      </c>
      <c r="K222" s="197" t="e">
        <f t="shared" ca="1" si="58"/>
        <v>#DIV/0!</v>
      </c>
      <c r="L222" s="197">
        <f t="shared" ca="1" si="44"/>
        <v>0</v>
      </c>
      <c r="M222" s="197" t="e">
        <f t="shared" ca="1" si="59"/>
        <v>#DIV/0!</v>
      </c>
      <c r="N222" s="197">
        <f t="shared" ca="1" si="51"/>
        <v>0</v>
      </c>
      <c r="O222" s="197">
        <f ca="1">(DATOSAÑO!AJ222+DATOSAÑO!AK222+DATOSAÑO!AD222)</f>
        <v>0</v>
      </c>
      <c r="P222" s="197">
        <f ca="1">DATOSAÑO!AI222</f>
        <v>0</v>
      </c>
      <c r="Q222" s="197">
        <f ca="1">DATOSAÑO!AH222</f>
        <v>0</v>
      </c>
      <c r="R222" s="197">
        <f ca="1">DATOSAÑO!AM222+DATOSAÑO!AN222+DATOSAÑO!AF222</f>
        <v>0</v>
      </c>
      <c r="S222" s="203">
        <f ca="1">IF(B222&gt;=$P$5,0,CONTADORES!S220-CONTADORES!S219)</f>
        <v>0</v>
      </c>
      <c r="T222" s="197">
        <f ca="1">IF(B222&gt;=$P$5,0,(CONTADORES!U220-CONTADORES!U219)+(CONTADORES!AG220-CONTADORES!AG219))</f>
        <v>0</v>
      </c>
      <c r="U222" s="197">
        <f ca="1">IF(B222&gt;=$P$5,0,(CONTADORES!AS220-CONTADORES!AS219))</f>
        <v>0</v>
      </c>
      <c r="V222" s="197">
        <f ca="1">IF(B222&gt;=$P$5,0,(CONTADORES!AT220-CONTADORES!AT219))</f>
        <v>0</v>
      </c>
      <c r="W222" s="716">
        <v>0</v>
      </c>
      <c r="X222" s="206">
        <f ca="1">IF(W222=0,(T222-INICIO!$W$6),((T222-INICIO!$W$6)+V222))</f>
        <v>0</v>
      </c>
      <c r="Y222" s="201">
        <f t="shared" ca="1" si="52"/>
        <v>0</v>
      </c>
      <c r="Z222" s="203" t="e">
        <f t="shared" ca="1" si="53"/>
        <v>#DIV/0!</v>
      </c>
      <c r="AA222" s="197" t="e">
        <f t="shared" ca="1" si="54"/>
        <v>#DIV/0!</v>
      </c>
      <c r="AB222" s="197" t="e">
        <f t="shared" ca="1" si="55"/>
        <v>#DIV/0!</v>
      </c>
      <c r="AC222" s="201" t="e">
        <f t="shared" ca="1" si="50"/>
        <v>#DIV/0!</v>
      </c>
    </row>
    <row r="223" spans="2:29">
      <c r="B223" s="390">
        <v>44774</v>
      </c>
      <c r="C223" s="202">
        <f ca="1">DATOSAÑO!I223</f>
        <v>0</v>
      </c>
      <c r="D223" s="196">
        <f ca="1">DATOSAÑO!P223</f>
        <v>0</v>
      </c>
      <c r="E223" s="196">
        <f ca="1">DATOSAÑO!Q223</f>
        <v>0</v>
      </c>
      <c r="F223" s="196">
        <f ca="1">DATOSAÑO!T223</f>
        <v>0</v>
      </c>
      <c r="G223" s="196">
        <f t="shared" ca="1" si="49"/>
        <v>0</v>
      </c>
      <c r="H223" s="196" t="e">
        <f ca="1">G223-SUM(I223:M223)</f>
        <v>#DIV/0!</v>
      </c>
      <c r="I223" s="196" t="e">
        <f t="shared" ca="1" si="56"/>
        <v>#DIV/0!</v>
      </c>
      <c r="J223" s="196" t="e">
        <f t="shared" ca="1" si="57"/>
        <v>#DIV/0!</v>
      </c>
      <c r="K223" s="196" t="e">
        <f t="shared" ca="1" si="58"/>
        <v>#DIV/0!</v>
      </c>
      <c r="L223" s="196">
        <f t="shared" ca="1" si="44"/>
        <v>0</v>
      </c>
      <c r="M223" s="196" t="e">
        <f t="shared" ca="1" si="59"/>
        <v>#DIV/0!</v>
      </c>
      <c r="N223" s="196">
        <f t="shared" ca="1" si="51"/>
        <v>0</v>
      </c>
      <c r="O223" s="196">
        <f ca="1">(DATOSAÑO!AJ223+DATOSAÑO!AK223+DATOSAÑO!AD223)</f>
        <v>0</v>
      </c>
      <c r="P223" s="196">
        <f ca="1">DATOSAÑO!AI223</f>
        <v>0</v>
      </c>
      <c r="Q223" s="196">
        <f ca="1">DATOSAÑO!AH223</f>
        <v>0</v>
      </c>
      <c r="R223" s="196">
        <f ca="1">DATOSAÑO!AM223+DATOSAÑO!AN223+DATOSAÑO!AF223</f>
        <v>0</v>
      </c>
      <c r="S223" s="202">
        <f ca="1">IF(B223&gt;=$P$5,0,CONTADORES!S223-CONTADORES!S222)</f>
        <v>0</v>
      </c>
      <c r="T223" s="196">
        <f ca="1">IF(B223&gt;=$P$5,0,(CONTADORES!U223-CONTADORES!U222)+(CONTADORES!AG223-CONTADORES!AG222))</f>
        <v>0</v>
      </c>
      <c r="U223" s="196">
        <f ca="1">IF(B223&gt;=$P$5,0,(CONTADORES!AS223-CONTADORES!AS222))</f>
        <v>0</v>
      </c>
      <c r="V223" s="196">
        <f ca="1">IF(B223&gt;=$P$5,0,(CONTADORES!AT223-CONTADORES!AT222))</f>
        <v>0</v>
      </c>
      <c r="W223" s="714">
        <v>0</v>
      </c>
      <c r="X223" s="196">
        <f ca="1">IF(W223=0,(T223-INICIO!$W$6),((T223-INICIO!$W$6)+V223))</f>
        <v>0</v>
      </c>
      <c r="Y223" s="199">
        <f t="shared" ca="1" si="52"/>
        <v>0</v>
      </c>
      <c r="Z223" s="202" t="e">
        <f t="shared" ca="1" si="53"/>
        <v>#DIV/0!</v>
      </c>
      <c r="AA223" s="196" t="e">
        <f t="shared" ca="1" si="54"/>
        <v>#DIV/0!</v>
      </c>
      <c r="AB223" s="196" t="e">
        <f t="shared" ca="1" si="55"/>
        <v>#DIV/0!</v>
      </c>
      <c r="AC223" s="208" t="e">
        <f t="shared" ca="1" si="50"/>
        <v>#DIV/0!</v>
      </c>
    </row>
    <row r="224" spans="2:29">
      <c r="B224" s="214">
        <v>44775</v>
      </c>
      <c r="C224" s="202">
        <f ca="1">DATOSAÑO!I224</f>
        <v>0</v>
      </c>
      <c r="D224" s="196">
        <f ca="1">DATOSAÑO!P224</f>
        <v>0</v>
      </c>
      <c r="E224" s="196">
        <f ca="1">DATOSAÑO!Q224</f>
        <v>0</v>
      </c>
      <c r="F224" s="196">
        <f ca="1">DATOSAÑO!T224</f>
        <v>0</v>
      </c>
      <c r="G224" s="196">
        <f t="shared" ca="1" si="49"/>
        <v>0</v>
      </c>
      <c r="H224" s="196" t="e">
        <f t="shared" ref="H224:H253" ca="1" si="60">G224-SUM(I224:M224)</f>
        <v>#DIV/0!</v>
      </c>
      <c r="I224" s="196" t="e">
        <f t="shared" ca="1" si="56"/>
        <v>#DIV/0!</v>
      </c>
      <c r="J224" s="196" t="e">
        <f t="shared" ca="1" si="57"/>
        <v>#DIV/0!</v>
      </c>
      <c r="K224" s="196" t="e">
        <f t="shared" ca="1" si="58"/>
        <v>#DIV/0!</v>
      </c>
      <c r="L224" s="196">
        <f t="shared" ca="1" si="44"/>
        <v>0</v>
      </c>
      <c r="M224" s="196" t="e">
        <f t="shared" ca="1" si="59"/>
        <v>#DIV/0!</v>
      </c>
      <c r="N224" s="196">
        <f t="shared" ca="1" si="51"/>
        <v>0</v>
      </c>
      <c r="O224" s="196">
        <f ca="1">(DATOSAÑO!AJ224+DATOSAÑO!AK224+DATOSAÑO!AD224)</f>
        <v>0</v>
      </c>
      <c r="P224" s="196">
        <f ca="1">DATOSAÑO!AI224</f>
        <v>0</v>
      </c>
      <c r="Q224" s="196">
        <f ca="1">DATOSAÑO!AH224</f>
        <v>0</v>
      </c>
      <c r="R224" s="196">
        <f ca="1">DATOSAÑO!AM224+DATOSAÑO!AN224+DATOSAÑO!AF224</f>
        <v>0</v>
      </c>
      <c r="S224" s="209">
        <f ca="1">IF(B224&gt;=$P$5,0,CONTADORES!S224-CONTADORES!S223)</f>
        <v>0</v>
      </c>
      <c r="T224" s="206">
        <f ca="1">IF(B224&gt;=$P$5,0,(CONTADORES!U224-CONTADORES!U223)+(CONTADORES!AG224-CONTADORES!AG223))</f>
        <v>0</v>
      </c>
      <c r="U224" s="206">
        <f ca="1">IF(B224&gt;=$P$5,0,(CONTADORES!AS224-CONTADORES!AS223))</f>
        <v>0</v>
      </c>
      <c r="V224" s="206">
        <f ca="1">IF(B224&gt;=$P$5,0,(CONTADORES!AT224-CONTADORES!AT223))</f>
        <v>0</v>
      </c>
      <c r="W224" s="715">
        <v>0</v>
      </c>
      <c r="X224" s="206">
        <f ca="1">IF(W224=0,(T224-INICIO!$W$6),((T224-INICIO!$W$6)+V224))</f>
        <v>0</v>
      </c>
      <c r="Y224" s="208">
        <f t="shared" ca="1" si="52"/>
        <v>0</v>
      </c>
      <c r="Z224" s="209" t="e">
        <f t="shared" ca="1" si="53"/>
        <v>#DIV/0!</v>
      </c>
      <c r="AA224" s="206" t="e">
        <f t="shared" ca="1" si="54"/>
        <v>#DIV/0!</v>
      </c>
      <c r="AB224" s="206" t="e">
        <f t="shared" ca="1" si="55"/>
        <v>#DIV/0!</v>
      </c>
      <c r="AC224" s="208" t="e">
        <f t="shared" ca="1" si="50"/>
        <v>#DIV/0!</v>
      </c>
    </row>
    <row r="225" spans="2:29">
      <c r="B225" s="214">
        <v>44776</v>
      </c>
      <c r="C225" s="202">
        <f ca="1">DATOSAÑO!I225</f>
        <v>0</v>
      </c>
      <c r="D225" s="196">
        <f ca="1">DATOSAÑO!P225</f>
        <v>0</v>
      </c>
      <c r="E225" s="196">
        <f ca="1">DATOSAÑO!Q225</f>
        <v>0</v>
      </c>
      <c r="F225" s="196">
        <f ca="1">DATOSAÑO!T225</f>
        <v>0</v>
      </c>
      <c r="G225" s="196">
        <f t="shared" ca="1" si="49"/>
        <v>0</v>
      </c>
      <c r="H225" s="196" t="e">
        <f t="shared" ca="1" si="60"/>
        <v>#DIV/0!</v>
      </c>
      <c r="I225" s="196" t="e">
        <f t="shared" ca="1" si="56"/>
        <v>#DIV/0!</v>
      </c>
      <c r="J225" s="196" t="e">
        <f t="shared" ca="1" si="57"/>
        <v>#DIV/0!</v>
      </c>
      <c r="K225" s="196" t="e">
        <f t="shared" ca="1" si="58"/>
        <v>#DIV/0!</v>
      </c>
      <c r="L225" s="196">
        <f t="shared" ca="1" si="44"/>
        <v>0</v>
      </c>
      <c r="M225" s="196" t="e">
        <f t="shared" ca="1" si="59"/>
        <v>#DIV/0!</v>
      </c>
      <c r="N225" s="196">
        <f t="shared" ca="1" si="51"/>
        <v>0</v>
      </c>
      <c r="O225" s="196">
        <f ca="1">(DATOSAÑO!AJ225+DATOSAÑO!AK225+DATOSAÑO!AD225)</f>
        <v>0</v>
      </c>
      <c r="P225" s="196">
        <f ca="1">DATOSAÑO!AI225</f>
        <v>0</v>
      </c>
      <c r="Q225" s="196">
        <f ca="1">DATOSAÑO!AH225</f>
        <v>0</v>
      </c>
      <c r="R225" s="196">
        <f ca="1">DATOSAÑO!AM225+DATOSAÑO!AN225+DATOSAÑO!AF225</f>
        <v>0</v>
      </c>
      <c r="S225" s="209">
        <f ca="1">IF(B225&gt;=$P$5,0,CONTADORES!S225-CONTADORES!S224)</f>
        <v>0</v>
      </c>
      <c r="T225" s="206">
        <f ca="1">IF(B225&gt;=$P$5,0,(CONTADORES!U225-CONTADORES!U224)+(CONTADORES!AG225-CONTADORES!AG224))</f>
        <v>0</v>
      </c>
      <c r="U225" s="206">
        <f ca="1">IF(B225&gt;=$P$5,0,(CONTADORES!AS225-CONTADORES!AS224))</f>
        <v>0</v>
      </c>
      <c r="V225" s="206">
        <f ca="1">IF(B225&gt;=$P$5,0,(CONTADORES!AT225-CONTADORES!AT224))</f>
        <v>0</v>
      </c>
      <c r="W225" s="715">
        <v>0</v>
      </c>
      <c r="X225" s="206">
        <f ca="1">IF(W225=0,(T225-INICIO!$W$6),((T225-INICIO!$W$6)+V225))</f>
        <v>0</v>
      </c>
      <c r="Y225" s="208">
        <f t="shared" ca="1" si="52"/>
        <v>0</v>
      </c>
      <c r="Z225" s="209" t="e">
        <f t="shared" ca="1" si="53"/>
        <v>#DIV/0!</v>
      </c>
      <c r="AA225" s="206" t="e">
        <f t="shared" ca="1" si="54"/>
        <v>#DIV/0!</v>
      </c>
      <c r="AB225" s="206" t="e">
        <f t="shared" ca="1" si="55"/>
        <v>#DIV/0!</v>
      </c>
      <c r="AC225" s="208" t="e">
        <f t="shared" ca="1" si="50"/>
        <v>#DIV/0!</v>
      </c>
    </row>
    <row r="226" spans="2:29">
      <c r="B226" s="214">
        <v>44777</v>
      </c>
      <c r="C226" s="202">
        <f ca="1">DATOSAÑO!I226</f>
        <v>0</v>
      </c>
      <c r="D226" s="196">
        <f ca="1">DATOSAÑO!P226</f>
        <v>0</v>
      </c>
      <c r="E226" s="196">
        <f ca="1">DATOSAÑO!Q226</f>
        <v>0</v>
      </c>
      <c r="F226" s="196">
        <f ca="1">DATOSAÑO!T226</f>
        <v>0</v>
      </c>
      <c r="G226" s="196">
        <f t="shared" ca="1" si="49"/>
        <v>0</v>
      </c>
      <c r="H226" s="196" t="e">
        <f t="shared" ca="1" si="60"/>
        <v>#DIV/0!</v>
      </c>
      <c r="I226" s="196" t="e">
        <f t="shared" ca="1" si="56"/>
        <v>#DIV/0!</v>
      </c>
      <c r="J226" s="196" t="e">
        <f t="shared" ca="1" si="57"/>
        <v>#DIV/0!</v>
      </c>
      <c r="K226" s="196" t="e">
        <f t="shared" ca="1" si="58"/>
        <v>#DIV/0!</v>
      </c>
      <c r="L226" s="196">
        <f t="shared" ca="1" si="44"/>
        <v>0</v>
      </c>
      <c r="M226" s="196" t="e">
        <f t="shared" ca="1" si="59"/>
        <v>#DIV/0!</v>
      </c>
      <c r="N226" s="196">
        <f t="shared" ca="1" si="51"/>
        <v>0</v>
      </c>
      <c r="O226" s="196">
        <f ca="1">(DATOSAÑO!AJ226+DATOSAÑO!AK226+DATOSAÑO!AD226)</f>
        <v>0</v>
      </c>
      <c r="P226" s="196">
        <f ca="1">DATOSAÑO!AI226</f>
        <v>0</v>
      </c>
      <c r="Q226" s="196">
        <f ca="1">DATOSAÑO!AH226</f>
        <v>0</v>
      </c>
      <c r="R226" s="196">
        <f ca="1">DATOSAÑO!AM226+DATOSAÑO!AN226+DATOSAÑO!AF226</f>
        <v>0</v>
      </c>
      <c r="S226" s="209">
        <f ca="1">IF(B226&gt;=$P$5,0,CONTADORES!S226-CONTADORES!S225)</f>
        <v>0</v>
      </c>
      <c r="T226" s="206">
        <f ca="1">IF(B226&gt;=$P$5,0,(CONTADORES!U226-CONTADORES!U225)+(CONTADORES!AG226-CONTADORES!AG225))</f>
        <v>0</v>
      </c>
      <c r="U226" s="206">
        <f ca="1">IF(B226&gt;=$P$5,0,(CONTADORES!AS226-CONTADORES!AS225))</f>
        <v>0</v>
      </c>
      <c r="V226" s="206">
        <f ca="1">IF(B226&gt;=$P$5,0,(CONTADORES!AT226-CONTADORES!AT225))</f>
        <v>0</v>
      </c>
      <c r="W226" s="715">
        <v>0</v>
      </c>
      <c r="X226" s="206">
        <f ca="1">IF(W226=0,(T226-INICIO!$W$6),((T226-INICIO!$W$6)+V226))</f>
        <v>0</v>
      </c>
      <c r="Y226" s="208">
        <f t="shared" ca="1" si="52"/>
        <v>0</v>
      </c>
      <c r="Z226" s="209" t="e">
        <f t="shared" ca="1" si="53"/>
        <v>#DIV/0!</v>
      </c>
      <c r="AA226" s="206" t="e">
        <f t="shared" ca="1" si="54"/>
        <v>#DIV/0!</v>
      </c>
      <c r="AB226" s="206" t="e">
        <f t="shared" ca="1" si="55"/>
        <v>#DIV/0!</v>
      </c>
      <c r="AC226" s="208" t="e">
        <f t="shared" ca="1" si="50"/>
        <v>#DIV/0!</v>
      </c>
    </row>
    <row r="227" spans="2:29">
      <c r="B227" s="214">
        <v>44778</v>
      </c>
      <c r="C227" s="202">
        <f ca="1">DATOSAÑO!I227</f>
        <v>0</v>
      </c>
      <c r="D227" s="196">
        <f ca="1">DATOSAÑO!P227</f>
        <v>0</v>
      </c>
      <c r="E227" s="196">
        <f ca="1">DATOSAÑO!Q227</f>
        <v>0</v>
      </c>
      <c r="F227" s="196">
        <f ca="1">DATOSAÑO!T227</f>
        <v>0</v>
      </c>
      <c r="G227" s="196">
        <f t="shared" ca="1" si="49"/>
        <v>0</v>
      </c>
      <c r="H227" s="196" t="e">
        <f t="shared" ca="1" si="60"/>
        <v>#DIV/0!</v>
      </c>
      <c r="I227" s="196" t="e">
        <f t="shared" ca="1" si="56"/>
        <v>#DIV/0!</v>
      </c>
      <c r="J227" s="196" t="e">
        <f t="shared" ca="1" si="57"/>
        <v>#DIV/0!</v>
      </c>
      <c r="K227" s="196" t="e">
        <f t="shared" ca="1" si="58"/>
        <v>#DIV/0!</v>
      </c>
      <c r="L227" s="196">
        <f t="shared" ca="1" si="44"/>
        <v>0</v>
      </c>
      <c r="M227" s="196" t="e">
        <f t="shared" ca="1" si="59"/>
        <v>#DIV/0!</v>
      </c>
      <c r="N227" s="196">
        <f t="shared" ca="1" si="51"/>
        <v>0</v>
      </c>
      <c r="O227" s="196">
        <f ca="1">(DATOSAÑO!AJ227+DATOSAÑO!AK227+DATOSAÑO!AD227)</f>
        <v>0</v>
      </c>
      <c r="P227" s="196">
        <f ca="1">DATOSAÑO!AI227</f>
        <v>0</v>
      </c>
      <c r="Q227" s="196">
        <f ca="1">DATOSAÑO!AH227</f>
        <v>0</v>
      </c>
      <c r="R227" s="196">
        <f ca="1">DATOSAÑO!AM227+DATOSAÑO!AN227+DATOSAÑO!AF227</f>
        <v>0</v>
      </c>
      <c r="S227" s="209">
        <f ca="1">IF(B227&gt;=$P$5,0,CONTADORES!S227-CONTADORES!S226)</f>
        <v>0</v>
      </c>
      <c r="T227" s="206">
        <f ca="1">IF(B227&gt;=$P$5,0,(CONTADORES!U227-CONTADORES!U226)+(CONTADORES!AG227-CONTADORES!AG226))</f>
        <v>0</v>
      </c>
      <c r="U227" s="206">
        <f ca="1">IF(B227&gt;=$P$5,0,(CONTADORES!AS227-CONTADORES!AS226))</f>
        <v>0</v>
      </c>
      <c r="V227" s="206">
        <f ca="1">IF(B227&gt;=$P$5,0,(CONTADORES!AT227-CONTADORES!AT226))</f>
        <v>0</v>
      </c>
      <c r="W227" s="715">
        <v>0</v>
      </c>
      <c r="X227" s="206">
        <f ca="1">IF(W227=0,(T227-INICIO!$W$6),((T227-INICIO!$W$6)+V227))</f>
        <v>0</v>
      </c>
      <c r="Y227" s="208">
        <f t="shared" ca="1" si="52"/>
        <v>0</v>
      </c>
      <c r="Z227" s="209" t="e">
        <f t="shared" ca="1" si="53"/>
        <v>#DIV/0!</v>
      </c>
      <c r="AA227" s="206" t="e">
        <f t="shared" ca="1" si="54"/>
        <v>#DIV/0!</v>
      </c>
      <c r="AB227" s="206" t="e">
        <f ca="1">IF(B227&gt;=$P$5,0,($Y227*Q227)/SUM($N227:$Q227))</f>
        <v>#DIV/0!</v>
      </c>
      <c r="AC227" s="208" t="e">
        <f t="shared" ca="1" si="50"/>
        <v>#DIV/0!</v>
      </c>
    </row>
    <row r="228" spans="2:29">
      <c r="B228" s="214">
        <v>44779</v>
      </c>
      <c r="C228" s="202">
        <f ca="1">DATOSAÑO!I228</f>
        <v>0</v>
      </c>
      <c r="D228" s="196">
        <f ca="1">DATOSAÑO!P228</f>
        <v>0</v>
      </c>
      <c r="E228" s="196">
        <f ca="1">DATOSAÑO!Q228</f>
        <v>0</v>
      </c>
      <c r="F228" s="196">
        <f ca="1">DATOSAÑO!T228</f>
        <v>0</v>
      </c>
      <c r="G228" s="196">
        <f t="shared" ca="1" si="49"/>
        <v>0</v>
      </c>
      <c r="H228" s="196" t="e">
        <f t="shared" ca="1" si="60"/>
        <v>#DIV/0!</v>
      </c>
      <c r="I228" s="196" t="e">
        <f t="shared" ca="1" si="56"/>
        <v>#DIV/0!</v>
      </c>
      <c r="J228" s="196" t="e">
        <f t="shared" ca="1" si="57"/>
        <v>#DIV/0!</v>
      </c>
      <c r="K228" s="196" t="e">
        <f t="shared" ca="1" si="58"/>
        <v>#DIV/0!</v>
      </c>
      <c r="L228" s="196">
        <f t="shared" ca="1" si="44"/>
        <v>0</v>
      </c>
      <c r="M228" s="196" t="e">
        <f t="shared" ca="1" si="59"/>
        <v>#DIV/0!</v>
      </c>
      <c r="N228" s="196">
        <f t="shared" ca="1" si="51"/>
        <v>0</v>
      </c>
      <c r="O228" s="196">
        <f ca="1">(DATOSAÑO!AJ228+DATOSAÑO!AK228+DATOSAÑO!AD228)</f>
        <v>0</v>
      </c>
      <c r="P228" s="196">
        <f ca="1">DATOSAÑO!AI228</f>
        <v>0</v>
      </c>
      <c r="Q228" s="196">
        <f ca="1">DATOSAÑO!AH228</f>
        <v>0</v>
      </c>
      <c r="R228" s="196">
        <f ca="1">DATOSAÑO!AM228+DATOSAÑO!AN228+DATOSAÑO!AF228</f>
        <v>0</v>
      </c>
      <c r="S228" s="209">
        <f ca="1">IF(B228&gt;=$P$5,0,CONTADORES!S228-CONTADORES!S227)</f>
        <v>0</v>
      </c>
      <c r="T228" s="206">
        <f ca="1">IF(B228&gt;=$P$5,0,(CONTADORES!U228-CONTADORES!U227)+(CONTADORES!AG228-CONTADORES!AG227))</f>
        <v>0</v>
      </c>
      <c r="U228" s="206">
        <f ca="1">IF(B228&gt;=$P$5,0,(CONTADORES!AS228-CONTADORES!AS227))</f>
        <v>0</v>
      </c>
      <c r="V228" s="206">
        <f ca="1">IF(B228&gt;=$P$5,0,(CONTADORES!AT228-CONTADORES!AT227))</f>
        <v>0</v>
      </c>
      <c r="W228" s="715">
        <v>0</v>
      </c>
      <c r="X228" s="206">
        <f ca="1">IF(W228=0,(T228-INICIO!$W$6),((T228-INICIO!$W$6)+V228))</f>
        <v>0</v>
      </c>
      <c r="Y228" s="208">
        <f t="shared" ca="1" si="52"/>
        <v>0</v>
      </c>
      <c r="Z228" s="209" t="e">
        <f t="shared" ca="1" si="53"/>
        <v>#DIV/0!</v>
      </c>
      <c r="AA228" s="206" t="e">
        <f t="shared" ca="1" si="54"/>
        <v>#DIV/0!</v>
      </c>
      <c r="AB228" s="206" t="e">
        <f t="shared" ca="1" si="55"/>
        <v>#DIV/0!</v>
      </c>
      <c r="AC228" s="208" t="e">
        <f t="shared" ca="1" si="50"/>
        <v>#DIV/0!</v>
      </c>
    </row>
    <row r="229" spans="2:29">
      <c r="B229" s="214">
        <v>44780</v>
      </c>
      <c r="C229" s="202">
        <f ca="1">DATOSAÑO!I229</f>
        <v>0</v>
      </c>
      <c r="D229" s="196">
        <f ca="1">DATOSAÑO!P229</f>
        <v>0</v>
      </c>
      <c r="E229" s="196">
        <f ca="1">DATOSAÑO!Q229</f>
        <v>0</v>
      </c>
      <c r="F229" s="196">
        <f ca="1">DATOSAÑO!T229</f>
        <v>0</v>
      </c>
      <c r="G229" s="196">
        <f t="shared" ca="1" si="49"/>
        <v>0</v>
      </c>
      <c r="H229" s="196" t="e">
        <f t="shared" ca="1" si="60"/>
        <v>#DIV/0!</v>
      </c>
      <c r="I229" s="196" t="e">
        <f t="shared" ca="1" si="56"/>
        <v>#DIV/0!</v>
      </c>
      <c r="J229" s="196" t="e">
        <f t="shared" ca="1" si="57"/>
        <v>#DIV/0!</v>
      </c>
      <c r="K229" s="196" t="e">
        <f t="shared" ca="1" si="58"/>
        <v>#DIV/0!</v>
      </c>
      <c r="L229" s="196">
        <f t="shared" ca="1" si="44"/>
        <v>0</v>
      </c>
      <c r="M229" s="196" t="e">
        <f t="shared" ca="1" si="59"/>
        <v>#DIV/0!</v>
      </c>
      <c r="N229" s="196">
        <f t="shared" ca="1" si="51"/>
        <v>0</v>
      </c>
      <c r="O229" s="196">
        <f ca="1">(DATOSAÑO!AJ229+DATOSAÑO!AK229+DATOSAÑO!AD229)</f>
        <v>0</v>
      </c>
      <c r="P229" s="196">
        <f ca="1">DATOSAÑO!AI229</f>
        <v>0</v>
      </c>
      <c r="Q229" s="196">
        <f ca="1">DATOSAÑO!AH229</f>
        <v>0</v>
      </c>
      <c r="R229" s="196">
        <f ca="1">DATOSAÑO!AM229+DATOSAÑO!AN229+DATOSAÑO!AF229</f>
        <v>0</v>
      </c>
      <c r="S229" s="209">
        <f ca="1">IF(B229&gt;=$P$5,0,CONTADORES!S229-CONTADORES!S228)</f>
        <v>0</v>
      </c>
      <c r="T229" s="206">
        <f ca="1">IF(B229&gt;=$P$5,0,(CONTADORES!U229-CONTADORES!U228)+(CONTADORES!AG229-CONTADORES!AG228))</f>
        <v>0</v>
      </c>
      <c r="U229" s="206">
        <f ca="1">IF(B229&gt;=$P$5,0,(CONTADORES!AS229-CONTADORES!AS228))</f>
        <v>0</v>
      </c>
      <c r="V229" s="206">
        <f ca="1">IF(B229&gt;=$P$5,0,(CONTADORES!AT229-CONTADORES!AT228))</f>
        <v>0</v>
      </c>
      <c r="W229" s="715">
        <v>0</v>
      </c>
      <c r="X229" s="206">
        <f ca="1">IF(W229=0,(T229-INICIO!$W$6),((T229-INICIO!$W$6)+V229))</f>
        <v>0</v>
      </c>
      <c r="Y229" s="208">
        <f t="shared" ca="1" si="52"/>
        <v>0</v>
      </c>
      <c r="Z229" s="209" t="e">
        <f t="shared" ca="1" si="53"/>
        <v>#DIV/0!</v>
      </c>
      <c r="AA229" s="206" t="e">
        <f t="shared" ca="1" si="54"/>
        <v>#DIV/0!</v>
      </c>
      <c r="AB229" s="206" t="e">
        <f t="shared" ca="1" si="55"/>
        <v>#DIV/0!</v>
      </c>
      <c r="AC229" s="208" t="e">
        <f t="shared" ca="1" si="50"/>
        <v>#DIV/0!</v>
      </c>
    </row>
    <row r="230" spans="2:29">
      <c r="B230" s="214">
        <v>44781</v>
      </c>
      <c r="C230" s="202">
        <f ca="1">DATOSAÑO!I230</f>
        <v>0</v>
      </c>
      <c r="D230" s="196">
        <f ca="1">DATOSAÑO!P230</f>
        <v>0</v>
      </c>
      <c r="E230" s="196">
        <f ca="1">DATOSAÑO!Q230</f>
        <v>0</v>
      </c>
      <c r="F230" s="196">
        <f ca="1">DATOSAÑO!T230</f>
        <v>0</v>
      </c>
      <c r="G230" s="196">
        <f t="shared" ca="1" si="49"/>
        <v>0</v>
      </c>
      <c r="H230" s="196" t="e">
        <f t="shared" ca="1" si="60"/>
        <v>#DIV/0!</v>
      </c>
      <c r="I230" s="196" t="e">
        <f t="shared" ca="1" si="56"/>
        <v>#DIV/0!</v>
      </c>
      <c r="J230" s="196" t="e">
        <f t="shared" ca="1" si="57"/>
        <v>#DIV/0!</v>
      </c>
      <c r="K230" s="196" t="e">
        <f t="shared" ca="1" si="58"/>
        <v>#DIV/0!</v>
      </c>
      <c r="L230" s="196">
        <f t="shared" ca="1" si="44"/>
        <v>0</v>
      </c>
      <c r="M230" s="196" t="e">
        <f t="shared" ca="1" si="59"/>
        <v>#DIV/0!</v>
      </c>
      <c r="N230" s="196">
        <f t="shared" ca="1" si="51"/>
        <v>0</v>
      </c>
      <c r="O230" s="196">
        <f ca="1">(DATOSAÑO!AJ230+DATOSAÑO!AK230+DATOSAÑO!AD230)</f>
        <v>0</v>
      </c>
      <c r="P230" s="196">
        <f ca="1">DATOSAÑO!AI230</f>
        <v>0</v>
      </c>
      <c r="Q230" s="196">
        <f ca="1">DATOSAÑO!AH230</f>
        <v>0</v>
      </c>
      <c r="R230" s="196">
        <f ca="1">DATOSAÑO!AM230+DATOSAÑO!AN230+DATOSAÑO!AF230</f>
        <v>0</v>
      </c>
      <c r="S230" s="209">
        <f ca="1">IF(B230&gt;=$P$5,0,CONTADORES!S230-CONTADORES!S229)</f>
        <v>0</v>
      </c>
      <c r="T230" s="206">
        <f ca="1">IF(B230&gt;=$P$5,0,(CONTADORES!U230-CONTADORES!U229)+(CONTADORES!AG230-CONTADORES!AG229))</f>
        <v>0</v>
      </c>
      <c r="U230" s="206">
        <f ca="1">IF(B230&gt;=$P$5,0,(CONTADORES!AS230-CONTADORES!AS229))</f>
        <v>0</v>
      </c>
      <c r="V230" s="206">
        <f ca="1">IF(B230&gt;=$P$5,0,(CONTADORES!AT230-CONTADORES!AT229))</f>
        <v>0</v>
      </c>
      <c r="W230" s="715">
        <v>0</v>
      </c>
      <c r="X230" s="206">
        <f ca="1">IF(W230=0,(T230-INICIO!$W$6),((T230-INICIO!$W$6)+V230))</f>
        <v>0</v>
      </c>
      <c r="Y230" s="208">
        <f t="shared" ca="1" si="52"/>
        <v>0</v>
      </c>
      <c r="Z230" s="209" t="e">
        <f t="shared" ca="1" si="53"/>
        <v>#DIV/0!</v>
      </c>
      <c r="AA230" s="206" t="e">
        <f t="shared" ca="1" si="54"/>
        <v>#DIV/0!</v>
      </c>
      <c r="AB230" s="206" t="e">
        <f t="shared" ca="1" si="55"/>
        <v>#DIV/0!</v>
      </c>
      <c r="AC230" s="208" t="e">
        <f t="shared" ca="1" si="50"/>
        <v>#DIV/0!</v>
      </c>
    </row>
    <row r="231" spans="2:29">
      <c r="B231" s="214">
        <v>44782</v>
      </c>
      <c r="C231" s="202">
        <f ca="1">DATOSAÑO!I231</f>
        <v>0</v>
      </c>
      <c r="D231" s="196">
        <f ca="1">DATOSAÑO!P231</f>
        <v>0</v>
      </c>
      <c r="E231" s="196">
        <f ca="1">DATOSAÑO!Q231</f>
        <v>0</v>
      </c>
      <c r="F231" s="196">
        <f ca="1">DATOSAÑO!T231</f>
        <v>0</v>
      </c>
      <c r="G231" s="196">
        <f t="shared" ca="1" si="49"/>
        <v>0</v>
      </c>
      <c r="H231" s="196" t="e">
        <f t="shared" ca="1" si="60"/>
        <v>#DIV/0!</v>
      </c>
      <c r="I231" s="196" t="e">
        <f t="shared" ca="1" si="56"/>
        <v>#DIV/0!</v>
      </c>
      <c r="J231" s="196" t="e">
        <f t="shared" ca="1" si="57"/>
        <v>#DIV/0!</v>
      </c>
      <c r="K231" s="196" t="e">
        <f t="shared" ca="1" si="58"/>
        <v>#DIV/0!</v>
      </c>
      <c r="L231" s="196">
        <f t="shared" ca="1" si="44"/>
        <v>0</v>
      </c>
      <c r="M231" s="196" t="e">
        <f t="shared" ca="1" si="59"/>
        <v>#DIV/0!</v>
      </c>
      <c r="N231" s="196">
        <f t="shared" ca="1" si="51"/>
        <v>0</v>
      </c>
      <c r="O231" s="196">
        <f ca="1">(DATOSAÑO!AJ231+DATOSAÑO!AK231+DATOSAÑO!AD231)</f>
        <v>0</v>
      </c>
      <c r="P231" s="196">
        <f ca="1">DATOSAÑO!AI231</f>
        <v>0</v>
      </c>
      <c r="Q231" s="196">
        <f ca="1">DATOSAÑO!AH231</f>
        <v>0</v>
      </c>
      <c r="R231" s="196">
        <f ca="1">DATOSAÑO!AM231+DATOSAÑO!AN231+DATOSAÑO!AF231</f>
        <v>0</v>
      </c>
      <c r="S231" s="209">
        <f ca="1">IF(B231&gt;=$P$5,0,CONTADORES!S231-CONTADORES!S230)</f>
        <v>0</v>
      </c>
      <c r="T231" s="206">
        <f ca="1">IF(B231&gt;=$P$5,0,(CONTADORES!U231-CONTADORES!U230)+(CONTADORES!AG231-CONTADORES!AG230))</f>
        <v>0</v>
      </c>
      <c r="U231" s="206">
        <f ca="1">IF(B231&gt;=$P$5,0,(CONTADORES!AS231-CONTADORES!AS230))</f>
        <v>0</v>
      </c>
      <c r="V231" s="206">
        <f ca="1">IF(B231&gt;=$P$5,0,(CONTADORES!AT231-CONTADORES!AT230))</f>
        <v>0</v>
      </c>
      <c r="W231" s="715">
        <v>0</v>
      </c>
      <c r="X231" s="206">
        <f ca="1">IF(W231=0,(T231-INICIO!$W$6),((T231-INICIO!$W$6)+V231))</f>
        <v>0</v>
      </c>
      <c r="Y231" s="208">
        <f t="shared" ca="1" si="52"/>
        <v>0</v>
      </c>
      <c r="Z231" s="209" t="e">
        <f t="shared" ca="1" si="53"/>
        <v>#DIV/0!</v>
      </c>
      <c r="AA231" s="206" t="e">
        <f t="shared" ca="1" si="54"/>
        <v>#DIV/0!</v>
      </c>
      <c r="AB231" s="206" t="e">
        <f t="shared" ca="1" si="55"/>
        <v>#DIV/0!</v>
      </c>
      <c r="AC231" s="208" t="e">
        <f t="shared" ca="1" si="50"/>
        <v>#DIV/0!</v>
      </c>
    </row>
    <row r="232" spans="2:29">
      <c r="B232" s="214">
        <v>44783</v>
      </c>
      <c r="C232" s="202">
        <f ca="1">DATOSAÑO!I232</f>
        <v>0</v>
      </c>
      <c r="D232" s="196">
        <f ca="1">DATOSAÑO!P232</f>
        <v>0</v>
      </c>
      <c r="E232" s="196">
        <f ca="1">DATOSAÑO!Q232</f>
        <v>0</v>
      </c>
      <c r="F232" s="196">
        <f ca="1">DATOSAÑO!T232</f>
        <v>0</v>
      </c>
      <c r="G232" s="196">
        <f t="shared" ca="1" si="49"/>
        <v>0</v>
      </c>
      <c r="H232" s="196" t="e">
        <f t="shared" ca="1" si="60"/>
        <v>#DIV/0!</v>
      </c>
      <c r="I232" s="196" t="e">
        <f t="shared" ca="1" si="56"/>
        <v>#DIV/0!</v>
      </c>
      <c r="J232" s="196" t="e">
        <f t="shared" ca="1" si="57"/>
        <v>#DIV/0!</v>
      </c>
      <c r="K232" s="196" t="e">
        <f t="shared" ca="1" si="58"/>
        <v>#DIV/0!</v>
      </c>
      <c r="L232" s="196">
        <f t="shared" ca="1" si="44"/>
        <v>0</v>
      </c>
      <c r="M232" s="196" t="e">
        <f t="shared" ca="1" si="59"/>
        <v>#DIV/0!</v>
      </c>
      <c r="N232" s="196">
        <f t="shared" ca="1" si="51"/>
        <v>0</v>
      </c>
      <c r="O232" s="196">
        <f ca="1">(DATOSAÑO!AJ232+DATOSAÑO!AK232+DATOSAÑO!AD232)</f>
        <v>0</v>
      </c>
      <c r="P232" s="196">
        <f ca="1">DATOSAÑO!AI232</f>
        <v>0</v>
      </c>
      <c r="Q232" s="196">
        <f ca="1">DATOSAÑO!AH232</f>
        <v>0</v>
      </c>
      <c r="R232" s="196">
        <f ca="1">DATOSAÑO!AM232+DATOSAÑO!AN232+DATOSAÑO!AF232</f>
        <v>0</v>
      </c>
      <c r="S232" s="209">
        <f ca="1">IF(B232&gt;=$P$5,0,CONTADORES!S232-CONTADORES!S231)</f>
        <v>0</v>
      </c>
      <c r="T232" s="206">
        <f ca="1">IF(B232&gt;=$P$5,0,(CONTADORES!U232-CONTADORES!U231)+(CONTADORES!AG232-CONTADORES!AG231))</f>
        <v>0</v>
      </c>
      <c r="U232" s="206">
        <f ca="1">IF(B232&gt;=$P$5,0,(CONTADORES!AS232-CONTADORES!AS231))</f>
        <v>0</v>
      </c>
      <c r="V232" s="206">
        <f ca="1">IF(B232&gt;=$P$5,0,(CONTADORES!AT232-CONTADORES!AT231))</f>
        <v>0</v>
      </c>
      <c r="W232" s="715">
        <v>0</v>
      </c>
      <c r="X232" s="206">
        <f ca="1">IF(W232=0,(T232-INICIO!$W$6),((T232-INICIO!$W$6)+V232))</f>
        <v>0</v>
      </c>
      <c r="Y232" s="208">
        <f t="shared" ca="1" si="52"/>
        <v>0</v>
      </c>
      <c r="Z232" s="209" t="e">
        <f t="shared" ca="1" si="53"/>
        <v>#DIV/0!</v>
      </c>
      <c r="AA232" s="206" t="e">
        <f t="shared" ca="1" si="54"/>
        <v>#DIV/0!</v>
      </c>
      <c r="AB232" s="206" t="e">
        <f t="shared" ca="1" si="55"/>
        <v>#DIV/0!</v>
      </c>
      <c r="AC232" s="208" t="e">
        <f t="shared" ca="1" si="50"/>
        <v>#DIV/0!</v>
      </c>
    </row>
    <row r="233" spans="2:29">
      <c r="B233" s="214">
        <v>44784</v>
      </c>
      <c r="C233" s="202">
        <f ca="1">DATOSAÑO!I233</f>
        <v>0</v>
      </c>
      <c r="D233" s="196">
        <f ca="1">DATOSAÑO!P233</f>
        <v>0</v>
      </c>
      <c r="E233" s="196">
        <f ca="1">DATOSAÑO!Q233</f>
        <v>0</v>
      </c>
      <c r="F233" s="196">
        <f ca="1">DATOSAÑO!T233</f>
        <v>0</v>
      </c>
      <c r="G233" s="196">
        <f t="shared" ca="1" si="49"/>
        <v>0</v>
      </c>
      <c r="H233" s="196" t="e">
        <f t="shared" ca="1" si="60"/>
        <v>#DIV/0!</v>
      </c>
      <c r="I233" s="196" t="e">
        <f t="shared" ca="1" si="56"/>
        <v>#DIV/0!</v>
      </c>
      <c r="J233" s="196" t="e">
        <f t="shared" ca="1" si="57"/>
        <v>#DIV/0!</v>
      </c>
      <c r="K233" s="196" t="e">
        <f t="shared" ca="1" si="58"/>
        <v>#DIV/0!</v>
      </c>
      <c r="L233" s="196">
        <f t="shared" ca="1" si="44"/>
        <v>0</v>
      </c>
      <c r="M233" s="196" t="e">
        <f t="shared" ca="1" si="59"/>
        <v>#DIV/0!</v>
      </c>
      <c r="N233" s="196">
        <f t="shared" ca="1" si="51"/>
        <v>0</v>
      </c>
      <c r="O233" s="196">
        <f ca="1">(DATOSAÑO!AJ233+DATOSAÑO!AK233+DATOSAÑO!AD233)</f>
        <v>0</v>
      </c>
      <c r="P233" s="196">
        <f ca="1">DATOSAÑO!AI233</f>
        <v>0</v>
      </c>
      <c r="Q233" s="196">
        <f ca="1">DATOSAÑO!AH233</f>
        <v>0</v>
      </c>
      <c r="R233" s="196">
        <f ca="1">DATOSAÑO!AM233+DATOSAÑO!AN233+DATOSAÑO!AF233</f>
        <v>0</v>
      </c>
      <c r="S233" s="209">
        <f ca="1">IF(B233&gt;=$P$5,0,CONTADORES!S233-CONTADORES!S232)</f>
        <v>0</v>
      </c>
      <c r="T233" s="206">
        <f ca="1">IF(B233&gt;=$P$5,0,(CONTADORES!U233-CONTADORES!U232)+(CONTADORES!AG233-CONTADORES!AG232))</f>
        <v>0</v>
      </c>
      <c r="U233" s="206">
        <f ca="1">IF(B233&gt;=$P$5,0,(CONTADORES!AS233-CONTADORES!AS232))</f>
        <v>0</v>
      </c>
      <c r="V233" s="206">
        <f ca="1">IF(B233&gt;=$P$5,0,(CONTADORES!AT233-CONTADORES!AT232))</f>
        <v>0</v>
      </c>
      <c r="W233" s="715">
        <v>0</v>
      </c>
      <c r="X233" s="206">
        <f ca="1">IF(W233=0,(T233-INICIO!$W$6),((T233-INICIO!$W$6)+V233))</f>
        <v>0</v>
      </c>
      <c r="Y233" s="208">
        <f t="shared" ca="1" si="52"/>
        <v>0</v>
      </c>
      <c r="Z233" s="209" t="e">
        <f t="shared" ca="1" si="53"/>
        <v>#DIV/0!</v>
      </c>
      <c r="AA233" s="206" t="e">
        <f t="shared" ca="1" si="54"/>
        <v>#DIV/0!</v>
      </c>
      <c r="AB233" s="206" t="e">
        <f t="shared" ca="1" si="55"/>
        <v>#DIV/0!</v>
      </c>
      <c r="AC233" s="208" t="e">
        <f t="shared" ca="1" si="50"/>
        <v>#DIV/0!</v>
      </c>
    </row>
    <row r="234" spans="2:29">
      <c r="B234" s="214">
        <v>44785</v>
      </c>
      <c r="C234" s="202">
        <f ca="1">DATOSAÑO!I234</f>
        <v>0</v>
      </c>
      <c r="D234" s="196">
        <f ca="1">DATOSAÑO!P234</f>
        <v>0</v>
      </c>
      <c r="E234" s="196">
        <f ca="1">DATOSAÑO!Q234</f>
        <v>0</v>
      </c>
      <c r="F234" s="196">
        <f ca="1">DATOSAÑO!T234</f>
        <v>0</v>
      </c>
      <c r="G234" s="196">
        <f t="shared" ca="1" si="49"/>
        <v>0</v>
      </c>
      <c r="H234" s="196" t="e">
        <f t="shared" ca="1" si="60"/>
        <v>#DIV/0!</v>
      </c>
      <c r="I234" s="196" t="e">
        <f t="shared" ca="1" si="56"/>
        <v>#DIV/0!</v>
      </c>
      <c r="J234" s="196" t="e">
        <f t="shared" ca="1" si="57"/>
        <v>#DIV/0!</v>
      </c>
      <c r="K234" s="196" t="e">
        <f t="shared" ca="1" si="58"/>
        <v>#DIV/0!</v>
      </c>
      <c r="L234" s="196">
        <f t="shared" ca="1" si="44"/>
        <v>0</v>
      </c>
      <c r="M234" s="196" t="e">
        <f t="shared" ca="1" si="59"/>
        <v>#DIV/0!</v>
      </c>
      <c r="N234" s="196">
        <f t="shared" ca="1" si="51"/>
        <v>0</v>
      </c>
      <c r="O234" s="196">
        <f ca="1">(DATOSAÑO!AJ234+DATOSAÑO!AK234+DATOSAÑO!AD234)</f>
        <v>0</v>
      </c>
      <c r="P234" s="196">
        <f ca="1">DATOSAÑO!AI234</f>
        <v>0</v>
      </c>
      <c r="Q234" s="196">
        <f ca="1">DATOSAÑO!AH234</f>
        <v>0</v>
      </c>
      <c r="R234" s="196">
        <f ca="1">DATOSAÑO!AM234+DATOSAÑO!AN234+DATOSAÑO!AF234</f>
        <v>0</v>
      </c>
      <c r="S234" s="209">
        <f ca="1">IF(B234&gt;=$P$5,0,CONTADORES!S234-CONTADORES!S233)</f>
        <v>0</v>
      </c>
      <c r="T234" s="206">
        <f ca="1">IF(B234&gt;=$P$5,0,(CONTADORES!U234-CONTADORES!U233)+(CONTADORES!AG234-CONTADORES!AG233))</f>
        <v>0</v>
      </c>
      <c r="U234" s="206">
        <f ca="1">IF(B234&gt;=$P$5,0,(CONTADORES!AS234-CONTADORES!AS233))</f>
        <v>0</v>
      </c>
      <c r="V234" s="206">
        <f ca="1">IF(B234&gt;=$P$5,0,(CONTADORES!AT234-CONTADORES!AT233))</f>
        <v>0</v>
      </c>
      <c r="W234" s="715">
        <v>0</v>
      </c>
      <c r="X234" s="206">
        <f ca="1">IF(W234=0,(T234-INICIO!$W$6),((T234-INICIO!$W$6)+V234))</f>
        <v>0</v>
      </c>
      <c r="Y234" s="208">
        <f t="shared" ca="1" si="52"/>
        <v>0</v>
      </c>
      <c r="Z234" s="209" t="e">
        <f t="shared" ca="1" si="53"/>
        <v>#DIV/0!</v>
      </c>
      <c r="AA234" s="206" t="e">
        <f t="shared" ca="1" si="54"/>
        <v>#DIV/0!</v>
      </c>
      <c r="AB234" s="206" t="e">
        <f t="shared" ca="1" si="55"/>
        <v>#DIV/0!</v>
      </c>
      <c r="AC234" s="208" t="e">
        <f t="shared" ca="1" si="50"/>
        <v>#DIV/0!</v>
      </c>
    </row>
    <row r="235" spans="2:29">
      <c r="B235" s="214">
        <v>44786</v>
      </c>
      <c r="C235" s="202">
        <f ca="1">DATOSAÑO!I235</f>
        <v>0</v>
      </c>
      <c r="D235" s="196">
        <f ca="1">DATOSAÑO!P235</f>
        <v>0</v>
      </c>
      <c r="E235" s="196">
        <f ca="1">DATOSAÑO!Q235</f>
        <v>0</v>
      </c>
      <c r="F235" s="196">
        <f ca="1">DATOSAÑO!T235</f>
        <v>0</v>
      </c>
      <c r="G235" s="196">
        <f t="shared" ca="1" si="49"/>
        <v>0</v>
      </c>
      <c r="H235" s="196" t="e">
        <f t="shared" ca="1" si="60"/>
        <v>#DIV/0!</v>
      </c>
      <c r="I235" s="196" t="e">
        <f t="shared" ca="1" si="56"/>
        <v>#DIV/0!</v>
      </c>
      <c r="J235" s="196" t="e">
        <f t="shared" ca="1" si="57"/>
        <v>#DIV/0!</v>
      </c>
      <c r="K235" s="196" t="e">
        <f t="shared" ca="1" si="58"/>
        <v>#DIV/0!</v>
      </c>
      <c r="L235" s="196">
        <f t="shared" ca="1" si="44"/>
        <v>0</v>
      </c>
      <c r="M235" s="196" t="e">
        <f t="shared" ca="1" si="59"/>
        <v>#DIV/0!</v>
      </c>
      <c r="N235" s="196">
        <f t="shared" ca="1" si="51"/>
        <v>0</v>
      </c>
      <c r="O235" s="196">
        <f ca="1">(DATOSAÑO!AJ235+DATOSAÑO!AK235+DATOSAÑO!AD235)</f>
        <v>0</v>
      </c>
      <c r="P235" s="196">
        <f ca="1">DATOSAÑO!AI235</f>
        <v>0</v>
      </c>
      <c r="Q235" s="196">
        <f ca="1">DATOSAÑO!AH235</f>
        <v>0</v>
      </c>
      <c r="R235" s="196">
        <f ca="1">DATOSAÑO!AM235+DATOSAÑO!AN235+DATOSAÑO!AF235</f>
        <v>0</v>
      </c>
      <c r="S235" s="209">
        <f ca="1">IF(B235&gt;=$P$5,0,CONTADORES!S235-CONTADORES!S234)</f>
        <v>0</v>
      </c>
      <c r="T235" s="206">
        <f ca="1">IF(B235&gt;=$P$5,0,(CONTADORES!U235-CONTADORES!U234)+(CONTADORES!AG235-CONTADORES!AG234))</f>
        <v>0</v>
      </c>
      <c r="U235" s="206">
        <f ca="1">IF(B235&gt;=$P$5,0,(CONTADORES!AS235-CONTADORES!AS234))</f>
        <v>0</v>
      </c>
      <c r="V235" s="206">
        <f ca="1">IF(B235&gt;=$P$5,0,(CONTADORES!AT235-CONTADORES!AT234))</f>
        <v>0</v>
      </c>
      <c r="W235" s="715">
        <v>0</v>
      </c>
      <c r="X235" s="206">
        <f ca="1">IF(W235=0,(T235-INICIO!$W$6),((T235-INICIO!$W$6)+V235))</f>
        <v>0</v>
      </c>
      <c r="Y235" s="208">
        <f t="shared" ca="1" si="52"/>
        <v>0</v>
      </c>
      <c r="Z235" s="209" t="e">
        <f t="shared" ca="1" si="53"/>
        <v>#DIV/0!</v>
      </c>
      <c r="AA235" s="206" t="e">
        <f t="shared" ca="1" si="54"/>
        <v>#DIV/0!</v>
      </c>
      <c r="AB235" s="206" t="e">
        <f t="shared" ca="1" si="55"/>
        <v>#DIV/0!</v>
      </c>
      <c r="AC235" s="208" t="e">
        <f t="shared" ca="1" si="50"/>
        <v>#DIV/0!</v>
      </c>
    </row>
    <row r="236" spans="2:29">
      <c r="B236" s="214">
        <v>44787</v>
      </c>
      <c r="C236" s="202">
        <f ca="1">DATOSAÑO!I236</f>
        <v>0</v>
      </c>
      <c r="D236" s="196">
        <f ca="1">DATOSAÑO!P236</f>
        <v>0</v>
      </c>
      <c r="E236" s="196">
        <f ca="1">DATOSAÑO!Q236</f>
        <v>0</v>
      </c>
      <c r="F236" s="196">
        <f ca="1">DATOSAÑO!T236</f>
        <v>0</v>
      </c>
      <c r="G236" s="196">
        <f t="shared" ca="1" si="49"/>
        <v>0</v>
      </c>
      <c r="H236" s="196" t="e">
        <f t="shared" ca="1" si="60"/>
        <v>#DIV/0!</v>
      </c>
      <c r="I236" s="196" t="e">
        <f t="shared" ca="1" si="56"/>
        <v>#DIV/0!</v>
      </c>
      <c r="J236" s="196" t="e">
        <f t="shared" ca="1" si="57"/>
        <v>#DIV/0!</v>
      </c>
      <c r="K236" s="196" t="e">
        <f t="shared" ca="1" si="58"/>
        <v>#DIV/0!</v>
      </c>
      <c r="L236" s="196">
        <f t="shared" ca="1" si="44"/>
        <v>0</v>
      </c>
      <c r="M236" s="196" t="e">
        <f t="shared" ca="1" si="59"/>
        <v>#DIV/0!</v>
      </c>
      <c r="N236" s="196">
        <f t="shared" ca="1" si="51"/>
        <v>0</v>
      </c>
      <c r="O236" s="196">
        <f ca="1">(DATOSAÑO!AJ236+DATOSAÑO!AK236+DATOSAÑO!AD236)</f>
        <v>0</v>
      </c>
      <c r="P236" s="196">
        <f ca="1">DATOSAÑO!AI236</f>
        <v>0</v>
      </c>
      <c r="Q236" s="196">
        <f ca="1">DATOSAÑO!AH236</f>
        <v>0</v>
      </c>
      <c r="R236" s="196">
        <f ca="1">DATOSAÑO!AM236+DATOSAÑO!AN236+DATOSAÑO!AF236</f>
        <v>0</v>
      </c>
      <c r="S236" s="209">
        <f ca="1">IF(B236&gt;=$P$5,0,CONTADORES!S236-CONTADORES!S235)</f>
        <v>0</v>
      </c>
      <c r="T236" s="206">
        <f ca="1">IF(B236&gt;=$P$5,0,(CONTADORES!U236-CONTADORES!U235)+(CONTADORES!AG236-CONTADORES!AG235))</f>
        <v>0</v>
      </c>
      <c r="U236" s="206">
        <f ca="1">IF(B236&gt;=$P$5,0,(CONTADORES!AS236-CONTADORES!AS235))</f>
        <v>0</v>
      </c>
      <c r="V236" s="206">
        <f ca="1">IF(B236&gt;=$P$5,0,(CONTADORES!AT236-CONTADORES!AT235))</f>
        <v>0</v>
      </c>
      <c r="W236" s="715">
        <v>0</v>
      </c>
      <c r="X236" s="206">
        <f ca="1">IF(W236=0,(T236-INICIO!$W$6),((T236-INICIO!$W$6)+V236))</f>
        <v>0</v>
      </c>
      <c r="Y236" s="208">
        <f t="shared" ca="1" si="52"/>
        <v>0</v>
      </c>
      <c r="Z236" s="209" t="e">
        <f t="shared" ca="1" si="53"/>
        <v>#DIV/0!</v>
      </c>
      <c r="AA236" s="206" t="e">
        <f t="shared" ca="1" si="54"/>
        <v>#DIV/0!</v>
      </c>
      <c r="AB236" s="206" t="e">
        <f t="shared" ca="1" si="55"/>
        <v>#DIV/0!</v>
      </c>
      <c r="AC236" s="208" t="e">
        <f t="shared" ca="1" si="50"/>
        <v>#DIV/0!</v>
      </c>
    </row>
    <row r="237" spans="2:29">
      <c r="B237" s="214">
        <v>44788</v>
      </c>
      <c r="C237" s="202">
        <f ca="1">DATOSAÑO!I237</f>
        <v>0</v>
      </c>
      <c r="D237" s="196">
        <f ca="1">DATOSAÑO!P237</f>
        <v>0</v>
      </c>
      <c r="E237" s="196">
        <f ca="1">DATOSAÑO!Q237</f>
        <v>0</v>
      </c>
      <c r="F237" s="196">
        <f ca="1">DATOSAÑO!T237</f>
        <v>0</v>
      </c>
      <c r="G237" s="196">
        <f t="shared" ca="1" si="49"/>
        <v>0</v>
      </c>
      <c r="H237" s="196" t="e">
        <f t="shared" ca="1" si="60"/>
        <v>#DIV/0!</v>
      </c>
      <c r="I237" s="196" t="e">
        <f t="shared" ca="1" si="56"/>
        <v>#DIV/0!</v>
      </c>
      <c r="J237" s="196" t="e">
        <f t="shared" ca="1" si="57"/>
        <v>#DIV/0!</v>
      </c>
      <c r="K237" s="196" t="e">
        <f t="shared" ca="1" si="58"/>
        <v>#DIV/0!</v>
      </c>
      <c r="L237" s="196">
        <f t="shared" ca="1" si="44"/>
        <v>0</v>
      </c>
      <c r="M237" s="196" t="e">
        <f t="shared" ca="1" si="59"/>
        <v>#DIV/0!</v>
      </c>
      <c r="N237" s="196">
        <f t="shared" ca="1" si="51"/>
        <v>0</v>
      </c>
      <c r="O237" s="196">
        <f ca="1">(DATOSAÑO!AJ237+DATOSAÑO!AK237+DATOSAÑO!AD237)</f>
        <v>0</v>
      </c>
      <c r="P237" s="196">
        <f ca="1">DATOSAÑO!AI237</f>
        <v>0</v>
      </c>
      <c r="Q237" s="196">
        <f ca="1">DATOSAÑO!AH237</f>
        <v>0</v>
      </c>
      <c r="R237" s="196">
        <f ca="1">DATOSAÑO!AM237+DATOSAÑO!AN237+DATOSAÑO!AF237</f>
        <v>0</v>
      </c>
      <c r="S237" s="209">
        <f ca="1">IF(B237&gt;=$P$5,0,CONTADORES!S237-CONTADORES!S236)</f>
        <v>0</v>
      </c>
      <c r="T237" s="206">
        <f ca="1">IF(B237&gt;=$P$5,0,(CONTADORES!U237-CONTADORES!U236)+(CONTADORES!AG237-CONTADORES!AG236))</f>
        <v>0</v>
      </c>
      <c r="U237" s="206">
        <f ca="1">IF(B237&gt;=$P$5,0,(CONTADORES!AS237-CONTADORES!AS236))</f>
        <v>0</v>
      </c>
      <c r="V237" s="206">
        <f ca="1">IF(B237&gt;=$P$5,0,(CONTADORES!AT237-CONTADORES!AT236))</f>
        <v>0</v>
      </c>
      <c r="W237" s="715">
        <v>0</v>
      </c>
      <c r="X237" s="206">
        <f ca="1">IF(W237=0,(T237-INICIO!$W$6),((T237-INICIO!$W$6)+V237))</f>
        <v>0</v>
      </c>
      <c r="Y237" s="208">
        <f t="shared" ca="1" si="52"/>
        <v>0</v>
      </c>
      <c r="Z237" s="209" t="e">
        <f t="shared" ca="1" si="53"/>
        <v>#DIV/0!</v>
      </c>
      <c r="AA237" s="206" t="e">
        <f t="shared" ca="1" si="54"/>
        <v>#DIV/0!</v>
      </c>
      <c r="AB237" s="206" t="e">
        <f t="shared" ca="1" si="55"/>
        <v>#DIV/0!</v>
      </c>
      <c r="AC237" s="208" t="e">
        <f t="shared" ca="1" si="50"/>
        <v>#DIV/0!</v>
      </c>
    </row>
    <row r="238" spans="2:29">
      <c r="B238" s="214">
        <v>44789</v>
      </c>
      <c r="C238" s="202">
        <f ca="1">DATOSAÑO!I238</f>
        <v>0</v>
      </c>
      <c r="D238" s="196">
        <f ca="1">DATOSAÑO!P238</f>
        <v>0</v>
      </c>
      <c r="E238" s="196">
        <f ca="1">DATOSAÑO!Q238</f>
        <v>0</v>
      </c>
      <c r="F238" s="196">
        <f ca="1">DATOSAÑO!T238</f>
        <v>0</v>
      </c>
      <c r="G238" s="196">
        <f t="shared" ca="1" si="49"/>
        <v>0</v>
      </c>
      <c r="H238" s="196" t="e">
        <f t="shared" ca="1" si="60"/>
        <v>#DIV/0!</v>
      </c>
      <c r="I238" s="196" t="e">
        <f t="shared" ca="1" si="56"/>
        <v>#DIV/0!</v>
      </c>
      <c r="J238" s="196" t="e">
        <f t="shared" ca="1" si="57"/>
        <v>#DIV/0!</v>
      </c>
      <c r="K238" s="196" t="e">
        <f t="shared" ca="1" si="58"/>
        <v>#DIV/0!</v>
      </c>
      <c r="L238" s="196">
        <f t="shared" ca="1" si="44"/>
        <v>0</v>
      </c>
      <c r="M238" s="196" t="e">
        <f t="shared" ca="1" si="59"/>
        <v>#DIV/0!</v>
      </c>
      <c r="N238" s="196">
        <f t="shared" ca="1" si="51"/>
        <v>0</v>
      </c>
      <c r="O238" s="196">
        <f ca="1">(DATOSAÑO!AJ238+DATOSAÑO!AK238+DATOSAÑO!AD238)</f>
        <v>0</v>
      </c>
      <c r="P238" s="196">
        <f ca="1">DATOSAÑO!AI238</f>
        <v>0</v>
      </c>
      <c r="Q238" s="196">
        <f ca="1">DATOSAÑO!AH238</f>
        <v>0</v>
      </c>
      <c r="R238" s="196">
        <f ca="1">DATOSAÑO!AM238+DATOSAÑO!AN238+DATOSAÑO!AF238</f>
        <v>0</v>
      </c>
      <c r="S238" s="209">
        <f ca="1">IF(B238&gt;=$P$5,0,CONTADORES!S238-CONTADORES!S237)</f>
        <v>0</v>
      </c>
      <c r="T238" s="206">
        <f ca="1">IF(B238&gt;=$P$5,0,(CONTADORES!U238-CONTADORES!U237)+(CONTADORES!AG238-CONTADORES!AG237))</f>
        <v>0</v>
      </c>
      <c r="U238" s="206">
        <f ca="1">IF(B238&gt;=$P$5,0,(CONTADORES!AS238-CONTADORES!AS237))</f>
        <v>0</v>
      </c>
      <c r="V238" s="206">
        <f ca="1">IF(B238&gt;=$P$5,0,(CONTADORES!AT238-CONTADORES!AT237))</f>
        <v>0</v>
      </c>
      <c r="W238" s="715">
        <v>0</v>
      </c>
      <c r="X238" s="206">
        <f ca="1">IF(W238=0,(T238-INICIO!$W$6),((T238-INICIO!$W$6)+V238))</f>
        <v>0</v>
      </c>
      <c r="Y238" s="208">
        <f t="shared" ca="1" si="52"/>
        <v>0</v>
      </c>
      <c r="Z238" s="209" t="e">
        <f t="shared" ca="1" si="53"/>
        <v>#DIV/0!</v>
      </c>
      <c r="AA238" s="206" t="e">
        <f t="shared" ca="1" si="54"/>
        <v>#DIV/0!</v>
      </c>
      <c r="AB238" s="206" t="e">
        <f t="shared" ca="1" si="55"/>
        <v>#DIV/0!</v>
      </c>
      <c r="AC238" s="208" t="e">
        <f t="shared" ca="1" si="50"/>
        <v>#DIV/0!</v>
      </c>
    </row>
    <row r="239" spans="2:29">
      <c r="B239" s="214">
        <v>44790</v>
      </c>
      <c r="C239" s="202">
        <f ca="1">DATOSAÑO!I239</f>
        <v>0</v>
      </c>
      <c r="D239" s="196">
        <f ca="1">DATOSAÑO!P239</f>
        <v>0</v>
      </c>
      <c r="E239" s="196">
        <f ca="1">DATOSAÑO!Q239</f>
        <v>0</v>
      </c>
      <c r="F239" s="196">
        <f ca="1">DATOSAÑO!T239</f>
        <v>0</v>
      </c>
      <c r="G239" s="196">
        <f t="shared" ca="1" si="49"/>
        <v>0</v>
      </c>
      <c r="H239" s="196" t="e">
        <f t="shared" ca="1" si="60"/>
        <v>#DIV/0!</v>
      </c>
      <c r="I239" s="196" t="e">
        <f t="shared" ca="1" si="56"/>
        <v>#DIV/0!</v>
      </c>
      <c r="J239" s="196" t="e">
        <f t="shared" ca="1" si="57"/>
        <v>#DIV/0!</v>
      </c>
      <c r="K239" s="196" t="e">
        <f t="shared" ca="1" si="58"/>
        <v>#DIV/0!</v>
      </c>
      <c r="L239" s="196">
        <f t="shared" ca="1" si="44"/>
        <v>0</v>
      </c>
      <c r="M239" s="196" t="e">
        <f t="shared" ca="1" si="59"/>
        <v>#DIV/0!</v>
      </c>
      <c r="N239" s="196">
        <f t="shared" ca="1" si="51"/>
        <v>0</v>
      </c>
      <c r="O239" s="196">
        <f ca="1">(DATOSAÑO!AJ239+DATOSAÑO!AK239+DATOSAÑO!AD239)</f>
        <v>0</v>
      </c>
      <c r="P239" s="196">
        <f ca="1">DATOSAÑO!AI239</f>
        <v>0</v>
      </c>
      <c r="Q239" s="196">
        <f ca="1">DATOSAÑO!AH239</f>
        <v>0</v>
      </c>
      <c r="R239" s="196">
        <f ca="1">DATOSAÑO!AM239+DATOSAÑO!AN239+DATOSAÑO!AF239</f>
        <v>0</v>
      </c>
      <c r="S239" s="209">
        <f ca="1">IF(B239&gt;=$P$5,0,CONTADORES!S239-CONTADORES!S238)</f>
        <v>0</v>
      </c>
      <c r="T239" s="206">
        <f ca="1">IF(B239&gt;=$P$5,0,(CONTADORES!U239-CONTADORES!U238)+(CONTADORES!AG239-CONTADORES!AG238))</f>
        <v>0</v>
      </c>
      <c r="U239" s="206">
        <f ca="1">IF(B239&gt;=$P$5,0,(CONTADORES!AS239-CONTADORES!AS238))</f>
        <v>0</v>
      </c>
      <c r="V239" s="206">
        <f ca="1">IF(B239&gt;=$P$5,0,(CONTADORES!AT239-CONTADORES!AT238))</f>
        <v>0</v>
      </c>
      <c r="W239" s="715">
        <v>0</v>
      </c>
      <c r="X239" s="206">
        <f ca="1">IF(W239=0,(T239-INICIO!$W$6),((T239-INICIO!$W$6)+V239))</f>
        <v>0</v>
      </c>
      <c r="Y239" s="208">
        <f t="shared" ca="1" si="52"/>
        <v>0</v>
      </c>
      <c r="Z239" s="209" t="e">
        <f t="shared" ca="1" si="53"/>
        <v>#DIV/0!</v>
      </c>
      <c r="AA239" s="206" t="e">
        <f t="shared" ca="1" si="54"/>
        <v>#DIV/0!</v>
      </c>
      <c r="AB239" s="206" t="e">
        <f t="shared" ca="1" si="55"/>
        <v>#DIV/0!</v>
      </c>
      <c r="AC239" s="208" t="e">
        <f t="shared" ca="1" si="50"/>
        <v>#DIV/0!</v>
      </c>
    </row>
    <row r="240" spans="2:29">
      <c r="B240" s="214">
        <v>44791</v>
      </c>
      <c r="C240" s="202">
        <f ca="1">DATOSAÑO!I240</f>
        <v>0</v>
      </c>
      <c r="D240" s="196">
        <f ca="1">DATOSAÑO!P240</f>
        <v>0</v>
      </c>
      <c r="E240" s="196">
        <f ca="1">DATOSAÑO!Q240</f>
        <v>0</v>
      </c>
      <c r="F240" s="196">
        <f ca="1">DATOSAÑO!T240</f>
        <v>0</v>
      </c>
      <c r="G240" s="196">
        <f t="shared" ca="1" si="49"/>
        <v>0</v>
      </c>
      <c r="H240" s="196" t="e">
        <f t="shared" ca="1" si="60"/>
        <v>#DIV/0!</v>
      </c>
      <c r="I240" s="196" t="e">
        <f t="shared" ca="1" si="56"/>
        <v>#DIV/0!</v>
      </c>
      <c r="J240" s="196" t="e">
        <f t="shared" ca="1" si="57"/>
        <v>#DIV/0!</v>
      </c>
      <c r="K240" s="196" t="e">
        <f t="shared" ca="1" si="58"/>
        <v>#DIV/0!</v>
      </c>
      <c r="L240" s="196">
        <f t="shared" ca="1" si="44"/>
        <v>0</v>
      </c>
      <c r="M240" s="196" t="e">
        <f t="shared" ca="1" si="59"/>
        <v>#DIV/0!</v>
      </c>
      <c r="N240" s="196">
        <f t="shared" ca="1" si="51"/>
        <v>0</v>
      </c>
      <c r="O240" s="196">
        <f ca="1">(DATOSAÑO!AJ240+DATOSAÑO!AK240+DATOSAÑO!AD240)</f>
        <v>0</v>
      </c>
      <c r="P240" s="196">
        <f ca="1">DATOSAÑO!AI240</f>
        <v>0</v>
      </c>
      <c r="Q240" s="196">
        <f ca="1">DATOSAÑO!AH240</f>
        <v>0</v>
      </c>
      <c r="R240" s="196">
        <f ca="1">DATOSAÑO!AM240+DATOSAÑO!AN240+DATOSAÑO!AF240</f>
        <v>0</v>
      </c>
      <c r="S240" s="209">
        <f ca="1">IF(B240&gt;=$P$5,0,CONTADORES!S240-CONTADORES!S239)</f>
        <v>0</v>
      </c>
      <c r="T240" s="206">
        <f ca="1">IF(B240&gt;=$P$5,0,(CONTADORES!U240-CONTADORES!U239)+(CONTADORES!AG240-CONTADORES!AG239))</f>
        <v>0</v>
      </c>
      <c r="U240" s="206">
        <f ca="1">IF(B240&gt;=$P$5,0,(CONTADORES!AS240-CONTADORES!AS239))</f>
        <v>0</v>
      </c>
      <c r="V240" s="206">
        <f ca="1">IF(B240&gt;=$P$5,0,(CONTADORES!AT240-CONTADORES!AT239))</f>
        <v>0</v>
      </c>
      <c r="W240" s="715">
        <v>0</v>
      </c>
      <c r="X240" s="206">
        <f ca="1">IF(W240=0,(T240-INICIO!$W$6),((T240-INICIO!$W$6)+V240))</f>
        <v>0</v>
      </c>
      <c r="Y240" s="208">
        <f t="shared" ca="1" si="52"/>
        <v>0</v>
      </c>
      <c r="Z240" s="209" t="e">
        <f t="shared" ca="1" si="53"/>
        <v>#DIV/0!</v>
      </c>
      <c r="AA240" s="206" t="e">
        <f t="shared" ca="1" si="54"/>
        <v>#DIV/0!</v>
      </c>
      <c r="AB240" s="206" t="e">
        <f t="shared" ca="1" si="55"/>
        <v>#DIV/0!</v>
      </c>
      <c r="AC240" s="208" t="e">
        <f t="shared" ca="1" si="50"/>
        <v>#DIV/0!</v>
      </c>
    </row>
    <row r="241" spans="2:29">
      <c r="B241" s="214">
        <v>44792</v>
      </c>
      <c r="C241" s="202">
        <f ca="1">DATOSAÑO!I241</f>
        <v>0</v>
      </c>
      <c r="D241" s="196">
        <f ca="1">DATOSAÑO!P241</f>
        <v>0</v>
      </c>
      <c r="E241" s="196">
        <f ca="1">DATOSAÑO!Q241</f>
        <v>0</v>
      </c>
      <c r="F241" s="196">
        <f ca="1">DATOSAÑO!T241</f>
        <v>0</v>
      </c>
      <c r="G241" s="196">
        <f t="shared" ca="1" si="49"/>
        <v>0</v>
      </c>
      <c r="H241" s="196" t="e">
        <f t="shared" ca="1" si="60"/>
        <v>#DIV/0!</v>
      </c>
      <c r="I241" s="196" t="e">
        <f t="shared" ca="1" si="56"/>
        <v>#DIV/0!</v>
      </c>
      <c r="J241" s="196" t="e">
        <f t="shared" ca="1" si="57"/>
        <v>#DIV/0!</v>
      </c>
      <c r="K241" s="196" t="e">
        <f t="shared" ca="1" si="58"/>
        <v>#DIV/0!</v>
      </c>
      <c r="L241" s="196">
        <f t="shared" ca="1" si="44"/>
        <v>0</v>
      </c>
      <c r="M241" s="196" t="e">
        <f t="shared" ca="1" si="59"/>
        <v>#DIV/0!</v>
      </c>
      <c r="N241" s="196">
        <f t="shared" ca="1" si="51"/>
        <v>0</v>
      </c>
      <c r="O241" s="196">
        <f ca="1">(DATOSAÑO!AJ241+DATOSAÑO!AK241+DATOSAÑO!AD241)</f>
        <v>0</v>
      </c>
      <c r="P241" s="196">
        <f ca="1">DATOSAÑO!AI241</f>
        <v>0</v>
      </c>
      <c r="Q241" s="196">
        <f ca="1">DATOSAÑO!AH241</f>
        <v>0</v>
      </c>
      <c r="R241" s="196">
        <f ca="1">DATOSAÑO!AM241+DATOSAÑO!AN241+DATOSAÑO!AF241</f>
        <v>0</v>
      </c>
      <c r="S241" s="209">
        <f ca="1">IF(B241&gt;=$P$5,0,CONTADORES!S241-CONTADORES!S240)</f>
        <v>0</v>
      </c>
      <c r="T241" s="206">
        <f ca="1">IF(B241&gt;=$P$5,0,(CONTADORES!U241-CONTADORES!U240)+(CONTADORES!AG241-CONTADORES!AG240))</f>
        <v>0</v>
      </c>
      <c r="U241" s="206">
        <f ca="1">IF(B241&gt;=$P$5,0,(CONTADORES!AS241-CONTADORES!AS240))</f>
        <v>0</v>
      </c>
      <c r="V241" s="206">
        <f ca="1">IF(B241&gt;=$P$5,0,(CONTADORES!AT241-CONTADORES!AT240))</f>
        <v>0</v>
      </c>
      <c r="W241" s="715">
        <v>0</v>
      </c>
      <c r="X241" s="206">
        <f ca="1">IF(W241=0,(T241-INICIO!$W$6),((T241-INICIO!$W$6)+V241))</f>
        <v>0</v>
      </c>
      <c r="Y241" s="208">
        <f t="shared" ca="1" si="52"/>
        <v>0</v>
      </c>
      <c r="Z241" s="209" t="e">
        <f t="shared" ca="1" si="53"/>
        <v>#DIV/0!</v>
      </c>
      <c r="AA241" s="206" t="e">
        <f t="shared" ca="1" si="54"/>
        <v>#DIV/0!</v>
      </c>
      <c r="AB241" s="206" t="e">
        <f t="shared" ca="1" si="55"/>
        <v>#DIV/0!</v>
      </c>
      <c r="AC241" s="208" t="e">
        <f t="shared" ca="1" si="50"/>
        <v>#DIV/0!</v>
      </c>
    </row>
    <row r="242" spans="2:29">
      <c r="B242" s="214">
        <v>44793</v>
      </c>
      <c r="C242" s="202">
        <f ca="1">DATOSAÑO!I242</f>
        <v>0</v>
      </c>
      <c r="D242" s="196">
        <f ca="1">DATOSAÑO!P242</f>
        <v>0</v>
      </c>
      <c r="E242" s="196">
        <f ca="1">DATOSAÑO!Q242</f>
        <v>0</v>
      </c>
      <c r="F242" s="196">
        <f ca="1">DATOSAÑO!T242</f>
        <v>0</v>
      </c>
      <c r="G242" s="196">
        <f t="shared" ca="1" si="49"/>
        <v>0</v>
      </c>
      <c r="H242" s="196" t="e">
        <f t="shared" ca="1" si="60"/>
        <v>#DIV/0!</v>
      </c>
      <c r="I242" s="196" t="e">
        <f t="shared" ca="1" si="56"/>
        <v>#DIV/0!</v>
      </c>
      <c r="J242" s="196" t="e">
        <f t="shared" ca="1" si="57"/>
        <v>#DIV/0!</v>
      </c>
      <c r="K242" s="196" t="e">
        <f t="shared" ca="1" si="58"/>
        <v>#DIV/0!</v>
      </c>
      <c r="L242" s="196">
        <f t="shared" ca="1" si="44"/>
        <v>0</v>
      </c>
      <c r="M242" s="196" t="e">
        <f t="shared" ca="1" si="59"/>
        <v>#DIV/0!</v>
      </c>
      <c r="N242" s="196">
        <f t="shared" ca="1" si="51"/>
        <v>0</v>
      </c>
      <c r="O242" s="196">
        <f ca="1">(DATOSAÑO!AJ242+DATOSAÑO!AK242+DATOSAÑO!AD242)</f>
        <v>0</v>
      </c>
      <c r="P242" s="196">
        <f ca="1">DATOSAÑO!AI242</f>
        <v>0</v>
      </c>
      <c r="Q242" s="196">
        <f ca="1">DATOSAÑO!AH242</f>
        <v>0</v>
      </c>
      <c r="R242" s="196">
        <f ca="1">DATOSAÑO!AM242+DATOSAÑO!AN242+DATOSAÑO!AF242</f>
        <v>0</v>
      </c>
      <c r="S242" s="209">
        <f ca="1">IF(B242&gt;=$P$5,0,CONTADORES!S242-CONTADORES!S241)</f>
        <v>0</v>
      </c>
      <c r="T242" s="206">
        <f ca="1">IF(B242&gt;=$P$5,0,(CONTADORES!U242-CONTADORES!U241)+(CONTADORES!AG242-CONTADORES!AG241))</f>
        <v>0</v>
      </c>
      <c r="U242" s="206">
        <f ca="1">IF(B242&gt;=$P$5,0,(CONTADORES!AS242-CONTADORES!AS241))</f>
        <v>0</v>
      </c>
      <c r="V242" s="206">
        <f ca="1">IF(B242&gt;=$P$5,0,(CONTADORES!AT242-CONTADORES!AT241))</f>
        <v>0</v>
      </c>
      <c r="W242" s="715">
        <v>0</v>
      </c>
      <c r="X242" s="206">
        <f ca="1">IF(W242=0,(T242-INICIO!$W$6),((T242-INICIO!$W$6)+V242))</f>
        <v>0</v>
      </c>
      <c r="Y242" s="208">
        <f t="shared" ca="1" si="52"/>
        <v>0</v>
      </c>
      <c r="Z242" s="209" t="e">
        <f t="shared" ca="1" si="53"/>
        <v>#DIV/0!</v>
      </c>
      <c r="AA242" s="206" t="e">
        <f t="shared" ca="1" si="54"/>
        <v>#DIV/0!</v>
      </c>
      <c r="AB242" s="206" t="e">
        <f t="shared" ca="1" si="55"/>
        <v>#DIV/0!</v>
      </c>
      <c r="AC242" s="208" t="e">
        <f t="shared" ca="1" si="50"/>
        <v>#DIV/0!</v>
      </c>
    </row>
    <row r="243" spans="2:29">
      <c r="B243" s="214">
        <v>44794</v>
      </c>
      <c r="C243" s="202">
        <f ca="1">DATOSAÑO!I243</f>
        <v>0</v>
      </c>
      <c r="D243" s="196">
        <f ca="1">DATOSAÑO!P243</f>
        <v>0</v>
      </c>
      <c r="E243" s="196">
        <f ca="1">DATOSAÑO!Q243</f>
        <v>0</v>
      </c>
      <c r="F243" s="196">
        <f ca="1">DATOSAÑO!T243</f>
        <v>0</v>
      </c>
      <c r="G243" s="196">
        <f t="shared" ca="1" si="49"/>
        <v>0</v>
      </c>
      <c r="H243" s="196" t="e">
        <f t="shared" ca="1" si="60"/>
        <v>#DIV/0!</v>
      </c>
      <c r="I243" s="196" t="e">
        <f t="shared" ca="1" si="56"/>
        <v>#DIV/0!</v>
      </c>
      <c r="J243" s="196" t="e">
        <f t="shared" ca="1" si="57"/>
        <v>#DIV/0!</v>
      </c>
      <c r="K243" s="196" t="e">
        <f t="shared" ca="1" si="58"/>
        <v>#DIV/0!</v>
      </c>
      <c r="L243" s="196">
        <f t="shared" ca="1" si="44"/>
        <v>0</v>
      </c>
      <c r="M243" s="196" t="e">
        <f t="shared" ca="1" si="59"/>
        <v>#DIV/0!</v>
      </c>
      <c r="N243" s="196">
        <f t="shared" ca="1" si="51"/>
        <v>0</v>
      </c>
      <c r="O243" s="196">
        <f ca="1">(DATOSAÑO!AJ243+DATOSAÑO!AK243+DATOSAÑO!AD243)</f>
        <v>0</v>
      </c>
      <c r="P243" s="196">
        <f ca="1">DATOSAÑO!AI243</f>
        <v>0</v>
      </c>
      <c r="Q243" s="196">
        <f ca="1">DATOSAÑO!AH243</f>
        <v>0</v>
      </c>
      <c r="R243" s="196">
        <f ca="1">DATOSAÑO!AM243+DATOSAÑO!AN243+DATOSAÑO!AF243</f>
        <v>0</v>
      </c>
      <c r="S243" s="209">
        <f ca="1">IF(B243&gt;=$P$5,0,CONTADORES!S243-CONTADORES!S242)</f>
        <v>0</v>
      </c>
      <c r="T243" s="206">
        <f ca="1">IF(B243&gt;=$P$5,0,(CONTADORES!U243-CONTADORES!U242)+(CONTADORES!AG243-CONTADORES!AG242))</f>
        <v>0</v>
      </c>
      <c r="U243" s="206">
        <f ca="1">IF(B243&gt;=$P$5,0,(CONTADORES!AS243-CONTADORES!AS242))</f>
        <v>0</v>
      </c>
      <c r="V243" s="206">
        <f ca="1">IF(B243&gt;=$P$5,0,(CONTADORES!AT243-CONTADORES!AT242))</f>
        <v>0</v>
      </c>
      <c r="W243" s="715">
        <v>0</v>
      </c>
      <c r="X243" s="206">
        <f ca="1">IF(W243=0,(T243-INICIO!$W$6),((T243-INICIO!$W$6)+V243))</f>
        <v>0</v>
      </c>
      <c r="Y243" s="208">
        <f t="shared" ca="1" si="52"/>
        <v>0</v>
      </c>
      <c r="Z243" s="209" t="e">
        <f t="shared" ca="1" si="53"/>
        <v>#DIV/0!</v>
      </c>
      <c r="AA243" s="206" t="e">
        <f t="shared" ca="1" si="54"/>
        <v>#DIV/0!</v>
      </c>
      <c r="AB243" s="206" t="e">
        <f t="shared" ca="1" si="55"/>
        <v>#DIV/0!</v>
      </c>
      <c r="AC243" s="208" t="e">
        <f t="shared" ca="1" si="50"/>
        <v>#DIV/0!</v>
      </c>
    </row>
    <row r="244" spans="2:29">
      <c r="B244" s="214">
        <v>44795</v>
      </c>
      <c r="C244" s="202">
        <f ca="1">DATOSAÑO!I244</f>
        <v>0</v>
      </c>
      <c r="D244" s="196">
        <f ca="1">DATOSAÑO!P244</f>
        <v>0</v>
      </c>
      <c r="E244" s="196">
        <f ca="1">DATOSAÑO!Q244</f>
        <v>0</v>
      </c>
      <c r="F244" s="196">
        <f ca="1">DATOSAÑO!T244</f>
        <v>0</v>
      </c>
      <c r="G244" s="196">
        <f t="shared" ca="1" si="49"/>
        <v>0</v>
      </c>
      <c r="H244" s="196" t="e">
        <f t="shared" ca="1" si="60"/>
        <v>#DIV/0!</v>
      </c>
      <c r="I244" s="196" t="e">
        <f t="shared" ca="1" si="56"/>
        <v>#DIV/0!</v>
      </c>
      <c r="J244" s="196" t="e">
        <f t="shared" ca="1" si="57"/>
        <v>#DIV/0!</v>
      </c>
      <c r="K244" s="196" t="e">
        <f t="shared" ca="1" si="58"/>
        <v>#DIV/0!</v>
      </c>
      <c r="L244" s="196">
        <f t="shared" ca="1" si="44"/>
        <v>0</v>
      </c>
      <c r="M244" s="196" t="e">
        <f t="shared" ca="1" si="59"/>
        <v>#DIV/0!</v>
      </c>
      <c r="N244" s="196">
        <f t="shared" ca="1" si="51"/>
        <v>0</v>
      </c>
      <c r="O244" s="196">
        <f ca="1">(DATOSAÑO!AJ244+DATOSAÑO!AK244+DATOSAÑO!AD244)</f>
        <v>0</v>
      </c>
      <c r="P244" s="196">
        <f ca="1">DATOSAÑO!AI244</f>
        <v>0</v>
      </c>
      <c r="Q244" s="196">
        <f ca="1">DATOSAÑO!AH244</f>
        <v>0</v>
      </c>
      <c r="R244" s="196">
        <f ca="1">DATOSAÑO!AM244+DATOSAÑO!AN244+DATOSAÑO!AF244</f>
        <v>0</v>
      </c>
      <c r="S244" s="209">
        <f ca="1">IF(B244&gt;=$P$5,0,CONTADORES!S244-CONTADORES!S243)</f>
        <v>0</v>
      </c>
      <c r="T244" s="206">
        <f ca="1">IF(B244&gt;=$P$5,0,(CONTADORES!U244-CONTADORES!U243)+(CONTADORES!AG244-CONTADORES!AG243))</f>
        <v>0</v>
      </c>
      <c r="U244" s="206">
        <f ca="1">IF(B244&gt;=$P$5,0,(CONTADORES!AS244-CONTADORES!AS243))</f>
        <v>0</v>
      </c>
      <c r="V244" s="206">
        <f ca="1">IF(B244&gt;=$P$5,0,(CONTADORES!AT244-CONTADORES!AT243))</f>
        <v>0</v>
      </c>
      <c r="W244" s="715">
        <v>0</v>
      </c>
      <c r="X244" s="206">
        <f ca="1">IF(W244=0,(T244-INICIO!$W$6),((T244-INICIO!$W$6)+V244))</f>
        <v>0</v>
      </c>
      <c r="Y244" s="208">
        <f t="shared" ca="1" si="52"/>
        <v>0</v>
      </c>
      <c r="Z244" s="209" t="e">
        <f t="shared" ca="1" si="53"/>
        <v>#DIV/0!</v>
      </c>
      <c r="AA244" s="206" t="e">
        <f t="shared" ca="1" si="54"/>
        <v>#DIV/0!</v>
      </c>
      <c r="AB244" s="206" t="e">
        <f t="shared" ca="1" si="55"/>
        <v>#DIV/0!</v>
      </c>
      <c r="AC244" s="208" t="e">
        <f t="shared" ca="1" si="50"/>
        <v>#DIV/0!</v>
      </c>
    </row>
    <row r="245" spans="2:29">
      <c r="B245" s="214">
        <v>44796</v>
      </c>
      <c r="C245" s="202">
        <f ca="1">DATOSAÑO!I245</f>
        <v>0</v>
      </c>
      <c r="D245" s="196">
        <f ca="1">DATOSAÑO!P245</f>
        <v>0</v>
      </c>
      <c r="E245" s="196">
        <f ca="1">DATOSAÑO!Q245</f>
        <v>0</v>
      </c>
      <c r="F245" s="196">
        <f ca="1">DATOSAÑO!T245</f>
        <v>0</v>
      </c>
      <c r="G245" s="196">
        <f t="shared" ca="1" si="49"/>
        <v>0</v>
      </c>
      <c r="H245" s="196" t="e">
        <f t="shared" ca="1" si="60"/>
        <v>#DIV/0!</v>
      </c>
      <c r="I245" s="196" t="e">
        <f t="shared" ca="1" si="56"/>
        <v>#DIV/0!</v>
      </c>
      <c r="J245" s="196" t="e">
        <f t="shared" ca="1" si="57"/>
        <v>#DIV/0!</v>
      </c>
      <c r="K245" s="196" t="e">
        <f t="shared" ca="1" si="58"/>
        <v>#DIV/0!</v>
      </c>
      <c r="L245" s="196">
        <f t="shared" ca="1" si="44"/>
        <v>0</v>
      </c>
      <c r="M245" s="196" t="e">
        <f t="shared" ca="1" si="59"/>
        <v>#DIV/0!</v>
      </c>
      <c r="N245" s="196">
        <f t="shared" ca="1" si="51"/>
        <v>0</v>
      </c>
      <c r="O245" s="196">
        <f ca="1">(DATOSAÑO!AJ245+DATOSAÑO!AK245+DATOSAÑO!AD245)</f>
        <v>0</v>
      </c>
      <c r="P245" s="196">
        <f ca="1">DATOSAÑO!AI245</f>
        <v>0</v>
      </c>
      <c r="Q245" s="196">
        <f ca="1">DATOSAÑO!AH245</f>
        <v>0</v>
      </c>
      <c r="R245" s="196">
        <f ca="1">DATOSAÑO!AM245+DATOSAÑO!AN245+DATOSAÑO!AF245</f>
        <v>0</v>
      </c>
      <c r="S245" s="209">
        <f ca="1">IF(B245&gt;=$P$5,0,CONTADORES!S245-CONTADORES!S244)</f>
        <v>0</v>
      </c>
      <c r="T245" s="206">
        <f ca="1">IF(B245&gt;=$P$5,0,(CONTADORES!U245-CONTADORES!U244)+(CONTADORES!AG245-CONTADORES!AG244))</f>
        <v>0</v>
      </c>
      <c r="U245" s="206">
        <f ca="1">IF(B245&gt;=$P$5,0,(CONTADORES!AS245-CONTADORES!AS244))</f>
        <v>0</v>
      </c>
      <c r="V245" s="206">
        <f ca="1">IF(B245&gt;=$P$5,0,(CONTADORES!AT245-CONTADORES!AT244))</f>
        <v>0</v>
      </c>
      <c r="W245" s="715">
        <v>0</v>
      </c>
      <c r="X245" s="206">
        <f ca="1">IF(W245=0,(T245-INICIO!$W$6),((T245-INICIO!$W$6)+V245))</f>
        <v>0</v>
      </c>
      <c r="Y245" s="208">
        <f t="shared" ca="1" si="52"/>
        <v>0</v>
      </c>
      <c r="Z245" s="209" t="e">
        <f t="shared" ca="1" si="53"/>
        <v>#DIV/0!</v>
      </c>
      <c r="AA245" s="206" t="e">
        <f t="shared" ca="1" si="54"/>
        <v>#DIV/0!</v>
      </c>
      <c r="AB245" s="206" t="e">
        <f t="shared" ca="1" si="55"/>
        <v>#DIV/0!</v>
      </c>
      <c r="AC245" s="208" t="e">
        <f t="shared" ca="1" si="50"/>
        <v>#DIV/0!</v>
      </c>
    </row>
    <row r="246" spans="2:29">
      <c r="B246" s="214">
        <v>44797</v>
      </c>
      <c r="C246" s="202">
        <f ca="1">DATOSAÑO!I246</f>
        <v>0</v>
      </c>
      <c r="D246" s="196">
        <f ca="1">DATOSAÑO!P246</f>
        <v>0</v>
      </c>
      <c r="E246" s="196">
        <f ca="1">DATOSAÑO!Q246</f>
        <v>0</v>
      </c>
      <c r="F246" s="196">
        <f ca="1">DATOSAÑO!T246</f>
        <v>0</v>
      </c>
      <c r="G246" s="196">
        <f t="shared" ca="1" si="49"/>
        <v>0</v>
      </c>
      <c r="H246" s="196" t="e">
        <f t="shared" ca="1" si="60"/>
        <v>#DIV/0!</v>
      </c>
      <c r="I246" s="196" t="e">
        <f t="shared" ca="1" si="56"/>
        <v>#DIV/0!</v>
      </c>
      <c r="J246" s="196" t="e">
        <f t="shared" ca="1" si="57"/>
        <v>#DIV/0!</v>
      </c>
      <c r="K246" s="196" t="e">
        <f t="shared" ca="1" si="58"/>
        <v>#DIV/0!</v>
      </c>
      <c r="L246" s="196">
        <f t="shared" ca="1" si="44"/>
        <v>0</v>
      </c>
      <c r="M246" s="196" t="e">
        <f t="shared" ca="1" si="59"/>
        <v>#DIV/0!</v>
      </c>
      <c r="N246" s="196">
        <f t="shared" ca="1" si="51"/>
        <v>0</v>
      </c>
      <c r="O246" s="196">
        <f ca="1">(DATOSAÑO!AJ246+DATOSAÑO!AK246+DATOSAÑO!AD246)</f>
        <v>0</v>
      </c>
      <c r="P246" s="196">
        <f ca="1">DATOSAÑO!AI246</f>
        <v>0</v>
      </c>
      <c r="Q246" s="196">
        <f ca="1">DATOSAÑO!AH246</f>
        <v>0</v>
      </c>
      <c r="R246" s="196">
        <f ca="1">DATOSAÑO!AM246+DATOSAÑO!AN246+DATOSAÑO!AF246</f>
        <v>0</v>
      </c>
      <c r="S246" s="209">
        <f ca="1">IF(B246&gt;=$P$5,0,CONTADORES!S246-CONTADORES!S245)</f>
        <v>0</v>
      </c>
      <c r="T246" s="206">
        <f ca="1">IF(B246&gt;=$P$5,0,(CONTADORES!U246-CONTADORES!U245)+(CONTADORES!AG246-CONTADORES!AG245))</f>
        <v>0</v>
      </c>
      <c r="U246" s="206">
        <f ca="1">IF(B246&gt;=$P$5,0,(CONTADORES!AS246-CONTADORES!AS245))</f>
        <v>0</v>
      </c>
      <c r="V246" s="206">
        <f ca="1">IF(B246&gt;=$P$5,0,(CONTADORES!AT246-CONTADORES!AT245))</f>
        <v>0</v>
      </c>
      <c r="W246" s="715">
        <v>0</v>
      </c>
      <c r="X246" s="206">
        <f ca="1">IF(W246=0,(T246-INICIO!$W$6),((T246-INICIO!$W$6)+V246))</f>
        <v>0</v>
      </c>
      <c r="Y246" s="208">
        <f t="shared" ca="1" si="52"/>
        <v>0</v>
      </c>
      <c r="Z246" s="209" t="e">
        <f t="shared" ca="1" si="53"/>
        <v>#DIV/0!</v>
      </c>
      <c r="AA246" s="206" t="e">
        <f t="shared" ca="1" si="54"/>
        <v>#DIV/0!</v>
      </c>
      <c r="AB246" s="206" t="e">
        <f t="shared" ca="1" si="55"/>
        <v>#DIV/0!</v>
      </c>
      <c r="AC246" s="208" t="e">
        <f t="shared" ca="1" si="50"/>
        <v>#DIV/0!</v>
      </c>
    </row>
    <row r="247" spans="2:29">
      <c r="B247" s="214">
        <v>44798</v>
      </c>
      <c r="C247" s="202">
        <f ca="1">DATOSAÑO!I247</f>
        <v>0</v>
      </c>
      <c r="D247" s="196">
        <f ca="1">DATOSAÑO!P247</f>
        <v>0</v>
      </c>
      <c r="E247" s="196">
        <f ca="1">DATOSAÑO!Q247</f>
        <v>0</v>
      </c>
      <c r="F247" s="196">
        <f ca="1">DATOSAÑO!T247</f>
        <v>0</v>
      </c>
      <c r="G247" s="196">
        <f t="shared" ca="1" si="49"/>
        <v>0</v>
      </c>
      <c r="H247" s="196" t="e">
        <f t="shared" ca="1" si="60"/>
        <v>#DIV/0!</v>
      </c>
      <c r="I247" s="196" t="e">
        <f t="shared" ref="I247:I278" ca="1" si="61">O247+Z247</f>
        <v>#DIV/0!</v>
      </c>
      <c r="J247" s="196" t="e">
        <f t="shared" ref="J247:J278" ca="1" si="62">P247+AA247</f>
        <v>#DIV/0!</v>
      </c>
      <c r="K247" s="196" t="e">
        <f t="shared" ref="K247:K278" ca="1" si="63">Q247+AB247</f>
        <v>#DIV/0!</v>
      </c>
      <c r="L247" s="196">
        <f t="shared" ca="1" si="44"/>
        <v>0</v>
      </c>
      <c r="M247" s="196" t="e">
        <f t="shared" ref="M247:M278" ca="1" si="64">N247+AC247</f>
        <v>#DIV/0!</v>
      </c>
      <c r="N247" s="196">
        <f t="shared" ca="1" si="51"/>
        <v>0</v>
      </c>
      <c r="O247" s="196">
        <f ca="1">(DATOSAÑO!AJ247+DATOSAÑO!AK247+DATOSAÑO!AD247)</f>
        <v>0</v>
      </c>
      <c r="P247" s="196">
        <f ca="1">DATOSAÑO!AI247</f>
        <v>0</v>
      </c>
      <c r="Q247" s="196">
        <f ca="1">DATOSAÑO!AH247</f>
        <v>0</v>
      </c>
      <c r="R247" s="196">
        <f ca="1">DATOSAÑO!AM247+DATOSAÑO!AN247+DATOSAÑO!AF247</f>
        <v>0</v>
      </c>
      <c r="S247" s="209">
        <f ca="1">IF(B247&gt;=$P$5,0,CONTADORES!S247-CONTADORES!S246)</f>
        <v>0</v>
      </c>
      <c r="T247" s="206">
        <f ca="1">IF(B247&gt;=$P$5,0,(CONTADORES!U247-CONTADORES!U246)+(CONTADORES!AG247-CONTADORES!AG246))</f>
        <v>0</v>
      </c>
      <c r="U247" s="206">
        <f ca="1">IF(B247&gt;=$P$5,0,(CONTADORES!AS247-CONTADORES!AS246))</f>
        <v>0</v>
      </c>
      <c r="V247" s="206">
        <f ca="1">IF(B247&gt;=$P$5,0,(CONTADORES!AT247-CONTADORES!AT246))</f>
        <v>0</v>
      </c>
      <c r="W247" s="715">
        <v>0</v>
      </c>
      <c r="X247" s="206">
        <f ca="1">IF(W247=0,(T247-INICIO!$W$6),((T247-INICIO!$W$6)+V247))</f>
        <v>0</v>
      </c>
      <c r="Y247" s="208">
        <f t="shared" ca="1" si="52"/>
        <v>0</v>
      </c>
      <c r="Z247" s="209" t="e">
        <f t="shared" ca="1" si="53"/>
        <v>#DIV/0!</v>
      </c>
      <c r="AA247" s="206" t="e">
        <f t="shared" ca="1" si="54"/>
        <v>#DIV/0!</v>
      </c>
      <c r="AB247" s="206" t="e">
        <f t="shared" ca="1" si="55"/>
        <v>#DIV/0!</v>
      </c>
      <c r="AC247" s="208" t="e">
        <f t="shared" ca="1" si="50"/>
        <v>#DIV/0!</v>
      </c>
    </row>
    <row r="248" spans="2:29">
      <c r="B248" s="214">
        <v>44799</v>
      </c>
      <c r="C248" s="202">
        <f ca="1">DATOSAÑO!I248</f>
        <v>0</v>
      </c>
      <c r="D248" s="196">
        <f ca="1">DATOSAÑO!P248</f>
        <v>0</v>
      </c>
      <c r="E248" s="196">
        <f ca="1">DATOSAÑO!Q248</f>
        <v>0</v>
      </c>
      <c r="F248" s="196">
        <f ca="1">DATOSAÑO!T248</f>
        <v>0</v>
      </c>
      <c r="G248" s="196">
        <f t="shared" ca="1" si="49"/>
        <v>0</v>
      </c>
      <c r="H248" s="196" t="e">
        <f t="shared" ca="1" si="60"/>
        <v>#DIV/0!</v>
      </c>
      <c r="I248" s="196" t="e">
        <f t="shared" ca="1" si="61"/>
        <v>#DIV/0!</v>
      </c>
      <c r="J248" s="196" t="e">
        <f t="shared" ca="1" si="62"/>
        <v>#DIV/0!</v>
      </c>
      <c r="K248" s="196" t="e">
        <f t="shared" ca="1" si="63"/>
        <v>#DIV/0!</v>
      </c>
      <c r="L248" s="196">
        <f t="shared" ca="1" si="44"/>
        <v>0</v>
      </c>
      <c r="M248" s="196" t="e">
        <f t="shared" ca="1" si="64"/>
        <v>#DIV/0!</v>
      </c>
      <c r="N248" s="196">
        <f t="shared" ca="1" si="51"/>
        <v>0</v>
      </c>
      <c r="O248" s="196">
        <f ca="1">(DATOSAÑO!AJ248+DATOSAÑO!AK248+DATOSAÑO!AD248)</f>
        <v>0</v>
      </c>
      <c r="P248" s="196">
        <f ca="1">DATOSAÑO!AI248</f>
        <v>0</v>
      </c>
      <c r="Q248" s="196">
        <f ca="1">DATOSAÑO!AH248</f>
        <v>0</v>
      </c>
      <c r="R248" s="196">
        <f ca="1">DATOSAÑO!AM248+DATOSAÑO!AN248+DATOSAÑO!AF248</f>
        <v>0</v>
      </c>
      <c r="S248" s="209">
        <f ca="1">IF(B248&gt;=$P$5,0,CONTADORES!S248-CONTADORES!S247)</f>
        <v>0</v>
      </c>
      <c r="T248" s="206">
        <f ca="1">IF(B248&gt;=$P$5,0,(CONTADORES!U248-CONTADORES!U247)+(CONTADORES!AG248-CONTADORES!AG247))</f>
        <v>0</v>
      </c>
      <c r="U248" s="206">
        <f ca="1">IF(B248&gt;=$P$5,0,(CONTADORES!AS248-CONTADORES!AS247))</f>
        <v>0</v>
      </c>
      <c r="V248" s="206">
        <f ca="1">IF(B248&gt;=$P$5,0,(CONTADORES!AT248-CONTADORES!AT247))</f>
        <v>0</v>
      </c>
      <c r="W248" s="715">
        <v>0</v>
      </c>
      <c r="X248" s="206">
        <f ca="1">IF(W248=0,(T248-INICIO!$W$6),((T248-INICIO!$W$6)+V248))</f>
        <v>0</v>
      </c>
      <c r="Y248" s="208">
        <f t="shared" ca="1" si="52"/>
        <v>0</v>
      </c>
      <c r="Z248" s="209" t="e">
        <f t="shared" ca="1" si="53"/>
        <v>#DIV/0!</v>
      </c>
      <c r="AA248" s="206" t="e">
        <f t="shared" ca="1" si="54"/>
        <v>#DIV/0!</v>
      </c>
      <c r="AB248" s="206" t="e">
        <f t="shared" ca="1" si="55"/>
        <v>#DIV/0!</v>
      </c>
      <c r="AC248" s="208" t="e">
        <f t="shared" ca="1" si="50"/>
        <v>#DIV/0!</v>
      </c>
    </row>
    <row r="249" spans="2:29">
      <c r="B249" s="214">
        <v>44800</v>
      </c>
      <c r="C249" s="202">
        <f ca="1">DATOSAÑO!I249</f>
        <v>0</v>
      </c>
      <c r="D249" s="196">
        <f ca="1">DATOSAÑO!P249</f>
        <v>0</v>
      </c>
      <c r="E249" s="196">
        <f ca="1">DATOSAÑO!Q249</f>
        <v>0</v>
      </c>
      <c r="F249" s="196">
        <f ca="1">DATOSAÑO!T249</f>
        <v>0</v>
      </c>
      <c r="G249" s="196">
        <f t="shared" ca="1" si="49"/>
        <v>0</v>
      </c>
      <c r="H249" s="196" t="e">
        <f t="shared" ca="1" si="60"/>
        <v>#DIV/0!</v>
      </c>
      <c r="I249" s="196" t="e">
        <f t="shared" ca="1" si="61"/>
        <v>#DIV/0!</v>
      </c>
      <c r="J249" s="196" t="e">
        <f t="shared" ca="1" si="62"/>
        <v>#DIV/0!</v>
      </c>
      <c r="K249" s="196" t="e">
        <f t="shared" ca="1" si="63"/>
        <v>#DIV/0!</v>
      </c>
      <c r="L249" s="196">
        <f t="shared" ca="1" si="44"/>
        <v>0</v>
      </c>
      <c r="M249" s="196" t="e">
        <f t="shared" ca="1" si="64"/>
        <v>#DIV/0!</v>
      </c>
      <c r="N249" s="196">
        <f t="shared" ca="1" si="51"/>
        <v>0</v>
      </c>
      <c r="O249" s="196">
        <f ca="1">(DATOSAÑO!AJ249+DATOSAÑO!AK249+DATOSAÑO!AD249)</f>
        <v>0</v>
      </c>
      <c r="P249" s="196">
        <f ca="1">DATOSAÑO!AI249</f>
        <v>0</v>
      </c>
      <c r="Q249" s="196">
        <f ca="1">DATOSAÑO!AH249</f>
        <v>0</v>
      </c>
      <c r="R249" s="196">
        <f ca="1">DATOSAÑO!AM249+DATOSAÑO!AN249+DATOSAÑO!AF249</f>
        <v>0</v>
      </c>
      <c r="S249" s="209">
        <f ca="1">IF(B249&gt;=$P$5,0,CONTADORES!S249-CONTADORES!S248)</f>
        <v>0</v>
      </c>
      <c r="T249" s="206">
        <f ca="1">IF(B249&gt;=$P$5,0,(CONTADORES!U249-CONTADORES!U248)+(CONTADORES!AG249-CONTADORES!AG248))</f>
        <v>0</v>
      </c>
      <c r="U249" s="206">
        <f ca="1">IF(B249&gt;=$P$5,0,(CONTADORES!AS249-CONTADORES!AS248))</f>
        <v>0</v>
      </c>
      <c r="V249" s="206">
        <f ca="1">IF(B249&gt;=$P$5,0,(CONTADORES!AT249-CONTADORES!AT248))</f>
        <v>0</v>
      </c>
      <c r="W249" s="715">
        <v>0</v>
      </c>
      <c r="X249" s="206">
        <f ca="1">IF(W249=0,(T249-INICIO!$W$6),((T249-INICIO!$W$6)+V249))</f>
        <v>0</v>
      </c>
      <c r="Y249" s="208">
        <f t="shared" ca="1" si="52"/>
        <v>0</v>
      </c>
      <c r="Z249" s="209" t="e">
        <f t="shared" ca="1" si="53"/>
        <v>#DIV/0!</v>
      </c>
      <c r="AA249" s="206" t="e">
        <f t="shared" ca="1" si="54"/>
        <v>#DIV/0!</v>
      </c>
      <c r="AB249" s="206" t="e">
        <f t="shared" ca="1" si="55"/>
        <v>#DIV/0!</v>
      </c>
      <c r="AC249" s="208" t="e">
        <f t="shared" ca="1" si="50"/>
        <v>#DIV/0!</v>
      </c>
    </row>
    <row r="250" spans="2:29">
      <c r="B250" s="214">
        <v>44801</v>
      </c>
      <c r="C250" s="202">
        <f ca="1">DATOSAÑO!I250</f>
        <v>0</v>
      </c>
      <c r="D250" s="196">
        <f ca="1">DATOSAÑO!P250</f>
        <v>0</v>
      </c>
      <c r="E250" s="196">
        <f ca="1">DATOSAÑO!Q250</f>
        <v>0</v>
      </c>
      <c r="F250" s="196">
        <f ca="1">DATOSAÑO!T250</f>
        <v>0</v>
      </c>
      <c r="G250" s="196">
        <f t="shared" ca="1" si="49"/>
        <v>0</v>
      </c>
      <c r="H250" s="196" t="e">
        <f t="shared" ca="1" si="60"/>
        <v>#DIV/0!</v>
      </c>
      <c r="I250" s="196" t="e">
        <f t="shared" ca="1" si="61"/>
        <v>#DIV/0!</v>
      </c>
      <c r="J250" s="196" t="e">
        <f t="shared" ca="1" si="62"/>
        <v>#DIV/0!</v>
      </c>
      <c r="K250" s="196" t="e">
        <f t="shared" ca="1" si="63"/>
        <v>#DIV/0!</v>
      </c>
      <c r="L250" s="196">
        <f t="shared" ca="1" si="44"/>
        <v>0</v>
      </c>
      <c r="M250" s="196" t="e">
        <f t="shared" ca="1" si="64"/>
        <v>#DIV/0!</v>
      </c>
      <c r="N250" s="196">
        <f t="shared" ca="1" si="51"/>
        <v>0</v>
      </c>
      <c r="O250" s="196">
        <f ca="1">(DATOSAÑO!AJ250+DATOSAÑO!AK250+DATOSAÑO!AD250)</f>
        <v>0</v>
      </c>
      <c r="P250" s="196">
        <f ca="1">DATOSAÑO!AI250</f>
        <v>0</v>
      </c>
      <c r="Q250" s="196">
        <f ca="1">DATOSAÑO!AH250</f>
        <v>0</v>
      </c>
      <c r="R250" s="196">
        <f ca="1">DATOSAÑO!AM250+DATOSAÑO!AN250+DATOSAÑO!AF250</f>
        <v>0</v>
      </c>
      <c r="S250" s="209">
        <f ca="1">IF(B250&gt;=$P$5,0,CONTADORES!S250-CONTADORES!S249)</f>
        <v>0</v>
      </c>
      <c r="T250" s="206">
        <f ca="1">IF(B250&gt;=$P$5,0,(CONTADORES!U250-CONTADORES!U249)+(CONTADORES!AG250-CONTADORES!AG249))</f>
        <v>0</v>
      </c>
      <c r="U250" s="206">
        <f ca="1">IF(B250&gt;=$P$5,0,(CONTADORES!AS250-CONTADORES!AS249))</f>
        <v>0</v>
      </c>
      <c r="V250" s="206">
        <f ca="1">IF(B250&gt;=$P$5,0,(CONTADORES!AT250-CONTADORES!AT249))</f>
        <v>0</v>
      </c>
      <c r="W250" s="715">
        <v>0</v>
      </c>
      <c r="X250" s="206">
        <f ca="1">IF(W250=0,(T250-INICIO!$W$6),((T250-INICIO!$W$6)+V250))</f>
        <v>0</v>
      </c>
      <c r="Y250" s="208">
        <f t="shared" ca="1" si="52"/>
        <v>0</v>
      </c>
      <c r="Z250" s="209" t="e">
        <f t="shared" ca="1" si="53"/>
        <v>#DIV/0!</v>
      </c>
      <c r="AA250" s="206" t="e">
        <f t="shared" ca="1" si="54"/>
        <v>#DIV/0!</v>
      </c>
      <c r="AB250" s="206" t="e">
        <f t="shared" ca="1" si="55"/>
        <v>#DIV/0!</v>
      </c>
      <c r="AC250" s="208" t="e">
        <f t="shared" ca="1" si="50"/>
        <v>#DIV/0!</v>
      </c>
    </row>
    <row r="251" spans="2:29">
      <c r="B251" s="214">
        <v>44802</v>
      </c>
      <c r="C251" s="202">
        <f ca="1">DATOSAÑO!I251</f>
        <v>0</v>
      </c>
      <c r="D251" s="196">
        <f ca="1">DATOSAÑO!P251</f>
        <v>0</v>
      </c>
      <c r="E251" s="196">
        <f ca="1">DATOSAÑO!Q251</f>
        <v>0</v>
      </c>
      <c r="F251" s="196">
        <f ca="1">DATOSAÑO!T251</f>
        <v>0</v>
      </c>
      <c r="G251" s="196">
        <f t="shared" ca="1" si="49"/>
        <v>0</v>
      </c>
      <c r="H251" s="196" t="e">
        <f t="shared" ca="1" si="60"/>
        <v>#DIV/0!</v>
      </c>
      <c r="I251" s="196" t="e">
        <f t="shared" ca="1" si="61"/>
        <v>#DIV/0!</v>
      </c>
      <c r="J251" s="196" t="e">
        <f t="shared" ca="1" si="62"/>
        <v>#DIV/0!</v>
      </c>
      <c r="K251" s="196" t="e">
        <f t="shared" ca="1" si="63"/>
        <v>#DIV/0!</v>
      </c>
      <c r="L251" s="196">
        <f t="shared" ca="1" si="44"/>
        <v>0</v>
      </c>
      <c r="M251" s="196" t="e">
        <f t="shared" ca="1" si="64"/>
        <v>#DIV/0!</v>
      </c>
      <c r="N251" s="196">
        <f t="shared" ca="1" si="51"/>
        <v>0</v>
      </c>
      <c r="O251" s="196">
        <f ca="1">(DATOSAÑO!AJ251+DATOSAÑO!AK251+DATOSAÑO!AD251)</f>
        <v>0</v>
      </c>
      <c r="P251" s="196">
        <f ca="1">DATOSAÑO!AI251</f>
        <v>0</v>
      </c>
      <c r="Q251" s="196">
        <f ca="1">DATOSAÑO!AH251</f>
        <v>0</v>
      </c>
      <c r="R251" s="196">
        <f ca="1">DATOSAÑO!AM251+DATOSAÑO!AN251+DATOSAÑO!AF251</f>
        <v>0</v>
      </c>
      <c r="S251" s="209">
        <f ca="1">IF(B251&gt;=$P$5,0,CONTADORES!S251-CONTADORES!S250)</f>
        <v>0</v>
      </c>
      <c r="T251" s="206">
        <f ca="1">IF(B251&gt;=$P$5,0,(CONTADORES!U251-CONTADORES!U250)+(CONTADORES!AG251-CONTADORES!AG250))</f>
        <v>0</v>
      </c>
      <c r="U251" s="206">
        <f ca="1">IF(B251&gt;=$P$5,0,(CONTADORES!AS251-CONTADORES!AS250))</f>
        <v>0</v>
      </c>
      <c r="V251" s="206">
        <f ca="1">IF(B251&gt;=$P$5,0,(CONTADORES!AT251-CONTADORES!AT250))</f>
        <v>0</v>
      </c>
      <c r="W251" s="715">
        <v>0</v>
      </c>
      <c r="X251" s="206">
        <f ca="1">IF(W251=0,(T251-INICIO!$W$6),((T251-INICIO!$W$6)+V251))</f>
        <v>0</v>
      </c>
      <c r="Y251" s="208">
        <f t="shared" ca="1" si="52"/>
        <v>0</v>
      </c>
      <c r="Z251" s="209" t="e">
        <f t="shared" ca="1" si="53"/>
        <v>#DIV/0!</v>
      </c>
      <c r="AA251" s="206" t="e">
        <f t="shared" ca="1" si="54"/>
        <v>#DIV/0!</v>
      </c>
      <c r="AB251" s="206" t="e">
        <f t="shared" ca="1" si="55"/>
        <v>#DIV/0!</v>
      </c>
      <c r="AC251" s="208" t="e">
        <f t="shared" ca="1" si="50"/>
        <v>#DIV/0!</v>
      </c>
    </row>
    <row r="252" spans="2:29">
      <c r="B252" s="214">
        <v>44803</v>
      </c>
      <c r="C252" s="202">
        <f ca="1">DATOSAÑO!I252</f>
        <v>0</v>
      </c>
      <c r="D252" s="196">
        <f ca="1">DATOSAÑO!P252</f>
        <v>0</v>
      </c>
      <c r="E252" s="196">
        <f ca="1">DATOSAÑO!Q252</f>
        <v>0</v>
      </c>
      <c r="F252" s="196">
        <f ca="1">DATOSAÑO!T252</f>
        <v>0</v>
      </c>
      <c r="G252" s="196">
        <f t="shared" ca="1" si="49"/>
        <v>0</v>
      </c>
      <c r="H252" s="196" t="e">
        <f t="shared" ca="1" si="60"/>
        <v>#DIV/0!</v>
      </c>
      <c r="I252" s="196" t="e">
        <f t="shared" ca="1" si="61"/>
        <v>#DIV/0!</v>
      </c>
      <c r="J252" s="196" t="e">
        <f t="shared" ca="1" si="62"/>
        <v>#DIV/0!</v>
      </c>
      <c r="K252" s="196" t="e">
        <f t="shared" ca="1" si="63"/>
        <v>#DIV/0!</v>
      </c>
      <c r="L252" s="196">
        <f t="shared" ca="1" si="44"/>
        <v>0</v>
      </c>
      <c r="M252" s="196" t="e">
        <f t="shared" ca="1" si="64"/>
        <v>#DIV/0!</v>
      </c>
      <c r="N252" s="196">
        <f t="shared" ca="1" si="51"/>
        <v>0</v>
      </c>
      <c r="O252" s="196">
        <f ca="1">(DATOSAÑO!AJ252+DATOSAÑO!AK252+DATOSAÑO!AD252)</f>
        <v>0</v>
      </c>
      <c r="P252" s="196">
        <f ca="1">DATOSAÑO!AI252</f>
        <v>0</v>
      </c>
      <c r="Q252" s="196">
        <f ca="1">DATOSAÑO!AH252</f>
        <v>0</v>
      </c>
      <c r="R252" s="196">
        <f ca="1">DATOSAÑO!AM252+DATOSAÑO!AN252+DATOSAÑO!AF252</f>
        <v>0</v>
      </c>
      <c r="S252" s="209">
        <f ca="1">IF(B252&gt;=$P$5,0,CONTADORES!S252-CONTADORES!S251)</f>
        <v>0</v>
      </c>
      <c r="T252" s="206">
        <f ca="1">IF(B252&gt;=$P$5,0,(CONTADORES!U252-CONTADORES!U251)+(CONTADORES!AG252-CONTADORES!AG251))</f>
        <v>0</v>
      </c>
      <c r="U252" s="206">
        <f ca="1">IF(B252&gt;=$P$5,0,(CONTADORES!AS252-CONTADORES!AS251))</f>
        <v>0</v>
      </c>
      <c r="V252" s="206">
        <f ca="1">IF(B252&gt;=$P$5,0,(CONTADORES!AT252-CONTADORES!AT251))</f>
        <v>0</v>
      </c>
      <c r="W252" s="715">
        <v>0</v>
      </c>
      <c r="X252" s="206">
        <f ca="1">IF(W252=0,(T252-INICIO!$W$6),((T252-INICIO!$W$6)+V252))</f>
        <v>0</v>
      </c>
      <c r="Y252" s="208">
        <f t="shared" ca="1" si="52"/>
        <v>0</v>
      </c>
      <c r="Z252" s="209" t="e">
        <f t="shared" ca="1" si="53"/>
        <v>#DIV/0!</v>
      </c>
      <c r="AA252" s="206" t="e">
        <f t="shared" ca="1" si="54"/>
        <v>#DIV/0!</v>
      </c>
      <c r="AB252" s="206" t="e">
        <f t="shared" ca="1" si="55"/>
        <v>#DIV/0!</v>
      </c>
      <c r="AC252" s="208" t="e">
        <f t="shared" ca="1" si="50"/>
        <v>#DIV/0!</v>
      </c>
    </row>
    <row r="253" spans="2:29" ht="15" thickBot="1">
      <c r="B253" s="1043">
        <v>44804</v>
      </c>
      <c r="C253" s="203">
        <f ca="1">DATOSAÑO!I253</f>
        <v>0</v>
      </c>
      <c r="D253" s="197">
        <f ca="1">DATOSAÑO!P253</f>
        <v>0</v>
      </c>
      <c r="E253" s="197">
        <f ca="1">DATOSAÑO!Q253</f>
        <v>0</v>
      </c>
      <c r="F253" s="197">
        <f ca="1">DATOSAÑO!T253</f>
        <v>0</v>
      </c>
      <c r="G253" s="197">
        <f t="shared" ca="1" si="49"/>
        <v>0</v>
      </c>
      <c r="H253" s="197" t="e">
        <f t="shared" ca="1" si="60"/>
        <v>#DIV/0!</v>
      </c>
      <c r="I253" s="197" t="e">
        <f t="shared" ca="1" si="61"/>
        <v>#DIV/0!</v>
      </c>
      <c r="J253" s="197" t="e">
        <f t="shared" ca="1" si="62"/>
        <v>#DIV/0!</v>
      </c>
      <c r="K253" s="197" t="e">
        <f t="shared" ca="1" si="63"/>
        <v>#DIV/0!</v>
      </c>
      <c r="L253" s="197">
        <f t="shared" ca="1" si="44"/>
        <v>0</v>
      </c>
      <c r="M253" s="197" t="e">
        <f t="shared" ca="1" si="64"/>
        <v>#DIV/0!</v>
      </c>
      <c r="N253" s="197">
        <f t="shared" ca="1" si="51"/>
        <v>0</v>
      </c>
      <c r="O253" s="197">
        <f ca="1">(DATOSAÑO!AJ253+DATOSAÑO!AK253+DATOSAÑO!AD253)</f>
        <v>0</v>
      </c>
      <c r="P253" s="197">
        <f ca="1">DATOSAÑO!AI253</f>
        <v>0</v>
      </c>
      <c r="Q253" s="197">
        <f ca="1">DATOSAÑO!AH253</f>
        <v>0</v>
      </c>
      <c r="R253" s="197">
        <f ca="1">DATOSAÑO!AM253+DATOSAÑO!AN253+DATOSAÑO!AF253</f>
        <v>0</v>
      </c>
      <c r="S253" s="203">
        <f ca="1">IF(B253&gt;=$P$5,0,CONTADORES!S253-CONTADORES!S252)</f>
        <v>0</v>
      </c>
      <c r="T253" s="197">
        <f ca="1">IF(B253&gt;=$P$5,0,(CONTADORES!U253-CONTADORES!U252)+(CONTADORES!AG253-CONTADORES!AG252))</f>
        <v>0</v>
      </c>
      <c r="U253" s="197">
        <f ca="1">IF(B253&gt;=$P$5,0,(CONTADORES!AS253-CONTADORES!AS252))</f>
        <v>0</v>
      </c>
      <c r="V253" s="197">
        <f ca="1">IF(B253&gt;=$P$5,0,(CONTADORES!AT253-CONTADORES!AT252))</f>
        <v>0</v>
      </c>
      <c r="W253" s="716">
        <v>0</v>
      </c>
      <c r="X253" s="197">
        <f ca="1">IF(W253=0,(T253-INICIO!$W$6),((T253-INICIO!$W$6)+V253))</f>
        <v>0</v>
      </c>
      <c r="Y253" s="201">
        <f t="shared" ca="1" si="52"/>
        <v>0</v>
      </c>
      <c r="Z253" s="203" t="e">
        <f t="shared" ca="1" si="53"/>
        <v>#DIV/0!</v>
      </c>
      <c r="AA253" s="197" t="e">
        <f t="shared" ca="1" si="54"/>
        <v>#DIV/0!</v>
      </c>
      <c r="AB253" s="197" t="e">
        <f t="shared" ca="1" si="55"/>
        <v>#DIV/0!</v>
      </c>
      <c r="AC253" s="201" t="e">
        <f t="shared" ca="1" si="50"/>
        <v>#DIV/0!</v>
      </c>
    </row>
    <row r="254" spans="2:29">
      <c r="B254" s="390">
        <v>44805</v>
      </c>
      <c r="C254" s="202">
        <f ca="1">DATOSAÑO!I254</f>
        <v>0</v>
      </c>
      <c r="D254" s="196">
        <f ca="1">DATOSAÑO!P254</f>
        <v>0</v>
      </c>
      <c r="E254" s="196">
        <f ca="1">DATOSAÑO!Q254</f>
        <v>0</v>
      </c>
      <c r="F254" s="196">
        <f ca="1">DATOSAÑO!T254</f>
        <v>0</v>
      </c>
      <c r="G254" s="196">
        <f t="shared" ca="1" si="49"/>
        <v>0</v>
      </c>
      <c r="H254" s="196" t="e">
        <f ca="1">G254-SUM(I254:M254)</f>
        <v>#DIV/0!</v>
      </c>
      <c r="I254" s="196" t="e">
        <f t="shared" ca="1" si="61"/>
        <v>#DIV/0!</v>
      </c>
      <c r="J254" s="196" t="e">
        <f t="shared" ca="1" si="62"/>
        <v>#DIV/0!</v>
      </c>
      <c r="K254" s="196" t="e">
        <f t="shared" ca="1" si="63"/>
        <v>#DIV/0!</v>
      </c>
      <c r="L254" s="196">
        <f t="shared" ca="1" si="44"/>
        <v>0</v>
      </c>
      <c r="M254" s="196" t="e">
        <f t="shared" ca="1" si="64"/>
        <v>#DIV/0!</v>
      </c>
      <c r="N254" s="196">
        <f t="shared" ca="1" si="51"/>
        <v>0</v>
      </c>
      <c r="O254" s="196">
        <f ca="1">(DATOSAÑO!AJ254+DATOSAÑO!AK254+DATOSAÑO!AD254)</f>
        <v>0</v>
      </c>
      <c r="P254" s="196">
        <f ca="1">DATOSAÑO!AI254</f>
        <v>0</v>
      </c>
      <c r="Q254" s="196">
        <f ca="1">DATOSAÑO!AH254</f>
        <v>0</v>
      </c>
      <c r="R254" s="196">
        <f ca="1">DATOSAÑO!AM254+DATOSAÑO!AN254+DATOSAÑO!AF254</f>
        <v>0</v>
      </c>
      <c r="S254" s="202">
        <f ca="1">IF(B254&gt;=$P$5,0,CONTADORES!S256-CONTADORES!S255)</f>
        <v>0</v>
      </c>
      <c r="T254" s="196">
        <f ca="1">IF(B254&gt;=$P$5,0,(CONTADORES!U256-CONTADORES!U255)+(CONTADORES!AG256-CONTADORES!AG255))</f>
        <v>0</v>
      </c>
      <c r="U254" s="196">
        <f ca="1">IF(B254&gt;=$P$5,0,(CONTADORES!AS256-CONTADORES!AS255))</f>
        <v>0</v>
      </c>
      <c r="V254" s="196">
        <f ca="1">IF(B254&gt;=$P$5,0,(CONTADORES!AT256-CONTADORES!AT255))</f>
        <v>0</v>
      </c>
      <c r="W254" s="714">
        <v>0</v>
      </c>
      <c r="X254" s="196">
        <f ca="1">IF(W254=0,(T254-INICIO!$W$6),((T254-INICIO!$W$6)+V254))</f>
        <v>0</v>
      </c>
      <c r="Y254" s="199">
        <f t="shared" ca="1" si="52"/>
        <v>0</v>
      </c>
      <c r="Z254" s="202" t="e">
        <f t="shared" ca="1" si="53"/>
        <v>#DIV/0!</v>
      </c>
      <c r="AA254" s="196" t="e">
        <f t="shared" ca="1" si="54"/>
        <v>#DIV/0!</v>
      </c>
      <c r="AB254" s="196" t="e">
        <f t="shared" ca="1" si="55"/>
        <v>#DIV/0!</v>
      </c>
      <c r="AC254" s="199" t="e">
        <f t="shared" ca="1" si="50"/>
        <v>#DIV/0!</v>
      </c>
    </row>
    <row r="255" spans="2:29">
      <c r="B255" s="214">
        <v>44806</v>
      </c>
      <c r="C255" s="202">
        <f ca="1">DATOSAÑO!I255</f>
        <v>0</v>
      </c>
      <c r="D255" s="196">
        <f ca="1">DATOSAÑO!P255</f>
        <v>0</v>
      </c>
      <c r="E255" s="196">
        <f ca="1">DATOSAÑO!Q255</f>
        <v>0</v>
      </c>
      <c r="F255" s="196">
        <f ca="1">DATOSAÑO!T255</f>
        <v>0</v>
      </c>
      <c r="G255" s="196">
        <f t="shared" ca="1" si="49"/>
        <v>0</v>
      </c>
      <c r="H255" s="196" t="e">
        <f t="shared" ref="H255:H283" ca="1" si="65">G255-SUM(I255:M255)</f>
        <v>#DIV/0!</v>
      </c>
      <c r="I255" s="196" t="e">
        <f t="shared" ca="1" si="61"/>
        <v>#DIV/0!</v>
      </c>
      <c r="J255" s="196" t="e">
        <f t="shared" ca="1" si="62"/>
        <v>#DIV/0!</v>
      </c>
      <c r="K255" s="196" t="e">
        <f t="shared" ca="1" si="63"/>
        <v>#DIV/0!</v>
      </c>
      <c r="L255" s="196">
        <f t="shared" ca="1" si="44"/>
        <v>0</v>
      </c>
      <c r="M255" s="196" t="e">
        <f t="shared" ca="1" si="64"/>
        <v>#DIV/0!</v>
      </c>
      <c r="N255" s="196">
        <f t="shared" ca="1" si="51"/>
        <v>0</v>
      </c>
      <c r="O255" s="196">
        <f ca="1">(DATOSAÑO!AJ255+DATOSAÑO!AK255+DATOSAÑO!AD255)</f>
        <v>0</v>
      </c>
      <c r="P255" s="196">
        <f ca="1">DATOSAÑO!AI255</f>
        <v>0</v>
      </c>
      <c r="Q255" s="196">
        <f ca="1">DATOSAÑO!AH255</f>
        <v>0</v>
      </c>
      <c r="R255" s="196">
        <f ca="1">DATOSAÑO!AM255+DATOSAÑO!AN255+DATOSAÑO!AF255</f>
        <v>0</v>
      </c>
      <c r="S255" s="209">
        <f ca="1">IF(B255&gt;=$P$5,0,CONTADORES!S257-CONTADORES!S256)</f>
        <v>0</v>
      </c>
      <c r="T255" s="206">
        <f ca="1">IF(B255&gt;=$P$5,0,(CONTADORES!U257-CONTADORES!U256)+(CONTADORES!AG257-CONTADORES!AG256))</f>
        <v>0</v>
      </c>
      <c r="U255" s="206">
        <f ca="1">IF(B255&gt;=$P$5,0,(CONTADORES!AS257-CONTADORES!AS256))</f>
        <v>0</v>
      </c>
      <c r="V255" s="206">
        <f ca="1">IF(B255&gt;=$P$5,0,(CONTADORES!AT257-CONTADORES!AT256))</f>
        <v>0</v>
      </c>
      <c r="W255" s="715">
        <v>0</v>
      </c>
      <c r="X255" s="206">
        <f ca="1">IF(W255=0,(T255-INICIO!$W$6),((T255-INICIO!$W$6)+V255))</f>
        <v>0</v>
      </c>
      <c r="Y255" s="208">
        <f t="shared" ca="1" si="52"/>
        <v>0</v>
      </c>
      <c r="Z255" s="209" t="e">
        <f t="shared" ca="1" si="53"/>
        <v>#DIV/0!</v>
      </c>
      <c r="AA255" s="206" t="e">
        <f t="shared" ca="1" si="54"/>
        <v>#DIV/0!</v>
      </c>
      <c r="AB255" s="206" t="e">
        <f t="shared" ca="1" si="55"/>
        <v>#DIV/0!</v>
      </c>
      <c r="AC255" s="208" t="e">
        <f t="shared" ca="1" si="50"/>
        <v>#DIV/0!</v>
      </c>
    </row>
    <row r="256" spans="2:29">
      <c r="B256" s="214">
        <v>44807</v>
      </c>
      <c r="C256" s="202">
        <f ca="1">DATOSAÑO!I256</f>
        <v>0</v>
      </c>
      <c r="D256" s="196">
        <f ca="1">DATOSAÑO!P256</f>
        <v>0</v>
      </c>
      <c r="E256" s="196">
        <f ca="1">DATOSAÑO!Q256</f>
        <v>0</v>
      </c>
      <c r="F256" s="196">
        <f ca="1">DATOSAÑO!T256</f>
        <v>0</v>
      </c>
      <c r="G256" s="196">
        <f t="shared" ca="1" si="49"/>
        <v>0</v>
      </c>
      <c r="H256" s="196" t="e">
        <f t="shared" ca="1" si="65"/>
        <v>#DIV/0!</v>
      </c>
      <c r="I256" s="196" t="e">
        <f t="shared" ca="1" si="61"/>
        <v>#DIV/0!</v>
      </c>
      <c r="J256" s="196" t="e">
        <f t="shared" ca="1" si="62"/>
        <v>#DIV/0!</v>
      </c>
      <c r="K256" s="196" t="e">
        <f t="shared" ca="1" si="63"/>
        <v>#DIV/0!</v>
      </c>
      <c r="L256" s="196">
        <f t="shared" ca="1" si="44"/>
        <v>0</v>
      </c>
      <c r="M256" s="196" t="e">
        <f t="shared" ca="1" si="64"/>
        <v>#DIV/0!</v>
      </c>
      <c r="N256" s="196">
        <f t="shared" ca="1" si="51"/>
        <v>0</v>
      </c>
      <c r="O256" s="196">
        <f ca="1">(DATOSAÑO!AJ256+DATOSAÑO!AK256+DATOSAÑO!AD256)</f>
        <v>0</v>
      </c>
      <c r="P256" s="196">
        <f ca="1">DATOSAÑO!AI256</f>
        <v>0</v>
      </c>
      <c r="Q256" s="196">
        <f ca="1">DATOSAÑO!AH256</f>
        <v>0</v>
      </c>
      <c r="R256" s="196">
        <f ca="1">DATOSAÑO!AM256+DATOSAÑO!AN256+DATOSAÑO!AF256</f>
        <v>0</v>
      </c>
      <c r="S256" s="209">
        <f ca="1">IF(B256&gt;=$P$5,0,CONTADORES!S258-CONTADORES!S257)</f>
        <v>0</v>
      </c>
      <c r="T256" s="206">
        <f ca="1">IF(B256&gt;=$P$5,0,(CONTADORES!U258-CONTADORES!U257)+(CONTADORES!AG258-CONTADORES!AG257))</f>
        <v>0</v>
      </c>
      <c r="U256" s="206">
        <f ca="1">IF(B256&gt;=$P$5,0,(CONTADORES!AS258-CONTADORES!AS257))</f>
        <v>0</v>
      </c>
      <c r="V256" s="206">
        <f ca="1">IF(B256&gt;=$P$5,0,(CONTADORES!AT258-CONTADORES!AT257))</f>
        <v>0</v>
      </c>
      <c r="W256" s="715">
        <v>0</v>
      </c>
      <c r="X256" s="206">
        <f ca="1">IF(W256=0,(T256-INICIO!$W$6),((T256-INICIO!$W$6)+V256))</f>
        <v>0</v>
      </c>
      <c r="Y256" s="208">
        <f t="shared" ca="1" si="52"/>
        <v>0</v>
      </c>
      <c r="Z256" s="209" t="e">
        <f t="shared" ca="1" si="53"/>
        <v>#DIV/0!</v>
      </c>
      <c r="AA256" s="206" t="e">
        <f t="shared" ca="1" si="54"/>
        <v>#DIV/0!</v>
      </c>
      <c r="AB256" s="206" t="e">
        <f t="shared" ca="1" si="55"/>
        <v>#DIV/0!</v>
      </c>
      <c r="AC256" s="208" t="e">
        <f t="shared" ca="1" si="50"/>
        <v>#DIV/0!</v>
      </c>
    </row>
    <row r="257" spans="2:29">
      <c r="B257" s="214">
        <v>44808</v>
      </c>
      <c r="C257" s="202">
        <f ca="1">DATOSAÑO!I257</f>
        <v>0</v>
      </c>
      <c r="D257" s="196">
        <f ca="1">DATOSAÑO!P257</f>
        <v>0</v>
      </c>
      <c r="E257" s="196">
        <f ca="1">DATOSAÑO!Q257</f>
        <v>0</v>
      </c>
      <c r="F257" s="196">
        <f ca="1">DATOSAÑO!T257</f>
        <v>0</v>
      </c>
      <c r="G257" s="196">
        <f t="shared" ca="1" si="49"/>
        <v>0</v>
      </c>
      <c r="H257" s="196" t="e">
        <f t="shared" ca="1" si="65"/>
        <v>#DIV/0!</v>
      </c>
      <c r="I257" s="196" t="e">
        <f t="shared" ca="1" si="61"/>
        <v>#DIV/0!</v>
      </c>
      <c r="J257" s="196" t="e">
        <f t="shared" ca="1" si="62"/>
        <v>#DIV/0!</v>
      </c>
      <c r="K257" s="196" t="e">
        <f t="shared" ca="1" si="63"/>
        <v>#DIV/0!</v>
      </c>
      <c r="L257" s="196">
        <f t="shared" ca="1" si="44"/>
        <v>0</v>
      </c>
      <c r="M257" s="196" t="e">
        <f t="shared" ca="1" si="64"/>
        <v>#DIV/0!</v>
      </c>
      <c r="N257" s="196">
        <f t="shared" ca="1" si="51"/>
        <v>0</v>
      </c>
      <c r="O257" s="196">
        <f ca="1">(DATOSAÑO!AJ257+DATOSAÑO!AK257+DATOSAÑO!AD257)</f>
        <v>0</v>
      </c>
      <c r="P257" s="196">
        <f ca="1">DATOSAÑO!AI257</f>
        <v>0</v>
      </c>
      <c r="Q257" s="196">
        <f ca="1">DATOSAÑO!AH257</f>
        <v>0</v>
      </c>
      <c r="R257" s="196">
        <f ca="1">DATOSAÑO!AM257+DATOSAÑO!AN257+DATOSAÑO!AF257</f>
        <v>0</v>
      </c>
      <c r="S257" s="209">
        <f ca="1">IF(B257&gt;=$P$5,0,CONTADORES!S259-CONTADORES!S258)</f>
        <v>0</v>
      </c>
      <c r="T257" s="206">
        <f ca="1">IF(B257&gt;=$P$5,0,(CONTADORES!U259-CONTADORES!U258)+(CONTADORES!AG259-CONTADORES!AG258))</f>
        <v>0</v>
      </c>
      <c r="U257" s="206">
        <f ca="1">IF(B257&gt;=$P$5,0,(CONTADORES!AS259-CONTADORES!AS258))</f>
        <v>0</v>
      </c>
      <c r="V257" s="206">
        <f ca="1">IF(B257&gt;=$P$5,0,(CONTADORES!AT259-CONTADORES!AT258))</f>
        <v>0</v>
      </c>
      <c r="W257" s="715">
        <v>0</v>
      </c>
      <c r="X257" s="206">
        <f ca="1">IF(W257=0,(T257-INICIO!$W$6),((T257-INICIO!$W$6)+V257))</f>
        <v>0</v>
      </c>
      <c r="Y257" s="208">
        <f t="shared" ca="1" si="52"/>
        <v>0</v>
      </c>
      <c r="Z257" s="209" t="e">
        <f t="shared" ca="1" si="53"/>
        <v>#DIV/0!</v>
      </c>
      <c r="AA257" s="206" t="e">
        <f t="shared" ca="1" si="54"/>
        <v>#DIV/0!</v>
      </c>
      <c r="AB257" s="206" t="e">
        <f t="shared" ca="1" si="55"/>
        <v>#DIV/0!</v>
      </c>
      <c r="AC257" s="208" t="e">
        <f t="shared" ca="1" si="50"/>
        <v>#DIV/0!</v>
      </c>
    </row>
    <row r="258" spans="2:29">
      <c r="B258" s="214">
        <v>44809</v>
      </c>
      <c r="C258" s="202">
        <f ca="1">DATOSAÑO!I258</f>
        <v>0</v>
      </c>
      <c r="D258" s="196">
        <f ca="1">DATOSAÑO!P258</f>
        <v>0</v>
      </c>
      <c r="E258" s="196">
        <f ca="1">DATOSAÑO!Q258</f>
        <v>0</v>
      </c>
      <c r="F258" s="196">
        <f ca="1">DATOSAÑO!T258</f>
        <v>0</v>
      </c>
      <c r="G258" s="196">
        <f t="shared" ca="1" si="49"/>
        <v>0</v>
      </c>
      <c r="H258" s="196" t="e">
        <f t="shared" ca="1" si="65"/>
        <v>#DIV/0!</v>
      </c>
      <c r="I258" s="196" t="e">
        <f t="shared" ca="1" si="61"/>
        <v>#DIV/0!</v>
      </c>
      <c r="J258" s="196" t="e">
        <f t="shared" ca="1" si="62"/>
        <v>#DIV/0!</v>
      </c>
      <c r="K258" s="196" t="e">
        <f t="shared" ca="1" si="63"/>
        <v>#DIV/0!</v>
      </c>
      <c r="L258" s="196">
        <f t="shared" ca="1" si="44"/>
        <v>0</v>
      </c>
      <c r="M258" s="196" t="e">
        <f t="shared" ca="1" si="64"/>
        <v>#DIV/0!</v>
      </c>
      <c r="N258" s="196">
        <f t="shared" ca="1" si="51"/>
        <v>0</v>
      </c>
      <c r="O258" s="196">
        <f ca="1">(DATOSAÑO!AJ258+DATOSAÑO!AK258+DATOSAÑO!AD258)</f>
        <v>0</v>
      </c>
      <c r="P258" s="196">
        <f ca="1">DATOSAÑO!AI258</f>
        <v>0</v>
      </c>
      <c r="Q258" s="196">
        <f ca="1">DATOSAÑO!AH258</f>
        <v>0</v>
      </c>
      <c r="R258" s="196">
        <f ca="1">DATOSAÑO!AM258+DATOSAÑO!AN258+DATOSAÑO!AF258</f>
        <v>0</v>
      </c>
      <c r="S258" s="209">
        <f ca="1">IF(B258&gt;=$P$5,0,CONTADORES!S260-CONTADORES!S259)</f>
        <v>0</v>
      </c>
      <c r="T258" s="206">
        <f ca="1">IF(B258&gt;=$P$5,0,(CONTADORES!U260-CONTADORES!U259)+(CONTADORES!AG260-CONTADORES!AG259))</f>
        <v>0</v>
      </c>
      <c r="U258" s="206">
        <f ca="1">IF(B258&gt;=$P$5,0,(CONTADORES!AS260-CONTADORES!AS259))</f>
        <v>0</v>
      </c>
      <c r="V258" s="206">
        <f ca="1">IF(B258&gt;=$P$5,0,(CONTADORES!AT260-CONTADORES!AT259))</f>
        <v>0</v>
      </c>
      <c r="W258" s="715">
        <v>0</v>
      </c>
      <c r="X258" s="206">
        <f ca="1">IF(W258=0,(T258-INICIO!$W$6),((T258-INICIO!$W$6)+V258))</f>
        <v>0</v>
      </c>
      <c r="Y258" s="208">
        <f t="shared" ca="1" si="52"/>
        <v>0</v>
      </c>
      <c r="Z258" s="209" t="e">
        <f t="shared" ca="1" si="53"/>
        <v>#DIV/0!</v>
      </c>
      <c r="AA258" s="206" t="e">
        <f t="shared" ca="1" si="54"/>
        <v>#DIV/0!</v>
      </c>
      <c r="AB258" s="206" t="e">
        <f t="shared" ca="1" si="55"/>
        <v>#DIV/0!</v>
      </c>
      <c r="AC258" s="208" t="e">
        <f t="shared" ca="1" si="50"/>
        <v>#DIV/0!</v>
      </c>
    </row>
    <row r="259" spans="2:29">
      <c r="B259" s="214">
        <v>44810</v>
      </c>
      <c r="C259" s="202">
        <f ca="1">DATOSAÑO!I259</f>
        <v>0</v>
      </c>
      <c r="D259" s="196">
        <f ca="1">DATOSAÑO!P259</f>
        <v>0</v>
      </c>
      <c r="E259" s="196">
        <f ca="1">DATOSAÑO!Q259</f>
        <v>0</v>
      </c>
      <c r="F259" s="196">
        <f ca="1">DATOSAÑO!T259</f>
        <v>0</v>
      </c>
      <c r="G259" s="196">
        <f t="shared" ca="1" si="49"/>
        <v>0</v>
      </c>
      <c r="H259" s="196" t="e">
        <f t="shared" ca="1" si="65"/>
        <v>#DIV/0!</v>
      </c>
      <c r="I259" s="196" t="e">
        <f t="shared" ca="1" si="61"/>
        <v>#DIV/0!</v>
      </c>
      <c r="J259" s="196" t="e">
        <f t="shared" ca="1" si="62"/>
        <v>#DIV/0!</v>
      </c>
      <c r="K259" s="196" t="e">
        <f t="shared" ca="1" si="63"/>
        <v>#DIV/0!</v>
      </c>
      <c r="L259" s="196">
        <f t="shared" ca="1" si="44"/>
        <v>0</v>
      </c>
      <c r="M259" s="196" t="e">
        <f t="shared" ca="1" si="64"/>
        <v>#DIV/0!</v>
      </c>
      <c r="N259" s="196">
        <f t="shared" ca="1" si="51"/>
        <v>0</v>
      </c>
      <c r="O259" s="196">
        <f ca="1">(DATOSAÑO!AJ259+DATOSAÑO!AK259+DATOSAÑO!AD259)</f>
        <v>0</v>
      </c>
      <c r="P259" s="196">
        <f ca="1">DATOSAÑO!AI259</f>
        <v>0</v>
      </c>
      <c r="Q259" s="196">
        <f ca="1">DATOSAÑO!AH259</f>
        <v>0</v>
      </c>
      <c r="R259" s="196">
        <f ca="1">DATOSAÑO!AM259+DATOSAÑO!AN259+DATOSAÑO!AF259</f>
        <v>0</v>
      </c>
      <c r="S259" s="209">
        <f ca="1">IF(B259&gt;=$P$5,0,CONTADORES!S261-CONTADORES!S260)</f>
        <v>0</v>
      </c>
      <c r="T259" s="206">
        <f ca="1">IF(B259&gt;=$P$5,0,(CONTADORES!U261-CONTADORES!U260)+(CONTADORES!AG261-CONTADORES!AG260))</f>
        <v>0</v>
      </c>
      <c r="U259" s="206">
        <f ca="1">IF(B259&gt;=$P$5,0,(CONTADORES!AS261-CONTADORES!AS260))</f>
        <v>0</v>
      </c>
      <c r="V259" s="206">
        <f ca="1">IF(B259&gt;=$P$5,0,(CONTADORES!AT261-CONTADORES!AT260))</f>
        <v>0</v>
      </c>
      <c r="W259" s="715">
        <v>0</v>
      </c>
      <c r="X259" s="206">
        <f ca="1">IF(W259=0,(T259-INICIO!$W$6),((T259-INICIO!$W$6)+V259))</f>
        <v>0</v>
      </c>
      <c r="Y259" s="208">
        <f t="shared" ca="1" si="52"/>
        <v>0</v>
      </c>
      <c r="Z259" s="209" t="e">
        <f t="shared" ca="1" si="53"/>
        <v>#DIV/0!</v>
      </c>
      <c r="AA259" s="206" t="e">
        <f t="shared" ca="1" si="54"/>
        <v>#DIV/0!</v>
      </c>
      <c r="AB259" s="206" t="e">
        <f t="shared" ca="1" si="55"/>
        <v>#DIV/0!</v>
      </c>
      <c r="AC259" s="208" t="e">
        <f t="shared" ca="1" si="50"/>
        <v>#DIV/0!</v>
      </c>
    </row>
    <row r="260" spans="2:29">
      <c r="B260" s="214">
        <v>44811</v>
      </c>
      <c r="C260" s="202">
        <f ca="1">DATOSAÑO!I260</f>
        <v>0</v>
      </c>
      <c r="D260" s="196">
        <f ca="1">DATOSAÑO!P260</f>
        <v>0</v>
      </c>
      <c r="E260" s="196">
        <f ca="1">DATOSAÑO!Q260</f>
        <v>0</v>
      </c>
      <c r="F260" s="196">
        <f ca="1">DATOSAÑO!T260</f>
        <v>0</v>
      </c>
      <c r="G260" s="196">
        <f t="shared" ca="1" si="49"/>
        <v>0</v>
      </c>
      <c r="H260" s="196" t="e">
        <f t="shared" ca="1" si="65"/>
        <v>#DIV/0!</v>
      </c>
      <c r="I260" s="196" t="e">
        <f t="shared" ca="1" si="61"/>
        <v>#DIV/0!</v>
      </c>
      <c r="J260" s="196" t="e">
        <f t="shared" ca="1" si="62"/>
        <v>#DIV/0!</v>
      </c>
      <c r="K260" s="196" t="e">
        <f t="shared" ca="1" si="63"/>
        <v>#DIV/0!</v>
      </c>
      <c r="L260" s="196">
        <f t="shared" ref="L260:L323" ca="1" si="66">R260</f>
        <v>0</v>
      </c>
      <c r="M260" s="196" t="e">
        <f t="shared" ca="1" si="64"/>
        <v>#DIV/0!</v>
      </c>
      <c r="N260" s="196">
        <f t="shared" ca="1" si="51"/>
        <v>0</v>
      </c>
      <c r="O260" s="196">
        <f ca="1">(DATOSAÑO!AJ260+DATOSAÑO!AK260+DATOSAÑO!AD260)</f>
        <v>0</v>
      </c>
      <c r="P260" s="196">
        <f ca="1">DATOSAÑO!AI260</f>
        <v>0</v>
      </c>
      <c r="Q260" s="196">
        <f ca="1">DATOSAÑO!AH260</f>
        <v>0</v>
      </c>
      <c r="R260" s="196">
        <f ca="1">DATOSAÑO!AM260+DATOSAÑO!AN260+DATOSAÑO!AF260</f>
        <v>0</v>
      </c>
      <c r="S260" s="209">
        <f ca="1">IF(B260&gt;=$P$5,0,CONTADORES!S262-CONTADORES!S261)</f>
        <v>0</v>
      </c>
      <c r="T260" s="206">
        <f ca="1">IF(B260&gt;=$P$5,0,(CONTADORES!U262-CONTADORES!U261)+(CONTADORES!AG262-CONTADORES!AG261))</f>
        <v>0</v>
      </c>
      <c r="U260" s="206">
        <f ca="1">IF(B260&gt;=$P$5,0,(CONTADORES!AS262-CONTADORES!AS261))</f>
        <v>0</v>
      </c>
      <c r="V260" s="206">
        <f ca="1">IF(B260&gt;=$P$5,0,(CONTADORES!AT262-CONTADORES!AT261))</f>
        <v>0</v>
      </c>
      <c r="W260" s="715">
        <v>0</v>
      </c>
      <c r="X260" s="206">
        <f ca="1">IF(W260=0,(T260-INICIO!$W$6),((T260-INICIO!$W$6)+V260))</f>
        <v>0</v>
      </c>
      <c r="Y260" s="208">
        <f t="shared" ca="1" si="52"/>
        <v>0</v>
      </c>
      <c r="Z260" s="209" t="e">
        <f t="shared" ca="1" si="53"/>
        <v>#DIV/0!</v>
      </c>
      <c r="AA260" s="206" t="e">
        <f t="shared" ca="1" si="54"/>
        <v>#DIV/0!</v>
      </c>
      <c r="AB260" s="206" t="e">
        <f t="shared" ca="1" si="55"/>
        <v>#DIV/0!</v>
      </c>
      <c r="AC260" s="208" t="e">
        <f t="shared" ca="1" si="50"/>
        <v>#DIV/0!</v>
      </c>
    </row>
    <row r="261" spans="2:29">
      <c r="B261" s="214">
        <v>44812</v>
      </c>
      <c r="C261" s="202">
        <f ca="1">DATOSAÑO!I261</f>
        <v>0</v>
      </c>
      <c r="D261" s="196">
        <f ca="1">DATOSAÑO!P261</f>
        <v>0</v>
      </c>
      <c r="E261" s="196">
        <f ca="1">DATOSAÑO!Q261</f>
        <v>0</v>
      </c>
      <c r="F261" s="196">
        <f ca="1">DATOSAÑO!T261</f>
        <v>0</v>
      </c>
      <c r="G261" s="196">
        <f t="shared" ca="1" si="49"/>
        <v>0</v>
      </c>
      <c r="H261" s="196" t="e">
        <f t="shared" ca="1" si="65"/>
        <v>#DIV/0!</v>
      </c>
      <c r="I261" s="196" t="e">
        <f t="shared" ca="1" si="61"/>
        <v>#DIV/0!</v>
      </c>
      <c r="J261" s="196" t="e">
        <f t="shared" ca="1" si="62"/>
        <v>#DIV/0!</v>
      </c>
      <c r="K261" s="196" t="e">
        <f t="shared" ca="1" si="63"/>
        <v>#DIV/0!</v>
      </c>
      <c r="L261" s="196">
        <f t="shared" ca="1" si="66"/>
        <v>0</v>
      </c>
      <c r="M261" s="196" t="e">
        <f t="shared" ca="1" si="64"/>
        <v>#DIV/0!</v>
      </c>
      <c r="N261" s="196">
        <f t="shared" ca="1" si="51"/>
        <v>0</v>
      </c>
      <c r="O261" s="196">
        <f ca="1">(DATOSAÑO!AJ261+DATOSAÑO!AK261+DATOSAÑO!AD261)</f>
        <v>0</v>
      </c>
      <c r="P261" s="196">
        <f ca="1">DATOSAÑO!AI261</f>
        <v>0</v>
      </c>
      <c r="Q261" s="196">
        <f ca="1">DATOSAÑO!AH261</f>
        <v>0</v>
      </c>
      <c r="R261" s="196">
        <f ca="1">DATOSAÑO!AM261+DATOSAÑO!AN261+DATOSAÑO!AF261</f>
        <v>0</v>
      </c>
      <c r="S261" s="209">
        <f ca="1">IF(B261&gt;=$P$5,0,CONTADORES!S263-CONTADORES!S262)</f>
        <v>0</v>
      </c>
      <c r="T261" s="206">
        <f ca="1">IF(B261&gt;=$P$5,0,(CONTADORES!U263-CONTADORES!U262)+(CONTADORES!AG263-CONTADORES!AG262))</f>
        <v>0</v>
      </c>
      <c r="U261" s="206">
        <f ca="1">IF(B261&gt;=$P$5,0,(CONTADORES!AS263-CONTADORES!AS262))</f>
        <v>0</v>
      </c>
      <c r="V261" s="206">
        <f ca="1">IF(B261&gt;=$P$5,0,(CONTADORES!AT263-CONTADORES!AT262))</f>
        <v>0</v>
      </c>
      <c r="W261" s="715">
        <v>0</v>
      </c>
      <c r="X261" s="206">
        <f ca="1">IF(W261=0,(T261-INICIO!$W$6),((T261-INICIO!$W$6)+V261))</f>
        <v>0</v>
      </c>
      <c r="Y261" s="208">
        <f t="shared" ca="1" si="52"/>
        <v>0</v>
      </c>
      <c r="Z261" s="209" t="e">
        <f t="shared" ca="1" si="53"/>
        <v>#DIV/0!</v>
      </c>
      <c r="AA261" s="206" t="e">
        <f t="shared" ca="1" si="54"/>
        <v>#DIV/0!</v>
      </c>
      <c r="AB261" s="206" t="e">
        <f t="shared" ca="1" si="55"/>
        <v>#DIV/0!</v>
      </c>
      <c r="AC261" s="208" t="e">
        <f t="shared" ca="1" si="50"/>
        <v>#DIV/0!</v>
      </c>
    </row>
    <row r="262" spans="2:29">
      <c r="B262" s="214">
        <v>44813</v>
      </c>
      <c r="C262" s="202">
        <f ca="1">DATOSAÑO!I262</f>
        <v>0</v>
      </c>
      <c r="D262" s="196">
        <f ca="1">DATOSAÑO!P262</f>
        <v>0</v>
      </c>
      <c r="E262" s="196">
        <f ca="1">DATOSAÑO!Q262</f>
        <v>0</v>
      </c>
      <c r="F262" s="196">
        <f ca="1">DATOSAÑO!T262</f>
        <v>0</v>
      </c>
      <c r="G262" s="196">
        <f t="shared" ca="1" si="49"/>
        <v>0</v>
      </c>
      <c r="H262" s="196" t="e">
        <f t="shared" ca="1" si="65"/>
        <v>#DIV/0!</v>
      </c>
      <c r="I262" s="196" t="e">
        <f t="shared" ca="1" si="61"/>
        <v>#DIV/0!</v>
      </c>
      <c r="J262" s="196" t="e">
        <f t="shared" ca="1" si="62"/>
        <v>#DIV/0!</v>
      </c>
      <c r="K262" s="196" t="e">
        <f t="shared" ca="1" si="63"/>
        <v>#DIV/0!</v>
      </c>
      <c r="L262" s="196">
        <f t="shared" ca="1" si="66"/>
        <v>0</v>
      </c>
      <c r="M262" s="196" t="e">
        <f t="shared" ca="1" si="64"/>
        <v>#DIV/0!</v>
      </c>
      <c r="N262" s="196">
        <f t="shared" ca="1" si="51"/>
        <v>0</v>
      </c>
      <c r="O262" s="196">
        <f ca="1">(DATOSAÑO!AJ262+DATOSAÑO!AK262+DATOSAÑO!AD262)</f>
        <v>0</v>
      </c>
      <c r="P262" s="196">
        <f ca="1">DATOSAÑO!AI262</f>
        <v>0</v>
      </c>
      <c r="Q262" s="196">
        <f ca="1">DATOSAÑO!AH262</f>
        <v>0</v>
      </c>
      <c r="R262" s="196">
        <f ca="1">DATOSAÑO!AM262+DATOSAÑO!AN262+DATOSAÑO!AF262</f>
        <v>0</v>
      </c>
      <c r="S262" s="209">
        <f ca="1">IF(B262&gt;=$P$5,0,CONTADORES!S264-CONTADORES!S263)</f>
        <v>0</v>
      </c>
      <c r="T262" s="206">
        <f ca="1">IF(B262&gt;=$P$5,0,(CONTADORES!U264-CONTADORES!U263)+(CONTADORES!AG264-CONTADORES!AG263))</f>
        <v>0</v>
      </c>
      <c r="U262" s="206">
        <f ca="1">IF(B262&gt;=$P$5,0,(CONTADORES!AS264-CONTADORES!AS263))</f>
        <v>0</v>
      </c>
      <c r="V262" s="206">
        <f ca="1">IF(B262&gt;=$P$5,0,(CONTADORES!AT264-CONTADORES!AT263))</f>
        <v>0</v>
      </c>
      <c r="W262" s="715">
        <v>0</v>
      </c>
      <c r="X262" s="206">
        <f ca="1">IF(W262=0,(T262-INICIO!$W$6),((T262-INICIO!$W$6)+V262))</f>
        <v>0</v>
      </c>
      <c r="Y262" s="208">
        <f t="shared" ca="1" si="52"/>
        <v>0</v>
      </c>
      <c r="Z262" s="209" t="e">
        <f t="shared" ca="1" si="53"/>
        <v>#DIV/0!</v>
      </c>
      <c r="AA262" s="206" t="e">
        <f t="shared" ca="1" si="54"/>
        <v>#DIV/0!</v>
      </c>
      <c r="AB262" s="206" t="e">
        <f t="shared" ca="1" si="55"/>
        <v>#DIV/0!</v>
      </c>
      <c r="AC262" s="208" t="e">
        <f t="shared" ca="1" si="50"/>
        <v>#DIV/0!</v>
      </c>
    </row>
    <row r="263" spans="2:29">
      <c r="B263" s="214">
        <v>44814</v>
      </c>
      <c r="C263" s="202">
        <f ca="1">DATOSAÑO!I263</f>
        <v>0</v>
      </c>
      <c r="D263" s="196">
        <f ca="1">DATOSAÑO!P263</f>
        <v>0</v>
      </c>
      <c r="E263" s="196">
        <f ca="1">DATOSAÑO!Q263</f>
        <v>0</v>
      </c>
      <c r="F263" s="196">
        <f ca="1">DATOSAÑO!T263</f>
        <v>0</v>
      </c>
      <c r="G263" s="196">
        <f t="shared" ca="1" si="49"/>
        <v>0</v>
      </c>
      <c r="H263" s="196" t="e">
        <f t="shared" ca="1" si="65"/>
        <v>#DIV/0!</v>
      </c>
      <c r="I263" s="196" t="e">
        <f t="shared" ca="1" si="61"/>
        <v>#DIV/0!</v>
      </c>
      <c r="J263" s="196" t="e">
        <f t="shared" ca="1" si="62"/>
        <v>#DIV/0!</v>
      </c>
      <c r="K263" s="196" t="e">
        <f t="shared" ca="1" si="63"/>
        <v>#DIV/0!</v>
      </c>
      <c r="L263" s="196">
        <f t="shared" ca="1" si="66"/>
        <v>0</v>
      </c>
      <c r="M263" s="196" t="e">
        <f t="shared" ca="1" si="64"/>
        <v>#DIV/0!</v>
      </c>
      <c r="N263" s="196">
        <f t="shared" ca="1" si="51"/>
        <v>0</v>
      </c>
      <c r="O263" s="196">
        <f ca="1">(DATOSAÑO!AJ263+DATOSAÑO!AK263+DATOSAÑO!AD263)</f>
        <v>0</v>
      </c>
      <c r="P263" s="196">
        <f ca="1">DATOSAÑO!AI263</f>
        <v>0</v>
      </c>
      <c r="Q263" s="196">
        <f ca="1">DATOSAÑO!AH263</f>
        <v>0</v>
      </c>
      <c r="R263" s="196">
        <f ca="1">DATOSAÑO!AM263+DATOSAÑO!AN263+DATOSAÑO!AF263</f>
        <v>0</v>
      </c>
      <c r="S263" s="209">
        <f ca="1">IF(B263&gt;=$P$5,0,CONTADORES!S265-CONTADORES!S264)</f>
        <v>0</v>
      </c>
      <c r="T263" s="206">
        <f ca="1">IF(B263&gt;=$P$5,0,(CONTADORES!U265-CONTADORES!U264)+(CONTADORES!AG265-CONTADORES!AG264))</f>
        <v>0</v>
      </c>
      <c r="U263" s="206">
        <f ca="1">IF(B263&gt;=$P$5,0,(CONTADORES!AS265-CONTADORES!AS264))</f>
        <v>0</v>
      </c>
      <c r="V263" s="206">
        <f ca="1">IF(B263&gt;=$P$5,0,(CONTADORES!AT265-CONTADORES!AT264))</f>
        <v>0</v>
      </c>
      <c r="W263" s="715">
        <v>0</v>
      </c>
      <c r="X263" s="206">
        <f ca="1">IF(W263=0,(T263-INICIO!$W$6),((T263-INICIO!$W$6)+V263))</f>
        <v>0</v>
      </c>
      <c r="Y263" s="208">
        <f t="shared" ca="1" si="52"/>
        <v>0</v>
      </c>
      <c r="Z263" s="209" t="e">
        <f t="shared" ca="1" si="53"/>
        <v>#DIV/0!</v>
      </c>
      <c r="AA263" s="206" t="e">
        <f t="shared" ca="1" si="54"/>
        <v>#DIV/0!</v>
      </c>
      <c r="AB263" s="206" t="e">
        <f t="shared" ca="1" si="55"/>
        <v>#DIV/0!</v>
      </c>
      <c r="AC263" s="208" t="e">
        <f t="shared" ca="1" si="50"/>
        <v>#DIV/0!</v>
      </c>
    </row>
    <row r="264" spans="2:29">
      <c r="B264" s="214">
        <v>44815</v>
      </c>
      <c r="C264" s="202">
        <f ca="1">DATOSAÑO!I264</f>
        <v>0</v>
      </c>
      <c r="D264" s="196">
        <f ca="1">DATOSAÑO!P264</f>
        <v>0</v>
      </c>
      <c r="E264" s="196">
        <f ca="1">DATOSAÑO!Q264</f>
        <v>0</v>
      </c>
      <c r="F264" s="196">
        <f ca="1">DATOSAÑO!T264</f>
        <v>0</v>
      </c>
      <c r="G264" s="196">
        <f t="shared" ca="1" si="49"/>
        <v>0</v>
      </c>
      <c r="H264" s="196" t="e">
        <f t="shared" ca="1" si="65"/>
        <v>#DIV/0!</v>
      </c>
      <c r="I264" s="196" t="e">
        <f t="shared" ca="1" si="61"/>
        <v>#DIV/0!</v>
      </c>
      <c r="J264" s="196" t="e">
        <f t="shared" ca="1" si="62"/>
        <v>#DIV/0!</v>
      </c>
      <c r="K264" s="196" t="e">
        <f t="shared" ca="1" si="63"/>
        <v>#DIV/0!</v>
      </c>
      <c r="L264" s="196">
        <f t="shared" ca="1" si="66"/>
        <v>0</v>
      </c>
      <c r="M264" s="196" t="e">
        <f t="shared" ca="1" si="64"/>
        <v>#DIV/0!</v>
      </c>
      <c r="N264" s="196">
        <f t="shared" ca="1" si="51"/>
        <v>0</v>
      </c>
      <c r="O264" s="196">
        <f ca="1">(DATOSAÑO!AJ264+DATOSAÑO!AK264+DATOSAÑO!AD264)</f>
        <v>0</v>
      </c>
      <c r="P264" s="196">
        <f ca="1">DATOSAÑO!AI264</f>
        <v>0</v>
      </c>
      <c r="Q264" s="196">
        <f ca="1">DATOSAÑO!AH264</f>
        <v>0</v>
      </c>
      <c r="R264" s="196">
        <f ca="1">DATOSAÑO!AM264+DATOSAÑO!AN264+DATOSAÑO!AF264</f>
        <v>0</v>
      </c>
      <c r="S264" s="209">
        <f ca="1">IF(B264&gt;=$P$5,0,CONTADORES!S266-CONTADORES!S265)</f>
        <v>0</v>
      </c>
      <c r="T264" s="206">
        <f ca="1">IF(B264&gt;=$P$5,0,(CONTADORES!U266-CONTADORES!U265)+(CONTADORES!AG266-CONTADORES!AG265))</f>
        <v>0</v>
      </c>
      <c r="U264" s="206">
        <f ca="1">IF(B264&gt;=$P$5,0,(CONTADORES!AS266-CONTADORES!AS265))</f>
        <v>0</v>
      </c>
      <c r="V264" s="206">
        <f ca="1">IF(B264&gt;=$P$5,0,(CONTADORES!AT266-CONTADORES!AT265))</f>
        <v>0</v>
      </c>
      <c r="W264" s="715">
        <v>0</v>
      </c>
      <c r="X264" s="206">
        <f ca="1">IF(W264=0,(T264-INICIO!$W$6),((T264-INICIO!$W$6)+V264))</f>
        <v>0</v>
      </c>
      <c r="Y264" s="208">
        <f t="shared" ca="1" si="52"/>
        <v>0</v>
      </c>
      <c r="Z264" s="209" t="e">
        <f t="shared" ca="1" si="53"/>
        <v>#DIV/0!</v>
      </c>
      <c r="AA264" s="206" t="e">
        <f t="shared" ca="1" si="54"/>
        <v>#DIV/0!</v>
      </c>
      <c r="AB264" s="206" t="e">
        <f t="shared" ca="1" si="55"/>
        <v>#DIV/0!</v>
      </c>
      <c r="AC264" s="208" t="e">
        <f t="shared" ca="1" si="50"/>
        <v>#DIV/0!</v>
      </c>
    </row>
    <row r="265" spans="2:29">
      <c r="B265" s="214">
        <v>44816</v>
      </c>
      <c r="C265" s="202">
        <f ca="1">DATOSAÑO!I265</f>
        <v>0</v>
      </c>
      <c r="D265" s="196">
        <f ca="1">DATOSAÑO!P265</f>
        <v>0</v>
      </c>
      <c r="E265" s="196">
        <f ca="1">DATOSAÑO!Q265</f>
        <v>0</v>
      </c>
      <c r="F265" s="196">
        <f ca="1">DATOSAÑO!T265</f>
        <v>0</v>
      </c>
      <c r="G265" s="196">
        <f t="shared" ca="1" si="49"/>
        <v>0</v>
      </c>
      <c r="H265" s="196" t="e">
        <f t="shared" ca="1" si="65"/>
        <v>#DIV/0!</v>
      </c>
      <c r="I265" s="196" t="e">
        <f t="shared" ca="1" si="61"/>
        <v>#DIV/0!</v>
      </c>
      <c r="J265" s="196" t="e">
        <f t="shared" ca="1" si="62"/>
        <v>#DIV/0!</v>
      </c>
      <c r="K265" s="196" t="e">
        <f t="shared" ca="1" si="63"/>
        <v>#DIV/0!</v>
      </c>
      <c r="L265" s="196">
        <f t="shared" ca="1" si="66"/>
        <v>0</v>
      </c>
      <c r="M265" s="196" t="e">
        <f t="shared" ca="1" si="64"/>
        <v>#DIV/0!</v>
      </c>
      <c r="N265" s="196">
        <f t="shared" ca="1" si="51"/>
        <v>0</v>
      </c>
      <c r="O265" s="196">
        <f ca="1">(DATOSAÑO!AJ265+DATOSAÑO!AK265+DATOSAÑO!AD265)</f>
        <v>0</v>
      </c>
      <c r="P265" s="196">
        <f ca="1">DATOSAÑO!AI265</f>
        <v>0</v>
      </c>
      <c r="Q265" s="196">
        <f ca="1">DATOSAÑO!AH265</f>
        <v>0</v>
      </c>
      <c r="R265" s="196">
        <f ca="1">DATOSAÑO!AM265+DATOSAÑO!AN265+DATOSAÑO!AF265</f>
        <v>0</v>
      </c>
      <c r="S265" s="209">
        <f ca="1">IF(B265&gt;=$P$5,0,CONTADORES!S267-CONTADORES!S266)</f>
        <v>0</v>
      </c>
      <c r="T265" s="206">
        <f ca="1">IF(B265&gt;=$P$5,0,(CONTADORES!U267-CONTADORES!U266)+(CONTADORES!AG267-CONTADORES!AG266))</f>
        <v>0</v>
      </c>
      <c r="U265" s="206">
        <f ca="1">IF(B265&gt;=$P$5,0,(CONTADORES!AS267-CONTADORES!AS266))</f>
        <v>0</v>
      </c>
      <c r="V265" s="206">
        <f ca="1">IF(B265&gt;=$P$5,0,(CONTADORES!AT267-CONTADORES!AT266))</f>
        <v>0</v>
      </c>
      <c r="W265" s="715">
        <v>0</v>
      </c>
      <c r="X265" s="206">
        <f ca="1">IF(W265=0,(T265-INICIO!$W$6),((T265-INICIO!$W$6)+V265))</f>
        <v>0</v>
      </c>
      <c r="Y265" s="208">
        <f t="shared" ca="1" si="52"/>
        <v>0</v>
      </c>
      <c r="Z265" s="209" t="e">
        <f t="shared" ca="1" si="53"/>
        <v>#DIV/0!</v>
      </c>
      <c r="AA265" s="206" t="e">
        <f t="shared" ca="1" si="54"/>
        <v>#DIV/0!</v>
      </c>
      <c r="AB265" s="206" t="e">
        <f t="shared" ca="1" si="55"/>
        <v>#DIV/0!</v>
      </c>
      <c r="AC265" s="208" t="e">
        <f t="shared" ca="1" si="50"/>
        <v>#DIV/0!</v>
      </c>
    </row>
    <row r="266" spans="2:29">
      <c r="B266" s="214">
        <v>44817</v>
      </c>
      <c r="C266" s="202">
        <f ca="1">DATOSAÑO!I266</f>
        <v>0</v>
      </c>
      <c r="D266" s="196">
        <f ca="1">DATOSAÑO!P266</f>
        <v>0</v>
      </c>
      <c r="E266" s="196">
        <f ca="1">DATOSAÑO!Q266</f>
        <v>0</v>
      </c>
      <c r="F266" s="196">
        <f ca="1">DATOSAÑO!T266</f>
        <v>0</v>
      </c>
      <c r="G266" s="196">
        <f t="shared" ca="1" si="49"/>
        <v>0</v>
      </c>
      <c r="H266" s="196" t="e">
        <f t="shared" ca="1" si="65"/>
        <v>#DIV/0!</v>
      </c>
      <c r="I266" s="196" t="e">
        <f t="shared" ca="1" si="61"/>
        <v>#DIV/0!</v>
      </c>
      <c r="J266" s="196" t="e">
        <f t="shared" ca="1" si="62"/>
        <v>#DIV/0!</v>
      </c>
      <c r="K266" s="196" t="e">
        <f t="shared" ca="1" si="63"/>
        <v>#DIV/0!</v>
      </c>
      <c r="L266" s="196">
        <f t="shared" ca="1" si="66"/>
        <v>0</v>
      </c>
      <c r="M266" s="196" t="e">
        <f t="shared" ca="1" si="64"/>
        <v>#DIV/0!</v>
      </c>
      <c r="N266" s="196">
        <f t="shared" ca="1" si="51"/>
        <v>0</v>
      </c>
      <c r="O266" s="196">
        <f ca="1">(DATOSAÑO!AJ266+DATOSAÑO!AK266+DATOSAÑO!AD266)</f>
        <v>0</v>
      </c>
      <c r="P266" s="196">
        <f ca="1">DATOSAÑO!AI266</f>
        <v>0</v>
      </c>
      <c r="Q266" s="196">
        <f ca="1">DATOSAÑO!AH266</f>
        <v>0</v>
      </c>
      <c r="R266" s="196">
        <f ca="1">DATOSAÑO!AM266+DATOSAÑO!AN266+DATOSAÑO!AF266</f>
        <v>0</v>
      </c>
      <c r="S266" s="209">
        <f ca="1">IF(B266&gt;=$P$5,0,CONTADORES!S268-CONTADORES!S267)</f>
        <v>0</v>
      </c>
      <c r="T266" s="206">
        <f ca="1">IF(B266&gt;=$P$5,0,(CONTADORES!U268-CONTADORES!U267)+(CONTADORES!AG268-CONTADORES!AG267))</f>
        <v>0</v>
      </c>
      <c r="U266" s="206">
        <f ca="1">IF(B266&gt;=$P$5,0,(CONTADORES!AS268-CONTADORES!AS267))</f>
        <v>0</v>
      </c>
      <c r="V266" s="206">
        <f ca="1">IF(B266&gt;=$P$5,0,(CONTADORES!AT268-CONTADORES!AT267))</f>
        <v>0</v>
      </c>
      <c r="W266" s="715">
        <v>0</v>
      </c>
      <c r="X266" s="206">
        <f ca="1">IF(W266=0,(T266-INICIO!$W$6),((T266-INICIO!$W$6)+V266))</f>
        <v>0</v>
      </c>
      <c r="Y266" s="208">
        <f t="shared" ca="1" si="52"/>
        <v>0</v>
      </c>
      <c r="Z266" s="209" t="e">
        <f t="shared" ca="1" si="53"/>
        <v>#DIV/0!</v>
      </c>
      <c r="AA266" s="206" t="e">
        <f t="shared" ca="1" si="54"/>
        <v>#DIV/0!</v>
      </c>
      <c r="AB266" s="206" t="e">
        <f t="shared" ca="1" si="55"/>
        <v>#DIV/0!</v>
      </c>
      <c r="AC266" s="208" t="e">
        <f t="shared" ca="1" si="50"/>
        <v>#DIV/0!</v>
      </c>
    </row>
    <row r="267" spans="2:29">
      <c r="B267" s="214">
        <v>44818</v>
      </c>
      <c r="C267" s="202">
        <f ca="1">DATOSAÑO!I267</f>
        <v>0</v>
      </c>
      <c r="D267" s="196">
        <f ca="1">DATOSAÑO!P267</f>
        <v>0</v>
      </c>
      <c r="E267" s="196">
        <f ca="1">DATOSAÑO!Q267</f>
        <v>0</v>
      </c>
      <c r="F267" s="196">
        <f ca="1">DATOSAÑO!T267</f>
        <v>0</v>
      </c>
      <c r="G267" s="196">
        <f t="shared" ref="G267:G330" ca="1" si="67">SUM(C267:F267)</f>
        <v>0</v>
      </c>
      <c r="H267" s="196" t="e">
        <f t="shared" ca="1" si="65"/>
        <v>#DIV/0!</v>
      </c>
      <c r="I267" s="196" t="e">
        <f t="shared" ca="1" si="61"/>
        <v>#DIV/0!</v>
      </c>
      <c r="J267" s="196" t="e">
        <f t="shared" ca="1" si="62"/>
        <v>#DIV/0!</v>
      </c>
      <c r="K267" s="196" t="e">
        <f t="shared" ca="1" si="63"/>
        <v>#DIV/0!</v>
      </c>
      <c r="L267" s="196">
        <f t="shared" ca="1" si="66"/>
        <v>0</v>
      </c>
      <c r="M267" s="196" t="e">
        <f t="shared" ca="1" si="64"/>
        <v>#DIV/0!</v>
      </c>
      <c r="N267" s="196">
        <f t="shared" ca="1" si="51"/>
        <v>0</v>
      </c>
      <c r="O267" s="196">
        <f ca="1">(DATOSAÑO!AJ267+DATOSAÑO!AK267+DATOSAÑO!AD267)</f>
        <v>0</v>
      </c>
      <c r="P267" s="196">
        <f ca="1">DATOSAÑO!AI267</f>
        <v>0</v>
      </c>
      <c r="Q267" s="196">
        <f ca="1">DATOSAÑO!AH267</f>
        <v>0</v>
      </c>
      <c r="R267" s="196">
        <f ca="1">DATOSAÑO!AM267+DATOSAÑO!AN267+DATOSAÑO!AF267</f>
        <v>0</v>
      </c>
      <c r="S267" s="209">
        <f ca="1">IF(B267&gt;=$P$5,0,CONTADORES!S269-CONTADORES!S268)</f>
        <v>0</v>
      </c>
      <c r="T267" s="206">
        <f ca="1">IF(B267&gt;=$P$5,0,(CONTADORES!U269-CONTADORES!U268)+(CONTADORES!AG269-CONTADORES!AG268))</f>
        <v>0</v>
      </c>
      <c r="U267" s="206">
        <f ca="1">IF(B267&gt;=$P$5,0,(CONTADORES!AS269-CONTADORES!AS268))</f>
        <v>0</v>
      </c>
      <c r="V267" s="206">
        <f ca="1">IF(B267&gt;=$P$5,0,(CONTADORES!AT269-CONTADORES!AT268))</f>
        <v>0</v>
      </c>
      <c r="W267" s="715">
        <v>0</v>
      </c>
      <c r="X267" s="206">
        <f ca="1">IF(W267=0,(T267-INICIO!$W$6),((T267-INICIO!$W$6)+V267))</f>
        <v>0</v>
      </c>
      <c r="Y267" s="208">
        <f t="shared" ca="1" si="52"/>
        <v>0</v>
      </c>
      <c r="Z267" s="209" t="e">
        <f t="shared" ca="1" si="53"/>
        <v>#DIV/0!</v>
      </c>
      <c r="AA267" s="206" t="e">
        <f t="shared" ca="1" si="54"/>
        <v>#DIV/0!</v>
      </c>
      <c r="AB267" s="206" t="e">
        <f t="shared" ca="1" si="55"/>
        <v>#DIV/0!</v>
      </c>
      <c r="AC267" s="208" t="e">
        <f t="shared" ref="AC267:AC330" ca="1" si="68">IF(B267&gt;=$P$5,0,($Y267*N267)/SUM($N267:$Q267))</f>
        <v>#DIV/0!</v>
      </c>
    </row>
    <row r="268" spans="2:29">
      <c r="B268" s="214">
        <v>44819</v>
      </c>
      <c r="C268" s="202">
        <f ca="1">DATOSAÑO!I268</f>
        <v>0</v>
      </c>
      <c r="D268" s="196">
        <f ca="1">DATOSAÑO!P268</f>
        <v>0</v>
      </c>
      <c r="E268" s="196">
        <f ca="1">DATOSAÑO!Q268</f>
        <v>0</v>
      </c>
      <c r="F268" s="196">
        <f ca="1">DATOSAÑO!T268</f>
        <v>0</v>
      </c>
      <c r="G268" s="196">
        <f t="shared" ca="1" si="67"/>
        <v>0</v>
      </c>
      <c r="H268" s="196" t="e">
        <f t="shared" ca="1" si="65"/>
        <v>#DIV/0!</v>
      </c>
      <c r="I268" s="196" t="e">
        <f t="shared" ca="1" si="61"/>
        <v>#DIV/0!</v>
      </c>
      <c r="J268" s="196" t="e">
        <f t="shared" ca="1" si="62"/>
        <v>#DIV/0!</v>
      </c>
      <c r="K268" s="196" t="e">
        <f t="shared" ca="1" si="63"/>
        <v>#DIV/0!</v>
      </c>
      <c r="L268" s="196">
        <f t="shared" ca="1" si="66"/>
        <v>0</v>
      </c>
      <c r="M268" s="196" t="e">
        <f t="shared" ca="1" si="64"/>
        <v>#DIV/0!</v>
      </c>
      <c r="N268" s="196">
        <f t="shared" ref="N268:N331" ca="1" si="69">U268</f>
        <v>0</v>
      </c>
      <c r="O268" s="196">
        <f ca="1">(DATOSAÑO!AJ268+DATOSAÑO!AK268+DATOSAÑO!AD268)</f>
        <v>0</v>
      </c>
      <c r="P268" s="196">
        <f ca="1">DATOSAÑO!AI268</f>
        <v>0</v>
      </c>
      <c r="Q268" s="196">
        <f ca="1">DATOSAÑO!AH268</f>
        <v>0</v>
      </c>
      <c r="R268" s="196">
        <f ca="1">DATOSAÑO!AM268+DATOSAÑO!AN268+DATOSAÑO!AF268</f>
        <v>0</v>
      </c>
      <c r="S268" s="209">
        <f ca="1">IF(B268&gt;=$P$5,0,CONTADORES!S270-CONTADORES!S269)</f>
        <v>0</v>
      </c>
      <c r="T268" s="206">
        <f ca="1">IF(B268&gt;=$P$5,0,(CONTADORES!U270-CONTADORES!U269)+(CONTADORES!AG270-CONTADORES!AG269))</f>
        <v>0</v>
      </c>
      <c r="U268" s="206">
        <f ca="1">IF(B268&gt;=$P$5,0,(CONTADORES!AS270-CONTADORES!AS269))</f>
        <v>0</v>
      </c>
      <c r="V268" s="206">
        <f ca="1">IF(B268&gt;=$P$5,0,(CONTADORES!AT270-CONTADORES!AT269))</f>
        <v>0</v>
      </c>
      <c r="W268" s="715">
        <v>0</v>
      </c>
      <c r="X268" s="206">
        <f ca="1">IF(W268=0,(T268-INICIO!$W$6),((T268-INICIO!$W$6)+V268))</f>
        <v>0</v>
      </c>
      <c r="Y268" s="208">
        <f t="shared" ref="Y268:Y331" ca="1" si="70">(IF(W268=0,(S268-U268),((S268-U268)-V268))+E268)</f>
        <v>0</v>
      </c>
      <c r="Z268" s="209" t="e">
        <f t="shared" ref="Z268:Z331" ca="1" si="71">IF(B268&gt;=$P$5,0,($Y268*O268)/SUM($N268:$Q268))</f>
        <v>#DIV/0!</v>
      </c>
      <c r="AA268" s="206" t="e">
        <f t="shared" ref="AA268:AA331" ca="1" si="72">IF(B268&gt;=$P$5,0,($Y268*P268)/SUM($N268:$Q268))</f>
        <v>#DIV/0!</v>
      </c>
      <c r="AB268" s="206" t="e">
        <f t="shared" ref="AB268:AB331" ca="1" si="73">IF(B268&gt;=$P$5,0,($Y268*Q268)/SUM($N268:$Q268))</f>
        <v>#DIV/0!</v>
      </c>
      <c r="AC268" s="208" t="e">
        <f t="shared" ca="1" si="68"/>
        <v>#DIV/0!</v>
      </c>
    </row>
    <row r="269" spans="2:29">
      <c r="B269" s="214">
        <v>44820</v>
      </c>
      <c r="C269" s="202">
        <f ca="1">DATOSAÑO!I269</f>
        <v>0</v>
      </c>
      <c r="D269" s="196">
        <f ca="1">DATOSAÑO!P269</f>
        <v>0</v>
      </c>
      <c r="E269" s="196">
        <f ca="1">DATOSAÑO!Q269</f>
        <v>0</v>
      </c>
      <c r="F269" s="196">
        <f ca="1">DATOSAÑO!T269</f>
        <v>0</v>
      </c>
      <c r="G269" s="196">
        <f t="shared" ca="1" si="67"/>
        <v>0</v>
      </c>
      <c r="H269" s="196" t="e">
        <f t="shared" ca="1" si="65"/>
        <v>#DIV/0!</v>
      </c>
      <c r="I269" s="196" t="e">
        <f t="shared" ca="1" si="61"/>
        <v>#DIV/0!</v>
      </c>
      <c r="J269" s="196" t="e">
        <f t="shared" ca="1" si="62"/>
        <v>#DIV/0!</v>
      </c>
      <c r="K269" s="196" t="e">
        <f t="shared" ca="1" si="63"/>
        <v>#DIV/0!</v>
      </c>
      <c r="L269" s="196">
        <f t="shared" ca="1" si="66"/>
        <v>0</v>
      </c>
      <c r="M269" s="196" t="e">
        <f t="shared" ca="1" si="64"/>
        <v>#DIV/0!</v>
      </c>
      <c r="N269" s="196">
        <f t="shared" ca="1" si="69"/>
        <v>0</v>
      </c>
      <c r="O269" s="196">
        <f ca="1">(DATOSAÑO!AJ269+DATOSAÑO!AK269+DATOSAÑO!AD269)</f>
        <v>0</v>
      </c>
      <c r="P269" s="196">
        <f ca="1">DATOSAÑO!AI269</f>
        <v>0</v>
      </c>
      <c r="Q269" s="196">
        <f ca="1">DATOSAÑO!AH269</f>
        <v>0</v>
      </c>
      <c r="R269" s="196">
        <f ca="1">DATOSAÑO!AM269+DATOSAÑO!AN269+DATOSAÑO!AF269</f>
        <v>0</v>
      </c>
      <c r="S269" s="209">
        <f ca="1">IF(B269&gt;=$P$5,0,CONTADORES!S271-CONTADORES!S270)</f>
        <v>0</v>
      </c>
      <c r="T269" s="206">
        <f ca="1">IF(B269&gt;=$P$5,0,(CONTADORES!U271-CONTADORES!U270)+(CONTADORES!AG271-CONTADORES!AG270))</f>
        <v>0</v>
      </c>
      <c r="U269" s="206">
        <f ca="1">IF(B269&gt;=$P$5,0,(CONTADORES!AS271-CONTADORES!AS270))</f>
        <v>0</v>
      </c>
      <c r="V269" s="206">
        <f ca="1">IF(B269&gt;=$P$5,0,(CONTADORES!AT271-CONTADORES!AT270))</f>
        <v>0</v>
      </c>
      <c r="W269" s="715">
        <v>0</v>
      </c>
      <c r="X269" s="206">
        <f ca="1">IF(W269=0,(T269-INICIO!$W$6),((T269-INICIO!$W$6)+V269))</f>
        <v>0</v>
      </c>
      <c r="Y269" s="208">
        <f t="shared" ca="1" si="70"/>
        <v>0</v>
      </c>
      <c r="Z269" s="209" t="e">
        <f t="shared" ca="1" si="71"/>
        <v>#DIV/0!</v>
      </c>
      <c r="AA269" s="206" t="e">
        <f t="shared" ca="1" si="72"/>
        <v>#DIV/0!</v>
      </c>
      <c r="AB269" s="206" t="e">
        <f t="shared" ca="1" si="73"/>
        <v>#DIV/0!</v>
      </c>
      <c r="AC269" s="208" t="e">
        <f t="shared" ca="1" si="68"/>
        <v>#DIV/0!</v>
      </c>
    </row>
    <row r="270" spans="2:29">
      <c r="B270" s="214">
        <v>44821</v>
      </c>
      <c r="C270" s="202">
        <f ca="1">DATOSAÑO!I270</f>
        <v>0</v>
      </c>
      <c r="D270" s="196">
        <f ca="1">DATOSAÑO!P270</f>
        <v>0</v>
      </c>
      <c r="E270" s="196">
        <f ca="1">DATOSAÑO!Q270</f>
        <v>0</v>
      </c>
      <c r="F270" s="196">
        <f ca="1">DATOSAÑO!T270</f>
        <v>0</v>
      </c>
      <c r="G270" s="196">
        <f t="shared" ca="1" si="67"/>
        <v>0</v>
      </c>
      <c r="H270" s="196" t="e">
        <f t="shared" ca="1" si="65"/>
        <v>#DIV/0!</v>
      </c>
      <c r="I270" s="196" t="e">
        <f t="shared" ca="1" si="61"/>
        <v>#DIV/0!</v>
      </c>
      <c r="J270" s="196" t="e">
        <f t="shared" ca="1" si="62"/>
        <v>#DIV/0!</v>
      </c>
      <c r="K270" s="196" t="e">
        <f t="shared" ca="1" si="63"/>
        <v>#DIV/0!</v>
      </c>
      <c r="L270" s="196">
        <f t="shared" ca="1" si="66"/>
        <v>0</v>
      </c>
      <c r="M270" s="196" t="e">
        <f t="shared" ca="1" si="64"/>
        <v>#DIV/0!</v>
      </c>
      <c r="N270" s="196">
        <f t="shared" ca="1" si="69"/>
        <v>0</v>
      </c>
      <c r="O270" s="196">
        <f ca="1">(DATOSAÑO!AJ270+DATOSAÑO!AK270+DATOSAÑO!AD270)</f>
        <v>0</v>
      </c>
      <c r="P270" s="196">
        <f ca="1">DATOSAÑO!AI270</f>
        <v>0</v>
      </c>
      <c r="Q270" s="196">
        <f ca="1">DATOSAÑO!AH270</f>
        <v>0</v>
      </c>
      <c r="R270" s="196">
        <f ca="1">DATOSAÑO!AM270+DATOSAÑO!AN270+DATOSAÑO!AF270</f>
        <v>0</v>
      </c>
      <c r="S270" s="209">
        <f ca="1">IF(B270&gt;=$P$5,0,CONTADORES!S272-CONTADORES!S271)</f>
        <v>0</v>
      </c>
      <c r="T270" s="206">
        <f ca="1">IF(B270&gt;=$P$5,0,(CONTADORES!U272-CONTADORES!U271)+(CONTADORES!AG272-CONTADORES!AG271))</f>
        <v>0</v>
      </c>
      <c r="U270" s="206">
        <f ca="1">IF(B270&gt;=$P$5,0,(CONTADORES!AS272-CONTADORES!AS271))</f>
        <v>0</v>
      </c>
      <c r="V270" s="206">
        <f ca="1">IF(B270&gt;=$P$5,0,(CONTADORES!AT272-CONTADORES!AT271))</f>
        <v>0</v>
      </c>
      <c r="W270" s="715">
        <v>0</v>
      </c>
      <c r="X270" s="206">
        <f ca="1">IF(W270=0,(T270-INICIO!$W$6),((T270-INICIO!$W$6)+V270))</f>
        <v>0</v>
      </c>
      <c r="Y270" s="208">
        <f t="shared" ca="1" si="70"/>
        <v>0</v>
      </c>
      <c r="Z270" s="209" t="e">
        <f t="shared" ca="1" si="71"/>
        <v>#DIV/0!</v>
      </c>
      <c r="AA270" s="206" t="e">
        <f t="shared" ca="1" si="72"/>
        <v>#DIV/0!</v>
      </c>
      <c r="AB270" s="206" t="e">
        <f t="shared" ca="1" si="73"/>
        <v>#DIV/0!</v>
      </c>
      <c r="AC270" s="208" t="e">
        <f t="shared" ca="1" si="68"/>
        <v>#DIV/0!</v>
      </c>
    </row>
    <row r="271" spans="2:29">
      <c r="B271" s="214">
        <v>44822</v>
      </c>
      <c r="C271" s="202">
        <f ca="1">DATOSAÑO!I271</f>
        <v>0</v>
      </c>
      <c r="D271" s="196">
        <f ca="1">DATOSAÑO!P271</f>
        <v>0</v>
      </c>
      <c r="E271" s="196">
        <f ca="1">DATOSAÑO!Q271</f>
        <v>0</v>
      </c>
      <c r="F271" s="196">
        <f ca="1">DATOSAÑO!T271</f>
        <v>0</v>
      </c>
      <c r="G271" s="196">
        <f t="shared" ca="1" si="67"/>
        <v>0</v>
      </c>
      <c r="H271" s="196" t="e">
        <f t="shared" ca="1" si="65"/>
        <v>#DIV/0!</v>
      </c>
      <c r="I271" s="196" t="e">
        <f t="shared" ca="1" si="61"/>
        <v>#DIV/0!</v>
      </c>
      <c r="J271" s="196" t="e">
        <f t="shared" ca="1" si="62"/>
        <v>#DIV/0!</v>
      </c>
      <c r="K271" s="196" t="e">
        <f t="shared" ca="1" si="63"/>
        <v>#DIV/0!</v>
      </c>
      <c r="L271" s="196">
        <f t="shared" ca="1" si="66"/>
        <v>0</v>
      </c>
      <c r="M271" s="196" t="e">
        <f t="shared" ca="1" si="64"/>
        <v>#DIV/0!</v>
      </c>
      <c r="N271" s="196">
        <f t="shared" ca="1" si="69"/>
        <v>0</v>
      </c>
      <c r="O271" s="196">
        <f ca="1">(DATOSAÑO!AJ271+DATOSAÑO!AK271+DATOSAÑO!AD271)</f>
        <v>0</v>
      </c>
      <c r="P271" s="196">
        <f ca="1">DATOSAÑO!AI271</f>
        <v>0</v>
      </c>
      <c r="Q271" s="196">
        <f ca="1">DATOSAÑO!AH271</f>
        <v>0</v>
      </c>
      <c r="R271" s="196">
        <f ca="1">DATOSAÑO!AM271+DATOSAÑO!AN271+DATOSAÑO!AF271</f>
        <v>0</v>
      </c>
      <c r="S271" s="209">
        <f ca="1">IF(B271&gt;=$P$5,0,CONTADORES!S273-CONTADORES!S272)</f>
        <v>0</v>
      </c>
      <c r="T271" s="206">
        <f ca="1">IF(B271&gt;=$P$5,0,(CONTADORES!U273-CONTADORES!U272)+(CONTADORES!AG273-CONTADORES!AG272))</f>
        <v>0</v>
      </c>
      <c r="U271" s="206">
        <f ca="1">IF(B271&gt;=$P$5,0,(CONTADORES!AS273-CONTADORES!AS272))</f>
        <v>0</v>
      </c>
      <c r="V271" s="206">
        <f ca="1">IF(B271&gt;=$P$5,0,(CONTADORES!AT273-CONTADORES!AT272))</f>
        <v>0</v>
      </c>
      <c r="W271" s="715">
        <v>0</v>
      </c>
      <c r="X271" s="206">
        <f ca="1">IF(W271=0,(T271-INICIO!$W$6),((T271-INICIO!$W$6)+V271))</f>
        <v>0</v>
      </c>
      <c r="Y271" s="208">
        <f t="shared" ca="1" si="70"/>
        <v>0</v>
      </c>
      <c r="Z271" s="209" t="e">
        <f t="shared" ca="1" si="71"/>
        <v>#DIV/0!</v>
      </c>
      <c r="AA271" s="206" t="e">
        <f t="shared" ca="1" si="72"/>
        <v>#DIV/0!</v>
      </c>
      <c r="AB271" s="206" t="e">
        <f t="shared" ca="1" si="73"/>
        <v>#DIV/0!</v>
      </c>
      <c r="AC271" s="208" t="e">
        <f t="shared" ca="1" si="68"/>
        <v>#DIV/0!</v>
      </c>
    </row>
    <row r="272" spans="2:29">
      <c r="B272" s="214">
        <v>44823</v>
      </c>
      <c r="C272" s="202">
        <f ca="1">DATOSAÑO!I272</f>
        <v>0</v>
      </c>
      <c r="D272" s="196">
        <f ca="1">DATOSAÑO!P272</f>
        <v>0</v>
      </c>
      <c r="E272" s="196">
        <f ca="1">DATOSAÑO!Q272</f>
        <v>0</v>
      </c>
      <c r="F272" s="196">
        <f ca="1">DATOSAÑO!T272</f>
        <v>0</v>
      </c>
      <c r="G272" s="196">
        <f t="shared" ca="1" si="67"/>
        <v>0</v>
      </c>
      <c r="H272" s="196" t="e">
        <f t="shared" ca="1" si="65"/>
        <v>#DIV/0!</v>
      </c>
      <c r="I272" s="196" t="e">
        <f t="shared" ca="1" si="61"/>
        <v>#DIV/0!</v>
      </c>
      <c r="J272" s="196" t="e">
        <f t="shared" ca="1" si="62"/>
        <v>#DIV/0!</v>
      </c>
      <c r="K272" s="196" t="e">
        <f t="shared" ca="1" si="63"/>
        <v>#DIV/0!</v>
      </c>
      <c r="L272" s="196">
        <f t="shared" ca="1" si="66"/>
        <v>0</v>
      </c>
      <c r="M272" s="196" t="e">
        <f t="shared" ca="1" si="64"/>
        <v>#DIV/0!</v>
      </c>
      <c r="N272" s="196">
        <f t="shared" ca="1" si="69"/>
        <v>0</v>
      </c>
      <c r="O272" s="196">
        <f ca="1">(DATOSAÑO!AJ272+DATOSAÑO!AK272+DATOSAÑO!AD272)</f>
        <v>0</v>
      </c>
      <c r="P272" s="196">
        <f ca="1">DATOSAÑO!AI272</f>
        <v>0</v>
      </c>
      <c r="Q272" s="196">
        <f ca="1">DATOSAÑO!AH272</f>
        <v>0</v>
      </c>
      <c r="R272" s="196">
        <f ca="1">DATOSAÑO!AM272+DATOSAÑO!AN272+DATOSAÑO!AF272</f>
        <v>0</v>
      </c>
      <c r="S272" s="209">
        <f ca="1">IF(B272&gt;=$P$5,0,CONTADORES!S274-CONTADORES!S273)</f>
        <v>0</v>
      </c>
      <c r="T272" s="206">
        <f ca="1">IF(B272&gt;=$P$5,0,(CONTADORES!U274-CONTADORES!U273)+(CONTADORES!AG274-CONTADORES!AG273))</f>
        <v>0</v>
      </c>
      <c r="U272" s="206">
        <f ca="1">IF(B272&gt;=$P$5,0,(CONTADORES!AS274-CONTADORES!AS273))</f>
        <v>0</v>
      </c>
      <c r="V272" s="206">
        <f ca="1">IF(B272&gt;=$P$5,0,(CONTADORES!AT274-CONTADORES!AT273))</f>
        <v>0</v>
      </c>
      <c r="W272" s="715">
        <v>0</v>
      </c>
      <c r="X272" s="206">
        <f ca="1">IF(W272=0,(T272-INICIO!$W$6),((T272-INICIO!$W$6)+V272))</f>
        <v>0</v>
      </c>
      <c r="Y272" s="208">
        <f t="shared" ca="1" si="70"/>
        <v>0</v>
      </c>
      <c r="Z272" s="209" t="e">
        <f t="shared" ca="1" si="71"/>
        <v>#DIV/0!</v>
      </c>
      <c r="AA272" s="206" t="e">
        <f t="shared" ca="1" si="72"/>
        <v>#DIV/0!</v>
      </c>
      <c r="AB272" s="206" t="e">
        <f t="shared" ca="1" si="73"/>
        <v>#DIV/0!</v>
      </c>
      <c r="AC272" s="208" t="e">
        <f t="shared" ca="1" si="68"/>
        <v>#DIV/0!</v>
      </c>
    </row>
    <row r="273" spans="2:29">
      <c r="B273" s="214">
        <v>44824</v>
      </c>
      <c r="C273" s="202">
        <f ca="1">DATOSAÑO!I273</f>
        <v>0</v>
      </c>
      <c r="D273" s="196">
        <f ca="1">DATOSAÑO!P273</f>
        <v>0</v>
      </c>
      <c r="E273" s="196">
        <f ca="1">DATOSAÑO!Q273</f>
        <v>0</v>
      </c>
      <c r="F273" s="196">
        <f ca="1">DATOSAÑO!T273</f>
        <v>0</v>
      </c>
      <c r="G273" s="196">
        <f t="shared" ca="1" si="67"/>
        <v>0</v>
      </c>
      <c r="H273" s="196" t="e">
        <f t="shared" ca="1" si="65"/>
        <v>#DIV/0!</v>
      </c>
      <c r="I273" s="196" t="e">
        <f t="shared" ca="1" si="61"/>
        <v>#DIV/0!</v>
      </c>
      <c r="J273" s="196" t="e">
        <f t="shared" ca="1" si="62"/>
        <v>#DIV/0!</v>
      </c>
      <c r="K273" s="196" t="e">
        <f t="shared" ca="1" si="63"/>
        <v>#DIV/0!</v>
      </c>
      <c r="L273" s="196">
        <f t="shared" ca="1" si="66"/>
        <v>0</v>
      </c>
      <c r="M273" s="196" t="e">
        <f t="shared" ca="1" si="64"/>
        <v>#DIV/0!</v>
      </c>
      <c r="N273" s="196">
        <f t="shared" ca="1" si="69"/>
        <v>0</v>
      </c>
      <c r="O273" s="196">
        <f ca="1">(DATOSAÑO!AJ273+DATOSAÑO!AK273+DATOSAÑO!AD273)</f>
        <v>0</v>
      </c>
      <c r="P273" s="196">
        <f ca="1">DATOSAÑO!AI273</f>
        <v>0</v>
      </c>
      <c r="Q273" s="196">
        <f ca="1">DATOSAÑO!AH273</f>
        <v>0</v>
      </c>
      <c r="R273" s="196">
        <f ca="1">DATOSAÑO!AM273+DATOSAÑO!AN273+DATOSAÑO!AF273</f>
        <v>0</v>
      </c>
      <c r="S273" s="209">
        <f ca="1">IF(B273&gt;=$P$5,0,CONTADORES!S275-CONTADORES!S274)</f>
        <v>0</v>
      </c>
      <c r="T273" s="206">
        <f ca="1">IF(B273&gt;=$P$5,0,(CONTADORES!U275-CONTADORES!U274)+(CONTADORES!AG275-CONTADORES!AG274))</f>
        <v>0</v>
      </c>
      <c r="U273" s="206">
        <f ca="1">IF(B273&gt;=$P$5,0,(CONTADORES!AS275-CONTADORES!AS274))</f>
        <v>0</v>
      </c>
      <c r="V273" s="206">
        <f ca="1">IF(B273&gt;=$P$5,0,(CONTADORES!AT275-CONTADORES!AT274))</f>
        <v>0</v>
      </c>
      <c r="W273" s="715">
        <v>0</v>
      </c>
      <c r="X273" s="206">
        <f ca="1">IF(W273=0,(T273-INICIO!$W$6),((T273-INICIO!$W$6)+V273))</f>
        <v>0</v>
      </c>
      <c r="Y273" s="208">
        <f t="shared" ca="1" si="70"/>
        <v>0</v>
      </c>
      <c r="Z273" s="209" t="e">
        <f t="shared" ca="1" si="71"/>
        <v>#DIV/0!</v>
      </c>
      <c r="AA273" s="206" t="e">
        <f t="shared" ca="1" si="72"/>
        <v>#DIV/0!</v>
      </c>
      <c r="AB273" s="206" t="e">
        <f t="shared" ca="1" si="73"/>
        <v>#DIV/0!</v>
      </c>
      <c r="AC273" s="208" t="e">
        <f t="shared" ca="1" si="68"/>
        <v>#DIV/0!</v>
      </c>
    </row>
    <row r="274" spans="2:29">
      <c r="B274" s="214">
        <v>44825</v>
      </c>
      <c r="C274" s="202">
        <f ca="1">DATOSAÑO!I274</f>
        <v>0</v>
      </c>
      <c r="D274" s="196">
        <f ca="1">DATOSAÑO!P274</f>
        <v>0</v>
      </c>
      <c r="E274" s="196">
        <f ca="1">DATOSAÑO!Q274</f>
        <v>0</v>
      </c>
      <c r="F274" s="196">
        <f ca="1">DATOSAÑO!T274</f>
        <v>0</v>
      </c>
      <c r="G274" s="196">
        <f t="shared" ca="1" si="67"/>
        <v>0</v>
      </c>
      <c r="H274" s="196" t="e">
        <f t="shared" ca="1" si="65"/>
        <v>#DIV/0!</v>
      </c>
      <c r="I274" s="196" t="e">
        <f t="shared" ca="1" si="61"/>
        <v>#DIV/0!</v>
      </c>
      <c r="J274" s="196" t="e">
        <f t="shared" ca="1" si="62"/>
        <v>#DIV/0!</v>
      </c>
      <c r="K274" s="196" t="e">
        <f t="shared" ca="1" si="63"/>
        <v>#DIV/0!</v>
      </c>
      <c r="L274" s="196">
        <f t="shared" ca="1" si="66"/>
        <v>0</v>
      </c>
      <c r="M274" s="196" t="e">
        <f t="shared" ca="1" si="64"/>
        <v>#DIV/0!</v>
      </c>
      <c r="N274" s="196">
        <f t="shared" ca="1" si="69"/>
        <v>0</v>
      </c>
      <c r="O274" s="196">
        <f ca="1">(DATOSAÑO!AJ274+DATOSAÑO!AK274+DATOSAÑO!AD274)</f>
        <v>0</v>
      </c>
      <c r="P274" s="196">
        <f ca="1">DATOSAÑO!AI274</f>
        <v>0</v>
      </c>
      <c r="Q274" s="196">
        <f ca="1">DATOSAÑO!AH274</f>
        <v>0</v>
      </c>
      <c r="R274" s="196">
        <f ca="1">DATOSAÑO!AM274+DATOSAÑO!AN274+DATOSAÑO!AF274</f>
        <v>0</v>
      </c>
      <c r="S274" s="209">
        <f ca="1">IF(B274&gt;=$P$5,0,CONTADORES!S276-CONTADORES!S275)</f>
        <v>0</v>
      </c>
      <c r="T274" s="206">
        <f ca="1">IF(B274&gt;=$P$5,0,(CONTADORES!U276-CONTADORES!U275)+(CONTADORES!AG276-CONTADORES!AG275))</f>
        <v>0</v>
      </c>
      <c r="U274" s="206">
        <f ca="1">IF(B274&gt;=$P$5,0,(CONTADORES!AS276-CONTADORES!AS275))</f>
        <v>0</v>
      </c>
      <c r="V274" s="206">
        <f ca="1">IF(B274&gt;=$P$5,0,(CONTADORES!AT276-CONTADORES!AT275))</f>
        <v>0</v>
      </c>
      <c r="W274" s="715">
        <v>0</v>
      </c>
      <c r="X274" s="206">
        <f ca="1">IF(W274=0,(T274-INICIO!$W$6),((T274-INICIO!$W$6)+V274))</f>
        <v>0</v>
      </c>
      <c r="Y274" s="208">
        <f t="shared" ca="1" si="70"/>
        <v>0</v>
      </c>
      <c r="Z274" s="209" t="e">
        <f t="shared" ca="1" si="71"/>
        <v>#DIV/0!</v>
      </c>
      <c r="AA274" s="206" t="e">
        <f t="shared" ca="1" si="72"/>
        <v>#DIV/0!</v>
      </c>
      <c r="AB274" s="206" t="e">
        <f t="shared" ca="1" si="73"/>
        <v>#DIV/0!</v>
      </c>
      <c r="AC274" s="208" t="e">
        <f t="shared" ca="1" si="68"/>
        <v>#DIV/0!</v>
      </c>
    </row>
    <row r="275" spans="2:29">
      <c r="B275" s="214">
        <v>44826</v>
      </c>
      <c r="C275" s="202">
        <f ca="1">DATOSAÑO!I275</f>
        <v>0</v>
      </c>
      <c r="D275" s="196">
        <f ca="1">DATOSAÑO!P275</f>
        <v>0</v>
      </c>
      <c r="E275" s="196">
        <f ca="1">DATOSAÑO!Q275</f>
        <v>0</v>
      </c>
      <c r="F275" s="196">
        <f ca="1">DATOSAÑO!T275</f>
        <v>0</v>
      </c>
      <c r="G275" s="196">
        <f t="shared" ca="1" si="67"/>
        <v>0</v>
      </c>
      <c r="H275" s="196" t="e">
        <f t="shared" ca="1" si="65"/>
        <v>#DIV/0!</v>
      </c>
      <c r="I275" s="196" t="e">
        <f t="shared" ca="1" si="61"/>
        <v>#DIV/0!</v>
      </c>
      <c r="J275" s="196" t="e">
        <f t="shared" ca="1" si="62"/>
        <v>#DIV/0!</v>
      </c>
      <c r="K275" s="196" t="e">
        <f t="shared" ca="1" si="63"/>
        <v>#DIV/0!</v>
      </c>
      <c r="L275" s="196">
        <f t="shared" ca="1" si="66"/>
        <v>0</v>
      </c>
      <c r="M275" s="196" t="e">
        <f t="shared" ca="1" si="64"/>
        <v>#DIV/0!</v>
      </c>
      <c r="N275" s="196">
        <f t="shared" ca="1" si="69"/>
        <v>0</v>
      </c>
      <c r="O275" s="196">
        <f ca="1">(DATOSAÑO!AJ275+DATOSAÑO!AK275+DATOSAÑO!AD275)</f>
        <v>0</v>
      </c>
      <c r="P275" s="196">
        <f ca="1">DATOSAÑO!AI275</f>
        <v>0</v>
      </c>
      <c r="Q275" s="196">
        <f ca="1">DATOSAÑO!AH275</f>
        <v>0</v>
      </c>
      <c r="R275" s="196">
        <f ca="1">DATOSAÑO!AM275+DATOSAÑO!AN275+DATOSAÑO!AF275</f>
        <v>0</v>
      </c>
      <c r="S275" s="209">
        <f ca="1">IF(B275&gt;=$P$5,0,CONTADORES!S277-CONTADORES!S276)</f>
        <v>0</v>
      </c>
      <c r="T275" s="206">
        <f ca="1">IF(B275&gt;=$P$5,0,(CONTADORES!U277-CONTADORES!U276)+(CONTADORES!AG277-CONTADORES!AG276))</f>
        <v>0</v>
      </c>
      <c r="U275" s="206">
        <f ca="1">IF(B275&gt;=$P$5,0,(CONTADORES!AS277-CONTADORES!AS276))</f>
        <v>0</v>
      </c>
      <c r="V275" s="206">
        <f ca="1">IF(B275&gt;=$P$5,0,(CONTADORES!AT277-CONTADORES!AT276))</f>
        <v>0</v>
      </c>
      <c r="W275" s="715">
        <v>0</v>
      </c>
      <c r="X275" s="206">
        <f ca="1">IF(W275=0,(T275-INICIO!$W$6),((T275-INICIO!$W$6)+V275))</f>
        <v>0</v>
      </c>
      <c r="Y275" s="208">
        <f t="shared" ca="1" si="70"/>
        <v>0</v>
      </c>
      <c r="Z275" s="209" t="e">
        <f t="shared" ca="1" si="71"/>
        <v>#DIV/0!</v>
      </c>
      <c r="AA275" s="206" t="e">
        <f t="shared" ca="1" si="72"/>
        <v>#DIV/0!</v>
      </c>
      <c r="AB275" s="206" t="e">
        <f t="shared" ca="1" si="73"/>
        <v>#DIV/0!</v>
      </c>
      <c r="AC275" s="208" t="e">
        <f t="shared" ca="1" si="68"/>
        <v>#DIV/0!</v>
      </c>
    </row>
    <row r="276" spans="2:29">
      <c r="B276" s="214">
        <v>44827</v>
      </c>
      <c r="C276" s="202">
        <f ca="1">DATOSAÑO!I276</f>
        <v>0</v>
      </c>
      <c r="D276" s="196">
        <f ca="1">DATOSAÑO!P276</f>
        <v>0</v>
      </c>
      <c r="E276" s="196">
        <f ca="1">DATOSAÑO!Q276</f>
        <v>0</v>
      </c>
      <c r="F276" s="196">
        <f ca="1">DATOSAÑO!T276</f>
        <v>0</v>
      </c>
      <c r="G276" s="196">
        <f t="shared" ca="1" si="67"/>
        <v>0</v>
      </c>
      <c r="H276" s="196" t="e">
        <f t="shared" ca="1" si="65"/>
        <v>#DIV/0!</v>
      </c>
      <c r="I276" s="196" t="e">
        <f t="shared" ca="1" si="61"/>
        <v>#DIV/0!</v>
      </c>
      <c r="J276" s="196" t="e">
        <f t="shared" ca="1" si="62"/>
        <v>#DIV/0!</v>
      </c>
      <c r="K276" s="196" t="e">
        <f t="shared" ca="1" si="63"/>
        <v>#DIV/0!</v>
      </c>
      <c r="L276" s="196">
        <f t="shared" ca="1" si="66"/>
        <v>0</v>
      </c>
      <c r="M276" s="196" t="e">
        <f t="shared" ca="1" si="64"/>
        <v>#DIV/0!</v>
      </c>
      <c r="N276" s="196">
        <f t="shared" ca="1" si="69"/>
        <v>0</v>
      </c>
      <c r="O276" s="196">
        <f ca="1">(DATOSAÑO!AJ276+DATOSAÑO!AK276+DATOSAÑO!AD276)</f>
        <v>0</v>
      </c>
      <c r="P276" s="196">
        <f ca="1">DATOSAÑO!AI276</f>
        <v>0</v>
      </c>
      <c r="Q276" s="196">
        <f ca="1">DATOSAÑO!AH276</f>
        <v>0</v>
      </c>
      <c r="R276" s="196">
        <f ca="1">DATOSAÑO!AM276+DATOSAÑO!AN276+DATOSAÑO!AF276</f>
        <v>0</v>
      </c>
      <c r="S276" s="209">
        <f ca="1">IF(B276&gt;=$P$5,0,CONTADORES!S278-CONTADORES!S277)</f>
        <v>0</v>
      </c>
      <c r="T276" s="206">
        <f ca="1">IF(B276&gt;=$P$5,0,(CONTADORES!U278-CONTADORES!U277)+(CONTADORES!AG278-CONTADORES!AG277))</f>
        <v>0</v>
      </c>
      <c r="U276" s="206">
        <f ca="1">IF(B276&gt;=$P$5,0,(CONTADORES!AS278-CONTADORES!AS277))</f>
        <v>0</v>
      </c>
      <c r="V276" s="206">
        <f ca="1">IF(B276&gt;=$P$5,0,(CONTADORES!AT278-CONTADORES!AT277))</f>
        <v>0</v>
      </c>
      <c r="W276" s="715">
        <v>0</v>
      </c>
      <c r="X276" s="206">
        <f ca="1">IF(W276=0,(T276-INICIO!$W$6),((T276-INICIO!$W$6)+V276))</f>
        <v>0</v>
      </c>
      <c r="Y276" s="208">
        <f t="shared" ca="1" si="70"/>
        <v>0</v>
      </c>
      <c r="Z276" s="209" t="e">
        <f t="shared" ca="1" si="71"/>
        <v>#DIV/0!</v>
      </c>
      <c r="AA276" s="206" t="e">
        <f t="shared" ca="1" si="72"/>
        <v>#DIV/0!</v>
      </c>
      <c r="AB276" s="206" t="e">
        <f t="shared" ca="1" si="73"/>
        <v>#DIV/0!</v>
      </c>
      <c r="AC276" s="208" t="e">
        <f t="shared" ca="1" si="68"/>
        <v>#DIV/0!</v>
      </c>
    </row>
    <row r="277" spans="2:29">
      <c r="B277" s="214">
        <v>44828</v>
      </c>
      <c r="C277" s="202">
        <f ca="1">DATOSAÑO!I277</f>
        <v>0</v>
      </c>
      <c r="D277" s="196">
        <f ca="1">DATOSAÑO!P277</f>
        <v>0</v>
      </c>
      <c r="E277" s="196">
        <f ca="1">DATOSAÑO!Q277</f>
        <v>0</v>
      </c>
      <c r="F277" s="196">
        <f ca="1">DATOSAÑO!T277</f>
        <v>0</v>
      </c>
      <c r="G277" s="196">
        <f t="shared" ca="1" si="67"/>
        <v>0</v>
      </c>
      <c r="H277" s="196" t="e">
        <f t="shared" ca="1" si="65"/>
        <v>#DIV/0!</v>
      </c>
      <c r="I277" s="196" t="e">
        <f t="shared" ca="1" si="61"/>
        <v>#DIV/0!</v>
      </c>
      <c r="J277" s="196" t="e">
        <f t="shared" ca="1" si="62"/>
        <v>#DIV/0!</v>
      </c>
      <c r="K277" s="196" t="e">
        <f t="shared" ca="1" si="63"/>
        <v>#DIV/0!</v>
      </c>
      <c r="L277" s="196">
        <f t="shared" ca="1" si="66"/>
        <v>0</v>
      </c>
      <c r="M277" s="196" t="e">
        <f t="shared" ca="1" si="64"/>
        <v>#DIV/0!</v>
      </c>
      <c r="N277" s="196">
        <f t="shared" ca="1" si="69"/>
        <v>0</v>
      </c>
      <c r="O277" s="196">
        <f ca="1">(DATOSAÑO!AJ277+DATOSAÑO!AK277+DATOSAÑO!AD277)</f>
        <v>0</v>
      </c>
      <c r="P277" s="196">
        <f ca="1">DATOSAÑO!AI277</f>
        <v>0</v>
      </c>
      <c r="Q277" s="196">
        <f ca="1">DATOSAÑO!AH277</f>
        <v>0</v>
      </c>
      <c r="R277" s="196">
        <f ca="1">DATOSAÑO!AM277+DATOSAÑO!AN277+DATOSAÑO!AF277</f>
        <v>0</v>
      </c>
      <c r="S277" s="209">
        <f ca="1">IF(B277&gt;=$P$5,0,CONTADORES!S279-CONTADORES!S278)</f>
        <v>0</v>
      </c>
      <c r="T277" s="206">
        <f ca="1">IF(B277&gt;=$P$5,0,(CONTADORES!U279-CONTADORES!U278)+(CONTADORES!AG279-CONTADORES!AG278))</f>
        <v>0</v>
      </c>
      <c r="U277" s="206">
        <f ca="1">IF(B277&gt;=$P$5,0,(CONTADORES!AS279-CONTADORES!AS278))</f>
        <v>0</v>
      </c>
      <c r="V277" s="206">
        <f ca="1">IF(B277&gt;=$P$5,0,(CONTADORES!AT279-CONTADORES!AT278))</f>
        <v>0</v>
      </c>
      <c r="W277" s="715">
        <v>0</v>
      </c>
      <c r="X277" s="206">
        <f ca="1">IF(W277=0,(T277-INICIO!$W$6),((T277-INICIO!$W$6)+V277))</f>
        <v>0</v>
      </c>
      <c r="Y277" s="208">
        <f t="shared" ca="1" si="70"/>
        <v>0</v>
      </c>
      <c r="Z277" s="209" t="e">
        <f t="shared" ca="1" si="71"/>
        <v>#DIV/0!</v>
      </c>
      <c r="AA277" s="206" t="e">
        <f t="shared" ca="1" si="72"/>
        <v>#DIV/0!</v>
      </c>
      <c r="AB277" s="206" t="e">
        <f t="shared" ca="1" si="73"/>
        <v>#DIV/0!</v>
      </c>
      <c r="AC277" s="208" t="e">
        <f t="shared" ca="1" si="68"/>
        <v>#DIV/0!</v>
      </c>
    </row>
    <row r="278" spans="2:29">
      <c r="B278" s="214">
        <v>44829</v>
      </c>
      <c r="C278" s="202">
        <f ca="1">DATOSAÑO!I278</f>
        <v>0</v>
      </c>
      <c r="D278" s="196">
        <f ca="1">DATOSAÑO!P278</f>
        <v>0</v>
      </c>
      <c r="E278" s="196">
        <f ca="1">DATOSAÑO!Q278</f>
        <v>0</v>
      </c>
      <c r="F278" s="196">
        <f ca="1">DATOSAÑO!T278</f>
        <v>0</v>
      </c>
      <c r="G278" s="196">
        <f t="shared" ca="1" si="67"/>
        <v>0</v>
      </c>
      <c r="H278" s="196" t="e">
        <f t="shared" ca="1" si="65"/>
        <v>#DIV/0!</v>
      </c>
      <c r="I278" s="196" t="e">
        <f t="shared" ca="1" si="61"/>
        <v>#DIV/0!</v>
      </c>
      <c r="J278" s="196" t="e">
        <f t="shared" ca="1" si="62"/>
        <v>#DIV/0!</v>
      </c>
      <c r="K278" s="196" t="e">
        <f t="shared" ca="1" si="63"/>
        <v>#DIV/0!</v>
      </c>
      <c r="L278" s="196">
        <f t="shared" ca="1" si="66"/>
        <v>0</v>
      </c>
      <c r="M278" s="196" t="e">
        <f t="shared" ca="1" si="64"/>
        <v>#DIV/0!</v>
      </c>
      <c r="N278" s="196">
        <f t="shared" ca="1" si="69"/>
        <v>0</v>
      </c>
      <c r="O278" s="196">
        <f ca="1">(DATOSAÑO!AJ278+DATOSAÑO!AK278+DATOSAÑO!AD278)</f>
        <v>0</v>
      </c>
      <c r="P278" s="196">
        <f ca="1">DATOSAÑO!AI278</f>
        <v>0</v>
      </c>
      <c r="Q278" s="196">
        <f ca="1">DATOSAÑO!AH278</f>
        <v>0</v>
      </c>
      <c r="R278" s="196">
        <f ca="1">DATOSAÑO!AM278+DATOSAÑO!AN278+DATOSAÑO!AF278</f>
        <v>0</v>
      </c>
      <c r="S278" s="209">
        <f ca="1">IF(B278&gt;=$P$5,0,CONTADORES!S280-CONTADORES!S279)</f>
        <v>0</v>
      </c>
      <c r="T278" s="206">
        <f ca="1">IF(B278&gt;=$P$5,0,(CONTADORES!U280-CONTADORES!U279)+(CONTADORES!AG280-CONTADORES!AG279))</f>
        <v>0</v>
      </c>
      <c r="U278" s="206">
        <f ca="1">IF(B278&gt;=$P$5,0,(CONTADORES!AS280-CONTADORES!AS279))</f>
        <v>0</v>
      </c>
      <c r="V278" s="206">
        <f ca="1">IF(B278&gt;=$P$5,0,(CONTADORES!AT280-CONTADORES!AT279))</f>
        <v>0</v>
      </c>
      <c r="W278" s="715">
        <v>0</v>
      </c>
      <c r="X278" s="206">
        <f ca="1">IF(W278=0,(T278-INICIO!$W$6),((T278-INICIO!$W$6)+V278))</f>
        <v>0</v>
      </c>
      <c r="Y278" s="208">
        <f t="shared" ca="1" si="70"/>
        <v>0</v>
      </c>
      <c r="Z278" s="209" t="e">
        <f t="shared" ca="1" si="71"/>
        <v>#DIV/0!</v>
      </c>
      <c r="AA278" s="206" t="e">
        <f t="shared" ca="1" si="72"/>
        <v>#DIV/0!</v>
      </c>
      <c r="AB278" s="206" t="e">
        <f t="shared" ca="1" si="73"/>
        <v>#DIV/0!</v>
      </c>
      <c r="AC278" s="208" t="e">
        <f t="shared" ca="1" si="68"/>
        <v>#DIV/0!</v>
      </c>
    </row>
    <row r="279" spans="2:29">
      <c r="B279" s="214">
        <v>44830</v>
      </c>
      <c r="C279" s="202">
        <f ca="1">DATOSAÑO!I279</f>
        <v>0</v>
      </c>
      <c r="D279" s="196">
        <f ca="1">DATOSAÑO!P279</f>
        <v>0</v>
      </c>
      <c r="E279" s="196">
        <f ca="1">DATOSAÑO!Q279</f>
        <v>0</v>
      </c>
      <c r="F279" s="196">
        <f ca="1">DATOSAÑO!T279</f>
        <v>0</v>
      </c>
      <c r="G279" s="196">
        <f t="shared" ca="1" si="67"/>
        <v>0</v>
      </c>
      <c r="H279" s="196" t="e">
        <f t="shared" ca="1" si="65"/>
        <v>#DIV/0!</v>
      </c>
      <c r="I279" s="196" t="e">
        <f t="shared" ref="I279:I310" ca="1" si="74">O279+Z279</f>
        <v>#DIV/0!</v>
      </c>
      <c r="J279" s="196" t="e">
        <f t="shared" ref="J279:J310" ca="1" si="75">P279+AA279</f>
        <v>#DIV/0!</v>
      </c>
      <c r="K279" s="196" t="e">
        <f t="shared" ref="K279:K310" ca="1" si="76">Q279+AB279</f>
        <v>#DIV/0!</v>
      </c>
      <c r="L279" s="196">
        <f t="shared" ca="1" si="66"/>
        <v>0</v>
      </c>
      <c r="M279" s="196" t="e">
        <f t="shared" ref="M279:M310" ca="1" si="77">N279+AC279</f>
        <v>#DIV/0!</v>
      </c>
      <c r="N279" s="196">
        <f t="shared" ca="1" si="69"/>
        <v>0</v>
      </c>
      <c r="O279" s="196">
        <f ca="1">(DATOSAÑO!AJ279+DATOSAÑO!AK279+DATOSAÑO!AD279)</f>
        <v>0</v>
      </c>
      <c r="P279" s="196">
        <f ca="1">DATOSAÑO!AI279</f>
        <v>0</v>
      </c>
      <c r="Q279" s="196">
        <f ca="1">DATOSAÑO!AH279</f>
        <v>0</v>
      </c>
      <c r="R279" s="196">
        <f ca="1">DATOSAÑO!AM279+DATOSAÑO!AN279+DATOSAÑO!AF279</f>
        <v>0</v>
      </c>
      <c r="S279" s="209">
        <f ca="1">IF(B279&gt;=$P$5,0,CONTADORES!S281-CONTADORES!S280)</f>
        <v>0</v>
      </c>
      <c r="T279" s="206">
        <f ca="1">IF(B279&gt;=$P$5,0,(CONTADORES!U281-CONTADORES!U280)+(CONTADORES!AG281-CONTADORES!AG280))</f>
        <v>0</v>
      </c>
      <c r="U279" s="206">
        <f ca="1">IF(B279&gt;=$P$5,0,(CONTADORES!AS281-CONTADORES!AS280))</f>
        <v>0</v>
      </c>
      <c r="V279" s="206">
        <f ca="1">IF(B279&gt;=$P$5,0,(CONTADORES!AT281-CONTADORES!AT280))</f>
        <v>0</v>
      </c>
      <c r="W279" s="715">
        <v>0</v>
      </c>
      <c r="X279" s="206">
        <f ca="1">IF(W279=0,(T279-INICIO!$W$6),((T279-INICIO!$W$6)+V279))</f>
        <v>0</v>
      </c>
      <c r="Y279" s="208">
        <f t="shared" ca="1" si="70"/>
        <v>0</v>
      </c>
      <c r="Z279" s="209" t="e">
        <f t="shared" ca="1" si="71"/>
        <v>#DIV/0!</v>
      </c>
      <c r="AA279" s="206" t="e">
        <f t="shared" ca="1" si="72"/>
        <v>#DIV/0!</v>
      </c>
      <c r="AB279" s="206" t="e">
        <f t="shared" ca="1" si="73"/>
        <v>#DIV/0!</v>
      </c>
      <c r="AC279" s="208" t="e">
        <f t="shared" ca="1" si="68"/>
        <v>#DIV/0!</v>
      </c>
    </row>
    <row r="280" spans="2:29">
      <c r="B280" s="214">
        <v>44831</v>
      </c>
      <c r="C280" s="202">
        <f ca="1">DATOSAÑO!I280</f>
        <v>0</v>
      </c>
      <c r="D280" s="196">
        <f ca="1">DATOSAÑO!P280</f>
        <v>0</v>
      </c>
      <c r="E280" s="196">
        <f ca="1">DATOSAÑO!Q280</f>
        <v>0</v>
      </c>
      <c r="F280" s="196">
        <f ca="1">DATOSAÑO!T280</f>
        <v>0</v>
      </c>
      <c r="G280" s="196">
        <f t="shared" ca="1" si="67"/>
        <v>0</v>
      </c>
      <c r="H280" s="196" t="e">
        <f t="shared" ca="1" si="65"/>
        <v>#DIV/0!</v>
      </c>
      <c r="I280" s="196" t="e">
        <f t="shared" ca="1" si="74"/>
        <v>#DIV/0!</v>
      </c>
      <c r="J280" s="196" t="e">
        <f t="shared" ca="1" si="75"/>
        <v>#DIV/0!</v>
      </c>
      <c r="K280" s="196" t="e">
        <f t="shared" ca="1" si="76"/>
        <v>#DIV/0!</v>
      </c>
      <c r="L280" s="196">
        <f t="shared" ca="1" si="66"/>
        <v>0</v>
      </c>
      <c r="M280" s="196" t="e">
        <f t="shared" ca="1" si="77"/>
        <v>#DIV/0!</v>
      </c>
      <c r="N280" s="196">
        <f t="shared" ca="1" si="69"/>
        <v>0</v>
      </c>
      <c r="O280" s="196">
        <f ca="1">(DATOSAÑO!AJ280+DATOSAÑO!AK280+DATOSAÑO!AD280)</f>
        <v>0</v>
      </c>
      <c r="P280" s="196">
        <f ca="1">DATOSAÑO!AI280</f>
        <v>0</v>
      </c>
      <c r="Q280" s="196">
        <f ca="1">DATOSAÑO!AH280</f>
        <v>0</v>
      </c>
      <c r="R280" s="196">
        <f ca="1">DATOSAÑO!AM280+DATOSAÑO!AN280+DATOSAÑO!AF280</f>
        <v>0</v>
      </c>
      <c r="S280" s="209">
        <f ca="1">IF(B280&gt;=$P$5,0,CONTADORES!S282-CONTADORES!S281)</f>
        <v>0</v>
      </c>
      <c r="T280" s="206">
        <f ca="1">IF(B280&gt;=$P$5,0,(CONTADORES!U282-CONTADORES!U281)+(CONTADORES!AG282-CONTADORES!AG281))</f>
        <v>0</v>
      </c>
      <c r="U280" s="206">
        <f ca="1">IF(B280&gt;=$P$5,0,(CONTADORES!AS282-CONTADORES!AS281))</f>
        <v>0</v>
      </c>
      <c r="V280" s="206">
        <f ca="1">IF(B280&gt;=$P$5,0,(CONTADORES!AT282-CONTADORES!AT281))</f>
        <v>0</v>
      </c>
      <c r="W280" s="715">
        <v>0</v>
      </c>
      <c r="X280" s="206">
        <f ca="1">IF(W280=0,(T280-INICIO!$W$6),((T280-INICIO!$W$6)+V280))</f>
        <v>0</v>
      </c>
      <c r="Y280" s="208">
        <f t="shared" ca="1" si="70"/>
        <v>0</v>
      </c>
      <c r="Z280" s="209" t="e">
        <f t="shared" ca="1" si="71"/>
        <v>#DIV/0!</v>
      </c>
      <c r="AA280" s="206" t="e">
        <f t="shared" ca="1" si="72"/>
        <v>#DIV/0!</v>
      </c>
      <c r="AB280" s="206" t="e">
        <f t="shared" ca="1" si="73"/>
        <v>#DIV/0!</v>
      </c>
      <c r="AC280" s="208" t="e">
        <f t="shared" ca="1" si="68"/>
        <v>#DIV/0!</v>
      </c>
    </row>
    <row r="281" spans="2:29">
      <c r="B281" s="214">
        <v>44832</v>
      </c>
      <c r="C281" s="202">
        <f ca="1">DATOSAÑO!I281</f>
        <v>0</v>
      </c>
      <c r="D281" s="196">
        <f ca="1">DATOSAÑO!P281</f>
        <v>0</v>
      </c>
      <c r="E281" s="196">
        <f ca="1">DATOSAÑO!Q281</f>
        <v>0</v>
      </c>
      <c r="F281" s="196">
        <f ca="1">DATOSAÑO!T281</f>
        <v>0</v>
      </c>
      <c r="G281" s="196">
        <f t="shared" ca="1" si="67"/>
        <v>0</v>
      </c>
      <c r="H281" s="196" t="e">
        <f t="shared" ca="1" si="65"/>
        <v>#DIV/0!</v>
      </c>
      <c r="I281" s="196" t="e">
        <f t="shared" ca="1" si="74"/>
        <v>#DIV/0!</v>
      </c>
      <c r="J281" s="196" t="e">
        <f t="shared" ca="1" si="75"/>
        <v>#DIV/0!</v>
      </c>
      <c r="K281" s="196" t="e">
        <f t="shared" ca="1" si="76"/>
        <v>#DIV/0!</v>
      </c>
      <c r="L281" s="196">
        <f t="shared" ca="1" si="66"/>
        <v>0</v>
      </c>
      <c r="M281" s="196" t="e">
        <f t="shared" ca="1" si="77"/>
        <v>#DIV/0!</v>
      </c>
      <c r="N281" s="196">
        <f t="shared" ca="1" si="69"/>
        <v>0</v>
      </c>
      <c r="O281" s="196">
        <f ca="1">(DATOSAÑO!AJ281+DATOSAÑO!AK281+DATOSAÑO!AD281)</f>
        <v>0</v>
      </c>
      <c r="P281" s="196">
        <f ca="1">DATOSAÑO!AI281</f>
        <v>0</v>
      </c>
      <c r="Q281" s="196">
        <f ca="1">DATOSAÑO!AH281</f>
        <v>0</v>
      </c>
      <c r="R281" s="196">
        <f ca="1">DATOSAÑO!AM281+DATOSAÑO!AN281+DATOSAÑO!AF281</f>
        <v>0</v>
      </c>
      <c r="S281" s="209">
        <f ca="1">IF(B281&gt;=$P$5,0,CONTADORES!S283-CONTADORES!S282)</f>
        <v>0</v>
      </c>
      <c r="T281" s="206">
        <f ca="1">IF(B281&gt;=$P$5,0,(CONTADORES!U283-CONTADORES!U282)+(CONTADORES!AG283-CONTADORES!AG282))</f>
        <v>0</v>
      </c>
      <c r="U281" s="206">
        <f ca="1">IF(B281&gt;=$P$5,0,(CONTADORES!AS283-CONTADORES!AS282))</f>
        <v>0</v>
      </c>
      <c r="V281" s="206">
        <f ca="1">IF(B281&gt;=$P$5,0,(CONTADORES!AT283-CONTADORES!AT282))</f>
        <v>0</v>
      </c>
      <c r="W281" s="715">
        <v>0</v>
      </c>
      <c r="X281" s="206">
        <f ca="1">IF(W281=0,(T281-INICIO!$W$6),((T281-INICIO!$W$6)+V281))</f>
        <v>0</v>
      </c>
      <c r="Y281" s="208">
        <f t="shared" ca="1" si="70"/>
        <v>0</v>
      </c>
      <c r="Z281" s="209" t="e">
        <f t="shared" ca="1" si="71"/>
        <v>#DIV/0!</v>
      </c>
      <c r="AA281" s="206" t="e">
        <f t="shared" ca="1" si="72"/>
        <v>#DIV/0!</v>
      </c>
      <c r="AB281" s="206" t="e">
        <f t="shared" ca="1" si="73"/>
        <v>#DIV/0!</v>
      </c>
      <c r="AC281" s="208" t="e">
        <f t="shared" ca="1" si="68"/>
        <v>#DIV/0!</v>
      </c>
    </row>
    <row r="282" spans="2:29">
      <c r="B282" s="214">
        <v>44833</v>
      </c>
      <c r="C282" s="202">
        <f ca="1">DATOSAÑO!I282</f>
        <v>0</v>
      </c>
      <c r="D282" s="196">
        <f ca="1">DATOSAÑO!P282</f>
        <v>0</v>
      </c>
      <c r="E282" s="196">
        <f ca="1">DATOSAÑO!Q282</f>
        <v>0</v>
      </c>
      <c r="F282" s="196">
        <f ca="1">DATOSAÑO!T282</f>
        <v>0</v>
      </c>
      <c r="G282" s="196">
        <f t="shared" ca="1" si="67"/>
        <v>0</v>
      </c>
      <c r="H282" s="196" t="e">
        <f t="shared" ca="1" si="65"/>
        <v>#DIV/0!</v>
      </c>
      <c r="I282" s="196" t="e">
        <f t="shared" ca="1" si="74"/>
        <v>#DIV/0!</v>
      </c>
      <c r="J282" s="196" t="e">
        <f t="shared" ca="1" si="75"/>
        <v>#DIV/0!</v>
      </c>
      <c r="K282" s="196" t="e">
        <f t="shared" ca="1" si="76"/>
        <v>#DIV/0!</v>
      </c>
      <c r="L282" s="196">
        <f t="shared" ca="1" si="66"/>
        <v>0</v>
      </c>
      <c r="M282" s="196" t="e">
        <f t="shared" ca="1" si="77"/>
        <v>#DIV/0!</v>
      </c>
      <c r="N282" s="196">
        <f t="shared" ca="1" si="69"/>
        <v>0</v>
      </c>
      <c r="O282" s="196">
        <f ca="1">(DATOSAÑO!AJ282+DATOSAÑO!AK282+DATOSAÑO!AD282)</f>
        <v>0</v>
      </c>
      <c r="P282" s="196">
        <f ca="1">DATOSAÑO!AI282</f>
        <v>0</v>
      </c>
      <c r="Q282" s="196">
        <f ca="1">DATOSAÑO!AH282</f>
        <v>0</v>
      </c>
      <c r="R282" s="196">
        <f ca="1">DATOSAÑO!AM282+DATOSAÑO!AN282+DATOSAÑO!AF282</f>
        <v>0</v>
      </c>
      <c r="S282" s="209">
        <f ca="1">IF(B282&gt;=$P$5,0,CONTADORES!S284-CONTADORES!S283)</f>
        <v>0</v>
      </c>
      <c r="T282" s="206">
        <f ca="1">IF(B282&gt;=$P$5,0,(CONTADORES!U284-CONTADORES!U283)+(CONTADORES!AG284-CONTADORES!AG283))</f>
        <v>0</v>
      </c>
      <c r="U282" s="206">
        <f ca="1">IF(B282&gt;=$P$5,0,(CONTADORES!AS284-CONTADORES!AS283))</f>
        <v>0</v>
      </c>
      <c r="V282" s="206">
        <f ca="1">IF(B282&gt;=$P$5,0,(CONTADORES!AT284-CONTADORES!AT283))</f>
        <v>0</v>
      </c>
      <c r="W282" s="715">
        <v>0</v>
      </c>
      <c r="X282" s="206">
        <f ca="1">IF(W282=0,(T282-INICIO!$W$6),((T282-INICIO!$W$6)+V282))</f>
        <v>0</v>
      </c>
      <c r="Y282" s="208">
        <f t="shared" ca="1" si="70"/>
        <v>0</v>
      </c>
      <c r="Z282" s="209" t="e">
        <f t="shared" ca="1" si="71"/>
        <v>#DIV/0!</v>
      </c>
      <c r="AA282" s="206" t="e">
        <f t="shared" ca="1" si="72"/>
        <v>#DIV/0!</v>
      </c>
      <c r="AB282" s="206" t="e">
        <f t="shared" ca="1" si="73"/>
        <v>#DIV/0!</v>
      </c>
      <c r="AC282" s="208" t="e">
        <f t="shared" ca="1" si="68"/>
        <v>#DIV/0!</v>
      </c>
    </row>
    <row r="283" spans="2:29" ht="15" thickBot="1">
      <c r="B283" s="1043">
        <v>44834</v>
      </c>
      <c r="C283" s="203">
        <f ca="1">DATOSAÑO!I283</f>
        <v>0</v>
      </c>
      <c r="D283" s="197">
        <f ca="1">DATOSAÑO!P283</f>
        <v>0</v>
      </c>
      <c r="E283" s="197">
        <f ca="1">DATOSAÑO!Q283</f>
        <v>0</v>
      </c>
      <c r="F283" s="197">
        <f ca="1">DATOSAÑO!T283</f>
        <v>0</v>
      </c>
      <c r="G283" s="197">
        <f t="shared" ca="1" si="67"/>
        <v>0</v>
      </c>
      <c r="H283" s="197" t="e">
        <f t="shared" ca="1" si="65"/>
        <v>#DIV/0!</v>
      </c>
      <c r="I283" s="197" t="e">
        <f t="shared" ca="1" si="74"/>
        <v>#DIV/0!</v>
      </c>
      <c r="J283" s="197" t="e">
        <f t="shared" ca="1" si="75"/>
        <v>#DIV/0!</v>
      </c>
      <c r="K283" s="197" t="e">
        <f t="shared" ca="1" si="76"/>
        <v>#DIV/0!</v>
      </c>
      <c r="L283" s="197">
        <f t="shared" ca="1" si="66"/>
        <v>0</v>
      </c>
      <c r="M283" s="197" t="e">
        <f t="shared" ca="1" si="77"/>
        <v>#DIV/0!</v>
      </c>
      <c r="N283" s="197">
        <f t="shared" ca="1" si="69"/>
        <v>0</v>
      </c>
      <c r="O283" s="197">
        <f ca="1">(DATOSAÑO!AJ283+DATOSAÑO!AK283+DATOSAÑO!AD283)</f>
        <v>0</v>
      </c>
      <c r="P283" s="197">
        <f ca="1">DATOSAÑO!AI283</f>
        <v>0</v>
      </c>
      <c r="Q283" s="197">
        <f ca="1">DATOSAÑO!AH283</f>
        <v>0</v>
      </c>
      <c r="R283" s="197">
        <f ca="1">DATOSAÑO!AM283+DATOSAÑO!AN283+DATOSAÑO!AF283</f>
        <v>0</v>
      </c>
      <c r="S283" s="203">
        <f ca="1">IF(B283&gt;=$P$5,0,CONTADORES!S285-CONTADORES!S284)</f>
        <v>0</v>
      </c>
      <c r="T283" s="197">
        <f ca="1">IF(B283&gt;=$P$5,0,(CONTADORES!U285-CONTADORES!U284)+(CONTADORES!AG285-CONTADORES!AG284))</f>
        <v>0</v>
      </c>
      <c r="U283" s="197">
        <f ca="1">IF(B283&gt;=$P$5,0,(CONTADORES!AS285-CONTADORES!AS284))</f>
        <v>0</v>
      </c>
      <c r="V283" s="197">
        <f ca="1">IF(B283&gt;=$P$5,0,(CONTADORES!AT285-CONTADORES!AT284))</f>
        <v>0</v>
      </c>
      <c r="W283" s="716">
        <v>0</v>
      </c>
      <c r="X283" s="197">
        <f ca="1">IF(W283=0,(T283-INICIO!$W$6),((T283-INICIO!$W$6)+V283))</f>
        <v>0</v>
      </c>
      <c r="Y283" s="201">
        <f t="shared" ca="1" si="70"/>
        <v>0</v>
      </c>
      <c r="Z283" s="200" t="e">
        <f t="shared" ca="1" si="71"/>
        <v>#DIV/0!</v>
      </c>
      <c r="AA283" s="197" t="e">
        <f t="shared" ca="1" si="72"/>
        <v>#DIV/0!</v>
      </c>
      <c r="AB283" s="197" t="e">
        <f t="shared" ca="1" si="73"/>
        <v>#DIV/0!</v>
      </c>
      <c r="AC283" s="201" t="e">
        <f t="shared" ca="1" si="68"/>
        <v>#DIV/0!</v>
      </c>
    </row>
    <row r="284" spans="2:29">
      <c r="B284" s="390">
        <v>44835</v>
      </c>
      <c r="C284" s="202">
        <f ca="1">DATOSAÑO!I284</f>
        <v>0</v>
      </c>
      <c r="D284" s="196">
        <f ca="1">DATOSAÑO!P284</f>
        <v>0</v>
      </c>
      <c r="E284" s="196">
        <f ca="1">DATOSAÑO!Q284</f>
        <v>0</v>
      </c>
      <c r="F284" s="196">
        <f ca="1">DATOSAÑO!T284</f>
        <v>0</v>
      </c>
      <c r="G284" s="196">
        <f t="shared" ca="1" si="67"/>
        <v>0</v>
      </c>
      <c r="H284" s="196" t="e">
        <f ca="1">G284-SUM(I284:M284)</f>
        <v>#DIV/0!</v>
      </c>
      <c r="I284" s="196" t="e">
        <f t="shared" ca="1" si="74"/>
        <v>#DIV/0!</v>
      </c>
      <c r="J284" s="196" t="e">
        <f t="shared" ca="1" si="75"/>
        <v>#DIV/0!</v>
      </c>
      <c r="K284" s="196" t="e">
        <f t="shared" ca="1" si="76"/>
        <v>#DIV/0!</v>
      </c>
      <c r="L284" s="196">
        <f t="shared" ca="1" si="66"/>
        <v>0</v>
      </c>
      <c r="M284" s="196" t="e">
        <f t="shared" ca="1" si="77"/>
        <v>#DIV/0!</v>
      </c>
      <c r="N284" s="196">
        <f t="shared" ca="1" si="69"/>
        <v>0</v>
      </c>
      <c r="O284" s="196">
        <f ca="1">(DATOSAÑO!AJ284+DATOSAÑO!AK284+DATOSAÑO!AD284)</f>
        <v>0</v>
      </c>
      <c r="P284" s="196">
        <f ca="1">DATOSAÑO!AI284</f>
        <v>0</v>
      </c>
      <c r="Q284" s="196">
        <f ca="1">DATOSAÑO!AH284</f>
        <v>0</v>
      </c>
      <c r="R284" s="196">
        <f ca="1">DATOSAÑO!AM284+DATOSAÑO!AN284+DATOSAÑO!AF284</f>
        <v>0</v>
      </c>
      <c r="S284" s="202">
        <f ca="1">IF(B284&gt;=$P$5,0,CONTADORES!S288-CONTADORES!S287)</f>
        <v>0</v>
      </c>
      <c r="T284" s="196">
        <f ca="1">IF(B284&gt;=$P$5,0,(CONTADORES!U288-CONTADORES!U287)+(CONTADORES!AG288-CONTADORES!AG287))</f>
        <v>0</v>
      </c>
      <c r="U284" s="196">
        <f ca="1">IF(B284&gt;=$P$5,0,(CONTADORES!AS288-CONTADORES!AS287))</f>
        <v>0</v>
      </c>
      <c r="V284" s="196">
        <f ca="1">IF(B284&gt;=$P$5,0,(CONTADORES!AT288-CONTADORES!AT287))</f>
        <v>0</v>
      </c>
      <c r="W284" s="714">
        <v>0</v>
      </c>
      <c r="X284" s="196">
        <f ca="1">IF(W284=0,(T284-INICIO!$W$6),((T284-INICIO!$W$6)+V284))</f>
        <v>0</v>
      </c>
      <c r="Y284" s="208">
        <f t="shared" ca="1" si="70"/>
        <v>0</v>
      </c>
      <c r="Z284" s="209" t="e">
        <f t="shared" ca="1" si="71"/>
        <v>#DIV/0!</v>
      </c>
      <c r="AA284" s="206" t="e">
        <f t="shared" ca="1" si="72"/>
        <v>#DIV/0!</v>
      </c>
      <c r="AB284" s="206" t="e">
        <f t="shared" ca="1" si="73"/>
        <v>#DIV/0!</v>
      </c>
      <c r="AC284" s="208" t="e">
        <f t="shared" ca="1" si="68"/>
        <v>#DIV/0!</v>
      </c>
    </row>
    <row r="285" spans="2:29">
      <c r="B285" s="214">
        <v>44836</v>
      </c>
      <c r="C285" s="202">
        <f ca="1">DATOSAÑO!I285</f>
        <v>0</v>
      </c>
      <c r="D285" s="196">
        <f ca="1">DATOSAÑO!P285</f>
        <v>0</v>
      </c>
      <c r="E285" s="196">
        <f ca="1">DATOSAÑO!Q285</f>
        <v>0</v>
      </c>
      <c r="F285" s="196">
        <f ca="1">DATOSAÑO!T285</f>
        <v>0</v>
      </c>
      <c r="G285" s="196">
        <f t="shared" ca="1" si="67"/>
        <v>0</v>
      </c>
      <c r="H285" s="196" t="e">
        <f t="shared" ref="H285:H314" ca="1" si="78">G285-SUM(I285:M285)</f>
        <v>#DIV/0!</v>
      </c>
      <c r="I285" s="196" t="e">
        <f t="shared" ca="1" si="74"/>
        <v>#DIV/0!</v>
      </c>
      <c r="J285" s="196" t="e">
        <f t="shared" ca="1" si="75"/>
        <v>#DIV/0!</v>
      </c>
      <c r="K285" s="196" t="e">
        <f t="shared" ca="1" si="76"/>
        <v>#DIV/0!</v>
      </c>
      <c r="L285" s="196">
        <f t="shared" ca="1" si="66"/>
        <v>0</v>
      </c>
      <c r="M285" s="196" t="e">
        <f t="shared" ca="1" si="77"/>
        <v>#DIV/0!</v>
      </c>
      <c r="N285" s="196">
        <f t="shared" ca="1" si="69"/>
        <v>0</v>
      </c>
      <c r="O285" s="196">
        <f ca="1">(DATOSAÑO!AJ285+DATOSAÑO!AK285+DATOSAÑO!AD285)</f>
        <v>0</v>
      </c>
      <c r="P285" s="196">
        <f ca="1">DATOSAÑO!AI285</f>
        <v>0</v>
      </c>
      <c r="Q285" s="196">
        <f ca="1">DATOSAÑO!AH285</f>
        <v>0</v>
      </c>
      <c r="R285" s="196">
        <f ca="1">DATOSAÑO!AM285+DATOSAÑO!AN285+DATOSAÑO!AF285</f>
        <v>0</v>
      </c>
      <c r="S285" s="209">
        <f ca="1">IF(B285&gt;=$P$5,0,CONTADORES!S289-CONTADORES!S288)</f>
        <v>0</v>
      </c>
      <c r="T285" s="206">
        <f ca="1">IF(B285&gt;=$P$5,0,(CONTADORES!U289-CONTADORES!U288)+(CONTADORES!AG289-CONTADORES!AG288))</f>
        <v>0</v>
      </c>
      <c r="U285" s="206">
        <f ca="1">IF(B285&gt;=$P$5,0,(CONTADORES!AS289-CONTADORES!AS288))</f>
        <v>0</v>
      </c>
      <c r="V285" s="206">
        <f ca="1">IF(B285&gt;=$P$5,0,(CONTADORES!AT289-CONTADORES!AT288))</f>
        <v>0</v>
      </c>
      <c r="W285" s="715">
        <v>0</v>
      </c>
      <c r="X285" s="206">
        <f ca="1">IF(W285=0,(T285-INICIO!$W$6),((T285-INICIO!$W$6)+V285))</f>
        <v>0</v>
      </c>
      <c r="Y285" s="208">
        <f t="shared" ca="1" si="70"/>
        <v>0</v>
      </c>
      <c r="Z285" s="209" t="e">
        <f t="shared" ca="1" si="71"/>
        <v>#DIV/0!</v>
      </c>
      <c r="AA285" s="206" t="e">
        <f t="shared" ca="1" si="72"/>
        <v>#DIV/0!</v>
      </c>
      <c r="AB285" s="206" t="e">
        <f t="shared" ca="1" si="73"/>
        <v>#DIV/0!</v>
      </c>
      <c r="AC285" s="208" t="e">
        <f t="shared" ca="1" si="68"/>
        <v>#DIV/0!</v>
      </c>
    </row>
    <row r="286" spans="2:29">
      <c r="B286" s="214">
        <v>44837</v>
      </c>
      <c r="C286" s="202">
        <f ca="1">DATOSAÑO!I286</f>
        <v>0</v>
      </c>
      <c r="D286" s="196">
        <f ca="1">DATOSAÑO!P286</f>
        <v>0</v>
      </c>
      <c r="E286" s="196">
        <f ca="1">DATOSAÑO!Q286</f>
        <v>0</v>
      </c>
      <c r="F286" s="196">
        <f ca="1">DATOSAÑO!T286</f>
        <v>0</v>
      </c>
      <c r="G286" s="196">
        <f t="shared" ca="1" si="67"/>
        <v>0</v>
      </c>
      <c r="H286" s="196" t="e">
        <f t="shared" ca="1" si="78"/>
        <v>#DIV/0!</v>
      </c>
      <c r="I286" s="196" t="e">
        <f t="shared" ca="1" si="74"/>
        <v>#DIV/0!</v>
      </c>
      <c r="J286" s="196" t="e">
        <f t="shared" ca="1" si="75"/>
        <v>#DIV/0!</v>
      </c>
      <c r="K286" s="196" t="e">
        <f t="shared" ca="1" si="76"/>
        <v>#DIV/0!</v>
      </c>
      <c r="L286" s="196">
        <f t="shared" ca="1" si="66"/>
        <v>0</v>
      </c>
      <c r="M286" s="196" t="e">
        <f t="shared" ca="1" si="77"/>
        <v>#DIV/0!</v>
      </c>
      <c r="N286" s="196">
        <f t="shared" ca="1" si="69"/>
        <v>0</v>
      </c>
      <c r="O286" s="196">
        <f ca="1">(DATOSAÑO!AJ286+DATOSAÑO!AK286+DATOSAÑO!AD286)</f>
        <v>0</v>
      </c>
      <c r="P286" s="196">
        <f ca="1">DATOSAÑO!AI286</f>
        <v>0</v>
      </c>
      <c r="Q286" s="196">
        <f ca="1">DATOSAÑO!AH286</f>
        <v>0</v>
      </c>
      <c r="R286" s="196">
        <f ca="1">DATOSAÑO!AM286+DATOSAÑO!AN286+DATOSAÑO!AF286</f>
        <v>0</v>
      </c>
      <c r="S286" s="209">
        <f ca="1">IF(B286&gt;=$P$5,0,CONTADORES!S290-CONTADORES!S289)</f>
        <v>0</v>
      </c>
      <c r="T286" s="206">
        <f ca="1">IF(B286&gt;=$P$5,0,(CONTADORES!U290-CONTADORES!U289)+(CONTADORES!AG290-CONTADORES!AG289))</f>
        <v>0</v>
      </c>
      <c r="U286" s="206">
        <f ca="1">IF(B286&gt;=$P$5,0,(CONTADORES!AS290-CONTADORES!AS289))</f>
        <v>0</v>
      </c>
      <c r="V286" s="206">
        <f ca="1">IF(B286&gt;=$P$5,0,(CONTADORES!AT290-CONTADORES!AT289))</f>
        <v>0</v>
      </c>
      <c r="W286" s="715">
        <v>0</v>
      </c>
      <c r="X286" s="206">
        <f ca="1">IF(W286=0,(T286-INICIO!$W$6),((T286-INICIO!$W$6)+V286))</f>
        <v>0</v>
      </c>
      <c r="Y286" s="208">
        <f t="shared" ca="1" si="70"/>
        <v>0</v>
      </c>
      <c r="Z286" s="209" t="e">
        <f t="shared" ca="1" si="71"/>
        <v>#DIV/0!</v>
      </c>
      <c r="AA286" s="206" t="e">
        <f t="shared" ca="1" si="72"/>
        <v>#DIV/0!</v>
      </c>
      <c r="AB286" s="206" t="e">
        <f t="shared" ca="1" si="73"/>
        <v>#DIV/0!</v>
      </c>
      <c r="AC286" s="208" t="e">
        <f t="shared" ca="1" si="68"/>
        <v>#DIV/0!</v>
      </c>
    </row>
    <row r="287" spans="2:29">
      <c r="B287" s="214">
        <v>44838</v>
      </c>
      <c r="C287" s="202">
        <f ca="1">DATOSAÑO!I287</f>
        <v>0</v>
      </c>
      <c r="D287" s="196">
        <f ca="1">DATOSAÑO!P287</f>
        <v>0</v>
      </c>
      <c r="E287" s="196">
        <f ca="1">DATOSAÑO!Q287</f>
        <v>0</v>
      </c>
      <c r="F287" s="196">
        <f ca="1">DATOSAÑO!T287</f>
        <v>0</v>
      </c>
      <c r="G287" s="196">
        <f t="shared" ca="1" si="67"/>
        <v>0</v>
      </c>
      <c r="H287" s="196" t="e">
        <f t="shared" ca="1" si="78"/>
        <v>#DIV/0!</v>
      </c>
      <c r="I287" s="196" t="e">
        <f t="shared" ca="1" si="74"/>
        <v>#DIV/0!</v>
      </c>
      <c r="J287" s="196" t="e">
        <f t="shared" ca="1" si="75"/>
        <v>#DIV/0!</v>
      </c>
      <c r="K287" s="196" t="e">
        <f t="shared" ca="1" si="76"/>
        <v>#DIV/0!</v>
      </c>
      <c r="L287" s="196">
        <f t="shared" ca="1" si="66"/>
        <v>0</v>
      </c>
      <c r="M287" s="196" t="e">
        <f t="shared" ca="1" si="77"/>
        <v>#DIV/0!</v>
      </c>
      <c r="N287" s="196">
        <f t="shared" ca="1" si="69"/>
        <v>0</v>
      </c>
      <c r="O287" s="196">
        <f ca="1">(DATOSAÑO!AJ287+DATOSAÑO!AK287+DATOSAÑO!AD287)</f>
        <v>0</v>
      </c>
      <c r="P287" s="196">
        <f ca="1">DATOSAÑO!AI287</f>
        <v>0</v>
      </c>
      <c r="Q287" s="196">
        <f ca="1">DATOSAÑO!AH287</f>
        <v>0</v>
      </c>
      <c r="R287" s="196">
        <f ca="1">DATOSAÑO!AM287+DATOSAÑO!AN287+DATOSAÑO!AF287</f>
        <v>0</v>
      </c>
      <c r="S287" s="209">
        <f ca="1">IF(B287&gt;=$P$5,0,CONTADORES!S291-CONTADORES!S290)</f>
        <v>0</v>
      </c>
      <c r="T287" s="206">
        <f ca="1">IF(B287&gt;=$P$5,0,(CONTADORES!U291-CONTADORES!U290)+(CONTADORES!AG291-CONTADORES!AG290))</f>
        <v>0</v>
      </c>
      <c r="U287" s="206">
        <f ca="1">IF(B287&gt;=$P$5,0,(CONTADORES!AS291-CONTADORES!AS290))</f>
        <v>0</v>
      </c>
      <c r="V287" s="206">
        <f ca="1">IF(B287&gt;=$P$5,0,(CONTADORES!AT291-CONTADORES!AT290))</f>
        <v>0</v>
      </c>
      <c r="W287" s="715">
        <v>0</v>
      </c>
      <c r="X287" s="206">
        <f ca="1">IF(W287=0,(T287-INICIO!$W$6),((T287-INICIO!$W$6)+V287))</f>
        <v>0</v>
      </c>
      <c r="Y287" s="208">
        <f t="shared" ca="1" si="70"/>
        <v>0</v>
      </c>
      <c r="Z287" s="209" t="e">
        <f t="shared" ca="1" si="71"/>
        <v>#DIV/0!</v>
      </c>
      <c r="AA287" s="206" t="e">
        <f t="shared" ca="1" si="72"/>
        <v>#DIV/0!</v>
      </c>
      <c r="AB287" s="206" t="e">
        <f t="shared" ca="1" si="73"/>
        <v>#DIV/0!</v>
      </c>
      <c r="AC287" s="208" t="e">
        <f t="shared" ca="1" si="68"/>
        <v>#DIV/0!</v>
      </c>
    </row>
    <row r="288" spans="2:29">
      <c r="B288" s="214">
        <v>44839</v>
      </c>
      <c r="C288" s="202">
        <f ca="1">DATOSAÑO!I288</f>
        <v>0</v>
      </c>
      <c r="D288" s="196">
        <f ca="1">DATOSAÑO!P288</f>
        <v>0</v>
      </c>
      <c r="E288" s="196">
        <f ca="1">DATOSAÑO!Q288</f>
        <v>0</v>
      </c>
      <c r="F288" s="196">
        <f ca="1">DATOSAÑO!T288</f>
        <v>0</v>
      </c>
      <c r="G288" s="196">
        <f t="shared" ca="1" si="67"/>
        <v>0</v>
      </c>
      <c r="H288" s="196" t="e">
        <f t="shared" ca="1" si="78"/>
        <v>#DIV/0!</v>
      </c>
      <c r="I288" s="196" t="e">
        <f t="shared" ca="1" si="74"/>
        <v>#DIV/0!</v>
      </c>
      <c r="J288" s="196" t="e">
        <f t="shared" ca="1" si="75"/>
        <v>#DIV/0!</v>
      </c>
      <c r="K288" s="196" t="e">
        <f t="shared" ca="1" si="76"/>
        <v>#DIV/0!</v>
      </c>
      <c r="L288" s="196">
        <f t="shared" ca="1" si="66"/>
        <v>0</v>
      </c>
      <c r="M288" s="196" t="e">
        <f t="shared" ca="1" si="77"/>
        <v>#DIV/0!</v>
      </c>
      <c r="N288" s="196">
        <f t="shared" ca="1" si="69"/>
        <v>0</v>
      </c>
      <c r="O288" s="196">
        <f ca="1">(DATOSAÑO!AJ288+DATOSAÑO!AK288+DATOSAÑO!AD288)</f>
        <v>0</v>
      </c>
      <c r="P288" s="196">
        <f ca="1">DATOSAÑO!AI288</f>
        <v>0</v>
      </c>
      <c r="Q288" s="196">
        <f ca="1">DATOSAÑO!AH288</f>
        <v>0</v>
      </c>
      <c r="R288" s="196">
        <f ca="1">DATOSAÑO!AM288+DATOSAÑO!AN288+DATOSAÑO!AF288</f>
        <v>0</v>
      </c>
      <c r="S288" s="209">
        <f ca="1">IF(B288&gt;=$P$5,0,CONTADORES!S292-CONTADORES!S291)</f>
        <v>0</v>
      </c>
      <c r="T288" s="206">
        <f ca="1">IF(B288&gt;=$P$5,0,(CONTADORES!U292-CONTADORES!U291)+(CONTADORES!AG292-CONTADORES!AG291))</f>
        <v>0</v>
      </c>
      <c r="U288" s="206">
        <f ca="1">IF(B288&gt;=$P$5,0,(CONTADORES!AS292-CONTADORES!AS291))</f>
        <v>0</v>
      </c>
      <c r="V288" s="206">
        <f ca="1">IF(B288&gt;=$P$5,0,(CONTADORES!AT292-CONTADORES!AT291))</f>
        <v>0</v>
      </c>
      <c r="W288" s="715">
        <v>0</v>
      </c>
      <c r="X288" s="206">
        <f ca="1">IF(W288=0,(T288-INICIO!$W$6),((T288-INICIO!$W$6)+V288))</f>
        <v>0</v>
      </c>
      <c r="Y288" s="208">
        <f t="shared" ca="1" si="70"/>
        <v>0</v>
      </c>
      <c r="Z288" s="209" t="e">
        <f t="shared" ca="1" si="71"/>
        <v>#DIV/0!</v>
      </c>
      <c r="AA288" s="206" t="e">
        <f t="shared" ca="1" si="72"/>
        <v>#DIV/0!</v>
      </c>
      <c r="AB288" s="206" t="e">
        <f t="shared" ca="1" si="73"/>
        <v>#DIV/0!</v>
      </c>
      <c r="AC288" s="208" t="e">
        <f t="shared" ca="1" si="68"/>
        <v>#DIV/0!</v>
      </c>
    </row>
    <row r="289" spans="2:29">
      <c r="B289" s="214">
        <v>44840</v>
      </c>
      <c r="C289" s="202">
        <f ca="1">DATOSAÑO!I289</f>
        <v>0</v>
      </c>
      <c r="D289" s="196">
        <f ca="1">DATOSAÑO!P289</f>
        <v>0</v>
      </c>
      <c r="E289" s="196">
        <f ca="1">DATOSAÑO!Q289</f>
        <v>0</v>
      </c>
      <c r="F289" s="196">
        <f ca="1">DATOSAÑO!T289</f>
        <v>0</v>
      </c>
      <c r="G289" s="196">
        <f t="shared" ca="1" si="67"/>
        <v>0</v>
      </c>
      <c r="H289" s="196" t="e">
        <f t="shared" ca="1" si="78"/>
        <v>#DIV/0!</v>
      </c>
      <c r="I289" s="196" t="e">
        <f t="shared" ca="1" si="74"/>
        <v>#DIV/0!</v>
      </c>
      <c r="J289" s="196" t="e">
        <f t="shared" ca="1" si="75"/>
        <v>#DIV/0!</v>
      </c>
      <c r="K289" s="196" t="e">
        <f t="shared" ca="1" si="76"/>
        <v>#DIV/0!</v>
      </c>
      <c r="L289" s="196">
        <f t="shared" ca="1" si="66"/>
        <v>0</v>
      </c>
      <c r="M289" s="196" t="e">
        <f t="shared" ca="1" si="77"/>
        <v>#DIV/0!</v>
      </c>
      <c r="N289" s="196">
        <f t="shared" ca="1" si="69"/>
        <v>0</v>
      </c>
      <c r="O289" s="196">
        <f ca="1">(DATOSAÑO!AJ289+DATOSAÑO!AK289+DATOSAÑO!AD289)</f>
        <v>0</v>
      </c>
      <c r="P289" s="196">
        <f ca="1">DATOSAÑO!AI289</f>
        <v>0</v>
      </c>
      <c r="Q289" s="196">
        <f ca="1">DATOSAÑO!AH289</f>
        <v>0</v>
      </c>
      <c r="R289" s="196">
        <f ca="1">DATOSAÑO!AM289+DATOSAÑO!AN289+DATOSAÑO!AF289</f>
        <v>0</v>
      </c>
      <c r="S289" s="209">
        <f ca="1">IF(B289&gt;=$P$5,0,CONTADORES!S293-CONTADORES!S292)</f>
        <v>0</v>
      </c>
      <c r="T289" s="206">
        <f ca="1">IF(B289&gt;=$P$5,0,(CONTADORES!U293-CONTADORES!U292)+(CONTADORES!AG293-CONTADORES!AG292))</f>
        <v>0</v>
      </c>
      <c r="U289" s="206">
        <f ca="1">IF(B289&gt;=$P$5,0,(CONTADORES!AS293-CONTADORES!AS292))</f>
        <v>0</v>
      </c>
      <c r="V289" s="206">
        <f ca="1">IF(B289&gt;=$P$5,0,(CONTADORES!AT293-CONTADORES!AT292))</f>
        <v>0</v>
      </c>
      <c r="W289" s="715">
        <v>0</v>
      </c>
      <c r="X289" s="206">
        <f ca="1">IF(W289=0,(T289-INICIO!$W$6),((T289-INICIO!$W$6)+V289))</f>
        <v>0</v>
      </c>
      <c r="Y289" s="208">
        <f t="shared" ca="1" si="70"/>
        <v>0</v>
      </c>
      <c r="Z289" s="209" t="e">
        <f t="shared" ca="1" si="71"/>
        <v>#DIV/0!</v>
      </c>
      <c r="AA289" s="206" t="e">
        <f t="shared" ca="1" si="72"/>
        <v>#DIV/0!</v>
      </c>
      <c r="AB289" s="206" t="e">
        <f t="shared" ca="1" si="73"/>
        <v>#DIV/0!</v>
      </c>
      <c r="AC289" s="208" t="e">
        <f t="shared" ca="1" si="68"/>
        <v>#DIV/0!</v>
      </c>
    </row>
    <row r="290" spans="2:29">
      <c r="B290" s="214">
        <v>44841</v>
      </c>
      <c r="C290" s="202">
        <f ca="1">DATOSAÑO!I290</f>
        <v>0</v>
      </c>
      <c r="D290" s="196">
        <f ca="1">DATOSAÑO!P290</f>
        <v>0</v>
      </c>
      <c r="E290" s="196">
        <f ca="1">DATOSAÑO!Q290</f>
        <v>0</v>
      </c>
      <c r="F290" s="196">
        <f ca="1">DATOSAÑO!T290</f>
        <v>0</v>
      </c>
      <c r="G290" s="196">
        <f t="shared" ca="1" si="67"/>
        <v>0</v>
      </c>
      <c r="H290" s="196" t="e">
        <f t="shared" ca="1" si="78"/>
        <v>#DIV/0!</v>
      </c>
      <c r="I290" s="196" t="e">
        <f t="shared" ca="1" si="74"/>
        <v>#DIV/0!</v>
      </c>
      <c r="J290" s="196" t="e">
        <f t="shared" ca="1" si="75"/>
        <v>#DIV/0!</v>
      </c>
      <c r="K290" s="196" t="e">
        <f t="shared" ca="1" si="76"/>
        <v>#DIV/0!</v>
      </c>
      <c r="L290" s="196">
        <f t="shared" ca="1" si="66"/>
        <v>0</v>
      </c>
      <c r="M290" s="196" t="e">
        <f t="shared" ca="1" si="77"/>
        <v>#DIV/0!</v>
      </c>
      <c r="N290" s="196">
        <f t="shared" ca="1" si="69"/>
        <v>0</v>
      </c>
      <c r="O290" s="196">
        <f ca="1">(DATOSAÑO!AJ290+DATOSAÑO!AK290+DATOSAÑO!AD290)</f>
        <v>0</v>
      </c>
      <c r="P290" s="196">
        <f ca="1">DATOSAÑO!AI290</f>
        <v>0</v>
      </c>
      <c r="Q290" s="196">
        <f ca="1">DATOSAÑO!AH290</f>
        <v>0</v>
      </c>
      <c r="R290" s="196">
        <f ca="1">DATOSAÑO!AM290+DATOSAÑO!AN290+DATOSAÑO!AF290</f>
        <v>0</v>
      </c>
      <c r="S290" s="209">
        <f ca="1">IF(B290&gt;=$P$5,0,CONTADORES!S294-CONTADORES!S293)</f>
        <v>0</v>
      </c>
      <c r="T290" s="206">
        <f ca="1">IF(B290&gt;=$P$5,0,(CONTADORES!U294-CONTADORES!U293)+(CONTADORES!AG294-CONTADORES!AG293))</f>
        <v>0</v>
      </c>
      <c r="U290" s="206">
        <f ca="1">IF(B290&gt;=$P$5,0,(CONTADORES!AS294-CONTADORES!AS293))</f>
        <v>0</v>
      </c>
      <c r="V290" s="206">
        <f ca="1">IF(B290&gt;=$P$5,0,(CONTADORES!AT294-CONTADORES!AT293))</f>
        <v>0</v>
      </c>
      <c r="W290" s="715">
        <v>0</v>
      </c>
      <c r="X290" s="206">
        <f ca="1">IF(W290=0,(T290-INICIO!$W$6),((T290-INICIO!$W$6)+V290))</f>
        <v>0</v>
      </c>
      <c r="Y290" s="208">
        <f t="shared" ca="1" si="70"/>
        <v>0</v>
      </c>
      <c r="Z290" s="209" t="e">
        <f t="shared" ca="1" si="71"/>
        <v>#DIV/0!</v>
      </c>
      <c r="AA290" s="206" t="e">
        <f t="shared" ca="1" si="72"/>
        <v>#DIV/0!</v>
      </c>
      <c r="AB290" s="206" t="e">
        <f t="shared" ca="1" si="73"/>
        <v>#DIV/0!</v>
      </c>
      <c r="AC290" s="208" t="e">
        <f t="shared" ca="1" si="68"/>
        <v>#DIV/0!</v>
      </c>
    </row>
    <row r="291" spans="2:29">
      <c r="B291" s="214">
        <v>44842</v>
      </c>
      <c r="C291" s="202">
        <f ca="1">DATOSAÑO!I291</f>
        <v>0</v>
      </c>
      <c r="D291" s="196">
        <f ca="1">DATOSAÑO!P291</f>
        <v>0</v>
      </c>
      <c r="E291" s="196">
        <f ca="1">DATOSAÑO!Q291</f>
        <v>0</v>
      </c>
      <c r="F291" s="196">
        <f ca="1">DATOSAÑO!T291</f>
        <v>0</v>
      </c>
      <c r="G291" s="196">
        <f t="shared" ca="1" si="67"/>
        <v>0</v>
      </c>
      <c r="H291" s="196" t="e">
        <f t="shared" ca="1" si="78"/>
        <v>#DIV/0!</v>
      </c>
      <c r="I291" s="196" t="e">
        <f t="shared" ca="1" si="74"/>
        <v>#DIV/0!</v>
      </c>
      <c r="J291" s="196" t="e">
        <f t="shared" ca="1" si="75"/>
        <v>#DIV/0!</v>
      </c>
      <c r="K291" s="196" t="e">
        <f t="shared" ca="1" si="76"/>
        <v>#DIV/0!</v>
      </c>
      <c r="L291" s="196">
        <f t="shared" ca="1" si="66"/>
        <v>0</v>
      </c>
      <c r="M291" s="196" t="e">
        <f t="shared" ca="1" si="77"/>
        <v>#DIV/0!</v>
      </c>
      <c r="N291" s="196">
        <f t="shared" ca="1" si="69"/>
        <v>0</v>
      </c>
      <c r="O291" s="196">
        <f ca="1">(DATOSAÑO!AJ291+DATOSAÑO!AK291+DATOSAÑO!AD291)</f>
        <v>0</v>
      </c>
      <c r="P291" s="196">
        <f ca="1">DATOSAÑO!AI291</f>
        <v>0</v>
      </c>
      <c r="Q291" s="196">
        <f ca="1">DATOSAÑO!AH291</f>
        <v>0</v>
      </c>
      <c r="R291" s="196">
        <f ca="1">DATOSAÑO!AM291+DATOSAÑO!AN291+DATOSAÑO!AF291</f>
        <v>0</v>
      </c>
      <c r="S291" s="209">
        <f ca="1">IF(B291&gt;=$P$5,0,CONTADORES!S295-CONTADORES!S294)</f>
        <v>0</v>
      </c>
      <c r="T291" s="206">
        <f ca="1">IF(B291&gt;=$P$5,0,(CONTADORES!U295-CONTADORES!U294)+(CONTADORES!AG295-CONTADORES!AG294))</f>
        <v>0</v>
      </c>
      <c r="U291" s="206">
        <f ca="1">IF(B291&gt;=$P$5,0,(CONTADORES!AS295-CONTADORES!AS294))</f>
        <v>0</v>
      </c>
      <c r="V291" s="206">
        <f ca="1">IF(B291&gt;=$P$5,0,(CONTADORES!AT295-CONTADORES!AT294))</f>
        <v>0</v>
      </c>
      <c r="W291" s="715">
        <v>0</v>
      </c>
      <c r="X291" s="206">
        <f ca="1">IF(W291=0,(T291-INICIO!$W$6),((T291-INICIO!$W$6)+V291))</f>
        <v>0</v>
      </c>
      <c r="Y291" s="208">
        <f t="shared" ca="1" si="70"/>
        <v>0</v>
      </c>
      <c r="Z291" s="209" t="e">
        <f t="shared" ca="1" si="71"/>
        <v>#DIV/0!</v>
      </c>
      <c r="AA291" s="206" t="e">
        <f t="shared" ca="1" si="72"/>
        <v>#DIV/0!</v>
      </c>
      <c r="AB291" s="206" t="e">
        <f t="shared" ca="1" si="73"/>
        <v>#DIV/0!</v>
      </c>
      <c r="AC291" s="208" t="e">
        <f t="shared" ca="1" si="68"/>
        <v>#DIV/0!</v>
      </c>
    </row>
    <row r="292" spans="2:29">
      <c r="B292" s="214">
        <v>44843</v>
      </c>
      <c r="C292" s="202">
        <f ca="1">DATOSAÑO!I292</f>
        <v>0</v>
      </c>
      <c r="D292" s="196">
        <f ca="1">DATOSAÑO!P292</f>
        <v>0</v>
      </c>
      <c r="E292" s="196">
        <f ca="1">DATOSAÑO!Q292</f>
        <v>0</v>
      </c>
      <c r="F292" s="196">
        <f ca="1">DATOSAÑO!T292</f>
        <v>0</v>
      </c>
      <c r="G292" s="196">
        <f t="shared" ca="1" si="67"/>
        <v>0</v>
      </c>
      <c r="H292" s="196" t="e">
        <f t="shared" ca="1" si="78"/>
        <v>#DIV/0!</v>
      </c>
      <c r="I292" s="196" t="e">
        <f t="shared" ca="1" si="74"/>
        <v>#DIV/0!</v>
      </c>
      <c r="J292" s="196" t="e">
        <f t="shared" ca="1" si="75"/>
        <v>#DIV/0!</v>
      </c>
      <c r="K292" s="196" t="e">
        <f t="shared" ca="1" si="76"/>
        <v>#DIV/0!</v>
      </c>
      <c r="L292" s="196">
        <f t="shared" ca="1" si="66"/>
        <v>0</v>
      </c>
      <c r="M292" s="196" t="e">
        <f t="shared" ca="1" si="77"/>
        <v>#DIV/0!</v>
      </c>
      <c r="N292" s="196">
        <f t="shared" ca="1" si="69"/>
        <v>0</v>
      </c>
      <c r="O292" s="196">
        <f ca="1">(DATOSAÑO!AJ292+DATOSAÑO!AK292+DATOSAÑO!AD292)</f>
        <v>0</v>
      </c>
      <c r="P292" s="196">
        <f ca="1">DATOSAÑO!AI292</f>
        <v>0</v>
      </c>
      <c r="Q292" s="196">
        <f ca="1">DATOSAÑO!AH292</f>
        <v>0</v>
      </c>
      <c r="R292" s="196">
        <f ca="1">DATOSAÑO!AM292+DATOSAÑO!AN292+DATOSAÑO!AF292</f>
        <v>0</v>
      </c>
      <c r="S292" s="209">
        <f ca="1">IF(B292&gt;=$P$5,0,CONTADORES!S296-CONTADORES!S295)</f>
        <v>0</v>
      </c>
      <c r="T292" s="206">
        <f ca="1">IF(B292&gt;=$P$5,0,(CONTADORES!U296-CONTADORES!U295)+(CONTADORES!AG296-CONTADORES!AG295))</f>
        <v>0</v>
      </c>
      <c r="U292" s="206">
        <f ca="1">IF(B292&gt;=$P$5,0,(CONTADORES!AS296-CONTADORES!AS295))</f>
        <v>0</v>
      </c>
      <c r="V292" s="206">
        <f ca="1">IF(B292&gt;=$P$5,0,(CONTADORES!AT296-CONTADORES!AT295))</f>
        <v>0</v>
      </c>
      <c r="W292" s="715">
        <v>0</v>
      </c>
      <c r="X292" s="206">
        <f ca="1">IF(W292=0,(T292-INICIO!$W$6),((T292-INICIO!$W$6)+V292))</f>
        <v>0</v>
      </c>
      <c r="Y292" s="208">
        <f t="shared" ca="1" si="70"/>
        <v>0</v>
      </c>
      <c r="Z292" s="209" t="e">
        <f t="shared" ca="1" si="71"/>
        <v>#DIV/0!</v>
      </c>
      <c r="AA292" s="206" t="e">
        <f t="shared" ca="1" si="72"/>
        <v>#DIV/0!</v>
      </c>
      <c r="AB292" s="206" t="e">
        <f t="shared" ca="1" si="73"/>
        <v>#DIV/0!</v>
      </c>
      <c r="AC292" s="208" t="e">
        <f t="shared" ca="1" si="68"/>
        <v>#DIV/0!</v>
      </c>
    </row>
    <row r="293" spans="2:29">
      <c r="B293" s="214">
        <v>44844</v>
      </c>
      <c r="C293" s="202">
        <f ca="1">DATOSAÑO!I293</f>
        <v>0</v>
      </c>
      <c r="D293" s="196">
        <f ca="1">DATOSAÑO!P293</f>
        <v>0</v>
      </c>
      <c r="E293" s="196">
        <f ca="1">DATOSAÑO!Q293</f>
        <v>0</v>
      </c>
      <c r="F293" s="196">
        <f ca="1">DATOSAÑO!T293</f>
        <v>0</v>
      </c>
      <c r="G293" s="196">
        <f t="shared" ca="1" si="67"/>
        <v>0</v>
      </c>
      <c r="H293" s="196" t="e">
        <f t="shared" ca="1" si="78"/>
        <v>#DIV/0!</v>
      </c>
      <c r="I293" s="196" t="e">
        <f t="shared" ca="1" si="74"/>
        <v>#DIV/0!</v>
      </c>
      <c r="J293" s="196" t="e">
        <f t="shared" ca="1" si="75"/>
        <v>#DIV/0!</v>
      </c>
      <c r="K293" s="196" t="e">
        <f t="shared" ca="1" si="76"/>
        <v>#DIV/0!</v>
      </c>
      <c r="L293" s="196">
        <f t="shared" ca="1" si="66"/>
        <v>0</v>
      </c>
      <c r="M293" s="196" t="e">
        <f t="shared" ca="1" si="77"/>
        <v>#DIV/0!</v>
      </c>
      <c r="N293" s="196">
        <f t="shared" ca="1" si="69"/>
        <v>0</v>
      </c>
      <c r="O293" s="196">
        <f ca="1">(DATOSAÑO!AJ293+DATOSAÑO!AK293+DATOSAÑO!AD293)</f>
        <v>0</v>
      </c>
      <c r="P293" s="196">
        <f ca="1">DATOSAÑO!AI293</f>
        <v>0</v>
      </c>
      <c r="Q293" s="196">
        <f ca="1">DATOSAÑO!AH293</f>
        <v>0</v>
      </c>
      <c r="R293" s="196">
        <f ca="1">DATOSAÑO!AM293+DATOSAÑO!AN293+DATOSAÑO!AF293</f>
        <v>0</v>
      </c>
      <c r="S293" s="209">
        <f ca="1">IF(B293&gt;=$P$5,0,CONTADORES!S297-CONTADORES!S296)</f>
        <v>0</v>
      </c>
      <c r="T293" s="206">
        <f ca="1">IF(B293&gt;=$P$5,0,(CONTADORES!U297-CONTADORES!U296)+(CONTADORES!AG297-CONTADORES!AG296))</f>
        <v>0</v>
      </c>
      <c r="U293" s="206">
        <f ca="1">IF(B293&gt;=$P$5,0,(CONTADORES!AS297-CONTADORES!AS296))</f>
        <v>0</v>
      </c>
      <c r="V293" s="206">
        <f ca="1">IF(B293&gt;=$P$5,0,(CONTADORES!AT297-CONTADORES!AT296))</f>
        <v>0</v>
      </c>
      <c r="W293" s="715">
        <v>0</v>
      </c>
      <c r="X293" s="206">
        <f ca="1">IF(W293=0,(T293-INICIO!$W$6),((T293-INICIO!$W$6)+V293))</f>
        <v>0</v>
      </c>
      <c r="Y293" s="208">
        <f t="shared" ca="1" si="70"/>
        <v>0</v>
      </c>
      <c r="Z293" s="209" t="e">
        <f t="shared" ca="1" si="71"/>
        <v>#DIV/0!</v>
      </c>
      <c r="AA293" s="206" t="e">
        <f t="shared" ca="1" si="72"/>
        <v>#DIV/0!</v>
      </c>
      <c r="AB293" s="206" t="e">
        <f t="shared" ca="1" si="73"/>
        <v>#DIV/0!</v>
      </c>
      <c r="AC293" s="208" t="e">
        <f t="shared" ca="1" si="68"/>
        <v>#DIV/0!</v>
      </c>
    </row>
    <row r="294" spans="2:29">
      <c r="B294" s="214">
        <v>44845</v>
      </c>
      <c r="C294" s="202">
        <f ca="1">DATOSAÑO!I294</f>
        <v>0</v>
      </c>
      <c r="D294" s="196">
        <f ca="1">DATOSAÑO!P294</f>
        <v>0</v>
      </c>
      <c r="E294" s="196">
        <f ca="1">DATOSAÑO!Q294</f>
        <v>0</v>
      </c>
      <c r="F294" s="196">
        <f ca="1">DATOSAÑO!T294</f>
        <v>0</v>
      </c>
      <c r="G294" s="196">
        <f t="shared" ca="1" si="67"/>
        <v>0</v>
      </c>
      <c r="H294" s="196" t="e">
        <f t="shared" ca="1" si="78"/>
        <v>#DIV/0!</v>
      </c>
      <c r="I294" s="196" t="e">
        <f t="shared" ca="1" si="74"/>
        <v>#DIV/0!</v>
      </c>
      <c r="J294" s="196" t="e">
        <f t="shared" ca="1" si="75"/>
        <v>#DIV/0!</v>
      </c>
      <c r="K294" s="196" t="e">
        <f t="shared" ca="1" si="76"/>
        <v>#DIV/0!</v>
      </c>
      <c r="L294" s="196">
        <f t="shared" ca="1" si="66"/>
        <v>0</v>
      </c>
      <c r="M294" s="196" t="e">
        <f t="shared" ca="1" si="77"/>
        <v>#DIV/0!</v>
      </c>
      <c r="N294" s="196">
        <f t="shared" ca="1" si="69"/>
        <v>0</v>
      </c>
      <c r="O294" s="196">
        <f ca="1">(DATOSAÑO!AJ294+DATOSAÑO!AK294+DATOSAÑO!AD294)</f>
        <v>0</v>
      </c>
      <c r="P294" s="196">
        <f ca="1">DATOSAÑO!AI294</f>
        <v>0</v>
      </c>
      <c r="Q294" s="196">
        <f ca="1">DATOSAÑO!AH294</f>
        <v>0</v>
      </c>
      <c r="R294" s="196">
        <f ca="1">DATOSAÑO!AM294+DATOSAÑO!AN294+DATOSAÑO!AF294</f>
        <v>0</v>
      </c>
      <c r="S294" s="209">
        <f ca="1">IF(B294&gt;=$P$5,0,CONTADORES!S298-CONTADORES!S297)</f>
        <v>0</v>
      </c>
      <c r="T294" s="206">
        <f ca="1">IF(B294&gt;=$P$5,0,(CONTADORES!U298-CONTADORES!U297)+(CONTADORES!AG298-CONTADORES!AG297))</f>
        <v>0</v>
      </c>
      <c r="U294" s="206">
        <f ca="1">IF(B294&gt;=$P$5,0,(CONTADORES!AS298-CONTADORES!AS297))</f>
        <v>0</v>
      </c>
      <c r="V294" s="206">
        <f ca="1">IF(B294&gt;=$P$5,0,(CONTADORES!AT298-CONTADORES!AT297))</f>
        <v>0</v>
      </c>
      <c r="W294" s="715">
        <v>0</v>
      </c>
      <c r="X294" s="206">
        <f ca="1">IF(W294=0,(T294-INICIO!$W$6),((T294-INICIO!$W$6)+V294))</f>
        <v>0</v>
      </c>
      <c r="Y294" s="208">
        <f t="shared" ca="1" si="70"/>
        <v>0</v>
      </c>
      <c r="Z294" s="209" t="e">
        <f t="shared" ca="1" si="71"/>
        <v>#DIV/0!</v>
      </c>
      <c r="AA294" s="206" t="e">
        <f t="shared" ca="1" si="72"/>
        <v>#DIV/0!</v>
      </c>
      <c r="AB294" s="206" t="e">
        <f t="shared" ca="1" si="73"/>
        <v>#DIV/0!</v>
      </c>
      <c r="AC294" s="208" t="e">
        <f t="shared" ca="1" si="68"/>
        <v>#DIV/0!</v>
      </c>
    </row>
    <row r="295" spans="2:29">
      <c r="B295" s="214">
        <v>44846</v>
      </c>
      <c r="C295" s="202">
        <f ca="1">DATOSAÑO!I295</f>
        <v>0</v>
      </c>
      <c r="D295" s="196">
        <f ca="1">DATOSAÑO!P295</f>
        <v>0</v>
      </c>
      <c r="E295" s="196">
        <f ca="1">DATOSAÑO!Q295</f>
        <v>0</v>
      </c>
      <c r="F295" s="196">
        <f ca="1">DATOSAÑO!T295</f>
        <v>0</v>
      </c>
      <c r="G295" s="196">
        <f t="shared" ca="1" si="67"/>
        <v>0</v>
      </c>
      <c r="H295" s="196" t="e">
        <f t="shared" ca="1" si="78"/>
        <v>#DIV/0!</v>
      </c>
      <c r="I295" s="196" t="e">
        <f t="shared" ca="1" si="74"/>
        <v>#DIV/0!</v>
      </c>
      <c r="J295" s="196" t="e">
        <f t="shared" ca="1" si="75"/>
        <v>#DIV/0!</v>
      </c>
      <c r="K295" s="196" t="e">
        <f t="shared" ca="1" si="76"/>
        <v>#DIV/0!</v>
      </c>
      <c r="L295" s="196">
        <f t="shared" ca="1" si="66"/>
        <v>0</v>
      </c>
      <c r="M295" s="196" t="e">
        <f t="shared" ca="1" si="77"/>
        <v>#DIV/0!</v>
      </c>
      <c r="N295" s="196">
        <f t="shared" ca="1" si="69"/>
        <v>0</v>
      </c>
      <c r="O295" s="196">
        <f ca="1">(DATOSAÑO!AJ295+DATOSAÑO!AK295+DATOSAÑO!AD295)</f>
        <v>0</v>
      </c>
      <c r="P295" s="196">
        <f ca="1">DATOSAÑO!AI295</f>
        <v>0</v>
      </c>
      <c r="Q295" s="196">
        <f ca="1">DATOSAÑO!AH295</f>
        <v>0</v>
      </c>
      <c r="R295" s="196">
        <f ca="1">DATOSAÑO!AM295+DATOSAÑO!AN295+DATOSAÑO!AF295</f>
        <v>0</v>
      </c>
      <c r="S295" s="209">
        <f ca="1">IF(B295&gt;=$P$5,0,CONTADORES!S299-CONTADORES!S298)</f>
        <v>0</v>
      </c>
      <c r="T295" s="206">
        <f ca="1">IF(B295&gt;=$P$5,0,(CONTADORES!U299-CONTADORES!U298)+(CONTADORES!AG299-CONTADORES!AG298))</f>
        <v>0</v>
      </c>
      <c r="U295" s="206">
        <f ca="1">IF(B295&gt;=$P$5,0,(CONTADORES!AS299-CONTADORES!AS298))</f>
        <v>0</v>
      </c>
      <c r="V295" s="206">
        <f ca="1">IF(B295&gt;=$P$5,0,(CONTADORES!AT299-CONTADORES!AT298))</f>
        <v>0</v>
      </c>
      <c r="W295" s="715">
        <v>0</v>
      </c>
      <c r="X295" s="206">
        <f ca="1">IF(W295=0,(T295-INICIO!$W$6),((T295-INICIO!$W$6)+V295))</f>
        <v>0</v>
      </c>
      <c r="Y295" s="208">
        <f t="shared" ca="1" si="70"/>
        <v>0</v>
      </c>
      <c r="Z295" s="209" t="e">
        <f t="shared" ca="1" si="71"/>
        <v>#DIV/0!</v>
      </c>
      <c r="AA295" s="206" t="e">
        <f t="shared" ca="1" si="72"/>
        <v>#DIV/0!</v>
      </c>
      <c r="AB295" s="206" t="e">
        <f t="shared" ca="1" si="73"/>
        <v>#DIV/0!</v>
      </c>
      <c r="AC295" s="208" t="e">
        <f t="shared" ca="1" si="68"/>
        <v>#DIV/0!</v>
      </c>
    </row>
    <row r="296" spans="2:29">
      <c r="B296" s="214">
        <v>44847</v>
      </c>
      <c r="C296" s="202">
        <f ca="1">DATOSAÑO!I296</f>
        <v>0</v>
      </c>
      <c r="D296" s="196">
        <f ca="1">DATOSAÑO!P296</f>
        <v>0</v>
      </c>
      <c r="E296" s="196">
        <f ca="1">DATOSAÑO!Q296</f>
        <v>0</v>
      </c>
      <c r="F296" s="196">
        <f ca="1">DATOSAÑO!T296</f>
        <v>0</v>
      </c>
      <c r="G296" s="196">
        <f t="shared" ca="1" si="67"/>
        <v>0</v>
      </c>
      <c r="H296" s="196" t="e">
        <f t="shared" ca="1" si="78"/>
        <v>#DIV/0!</v>
      </c>
      <c r="I296" s="196" t="e">
        <f t="shared" ca="1" si="74"/>
        <v>#DIV/0!</v>
      </c>
      <c r="J296" s="196" t="e">
        <f t="shared" ca="1" si="75"/>
        <v>#DIV/0!</v>
      </c>
      <c r="K296" s="196" t="e">
        <f t="shared" ca="1" si="76"/>
        <v>#DIV/0!</v>
      </c>
      <c r="L296" s="196">
        <f t="shared" ca="1" si="66"/>
        <v>0</v>
      </c>
      <c r="M296" s="196" t="e">
        <f t="shared" ca="1" si="77"/>
        <v>#DIV/0!</v>
      </c>
      <c r="N296" s="196">
        <f t="shared" ca="1" si="69"/>
        <v>0</v>
      </c>
      <c r="O296" s="196">
        <f ca="1">(DATOSAÑO!AJ296+DATOSAÑO!AK296+DATOSAÑO!AD296)</f>
        <v>0</v>
      </c>
      <c r="P296" s="196">
        <f ca="1">DATOSAÑO!AI296</f>
        <v>0</v>
      </c>
      <c r="Q296" s="196">
        <f ca="1">DATOSAÑO!AH296</f>
        <v>0</v>
      </c>
      <c r="R296" s="196">
        <f ca="1">DATOSAÑO!AM296+DATOSAÑO!AN296+DATOSAÑO!AF296</f>
        <v>0</v>
      </c>
      <c r="S296" s="209">
        <f ca="1">IF(B296&gt;=$P$5,0,CONTADORES!S300-CONTADORES!S299)</f>
        <v>0</v>
      </c>
      <c r="T296" s="206">
        <f ca="1">IF(B296&gt;=$P$5,0,(CONTADORES!U300-CONTADORES!U299)+(CONTADORES!AG300-CONTADORES!AG299))</f>
        <v>0</v>
      </c>
      <c r="U296" s="206">
        <f ca="1">IF(B296&gt;=$P$5,0,(CONTADORES!AS300-CONTADORES!AS299))</f>
        <v>0</v>
      </c>
      <c r="V296" s="206">
        <f ca="1">IF(B296&gt;=$P$5,0,(CONTADORES!AT300-CONTADORES!AT299))</f>
        <v>0</v>
      </c>
      <c r="W296" s="715">
        <v>0</v>
      </c>
      <c r="X296" s="206">
        <f ca="1">IF(W296=0,(T296-INICIO!$W$6),((T296-INICIO!$W$6)+V296))</f>
        <v>0</v>
      </c>
      <c r="Y296" s="208">
        <f t="shared" ca="1" si="70"/>
        <v>0</v>
      </c>
      <c r="Z296" s="209" t="e">
        <f t="shared" ca="1" si="71"/>
        <v>#DIV/0!</v>
      </c>
      <c r="AA296" s="206" t="e">
        <f t="shared" ca="1" si="72"/>
        <v>#DIV/0!</v>
      </c>
      <c r="AB296" s="206" t="e">
        <f t="shared" ca="1" si="73"/>
        <v>#DIV/0!</v>
      </c>
      <c r="AC296" s="208" t="e">
        <f t="shared" ca="1" si="68"/>
        <v>#DIV/0!</v>
      </c>
    </row>
    <row r="297" spans="2:29">
      <c r="B297" s="214">
        <v>44848</v>
      </c>
      <c r="C297" s="202">
        <f ca="1">DATOSAÑO!I297</f>
        <v>0</v>
      </c>
      <c r="D297" s="196">
        <f ca="1">DATOSAÑO!P297</f>
        <v>0</v>
      </c>
      <c r="E297" s="196">
        <f ca="1">DATOSAÑO!Q297</f>
        <v>0</v>
      </c>
      <c r="F297" s="196">
        <f ca="1">DATOSAÑO!T297</f>
        <v>0</v>
      </c>
      <c r="G297" s="196">
        <f t="shared" ca="1" si="67"/>
        <v>0</v>
      </c>
      <c r="H297" s="196" t="e">
        <f t="shared" ca="1" si="78"/>
        <v>#DIV/0!</v>
      </c>
      <c r="I297" s="196" t="e">
        <f t="shared" ca="1" si="74"/>
        <v>#DIV/0!</v>
      </c>
      <c r="J297" s="196" t="e">
        <f t="shared" ca="1" si="75"/>
        <v>#DIV/0!</v>
      </c>
      <c r="K297" s="196" t="e">
        <f t="shared" ca="1" si="76"/>
        <v>#DIV/0!</v>
      </c>
      <c r="L297" s="196">
        <f t="shared" ca="1" si="66"/>
        <v>0</v>
      </c>
      <c r="M297" s="196" t="e">
        <f t="shared" ca="1" si="77"/>
        <v>#DIV/0!</v>
      </c>
      <c r="N297" s="196">
        <f t="shared" ca="1" si="69"/>
        <v>0</v>
      </c>
      <c r="O297" s="196">
        <f ca="1">(DATOSAÑO!AJ297+DATOSAÑO!AK297+DATOSAÑO!AD297)</f>
        <v>0</v>
      </c>
      <c r="P297" s="196">
        <f ca="1">DATOSAÑO!AI297</f>
        <v>0</v>
      </c>
      <c r="Q297" s="196">
        <f ca="1">DATOSAÑO!AH297</f>
        <v>0</v>
      </c>
      <c r="R297" s="196">
        <f ca="1">DATOSAÑO!AM297+DATOSAÑO!AN297+DATOSAÑO!AF297</f>
        <v>0</v>
      </c>
      <c r="S297" s="209">
        <f ca="1">IF(B297&gt;=$P$5,0,CONTADORES!S301-CONTADORES!S300)</f>
        <v>0</v>
      </c>
      <c r="T297" s="206">
        <f ca="1">IF(B297&gt;=$P$5,0,(CONTADORES!U301-CONTADORES!U300)+(CONTADORES!AG301-CONTADORES!AG300))</f>
        <v>0</v>
      </c>
      <c r="U297" s="206">
        <f ca="1">IF(B297&gt;=$P$5,0,(CONTADORES!AS301-CONTADORES!AS300))</f>
        <v>0</v>
      </c>
      <c r="V297" s="206">
        <f ca="1">IF(B297&gt;=$P$5,0,(CONTADORES!AT301-CONTADORES!AT300))</f>
        <v>0</v>
      </c>
      <c r="W297" s="715">
        <v>0</v>
      </c>
      <c r="X297" s="206">
        <f ca="1">IF(W297=0,(T297-INICIO!$W$6),((T297-INICIO!$W$6)+V297))</f>
        <v>0</v>
      </c>
      <c r="Y297" s="208">
        <f t="shared" ca="1" si="70"/>
        <v>0</v>
      </c>
      <c r="Z297" s="209" t="e">
        <f t="shared" ca="1" si="71"/>
        <v>#DIV/0!</v>
      </c>
      <c r="AA297" s="206" t="e">
        <f t="shared" ca="1" si="72"/>
        <v>#DIV/0!</v>
      </c>
      <c r="AB297" s="206" t="e">
        <f t="shared" ca="1" si="73"/>
        <v>#DIV/0!</v>
      </c>
      <c r="AC297" s="208" t="e">
        <f t="shared" ca="1" si="68"/>
        <v>#DIV/0!</v>
      </c>
    </row>
    <row r="298" spans="2:29">
      <c r="B298" s="214">
        <v>44849</v>
      </c>
      <c r="C298" s="202">
        <f ca="1">DATOSAÑO!I298</f>
        <v>0</v>
      </c>
      <c r="D298" s="196">
        <f ca="1">DATOSAÑO!P298</f>
        <v>0</v>
      </c>
      <c r="E298" s="196">
        <f ca="1">DATOSAÑO!Q298</f>
        <v>0</v>
      </c>
      <c r="F298" s="196">
        <f ca="1">DATOSAÑO!T298</f>
        <v>0</v>
      </c>
      <c r="G298" s="196">
        <f t="shared" ca="1" si="67"/>
        <v>0</v>
      </c>
      <c r="H298" s="196" t="e">
        <f t="shared" ca="1" si="78"/>
        <v>#DIV/0!</v>
      </c>
      <c r="I298" s="196" t="e">
        <f t="shared" ca="1" si="74"/>
        <v>#DIV/0!</v>
      </c>
      <c r="J298" s="196" t="e">
        <f t="shared" ca="1" si="75"/>
        <v>#DIV/0!</v>
      </c>
      <c r="K298" s="196" t="e">
        <f t="shared" ca="1" si="76"/>
        <v>#DIV/0!</v>
      </c>
      <c r="L298" s="196">
        <f t="shared" ca="1" si="66"/>
        <v>0</v>
      </c>
      <c r="M298" s="196" t="e">
        <f t="shared" ca="1" si="77"/>
        <v>#DIV/0!</v>
      </c>
      <c r="N298" s="196">
        <f t="shared" ca="1" si="69"/>
        <v>0</v>
      </c>
      <c r="O298" s="196">
        <f ca="1">(DATOSAÑO!AJ298+DATOSAÑO!AK298+DATOSAÑO!AD298)</f>
        <v>0</v>
      </c>
      <c r="P298" s="196">
        <f ca="1">DATOSAÑO!AI298</f>
        <v>0</v>
      </c>
      <c r="Q298" s="196">
        <f ca="1">DATOSAÑO!AH298</f>
        <v>0</v>
      </c>
      <c r="R298" s="196">
        <f ca="1">DATOSAÑO!AM298+DATOSAÑO!AN298+DATOSAÑO!AF298</f>
        <v>0</v>
      </c>
      <c r="S298" s="209">
        <f ca="1">IF(B298&gt;=$P$5,0,CONTADORES!S302-CONTADORES!S301)</f>
        <v>0</v>
      </c>
      <c r="T298" s="206">
        <f ca="1">IF(B298&gt;=$P$5,0,(CONTADORES!U302-CONTADORES!U301)+(CONTADORES!AG302-CONTADORES!AG301))</f>
        <v>0</v>
      </c>
      <c r="U298" s="206">
        <f ca="1">IF(B298&gt;=$P$5,0,(CONTADORES!AS302-CONTADORES!AS301))</f>
        <v>0</v>
      </c>
      <c r="V298" s="206">
        <f ca="1">IF(B298&gt;=$P$5,0,(CONTADORES!AT302-CONTADORES!AT301))</f>
        <v>0</v>
      </c>
      <c r="W298" s="715">
        <v>0</v>
      </c>
      <c r="X298" s="206">
        <f ca="1">IF(W298=0,(T298-INICIO!$W$6),((T298-INICIO!$W$6)+V298))</f>
        <v>0</v>
      </c>
      <c r="Y298" s="208">
        <f t="shared" ca="1" si="70"/>
        <v>0</v>
      </c>
      <c r="Z298" s="209" t="e">
        <f t="shared" ca="1" si="71"/>
        <v>#DIV/0!</v>
      </c>
      <c r="AA298" s="206" t="e">
        <f t="shared" ca="1" si="72"/>
        <v>#DIV/0!</v>
      </c>
      <c r="AB298" s="206" t="e">
        <f t="shared" ca="1" si="73"/>
        <v>#DIV/0!</v>
      </c>
      <c r="AC298" s="208" t="e">
        <f t="shared" ca="1" si="68"/>
        <v>#DIV/0!</v>
      </c>
    </row>
    <row r="299" spans="2:29">
      <c r="B299" s="214">
        <v>44850</v>
      </c>
      <c r="C299" s="202">
        <f ca="1">DATOSAÑO!I299</f>
        <v>0</v>
      </c>
      <c r="D299" s="196">
        <f ca="1">DATOSAÑO!P299</f>
        <v>0</v>
      </c>
      <c r="E299" s="196">
        <f ca="1">DATOSAÑO!Q299</f>
        <v>0</v>
      </c>
      <c r="F299" s="196">
        <f ca="1">DATOSAÑO!T299</f>
        <v>0</v>
      </c>
      <c r="G299" s="196">
        <f t="shared" ca="1" si="67"/>
        <v>0</v>
      </c>
      <c r="H299" s="196" t="e">
        <f t="shared" ca="1" si="78"/>
        <v>#DIV/0!</v>
      </c>
      <c r="I299" s="196" t="e">
        <f t="shared" ca="1" si="74"/>
        <v>#DIV/0!</v>
      </c>
      <c r="J299" s="196" t="e">
        <f t="shared" ca="1" si="75"/>
        <v>#DIV/0!</v>
      </c>
      <c r="K299" s="196" t="e">
        <f t="shared" ca="1" si="76"/>
        <v>#DIV/0!</v>
      </c>
      <c r="L299" s="196">
        <f t="shared" ca="1" si="66"/>
        <v>0</v>
      </c>
      <c r="M299" s="196" t="e">
        <f t="shared" ca="1" si="77"/>
        <v>#DIV/0!</v>
      </c>
      <c r="N299" s="196">
        <f t="shared" ca="1" si="69"/>
        <v>0</v>
      </c>
      <c r="O299" s="196">
        <f ca="1">(DATOSAÑO!AJ299+DATOSAÑO!AK299+DATOSAÑO!AD299)</f>
        <v>0</v>
      </c>
      <c r="P299" s="196">
        <f ca="1">DATOSAÑO!AI299</f>
        <v>0</v>
      </c>
      <c r="Q299" s="196">
        <f ca="1">DATOSAÑO!AH299</f>
        <v>0</v>
      </c>
      <c r="R299" s="196">
        <f ca="1">DATOSAÑO!AM299+DATOSAÑO!AN299+DATOSAÑO!AF299</f>
        <v>0</v>
      </c>
      <c r="S299" s="209">
        <f ca="1">IF(B299&gt;=$P$5,0,CONTADORES!S303-CONTADORES!S302)</f>
        <v>0</v>
      </c>
      <c r="T299" s="206">
        <f ca="1">IF(B299&gt;=$P$5,0,(CONTADORES!U303-CONTADORES!U302)+(CONTADORES!AG303-CONTADORES!AG302))</f>
        <v>0</v>
      </c>
      <c r="U299" s="206">
        <f ca="1">IF(B299&gt;=$P$5,0,(CONTADORES!AS303-CONTADORES!AS302))</f>
        <v>0</v>
      </c>
      <c r="V299" s="206">
        <f ca="1">IF(B299&gt;=$P$5,0,(CONTADORES!AT303-CONTADORES!AT302))</f>
        <v>0</v>
      </c>
      <c r="W299" s="715">
        <v>0</v>
      </c>
      <c r="X299" s="206">
        <f ca="1">IF(W299=0,(T299-INICIO!$W$6),((T299-INICIO!$W$6)+V299))</f>
        <v>0</v>
      </c>
      <c r="Y299" s="208">
        <f t="shared" ca="1" si="70"/>
        <v>0</v>
      </c>
      <c r="Z299" s="209" t="e">
        <f t="shared" ca="1" si="71"/>
        <v>#DIV/0!</v>
      </c>
      <c r="AA299" s="206" t="e">
        <f t="shared" ca="1" si="72"/>
        <v>#DIV/0!</v>
      </c>
      <c r="AB299" s="206" t="e">
        <f t="shared" ca="1" si="73"/>
        <v>#DIV/0!</v>
      </c>
      <c r="AC299" s="208" t="e">
        <f t="shared" ca="1" si="68"/>
        <v>#DIV/0!</v>
      </c>
    </row>
    <row r="300" spans="2:29">
      <c r="B300" s="214">
        <v>44851</v>
      </c>
      <c r="C300" s="202">
        <f ca="1">DATOSAÑO!I300</f>
        <v>0</v>
      </c>
      <c r="D300" s="196">
        <f ca="1">DATOSAÑO!P300</f>
        <v>0</v>
      </c>
      <c r="E300" s="196">
        <f ca="1">DATOSAÑO!Q300</f>
        <v>0</v>
      </c>
      <c r="F300" s="196">
        <f ca="1">DATOSAÑO!T300</f>
        <v>0</v>
      </c>
      <c r="G300" s="196">
        <f t="shared" ca="1" si="67"/>
        <v>0</v>
      </c>
      <c r="H300" s="196" t="e">
        <f t="shared" ca="1" si="78"/>
        <v>#DIV/0!</v>
      </c>
      <c r="I300" s="196" t="e">
        <f t="shared" ca="1" si="74"/>
        <v>#DIV/0!</v>
      </c>
      <c r="J300" s="196" t="e">
        <f t="shared" ca="1" si="75"/>
        <v>#DIV/0!</v>
      </c>
      <c r="K300" s="196" t="e">
        <f t="shared" ca="1" si="76"/>
        <v>#DIV/0!</v>
      </c>
      <c r="L300" s="196">
        <f t="shared" ca="1" si="66"/>
        <v>0</v>
      </c>
      <c r="M300" s="196" t="e">
        <f t="shared" ca="1" si="77"/>
        <v>#DIV/0!</v>
      </c>
      <c r="N300" s="196">
        <f t="shared" ca="1" si="69"/>
        <v>0</v>
      </c>
      <c r="O300" s="196">
        <f ca="1">(DATOSAÑO!AJ300+DATOSAÑO!AK300+DATOSAÑO!AD300)</f>
        <v>0</v>
      </c>
      <c r="P300" s="196">
        <f ca="1">DATOSAÑO!AI300</f>
        <v>0</v>
      </c>
      <c r="Q300" s="196">
        <f ca="1">DATOSAÑO!AH300</f>
        <v>0</v>
      </c>
      <c r="R300" s="196">
        <f ca="1">DATOSAÑO!AM300+DATOSAÑO!AN300+DATOSAÑO!AF300</f>
        <v>0</v>
      </c>
      <c r="S300" s="209">
        <f ca="1">IF(B300&gt;=$P$5,0,CONTADORES!S304-CONTADORES!S303)</f>
        <v>0</v>
      </c>
      <c r="T300" s="206">
        <f ca="1">IF(B300&gt;=$P$5,0,(CONTADORES!U304-CONTADORES!U303)+(CONTADORES!AG304-CONTADORES!AG303))</f>
        <v>0</v>
      </c>
      <c r="U300" s="206">
        <f ca="1">IF(B300&gt;=$P$5,0,(CONTADORES!AS304-CONTADORES!AS303))</f>
        <v>0</v>
      </c>
      <c r="V300" s="206">
        <f ca="1">IF(B300&gt;=$P$5,0,(CONTADORES!AT304-CONTADORES!AT303))</f>
        <v>0</v>
      </c>
      <c r="W300" s="715">
        <v>0</v>
      </c>
      <c r="X300" s="206">
        <f ca="1">IF(W300=0,(T300-INICIO!$W$6),((T300-INICIO!$W$6)+V300))</f>
        <v>0</v>
      </c>
      <c r="Y300" s="208">
        <f t="shared" ca="1" si="70"/>
        <v>0</v>
      </c>
      <c r="Z300" s="209" t="e">
        <f t="shared" ca="1" si="71"/>
        <v>#DIV/0!</v>
      </c>
      <c r="AA300" s="206" t="e">
        <f t="shared" ca="1" si="72"/>
        <v>#DIV/0!</v>
      </c>
      <c r="AB300" s="206" t="e">
        <f t="shared" ca="1" si="73"/>
        <v>#DIV/0!</v>
      </c>
      <c r="AC300" s="208" t="e">
        <f t="shared" ca="1" si="68"/>
        <v>#DIV/0!</v>
      </c>
    </row>
    <row r="301" spans="2:29">
      <c r="B301" s="214">
        <v>44852</v>
      </c>
      <c r="C301" s="202">
        <f ca="1">DATOSAÑO!I301</f>
        <v>0</v>
      </c>
      <c r="D301" s="196">
        <f ca="1">DATOSAÑO!P301</f>
        <v>0</v>
      </c>
      <c r="E301" s="196">
        <f ca="1">DATOSAÑO!Q301</f>
        <v>0</v>
      </c>
      <c r="F301" s="196">
        <f ca="1">DATOSAÑO!T301</f>
        <v>0</v>
      </c>
      <c r="G301" s="196">
        <f t="shared" ca="1" si="67"/>
        <v>0</v>
      </c>
      <c r="H301" s="196" t="e">
        <f t="shared" ca="1" si="78"/>
        <v>#DIV/0!</v>
      </c>
      <c r="I301" s="196" t="e">
        <f t="shared" ca="1" si="74"/>
        <v>#DIV/0!</v>
      </c>
      <c r="J301" s="196" t="e">
        <f t="shared" ca="1" si="75"/>
        <v>#DIV/0!</v>
      </c>
      <c r="K301" s="196" t="e">
        <f t="shared" ca="1" si="76"/>
        <v>#DIV/0!</v>
      </c>
      <c r="L301" s="196">
        <f t="shared" ca="1" si="66"/>
        <v>0</v>
      </c>
      <c r="M301" s="196" t="e">
        <f t="shared" ca="1" si="77"/>
        <v>#DIV/0!</v>
      </c>
      <c r="N301" s="196">
        <f t="shared" ca="1" si="69"/>
        <v>0</v>
      </c>
      <c r="O301" s="196">
        <f ca="1">(DATOSAÑO!AJ301+DATOSAÑO!AK301+DATOSAÑO!AD301)</f>
        <v>0</v>
      </c>
      <c r="P301" s="196">
        <f ca="1">DATOSAÑO!AI301</f>
        <v>0</v>
      </c>
      <c r="Q301" s="196">
        <f ca="1">DATOSAÑO!AH301</f>
        <v>0</v>
      </c>
      <c r="R301" s="196">
        <f ca="1">DATOSAÑO!AM301+DATOSAÑO!AN301+DATOSAÑO!AF301</f>
        <v>0</v>
      </c>
      <c r="S301" s="209">
        <f ca="1">IF(B301&gt;=$P$5,0,CONTADORES!S305-CONTADORES!S304)</f>
        <v>0</v>
      </c>
      <c r="T301" s="206">
        <f ca="1">IF(B301&gt;=$P$5,0,(CONTADORES!U305-CONTADORES!U304)+(CONTADORES!AG305-CONTADORES!AG304))</f>
        <v>0</v>
      </c>
      <c r="U301" s="206">
        <f ca="1">IF(B301&gt;=$P$5,0,(CONTADORES!AS305-CONTADORES!AS304))</f>
        <v>0</v>
      </c>
      <c r="V301" s="206">
        <f ca="1">IF(B301&gt;=$P$5,0,(CONTADORES!AT305-CONTADORES!AT304))</f>
        <v>0</v>
      </c>
      <c r="W301" s="715">
        <v>0</v>
      </c>
      <c r="X301" s="206">
        <f ca="1">IF(W301=0,(T301-INICIO!$W$6),((T301-INICIO!$W$6)+V301))</f>
        <v>0</v>
      </c>
      <c r="Y301" s="208">
        <f t="shared" ca="1" si="70"/>
        <v>0</v>
      </c>
      <c r="Z301" s="209" t="e">
        <f t="shared" ca="1" si="71"/>
        <v>#DIV/0!</v>
      </c>
      <c r="AA301" s="206" t="e">
        <f t="shared" ca="1" si="72"/>
        <v>#DIV/0!</v>
      </c>
      <c r="AB301" s="206" t="e">
        <f t="shared" ca="1" si="73"/>
        <v>#DIV/0!</v>
      </c>
      <c r="AC301" s="208" t="e">
        <f t="shared" ca="1" si="68"/>
        <v>#DIV/0!</v>
      </c>
    </row>
    <row r="302" spans="2:29">
      <c r="B302" s="214">
        <v>44853</v>
      </c>
      <c r="C302" s="202">
        <f ca="1">DATOSAÑO!I302</f>
        <v>0</v>
      </c>
      <c r="D302" s="196">
        <f ca="1">DATOSAÑO!P302</f>
        <v>0</v>
      </c>
      <c r="E302" s="196">
        <f ca="1">DATOSAÑO!Q302</f>
        <v>0</v>
      </c>
      <c r="F302" s="196">
        <f ca="1">DATOSAÑO!T302</f>
        <v>0</v>
      </c>
      <c r="G302" s="196">
        <f t="shared" ca="1" si="67"/>
        <v>0</v>
      </c>
      <c r="H302" s="196" t="e">
        <f t="shared" ca="1" si="78"/>
        <v>#DIV/0!</v>
      </c>
      <c r="I302" s="196" t="e">
        <f t="shared" ca="1" si="74"/>
        <v>#DIV/0!</v>
      </c>
      <c r="J302" s="196" t="e">
        <f t="shared" ca="1" si="75"/>
        <v>#DIV/0!</v>
      </c>
      <c r="K302" s="196" t="e">
        <f t="shared" ca="1" si="76"/>
        <v>#DIV/0!</v>
      </c>
      <c r="L302" s="196">
        <f t="shared" ca="1" si="66"/>
        <v>0</v>
      </c>
      <c r="M302" s="196" t="e">
        <f t="shared" ca="1" si="77"/>
        <v>#DIV/0!</v>
      </c>
      <c r="N302" s="196">
        <f t="shared" ca="1" si="69"/>
        <v>0</v>
      </c>
      <c r="O302" s="196">
        <f ca="1">(DATOSAÑO!AJ302+DATOSAÑO!AK302+DATOSAÑO!AD302)</f>
        <v>0</v>
      </c>
      <c r="P302" s="196">
        <f ca="1">DATOSAÑO!AI302</f>
        <v>0</v>
      </c>
      <c r="Q302" s="196">
        <f ca="1">DATOSAÑO!AH302</f>
        <v>0</v>
      </c>
      <c r="R302" s="196">
        <f ca="1">DATOSAÑO!AM302+DATOSAÑO!AN302+DATOSAÑO!AF302</f>
        <v>0</v>
      </c>
      <c r="S302" s="209">
        <f ca="1">IF(B302&gt;=$P$5,0,CONTADORES!S306-CONTADORES!S305)</f>
        <v>0</v>
      </c>
      <c r="T302" s="206">
        <f ca="1">IF(B302&gt;=$P$5,0,(CONTADORES!U306-CONTADORES!U305)+(CONTADORES!AG306-CONTADORES!AG305))</f>
        <v>0</v>
      </c>
      <c r="U302" s="206">
        <f ca="1">IF(B302&gt;=$P$5,0,(CONTADORES!AS306-CONTADORES!AS305))</f>
        <v>0</v>
      </c>
      <c r="V302" s="206">
        <f ca="1">IF(B302&gt;=$P$5,0,(CONTADORES!AT306-CONTADORES!AT305))</f>
        <v>0</v>
      </c>
      <c r="W302" s="715">
        <v>0</v>
      </c>
      <c r="X302" s="206">
        <f ca="1">IF(W302=0,(T302-INICIO!$W$6),((T302-INICIO!$W$6)+V302))</f>
        <v>0</v>
      </c>
      <c r="Y302" s="208">
        <f t="shared" ca="1" si="70"/>
        <v>0</v>
      </c>
      <c r="Z302" s="209" t="e">
        <f t="shared" ca="1" si="71"/>
        <v>#DIV/0!</v>
      </c>
      <c r="AA302" s="206" t="e">
        <f t="shared" ca="1" si="72"/>
        <v>#DIV/0!</v>
      </c>
      <c r="AB302" s="206" t="e">
        <f t="shared" ca="1" si="73"/>
        <v>#DIV/0!</v>
      </c>
      <c r="AC302" s="208" t="e">
        <f t="shared" ca="1" si="68"/>
        <v>#DIV/0!</v>
      </c>
    </row>
    <row r="303" spans="2:29">
      <c r="B303" s="214">
        <v>44854</v>
      </c>
      <c r="C303" s="202">
        <f ca="1">DATOSAÑO!I303</f>
        <v>0</v>
      </c>
      <c r="D303" s="196">
        <f ca="1">DATOSAÑO!P303</f>
        <v>0</v>
      </c>
      <c r="E303" s="196">
        <f ca="1">DATOSAÑO!Q303</f>
        <v>0</v>
      </c>
      <c r="F303" s="196">
        <f ca="1">DATOSAÑO!T303</f>
        <v>0</v>
      </c>
      <c r="G303" s="196">
        <f t="shared" ca="1" si="67"/>
        <v>0</v>
      </c>
      <c r="H303" s="196" t="e">
        <f t="shared" ca="1" si="78"/>
        <v>#DIV/0!</v>
      </c>
      <c r="I303" s="196" t="e">
        <f t="shared" ca="1" si="74"/>
        <v>#DIV/0!</v>
      </c>
      <c r="J303" s="196" t="e">
        <f t="shared" ca="1" si="75"/>
        <v>#DIV/0!</v>
      </c>
      <c r="K303" s="196" t="e">
        <f t="shared" ca="1" si="76"/>
        <v>#DIV/0!</v>
      </c>
      <c r="L303" s="196">
        <f t="shared" ca="1" si="66"/>
        <v>0</v>
      </c>
      <c r="M303" s="196" t="e">
        <f t="shared" ca="1" si="77"/>
        <v>#DIV/0!</v>
      </c>
      <c r="N303" s="196">
        <f t="shared" ca="1" si="69"/>
        <v>0</v>
      </c>
      <c r="O303" s="196">
        <f ca="1">(DATOSAÑO!AJ303+DATOSAÑO!AK303+DATOSAÑO!AD303)</f>
        <v>0</v>
      </c>
      <c r="P303" s="196">
        <f ca="1">DATOSAÑO!AI303</f>
        <v>0</v>
      </c>
      <c r="Q303" s="196">
        <f ca="1">DATOSAÑO!AH303</f>
        <v>0</v>
      </c>
      <c r="R303" s="196">
        <f ca="1">DATOSAÑO!AM303+DATOSAÑO!AN303+DATOSAÑO!AF303</f>
        <v>0</v>
      </c>
      <c r="S303" s="209">
        <f ca="1">IF(B303&gt;=$P$5,0,CONTADORES!S307-CONTADORES!S306)</f>
        <v>0</v>
      </c>
      <c r="T303" s="206">
        <f ca="1">IF(B303&gt;=$P$5,0,(CONTADORES!U307-CONTADORES!U306)+(CONTADORES!AG307-CONTADORES!AG306))</f>
        <v>0</v>
      </c>
      <c r="U303" s="206">
        <f ca="1">IF(B303&gt;=$P$5,0,(CONTADORES!AS307-CONTADORES!AS306))</f>
        <v>0</v>
      </c>
      <c r="V303" s="206">
        <f ca="1">IF(B303&gt;=$P$5,0,(CONTADORES!AT307-CONTADORES!AT306))</f>
        <v>0</v>
      </c>
      <c r="W303" s="715">
        <v>0</v>
      </c>
      <c r="X303" s="206">
        <f ca="1">IF(W303=0,(T303-INICIO!$W$6),((T303-INICIO!$W$6)+V303))</f>
        <v>0</v>
      </c>
      <c r="Y303" s="208">
        <f t="shared" ca="1" si="70"/>
        <v>0</v>
      </c>
      <c r="Z303" s="209" t="e">
        <f t="shared" ca="1" si="71"/>
        <v>#DIV/0!</v>
      </c>
      <c r="AA303" s="206" t="e">
        <f t="shared" ca="1" si="72"/>
        <v>#DIV/0!</v>
      </c>
      <c r="AB303" s="206" t="e">
        <f t="shared" ca="1" si="73"/>
        <v>#DIV/0!</v>
      </c>
      <c r="AC303" s="208" t="e">
        <f t="shared" ca="1" si="68"/>
        <v>#DIV/0!</v>
      </c>
    </row>
    <row r="304" spans="2:29">
      <c r="B304" s="214">
        <v>44855</v>
      </c>
      <c r="C304" s="202">
        <f ca="1">DATOSAÑO!I304</f>
        <v>0</v>
      </c>
      <c r="D304" s="196">
        <f ca="1">DATOSAÑO!P304</f>
        <v>0</v>
      </c>
      <c r="E304" s="196">
        <f ca="1">DATOSAÑO!Q304</f>
        <v>0</v>
      </c>
      <c r="F304" s="196">
        <f ca="1">DATOSAÑO!T304</f>
        <v>0</v>
      </c>
      <c r="G304" s="196">
        <f t="shared" ca="1" si="67"/>
        <v>0</v>
      </c>
      <c r="H304" s="196" t="e">
        <f t="shared" ca="1" si="78"/>
        <v>#DIV/0!</v>
      </c>
      <c r="I304" s="196" t="e">
        <f t="shared" ca="1" si="74"/>
        <v>#DIV/0!</v>
      </c>
      <c r="J304" s="196" t="e">
        <f t="shared" ca="1" si="75"/>
        <v>#DIV/0!</v>
      </c>
      <c r="K304" s="196" t="e">
        <f t="shared" ca="1" si="76"/>
        <v>#DIV/0!</v>
      </c>
      <c r="L304" s="196">
        <f t="shared" ca="1" si="66"/>
        <v>0</v>
      </c>
      <c r="M304" s="196" t="e">
        <f t="shared" ca="1" si="77"/>
        <v>#DIV/0!</v>
      </c>
      <c r="N304" s="196">
        <f t="shared" ca="1" si="69"/>
        <v>0</v>
      </c>
      <c r="O304" s="196">
        <f ca="1">(DATOSAÑO!AJ304+DATOSAÑO!AK304+DATOSAÑO!AD304)</f>
        <v>0</v>
      </c>
      <c r="P304" s="196">
        <f ca="1">DATOSAÑO!AI304</f>
        <v>0</v>
      </c>
      <c r="Q304" s="196">
        <f ca="1">DATOSAÑO!AH304</f>
        <v>0</v>
      </c>
      <c r="R304" s="196">
        <f ca="1">DATOSAÑO!AM304+DATOSAÑO!AN304+DATOSAÑO!AF304</f>
        <v>0</v>
      </c>
      <c r="S304" s="209">
        <f ca="1">IF(B304&gt;=$P$5,0,CONTADORES!S308-CONTADORES!S307)</f>
        <v>0</v>
      </c>
      <c r="T304" s="206">
        <f ca="1">IF(B304&gt;=$P$5,0,(CONTADORES!U308-CONTADORES!U307)+(CONTADORES!AG308-CONTADORES!AG307))</f>
        <v>0</v>
      </c>
      <c r="U304" s="206">
        <f ca="1">IF(B304&gt;=$P$5,0,(CONTADORES!AS308-CONTADORES!AS307))</f>
        <v>0</v>
      </c>
      <c r="V304" s="206">
        <f ca="1">IF(B304&gt;=$P$5,0,(CONTADORES!AT308-CONTADORES!AT307))</f>
        <v>0</v>
      </c>
      <c r="W304" s="715">
        <v>0</v>
      </c>
      <c r="X304" s="206">
        <f ca="1">IF(W304=0,(T304-INICIO!$W$6),((T304-INICIO!$W$6)+V304))</f>
        <v>0</v>
      </c>
      <c r="Y304" s="208">
        <f t="shared" ca="1" si="70"/>
        <v>0</v>
      </c>
      <c r="Z304" s="209" t="e">
        <f t="shared" ca="1" si="71"/>
        <v>#DIV/0!</v>
      </c>
      <c r="AA304" s="206" t="e">
        <f t="shared" ca="1" si="72"/>
        <v>#DIV/0!</v>
      </c>
      <c r="AB304" s="206" t="e">
        <f t="shared" ca="1" si="73"/>
        <v>#DIV/0!</v>
      </c>
      <c r="AC304" s="208" t="e">
        <f t="shared" ca="1" si="68"/>
        <v>#DIV/0!</v>
      </c>
    </row>
    <row r="305" spans="2:29">
      <c r="B305" s="214">
        <v>44856</v>
      </c>
      <c r="C305" s="202">
        <f ca="1">DATOSAÑO!I305</f>
        <v>0</v>
      </c>
      <c r="D305" s="196">
        <f ca="1">DATOSAÑO!P305</f>
        <v>0</v>
      </c>
      <c r="E305" s="196">
        <f ca="1">DATOSAÑO!Q305</f>
        <v>0</v>
      </c>
      <c r="F305" s="196">
        <f ca="1">DATOSAÑO!T305</f>
        <v>0</v>
      </c>
      <c r="G305" s="196">
        <f t="shared" ca="1" si="67"/>
        <v>0</v>
      </c>
      <c r="H305" s="196" t="e">
        <f t="shared" ca="1" si="78"/>
        <v>#DIV/0!</v>
      </c>
      <c r="I305" s="196" t="e">
        <f t="shared" ca="1" si="74"/>
        <v>#DIV/0!</v>
      </c>
      <c r="J305" s="196" t="e">
        <f t="shared" ca="1" si="75"/>
        <v>#DIV/0!</v>
      </c>
      <c r="K305" s="196" t="e">
        <f t="shared" ca="1" si="76"/>
        <v>#DIV/0!</v>
      </c>
      <c r="L305" s="196">
        <f t="shared" ca="1" si="66"/>
        <v>0</v>
      </c>
      <c r="M305" s="196" t="e">
        <f t="shared" ca="1" si="77"/>
        <v>#DIV/0!</v>
      </c>
      <c r="N305" s="196">
        <f t="shared" ca="1" si="69"/>
        <v>0</v>
      </c>
      <c r="O305" s="196">
        <f ca="1">(DATOSAÑO!AJ305+DATOSAÑO!AK305+DATOSAÑO!AD305)</f>
        <v>0</v>
      </c>
      <c r="P305" s="196">
        <f ca="1">DATOSAÑO!AI305</f>
        <v>0</v>
      </c>
      <c r="Q305" s="196">
        <f ca="1">DATOSAÑO!AH305</f>
        <v>0</v>
      </c>
      <c r="R305" s="196">
        <f ca="1">DATOSAÑO!AM305+DATOSAÑO!AN305+DATOSAÑO!AF305</f>
        <v>0</v>
      </c>
      <c r="S305" s="209">
        <f ca="1">IF(B305&gt;=$P$5,0,CONTADORES!S309-CONTADORES!S308)</f>
        <v>0</v>
      </c>
      <c r="T305" s="206">
        <f ca="1">IF(B305&gt;=$P$5,0,(CONTADORES!U309-CONTADORES!U308)+(CONTADORES!AG309-CONTADORES!AG308))</f>
        <v>0</v>
      </c>
      <c r="U305" s="206">
        <f ca="1">IF(B305&gt;=$P$5,0,(CONTADORES!AS309-CONTADORES!AS308))</f>
        <v>0</v>
      </c>
      <c r="V305" s="206">
        <f ca="1">IF(B305&gt;=$P$5,0,(CONTADORES!AT309-CONTADORES!AT308))</f>
        <v>0</v>
      </c>
      <c r="W305" s="715">
        <v>0</v>
      </c>
      <c r="X305" s="206">
        <f ca="1">IF(W305=0,(T305-INICIO!$W$6),((T305-INICIO!$W$6)+V305))</f>
        <v>0</v>
      </c>
      <c r="Y305" s="208">
        <f t="shared" ca="1" si="70"/>
        <v>0</v>
      </c>
      <c r="Z305" s="209" t="e">
        <f t="shared" ca="1" si="71"/>
        <v>#DIV/0!</v>
      </c>
      <c r="AA305" s="206" t="e">
        <f t="shared" ca="1" si="72"/>
        <v>#DIV/0!</v>
      </c>
      <c r="AB305" s="206" t="e">
        <f t="shared" ca="1" si="73"/>
        <v>#DIV/0!</v>
      </c>
      <c r="AC305" s="208" t="e">
        <f t="shared" ca="1" si="68"/>
        <v>#DIV/0!</v>
      </c>
    </row>
    <row r="306" spans="2:29">
      <c r="B306" s="214">
        <v>44857</v>
      </c>
      <c r="C306" s="202">
        <f ca="1">DATOSAÑO!I306</f>
        <v>0</v>
      </c>
      <c r="D306" s="196">
        <f ca="1">DATOSAÑO!P306</f>
        <v>0</v>
      </c>
      <c r="E306" s="196">
        <f ca="1">DATOSAÑO!Q306</f>
        <v>0</v>
      </c>
      <c r="F306" s="196">
        <f ca="1">DATOSAÑO!T306</f>
        <v>0</v>
      </c>
      <c r="G306" s="196">
        <f t="shared" ca="1" si="67"/>
        <v>0</v>
      </c>
      <c r="H306" s="196" t="e">
        <f t="shared" ca="1" si="78"/>
        <v>#DIV/0!</v>
      </c>
      <c r="I306" s="196" t="e">
        <f t="shared" ca="1" si="74"/>
        <v>#DIV/0!</v>
      </c>
      <c r="J306" s="196" t="e">
        <f t="shared" ca="1" si="75"/>
        <v>#DIV/0!</v>
      </c>
      <c r="K306" s="196" t="e">
        <f t="shared" ca="1" si="76"/>
        <v>#DIV/0!</v>
      </c>
      <c r="L306" s="196">
        <f t="shared" ca="1" si="66"/>
        <v>0</v>
      </c>
      <c r="M306" s="196" t="e">
        <f t="shared" ca="1" si="77"/>
        <v>#DIV/0!</v>
      </c>
      <c r="N306" s="196">
        <f t="shared" ca="1" si="69"/>
        <v>0</v>
      </c>
      <c r="O306" s="196">
        <f ca="1">(DATOSAÑO!AJ306+DATOSAÑO!AK306+DATOSAÑO!AD306)</f>
        <v>0</v>
      </c>
      <c r="P306" s="196">
        <f ca="1">DATOSAÑO!AI306</f>
        <v>0</v>
      </c>
      <c r="Q306" s="196">
        <f ca="1">DATOSAÑO!AH306</f>
        <v>0</v>
      </c>
      <c r="R306" s="196">
        <f ca="1">DATOSAÑO!AM306+DATOSAÑO!AN306+DATOSAÑO!AF306</f>
        <v>0</v>
      </c>
      <c r="S306" s="209">
        <f ca="1">IF(B306&gt;=$P$5,0,CONTADORES!S310-CONTADORES!S309)</f>
        <v>0</v>
      </c>
      <c r="T306" s="206">
        <f ca="1">IF(B306&gt;=$P$5,0,(CONTADORES!U310-CONTADORES!U309)+(CONTADORES!AG310-CONTADORES!AG309))</f>
        <v>0</v>
      </c>
      <c r="U306" s="206">
        <f ca="1">IF(B306&gt;=$P$5,0,(CONTADORES!AS310-CONTADORES!AS309))</f>
        <v>0</v>
      </c>
      <c r="V306" s="206">
        <f ca="1">IF(B306&gt;=$P$5,0,(CONTADORES!AT310-CONTADORES!AT309))</f>
        <v>0</v>
      </c>
      <c r="W306" s="715">
        <v>0</v>
      </c>
      <c r="X306" s="206">
        <f ca="1">IF(W306=0,(T306-INICIO!$W$6),((T306-INICIO!$W$6)+V306))</f>
        <v>0</v>
      </c>
      <c r="Y306" s="208">
        <f t="shared" ca="1" si="70"/>
        <v>0</v>
      </c>
      <c r="Z306" s="209" t="e">
        <f t="shared" ca="1" si="71"/>
        <v>#DIV/0!</v>
      </c>
      <c r="AA306" s="206" t="e">
        <f t="shared" ca="1" si="72"/>
        <v>#DIV/0!</v>
      </c>
      <c r="AB306" s="206" t="e">
        <f t="shared" ca="1" si="73"/>
        <v>#DIV/0!</v>
      </c>
      <c r="AC306" s="208" t="e">
        <f t="shared" ca="1" si="68"/>
        <v>#DIV/0!</v>
      </c>
    </row>
    <row r="307" spans="2:29">
      <c r="B307" s="214">
        <v>44858</v>
      </c>
      <c r="C307" s="202">
        <f ca="1">DATOSAÑO!I307</f>
        <v>0</v>
      </c>
      <c r="D307" s="196">
        <f ca="1">DATOSAÑO!P307</f>
        <v>0</v>
      </c>
      <c r="E307" s="196">
        <f ca="1">DATOSAÑO!Q307</f>
        <v>0</v>
      </c>
      <c r="F307" s="196">
        <f ca="1">DATOSAÑO!T307</f>
        <v>0</v>
      </c>
      <c r="G307" s="196">
        <f t="shared" ca="1" si="67"/>
        <v>0</v>
      </c>
      <c r="H307" s="196" t="e">
        <f t="shared" ca="1" si="78"/>
        <v>#DIV/0!</v>
      </c>
      <c r="I307" s="196" t="e">
        <f t="shared" ca="1" si="74"/>
        <v>#DIV/0!</v>
      </c>
      <c r="J307" s="196" t="e">
        <f t="shared" ca="1" si="75"/>
        <v>#DIV/0!</v>
      </c>
      <c r="K307" s="196" t="e">
        <f t="shared" ca="1" si="76"/>
        <v>#DIV/0!</v>
      </c>
      <c r="L307" s="196">
        <f t="shared" ca="1" si="66"/>
        <v>0</v>
      </c>
      <c r="M307" s="196" t="e">
        <f t="shared" ca="1" si="77"/>
        <v>#DIV/0!</v>
      </c>
      <c r="N307" s="196">
        <f t="shared" ca="1" si="69"/>
        <v>0</v>
      </c>
      <c r="O307" s="196">
        <f ca="1">(DATOSAÑO!AJ307+DATOSAÑO!AK307+DATOSAÑO!AD307)</f>
        <v>0</v>
      </c>
      <c r="P307" s="196">
        <f ca="1">DATOSAÑO!AI307</f>
        <v>0</v>
      </c>
      <c r="Q307" s="196">
        <f ca="1">DATOSAÑO!AH307</f>
        <v>0</v>
      </c>
      <c r="R307" s="196">
        <f ca="1">DATOSAÑO!AM307+DATOSAÑO!AN307+DATOSAÑO!AF307</f>
        <v>0</v>
      </c>
      <c r="S307" s="209">
        <f ca="1">IF(B307&gt;=$P$5,0,CONTADORES!S311-CONTADORES!S310)</f>
        <v>0</v>
      </c>
      <c r="T307" s="206">
        <f ca="1">IF(B307&gt;=$P$5,0,(CONTADORES!U311-CONTADORES!U310)+(CONTADORES!AG311-CONTADORES!AG310))</f>
        <v>0</v>
      </c>
      <c r="U307" s="206">
        <f ca="1">IF(B307&gt;=$P$5,0,(CONTADORES!AS311-CONTADORES!AS310))</f>
        <v>0</v>
      </c>
      <c r="V307" s="206">
        <f ca="1">IF(B307&gt;=$P$5,0,(CONTADORES!AT311-CONTADORES!AT310))</f>
        <v>0</v>
      </c>
      <c r="W307" s="715">
        <v>0</v>
      </c>
      <c r="X307" s="206">
        <f ca="1">IF(W307=0,(T307-INICIO!$W$6),((T307-INICIO!$W$6)+V307))</f>
        <v>0</v>
      </c>
      <c r="Y307" s="208">
        <f t="shared" ca="1" si="70"/>
        <v>0</v>
      </c>
      <c r="Z307" s="209" t="e">
        <f t="shared" ca="1" si="71"/>
        <v>#DIV/0!</v>
      </c>
      <c r="AA307" s="206" t="e">
        <f t="shared" ca="1" si="72"/>
        <v>#DIV/0!</v>
      </c>
      <c r="AB307" s="206" t="e">
        <f t="shared" ca="1" si="73"/>
        <v>#DIV/0!</v>
      </c>
      <c r="AC307" s="208" t="e">
        <f t="shared" ca="1" si="68"/>
        <v>#DIV/0!</v>
      </c>
    </row>
    <row r="308" spans="2:29">
      <c r="B308" s="214">
        <v>44859</v>
      </c>
      <c r="C308" s="202">
        <f ca="1">DATOSAÑO!I308</f>
        <v>0</v>
      </c>
      <c r="D308" s="196">
        <f ca="1">DATOSAÑO!P308</f>
        <v>0</v>
      </c>
      <c r="E308" s="196">
        <f ca="1">DATOSAÑO!Q308</f>
        <v>0</v>
      </c>
      <c r="F308" s="196">
        <f ca="1">DATOSAÑO!T308</f>
        <v>0</v>
      </c>
      <c r="G308" s="196">
        <f t="shared" ca="1" si="67"/>
        <v>0</v>
      </c>
      <c r="H308" s="196" t="e">
        <f t="shared" ca="1" si="78"/>
        <v>#DIV/0!</v>
      </c>
      <c r="I308" s="196" t="e">
        <f t="shared" ca="1" si="74"/>
        <v>#DIV/0!</v>
      </c>
      <c r="J308" s="196" t="e">
        <f t="shared" ca="1" si="75"/>
        <v>#DIV/0!</v>
      </c>
      <c r="K308" s="196" t="e">
        <f t="shared" ca="1" si="76"/>
        <v>#DIV/0!</v>
      </c>
      <c r="L308" s="196">
        <f t="shared" ca="1" si="66"/>
        <v>0</v>
      </c>
      <c r="M308" s="196" t="e">
        <f t="shared" ca="1" si="77"/>
        <v>#DIV/0!</v>
      </c>
      <c r="N308" s="196">
        <f t="shared" ca="1" si="69"/>
        <v>0</v>
      </c>
      <c r="O308" s="196">
        <f ca="1">(DATOSAÑO!AJ308+DATOSAÑO!AK308+DATOSAÑO!AD308)</f>
        <v>0</v>
      </c>
      <c r="P308" s="196">
        <f ca="1">DATOSAÑO!AI308</f>
        <v>0</v>
      </c>
      <c r="Q308" s="196">
        <f ca="1">DATOSAÑO!AH308</f>
        <v>0</v>
      </c>
      <c r="R308" s="196">
        <f ca="1">DATOSAÑO!AM308+DATOSAÑO!AN308+DATOSAÑO!AF308</f>
        <v>0</v>
      </c>
      <c r="S308" s="209">
        <f ca="1">IF(B308&gt;=$P$5,0,CONTADORES!S312-CONTADORES!S311)</f>
        <v>0</v>
      </c>
      <c r="T308" s="206">
        <f ca="1">IF(B308&gt;=$P$5,0,(CONTADORES!U312-CONTADORES!U311)+(CONTADORES!AG312-CONTADORES!AG311))</f>
        <v>0</v>
      </c>
      <c r="U308" s="206">
        <f ca="1">IF(B308&gt;=$P$5,0,(CONTADORES!AS312-CONTADORES!AS311))</f>
        <v>0</v>
      </c>
      <c r="V308" s="206">
        <f ca="1">IF(B308&gt;=$P$5,0,(CONTADORES!AT312-CONTADORES!AT311))</f>
        <v>0</v>
      </c>
      <c r="W308" s="715">
        <v>0</v>
      </c>
      <c r="X308" s="206">
        <f ca="1">IF(W308=0,(T308-INICIO!$W$6),((T308-INICIO!$W$6)+V308))</f>
        <v>0</v>
      </c>
      <c r="Y308" s="208">
        <f t="shared" ca="1" si="70"/>
        <v>0</v>
      </c>
      <c r="Z308" s="209" t="e">
        <f t="shared" ca="1" si="71"/>
        <v>#DIV/0!</v>
      </c>
      <c r="AA308" s="206" t="e">
        <f t="shared" ca="1" si="72"/>
        <v>#DIV/0!</v>
      </c>
      <c r="AB308" s="206" t="e">
        <f t="shared" ca="1" si="73"/>
        <v>#DIV/0!</v>
      </c>
      <c r="AC308" s="208" t="e">
        <f t="shared" ca="1" si="68"/>
        <v>#DIV/0!</v>
      </c>
    </row>
    <row r="309" spans="2:29">
      <c r="B309" s="214">
        <v>44860</v>
      </c>
      <c r="C309" s="202">
        <f ca="1">DATOSAÑO!I309</f>
        <v>0</v>
      </c>
      <c r="D309" s="196">
        <f ca="1">DATOSAÑO!P309</f>
        <v>0</v>
      </c>
      <c r="E309" s="196">
        <f ca="1">DATOSAÑO!Q309</f>
        <v>0</v>
      </c>
      <c r="F309" s="196">
        <f ca="1">DATOSAÑO!T309</f>
        <v>0</v>
      </c>
      <c r="G309" s="196">
        <f t="shared" ca="1" si="67"/>
        <v>0</v>
      </c>
      <c r="H309" s="196" t="e">
        <f t="shared" ca="1" si="78"/>
        <v>#DIV/0!</v>
      </c>
      <c r="I309" s="196" t="e">
        <f t="shared" ca="1" si="74"/>
        <v>#DIV/0!</v>
      </c>
      <c r="J309" s="196" t="e">
        <f t="shared" ca="1" si="75"/>
        <v>#DIV/0!</v>
      </c>
      <c r="K309" s="196" t="e">
        <f t="shared" ca="1" si="76"/>
        <v>#DIV/0!</v>
      </c>
      <c r="L309" s="196">
        <f t="shared" ca="1" si="66"/>
        <v>0</v>
      </c>
      <c r="M309" s="196" t="e">
        <f t="shared" ca="1" si="77"/>
        <v>#DIV/0!</v>
      </c>
      <c r="N309" s="196">
        <f t="shared" ca="1" si="69"/>
        <v>0</v>
      </c>
      <c r="O309" s="196">
        <f ca="1">(DATOSAÑO!AJ309+DATOSAÑO!AK309+DATOSAÑO!AD309)</f>
        <v>0</v>
      </c>
      <c r="P309" s="196">
        <f ca="1">DATOSAÑO!AI309</f>
        <v>0</v>
      </c>
      <c r="Q309" s="196">
        <f ca="1">DATOSAÑO!AH309</f>
        <v>0</v>
      </c>
      <c r="R309" s="196">
        <f ca="1">DATOSAÑO!AM309+DATOSAÑO!AN309+DATOSAÑO!AF309</f>
        <v>0</v>
      </c>
      <c r="S309" s="209">
        <f ca="1">IF(B309&gt;=$P$5,0,CONTADORES!S313-CONTADORES!S312)</f>
        <v>0</v>
      </c>
      <c r="T309" s="206">
        <f ca="1">IF(B309&gt;=$P$5,0,(CONTADORES!U313-CONTADORES!U312)+(CONTADORES!AG313-CONTADORES!AG312))</f>
        <v>0</v>
      </c>
      <c r="U309" s="206">
        <f ca="1">IF(B309&gt;=$P$5,0,(CONTADORES!AS313-CONTADORES!AS312))</f>
        <v>0</v>
      </c>
      <c r="V309" s="206">
        <f ca="1">IF(B309&gt;=$P$5,0,(CONTADORES!AT313-CONTADORES!AT312))</f>
        <v>0</v>
      </c>
      <c r="W309" s="715">
        <v>0</v>
      </c>
      <c r="X309" s="206">
        <f ca="1">IF(W309=0,(T309-INICIO!$W$6),((T309-INICIO!$W$6)+V309))</f>
        <v>0</v>
      </c>
      <c r="Y309" s="208">
        <f t="shared" ca="1" si="70"/>
        <v>0</v>
      </c>
      <c r="Z309" s="209" t="e">
        <f t="shared" ca="1" si="71"/>
        <v>#DIV/0!</v>
      </c>
      <c r="AA309" s="206" t="e">
        <f t="shared" ca="1" si="72"/>
        <v>#DIV/0!</v>
      </c>
      <c r="AB309" s="206" t="e">
        <f t="shared" ca="1" si="73"/>
        <v>#DIV/0!</v>
      </c>
      <c r="AC309" s="208" t="e">
        <f t="shared" ca="1" si="68"/>
        <v>#DIV/0!</v>
      </c>
    </row>
    <row r="310" spans="2:29">
      <c r="B310" s="214">
        <v>44861</v>
      </c>
      <c r="C310" s="202">
        <f ca="1">DATOSAÑO!I310</f>
        <v>0</v>
      </c>
      <c r="D310" s="196">
        <f ca="1">DATOSAÑO!P310</f>
        <v>0</v>
      </c>
      <c r="E310" s="196">
        <f ca="1">DATOSAÑO!Q310</f>
        <v>0</v>
      </c>
      <c r="F310" s="196">
        <f ca="1">DATOSAÑO!T310</f>
        <v>0</v>
      </c>
      <c r="G310" s="196">
        <f t="shared" ca="1" si="67"/>
        <v>0</v>
      </c>
      <c r="H310" s="196" t="e">
        <f t="shared" ca="1" si="78"/>
        <v>#DIV/0!</v>
      </c>
      <c r="I310" s="196" t="e">
        <f t="shared" ca="1" si="74"/>
        <v>#DIV/0!</v>
      </c>
      <c r="J310" s="196" t="e">
        <f t="shared" ca="1" si="75"/>
        <v>#DIV/0!</v>
      </c>
      <c r="K310" s="196" t="e">
        <f t="shared" ca="1" si="76"/>
        <v>#DIV/0!</v>
      </c>
      <c r="L310" s="196">
        <f t="shared" ca="1" si="66"/>
        <v>0</v>
      </c>
      <c r="M310" s="196" t="e">
        <f t="shared" ca="1" si="77"/>
        <v>#DIV/0!</v>
      </c>
      <c r="N310" s="196">
        <f t="shared" ca="1" si="69"/>
        <v>0</v>
      </c>
      <c r="O310" s="196">
        <f ca="1">(DATOSAÑO!AJ310+DATOSAÑO!AK310+DATOSAÑO!AD310)</f>
        <v>0</v>
      </c>
      <c r="P310" s="196">
        <f ca="1">DATOSAÑO!AI310</f>
        <v>0</v>
      </c>
      <c r="Q310" s="196">
        <f ca="1">DATOSAÑO!AH310</f>
        <v>0</v>
      </c>
      <c r="R310" s="196">
        <f ca="1">DATOSAÑO!AM310+DATOSAÑO!AN310+DATOSAÑO!AF310</f>
        <v>0</v>
      </c>
      <c r="S310" s="209">
        <f ca="1">IF(B310&gt;=$P$5,0,CONTADORES!S314-CONTADORES!S313)</f>
        <v>0</v>
      </c>
      <c r="T310" s="206">
        <f ca="1">IF(B310&gt;=$P$5,0,(CONTADORES!U314-CONTADORES!U313)+(CONTADORES!AG314-CONTADORES!AG313))</f>
        <v>0</v>
      </c>
      <c r="U310" s="206">
        <f ca="1">IF(B310&gt;=$P$5,0,(CONTADORES!AS314-CONTADORES!AS313))</f>
        <v>0</v>
      </c>
      <c r="V310" s="206">
        <f ca="1">IF(B310&gt;=$P$5,0,(CONTADORES!AT314-CONTADORES!AT313))</f>
        <v>0</v>
      </c>
      <c r="W310" s="715">
        <v>0</v>
      </c>
      <c r="X310" s="206">
        <f ca="1">IF(W310=0,(T310-INICIO!$W$6),((T310-INICIO!$W$6)+V310))</f>
        <v>0</v>
      </c>
      <c r="Y310" s="208">
        <f t="shared" ca="1" si="70"/>
        <v>0</v>
      </c>
      <c r="Z310" s="209" t="e">
        <f t="shared" ca="1" si="71"/>
        <v>#DIV/0!</v>
      </c>
      <c r="AA310" s="206" t="e">
        <f t="shared" ca="1" si="72"/>
        <v>#DIV/0!</v>
      </c>
      <c r="AB310" s="206" t="e">
        <f t="shared" ca="1" si="73"/>
        <v>#DIV/0!</v>
      </c>
      <c r="AC310" s="208" t="e">
        <f t="shared" ca="1" si="68"/>
        <v>#DIV/0!</v>
      </c>
    </row>
    <row r="311" spans="2:29">
      <c r="B311" s="214">
        <v>44862</v>
      </c>
      <c r="C311" s="202">
        <f ca="1">DATOSAÑO!I311</f>
        <v>0</v>
      </c>
      <c r="D311" s="196">
        <f ca="1">DATOSAÑO!P311</f>
        <v>0</v>
      </c>
      <c r="E311" s="196">
        <f ca="1">DATOSAÑO!Q311</f>
        <v>0</v>
      </c>
      <c r="F311" s="196">
        <f ca="1">DATOSAÑO!T311</f>
        <v>0</v>
      </c>
      <c r="G311" s="196">
        <f t="shared" ca="1" si="67"/>
        <v>0</v>
      </c>
      <c r="H311" s="196" t="e">
        <f t="shared" ca="1" si="78"/>
        <v>#DIV/0!</v>
      </c>
      <c r="I311" s="196" t="e">
        <f t="shared" ref="I311:I342" ca="1" si="79">O311+Z311</f>
        <v>#DIV/0!</v>
      </c>
      <c r="J311" s="196" t="e">
        <f t="shared" ref="J311:J342" ca="1" si="80">P311+AA311</f>
        <v>#DIV/0!</v>
      </c>
      <c r="K311" s="196" t="e">
        <f t="shared" ref="K311:K342" ca="1" si="81">Q311+AB311</f>
        <v>#DIV/0!</v>
      </c>
      <c r="L311" s="196">
        <f t="shared" ca="1" si="66"/>
        <v>0</v>
      </c>
      <c r="M311" s="196" t="e">
        <f t="shared" ref="M311:M342" ca="1" si="82">N311+AC311</f>
        <v>#DIV/0!</v>
      </c>
      <c r="N311" s="196">
        <f t="shared" ca="1" si="69"/>
        <v>0</v>
      </c>
      <c r="O311" s="196">
        <f ca="1">(DATOSAÑO!AJ311+DATOSAÑO!AK311+DATOSAÑO!AD311)</f>
        <v>0</v>
      </c>
      <c r="P311" s="196">
        <f ca="1">DATOSAÑO!AI311</f>
        <v>0</v>
      </c>
      <c r="Q311" s="196">
        <f ca="1">DATOSAÑO!AH311</f>
        <v>0</v>
      </c>
      <c r="R311" s="196">
        <f ca="1">DATOSAÑO!AM311+DATOSAÑO!AN311+DATOSAÑO!AF311</f>
        <v>0</v>
      </c>
      <c r="S311" s="209">
        <f ca="1">IF(B311&gt;=$P$5,0,CONTADORES!S315-CONTADORES!S314)</f>
        <v>0</v>
      </c>
      <c r="T311" s="206">
        <f ca="1">IF(B311&gt;=$P$5,0,(CONTADORES!U315-CONTADORES!U314)+(CONTADORES!AG315-CONTADORES!AG314))</f>
        <v>0</v>
      </c>
      <c r="U311" s="206">
        <f ca="1">IF(B311&gt;=$P$5,0,(CONTADORES!AS315-CONTADORES!AS314))</f>
        <v>0</v>
      </c>
      <c r="V311" s="206">
        <f ca="1">IF(B311&gt;=$P$5,0,(CONTADORES!AT315-CONTADORES!AT314))</f>
        <v>0</v>
      </c>
      <c r="W311" s="715">
        <v>0</v>
      </c>
      <c r="X311" s="206">
        <f ca="1">IF(W311=0,(T311-INICIO!$W$6),((T311-INICIO!$W$6)+V311))</f>
        <v>0</v>
      </c>
      <c r="Y311" s="208">
        <f t="shared" ca="1" si="70"/>
        <v>0</v>
      </c>
      <c r="Z311" s="209" t="e">
        <f t="shared" ca="1" si="71"/>
        <v>#DIV/0!</v>
      </c>
      <c r="AA311" s="206" t="e">
        <f t="shared" ca="1" si="72"/>
        <v>#DIV/0!</v>
      </c>
      <c r="AB311" s="206" t="e">
        <f t="shared" ca="1" si="73"/>
        <v>#DIV/0!</v>
      </c>
      <c r="AC311" s="208" t="e">
        <f t="shared" ca="1" si="68"/>
        <v>#DIV/0!</v>
      </c>
    </row>
    <row r="312" spans="2:29">
      <c r="B312" s="214">
        <v>44863</v>
      </c>
      <c r="C312" s="202">
        <f ca="1">DATOSAÑO!I312</f>
        <v>0</v>
      </c>
      <c r="D312" s="196">
        <f ca="1">DATOSAÑO!P312</f>
        <v>0</v>
      </c>
      <c r="E312" s="196">
        <f ca="1">DATOSAÑO!Q312</f>
        <v>0</v>
      </c>
      <c r="F312" s="196">
        <f ca="1">DATOSAÑO!T312</f>
        <v>0</v>
      </c>
      <c r="G312" s="196">
        <f t="shared" ca="1" si="67"/>
        <v>0</v>
      </c>
      <c r="H312" s="196" t="e">
        <f t="shared" ca="1" si="78"/>
        <v>#DIV/0!</v>
      </c>
      <c r="I312" s="196" t="e">
        <f t="shared" ca="1" si="79"/>
        <v>#DIV/0!</v>
      </c>
      <c r="J312" s="196" t="e">
        <f t="shared" ca="1" si="80"/>
        <v>#DIV/0!</v>
      </c>
      <c r="K312" s="196" t="e">
        <f t="shared" ca="1" si="81"/>
        <v>#DIV/0!</v>
      </c>
      <c r="L312" s="196">
        <f t="shared" ca="1" si="66"/>
        <v>0</v>
      </c>
      <c r="M312" s="196" t="e">
        <f t="shared" ca="1" si="82"/>
        <v>#DIV/0!</v>
      </c>
      <c r="N312" s="196">
        <f t="shared" ca="1" si="69"/>
        <v>0</v>
      </c>
      <c r="O312" s="196">
        <f ca="1">(DATOSAÑO!AJ312+DATOSAÑO!AK312+DATOSAÑO!AD312)</f>
        <v>0</v>
      </c>
      <c r="P312" s="196">
        <f ca="1">DATOSAÑO!AI312</f>
        <v>0</v>
      </c>
      <c r="Q312" s="196">
        <f ca="1">DATOSAÑO!AH312</f>
        <v>0</v>
      </c>
      <c r="R312" s="196">
        <f ca="1">DATOSAÑO!AM312+DATOSAÑO!AN312+DATOSAÑO!AF312</f>
        <v>0</v>
      </c>
      <c r="S312" s="209">
        <f ca="1">IF(B312&gt;=$P$5,0,CONTADORES!S316-CONTADORES!S315)</f>
        <v>0</v>
      </c>
      <c r="T312" s="206">
        <f ca="1">IF(B312&gt;=$P$5,0,(CONTADORES!U316-CONTADORES!U315)+(CONTADORES!AG316-CONTADORES!AG315))</f>
        <v>0</v>
      </c>
      <c r="U312" s="206">
        <f ca="1">IF(B312&gt;=$P$5,0,(CONTADORES!AS316-CONTADORES!AS315))</f>
        <v>0</v>
      </c>
      <c r="V312" s="206">
        <f ca="1">IF(B312&gt;=$P$5,0,(CONTADORES!AT316-CONTADORES!AT315))</f>
        <v>0</v>
      </c>
      <c r="W312" s="715">
        <v>0</v>
      </c>
      <c r="X312" s="206">
        <f ca="1">IF(W312=0,(T312-INICIO!$W$6),((T312-INICIO!$W$6)+V312))</f>
        <v>0</v>
      </c>
      <c r="Y312" s="208">
        <f t="shared" ca="1" si="70"/>
        <v>0</v>
      </c>
      <c r="Z312" s="209" t="e">
        <f t="shared" ca="1" si="71"/>
        <v>#DIV/0!</v>
      </c>
      <c r="AA312" s="206" t="e">
        <f t="shared" ca="1" si="72"/>
        <v>#DIV/0!</v>
      </c>
      <c r="AB312" s="206" t="e">
        <f t="shared" ca="1" si="73"/>
        <v>#DIV/0!</v>
      </c>
      <c r="AC312" s="208" t="e">
        <f t="shared" ca="1" si="68"/>
        <v>#DIV/0!</v>
      </c>
    </row>
    <row r="313" spans="2:29">
      <c r="B313" s="214">
        <v>44864</v>
      </c>
      <c r="C313" s="202">
        <f ca="1">DATOSAÑO!I313</f>
        <v>0</v>
      </c>
      <c r="D313" s="196">
        <f ca="1">DATOSAÑO!P313</f>
        <v>0</v>
      </c>
      <c r="E313" s="196">
        <f ca="1">DATOSAÑO!Q313</f>
        <v>0</v>
      </c>
      <c r="F313" s="196">
        <f ca="1">DATOSAÑO!T313</f>
        <v>0</v>
      </c>
      <c r="G313" s="196">
        <f t="shared" ca="1" si="67"/>
        <v>0</v>
      </c>
      <c r="H313" s="196" t="e">
        <f t="shared" ca="1" si="78"/>
        <v>#DIV/0!</v>
      </c>
      <c r="I313" s="196" t="e">
        <f t="shared" ca="1" si="79"/>
        <v>#DIV/0!</v>
      </c>
      <c r="J313" s="196" t="e">
        <f t="shared" ca="1" si="80"/>
        <v>#DIV/0!</v>
      </c>
      <c r="K313" s="196" t="e">
        <f t="shared" ca="1" si="81"/>
        <v>#DIV/0!</v>
      </c>
      <c r="L313" s="196">
        <f t="shared" ca="1" si="66"/>
        <v>0</v>
      </c>
      <c r="M313" s="196" t="e">
        <f t="shared" ca="1" si="82"/>
        <v>#DIV/0!</v>
      </c>
      <c r="N313" s="196">
        <f t="shared" ca="1" si="69"/>
        <v>0</v>
      </c>
      <c r="O313" s="196">
        <f ca="1">(DATOSAÑO!AJ313+DATOSAÑO!AK313+DATOSAÑO!AD313)</f>
        <v>0</v>
      </c>
      <c r="P313" s="196">
        <f ca="1">DATOSAÑO!AI313</f>
        <v>0</v>
      </c>
      <c r="Q313" s="196">
        <f ca="1">DATOSAÑO!AH313</f>
        <v>0</v>
      </c>
      <c r="R313" s="196">
        <f ca="1">DATOSAÑO!AM313+DATOSAÑO!AN313+DATOSAÑO!AF313</f>
        <v>0</v>
      </c>
      <c r="S313" s="209">
        <f ca="1">IF(B313&gt;=$P$5,0,CONTADORES!S317-CONTADORES!S316)</f>
        <v>0</v>
      </c>
      <c r="T313" s="206">
        <f ca="1">IF(B313&gt;=$P$5,0,(CONTADORES!U317-CONTADORES!U316)+(CONTADORES!AG317-CONTADORES!AG316))</f>
        <v>0</v>
      </c>
      <c r="U313" s="206">
        <f ca="1">IF(B313&gt;=$P$5,0,(CONTADORES!AS317-CONTADORES!AS316))</f>
        <v>0</v>
      </c>
      <c r="V313" s="206">
        <f ca="1">IF(B313&gt;=$P$5,0,(CONTADORES!AT317-CONTADORES!AT316))</f>
        <v>0</v>
      </c>
      <c r="W313" s="715">
        <v>0</v>
      </c>
      <c r="X313" s="206">
        <f ca="1">IF(W313=0,(T313-INICIO!$W$6),((T313-INICIO!$W$6)+V313))</f>
        <v>0</v>
      </c>
      <c r="Y313" s="208">
        <f t="shared" ca="1" si="70"/>
        <v>0</v>
      </c>
      <c r="Z313" s="209" t="e">
        <f t="shared" ca="1" si="71"/>
        <v>#DIV/0!</v>
      </c>
      <c r="AA313" s="206" t="e">
        <f t="shared" ca="1" si="72"/>
        <v>#DIV/0!</v>
      </c>
      <c r="AB313" s="206" t="e">
        <f t="shared" ca="1" si="73"/>
        <v>#DIV/0!</v>
      </c>
      <c r="AC313" s="208" t="e">
        <f t="shared" ca="1" si="68"/>
        <v>#DIV/0!</v>
      </c>
    </row>
    <row r="314" spans="2:29" ht="18" customHeight="1" thickBot="1">
      <c r="B314" s="1043">
        <v>44865</v>
      </c>
      <c r="C314" s="203">
        <f ca="1">DATOSAÑO!I314</f>
        <v>0</v>
      </c>
      <c r="D314" s="197">
        <f ca="1">DATOSAÑO!P314</f>
        <v>0</v>
      </c>
      <c r="E314" s="197">
        <f ca="1">DATOSAÑO!Q314</f>
        <v>0</v>
      </c>
      <c r="F314" s="197">
        <f ca="1">DATOSAÑO!T314</f>
        <v>0</v>
      </c>
      <c r="G314" s="197">
        <f t="shared" ca="1" si="67"/>
        <v>0</v>
      </c>
      <c r="H314" s="197" t="e">
        <f t="shared" ca="1" si="78"/>
        <v>#DIV/0!</v>
      </c>
      <c r="I314" s="197" t="e">
        <f t="shared" ca="1" si="79"/>
        <v>#DIV/0!</v>
      </c>
      <c r="J314" s="197" t="e">
        <f t="shared" ca="1" si="80"/>
        <v>#DIV/0!</v>
      </c>
      <c r="K314" s="197" t="e">
        <f t="shared" ca="1" si="81"/>
        <v>#DIV/0!</v>
      </c>
      <c r="L314" s="197">
        <f t="shared" ca="1" si="66"/>
        <v>0</v>
      </c>
      <c r="M314" s="197" t="e">
        <f t="shared" ca="1" si="82"/>
        <v>#DIV/0!</v>
      </c>
      <c r="N314" s="197">
        <f t="shared" ca="1" si="69"/>
        <v>0</v>
      </c>
      <c r="O314" s="197">
        <f ca="1">(DATOSAÑO!AJ314+DATOSAÑO!AK314+DATOSAÑO!AD314)</f>
        <v>0</v>
      </c>
      <c r="P314" s="197">
        <f ca="1">DATOSAÑO!AI314</f>
        <v>0</v>
      </c>
      <c r="Q314" s="197">
        <f ca="1">DATOSAÑO!AH314</f>
        <v>0</v>
      </c>
      <c r="R314" s="197">
        <f ca="1">DATOSAÑO!AM314+DATOSAÑO!AN314+DATOSAÑO!AF314</f>
        <v>0</v>
      </c>
      <c r="S314" s="203">
        <f ca="1">IF(B314&gt;=$P$5,0,CONTADORES!S318-CONTADORES!S317)</f>
        <v>0</v>
      </c>
      <c r="T314" s="197">
        <f ca="1">IF(B314&gt;=$P$5,0,(CONTADORES!U318-CONTADORES!U317)+(CONTADORES!AG318-CONTADORES!AG317))</f>
        <v>0</v>
      </c>
      <c r="U314" s="197">
        <f ca="1">IF(B314&gt;=$P$5,0,(CONTADORES!AS318-CONTADORES!AS317))</f>
        <v>0</v>
      </c>
      <c r="V314" s="197">
        <f ca="1">IF(B314&gt;=$P$5,0,(CONTADORES!AT318-CONTADORES!AT317))</f>
        <v>0</v>
      </c>
      <c r="W314" s="716">
        <v>0</v>
      </c>
      <c r="X314" s="197">
        <f ca="1">IF(W314=0,(T314-INICIO!$W$6),((T314-INICIO!$W$6)+V314))</f>
        <v>0</v>
      </c>
      <c r="Y314" s="201">
        <f t="shared" ca="1" si="70"/>
        <v>0</v>
      </c>
      <c r="Z314" s="200" t="e">
        <f t="shared" ca="1" si="71"/>
        <v>#DIV/0!</v>
      </c>
      <c r="AA314" s="197" t="e">
        <f t="shared" ca="1" si="72"/>
        <v>#DIV/0!</v>
      </c>
      <c r="AB314" s="197" t="e">
        <f t="shared" ca="1" si="73"/>
        <v>#DIV/0!</v>
      </c>
      <c r="AC314" s="201" t="e">
        <f t="shared" ca="1" si="68"/>
        <v>#DIV/0!</v>
      </c>
    </row>
    <row r="315" spans="2:29">
      <c r="B315" s="390">
        <v>44866</v>
      </c>
      <c r="C315" s="202">
        <f ca="1">DATOSAÑO!I315</f>
        <v>0</v>
      </c>
      <c r="D315" s="196">
        <f ca="1">DATOSAÑO!P315</f>
        <v>0</v>
      </c>
      <c r="E315" s="196">
        <f ca="1">DATOSAÑO!Q315</f>
        <v>0</v>
      </c>
      <c r="F315" s="196">
        <f ca="1">DATOSAÑO!T315</f>
        <v>0</v>
      </c>
      <c r="G315" s="196">
        <f t="shared" ca="1" si="67"/>
        <v>0</v>
      </c>
      <c r="H315" s="196" t="e">
        <f ca="1">G315-SUM(I315:M315)</f>
        <v>#DIV/0!</v>
      </c>
      <c r="I315" s="196" t="e">
        <f t="shared" ca="1" si="79"/>
        <v>#DIV/0!</v>
      </c>
      <c r="J315" s="196" t="e">
        <f t="shared" ca="1" si="80"/>
        <v>#DIV/0!</v>
      </c>
      <c r="K315" s="196" t="e">
        <f t="shared" ca="1" si="81"/>
        <v>#DIV/0!</v>
      </c>
      <c r="L315" s="196">
        <f t="shared" ca="1" si="66"/>
        <v>0</v>
      </c>
      <c r="M315" s="196" t="e">
        <f t="shared" ca="1" si="82"/>
        <v>#DIV/0!</v>
      </c>
      <c r="N315" s="196">
        <f t="shared" ca="1" si="69"/>
        <v>0</v>
      </c>
      <c r="O315" s="196">
        <f ca="1">(DATOSAÑO!AJ315+DATOSAÑO!AK315+DATOSAÑO!AD315)</f>
        <v>0</v>
      </c>
      <c r="P315" s="196">
        <f ca="1">DATOSAÑO!AI315</f>
        <v>0</v>
      </c>
      <c r="Q315" s="196">
        <f ca="1">DATOSAÑO!AH315</f>
        <v>0</v>
      </c>
      <c r="R315" s="196">
        <f ca="1">DATOSAÑO!AM315+DATOSAÑO!AN315+DATOSAÑO!AF315</f>
        <v>0</v>
      </c>
      <c r="S315" s="202">
        <f ca="1">IF(B315&gt;=$P$5,0,CONTADORES!S321-CONTADORES!S320)</f>
        <v>0</v>
      </c>
      <c r="T315" s="196">
        <f ca="1">IF(B315&gt;=$P$5,0,(CONTADORES!U321-CONTADORES!U320)+(CONTADORES!AG321-CONTADORES!AG320))</f>
        <v>0</v>
      </c>
      <c r="U315" s="196">
        <f ca="1">IF(B315&gt;=$P$5,0,(CONTADORES!AS321-CONTADORES!AS320))</f>
        <v>0</v>
      </c>
      <c r="V315" s="196">
        <f ca="1">IF(B315&gt;=$P$5,0,(CONTADORES!AT321-CONTADORES!AT320))</f>
        <v>0</v>
      </c>
      <c r="W315" s="714">
        <v>0</v>
      </c>
      <c r="X315" s="196">
        <f ca="1">IF(W315=0,(T315-INICIO!$W$6),((T315-INICIO!$W$6)+V315))</f>
        <v>0</v>
      </c>
      <c r="Y315" s="208">
        <f t="shared" ca="1" si="70"/>
        <v>0</v>
      </c>
      <c r="Z315" s="209" t="e">
        <f t="shared" ca="1" si="71"/>
        <v>#DIV/0!</v>
      </c>
      <c r="AA315" s="206" t="e">
        <f t="shared" ca="1" si="72"/>
        <v>#DIV/0!</v>
      </c>
      <c r="AB315" s="206" t="e">
        <f t="shared" ca="1" si="73"/>
        <v>#DIV/0!</v>
      </c>
      <c r="AC315" s="208" t="e">
        <f t="shared" ca="1" si="68"/>
        <v>#DIV/0!</v>
      </c>
    </row>
    <row r="316" spans="2:29">
      <c r="B316" s="214">
        <v>44867</v>
      </c>
      <c r="C316" s="202">
        <f ca="1">DATOSAÑO!I316</f>
        <v>0</v>
      </c>
      <c r="D316" s="196">
        <f ca="1">DATOSAÑO!P316</f>
        <v>0</v>
      </c>
      <c r="E316" s="196">
        <f ca="1">DATOSAÑO!Q316</f>
        <v>0</v>
      </c>
      <c r="F316" s="196">
        <f ca="1">DATOSAÑO!T316</f>
        <v>0</v>
      </c>
      <c r="G316" s="196">
        <f t="shared" ca="1" si="67"/>
        <v>0</v>
      </c>
      <c r="H316" s="196" t="e">
        <f t="shared" ref="H316:H344" ca="1" si="83">G316-SUM(I316:M316)</f>
        <v>#DIV/0!</v>
      </c>
      <c r="I316" s="196" t="e">
        <f t="shared" ca="1" si="79"/>
        <v>#DIV/0!</v>
      </c>
      <c r="J316" s="196" t="e">
        <f t="shared" ca="1" si="80"/>
        <v>#DIV/0!</v>
      </c>
      <c r="K316" s="196" t="e">
        <f t="shared" ca="1" si="81"/>
        <v>#DIV/0!</v>
      </c>
      <c r="L316" s="196">
        <f t="shared" ca="1" si="66"/>
        <v>0</v>
      </c>
      <c r="M316" s="196" t="e">
        <f t="shared" ca="1" si="82"/>
        <v>#DIV/0!</v>
      </c>
      <c r="N316" s="196">
        <f t="shared" ca="1" si="69"/>
        <v>0</v>
      </c>
      <c r="O316" s="196">
        <f ca="1">(DATOSAÑO!AJ316+DATOSAÑO!AK316+DATOSAÑO!AD316)</f>
        <v>0</v>
      </c>
      <c r="P316" s="196">
        <f ca="1">DATOSAÑO!AI316</f>
        <v>0</v>
      </c>
      <c r="Q316" s="196">
        <f ca="1">DATOSAÑO!AH316</f>
        <v>0</v>
      </c>
      <c r="R316" s="196">
        <f ca="1">DATOSAÑO!AM316+DATOSAÑO!AN316+DATOSAÑO!AF316</f>
        <v>0</v>
      </c>
      <c r="S316" s="209">
        <f ca="1">IF(B316&gt;=$P$5,0,CONTADORES!S322-CONTADORES!S321)</f>
        <v>0</v>
      </c>
      <c r="T316" s="206">
        <f ca="1">IF(B316&gt;=$P$5,0,(CONTADORES!U322-CONTADORES!U321)+(CONTADORES!AG322-CONTADORES!AG321))</f>
        <v>0</v>
      </c>
      <c r="U316" s="206">
        <f ca="1">IF(B316&gt;=$P$5,0,(CONTADORES!AS322-CONTADORES!AS321))</f>
        <v>0</v>
      </c>
      <c r="V316" s="206">
        <f ca="1">IF(B316&gt;=$P$5,0,(CONTADORES!AT322-CONTADORES!AT321))</f>
        <v>0</v>
      </c>
      <c r="W316" s="206">
        <v>0</v>
      </c>
      <c r="X316" s="206">
        <f ca="1">IF(W316=0,(T316-INICIO!$W$6),((T316-INICIO!$W$6)+V316))</f>
        <v>0</v>
      </c>
      <c r="Y316" s="208">
        <f t="shared" ca="1" si="70"/>
        <v>0</v>
      </c>
      <c r="Z316" s="209" t="e">
        <f t="shared" ca="1" si="71"/>
        <v>#DIV/0!</v>
      </c>
      <c r="AA316" s="206" t="e">
        <f t="shared" ca="1" si="72"/>
        <v>#DIV/0!</v>
      </c>
      <c r="AB316" s="206" t="e">
        <f t="shared" ca="1" si="73"/>
        <v>#DIV/0!</v>
      </c>
      <c r="AC316" s="208" t="e">
        <f t="shared" ca="1" si="68"/>
        <v>#DIV/0!</v>
      </c>
    </row>
    <row r="317" spans="2:29">
      <c r="B317" s="214">
        <v>44868</v>
      </c>
      <c r="C317" s="202">
        <f ca="1">DATOSAÑO!I317</f>
        <v>0</v>
      </c>
      <c r="D317" s="196">
        <f ca="1">DATOSAÑO!P317</f>
        <v>0</v>
      </c>
      <c r="E317" s="196">
        <f ca="1">DATOSAÑO!Q317</f>
        <v>0</v>
      </c>
      <c r="F317" s="196">
        <f ca="1">DATOSAÑO!T317</f>
        <v>0</v>
      </c>
      <c r="G317" s="196">
        <f t="shared" ca="1" si="67"/>
        <v>0</v>
      </c>
      <c r="H317" s="196" t="e">
        <f t="shared" ca="1" si="83"/>
        <v>#DIV/0!</v>
      </c>
      <c r="I317" s="196" t="e">
        <f t="shared" ca="1" si="79"/>
        <v>#DIV/0!</v>
      </c>
      <c r="J317" s="196" t="e">
        <f t="shared" ca="1" si="80"/>
        <v>#DIV/0!</v>
      </c>
      <c r="K317" s="196" t="e">
        <f t="shared" ca="1" si="81"/>
        <v>#DIV/0!</v>
      </c>
      <c r="L317" s="196">
        <f t="shared" ca="1" si="66"/>
        <v>0</v>
      </c>
      <c r="M317" s="196" t="e">
        <f t="shared" ca="1" si="82"/>
        <v>#DIV/0!</v>
      </c>
      <c r="N317" s="196">
        <f t="shared" ca="1" si="69"/>
        <v>0</v>
      </c>
      <c r="O317" s="196">
        <f ca="1">(DATOSAÑO!AJ317+DATOSAÑO!AK317+DATOSAÑO!AD317)</f>
        <v>0</v>
      </c>
      <c r="P317" s="196">
        <f ca="1">DATOSAÑO!AI317</f>
        <v>0</v>
      </c>
      <c r="Q317" s="196">
        <f ca="1">DATOSAÑO!AH317</f>
        <v>0</v>
      </c>
      <c r="R317" s="196">
        <f ca="1">DATOSAÑO!AM317+DATOSAÑO!AN317+DATOSAÑO!AF317</f>
        <v>0</v>
      </c>
      <c r="S317" s="209">
        <f ca="1">IF(B317&gt;=$P$5,0,CONTADORES!S323-CONTADORES!S322)</f>
        <v>0</v>
      </c>
      <c r="T317" s="206">
        <f ca="1">IF(B317&gt;=$P$5,0,(CONTADORES!U323-CONTADORES!U322)+(CONTADORES!AG323-CONTADORES!AG322))</f>
        <v>0</v>
      </c>
      <c r="U317" s="206">
        <f ca="1">IF(B317&gt;=$P$5,0,(CONTADORES!AS323-CONTADORES!AS322))</f>
        <v>0</v>
      </c>
      <c r="V317" s="206">
        <f ca="1">IF(B317&gt;=$P$5,0,(CONTADORES!AT323-CONTADORES!AT322))</f>
        <v>0</v>
      </c>
      <c r="W317" s="206">
        <v>0</v>
      </c>
      <c r="X317" s="206">
        <f ca="1">IF(W317=0,(T317-INICIO!$W$6),((T317-INICIO!$W$6)+V317))</f>
        <v>0</v>
      </c>
      <c r="Y317" s="208">
        <f t="shared" ca="1" si="70"/>
        <v>0</v>
      </c>
      <c r="Z317" s="209" t="e">
        <f t="shared" ca="1" si="71"/>
        <v>#DIV/0!</v>
      </c>
      <c r="AA317" s="206" t="e">
        <f t="shared" ca="1" si="72"/>
        <v>#DIV/0!</v>
      </c>
      <c r="AB317" s="206" t="e">
        <f t="shared" ca="1" si="73"/>
        <v>#DIV/0!</v>
      </c>
      <c r="AC317" s="208" t="e">
        <f t="shared" ca="1" si="68"/>
        <v>#DIV/0!</v>
      </c>
    </row>
    <row r="318" spans="2:29">
      <c r="B318" s="214">
        <v>44869</v>
      </c>
      <c r="C318" s="202">
        <f ca="1">DATOSAÑO!I318</f>
        <v>0</v>
      </c>
      <c r="D318" s="196">
        <f ca="1">DATOSAÑO!P318</f>
        <v>0</v>
      </c>
      <c r="E318" s="196">
        <f ca="1">DATOSAÑO!Q318</f>
        <v>0</v>
      </c>
      <c r="F318" s="196">
        <f ca="1">DATOSAÑO!T318</f>
        <v>0</v>
      </c>
      <c r="G318" s="196">
        <f t="shared" ca="1" si="67"/>
        <v>0</v>
      </c>
      <c r="H318" s="196" t="e">
        <f t="shared" ca="1" si="83"/>
        <v>#DIV/0!</v>
      </c>
      <c r="I318" s="196" t="e">
        <f t="shared" ca="1" si="79"/>
        <v>#DIV/0!</v>
      </c>
      <c r="J318" s="196" t="e">
        <f t="shared" ca="1" si="80"/>
        <v>#DIV/0!</v>
      </c>
      <c r="K318" s="196" t="e">
        <f t="shared" ca="1" si="81"/>
        <v>#DIV/0!</v>
      </c>
      <c r="L318" s="196">
        <f t="shared" ca="1" si="66"/>
        <v>0</v>
      </c>
      <c r="M318" s="196" t="e">
        <f t="shared" ca="1" si="82"/>
        <v>#DIV/0!</v>
      </c>
      <c r="N318" s="196">
        <f t="shared" ca="1" si="69"/>
        <v>0</v>
      </c>
      <c r="O318" s="196">
        <f ca="1">(DATOSAÑO!AJ318+DATOSAÑO!AK318+DATOSAÑO!AD318)</f>
        <v>0</v>
      </c>
      <c r="P318" s="196">
        <f ca="1">DATOSAÑO!AI318</f>
        <v>0</v>
      </c>
      <c r="Q318" s="196">
        <f ca="1">DATOSAÑO!AH318</f>
        <v>0</v>
      </c>
      <c r="R318" s="196">
        <f ca="1">DATOSAÑO!AM318+DATOSAÑO!AN318+DATOSAÑO!AF318</f>
        <v>0</v>
      </c>
      <c r="S318" s="209">
        <f ca="1">IF(B318&gt;=$P$5,0,CONTADORES!S324-CONTADORES!S323)</f>
        <v>0</v>
      </c>
      <c r="T318" s="206">
        <f ca="1">IF(B318&gt;=$P$5,0,(CONTADORES!U324-CONTADORES!U323)+(CONTADORES!AG324-CONTADORES!AG323))</f>
        <v>0</v>
      </c>
      <c r="U318" s="206">
        <f ca="1">IF(B318&gt;=$P$5,0,(CONTADORES!AS324-CONTADORES!AS323))</f>
        <v>0</v>
      </c>
      <c r="V318" s="206">
        <f ca="1">IF(B318&gt;=$P$5,0,(CONTADORES!AT324-CONTADORES!AT323))</f>
        <v>0</v>
      </c>
      <c r="W318" s="206">
        <v>0</v>
      </c>
      <c r="X318" s="206">
        <f ca="1">IF(W318=0,(T318-INICIO!$W$6),((T318-INICIO!$W$6)+V318))</f>
        <v>0</v>
      </c>
      <c r="Y318" s="208">
        <f t="shared" ca="1" si="70"/>
        <v>0</v>
      </c>
      <c r="Z318" s="209" t="e">
        <f t="shared" ca="1" si="71"/>
        <v>#DIV/0!</v>
      </c>
      <c r="AA318" s="206" t="e">
        <f t="shared" ca="1" si="72"/>
        <v>#DIV/0!</v>
      </c>
      <c r="AB318" s="206" t="e">
        <f t="shared" ca="1" si="73"/>
        <v>#DIV/0!</v>
      </c>
      <c r="AC318" s="208" t="e">
        <f t="shared" ca="1" si="68"/>
        <v>#DIV/0!</v>
      </c>
    </row>
    <row r="319" spans="2:29">
      <c r="B319" s="214">
        <v>44870</v>
      </c>
      <c r="C319" s="202">
        <f ca="1">DATOSAÑO!I319</f>
        <v>0</v>
      </c>
      <c r="D319" s="196">
        <f ca="1">DATOSAÑO!P319</f>
        <v>0</v>
      </c>
      <c r="E319" s="196">
        <f ca="1">DATOSAÑO!Q319</f>
        <v>0</v>
      </c>
      <c r="F319" s="196">
        <f ca="1">DATOSAÑO!T319</f>
        <v>0</v>
      </c>
      <c r="G319" s="196">
        <f t="shared" ca="1" si="67"/>
        <v>0</v>
      </c>
      <c r="H319" s="196" t="e">
        <f t="shared" ca="1" si="83"/>
        <v>#DIV/0!</v>
      </c>
      <c r="I319" s="196" t="e">
        <f t="shared" ca="1" si="79"/>
        <v>#DIV/0!</v>
      </c>
      <c r="J319" s="196" t="e">
        <f t="shared" ca="1" si="80"/>
        <v>#DIV/0!</v>
      </c>
      <c r="K319" s="196" t="e">
        <f t="shared" ca="1" si="81"/>
        <v>#DIV/0!</v>
      </c>
      <c r="L319" s="196">
        <f t="shared" ca="1" si="66"/>
        <v>0</v>
      </c>
      <c r="M319" s="196" t="e">
        <f t="shared" ca="1" si="82"/>
        <v>#DIV/0!</v>
      </c>
      <c r="N319" s="196">
        <f t="shared" ca="1" si="69"/>
        <v>0</v>
      </c>
      <c r="O319" s="196">
        <f ca="1">(DATOSAÑO!AJ319+DATOSAÑO!AK319+DATOSAÑO!AD319)</f>
        <v>0</v>
      </c>
      <c r="P319" s="196">
        <f ca="1">DATOSAÑO!AI319</f>
        <v>0</v>
      </c>
      <c r="Q319" s="196">
        <f ca="1">DATOSAÑO!AH319</f>
        <v>0</v>
      </c>
      <c r="R319" s="196">
        <f ca="1">DATOSAÑO!AM319+DATOSAÑO!AN319+DATOSAÑO!AF319</f>
        <v>0</v>
      </c>
      <c r="S319" s="209">
        <f ca="1">IF(B319&gt;=$P$5,0,CONTADORES!S325-CONTADORES!S324)</f>
        <v>0</v>
      </c>
      <c r="T319" s="206">
        <f ca="1">IF(B319&gt;=$P$5,0,(CONTADORES!U325-CONTADORES!U324)+(CONTADORES!AG325-CONTADORES!AG324))</f>
        <v>0</v>
      </c>
      <c r="U319" s="206">
        <f ca="1">IF(B319&gt;=$P$5,0,(CONTADORES!AS325-CONTADORES!AS324))</f>
        <v>0</v>
      </c>
      <c r="V319" s="206">
        <f ca="1">IF(B319&gt;=$P$5,0,(CONTADORES!AT325-CONTADORES!AT324))</f>
        <v>0</v>
      </c>
      <c r="W319" s="206">
        <v>0</v>
      </c>
      <c r="X319" s="206">
        <f ca="1">IF(W319=0,(T319-INICIO!$W$6),((T319-INICIO!$W$6)+V319))</f>
        <v>0</v>
      </c>
      <c r="Y319" s="208">
        <f t="shared" ca="1" si="70"/>
        <v>0</v>
      </c>
      <c r="Z319" s="209" t="e">
        <f t="shared" ca="1" si="71"/>
        <v>#DIV/0!</v>
      </c>
      <c r="AA319" s="206" t="e">
        <f t="shared" ca="1" si="72"/>
        <v>#DIV/0!</v>
      </c>
      <c r="AB319" s="206" t="e">
        <f t="shared" ca="1" si="73"/>
        <v>#DIV/0!</v>
      </c>
      <c r="AC319" s="208" t="e">
        <f t="shared" ca="1" si="68"/>
        <v>#DIV/0!</v>
      </c>
    </row>
    <row r="320" spans="2:29">
      <c r="B320" s="214">
        <v>44871</v>
      </c>
      <c r="C320" s="202">
        <f ca="1">DATOSAÑO!I320</f>
        <v>0</v>
      </c>
      <c r="D320" s="196">
        <f ca="1">DATOSAÑO!P320</f>
        <v>0</v>
      </c>
      <c r="E320" s="196">
        <f ca="1">DATOSAÑO!Q320</f>
        <v>0</v>
      </c>
      <c r="F320" s="196">
        <f ca="1">DATOSAÑO!T320</f>
        <v>0</v>
      </c>
      <c r="G320" s="196">
        <f t="shared" ca="1" si="67"/>
        <v>0</v>
      </c>
      <c r="H320" s="196" t="e">
        <f t="shared" ca="1" si="83"/>
        <v>#DIV/0!</v>
      </c>
      <c r="I320" s="196" t="e">
        <f t="shared" ca="1" si="79"/>
        <v>#DIV/0!</v>
      </c>
      <c r="J320" s="196" t="e">
        <f t="shared" ca="1" si="80"/>
        <v>#DIV/0!</v>
      </c>
      <c r="K320" s="196" t="e">
        <f t="shared" ca="1" si="81"/>
        <v>#DIV/0!</v>
      </c>
      <c r="L320" s="196">
        <f t="shared" ca="1" si="66"/>
        <v>0</v>
      </c>
      <c r="M320" s="196" t="e">
        <f t="shared" ca="1" si="82"/>
        <v>#DIV/0!</v>
      </c>
      <c r="N320" s="196">
        <f t="shared" ca="1" si="69"/>
        <v>0</v>
      </c>
      <c r="O320" s="196">
        <f ca="1">(DATOSAÑO!AJ320+DATOSAÑO!AK320+DATOSAÑO!AD320)</f>
        <v>0</v>
      </c>
      <c r="P320" s="196">
        <f ca="1">DATOSAÑO!AI320</f>
        <v>0</v>
      </c>
      <c r="Q320" s="196">
        <f ca="1">DATOSAÑO!AH320</f>
        <v>0</v>
      </c>
      <c r="R320" s="196">
        <f ca="1">DATOSAÑO!AM320+DATOSAÑO!AN320+DATOSAÑO!AF320</f>
        <v>0</v>
      </c>
      <c r="S320" s="209">
        <f ca="1">IF(B320&gt;=$P$5,0,CONTADORES!S326-CONTADORES!S325)</f>
        <v>0</v>
      </c>
      <c r="T320" s="206">
        <f ca="1">IF(B320&gt;=$P$5,0,(CONTADORES!U326-CONTADORES!U325)+(CONTADORES!AG326-CONTADORES!AG325))</f>
        <v>0</v>
      </c>
      <c r="U320" s="206">
        <f ca="1">IF(B320&gt;=$P$5,0,(CONTADORES!AS326-CONTADORES!AS325))</f>
        <v>0</v>
      </c>
      <c r="V320" s="206">
        <f ca="1">IF(B320&gt;=$P$5,0,(CONTADORES!AT326-CONTADORES!AT325))</f>
        <v>0</v>
      </c>
      <c r="W320" s="206">
        <v>0</v>
      </c>
      <c r="X320" s="206">
        <f ca="1">IF(W320=0,(T320-INICIO!$W$6),((T320-INICIO!$W$6)+V320))</f>
        <v>0</v>
      </c>
      <c r="Y320" s="208">
        <f t="shared" ca="1" si="70"/>
        <v>0</v>
      </c>
      <c r="Z320" s="209" t="e">
        <f t="shared" ca="1" si="71"/>
        <v>#DIV/0!</v>
      </c>
      <c r="AA320" s="206" t="e">
        <f t="shared" ca="1" si="72"/>
        <v>#DIV/0!</v>
      </c>
      <c r="AB320" s="206" t="e">
        <f t="shared" ca="1" si="73"/>
        <v>#DIV/0!</v>
      </c>
      <c r="AC320" s="208" t="e">
        <f t="shared" ca="1" si="68"/>
        <v>#DIV/0!</v>
      </c>
    </row>
    <row r="321" spans="2:29">
      <c r="B321" s="214">
        <v>44872</v>
      </c>
      <c r="C321" s="202">
        <f ca="1">DATOSAÑO!I321</f>
        <v>0</v>
      </c>
      <c r="D321" s="196">
        <f ca="1">DATOSAÑO!P321</f>
        <v>0</v>
      </c>
      <c r="E321" s="196">
        <f ca="1">DATOSAÑO!Q321</f>
        <v>0</v>
      </c>
      <c r="F321" s="196">
        <f ca="1">DATOSAÑO!T321</f>
        <v>0</v>
      </c>
      <c r="G321" s="196">
        <f t="shared" ca="1" si="67"/>
        <v>0</v>
      </c>
      <c r="H321" s="196" t="e">
        <f t="shared" ca="1" si="83"/>
        <v>#DIV/0!</v>
      </c>
      <c r="I321" s="196" t="e">
        <f t="shared" ca="1" si="79"/>
        <v>#DIV/0!</v>
      </c>
      <c r="J321" s="196" t="e">
        <f t="shared" ca="1" si="80"/>
        <v>#DIV/0!</v>
      </c>
      <c r="K321" s="196" t="e">
        <f t="shared" ca="1" si="81"/>
        <v>#DIV/0!</v>
      </c>
      <c r="L321" s="196">
        <f t="shared" ca="1" si="66"/>
        <v>0</v>
      </c>
      <c r="M321" s="196" t="e">
        <f t="shared" ca="1" si="82"/>
        <v>#DIV/0!</v>
      </c>
      <c r="N321" s="196">
        <f t="shared" ca="1" si="69"/>
        <v>0</v>
      </c>
      <c r="O321" s="196">
        <f ca="1">(DATOSAÑO!AJ321+DATOSAÑO!AK321+DATOSAÑO!AD321)</f>
        <v>0</v>
      </c>
      <c r="P321" s="196">
        <f ca="1">DATOSAÑO!AI321</f>
        <v>0</v>
      </c>
      <c r="Q321" s="196">
        <f ca="1">DATOSAÑO!AH321</f>
        <v>0</v>
      </c>
      <c r="R321" s="196">
        <f ca="1">DATOSAÑO!AM321+DATOSAÑO!AN321+DATOSAÑO!AF321</f>
        <v>0</v>
      </c>
      <c r="S321" s="209">
        <f ca="1">IF(B321&gt;=$P$5,0,CONTADORES!S327-CONTADORES!S326)</f>
        <v>0</v>
      </c>
      <c r="T321" s="206">
        <f ca="1">IF(B321&gt;=$P$5,0,(CONTADORES!U327-CONTADORES!U326)+(CONTADORES!AG327-CONTADORES!AG326))</f>
        <v>0</v>
      </c>
      <c r="U321" s="206">
        <f ca="1">IF(B321&gt;=$P$5,0,(CONTADORES!AS327-CONTADORES!AS326))</f>
        <v>0</v>
      </c>
      <c r="V321" s="206">
        <f ca="1">IF(B321&gt;=$P$5,0,(CONTADORES!AT327-CONTADORES!AT326))</f>
        <v>0</v>
      </c>
      <c r="W321" s="206">
        <v>0</v>
      </c>
      <c r="X321" s="206">
        <f ca="1">IF(W321=0,(T321-INICIO!$W$6),((T321-INICIO!$W$6)+V321))</f>
        <v>0</v>
      </c>
      <c r="Y321" s="208">
        <f t="shared" ca="1" si="70"/>
        <v>0</v>
      </c>
      <c r="Z321" s="209" t="e">
        <f t="shared" ca="1" si="71"/>
        <v>#DIV/0!</v>
      </c>
      <c r="AA321" s="206" t="e">
        <f t="shared" ca="1" si="72"/>
        <v>#DIV/0!</v>
      </c>
      <c r="AB321" s="206" t="e">
        <f t="shared" ca="1" si="73"/>
        <v>#DIV/0!</v>
      </c>
      <c r="AC321" s="208" t="e">
        <f t="shared" ca="1" si="68"/>
        <v>#DIV/0!</v>
      </c>
    </row>
    <row r="322" spans="2:29">
      <c r="B322" s="214">
        <v>44873</v>
      </c>
      <c r="C322" s="202">
        <f ca="1">DATOSAÑO!I322</f>
        <v>0</v>
      </c>
      <c r="D322" s="196">
        <f ca="1">DATOSAÑO!P322</f>
        <v>0</v>
      </c>
      <c r="E322" s="196">
        <f ca="1">DATOSAÑO!Q322</f>
        <v>0</v>
      </c>
      <c r="F322" s="196">
        <f ca="1">DATOSAÑO!T322</f>
        <v>0</v>
      </c>
      <c r="G322" s="196">
        <f t="shared" ca="1" si="67"/>
        <v>0</v>
      </c>
      <c r="H322" s="196" t="e">
        <f t="shared" ca="1" si="83"/>
        <v>#DIV/0!</v>
      </c>
      <c r="I322" s="196" t="e">
        <f t="shared" ca="1" si="79"/>
        <v>#DIV/0!</v>
      </c>
      <c r="J322" s="196" t="e">
        <f t="shared" ca="1" si="80"/>
        <v>#DIV/0!</v>
      </c>
      <c r="K322" s="196" t="e">
        <f t="shared" ca="1" si="81"/>
        <v>#DIV/0!</v>
      </c>
      <c r="L322" s="196">
        <f t="shared" ca="1" si="66"/>
        <v>0</v>
      </c>
      <c r="M322" s="196" t="e">
        <f t="shared" ca="1" si="82"/>
        <v>#DIV/0!</v>
      </c>
      <c r="N322" s="196">
        <f t="shared" ca="1" si="69"/>
        <v>0</v>
      </c>
      <c r="O322" s="196">
        <f ca="1">(DATOSAÑO!AJ322+DATOSAÑO!AK322+DATOSAÑO!AD322)</f>
        <v>0</v>
      </c>
      <c r="P322" s="196">
        <f ca="1">DATOSAÑO!AI322</f>
        <v>0</v>
      </c>
      <c r="Q322" s="196">
        <f ca="1">DATOSAÑO!AH322</f>
        <v>0</v>
      </c>
      <c r="R322" s="196">
        <f ca="1">DATOSAÑO!AM322+DATOSAÑO!AN322+DATOSAÑO!AF322</f>
        <v>0</v>
      </c>
      <c r="S322" s="209">
        <f ca="1">IF(B322&gt;=$P$5,0,CONTADORES!S328-CONTADORES!S327)</f>
        <v>0</v>
      </c>
      <c r="T322" s="206">
        <f ca="1">IF(B322&gt;=$P$5,0,(CONTADORES!U328-CONTADORES!U327)+(CONTADORES!AG328-CONTADORES!AG327))</f>
        <v>0</v>
      </c>
      <c r="U322" s="206">
        <f ca="1">IF(B322&gt;=$P$5,0,(CONTADORES!AS328-CONTADORES!AS327))</f>
        <v>0</v>
      </c>
      <c r="V322" s="206">
        <f ca="1">IF(B322&gt;=$P$5,0,(CONTADORES!AT328-CONTADORES!AT327))</f>
        <v>0</v>
      </c>
      <c r="W322" s="206">
        <v>0</v>
      </c>
      <c r="X322" s="206">
        <f ca="1">IF(W322=0,(T322-INICIO!$W$6),((T322-INICIO!$W$6)+V322))</f>
        <v>0</v>
      </c>
      <c r="Y322" s="208">
        <f t="shared" ca="1" si="70"/>
        <v>0</v>
      </c>
      <c r="Z322" s="209" t="e">
        <f t="shared" ca="1" si="71"/>
        <v>#DIV/0!</v>
      </c>
      <c r="AA322" s="206" t="e">
        <f t="shared" ca="1" si="72"/>
        <v>#DIV/0!</v>
      </c>
      <c r="AB322" s="206" t="e">
        <f t="shared" ca="1" si="73"/>
        <v>#DIV/0!</v>
      </c>
      <c r="AC322" s="208" t="e">
        <f t="shared" ca="1" si="68"/>
        <v>#DIV/0!</v>
      </c>
    </row>
    <row r="323" spans="2:29">
      <c r="B323" s="214">
        <v>44874</v>
      </c>
      <c r="C323" s="202">
        <f ca="1">DATOSAÑO!I323</f>
        <v>0</v>
      </c>
      <c r="D323" s="196">
        <f ca="1">DATOSAÑO!P323</f>
        <v>0</v>
      </c>
      <c r="E323" s="196">
        <f ca="1">DATOSAÑO!Q323</f>
        <v>0</v>
      </c>
      <c r="F323" s="196">
        <f ca="1">DATOSAÑO!T323</f>
        <v>0</v>
      </c>
      <c r="G323" s="196">
        <f t="shared" ca="1" si="67"/>
        <v>0</v>
      </c>
      <c r="H323" s="196" t="e">
        <f t="shared" ca="1" si="83"/>
        <v>#DIV/0!</v>
      </c>
      <c r="I323" s="196" t="e">
        <f t="shared" ca="1" si="79"/>
        <v>#DIV/0!</v>
      </c>
      <c r="J323" s="196" t="e">
        <f t="shared" ca="1" si="80"/>
        <v>#DIV/0!</v>
      </c>
      <c r="K323" s="196" t="e">
        <f t="shared" ca="1" si="81"/>
        <v>#DIV/0!</v>
      </c>
      <c r="L323" s="196">
        <f t="shared" ca="1" si="66"/>
        <v>0</v>
      </c>
      <c r="M323" s="196" t="e">
        <f t="shared" ca="1" si="82"/>
        <v>#DIV/0!</v>
      </c>
      <c r="N323" s="196">
        <f t="shared" ca="1" si="69"/>
        <v>0</v>
      </c>
      <c r="O323" s="196">
        <f ca="1">(DATOSAÑO!AJ323+DATOSAÑO!AK323+DATOSAÑO!AD323)</f>
        <v>0</v>
      </c>
      <c r="P323" s="196">
        <f ca="1">DATOSAÑO!AI323</f>
        <v>0</v>
      </c>
      <c r="Q323" s="196">
        <f ca="1">DATOSAÑO!AH323</f>
        <v>0</v>
      </c>
      <c r="R323" s="196">
        <f ca="1">DATOSAÑO!AM323+DATOSAÑO!AN323+DATOSAÑO!AF323</f>
        <v>0</v>
      </c>
      <c r="S323" s="209">
        <f ca="1">IF(B323&gt;=$P$5,0,CONTADORES!S329-CONTADORES!S328)</f>
        <v>0</v>
      </c>
      <c r="T323" s="206">
        <f ca="1">IF(B323&gt;=$P$5,0,(CONTADORES!U329-CONTADORES!U328)+(CONTADORES!AG329-CONTADORES!AG328))</f>
        <v>0</v>
      </c>
      <c r="U323" s="206">
        <f ca="1">IF(B323&gt;=$P$5,0,(CONTADORES!AS329-CONTADORES!AS328))</f>
        <v>0</v>
      </c>
      <c r="V323" s="206">
        <f ca="1">IF(B323&gt;=$P$5,0,(CONTADORES!AT329-CONTADORES!AT328))</f>
        <v>0</v>
      </c>
      <c r="W323" s="206">
        <v>0</v>
      </c>
      <c r="X323" s="206">
        <f ca="1">IF(W323=0,(T323-INICIO!$W$6),((T323-INICIO!$W$6)+V323))</f>
        <v>0</v>
      </c>
      <c r="Y323" s="208">
        <f t="shared" ca="1" si="70"/>
        <v>0</v>
      </c>
      <c r="Z323" s="209" t="e">
        <f t="shared" ca="1" si="71"/>
        <v>#DIV/0!</v>
      </c>
      <c r="AA323" s="206" t="e">
        <f t="shared" ca="1" si="72"/>
        <v>#DIV/0!</v>
      </c>
      <c r="AB323" s="206" t="e">
        <f t="shared" ca="1" si="73"/>
        <v>#DIV/0!</v>
      </c>
      <c r="AC323" s="208" t="e">
        <f t="shared" ca="1" si="68"/>
        <v>#DIV/0!</v>
      </c>
    </row>
    <row r="324" spans="2:29">
      <c r="B324" s="214">
        <v>44875</v>
      </c>
      <c r="C324" s="202">
        <f ca="1">DATOSAÑO!I324</f>
        <v>0</v>
      </c>
      <c r="D324" s="196">
        <f ca="1">DATOSAÑO!P324</f>
        <v>0</v>
      </c>
      <c r="E324" s="196">
        <f ca="1">DATOSAÑO!Q324</f>
        <v>0</v>
      </c>
      <c r="F324" s="196">
        <f ca="1">DATOSAÑO!T324</f>
        <v>0</v>
      </c>
      <c r="G324" s="196">
        <f t="shared" ca="1" si="67"/>
        <v>0</v>
      </c>
      <c r="H324" s="196" t="e">
        <f t="shared" ca="1" si="83"/>
        <v>#DIV/0!</v>
      </c>
      <c r="I324" s="196" t="e">
        <f t="shared" ca="1" si="79"/>
        <v>#DIV/0!</v>
      </c>
      <c r="J324" s="196" t="e">
        <f t="shared" ca="1" si="80"/>
        <v>#DIV/0!</v>
      </c>
      <c r="K324" s="196" t="e">
        <f t="shared" ca="1" si="81"/>
        <v>#DIV/0!</v>
      </c>
      <c r="L324" s="196">
        <f t="shared" ref="L324:L375" ca="1" si="84">R324</f>
        <v>0</v>
      </c>
      <c r="M324" s="196" t="e">
        <f t="shared" ca="1" si="82"/>
        <v>#DIV/0!</v>
      </c>
      <c r="N324" s="196">
        <f t="shared" ca="1" si="69"/>
        <v>0</v>
      </c>
      <c r="O324" s="196">
        <f ca="1">(DATOSAÑO!AJ324+DATOSAÑO!AK324+DATOSAÑO!AD324)</f>
        <v>0</v>
      </c>
      <c r="P324" s="196">
        <f ca="1">DATOSAÑO!AI324</f>
        <v>0</v>
      </c>
      <c r="Q324" s="196">
        <f ca="1">DATOSAÑO!AH324</f>
        <v>0</v>
      </c>
      <c r="R324" s="196">
        <f ca="1">DATOSAÑO!AM324+DATOSAÑO!AN324+DATOSAÑO!AF324</f>
        <v>0</v>
      </c>
      <c r="S324" s="209">
        <f ca="1">IF(B324&gt;=$P$5,0,CONTADORES!S330-CONTADORES!S329)</f>
        <v>0</v>
      </c>
      <c r="T324" s="206">
        <f ca="1">IF(B324&gt;=$P$5,0,(CONTADORES!U330-CONTADORES!U329)+(CONTADORES!AG330-CONTADORES!AG329))</f>
        <v>0</v>
      </c>
      <c r="U324" s="206">
        <f ca="1">IF(B324&gt;=$P$5,0,(CONTADORES!AS330-CONTADORES!AS329))</f>
        <v>0</v>
      </c>
      <c r="V324" s="206">
        <f ca="1">IF(B324&gt;=$P$5,0,(CONTADORES!AT330-CONTADORES!AT329))</f>
        <v>0</v>
      </c>
      <c r="W324" s="206">
        <v>0</v>
      </c>
      <c r="X324" s="206">
        <f ca="1">IF(W324=0,(T324-INICIO!$W$6),((T324-INICIO!$W$6)+V324))</f>
        <v>0</v>
      </c>
      <c r="Y324" s="208">
        <f t="shared" ca="1" si="70"/>
        <v>0</v>
      </c>
      <c r="Z324" s="209" t="e">
        <f t="shared" ca="1" si="71"/>
        <v>#DIV/0!</v>
      </c>
      <c r="AA324" s="206" t="e">
        <f t="shared" ca="1" si="72"/>
        <v>#DIV/0!</v>
      </c>
      <c r="AB324" s="206" t="e">
        <f t="shared" ca="1" si="73"/>
        <v>#DIV/0!</v>
      </c>
      <c r="AC324" s="208" t="e">
        <f t="shared" ca="1" si="68"/>
        <v>#DIV/0!</v>
      </c>
    </row>
    <row r="325" spans="2:29">
      <c r="B325" s="214">
        <v>44876</v>
      </c>
      <c r="C325" s="202">
        <f ca="1">DATOSAÑO!I325</f>
        <v>0</v>
      </c>
      <c r="D325" s="196">
        <f ca="1">DATOSAÑO!P325</f>
        <v>0</v>
      </c>
      <c r="E325" s="196">
        <f ca="1">DATOSAÑO!Q325</f>
        <v>0</v>
      </c>
      <c r="F325" s="196">
        <f ca="1">DATOSAÑO!T325</f>
        <v>0</v>
      </c>
      <c r="G325" s="196">
        <f t="shared" ca="1" si="67"/>
        <v>0</v>
      </c>
      <c r="H325" s="196" t="e">
        <f t="shared" ca="1" si="83"/>
        <v>#DIV/0!</v>
      </c>
      <c r="I325" s="196" t="e">
        <f t="shared" ca="1" si="79"/>
        <v>#DIV/0!</v>
      </c>
      <c r="J325" s="196" t="e">
        <f t="shared" ca="1" si="80"/>
        <v>#DIV/0!</v>
      </c>
      <c r="K325" s="196" t="e">
        <f t="shared" ca="1" si="81"/>
        <v>#DIV/0!</v>
      </c>
      <c r="L325" s="196">
        <f t="shared" ca="1" si="84"/>
        <v>0</v>
      </c>
      <c r="M325" s="196" t="e">
        <f t="shared" ca="1" si="82"/>
        <v>#DIV/0!</v>
      </c>
      <c r="N325" s="196">
        <f t="shared" ca="1" si="69"/>
        <v>0</v>
      </c>
      <c r="O325" s="196">
        <f ca="1">(DATOSAÑO!AJ325+DATOSAÑO!AK325+DATOSAÑO!AD325)</f>
        <v>0</v>
      </c>
      <c r="P325" s="196">
        <f ca="1">DATOSAÑO!AI325</f>
        <v>0</v>
      </c>
      <c r="Q325" s="196">
        <f ca="1">DATOSAÑO!AH325</f>
        <v>0</v>
      </c>
      <c r="R325" s="196">
        <f ca="1">DATOSAÑO!AM325+DATOSAÑO!AN325+DATOSAÑO!AF325</f>
        <v>0</v>
      </c>
      <c r="S325" s="209">
        <f ca="1">IF(B325&gt;=$P$5,0,CONTADORES!S331-CONTADORES!S330)</f>
        <v>0</v>
      </c>
      <c r="T325" s="206">
        <f ca="1">IF(B325&gt;=$P$5,0,(CONTADORES!U331-CONTADORES!U330)+(CONTADORES!AG331-CONTADORES!AG330))</f>
        <v>0</v>
      </c>
      <c r="U325" s="206">
        <f ca="1">IF(B325&gt;=$P$5,0,(CONTADORES!AS331-CONTADORES!AS330))</f>
        <v>0</v>
      </c>
      <c r="V325" s="206">
        <f ca="1">IF(B325&gt;=$P$5,0,(CONTADORES!AT331-CONTADORES!AT330))</f>
        <v>0</v>
      </c>
      <c r="W325" s="206">
        <v>0</v>
      </c>
      <c r="X325" s="206">
        <f ca="1">IF(W325=0,(T325-INICIO!$W$6),((T325-INICIO!$W$6)+V325))</f>
        <v>0</v>
      </c>
      <c r="Y325" s="208">
        <f t="shared" ca="1" si="70"/>
        <v>0</v>
      </c>
      <c r="Z325" s="209" t="e">
        <f t="shared" ca="1" si="71"/>
        <v>#DIV/0!</v>
      </c>
      <c r="AA325" s="206" t="e">
        <f t="shared" ca="1" si="72"/>
        <v>#DIV/0!</v>
      </c>
      <c r="AB325" s="206" t="e">
        <f t="shared" ca="1" si="73"/>
        <v>#DIV/0!</v>
      </c>
      <c r="AC325" s="208" t="e">
        <f t="shared" ca="1" si="68"/>
        <v>#DIV/0!</v>
      </c>
    </row>
    <row r="326" spans="2:29">
      <c r="B326" s="214">
        <v>44877</v>
      </c>
      <c r="C326" s="202">
        <f ca="1">DATOSAÑO!I326</f>
        <v>0</v>
      </c>
      <c r="D326" s="196">
        <f ca="1">DATOSAÑO!P326</f>
        <v>0</v>
      </c>
      <c r="E326" s="196">
        <f ca="1">DATOSAÑO!Q326</f>
        <v>0</v>
      </c>
      <c r="F326" s="196">
        <f ca="1">DATOSAÑO!T326</f>
        <v>0</v>
      </c>
      <c r="G326" s="196">
        <f t="shared" ca="1" si="67"/>
        <v>0</v>
      </c>
      <c r="H326" s="196" t="e">
        <f t="shared" ca="1" si="83"/>
        <v>#DIV/0!</v>
      </c>
      <c r="I326" s="196" t="e">
        <f t="shared" ca="1" si="79"/>
        <v>#DIV/0!</v>
      </c>
      <c r="J326" s="196" t="e">
        <f t="shared" ca="1" si="80"/>
        <v>#DIV/0!</v>
      </c>
      <c r="K326" s="196" t="e">
        <f t="shared" ca="1" si="81"/>
        <v>#DIV/0!</v>
      </c>
      <c r="L326" s="196">
        <f t="shared" ca="1" si="84"/>
        <v>0</v>
      </c>
      <c r="M326" s="196" t="e">
        <f t="shared" ca="1" si="82"/>
        <v>#DIV/0!</v>
      </c>
      <c r="N326" s="196">
        <f t="shared" ca="1" si="69"/>
        <v>0</v>
      </c>
      <c r="O326" s="196">
        <f ca="1">(DATOSAÑO!AJ326+DATOSAÑO!AK326+DATOSAÑO!AD326)</f>
        <v>0</v>
      </c>
      <c r="P326" s="196">
        <f ca="1">DATOSAÑO!AI326</f>
        <v>0</v>
      </c>
      <c r="Q326" s="196">
        <f ca="1">DATOSAÑO!AH326</f>
        <v>0</v>
      </c>
      <c r="R326" s="196">
        <f ca="1">DATOSAÑO!AM326+DATOSAÑO!AN326+DATOSAÑO!AF326</f>
        <v>0</v>
      </c>
      <c r="S326" s="209">
        <f ca="1">IF(B326&gt;=$P$5,0,CONTADORES!S332-CONTADORES!S331)</f>
        <v>0</v>
      </c>
      <c r="T326" s="206">
        <f ca="1">IF(B326&gt;=$P$5,0,(CONTADORES!U332-CONTADORES!U331)+(CONTADORES!AG332-CONTADORES!AG331))</f>
        <v>0</v>
      </c>
      <c r="U326" s="206">
        <f ca="1">IF(B326&gt;=$P$5,0,(CONTADORES!AS332-CONTADORES!AS331))</f>
        <v>0</v>
      </c>
      <c r="V326" s="206">
        <f ca="1">IF(B326&gt;=$P$5,0,(CONTADORES!AT332-CONTADORES!AT331))</f>
        <v>0</v>
      </c>
      <c r="W326" s="206">
        <v>0</v>
      </c>
      <c r="X326" s="206">
        <f ca="1">IF(W326=0,(T326-INICIO!$W$6),((T326-INICIO!$W$6)+V326))</f>
        <v>0</v>
      </c>
      <c r="Y326" s="208">
        <f t="shared" ca="1" si="70"/>
        <v>0</v>
      </c>
      <c r="Z326" s="209" t="e">
        <f t="shared" ca="1" si="71"/>
        <v>#DIV/0!</v>
      </c>
      <c r="AA326" s="206" t="e">
        <f t="shared" ca="1" si="72"/>
        <v>#DIV/0!</v>
      </c>
      <c r="AB326" s="206" t="e">
        <f t="shared" ca="1" si="73"/>
        <v>#DIV/0!</v>
      </c>
      <c r="AC326" s="208" t="e">
        <f t="shared" ca="1" si="68"/>
        <v>#DIV/0!</v>
      </c>
    </row>
    <row r="327" spans="2:29">
      <c r="B327" s="214">
        <v>44878</v>
      </c>
      <c r="C327" s="202">
        <f ca="1">DATOSAÑO!I327</f>
        <v>0</v>
      </c>
      <c r="D327" s="196">
        <f ca="1">DATOSAÑO!P327</f>
        <v>0</v>
      </c>
      <c r="E327" s="196">
        <f ca="1">DATOSAÑO!Q327</f>
        <v>0</v>
      </c>
      <c r="F327" s="196">
        <f ca="1">DATOSAÑO!T327</f>
        <v>0</v>
      </c>
      <c r="G327" s="196">
        <f t="shared" ca="1" si="67"/>
        <v>0</v>
      </c>
      <c r="H327" s="196" t="e">
        <f t="shared" ca="1" si="83"/>
        <v>#DIV/0!</v>
      </c>
      <c r="I327" s="196" t="e">
        <f t="shared" ca="1" si="79"/>
        <v>#DIV/0!</v>
      </c>
      <c r="J327" s="196" t="e">
        <f t="shared" ca="1" si="80"/>
        <v>#DIV/0!</v>
      </c>
      <c r="K327" s="196" t="e">
        <f t="shared" ca="1" si="81"/>
        <v>#DIV/0!</v>
      </c>
      <c r="L327" s="196">
        <f t="shared" ca="1" si="84"/>
        <v>0</v>
      </c>
      <c r="M327" s="196" t="e">
        <f t="shared" ca="1" si="82"/>
        <v>#DIV/0!</v>
      </c>
      <c r="N327" s="196">
        <f t="shared" ca="1" si="69"/>
        <v>0</v>
      </c>
      <c r="O327" s="196">
        <f ca="1">(DATOSAÑO!AJ327+DATOSAÑO!AK327+DATOSAÑO!AD327)</f>
        <v>0</v>
      </c>
      <c r="P327" s="196">
        <f ca="1">DATOSAÑO!AI327</f>
        <v>0</v>
      </c>
      <c r="Q327" s="196">
        <f ca="1">DATOSAÑO!AH327</f>
        <v>0</v>
      </c>
      <c r="R327" s="196">
        <f ca="1">DATOSAÑO!AM327+DATOSAÑO!AN327+DATOSAÑO!AF327</f>
        <v>0</v>
      </c>
      <c r="S327" s="209">
        <f ca="1">IF(B327&gt;=$P$5,0,CONTADORES!S333-CONTADORES!S332)</f>
        <v>0</v>
      </c>
      <c r="T327" s="206">
        <f ca="1">IF(B327&gt;=$P$5,0,(CONTADORES!U333-CONTADORES!U332)+(CONTADORES!AG333-CONTADORES!AG332))</f>
        <v>0</v>
      </c>
      <c r="U327" s="206">
        <f ca="1">IF(B327&gt;=$P$5,0,(CONTADORES!AS333-CONTADORES!AS332))</f>
        <v>0</v>
      </c>
      <c r="V327" s="206">
        <f ca="1">IF(B327&gt;=$P$5,0,(CONTADORES!AT333-CONTADORES!AT332))</f>
        <v>0</v>
      </c>
      <c r="W327" s="206">
        <v>0</v>
      </c>
      <c r="X327" s="206">
        <f ca="1">IF(W327=0,(T327-INICIO!$W$6),((T327-INICIO!$W$6)+V327))</f>
        <v>0</v>
      </c>
      <c r="Y327" s="208">
        <f t="shared" ca="1" si="70"/>
        <v>0</v>
      </c>
      <c r="Z327" s="209" t="e">
        <f t="shared" ca="1" si="71"/>
        <v>#DIV/0!</v>
      </c>
      <c r="AA327" s="206" t="e">
        <f t="shared" ca="1" si="72"/>
        <v>#DIV/0!</v>
      </c>
      <c r="AB327" s="206" t="e">
        <f t="shared" ca="1" si="73"/>
        <v>#DIV/0!</v>
      </c>
      <c r="AC327" s="208" t="e">
        <f t="shared" ca="1" si="68"/>
        <v>#DIV/0!</v>
      </c>
    </row>
    <row r="328" spans="2:29">
      <c r="B328" s="214">
        <v>44879</v>
      </c>
      <c r="C328" s="202">
        <f ca="1">DATOSAÑO!I328</f>
        <v>0</v>
      </c>
      <c r="D328" s="196">
        <f ca="1">DATOSAÑO!P328</f>
        <v>0</v>
      </c>
      <c r="E328" s="196">
        <f ca="1">DATOSAÑO!Q328</f>
        <v>0</v>
      </c>
      <c r="F328" s="196">
        <f ca="1">DATOSAÑO!T328</f>
        <v>0</v>
      </c>
      <c r="G328" s="196">
        <f t="shared" ca="1" si="67"/>
        <v>0</v>
      </c>
      <c r="H328" s="196" t="e">
        <f t="shared" ca="1" si="83"/>
        <v>#DIV/0!</v>
      </c>
      <c r="I328" s="196" t="e">
        <f t="shared" ca="1" si="79"/>
        <v>#DIV/0!</v>
      </c>
      <c r="J328" s="196" t="e">
        <f t="shared" ca="1" si="80"/>
        <v>#DIV/0!</v>
      </c>
      <c r="K328" s="196" t="e">
        <f t="shared" ca="1" si="81"/>
        <v>#DIV/0!</v>
      </c>
      <c r="L328" s="196">
        <f t="shared" ca="1" si="84"/>
        <v>0</v>
      </c>
      <c r="M328" s="196" t="e">
        <f t="shared" ca="1" si="82"/>
        <v>#DIV/0!</v>
      </c>
      <c r="N328" s="196">
        <f t="shared" ca="1" si="69"/>
        <v>0</v>
      </c>
      <c r="O328" s="196">
        <f ca="1">(DATOSAÑO!AJ328+DATOSAÑO!AK328+DATOSAÑO!AD328)</f>
        <v>0</v>
      </c>
      <c r="P328" s="196">
        <f ca="1">DATOSAÑO!AI328</f>
        <v>0</v>
      </c>
      <c r="Q328" s="196">
        <f ca="1">DATOSAÑO!AH328</f>
        <v>0</v>
      </c>
      <c r="R328" s="196">
        <f ca="1">DATOSAÑO!AM328+DATOSAÑO!AN328+DATOSAÑO!AF328</f>
        <v>0</v>
      </c>
      <c r="S328" s="209">
        <f ca="1">IF(B328&gt;=$P$5,0,CONTADORES!S334-CONTADORES!S333)</f>
        <v>0</v>
      </c>
      <c r="T328" s="206">
        <f ca="1">IF(B328&gt;=$P$5,0,(CONTADORES!U334-CONTADORES!U333)+(CONTADORES!AG334-CONTADORES!AG333))</f>
        <v>0</v>
      </c>
      <c r="U328" s="206">
        <f ca="1">IF(B328&gt;=$P$5,0,(CONTADORES!AS334-CONTADORES!AS333))</f>
        <v>0</v>
      </c>
      <c r="V328" s="206">
        <f ca="1">IF(B328&gt;=$P$5,0,(CONTADORES!AT334-CONTADORES!AT333))</f>
        <v>0</v>
      </c>
      <c r="W328" s="206">
        <v>0</v>
      </c>
      <c r="X328" s="206">
        <f ca="1">IF(W328=0,(T328-INICIO!$W$6),((T328-INICIO!$W$6)+V328))</f>
        <v>0</v>
      </c>
      <c r="Y328" s="208">
        <f t="shared" ca="1" si="70"/>
        <v>0</v>
      </c>
      <c r="Z328" s="209" t="e">
        <f t="shared" ca="1" si="71"/>
        <v>#DIV/0!</v>
      </c>
      <c r="AA328" s="206" t="e">
        <f t="shared" ca="1" si="72"/>
        <v>#DIV/0!</v>
      </c>
      <c r="AB328" s="206" t="e">
        <f t="shared" ca="1" si="73"/>
        <v>#DIV/0!</v>
      </c>
      <c r="AC328" s="208" t="e">
        <f t="shared" ca="1" si="68"/>
        <v>#DIV/0!</v>
      </c>
    </row>
    <row r="329" spans="2:29">
      <c r="B329" s="214">
        <v>44880</v>
      </c>
      <c r="C329" s="202">
        <f ca="1">DATOSAÑO!I329</f>
        <v>0</v>
      </c>
      <c r="D329" s="196">
        <f ca="1">DATOSAÑO!P329</f>
        <v>0</v>
      </c>
      <c r="E329" s="196">
        <f ca="1">DATOSAÑO!Q329</f>
        <v>0</v>
      </c>
      <c r="F329" s="196">
        <f ca="1">DATOSAÑO!T329</f>
        <v>0</v>
      </c>
      <c r="G329" s="196">
        <f t="shared" ca="1" si="67"/>
        <v>0</v>
      </c>
      <c r="H329" s="196" t="e">
        <f t="shared" ca="1" si="83"/>
        <v>#DIV/0!</v>
      </c>
      <c r="I329" s="196" t="e">
        <f t="shared" ca="1" si="79"/>
        <v>#DIV/0!</v>
      </c>
      <c r="J329" s="196" t="e">
        <f t="shared" ca="1" si="80"/>
        <v>#DIV/0!</v>
      </c>
      <c r="K329" s="196" t="e">
        <f t="shared" ca="1" si="81"/>
        <v>#DIV/0!</v>
      </c>
      <c r="L329" s="196">
        <f t="shared" ca="1" si="84"/>
        <v>0</v>
      </c>
      <c r="M329" s="196" t="e">
        <f t="shared" ca="1" si="82"/>
        <v>#DIV/0!</v>
      </c>
      <c r="N329" s="196">
        <f t="shared" ca="1" si="69"/>
        <v>0</v>
      </c>
      <c r="O329" s="196">
        <f ca="1">(DATOSAÑO!AJ329+DATOSAÑO!AK329+DATOSAÑO!AD329)</f>
        <v>0</v>
      </c>
      <c r="P329" s="196">
        <f ca="1">DATOSAÑO!AI329</f>
        <v>0</v>
      </c>
      <c r="Q329" s="196">
        <f ca="1">DATOSAÑO!AH329</f>
        <v>0</v>
      </c>
      <c r="R329" s="196">
        <f ca="1">DATOSAÑO!AM329+DATOSAÑO!AN329+DATOSAÑO!AF329</f>
        <v>0</v>
      </c>
      <c r="S329" s="209">
        <f ca="1">IF(B329&gt;=$P$5,0,CONTADORES!S335-CONTADORES!S334)</f>
        <v>0</v>
      </c>
      <c r="T329" s="206">
        <f ca="1">IF(B329&gt;=$P$5,0,(CONTADORES!U335-CONTADORES!U334)+(CONTADORES!AG335-CONTADORES!AG334))</f>
        <v>0</v>
      </c>
      <c r="U329" s="206">
        <f ca="1">IF(B329&gt;=$P$5,0,(CONTADORES!AS335-CONTADORES!AS334))</f>
        <v>0</v>
      </c>
      <c r="V329" s="206">
        <f ca="1">IF(B329&gt;=$P$5,0,(CONTADORES!AT335-CONTADORES!AT334))</f>
        <v>0</v>
      </c>
      <c r="W329" s="206">
        <v>0</v>
      </c>
      <c r="X329" s="206">
        <f ca="1">IF(W329=0,(T329-INICIO!$W$6),((T329-INICIO!$W$6)+V329))</f>
        <v>0</v>
      </c>
      <c r="Y329" s="208">
        <f t="shared" ca="1" si="70"/>
        <v>0</v>
      </c>
      <c r="Z329" s="209" t="e">
        <f t="shared" ca="1" si="71"/>
        <v>#DIV/0!</v>
      </c>
      <c r="AA329" s="206" t="e">
        <f t="shared" ca="1" si="72"/>
        <v>#DIV/0!</v>
      </c>
      <c r="AB329" s="206" t="e">
        <f t="shared" ca="1" si="73"/>
        <v>#DIV/0!</v>
      </c>
      <c r="AC329" s="208" t="e">
        <f t="shared" ca="1" si="68"/>
        <v>#DIV/0!</v>
      </c>
    </row>
    <row r="330" spans="2:29">
      <c r="B330" s="214">
        <v>44881</v>
      </c>
      <c r="C330" s="202">
        <f ca="1">DATOSAÑO!I330</f>
        <v>0</v>
      </c>
      <c r="D330" s="196">
        <f ca="1">DATOSAÑO!P330</f>
        <v>0</v>
      </c>
      <c r="E330" s="196">
        <f ca="1">DATOSAÑO!Q330</f>
        <v>0</v>
      </c>
      <c r="F330" s="196">
        <f ca="1">DATOSAÑO!T330</f>
        <v>0</v>
      </c>
      <c r="G330" s="196">
        <f t="shared" ca="1" si="67"/>
        <v>0</v>
      </c>
      <c r="H330" s="196" t="e">
        <f t="shared" ca="1" si="83"/>
        <v>#DIV/0!</v>
      </c>
      <c r="I330" s="196" t="e">
        <f t="shared" ca="1" si="79"/>
        <v>#DIV/0!</v>
      </c>
      <c r="J330" s="196" t="e">
        <f t="shared" ca="1" si="80"/>
        <v>#DIV/0!</v>
      </c>
      <c r="K330" s="196" t="e">
        <f t="shared" ca="1" si="81"/>
        <v>#DIV/0!</v>
      </c>
      <c r="L330" s="196">
        <f t="shared" ca="1" si="84"/>
        <v>0</v>
      </c>
      <c r="M330" s="196" t="e">
        <f t="shared" ca="1" si="82"/>
        <v>#DIV/0!</v>
      </c>
      <c r="N330" s="196">
        <f t="shared" ca="1" si="69"/>
        <v>0</v>
      </c>
      <c r="O330" s="196">
        <f ca="1">(DATOSAÑO!AJ330+DATOSAÑO!AK330+DATOSAÑO!AD330)</f>
        <v>0</v>
      </c>
      <c r="P330" s="196">
        <f ca="1">DATOSAÑO!AI330</f>
        <v>0</v>
      </c>
      <c r="Q330" s="196">
        <f ca="1">DATOSAÑO!AH330</f>
        <v>0</v>
      </c>
      <c r="R330" s="196">
        <f ca="1">DATOSAÑO!AM330+DATOSAÑO!AN330+DATOSAÑO!AF330</f>
        <v>0</v>
      </c>
      <c r="S330" s="209">
        <f ca="1">IF(B330&gt;=$P$5,0,CONTADORES!S336-CONTADORES!S335)</f>
        <v>0</v>
      </c>
      <c r="T330" s="206">
        <f ca="1">IF(B330&gt;=$P$5,0,(CONTADORES!U336-CONTADORES!U335)+(CONTADORES!AG336-CONTADORES!AG335))</f>
        <v>0</v>
      </c>
      <c r="U330" s="206">
        <f ca="1">IF(B330&gt;=$P$5,0,(CONTADORES!AS336-CONTADORES!AS335))</f>
        <v>0</v>
      </c>
      <c r="V330" s="206">
        <f ca="1">IF(B330&gt;=$P$5,0,(CONTADORES!AT336-CONTADORES!AT335))</f>
        <v>0</v>
      </c>
      <c r="W330" s="206">
        <v>0</v>
      </c>
      <c r="X330" s="206">
        <f ca="1">IF(W330=0,(T330-INICIO!$W$6),((T330-INICIO!$W$6)+V330))</f>
        <v>0</v>
      </c>
      <c r="Y330" s="208">
        <f t="shared" ca="1" si="70"/>
        <v>0</v>
      </c>
      <c r="Z330" s="209" t="e">
        <f t="shared" ca="1" si="71"/>
        <v>#DIV/0!</v>
      </c>
      <c r="AA330" s="206" t="e">
        <f t="shared" ca="1" si="72"/>
        <v>#DIV/0!</v>
      </c>
      <c r="AB330" s="206" t="e">
        <f t="shared" ca="1" si="73"/>
        <v>#DIV/0!</v>
      </c>
      <c r="AC330" s="208" t="e">
        <f t="shared" ca="1" si="68"/>
        <v>#DIV/0!</v>
      </c>
    </row>
    <row r="331" spans="2:29">
      <c r="B331" s="214">
        <v>44882</v>
      </c>
      <c r="C331" s="202">
        <f ca="1">DATOSAÑO!I331</f>
        <v>0</v>
      </c>
      <c r="D331" s="196">
        <f ca="1">DATOSAÑO!P331</f>
        <v>0</v>
      </c>
      <c r="E331" s="196">
        <f ca="1">DATOSAÑO!Q331</f>
        <v>0</v>
      </c>
      <c r="F331" s="196">
        <f ca="1">DATOSAÑO!T331</f>
        <v>0</v>
      </c>
      <c r="G331" s="196">
        <f t="shared" ref="G331:G375" ca="1" si="85">SUM(C331:F331)</f>
        <v>0</v>
      </c>
      <c r="H331" s="196" t="e">
        <f t="shared" ca="1" si="83"/>
        <v>#DIV/0!</v>
      </c>
      <c r="I331" s="196" t="e">
        <f t="shared" ca="1" si="79"/>
        <v>#DIV/0!</v>
      </c>
      <c r="J331" s="196" t="e">
        <f t="shared" ca="1" si="80"/>
        <v>#DIV/0!</v>
      </c>
      <c r="K331" s="196" t="e">
        <f t="shared" ca="1" si="81"/>
        <v>#DIV/0!</v>
      </c>
      <c r="L331" s="196">
        <f t="shared" ca="1" si="84"/>
        <v>0</v>
      </c>
      <c r="M331" s="196" t="e">
        <f t="shared" ca="1" si="82"/>
        <v>#DIV/0!</v>
      </c>
      <c r="N331" s="196">
        <f t="shared" ca="1" si="69"/>
        <v>0</v>
      </c>
      <c r="O331" s="196">
        <f ca="1">(DATOSAÑO!AJ331+DATOSAÑO!AK331+DATOSAÑO!AD331)</f>
        <v>0</v>
      </c>
      <c r="P331" s="196">
        <f ca="1">DATOSAÑO!AI331</f>
        <v>0</v>
      </c>
      <c r="Q331" s="196">
        <f ca="1">DATOSAÑO!AH331</f>
        <v>0</v>
      </c>
      <c r="R331" s="196">
        <f ca="1">DATOSAÑO!AM331+DATOSAÑO!AN331+DATOSAÑO!AF331</f>
        <v>0</v>
      </c>
      <c r="S331" s="209">
        <f ca="1">IF(B331&gt;=$P$5,0,CONTADORES!S337-CONTADORES!S336)</f>
        <v>0</v>
      </c>
      <c r="T331" s="206">
        <f ca="1">IF(B331&gt;=$P$5,0,(CONTADORES!U337-CONTADORES!U336)+(CONTADORES!AG337-CONTADORES!AG336))</f>
        <v>0</v>
      </c>
      <c r="U331" s="206">
        <f ca="1">IF(B331&gt;=$P$5,0,(CONTADORES!AS337-CONTADORES!AS336))</f>
        <v>0</v>
      </c>
      <c r="V331" s="206">
        <f ca="1">IF(B331&gt;=$P$5,0,(CONTADORES!AT337-CONTADORES!AT336))</f>
        <v>0</v>
      </c>
      <c r="W331" s="206">
        <v>0</v>
      </c>
      <c r="X331" s="206">
        <f ca="1">IF(W331=0,(T331-INICIO!$W$6),((T331-INICIO!$W$6)+V331))</f>
        <v>0</v>
      </c>
      <c r="Y331" s="208">
        <f t="shared" ca="1" si="70"/>
        <v>0</v>
      </c>
      <c r="Z331" s="209" t="e">
        <f t="shared" ca="1" si="71"/>
        <v>#DIV/0!</v>
      </c>
      <c r="AA331" s="206" t="e">
        <f t="shared" ca="1" si="72"/>
        <v>#DIV/0!</v>
      </c>
      <c r="AB331" s="206" t="e">
        <f t="shared" ca="1" si="73"/>
        <v>#DIV/0!</v>
      </c>
      <c r="AC331" s="208" t="e">
        <f t="shared" ref="AC331:AC375" ca="1" si="86">IF(B331&gt;=$P$5,0,($Y331*N331)/SUM($N331:$Q331))</f>
        <v>#DIV/0!</v>
      </c>
    </row>
    <row r="332" spans="2:29">
      <c r="B332" s="214">
        <v>44883</v>
      </c>
      <c r="C332" s="202">
        <f ca="1">DATOSAÑO!I332</f>
        <v>0</v>
      </c>
      <c r="D332" s="196">
        <f ca="1">DATOSAÑO!P332</f>
        <v>0</v>
      </c>
      <c r="E332" s="196">
        <f ca="1">DATOSAÑO!Q332</f>
        <v>0</v>
      </c>
      <c r="F332" s="196">
        <f ca="1">DATOSAÑO!T332</f>
        <v>0</v>
      </c>
      <c r="G332" s="196">
        <f t="shared" ca="1" si="85"/>
        <v>0</v>
      </c>
      <c r="H332" s="196" t="e">
        <f t="shared" ca="1" si="83"/>
        <v>#DIV/0!</v>
      </c>
      <c r="I332" s="196" t="e">
        <f t="shared" ca="1" si="79"/>
        <v>#DIV/0!</v>
      </c>
      <c r="J332" s="196" t="e">
        <f t="shared" ca="1" si="80"/>
        <v>#DIV/0!</v>
      </c>
      <c r="K332" s="196" t="e">
        <f t="shared" ca="1" si="81"/>
        <v>#DIV/0!</v>
      </c>
      <c r="L332" s="196">
        <f t="shared" ca="1" si="84"/>
        <v>0</v>
      </c>
      <c r="M332" s="196" t="e">
        <f t="shared" ca="1" si="82"/>
        <v>#DIV/0!</v>
      </c>
      <c r="N332" s="196">
        <f t="shared" ref="N332:N375" ca="1" si="87">U332</f>
        <v>0</v>
      </c>
      <c r="O332" s="196">
        <f ca="1">(DATOSAÑO!AJ332+DATOSAÑO!AK332+DATOSAÑO!AD332)</f>
        <v>0</v>
      </c>
      <c r="P332" s="196">
        <f ca="1">DATOSAÑO!AI332</f>
        <v>0</v>
      </c>
      <c r="Q332" s="196">
        <f ca="1">DATOSAÑO!AH332</f>
        <v>0</v>
      </c>
      <c r="R332" s="196">
        <f ca="1">DATOSAÑO!AM332+DATOSAÑO!AN332+DATOSAÑO!AF332</f>
        <v>0</v>
      </c>
      <c r="S332" s="209">
        <f ca="1">IF(B332&gt;=$P$5,0,CONTADORES!S338-CONTADORES!S337)</f>
        <v>0</v>
      </c>
      <c r="T332" s="206">
        <f ca="1">IF(B332&gt;=$P$5,0,(CONTADORES!U338-CONTADORES!U337)+(CONTADORES!AG338-CONTADORES!AG337))</f>
        <v>0</v>
      </c>
      <c r="U332" s="206">
        <f ca="1">IF(B332&gt;=$P$5,0,(CONTADORES!AS338-CONTADORES!AS337))</f>
        <v>0</v>
      </c>
      <c r="V332" s="206">
        <f ca="1">IF(B332&gt;=$P$5,0,(CONTADORES!AT338-CONTADORES!AT337))</f>
        <v>0</v>
      </c>
      <c r="W332" s="206">
        <v>0</v>
      </c>
      <c r="X332" s="206">
        <f ca="1">IF(W332=0,(T332-INICIO!$W$6),((T332-INICIO!$W$6)+V332))</f>
        <v>0</v>
      </c>
      <c r="Y332" s="208">
        <f t="shared" ref="Y332:Y375" ca="1" si="88">(IF(W332=0,(S332-U332),((S332-U332)-V332))+E332)</f>
        <v>0</v>
      </c>
      <c r="Z332" s="209" t="e">
        <f t="shared" ref="Z332:Z375" ca="1" si="89">IF(B332&gt;=$P$5,0,($Y332*O332)/SUM($N332:$Q332))</f>
        <v>#DIV/0!</v>
      </c>
      <c r="AA332" s="206" t="e">
        <f t="shared" ref="AA332:AA375" ca="1" si="90">IF(B332&gt;=$P$5,0,($Y332*P332)/SUM($N332:$Q332))</f>
        <v>#DIV/0!</v>
      </c>
      <c r="AB332" s="206" t="e">
        <f t="shared" ref="AB332:AB375" ca="1" si="91">IF(B332&gt;=$P$5,0,($Y332*Q332)/SUM($N332:$Q332))</f>
        <v>#DIV/0!</v>
      </c>
      <c r="AC332" s="208" t="e">
        <f t="shared" ca="1" si="86"/>
        <v>#DIV/0!</v>
      </c>
    </row>
    <row r="333" spans="2:29">
      <c r="B333" s="214">
        <v>44884</v>
      </c>
      <c r="C333" s="202">
        <f ca="1">DATOSAÑO!I333</f>
        <v>0</v>
      </c>
      <c r="D333" s="196">
        <f ca="1">DATOSAÑO!P333</f>
        <v>0</v>
      </c>
      <c r="E333" s="196">
        <f ca="1">DATOSAÑO!Q333</f>
        <v>0</v>
      </c>
      <c r="F333" s="196">
        <f ca="1">DATOSAÑO!T333</f>
        <v>0</v>
      </c>
      <c r="G333" s="196">
        <f t="shared" ca="1" si="85"/>
        <v>0</v>
      </c>
      <c r="H333" s="196" t="e">
        <f t="shared" ca="1" si="83"/>
        <v>#DIV/0!</v>
      </c>
      <c r="I333" s="196" t="e">
        <f t="shared" ca="1" si="79"/>
        <v>#DIV/0!</v>
      </c>
      <c r="J333" s="196" t="e">
        <f t="shared" ca="1" si="80"/>
        <v>#DIV/0!</v>
      </c>
      <c r="K333" s="196" t="e">
        <f t="shared" ca="1" si="81"/>
        <v>#DIV/0!</v>
      </c>
      <c r="L333" s="196">
        <f t="shared" ca="1" si="84"/>
        <v>0</v>
      </c>
      <c r="M333" s="196" t="e">
        <f t="shared" ca="1" si="82"/>
        <v>#DIV/0!</v>
      </c>
      <c r="N333" s="196">
        <f t="shared" ca="1" si="87"/>
        <v>0</v>
      </c>
      <c r="O333" s="196">
        <f ca="1">(DATOSAÑO!AJ333+DATOSAÑO!AK333+DATOSAÑO!AD333)</f>
        <v>0</v>
      </c>
      <c r="P333" s="196">
        <f ca="1">DATOSAÑO!AI333</f>
        <v>0</v>
      </c>
      <c r="Q333" s="196">
        <f ca="1">DATOSAÑO!AH333</f>
        <v>0</v>
      </c>
      <c r="R333" s="196">
        <f ca="1">DATOSAÑO!AM333+DATOSAÑO!AN333+DATOSAÑO!AF333</f>
        <v>0</v>
      </c>
      <c r="S333" s="209">
        <f ca="1">IF(B333&gt;=$P$5,0,CONTADORES!S339-CONTADORES!S338)</f>
        <v>0</v>
      </c>
      <c r="T333" s="206">
        <f ca="1">IF(B333&gt;=$P$5,0,(CONTADORES!U339-CONTADORES!U338)+(CONTADORES!AG339-CONTADORES!AG338))</f>
        <v>0</v>
      </c>
      <c r="U333" s="206">
        <f ca="1">IF(B333&gt;=$P$5,0,(CONTADORES!AS339-CONTADORES!AS338))</f>
        <v>0</v>
      </c>
      <c r="V333" s="206">
        <f ca="1">IF(B333&gt;=$P$5,0,(CONTADORES!AT339-CONTADORES!AT338))</f>
        <v>0</v>
      </c>
      <c r="W333" s="206">
        <v>0</v>
      </c>
      <c r="X333" s="206">
        <f ca="1">IF(W333=0,(T333-INICIO!$W$6),((T333-INICIO!$W$6)+V333))</f>
        <v>0</v>
      </c>
      <c r="Y333" s="208">
        <f t="shared" ca="1" si="88"/>
        <v>0</v>
      </c>
      <c r="Z333" s="209" t="e">
        <f t="shared" ca="1" si="89"/>
        <v>#DIV/0!</v>
      </c>
      <c r="AA333" s="206" t="e">
        <f t="shared" ca="1" si="90"/>
        <v>#DIV/0!</v>
      </c>
      <c r="AB333" s="206" t="e">
        <f t="shared" ca="1" si="91"/>
        <v>#DIV/0!</v>
      </c>
      <c r="AC333" s="208" t="e">
        <f t="shared" ca="1" si="86"/>
        <v>#DIV/0!</v>
      </c>
    </row>
    <row r="334" spans="2:29">
      <c r="B334" s="214">
        <v>44885</v>
      </c>
      <c r="C334" s="202">
        <f ca="1">DATOSAÑO!I334</f>
        <v>0</v>
      </c>
      <c r="D334" s="196">
        <f ca="1">DATOSAÑO!P334</f>
        <v>0</v>
      </c>
      <c r="E334" s="196">
        <f ca="1">DATOSAÑO!Q334</f>
        <v>0</v>
      </c>
      <c r="F334" s="196">
        <f ca="1">DATOSAÑO!T334</f>
        <v>0</v>
      </c>
      <c r="G334" s="196">
        <f t="shared" ca="1" si="85"/>
        <v>0</v>
      </c>
      <c r="H334" s="196" t="e">
        <f t="shared" ca="1" si="83"/>
        <v>#DIV/0!</v>
      </c>
      <c r="I334" s="196" t="e">
        <f t="shared" ca="1" si="79"/>
        <v>#DIV/0!</v>
      </c>
      <c r="J334" s="196" t="e">
        <f t="shared" ca="1" si="80"/>
        <v>#DIV/0!</v>
      </c>
      <c r="K334" s="196" t="e">
        <f t="shared" ca="1" si="81"/>
        <v>#DIV/0!</v>
      </c>
      <c r="L334" s="196">
        <f t="shared" ca="1" si="84"/>
        <v>0</v>
      </c>
      <c r="M334" s="196" t="e">
        <f t="shared" ca="1" si="82"/>
        <v>#DIV/0!</v>
      </c>
      <c r="N334" s="196">
        <f t="shared" ca="1" si="87"/>
        <v>0</v>
      </c>
      <c r="O334" s="196">
        <f ca="1">(DATOSAÑO!AJ334+DATOSAÑO!AK334+DATOSAÑO!AD334)</f>
        <v>0</v>
      </c>
      <c r="P334" s="196">
        <f ca="1">DATOSAÑO!AI334</f>
        <v>0</v>
      </c>
      <c r="Q334" s="196">
        <f ca="1">DATOSAÑO!AH334</f>
        <v>0</v>
      </c>
      <c r="R334" s="196">
        <f ca="1">DATOSAÑO!AM334+DATOSAÑO!AN334+DATOSAÑO!AF334</f>
        <v>0</v>
      </c>
      <c r="S334" s="209">
        <f ca="1">IF(B334&gt;=$P$5,0,CONTADORES!S340-CONTADORES!S339)</f>
        <v>0</v>
      </c>
      <c r="T334" s="206">
        <f ca="1">IF(B334&gt;=$P$5,0,(CONTADORES!U340-CONTADORES!U339)+(CONTADORES!AG340-CONTADORES!AG339))</f>
        <v>0</v>
      </c>
      <c r="U334" s="206">
        <f ca="1">IF(B334&gt;=$P$5,0,(CONTADORES!AS340-CONTADORES!AS339))</f>
        <v>0</v>
      </c>
      <c r="V334" s="206">
        <f ca="1">IF(B334&gt;=$P$5,0,(CONTADORES!AT340-CONTADORES!AT339))</f>
        <v>0</v>
      </c>
      <c r="W334" s="206">
        <v>0</v>
      </c>
      <c r="X334" s="206">
        <f ca="1">IF(W334=0,(T334-INICIO!$W$6),((T334-INICIO!$W$6)+V334))</f>
        <v>0</v>
      </c>
      <c r="Y334" s="208">
        <f t="shared" ca="1" si="88"/>
        <v>0</v>
      </c>
      <c r="Z334" s="209" t="e">
        <f t="shared" ca="1" si="89"/>
        <v>#DIV/0!</v>
      </c>
      <c r="AA334" s="206" t="e">
        <f t="shared" ca="1" si="90"/>
        <v>#DIV/0!</v>
      </c>
      <c r="AB334" s="206" t="e">
        <f t="shared" ca="1" si="91"/>
        <v>#DIV/0!</v>
      </c>
      <c r="AC334" s="208" t="e">
        <f t="shared" ca="1" si="86"/>
        <v>#DIV/0!</v>
      </c>
    </row>
    <row r="335" spans="2:29">
      <c r="B335" s="214">
        <v>44886</v>
      </c>
      <c r="C335" s="202">
        <f ca="1">DATOSAÑO!I335</f>
        <v>0</v>
      </c>
      <c r="D335" s="196">
        <f ca="1">DATOSAÑO!P335</f>
        <v>0</v>
      </c>
      <c r="E335" s="196">
        <f ca="1">DATOSAÑO!Q335</f>
        <v>0</v>
      </c>
      <c r="F335" s="196">
        <f ca="1">DATOSAÑO!T335</f>
        <v>0</v>
      </c>
      <c r="G335" s="196">
        <f t="shared" ca="1" si="85"/>
        <v>0</v>
      </c>
      <c r="H335" s="196" t="e">
        <f t="shared" ca="1" si="83"/>
        <v>#DIV/0!</v>
      </c>
      <c r="I335" s="196" t="e">
        <f t="shared" ca="1" si="79"/>
        <v>#DIV/0!</v>
      </c>
      <c r="J335" s="196" t="e">
        <f t="shared" ca="1" si="80"/>
        <v>#DIV/0!</v>
      </c>
      <c r="K335" s="196" t="e">
        <f t="shared" ca="1" si="81"/>
        <v>#DIV/0!</v>
      </c>
      <c r="L335" s="196">
        <f t="shared" ca="1" si="84"/>
        <v>0</v>
      </c>
      <c r="M335" s="196" t="e">
        <f t="shared" ca="1" si="82"/>
        <v>#DIV/0!</v>
      </c>
      <c r="N335" s="196">
        <f t="shared" ca="1" si="87"/>
        <v>0</v>
      </c>
      <c r="O335" s="196">
        <f ca="1">(DATOSAÑO!AJ335+DATOSAÑO!AK335+DATOSAÑO!AD335)</f>
        <v>0</v>
      </c>
      <c r="P335" s="196">
        <f ca="1">DATOSAÑO!AI335</f>
        <v>0</v>
      </c>
      <c r="Q335" s="196">
        <f ca="1">DATOSAÑO!AH335</f>
        <v>0</v>
      </c>
      <c r="R335" s="196">
        <f ca="1">DATOSAÑO!AM335+DATOSAÑO!AN335+DATOSAÑO!AF335</f>
        <v>0</v>
      </c>
      <c r="S335" s="209">
        <f ca="1">IF(B335&gt;=$P$5,0,CONTADORES!S341-CONTADORES!S340)</f>
        <v>0</v>
      </c>
      <c r="T335" s="206">
        <f ca="1">IF(B335&gt;=$P$5,0,(CONTADORES!U341-CONTADORES!U340)+(CONTADORES!AG341-CONTADORES!AG340))</f>
        <v>0</v>
      </c>
      <c r="U335" s="206">
        <f ca="1">IF(B335&gt;=$P$5,0,(CONTADORES!AS341-CONTADORES!AS340))</f>
        <v>0</v>
      </c>
      <c r="V335" s="206">
        <f ca="1">IF(B335&gt;=$P$5,0,(CONTADORES!AT341-CONTADORES!AT340))</f>
        <v>0</v>
      </c>
      <c r="W335" s="206">
        <v>0</v>
      </c>
      <c r="X335" s="206">
        <f ca="1">IF(W335=0,(T335-INICIO!$W$6),((T335-INICIO!$W$6)+V335))</f>
        <v>0</v>
      </c>
      <c r="Y335" s="208">
        <f t="shared" ca="1" si="88"/>
        <v>0</v>
      </c>
      <c r="Z335" s="209" t="e">
        <f t="shared" ca="1" si="89"/>
        <v>#DIV/0!</v>
      </c>
      <c r="AA335" s="206" t="e">
        <f t="shared" ca="1" si="90"/>
        <v>#DIV/0!</v>
      </c>
      <c r="AB335" s="206" t="e">
        <f t="shared" ca="1" si="91"/>
        <v>#DIV/0!</v>
      </c>
      <c r="AC335" s="208" t="e">
        <f t="shared" ca="1" si="86"/>
        <v>#DIV/0!</v>
      </c>
    </row>
    <row r="336" spans="2:29">
      <c r="B336" s="214">
        <v>44887</v>
      </c>
      <c r="C336" s="202">
        <f ca="1">DATOSAÑO!I336</f>
        <v>0</v>
      </c>
      <c r="D336" s="196">
        <f ca="1">DATOSAÑO!P336</f>
        <v>0</v>
      </c>
      <c r="E336" s="196">
        <f ca="1">DATOSAÑO!Q336</f>
        <v>0</v>
      </c>
      <c r="F336" s="196">
        <f ca="1">DATOSAÑO!T336</f>
        <v>0</v>
      </c>
      <c r="G336" s="196">
        <f t="shared" ca="1" si="85"/>
        <v>0</v>
      </c>
      <c r="H336" s="196" t="e">
        <f t="shared" ca="1" si="83"/>
        <v>#DIV/0!</v>
      </c>
      <c r="I336" s="196" t="e">
        <f t="shared" ca="1" si="79"/>
        <v>#DIV/0!</v>
      </c>
      <c r="J336" s="196" t="e">
        <f t="shared" ca="1" si="80"/>
        <v>#DIV/0!</v>
      </c>
      <c r="K336" s="196" t="e">
        <f t="shared" ca="1" si="81"/>
        <v>#DIV/0!</v>
      </c>
      <c r="L336" s="196">
        <f t="shared" ca="1" si="84"/>
        <v>0</v>
      </c>
      <c r="M336" s="196" t="e">
        <f t="shared" ca="1" si="82"/>
        <v>#DIV/0!</v>
      </c>
      <c r="N336" s="196">
        <f t="shared" ca="1" si="87"/>
        <v>0</v>
      </c>
      <c r="O336" s="196">
        <f ca="1">(DATOSAÑO!AJ336+DATOSAÑO!AK336+DATOSAÑO!AD336)</f>
        <v>0</v>
      </c>
      <c r="P336" s="196">
        <f ca="1">DATOSAÑO!AI336</f>
        <v>0</v>
      </c>
      <c r="Q336" s="196">
        <f ca="1">DATOSAÑO!AH336</f>
        <v>0</v>
      </c>
      <c r="R336" s="196">
        <f ca="1">DATOSAÑO!AM336+DATOSAÑO!AN336+DATOSAÑO!AF336</f>
        <v>0</v>
      </c>
      <c r="S336" s="209">
        <f ca="1">IF(B336&gt;=$P$5,0,CONTADORES!S342-CONTADORES!S341)</f>
        <v>0</v>
      </c>
      <c r="T336" s="206">
        <f ca="1">IF(B336&gt;=$P$5,0,(CONTADORES!U342-CONTADORES!U341)+(CONTADORES!AG342-CONTADORES!AG341))</f>
        <v>0</v>
      </c>
      <c r="U336" s="206">
        <f ca="1">IF(B336&gt;=$P$5,0,(CONTADORES!AS342-CONTADORES!AS341))</f>
        <v>0</v>
      </c>
      <c r="V336" s="206">
        <f ca="1">IF(B336&gt;=$P$5,0,(CONTADORES!AT342-CONTADORES!AT341))</f>
        <v>0</v>
      </c>
      <c r="W336" s="206">
        <v>0</v>
      </c>
      <c r="X336" s="206">
        <f ca="1">IF(W336=0,(T336-INICIO!$W$6),((T336-INICIO!$W$6)+V336))</f>
        <v>0</v>
      </c>
      <c r="Y336" s="208">
        <f t="shared" ca="1" si="88"/>
        <v>0</v>
      </c>
      <c r="Z336" s="209" t="e">
        <f t="shared" ca="1" si="89"/>
        <v>#DIV/0!</v>
      </c>
      <c r="AA336" s="206" t="e">
        <f t="shared" ca="1" si="90"/>
        <v>#DIV/0!</v>
      </c>
      <c r="AB336" s="206" t="e">
        <f t="shared" ca="1" si="91"/>
        <v>#DIV/0!</v>
      </c>
      <c r="AC336" s="208" t="e">
        <f t="shared" ca="1" si="86"/>
        <v>#DIV/0!</v>
      </c>
    </row>
    <row r="337" spans="2:29">
      <c r="B337" s="214">
        <v>44888</v>
      </c>
      <c r="C337" s="202">
        <f ca="1">DATOSAÑO!I337</f>
        <v>0</v>
      </c>
      <c r="D337" s="196">
        <f ca="1">DATOSAÑO!P337</f>
        <v>0</v>
      </c>
      <c r="E337" s="196">
        <f ca="1">DATOSAÑO!Q337</f>
        <v>0</v>
      </c>
      <c r="F337" s="196">
        <f ca="1">DATOSAÑO!T337</f>
        <v>0</v>
      </c>
      <c r="G337" s="196">
        <f t="shared" ca="1" si="85"/>
        <v>0</v>
      </c>
      <c r="H337" s="196" t="e">
        <f t="shared" ca="1" si="83"/>
        <v>#DIV/0!</v>
      </c>
      <c r="I337" s="196" t="e">
        <f t="shared" ca="1" si="79"/>
        <v>#DIV/0!</v>
      </c>
      <c r="J337" s="196" t="e">
        <f t="shared" ca="1" si="80"/>
        <v>#DIV/0!</v>
      </c>
      <c r="K337" s="196" t="e">
        <f t="shared" ca="1" si="81"/>
        <v>#DIV/0!</v>
      </c>
      <c r="L337" s="196">
        <f t="shared" ca="1" si="84"/>
        <v>0</v>
      </c>
      <c r="M337" s="196" t="e">
        <f t="shared" ca="1" si="82"/>
        <v>#DIV/0!</v>
      </c>
      <c r="N337" s="196">
        <f t="shared" ca="1" si="87"/>
        <v>0</v>
      </c>
      <c r="O337" s="196">
        <f ca="1">(DATOSAÑO!AJ337+DATOSAÑO!AK337+DATOSAÑO!AD337)</f>
        <v>0</v>
      </c>
      <c r="P337" s="196">
        <f ca="1">DATOSAÑO!AI337</f>
        <v>0</v>
      </c>
      <c r="Q337" s="196">
        <f ca="1">DATOSAÑO!AH337</f>
        <v>0</v>
      </c>
      <c r="R337" s="196">
        <f ca="1">DATOSAÑO!AM337+DATOSAÑO!AN337+DATOSAÑO!AF337</f>
        <v>0</v>
      </c>
      <c r="S337" s="209">
        <f ca="1">IF(B337&gt;=$P$5,0,CONTADORES!S343-CONTADORES!S342)</f>
        <v>0</v>
      </c>
      <c r="T337" s="206">
        <f ca="1">IF(B337&gt;=$P$5,0,(CONTADORES!U343-CONTADORES!U342)+(CONTADORES!AG343-CONTADORES!AG342))</f>
        <v>0</v>
      </c>
      <c r="U337" s="206">
        <f ca="1">IF(B337&gt;=$P$5,0,(CONTADORES!AS343-CONTADORES!AS342))</f>
        <v>0</v>
      </c>
      <c r="V337" s="206">
        <f ca="1">IF(B337&gt;=$P$5,0,(CONTADORES!AT343-CONTADORES!AT342))</f>
        <v>0</v>
      </c>
      <c r="W337" s="206">
        <v>0</v>
      </c>
      <c r="X337" s="206">
        <f ca="1">IF(W337=0,(T337-INICIO!$W$6),((T337-INICIO!$W$6)+V337))</f>
        <v>0</v>
      </c>
      <c r="Y337" s="208">
        <f t="shared" ca="1" si="88"/>
        <v>0</v>
      </c>
      <c r="Z337" s="209" t="e">
        <f t="shared" ca="1" si="89"/>
        <v>#DIV/0!</v>
      </c>
      <c r="AA337" s="206" t="e">
        <f t="shared" ca="1" si="90"/>
        <v>#DIV/0!</v>
      </c>
      <c r="AB337" s="206" t="e">
        <f t="shared" ca="1" si="91"/>
        <v>#DIV/0!</v>
      </c>
      <c r="AC337" s="208" t="e">
        <f t="shared" ca="1" si="86"/>
        <v>#DIV/0!</v>
      </c>
    </row>
    <row r="338" spans="2:29">
      <c r="B338" s="214">
        <v>44889</v>
      </c>
      <c r="C338" s="202">
        <f ca="1">DATOSAÑO!I338</f>
        <v>0</v>
      </c>
      <c r="D338" s="196">
        <f ca="1">DATOSAÑO!P338</f>
        <v>0</v>
      </c>
      <c r="E338" s="196">
        <f ca="1">DATOSAÑO!Q338</f>
        <v>0</v>
      </c>
      <c r="F338" s="196">
        <f ca="1">DATOSAÑO!T338</f>
        <v>0</v>
      </c>
      <c r="G338" s="196">
        <f t="shared" ca="1" si="85"/>
        <v>0</v>
      </c>
      <c r="H338" s="196" t="e">
        <f t="shared" ca="1" si="83"/>
        <v>#DIV/0!</v>
      </c>
      <c r="I338" s="196" t="e">
        <f t="shared" ca="1" si="79"/>
        <v>#DIV/0!</v>
      </c>
      <c r="J338" s="196" t="e">
        <f t="shared" ca="1" si="80"/>
        <v>#DIV/0!</v>
      </c>
      <c r="K338" s="196" t="e">
        <f t="shared" ca="1" si="81"/>
        <v>#DIV/0!</v>
      </c>
      <c r="L338" s="196">
        <f t="shared" ca="1" si="84"/>
        <v>0</v>
      </c>
      <c r="M338" s="196" t="e">
        <f t="shared" ca="1" si="82"/>
        <v>#DIV/0!</v>
      </c>
      <c r="N338" s="196">
        <f t="shared" ca="1" si="87"/>
        <v>0</v>
      </c>
      <c r="O338" s="196">
        <f ca="1">(DATOSAÑO!AJ338+DATOSAÑO!AK338+DATOSAÑO!AD338)</f>
        <v>0</v>
      </c>
      <c r="P338" s="196">
        <f ca="1">DATOSAÑO!AI338</f>
        <v>0</v>
      </c>
      <c r="Q338" s="196">
        <f ca="1">DATOSAÑO!AH338</f>
        <v>0</v>
      </c>
      <c r="R338" s="196">
        <f ca="1">DATOSAÑO!AM338+DATOSAÑO!AN338+DATOSAÑO!AF338</f>
        <v>0</v>
      </c>
      <c r="S338" s="209">
        <f ca="1">IF(B338&gt;=$P$5,0,CONTADORES!S344-CONTADORES!S343)</f>
        <v>0</v>
      </c>
      <c r="T338" s="206">
        <f ca="1">IF(B338&gt;=$P$5,0,(CONTADORES!U344-CONTADORES!U343)+(CONTADORES!AG344-CONTADORES!AG343))</f>
        <v>0</v>
      </c>
      <c r="U338" s="206">
        <f ca="1">IF(B338&gt;=$P$5,0,(CONTADORES!AS344-CONTADORES!AS343))</f>
        <v>0</v>
      </c>
      <c r="V338" s="206">
        <f ca="1">IF(B338&gt;=$P$5,0,(CONTADORES!AT344-CONTADORES!AT343))</f>
        <v>0</v>
      </c>
      <c r="W338" s="206">
        <v>0</v>
      </c>
      <c r="X338" s="206">
        <f ca="1">IF(W338=0,(T338-INICIO!$W$6),((T338-INICIO!$W$6)+V338))</f>
        <v>0</v>
      </c>
      <c r="Y338" s="208">
        <f t="shared" ca="1" si="88"/>
        <v>0</v>
      </c>
      <c r="Z338" s="209" t="e">
        <f t="shared" ca="1" si="89"/>
        <v>#DIV/0!</v>
      </c>
      <c r="AA338" s="206" t="e">
        <f t="shared" ca="1" si="90"/>
        <v>#DIV/0!</v>
      </c>
      <c r="AB338" s="206" t="e">
        <f t="shared" ca="1" si="91"/>
        <v>#DIV/0!</v>
      </c>
      <c r="AC338" s="208" t="e">
        <f t="shared" ca="1" si="86"/>
        <v>#DIV/0!</v>
      </c>
    </row>
    <row r="339" spans="2:29">
      <c r="B339" s="214">
        <v>44890</v>
      </c>
      <c r="C339" s="202">
        <f ca="1">DATOSAÑO!I339</f>
        <v>0</v>
      </c>
      <c r="D339" s="196">
        <f ca="1">DATOSAÑO!P339</f>
        <v>0</v>
      </c>
      <c r="E339" s="196">
        <f ca="1">DATOSAÑO!Q339</f>
        <v>0</v>
      </c>
      <c r="F339" s="196">
        <f ca="1">DATOSAÑO!T339</f>
        <v>0</v>
      </c>
      <c r="G339" s="196">
        <f t="shared" ca="1" si="85"/>
        <v>0</v>
      </c>
      <c r="H339" s="196" t="e">
        <f t="shared" ca="1" si="83"/>
        <v>#DIV/0!</v>
      </c>
      <c r="I339" s="196" t="e">
        <f t="shared" ca="1" si="79"/>
        <v>#DIV/0!</v>
      </c>
      <c r="J339" s="196" t="e">
        <f t="shared" ca="1" si="80"/>
        <v>#DIV/0!</v>
      </c>
      <c r="K339" s="196" t="e">
        <f t="shared" ca="1" si="81"/>
        <v>#DIV/0!</v>
      </c>
      <c r="L339" s="196">
        <f t="shared" ca="1" si="84"/>
        <v>0</v>
      </c>
      <c r="M339" s="196" t="e">
        <f t="shared" ca="1" si="82"/>
        <v>#DIV/0!</v>
      </c>
      <c r="N339" s="196">
        <f t="shared" ca="1" si="87"/>
        <v>0</v>
      </c>
      <c r="O339" s="196">
        <f ca="1">(DATOSAÑO!AJ339+DATOSAÑO!AK339+DATOSAÑO!AD339)</f>
        <v>0</v>
      </c>
      <c r="P339" s="196">
        <f ca="1">DATOSAÑO!AI339</f>
        <v>0</v>
      </c>
      <c r="Q339" s="196">
        <f ca="1">DATOSAÑO!AH339</f>
        <v>0</v>
      </c>
      <c r="R339" s="196">
        <f ca="1">DATOSAÑO!AM339+DATOSAÑO!AN339+DATOSAÑO!AF339</f>
        <v>0</v>
      </c>
      <c r="S339" s="209">
        <f ca="1">IF(B339&gt;=$P$5,0,CONTADORES!S345-CONTADORES!S344)</f>
        <v>0</v>
      </c>
      <c r="T339" s="206">
        <f ca="1">IF(B339&gt;=$P$5,0,(CONTADORES!U345-CONTADORES!U344)+(CONTADORES!AG345-CONTADORES!AG344))</f>
        <v>0</v>
      </c>
      <c r="U339" s="206">
        <f ca="1">IF(B339&gt;=$P$5,0,(CONTADORES!AS345-CONTADORES!AS344))</f>
        <v>0</v>
      </c>
      <c r="V339" s="206">
        <f ca="1">IF(B339&gt;=$P$5,0,(CONTADORES!AT345-CONTADORES!AT344))</f>
        <v>0</v>
      </c>
      <c r="W339" s="206">
        <v>0</v>
      </c>
      <c r="X339" s="206">
        <f ca="1">IF(W339=0,(T339-INICIO!$W$6),((T339-INICIO!$W$6)+V339))</f>
        <v>0</v>
      </c>
      <c r="Y339" s="208">
        <f t="shared" ca="1" si="88"/>
        <v>0</v>
      </c>
      <c r="Z339" s="209" t="e">
        <f t="shared" ca="1" si="89"/>
        <v>#DIV/0!</v>
      </c>
      <c r="AA339" s="206" t="e">
        <f t="shared" ca="1" si="90"/>
        <v>#DIV/0!</v>
      </c>
      <c r="AB339" s="206" t="e">
        <f t="shared" ca="1" si="91"/>
        <v>#DIV/0!</v>
      </c>
      <c r="AC339" s="208" t="e">
        <f t="shared" ca="1" si="86"/>
        <v>#DIV/0!</v>
      </c>
    </row>
    <row r="340" spans="2:29">
      <c r="B340" s="214">
        <v>44891</v>
      </c>
      <c r="C340" s="202">
        <f ca="1">DATOSAÑO!I340</f>
        <v>0</v>
      </c>
      <c r="D340" s="196">
        <f ca="1">DATOSAÑO!P340</f>
        <v>0</v>
      </c>
      <c r="E340" s="196">
        <f ca="1">DATOSAÑO!Q340</f>
        <v>0</v>
      </c>
      <c r="F340" s="196">
        <f ca="1">DATOSAÑO!T340</f>
        <v>0</v>
      </c>
      <c r="G340" s="196">
        <f t="shared" ca="1" si="85"/>
        <v>0</v>
      </c>
      <c r="H340" s="196" t="e">
        <f t="shared" ca="1" si="83"/>
        <v>#DIV/0!</v>
      </c>
      <c r="I340" s="196" t="e">
        <f t="shared" ca="1" si="79"/>
        <v>#DIV/0!</v>
      </c>
      <c r="J340" s="196" t="e">
        <f t="shared" ca="1" si="80"/>
        <v>#DIV/0!</v>
      </c>
      <c r="K340" s="196" t="e">
        <f t="shared" ca="1" si="81"/>
        <v>#DIV/0!</v>
      </c>
      <c r="L340" s="196">
        <f t="shared" ca="1" si="84"/>
        <v>0</v>
      </c>
      <c r="M340" s="196" t="e">
        <f t="shared" ca="1" si="82"/>
        <v>#DIV/0!</v>
      </c>
      <c r="N340" s="196">
        <f t="shared" ca="1" si="87"/>
        <v>0</v>
      </c>
      <c r="O340" s="196">
        <f ca="1">(DATOSAÑO!AJ340+DATOSAÑO!AK340+DATOSAÑO!AD340)</f>
        <v>0</v>
      </c>
      <c r="P340" s="196">
        <f ca="1">DATOSAÑO!AI340</f>
        <v>0</v>
      </c>
      <c r="Q340" s="196">
        <f ca="1">DATOSAÑO!AH340</f>
        <v>0</v>
      </c>
      <c r="R340" s="196">
        <f ca="1">DATOSAÑO!AM340+DATOSAÑO!AN340+DATOSAÑO!AF340</f>
        <v>0</v>
      </c>
      <c r="S340" s="209">
        <f ca="1">IF(B340&gt;=$P$5,0,CONTADORES!S346-CONTADORES!S345)</f>
        <v>0</v>
      </c>
      <c r="T340" s="206">
        <f ca="1">IF(B340&gt;=$P$5,0,(CONTADORES!U346-CONTADORES!U345)+(CONTADORES!AG346-CONTADORES!AG345))</f>
        <v>0</v>
      </c>
      <c r="U340" s="206">
        <f ca="1">IF(B340&gt;=$P$5,0,(CONTADORES!AS346-CONTADORES!AS345))</f>
        <v>0</v>
      </c>
      <c r="V340" s="206">
        <f ca="1">IF(B340&gt;=$P$5,0,(CONTADORES!AT346-CONTADORES!AT345))</f>
        <v>0</v>
      </c>
      <c r="W340" s="206">
        <v>0</v>
      </c>
      <c r="X340" s="206">
        <f ca="1">IF(W340=0,(T340-INICIO!$W$6),((T340-INICIO!$W$6)+V340))</f>
        <v>0</v>
      </c>
      <c r="Y340" s="208">
        <f t="shared" ca="1" si="88"/>
        <v>0</v>
      </c>
      <c r="Z340" s="209" t="e">
        <f t="shared" ca="1" si="89"/>
        <v>#DIV/0!</v>
      </c>
      <c r="AA340" s="206" t="e">
        <f t="shared" ca="1" si="90"/>
        <v>#DIV/0!</v>
      </c>
      <c r="AB340" s="206" t="e">
        <f t="shared" ca="1" si="91"/>
        <v>#DIV/0!</v>
      </c>
      <c r="AC340" s="208" t="e">
        <f t="shared" ca="1" si="86"/>
        <v>#DIV/0!</v>
      </c>
    </row>
    <row r="341" spans="2:29">
      <c r="B341" s="214">
        <v>44892</v>
      </c>
      <c r="C341" s="202">
        <f ca="1">DATOSAÑO!I341</f>
        <v>0</v>
      </c>
      <c r="D341" s="196">
        <f ca="1">DATOSAÑO!P341</f>
        <v>0</v>
      </c>
      <c r="E341" s="196">
        <f ca="1">DATOSAÑO!Q341</f>
        <v>0</v>
      </c>
      <c r="F341" s="196">
        <f ca="1">DATOSAÑO!T341</f>
        <v>0</v>
      </c>
      <c r="G341" s="196">
        <f t="shared" ca="1" si="85"/>
        <v>0</v>
      </c>
      <c r="H341" s="196" t="e">
        <f t="shared" ca="1" si="83"/>
        <v>#DIV/0!</v>
      </c>
      <c r="I341" s="196" t="e">
        <f t="shared" ca="1" si="79"/>
        <v>#DIV/0!</v>
      </c>
      <c r="J341" s="196" t="e">
        <f t="shared" ca="1" si="80"/>
        <v>#DIV/0!</v>
      </c>
      <c r="K341" s="196" t="e">
        <f t="shared" ca="1" si="81"/>
        <v>#DIV/0!</v>
      </c>
      <c r="L341" s="196">
        <f t="shared" ca="1" si="84"/>
        <v>0</v>
      </c>
      <c r="M341" s="196" t="e">
        <f t="shared" ca="1" si="82"/>
        <v>#DIV/0!</v>
      </c>
      <c r="N341" s="196">
        <f t="shared" ca="1" si="87"/>
        <v>0</v>
      </c>
      <c r="O341" s="196">
        <f ca="1">(DATOSAÑO!AJ341+DATOSAÑO!AK341+DATOSAÑO!AD341)</f>
        <v>0</v>
      </c>
      <c r="P341" s="196">
        <f ca="1">DATOSAÑO!AI341</f>
        <v>0</v>
      </c>
      <c r="Q341" s="196">
        <f ca="1">DATOSAÑO!AH341</f>
        <v>0</v>
      </c>
      <c r="R341" s="196">
        <f ca="1">DATOSAÑO!AM341+DATOSAÑO!AN341+DATOSAÑO!AF341</f>
        <v>0</v>
      </c>
      <c r="S341" s="209">
        <f ca="1">IF(B341&gt;=$P$5,0,CONTADORES!S347-CONTADORES!S346)</f>
        <v>0</v>
      </c>
      <c r="T341" s="206">
        <f ca="1">IF(B341&gt;=$P$5,0,(CONTADORES!U347-CONTADORES!U346)+(CONTADORES!AG347-CONTADORES!AG346))</f>
        <v>0</v>
      </c>
      <c r="U341" s="206">
        <f ca="1">IF(B341&gt;=$P$5,0,(CONTADORES!AS347-CONTADORES!AS346))</f>
        <v>0</v>
      </c>
      <c r="V341" s="206">
        <f ca="1">IF(B341&gt;=$P$5,0,(CONTADORES!AT347-CONTADORES!AT346))</f>
        <v>0</v>
      </c>
      <c r="W341" s="206">
        <v>0</v>
      </c>
      <c r="X341" s="206">
        <f ca="1">IF(W341=0,(T341-INICIO!$W$6),((T341-INICIO!$W$6)+V341))</f>
        <v>0</v>
      </c>
      <c r="Y341" s="208">
        <f t="shared" ca="1" si="88"/>
        <v>0</v>
      </c>
      <c r="Z341" s="209" t="e">
        <f t="shared" ca="1" si="89"/>
        <v>#DIV/0!</v>
      </c>
      <c r="AA341" s="206" t="e">
        <f t="shared" ca="1" si="90"/>
        <v>#DIV/0!</v>
      </c>
      <c r="AB341" s="206" t="e">
        <f t="shared" ca="1" si="91"/>
        <v>#DIV/0!</v>
      </c>
      <c r="AC341" s="208" t="e">
        <f t="shared" ca="1" si="86"/>
        <v>#DIV/0!</v>
      </c>
    </row>
    <row r="342" spans="2:29">
      <c r="B342" s="214">
        <v>44893</v>
      </c>
      <c r="C342" s="202">
        <f ca="1">DATOSAÑO!I342</f>
        <v>0</v>
      </c>
      <c r="D342" s="196">
        <f ca="1">DATOSAÑO!P342</f>
        <v>0</v>
      </c>
      <c r="E342" s="196">
        <f ca="1">DATOSAÑO!Q342</f>
        <v>0</v>
      </c>
      <c r="F342" s="196">
        <f ca="1">DATOSAÑO!T342</f>
        <v>0</v>
      </c>
      <c r="G342" s="196">
        <f t="shared" ca="1" si="85"/>
        <v>0</v>
      </c>
      <c r="H342" s="196" t="e">
        <f t="shared" ca="1" si="83"/>
        <v>#DIV/0!</v>
      </c>
      <c r="I342" s="196" t="e">
        <f t="shared" ca="1" si="79"/>
        <v>#DIV/0!</v>
      </c>
      <c r="J342" s="196" t="e">
        <f t="shared" ca="1" si="80"/>
        <v>#DIV/0!</v>
      </c>
      <c r="K342" s="196" t="e">
        <f t="shared" ca="1" si="81"/>
        <v>#DIV/0!</v>
      </c>
      <c r="L342" s="196">
        <f t="shared" ca="1" si="84"/>
        <v>0</v>
      </c>
      <c r="M342" s="196" t="e">
        <f t="shared" ca="1" si="82"/>
        <v>#DIV/0!</v>
      </c>
      <c r="N342" s="196">
        <f t="shared" ca="1" si="87"/>
        <v>0</v>
      </c>
      <c r="O342" s="196">
        <f ca="1">(DATOSAÑO!AJ342+DATOSAÑO!AK342+DATOSAÑO!AD342)</f>
        <v>0</v>
      </c>
      <c r="P342" s="196">
        <f ca="1">DATOSAÑO!AI342</f>
        <v>0</v>
      </c>
      <c r="Q342" s="196">
        <f ca="1">DATOSAÑO!AH342</f>
        <v>0</v>
      </c>
      <c r="R342" s="196">
        <f ca="1">DATOSAÑO!AM342+DATOSAÑO!AN342+DATOSAÑO!AF342</f>
        <v>0</v>
      </c>
      <c r="S342" s="209">
        <f ca="1">IF(B342&gt;=$P$5,0,CONTADORES!S348-CONTADORES!S347)</f>
        <v>0</v>
      </c>
      <c r="T342" s="206">
        <f ca="1">IF(B342&gt;=$P$5,0,(CONTADORES!U348-CONTADORES!U347)+(CONTADORES!AG348-CONTADORES!AG347))</f>
        <v>0</v>
      </c>
      <c r="U342" s="206">
        <f ca="1">IF(B342&gt;=$P$5,0,(CONTADORES!AS348-CONTADORES!AS347))</f>
        <v>0</v>
      </c>
      <c r="V342" s="206">
        <f ca="1">IF(B342&gt;=$P$5,0,(CONTADORES!AT348-CONTADORES!AT347))</f>
        <v>0</v>
      </c>
      <c r="W342" s="206">
        <v>0</v>
      </c>
      <c r="X342" s="206">
        <f ca="1">IF(W342=0,(T342-INICIO!$W$6),((T342-INICIO!$W$6)+V342))</f>
        <v>0</v>
      </c>
      <c r="Y342" s="208">
        <f t="shared" ca="1" si="88"/>
        <v>0</v>
      </c>
      <c r="Z342" s="209" t="e">
        <f t="shared" ca="1" si="89"/>
        <v>#DIV/0!</v>
      </c>
      <c r="AA342" s="206" t="e">
        <f t="shared" ca="1" si="90"/>
        <v>#DIV/0!</v>
      </c>
      <c r="AB342" s="206" t="e">
        <f t="shared" ca="1" si="91"/>
        <v>#DIV/0!</v>
      </c>
      <c r="AC342" s="208" t="e">
        <f t="shared" ca="1" si="86"/>
        <v>#DIV/0!</v>
      </c>
    </row>
    <row r="343" spans="2:29">
      <c r="B343" s="214">
        <v>44894</v>
      </c>
      <c r="C343" s="202">
        <f ca="1">DATOSAÑO!I343</f>
        <v>0</v>
      </c>
      <c r="D343" s="196">
        <f ca="1">DATOSAÑO!P343</f>
        <v>0</v>
      </c>
      <c r="E343" s="196">
        <f ca="1">DATOSAÑO!Q343</f>
        <v>0</v>
      </c>
      <c r="F343" s="196">
        <f ca="1">DATOSAÑO!T343</f>
        <v>0</v>
      </c>
      <c r="G343" s="196">
        <f t="shared" ca="1" si="85"/>
        <v>0</v>
      </c>
      <c r="H343" s="196" t="e">
        <f t="shared" ca="1" si="83"/>
        <v>#DIV/0!</v>
      </c>
      <c r="I343" s="196" t="e">
        <f t="shared" ref="I343:I375" ca="1" si="92">O343+Z343</f>
        <v>#DIV/0!</v>
      </c>
      <c r="J343" s="196" t="e">
        <f t="shared" ref="J343:J375" ca="1" si="93">P343+AA343</f>
        <v>#DIV/0!</v>
      </c>
      <c r="K343" s="196" t="e">
        <f t="shared" ref="K343:K375" ca="1" si="94">Q343+AB343</f>
        <v>#DIV/0!</v>
      </c>
      <c r="L343" s="196">
        <f t="shared" ca="1" si="84"/>
        <v>0</v>
      </c>
      <c r="M343" s="196" t="e">
        <f t="shared" ref="M343:M374" ca="1" si="95">N343+AC343</f>
        <v>#DIV/0!</v>
      </c>
      <c r="N343" s="196">
        <f t="shared" ca="1" si="87"/>
        <v>0</v>
      </c>
      <c r="O343" s="196">
        <f ca="1">(DATOSAÑO!AJ343+DATOSAÑO!AK343+DATOSAÑO!AD343)</f>
        <v>0</v>
      </c>
      <c r="P343" s="196">
        <f ca="1">DATOSAÑO!AI343</f>
        <v>0</v>
      </c>
      <c r="Q343" s="196">
        <f ca="1">DATOSAÑO!AH343</f>
        <v>0</v>
      </c>
      <c r="R343" s="196">
        <f ca="1">DATOSAÑO!AM343+DATOSAÑO!AN343+DATOSAÑO!AF343</f>
        <v>0</v>
      </c>
      <c r="S343" s="209">
        <f ca="1">IF(B343&gt;=$P$5,0,CONTADORES!S349-CONTADORES!S348)</f>
        <v>0</v>
      </c>
      <c r="T343" s="206">
        <f ca="1">IF(B343&gt;=$P$5,0,(CONTADORES!U349-CONTADORES!U348)+(CONTADORES!AG349-CONTADORES!AG348))</f>
        <v>0</v>
      </c>
      <c r="U343" s="206">
        <f ca="1">IF(B343&gt;=$P$5,0,(CONTADORES!AS349-CONTADORES!AS348))</f>
        <v>0</v>
      </c>
      <c r="V343" s="206">
        <f ca="1">IF(B343&gt;=$P$5,0,(CONTADORES!AT349-CONTADORES!AT348))</f>
        <v>0</v>
      </c>
      <c r="W343" s="206">
        <v>0</v>
      </c>
      <c r="X343" s="206">
        <f ca="1">IF(W343=0,(T343-INICIO!$W$6),((T343-INICIO!$W$6)+V343))</f>
        <v>0</v>
      </c>
      <c r="Y343" s="208">
        <f t="shared" ca="1" si="88"/>
        <v>0</v>
      </c>
      <c r="Z343" s="209" t="e">
        <f t="shared" ca="1" si="89"/>
        <v>#DIV/0!</v>
      </c>
      <c r="AA343" s="206" t="e">
        <f t="shared" ca="1" si="90"/>
        <v>#DIV/0!</v>
      </c>
      <c r="AB343" s="206" t="e">
        <f t="shared" ca="1" si="91"/>
        <v>#DIV/0!</v>
      </c>
      <c r="AC343" s="208" t="e">
        <f t="shared" ca="1" si="86"/>
        <v>#DIV/0!</v>
      </c>
    </row>
    <row r="344" spans="2:29" ht="15" thickBot="1">
      <c r="B344" s="1043">
        <v>44895</v>
      </c>
      <c r="C344" s="203">
        <f ca="1">DATOSAÑO!I344</f>
        <v>0</v>
      </c>
      <c r="D344" s="197">
        <f ca="1">DATOSAÑO!P344</f>
        <v>0</v>
      </c>
      <c r="E344" s="197">
        <f ca="1">DATOSAÑO!Q344</f>
        <v>0</v>
      </c>
      <c r="F344" s="197">
        <f ca="1">DATOSAÑO!T344</f>
        <v>0</v>
      </c>
      <c r="G344" s="197">
        <f t="shared" ca="1" si="85"/>
        <v>0</v>
      </c>
      <c r="H344" s="197" t="e">
        <f t="shared" ca="1" si="83"/>
        <v>#DIV/0!</v>
      </c>
      <c r="I344" s="197" t="e">
        <f t="shared" ca="1" si="92"/>
        <v>#DIV/0!</v>
      </c>
      <c r="J344" s="197" t="e">
        <f t="shared" ca="1" si="93"/>
        <v>#DIV/0!</v>
      </c>
      <c r="K344" s="197" t="e">
        <f t="shared" ca="1" si="94"/>
        <v>#DIV/0!</v>
      </c>
      <c r="L344" s="197">
        <f t="shared" ca="1" si="84"/>
        <v>0</v>
      </c>
      <c r="M344" s="197" t="e">
        <f t="shared" ca="1" si="95"/>
        <v>#DIV/0!</v>
      </c>
      <c r="N344" s="197">
        <f t="shared" ca="1" si="87"/>
        <v>0</v>
      </c>
      <c r="O344" s="197">
        <f ca="1">(DATOSAÑO!AJ344+DATOSAÑO!AK344+DATOSAÑO!AD344)</f>
        <v>0</v>
      </c>
      <c r="P344" s="197">
        <f ca="1">DATOSAÑO!AI344</f>
        <v>0</v>
      </c>
      <c r="Q344" s="197">
        <f ca="1">DATOSAÑO!AH344</f>
        <v>0</v>
      </c>
      <c r="R344" s="197">
        <f ca="1">DATOSAÑO!AM344+DATOSAÑO!AN344+DATOSAÑO!AF344</f>
        <v>0</v>
      </c>
      <c r="S344" s="203">
        <f ca="1">IF(B344&gt;=$P$5,0,CONTADORES!S350-CONTADORES!S349)</f>
        <v>0</v>
      </c>
      <c r="T344" s="197">
        <f ca="1">IF(B344&gt;=$P$5,0,(CONTADORES!U350-CONTADORES!U349)+(CONTADORES!AG350-CONTADORES!AG349))</f>
        <v>0</v>
      </c>
      <c r="U344" s="197">
        <f ca="1">IF(B344&gt;=$P$5,0,(CONTADORES!AS350-CONTADORES!AS349))</f>
        <v>0</v>
      </c>
      <c r="V344" s="197">
        <f ca="1">IF(B344&gt;=$P$5,0,(CONTADORES!AT350-CONTADORES!AT349))</f>
        <v>0</v>
      </c>
      <c r="W344" s="197">
        <v>0</v>
      </c>
      <c r="X344" s="197">
        <f ca="1">IF(W344=0,(T344-INICIO!$W$6),((T344-INICIO!$W$6)+V344))</f>
        <v>0</v>
      </c>
      <c r="Y344" s="201">
        <f t="shared" ca="1" si="88"/>
        <v>0</v>
      </c>
      <c r="Z344" s="197" t="e">
        <f t="shared" ca="1" si="89"/>
        <v>#DIV/0!</v>
      </c>
      <c r="AA344" s="197" t="e">
        <f t="shared" ca="1" si="90"/>
        <v>#DIV/0!</v>
      </c>
      <c r="AB344" s="197" t="e">
        <f t="shared" ca="1" si="91"/>
        <v>#DIV/0!</v>
      </c>
      <c r="AC344" s="201" t="e">
        <f t="shared" ca="1" si="86"/>
        <v>#DIV/0!</v>
      </c>
    </row>
    <row r="345" spans="2:29">
      <c r="B345" s="390">
        <v>44896</v>
      </c>
      <c r="C345" s="202">
        <f ca="1">DATOSAÑO!I345</f>
        <v>0</v>
      </c>
      <c r="D345" s="196">
        <f ca="1">DATOSAÑO!P345</f>
        <v>0</v>
      </c>
      <c r="E345" s="196">
        <f ca="1">DATOSAÑO!Q345</f>
        <v>0</v>
      </c>
      <c r="F345" s="196">
        <f ca="1">DATOSAÑO!T345</f>
        <v>0</v>
      </c>
      <c r="G345" s="196">
        <f t="shared" ca="1" si="85"/>
        <v>0</v>
      </c>
      <c r="H345" s="196" t="e">
        <f ca="1">G345-SUM(I345:M345)</f>
        <v>#DIV/0!</v>
      </c>
      <c r="I345" s="196" t="e">
        <f t="shared" ca="1" si="92"/>
        <v>#DIV/0!</v>
      </c>
      <c r="J345" s="196" t="e">
        <f t="shared" ca="1" si="93"/>
        <v>#DIV/0!</v>
      </c>
      <c r="K345" s="196" t="e">
        <f t="shared" ca="1" si="94"/>
        <v>#DIV/0!</v>
      </c>
      <c r="L345" s="196">
        <f t="shared" ca="1" si="84"/>
        <v>0</v>
      </c>
      <c r="M345" s="196" t="e">
        <f t="shared" ca="1" si="95"/>
        <v>#DIV/0!</v>
      </c>
      <c r="N345" s="196">
        <f t="shared" ca="1" si="87"/>
        <v>0</v>
      </c>
      <c r="O345" s="196">
        <f ca="1">(DATOSAÑO!AJ345+DATOSAÑO!AK345+DATOSAÑO!AD345)</f>
        <v>0</v>
      </c>
      <c r="P345" s="196">
        <f ca="1">DATOSAÑO!AI345</f>
        <v>0</v>
      </c>
      <c r="Q345" s="196">
        <f ca="1">DATOSAÑO!AH345</f>
        <v>0</v>
      </c>
      <c r="R345" s="196">
        <f ca="1">DATOSAÑO!AM345+DATOSAÑO!AN345+DATOSAÑO!AF345</f>
        <v>0</v>
      </c>
      <c r="S345" s="202">
        <f ca="1">IF(B345&gt;=$P$5,0,CONTADORES!S353-CONTADORES!S352)</f>
        <v>0</v>
      </c>
      <c r="T345" s="196">
        <f ca="1">IF(B345&gt;=$P$5,0,(CONTADORES!U353-CONTADORES!U352)+(CONTADORES!AG353-CONTADORES!AG352))</f>
        <v>0</v>
      </c>
      <c r="U345" s="196">
        <f ca="1">IF(B345&gt;=$P$5,0,(CONTADORES!AS353-CONTADORES!AS352))</f>
        <v>0</v>
      </c>
      <c r="V345" s="196">
        <f ca="1">IF(B345&gt;=$P$5,0,(CONTADORES!AT353-CONTADORES!AT352))</f>
        <v>0</v>
      </c>
      <c r="W345" s="714">
        <v>0</v>
      </c>
      <c r="X345" s="196">
        <f ca="1">IF(W345=0,(T345-INICIO!$W$6),((T345-INICIO!$W$6)+V345))</f>
        <v>0</v>
      </c>
      <c r="Y345" s="208">
        <f t="shared" ca="1" si="88"/>
        <v>0</v>
      </c>
      <c r="Z345" s="209" t="e">
        <f t="shared" ca="1" si="89"/>
        <v>#DIV/0!</v>
      </c>
      <c r="AA345" s="206" t="e">
        <f t="shared" ca="1" si="90"/>
        <v>#DIV/0!</v>
      </c>
      <c r="AB345" s="206" t="e">
        <f t="shared" ca="1" si="91"/>
        <v>#DIV/0!</v>
      </c>
      <c r="AC345" s="208" t="e">
        <f t="shared" ca="1" si="86"/>
        <v>#DIV/0!</v>
      </c>
    </row>
    <row r="346" spans="2:29">
      <c r="B346" s="214">
        <v>44897</v>
      </c>
      <c r="C346" s="202">
        <f ca="1">DATOSAÑO!I346</f>
        <v>0</v>
      </c>
      <c r="D346" s="196">
        <f ca="1">DATOSAÑO!P346</f>
        <v>0</v>
      </c>
      <c r="E346" s="196">
        <f ca="1">DATOSAÑO!Q346</f>
        <v>0</v>
      </c>
      <c r="F346" s="196">
        <f ca="1">DATOSAÑO!T346</f>
        <v>0</v>
      </c>
      <c r="G346" s="196">
        <f t="shared" ca="1" si="85"/>
        <v>0</v>
      </c>
      <c r="H346" s="196" t="e">
        <f t="shared" ref="H346:H375" ca="1" si="96">G346-SUM(I346:M346)</f>
        <v>#DIV/0!</v>
      </c>
      <c r="I346" s="196" t="e">
        <f t="shared" ca="1" si="92"/>
        <v>#DIV/0!</v>
      </c>
      <c r="J346" s="196" t="e">
        <f t="shared" ca="1" si="93"/>
        <v>#DIV/0!</v>
      </c>
      <c r="K346" s="196" t="e">
        <f t="shared" ca="1" si="94"/>
        <v>#DIV/0!</v>
      </c>
      <c r="L346" s="196">
        <f t="shared" ca="1" si="84"/>
        <v>0</v>
      </c>
      <c r="M346" s="196" t="e">
        <f t="shared" ca="1" si="95"/>
        <v>#DIV/0!</v>
      </c>
      <c r="N346" s="196">
        <f t="shared" ca="1" si="87"/>
        <v>0</v>
      </c>
      <c r="O346" s="196">
        <f ca="1">(DATOSAÑO!AJ346+DATOSAÑO!AK346+DATOSAÑO!AD346)</f>
        <v>0</v>
      </c>
      <c r="P346" s="196">
        <f ca="1">DATOSAÑO!AI346</f>
        <v>0</v>
      </c>
      <c r="Q346" s="196">
        <f ca="1">DATOSAÑO!AH346</f>
        <v>0</v>
      </c>
      <c r="R346" s="196">
        <f ca="1">DATOSAÑO!AM346+DATOSAÑO!AN346+DATOSAÑO!AF346</f>
        <v>0</v>
      </c>
      <c r="S346" s="209">
        <f ca="1">IF(B346&gt;=$P$5,0,CONTADORES!S354-CONTADORES!S353)</f>
        <v>0</v>
      </c>
      <c r="T346" s="206">
        <f ca="1">IF(B346&gt;=$P$5,0,(CONTADORES!U354-CONTADORES!U353)+(CONTADORES!AG354-CONTADORES!AG353))</f>
        <v>0</v>
      </c>
      <c r="U346" s="206">
        <f ca="1">IF(B346&gt;=$P$5,0,(CONTADORES!AS354-CONTADORES!AS353))</f>
        <v>0</v>
      </c>
      <c r="V346" s="206">
        <f ca="1">IF(B346&gt;=$P$5,0,(CONTADORES!AT354-CONTADORES!AT353))</f>
        <v>0</v>
      </c>
      <c r="W346" s="206">
        <v>0</v>
      </c>
      <c r="X346" s="206">
        <f ca="1">IF(W346=0,(T346-INICIO!$W$6),((T346-INICIO!$W$6)+V346))</f>
        <v>0</v>
      </c>
      <c r="Y346" s="208">
        <f t="shared" ca="1" si="88"/>
        <v>0</v>
      </c>
      <c r="Z346" s="209" t="e">
        <f t="shared" ca="1" si="89"/>
        <v>#DIV/0!</v>
      </c>
      <c r="AA346" s="206" t="e">
        <f t="shared" ca="1" si="90"/>
        <v>#DIV/0!</v>
      </c>
      <c r="AB346" s="206" t="e">
        <f t="shared" ca="1" si="91"/>
        <v>#DIV/0!</v>
      </c>
      <c r="AC346" s="208" t="e">
        <f t="shared" ca="1" si="86"/>
        <v>#DIV/0!</v>
      </c>
    </row>
    <row r="347" spans="2:29">
      <c r="B347" s="214">
        <v>44898</v>
      </c>
      <c r="C347" s="202">
        <f ca="1">DATOSAÑO!I347</f>
        <v>0</v>
      </c>
      <c r="D347" s="196">
        <f ca="1">DATOSAÑO!P347</f>
        <v>0</v>
      </c>
      <c r="E347" s="196">
        <f ca="1">DATOSAÑO!Q347</f>
        <v>0</v>
      </c>
      <c r="F347" s="196">
        <f ca="1">DATOSAÑO!T347</f>
        <v>0</v>
      </c>
      <c r="G347" s="196">
        <f t="shared" ca="1" si="85"/>
        <v>0</v>
      </c>
      <c r="H347" s="196" t="e">
        <f t="shared" ca="1" si="96"/>
        <v>#DIV/0!</v>
      </c>
      <c r="I347" s="196" t="e">
        <f t="shared" ca="1" si="92"/>
        <v>#DIV/0!</v>
      </c>
      <c r="J347" s="196" t="e">
        <f t="shared" ca="1" si="93"/>
        <v>#DIV/0!</v>
      </c>
      <c r="K347" s="196" t="e">
        <f t="shared" ca="1" si="94"/>
        <v>#DIV/0!</v>
      </c>
      <c r="L347" s="196">
        <f t="shared" ca="1" si="84"/>
        <v>0</v>
      </c>
      <c r="M347" s="196" t="e">
        <f t="shared" ca="1" si="95"/>
        <v>#DIV/0!</v>
      </c>
      <c r="N347" s="196">
        <f t="shared" ca="1" si="87"/>
        <v>0</v>
      </c>
      <c r="O347" s="196">
        <f ca="1">(DATOSAÑO!AJ347+DATOSAÑO!AK347+DATOSAÑO!AD347)</f>
        <v>0</v>
      </c>
      <c r="P347" s="196">
        <f ca="1">DATOSAÑO!AI347</f>
        <v>0</v>
      </c>
      <c r="Q347" s="196">
        <f ca="1">DATOSAÑO!AH347</f>
        <v>0</v>
      </c>
      <c r="R347" s="196">
        <f ca="1">DATOSAÑO!AM347+DATOSAÑO!AN347+DATOSAÑO!AF347</f>
        <v>0</v>
      </c>
      <c r="S347" s="209">
        <f ca="1">IF(B347&gt;=$P$5,0,CONTADORES!S355-CONTADORES!S354)</f>
        <v>0</v>
      </c>
      <c r="T347" s="206">
        <f ca="1">IF(B347&gt;=$P$5,0,(CONTADORES!U355-CONTADORES!U354)+(CONTADORES!AG355-CONTADORES!AG354))</f>
        <v>0</v>
      </c>
      <c r="U347" s="206">
        <f ca="1">IF(B347&gt;=$P$5,0,(CONTADORES!AS355-CONTADORES!AS354))</f>
        <v>0</v>
      </c>
      <c r="V347" s="206">
        <f ca="1">IF(B347&gt;=$P$5,0,(CONTADORES!AT355-CONTADORES!AT354))</f>
        <v>0</v>
      </c>
      <c r="W347" s="206">
        <v>0</v>
      </c>
      <c r="X347" s="206">
        <f ca="1">IF(W347=0,(T347-INICIO!$W$6),((T347-INICIO!$W$6)+V347))</f>
        <v>0</v>
      </c>
      <c r="Y347" s="208">
        <f t="shared" ca="1" si="88"/>
        <v>0</v>
      </c>
      <c r="Z347" s="209" t="e">
        <f t="shared" ca="1" si="89"/>
        <v>#DIV/0!</v>
      </c>
      <c r="AA347" s="206" t="e">
        <f t="shared" ca="1" si="90"/>
        <v>#DIV/0!</v>
      </c>
      <c r="AB347" s="206" t="e">
        <f t="shared" ca="1" si="91"/>
        <v>#DIV/0!</v>
      </c>
      <c r="AC347" s="208" t="e">
        <f t="shared" ca="1" si="86"/>
        <v>#DIV/0!</v>
      </c>
    </row>
    <row r="348" spans="2:29">
      <c r="B348" s="214">
        <v>44899</v>
      </c>
      <c r="C348" s="202">
        <f ca="1">DATOSAÑO!I348</f>
        <v>0</v>
      </c>
      <c r="D348" s="196">
        <f ca="1">DATOSAÑO!P348</f>
        <v>0</v>
      </c>
      <c r="E348" s="196">
        <f ca="1">DATOSAÑO!Q348</f>
        <v>0</v>
      </c>
      <c r="F348" s="196">
        <f ca="1">DATOSAÑO!T348</f>
        <v>0</v>
      </c>
      <c r="G348" s="196">
        <f t="shared" ca="1" si="85"/>
        <v>0</v>
      </c>
      <c r="H348" s="196" t="e">
        <f t="shared" ca="1" si="96"/>
        <v>#DIV/0!</v>
      </c>
      <c r="I348" s="196" t="e">
        <f t="shared" ca="1" si="92"/>
        <v>#DIV/0!</v>
      </c>
      <c r="J348" s="196" t="e">
        <f t="shared" ca="1" si="93"/>
        <v>#DIV/0!</v>
      </c>
      <c r="K348" s="196" t="e">
        <f t="shared" ca="1" si="94"/>
        <v>#DIV/0!</v>
      </c>
      <c r="L348" s="196">
        <f t="shared" ca="1" si="84"/>
        <v>0</v>
      </c>
      <c r="M348" s="196" t="e">
        <f t="shared" ca="1" si="95"/>
        <v>#DIV/0!</v>
      </c>
      <c r="N348" s="196">
        <f t="shared" ca="1" si="87"/>
        <v>0</v>
      </c>
      <c r="O348" s="196">
        <f ca="1">(DATOSAÑO!AJ348+DATOSAÑO!AK348+DATOSAÑO!AD348)</f>
        <v>0</v>
      </c>
      <c r="P348" s="196">
        <f ca="1">DATOSAÑO!AI348</f>
        <v>0</v>
      </c>
      <c r="Q348" s="196">
        <f ca="1">DATOSAÑO!AH348</f>
        <v>0</v>
      </c>
      <c r="R348" s="196">
        <f ca="1">DATOSAÑO!AM348+DATOSAÑO!AN348+DATOSAÑO!AF348</f>
        <v>0</v>
      </c>
      <c r="S348" s="209">
        <f ca="1">IF(B348&gt;=$P$5,0,CONTADORES!S356-CONTADORES!S355)</f>
        <v>0</v>
      </c>
      <c r="T348" s="206">
        <f ca="1">IF(B348&gt;=$P$5,0,(CONTADORES!U356-CONTADORES!U355)+(CONTADORES!AG356-CONTADORES!AG355))</f>
        <v>0</v>
      </c>
      <c r="U348" s="206">
        <f ca="1">IF(B348&gt;=$P$5,0,(CONTADORES!AS356-CONTADORES!AS355))</f>
        <v>0</v>
      </c>
      <c r="V348" s="206">
        <f ca="1">IF(B348&gt;=$P$5,0,(CONTADORES!AT356-CONTADORES!AT355))</f>
        <v>0</v>
      </c>
      <c r="W348" s="206">
        <v>0</v>
      </c>
      <c r="X348" s="206">
        <f ca="1">IF(W348=0,(T348-INICIO!$W$6),((T348-INICIO!$W$6)+V348))</f>
        <v>0</v>
      </c>
      <c r="Y348" s="208">
        <f t="shared" ca="1" si="88"/>
        <v>0</v>
      </c>
      <c r="Z348" s="209" t="e">
        <f t="shared" ca="1" si="89"/>
        <v>#DIV/0!</v>
      </c>
      <c r="AA348" s="206" t="e">
        <f t="shared" ca="1" si="90"/>
        <v>#DIV/0!</v>
      </c>
      <c r="AB348" s="206" t="e">
        <f t="shared" ca="1" si="91"/>
        <v>#DIV/0!</v>
      </c>
      <c r="AC348" s="208" t="e">
        <f t="shared" ca="1" si="86"/>
        <v>#DIV/0!</v>
      </c>
    </row>
    <row r="349" spans="2:29">
      <c r="B349" s="214">
        <v>44900</v>
      </c>
      <c r="C349" s="202">
        <f ca="1">DATOSAÑO!I349</f>
        <v>0</v>
      </c>
      <c r="D349" s="196">
        <f ca="1">DATOSAÑO!P349</f>
        <v>0</v>
      </c>
      <c r="E349" s="196">
        <f ca="1">DATOSAÑO!Q349</f>
        <v>0</v>
      </c>
      <c r="F349" s="196">
        <f ca="1">DATOSAÑO!T349</f>
        <v>0</v>
      </c>
      <c r="G349" s="196">
        <f t="shared" ca="1" si="85"/>
        <v>0</v>
      </c>
      <c r="H349" s="196" t="e">
        <f t="shared" ca="1" si="96"/>
        <v>#DIV/0!</v>
      </c>
      <c r="I349" s="196" t="e">
        <f t="shared" ca="1" si="92"/>
        <v>#DIV/0!</v>
      </c>
      <c r="J349" s="196" t="e">
        <f t="shared" ca="1" si="93"/>
        <v>#DIV/0!</v>
      </c>
      <c r="K349" s="196" t="e">
        <f t="shared" ca="1" si="94"/>
        <v>#DIV/0!</v>
      </c>
      <c r="L349" s="196">
        <f t="shared" ca="1" si="84"/>
        <v>0</v>
      </c>
      <c r="M349" s="196" t="e">
        <f t="shared" ca="1" si="95"/>
        <v>#DIV/0!</v>
      </c>
      <c r="N349" s="196">
        <f t="shared" ca="1" si="87"/>
        <v>0</v>
      </c>
      <c r="O349" s="196">
        <f ca="1">(DATOSAÑO!AJ349+DATOSAÑO!AK349+DATOSAÑO!AD349)</f>
        <v>0</v>
      </c>
      <c r="P349" s="196">
        <f ca="1">DATOSAÑO!AI349</f>
        <v>0</v>
      </c>
      <c r="Q349" s="196">
        <f ca="1">DATOSAÑO!AH349</f>
        <v>0</v>
      </c>
      <c r="R349" s="196">
        <f ca="1">DATOSAÑO!AM349+DATOSAÑO!AN349+DATOSAÑO!AF349</f>
        <v>0</v>
      </c>
      <c r="S349" s="209">
        <f ca="1">IF(B349&gt;=$P$5,0,CONTADORES!S357-CONTADORES!S356)</f>
        <v>0</v>
      </c>
      <c r="T349" s="206">
        <f ca="1">IF(B349&gt;=$P$5,0,(CONTADORES!U357-CONTADORES!U356)+(CONTADORES!AG357-CONTADORES!AG356))</f>
        <v>0</v>
      </c>
      <c r="U349" s="206">
        <f ca="1">IF(B349&gt;=$P$5,0,(CONTADORES!AS357-CONTADORES!AS356))</f>
        <v>0</v>
      </c>
      <c r="V349" s="206">
        <f ca="1">IF(B349&gt;=$P$5,0,(CONTADORES!AT357-CONTADORES!AT356))</f>
        <v>0</v>
      </c>
      <c r="W349" s="206">
        <v>0</v>
      </c>
      <c r="X349" s="206">
        <f ca="1">IF(W349=0,(T349-INICIO!$W$6),((T349-INICIO!$W$6)+V349))</f>
        <v>0</v>
      </c>
      <c r="Y349" s="208">
        <f t="shared" ca="1" si="88"/>
        <v>0</v>
      </c>
      <c r="Z349" s="209" t="e">
        <f t="shared" ca="1" si="89"/>
        <v>#DIV/0!</v>
      </c>
      <c r="AA349" s="206" t="e">
        <f t="shared" ca="1" si="90"/>
        <v>#DIV/0!</v>
      </c>
      <c r="AB349" s="206" t="e">
        <f t="shared" ca="1" si="91"/>
        <v>#DIV/0!</v>
      </c>
      <c r="AC349" s="208" t="e">
        <f t="shared" ca="1" si="86"/>
        <v>#DIV/0!</v>
      </c>
    </row>
    <row r="350" spans="2:29">
      <c r="B350" s="214">
        <v>44901</v>
      </c>
      <c r="C350" s="202">
        <f ca="1">DATOSAÑO!I350</f>
        <v>0</v>
      </c>
      <c r="D350" s="196">
        <f ca="1">DATOSAÑO!P350</f>
        <v>0</v>
      </c>
      <c r="E350" s="196">
        <f ca="1">DATOSAÑO!Q350</f>
        <v>0</v>
      </c>
      <c r="F350" s="196">
        <f ca="1">DATOSAÑO!T350</f>
        <v>0</v>
      </c>
      <c r="G350" s="196">
        <f t="shared" ca="1" si="85"/>
        <v>0</v>
      </c>
      <c r="H350" s="196" t="e">
        <f t="shared" ca="1" si="96"/>
        <v>#DIV/0!</v>
      </c>
      <c r="I350" s="196" t="e">
        <f t="shared" ca="1" si="92"/>
        <v>#DIV/0!</v>
      </c>
      <c r="J350" s="196" t="e">
        <f t="shared" ca="1" si="93"/>
        <v>#DIV/0!</v>
      </c>
      <c r="K350" s="196" t="e">
        <f t="shared" ca="1" si="94"/>
        <v>#DIV/0!</v>
      </c>
      <c r="L350" s="196">
        <f t="shared" ca="1" si="84"/>
        <v>0</v>
      </c>
      <c r="M350" s="196" t="e">
        <f t="shared" ca="1" si="95"/>
        <v>#DIV/0!</v>
      </c>
      <c r="N350" s="196">
        <f t="shared" ca="1" si="87"/>
        <v>0</v>
      </c>
      <c r="O350" s="196">
        <f ca="1">(DATOSAÑO!AJ350+DATOSAÑO!AK350+DATOSAÑO!AD350)</f>
        <v>0</v>
      </c>
      <c r="P350" s="196">
        <f ca="1">DATOSAÑO!AI350</f>
        <v>0</v>
      </c>
      <c r="Q350" s="196">
        <f ca="1">DATOSAÑO!AH350</f>
        <v>0</v>
      </c>
      <c r="R350" s="196">
        <f ca="1">DATOSAÑO!AM350+DATOSAÑO!AN350+DATOSAÑO!AF350</f>
        <v>0</v>
      </c>
      <c r="S350" s="209">
        <f ca="1">IF(B350&gt;=$P$5,0,CONTADORES!S358-CONTADORES!S357)</f>
        <v>0</v>
      </c>
      <c r="T350" s="206">
        <f ca="1">IF(B350&gt;=$P$5,0,(CONTADORES!U358-CONTADORES!U357)+(CONTADORES!AG358-CONTADORES!AG357))</f>
        <v>0</v>
      </c>
      <c r="U350" s="206">
        <f ca="1">IF(B350&gt;=$P$5,0,(CONTADORES!AS358-CONTADORES!AS357))</f>
        <v>0</v>
      </c>
      <c r="V350" s="206">
        <f ca="1">IF(B350&gt;=$P$5,0,(CONTADORES!AT358-CONTADORES!AT357))</f>
        <v>0</v>
      </c>
      <c r="W350" s="206">
        <v>0</v>
      </c>
      <c r="X350" s="206">
        <f ca="1">IF(W350=0,(T350-INICIO!$W$6),((T350-INICIO!$W$6)+V350))</f>
        <v>0</v>
      </c>
      <c r="Y350" s="208">
        <f t="shared" ca="1" si="88"/>
        <v>0</v>
      </c>
      <c r="Z350" s="209" t="e">
        <f t="shared" ca="1" si="89"/>
        <v>#DIV/0!</v>
      </c>
      <c r="AA350" s="206" t="e">
        <f t="shared" ca="1" si="90"/>
        <v>#DIV/0!</v>
      </c>
      <c r="AB350" s="206" t="e">
        <f t="shared" ca="1" si="91"/>
        <v>#DIV/0!</v>
      </c>
      <c r="AC350" s="208" t="e">
        <f t="shared" ca="1" si="86"/>
        <v>#DIV/0!</v>
      </c>
    </row>
    <row r="351" spans="2:29">
      <c r="B351" s="214">
        <v>44902</v>
      </c>
      <c r="C351" s="202">
        <f ca="1">DATOSAÑO!I351</f>
        <v>0</v>
      </c>
      <c r="D351" s="196">
        <f ca="1">DATOSAÑO!P351</f>
        <v>0</v>
      </c>
      <c r="E351" s="196">
        <f ca="1">DATOSAÑO!Q351</f>
        <v>0</v>
      </c>
      <c r="F351" s="196">
        <f ca="1">DATOSAÑO!T351</f>
        <v>0</v>
      </c>
      <c r="G351" s="196">
        <f t="shared" ca="1" si="85"/>
        <v>0</v>
      </c>
      <c r="H351" s="196" t="e">
        <f t="shared" ca="1" si="96"/>
        <v>#DIV/0!</v>
      </c>
      <c r="I351" s="196" t="e">
        <f t="shared" ca="1" si="92"/>
        <v>#DIV/0!</v>
      </c>
      <c r="J351" s="196" t="e">
        <f t="shared" ca="1" si="93"/>
        <v>#DIV/0!</v>
      </c>
      <c r="K351" s="196" t="e">
        <f t="shared" ca="1" si="94"/>
        <v>#DIV/0!</v>
      </c>
      <c r="L351" s="196">
        <f t="shared" ca="1" si="84"/>
        <v>0</v>
      </c>
      <c r="M351" s="196" t="e">
        <f t="shared" ca="1" si="95"/>
        <v>#DIV/0!</v>
      </c>
      <c r="N351" s="196">
        <f t="shared" ca="1" si="87"/>
        <v>0</v>
      </c>
      <c r="O351" s="196">
        <f ca="1">(DATOSAÑO!AJ351+DATOSAÑO!AK351+DATOSAÑO!AD351)</f>
        <v>0</v>
      </c>
      <c r="P351" s="196">
        <f ca="1">DATOSAÑO!AI351</f>
        <v>0</v>
      </c>
      <c r="Q351" s="196">
        <f ca="1">DATOSAÑO!AH351</f>
        <v>0</v>
      </c>
      <c r="R351" s="196">
        <f ca="1">DATOSAÑO!AM351+DATOSAÑO!AN351+DATOSAÑO!AF351</f>
        <v>0</v>
      </c>
      <c r="S351" s="209">
        <f ca="1">IF(B351&gt;=$P$5,0,CONTADORES!S359-CONTADORES!S358)</f>
        <v>0</v>
      </c>
      <c r="T351" s="206">
        <f ca="1">IF(B351&gt;=$P$5,0,(CONTADORES!U359-CONTADORES!U358)+(CONTADORES!AG359-CONTADORES!AG358))</f>
        <v>0</v>
      </c>
      <c r="U351" s="206">
        <f ca="1">IF(B351&gt;=$P$5,0,(CONTADORES!AS359-CONTADORES!AS358))</f>
        <v>0</v>
      </c>
      <c r="V351" s="206">
        <f ca="1">IF(B351&gt;=$P$5,0,(CONTADORES!AT359-CONTADORES!AT358))</f>
        <v>0</v>
      </c>
      <c r="W351" s="206">
        <v>0</v>
      </c>
      <c r="X351" s="206">
        <f ca="1">IF(W351=0,(T351-INICIO!$W$6),((T351-INICIO!$W$6)+V351))</f>
        <v>0</v>
      </c>
      <c r="Y351" s="208">
        <f t="shared" ca="1" si="88"/>
        <v>0</v>
      </c>
      <c r="Z351" s="209" t="e">
        <f t="shared" ca="1" si="89"/>
        <v>#DIV/0!</v>
      </c>
      <c r="AA351" s="206" t="e">
        <f t="shared" ca="1" si="90"/>
        <v>#DIV/0!</v>
      </c>
      <c r="AB351" s="206" t="e">
        <f t="shared" ca="1" si="91"/>
        <v>#DIV/0!</v>
      </c>
      <c r="AC351" s="208" t="e">
        <f t="shared" ca="1" si="86"/>
        <v>#DIV/0!</v>
      </c>
    </row>
    <row r="352" spans="2:29">
      <c r="B352" s="214">
        <v>44903</v>
      </c>
      <c r="C352" s="202">
        <f ca="1">DATOSAÑO!I352</f>
        <v>0</v>
      </c>
      <c r="D352" s="196">
        <f ca="1">DATOSAÑO!P352</f>
        <v>0</v>
      </c>
      <c r="E352" s="196">
        <f ca="1">DATOSAÑO!Q352</f>
        <v>0</v>
      </c>
      <c r="F352" s="196">
        <f ca="1">DATOSAÑO!T352</f>
        <v>0</v>
      </c>
      <c r="G352" s="196">
        <f t="shared" ca="1" si="85"/>
        <v>0</v>
      </c>
      <c r="H352" s="196" t="e">
        <f t="shared" ca="1" si="96"/>
        <v>#DIV/0!</v>
      </c>
      <c r="I352" s="196" t="e">
        <f t="shared" ca="1" si="92"/>
        <v>#DIV/0!</v>
      </c>
      <c r="J352" s="196" t="e">
        <f t="shared" ca="1" si="93"/>
        <v>#DIV/0!</v>
      </c>
      <c r="K352" s="196" t="e">
        <f t="shared" ca="1" si="94"/>
        <v>#DIV/0!</v>
      </c>
      <c r="L352" s="196">
        <f t="shared" ca="1" si="84"/>
        <v>0</v>
      </c>
      <c r="M352" s="196" t="e">
        <f t="shared" ca="1" si="95"/>
        <v>#DIV/0!</v>
      </c>
      <c r="N352" s="196">
        <f t="shared" ca="1" si="87"/>
        <v>0</v>
      </c>
      <c r="O352" s="196">
        <f ca="1">(DATOSAÑO!AJ352+DATOSAÑO!AK352+DATOSAÑO!AD352)</f>
        <v>0</v>
      </c>
      <c r="P352" s="196">
        <f ca="1">DATOSAÑO!AI352</f>
        <v>0</v>
      </c>
      <c r="Q352" s="196">
        <f ca="1">DATOSAÑO!AH352</f>
        <v>0</v>
      </c>
      <c r="R352" s="196">
        <f ca="1">DATOSAÑO!AM352+DATOSAÑO!AN352+DATOSAÑO!AF352</f>
        <v>0</v>
      </c>
      <c r="S352" s="209">
        <f ca="1">IF(B352&gt;=$P$5,0,CONTADORES!S360-CONTADORES!S359)</f>
        <v>0</v>
      </c>
      <c r="T352" s="206">
        <f ca="1">IF(B352&gt;=$P$5,0,(CONTADORES!U360-CONTADORES!U359)+(CONTADORES!AG360-CONTADORES!AG359))</f>
        <v>0</v>
      </c>
      <c r="U352" s="206">
        <f ca="1">IF(B352&gt;=$P$5,0,(CONTADORES!AS360-CONTADORES!AS359))</f>
        <v>0</v>
      </c>
      <c r="V352" s="206">
        <f ca="1">IF(B352&gt;=$P$5,0,(CONTADORES!AT360-CONTADORES!AT359))</f>
        <v>0</v>
      </c>
      <c r="W352" s="206">
        <v>0</v>
      </c>
      <c r="X352" s="206">
        <f ca="1">IF(W352=0,(T352-INICIO!$W$6),((T352-INICIO!$W$6)+V352))</f>
        <v>0</v>
      </c>
      <c r="Y352" s="208">
        <f t="shared" ca="1" si="88"/>
        <v>0</v>
      </c>
      <c r="Z352" s="209" t="e">
        <f t="shared" ca="1" si="89"/>
        <v>#DIV/0!</v>
      </c>
      <c r="AA352" s="206" t="e">
        <f t="shared" ca="1" si="90"/>
        <v>#DIV/0!</v>
      </c>
      <c r="AB352" s="206" t="e">
        <f t="shared" ca="1" si="91"/>
        <v>#DIV/0!</v>
      </c>
      <c r="AC352" s="208" t="e">
        <f t="shared" ca="1" si="86"/>
        <v>#DIV/0!</v>
      </c>
    </row>
    <row r="353" spans="2:29">
      <c r="B353" s="214">
        <v>44904</v>
      </c>
      <c r="C353" s="202">
        <f ca="1">DATOSAÑO!I353</f>
        <v>0</v>
      </c>
      <c r="D353" s="196">
        <f ca="1">DATOSAÑO!P353</f>
        <v>0</v>
      </c>
      <c r="E353" s="196">
        <f ca="1">DATOSAÑO!Q353</f>
        <v>0</v>
      </c>
      <c r="F353" s="196">
        <f ca="1">DATOSAÑO!T353</f>
        <v>0</v>
      </c>
      <c r="G353" s="196">
        <f t="shared" ca="1" si="85"/>
        <v>0</v>
      </c>
      <c r="H353" s="196" t="e">
        <f t="shared" ca="1" si="96"/>
        <v>#DIV/0!</v>
      </c>
      <c r="I353" s="196" t="e">
        <f t="shared" ca="1" si="92"/>
        <v>#DIV/0!</v>
      </c>
      <c r="J353" s="196" t="e">
        <f t="shared" ca="1" si="93"/>
        <v>#DIV/0!</v>
      </c>
      <c r="K353" s="196" t="e">
        <f t="shared" ca="1" si="94"/>
        <v>#DIV/0!</v>
      </c>
      <c r="L353" s="196">
        <f t="shared" ca="1" si="84"/>
        <v>0</v>
      </c>
      <c r="M353" s="196" t="e">
        <f t="shared" ca="1" si="95"/>
        <v>#DIV/0!</v>
      </c>
      <c r="N353" s="196">
        <f t="shared" ca="1" si="87"/>
        <v>0</v>
      </c>
      <c r="O353" s="196">
        <f ca="1">(DATOSAÑO!AJ353+DATOSAÑO!AK353+DATOSAÑO!AD353)</f>
        <v>0</v>
      </c>
      <c r="P353" s="196">
        <f ca="1">DATOSAÑO!AI353</f>
        <v>0</v>
      </c>
      <c r="Q353" s="196">
        <f ca="1">DATOSAÑO!AH353</f>
        <v>0</v>
      </c>
      <c r="R353" s="196">
        <f ca="1">DATOSAÑO!AM353+DATOSAÑO!AN353+DATOSAÑO!AF353</f>
        <v>0</v>
      </c>
      <c r="S353" s="209">
        <f ca="1">IF(B353&gt;=$P$5,0,CONTADORES!S361-CONTADORES!S360)</f>
        <v>0</v>
      </c>
      <c r="T353" s="206">
        <f ca="1">IF(B353&gt;=$P$5,0,(CONTADORES!U361-CONTADORES!U360)+(CONTADORES!AG361-CONTADORES!AG360))</f>
        <v>0</v>
      </c>
      <c r="U353" s="206">
        <f ca="1">IF(B353&gt;=$P$5,0,(CONTADORES!AS361-CONTADORES!AS360))</f>
        <v>0</v>
      </c>
      <c r="V353" s="206">
        <f ca="1">IF(B353&gt;=$P$5,0,(CONTADORES!AT361-CONTADORES!AT360))</f>
        <v>0</v>
      </c>
      <c r="W353" s="206">
        <v>0</v>
      </c>
      <c r="X353" s="206">
        <f ca="1">IF(W353=0,(T353-INICIO!$W$6),((T353-INICIO!$W$6)+V353))</f>
        <v>0</v>
      </c>
      <c r="Y353" s="208">
        <f t="shared" ca="1" si="88"/>
        <v>0</v>
      </c>
      <c r="Z353" s="209" t="e">
        <f t="shared" ca="1" si="89"/>
        <v>#DIV/0!</v>
      </c>
      <c r="AA353" s="206" t="e">
        <f t="shared" ca="1" si="90"/>
        <v>#DIV/0!</v>
      </c>
      <c r="AB353" s="206" t="e">
        <f t="shared" ca="1" si="91"/>
        <v>#DIV/0!</v>
      </c>
      <c r="AC353" s="208" t="e">
        <f t="shared" ca="1" si="86"/>
        <v>#DIV/0!</v>
      </c>
    </row>
    <row r="354" spans="2:29">
      <c r="B354" s="214">
        <v>44905</v>
      </c>
      <c r="C354" s="202">
        <f ca="1">DATOSAÑO!I354</f>
        <v>0</v>
      </c>
      <c r="D354" s="196">
        <f ca="1">DATOSAÑO!P354</f>
        <v>0</v>
      </c>
      <c r="E354" s="196">
        <f ca="1">DATOSAÑO!Q354</f>
        <v>0</v>
      </c>
      <c r="F354" s="196">
        <f ca="1">DATOSAÑO!T354</f>
        <v>0</v>
      </c>
      <c r="G354" s="196">
        <f t="shared" ca="1" si="85"/>
        <v>0</v>
      </c>
      <c r="H354" s="196" t="e">
        <f t="shared" ca="1" si="96"/>
        <v>#DIV/0!</v>
      </c>
      <c r="I354" s="196" t="e">
        <f t="shared" ca="1" si="92"/>
        <v>#DIV/0!</v>
      </c>
      <c r="J354" s="196" t="e">
        <f t="shared" ca="1" si="93"/>
        <v>#DIV/0!</v>
      </c>
      <c r="K354" s="196" t="e">
        <f t="shared" ca="1" si="94"/>
        <v>#DIV/0!</v>
      </c>
      <c r="L354" s="196">
        <f t="shared" ca="1" si="84"/>
        <v>0</v>
      </c>
      <c r="M354" s="196" t="e">
        <f t="shared" ca="1" si="95"/>
        <v>#DIV/0!</v>
      </c>
      <c r="N354" s="196">
        <f t="shared" ca="1" si="87"/>
        <v>0</v>
      </c>
      <c r="O354" s="196">
        <f ca="1">(DATOSAÑO!AJ354+DATOSAÑO!AK354+DATOSAÑO!AD354)</f>
        <v>0</v>
      </c>
      <c r="P354" s="196">
        <f ca="1">DATOSAÑO!AI354</f>
        <v>0</v>
      </c>
      <c r="Q354" s="196">
        <f ca="1">DATOSAÑO!AH354</f>
        <v>0</v>
      </c>
      <c r="R354" s="196">
        <f ca="1">DATOSAÑO!AM354+DATOSAÑO!AN354+DATOSAÑO!AF354</f>
        <v>0</v>
      </c>
      <c r="S354" s="209">
        <f ca="1">IF(B354&gt;=$P$5,0,CONTADORES!S362-CONTADORES!S361)</f>
        <v>0</v>
      </c>
      <c r="T354" s="206">
        <f ca="1">IF(B354&gt;=$P$5,0,(CONTADORES!U362-CONTADORES!U361)+(CONTADORES!AG362-CONTADORES!AG361))</f>
        <v>0</v>
      </c>
      <c r="U354" s="206">
        <f ca="1">IF(B354&gt;=$P$5,0,(CONTADORES!AS362-CONTADORES!AS361))</f>
        <v>0</v>
      </c>
      <c r="V354" s="206">
        <f ca="1">IF(B354&gt;=$P$5,0,(CONTADORES!AT362-CONTADORES!AT361))</f>
        <v>0</v>
      </c>
      <c r="W354" s="206">
        <v>0</v>
      </c>
      <c r="X354" s="206">
        <f ca="1">IF(W354=0,(T354-INICIO!$W$6),((T354-INICIO!$W$6)+V354))</f>
        <v>0</v>
      </c>
      <c r="Y354" s="208">
        <f t="shared" ca="1" si="88"/>
        <v>0</v>
      </c>
      <c r="Z354" s="209" t="e">
        <f t="shared" ca="1" si="89"/>
        <v>#DIV/0!</v>
      </c>
      <c r="AA354" s="206" t="e">
        <f t="shared" ca="1" si="90"/>
        <v>#DIV/0!</v>
      </c>
      <c r="AB354" s="206" t="e">
        <f t="shared" ca="1" si="91"/>
        <v>#DIV/0!</v>
      </c>
      <c r="AC354" s="208" t="e">
        <f t="shared" ca="1" si="86"/>
        <v>#DIV/0!</v>
      </c>
    </row>
    <row r="355" spans="2:29">
      <c r="B355" s="214">
        <v>44906</v>
      </c>
      <c r="C355" s="202">
        <f ca="1">DATOSAÑO!I355</f>
        <v>0</v>
      </c>
      <c r="D355" s="196">
        <f ca="1">DATOSAÑO!P355</f>
        <v>0</v>
      </c>
      <c r="E355" s="196">
        <f ca="1">DATOSAÑO!Q355</f>
        <v>0</v>
      </c>
      <c r="F355" s="196">
        <f ca="1">DATOSAÑO!T355</f>
        <v>0</v>
      </c>
      <c r="G355" s="196">
        <f t="shared" ca="1" si="85"/>
        <v>0</v>
      </c>
      <c r="H355" s="196" t="e">
        <f t="shared" ca="1" si="96"/>
        <v>#DIV/0!</v>
      </c>
      <c r="I355" s="196" t="e">
        <f t="shared" ca="1" si="92"/>
        <v>#DIV/0!</v>
      </c>
      <c r="J355" s="196" t="e">
        <f t="shared" ca="1" si="93"/>
        <v>#DIV/0!</v>
      </c>
      <c r="K355" s="196" t="e">
        <f t="shared" ca="1" si="94"/>
        <v>#DIV/0!</v>
      </c>
      <c r="L355" s="196">
        <f t="shared" ca="1" si="84"/>
        <v>0</v>
      </c>
      <c r="M355" s="196" t="e">
        <f t="shared" ca="1" si="95"/>
        <v>#DIV/0!</v>
      </c>
      <c r="N355" s="196">
        <f t="shared" ca="1" si="87"/>
        <v>0</v>
      </c>
      <c r="O355" s="196">
        <f ca="1">(DATOSAÑO!AJ355+DATOSAÑO!AK355+DATOSAÑO!AD355)</f>
        <v>0</v>
      </c>
      <c r="P355" s="196">
        <f ca="1">DATOSAÑO!AI355</f>
        <v>0</v>
      </c>
      <c r="Q355" s="196">
        <f ca="1">DATOSAÑO!AH355</f>
        <v>0</v>
      </c>
      <c r="R355" s="196">
        <f ca="1">DATOSAÑO!AM355+DATOSAÑO!AN355+DATOSAÑO!AF355</f>
        <v>0</v>
      </c>
      <c r="S355" s="209">
        <f ca="1">IF(B355&gt;=$P$5,0,CONTADORES!S363-CONTADORES!S362)</f>
        <v>0</v>
      </c>
      <c r="T355" s="206">
        <f ca="1">IF(B355&gt;=$P$5,0,(CONTADORES!U363-CONTADORES!U362)+(CONTADORES!AG363-CONTADORES!AG362))</f>
        <v>0</v>
      </c>
      <c r="U355" s="206">
        <f ca="1">IF(B355&gt;=$P$5,0,(CONTADORES!AS363-CONTADORES!AS362))</f>
        <v>0</v>
      </c>
      <c r="V355" s="206">
        <f ca="1">IF(B355&gt;=$P$5,0,(CONTADORES!AT363-CONTADORES!AT362))</f>
        <v>0</v>
      </c>
      <c r="W355" s="206">
        <v>0</v>
      </c>
      <c r="X355" s="206">
        <f ca="1">IF(W355=0,(T355-INICIO!$W$6),((T355-INICIO!$W$6)+V355))</f>
        <v>0</v>
      </c>
      <c r="Y355" s="208">
        <f t="shared" ca="1" si="88"/>
        <v>0</v>
      </c>
      <c r="Z355" s="209" t="e">
        <f t="shared" ca="1" si="89"/>
        <v>#DIV/0!</v>
      </c>
      <c r="AA355" s="206" t="e">
        <f t="shared" ca="1" si="90"/>
        <v>#DIV/0!</v>
      </c>
      <c r="AB355" s="206" t="e">
        <f t="shared" ca="1" si="91"/>
        <v>#DIV/0!</v>
      </c>
      <c r="AC355" s="208" t="e">
        <f t="shared" ca="1" si="86"/>
        <v>#DIV/0!</v>
      </c>
    </row>
    <row r="356" spans="2:29">
      <c r="B356" s="214">
        <v>44907</v>
      </c>
      <c r="C356" s="202">
        <f ca="1">DATOSAÑO!I356</f>
        <v>0</v>
      </c>
      <c r="D356" s="196">
        <f ca="1">DATOSAÑO!P356</f>
        <v>0</v>
      </c>
      <c r="E356" s="196">
        <f ca="1">DATOSAÑO!Q356</f>
        <v>0</v>
      </c>
      <c r="F356" s="196">
        <f ca="1">DATOSAÑO!T356</f>
        <v>0</v>
      </c>
      <c r="G356" s="196">
        <f t="shared" ca="1" si="85"/>
        <v>0</v>
      </c>
      <c r="H356" s="196" t="e">
        <f t="shared" ca="1" si="96"/>
        <v>#DIV/0!</v>
      </c>
      <c r="I356" s="196" t="e">
        <f t="shared" ca="1" si="92"/>
        <v>#DIV/0!</v>
      </c>
      <c r="J356" s="196" t="e">
        <f t="shared" ca="1" si="93"/>
        <v>#DIV/0!</v>
      </c>
      <c r="K356" s="196" t="e">
        <f t="shared" ca="1" si="94"/>
        <v>#DIV/0!</v>
      </c>
      <c r="L356" s="196">
        <f t="shared" ca="1" si="84"/>
        <v>0</v>
      </c>
      <c r="M356" s="196" t="e">
        <f t="shared" ca="1" si="95"/>
        <v>#DIV/0!</v>
      </c>
      <c r="N356" s="196">
        <f t="shared" ca="1" si="87"/>
        <v>0</v>
      </c>
      <c r="O356" s="196">
        <f ca="1">(DATOSAÑO!AJ356+DATOSAÑO!AK356+DATOSAÑO!AD356)</f>
        <v>0</v>
      </c>
      <c r="P356" s="196">
        <f ca="1">DATOSAÑO!AI356</f>
        <v>0</v>
      </c>
      <c r="Q356" s="196">
        <f ca="1">DATOSAÑO!AH356</f>
        <v>0</v>
      </c>
      <c r="R356" s="196">
        <f ca="1">DATOSAÑO!AM356+DATOSAÑO!AN356+DATOSAÑO!AF356</f>
        <v>0</v>
      </c>
      <c r="S356" s="209">
        <f ca="1">IF(B356&gt;=$P$5,0,CONTADORES!S364-CONTADORES!S363)</f>
        <v>0</v>
      </c>
      <c r="T356" s="206">
        <f ca="1">IF(B356&gt;=$P$5,0,(CONTADORES!U364-CONTADORES!U363)+(CONTADORES!AG364-CONTADORES!AG363))</f>
        <v>0</v>
      </c>
      <c r="U356" s="206">
        <f ca="1">IF(B356&gt;=$P$5,0,(CONTADORES!AS364-CONTADORES!AS363))</f>
        <v>0</v>
      </c>
      <c r="V356" s="206">
        <f ca="1">IF(B356&gt;=$P$5,0,(CONTADORES!AT364-CONTADORES!AT363))</f>
        <v>0</v>
      </c>
      <c r="W356" s="206">
        <v>0</v>
      </c>
      <c r="X356" s="206">
        <f ca="1">IF(W356=0,(T356-INICIO!$W$6),((T356-INICIO!$W$6)+V356))</f>
        <v>0</v>
      </c>
      <c r="Y356" s="208">
        <f t="shared" ca="1" si="88"/>
        <v>0</v>
      </c>
      <c r="Z356" s="209" t="e">
        <f t="shared" ca="1" si="89"/>
        <v>#DIV/0!</v>
      </c>
      <c r="AA356" s="206" t="e">
        <f t="shared" ca="1" si="90"/>
        <v>#DIV/0!</v>
      </c>
      <c r="AB356" s="206" t="e">
        <f t="shared" ca="1" si="91"/>
        <v>#DIV/0!</v>
      </c>
      <c r="AC356" s="208" t="e">
        <f t="shared" ca="1" si="86"/>
        <v>#DIV/0!</v>
      </c>
    </row>
    <row r="357" spans="2:29">
      <c r="B357" s="214">
        <v>44908</v>
      </c>
      <c r="C357" s="202">
        <f ca="1">DATOSAÑO!I357</f>
        <v>0</v>
      </c>
      <c r="D357" s="196">
        <f ca="1">DATOSAÑO!P357</f>
        <v>0</v>
      </c>
      <c r="E357" s="196">
        <f ca="1">DATOSAÑO!Q357</f>
        <v>0</v>
      </c>
      <c r="F357" s="196">
        <f ca="1">DATOSAÑO!T357</f>
        <v>0</v>
      </c>
      <c r="G357" s="196">
        <f t="shared" ca="1" si="85"/>
        <v>0</v>
      </c>
      <c r="H357" s="196" t="e">
        <f t="shared" ca="1" si="96"/>
        <v>#DIV/0!</v>
      </c>
      <c r="I357" s="196" t="e">
        <f t="shared" ca="1" si="92"/>
        <v>#DIV/0!</v>
      </c>
      <c r="J357" s="196" t="e">
        <f t="shared" ca="1" si="93"/>
        <v>#DIV/0!</v>
      </c>
      <c r="K357" s="196" t="e">
        <f t="shared" ca="1" si="94"/>
        <v>#DIV/0!</v>
      </c>
      <c r="L357" s="196">
        <f t="shared" ca="1" si="84"/>
        <v>0</v>
      </c>
      <c r="M357" s="196" t="e">
        <f t="shared" ca="1" si="95"/>
        <v>#DIV/0!</v>
      </c>
      <c r="N357" s="196">
        <f t="shared" ca="1" si="87"/>
        <v>0</v>
      </c>
      <c r="O357" s="196">
        <f ca="1">(DATOSAÑO!AJ357+DATOSAÑO!AK357+DATOSAÑO!AD357)</f>
        <v>0</v>
      </c>
      <c r="P357" s="196">
        <f ca="1">DATOSAÑO!AI357</f>
        <v>0</v>
      </c>
      <c r="Q357" s="196">
        <f ca="1">DATOSAÑO!AH357</f>
        <v>0</v>
      </c>
      <c r="R357" s="196">
        <f ca="1">DATOSAÑO!AM357+DATOSAÑO!AN357+DATOSAÑO!AF357</f>
        <v>0</v>
      </c>
      <c r="S357" s="209">
        <f ca="1">IF(B357&gt;=$P$5,0,CONTADORES!S365-CONTADORES!S364)</f>
        <v>0</v>
      </c>
      <c r="T357" s="206">
        <f ca="1">IF(B357&gt;=$P$5,0,(CONTADORES!U365-CONTADORES!U364)+(CONTADORES!AG365-CONTADORES!AG364))</f>
        <v>0</v>
      </c>
      <c r="U357" s="206">
        <f ca="1">IF(B357&gt;=$P$5,0,(CONTADORES!AS365-CONTADORES!AS364))</f>
        <v>0</v>
      </c>
      <c r="V357" s="206">
        <f ca="1">IF(B357&gt;=$P$5,0,(CONTADORES!AT365-CONTADORES!AT364))</f>
        <v>0</v>
      </c>
      <c r="W357" s="206">
        <v>0</v>
      </c>
      <c r="X357" s="206">
        <f ca="1">IF(W357=0,(T357-INICIO!$W$6),((T357-INICIO!$W$6)+V357))</f>
        <v>0</v>
      </c>
      <c r="Y357" s="208">
        <f t="shared" ca="1" si="88"/>
        <v>0</v>
      </c>
      <c r="Z357" s="209" t="e">
        <f t="shared" ca="1" si="89"/>
        <v>#DIV/0!</v>
      </c>
      <c r="AA357" s="206" t="e">
        <f t="shared" ca="1" si="90"/>
        <v>#DIV/0!</v>
      </c>
      <c r="AB357" s="206" t="e">
        <f t="shared" ca="1" si="91"/>
        <v>#DIV/0!</v>
      </c>
      <c r="AC357" s="208" t="e">
        <f t="shared" ca="1" si="86"/>
        <v>#DIV/0!</v>
      </c>
    </row>
    <row r="358" spans="2:29">
      <c r="B358" s="214">
        <v>44909</v>
      </c>
      <c r="C358" s="202">
        <f ca="1">DATOSAÑO!I358</f>
        <v>0</v>
      </c>
      <c r="D358" s="196">
        <f ca="1">DATOSAÑO!P358</f>
        <v>0</v>
      </c>
      <c r="E358" s="196">
        <f ca="1">DATOSAÑO!Q358</f>
        <v>0</v>
      </c>
      <c r="F358" s="196">
        <f ca="1">DATOSAÑO!T358</f>
        <v>0</v>
      </c>
      <c r="G358" s="196">
        <f t="shared" ca="1" si="85"/>
        <v>0</v>
      </c>
      <c r="H358" s="196" t="e">
        <f t="shared" ca="1" si="96"/>
        <v>#DIV/0!</v>
      </c>
      <c r="I358" s="196" t="e">
        <f t="shared" ca="1" si="92"/>
        <v>#DIV/0!</v>
      </c>
      <c r="J358" s="196" t="e">
        <f t="shared" ca="1" si="93"/>
        <v>#DIV/0!</v>
      </c>
      <c r="K358" s="196" t="e">
        <f t="shared" ca="1" si="94"/>
        <v>#DIV/0!</v>
      </c>
      <c r="L358" s="196">
        <f t="shared" ca="1" si="84"/>
        <v>0</v>
      </c>
      <c r="M358" s="196" t="e">
        <f t="shared" ca="1" si="95"/>
        <v>#DIV/0!</v>
      </c>
      <c r="N358" s="196">
        <f t="shared" ca="1" si="87"/>
        <v>0</v>
      </c>
      <c r="O358" s="196">
        <f ca="1">(DATOSAÑO!AJ358+DATOSAÑO!AK358+DATOSAÑO!AD358)</f>
        <v>0</v>
      </c>
      <c r="P358" s="196">
        <f ca="1">DATOSAÑO!AI358</f>
        <v>0</v>
      </c>
      <c r="Q358" s="196">
        <f ca="1">DATOSAÑO!AH358</f>
        <v>0</v>
      </c>
      <c r="R358" s="196">
        <f ca="1">DATOSAÑO!AM358+DATOSAÑO!AN358+DATOSAÑO!AF358</f>
        <v>0</v>
      </c>
      <c r="S358" s="209">
        <f ca="1">IF(B358&gt;=$P$5,0,CONTADORES!S366-CONTADORES!S365)</f>
        <v>0</v>
      </c>
      <c r="T358" s="206">
        <f ca="1">IF(B358&gt;=$P$5,0,(CONTADORES!U366-CONTADORES!U365)+(CONTADORES!AG366-CONTADORES!AG365))</f>
        <v>0</v>
      </c>
      <c r="U358" s="206">
        <f ca="1">IF(B358&gt;=$P$5,0,(CONTADORES!AS366-CONTADORES!AS365))</f>
        <v>0</v>
      </c>
      <c r="V358" s="206">
        <f ca="1">IF(B358&gt;=$P$5,0,(CONTADORES!AT366-CONTADORES!AT365))</f>
        <v>0</v>
      </c>
      <c r="W358" s="206">
        <v>0</v>
      </c>
      <c r="X358" s="206">
        <f ca="1">IF(W358=0,(T358-INICIO!$W$6),((T358-INICIO!$W$6)+V358))</f>
        <v>0</v>
      </c>
      <c r="Y358" s="208">
        <f t="shared" ca="1" si="88"/>
        <v>0</v>
      </c>
      <c r="Z358" s="209" t="e">
        <f t="shared" ca="1" si="89"/>
        <v>#DIV/0!</v>
      </c>
      <c r="AA358" s="206" t="e">
        <f t="shared" ca="1" si="90"/>
        <v>#DIV/0!</v>
      </c>
      <c r="AB358" s="206" t="e">
        <f t="shared" ca="1" si="91"/>
        <v>#DIV/0!</v>
      </c>
      <c r="AC358" s="208" t="e">
        <f t="shared" ca="1" si="86"/>
        <v>#DIV/0!</v>
      </c>
    </row>
    <row r="359" spans="2:29">
      <c r="B359" s="214">
        <v>44910</v>
      </c>
      <c r="C359" s="202">
        <f ca="1">DATOSAÑO!I359</f>
        <v>0</v>
      </c>
      <c r="D359" s="196">
        <f ca="1">DATOSAÑO!P359</f>
        <v>0</v>
      </c>
      <c r="E359" s="196">
        <f ca="1">DATOSAÑO!Q359</f>
        <v>0</v>
      </c>
      <c r="F359" s="196">
        <f ca="1">DATOSAÑO!T359</f>
        <v>0</v>
      </c>
      <c r="G359" s="196">
        <f t="shared" ca="1" si="85"/>
        <v>0</v>
      </c>
      <c r="H359" s="196" t="e">
        <f t="shared" ca="1" si="96"/>
        <v>#DIV/0!</v>
      </c>
      <c r="I359" s="196" t="e">
        <f t="shared" ca="1" si="92"/>
        <v>#DIV/0!</v>
      </c>
      <c r="J359" s="196" t="e">
        <f t="shared" ca="1" si="93"/>
        <v>#DIV/0!</v>
      </c>
      <c r="K359" s="196" t="e">
        <f t="shared" ca="1" si="94"/>
        <v>#DIV/0!</v>
      </c>
      <c r="L359" s="196">
        <f t="shared" ca="1" si="84"/>
        <v>0</v>
      </c>
      <c r="M359" s="196" t="e">
        <f t="shared" ca="1" si="95"/>
        <v>#DIV/0!</v>
      </c>
      <c r="N359" s="196">
        <f t="shared" ca="1" si="87"/>
        <v>0</v>
      </c>
      <c r="O359" s="196">
        <f ca="1">(DATOSAÑO!AJ359+DATOSAÑO!AK359+DATOSAÑO!AD359)</f>
        <v>0</v>
      </c>
      <c r="P359" s="196">
        <f ca="1">DATOSAÑO!AI359</f>
        <v>0</v>
      </c>
      <c r="Q359" s="196">
        <f ca="1">DATOSAÑO!AH359</f>
        <v>0</v>
      </c>
      <c r="R359" s="196">
        <f ca="1">DATOSAÑO!AM359+DATOSAÑO!AN359+DATOSAÑO!AF359</f>
        <v>0</v>
      </c>
      <c r="S359" s="209">
        <f ca="1">IF(B359&gt;=$P$5,0,CONTADORES!S367-CONTADORES!S366)</f>
        <v>0</v>
      </c>
      <c r="T359" s="206">
        <f ca="1">IF(B359&gt;=$P$5,0,(CONTADORES!U367-CONTADORES!U366)+(CONTADORES!AG367-CONTADORES!AG366))</f>
        <v>0</v>
      </c>
      <c r="U359" s="206">
        <f ca="1">IF(B359&gt;=$P$5,0,(CONTADORES!AS367-CONTADORES!AS366))</f>
        <v>0</v>
      </c>
      <c r="V359" s="206">
        <f ca="1">IF(B359&gt;=$P$5,0,(CONTADORES!AT367-CONTADORES!AT366))</f>
        <v>0</v>
      </c>
      <c r="W359" s="206">
        <v>0</v>
      </c>
      <c r="X359" s="206">
        <f ca="1">IF(W359=0,(T359-INICIO!$W$6),((T359-INICIO!$W$6)+V359))</f>
        <v>0</v>
      </c>
      <c r="Y359" s="208">
        <f t="shared" ca="1" si="88"/>
        <v>0</v>
      </c>
      <c r="Z359" s="209" t="e">
        <f t="shared" ca="1" si="89"/>
        <v>#DIV/0!</v>
      </c>
      <c r="AA359" s="206" t="e">
        <f t="shared" ca="1" si="90"/>
        <v>#DIV/0!</v>
      </c>
      <c r="AB359" s="206" t="e">
        <f t="shared" ca="1" si="91"/>
        <v>#DIV/0!</v>
      </c>
      <c r="AC359" s="208" t="e">
        <f t="shared" ca="1" si="86"/>
        <v>#DIV/0!</v>
      </c>
    </row>
    <row r="360" spans="2:29">
      <c r="B360" s="214">
        <v>44911</v>
      </c>
      <c r="C360" s="202">
        <f ca="1">DATOSAÑO!I360</f>
        <v>0</v>
      </c>
      <c r="D360" s="196">
        <f ca="1">DATOSAÑO!P360</f>
        <v>0</v>
      </c>
      <c r="E360" s="196">
        <f ca="1">DATOSAÑO!Q360</f>
        <v>0</v>
      </c>
      <c r="F360" s="196">
        <f ca="1">DATOSAÑO!T360</f>
        <v>0</v>
      </c>
      <c r="G360" s="196">
        <f t="shared" ca="1" si="85"/>
        <v>0</v>
      </c>
      <c r="H360" s="196" t="e">
        <f t="shared" ca="1" si="96"/>
        <v>#DIV/0!</v>
      </c>
      <c r="I360" s="196" t="e">
        <f t="shared" ca="1" si="92"/>
        <v>#DIV/0!</v>
      </c>
      <c r="J360" s="196" t="e">
        <f t="shared" ca="1" si="93"/>
        <v>#DIV/0!</v>
      </c>
      <c r="K360" s="196" t="e">
        <f t="shared" ca="1" si="94"/>
        <v>#DIV/0!</v>
      </c>
      <c r="L360" s="196">
        <f t="shared" ca="1" si="84"/>
        <v>0</v>
      </c>
      <c r="M360" s="196" t="e">
        <f t="shared" ca="1" si="95"/>
        <v>#DIV/0!</v>
      </c>
      <c r="N360" s="196">
        <f t="shared" ca="1" si="87"/>
        <v>0</v>
      </c>
      <c r="O360" s="196">
        <f ca="1">(DATOSAÑO!AJ360+DATOSAÑO!AK360+DATOSAÑO!AD360)</f>
        <v>0</v>
      </c>
      <c r="P360" s="196">
        <f ca="1">DATOSAÑO!AI360</f>
        <v>0</v>
      </c>
      <c r="Q360" s="196">
        <f ca="1">DATOSAÑO!AH360</f>
        <v>0</v>
      </c>
      <c r="R360" s="196">
        <f ca="1">DATOSAÑO!AM360+DATOSAÑO!AN360+DATOSAÑO!AF360</f>
        <v>0</v>
      </c>
      <c r="S360" s="209">
        <f ca="1">IF(B360&gt;=$P$5,0,CONTADORES!S368-CONTADORES!S367)</f>
        <v>0</v>
      </c>
      <c r="T360" s="206">
        <f ca="1">IF(B360&gt;=$P$5,0,(CONTADORES!U368-CONTADORES!U367)+(CONTADORES!AG368-CONTADORES!AG367))</f>
        <v>0</v>
      </c>
      <c r="U360" s="206">
        <f ca="1">IF(B360&gt;=$P$5,0,(CONTADORES!AS368-CONTADORES!AS367))</f>
        <v>0</v>
      </c>
      <c r="V360" s="206">
        <f ca="1">IF(B360&gt;=$P$5,0,(CONTADORES!AT368-CONTADORES!AT367))</f>
        <v>0</v>
      </c>
      <c r="W360" s="206">
        <v>0</v>
      </c>
      <c r="X360" s="206">
        <f ca="1">IF(W360=0,(T360-INICIO!$W$6),((T360-INICIO!$W$6)+V360))</f>
        <v>0</v>
      </c>
      <c r="Y360" s="208">
        <f t="shared" ca="1" si="88"/>
        <v>0</v>
      </c>
      <c r="Z360" s="209" t="e">
        <f t="shared" ca="1" si="89"/>
        <v>#DIV/0!</v>
      </c>
      <c r="AA360" s="206" t="e">
        <f t="shared" ca="1" si="90"/>
        <v>#DIV/0!</v>
      </c>
      <c r="AB360" s="206" t="e">
        <f t="shared" ca="1" si="91"/>
        <v>#DIV/0!</v>
      </c>
      <c r="AC360" s="208" t="e">
        <f t="shared" ca="1" si="86"/>
        <v>#DIV/0!</v>
      </c>
    </row>
    <row r="361" spans="2:29">
      <c r="B361" s="214">
        <v>44912</v>
      </c>
      <c r="C361" s="202">
        <f ca="1">DATOSAÑO!I361</f>
        <v>0</v>
      </c>
      <c r="D361" s="196">
        <f ca="1">DATOSAÑO!P361</f>
        <v>0</v>
      </c>
      <c r="E361" s="196">
        <f ca="1">DATOSAÑO!Q361</f>
        <v>0</v>
      </c>
      <c r="F361" s="196">
        <f ca="1">DATOSAÑO!T361</f>
        <v>0</v>
      </c>
      <c r="G361" s="196">
        <f t="shared" ca="1" si="85"/>
        <v>0</v>
      </c>
      <c r="H361" s="196" t="e">
        <f t="shared" ca="1" si="96"/>
        <v>#DIV/0!</v>
      </c>
      <c r="I361" s="196" t="e">
        <f t="shared" ca="1" si="92"/>
        <v>#DIV/0!</v>
      </c>
      <c r="J361" s="196" t="e">
        <f t="shared" ca="1" si="93"/>
        <v>#DIV/0!</v>
      </c>
      <c r="K361" s="196" t="e">
        <f t="shared" ca="1" si="94"/>
        <v>#DIV/0!</v>
      </c>
      <c r="L361" s="196">
        <f t="shared" ca="1" si="84"/>
        <v>0</v>
      </c>
      <c r="M361" s="196" t="e">
        <f t="shared" ca="1" si="95"/>
        <v>#DIV/0!</v>
      </c>
      <c r="N361" s="196">
        <f t="shared" ca="1" si="87"/>
        <v>0</v>
      </c>
      <c r="O361" s="196">
        <f ca="1">(DATOSAÑO!AJ361+DATOSAÑO!AK361+DATOSAÑO!AD361)</f>
        <v>0</v>
      </c>
      <c r="P361" s="196">
        <f ca="1">DATOSAÑO!AI361</f>
        <v>0</v>
      </c>
      <c r="Q361" s="196">
        <f ca="1">DATOSAÑO!AH361</f>
        <v>0</v>
      </c>
      <c r="R361" s="196">
        <f ca="1">DATOSAÑO!AM361+DATOSAÑO!AN361+DATOSAÑO!AF361</f>
        <v>0</v>
      </c>
      <c r="S361" s="209">
        <f ca="1">IF(B361&gt;=$P$5,0,CONTADORES!S369-CONTADORES!S368)</f>
        <v>0</v>
      </c>
      <c r="T361" s="206">
        <f ca="1">IF(B361&gt;=$P$5,0,(CONTADORES!U369-CONTADORES!U368)+(CONTADORES!AG369-CONTADORES!AG368))</f>
        <v>0</v>
      </c>
      <c r="U361" s="206">
        <f ca="1">IF(B361&gt;=$P$5,0,(CONTADORES!AS369-CONTADORES!AS368))</f>
        <v>0</v>
      </c>
      <c r="V361" s="206">
        <f ca="1">IF(B361&gt;=$P$5,0,(CONTADORES!AT369-CONTADORES!AT368))</f>
        <v>0</v>
      </c>
      <c r="W361" s="206">
        <v>0</v>
      </c>
      <c r="X361" s="206">
        <f ca="1">IF(W361=0,(T361-INICIO!$W$6),((T361-INICIO!$W$6)+V361))</f>
        <v>0</v>
      </c>
      <c r="Y361" s="208">
        <f t="shared" ca="1" si="88"/>
        <v>0</v>
      </c>
      <c r="Z361" s="209" t="e">
        <f t="shared" ca="1" si="89"/>
        <v>#DIV/0!</v>
      </c>
      <c r="AA361" s="206" t="e">
        <f t="shared" ca="1" si="90"/>
        <v>#DIV/0!</v>
      </c>
      <c r="AB361" s="206" t="e">
        <f t="shared" ca="1" si="91"/>
        <v>#DIV/0!</v>
      </c>
      <c r="AC361" s="208" t="e">
        <f t="shared" ca="1" si="86"/>
        <v>#DIV/0!</v>
      </c>
    </row>
    <row r="362" spans="2:29">
      <c r="B362" s="214">
        <v>44913</v>
      </c>
      <c r="C362" s="202">
        <f ca="1">DATOSAÑO!I362</f>
        <v>0</v>
      </c>
      <c r="D362" s="196">
        <f ca="1">DATOSAÑO!P362</f>
        <v>0</v>
      </c>
      <c r="E362" s="196">
        <f ca="1">DATOSAÑO!Q362</f>
        <v>0</v>
      </c>
      <c r="F362" s="196">
        <f ca="1">DATOSAÑO!T362</f>
        <v>0</v>
      </c>
      <c r="G362" s="196">
        <f t="shared" ca="1" si="85"/>
        <v>0</v>
      </c>
      <c r="H362" s="196" t="e">
        <f t="shared" ca="1" si="96"/>
        <v>#DIV/0!</v>
      </c>
      <c r="I362" s="196" t="e">
        <f t="shared" ca="1" si="92"/>
        <v>#DIV/0!</v>
      </c>
      <c r="J362" s="196" t="e">
        <f t="shared" ca="1" si="93"/>
        <v>#DIV/0!</v>
      </c>
      <c r="K362" s="196" t="e">
        <f t="shared" ca="1" si="94"/>
        <v>#DIV/0!</v>
      </c>
      <c r="L362" s="196">
        <f t="shared" ca="1" si="84"/>
        <v>0</v>
      </c>
      <c r="M362" s="196" t="e">
        <f t="shared" ca="1" si="95"/>
        <v>#DIV/0!</v>
      </c>
      <c r="N362" s="196">
        <f t="shared" ca="1" si="87"/>
        <v>0</v>
      </c>
      <c r="O362" s="196">
        <f ca="1">(DATOSAÑO!AJ362+DATOSAÑO!AK362+DATOSAÑO!AD362)</f>
        <v>0</v>
      </c>
      <c r="P362" s="196">
        <f ca="1">DATOSAÑO!AI362</f>
        <v>0</v>
      </c>
      <c r="Q362" s="196">
        <f ca="1">DATOSAÑO!AH362</f>
        <v>0</v>
      </c>
      <c r="R362" s="196">
        <f ca="1">DATOSAÑO!AM362+DATOSAÑO!AN362+DATOSAÑO!AF362</f>
        <v>0</v>
      </c>
      <c r="S362" s="209">
        <f ca="1">IF(B362&gt;=$P$5,0,CONTADORES!S370-CONTADORES!S369)</f>
        <v>0</v>
      </c>
      <c r="T362" s="206">
        <f ca="1">IF(B362&gt;=$P$5,0,(CONTADORES!U370-CONTADORES!U369)+(CONTADORES!AG370-CONTADORES!AG369))</f>
        <v>0</v>
      </c>
      <c r="U362" s="206">
        <f ca="1">IF(B362&gt;=$P$5,0,(CONTADORES!AS370-CONTADORES!AS369))</f>
        <v>0</v>
      </c>
      <c r="V362" s="206">
        <f ca="1">IF(B362&gt;=$P$5,0,(CONTADORES!AT370-CONTADORES!AT369))</f>
        <v>0</v>
      </c>
      <c r="W362" s="206">
        <v>0</v>
      </c>
      <c r="X362" s="206">
        <f ca="1">IF(W362=0,(T362-INICIO!$W$6),((T362-INICIO!$W$6)+V362))</f>
        <v>0</v>
      </c>
      <c r="Y362" s="208">
        <f t="shared" ca="1" si="88"/>
        <v>0</v>
      </c>
      <c r="Z362" s="209" t="e">
        <f t="shared" ca="1" si="89"/>
        <v>#DIV/0!</v>
      </c>
      <c r="AA362" s="206" t="e">
        <f t="shared" ca="1" si="90"/>
        <v>#DIV/0!</v>
      </c>
      <c r="AB362" s="206" t="e">
        <f t="shared" ca="1" si="91"/>
        <v>#DIV/0!</v>
      </c>
      <c r="AC362" s="208" t="e">
        <f t="shared" ca="1" si="86"/>
        <v>#DIV/0!</v>
      </c>
    </row>
    <row r="363" spans="2:29">
      <c r="B363" s="214">
        <v>44914</v>
      </c>
      <c r="C363" s="202">
        <f ca="1">DATOSAÑO!I363</f>
        <v>0</v>
      </c>
      <c r="D363" s="196">
        <f ca="1">DATOSAÑO!P363</f>
        <v>0</v>
      </c>
      <c r="E363" s="196">
        <f ca="1">DATOSAÑO!Q363</f>
        <v>0</v>
      </c>
      <c r="F363" s="196">
        <f ca="1">DATOSAÑO!T363</f>
        <v>0</v>
      </c>
      <c r="G363" s="196">
        <f t="shared" ca="1" si="85"/>
        <v>0</v>
      </c>
      <c r="H363" s="196" t="e">
        <f t="shared" ca="1" si="96"/>
        <v>#DIV/0!</v>
      </c>
      <c r="I363" s="196" t="e">
        <f t="shared" ca="1" si="92"/>
        <v>#DIV/0!</v>
      </c>
      <c r="J363" s="196" t="e">
        <f t="shared" ca="1" si="93"/>
        <v>#DIV/0!</v>
      </c>
      <c r="K363" s="196" t="e">
        <f t="shared" ca="1" si="94"/>
        <v>#DIV/0!</v>
      </c>
      <c r="L363" s="196">
        <f t="shared" ca="1" si="84"/>
        <v>0</v>
      </c>
      <c r="M363" s="196" t="e">
        <f t="shared" ca="1" si="95"/>
        <v>#DIV/0!</v>
      </c>
      <c r="N363" s="196">
        <f t="shared" ca="1" si="87"/>
        <v>0</v>
      </c>
      <c r="O363" s="196">
        <f ca="1">(DATOSAÑO!AJ363+DATOSAÑO!AK363+DATOSAÑO!AD363)</f>
        <v>0</v>
      </c>
      <c r="P363" s="196">
        <f ca="1">DATOSAÑO!AI363</f>
        <v>0</v>
      </c>
      <c r="Q363" s="196">
        <f ca="1">DATOSAÑO!AH363</f>
        <v>0</v>
      </c>
      <c r="R363" s="196">
        <f ca="1">DATOSAÑO!AM363+DATOSAÑO!AN363+DATOSAÑO!AF363</f>
        <v>0</v>
      </c>
      <c r="S363" s="209">
        <f ca="1">IF(B363&gt;=$P$5,0,CONTADORES!S371-CONTADORES!S370)</f>
        <v>0</v>
      </c>
      <c r="T363" s="206">
        <f ca="1">IF(B363&gt;=$P$5,0,(CONTADORES!U371-CONTADORES!U370)+(CONTADORES!AG371-CONTADORES!AG370))</f>
        <v>0</v>
      </c>
      <c r="U363" s="206">
        <f ca="1">IF(B363&gt;=$P$5,0,(CONTADORES!AS371-CONTADORES!AS370))</f>
        <v>0</v>
      </c>
      <c r="V363" s="206">
        <f ca="1">IF(B363&gt;=$P$5,0,(CONTADORES!AT371-CONTADORES!AT370))</f>
        <v>0</v>
      </c>
      <c r="W363" s="206">
        <v>0</v>
      </c>
      <c r="X363" s="206">
        <f ca="1">IF(W363=0,(T363-INICIO!$W$6),((T363-INICIO!$W$6)+V363))</f>
        <v>0</v>
      </c>
      <c r="Y363" s="208">
        <f t="shared" ca="1" si="88"/>
        <v>0</v>
      </c>
      <c r="Z363" s="209" t="e">
        <f t="shared" ca="1" si="89"/>
        <v>#DIV/0!</v>
      </c>
      <c r="AA363" s="206" t="e">
        <f t="shared" ca="1" si="90"/>
        <v>#DIV/0!</v>
      </c>
      <c r="AB363" s="206" t="e">
        <f t="shared" ca="1" si="91"/>
        <v>#DIV/0!</v>
      </c>
      <c r="AC363" s="208" t="e">
        <f t="shared" ca="1" si="86"/>
        <v>#DIV/0!</v>
      </c>
    </row>
    <row r="364" spans="2:29">
      <c r="B364" s="214">
        <v>44915</v>
      </c>
      <c r="C364" s="202">
        <f ca="1">DATOSAÑO!I364</f>
        <v>0</v>
      </c>
      <c r="D364" s="196">
        <f ca="1">DATOSAÑO!P364</f>
        <v>0</v>
      </c>
      <c r="E364" s="196">
        <f ca="1">DATOSAÑO!Q364</f>
        <v>0</v>
      </c>
      <c r="F364" s="196">
        <f ca="1">DATOSAÑO!T364</f>
        <v>0</v>
      </c>
      <c r="G364" s="196">
        <f t="shared" ca="1" si="85"/>
        <v>0</v>
      </c>
      <c r="H364" s="196" t="e">
        <f t="shared" ca="1" si="96"/>
        <v>#DIV/0!</v>
      </c>
      <c r="I364" s="196" t="e">
        <f t="shared" ca="1" si="92"/>
        <v>#DIV/0!</v>
      </c>
      <c r="J364" s="196" t="e">
        <f t="shared" ca="1" si="93"/>
        <v>#DIV/0!</v>
      </c>
      <c r="K364" s="196" t="e">
        <f t="shared" ca="1" si="94"/>
        <v>#DIV/0!</v>
      </c>
      <c r="L364" s="196">
        <f t="shared" ca="1" si="84"/>
        <v>0</v>
      </c>
      <c r="M364" s="196" t="e">
        <f t="shared" ca="1" si="95"/>
        <v>#DIV/0!</v>
      </c>
      <c r="N364" s="196">
        <f t="shared" ca="1" si="87"/>
        <v>0</v>
      </c>
      <c r="O364" s="196">
        <f ca="1">(DATOSAÑO!AJ364+DATOSAÑO!AK364+DATOSAÑO!AD364)</f>
        <v>0</v>
      </c>
      <c r="P364" s="196">
        <f ca="1">DATOSAÑO!AI364</f>
        <v>0</v>
      </c>
      <c r="Q364" s="196">
        <f ca="1">DATOSAÑO!AH364</f>
        <v>0</v>
      </c>
      <c r="R364" s="196">
        <f ca="1">DATOSAÑO!AM364+DATOSAÑO!AN364+DATOSAÑO!AF364</f>
        <v>0</v>
      </c>
      <c r="S364" s="209">
        <f ca="1">IF(B364&gt;=$P$5,0,CONTADORES!S372-CONTADORES!S371)</f>
        <v>0</v>
      </c>
      <c r="T364" s="206">
        <f ca="1">IF(B364&gt;=$P$5,0,(CONTADORES!U372-CONTADORES!U371)+(CONTADORES!AG372-CONTADORES!AG371))</f>
        <v>0</v>
      </c>
      <c r="U364" s="206">
        <f ca="1">IF(B364&gt;=$P$5,0,(CONTADORES!AS372-CONTADORES!AS371))</f>
        <v>0</v>
      </c>
      <c r="V364" s="206">
        <f ca="1">IF(B364&gt;=$P$5,0,(CONTADORES!AT372-CONTADORES!AT371))</f>
        <v>0</v>
      </c>
      <c r="W364" s="206">
        <v>0</v>
      </c>
      <c r="X364" s="206">
        <f ca="1">IF(W364=0,(T364-INICIO!$W$6),((T364-INICIO!$W$6)+V364))</f>
        <v>0</v>
      </c>
      <c r="Y364" s="208">
        <f t="shared" ca="1" si="88"/>
        <v>0</v>
      </c>
      <c r="Z364" s="209" t="e">
        <f t="shared" ca="1" si="89"/>
        <v>#DIV/0!</v>
      </c>
      <c r="AA364" s="206" t="e">
        <f t="shared" ca="1" si="90"/>
        <v>#DIV/0!</v>
      </c>
      <c r="AB364" s="206" t="e">
        <f t="shared" ca="1" si="91"/>
        <v>#DIV/0!</v>
      </c>
      <c r="AC364" s="208" t="e">
        <f t="shared" ca="1" si="86"/>
        <v>#DIV/0!</v>
      </c>
    </row>
    <row r="365" spans="2:29">
      <c r="B365" s="214">
        <v>44916</v>
      </c>
      <c r="C365" s="202">
        <f ca="1">DATOSAÑO!I365</f>
        <v>0</v>
      </c>
      <c r="D365" s="196">
        <f ca="1">DATOSAÑO!P365</f>
        <v>0</v>
      </c>
      <c r="E365" s="196">
        <f ca="1">DATOSAÑO!Q365</f>
        <v>0</v>
      </c>
      <c r="F365" s="196">
        <f ca="1">DATOSAÑO!T365</f>
        <v>0</v>
      </c>
      <c r="G365" s="196">
        <f t="shared" ca="1" si="85"/>
        <v>0</v>
      </c>
      <c r="H365" s="196" t="e">
        <f t="shared" ca="1" si="96"/>
        <v>#DIV/0!</v>
      </c>
      <c r="I365" s="196" t="e">
        <f t="shared" ca="1" si="92"/>
        <v>#DIV/0!</v>
      </c>
      <c r="J365" s="196" t="e">
        <f t="shared" ca="1" si="93"/>
        <v>#DIV/0!</v>
      </c>
      <c r="K365" s="196" t="e">
        <f t="shared" ca="1" si="94"/>
        <v>#DIV/0!</v>
      </c>
      <c r="L365" s="196">
        <f t="shared" ca="1" si="84"/>
        <v>0</v>
      </c>
      <c r="M365" s="196" t="e">
        <f t="shared" ca="1" si="95"/>
        <v>#DIV/0!</v>
      </c>
      <c r="N365" s="196">
        <f t="shared" ca="1" si="87"/>
        <v>0</v>
      </c>
      <c r="O365" s="196">
        <f ca="1">(DATOSAÑO!AJ365+DATOSAÑO!AK365+DATOSAÑO!AD365)</f>
        <v>0</v>
      </c>
      <c r="P365" s="196">
        <f ca="1">DATOSAÑO!AI365</f>
        <v>0</v>
      </c>
      <c r="Q365" s="196">
        <f ca="1">DATOSAÑO!AH365</f>
        <v>0</v>
      </c>
      <c r="R365" s="196">
        <f ca="1">DATOSAÑO!AM365+DATOSAÑO!AN365+DATOSAÑO!AF365</f>
        <v>0</v>
      </c>
      <c r="S365" s="209">
        <f ca="1">IF(B365&gt;=$P$5,0,CONTADORES!S373-CONTADORES!S372)</f>
        <v>0</v>
      </c>
      <c r="T365" s="206">
        <f ca="1">IF(B365&gt;=$P$5,0,(CONTADORES!U373-CONTADORES!U372)+(CONTADORES!AG373-CONTADORES!AG372))</f>
        <v>0</v>
      </c>
      <c r="U365" s="206">
        <f ca="1">IF(B365&gt;=$P$5,0,(CONTADORES!AS373-CONTADORES!AS372))</f>
        <v>0</v>
      </c>
      <c r="V365" s="206">
        <f ca="1">IF(B365&gt;=$P$5,0,(CONTADORES!AT373-CONTADORES!AT372))</f>
        <v>0</v>
      </c>
      <c r="W365" s="206">
        <v>0</v>
      </c>
      <c r="X365" s="206">
        <f ca="1">IF(W365=0,(T365-INICIO!$W$6),((T365-INICIO!$W$6)+V365))</f>
        <v>0</v>
      </c>
      <c r="Y365" s="208">
        <f t="shared" ca="1" si="88"/>
        <v>0</v>
      </c>
      <c r="Z365" s="209" t="e">
        <f t="shared" ca="1" si="89"/>
        <v>#DIV/0!</v>
      </c>
      <c r="AA365" s="206" t="e">
        <f t="shared" ca="1" si="90"/>
        <v>#DIV/0!</v>
      </c>
      <c r="AB365" s="206" t="e">
        <f t="shared" ca="1" si="91"/>
        <v>#DIV/0!</v>
      </c>
      <c r="AC365" s="208" t="e">
        <f t="shared" ca="1" si="86"/>
        <v>#DIV/0!</v>
      </c>
    </row>
    <row r="366" spans="2:29">
      <c r="B366" s="214">
        <v>44917</v>
      </c>
      <c r="C366" s="202">
        <f ca="1">DATOSAÑO!I366</f>
        <v>0</v>
      </c>
      <c r="D366" s="196">
        <f ca="1">DATOSAÑO!P366</f>
        <v>0</v>
      </c>
      <c r="E366" s="196">
        <f ca="1">DATOSAÑO!Q366</f>
        <v>0</v>
      </c>
      <c r="F366" s="196">
        <f ca="1">DATOSAÑO!T366</f>
        <v>0</v>
      </c>
      <c r="G366" s="196">
        <f t="shared" ca="1" si="85"/>
        <v>0</v>
      </c>
      <c r="H366" s="196" t="e">
        <f t="shared" ca="1" si="96"/>
        <v>#DIV/0!</v>
      </c>
      <c r="I366" s="196" t="e">
        <f t="shared" ca="1" si="92"/>
        <v>#DIV/0!</v>
      </c>
      <c r="J366" s="196" t="e">
        <f t="shared" ca="1" si="93"/>
        <v>#DIV/0!</v>
      </c>
      <c r="K366" s="196" t="e">
        <f t="shared" ca="1" si="94"/>
        <v>#DIV/0!</v>
      </c>
      <c r="L366" s="196">
        <f t="shared" ca="1" si="84"/>
        <v>0</v>
      </c>
      <c r="M366" s="196" t="e">
        <f t="shared" ca="1" si="95"/>
        <v>#DIV/0!</v>
      </c>
      <c r="N366" s="196">
        <f t="shared" ca="1" si="87"/>
        <v>0</v>
      </c>
      <c r="O366" s="196">
        <f ca="1">(DATOSAÑO!AJ366+DATOSAÑO!AK366+DATOSAÑO!AD366)</f>
        <v>0</v>
      </c>
      <c r="P366" s="196">
        <f ca="1">DATOSAÑO!AI366</f>
        <v>0</v>
      </c>
      <c r="Q366" s="196">
        <f ca="1">DATOSAÑO!AH366</f>
        <v>0</v>
      </c>
      <c r="R366" s="196">
        <f ca="1">DATOSAÑO!AM366+DATOSAÑO!AN366+DATOSAÑO!AF366</f>
        <v>0</v>
      </c>
      <c r="S366" s="209">
        <f ca="1">IF(B366&gt;=$P$5,0,CONTADORES!S374-CONTADORES!S373)</f>
        <v>0</v>
      </c>
      <c r="T366" s="206">
        <f ca="1">IF(B366&gt;=$P$5,0,(CONTADORES!U374-CONTADORES!U373)+(CONTADORES!AG374-CONTADORES!AG373))</f>
        <v>0</v>
      </c>
      <c r="U366" s="206">
        <f ca="1">IF(B366&gt;=$P$5,0,(CONTADORES!AS374-CONTADORES!AS373))</f>
        <v>0</v>
      </c>
      <c r="V366" s="206">
        <f ca="1">IF(B366&gt;=$P$5,0,(CONTADORES!AT374-CONTADORES!AT373))</f>
        <v>0</v>
      </c>
      <c r="W366" s="206">
        <v>0</v>
      </c>
      <c r="X366" s="206">
        <f ca="1">IF(W366=0,(T366-INICIO!$W$6),((T366-INICIO!$W$6)+V366))</f>
        <v>0</v>
      </c>
      <c r="Y366" s="208">
        <f t="shared" ca="1" si="88"/>
        <v>0</v>
      </c>
      <c r="Z366" s="209" t="e">
        <f t="shared" ca="1" si="89"/>
        <v>#DIV/0!</v>
      </c>
      <c r="AA366" s="206" t="e">
        <f t="shared" ca="1" si="90"/>
        <v>#DIV/0!</v>
      </c>
      <c r="AB366" s="206" t="e">
        <f t="shared" ca="1" si="91"/>
        <v>#DIV/0!</v>
      </c>
      <c r="AC366" s="208" t="e">
        <f t="shared" ca="1" si="86"/>
        <v>#DIV/0!</v>
      </c>
    </row>
    <row r="367" spans="2:29">
      <c r="B367" s="214">
        <v>44918</v>
      </c>
      <c r="C367" s="202">
        <f ca="1">DATOSAÑO!I367</f>
        <v>0</v>
      </c>
      <c r="D367" s="196">
        <f ca="1">DATOSAÑO!P367</f>
        <v>0</v>
      </c>
      <c r="E367" s="196">
        <f ca="1">DATOSAÑO!Q367</f>
        <v>0</v>
      </c>
      <c r="F367" s="196">
        <f ca="1">DATOSAÑO!T367</f>
        <v>0</v>
      </c>
      <c r="G367" s="196">
        <f t="shared" ca="1" si="85"/>
        <v>0</v>
      </c>
      <c r="H367" s="196" t="e">
        <f t="shared" ca="1" si="96"/>
        <v>#DIV/0!</v>
      </c>
      <c r="I367" s="196" t="e">
        <f t="shared" ca="1" si="92"/>
        <v>#DIV/0!</v>
      </c>
      <c r="J367" s="196" t="e">
        <f t="shared" ca="1" si="93"/>
        <v>#DIV/0!</v>
      </c>
      <c r="K367" s="196" t="e">
        <f t="shared" ca="1" si="94"/>
        <v>#DIV/0!</v>
      </c>
      <c r="L367" s="196">
        <f t="shared" ca="1" si="84"/>
        <v>0</v>
      </c>
      <c r="M367" s="196" t="e">
        <f t="shared" ca="1" si="95"/>
        <v>#DIV/0!</v>
      </c>
      <c r="N367" s="196">
        <f t="shared" ca="1" si="87"/>
        <v>0</v>
      </c>
      <c r="O367" s="196">
        <f ca="1">(DATOSAÑO!AJ367+DATOSAÑO!AK367+DATOSAÑO!AD367)</f>
        <v>0</v>
      </c>
      <c r="P367" s="196">
        <f ca="1">DATOSAÑO!AI367</f>
        <v>0</v>
      </c>
      <c r="Q367" s="196">
        <f ca="1">DATOSAÑO!AH367</f>
        <v>0</v>
      </c>
      <c r="R367" s="196">
        <f ca="1">DATOSAÑO!AM367+DATOSAÑO!AN367+DATOSAÑO!AF367</f>
        <v>0</v>
      </c>
      <c r="S367" s="209">
        <f ca="1">IF(B367&gt;=$P$5,0,CONTADORES!S375-CONTADORES!S374)</f>
        <v>0</v>
      </c>
      <c r="T367" s="206">
        <f ca="1">IF(B367&gt;=$P$5,0,(CONTADORES!U375-CONTADORES!U374)+(CONTADORES!AG375-CONTADORES!AG374))</f>
        <v>0</v>
      </c>
      <c r="U367" s="206">
        <f ca="1">IF(B367&gt;=$P$5,0,(CONTADORES!AS375-CONTADORES!AS374))</f>
        <v>0</v>
      </c>
      <c r="V367" s="206">
        <f ca="1">IF(B367&gt;=$P$5,0,(CONTADORES!AT375-CONTADORES!AT374))</f>
        <v>0</v>
      </c>
      <c r="W367" s="206">
        <v>0</v>
      </c>
      <c r="X367" s="206">
        <f ca="1">IF(W367=0,(T367-INICIO!$W$6),((T367-INICIO!$W$6)+V367))</f>
        <v>0</v>
      </c>
      <c r="Y367" s="208">
        <f t="shared" ca="1" si="88"/>
        <v>0</v>
      </c>
      <c r="Z367" s="209" t="e">
        <f t="shared" ca="1" si="89"/>
        <v>#DIV/0!</v>
      </c>
      <c r="AA367" s="206" t="e">
        <f t="shared" ca="1" si="90"/>
        <v>#DIV/0!</v>
      </c>
      <c r="AB367" s="206" t="e">
        <f t="shared" ca="1" si="91"/>
        <v>#DIV/0!</v>
      </c>
      <c r="AC367" s="208" t="e">
        <f t="shared" ca="1" si="86"/>
        <v>#DIV/0!</v>
      </c>
    </row>
    <row r="368" spans="2:29">
      <c r="B368" s="214">
        <v>44919</v>
      </c>
      <c r="C368" s="202">
        <f ca="1">DATOSAÑO!I368</f>
        <v>0</v>
      </c>
      <c r="D368" s="196">
        <f ca="1">DATOSAÑO!P368</f>
        <v>0</v>
      </c>
      <c r="E368" s="196">
        <f ca="1">DATOSAÑO!Q368</f>
        <v>0</v>
      </c>
      <c r="F368" s="196">
        <f ca="1">DATOSAÑO!T368</f>
        <v>0</v>
      </c>
      <c r="G368" s="196">
        <f t="shared" ca="1" si="85"/>
        <v>0</v>
      </c>
      <c r="H368" s="196" t="e">
        <f t="shared" ca="1" si="96"/>
        <v>#DIV/0!</v>
      </c>
      <c r="I368" s="196" t="e">
        <f t="shared" ca="1" si="92"/>
        <v>#DIV/0!</v>
      </c>
      <c r="J368" s="196" t="e">
        <f t="shared" ca="1" si="93"/>
        <v>#DIV/0!</v>
      </c>
      <c r="K368" s="196" t="e">
        <f t="shared" ca="1" si="94"/>
        <v>#DIV/0!</v>
      </c>
      <c r="L368" s="196">
        <f t="shared" ca="1" si="84"/>
        <v>0</v>
      </c>
      <c r="M368" s="196" t="e">
        <f t="shared" ca="1" si="95"/>
        <v>#DIV/0!</v>
      </c>
      <c r="N368" s="196">
        <f t="shared" ca="1" si="87"/>
        <v>0</v>
      </c>
      <c r="O368" s="196">
        <f ca="1">(DATOSAÑO!AJ368+DATOSAÑO!AK368+DATOSAÑO!AD368)</f>
        <v>0</v>
      </c>
      <c r="P368" s="196">
        <f ca="1">DATOSAÑO!AI368</f>
        <v>0</v>
      </c>
      <c r="Q368" s="196">
        <f ca="1">DATOSAÑO!AH368</f>
        <v>0</v>
      </c>
      <c r="R368" s="196">
        <f ca="1">DATOSAÑO!AM368+DATOSAÑO!AN368+DATOSAÑO!AF368</f>
        <v>0</v>
      </c>
      <c r="S368" s="209">
        <f ca="1">IF(B368&gt;=$P$5,0,CONTADORES!S376-CONTADORES!S375)</f>
        <v>0</v>
      </c>
      <c r="T368" s="206">
        <f ca="1">IF(B368&gt;=$P$5,0,(CONTADORES!U376-CONTADORES!U375)+(CONTADORES!AG376-CONTADORES!AG375))</f>
        <v>0</v>
      </c>
      <c r="U368" s="206">
        <f ca="1">IF(B368&gt;=$P$5,0,(CONTADORES!AS376-CONTADORES!AS375))</f>
        <v>0</v>
      </c>
      <c r="V368" s="206">
        <f ca="1">IF(B368&gt;=$P$5,0,(CONTADORES!AT376-CONTADORES!AT375))</f>
        <v>0</v>
      </c>
      <c r="W368" s="206">
        <v>0</v>
      </c>
      <c r="X368" s="206">
        <f ca="1">IF(W368=0,(T368-INICIO!$W$6),((T368-INICIO!$W$6)+V368))</f>
        <v>0</v>
      </c>
      <c r="Y368" s="208">
        <f t="shared" ca="1" si="88"/>
        <v>0</v>
      </c>
      <c r="Z368" s="209" t="e">
        <f t="shared" ca="1" si="89"/>
        <v>#DIV/0!</v>
      </c>
      <c r="AA368" s="206" t="e">
        <f t="shared" ca="1" si="90"/>
        <v>#DIV/0!</v>
      </c>
      <c r="AB368" s="206" t="e">
        <f t="shared" ca="1" si="91"/>
        <v>#DIV/0!</v>
      </c>
      <c r="AC368" s="208" t="e">
        <f t="shared" ca="1" si="86"/>
        <v>#DIV/0!</v>
      </c>
    </row>
    <row r="369" spans="2:29">
      <c r="B369" s="214">
        <v>44920</v>
      </c>
      <c r="C369" s="202">
        <f ca="1">DATOSAÑO!I369</f>
        <v>0</v>
      </c>
      <c r="D369" s="196">
        <f ca="1">DATOSAÑO!P369</f>
        <v>0</v>
      </c>
      <c r="E369" s="196">
        <f ca="1">DATOSAÑO!Q369</f>
        <v>0</v>
      </c>
      <c r="F369" s="196">
        <f ca="1">DATOSAÑO!T369</f>
        <v>0</v>
      </c>
      <c r="G369" s="196">
        <f t="shared" ca="1" si="85"/>
        <v>0</v>
      </c>
      <c r="H369" s="196" t="e">
        <f t="shared" ca="1" si="96"/>
        <v>#DIV/0!</v>
      </c>
      <c r="I369" s="196" t="e">
        <f t="shared" ca="1" si="92"/>
        <v>#DIV/0!</v>
      </c>
      <c r="J369" s="196" t="e">
        <f t="shared" ca="1" si="93"/>
        <v>#DIV/0!</v>
      </c>
      <c r="K369" s="196" t="e">
        <f t="shared" ca="1" si="94"/>
        <v>#DIV/0!</v>
      </c>
      <c r="L369" s="196">
        <f t="shared" ca="1" si="84"/>
        <v>0</v>
      </c>
      <c r="M369" s="196" t="e">
        <f t="shared" ca="1" si="95"/>
        <v>#DIV/0!</v>
      </c>
      <c r="N369" s="196">
        <f t="shared" ca="1" si="87"/>
        <v>0</v>
      </c>
      <c r="O369" s="196">
        <f ca="1">(DATOSAÑO!AJ369+DATOSAÑO!AK369+DATOSAÑO!AD369)</f>
        <v>0</v>
      </c>
      <c r="P369" s="196">
        <f ca="1">DATOSAÑO!AI369</f>
        <v>0</v>
      </c>
      <c r="Q369" s="196">
        <f ca="1">DATOSAÑO!AH369</f>
        <v>0</v>
      </c>
      <c r="R369" s="196">
        <f ca="1">DATOSAÑO!AM369+DATOSAÑO!AN369+DATOSAÑO!AF369</f>
        <v>0</v>
      </c>
      <c r="S369" s="209">
        <f ca="1">IF(B369&gt;=$P$5,0,CONTADORES!S377-CONTADORES!S376)</f>
        <v>0</v>
      </c>
      <c r="T369" s="206">
        <f ca="1">IF(B369&gt;=$P$5,0,(CONTADORES!U377-CONTADORES!U376)+(CONTADORES!AG377-CONTADORES!AG376))</f>
        <v>0</v>
      </c>
      <c r="U369" s="206">
        <f ca="1">IF(B369&gt;=$P$5,0,(CONTADORES!AS377-CONTADORES!AS376))</f>
        <v>0</v>
      </c>
      <c r="V369" s="206">
        <f ca="1">IF(B369&gt;=$P$5,0,(CONTADORES!AT377-CONTADORES!AT376))</f>
        <v>0</v>
      </c>
      <c r="W369" s="206">
        <v>0</v>
      </c>
      <c r="X369" s="206">
        <f ca="1">IF(W369=0,(T369-INICIO!$W$6),((T369-INICIO!$W$6)+V369))</f>
        <v>0</v>
      </c>
      <c r="Y369" s="208">
        <f t="shared" ca="1" si="88"/>
        <v>0</v>
      </c>
      <c r="Z369" s="209" t="e">
        <f t="shared" ca="1" si="89"/>
        <v>#DIV/0!</v>
      </c>
      <c r="AA369" s="206" t="e">
        <f t="shared" ca="1" si="90"/>
        <v>#DIV/0!</v>
      </c>
      <c r="AB369" s="206" t="e">
        <f t="shared" ca="1" si="91"/>
        <v>#DIV/0!</v>
      </c>
      <c r="AC369" s="208" t="e">
        <f t="shared" ca="1" si="86"/>
        <v>#DIV/0!</v>
      </c>
    </row>
    <row r="370" spans="2:29">
      <c r="B370" s="214">
        <v>44921</v>
      </c>
      <c r="C370" s="202">
        <f ca="1">DATOSAÑO!I370</f>
        <v>0</v>
      </c>
      <c r="D370" s="196">
        <f ca="1">DATOSAÑO!P370</f>
        <v>0</v>
      </c>
      <c r="E370" s="196">
        <f ca="1">DATOSAÑO!Q370</f>
        <v>0</v>
      </c>
      <c r="F370" s="196">
        <f ca="1">DATOSAÑO!T370</f>
        <v>0</v>
      </c>
      <c r="G370" s="196">
        <f t="shared" ca="1" si="85"/>
        <v>0</v>
      </c>
      <c r="H370" s="196" t="e">
        <f t="shared" ca="1" si="96"/>
        <v>#DIV/0!</v>
      </c>
      <c r="I370" s="196" t="e">
        <f t="shared" ca="1" si="92"/>
        <v>#DIV/0!</v>
      </c>
      <c r="J370" s="196" t="e">
        <f t="shared" ca="1" si="93"/>
        <v>#DIV/0!</v>
      </c>
      <c r="K370" s="196" t="e">
        <f t="shared" ca="1" si="94"/>
        <v>#DIV/0!</v>
      </c>
      <c r="L370" s="196">
        <f t="shared" ca="1" si="84"/>
        <v>0</v>
      </c>
      <c r="M370" s="196" t="e">
        <f t="shared" ca="1" si="95"/>
        <v>#DIV/0!</v>
      </c>
      <c r="N370" s="196">
        <f t="shared" ca="1" si="87"/>
        <v>0</v>
      </c>
      <c r="O370" s="196">
        <f ca="1">(DATOSAÑO!AJ370+DATOSAÑO!AK370+DATOSAÑO!AD370)</f>
        <v>0</v>
      </c>
      <c r="P370" s="196">
        <f ca="1">DATOSAÑO!AI370</f>
        <v>0</v>
      </c>
      <c r="Q370" s="196">
        <f ca="1">DATOSAÑO!AH370</f>
        <v>0</v>
      </c>
      <c r="R370" s="196">
        <f ca="1">DATOSAÑO!AM370+DATOSAÑO!AN370+DATOSAÑO!AF370</f>
        <v>0</v>
      </c>
      <c r="S370" s="209">
        <f ca="1">IF(B370&gt;=$P$5,0,CONTADORES!S378-CONTADORES!S377)</f>
        <v>0</v>
      </c>
      <c r="T370" s="206">
        <f ca="1">IF(B370&gt;=$P$5,0,(CONTADORES!U378-CONTADORES!U377)+(CONTADORES!AG378-CONTADORES!AG377))</f>
        <v>0</v>
      </c>
      <c r="U370" s="206">
        <f ca="1">IF(B370&gt;=$P$5,0,(CONTADORES!AS378-CONTADORES!AS377))</f>
        <v>0</v>
      </c>
      <c r="V370" s="206">
        <f ca="1">IF(B370&gt;=$P$5,0,(CONTADORES!AT378-CONTADORES!AT377))</f>
        <v>0</v>
      </c>
      <c r="W370" s="206">
        <v>0</v>
      </c>
      <c r="X370" s="206">
        <f ca="1">IF(W370=0,(T370-INICIO!$W$6),((T370-INICIO!$W$6)+V370))</f>
        <v>0</v>
      </c>
      <c r="Y370" s="208">
        <f t="shared" ca="1" si="88"/>
        <v>0</v>
      </c>
      <c r="Z370" s="209" t="e">
        <f t="shared" ca="1" si="89"/>
        <v>#DIV/0!</v>
      </c>
      <c r="AA370" s="206" t="e">
        <f t="shared" ca="1" si="90"/>
        <v>#DIV/0!</v>
      </c>
      <c r="AB370" s="206" t="e">
        <f t="shared" ca="1" si="91"/>
        <v>#DIV/0!</v>
      </c>
      <c r="AC370" s="208" t="e">
        <f t="shared" ca="1" si="86"/>
        <v>#DIV/0!</v>
      </c>
    </row>
    <row r="371" spans="2:29">
      <c r="B371" s="214">
        <v>44922</v>
      </c>
      <c r="C371" s="202">
        <f ca="1">DATOSAÑO!I371</f>
        <v>0</v>
      </c>
      <c r="D371" s="196">
        <f ca="1">DATOSAÑO!P371</f>
        <v>0</v>
      </c>
      <c r="E371" s="196">
        <f ca="1">DATOSAÑO!Q371</f>
        <v>0</v>
      </c>
      <c r="F371" s="196">
        <f ca="1">DATOSAÑO!T371</f>
        <v>0</v>
      </c>
      <c r="G371" s="196">
        <f t="shared" ca="1" si="85"/>
        <v>0</v>
      </c>
      <c r="H371" s="196" t="e">
        <f t="shared" ca="1" si="96"/>
        <v>#DIV/0!</v>
      </c>
      <c r="I371" s="196" t="e">
        <f t="shared" ca="1" si="92"/>
        <v>#DIV/0!</v>
      </c>
      <c r="J371" s="196" t="e">
        <f t="shared" ca="1" si="93"/>
        <v>#DIV/0!</v>
      </c>
      <c r="K371" s="196" t="e">
        <f t="shared" ca="1" si="94"/>
        <v>#DIV/0!</v>
      </c>
      <c r="L371" s="196">
        <f t="shared" ca="1" si="84"/>
        <v>0</v>
      </c>
      <c r="M371" s="196" t="e">
        <f t="shared" ca="1" si="95"/>
        <v>#DIV/0!</v>
      </c>
      <c r="N371" s="196">
        <f t="shared" ca="1" si="87"/>
        <v>0</v>
      </c>
      <c r="O371" s="196">
        <f ca="1">(DATOSAÑO!AJ371+DATOSAÑO!AK371+DATOSAÑO!AD371)</f>
        <v>0</v>
      </c>
      <c r="P371" s="196">
        <f ca="1">DATOSAÑO!AI371</f>
        <v>0</v>
      </c>
      <c r="Q371" s="196">
        <f ca="1">DATOSAÑO!AH371</f>
        <v>0</v>
      </c>
      <c r="R371" s="196">
        <f ca="1">DATOSAÑO!AM371+DATOSAÑO!AN371+DATOSAÑO!AF371</f>
        <v>0</v>
      </c>
      <c r="S371" s="209">
        <f ca="1">IF(B371&gt;=$P$5,0,CONTADORES!S379-CONTADORES!S378)</f>
        <v>0</v>
      </c>
      <c r="T371" s="206">
        <f ca="1">IF(B371&gt;=$P$5,0,(CONTADORES!U379-CONTADORES!U378)+(CONTADORES!AG379-CONTADORES!AG378))</f>
        <v>0</v>
      </c>
      <c r="U371" s="206">
        <f ca="1">IF(B371&gt;=$P$5,0,(CONTADORES!AS379-CONTADORES!AS378))</f>
        <v>0</v>
      </c>
      <c r="V371" s="206">
        <f ca="1">IF(B371&gt;=$P$5,0,(CONTADORES!AT379-CONTADORES!AT378))</f>
        <v>0</v>
      </c>
      <c r="W371" s="206">
        <v>0</v>
      </c>
      <c r="X371" s="206">
        <f ca="1">IF(W371=0,(T371-INICIO!$W$6),((T371-INICIO!$W$6)+V371))</f>
        <v>0</v>
      </c>
      <c r="Y371" s="208">
        <f t="shared" ca="1" si="88"/>
        <v>0</v>
      </c>
      <c r="Z371" s="209" t="e">
        <f t="shared" ca="1" si="89"/>
        <v>#DIV/0!</v>
      </c>
      <c r="AA371" s="206" t="e">
        <f t="shared" ca="1" si="90"/>
        <v>#DIV/0!</v>
      </c>
      <c r="AB371" s="206" t="e">
        <f t="shared" ca="1" si="91"/>
        <v>#DIV/0!</v>
      </c>
      <c r="AC371" s="208" t="e">
        <f t="shared" ca="1" si="86"/>
        <v>#DIV/0!</v>
      </c>
    </row>
    <row r="372" spans="2:29">
      <c r="B372" s="214">
        <v>44923</v>
      </c>
      <c r="C372" s="202">
        <f ca="1">DATOSAÑO!I372</f>
        <v>0</v>
      </c>
      <c r="D372" s="196">
        <f ca="1">DATOSAÑO!P372</f>
        <v>0</v>
      </c>
      <c r="E372" s="196">
        <f ca="1">DATOSAÑO!Q372</f>
        <v>0</v>
      </c>
      <c r="F372" s="196">
        <f ca="1">DATOSAÑO!T372</f>
        <v>0</v>
      </c>
      <c r="G372" s="196">
        <f t="shared" ca="1" si="85"/>
        <v>0</v>
      </c>
      <c r="H372" s="196" t="e">
        <f t="shared" ca="1" si="96"/>
        <v>#DIV/0!</v>
      </c>
      <c r="I372" s="196" t="e">
        <f t="shared" ca="1" si="92"/>
        <v>#DIV/0!</v>
      </c>
      <c r="J372" s="196" t="e">
        <f t="shared" ca="1" si="93"/>
        <v>#DIV/0!</v>
      </c>
      <c r="K372" s="196" t="e">
        <f t="shared" ca="1" si="94"/>
        <v>#DIV/0!</v>
      </c>
      <c r="L372" s="196">
        <f t="shared" ca="1" si="84"/>
        <v>0</v>
      </c>
      <c r="M372" s="196" t="e">
        <f t="shared" ca="1" si="95"/>
        <v>#DIV/0!</v>
      </c>
      <c r="N372" s="196">
        <f t="shared" ca="1" si="87"/>
        <v>0</v>
      </c>
      <c r="O372" s="196">
        <f ca="1">(DATOSAÑO!AJ372+DATOSAÑO!AK372+DATOSAÑO!AD372)</f>
        <v>0</v>
      </c>
      <c r="P372" s="196">
        <f ca="1">DATOSAÑO!AI372</f>
        <v>0</v>
      </c>
      <c r="Q372" s="196">
        <f ca="1">DATOSAÑO!AH372</f>
        <v>0</v>
      </c>
      <c r="R372" s="196">
        <f ca="1">DATOSAÑO!AM372+DATOSAÑO!AN372+DATOSAÑO!AF372</f>
        <v>0</v>
      </c>
      <c r="S372" s="209">
        <f ca="1">IF(B372&gt;=$P$5,0,CONTADORES!S380-CONTADORES!S379)</f>
        <v>0</v>
      </c>
      <c r="T372" s="206">
        <f ca="1">IF(B372&gt;=$P$5,0,(CONTADORES!U380-CONTADORES!U379)+(CONTADORES!AG380-CONTADORES!AG379))</f>
        <v>0</v>
      </c>
      <c r="U372" s="206">
        <f ca="1">IF(B372&gt;=$P$5,0,(CONTADORES!AS380-CONTADORES!AS379))</f>
        <v>0</v>
      </c>
      <c r="V372" s="206">
        <f ca="1">IF(B372&gt;=$P$5,0,(CONTADORES!AT380-CONTADORES!AT379))</f>
        <v>0</v>
      </c>
      <c r="W372" s="206">
        <v>0</v>
      </c>
      <c r="X372" s="206">
        <f ca="1">IF(W372=0,(T372-INICIO!$W$6),((T372-INICIO!$W$6)+V372))</f>
        <v>0</v>
      </c>
      <c r="Y372" s="208">
        <f t="shared" ca="1" si="88"/>
        <v>0</v>
      </c>
      <c r="Z372" s="209" t="e">
        <f t="shared" ca="1" si="89"/>
        <v>#DIV/0!</v>
      </c>
      <c r="AA372" s="206" t="e">
        <f t="shared" ca="1" si="90"/>
        <v>#DIV/0!</v>
      </c>
      <c r="AB372" s="206" t="e">
        <f t="shared" ca="1" si="91"/>
        <v>#DIV/0!</v>
      </c>
      <c r="AC372" s="208" t="e">
        <f t="shared" ca="1" si="86"/>
        <v>#DIV/0!</v>
      </c>
    </row>
    <row r="373" spans="2:29">
      <c r="B373" s="214">
        <v>44924</v>
      </c>
      <c r="C373" s="202">
        <f ca="1">DATOSAÑO!I373</f>
        <v>0</v>
      </c>
      <c r="D373" s="196">
        <f ca="1">DATOSAÑO!P373</f>
        <v>0</v>
      </c>
      <c r="E373" s="196">
        <f ca="1">DATOSAÑO!Q373</f>
        <v>0</v>
      </c>
      <c r="F373" s="196">
        <f ca="1">DATOSAÑO!T373</f>
        <v>0</v>
      </c>
      <c r="G373" s="196">
        <f t="shared" ca="1" si="85"/>
        <v>0</v>
      </c>
      <c r="H373" s="196" t="e">
        <f t="shared" ca="1" si="96"/>
        <v>#DIV/0!</v>
      </c>
      <c r="I373" s="196" t="e">
        <f t="shared" ca="1" si="92"/>
        <v>#DIV/0!</v>
      </c>
      <c r="J373" s="196" t="e">
        <f t="shared" ca="1" si="93"/>
        <v>#DIV/0!</v>
      </c>
      <c r="K373" s="196" t="e">
        <f t="shared" ca="1" si="94"/>
        <v>#DIV/0!</v>
      </c>
      <c r="L373" s="196">
        <f t="shared" ca="1" si="84"/>
        <v>0</v>
      </c>
      <c r="M373" s="196" t="e">
        <f t="shared" ca="1" si="95"/>
        <v>#DIV/0!</v>
      </c>
      <c r="N373" s="196">
        <f t="shared" ca="1" si="87"/>
        <v>0</v>
      </c>
      <c r="O373" s="196">
        <f ca="1">(DATOSAÑO!AJ373+DATOSAÑO!AK373+DATOSAÑO!AD373)</f>
        <v>0</v>
      </c>
      <c r="P373" s="196">
        <f ca="1">DATOSAÑO!AI373</f>
        <v>0</v>
      </c>
      <c r="Q373" s="196">
        <f ca="1">DATOSAÑO!AH373</f>
        <v>0</v>
      </c>
      <c r="R373" s="196">
        <f ca="1">DATOSAÑO!AM373+DATOSAÑO!AN373+DATOSAÑO!AF373</f>
        <v>0</v>
      </c>
      <c r="S373" s="209">
        <f ca="1">IF(B373&gt;=$P$5,0,CONTADORES!S381-CONTADORES!S380)</f>
        <v>0</v>
      </c>
      <c r="T373" s="206">
        <f ca="1">IF(B373&gt;=$P$5,0,(CONTADORES!U381-CONTADORES!U380)+(CONTADORES!AG381-CONTADORES!AG380))</f>
        <v>0</v>
      </c>
      <c r="U373" s="206">
        <f ca="1">IF(B373&gt;=$P$5,0,(CONTADORES!AS381-CONTADORES!AS380))</f>
        <v>0</v>
      </c>
      <c r="V373" s="206">
        <f ca="1">IF(B373&gt;=$P$5,0,(CONTADORES!AT381-CONTADORES!AT380))</f>
        <v>0</v>
      </c>
      <c r="W373" s="206">
        <v>0</v>
      </c>
      <c r="X373" s="206">
        <f ca="1">IF(W373=0,(T373-INICIO!$W$6),((T373-INICIO!$W$6)+V373))</f>
        <v>0</v>
      </c>
      <c r="Y373" s="208">
        <f t="shared" ca="1" si="88"/>
        <v>0</v>
      </c>
      <c r="Z373" s="209" t="e">
        <f t="shared" ca="1" si="89"/>
        <v>#DIV/0!</v>
      </c>
      <c r="AA373" s="206" t="e">
        <f t="shared" ca="1" si="90"/>
        <v>#DIV/0!</v>
      </c>
      <c r="AB373" s="206" t="e">
        <f t="shared" ca="1" si="91"/>
        <v>#DIV/0!</v>
      </c>
      <c r="AC373" s="208" t="e">
        <f t="shared" ca="1" si="86"/>
        <v>#DIV/0!</v>
      </c>
    </row>
    <row r="374" spans="2:29">
      <c r="B374" s="214">
        <v>44925</v>
      </c>
      <c r="C374" s="202">
        <f ca="1">DATOSAÑO!I374</f>
        <v>0</v>
      </c>
      <c r="D374" s="196">
        <f ca="1">DATOSAÑO!P374</f>
        <v>0</v>
      </c>
      <c r="E374" s="196">
        <f ca="1">DATOSAÑO!Q374</f>
        <v>0</v>
      </c>
      <c r="F374" s="196">
        <f ca="1">DATOSAÑO!T374</f>
        <v>0</v>
      </c>
      <c r="G374" s="196">
        <f t="shared" ca="1" si="85"/>
        <v>0</v>
      </c>
      <c r="H374" s="196" t="e">
        <f t="shared" ca="1" si="96"/>
        <v>#DIV/0!</v>
      </c>
      <c r="I374" s="196" t="e">
        <f t="shared" ca="1" si="92"/>
        <v>#DIV/0!</v>
      </c>
      <c r="J374" s="196" t="e">
        <f t="shared" ca="1" si="93"/>
        <v>#DIV/0!</v>
      </c>
      <c r="K374" s="196" t="e">
        <f t="shared" ca="1" si="94"/>
        <v>#DIV/0!</v>
      </c>
      <c r="L374" s="196">
        <f t="shared" ca="1" si="84"/>
        <v>0</v>
      </c>
      <c r="M374" s="196" t="e">
        <f t="shared" ca="1" si="95"/>
        <v>#DIV/0!</v>
      </c>
      <c r="N374" s="196">
        <f t="shared" ca="1" si="87"/>
        <v>0</v>
      </c>
      <c r="O374" s="196">
        <f ca="1">(DATOSAÑO!AJ374+DATOSAÑO!AK374+DATOSAÑO!AD374)</f>
        <v>0</v>
      </c>
      <c r="P374" s="196">
        <f ca="1">DATOSAÑO!AI374</f>
        <v>0</v>
      </c>
      <c r="Q374" s="196">
        <f ca="1">DATOSAÑO!AH374</f>
        <v>0</v>
      </c>
      <c r="R374" s="196">
        <f ca="1">DATOSAÑO!AM374+DATOSAÑO!AN374+DATOSAÑO!AF374</f>
        <v>0</v>
      </c>
      <c r="S374" s="209">
        <f ca="1">IF(B374&gt;=$P$5,0,CONTADORES!S382-CONTADORES!S381)</f>
        <v>0</v>
      </c>
      <c r="T374" s="206">
        <f ca="1">IF(B374&gt;=$P$5,0,(CONTADORES!U382-CONTADORES!U381)+(CONTADORES!AG382-CONTADORES!AG381))</f>
        <v>0</v>
      </c>
      <c r="U374" s="206">
        <f ca="1">IF(B374&gt;=$P$5,0,(CONTADORES!AS382-CONTADORES!AS381))</f>
        <v>0</v>
      </c>
      <c r="V374" s="206">
        <f ca="1">IF(B374&gt;=$P$5,0,(CONTADORES!AT382-CONTADORES!AT381))</f>
        <v>0</v>
      </c>
      <c r="W374" s="206">
        <v>0</v>
      </c>
      <c r="X374" s="206">
        <f ca="1">IF(W374=0,(T374-INICIO!$W$6),((T374-INICIO!$W$6)+V374))</f>
        <v>0</v>
      </c>
      <c r="Y374" s="208">
        <f t="shared" ca="1" si="88"/>
        <v>0</v>
      </c>
      <c r="Z374" s="209" t="e">
        <f t="shared" ca="1" si="89"/>
        <v>#DIV/0!</v>
      </c>
      <c r="AA374" s="206" t="e">
        <f t="shared" ca="1" si="90"/>
        <v>#DIV/0!</v>
      </c>
      <c r="AB374" s="206" t="e">
        <f t="shared" ca="1" si="91"/>
        <v>#DIV/0!</v>
      </c>
      <c r="AC374" s="208" t="e">
        <f t="shared" ca="1" si="86"/>
        <v>#DIV/0!</v>
      </c>
    </row>
    <row r="375" spans="2:29" ht="15" thickBot="1">
      <c r="B375" s="1042">
        <v>44926</v>
      </c>
      <c r="C375" s="205">
        <f ca="1">DATOSAÑO!I375</f>
        <v>0</v>
      </c>
      <c r="D375" s="322">
        <f ca="1">DATOSAÑO!P375</f>
        <v>0</v>
      </c>
      <c r="E375" s="322">
        <f ca="1">DATOSAÑO!Q375</f>
        <v>0</v>
      </c>
      <c r="F375" s="322">
        <f ca="1">DATOSAÑO!T375</f>
        <v>0</v>
      </c>
      <c r="G375" s="322">
        <f t="shared" ca="1" si="85"/>
        <v>0</v>
      </c>
      <c r="H375" s="322" t="e">
        <f t="shared" ca="1" si="96"/>
        <v>#DIV/0!</v>
      </c>
      <c r="I375" s="322" t="e">
        <f t="shared" ca="1" si="92"/>
        <v>#DIV/0!</v>
      </c>
      <c r="J375" s="322" t="e">
        <f t="shared" ca="1" si="93"/>
        <v>#DIV/0!</v>
      </c>
      <c r="K375" s="322" t="e">
        <f t="shared" ca="1" si="94"/>
        <v>#DIV/0!</v>
      </c>
      <c r="L375" s="322">
        <f t="shared" ca="1" si="84"/>
        <v>0</v>
      </c>
      <c r="M375" s="322" t="e">
        <f ca="1">N375+AC375</f>
        <v>#DIV/0!</v>
      </c>
      <c r="N375" s="322">
        <f t="shared" ca="1" si="87"/>
        <v>0</v>
      </c>
      <c r="O375" s="322">
        <f ca="1">(DATOSAÑO!AJ375+DATOSAÑO!AK375+DATOSAÑO!AD375)</f>
        <v>0</v>
      </c>
      <c r="P375" s="322">
        <f ca="1">DATOSAÑO!AI375</f>
        <v>0</v>
      </c>
      <c r="Q375" s="322">
        <f ca="1">DATOSAÑO!AH375</f>
        <v>0</v>
      </c>
      <c r="R375" s="322">
        <f ca="1">DATOSAÑO!AM375+DATOSAÑO!AN375+DATOSAÑO!AF375</f>
        <v>0</v>
      </c>
      <c r="S375" s="205">
        <f ca="1">IF(B375&gt;=$P$5,0,CONTADORES!S383-CONTADORES!S382)</f>
        <v>0</v>
      </c>
      <c r="T375" s="322">
        <f ca="1">IF(B375&gt;=$P$5,0,(CONTADORES!U383-CONTADORES!U382)+(CONTADORES!AG383-CONTADORES!AG382))</f>
        <v>0</v>
      </c>
      <c r="U375" s="322">
        <f ca="1">IF(B375&gt;=$P$5,0,(CONTADORES!AS383-CONTADORES!AS382))</f>
        <v>0</v>
      </c>
      <c r="V375" s="322">
        <f ca="1">IF(B375&gt;=$P$5,0,(CONTADORES!AT383-CONTADORES!AT382))</f>
        <v>0</v>
      </c>
      <c r="W375" s="322">
        <v>0</v>
      </c>
      <c r="X375" s="322">
        <f ca="1">IF(W375=0,(T375-INICIO!$W$6),((T375-INICIO!$W$6)+V375))</f>
        <v>0</v>
      </c>
      <c r="Y375" s="207">
        <f t="shared" ca="1" si="88"/>
        <v>0</v>
      </c>
      <c r="Z375" s="695" t="e">
        <f t="shared" ca="1" si="89"/>
        <v>#DIV/0!</v>
      </c>
      <c r="AA375" s="322" t="e">
        <f t="shared" ca="1" si="90"/>
        <v>#DIV/0!</v>
      </c>
      <c r="AB375" s="322" t="e">
        <f t="shared" ca="1" si="91"/>
        <v>#DIV/0!</v>
      </c>
      <c r="AC375" s="207" t="e">
        <f t="shared" ca="1" si="86"/>
        <v>#DIV/0!</v>
      </c>
    </row>
    <row r="376" spans="2:29" ht="15" thickTop="1">
      <c r="B376" s="722">
        <v>1</v>
      </c>
      <c r="C376" s="196">
        <f t="shared" ref="C376:AC376" ca="1" si="97">SUM(C11:C41)</f>
        <v>5613.8399999999674</v>
      </c>
      <c r="D376" s="196">
        <f t="shared" ca="1" si="97"/>
        <v>7936.4000000000015</v>
      </c>
      <c r="E376" s="196">
        <f t="shared" ca="1" si="97"/>
        <v>1.8299999999999272</v>
      </c>
      <c r="F376" s="196">
        <f t="shared" ca="1" si="97"/>
        <v>2.5570000000000164</v>
      </c>
      <c r="G376" s="196">
        <f t="shared" ca="1" si="97"/>
        <v>13554.626999999968</v>
      </c>
      <c r="H376" s="196">
        <f t="shared" ca="1" si="97"/>
        <v>978.12749999996583</v>
      </c>
      <c r="I376" s="196">
        <f t="shared" ca="1" si="97"/>
        <v>6140.3154719944987</v>
      </c>
      <c r="J376" s="196">
        <f t="shared" ca="1" si="97"/>
        <v>1329.0160752057168</v>
      </c>
      <c r="K376" s="196">
        <f t="shared" ca="1" si="97"/>
        <v>336.77262541580728</v>
      </c>
      <c r="L376" s="196">
        <f t="shared" ca="1" si="97"/>
        <v>4604.0795000000353</v>
      </c>
      <c r="M376" s="196">
        <f t="shared" ca="1" si="97"/>
        <v>166.31582738394604</v>
      </c>
      <c r="N376" s="196">
        <f t="shared" ca="1" si="97"/>
        <v>158.40000000000146</v>
      </c>
      <c r="O376" s="196">
        <f t="shared" ca="1" si="97"/>
        <v>5846.7799999999697</v>
      </c>
      <c r="P376" s="196">
        <f t="shared" ca="1" si="97"/>
        <v>1265.5800000000017</v>
      </c>
      <c r="Q376" s="196">
        <f t="shared" ca="1" si="97"/>
        <v>320.69999999999709</v>
      </c>
      <c r="R376" s="196">
        <f t="shared" ca="1" si="97"/>
        <v>4604.0795000000353</v>
      </c>
      <c r="S376" s="196">
        <f t="shared" ca="1" si="97"/>
        <v>537.52999999999884</v>
      </c>
      <c r="T376" s="196">
        <f t="shared" ca="1" si="97"/>
        <v>65.590000000003783</v>
      </c>
      <c r="U376" s="196">
        <f t="shared" ca="1" si="97"/>
        <v>158.40000000000146</v>
      </c>
      <c r="V376" s="196">
        <f t="shared" ca="1" si="97"/>
        <v>0</v>
      </c>
      <c r="W376" s="196">
        <f t="shared" si="97"/>
        <v>0</v>
      </c>
      <c r="X376" s="196">
        <f t="shared" ca="1" si="97"/>
        <v>65.590000000003783</v>
      </c>
      <c r="Y376" s="1048">
        <f t="shared" ca="1" si="97"/>
        <v>380.95999999999731</v>
      </c>
      <c r="Z376" s="198">
        <f t="shared" ca="1" si="97"/>
        <v>293.5354719945276</v>
      </c>
      <c r="AA376" s="196">
        <f t="shared" ca="1" si="97"/>
        <v>63.436075205715014</v>
      </c>
      <c r="AB376" s="196">
        <f t="shared" ca="1" si="97"/>
        <v>16.072625415810148</v>
      </c>
      <c r="AC376" s="196">
        <f t="shared" ca="1" si="97"/>
        <v>7.9158273839445634</v>
      </c>
    </row>
    <row r="377" spans="2:29">
      <c r="B377" s="163">
        <v>2</v>
      </c>
      <c r="C377" s="206">
        <f t="shared" ref="C377:Z377" ca="1" si="98">SUM(C42:C69)</f>
        <v>8128.1600000000326</v>
      </c>
      <c r="D377" s="206">
        <f t="shared" ca="1" si="98"/>
        <v>4107.9799999999996</v>
      </c>
      <c r="E377" s="206">
        <f t="shared" ca="1" si="98"/>
        <v>1.15300000000002</v>
      </c>
      <c r="F377" s="206">
        <f t="shared" ca="1" si="98"/>
        <v>3.4409999999999172</v>
      </c>
      <c r="G377" s="206">
        <f t="shared" ca="1" si="98"/>
        <v>12240.734000000031</v>
      </c>
      <c r="H377" s="206">
        <f t="shared" ca="1" si="98"/>
        <v>879.19800000008445</v>
      </c>
      <c r="I377" s="206">
        <f t="shared" ca="1" si="98"/>
        <v>5371.8511983961562</v>
      </c>
      <c r="J377" s="206">
        <f t="shared" ca="1" si="98"/>
        <v>1154.6618723348147</v>
      </c>
      <c r="K377" s="206">
        <f t="shared" ca="1" si="98"/>
        <v>295.05664661878291</v>
      </c>
      <c r="L377" s="206">
        <f t="shared" ca="1" si="98"/>
        <v>4395.3329999999669</v>
      </c>
      <c r="M377" s="206">
        <f t="shared" ca="1" si="98"/>
        <v>144.63328265022824</v>
      </c>
      <c r="N377" s="206">
        <f t="shared" ca="1" si="98"/>
        <v>137.47699999999895</v>
      </c>
      <c r="O377" s="206">
        <f t="shared" ca="1" si="98"/>
        <v>5109.6899999999732</v>
      </c>
      <c r="P377" s="206">
        <f t="shared" ca="1" si="98"/>
        <v>1097.3600000000079</v>
      </c>
      <c r="Q377" s="206">
        <f t="shared" ca="1" si="98"/>
        <v>280.5</v>
      </c>
      <c r="R377" s="206">
        <f t="shared" ca="1" si="98"/>
        <v>4395.3329999999669</v>
      </c>
      <c r="S377" s="206">
        <f t="shared" ca="1" si="98"/>
        <v>477.5</v>
      </c>
      <c r="T377" s="206">
        <f t="shared" ca="1" si="98"/>
        <v>62.099999999998545</v>
      </c>
      <c r="U377" s="206">
        <f t="shared" ca="1" si="98"/>
        <v>137.47699999999895</v>
      </c>
      <c r="V377" s="206">
        <f t="shared" ca="1" si="98"/>
        <v>0</v>
      </c>
      <c r="W377" s="206">
        <f t="shared" si="98"/>
        <v>0</v>
      </c>
      <c r="X377" s="206">
        <f t="shared" ca="1" si="98"/>
        <v>62.099999999998545</v>
      </c>
      <c r="Y377" s="208">
        <f t="shared" ca="1" si="98"/>
        <v>341.17600000000107</v>
      </c>
      <c r="Z377" s="717">
        <f t="shared" ca="1" si="98"/>
        <v>262.16119839618216</v>
      </c>
      <c r="AA377" s="206">
        <f ca="1">SUM(AA42:AA69)</f>
        <v>57.301872334806752</v>
      </c>
      <c r="AB377" s="206">
        <f ca="1">SUM(AB42:AB69)</f>
        <v>14.556646618782912</v>
      </c>
      <c r="AC377" s="206">
        <f ca="1">SUM(AC42:AC69)</f>
        <v>7.1562826502292669</v>
      </c>
    </row>
    <row r="378" spans="2:29">
      <c r="B378" s="163">
        <v>3</v>
      </c>
      <c r="C378" s="206">
        <f ca="1">SUM(C70:C100)</f>
        <v>9022.8399999999674</v>
      </c>
      <c r="D378" s="206">
        <f t="shared" ref="D378:AC378" ca="1" si="99">SUM(D70:D100)</f>
        <v>4705.4199999999983</v>
      </c>
      <c r="E378" s="206">
        <f t="shared" ca="1" si="99"/>
        <v>0.64599999999995816</v>
      </c>
      <c r="F378" s="206">
        <f t="shared" ca="1" si="99"/>
        <v>1.0579999999999927</v>
      </c>
      <c r="G378" s="206">
        <f t="shared" ca="1" si="99"/>
        <v>13729.963999999965</v>
      </c>
      <c r="H378" s="206">
        <f t="shared" ca="1" si="99"/>
        <v>1087.4924999999332</v>
      </c>
      <c r="I378" s="206">
        <f t="shared" ca="1" si="99"/>
        <v>6056.6507344017327</v>
      </c>
      <c r="J378" s="206">
        <f t="shared" ca="1" si="99"/>
        <v>1271.4884891859035</v>
      </c>
      <c r="K378" s="206">
        <f t="shared" ca="1" si="99"/>
        <v>315.34207794617151</v>
      </c>
      <c r="L378" s="206">
        <f t="shared" ca="1" si="99"/>
        <v>4841.8755000000101</v>
      </c>
      <c r="M378" s="206">
        <f t="shared" ca="1" si="99"/>
        <v>157.11469846621372</v>
      </c>
      <c r="N378" s="206">
        <f t="shared" ca="1" si="99"/>
        <v>149.82300000000396</v>
      </c>
      <c r="O378" s="206">
        <f t="shared" ca="1" si="99"/>
        <v>5775.6100000000297</v>
      </c>
      <c r="P378" s="206">
        <f t="shared" ca="1" si="99"/>
        <v>1212.5399999999936</v>
      </c>
      <c r="Q378" s="206">
        <f t="shared" ca="1" si="99"/>
        <v>300.79999999999927</v>
      </c>
      <c r="R378" s="206">
        <f t="shared" ca="1" si="99"/>
        <v>4841.8755000000101</v>
      </c>
      <c r="S378" s="206">
        <f t="shared" ca="1" si="99"/>
        <v>511</v>
      </c>
      <c r="T378" s="206">
        <f t="shared" ca="1" si="99"/>
        <v>70.400000000001455</v>
      </c>
      <c r="U378" s="206">
        <f t="shared" ca="1" si="99"/>
        <v>149.82300000000396</v>
      </c>
      <c r="V378" s="206">
        <f t="shared" ca="1" si="99"/>
        <v>0</v>
      </c>
      <c r="W378" s="206">
        <f t="shared" si="99"/>
        <v>0</v>
      </c>
      <c r="X378" s="206">
        <f t="shared" ca="1" si="99"/>
        <v>70.400000000001455</v>
      </c>
      <c r="Y378" s="208">
        <f t="shared" ca="1" si="99"/>
        <v>361.822999999996</v>
      </c>
      <c r="Z378" s="717">
        <f t="shared" ca="1" si="99"/>
        <v>281.04073440170401</v>
      </c>
      <c r="AA378" s="206">
        <f t="shared" ca="1" si="99"/>
        <v>58.948489185909949</v>
      </c>
      <c r="AB378" s="206">
        <f t="shared" ca="1" si="99"/>
        <v>14.542077946172252</v>
      </c>
      <c r="AC378" s="206">
        <f t="shared" ca="1" si="99"/>
        <v>7.2916984662097502</v>
      </c>
    </row>
    <row r="379" spans="2:29">
      <c r="B379" s="163">
        <v>4</v>
      </c>
      <c r="C379" s="206">
        <f ca="1">SUM(C101:C130)</f>
        <v>9357.1500000000233</v>
      </c>
      <c r="D379" s="206">
        <f t="shared" ref="D379:AC379" ca="1" si="100">SUM(D101:D130)</f>
        <v>3766.1000000000022</v>
      </c>
      <c r="E379" s="206">
        <f t="shared" ca="1" si="100"/>
        <v>5.1920000000000073</v>
      </c>
      <c r="F379" s="206">
        <f t="shared" ca="1" si="100"/>
        <v>26.50100000000009</v>
      </c>
      <c r="G379" s="206">
        <f t="shared" ca="1" si="100"/>
        <v>13154.943000000025</v>
      </c>
      <c r="H379" s="206">
        <f t="shared" ca="1" si="100"/>
        <v>1045.1554999999844</v>
      </c>
      <c r="I379" s="206">
        <f t="shared" ca="1" si="100"/>
        <v>5777.9362863521492</v>
      </c>
      <c r="J379" s="206">
        <f t="shared" ca="1" si="100"/>
        <v>1211.2864396302982</v>
      </c>
      <c r="K379" s="206">
        <f t="shared" ca="1" si="100"/>
        <v>327.61583891135018</v>
      </c>
      <c r="L379" s="206">
        <f t="shared" ca="1" si="100"/>
        <v>4646.5154999999804</v>
      </c>
      <c r="M379" s="206">
        <f t="shared" ca="1" si="100"/>
        <v>146.433435106263</v>
      </c>
      <c r="N379" s="206">
        <f t="shared" ca="1" si="100"/>
        <v>140.40000000000146</v>
      </c>
      <c r="O379" s="206">
        <f t="shared" ca="1" si="100"/>
        <v>5540.3800000000774</v>
      </c>
      <c r="P379" s="206">
        <f t="shared" ca="1" si="100"/>
        <v>1161.3899999999994</v>
      </c>
      <c r="Q379" s="206">
        <f t="shared" ca="1" si="100"/>
        <v>314.19999999999891</v>
      </c>
      <c r="R379" s="206">
        <f t="shared" ca="1" si="100"/>
        <v>4646.5154999999804</v>
      </c>
      <c r="S379" s="206">
        <f t="shared" ca="1" si="100"/>
        <v>442.10999999998603</v>
      </c>
      <c r="T379" s="206">
        <f t="shared" ca="1" si="100"/>
        <v>71.069999999999709</v>
      </c>
      <c r="U379" s="206">
        <f t="shared" ca="1" si="100"/>
        <v>140.40000000000146</v>
      </c>
      <c r="V379" s="206">
        <f t="shared" ca="1" si="100"/>
        <v>0</v>
      </c>
      <c r="W379" s="206">
        <f t="shared" si="100"/>
        <v>0</v>
      </c>
      <c r="X379" s="206">
        <f t="shared" ca="1" si="100"/>
        <v>71.069999999999709</v>
      </c>
      <c r="Y379" s="208">
        <f t="shared" ca="1" si="100"/>
        <v>306.90199999998458</v>
      </c>
      <c r="Z379" s="717">
        <f t="shared" ca="1" si="100"/>
        <v>237.55628635207285</v>
      </c>
      <c r="AA379" s="206">
        <f t="shared" ca="1" si="100"/>
        <v>49.896439630298914</v>
      </c>
      <c r="AB379" s="206">
        <f t="shared" ca="1" si="100"/>
        <v>13.415838911351246</v>
      </c>
      <c r="AC379" s="206">
        <f t="shared" ca="1" si="100"/>
        <v>6.0334351062615603</v>
      </c>
    </row>
    <row r="380" spans="2:29">
      <c r="B380" s="163">
        <v>5</v>
      </c>
      <c r="C380" s="206">
        <f ca="1">SUM(C131:C161)</f>
        <v>6850.8499999999767</v>
      </c>
      <c r="D380" s="206">
        <f t="shared" ref="D380:AC380" ca="1" si="101">SUM(D131:D161)</f>
        <v>6271.0999999999985</v>
      </c>
      <c r="E380" s="206">
        <f t="shared" ca="1" si="101"/>
        <v>1.4770000000000891</v>
      </c>
      <c r="F380" s="206">
        <f t="shared" ca="1" si="101"/>
        <v>2.8199999999999363</v>
      </c>
      <c r="G380" s="206">
        <f t="shared" ca="1" si="101"/>
        <v>13126.246999999976</v>
      </c>
      <c r="H380" s="206">
        <f t="shared" ca="1" si="101"/>
        <v>1138.421499999926</v>
      </c>
      <c r="I380" s="206">
        <f t="shared" ca="1" si="101"/>
        <v>5688.5824518806558</v>
      </c>
      <c r="J380" s="206">
        <f t="shared" ca="1" si="101"/>
        <v>1274.1428819278397</v>
      </c>
      <c r="K380" s="206">
        <f t="shared" ca="1" si="101"/>
        <v>393.59927971494608</v>
      </c>
      <c r="L380" s="206">
        <f t="shared" ca="1" si="101"/>
        <v>5034.0185000000229</v>
      </c>
      <c r="M380" s="206">
        <f t="shared" ca="1" si="101"/>
        <v>-402.5176135234156</v>
      </c>
      <c r="N380" s="206">
        <f t="shared" ca="1" si="101"/>
        <v>147.39299999999639</v>
      </c>
      <c r="O380" s="206">
        <f t="shared" ca="1" si="101"/>
        <v>5063.2699999999923</v>
      </c>
      <c r="P380" s="206">
        <f t="shared" ca="1" si="101"/>
        <v>1128.5100000000093</v>
      </c>
      <c r="Q380" s="206">
        <f t="shared" ca="1" si="101"/>
        <v>340.70000000000437</v>
      </c>
      <c r="R380" s="206">
        <f t="shared" ca="1" si="101"/>
        <v>5034.0185000000229</v>
      </c>
      <c r="S380" s="206">
        <f t="shared" ca="1" si="101"/>
        <v>419.85000000000582</v>
      </c>
      <c r="T380" s="206">
        <f t="shared" ca="1" si="101"/>
        <v>71.330000000001746</v>
      </c>
      <c r="U380" s="206">
        <f t="shared" ca="1" si="101"/>
        <v>147.39299999999639</v>
      </c>
      <c r="V380" s="206">
        <f t="shared" ca="1" si="101"/>
        <v>0</v>
      </c>
      <c r="W380" s="206">
        <f t="shared" si="101"/>
        <v>0</v>
      </c>
      <c r="X380" s="206">
        <f t="shared" ca="1" si="101"/>
        <v>71.330000000001746</v>
      </c>
      <c r="Y380" s="208">
        <f t="shared" ca="1" si="101"/>
        <v>273.93400000001634</v>
      </c>
      <c r="Z380" s="717">
        <f t="shared" ca="1" si="101"/>
        <v>625.31245188066305</v>
      </c>
      <c r="AA380" s="206">
        <f t="shared" ca="1" si="101"/>
        <v>145.63288192783057</v>
      </c>
      <c r="AB380" s="206">
        <f t="shared" ca="1" si="101"/>
        <v>52.899279714941734</v>
      </c>
      <c r="AC380" s="206">
        <f t="shared" ca="1" si="101"/>
        <v>-549.91061352342683</v>
      </c>
    </row>
    <row r="381" spans="2:29">
      <c r="B381" s="163">
        <v>6</v>
      </c>
      <c r="C381" s="206">
        <f ca="1">SUM(C162:C191)</f>
        <v>-591868</v>
      </c>
      <c r="D381" s="206">
        <f t="shared" ref="D381:AC381" ca="1" si="102">SUM(D162:D191)</f>
        <v>-40738</v>
      </c>
      <c r="E381" s="206">
        <f t="shared" ca="1" si="102"/>
        <v>-1067.998</v>
      </c>
      <c r="F381" s="206">
        <f t="shared" ca="1" si="102"/>
        <v>-822.90899999999999</v>
      </c>
      <c r="G381" s="206">
        <f t="shared" ca="1" si="102"/>
        <v>-634496.90700000001</v>
      </c>
      <c r="H381" s="206" t="e">
        <f t="shared" ca="1" si="102"/>
        <v>#DIV/0!</v>
      </c>
      <c r="I381" s="206" t="e">
        <f t="shared" ca="1" si="102"/>
        <v>#DIV/0!</v>
      </c>
      <c r="J381" s="206" t="e">
        <f t="shared" ca="1" si="102"/>
        <v>#DIV/0!</v>
      </c>
      <c r="K381" s="206" t="e">
        <f t="shared" ca="1" si="102"/>
        <v>#DIV/0!</v>
      </c>
      <c r="L381" s="206">
        <f t="shared" ca="1" si="102"/>
        <v>-495710.02499999997</v>
      </c>
      <c r="M381" s="206" t="e">
        <f t="shared" ca="1" si="102"/>
        <v>#DIV/0!</v>
      </c>
      <c r="N381" s="206">
        <f t="shared" ca="1" si="102"/>
        <v>-65251</v>
      </c>
      <c r="O381" s="206">
        <f t="shared" ca="1" si="102"/>
        <v>-228044.5</v>
      </c>
      <c r="P381" s="206">
        <f t="shared" ca="1" si="102"/>
        <v>-113117.20000000001</v>
      </c>
      <c r="Q381" s="206">
        <f t="shared" ca="1" si="102"/>
        <v>-74766.8</v>
      </c>
      <c r="R381" s="206">
        <f t="shared" ca="1" si="102"/>
        <v>-495710.02499999997</v>
      </c>
      <c r="S381" s="206">
        <f t="shared" ca="1" si="102"/>
        <v>-140338</v>
      </c>
      <c r="T381" s="206">
        <f t="shared" ca="1" si="102"/>
        <v>-49653.429999999993</v>
      </c>
      <c r="U381" s="206">
        <f t="shared" ca="1" si="102"/>
        <v>-65251</v>
      </c>
      <c r="V381" s="206">
        <f t="shared" ca="1" si="102"/>
        <v>0</v>
      </c>
      <c r="W381" s="206">
        <f t="shared" si="102"/>
        <v>0</v>
      </c>
      <c r="X381" s="206">
        <f t="shared" ca="1" si="102"/>
        <v>-49653.429999999993</v>
      </c>
      <c r="Y381" s="208">
        <f t="shared" ca="1" si="102"/>
        <v>-76154.998000000007</v>
      </c>
      <c r="Z381" s="717" t="e">
        <f t="shared" ca="1" si="102"/>
        <v>#DIV/0!</v>
      </c>
      <c r="AA381" s="206" t="e">
        <f t="shared" ca="1" si="102"/>
        <v>#DIV/0!</v>
      </c>
      <c r="AB381" s="206" t="e">
        <f t="shared" ca="1" si="102"/>
        <v>#DIV/0!</v>
      </c>
      <c r="AC381" s="206" t="e">
        <f t="shared" ca="1" si="102"/>
        <v>#DIV/0!</v>
      </c>
    </row>
    <row r="382" spans="2:29">
      <c r="B382" s="163">
        <v>7</v>
      </c>
      <c r="C382" s="206">
        <f ca="1">SUM(C192:C222)</f>
        <v>0</v>
      </c>
      <c r="D382" s="206">
        <f t="shared" ref="D382:AC382" ca="1" si="103">SUM(D192:D222)</f>
        <v>0</v>
      </c>
      <c r="E382" s="206">
        <f t="shared" ca="1" si="103"/>
        <v>0</v>
      </c>
      <c r="F382" s="206">
        <f t="shared" ca="1" si="103"/>
        <v>0</v>
      </c>
      <c r="G382" s="206">
        <f t="shared" ca="1" si="103"/>
        <v>0</v>
      </c>
      <c r="H382" s="206" t="e">
        <f t="shared" ca="1" si="103"/>
        <v>#DIV/0!</v>
      </c>
      <c r="I382" s="206" t="e">
        <f t="shared" ca="1" si="103"/>
        <v>#DIV/0!</v>
      </c>
      <c r="J382" s="206" t="e">
        <f t="shared" ca="1" si="103"/>
        <v>#DIV/0!</v>
      </c>
      <c r="K382" s="206" t="e">
        <f t="shared" ca="1" si="103"/>
        <v>#DIV/0!</v>
      </c>
      <c r="L382" s="206">
        <f t="shared" ca="1" si="103"/>
        <v>0</v>
      </c>
      <c r="M382" s="206" t="e">
        <f t="shared" ca="1" si="103"/>
        <v>#DIV/0!</v>
      </c>
      <c r="N382" s="206">
        <f t="shared" ca="1" si="103"/>
        <v>0</v>
      </c>
      <c r="O382" s="206">
        <f t="shared" ca="1" si="103"/>
        <v>0</v>
      </c>
      <c r="P382" s="206">
        <f t="shared" ca="1" si="103"/>
        <v>0</v>
      </c>
      <c r="Q382" s="206">
        <f t="shared" ca="1" si="103"/>
        <v>0</v>
      </c>
      <c r="R382" s="206">
        <f t="shared" ca="1" si="103"/>
        <v>0</v>
      </c>
      <c r="S382" s="206">
        <f t="shared" ca="1" si="103"/>
        <v>0</v>
      </c>
      <c r="T382" s="206">
        <f t="shared" ca="1" si="103"/>
        <v>0</v>
      </c>
      <c r="U382" s="206">
        <f t="shared" ca="1" si="103"/>
        <v>0</v>
      </c>
      <c r="V382" s="206">
        <f t="shared" ca="1" si="103"/>
        <v>0</v>
      </c>
      <c r="W382" s="206">
        <f t="shared" si="103"/>
        <v>0</v>
      </c>
      <c r="X382" s="206">
        <f t="shared" ca="1" si="103"/>
        <v>0</v>
      </c>
      <c r="Y382" s="208">
        <f t="shared" ca="1" si="103"/>
        <v>0</v>
      </c>
      <c r="Z382" s="717" t="e">
        <f t="shared" ca="1" si="103"/>
        <v>#DIV/0!</v>
      </c>
      <c r="AA382" s="206" t="e">
        <f t="shared" ca="1" si="103"/>
        <v>#DIV/0!</v>
      </c>
      <c r="AB382" s="206" t="e">
        <f t="shared" ca="1" si="103"/>
        <v>#DIV/0!</v>
      </c>
      <c r="AC382" s="206" t="e">
        <f t="shared" ca="1" si="103"/>
        <v>#DIV/0!</v>
      </c>
    </row>
    <row r="383" spans="2:29">
      <c r="B383" s="163">
        <v>8</v>
      </c>
      <c r="C383" s="206">
        <f ca="1">SUM(C223:C253)</f>
        <v>0</v>
      </c>
      <c r="D383" s="206">
        <f t="shared" ref="D383:AC383" ca="1" si="104">SUM(D223:D253)</f>
        <v>0</v>
      </c>
      <c r="E383" s="206">
        <f t="shared" ca="1" si="104"/>
        <v>0</v>
      </c>
      <c r="F383" s="206">
        <f t="shared" ca="1" si="104"/>
        <v>0</v>
      </c>
      <c r="G383" s="206">
        <f t="shared" ca="1" si="104"/>
        <v>0</v>
      </c>
      <c r="H383" s="206" t="e">
        <f t="shared" ca="1" si="104"/>
        <v>#DIV/0!</v>
      </c>
      <c r="I383" s="206" t="e">
        <f t="shared" ca="1" si="104"/>
        <v>#DIV/0!</v>
      </c>
      <c r="J383" s="206" t="e">
        <f t="shared" ca="1" si="104"/>
        <v>#DIV/0!</v>
      </c>
      <c r="K383" s="206" t="e">
        <f t="shared" ca="1" si="104"/>
        <v>#DIV/0!</v>
      </c>
      <c r="L383" s="206">
        <f t="shared" ca="1" si="104"/>
        <v>0</v>
      </c>
      <c r="M383" s="206" t="e">
        <f t="shared" ca="1" si="104"/>
        <v>#DIV/0!</v>
      </c>
      <c r="N383" s="206">
        <f t="shared" ca="1" si="104"/>
        <v>0</v>
      </c>
      <c r="O383" s="206">
        <f t="shared" ca="1" si="104"/>
        <v>0</v>
      </c>
      <c r="P383" s="206">
        <f t="shared" ca="1" si="104"/>
        <v>0</v>
      </c>
      <c r="Q383" s="206">
        <f t="shared" ca="1" si="104"/>
        <v>0</v>
      </c>
      <c r="R383" s="206">
        <f t="shared" ca="1" si="104"/>
        <v>0</v>
      </c>
      <c r="S383" s="206">
        <f t="shared" ca="1" si="104"/>
        <v>0</v>
      </c>
      <c r="T383" s="206">
        <f t="shared" ca="1" si="104"/>
        <v>0</v>
      </c>
      <c r="U383" s="206">
        <f t="shared" ca="1" si="104"/>
        <v>0</v>
      </c>
      <c r="V383" s="206">
        <f t="shared" ca="1" si="104"/>
        <v>0</v>
      </c>
      <c r="W383" s="206">
        <f t="shared" si="104"/>
        <v>0</v>
      </c>
      <c r="X383" s="206">
        <f t="shared" ca="1" si="104"/>
        <v>0</v>
      </c>
      <c r="Y383" s="208">
        <f t="shared" ca="1" si="104"/>
        <v>0</v>
      </c>
      <c r="Z383" s="717" t="e">
        <f t="shared" ca="1" si="104"/>
        <v>#DIV/0!</v>
      </c>
      <c r="AA383" s="206" t="e">
        <f t="shared" ca="1" si="104"/>
        <v>#DIV/0!</v>
      </c>
      <c r="AB383" s="206" t="e">
        <f t="shared" ca="1" si="104"/>
        <v>#DIV/0!</v>
      </c>
      <c r="AC383" s="206" t="e">
        <f t="shared" ca="1" si="104"/>
        <v>#DIV/0!</v>
      </c>
    </row>
    <row r="384" spans="2:29">
      <c r="B384" s="163">
        <v>9</v>
      </c>
      <c r="C384" s="206">
        <f ca="1">SUM(C254:C283)</f>
        <v>0</v>
      </c>
      <c r="D384" s="206">
        <f t="shared" ref="D384:AC384" ca="1" si="105">SUM(D254:D283)</f>
        <v>0</v>
      </c>
      <c r="E384" s="206">
        <f t="shared" ca="1" si="105"/>
        <v>0</v>
      </c>
      <c r="F384" s="206">
        <f t="shared" ca="1" si="105"/>
        <v>0</v>
      </c>
      <c r="G384" s="1356">
        <f t="shared" ca="1" si="105"/>
        <v>0</v>
      </c>
      <c r="H384" s="206" t="e">
        <f t="shared" ca="1" si="105"/>
        <v>#DIV/0!</v>
      </c>
      <c r="I384" s="206" t="e">
        <f t="shared" ca="1" si="105"/>
        <v>#DIV/0!</v>
      </c>
      <c r="J384" s="206" t="e">
        <f t="shared" ca="1" si="105"/>
        <v>#DIV/0!</v>
      </c>
      <c r="K384" s="206" t="e">
        <f t="shared" ca="1" si="105"/>
        <v>#DIV/0!</v>
      </c>
      <c r="L384" s="206">
        <f t="shared" ca="1" si="105"/>
        <v>0</v>
      </c>
      <c r="M384" s="206" t="e">
        <f t="shared" ca="1" si="105"/>
        <v>#DIV/0!</v>
      </c>
      <c r="N384" s="206">
        <f t="shared" ca="1" si="105"/>
        <v>0</v>
      </c>
      <c r="O384" s="206">
        <f t="shared" ca="1" si="105"/>
        <v>0</v>
      </c>
      <c r="P384" s="206">
        <f t="shared" ca="1" si="105"/>
        <v>0</v>
      </c>
      <c r="Q384" s="206">
        <f t="shared" ca="1" si="105"/>
        <v>0</v>
      </c>
      <c r="R384" s="206">
        <f t="shared" ca="1" si="105"/>
        <v>0</v>
      </c>
      <c r="S384" s="206">
        <f t="shared" ca="1" si="105"/>
        <v>0</v>
      </c>
      <c r="T384" s="206">
        <f t="shared" ca="1" si="105"/>
        <v>0</v>
      </c>
      <c r="U384" s="206">
        <f t="shared" ca="1" si="105"/>
        <v>0</v>
      </c>
      <c r="V384" s="206">
        <f t="shared" ca="1" si="105"/>
        <v>0</v>
      </c>
      <c r="W384" s="206">
        <f t="shared" si="105"/>
        <v>0</v>
      </c>
      <c r="X384" s="206">
        <f t="shared" ca="1" si="105"/>
        <v>0</v>
      </c>
      <c r="Y384" s="208">
        <f t="shared" ca="1" si="105"/>
        <v>0</v>
      </c>
      <c r="Z384" s="717" t="e">
        <f t="shared" ca="1" si="105"/>
        <v>#DIV/0!</v>
      </c>
      <c r="AA384" s="206" t="e">
        <f t="shared" ca="1" si="105"/>
        <v>#DIV/0!</v>
      </c>
      <c r="AB384" s="206" t="e">
        <f t="shared" ca="1" si="105"/>
        <v>#DIV/0!</v>
      </c>
      <c r="AC384" s="206" t="e">
        <f t="shared" ca="1" si="105"/>
        <v>#DIV/0!</v>
      </c>
    </row>
    <row r="385" spans="2:29">
      <c r="B385" s="163">
        <v>10</v>
      </c>
      <c r="C385" s="206">
        <f ca="1">SUM(C284:C314)</f>
        <v>0</v>
      </c>
      <c r="D385" s="206">
        <f t="shared" ref="D385:AC385" ca="1" si="106">SUM(D284:D314)</f>
        <v>0</v>
      </c>
      <c r="E385" s="206">
        <f t="shared" ca="1" si="106"/>
        <v>0</v>
      </c>
      <c r="F385" s="206">
        <f t="shared" ca="1" si="106"/>
        <v>0</v>
      </c>
      <c r="G385" s="206">
        <f t="shared" ca="1" si="106"/>
        <v>0</v>
      </c>
      <c r="H385" s="206" t="e">
        <f t="shared" ca="1" si="106"/>
        <v>#DIV/0!</v>
      </c>
      <c r="I385" s="206" t="e">
        <f t="shared" ca="1" si="106"/>
        <v>#DIV/0!</v>
      </c>
      <c r="J385" s="206" t="e">
        <f t="shared" ca="1" si="106"/>
        <v>#DIV/0!</v>
      </c>
      <c r="K385" s="206" t="e">
        <f t="shared" ca="1" si="106"/>
        <v>#DIV/0!</v>
      </c>
      <c r="L385" s="206">
        <f t="shared" ca="1" si="106"/>
        <v>0</v>
      </c>
      <c r="M385" s="206" t="e">
        <f t="shared" ca="1" si="106"/>
        <v>#DIV/0!</v>
      </c>
      <c r="N385" s="206">
        <f t="shared" ca="1" si="106"/>
        <v>0</v>
      </c>
      <c r="O385" s="206">
        <f t="shared" ca="1" si="106"/>
        <v>0</v>
      </c>
      <c r="P385" s="206">
        <f t="shared" ca="1" si="106"/>
        <v>0</v>
      </c>
      <c r="Q385" s="206">
        <f t="shared" ca="1" si="106"/>
        <v>0</v>
      </c>
      <c r="R385" s="206">
        <f t="shared" ca="1" si="106"/>
        <v>0</v>
      </c>
      <c r="S385" s="206">
        <f t="shared" ca="1" si="106"/>
        <v>0</v>
      </c>
      <c r="T385" s="206">
        <f t="shared" ca="1" si="106"/>
        <v>0</v>
      </c>
      <c r="U385" s="206">
        <f t="shared" ca="1" si="106"/>
        <v>0</v>
      </c>
      <c r="V385" s="206">
        <f t="shared" ca="1" si="106"/>
        <v>0</v>
      </c>
      <c r="W385" s="206">
        <f t="shared" si="106"/>
        <v>0</v>
      </c>
      <c r="X385" s="206">
        <f t="shared" ca="1" si="106"/>
        <v>0</v>
      </c>
      <c r="Y385" s="208">
        <f t="shared" ca="1" si="106"/>
        <v>0</v>
      </c>
      <c r="Z385" s="717" t="e">
        <f t="shared" ca="1" si="106"/>
        <v>#DIV/0!</v>
      </c>
      <c r="AA385" s="206" t="e">
        <f t="shared" ca="1" si="106"/>
        <v>#DIV/0!</v>
      </c>
      <c r="AB385" s="206" t="e">
        <f t="shared" ca="1" si="106"/>
        <v>#DIV/0!</v>
      </c>
      <c r="AC385" s="206" t="e">
        <f t="shared" ca="1" si="106"/>
        <v>#DIV/0!</v>
      </c>
    </row>
    <row r="386" spans="2:29">
      <c r="B386" s="163">
        <v>11</v>
      </c>
      <c r="C386" s="206">
        <f ca="1">SUM(C315:C344)</f>
        <v>0</v>
      </c>
      <c r="D386" s="206">
        <f t="shared" ref="D386:AC386" ca="1" si="107">SUM(D315:D344)</f>
        <v>0</v>
      </c>
      <c r="E386" s="206">
        <f t="shared" ca="1" si="107"/>
        <v>0</v>
      </c>
      <c r="F386" s="206">
        <f t="shared" ca="1" si="107"/>
        <v>0</v>
      </c>
      <c r="G386" s="206">
        <f t="shared" ca="1" si="107"/>
        <v>0</v>
      </c>
      <c r="H386" s="206" t="e">
        <f t="shared" ca="1" si="107"/>
        <v>#DIV/0!</v>
      </c>
      <c r="I386" s="206" t="e">
        <f t="shared" ca="1" si="107"/>
        <v>#DIV/0!</v>
      </c>
      <c r="J386" s="206" t="e">
        <f t="shared" ca="1" si="107"/>
        <v>#DIV/0!</v>
      </c>
      <c r="K386" s="206" t="e">
        <f t="shared" ca="1" si="107"/>
        <v>#DIV/0!</v>
      </c>
      <c r="L386" s="206">
        <f t="shared" ca="1" si="107"/>
        <v>0</v>
      </c>
      <c r="M386" s="206" t="e">
        <f t="shared" ca="1" si="107"/>
        <v>#DIV/0!</v>
      </c>
      <c r="N386" s="206">
        <f t="shared" ca="1" si="107"/>
        <v>0</v>
      </c>
      <c r="O386" s="206">
        <f t="shared" ca="1" si="107"/>
        <v>0</v>
      </c>
      <c r="P386" s="206">
        <f t="shared" ca="1" si="107"/>
        <v>0</v>
      </c>
      <c r="Q386" s="206">
        <f t="shared" ca="1" si="107"/>
        <v>0</v>
      </c>
      <c r="R386" s="206">
        <f t="shared" ca="1" si="107"/>
        <v>0</v>
      </c>
      <c r="S386" s="206">
        <f t="shared" ca="1" si="107"/>
        <v>0</v>
      </c>
      <c r="T386" s="206">
        <f t="shared" ca="1" si="107"/>
        <v>0</v>
      </c>
      <c r="U386" s="206">
        <f t="shared" ca="1" si="107"/>
        <v>0</v>
      </c>
      <c r="V386" s="206">
        <f t="shared" ca="1" si="107"/>
        <v>0</v>
      </c>
      <c r="W386" s="206">
        <f t="shared" si="107"/>
        <v>0</v>
      </c>
      <c r="X386" s="206">
        <f t="shared" ca="1" si="107"/>
        <v>0</v>
      </c>
      <c r="Y386" s="208">
        <f t="shared" ca="1" si="107"/>
        <v>0</v>
      </c>
      <c r="Z386" s="717" t="e">
        <f t="shared" ca="1" si="107"/>
        <v>#DIV/0!</v>
      </c>
      <c r="AA386" s="206" t="e">
        <f t="shared" ca="1" si="107"/>
        <v>#DIV/0!</v>
      </c>
      <c r="AB386" s="206" t="e">
        <f t="shared" ca="1" si="107"/>
        <v>#DIV/0!</v>
      </c>
      <c r="AC386" s="206" t="e">
        <f t="shared" ca="1" si="107"/>
        <v>#DIV/0!</v>
      </c>
    </row>
    <row r="387" spans="2:29" ht="15" thickBot="1">
      <c r="B387" s="164">
        <v>12</v>
      </c>
      <c r="C387" s="206">
        <f ca="1">SUM(C345:C375)</f>
        <v>0</v>
      </c>
      <c r="D387" s="206">
        <f t="shared" ref="D387:AC387" ca="1" si="108">SUM(D345:D375)</f>
        <v>0</v>
      </c>
      <c r="E387" s="206">
        <f t="shared" ca="1" si="108"/>
        <v>0</v>
      </c>
      <c r="F387" s="206">
        <f t="shared" ca="1" si="108"/>
        <v>0</v>
      </c>
      <c r="G387" s="206">
        <f t="shared" ca="1" si="108"/>
        <v>0</v>
      </c>
      <c r="H387" s="206" t="e">
        <f t="shared" ca="1" si="108"/>
        <v>#DIV/0!</v>
      </c>
      <c r="I387" s="206" t="e">
        <f t="shared" ca="1" si="108"/>
        <v>#DIV/0!</v>
      </c>
      <c r="J387" s="206" t="e">
        <f t="shared" ca="1" si="108"/>
        <v>#DIV/0!</v>
      </c>
      <c r="K387" s="206" t="e">
        <f t="shared" ca="1" si="108"/>
        <v>#DIV/0!</v>
      </c>
      <c r="L387" s="206">
        <f t="shared" ca="1" si="108"/>
        <v>0</v>
      </c>
      <c r="M387" s="206" t="e">
        <f t="shared" ca="1" si="108"/>
        <v>#DIV/0!</v>
      </c>
      <c r="N387" s="206">
        <f t="shared" ca="1" si="108"/>
        <v>0</v>
      </c>
      <c r="O387" s="206">
        <f t="shared" ca="1" si="108"/>
        <v>0</v>
      </c>
      <c r="P387" s="206">
        <f t="shared" ca="1" si="108"/>
        <v>0</v>
      </c>
      <c r="Q387" s="206">
        <f t="shared" ca="1" si="108"/>
        <v>0</v>
      </c>
      <c r="R387" s="206">
        <f t="shared" ca="1" si="108"/>
        <v>0</v>
      </c>
      <c r="S387" s="206">
        <f t="shared" ca="1" si="108"/>
        <v>0</v>
      </c>
      <c r="T387" s="206">
        <f t="shared" ca="1" si="108"/>
        <v>0</v>
      </c>
      <c r="U387" s="197">
        <f t="shared" ca="1" si="108"/>
        <v>0</v>
      </c>
      <c r="V387" s="197">
        <f t="shared" ca="1" si="108"/>
        <v>0</v>
      </c>
      <c r="W387" s="197">
        <f t="shared" si="108"/>
        <v>0</v>
      </c>
      <c r="X387" s="197">
        <f t="shared" ca="1" si="108"/>
        <v>0</v>
      </c>
      <c r="Y387" s="201">
        <f t="shared" ca="1" si="108"/>
        <v>0</v>
      </c>
      <c r="Z387" s="717" t="e">
        <f t="shared" ca="1" si="108"/>
        <v>#DIV/0!</v>
      </c>
      <c r="AA387" s="206" t="e">
        <f t="shared" ca="1" si="108"/>
        <v>#DIV/0!</v>
      </c>
      <c r="AB387" s="206" t="e">
        <f t="shared" ca="1" si="108"/>
        <v>#DIV/0!</v>
      </c>
      <c r="AC387" s="206" t="e">
        <f t="shared" ca="1" si="108"/>
        <v>#DIV/0!</v>
      </c>
    </row>
    <row r="388" spans="2:29" ht="15" thickBot="1">
      <c r="B388" s="12" t="s">
        <v>77</v>
      </c>
      <c r="C388" s="210">
        <f t="shared" ref="C388:P388" ca="1" si="109">SUM(C376:C387)</f>
        <v>-552895.16</v>
      </c>
      <c r="D388" s="210">
        <f t="shared" ca="1" si="109"/>
        <v>-13951</v>
      </c>
      <c r="E388" s="210">
        <f t="shared" ca="1" si="109"/>
        <v>-1057.7</v>
      </c>
      <c r="F388" s="210">
        <f t="shared" ca="1" si="109"/>
        <v>-786.53200000000004</v>
      </c>
      <c r="G388" s="210">
        <f t="shared" ca="1" si="109"/>
        <v>-568690.39199999999</v>
      </c>
      <c r="H388" s="210" t="e">
        <f t="shared" ca="1" si="109"/>
        <v>#DIV/0!</v>
      </c>
      <c r="I388" s="210" t="e">
        <f t="shared" ca="1" si="109"/>
        <v>#DIV/0!</v>
      </c>
      <c r="J388" s="210" t="e">
        <f t="shared" ca="1" si="109"/>
        <v>#DIV/0!</v>
      </c>
      <c r="K388" s="210" t="e">
        <f t="shared" ca="1" si="109"/>
        <v>#DIV/0!</v>
      </c>
      <c r="L388" s="210">
        <f t="shared" ca="1" si="109"/>
        <v>-472188.20299999998</v>
      </c>
      <c r="M388" s="210" t="e">
        <f t="shared" ca="1" si="109"/>
        <v>#DIV/0!</v>
      </c>
      <c r="N388" s="210">
        <f t="shared" ca="1" si="109"/>
        <v>-64517.506999999998</v>
      </c>
      <c r="O388" s="210">
        <f t="shared" ca="1" si="109"/>
        <v>-200708.76999999996</v>
      </c>
      <c r="P388" s="210">
        <f t="shared" ca="1" si="109"/>
        <v>-107251.82</v>
      </c>
      <c r="Q388" s="210">
        <f ca="1">SUM(Q376:Q387)</f>
        <v>-73209.900000000009</v>
      </c>
      <c r="R388" s="210">
        <f ca="1">SUM(R376:R387)</f>
        <v>-472188.20299999998</v>
      </c>
      <c r="S388" s="210">
        <f ca="1">SUM(S376:S387)</f>
        <v>-137950.01</v>
      </c>
      <c r="T388" s="210">
        <f ca="1">SUM(T376:T387)</f>
        <v>-49312.939999999988</v>
      </c>
      <c r="U388" s="210">
        <f t="shared" ref="U388:AC388" ca="1" si="110">SUM(U376:U387)</f>
        <v>-64517.506999999998</v>
      </c>
      <c r="V388" s="210">
        <f t="shared" ca="1" si="110"/>
        <v>0</v>
      </c>
      <c r="W388" s="210">
        <f t="shared" si="110"/>
        <v>0</v>
      </c>
      <c r="X388" s="210">
        <f t="shared" ca="1" si="110"/>
        <v>-49312.939999999988</v>
      </c>
      <c r="Y388" s="210">
        <f t="shared" ca="1" si="110"/>
        <v>-74490.203000000009</v>
      </c>
      <c r="Z388" s="210" t="e">
        <f t="shared" ca="1" si="110"/>
        <v>#DIV/0!</v>
      </c>
      <c r="AA388" s="210" t="e">
        <f t="shared" ca="1" si="110"/>
        <v>#DIV/0!</v>
      </c>
      <c r="AB388" s="210" t="e">
        <f t="shared" ca="1" si="110"/>
        <v>#DIV/0!</v>
      </c>
      <c r="AC388" s="210" t="e">
        <f t="shared" ca="1" si="110"/>
        <v>#DIV/0!</v>
      </c>
    </row>
    <row r="389" spans="2:29" ht="17.25" customHeight="1">
      <c r="B389" s="722">
        <v>1</v>
      </c>
      <c r="C389" s="196">
        <f ca="1">SUM(C11:C41)</f>
        <v>5613.8399999999674</v>
      </c>
      <c r="D389" s="196">
        <f t="shared" ref="D389:O389" ca="1" si="111">SUM(D11:D41)</f>
        <v>7936.4000000000015</v>
      </c>
      <c r="E389" s="196">
        <f t="shared" ca="1" si="111"/>
        <v>1.8299999999999272</v>
      </c>
      <c r="F389" s="196">
        <f t="shared" ca="1" si="111"/>
        <v>2.5570000000000164</v>
      </c>
      <c r="G389" s="196">
        <f t="shared" ca="1" si="111"/>
        <v>13554.626999999968</v>
      </c>
      <c r="H389" s="196">
        <f t="shared" ca="1" si="111"/>
        <v>978.12749999996583</v>
      </c>
      <c r="I389" s="196">
        <f t="shared" ca="1" si="111"/>
        <v>6140.3154719944987</v>
      </c>
      <c r="J389" s="196">
        <f t="shared" ca="1" si="111"/>
        <v>1329.0160752057168</v>
      </c>
      <c r="K389" s="196">
        <f t="shared" ca="1" si="111"/>
        <v>336.77262541580728</v>
      </c>
      <c r="L389" s="196">
        <f t="shared" ca="1" si="111"/>
        <v>4604.0795000000353</v>
      </c>
      <c r="M389" s="196">
        <f t="shared" ca="1" si="111"/>
        <v>166.31582738394604</v>
      </c>
      <c r="N389" s="196">
        <f t="shared" ca="1" si="111"/>
        <v>158.40000000000146</v>
      </c>
      <c r="O389" s="196">
        <f t="shared" ca="1" si="111"/>
        <v>5846.7799999999697</v>
      </c>
      <c r="P389" s="196">
        <f ca="1">SUM(P11:P41)</f>
        <v>1265.5800000000017</v>
      </c>
      <c r="Q389" s="196">
        <f ca="1">SUM(Q11:Q41)</f>
        <v>320.69999999999709</v>
      </c>
      <c r="R389" s="196">
        <f ca="1">SUM(R11:R41)</f>
        <v>4604.0795000000353</v>
      </c>
      <c r="S389" s="196">
        <f ca="1">SUM(S11:S41)</f>
        <v>537.52999999999884</v>
      </c>
      <c r="T389" s="196">
        <f ca="1">SUM(T11:T41)</f>
        <v>65.590000000003783</v>
      </c>
      <c r="U389" s="196"/>
      <c r="V389" s="196"/>
      <c r="W389" s="196"/>
      <c r="X389" s="196"/>
      <c r="Y389" s="199"/>
      <c r="Z389" s="198"/>
      <c r="AA389" s="196"/>
      <c r="AB389" s="196"/>
      <c r="AC389" s="196"/>
    </row>
    <row r="390" spans="2:29">
      <c r="B390" s="163">
        <v>2</v>
      </c>
      <c r="C390" s="206">
        <f ca="1">SUM(C42:C69)</f>
        <v>8128.1600000000326</v>
      </c>
      <c r="D390" s="206">
        <f t="shared" ref="D390:T390" ca="1" si="112">SUM(D42:D69)</f>
        <v>4107.9799999999996</v>
      </c>
      <c r="E390" s="206">
        <f t="shared" ca="1" si="112"/>
        <v>1.15300000000002</v>
      </c>
      <c r="F390" s="206">
        <f t="shared" ca="1" si="112"/>
        <v>3.4409999999999172</v>
      </c>
      <c r="G390" s="206">
        <f t="shared" ca="1" si="112"/>
        <v>12240.734000000031</v>
      </c>
      <c r="H390" s="206">
        <f t="shared" ca="1" si="112"/>
        <v>879.19800000008445</v>
      </c>
      <c r="I390" s="206">
        <f t="shared" ca="1" si="112"/>
        <v>5371.8511983961562</v>
      </c>
      <c r="J390" s="206">
        <f t="shared" ca="1" si="112"/>
        <v>1154.6618723348147</v>
      </c>
      <c r="K390" s="206">
        <f t="shared" ca="1" si="112"/>
        <v>295.05664661878291</v>
      </c>
      <c r="L390" s="206">
        <f t="shared" ca="1" si="112"/>
        <v>4395.3329999999669</v>
      </c>
      <c r="M390" s="206">
        <f t="shared" ca="1" si="112"/>
        <v>144.63328265022824</v>
      </c>
      <c r="N390" s="206">
        <f t="shared" ca="1" si="112"/>
        <v>137.47699999999895</v>
      </c>
      <c r="O390" s="206">
        <f t="shared" ca="1" si="112"/>
        <v>5109.6899999999732</v>
      </c>
      <c r="P390" s="206">
        <f t="shared" ca="1" si="112"/>
        <v>1097.3600000000079</v>
      </c>
      <c r="Q390" s="206">
        <f t="shared" ca="1" si="112"/>
        <v>280.5</v>
      </c>
      <c r="R390" s="206">
        <f t="shared" ca="1" si="112"/>
        <v>4395.3329999999669</v>
      </c>
      <c r="S390" s="206">
        <f t="shared" ca="1" si="112"/>
        <v>477.5</v>
      </c>
      <c r="T390" s="206">
        <f t="shared" ca="1" si="112"/>
        <v>62.099999999998545</v>
      </c>
      <c r="U390" s="206"/>
      <c r="V390" s="206"/>
      <c r="W390" s="206"/>
      <c r="X390" s="206"/>
      <c r="Y390" s="208"/>
      <c r="Z390" s="717"/>
      <c r="AA390" s="206"/>
      <c r="AB390" s="206"/>
      <c r="AC390" s="206"/>
    </row>
    <row r="391" spans="2:29">
      <c r="B391" s="163">
        <v>3</v>
      </c>
      <c r="C391" s="206">
        <f ca="1">SUM(C70:C100)</f>
        <v>9022.8399999999674</v>
      </c>
      <c r="D391" s="206">
        <f t="shared" ref="D391:T391" ca="1" si="113">SUM(D70:D100)</f>
        <v>4705.4199999999983</v>
      </c>
      <c r="E391" s="206">
        <f t="shared" ca="1" si="113"/>
        <v>0.64599999999995816</v>
      </c>
      <c r="F391" s="206">
        <f t="shared" ca="1" si="113"/>
        <v>1.0579999999999927</v>
      </c>
      <c r="G391" s="206">
        <f t="shared" ca="1" si="113"/>
        <v>13729.963999999965</v>
      </c>
      <c r="H391" s="206">
        <f t="shared" ca="1" si="113"/>
        <v>1087.4924999999332</v>
      </c>
      <c r="I391" s="206">
        <f t="shared" ca="1" si="113"/>
        <v>6056.6507344017327</v>
      </c>
      <c r="J391" s="206">
        <f t="shared" ca="1" si="113"/>
        <v>1271.4884891859035</v>
      </c>
      <c r="K391" s="206">
        <f t="shared" ca="1" si="113"/>
        <v>315.34207794617151</v>
      </c>
      <c r="L391" s="206">
        <f t="shared" ca="1" si="113"/>
        <v>4841.8755000000101</v>
      </c>
      <c r="M391" s="206">
        <f t="shared" ca="1" si="113"/>
        <v>157.11469846621372</v>
      </c>
      <c r="N391" s="206">
        <f t="shared" ca="1" si="113"/>
        <v>149.82300000000396</v>
      </c>
      <c r="O391" s="206">
        <f t="shared" ca="1" si="113"/>
        <v>5775.6100000000297</v>
      </c>
      <c r="P391" s="206">
        <f t="shared" ca="1" si="113"/>
        <v>1212.5399999999936</v>
      </c>
      <c r="Q391" s="206">
        <f t="shared" ca="1" si="113"/>
        <v>300.79999999999927</v>
      </c>
      <c r="R391" s="206">
        <f t="shared" ca="1" si="113"/>
        <v>4841.8755000000101</v>
      </c>
      <c r="S391" s="206">
        <f t="shared" ca="1" si="113"/>
        <v>511</v>
      </c>
      <c r="T391" s="206">
        <f t="shared" ca="1" si="113"/>
        <v>70.400000000001455</v>
      </c>
      <c r="U391" s="206"/>
      <c r="V391" s="206"/>
      <c r="W391" s="206"/>
      <c r="X391" s="206"/>
      <c r="Y391" s="208"/>
      <c r="Z391" s="717"/>
      <c r="AA391" s="206"/>
      <c r="AB391" s="206"/>
      <c r="AC391" s="206"/>
    </row>
    <row r="392" spans="2:29">
      <c r="B392" s="163">
        <v>4</v>
      </c>
      <c r="C392" s="206">
        <f ca="1">SUM(C101:C130)</f>
        <v>9357.1500000000233</v>
      </c>
      <c r="D392" s="206">
        <f t="shared" ref="D392:T392" ca="1" si="114">SUM(D101:D130)</f>
        <v>3766.1000000000022</v>
      </c>
      <c r="E392" s="206">
        <f t="shared" ca="1" si="114"/>
        <v>5.1920000000000073</v>
      </c>
      <c r="F392" s="206">
        <f t="shared" ca="1" si="114"/>
        <v>26.50100000000009</v>
      </c>
      <c r="G392" s="206">
        <f t="shared" ca="1" si="114"/>
        <v>13154.943000000025</v>
      </c>
      <c r="H392" s="206">
        <f t="shared" ca="1" si="114"/>
        <v>1045.1554999999844</v>
      </c>
      <c r="I392" s="206">
        <f t="shared" ca="1" si="114"/>
        <v>5777.9362863521492</v>
      </c>
      <c r="J392" s="206">
        <f t="shared" ca="1" si="114"/>
        <v>1211.2864396302982</v>
      </c>
      <c r="K392" s="206">
        <f t="shared" ca="1" si="114"/>
        <v>327.61583891135018</v>
      </c>
      <c r="L392" s="206">
        <f t="shared" ca="1" si="114"/>
        <v>4646.5154999999804</v>
      </c>
      <c r="M392" s="206">
        <f t="shared" ca="1" si="114"/>
        <v>146.433435106263</v>
      </c>
      <c r="N392" s="206">
        <f t="shared" ca="1" si="114"/>
        <v>140.40000000000146</v>
      </c>
      <c r="O392" s="206">
        <f t="shared" ca="1" si="114"/>
        <v>5540.3800000000774</v>
      </c>
      <c r="P392" s="206">
        <f t="shared" ca="1" si="114"/>
        <v>1161.3899999999994</v>
      </c>
      <c r="Q392" s="206">
        <f t="shared" ca="1" si="114"/>
        <v>314.19999999999891</v>
      </c>
      <c r="R392" s="206">
        <f t="shared" ca="1" si="114"/>
        <v>4646.5154999999804</v>
      </c>
      <c r="S392" s="206">
        <f t="shared" ca="1" si="114"/>
        <v>442.10999999998603</v>
      </c>
      <c r="T392" s="206">
        <f t="shared" ca="1" si="114"/>
        <v>71.069999999999709</v>
      </c>
      <c r="U392" s="206"/>
      <c r="V392" s="206"/>
      <c r="W392" s="206"/>
      <c r="X392" s="206"/>
      <c r="Y392" s="208"/>
      <c r="Z392" s="717"/>
      <c r="AA392" s="206"/>
      <c r="AB392" s="206"/>
      <c r="AC392" s="206"/>
    </row>
    <row r="393" spans="2:29">
      <c r="B393" s="163">
        <v>5</v>
      </c>
      <c r="C393" s="206">
        <f ca="1">SUM(C131:C161)</f>
        <v>6850.8499999999767</v>
      </c>
      <c r="D393" s="206">
        <f t="shared" ref="D393:T393" ca="1" si="115">SUM(D131:D161)</f>
        <v>6271.0999999999985</v>
      </c>
      <c r="E393" s="206">
        <f t="shared" ca="1" si="115"/>
        <v>1.4770000000000891</v>
      </c>
      <c r="F393" s="206">
        <f t="shared" ca="1" si="115"/>
        <v>2.8199999999999363</v>
      </c>
      <c r="G393" s="206">
        <f t="shared" ca="1" si="115"/>
        <v>13126.246999999976</v>
      </c>
      <c r="H393" s="206">
        <f t="shared" ca="1" si="115"/>
        <v>1138.421499999926</v>
      </c>
      <c r="I393" s="206">
        <f t="shared" ca="1" si="115"/>
        <v>5688.5824518806558</v>
      </c>
      <c r="J393" s="206">
        <f t="shared" ca="1" si="115"/>
        <v>1274.1428819278397</v>
      </c>
      <c r="K393" s="206">
        <f t="shared" ca="1" si="115"/>
        <v>393.59927971494608</v>
      </c>
      <c r="L393" s="206">
        <f t="shared" ca="1" si="115"/>
        <v>5034.0185000000229</v>
      </c>
      <c r="M393" s="206">
        <f t="shared" ca="1" si="115"/>
        <v>-402.5176135234156</v>
      </c>
      <c r="N393" s="206">
        <f t="shared" ca="1" si="115"/>
        <v>147.39299999999639</v>
      </c>
      <c r="O393" s="206">
        <f t="shared" ca="1" si="115"/>
        <v>5063.2699999999923</v>
      </c>
      <c r="P393" s="206">
        <f t="shared" ca="1" si="115"/>
        <v>1128.5100000000093</v>
      </c>
      <c r="Q393" s="206">
        <f t="shared" ca="1" si="115"/>
        <v>340.70000000000437</v>
      </c>
      <c r="R393" s="206">
        <f t="shared" ca="1" si="115"/>
        <v>5034.0185000000229</v>
      </c>
      <c r="S393" s="206">
        <f t="shared" ca="1" si="115"/>
        <v>419.85000000000582</v>
      </c>
      <c r="T393" s="206">
        <f t="shared" ca="1" si="115"/>
        <v>71.330000000001746</v>
      </c>
      <c r="U393" s="206"/>
      <c r="V393" s="206"/>
      <c r="W393" s="206"/>
      <c r="X393" s="206"/>
      <c r="Y393" s="208"/>
      <c r="Z393" s="717"/>
      <c r="AA393" s="206"/>
      <c r="AB393" s="206"/>
      <c r="AC393" s="206"/>
    </row>
    <row r="394" spans="2:29">
      <c r="B394" s="163">
        <v>6</v>
      </c>
      <c r="C394" s="206">
        <f ca="1">SUM(C162:C191)</f>
        <v>-591868</v>
      </c>
      <c r="D394" s="206">
        <f t="shared" ref="D394:T394" ca="1" si="116">SUM(D162:D191)</f>
        <v>-40738</v>
      </c>
      <c r="E394" s="206">
        <f t="shared" ca="1" si="116"/>
        <v>-1067.998</v>
      </c>
      <c r="F394" s="206">
        <f t="shared" ca="1" si="116"/>
        <v>-822.90899999999999</v>
      </c>
      <c r="G394" s="206">
        <f t="shared" ca="1" si="116"/>
        <v>-634496.90700000001</v>
      </c>
      <c r="H394" s="206" t="e">
        <f t="shared" ca="1" si="116"/>
        <v>#DIV/0!</v>
      </c>
      <c r="I394" s="206" t="e">
        <f t="shared" ca="1" si="116"/>
        <v>#DIV/0!</v>
      </c>
      <c r="J394" s="206" t="e">
        <f t="shared" ca="1" si="116"/>
        <v>#DIV/0!</v>
      </c>
      <c r="K394" s="206" t="e">
        <f t="shared" ca="1" si="116"/>
        <v>#DIV/0!</v>
      </c>
      <c r="L394" s="206">
        <f t="shared" ca="1" si="116"/>
        <v>-495710.02499999997</v>
      </c>
      <c r="M394" s="206" t="e">
        <f t="shared" ca="1" si="116"/>
        <v>#DIV/0!</v>
      </c>
      <c r="N394" s="206">
        <f t="shared" ca="1" si="116"/>
        <v>-65251</v>
      </c>
      <c r="O394" s="206">
        <f t="shared" ca="1" si="116"/>
        <v>-228044.5</v>
      </c>
      <c r="P394" s="206">
        <f t="shared" ca="1" si="116"/>
        <v>-113117.20000000001</v>
      </c>
      <c r="Q394" s="206">
        <f t="shared" ca="1" si="116"/>
        <v>-74766.8</v>
      </c>
      <c r="R394" s="206">
        <f t="shared" ca="1" si="116"/>
        <v>-495710.02499999997</v>
      </c>
      <c r="S394" s="206">
        <f t="shared" ca="1" si="116"/>
        <v>-140338</v>
      </c>
      <c r="T394" s="206">
        <f t="shared" ca="1" si="116"/>
        <v>-49653.429999999993</v>
      </c>
      <c r="U394" s="206"/>
      <c r="V394" s="206"/>
      <c r="W394" s="206"/>
      <c r="X394" s="206"/>
      <c r="Y394" s="208"/>
      <c r="Z394" s="717"/>
      <c r="AA394" s="206"/>
      <c r="AB394" s="206"/>
      <c r="AC394" s="206"/>
    </row>
    <row r="395" spans="2:29">
      <c r="B395" s="163">
        <v>7</v>
      </c>
      <c r="C395" s="206">
        <f ca="1">SUM(C192:C222)</f>
        <v>0</v>
      </c>
      <c r="D395" s="206">
        <f t="shared" ref="D395:T395" ca="1" si="117">SUM(D192:D222)</f>
        <v>0</v>
      </c>
      <c r="E395" s="206">
        <f t="shared" ca="1" si="117"/>
        <v>0</v>
      </c>
      <c r="F395" s="206">
        <f t="shared" ca="1" si="117"/>
        <v>0</v>
      </c>
      <c r="G395" s="206">
        <f t="shared" ca="1" si="117"/>
        <v>0</v>
      </c>
      <c r="H395" s="206" t="e">
        <f t="shared" ca="1" si="117"/>
        <v>#DIV/0!</v>
      </c>
      <c r="I395" s="206" t="e">
        <f t="shared" ca="1" si="117"/>
        <v>#DIV/0!</v>
      </c>
      <c r="J395" s="206" t="e">
        <f t="shared" ca="1" si="117"/>
        <v>#DIV/0!</v>
      </c>
      <c r="K395" s="206" t="e">
        <f t="shared" ca="1" si="117"/>
        <v>#DIV/0!</v>
      </c>
      <c r="L395" s="206">
        <f t="shared" ca="1" si="117"/>
        <v>0</v>
      </c>
      <c r="M395" s="206" t="e">
        <f t="shared" ca="1" si="117"/>
        <v>#DIV/0!</v>
      </c>
      <c r="N395" s="206">
        <f t="shared" ca="1" si="117"/>
        <v>0</v>
      </c>
      <c r="O395" s="206">
        <f t="shared" ca="1" si="117"/>
        <v>0</v>
      </c>
      <c r="P395" s="206">
        <f t="shared" ca="1" si="117"/>
        <v>0</v>
      </c>
      <c r="Q395" s="206">
        <f t="shared" ca="1" si="117"/>
        <v>0</v>
      </c>
      <c r="R395" s="206">
        <f t="shared" ca="1" si="117"/>
        <v>0</v>
      </c>
      <c r="S395" s="206">
        <f t="shared" ca="1" si="117"/>
        <v>0</v>
      </c>
      <c r="T395" s="206">
        <f t="shared" ca="1" si="117"/>
        <v>0</v>
      </c>
      <c r="U395" s="206"/>
      <c r="V395" s="206"/>
      <c r="W395" s="206"/>
      <c r="X395" s="206"/>
      <c r="Y395" s="208"/>
      <c r="Z395" s="717"/>
      <c r="AA395" s="206"/>
      <c r="AB395" s="206"/>
      <c r="AC395" s="206"/>
    </row>
    <row r="396" spans="2:29">
      <c r="B396" s="163">
        <v>8</v>
      </c>
      <c r="C396" s="206">
        <f ca="1">SUM(C223:C253)</f>
        <v>0</v>
      </c>
      <c r="D396" s="206">
        <f t="shared" ref="D396:T396" ca="1" si="118">SUM(D223:D253)</f>
        <v>0</v>
      </c>
      <c r="E396" s="206">
        <f t="shared" ca="1" si="118"/>
        <v>0</v>
      </c>
      <c r="F396" s="206">
        <f t="shared" ca="1" si="118"/>
        <v>0</v>
      </c>
      <c r="G396" s="206">
        <f t="shared" ca="1" si="118"/>
        <v>0</v>
      </c>
      <c r="H396" s="206" t="e">
        <f t="shared" ca="1" si="118"/>
        <v>#DIV/0!</v>
      </c>
      <c r="I396" s="206" t="e">
        <f t="shared" ca="1" si="118"/>
        <v>#DIV/0!</v>
      </c>
      <c r="J396" s="206" t="e">
        <f t="shared" ca="1" si="118"/>
        <v>#DIV/0!</v>
      </c>
      <c r="K396" s="206" t="e">
        <f t="shared" ca="1" si="118"/>
        <v>#DIV/0!</v>
      </c>
      <c r="L396" s="206">
        <f t="shared" ca="1" si="118"/>
        <v>0</v>
      </c>
      <c r="M396" s="206" t="e">
        <f t="shared" ca="1" si="118"/>
        <v>#DIV/0!</v>
      </c>
      <c r="N396" s="206">
        <f t="shared" ca="1" si="118"/>
        <v>0</v>
      </c>
      <c r="O396" s="206">
        <f t="shared" ca="1" si="118"/>
        <v>0</v>
      </c>
      <c r="P396" s="206">
        <f t="shared" ca="1" si="118"/>
        <v>0</v>
      </c>
      <c r="Q396" s="206">
        <f t="shared" ca="1" si="118"/>
        <v>0</v>
      </c>
      <c r="R396" s="206">
        <f t="shared" ca="1" si="118"/>
        <v>0</v>
      </c>
      <c r="S396" s="206">
        <f t="shared" ca="1" si="118"/>
        <v>0</v>
      </c>
      <c r="T396" s="206">
        <f t="shared" ca="1" si="118"/>
        <v>0</v>
      </c>
      <c r="U396" s="206"/>
      <c r="V396" s="206"/>
      <c r="W396" s="206"/>
      <c r="X396" s="206"/>
      <c r="Y396" s="208"/>
      <c r="Z396" s="717"/>
      <c r="AA396" s="206"/>
      <c r="AB396" s="206"/>
      <c r="AC396" s="206"/>
    </row>
    <row r="397" spans="2:29">
      <c r="B397" s="163">
        <v>9</v>
      </c>
      <c r="C397" s="206">
        <f ca="1">SUM(C254:C283)</f>
        <v>0</v>
      </c>
      <c r="D397" s="206">
        <f t="shared" ref="D397:T397" ca="1" si="119">SUM(D254:D283)</f>
        <v>0</v>
      </c>
      <c r="E397" s="206">
        <f t="shared" ca="1" si="119"/>
        <v>0</v>
      </c>
      <c r="F397" s="206">
        <f t="shared" ca="1" si="119"/>
        <v>0</v>
      </c>
      <c r="G397" s="206">
        <f t="shared" ca="1" si="119"/>
        <v>0</v>
      </c>
      <c r="H397" s="206" t="e">
        <f t="shared" ca="1" si="119"/>
        <v>#DIV/0!</v>
      </c>
      <c r="I397" s="206" t="e">
        <f t="shared" ca="1" si="119"/>
        <v>#DIV/0!</v>
      </c>
      <c r="J397" s="206" t="e">
        <f t="shared" ca="1" si="119"/>
        <v>#DIV/0!</v>
      </c>
      <c r="K397" s="206" t="e">
        <f t="shared" ca="1" si="119"/>
        <v>#DIV/0!</v>
      </c>
      <c r="L397" s="206">
        <f t="shared" ca="1" si="119"/>
        <v>0</v>
      </c>
      <c r="M397" s="206" t="e">
        <f t="shared" ca="1" si="119"/>
        <v>#DIV/0!</v>
      </c>
      <c r="N397" s="206">
        <f t="shared" ca="1" si="119"/>
        <v>0</v>
      </c>
      <c r="O397" s="206">
        <f t="shared" ca="1" si="119"/>
        <v>0</v>
      </c>
      <c r="P397" s="206">
        <f t="shared" ca="1" si="119"/>
        <v>0</v>
      </c>
      <c r="Q397" s="206">
        <f t="shared" ca="1" si="119"/>
        <v>0</v>
      </c>
      <c r="R397" s="206">
        <f t="shared" ca="1" si="119"/>
        <v>0</v>
      </c>
      <c r="S397" s="206">
        <f t="shared" ca="1" si="119"/>
        <v>0</v>
      </c>
      <c r="T397" s="206">
        <f t="shared" ca="1" si="119"/>
        <v>0</v>
      </c>
      <c r="U397" s="206"/>
      <c r="V397" s="206"/>
      <c r="W397" s="206"/>
      <c r="X397" s="206"/>
      <c r="Y397" s="208"/>
      <c r="Z397" s="717"/>
      <c r="AA397" s="206"/>
      <c r="AB397" s="206"/>
      <c r="AC397" s="206"/>
    </row>
    <row r="398" spans="2:29">
      <c r="B398" s="163">
        <v>10</v>
      </c>
      <c r="C398" s="206">
        <f ca="1">SUM(C284:C314)</f>
        <v>0</v>
      </c>
      <c r="D398" s="206">
        <f t="shared" ref="D398:T398" ca="1" si="120">SUM(D284:D314)</f>
        <v>0</v>
      </c>
      <c r="E398" s="206">
        <f t="shared" ca="1" si="120"/>
        <v>0</v>
      </c>
      <c r="F398" s="206">
        <f t="shared" ca="1" si="120"/>
        <v>0</v>
      </c>
      <c r="G398" s="206">
        <f t="shared" ca="1" si="120"/>
        <v>0</v>
      </c>
      <c r="H398" s="206" t="e">
        <f t="shared" ca="1" si="120"/>
        <v>#DIV/0!</v>
      </c>
      <c r="I398" s="206" t="e">
        <f t="shared" ca="1" si="120"/>
        <v>#DIV/0!</v>
      </c>
      <c r="J398" s="206" t="e">
        <f t="shared" ca="1" si="120"/>
        <v>#DIV/0!</v>
      </c>
      <c r="K398" s="206" t="e">
        <f t="shared" ca="1" si="120"/>
        <v>#DIV/0!</v>
      </c>
      <c r="L398" s="206">
        <f t="shared" ca="1" si="120"/>
        <v>0</v>
      </c>
      <c r="M398" s="206" t="e">
        <f t="shared" ca="1" si="120"/>
        <v>#DIV/0!</v>
      </c>
      <c r="N398" s="206">
        <f t="shared" ca="1" si="120"/>
        <v>0</v>
      </c>
      <c r="O398" s="206">
        <f t="shared" ca="1" si="120"/>
        <v>0</v>
      </c>
      <c r="P398" s="206">
        <f t="shared" ca="1" si="120"/>
        <v>0</v>
      </c>
      <c r="Q398" s="206">
        <f t="shared" ca="1" si="120"/>
        <v>0</v>
      </c>
      <c r="R398" s="206">
        <f t="shared" ca="1" si="120"/>
        <v>0</v>
      </c>
      <c r="S398" s="206">
        <f t="shared" ca="1" si="120"/>
        <v>0</v>
      </c>
      <c r="T398" s="206">
        <f t="shared" ca="1" si="120"/>
        <v>0</v>
      </c>
      <c r="U398" s="206"/>
      <c r="V398" s="206"/>
      <c r="W398" s="206"/>
      <c r="X398" s="206"/>
      <c r="Y398" s="208"/>
      <c r="Z398" s="717"/>
      <c r="AA398" s="206"/>
      <c r="AB398" s="206"/>
      <c r="AC398" s="206"/>
    </row>
    <row r="399" spans="2:29">
      <c r="B399" s="163">
        <v>11</v>
      </c>
      <c r="C399" s="206">
        <f ca="1">SUM(C315:C344)</f>
        <v>0</v>
      </c>
      <c r="D399" s="206">
        <f t="shared" ref="D399:T399" ca="1" si="121">SUM(D315:D344)</f>
        <v>0</v>
      </c>
      <c r="E399" s="206">
        <f t="shared" ca="1" si="121"/>
        <v>0</v>
      </c>
      <c r="F399" s="206">
        <f t="shared" ca="1" si="121"/>
        <v>0</v>
      </c>
      <c r="G399" s="206">
        <f t="shared" ca="1" si="121"/>
        <v>0</v>
      </c>
      <c r="H399" s="206" t="e">
        <f t="shared" ca="1" si="121"/>
        <v>#DIV/0!</v>
      </c>
      <c r="I399" s="206" t="e">
        <f t="shared" ca="1" si="121"/>
        <v>#DIV/0!</v>
      </c>
      <c r="J399" s="206" t="e">
        <f t="shared" ca="1" si="121"/>
        <v>#DIV/0!</v>
      </c>
      <c r="K399" s="206" t="e">
        <f t="shared" ca="1" si="121"/>
        <v>#DIV/0!</v>
      </c>
      <c r="L399" s="206">
        <f t="shared" ca="1" si="121"/>
        <v>0</v>
      </c>
      <c r="M399" s="206" t="e">
        <f t="shared" ca="1" si="121"/>
        <v>#DIV/0!</v>
      </c>
      <c r="N399" s="206">
        <f t="shared" ca="1" si="121"/>
        <v>0</v>
      </c>
      <c r="O399" s="206">
        <f t="shared" ca="1" si="121"/>
        <v>0</v>
      </c>
      <c r="P399" s="206">
        <f t="shared" ca="1" si="121"/>
        <v>0</v>
      </c>
      <c r="Q399" s="206">
        <f t="shared" ca="1" si="121"/>
        <v>0</v>
      </c>
      <c r="R399" s="206">
        <f t="shared" ca="1" si="121"/>
        <v>0</v>
      </c>
      <c r="S399" s="206">
        <f t="shared" ca="1" si="121"/>
        <v>0</v>
      </c>
      <c r="T399" s="206">
        <f t="shared" ca="1" si="121"/>
        <v>0</v>
      </c>
      <c r="U399" s="206"/>
      <c r="V399" s="206"/>
      <c r="W399" s="206"/>
      <c r="X399" s="206"/>
      <c r="Y399" s="208"/>
      <c r="Z399" s="717"/>
      <c r="AA399" s="206"/>
      <c r="AB399" s="206"/>
      <c r="AC399" s="206"/>
    </row>
    <row r="400" spans="2:29" ht="15" thickBot="1">
      <c r="B400" s="164">
        <v>12</v>
      </c>
      <c r="C400" s="206">
        <f ca="1">SUM(C345:C375)</f>
        <v>0</v>
      </c>
      <c r="D400" s="206">
        <f t="shared" ref="D400:T400" ca="1" si="122">SUM(D345:D375)</f>
        <v>0</v>
      </c>
      <c r="E400" s="206">
        <f t="shared" ca="1" si="122"/>
        <v>0</v>
      </c>
      <c r="F400" s="206">
        <f t="shared" ca="1" si="122"/>
        <v>0</v>
      </c>
      <c r="G400" s="206">
        <f t="shared" ca="1" si="122"/>
        <v>0</v>
      </c>
      <c r="H400" s="206" t="e">
        <f t="shared" ca="1" si="122"/>
        <v>#DIV/0!</v>
      </c>
      <c r="I400" s="206" t="e">
        <f t="shared" ca="1" si="122"/>
        <v>#DIV/0!</v>
      </c>
      <c r="J400" s="206" t="e">
        <f t="shared" ca="1" si="122"/>
        <v>#DIV/0!</v>
      </c>
      <c r="K400" s="206" t="e">
        <f t="shared" ca="1" si="122"/>
        <v>#DIV/0!</v>
      </c>
      <c r="L400" s="206">
        <f t="shared" ca="1" si="122"/>
        <v>0</v>
      </c>
      <c r="M400" s="206" t="e">
        <f t="shared" ca="1" si="122"/>
        <v>#DIV/0!</v>
      </c>
      <c r="N400" s="206">
        <f t="shared" ca="1" si="122"/>
        <v>0</v>
      </c>
      <c r="O400" s="206">
        <f t="shared" ca="1" si="122"/>
        <v>0</v>
      </c>
      <c r="P400" s="206">
        <f t="shared" ca="1" si="122"/>
        <v>0</v>
      </c>
      <c r="Q400" s="206">
        <f t="shared" ca="1" si="122"/>
        <v>0</v>
      </c>
      <c r="R400" s="206">
        <f t="shared" ca="1" si="122"/>
        <v>0</v>
      </c>
      <c r="S400" s="1226">
        <f t="shared" ca="1" si="122"/>
        <v>0</v>
      </c>
      <c r="T400" s="1226">
        <f t="shared" ca="1" si="122"/>
        <v>0</v>
      </c>
      <c r="U400" s="197"/>
      <c r="V400" s="197"/>
      <c r="W400" s="197"/>
      <c r="X400" s="197"/>
      <c r="Y400" s="201"/>
      <c r="Z400" s="717"/>
      <c r="AA400" s="206"/>
      <c r="AB400" s="206"/>
      <c r="AC400" s="206"/>
    </row>
    <row r="401" spans="2:29" ht="42" thickBot="1">
      <c r="B401" s="12" t="s">
        <v>1018</v>
      </c>
      <c r="C401" s="210">
        <f t="shared" ref="C401:P401" ca="1" si="123">SUM(C389:C400)</f>
        <v>-552895.16</v>
      </c>
      <c r="D401" s="210">
        <f t="shared" ca="1" si="123"/>
        <v>-13951</v>
      </c>
      <c r="E401" s="210">
        <f t="shared" ca="1" si="123"/>
        <v>-1057.7</v>
      </c>
      <c r="F401" s="210">
        <f t="shared" ca="1" si="123"/>
        <v>-786.53200000000004</v>
      </c>
      <c r="G401" s="210">
        <f t="shared" ca="1" si="123"/>
        <v>-568690.39199999999</v>
      </c>
      <c r="H401" s="210" t="e">
        <f t="shared" ca="1" si="123"/>
        <v>#DIV/0!</v>
      </c>
      <c r="I401" s="210" t="e">
        <f t="shared" ca="1" si="123"/>
        <v>#DIV/0!</v>
      </c>
      <c r="J401" s="210" t="e">
        <f t="shared" ca="1" si="123"/>
        <v>#DIV/0!</v>
      </c>
      <c r="K401" s="210" t="e">
        <f t="shared" ca="1" si="123"/>
        <v>#DIV/0!</v>
      </c>
      <c r="L401" s="210">
        <f t="shared" ca="1" si="123"/>
        <v>-472188.20299999998</v>
      </c>
      <c r="M401" s="210" t="e">
        <f t="shared" ca="1" si="123"/>
        <v>#DIV/0!</v>
      </c>
      <c r="N401" s="210">
        <f t="shared" ca="1" si="123"/>
        <v>-64517.506999999998</v>
      </c>
      <c r="O401" s="210">
        <f t="shared" ca="1" si="123"/>
        <v>-200708.76999999996</v>
      </c>
      <c r="P401" s="210">
        <f t="shared" ca="1" si="123"/>
        <v>-107251.82</v>
      </c>
      <c r="Q401" s="210">
        <f ca="1">SUM(Q389:Q400)</f>
        <v>-73209.900000000009</v>
      </c>
      <c r="R401" s="210">
        <f ca="1">SUM(R389:R400)</f>
        <v>-472188.20299999998</v>
      </c>
      <c r="S401" s="210">
        <f ca="1">SUM(S389:S400)</f>
        <v>-137950.01</v>
      </c>
      <c r="T401" s="1227">
        <f ca="1">SUM(T389:T400)</f>
        <v>-49312.939999999988</v>
      </c>
      <c r="U401" s="720"/>
      <c r="V401" s="720"/>
      <c r="W401" s="720"/>
      <c r="X401" s="720"/>
      <c r="Y401" s="721"/>
      <c r="Z401" s="718"/>
      <c r="AA401" s="210"/>
      <c r="AB401" s="210"/>
      <c r="AC401" s="210"/>
    </row>
    <row r="406" spans="2:29" ht="18" customHeight="1"/>
    <row r="407" spans="2:29" ht="21.75" customHeight="1"/>
  </sheetData>
  <mergeCells count="7">
    <mergeCell ref="B7:AC7"/>
    <mergeCell ref="B8:B10"/>
    <mergeCell ref="C9:G9"/>
    <mergeCell ref="C8:G8"/>
    <mergeCell ref="S8:Y8"/>
    <mergeCell ref="H8:M8"/>
    <mergeCell ref="N8:R8"/>
  </mergeCells>
  <pageMargins left="0.70866141732283472" right="0.70866141732283472" top="0.74803149606299213" bottom="0.74803149606299213" header="0.31496062992125984" footer="0.31496062992125984"/>
  <pageSetup scale="80" fitToWidth="0" fitToHeight="0" orientation="portrait" r:id="rId1"/>
  <ignoredErrors>
    <ignoredError sqref="W376:W378 W379:W387" formulaRange="1"/>
  </ignoredErrors>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
    <tabColor rgb="FFFFC000"/>
  </sheetPr>
  <dimension ref="A1:CF71"/>
  <sheetViews>
    <sheetView topLeftCell="A19" zoomScale="70" zoomScaleNormal="70" workbookViewId="0">
      <selection activeCell="P6" sqref="P6"/>
    </sheetView>
  </sheetViews>
  <sheetFormatPr baseColWidth="10" defaultColWidth="11.44140625" defaultRowHeight="14.4"/>
  <cols>
    <col min="3" max="3" width="7.5546875" bestFit="1" customWidth="1"/>
    <col min="4" max="4" width="8.44140625" hidden="1" customWidth="1"/>
    <col min="5" max="5" width="7.5546875" bestFit="1" customWidth="1"/>
    <col min="33" max="33" width="13.77734375" bestFit="1" customWidth="1"/>
  </cols>
  <sheetData>
    <row r="1" spans="1:84" ht="15" thickBot="1">
      <c r="C1" s="393"/>
      <c r="D1" s="412">
        <f>INICIO!D12</f>
        <v>45078</v>
      </c>
      <c r="F1" s="412">
        <f>INICIO!C8</f>
        <v>45081</v>
      </c>
    </row>
    <row r="2" spans="1:84" ht="21.6" thickBot="1">
      <c r="A2" s="2421" t="s">
        <v>380</v>
      </c>
      <c r="B2" s="2422"/>
      <c r="D2" s="412">
        <f>INICIO!D13</f>
        <v>45107</v>
      </c>
      <c r="F2">
        <f>DAY(D2)</f>
        <v>30</v>
      </c>
    </row>
    <row r="3" spans="1:84" ht="29.4" thickBot="1">
      <c r="A3" s="2415" t="s">
        <v>400</v>
      </c>
      <c r="B3" s="2418" t="s">
        <v>401</v>
      </c>
      <c r="C3" s="391" t="s">
        <v>381</v>
      </c>
      <c r="D3" s="391" t="s">
        <v>582</v>
      </c>
      <c r="E3" s="392" t="s">
        <v>382</v>
      </c>
      <c r="F3" s="392" t="s">
        <v>383</v>
      </c>
      <c r="G3" s="391" t="s">
        <v>562</v>
      </c>
      <c r="H3" s="391" t="s">
        <v>384</v>
      </c>
      <c r="I3" s="391" t="s">
        <v>450</v>
      </c>
      <c r="J3" s="391" t="s">
        <v>385</v>
      </c>
      <c r="K3" s="391" t="s">
        <v>386</v>
      </c>
      <c r="L3" s="391" t="s">
        <v>387</v>
      </c>
      <c r="M3" s="391" t="s">
        <v>388</v>
      </c>
      <c r="N3" s="391" t="s">
        <v>389</v>
      </c>
      <c r="O3" s="391" t="s">
        <v>390</v>
      </c>
      <c r="P3" s="391" t="s">
        <v>391</v>
      </c>
      <c r="Q3" s="391" t="s">
        <v>392</v>
      </c>
      <c r="R3" s="391" t="s">
        <v>388</v>
      </c>
      <c r="S3" s="391" t="s">
        <v>393</v>
      </c>
      <c r="T3" s="391" t="s">
        <v>394</v>
      </c>
      <c r="U3" s="391" t="s">
        <v>395</v>
      </c>
      <c r="V3" s="391" t="s">
        <v>396</v>
      </c>
      <c r="W3" s="391" t="s">
        <v>397</v>
      </c>
      <c r="X3" s="391" t="s">
        <v>398</v>
      </c>
      <c r="Y3" s="391" t="s">
        <v>398</v>
      </c>
      <c r="Z3" s="391" t="s">
        <v>398</v>
      </c>
      <c r="AA3" s="391" t="s">
        <v>398</v>
      </c>
      <c r="AB3" s="391" t="s">
        <v>399</v>
      </c>
      <c r="AC3" s="394" t="s">
        <v>576</v>
      </c>
      <c r="AD3" s="394" t="s">
        <v>577</v>
      </c>
      <c r="AE3" s="394" t="s">
        <v>578</v>
      </c>
      <c r="AF3" s="394" t="s">
        <v>579</v>
      </c>
      <c r="AG3" s="1052" t="s">
        <v>439</v>
      </c>
    </row>
    <row r="4" spans="1:84" ht="15.75" customHeight="1">
      <c r="A4" s="2416"/>
      <c r="B4" s="2419"/>
      <c r="C4" s="1070" t="s">
        <v>402</v>
      </c>
      <c r="D4" s="1070" t="s">
        <v>402</v>
      </c>
      <c r="E4" s="1070" t="s">
        <v>402</v>
      </c>
      <c r="F4" s="1070" t="s">
        <v>402</v>
      </c>
      <c r="G4" s="1070" t="s">
        <v>402</v>
      </c>
      <c r="H4" s="1070" t="s">
        <v>1261</v>
      </c>
      <c r="I4" s="1071" t="s">
        <v>405</v>
      </c>
      <c r="J4" s="1071" t="s">
        <v>405</v>
      </c>
      <c r="K4" s="1070" t="s">
        <v>406</v>
      </c>
      <c r="L4" s="1070" t="s">
        <v>406</v>
      </c>
      <c r="M4" s="1072" t="s">
        <v>1257</v>
      </c>
      <c r="N4" s="1070" t="s">
        <v>1258</v>
      </c>
      <c r="O4" s="1070" t="s">
        <v>1259</v>
      </c>
      <c r="P4" s="1070"/>
      <c r="Q4" s="1070"/>
      <c r="R4" s="1070"/>
      <c r="S4" s="1070"/>
      <c r="T4" s="1070" t="s">
        <v>410</v>
      </c>
      <c r="U4" s="1070"/>
      <c r="V4" s="1070"/>
      <c r="W4" s="1070"/>
      <c r="X4" s="1070" t="s">
        <v>1253</v>
      </c>
      <c r="Y4" s="1070" t="s">
        <v>1254</v>
      </c>
      <c r="Z4" s="1070" t="s">
        <v>1255</v>
      </c>
      <c r="AA4" s="1070" t="s">
        <v>1256</v>
      </c>
      <c r="AB4" s="1070" t="s">
        <v>1252</v>
      </c>
      <c r="AC4" s="1057"/>
      <c r="AD4" s="1057"/>
      <c r="AE4" s="1057"/>
      <c r="AF4" s="1057"/>
      <c r="AG4" s="396" t="s">
        <v>494</v>
      </c>
    </row>
    <row r="5" spans="1:84" ht="15" thickBot="1">
      <c r="A5" s="2417"/>
      <c r="B5" s="2420"/>
      <c r="C5" s="1073" t="s">
        <v>581</v>
      </c>
      <c r="D5" s="1073" t="s">
        <v>582</v>
      </c>
      <c r="E5" s="1073" t="s">
        <v>583</v>
      </c>
      <c r="F5" s="1073" t="s">
        <v>418</v>
      </c>
      <c r="G5" s="1073" t="s">
        <v>539</v>
      </c>
      <c r="H5" s="1073" t="s">
        <v>419</v>
      </c>
      <c r="I5" s="1073" t="s">
        <v>421</v>
      </c>
      <c r="J5" s="1073" t="s">
        <v>421</v>
      </c>
      <c r="K5" s="1073" t="s">
        <v>421</v>
      </c>
      <c r="L5" s="1073" t="s">
        <v>421</v>
      </c>
      <c r="M5" s="1073" t="s">
        <v>422</v>
      </c>
      <c r="N5" s="1073" t="s">
        <v>423</v>
      </c>
      <c r="O5" s="1073" t="s">
        <v>423</v>
      </c>
      <c r="P5" s="1073" t="s">
        <v>424</v>
      </c>
      <c r="Q5" s="1073" t="s">
        <v>424</v>
      </c>
      <c r="R5" s="1073" t="s">
        <v>424</v>
      </c>
      <c r="S5" s="1073" t="s">
        <v>424</v>
      </c>
      <c r="T5" s="1073" t="s">
        <v>424</v>
      </c>
      <c r="U5" s="1073" t="s">
        <v>424</v>
      </c>
      <c r="V5" s="1073" t="s">
        <v>423</v>
      </c>
      <c r="W5" s="1073" t="s">
        <v>424</v>
      </c>
      <c r="X5" s="1073" t="s">
        <v>423</v>
      </c>
      <c r="Y5" s="1073" t="s">
        <v>423</v>
      </c>
      <c r="Z5" s="1073" t="s">
        <v>423</v>
      </c>
      <c r="AA5" s="1073" t="s">
        <v>423</v>
      </c>
      <c r="AB5" s="1073" t="s">
        <v>423</v>
      </c>
      <c r="AC5" s="1058"/>
      <c r="AD5" s="1058"/>
      <c r="AE5" s="1058"/>
      <c r="AF5" s="1058"/>
      <c r="AG5" s="1059" t="s">
        <v>1260</v>
      </c>
    </row>
    <row r="6" spans="1:84">
      <c r="A6" s="620">
        <f>D1</f>
        <v>45078</v>
      </c>
      <c r="B6" s="406">
        <f>IF('DATA DE LAS 12'!C6=0," ",'DATA DE LAS 12'!C6)</f>
        <v>0.9375</v>
      </c>
      <c r="C6" s="398">
        <f>IF('DATA DE LAS 12'!E6=0," ",'DATA DE LAS 12'!E6)</f>
        <v>13.3</v>
      </c>
      <c r="D6" s="398" t="e">
        <f>IF('DATA DE LAS 12'!#REF!=0," ",'DATA DE LAS 12'!#REF!)</f>
        <v>#REF!</v>
      </c>
      <c r="E6" s="398">
        <f>IF('DATA DE LAS 12'!AM6=0," ",'DATA DE LAS 12'!AM6)</f>
        <v>6.8</v>
      </c>
      <c r="F6" s="398">
        <f>IF('DATA DE LAS 12'!AL6=0," ",'DATA DE LAS 12'!AL6)</f>
        <v>13.82</v>
      </c>
      <c r="G6" s="398">
        <f>IF('DATA DE LAS 12'!AQ6=0," ",'DATA DE LAS 12'!AQ6)</f>
        <v>619</v>
      </c>
      <c r="H6" s="398">
        <f>IF('DATA DE LAS 12'!Z6=0," ",'DATA DE LAS 12'!Z6)</f>
        <v>60</v>
      </c>
      <c r="I6" s="398">
        <f>IF('DATA DE LAS 12'!AN6=0," ",'DATA DE LAS 12'!AN6)</f>
        <v>4</v>
      </c>
      <c r="J6" s="398">
        <f>IF('DATA DE LAS 12'!F6=0," ",'DATA DE LAS 12'!F6)</f>
        <v>4.7</v>
      </c>
      <c r="K6" s="398">
        <f>IF('DATA DE LAS 12'!G6=0," ",'DATA DE LAS 12'!G6)</f>
        <v>1.8</v>
      </c>
      <c r="L6" s="398">
        <f>IF('DATA DE LAS 12'!H6=0," ",'DATA DE LAS 12'!H6)</f>
        <v>2</v>
      </c>
      <c r="M6" s="398">
        <f>IF('DATA DE LAS 12'!V6=0," ",'DATA DE LAS 12'!V6)</f>
        <v>7.71</v>
      </c>
      <c r="N6" s="398">
        <f>IF('DATA DE LAS 12'!X6=0," ",'DATA DE LAS 12'!X6)</f>
        <v>318</v>
      </c>
      <c r="O6" s="404">
        <f>IF('DATA DE LAS 12'!BB6=0," ",'DATA DE LAS 12'!BB6)</f>
        <v>56</v>
      </c>
      <c r="P6" s="400"/>
      <c r="Q6" s="400"/>
      <c r="R6" s="400"/>
      <c r="S6" s="400"/>
      <c r="T6" s="400"/>
      <c r="U6" s="400"/>
      <c r="V6" s="400"/>
      <c r="W6" s="400"/>
      <c r="X6" s="404">
        <f>IF('DATA DE LAS 12'!BD6=0," ",'DATA DE LAS 12'!BD6)</f>
        <v>322</v>
      </c>
      <c r="Y6" s="404">
        <f>IF('DATA DE LAS 12'!BE6=0," ",'DATA DE LAS 12'!BE6)</f>
        <v>309</v>
      </c>
      <c r="Z6" s="404">
        <f>IF('DATA DE LAS 12'!BF6=0," ",'DATA DE LAS 12'!BF6)</f>
        <v>369</v>
      </c>
      <c r="AA6" s="404">
        <f>IF('DATA DE LAS 12'!BG6=0," ",'DATA DE LAS 12'!BG6)</f>
        <v>370</v>
      </c>
      <c r="AB6" s="404">
        <f>IF('DATA DE LAS 12'!BY6=0," ",'DATA DE LAS 12'!BY6)</f>
        <v>389</v>
      </c>
      <c r="AC6" s="401">
        <v>13</v>
      </c>
      <c r="AD6" s="401">
        <v>25</v>
      </c>
      <c r="AE6" s="401">
        <v>550</v>
      </c>
      <c r="AF6" s="401">
        <v>427</v>
      </c>
      <c r="AG6" s="404">
        <f>IF('DATA DE LAS 12'!W6=0," ",'DATA DE LAS 12'!W6)</f>
        <v>515</v>
      </c>
    </row>
    <row r="7" spans="1:84">
      <c r="A7" s="620">
        <f>A6+1</f>
        <v>45079</v>
      </c>
      <c r="B7" s="406">
        <f>IF('DATA DE LAS 12'!C7=0," ",'DATA DE LAS 12'!C7)</f>
        <v>0.89583333333333337</v>
      </c>
      <c r="C7" s="398">
        <f>IF('DATA DE LAS 12'!E7=0," ",'DATA DE LAS 12'!E7)</f>
        <v>13.2</v>
      </c>
      <c r="D7" s="398" t="e">
        <f>IF('DATA DE LAS 12'!#REF!=0," ",'DATA DE LAS 12'!#REF!)</f>
        <v>#REF!</v>
      </c>
      <c r="E7" s="398">
        <f>IF('DATA DE LAS 12'!AM7=0," ",'DATA DE LAS 12'!AM7)</f>
        <v>6.7</v>
      </c>
      <c r="F7" s="398">
        <f>IF('DATA DE LAS 12'!AL7=0," ",'DATA DE LAS 12'!AL7)</f>
        <v>13.82</v>
      </c>
      <c r="G7" s="398">
        <f>IF('DATA DE LAS 12'!AQ7=0," ",'DATA DE LAS 12'!AQ7)</f>
        <v>615</v>
      </c>
      <c r="H7" s="398">
        <f>IF('DATA DE LAS 12'!Z7=0," ",'DATA DE LAS 12'!Z7)</f>
        <v>60</v>
      </c>
      <c r="I7" s="398">
        <f>IF('DATA DE LAS 12'!AN7=0," ",'DATA DE LAS 12'!AN7)</f>
        <v>4.3</v>
      </c>
      <c r="J7" s="398">
        <f>IF('DATA DE LAS 12'!F7=0," ",'DATA DE LAS 12'!F7)</f>
        <v>4.8</v>
      </c>
      <c r="K7" s="398">
        <f>IF('DATA DE LAS 12'!G7=0," ",'DATA DE LAS 12'!G7)</f>
        <v>1.8</v>
      </c>
      <c r="L7" s="398">
        <f>IF('DATA DE LAS 12'!H7=0," ",'DATA DE LAS 12'!H7)</f>
        <v>2</v>
      </c>
      <c r="M7" s="398">
        <f>IF('DATA DE LAS 12'!V7=0," ",'DATA DE LAS 12'!V7)</f>
        <v>7.64</v>
      </c>
      <c r="N7" s="398">
        <f>IF('DATA DE LAS 12'!X7=0," ",'DATA DE LAS 12'!X7)</f>
        <v>320</v>
      </c>
      <c r="O7" s="404">
        <f>IF('DATA DE LAS 12'!BB7=0," ",'DATA DE LAS 12'!BB7)</f>
        <v>58</v>
      </c>
      <c r="P7" s="400"/>
      <c r="Q7" s="400"/>
      <c r="R7" s="400"/>
      <c r="S7" s="400"/>
      <c r="T7" s="400"/>
      <c r="U7" s="400"/>
      <c r="V7" s="400"/>
      <c r="W7" s="400"/>
      <c r="X7" s="404">
        <f>IF('DATA DE LAS 12'!BD7=0," ",'DATA DE LAS 12'!BD7)</f>
        <v>325</v>
      </c>
      <c r="Y7" s="404">
        <f>IF('DATA DE LAS 12'!BE7=0," ",'DATA DE LAS 12'!BE7)</f>
        <v>312</v>
      </c>
      <c r="Z7" s="404">
        <f>IF('DATA DE LAS 12'!BF7=0," ",'DATA DE LAS 12'!BF7)</f>
        <v>371</v>
      </c>
      <c r="AA7" s="404">
        <f>IF('DATA DE LAS 12'!BG7=0," ",'DATA DE LAS 12'!BG7)</f>
        <v>373</v>
      </c>
      <c r="AB7" s="404">
        <f>IF('DATA DE LAS 12'!BY7=0," ",'DATA DE LAS 12'!BY7)</f>
        <v>392</v>
      </c>
      <c r="AC7" s="401">
        <v>13</v>
      </c>
      <c r="AD7" s="401">
        <v>25</v>
      </c>
      <c r="AE7" s="401">
        <v>550</v>
      </c>
      <c r="AF7" s="401">
        <v>427</v>
      </c>
      <c r="AG7" s="404">
        <f>IF('DATA DE LAS 12'!W7=0," ",'DATA DE LAS 12'!W7)</f>
        <v>516</v>
      </c>
    </row>
    <row r="8" spans="1:84">
      <c r="A8" s="620">
        <f t="shared" ref="A8:A36" si="0">A7+1</f>
        <v>45080</v>
      </c>
      <c r="B8" s="406">
        <f>IF('DATA DE LAS 12'!C8=0," ",'DATA DE LAS 12'!C8)</f>
        <v>0.9375</v>
      </c>
      <c r="C8" s="398">
        <f>IF('DATA DE LAS 12'!E8=0," ",'DATA DE LAS 12'!E8)</f>
        <v>13.5</v>
      </c>
      <c r="D8" s="398" t="e">
        <f>IF('DATA DE LAS 12'!#REF!=0," ",'DATA DE LAS 12'!#REF!)</f>
        <v>#REF!</v>
      </c>
      <c r="E8" s="398">
        <f>IF('DATA DE LAS 12'!AM8=0," ",'DATA DE LAS 12'!AM8)</f>
        <v>7.2</v>
      </c>
      <c r="F8" s="398">
        <f>IF('DATA DE LAS 12'!AL8=0," ",'DATA DE LAS 12'!AL8)</f>
        <v>13.82</v>
      </c>
      <c r="G8" s="398">
        <f>IF('DATA DE LAS 12'!AQ8=0," ",'DATA DE LAS 12'!AQ8)</f>
        <v>637</v>
      </c>
      <c r="H8" s="398">
        <f>IF('DATA DE LAS 12'!Z8=0," ",'DATA DE LAS 12'!Z8)</f>
        <v>60</v>
      </c>
      <c r="I8" s="398">
        <f>IF('DATA DE LAS 12'!AN8=0," ",'DATA DE LAS 12'!AN8)</f>
        <v>4</v>
      </c>
      <c r="J8" s="398">
        <f>IF('DATA DE LAS 12'!F8=0," ",'DATA DE LAS 12'!F8)</f>
        <v>4.7</v>
      </c>
      <c r="K8" s="398">
        <f>IF('DATA DE LAS 12'!G8=0," ",'DATA DE LAS 12'!G8)</f>
        <v>1.9</v>
      </c>
      <c r="L8" s="398">
        <f>IF('DATA DE LAS 12'!H8=0," ",'DATA DE LAS 12'!H8)</f>
        <v>2</v>
      </c>
      <c r="M8" s="398">
        <f>IF('DATA DE LAS 12'!V8=0," ",'DATA DE LAS 12'!V8)</f>
        <v>7.68</v>
      </c>
      <c r="N8" s="398">
        <f>IF('DATA DE LAS 12'!X8=0," ",'DATA DE LAS 12'!X8)</f>
        <v>320</v>
      </c>
      <c r="O8" s="404">
        <f>IF('DATA DE LAS 12'!BB8=0," ",'DATA DE LAS 12'!BB8)</f>
        <v>58</v>
      </c>
      <c r="P8" s="400"/>
      <c r="Q8" s="400"/>
      <c r="R8" s="400"/>
      <c r="S8" s="400"/>
      <c r="T8" s="400"/>
      <c r="U8" s="400"/>
      <c r="V8" s="400"/>
      <c r="W8" s="400"/>
      <c r="X8" s="404">
        <f>IF('DATA DE LAS 12'!BD8=0," ",'DATA DE LAS 12'!BD8)</f>
        <v>326</v>
      </c>
      <c r="Y8" s="404">
        <f>IF('DATA DE LAS 12'!BE8=0," ",'DATA DE LAS 12'!BE8)</f>
        <v>312</v>
      </c>
      <c r="Z8" s="404">
        <f>IF('DATA DE LAS 12'!BF8=0," ",'DATA DE LAS 12'!BF8)</f>
        <v>371</v>
      </c>
      <c r="AA8" s="404">
        <f>IF('DATA DE LAS 12'!BG8=0," ",'DATA DE LAS 12'!BG8)</f>
        <v>373</v>
      </c>
      <c r="AB8" s="404">
        <f>IF('DATA DE LAS 12'!BY8=0," ",'DATA DE LAS 12'!BY8)</f>
        <v>396</v>
      </c>
      <c r="AC8" s="404">
        <v>13</v>
      </c>
      <c r="AD8" s="404">
        <v>25</v>
      </c>
      <c r="AE8" s="404">
        <v>550</v>
      </c>
      <c r="AF8" s="404">
        <v>427</v>
      </c>
      <c r="AG8" s="404">
        <f>IF('DATA DE LAS 12'!W8=0," ",'DATA DE LAS 12'!W8)</f>
        <v>515</v>
      </c>
    </row>
    <row r="9" spans="1:84">
      <c r="A9" s="620">
        <f t="shared" si="0"/>
        <v>45081</v>
      </c>
      <c r="B9" s="406">
        <f>IF('DATA DE LAS 12'!C9=0," ",'DATA DE LAS 12'!C9)</f>
        <v>1.4583333333333332E-2</v>
      </c>
      <c r="C9" s="398">
        <f>IF('DATA DE LAS 12'!E9=0," ",'DATA DE LAS 12'!E9)</f>
        <v>13.3</v>
      </c>
      <c r="D9" s="398" t="e">
        <f>IF('DATA DE LAS 12'!#REF!=0," ",'DATA DE LAS 12'!#REF!)</f>
        <v>#REF!</v>
      </c>
      <c r="E9" s="398">
        <f>IF('DATA DE LAS 12'!AM9=0," ",'DATA DE LAS 12'!AM9)</f>
        <v>7.1</v>
      </c>
      <c r="F9" s="398">
        <f>IF('DATA DE LAS 12'!AL9=0," ",'DATA DE LAS 12'!AL9)</f>
        <v>13.82</v>
      </c>
      <c r="G9" s="398">
        <f>IF('DATA DE LAS 12'!AQ9=0," ",'DATA DE LAS 12'!AQ9)</f>
        <v>628</v>
      </c>
      <c r="H9" s="398">
        <f>IF('DATA DE LAS 12'!Z9=0," ",'DATA DE LAS 12'!Z9)</f>
        <v>60</v>
      </c>
      <c r="I9" s="398">
        <f>IF('DATA DE LAS 12'!AN9=0," ",'DATA DE LAS 12'!AN9)</f>
        <v>4.2</v>
      </c>
      <c r="J9" s="398">
        <f>IF('DATA DE LAS 12'!F9=0," ",'DATA DE LAS 12'!F9)</f>
        <v>4.8</v>
      </c>
      <c r="K9" s="398">
        <f>IF('DATA DE LAS 12'!G9=0," ",'DATA DE LAS 12'!G9)</f>
        <v>1.8</v>
      </c>
      <c r="L9" s="398">
        <f>IF('DATA DE LAS 12'!H9=0," ",'DATA DE LAS 12'!H9)</f>
        <v>2</v>
      </c>
      <c r="M9" s="398">
        <f>IF('DATA DE LAS 12'!V9=0," ",'DATA DE LAS 12'!V9)</f>
        <v>7.59</v>
      </c>
      <c r="N9" s="398">
        <f>IF('DATA DE LAS 12'!X9=0," ",'DATA DE LAS 12'!X9)</f>
        <v>324</v>
      </c>
      <c r="O9" s="404">
        <f>IF('DATA DE LAS 12'!BB9=0," ",'DATA DE LAS 12'!BB9)</f>
        <v>59</v>
      </c>
      <c r="P9" s="400"/>
      <c r="Q9" s="400"/>
      <c r="R9" s="400"/>
      <c r="S9" s="400"/>
      <c r="T9" s="400"/>
      <c r="U9" s="400"/>
      <c r="V9" s="400"/>
      <c r="W9" s="400"/>
      <c r="X9" s="404">
        <f>IF('DATA DE LAS 12'!BD9=0," ",'DATA DE LAS 12'!BD9)</f>
        <v>330</v>
      </c>
      <c r="Y9" s="404">
        <f>IF('DATA DE LAS 12'!BE9=0," ",'DATA DE LAS 12'!BE9)</f>
        <v>317</v>
      </c>
      <c r="Z9" s="404">
        <f>IF('DATA DE LAS 12'!BF9=0," ",'DATA DE LAS 12'!BF9)</f>
        <v>375</v>
      </c>
      <c r="AA9" s="404">
        <f>IF('DATA DE LAS 12'!BG9=0," ",'DATA DE LAS 12'!BG9)</f>
        <v>377</v>
      </c>
      <c r="AB9" s="404">
        <f>IF('DATA DE LAS 12'!BY9=0," ",'DATA DE LAS 12'!BY9)</f>
        <v>402</v>
      </c>
      <c r="AC9" s="404">
        <v>13</v>
      </c>
      <c r="AD9" s="404">
        <v>25</v>
      </c>
      <c r="AE9" s="404">
        <v>550</v>
      </c>
      <c r="AF9" s="404">
        <v>427</v>
      </c>
      <c r="AG9" s="404">
        <f>IF('DATA DE LAS 12'!W9=0," ",'DATA DE LAS 12'!W9)</f>
        <v>517</v>
      </c>
      <c r="AH9" s="401"/>
      <c r="AI9" s="401"/>
      <c r="AJ9" s="401"/>
      <c r="AK9" s="401"/>
      <c r="AL9" s="401"/>
      <c r="AM9" s="401"/>
      <c r="AN9" s="401"/>
      <c r="AO9" s="401"/>
      <c r="AP9" s="401"/>
      <c r="AQ9" s="401"/>
      <c r="AR9" s="401"/>
      <c r="AS9" s="401"/>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W9" s="401"/>
      <c r="BX9" s="401"/>
      <c r="BY9" s="401"/>
      <c r="BZ9" s="401"/>
      <c r="CA9" s="401"/>
      <c r="CB9" s="401"/>
      <c r="CC9" s="401"/>
      <c r="CD9" s="401"/>
      <c r="CE9" s="401"/>
      <c r="CF9" s="401"/>
    </row>
    <row r="10" spans="1:84">
      <c r="A10" s="620">
        <f t="shared" si="0"/>
        <v>45082</v>
      </c>
      <c r="B10" s="406">
        <f>IF('DATA DE LAS 12'!C10=0," ",'DATA DE LAS 12'!C10)</f>
        <v>6.9444444444444447E-4</v>
      </c>
      <c r="C10" s="398" t="str">
        <f>IF('DATA DE LAS 12'!E10=0," ",'DATA DE LAS 12'!E10)</f>
        <v xml:space="preserve"> </v>
      </c>
      <c r="D10" s="398" t="e">
        <f>IF('DATA DE LAS 12'!#REF!=0," ",'DATA DE LAS 12'!#REF!)</f>
        <v>#REF!</v>
      </c>
      <c r="E10" s="398" t="str">
        <f>IF('DATA DE LAS 12'!AM10=0," ",'DATA DE LAS 12'!AM10)</f>
        <v xml:space="preserve"> </v>
      </c>
      <c r="F10" s="398" t="str">
        <f>IF('DATA DE LAS 12'!AL10=0," ",'DATA DE LAS 12'!AL10)</f>
        <v xml:space="preserve"> </v>
      </c>
      <c r="G10" s="398" t="str">
        <f>IF('DATA DE LAS 12'!AQ10=0," ",'DATA DE LAS 12'!AQ10)</f>
        <v xml:space="preserve"> </v>
      </c>
      <c r="H10" s="398" t="str">
        <f>IF('DATA DE LAS 12'!Z10=0," ",'DATA DE LAS 12'!Z10)</f>
        <v xml:space="preserve"> </v>
      </c>
      <c r="I10" s="398" t="str">
        <f>IF('DATA DE LAS 12'!AN10=0," ",'DATA DE LAS 12'!AN10)</f>
        <v xml:space="preserve"> </v>
      </c>
      <c r="J10" s="398" t="str">
        <f>IF('DATA DE LAS 12'!F10=0," ",'DATA DE LAS 12'!F10)</f>
        <v xml:space="preserve"> </v>
      </c>
      <c r="K10" s="398" t="str">
        <f>IF('DATA DE LAS 12'!G10=0," ",'DATA DE LAS 12'!G10)</f>
        <v xml:space="preserve"> </v>
      </c>
      <c r="L10" s="398" t="str">
        <f>IF('DATA DE LAS 12'!H10=0," ",'DATA DE LAS 12'!H10)</f>
        <v xml:space="preserve"> </v>
      </c>
      <c r="M10" s="398" t="str">
        <f>IF('DATA DE LAS 12'!V10=0," ",'DATA DE LAS 12'!V10)</f>
        <v xml:space="preserve"> </v>
      </c>
      <c r="N10" s="398" t="str">
        <f>IF('DATA DE LAS 12'!X10=0," ",'DATA DE LAS 12'!X10)</f>
        <v xml:space="preserve"> </v>
      </c>
      <c r="O10" s="404" t="str">
        <f>IF('DATA DE LAS 12'!BB10=0," ",'DATA DE LAS 12'!BB10)</f>
        <v xml:space="preserve"> </v>
      </c>
      <c r="P10" s="400"/>
      <c r="Q10" s="400"/>
      <c r="R10" s="400"/>
      <c r="S10" s="400"/>
      <c r="T10" s="400"/>
      <c r="U10" s="400"/>
      <c r="V10" s="400"/>
      <c r="W10" s="400"/>
      <c r="X10" s="404" t="str">
        <f>IF('DATA DE LAS 12'!BD10=0," ",'DATA DE LAS 12'!BD10)</f>
        <v xml:space="preserve"> </v>
      </c>
      <c r="Y10" s="404" t="str">
        <f>IF('DATA DE LAS 12'!BE10=0," ",'DATA DE LAS 12'!BE10)</f>
        <v xml:space="preserve"> </v>
      </c>
      <c r="Z10" s="404" t="str">
        <f>IF('DATA DE LAS 12'!BF10=0," ",'DATA DE LAS 12'!BF10)</f>
        <v xml:space="preserve"> </v>
      </c>
      <c r="AA10" s="404" t="str">
        <f>IF('DATA DE LAS 12'!BG10=0," ",'DATA DE LAS 12'!BG10)</f>
        <v xml:space="preserve"> </v>
      </c>
      <c r="AB10" s="404" t="str">
        <f>IF('DATA DE LAS 12'!BY10=0," ",'DATA DE LAS 12'!BY10)</f>
        <v xml:space="preserve"> </v>
      </c>
      <c r="AC10" s="404">
        <v>13</v>
      </c>
      <c r="AD10" s="404">
        <v>25</v>
      </c>
      <c r="AE10" s="404">
        <v>550</v>
      </c>
      <c r="AF10" s="404">
        <v>427</v>
      </c>
      <c r="AG10" s="404" t="str">
        <f>IF('DATA DE LAS 12'!W10=0," ",'DATA DE LAS 12'!W10)</f>
        <v xml:space="preserve"> </v>
      </c>
      <c r="AH10" s="401"/>
      <c r="AI10" s="401"/>
      <c r="AJ10" s="401"/>
      <c r="AK10" s="401"/>
      <c r="AL10" s="401"/>
      <c r="AM10" s="401"/>
      <c r="AN10" s="401"/>
      <c r="AO10" s="401"/>
      <c r="AP10" s="401"/>
      <c r="AQ10" s="401"/>
      <c r="AR10" s="401"/>
      <c r="AS10" s="401"/>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c r="BW10" s="401"/>
      <c r="BX10" s="401"/>
      <c r="BY10" s="401"/>
      <c r="BZ10" s="401"/>
      <c r="CA10" s="401"/>
      <c r="CB10" s="401"/>
      <c r="CC10" s="401"/>
      <c r="CD10" s="401"/>
      <c r="CE10" s="401"/>
      <c r="CF10" s="401"/>
    </row>
    <row r="11" spans="1:84">
      <c r="A11" s="620">
        <f t="shared" si="0"/>
        <v>45083</v>
      </c>
      <c r="B11" s="406">
        <f>IF('DATA DE LAS 12'!C11=0," ",'DATA DE LAS 12'!C11)</f>
        <v>0.88680555555555562</v>
      </c>
      <c r="C11" s="398" t="str">
        <f>IF('DATA DE LAS 12'!E11=0," ",'DATA DE LAS 12'!E11)</f>
        <v xml:space="preserve"> </v>
      </c>
      <c r="D11" s="398" t="e">
        <f>IF('DATA DE LAS 12'!#REF!=0," ",'DATA DE LAS 12'!#REF!)</f>
        <v>#REF!</v>
      </c>
      <c r="E11" s="398" t="str">
        <f>IF('DATA DE LAS 12'!AM11=0," ",'DATA DE LAS 12'!AM11)</f>
        <v xml:space="preserve"> </v>
      </c>
      <c r="F11" s="398" t="str">
        <f>IF('DATA DE LAS 12'!AL11=0," ",'DATA DE LAS 12'!AL11)</f>
        <v xml:space="preserve"> </v>
      </c>
      <c r="G11" s="398" t="str">
        <f>IF('DATA DE LAS 12'!AQ11=0," ",'DATA DE LAS 12'!AQ11)</f>
        <v xml:space="preserve"> </v>
      </c>
      <c r="H11" s="398" t="str">
        <f>IF('DATA DE LAS 12'!Z11=0," ",'DATA DE LAS 12'!Z11)</f>
        <v xml:space="preserve"> </v>
      </c>
      <c r="I11" s="398" t="str">
        <f>IF('DATA DE LAS 12'!AN11=0," ",'DATA DE LAS 12'!AN11)</f>
        <v xml:space="preserve"> </v>
      </c>
      <c r="J11" s="398" t="str">
        <f>IF('DATA DE LAS 12'!F11=0," ",'DATA DE LAS 12'!F11)</f>
        <v xml:space="preserve"> </v>
      </c>
      <c r="K11" s="398" t="str">
        <f>IF('DATA DE LAS 12'!G11=0," ",'DATA DE LAS 12'!G11)</f>
        <v xml:space="preserve"> </v>
      </c>
      <c r="L11" s="398" t="str">
        <f>IF('DATA DE LAS 12'!H11=0," ",'DATA DE LAS 12'!H11)</f>
        <v xml:space="preserve"> </v>
      </c>
      <c r="M11" s="398" t="str">
        <f>IF('DATA DE LAS 12'!V11=0," ",'DATA DE LAS 12'!V11)</f>
        <v xml:space="preserve"> </v>
      </c>
      <c r="N11" s="398" t="str">
        <f>IF('DATA DE LAS 12'!X11=0," ",'DATA DE LAS 12'!X11)</f>
        <v xml:space="preserve"> </v>
      </c>
      <c r="O11" s="404" t="str">
        <f>IF('DATA DE LAS 12'!BB11=0," ",'DATA DE LAS 12'!BB11)</f>
        <v xml:space="preserve"> </v>
      </c>
      <c r="P11" s="400"/>
      <c r="Q11" s="400"/>
      <c r="R11" s="400"/>
      <c r="S11" s="400"/>
      <c r="T11" s="400"/>
      <c r="U11" s="400"/>
      <c r="V11" s="400"/>
      <c r="W11" s="400"/>
      <c r="X11" s="404" t="str">
        <f>IF('DATA DE LAS 12'!BD11=0," ",'DATA DE LAS 12'!BD11)</f>
        <v xml:space="preserve"> </v>
      </c>
      <c r="Y11" s="404" t="str">
        <f>IF('DATA DE LAS 12'!BE11=0," ",'DATA DE LAS 12'!BE11)</f>
        <v xml:space="preserve"> </v>
      </c>
      <c r="Z11" s="404" t="str">
        <f>IF('DATA DE LAS 12'!BF11=0," ",'DATA DE LAS 12'!BF11)</f>
        <v xml:space="preserve"> </v>
      </c>
      <c r="AA11" s="404" t="str">
        <f>IF('DATA DE LAS 12'!BG11=0," ",'DATA DE LAS 12'!BG11)</f>
        <v xml:space="preserve"> </v>
      </c>
      <c r="AB11" s="404" t="str">
        <f>IF('DATA DE LAS 12'!BY11=0," ",'DATA DE LAS 12'!BY11)</f>
        <v xml:space="preserve"> </v>
      </c>
      <c r="AC11" s="404">
        <v>13</v>
      </c>
      <c r="AD11" s="404">
        <v>25</v>
      </c>
      <c r="AE11" s="404">
        <v>550</v>
      </c>
      <c r="AF11" s="404">
        <v>427</v>
      </c>
      <c r="AG11" s="404" t="str">
        <f>IF('DATA DE LAS 12'!W11=0," ",'DATA DE LAS 12'!W11)</f>
        <v xml:space="preserve"> </v>
      </c>
      <c r="AH11" s="401"/>
      <c r="AI11" s="401"/>
      <c r="AJ11" s="401"/>
      <c r="AK11" s="401"/>
      <c r="AL11" s="401"/>
      <c r="AM11" s="401"/>
      <c r="AN11" s="401"/>
      <c r="AO11" s="401"/>
      <c r="AP11" s="401"/>
      <c r="AQ11" s="401"/>
      <c r="AR11" s="401"/>
      <c r="AS11" s="401"/>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c r="BW11" s="401"/>
      <c r="BX11" s="401"/>
      <c r="BY11" s="401"/>
      <c r="BZ11" s="401"/>
      <c r="CA11" s="401"/>
      <c r="CB11" s="401"/>
      <c r="CC11" s="401"/>
      <c r="CD11" s="401"/>
      <c r="CE11" s="401"/>
      <c r="CF11" s="401"/>
    </row>
    <row r="12" spans="1:84">
      <c r="A12" s="620">
        <f t="shared" si="0"/>
        <v>45084</v>
      </c>
      <c r="B12" s="406">
        <f>IF('DATA DE LAS 12'!C12=0," ",'DATA DE LAS 12'!C12)</f>
        <v>0.93125000000000002</v>
      </c>
      <c r="C12" s="398" t="str">
        <f>IF('DATA DE LAS 12'!E12=0," ",'DATA DE LAS 12'!E12)</f>
        <v xml:space="preserve"> </v>
      </c>
      <c r="D12" s="398" t="e">
        <f>IF('DATA DE LAS 12'!#REF!=0," ",'DATA DE LAS 12'!#REF!)</f>
        <v>#REF!</v>
      </c>
      <c r="E12" s="398" t="str">
        <f>IF('DATA DE LAS 12'!AM12=0," ",'DATA DE LAS 12'!AM12)</f>
        <v xml:space="preserve"> </v>
      </c>
      <c r="F12" s="398" t="str">
        <f>IF('DATA DE LAS 12'!AL12=0," ",'DATA DE LAS 12'!AL12)</f>
        <v xml:space="preserve"> </v>
      </c>
      <c r="G12" s="398" t="str">
        <f>IF('DATA DE LAS 12'!AQ12=0," ",'DATA DE LAS 12'!AQ12)</f>
        <v xml:space="preserve"> </v>
      </c>
      <c r="H12" s="398" t="str">
        <f>IF('DATA DE LAS 12'!Z12=0," ",'DATA DE LAS 12'!Z12)</f>
        <v xml:space="preserve"> </v>
      </c>
      <c r="I12" s="398" t="str">
        <f>IF('DATA DE LAS 12'!AN12=0," ",'DATA DE LAS 12'!AN12)</f>
        <v xml:space="preserve"> </v>
      </c>
      <c r="J12" s="398" t="str">
        <f>IF('DATA DE LAS 12'!F12=0," ",'DATA DE LAS 12'!F12)</f>
        <v xml:space="preserve"> </v>
      </c>
      <c r="K12" s="398" t="str">
        <f>IF('DATA DE LAS 12'!G12=0," ",'DATA DE LAS 12'!G12)</f>
        <v xml:space="preserve"> </v>
      </c>
      <c r="L12" s="398" t="str">
        <f>IF('DATA DE LAS 12'!H12=0," ",'DATA DE LAS 12'!H12)</f>
        <v xml:space="preserve"> </v>
      </c>
      <c r="M12" s="398" t="str">
        <f>IF('DATA DE LAS 12'!V12=0," ",'DATA DE LAS 12'!V12)</f>
        <v xml:space="preserve"> </v>
      </c>
      <c r="N12" s="398" t="str">
        <f>IF('DATA DE LAS 12'!X12=0," ",'DATA DE LAS 12'!X12)</f>
        <v xml:space="preserve"> </v>
      </c>
      <c r="O12" s="404" t="str">
        <f>IF('DATA DE LAS 12'!BB12=0," ",'DATA DE LAS 12'!BB12)</f>
        <v xml:space="preserve"> </v>
      </c>
      <c r="P12" s="400"/>
      <c r="Q12" s="400"/>
      <c r="R12" s="400"/>
      <c r="S12" s="400"/>
      <c r="T12" s="400"/>
      <c r="U12" s="400"/>
      <c r="V12" s="400"/>
      <c r="W12" s="400"/>
      <c r="X12" s="404" t="str">
        <f>IF('DATA DE LAS 12'!BD12=0," ",'DATA DE LAS 12'!BD12)</f>
        <v xml:space="preserve"> </v>
      </c>
      <c r="Y12" s="404" t="str">
        <f>IF('DATA DE LAS 12'!BE12=0," ",'DATA DE LAS 12'!BE12)</f>
        <v xml:space="preserve"> </v>
      </c>
      <c r="Z12" s="404" t="str">
        <f>IF('DATA DE LAS 12'!BF12=0," ",'DATA DE LAS 12'!BF12)</f>
        <v xml:space="preserve"> </v>
      </c>
      <c r="AA12" s="404" t="str">
        <f>IF('DATA DE LAS 12'!BG12=0," ",'DATA DE LAS 12'!BG12)</f>
        <v xml:space="preserve"> </v>
      </c>
      <c r="AB12" s="404" t="str">
        <f>IF('DATA DE LAS 12'!BY12=0," ",'DATA DE LAS 12'!BY12)</f>
        <v xml:space="preserve"> </v>
      </c>
      <c r="AC12" s="404">
        <v>13</v>
      </c>
      <c r="AD12" s="404">
        <v>25</v>
      </c>
      <c r="AE12" s="404">
        <v>550</v>
      </c>
      <c r="AF12" s="404">
        <v>427</v>
      </c>
      <c r="AG12" s="404" t="str">
        <f>IF('DATA DE LAS 12'!W12=0," ",'DATA DE LAS 12'!W12)</f>
        <v xml:space="preserve"> </v>
      </c>
      <c r="AH12" s="401"/>
      <c r="AI12" s="401"/>
      <c r="AJ12" s="401"/>
      <c r="AK12" s="401"/>
      <c r="AL12" s="401"/>
      <c r="AM12" s="401"/>
      <c r="AN12" s="401"/>
      <c r="AO12" s="401"/>
      <c r="AP12" s="401"/>
      <c r="AQ12" s="401"/>
      <c r="AR12" s="401"/>
      <c r="AS12" s="401"/>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c r="BW12" s="401"/>
      <c r="BX12" s="401"/>
      <c r="BY12" s="401"/>
      <c r="BZ12" s="401"/>
      <c r="CA12" s="401"/>
      <c r="CB12" s="401"/>
      <c r="CC12" s="401"/>
      <c r="CD12" s="401"/>
      <c r="CE12" s="401"/>
      <c r="CF12" s="401"/>
    </row>
    <row r="13" spans="1:84">
      <c r="A13" s="620">
        <f t="shared" si="0"/>
        <v>45085</v>
      </c>
      <c r="B13" s="406">
        <f>IF('DATA DE LAS 12'!C13=0," ",'DATA DE LAS 12'!C13)</f>
        <v>0.12013888888888889</v>
      </c>
      <c r="C13" s="398" t="str">
        <f>IF('DATA DE LAS 12'!E13=0," ",'DATA DE LAS 12'!E13)</f>
        <v xml:space="preserve"> </v>
      </c>
      <c r="D13" s="398" t="e">
        <f>IF('DATA DE LAS 12'!#REF!=0," ",'DATA DE LAS 12'!#REF!)</f>
        <v>#REF!</v>
      </c>
      <c r="E13" s="398" t="str">
        <f>IF('DATA DE LAS 12'!AM13=0," ",'DATA DE LAS 12'!AM13)</f>
        <v xml:space="preserve"> </v>
      </c>
      <c r="F13" s="398" t="str">
        <f>IF('DATA DE LAS 12'!AL13=0," ",'DATA DE LAS 12'!AL13)</f>
        <v xml:space="preserve"> </v>
      </c>
      <c r="G13" s="398" t="str">
        <f>IF('DATA DE LAS 12'!AQ13=0," ",'DATA DE LAS 12'!AQ13)</f>
        <v xml:space="preserve"> </v>
      </c>
      <c r="H13" s="398" t="str">
        <f>IF('DATA DE LAS 12'!Z13=0," ",'DATA DE LAS 12'!Z13)</f>
        <v xml:space="preserve"> </v>
      </c>
      <c r="I13" s="398" t="str">
        <f>IF('DATA DE LAS 12'!AN13=0," ",'DATA DE LAS 12'!AN13)</f>
        <v xml:space="preserve"> </v>
      </c>
      <c r="J13" s="398" t="str">
        <f>IF('DATA DE LAS 12'!F13=0," ",'DATA DE LAS 12'!F13)</f>
        <v xml:space="preserve"> </v>
      </c>
      <c r="K13" s="398" t="str">
        <f>IF('DATA DE LAS 12'!G13=0," ",'DATA DE LAS 12'!G13)</f>
        <v xml:space="preserve"> </v>
      </c>
      <c r="L13" s="398" t="str">
        <f>IF('DATA DE LAS 12'!H13=0," ",'DATA DE LAS 12'!H13)</f>
        <v xml:space="preserve"> </v>
      </c>
      <c r="M13" s="398" t="str">
        <f>IF('DATA DE LAS 12'!V13=0," ",'DATA DE LAS 12'!V13)</f>
        <v xml:space="preserve"> </v>
      </c>
      <c r="N13" s="398" t="str">
        <f>IF('DATA DE LAS 12'!X13=0," ",'DATA DE LAS 12'!X13)</f>
        <v xml:space="preserve"> </v>
      </c>
      <c r="O13" s="404" t="str">
        <f>IF('DATA DE LAS 12'!BB13=0," ",'DATA DE LAS 12'!BB13)</f>
        <v xml:space="preserve"> </v>
      </c>
      <c r="P13" s="400"/>
      <c r="Q13" s="400"/>
      <c r="R13" s="400"/>
      <c r="S13" s="400"/>
      <c r="T13" s="400"/>
      <c r="U13" s="400"/>
      <c r="V13" s="400"/>
      <c r="W13" s="400"/>
      <c r="X13" s="404" t="str">
        <f>IF('DATA DE LAS 12'!BD13=0," ",'DATA DE LAS 12'!BD13)</f>
        <v xml:space="preserve"> </v>
      </c>
      <c r="Y13" s="404" t="str">
        <f>IF('DATA DE LAS 12'!BE13=0," ",'DATA DE LAS 12'!BE13)</f>
        <v xml:space="preserve"> </v>
      </c>
      <c r="Z13" s="404" t="str">
        <f>IF('DATA DE LAS 12'!BF13=0," ",'DATA DE LAS 12'!BF13)</f>
        <v xml:space="preserve"> </v>
      </c>
      <c r="AA13" s="404" t="str">
        <f>IF('DATA DE LAS 12'!BG13=0," ",'DATA DE LAS 12'!BG13)</f>
        <v xml:space="preserve"> </v>
      </c>
      <c r="AB13" s="404" t="str">
        <f>IF('DATA DE LAS 12'!BY13=0," ",'DATA DE LAS 12'!BY13)</f>
        <v xml:space="preserve"> </v>
      </c>
      <c r="AC13" s="404">
        <v>13</v>
      </c>
      <c r="AD13" s="404">
        <v>25</v>
      </c>
      <c r="AE13" s="404">
        <v>550</v>
      </c>
      <c r="AF13" s="404">
        <v>427</v>
      </c>
      <c r="AG13" s="404" t="str">
        <f>IF('DATA DE LAS 12'!W13=0," ",'DATA DE LAS 12'!W13)</f>
        <v xml:space="preserve"> </v>
      </c>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c r="BW13" s="401"/>
      <c r="BX13" s="401"/>
      <c r="BY13" s="401"/>
      <c r="BZ13" s="401"/>
      <c r="CA13" s="401"/>
      <c r="CB13" s="401"/>
      <c r="CC13" s="401"/>
      <c r="CD13" s="401"/>
      <c r="CE13" s="401"/>
      <c r="CF13" s="401"/>
    </row>
    <row r="14" spans="1:84">
      <c r="A14" s="620">
        <f t="shared" si="0"/>
        <v>45086</v>
      </c>
      <c r="B14" s="406">
        <f>IF('DATA DE LAS 12'!C14=0," ",'DATA DE LAS 12'!C14)</f>
        <v>0.92847222222222225</v>
      </c>
      <c r="C14" s="398" t="str">
        <f>IF('DATA DE LAS 12'!E14=0," ",'DATA DE LAS 12'!E14)</f>
        <v xml:space="preserve"> </v>
      </c>
      <c r="D14" s="398" t="e">
        <f>IF('DATA DE LAS 12'!#REF!=0," ",'DATA DE LAS 12'!#REF!)</f>
        <v>#REF!</v>
      </c>
      <c r="E14" s="398" t="str">
        <f>IF('DATA DE LAS 12'!AM14=0," ",'DATA DE LAS 12'!AM14)</f>
        <v xml:space="preserve"> </v>
      </c>
      <c r="F14" s="398" t="str">
        <f>IF('DATA DE LAS 12'!AL14=0," ",'DATA DE LAS 12'!AL14)</f>
        <v xml:space="preserve"> </v>
      </c>
      <c r="G14" s="398" t="str">
        <f>IF('DATA DE LAS 12'!AQ14=0," ",'DATA DE LAS 12'!AQ14)</f>
        <v xml:space="preserve"> </v>
      </c>
      <c r="H14" s="398" t="str">
        <f>IF('DATA DE LAS 12'!Z14=0," ",'DATA DE LAS 12'!Z14)</f>
        <v xml:space="preserve"> </v>
      </c>
      <c r="I14" s="398" t="str">
        <f>IF('DATA DE LAS 12'!AN14=0," ",'DATA DE LAS 12'!AN14)</f>
        <v xml:space="preserve"> </v>
      </c>
      <c r="J14" s="398" t="str">
        <f>IF('DATA DE LAS 12'!F14=0," ",'DATA DE LAS 12'!F14)</f>
        <v xml:space="preserve"> </v>
      </c>
      <c r="K14" s="398" t="str">
        <f>IF('DATA DE LAS 12'!G14=0," ",'DATA DE LAS 12'!G14)</f>
        <v xml:space="preserve"> </v>
      </c>
      <c r="L14" s="398" t="str">
        <f>IF('DATA DE LAS 12'!H14=0," ",'DATA DE LAS 12'!H14)</f>
        <v xml:space="preserve"> </v>
      </c>
      <c r="M14" s="398" t="str">
        <f>IF('DATA DE LAS 12'!V14=0," ",'DATA DE LAS 12'!V14)</f>
        <v xml:space="preserve"> </v>
      </c>
      <c r="N14" s="398" t="str">
        <f>IF('DATA DE LAS 12'!X14=0," ",'DATA DE LAS 12'!X14)</f>
        <v xml:space="preserve"> </v>
      </c>
      <c r="O14" s="404" t="str">
        <f>IF('DATA DE LAS 12'!BB14=0," ",'DATA DE LAS 12'!BB14)</f>
        <v xml:space="preserve"> </v>
      </c>
      <c r="P14" s="400"/>
      <c r="Q14" s="400"/>
      <c r="R14" s="400"/>
      <c r="S14" s="400"/>
      <c r="T14" s="400"/>
      <c r="U14" s="400"/>
      <c r="V14" s="400"/>
      <c r="W14" s="400"/>
      <c r="X14" s="404" t="str">
        <f>IF('DATA DE LAS 12'!BD14=0," ",'DATA DE LAS 12'!BD14)</f>
        <v xml:space="preserve"> </v>
      </c>
      <c r="Y14" s="404" t="str">
        <f>IF('DATA DE LAS 12'!BE14=0," ",'DATA DE LAS 12'!BE14)</f>
        <v xml:space="preserve"> </v>
      </c>
      <c r="Z14" s="404" t="str">
        <f>IF('DATA DE LAS 12'!BF14=0," ",'DATA DE LAS 12'!BF14)</f>
        <v xml:space="preserve"> </v>
      </c>
      <c r="AA14" s="404" t="str">
        <f>IF('DATA DE LAS 12'!BG14=0," ",'DATA DE LAS 12'!BG14)</f>
        <v xml:space="preserve"> </v>
      </c>
      <c r="AB14" s="404" t="str">
        <f>IF('DATA DE LAS 12'!BY14=0," ",'DATA DE LAS 12'!BY14)</f>
        <v xml:space="preserve"> </v>
      </c>
      <c r="AC14" s="404">
        <v>13</v>
      </c>
      <c r="AD14" s="404">
        <v>25</v>
      </c>
      <c r="AE14" s="404">
        <v>550</v>
      </c>
      <c r="AF14" s="404">
        <v>427</v>
      </c>
      <c r="AG14" s="404" t="str">
        <f>IF('DATA DE LAS 12'!W14=0," ",'DATA DE LAS 12'!W14)</f>
        <v xml:space="preserve"> </v>
      </c>
      <c r="AH14" s="401"/>
      <c r="AI14" s="401"/>
      <c r="AJ14" s="401"/>
      <c r="AK14" s="401"/>
      <c r="AL14" s="401"/>
      <c r="AM14" s="401"/>
      <c r="AN14" s="401"/>
      <c r="AO14" s="401"/>
      <c r="AP14" s="401"/>
      <c r="AQ14" s="401"/>
      <c r="AR14" s="401"/>
      <c r="AS14" s="401"/>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c r="BW14" s="401"/>
      <c r="BX14" s="401"/>
      <c r="BY14" s="401"/>
      <c r="BZ14" s="401"/>
      <c r="CA14" s="401"/>
      <c r="CB14" s="401"/>
      <c r="CC14" s="401"/>
      <c r="CD14" s="401"/>
      <c r="CE14" s="401"/>
      <c r="CF14" s="401"/>
    </row>
    <row r="15" spans="1:84">
      <c r="A15" s="620">
        <f t="shared" si="0"/>
        <v>45087</v>
      </c>
      <c r="B15" s="406">
        <f>IF('DATA DE LAS 12'!C15=0," ",'DATA DE LAS 12'!C15)</f>
        <v>0.9902777777777777</v>
      </c>
      <c r="C15" s="398" t="str">
        <f>IF('DATA DE LAS 12'!E15=0," ",'DATA DE LAS 12'!E15)</f>
        <v xml:space="preserve"> </v>
      </c>
      <c r="D15" s="398" t="e">
        <f>IF('DATA DE LAS 12'!#REF!=0," ",'DATA DE LAS 12'!#REF!)</f>
        <v>#REF!</v>
      </c>
      <c r="E15" s="398" t="str">
        <f>IF('DATA DE LAS 12'!AM15=0," ",'DATA DE LAS 12'!AM15)</f>
        <v xml:space="preserve"> </v>
      </c>
      <c r="F15" s="398" t="str">
        <f>IF('DATA DE LAS 12'!AL15=0," ",'DATA DE LAS 12'!AL15)</f>
        <v xml:space="preserve"> </v>
      </c>
      <c r="G15" s="398" t="str">
        <f>IF('DATA DE LAS 12'!AQ15=0," ",'DATA DE LAS 12'!AQ15)</f>
        <v xml:space="preserve"> </v>
      </c>
      <c r="H15" s="398" t="str">
        <f>IF('DATA DE LAS 12'!Z15=0," ",'DATA DE LAS 12'!Z15)</f>
        <v xml:space="preserve"> </v>
      </c>
      <c r="I15" s="398" t="str">
        <f>IF('DATA DE LAS 12'!AN15=0," ",'DATA DE LAS 12'!AN15)</f>
        <v xml:space="preserve"> </v>
      </c>
      <c r="J15" s="398" t="str">
        <f>IF('DATA DE LAS 12'!F15=0," ",'DATA DE LAS 12'!F15)</f>
        <v xml:space="preserve"> </v>
      </c>
      <c r="K15" s="398" t="str">
        <f>IF('DATA DE LAS 12'!G15=0," ",'DATA DE LAS 12'!G15)</f>
        <v xml:space="preserve"> </v>
      </c>
      <c r="L15" s="398" t="str">
        <f>IF('DATA DE LAS 12'!H15=0," ",'DATA DE LAS 12'!H15)</f>
        <v xml:space="preserve"> </v>
      </c>
      <c r="M15" s="398" t="str">
        <f>IF('DATA DE LAS 12'!V15=0," ",'DATA DE LAS 12'!V15)</f>
        <v xml:space="preserve"> </v>
      </c>
      <c r="N15" s="398" t="str">
        <f>IF('DATA DE LAS 12'!X15=0," ",'DATA DE LAS 12'!X15)</f>
        <v xml:space="preserve"> </v>
      </c>
      <c r="O15" s="404" t="str">
        <f>IF('DATA DE LAS 12'!BB15=0," ",'DATA DE LAS 12'!BB15)</f>
        <v xml:space="preserve"> </v>
      </c>
      <c r="P15" s="400"/>
      <c r="Q15" s="400"/>
      <c r="R15" s="400"/>
      <c r="S15" s="400"/>
      <c r="T15" s="400"/>
      <c r="U15" s="400"/>
      <c r="V15" s="400"/>
      <c r="W15" s="400"/>
      <c r="X15" s="404" t="str">
        <f>IF('DATA DE LAS 12'!BD15=0," ",'DATA DE LAS 12'!BD15)</f>
        <v xml:space="preserve"> </v>
      </c>
      <c r="Y15" s="404" t="str">
        <f>IF('DATA DE LAS 12'!BE15=0," ",'DATA DE LAS 12'!BE15)</f>
        <v xml:space="preserve"> </v>
      </c>
      <c r="Z15" s="404" t="str">
        <f>IF('DATA DE LAS 12'!BF15=0," ",'DATA DE LAS 12'!BF15)</f>
        <v xml:space="preserve"> </v>
      </c>
      <c r="AA15" s="404" t="str">
        <f>IF('DATA DE LAS 12'!BG15=0," ",'DATA DE LAS 12'!BG15)</f>
        <v xml:space="preserve"> </v>
      </c>
      <c r="AB15" s="404" t="str">
        <f>IF('DATA DE LAS 12'!BY15=0," ",'DATA DE LAS 12'!BY15)</f>
        <v xml:space="preserve"> </v>
      </c>
      <c r="AC15" s="404">
        <v>13</v>
      </c>
      <c r="AD15" s="404">
        <v>25</v>
      </c>
      <c r="AE15" s="404">
        <v>550</v>
      </c>
      <c r="AF15" s="404">
        <v>427</v>
      </c>
      <c r="AG15" s="404" t="str">
        <f>IF('DATA DE LAS 12'!W15=0," ",'DATA DE LAS 12'!W15)</f>
        <v xml:space="preserve"> </v>
      </c>
      <c r="AH15" s="401"/>
      <c r="AI15" s="401"/>
      <c r="AJ15" s="401"/>
      <c r="AK15" s="401"/>
      <c r="AL15" s="401"/>
      <c r="AM15" s="401"/>
      <c r="AN15" s="401"/>
      <c r="AO15" s="401"/>
      <c r="AP15" s="401"/>
      <c r="AQ15" s="401"/>
      <c r="AR15" s="401"/>
      <c r="AS15" s="401"/>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c r="BW15" s="401"/>
      <c r="BX15" s="401"/>
      <c r="BY15" s="401"/>
      <c r="BZ15" s="401"/>
      <c r="CA15" s="401"/>
      <c r="CB15" s="401"/>
      <c r="CC15" s="401"/>
      <c r="CD15" s="401"/>
      <c r="CE15" s="401"/>
      <c r="CF15" s="401"/>
    </row>
    <row r="16" spans="1:84">
      <c r="A16" s="620">
        <f t="shared" si="0"/>
        <v>45088</v>
      </c>
      <c r="B16" s="406">
        <f>IF('DATA DE LAS 12'!C16=0," ",'DATA DE LAS 12'!C16)</f>
        <v>0.96388888888888891</v>
      </c>
      <c r="C16" s="398" t="str">
        <f>IF('DATA DE LAS 12'!E16=0," ",'DATA DE LAS 12'!E16)</f>
        <v xml:space="preserve"> </v>
      </c>
      <c r="D16" s="398" t="e">
        <f>IF('DATA DE LAS 12'!#REF!=0," ",'DATA DE LAS 12'!#REF!)</f>
        <v>#REF!</v>
      </c>
      <c r="E16" s="398" t="str">
        <f>IF('DATA DE LAS 12'!AM16=0," ",'DATA DE LAS 12'!AM16)</f>
        <v xml:space="preserve"> </v>
      </c>
      <c r="F16" s="398" t="str">
        <f>IF('DATA DE LAS 12'!AL16=0," ",'DATA DE LAS 12'!AL16)</f>
        <v xml:space="preserve"> </v>
      </c>
      <c r="G16" s="398" t="str">
        <f>IF('DATA DE LAS 12'!AQ16=0," ",'DATA DE LAS 12'!AQ16)</f>
        <v xml:space="preserve"> </v>
      </c>
      <c r="H16" s="398" t="str">
        <f>IF('DATA DE LAS 12'!Z16=0," ",'DATA DE LAS 12'!Z16)</f>
        <v xml:space="preserve"> </v>
      </c>
      <c r="I16" s="398" t="str">
        <f>IF('DATA DE LAS 12'!AN16=0," ",'DATA DE LAS 12'!AN16)</f>
        <v xml:space="preserve"> </v>
      </c>
      <c r="J16" s="398" t="str">
        <f>IF('DATA DE LAS 12'!F16=0," ",'DATA DE LAS 12'!F16)</f>
        <v xml:space="preserve"> </v>
      </c>
      <c r="K16" s="398" t="str">
        <f>IF('DATA DE LAS 12'!G16=0," ",'DATA DE LAS 12'!G16)</f>
        <v xml:space="preserve"> </v>
      </c>
      <c r="L16" s="398" t="str">
        <f>IF('DATA DE LAS 12'!H16=0," ",'DATA DE LAS 12'!H16)</f>
        <v xml:space="preserve"> </v>
      </c>
      <c r="M16" s="398" t="str">
        <f>IF('DATA DE LAS 12'!V16=0," ",'DATA DE LAS 12'!V16)</f>
        <v xml:space="preserve"> </v>
      </c>
      <c r="N16" s="398" t="str">
        <f>IF('DATA DE LAS 12'!X16=0," ",'DATA DE LAS 12'!X16)</f>
        <v xml:space="preserve"> </v>
      </c>
      <c r="O16" s="404" t="str">
        <f>IF('DATA DE LAS 12'!BB16=0," ",'DATA DE LAS 12'!BB16)</f>
        <v xml:space="preserve"> </v>
      </c>
      <c r="P16" s="400"/>
      <c r="Q16" s="400"/>
      <c r="R16" s="400"/>
      <c r="S16" s="400"/>
      <c r="T16" s="400"/>
      <c r="U16" s="400"/>
      <c r="V16" s="400"/>
      <c r="W16" s="400"/>
      <c r="X16" s="404" t="str">
        <f>IF('DATA DE LAS 12'!BD16=0," ",'DATA DE LAS 12'!BD16)</f>
        <v xml:space="preserve"> </v>
      </c>
      <c r="Y16" s="404" t="str">
        <f>IF('DATA DE LAS 12'!BE16=0," ",'DATA DE LAS 12'!BE16)</f>
        <v xml:space="preserve"> </v>
      </c>
      <c r="Z16" s="404" t="str">
        <f>IF('DATA DE LAS 12'!BF16=0," ",'DATA DE LAS 12'!BF16)</f>
        <v xml:space="preserve"> </v>
      </c>
      <c r="AA16" s="404" t="str">
        <f>IF('DATA DE LAS 12'!BG16=0," ",'DATA DE LAS 12'!BG16)</f>
        <v xml:space="preserve"> </v>
      </c>
      <c r="AB16" s="404" t="str">
        <f>IF('DATA DE LAS 12'!BY16=0," ",'DATA DE LAS 12'!BY16)</f>
        <v xml:space="preserve"> </v>
      </c>
      <c r="AC16" s="404">
        <v>13</v>
      </c>
      <c r="AD16" s="404">
        <v>25</v>
      </c>
      <c r="AE16" s="404">
        <v>550</v>
      </c>
      <c r="AF16" s="404">
        <v>427</v>
      </c>
      <c r="AG16" s="404" t="str">
        <f>IF('DATA DE LAS 12'!W16=0," ",'DATA DE LAS 12'!W16)</f>
        <v xml:space="preserve"> </v>
      </c>
    </row>
    <row r="17" spans="1:33">
      <c r="A17" s="620">
        <f t="shared" si="0"/>
        <v>45089</v>
      </c>
      <c r="B17" s="406">
        <f>IF('DATA DE LAS 12'!C17=0," ",'DATA DE LAS 12'!C17)</f>
        <v>0.92847222222222225</v>
      </c>
      <c r="C17" s="398" t="str">
        <f>IF('DATA DE LAS 12'!E17=0," ",'DATA DE LAS 12'!E17)</f>
        <v xml:space="preserve"> </v>
      </c>
      <c r="D17" s="398" t="e">
        <f>IF('DATA DE LAS 12'!#REF!=0," ",'DATA DE LAS 12'!#REF!)</f>
        <v>#REF!</v>
      </c>
      <c r="E17" s="398" t="str">
        <f>IF('DATA DE LAS 12'!AM17=0," ",'DATA DE LAS 12'!AM17)</f>
        <v xml:space="preserve"> </v>
      </c>
      <c r="F17" s="398" t="str">
        <f>IF('DATA DE LAS 12'!AL17=0," ",'DATA DE LAS 12'!AL17)</f>
        <v xml:space="preserve"> </v>
      </c>
      <c r="G17" s="398" t="str">
        <f>IF('DATA DE LAS 12'!AQ17=0," ",'DATA DE LAS 12'!AQ17)</f>
        <v xml:space="preserve"> </v>
      </c>
      <c r="H17" s="398" t="str">
        <f>IF('DATA DE LAS 12'!Z17=0," ",'DATA DE LAS 12'!Z17)</f>
        <v xml:space="preserve"> </v>
      </c>
      <c r="I17" s="398" t="str">
        <f>IF('DATA DE LAS 12'!AN17=0," ",'DATA DE LAS 12'!AN17)</f>
        <v xml:space="preserve"> </v>
      </c>
      <c r="J17" s="398" t="str">
        <f>IF('DATA DE LAS 12'!F17=0," ",'DATA DE LAS 12'!F17)</f>
        <v xml:space="preserve"> </v>
      </c>
      <c r="K17" s="398" t="str">
        <f>IF('DATA DE LAS 12'!G17=0," ",'DATA DE LAS 12'!G17)</f>
        <v xml:space="preserve"> </v>
      </c>
      <c r="L17" s="398" t="str">
        <f>IF('DATA DE LAS 12'!H17=0," ",'DATA DE LAS 12'!H17)</f>
        <v xml:space="preserve"> </v>
      </c>
      <c r="M17" s="398" t="str">
        <f>IF('DATA DE LAS 12'!V17=0," ",'DATA DE LAS 12'!V17)</f>
        <v xml:space="preserve"> </v>
      </c>
      <c r="N17" s="398" t="str">
        <f>IF('DATA DE LAS 12'!X17=0," ",'DATA DE LAS 12'!X17)</f>
        <v xml:space="preserve"> </v>
      </c>
      <c r="O17" s="404" t="str">
        <f>IF('DATA DE LAS 12'!BB17=0," ",'DATA DE LAS 12'!BB17)</f>
        <v xml:space="preserve"> </v>
      </c>
      <c r="P17" s="400"/>
      <c r="Q17" s="400"/>
      <c r="R17" s="400"/>
      <c r="S17" s="400"/>
      <c r="T17" s="400"/>
      <c r="U17" s="400"/>
      <c r="V17" s="400"/>
      <c r="W17" s="400"/>
      <c r="X17" s="404" t="str">
        <f>IF('DATA DE LAS 12'!BD17=0," ",'DATA DE LAS 12'!BD17)</f>
        <v xml:space="preserve"> </v>
      </c>
      <c r="Y17" s="404" t="str">
        <f>IF('DATA DE LAS 12'!BE17=0," ",'DATA DE LAS 12'!BE17)</f>
        <v xml:space="preserve"> </v>
      </c>
      <c r="Z17" s="404" t="str">
        <f>IF('DATA DE LAS 12'!BF17=0," ",'DATA DE LAS 12'!BF17)</f>
        <v xml:space="preserve"> </v>
      </c>
      <c r="AA17" s="404" t="str">
        <f>IF('DATA DE LAS 12'!BG17=0," ",'DATA DE LAS 12'!BG17)</f>
        <v xml:space="preserve"> </v>
      </c>
      <c r="AB17" s="404" t="str">
        <f>IF('DATA DE LAS 12'!BY17=0," ",'DATA DE LAS 12'!BY17)</f>
        <v xml:space="preserve"> </v>
      </c>
      <c r="AC17" s="404">
        <v>13</v>
      </c>
      <c r="AD17" s="404">
        <v>25</v>
      </c>
      <c r="AE17" s="404">
        <v>550</v>
      </c>
      <c r="AF17" s="404">
        <v>427</v>
      </c>
      <c r="AG17" s="404" t="str">
        <f>IF('DATA DE LAS 12'!W17=0," ",'DATA DE LAS 12'!W17)</f>
        <v xml:space="preserve"> </v>
      </c>
    </row>
    <row r="18" spans="1:33">
      <c r="A18" s="620">
        <f t="shared" si="0"/>
        <v>45090</v>
      </c>
      <c r="B18" s="406">
        <f>IF('DATA DE LAS 12'!C18=0," ",'DATA DE LAS 12'!C18)</f>
        <v>0.99791666666666667</v>
      </c>
      <c r="C18" s="398" t="str">
        <f>IF('DATA DE LAS 12'!E18=0," ",'DATA DE LAS 12'!E18)</f>
        <v xml:space="preserve"> </v>
      </c>
      <c r="D18" s="398" t="e">
        <f>IF('DATA DE LAS 12'!#REF!=0," ",'DATA DE LAS 12'!#REF!)</f>
        <v>#REF!</v>
      </c>
      <c r="E18" s="398" t="str">
        <f>IF('DATA DE LAS 12'!AM18=0," ",'DATA DE LAS 12'!AM18)</f>
        <v xml:space="preserve"> </v>
      </c>
      <c r="F18" s="398" t="str">
        <f>IF('DATA DE LAS 12'!AL18=0," ",'DATA DE LAS 12'!AL18)</f>
        <v xml:space="preserve"> </v>
      </c>
      <c r="G18" s="398" t="str">
        <f>IF('DATA DE LAS 12'!AQ18=0," ",'DATA DE LAS 12'!AQ18)</f>
        <v xml:space="preserve"> </v>
      </c>
      <c r="H18" s="398" t="str">
        <f>IF('DATA DE LAS 12'!Z18=0," ",'DATA DE LAS 12'!Z18)</f>
        <v xml:space="preserve"> </v>
      </c>
      <c r="I18" s="398" t="str">
        <f>IF('DATA DE LAS 12'!AN18=0," ",'DATA DE LAS 12'!AN18)</f>
        <v xml:space="preserve"> </v>
      </c>
      <c r="J18" s="398" t="str">
        <f>IF('DATA DE LAS 12'!F18=0," ",'DATA DE LAS 12'!F18)</f>
        <v xml:space="preserve"> </v>
      </c>
      <c r="K18" s="398" t="str">
        <f>IF('DATA DE LAS 12'!G18=0," ",'DATA DE LAS 12'!G18)</f>
        <v xml:space="preserve"> </v>
      </c>
      <c r="L18" s="398" t="str">
        <f>IF('DATA DE LAS 12'!H18=0," ",'DATA DE LAS 12'!H18)</f>
        <v xml:space="preserve"> </v>
      </c>
      <c r="M18" s="398" t="str">
        <f>IF('DATA DE LAS 12'!V18=0," ",'DATA DE LAS 12'!V18)</f>
        <v xml:space="preserve"> </v>
      </c>
      <c r="N18" s="398" t="str">
        <f>IF('DATA DE LAS 12'!X18=0," ",'DATA DE LAS 12'!X18)</f>
        <v xml:space="preserve"> </v>
      </c>
      <c r="O18" s="404" t="str">
        <f>IF('DATA DE LAS 12'!BB18=0," ",'DATA DE LAS 12'!BB18)</f>
        <v xml:space="preserve"> </v>
      </c>
      <c r="P18" s="400"/>
      <c r="Q18" s="400"/>
      <c r="R18" s="400"/>
      <c r="S18" s="400"/>
      <c r="T18" s="400"/>
      <c r="U18" s="400"/>
      <c r="V18" s="400"/>
      <c r="W18" s="400"/>
      <c r="X18" s="404" t="str">
        <f>IF('DATA DE LAS 12'!BD18=0," ",'DATA DE LAS 12'!BD18)</f>
        <v xml:space="preserve"> </v>
      </c>
      <c r="Y18" s="404" t="str">
        <f>IF('DATA DE LAS 12'!BE18=0," ",'DATA DE LAS 12'!BE18)</f>
        <v xml:space="preserve"> </v>
      </c>
      <c r="Z18" s="404" t="str">
        <f>IF('DATA DE LAS 12'!BF18=0," ",'DATA DE LAS 12'!BF18)</f>
        <v xml:space="preserve"> </v>
      </c>
      <c r="AA18" s="404" t="str">
        <f>IF('DATA DE LAS 12'!BG18=0," ",'DATA DE LAS 12'!BG18)</f>
        <v xml:space="preserve"> </v>
      </c>
      <c r="AB18" s="404" t="str">
        <f>IF('DATA DE LAS 12'!BY18=0," ",'DATA DE LAS 12'!BY18)</f>
        <v xml:space="preserve"> </v>
      </c>
      <c r="AC18" s="404">
        <v>13</v>
      </c>
      <c r="AD18" s="404">
        <v>25</v>
      </c>
      <c r="AE18" s="404">
        <v>550</v>
      </c>
      <c r="AF18" s="404">
        <v>427</v>
      </c>
      <c r="AG18" s="404" t="str">
        <f>IF('DATA DE LAS 12'!W18=0," ",'DATA DE LAS 12'!W18)</f>
        <v xml:space="preserve"> </v>
      </c>
    </row>
    <row r="19" spans="1:33">
      <c r="A19" s="620">
        <f t="shared" si="0"/>
        <v>45091</v>
      </c>
      <c r="B19" s="406">
        <f>IF('DATA DE LAS 12'!C19=0," ",'DATA DE LAS 12'!C19)</f>
        <v>0.96388888888888891</v>
      </c>
      <c r="C19" s="398" t="str">
        <f>IF('DATA DE LAS 12'!E19=0," ",'DATA DE LAS 12'!E19)</f>
        <v xml:space="preserve"> </v>
      </c>
      <c r="D19" s="398" t="e">
        <f>IF('DATA DE LAS 12'!#REF!=0," ",'DATA DE LAS 12'!#REF!)</f>
        <v>#REF!</v>
      </c>
      <c r="E19" s="398" t="str">
        <f>IF('DATA DE LAS 12'!AM19=0," ",'DATA DE LAS 12'!AM19)</f>
        <v xml:space="preserve"> </v>
      </c>
      <c r="F19" s="398" t="str">
        <f>IF('DATA DE LAS 12'!AL19=0," ",'DATA DE LAS 12'!AL19)</f>
        <v xml:space="preserve"> </v>
      </c>
      <c r="G19" s="398" t="str">
        <f>IF('DATA DE LAS 12'!AQ19=0," ",'DATA DE LAS 12'!AQ19)</f>
        <v xml:space="preserve"> </v>
      </c>
      <c r="H19" s="398" t="str">
        <f>IF('DATA DE LAS 12'!Z19=0," ",'DATA DE LAS 12'!Z19)</f>
        <v xml:space="preserve"> </v>
      </c>
      <c r="I19" s="398" t="str">
        <f>IF('DATA DE LAS 12'!AN19=0," ",'DATA DE LAS 12'!AN19)</f>
        <v xml:space="preserve"> </v>
      </c>
      <c r="J19" s="398" t="str">
        <f>IF('DATA DE LAS 12'!F19=0," ",'DATA DE LAS 12'!F19)</f>
        <v xml:space="preserve"> </v>
      </c>
      <c r="K19" s="398" t="str">
        <f>IF('DATA DE LAS 12'!G19=0," ",'DATA DE LAS 12'!G19)</f>
        <v xml:space="preserve"> </v>
      </c>
      <c r="L19" s="398" t="str">
        <f>IF('DATA DE LAS 12'!H19=0," ",'DATA DE LAS 12'!H19)</f>
        <v xml:space="preserve"> </v>
      </c>
      <c r="M19" s="398" t="str">
        <f>IF('DATA DE LAS 12'!V19=0," ",'DATA DE LAS 12'!V19)</f>
        <v xml:space="preserve"> </v>
      </c>
      <c r="N19" s="398" t="str">
        <f>IF('DATA DE LAS 12'!X19=0," ",'DATA DE LAS 12'!X19)</f>
        <v xml:space="preserve"> </v>
      </c>
      <c r="O19" s="404" t="str">
        <f>IF('DATA DE LAS 12'!BB19=0," ",'DATA DE LAS 12'!BB19)</f>
        <v xml:space="preserve"> </v>
      </c>
      <c r="P19" s="400"/>
      <c r="Q19" s="400"/>
      <c r="R19" s="400"/>
      <c r="S19" s="400"/>
      <c r="T19" s="400"/>
      <c r="U19" s="400"/>
      <c r="V19" s="400"/>
      <c r="W19" s="400"/>
      <c r="X19" s="404" t="str">
        <f>IF('DATA DE LAS 12'!BD19=0," ",'DATA DE LAS 12'!BD19)</f>
        <v xml:space="preserve"> </v>
      </c>
      <c r="Y19" s="404" t="str">
        <f>IF('DATA DE LAS 12'!BE19=0," ",'DATA DE LAS 12'!BE19)</f>
        <v xml:space="preserve"> </v>
      </c>
      <c r="Z19" s="404" t="str">
        <f>IF('DATA DE LAS 12'!BF19=0," ",'DATA DE LAS 12'!BF19)</f>
        <v xml:space="preserve"> </v>
      </c>
      <c r="AA19" s="404" t="str">
        <f>IF('DATA DE LAS 12'!BG19=0," ",'DATA DE LAS 12'!BG19)</f>
        <v xml:space="preserve"> </v>
      </c>
      <c r="AB19" s="404" t="str">
        <f>IF('DATA DE LAS 12'!BY19=0," ",'DATA DE LAS 12'!BY19)</f>
        <v xml:space="preserve"> </v>
      </c>
      <c r="AC19" s="404">
        <v>13</v>
      </c>
      <c r="AD19" s="404">
        <v>25</v>
      </c>
      <c r="AE19" s="404">
        <v>550</v>
      </c>
      <c r="AF19" s="404">
        <v>427</v>
      </c>
      <c r="AG19" s="404" t="str">
        <f>IF('DATA DE LAS 12'!W19=0," ",'DATA DE LAS 12'!W19)</f>
        <v xml:space="preserve"> </v>
      </c>
    </row>
    <row r="20" spans="1:33">
      <c r="A20" s="620">
        <f t="shared" si="0"/>
        <v>45092</v>
      </c>
      <c r="B20" s="406">
        <f>IF('DATA DE LAS 12'!C20=0," ",'DATA DE LAS 12'!C20)</f>
        <v>0.92708333333333337</v>
      </c>
      <c r="C20" s="398" t="str">
        <f>IF('DATA DE LAS 12'!E20=0," ",'DATA DE LAS 12'!E20)</f>
        <v xml:space="preserve"> </v>
      </c>
      <c r="D20" s="398" t="e">
        <f>IF('DATA DE LAS 12'!#REF!=0," ",'DATA DE LAS 12'!#REF!)</f>
        <v>#REF!</v>
      </c>
      <c r="E20" s="398" t="str">
        <f>IF('DATA DE LAS 12'!AM20=0," ",'DATA DE LAS 12'!AM20)</f>
        <v xml:space="preserve"> </v>
      </c>
      <c r="F20" s="398" t="str">
        <f>IF('DATA DE LAS 12'!AL20=0," ",'DATA DE LAS 12'!AL20)</f>
        <v xml:space="preserve"> </v>
      </c>
      <c r="G20" s="398" t="str">
        <f>IF('DATA DE LAS 12'!AQ20=0," ",'DATA DE LAS 12'!AQ20)</f>
        <v xml:space="preserve"> </v>
      </c>
      <c r="H20" s="398" t="str">
        <f>IF('DATA DE LAS 12'!Z20=0," ",'DATA DE LAS 12'!Z20)</f>
        <v xml:space="preserve"> </v>
      </c>
      <c r="I20" s="398" t="str">
        <f>IF('DATA DE LAS 12'!AN20=0," ",'DATA DE LAS 12'!AN20)</f>
        <v xml:space="preserve"> </v>
      </c>
      <c r="J20" s="398" t="str">
        <f>IF('DATA DE LAS 12'!F20=0," ",'DATA DE LAS 12'!F20)</f>
        <v xml:space="preserve"> </v>
      </c>
      <c r="K20" s="398" t="str">
        <f>IF('DATA DE LAS 12'!G20=0," ",'DATA DE LAS 12'!G20)</f>
        <v xml:space="preserve"> </v>
      </c>
      <c r="L20" s="398" t="str">
        <f>IF('DATA DE LAS 12'!H20=0," ",'DATA DE LAS 12'!H20)</f>
        <v xml:space="preserve"> </v>
      </c>
      <c r="M20" s="398" t="str">
        <f>IF('DATA DE LAS 12'!V20=0," ",'DATA DE LAS 12'!V20)</f>
        <v xml:space="preserve"> </v>
      </c>
      <c r="N20" s="398" t="str">
        <f>IF('DATA DE LAS 12'!X20=0," ",'DATA DE LAS 12'!X20)</f>
        <v xml:space="preserve"> </v>
      </c>
      <c r="O20" s="404" t="str">
        <f>IF('DATA DE LAS 12'!BB20=0," ",'DATA DE LAS 12'!BB20)</f>
        <v xml:space="preserve"> </v>
      </c>
      <c r="P20" s="400"/>
      <c r="Q20" s="400"/>
      <c r="R20" s="400"/>
      <c r="S20" s="400"/>
      <c r="T20" s="400"/>
      <c r="U20" s="400"/>
      <c r="V20" s="400"/>
      <c r="W20" s="400"/>
      <c r="X20" s="404" t="str">
        <f>IF('DATA DE LAS 12'!BD20=0," ",'DATA DE LAS 12'!BD20)</f>
        <v xml:space="preserve"> </v>
      </c>
      <c r="Y20" s="404" t="str">
        <f>IF('DATA DE LAS 12'!BE20=0," ",'DATA DE LAS 12'!BE20)</f>
        <v xml:space="preserve"> </v>
      </c>
      <c r="Z20" s="404" t="str">
        <f>IF('DATA DE LAS 12'!BF20=0," ",'DATA DE LAS 12'!BF20)</f>
        <v xml:space="preserve"> </v>
      </c>
      <c r="AA20" s="404" t="str">
        <f>IF('DATA DE LAS 12'!BG20=0," ",'DATA DE LAS 12'!BG20)</f>
        <v xml:space="preserve"> </v>
      </c>
      <c r="AB20" s="404" t="str">
        <f>IF('DATA DE LAS 12'!BY20=0," ",'DATA DE LAS 12'!BY20)</f>
        <v xml:space="preserve"> </v>
      </c>
      <c r="AC20" s="404">
        <v>13</v>
      </c>
      <c r="AD20" s="404">
        <v>25</v>
      </c>
      <c r="AE20" s="404">
        <v>550</v>
      </c>
      <c r="AF20" s="404">
        <v>427</v>
      </c>
      <c r="AG20" s="404" t="str">
        <f>IF('DATA DE LAS 12'!W20=0," ",'DATA DE LAS 12'!W20)</f>
        <v xml:space="preserve"> </v>
      </c>
    </row>
    <row r="21" spans="1:33">
      <c r="A21" s="620">
        <f t="shared" si="0"/>
        <v>45093</v>
      </c>
      <c r="B21" s="406">
        <f>IF('DATA DE LAS 12'!C21=0," ",'DATA DE LAS 12'!C21)</f>
        <v>0.96875</v>
      </c>
      <c r="C21" s="398" t="str">
        <f>IF('DATA DE LAS 12'!E21=0," ",'DATA DE LAS 12'!E21)</f>
        <v xml:space="preserve"> </v>
      </c>
      <c r="D21" s="398" t="e">
        <f>IF('DATA DE LAS 12'!#REF!=0," ",'DATA DE LAS 12'!#REF!)</f>
        <v>#REF!</v>
      </c>
      <c r="E21" s="398" t="str">
        <f>IF('DATA DE LAS 12'!AM21=0," ",'DATA DE LAS 12'!AM21)</f>
        <v xml:space="preserve"> </v>
      </c>
      <c r="F21" s="398" t="str">
        <f>IF('DATA DE LAS 12'!AL21=0," ",'DATA DE LAS 12'!AL21)</f>
        <v xml:space="preserve"> </v>
      </c>
      <c r="G21" s="398" t="str">
        <f>IF('DATA DE LAS 12'!AQ21=0," ",'DATA DE LAS 12'!AQ21)</f>
        <v xml:space="preserve"> </v>
      </c>
      <c r="H21" s="398" t="str">
        <f>IF('DATA DE LAS 12'!Z21=0," ",'DATA DE LAS 12'!Z21)</f>
        <v xml:space="preserve"> </v>
      </c>
      <c r="I21" s="398" t="str">
        <f>IF('DATA DE LAS 12'!AN21=0," ",'DATA DE LAS 12'!AN21)</f>
        <v xml:space="preserve"> </v>
      </c>
      <c r="J21" s="398" t="str">
        <f>IF('DATA DE LAS 12'!F21=0," ",'DATA DE LAS 12'!F21)</f>
        <v xml:space="preserve"> </v>
      </c>
      <c r="K21" s="398" t="str">
        <f>IF('DATA DE LAS 12'!G21=0," ",'DATA DE LAS 12'!G21)</f>
        <v xml:space="preserve"> </v>
      </c>
      <c r="L21" s="398" t="str">
        <f>IF('DATA DE LAS 12'!H21=0," ",'DATA DE LAS 12'!H21)</f>
        <v xml:space="preserve"> </v>
      </c>
      <c r="M21" s="398" t="str">
        <f>IF('DATA DE LAS 12'!V21=0," ",'DATA DE LAS 12'!V21)</f>
        <v xml:space="preserve"> </v>
      </c>
      <c r="N21" s="398" t="str">
        <f>IF('DATA DE LAS 12'!X21=0," ",'DATA DE LAS 12'!X21)</f>
        <v xml:space="preserve"> </v>
      </c>
      <c r="O21" s="404" t="str">
        <f>IF('DATA DE LAS 12'!BB21=0," ",'DATA DE LAS 12'!BB21)</f>
        <v xml:space="preserve"> </v>
      </c>
      <c r="P21" s="400"/>
      <c r="Q21" s="400"/>
      <c r="R21" s="400"/>
      <c r="S21" s="400"/>
      <c r="T21" s="400"/>
      <c r="U21" s="400"/>
      <c r="V21" s="400"/>
      <c r="W21" s="400"/>
      <c r="X21" s="404" t="str">
        <f>IF('DATA DE LAS 12'!BD21=0," ",'DATA DE LAS 12'!BD21)</f>
        <v xml:space="preserve"> </v>
      </c>
      <c r="Y21" s="404" t="str">
        <f>IF('DATA DE LAS 12'!BE21=0," ",'DATA DE LAS 12'!BE21)</f>
        <v xml:space="preserve"> </v>
      </c>
      <c r="Z21" s="404" t="str">
        <f>IF('DATA DE LAS 12'!BF21=0," ",'DATA DE LAS 12'!BF21)</f>
        <v xml:space="preserve"> </v>
      </c>
      <c r="AA21" s="404" t="str">
        <f>IF('DATA DE LAS 12'!BG21=0," ",'DATA DE LAS 12'!BG21)</f>
        <v xml:space="preserve"> </v>
      </c>
      <c r="AB21" s="404" t="str">
        <f>IF('DATA DE LAS 12'!BY21=0," ",'DATA DE LAS 12'!BY21)</f>
        <v xml:space="preserve"> </v>
      </c>
      <c r="AC21" s="404">
        <v>13</v>
      </c>
      <c r="AD21" s="404">
        <v>25</v>
      </c>
      <c r="AE21" s="404">
        <v>550</v>
      </c>
      <c r="AF21" s="404">
        <v>427</v>
      </c>
      <c r="AG21" s="404" t="str">
        <f>IF('DATA DE LAS 12'!W21=0," ",'DATA DE LAS 12'!W21)</f>
        <v xml:space="preserve"> </v>
      </c>
    </row>
    <row r="22" spans="1:33">
      <c r="A22" s="620">
        <f t="shared" si="0"/>
        <v>45094</v>
      </c>
      <c r="B22" s="406">
        <f>IF('DATA DE LAS 12'!C22=0," ",'DATA DE LAS 12'!C22)</f>
        <v>0.8666666666666667</v>
      </c>
      <c r="C22" s="398" t="str">
        <f>IF('DATA DE LAS 12'!E22=0," ",'DATA DE LAS 12'!E22)</f>
        <v xml:space="preserve"> </v>
      </c>
      <c r="D22" s="398" t="e">
        <f>IF('DATA DE LAS 12'!#REF!=0," ",'DATA DE LAS 12'!#REF!)</f>
        <v>#REF!</v>
      </c>
      <c r="E22" s="398" t="str">
        <f>IF('DATA DE LAS 12'!AM22=0," ",'DATA DE LAS 12'!AM22)</f>
        <v xml:space="preserve"> </v>
      </c>
      <c r="F22" s="398" t="str">
        <f>IF('DATA DE LAS 12'!AL22=0," ",'DATA DE LAS 12'!AL22)</f>
        <v xml:space="preserve"> </v>
      </c>
      <c r="G22" s="398" t="str">
        <f>IF('DATA DE LAS 12'!AQ22=0," ",'DATA DE LAS 12'!AQ22)</f>
        <v xml:space="preserve"> </v>
      </c>
      <c r="H22" s="398" t="str">
        <f>IF('DATA DE LAS 12'!Z22=0," ",'DATA DE LAS 12'!Z22)</f>
        <v xml:space="preserve"> </v>
      </c>
      <c r="I22" s="398" t="str">
        <f>IF('DATA DE LAS 12'!AN22=0," ",'DATA DE LAS 12'!AN22)</f>
        <v xml:space="preserve"> </v>
      </c>
      <c r="J22" s="398" t="str">
        <f>IF('DATA DE LAS 12'!F22=0," ",'DATA DE LAS 12'!F22)</f>
        <v xml:space="preserve"> </v>
      </c>
      <c r="K22" s="398" t="str">
        <f>IF('DATA DE LAS 12'!G22=0," ",'DATA DE LAS 12'!G22)</f>
        <v xml:space="preserve"> </v>
      </c>
      <c r="L22" s="398" t="str">
        <f>IF('DATA DE LAS 12'!H22=0," ",'DATA DE LAS 12'!H22)</f>
        <v xml:space="preserve"> </v>
      </c>
      <c r="M22" s="398" t="str">
        <f>IF('DATA DE LAS 12'!V22=0," ",'DATA DE LAS 12'!V22)</f>
        <v xml:space="preserve"> </v>
      </c>
      <c r="N22" s="398" t="str">
        <f>IF('DATA DE LAS 12'!X22=0," ",'DATA DE LAS 12'!X22)</f>
        <v xml:space="preserve"> </v>
      </c>
      <c r="O22" s="404" t="str">
        <f>IF('DATA DE LAS 12'!BB22=0," ",'DATA DE LAS 12'!BB22)</f>
        <v xml:space="preserve"> </v>
      </c>
      <c r="P22" s="400"/>
      <c r="Q22" s="400"/>
      <c r="R22" s="400"/>
      <c r="S22" s="400"/>
      <c r="T22" s="400"/>
      <c r="U22" s="400"/>
      <c r="V22" s="400"/>
      <c r="W22" s="400"/>
      <c r="X22" s="404" t="str">
        <f>IF('DATA DE LAS 12'!BD22=0," ",'DATA DE LAS 12'!BD22)</f>
        <v xml:space="preserve"> </v>
      </c>
      <c r="Y22" s="404" t="str">
        <f>IF('DATA DE LAS 12'!BE22=0," ",'DATA DE LAS 12'!BE22)</f>
        <v xml:space="preserve"> </v>
      </c>
      <c r="Z22" s="404" t="str">
        <f>IF('DATA DE LAS 12'!BF22=0," ",'DATA DE LAS 12'!BF22)</f>
        <v xml:space="preserve"> </v>
      </c>
      <c r="AA22" s="404" t="str">
        <f>IF('DATA DE LAS 12'!BG22=0," ",'DATA DE LAS 12'!BG22)</f>
        <v xml:space="preserve"> </v>
      </c>
      <c r="AB22" s="404" t="str">
        <f>IF('DATA DE LAS 12'!BY22=0," ",'DATA DE LAS 12'!BY22)</f>
        <v xml:space="preserve"> </v>
      </c>
      <c r="AC22" s="404">
        <v>13</v>
      </c>
      <c r="AD22" s="404">
        <v>25</v>
      </c>
      <c r="AE22" s="404">
        <v>550</v>
      </c>
      <c r="AF22" s="404">
        <v>427</v>
      </c>
      <c r="AG22" s="404" t="str">
        <f>IF('DATA DE LAS 12'!W22=0," ",'DATA DE LAS 12'!W22)</f>
        <v xml:space="preserve"> </v>
      </c>
    </row>
    <row r="23" spans="1:33">
      <c r="A23" s="620">
        <f t="shared" si="0"/>
        <v>45095</v>
      </c>
      <c r="B23" s="406">
        <f>IF('DATA DE LAS 12'!C23=0," ",'DATA DE LAS 12'!C23)</f>
        <v>0.97083333333333333</v>
      </c>
      <c r="C23" s="398" t="str">
        <f>IF('DATA DE LAS 12'!E23=0," ",'DATA DE LAS 12'!E23)</f>
        <v xml:space="preserve"> </v>
      </c>
      <c r="D23" s="398" t="e">
        <f>IF('DATA DE LAS 12'!#REF!=0," ",'DATA DE LAS 12'!#REF!)</f>
        <v>#REF!</v>
      </c>
      <c r="E23" s="398" t="str">
        <f>IF('DATA DE LAS 12'!AM23=0," ",'DATA DE LAS 12'!AM23)</f>
        <v xml:space="preserve"> </v>
      </c>
      <c r="F23" s="398" t="str">
        <f>IF('DATA DE LAS 12'!AL23=0," ",'DATA DE LAS 12'!AL23)</f>
        <v xml:space="preserve"> </v>
      </c>
      <c r="G23" s="398" t="str">
        <f>IF('DATA DE LAS 12'!AQ23=0," ",'DATA DE LAS 12'!AQ23)</f>
        <v xml:space="preserve"> </v>
      </c>
      <c r="H23" s="398" t="str">
        <f>IF('DATA DE LAS 12'!Z23=0," ",'DATA DE LAS 12'!Z23)</f>
        <v xml:space="preserve"> </v>
      </c>
      <c r="I23" s="398" t="str">
        <f>IF('DATA DE LAS 12'!AN23=0," ",'DATA DE LAS 12'!AN23)</f>
        <v xml:space="preserve"> </v>
      </c>
      <c r="J23" s="398" t="str">
        <f>IF('DATA DE LAS 12'!F23=0," ",'DATA DE LAS 12'!F23)</f>
        <v xml:space="preserve"> </v>
      </c>
      <c r="K23" s="398" t="str">
        <f>IF('DATA DE LAS 12'!G23=0," ",'DATA DE LAS 12'!G23)</f>
        <v xml:space="preserve"> </v>
      </c>
      <c r="L23" s="398" t="str">
        <f>IF('DATA DE LAS 12'!H23=0," ",'DATA DE LAS 12'!H23)</f>
        <v xml:space="preserve"> </v>
      </c>
      <c r="M23" s="398" t="str">
        <f>IF('DATA DE LAS 12'!V23=0," ",'DATA DE LAS 12'!V23)</f>
        <v xml:space="preserve"> </v>
      </c>
      <c r="N23" s="398" t="str">
        <f>IF('DATA DE LAS 12'!X23=0," ",'DATA DE LAS 12'!X23)</f>
        <v xml:space="preserve"> </v>
      </c>
      <c r="O23" s="404" t="str">
        <f>IF('DATA DE LAS 12'!BB23=0," ",'DATA DE LAS 12'!BB23)</f>
        <v xml:space="preserve"> </v>
      </c>
      <c r="P23" s="400"/>
      <c r="Q23" s="400"/>
      <c r="R23" s="400"/>
      <c r="S23" s="400"/>
      <c r="T23" s="400"/>
      <c r="U23" s="400"/>
      <c r="V23" s="400"/>
      <c r="W23" s="400"/>
      <c r="X23" s="404" t="str">
        <f>IF('DATA DE LAS 12'!BD23=0," ",'DATA DE LAS 12'!BD23)</f>
        <v xml:space="preserve"> </v>
      </c>
      <c r="Y23" s="404" t="str">
        <f>IF('DATA DE LAS 12'!BE23=0," ",'DATA DE LAS 12'!BE23)</f>
        <v xml:space="preserve"> </v>
      </c>
      <c r="Z23" s="404" t="str">
        <f>IF('DATA DE LAS 12'!BF23=0," ",'DATA DE LAS 12'!BF23)</f>
        <v xml:space="preserve"> </v>
      </c>
      <c r="AA23" s="404" t="str">
        <f>IF('DATA DE LAS 12'!BG23=0," ",'DATA DE LAS 12'!BG23)</f>
        <v xml:space="preserve"> </v>
      </c>
      <c r="AB23" s="404" t="str">
        <f>IF('DATA DE LAS 12'!BY23=0," ",'DATA DE LAS 12'!BY23)</f>
        <v xml:space="preserve"> </v>
      </c>
      <c r="AC23" s="404">
        <v>13</v>
      </c>
      <c r="AD23" s="404">
        <v>25</v>
      </c>
      <c r="AE23" s="404">
        <v>550</v>
      </c>
      <c r="AF23" s="404">
        <v>427</v>
      </c>
      <c r="AG23" s="404" t="str">
        <f>IF('DATA DE LAS 12'!W23=0," ",'DATA DE LAS 12'!W23)</f>
        <v xml:space="preserve"> </v>
      </c>
    </row>
    <row r="24" spans="1:33">
      <c r="A24" s="620">
        <f t="shared" si="0"/>
        <v>45096</v>
      </c>
      <c r="B24" s="406">
        <f>IF('DATA DE LAS 12'!C24=0," ",'DATA DE LAS 12'!C24)</f>
        <v>0.93958333333333333</v>
      </c>
      <c r="C24" s="398" t="str">
        <f>IF('DATA DE LAS 12'!E24=0," ",'DATA DE LAS 12'!E24)</f>
        <v xml:space="preserve"> </v>
      </c>
      <c r="D24" s="398" t="e">
        <f>IF('DATA DE LAS 12'!#REF!=0," ",'DATA DE LAS 12'!#REF!)</f>
        <v>#REF!</v>
      </c>
      <c r="E24" s="398" t="str">
        <f>IF('DATA DE LAS 12'!AM24=0," ",'DATA DE LAS 12'!AM24)</f>
        <v xml:space="preserve"> </v>
      </c>
      <c r="F24" s="398" t="str">
        <f>IF('DATA DE LAS 12'!AL24=0," ",'DATA DE LAS 12'!AL24)</f>
        <v xml:space="preserve"> </v>
      </c>
      <c r="G24" s="398" t="str">
        <f>IF('DATA DE LAS 12'!AQ24=0," ",'DATA DE LAS 12'!AQ24)</f>
        <v xml:space="preserve"> </v>
      </c>
      <c r="H24" s="398" t="str">
        <f>IF('DATA DE LAS 12'!Z24=0," ",'DATA DE LAS 12'!Z24)</f>
        <v xml:space="preserve"> </v>
      </c>
      <c r="I24" s="398" t="str">
        <f>IF('DATA DE LAS 12'!AN24=0," ",'DATA DE LAS 12'!AN24)</f>
        <v xml:space="preserve"> </v>
      </c>
      <c r="J24" s="398" t="str">
        <f>IF('DATA DE LAS 12'!F24=0," ",'DATA DE LAS 12'!F24)</f>
        <v xml:space="preserve"> </v>
      </c>
      <c r="K24" s="398" t="str">
        <f>IF('DATA DE LAS 12'!G24=0," ",'DATA DE LAS 12'!G24)</f>
        <v xml:space="preserve"> </v>
      </c>
      <c r="L24" s="398" t="str">
        <f>IF('DATA DE LAS 12'!H24=0," ",'DATA DE LAS 12'!H24)</f>
        <v xml:space="preserve"> </v>
      </c>
      <c r="M24" s="398" t="str">
        <f>IF('DATA DE LAS 12'!V24=0," ",'DATA DE LAS 12'!V24)</f>
        <v xml:space="preserve"> </v>
      </c>
      <c r="N24" s="398" t="str">
        <f>IF('DATA DE LAS 12'!X24=0," ",'DATA DE LAS 12'!X24)</f>
        <v xml:space="preserve"> </v>
      </c>
      <c r="O24" s="404" t="str">
        <f>IF('DATA DE LAS 12'!BB24=0," ",'DATA DE LAS 12'!BB24)</f>
        <v xml:space="preserve"> </v>
      </c>
      <c r="P24" s="400"/>
      <c r="Q24" s="400"/>
      <c r="R24" s="400"/>
      <c r="S24" s="400"/>
      <c r="T24" s="400"/>
      <c r="U24" s="400"/>
      <c r="V24" s="400"/>
      <c r="W24" s="400"/>
      <c r="X24" s="404" t="str">
        <f>IF('DATA DE LAS 12'!BD24=0," ",'DATA DE LAS 12'!BD24)</f>
        <v xml:space="preserve"> </v>
      </c>
      <c r="Y24" s="404" t="str">
        <f>IF('DATA DE LAS 12'!BE24=0," ",'DATA DE LAS 12'!BE24)</f>
        <v xml:space="preserve"> </v>
      </c>
      <c r="Z24" s="404" t="str">
        <f>IF('DATA DE LAS 12'!BF24=0," ",'DATA DE LAS 12'!BF24)</f>
        <v xml:space="preserve"> </v>
      </c>
      <c r="AA24" s="404" t="str">
        <f>IF('DATA DE LAS 12'!BG24=0," ",'DATA DE LAS 12'!BG24)</f>
        <v xml:space="preserve"> </v>
      </c>
      <c r="AB24" s="404" t="str">
        <f>IF('DATA DE LAS 12'!BY24=0," ",'DATA DE LAS 12'!BY24)</f>
        <v xml:space="preserve"> </v>
      </c>
      <c r="AC24" s="404">
        <v>13</v>
      </c>
      <c r="AD24" s="404">
        <v>25</v>
      </c>
      <c r="AE24" s="404">
        <v>550</v>
      </c>
      <c r="AF24" s="404">
        <v>427</v>
      </c>
      <c r="AG24" s="404" t="str">
        <f>IF('DATA DE LAS 12'!W24=0," ",'DATA DE LAS 12'!W24)</f>
        <v xml:space="preserve"> </v>
      </c>
    </row>
    <row r="25" spans="1:33">
      <c r="A25" s="620">
        <f t="shared" si="0"/>
        <v>45097</v>
      </c>
      <c r="B25" s="406">
        <f>IF('DATA DE LAS 12'!C25=0," ",'DATA DE LAS 12'!C25)</f>
        <v>0.9159722222222223</v>
      </c>
      <c r="C25" s="398" t="str">
        <f>IF('DATA DE LAS 12'!E25=0," ",'DATA DE LAS 12'!E25)</f>
        <v xml:space="preserve"> </v>
      </c>
      <c r="D25" s="398" t="e">
        <f>IF('DATA DE LAS 12'!#REF!=0," ",'DATA DE LAS 12'!#REF!)</f>
        <v>#REF!</v>
      </c>
      <c r="E25" s="398" t="str">
        <f>IF('DATA DE LAS 12'!AM25=0," ",'DATA DE LAS 12'!AM25)</f>
        <v xml:space="preserve"> </v>
      </c>
      <c r="F25" s="398" t="str">
        <f>IF('DATA DE LAS 12'!AL25=0," ",'DATA DE LAS 12'!AL25)</f>
        <v xml:space="preserve"> </v>
      </c>
      <c r="G25" s="398" t="str">
        <f>IF('DATA DE LAS 12'!AQ25=0," ",'DATA DE LAS 12'!AQ25)</f>
        <v xml:space="preserve"> </v>
      </c>
      <c r="H25" s="398" t="str">
        <f>IF('DATA DE LAS 12'!Z25=0," ",'DATA DE LAS 12'!Z25)</f>
        <v xml:space="preserve"> </v>
      </c>
      <c r="I25" s="398" t="str">
        <f>IF('DATA DE LAS 12'!AN25=0," ",'DATA DE LAS 12'!AN25)</f>
        <v xml:space="preserve"> </v>
      </c>
      <c r="J25" s="398" t="str">
        <f>IF('DATA DE LAS 12'!F25=0," ",'DATA DE LAS 12'!F25)</f>
        <v xml:space="preserve"> </v>
      </c>
      <c r="K25" s="398" t="str">
        <f>IF('DATA DE LAS 12'!G25=0," ",'DATA DE LAS 12'!G25)</f>
        <v xml:space="preserve"> </v>
      </c>
      <c r="L25" s="398" t="str">
        <f>IF('DATA DE LAS 12'!H25=0," ",'DATA DE LAS 12'!H25)</f>
        <v xml:space="preserve"> </v>
      </c>
      <c r="M25" s="398" t="str">
        <f>IF('DATA DE LAS 12'!V25=0," ",'DATA DE LAS 12'!V25)</f>
        <v xml:space="preserve"> </v>
      </c>
      <c r="N25" s="398" t="str">
        <f>IF('DATA DE LAS 12'!X25=0," ",'DATA DE LAS 12'!X25)</f>
        <v xml:space="preserve"> </v>
      </c>
      <c r="O25" s="404" t="str">
        <f>IF('DATA DE LAS 12'!BB25=0," ",'DATA DE LAS 12'!BB25)</f>
        <v xml:space="preserve"> </v>
      </c>
      <c r="P25" s="400"/>
      <c r="Q25" s="400"/>
      <c r="R25" s="400"/>
      <c r="S25" s="400"/>
      <c r="T25" s="400"/>
      <c r="U25" s="400"/>
      <c r="V25" s="400"/>
      <c r="W25" s="400"/>
      <c r="X25" s="404" t="str">
        <f>IF('DATA DE LAS 12'!BD25=0," ",'DATA DE LAS 12'!BD25)</f>
        <v xml:space="preserve"> </v>
      </c>
      <c r="Y25" s="404" t="str">
        <f>IF('DATA DE LAS 12'!BE25=0," ",'DATA DE LAS 12'!BE25)</f>
        <v xml:space="preserve"> </v>
      </c>
      <c r="Z25" s="404" t="str">
        <f>IF('DATA DE LAS 12'!BF25=0," ",'DATA DE LAS 12'!BF25)</f>
        <v xml:space="preserve"> </v>
      </c>
      <c r="AA25" s="404" t="str">
        <f>IF('DATA DE LAS 12'!BG25=0," ",'DATA DE LAS 12'!BG25)</f>
        <v xml:space="preserve"> </v>
      </c>
      <c r="AB25" s="404" t="str">
        <f>IF('DATA DE LAS 12'!BY25=0," ",'DATA DE LAS 12'!BY25)</f>
        <v xml:space="preserve"> </v>
      </c>
      <c r="AC25" s="404">
        <v>13</v>
      </c>
      <c r="AD25" s="404">
        <v>25</v>
      </c>
      <c r="AE25" s="404">
        <v>550</v>
      </c>
      <c r="AF25" s="404">
        <v>427</v>
      </c>
      <c r="AG25" s="404" t="str">
        <f>IF('DATA DE LAS 12'!W25=0," ",'DATA DE LAS 12'!W25)</f>
        <v xml:space="preserve"> </v>
      </c>
    </row>
    <row r="26" spans="1:33">
      <c r="A26" s="620">
        <f t="shared" si="0"/>
        <v>45098</v>
      </c>
      <c r="B26" s="406">
        <f>IF('DATA DE LAS 12'!C26=0," ",'DATA DE LAS 12'!C26)</f>
        <v>0.93472222222222223</v>
      </c>
      <c r="C26" s="398" t="str">
        <f>IF('DATA DE LAS 12'!E26=0," ",'DATA DE LAS 12'!E26)</f>
        <v xml:space="preserve"> </v>
      </c>
      <c r="D26" s="398" t="e">
        <f>IF('DATA DE LAS 12'!#REF!=0," ",'DATA DE LAS 12'!#REF!)</f>
        <v>#REF!</v>
      </c>
      <c r="E26" s="398" t="str">
        <f>IF('DATA DE LAS 12'!AM26=0," ",'DATA DE LAS 12'!AM26)</f>
        <v xml:space="preserve"> </v>
      </c>
      <c r="F26" s="398" t="str">
        <f>IF('DATA DE LAS 12'!AL26=0," ",'DATA DE LAS 12'!AL26)</f>
        <v xml:space="preserve"> </v>
      </c>
      <c r="G26" s="398" t="str">
        <f>IF('DATA DE LAS 12'!AQ26=0," ",'DATA DE LAS 12'!AQ26)</f>
        <v xml:space="preserve"> </v>
      </c>
      <c r="H26" s="398" t="str">
        <f>IF('DATA DE LAS 12'!Z26=0," ",'DATA DE LAS 12'!Z26)</f>
        <v xml:space="preserve"> </v>
      </c>
      <c r="I26" s="398" t="str">
        <f>IF('DATA DE LAS 12'!AN26=0," ",'DATA DE LAS 12'!AN26)</f>
        <v xml:space="preserve"> </v>
      </c>
      <c r="J26" s="398" t="str">
        <f>IF('DATA DE LAS 12'!F26=0," ",'DATA DE LAS 12'!F26)</f>
        <v xml:space="preserve"> </v>
      </c>
      <c r="K26" s="398" t="str">
        <f>IF('DATA DE LAS 12'!G26=0," ",'DATA DE LAS 12'!G26)</f>
        <v xml:space="preserve"> </v>
      </c>
      <c r="L26" s="398" t="str">
        <f>IF('DATA DE LAS 12'!H26=0," ",'DATA DE LAS 12'!H26)</f>
        <v xml:space="preserve"> </v>
      </c>
      <c r="M26" s="398" t="str">
        <f>IF('DATA DE LAS 12'!V26=0," ",'DATA DE LAS 12'!V26)</f>
        <v xml:space="preserve"> </v>
      </c>
      <c r="N26" s="398" t="str">
        <f>IF('DATA DE LAS 12'!X26=0," ",'DATA DE LAS 12'!X26)</f>
        <v xml:space="preserve"> </v>
      </c>
      <c r="O26" s="404" t="str">
        <f>IF('DATA DE LAS 12'!BB26=0," ",'DATA DE LAS 12'!BB26)</f>
        <v xml:space="preserve"> </v>
      </c>
      <c r="P26" s="400"/>
      <c r="Q26" s="400"/>
      <c r="R26" s="400"/>
      <c r="S26" s="400"/>
      <c r="T26" s="400"/>
      <c r="U26" s="400"/>
      <c r="V26" s="400"/>
      <c r="W26" s="400"/>
      <c r="X26" s="404" t="str">
        <f>IF('DATA DE LAS 12'!BD26=0," ",'DATA DE LAS 12'!BD26)</f>
        <v xml:space="preserve"> </v>
      </c>
      <c r="Y26" s="404" t="str">
        <f>IF('DATA DE LAS 12'!BE26=0," ",'DATA DE LAS 12'!BE26)</f>
        <v xml:space="preserve"> </v>
      </c>
      <c r="Z26" s="404" t="str">
        <f>IF('DATA DE LAS 12'!BF26=0," ",'DATA DE LAS 12'!BF26)</f>
        <v xml:space="preserve"> </v>
      </c>
      <c r="AA26" s="404" t="str">
        <f>IF('DATA DE LAS 12'!BG26=0," ",'DATA DE LAS 12'!BG26)</f>
        <v xml:space="preserve"> </v>
      </c>
      <c r="AB26" s="404" t="str">
        <f>IF('DATA DE LAS 12'!BY26=0," ",'DATA DE LAS 12'!BY26)</f>
        <v xml:space="preserve"> </v>
      </c>
      <c r="AC26" s="404">
        <v>13</v>
      </c>
      <c r="AD26" s="404">
        <v>25</v>
      </c>
      <c r="AE26" s="404">
        <v>550</v>
      </c>
      <c r="AF26" s="404">
        <v>427</v>
      </c>
      <c r="AG26" s="404" t="str">
        <f>IF('DATA DE LAS 12'!W26=0," ",'DATA DE LAS 12'!W26)</f>
        <v xml:space="preserve"> </v>
      </c>
    </row>
    <row r="27" spans="1:33">
      <c r="A27" s="620">
        <f t="shared" si="0"/>
        <v>45099</v>
      </c>
      <c r="B27" s="406">
        <f>IF('DATA DE LAS 12'!C27=0," ",'DATA DE LAS 12'!C27)</f>
        <v>0.9145833333333333</v>
      </c>
      <c r="C27" s="398" t="str">
        <f>IF('DATA DE LAS 12'!E27=0," ",'DATA DE LAS 12'!E27)</f>
        <v xml:space="preserve"> </v>
      </c>
      <c r="D27" s="398" t="e">
        <f>IF('DATA DE LAS 12'!#REF!=0," ",'DATA DE LAS 12'!#REF!)</f>
        <v>#REF!</v>
      </c>
      <c r="E27" s="398" t="str">
        <f>IF('DATA DE LAS 12'!AM27=0," ",'DATA DE LAS 12'!AM27)</f>
        <v xml:space="preserve"> </v>
      </c>
      <c r="F27" s="398" t="str">
        <f>IF('DATA DE LAS 12'!AL27=0," ",'DATA DE LAS 12'!AL27)</f>
        <v xml:space="preserve"> </v>
      </c>
      <c r="G27" s="398" t="str">
        <f>IF('DATA DE LAS 12'!AQ27=0," ",'DATA DE LAS 12'!AQ27)</f>
        <v xml:space="preserve"> </v>
      </c>
      <c r="H27" s="398" t="str">
        <f>IF('DATA DE LAS 12'!Z27=0," ",'DATA DE LAS 12'!Z27)</f>
        <v xml:space="preserve"> </v>
      </c>
      <c r="I27" s="398" t="str">
        <f>IF('DATA DE LAS 12'!AN27=0," ",'DATA DE LAS 12'!AN27)</f>
        <v xml:space="preserve"> </v>
      </c>
      <c r="J27" s="398" t="str">
        <f>IF('DATA DE LAS 12'!F27=0," ",'DATA DE LAS 12'!F27)</f>
        <v xml:space="preserve"> </v>
      </c>
      <c r="K27" s="398" t="str">
        <f>IF('DATA DE LAS 12'!G27=0," ",'DATA DE LAS 12'!G27)</f>
        <v xml:space="preserve"> </v>
      </c>
      <c r="L27" s="398" t="str">
        <f>IF('DATA DE LAS 12'!H27=0," ",'DATA DE LAS 12'!H27)</f>
        <v xml:space="preserve"> </v>
      </c>
      <c r="M27" s="398" t="str">
        <f>IF('DATA DE LAS 12'!V27=0," ",'DATA DE LAS 12'!V27)</f>
        <v xml:space="preserve"> </v>
      </c>
      <c r="N27" s="398" t="str">
        <f>IF('DATA DE LAS 12'!X27=0," ",'DATA DE LAS 12'!X27)</f>
        <v xml:space="preserve"> </v>
      </c>
      <c r="O27" s="404" t="str">
        <f>IF('DATA DE LAS 12'!BB27=0," ",'DATA DE LAS 12'!BB27)</f>
        <v xml:space="preserve"> </v>
      </c>
      <c r="P27" s="400"/>
      <c r="Q27" s="400"/>
      <c r="R27" s="400"/>
      <c r="S27" s="400"/>
      <c r="T27" s="400"/>
      <c r="U27" s="400"/>
      <c r="V27" s="400"/>
      <c r="W27" s="400"/>
      <c r="X27" s="404" t="str">
        <f>IF('DATA DE LAS 12'!BD27=0," ",'DATA DE LAS 12'!BD27)</f>
        <v xml:space="preserve"> </v>
      </c>
      <c r="Y27" s="404" t="str">
        <f>IF('DATA DE LAS 12'!BE27=0," ",'DATA DE LAS 12'!BE27)</f>
        <v xml:space="preserve"> </v>
      </c>
      <c r="Z27" s="404" t="str">
        <f>IF('DATA DE LAS 12'!BF27=0," ",'DATA DE LAS 12'!BF27)</f>
        <v xml:space="preserve"> </v>
      </c>
      <c r="AA27" s="404" t="str">
        <f>IF('DATA DE LAS 12'!BG27=0," ",'DATA DE LAS 12'!BG27)</f>
        <v xml:space="preserve"> </v>
      </c>
      <c r="AB27" s="404" t="str">
        <f>IF('DATA DE LAS 12'!BY27=0," ",'DATA DE LAS 12'!BY27)</f>
        <v xml:space="preserve"> </v>
      </c>
      <c r="AC27" s="404">
        <v>13</v>
      </c>
      <c r="AD27" s="404">
        <v>25</v>
      </c>
      <c r="AE27" s="404">
        <v>550</v>
      </c>
      <c r="AF27" s="404">
        <v>427</v>
      </c>
      <c r="AG27" s="404" t="str">
        <f>IF('DATA DE LAS 12'!W27=0," ",'DATA DE LAS 12'!W27)</f>
        <v xml:space="preserve"> </v>
      </c>
    </row>
    <row r="28" spans="1:33">
      <c r="A28" s="620">
        <f t="shared" si="0"/>
        <v>45100</v>
      </c>
      <c r="B28" s="406">
        <f>IF('DATA DE LAS 12'!C28=0," ",'DATA DE LAS 12'!C28)</f>
        <v>0.9375</v>
      </c>
      <c r="C28" s="398" t="str">
        <f>IF('DATA DE LAS 12'!E28=0," ",'DATA DE LAS 12'!E28)</f>
        <v xml:space="preserve"> </v>
      </c>
      <c r="D28" s="398" t="e">
        <f>IF('DATA DE LAS 12'!#REF!=0," ",'DATA DE LAS 12'!#REF!)</f>
        <v>#REF!</v>
      </c>
      <c r="E28" s="398" t="str">
        <f>IF('DATA DE LAS 12'!AM28=0," ",'DATA DE LAS 12'!AM28)</f>
        <v xml:space="preserve"> </v>
      </c>
      <c r="F28" s="398" t="str">
        <f>IF('DATA DE LAS 12'!AL28=0," ",'DATA DE LAS 12'!AL28)</f>
        <v xml:space="preserve"> </v>
      </c>
      <c r="G28" s="398" t="str">
        <f>IF('DATA DE LAS 12'!AQ28=0," ",'DATA DE LAS 12'!AQ28)</f>
        <v xml:space="preserve"> </v>
      </c>
      <c r="H28" s="398" t="str">
        <f>IF('DATA DE LAS 12'!Z28=0," ",'DATA DE LAS 12'!Z28)</f>
        <v xml:space="preserve"> </v>
      </c>
      <c r="I28" s="398" t="str">
        <f>IF('DATA DE LAS 12'!AN28=0," ",'DATA DE LAS 12'!AN28)</f>
        <v xml:space="preserve"> </v>
      </c>
      <c r="J28" s="398" t="str">
        <f>IF('DATA DE LAS 12'!F28=0," ",'DATA DE LAS 12'!F28)</f>
        <v xml:space="preserve"> </v>
      </c>
      <c r="K28" s="398" t="str">
        <f>IF('DATA DE LAS 12'!G28=0," ",'DATA DE LAS 12'!G28)</f>
        <v xml:space="preserve"> </v>
      </c>
      <c r="L28" s="398" t="str">
        <f>IF('DATA DE LAS 12'!H28=0," ",'DATA DE LAS 12'!H28)</f>
        <v xml:space="preserve"> </v>
      </c>
      <c r="M28" s="398" t="str">
        <f>IF('DATA DE LAS 12'!V28=0," ",'DATA DE LAS 12'!V28)</f>
        <v xml:space="preserve"> </v>
      </c>
      <c r="N28" s="398" t="str">
        <f>IF('DATA DE LAS 12'!X28=0," ",'DATA DE LAS 12'!X28)</f>
        <v xml:space="preserve"> </v>
      </c>
      <c r="O28" s="404" t="str">
        <f>IF('DATA DE LAS 12'!BB28=0," ",'DATA DE LAS 12'!BB28)</f>
        <v xml:space="preserve"> </v>
      </c>
      <c r="P28" s="400"/>
      <c r="Q28" s="400"/>
      <c r="R28" s="400"/>
      <c r="S28" s="400"/>
      <c r="T28" s="400"/>
      <c r="U28" s="400"/>
      <c r="V28" s="400"/>
      <c r="W28" s="400"/>
      <c r="X28" s="404" t="str">
        <f>IF('DATA DE LAS 12'!BD28=0," ",'DATA DE LAS 12'!BD28)</f>
        <v xml:space="preserve"> </v>
      </c>
      <c r="Y28" s="404" t="str">
        <f>IF('DATA DE LAS 12'!BE28=0," ",'DATA DE LAS 12'!BE28)</f>
        <v xml:space="preserve"> </v>
      </c>
      <c r="Z28" s="404" t="str">
        <f>IF('DATA DE LAS 12'!BF28=0," ",'DATA DE LAS 12'!BF28)</f>
        <v xml:space="preserve"> </v>
      </c>
      <c r="AA28" s="404" t="str">
        <f>IF('DATA DE LAS 12'!BG28=0," ",'DATA DE LAS 12'!BG28)</f>
        <v xml:space="preserve"> </v>
      </c>
      <c r="AB28" s="404" t="str">
        <f>IF('DATA DE LAS 12'!BY28=0," ",'DATA DE LAS 12'!BY28)</f>
        <v xml:space="preserve"> </v>
      </c>
      <c r="AC28" s="404">
        <v>13</v>
      </c>
      <c r="AD28" s="404">
        <v>25</v>
      </c>
      <c r="AE28" s="404">
        <v>550</v>
      </c>
      <c r="AF28" s="404">
        <v>427</v>
      </c>
      <c r="AG28" s="404" t="str">
        <f>IF('DATA DE LAS 12'!W28=0," ",'DATA DE LAS 12'!W28)</f>
        <v xml:space="preserve"> </v>
      </c>
    </row>
    <row r="29" spans="1:33">
      <c r="A29" s="620">
        <f t="shared" si="0"/>
        <v>45101</v>
      </c>
      <c r="B29" s="406">
        <f>IF('DATA DE LAS 12'!C29=0," ",'DATA DE LAS 12'!C29)</f>
        <v>0.90972222222222221</v>
      </c>
      <c r="C29" s="398" t="str">
        <f>IF('DATA DE LAS 12'!E29=0," ",'DATA DE LAS 12'!E29)</f>
        <v xml:space="preserve"> </v>
      </c>
      <c r="D29" s="398" t="e">
        <f>IF('DATA DE LAS 12'!#REF!=0," ",'DATA DE LAS 12'!#REF!)</f>
        <v>#REF!</v>
      </c>
      <c r="E29" s="398" t="str">
        <f>IF('DATA DE LAS 12'!AM29=0," ",'DATA DE LAS 12'!AM29)</f>
        <v xml:space="preserve"> </v>
      </c>
      <c r="F29" s="398" t="str">
        <f>IF('DATA DE LAS 12'!AL29=0," ",'DATA DE LAS 12'!AL29)</f>
        <v xml:space="preserve"> </v>
      </c>
      <c r="G29" s="398" t="str">
        <f>IF('DATA DE LAS 12'!AQ29=0," ",'DATA DE LAS 12'!AQ29)</f>
        <v xml:space="preserve"> </v>
      </c>
      <c r="H29" s="398" t="str">
        <f>IF('DATA DE LAS 12'!Z29=0," ",'DATA DE LAS 12'!Z29)</f>
        <v xml:space="preserve"> </v>
      </c>
      <c r="I29" s="398" t="str">
        <f>IF('DATA DE LAS 12'!AN29=0," ",'DATA DE LAS 12'!AN29)</f>
        <v xml:space="preserve"> </v>
      </c>
      <c r="J29" s="398" t="str">
        <f>IF('DATA DE LAS 12'!F29=0," ",'DATA DE LAS 12'!F29)</f>
        <v xml:space="preserve"> </v>
      </c>
      <c r="K29" s="398" t="str">
        <f>IF('DATA DE LAS 12'!G29=0," ",'DATA DE LAS 12'!G29)</f>
        <v xml:space="preserve"> </v>
      </c>
      <c r="L29" s="398" t="str">
        <f>IF('DATA DE LAS 12'!H29=0," ",'DATA DE LAS 12'!H29)</f>
        <v xml:space="preserve"> </v>
      </c>
      <c r="M29" s="398" t="str">
        <f>IF('DATA DE LAS 12'!V29=0," ",'DATA DE LAS 12'!V29)</f>
        <v xml:space="preserve"> </v>
      </c>
      <c r="N29" s="398" t="str">
        <f>IF('DATA DE LAS 12'!X29=0," ",'DATA DE LAS 12'!X29)</f>
        <v xml:space="preserve"> </v>
      </c>
      <c r="O29" s="404" t="str">
        <f>IF('DATA DE LAS 12'!BB29=0," ",'DATA DE LAS 12'!BB29)</f>
        <v xml:space="preserve"> </v>
      </c>
      <c r="P29" s="400"/>
      <c r="Q29" s="400"/>
      <c r="R29" s="400"/>
      <c r="S29" s="400"/>
      <c r="T29" s="400"/>
      <c r="U29" s="400"/>
      <c r="V29" s="400"/>
      <c r="W29" s="400"/>
      <c r="X29" s="404" t="str">
        <f>IF('DATA DE LAS 12'!BD29=0," ",'DATA DE LAS 12'!BD29)</f>
        <v xml:space="preserve"> </v>
      </c>
      <c r="Y29" s="404" t="str">
        <f>IF('DATA DE LAS 12'!BE29=0," ",'DATA DE LAS 12'!BE29)</f>
        <v xml:space="preserve"> </v>
      </c>
      <c r="Z29" s="404" t="str">
        <f>IF('DATA DE LAS 12'!BF29=0," ",'DATA DE LAS 12'!BF29)</f>
        <v xml:space="preserve"> </v>
      </c>
      <c r="AA29" s="404" t="str">
        <f>IF('DATA DE LAS 12'!BG29=0," ",'DATA DE LAS 12'!BG29)</f>
        <v xml:space="preserve"> </v>
      </c>
      <c r="AB29" s="404" t="str">
        <f>IF('DATA DE LAS 12'!BY29=0," ",'DATA DE LAS 12'!BY29)</f>
        <v xml:space="preserve"> </v>
      </c>
      <c r="AC29" s="404">
        <v>13</v>
      </c>
      <c r="AD29" s="404">
        <v>25</v>
      </c>
      <c r="AE29" s="404">
        <v>550</v>
      </c>
      <c r="AF29" s="404">
        <v>427</v>
      </c>
      <c r="AG29" s="404" t="str">
        <f>IF('DATA DE LAS 12'!W29=0," ",'DATA DE LAS 12'!W29)</f>
        <v xml:space="preserve"> </v>
      </c>
    </row>
    <row r="30" spans="1:33">
      <c r="A30" s="620">
        <f t="shared" si="0"/>
        <v>45102</v>
      </c>
      <c r="B30" s="406">
        <f>IF('DATA DE LAS 12'!C30=0," ",'DATA DE LAS 12'!C30)</f>
        <v>0.875</v>
      </c>
      <c r="C30" s="398" t="str">
        <f>IF('DATA DE LAS 12'!E30=0," ",'DATA DE LAS 12'!E30)</f>
        <v xml:space="preserve"> </v>
      </c>
      <c r="D30" s="398" t="e">
        <f>IF('DATA DE LAS 12'!#REF!=0," ",'DATA DE LAS 12'!#REF!)</f>
        <v>#REF!</v>
      </c>
      <c r="E30" s="398" t="str">
        <f>IF('DATA DE LAS 12'!AM30=0," ",'DATA DE LAS 12'!AM30)</f>
        <v xml:space="preserve"> </v>
      </c>
      <c r="F30" s="398" t="str">
        <f>IF('DATA DE LAS 12'!AL30=0," ",'DATA DE LAS 12'!AL30)</f>
        <v xml:space="preserve"> </v>
      </c>
      <c r="G30" s="398" t="str">
        <f>IF('DATA DE LAS 12'!AQ30=0," ",'DATA DE LAS 12'!AQ30)</f>
        <v xml:space="preserve"> </v>
      </c>
      <c r="H30" s="398" t="str">
        <f>IF('DATA DE LAS 12'!Z30=0," ",'DATA DE LAS 12'!Z30)</f>
        <v xml:space="preserve"> </v>
      </c>
      <c r="I30" s="398" t="str">
        <f>IF('DATA DE LAS 12'!AN30=0," ",'DATA DE LAS 12'!AN30)</f>
        <v xml:space="preserve"> </v>
      </c>
      <c r="J30" s="398" t="str">
        <f>IF('DATA DE LAS 12'!F30=0," ",'DATA DE LAS 12'!F30)</f>
        <v xml:space="preserve"> </v>
      </c>
      <c r="K30" s="398" t="str">
        <f>IF('DATA DE LAS 12'!G30=0," ",'DATA DE LAS 12'!G30)</f>
        <v xml:space="preserve"> </v>
      </c>
      <c r="L30" s="398" t="str">
        <f>IF('DATA DE LAS 12'!H30=0," ",'DATA DE LAS 12'!H30)</f>
        <v xml:space="preserve"> </v>
      </c>
      <c r="M30" s="398" t="str">
        <f>IF('DATA DE LAS 12'!V30=0," ",'DATA DE LAS 12'!V30)</f>
        <v xml:space="preserve"> </v>
      </c>
      <c r="N30" s="398" t="str">
        <f>IF('DATA DE LAS 12'!X30=0," ",'DATA DE LAS 12'!X30)</f>
        <v xml:space="preserve"> </v>
      </c>
      <c r="O30" s="404" t="str">
        <f>IF('DATA DE LAS 12'!BB30=0," ",'DATA DE LAS 12'!BB30)</f>
        <v xml:space="preserve"> </v>
      </c>
      <c r="P30" s="400"/>
      <c r="Q30" s="400"/>
      <c r="R30" s="400"/>
      <c r="S30" s="400"/>
      <c r="T30" s="400"/>
      <c r="U30" s="400"/>
      <c r="V30" s="400"/>
      <c r="W30" s="400"/>
      <c r="X30" s="404" t="str">
        <f>IF('DATA DE LAS 12'!BD30=0," ",'DATA DE LAS 12'!BD30)</f>
        <v xml:space="preserve"> </v>
      </c>
      <c r="Y30" s="404" t="str">
        <f>IF('DATA DE LAS 12'!BE30=0," ",'DATA DE LAS 12'!BE30)</f>
        <v xml:space="preserve"> </v>
      </c>
      <c r="Z30" s="404" t="str">
        <f>IF('DATA DE LAS 12'!BF30=0," ",'DATA DE LAS 12'!BF30)</f>
        <v xml:space="preserve"> </v>
      </c>
      <c r="AA30" s="404" t="str">
        <f>IF('DATA DE LAS 12'!BG30=0," ",'DATA DE LAS 12'!BG30)</f>
        <v xml:space="preserve"> </v>
      </c>
      <c r="AB30" s="404" t="str">
        <f>IF('DATA DE LAS 12'!BY30=0," ",'DATA DE LAS 12'!BY30)</f>
        <v xml:space="preserve"> </v>
      </c>
      <c r="AC30" s="404">
        <v>13</v>
      </c>
      <c r="AD30" s="404">
        <v>25</v>
      </c>
      <c r="AE30" s="404">
        <v>550</v>
      </c>
      <c r="AF30" s="404">
        <v>427</v>
      </c>
      <c r="AG30" s="404" t="str">
        <f>IF('DATA DE LAS 12'!W30=0," ",'DATA DE LAS 12'!W30)</f>
        <v xml:space="preserve"> </v>
      </c>
    </row>
    <row r="31" spans="1:33">
      <c r="A31" s="620">
        <f t="shared" si="0"/>
        <v>45103</v>
      </c>
      <c r="B31" s="406">
        <f>IF('DATA DE LAS 12'!C31=0," ",'DATA DE LAS 12'!C31)</f>
        <v>0.85416666666666663</v>
      </c>
      <c r="C31" s="398" t="str">
        <f>IF('DATA DE LAS 12'!E31=0," ",'DATA DE LAS 12'!E31)</f>
        <v xml:space="preserve"> </v>
      </c>
      <c r="D31" s="398" t="e">
        <f>IF('DATA DE LAS 12'!#REF!=0," ",'DATA DE LAS 12'!#REF!)</f>
        <v>#REF!</v>
      </c>
      <c r="E31" s="398" t="str">
        <f>IF('DATA DE LAS 12'!AM31=0," ",'DATA DE LAS 12'!AM31)</f>
        <v xml:space="preserve"> </v>
      </c>
      <c r="F31" s="398" t="str">
        <f>IF('DATA DE LAS 12'!AL31=0," ",'DATA DE LAS 12'!AL31)</f>
        <v xml:space="preserve"> </v>
      </c>
      <c r="G31" s="398" t="str">
        <f>IF('DATA DE LAS 12'!AQ31=0," ",'DATA DE LAS 12'!AQ31)</f>
        <v xml:space="preserve"> </v>
      </c>
      <c r="H31" s="398" t="str">
        <f>IF('DATA DE LAS 12'!Z31=0," ",'DATA DE LAS 12'!Z31)</f>
        <v xml:space="preserve"> </v>
      </c>
      <c r="I31" s="398" t="str">
        <f>IF('DATA DE LAS 12'!AN31=0," ",'DATA DE LAS 12'!AN31)</f>
        <v xml:space="preserve"> </v>
      </c>
      <c r="J31" s="398" t="str">
        <f>IF('DATA DE LAS 12'!F31=0," ",'DATA DE LAS 12'!F31)</f>
        <v xml:space="preserve"> </v>
      </c>
      <c r="K31" s="398" t="str">
        <f>IF('DATA DE LAS 12'!G31=0," ",'DATA DE LAS 12'!G31)</f>
        <v xml:space="preserve"> </v>
      </c>
      <c r="L31" s="398" t="str">
        <f>IF('DATA DE LAS 12'!H31=0," ",'DATA DE LAS 12'!H31)</f>
        <v xml:space="preserve"> </v>
      </c>
      <c r="M31" s="398" t="str">
        <f>IF('DATA DE LAS 12'!V31=0," ",'DATA DE LAS 12'!V31)</f>
        <v xml:space="preserve"> </v>
      </c>
      <c r="N31" s="398" t="str">
        <f>IF('DATA DE LAS 12'!X31=0," ",'DATA DE LAS 12'!X31)</f>
        <v xml:space="preserve"> </v>
      </c>
      <c r="O31" s="404" t="str">
        <f>IF('DATA DE LAS 12'!BB31=0," ",'DATA DE LAS 12'!BB31)</f>
        <v xml:space="preserve"> </v>
      </c>
      <c r="P31" s="400"/>
      <c r="Q31" s="400"/>
      <c r="R31" s="400"/>
      <c r="S31" s="400"/>
      <c r="T31" s="400"/>
      <c r="U31" s="400"/>
      <c r="V31" s="400"/>
      <c r="W31" s="400"/>
      <c r="X31" s="404" t="str">
        <f>IF('DATA DE LAS 12'!BD31=0," ",'DATA DE LAS 12'!BD31)</f>
        <v xml:space="preserve"> </v>
      </c>
      <c r="Y31" s="404" t="str">
        <f>IF('DATA DE LAS 12'!BE31=0," ",'DATA DE LAS 12'!BE31)</f>
        <v xml:space="preserve"> </v>
      </c>
      <c r="Z31" s="404" t="str">
        <f>IF('DATA DE LAS 12'!BF31=0," ",'DATA DE LAS 12'!BF31)</f>
        <v xml:space="preserve"> </v>
      </c>
      <c r="AA31" s="404" t="str">
        <f>IF('DATA DE LAS 12'!BG31=0," ",'DATA DE LAS 12'!BG31)</f>
        <v xml:space="preserve"> </v>
      </c>
      <c r="AB31" s="404" t="str">
        <f>IF('DATA DE LAS 12'!BY31=0," ",'DATA DE LAS 12'!BY31)</f>
        <v xml:space="preserve"> </v>
      </c>
      <c r="AC31" s="404">
        <v>13</v>
      </c>
      <c r="AD31" s="404">
        <v>25</v>
      </c>
      <c r="AE31" s="404">
        <v>550</v>
      </c>
      <c r="AF31" s="404">
        <v>427</v>
      </c>
      <c r="AG31" s="404" t="str">
        <f>IF('DATA DE LAS 12'!W31=0," ",'DATA DE LAS 12'!W31)</f>
        <v xml:space="preserve"> </v>
      </c>
    </row>
    <row r="32" spans="1:33">
      <c r="A32" s="620">
        <f t="shared" si="0"/>
        <v>45104</v>
      </c>
      <c r="B32" s="406">
        <f>IF('DATA DE LAS 12'!C32=0," ",'DATA DE LAS 12'!C32)</f>
        <v>0.89583333333333304</v>
      </c>
      <c r="C32" s="398" t="str">
        <f>IF('DATA DE LAS 12'!E32=0," ",'DATA DE LAS 12'!E32)</f>
        <v xml:space="preserve"> </v>
      </c>
      <c r="D32" s="398" t="e">
        <f>IF('DATA DE LAS 12'!#REF!=0," ",'DATA DE LAS 12'!#REF!)</f>
        <v>#REF!</v>
      </c>
      <c r="E32" s="398" t="str">
        <f>IF('DATA DE LAS 12'!AM32=0," ",'DATA DE LAS 12'!AM32)</f>
        <v xml:space="preserve"> </v>
      </c>
      <c r="F32" s="398" t="str">
        <f>IF('DATA DE LAS 12'!AL32=0," ",'DATA DE LAS 12'!AL32)</f>
        <v xml:space="preserve"> </v>
      </c>
      <c r="G32" s="398" t="str">
        <f>IF('DATA DE LAS 12'!AQ32=0," ",'DATA DE LAS 12'!AQ32)</f>
        <v xml:space="preserve"> </v>
      </c>
      <c r="H32" s="398" t="str">
        <f>IF('DATA DE LAS 12'!Z32=0," ",'DATA DE LAS 12'!Z32)</f>
        <v xml:space="preserve"> </v>
      </c>
      <c r="I32" s="398" t="str">
        <f>IF('DATA DE LAS 12'!AN32=0," ",'DATA DE LAS 12'!AN32)</f>
        <v xml:space="preserve"> </v>
      </c>
      <c r="J32" s="398" t="str">
        <f>IF('DATA DE LAS 12'!F32=0," ",'DATA DE LAS 12'!F32)</f>
        <v xml:space="preserve"> </v>
      </c>
      <c r="K32" s="398" t="str">
        <f>IF('DATA DE LAS 12'!G32=0," ",'DATA DE LAS 12'!G32)</f>
        <v xml:space="preserve"> </v>
      </c>
      <c r="L32" s="398" t="str">
        <f>IF('DATA DE LAS 12'!H32=0," ",'DATA DE LAS 12'!H32)</f>
        <v xml:space="preserve"> </v>
      </c>
      <c r="M32" s="398" t="str">
        <f>IF('DATA DE LAS 12'!V32=0," ",'DATA DE LAS 12'!V32)</f>
        <v xml:space="preserve"> </v>
      </c>
      <c r="N32" s="398" t="str">
        <f>IF('DATA DE LAS 12'!X32=0," ",'DATA DE LAS 12'!X32)</f>
        <v xml:space="preserve"> </v>
      </c>
      <c r="O32" s="404" t="str">
        <f>IF('DATA DE LAS 12'!BB32=0," ",'DATA DE LAS 12'!BB32)</f>
        <v xml:space="preserve"> </v>
      </c>
      <c r="P32" s="400"/>
      <c r="Q32" s="400"/>
      <c r="R32" s="400"/>
      <c r="S32" s="400"/>
      <c r="T32" s="400"/>
      <c r="U32" s="400"/>
      <c r="V32" s="400"/>
      <c r="W32" s="400"/>
      <c r="X32" s="404" t="str">
        <f>IF('DATA DE LAS 12'!BD32=0," ",'DATA DE LAS 12'!BD32)</f>
        <v xml:space="preserve"> </v>
      </c>
      <c r="Y32" s="404" t="str">
        <f>IF('DATA DE LAS 12'!BE32=0," ",'DATA DE LAS 12'!BE32)</f>
        <v xml:space="preserve"> </v>
      </c>
      <c r="Z32" s="404" t="str">
        <f>IF('DATA DE LAS 12'!BF32=0," ",'DATA DE LAS 12'!BF32)</f>
        <v xml:space="preserve"> </v>
      </c>
      <c r="AA32" s="404" t="str">
        <f>IF('DATA DE LAS 12'!BG32=0," ",'DATA DE LAS 12'!BG32)</f>
        <v xml:space="preserve"> </v>
      </c>
      <c r="AB32" s="404" t="str">
        <f>IF('DATA DE LAS 12'!BY32=0," ",'DATA DE LAS 12'!BY32)</f>
        <v xml:space="preserve"> </v>
      </c>
      <c r="AC32" s="404">
        <v>13</v>
      </c>
      <c r="AD32" s="404">
        <v>25</v>
      </c>
      <c r="AE32" s="404">
        <v>550</v>
      </c>
      <c r="AF32" s="404">
        <v>427</v>
      </c>
      <c r="AG32" s="404" t="str">
        <f>IF('DATA DE LAS 12'!W32=0," ",'DATA DE LAS 12'!W32)</f>
        <v xml:space="preserve"> </v>
      </c>
    </row>
    <row r="33" spans="1:84">
      <c r="A33" s="620">
        <f t="shared" si="0"/>
        <v>45105</v>
      </c>
      <c r="B33" s="406">
        <f>IF('DATA DE LAS 12'!C33=0," ",'DATA DE LAS 12'!C33)</f>
        <v>0.92152777777777783</v>
      </c>
      <c r="C33" s="398" t="str">
        <f>IF('DATA DE LAS 12'!E33=0," ",'DATA DE LAS 12'!E33)</f>
        <v xml:space="preserve"> </v>
      </c>
      <c r="D33" s="398" t="e">
        <f>IF('DATA DE LAS 12'!#REF!=0," ",'DATA DE LAS 12'!#REF!)</f>
        <v>#REF!</v>
      </c>
      <c r="E33" s="398" t="str">
        <f>IF('DATA DE LAS 12'!AM33=0," ",'DATA DE LAS 12'!AM33)</f>
        <v xml:space="preserve"> </v>
      </c>
      <c r="F33" s="398" t="str">
        <f>IF('DATA DE LAS 12'!AL33=0," ",'DATA DE LAS 12'!AL33)</f>
        <v xml:space="preserve"> </v>
      </c>
      <c r="G33" s="398" t="str">
        <f>IF('DATA DE LAS 12'!AQ33=0," ",'DATA DE LAS 12'!AQ33)</f>
        <v xml:space="preserve"> </v>
      </c>
      <c r="H33" s="398" t="str">
        <f>IF('DATA DE LAS 12'!Z33=0," ",'DATA DE LAS 12'!Z33)</f>
        <v xml:space="preserve"> </v>
      </c>
      <c r="I33" s="398" t="str">
        <f>IF('DATA DE LAS 12'!AN33=0," ",'DATA DE LAS 12'!AN33)</f>
        <v xml:space="preserve"> </v>
      </c>
      <c r="J33" s="398" t="str">
        <f>IF('DATA DE LAS 12'!F33=0," ",'DATA DE LAS 12'!F33)</f>
        <v xml:space="preserve"> </v>
      </c>
      <c r="K33" s="398" t="str">
        <f>IF('DATA DE LAS 12'!G33=0," ",'DATA DE LAS 12'!G33)</f>
        <v xml:space="preserve"> </v>
      </c>
      <c r="L33" s="398" t="str">
        <f>IF('DATA DE LAS 12'!H33=0," ",'DATA DE LAS 12'!H33)</f>
        <v xml:space="preserve"> </v>
      </c>
      <c r="M33" s="398" t="str">
        <f>IF('DATA DE LAS 12'!V33=0," ",'DATA DE LAS 12'!V33)</f>
        <v xml:space="preserve"> </v>
      </c>
      <c r="N33" s="398" t="str">
        <f>IF('DATA DE LAS 12'!X33=0," ",'DATA DE LAS 12'!X33)</f>
        <v xml:space="preserve"> </v>
      </c>
      <c r="O33" s="404" t="str">
        <f>IF('DATA DE LAS 12'!BB33=0," ",'DATA DE LAS 12'!BB33)</f>
        <v xml:space="preserve"> </v>
      </c>
      <c r="P33" s="400"/>
      <c r="Q33" s="400"/>
      <c r="R33" s="400"/>
      <c r="S33" s="400"/>
      <c r="T33" s="400"/>
      <c r="U33" s="400"/>
      <c r="V33" s="400"/>
      <c r="W33" s="400"/>
      <c r="X33" s="404" t="str">
        <f>IF('DATA DE LAS 12'!BD33=0," ",'DATA DE LAS 12'!BD33)</f>
        <v xml:space="preserve"> </v>
      </c>
      <c r="Y33" s="404" t="str">
        <f>IF('DATA DE LAS 12'!BE33=0," ",'DATA DE LAS 12'!BE33)</f>
        <v xml:space="preserve"> </v>
      </c>
      <c r="Z33" s="404" t="str">
        <f>IF('DATA DE LAS 12'!BF33=0," ",'DATA DE LAS 12'!BF33)</f>
        <v xml:space="preserve"> </v>
      </c>
      <c r="AA33" s="404" t="str">
        <f>IF('DATA DE LAS 12'!BG33=0," ",'DATA DE LAS 12'!BG33)</f>
        <v xml:space="preserve"> </v>
      </c>
      <c r="AB33" s="404" t="str">
        <f>IF('DATA DE LAS 12'!BY33=0," ",'DATA DE LAS 12'!BY33)</f>
        <v xml:space="preserve"> </v>
      </c>
      <c r="AC33" s="404">
        <v>13</v>
      </c>
      <c r="AD33" s="404">
        <v>25</v>
      </c>
      <c r="AE33" s="404">
        <v>550</v>
      </c>
      <c r="AF33" s="404">
        <v>427</v>
      </c>
      <c r="AG33" s="404" t="str">
        <f>IF('DATA DE LAS 12'!W33=0," ",'DATA DE LAS 12'!W33)</f>
        <v xml:space="preserve"> </v>
      </c>
    </row>
    <row r="34" spans="1:84">
      <c r="A34" s="620">
        <f t="shared" si="0"/>
        <v>45106</v>
      </c>
      <c r="B34" s="406">
        <f>IF('DATA DE LAS 12'!C34=0," ",'DATA DE LAS 12'!C34)</f>
        <v>0.89097222222222217</v>
      </c>
      <c r="C34" s="398" t="str">
        <f>IF('DATA DE LAS 12'!E34=0," ",'DATA DE LAS 12'!E34)</f>
        <v xml:space="preserve"> </v>
      </c>
      <c r="D34" s="398" t="e">
        <f>IF('DATA DE LAS 12'!#REF!=0," ",'DATA DE LAS 12'!#REF!)</f>
        <v>#REF!</v>
      </c>
      <c r="E34" s="398" t="str">
        <f>IF('DATA DE LAS 12'!AM34=0," ",'DATA DE LAS 12'!AM34)</f>
        <v xml:space="preserve"> </v>
      </c>
      <c r="F34" s="398" t="str">
        <f>IF('DATA DE LAS 12'!AL34=0," ",'DATA DE LAS 12'!AL34)</f>
        <v xml:space="preserve"> </v>
      </c>
      <c r="G34" s="398" t="str">
        <f>IF('DATA DE LAS 12'!AQ34=0," ",'DATA DE LAS 12'!AQ34)</f>
        <v xml:space="preserve"> </v>
      </c>
      <c r="H34" s="398" t="str">
        <f>IF('DATA DE LAS 12'!Z34=0," ",'DATA DE LAS 12'!Z34)</f>
        <v xml:space="preserve"> </v>
      </c>
      <c r="I34" s="398" t="str">
        <f>IF('DATA DE LAS 12'!AN34=0," ",'DATA DE LAS 12'!AN34)</f>
        <v xml:space="preserve"> </v>
      </c>
      <c r="J34" s="398" t="str">
        <f>IF('DATA DE LAS 12'!F34=0," ",'DATA DE LAS 12'!F34)</f>
        <v xml:space="preserve"> </v>
      </c>
      <c r="K34" s="398" t="str">
        <f>IF('DATA DE LAS 12'!G34=0," ",'DATA DE LAS 12'!G34)</f>
        <v xml:space="preserve"> </v>
      </c>
      <c r="L34" s="398" t="str">
        <f>IF('DATA DE LAS 12'!H34=0," ",'DATA DE LAS 12'!H34)</f>
        <v xml:space="preserve"> </v>
      </c>
      <c r="M34" s="398" t="str">
        <f>IF('DATA DE LAS 12'!V34=0," ",'DATA DE LAS 12'!V34)</f>
        <v xml:space="preserve"> </v>
      </c>
      <c r="N34" s="398" t="str">
        <f>IF('DATA DE LAS 12'!X34=0," ",'DATA DE LAS 12'!X34)</f>
        <v xml:space="preserve"> </v>
      </c>
      <c r="O34" s="404" t="str">
        <f>IF('DATA DE LAS 12'!BB34=0," ",'DATA DE LAS 12'!BB34)</f>
        <v xml:space="preserve"> </v>
      </c>
      <c r="P34" s="400"/>
      <c r="Q34" s="400"/>
      <c r="R34" s="400"/>
      <c r="S34" s="400"/>
      <c r="T34" s="400"/>
      <c r="U34" s="400"/>
      <c r="V34" s="400"/>
      <c r="W34" s="400"/>
      <c r="X34" s="404" t="str">
        <f>IF('DATA DE LAS 12'!BD34=0," ",'DATA DE LAS 12'!BD34)</f>
        <v xml:space="preserve"> </v>
      </c>
      <c r="Y34" s="404" t="str">
        <f>IF('DATA DE LAS 12'!BE34=0," ",'DATA DE LAS 12'!BE34)</f>
        <v xml:space="preserve"> </v>
      </c>
      <c r="Z34" s="404" t="str">
        <f>IF('DATA DE LAS 12'!BF34=0," ",'DATA DE LAS 12'!BF34)</f>
        <v xml:space="preserve"> </v>
      </c>
      <c r="AA34" s="404" t="str">
        <f>IF('DATA DE LAS 12'!BG34=0," ",'DATA DE LAS 12'!BG34)</f>
        <v xml:space="preserve"> </v>
      </c>
      <c r="AB34" s="404" t="str">
        <f>IF('DATA DE LAS 12'!BY34=0," ",'DATA DE LAS 12'!BY34)</f>
        <v xml:space="preserve"> </v>
      </c>
      <c r="AC34" s="404">
        <v>13</v>
      </c>
      <c r="AD34" s="404">
        <v>25</v>
      </c>
      <c r="AE34" s="404">
        <v>550</v>
      </c>
      <c r="AF34" s="404">
        <v>427</v>
      </c>
      <c r="AG34" s="404" t="str">
        <f>IF('DATA DE LAS 12'!W34=0," ",'DATA DE LAS 12'!W34)</f>
        <v xml:space="preserve"> </v>
      </c>
    </row>
    <row r="35" spans="1:84" ht="15" thickBot="1">
      <c r="A35" s="620">
        <f t="shared" si="0"/>
        <v>45107</v>
      </c>
      <c r="B35" s="406">
        <f>IF('DATA DE LAS 12'!C35=0," ",'DATA DE LAS 12'!C35)</f>
        <v>0.80902777777777779</v>
      </c>
      <c r="C35" s="398" t="str">
        <f>IF('DATA DE LAS 12'!E35=0," ",'DATA DE LAS 12'!E35)</f>
        <v xml:space="preserve"> </v>
      </c>
      <c r="D35" s="398" t="e">
        <f>IF('DATA DE LAS 12'!#REF!=0," ",'DATA DE LAS 12'!#REF!)</f>
        <v>#REF!</v>
      </c>
      <c r="E35" s="398" t="str">
        <f>IF('DATA DE LAS 12'!AM35=0," ",'DATA DE LAS 12'!AM35)</f>
        <v xml:space="preserve"> </v>
      </c>
      <c r="F35" s="398" t="str">
        <f>IF('DATA DE LAS 12'!AL35=0," ",'DATA DE LAS 12'!AL35)</f>
        <v xml:space="preserve"> </v>
      </c>
      <c r="G35" s="398" t="str">
        <f>IF('DATA DE LAS 12'!AQ35=0," ",'DATA DE LAS 12'!AQ35)</f>
        <v xml:space="preserve"> </v>
      </c>
      <c r="H35" s="398" t="str">
        <f>IF('DATA DE LAS 12'!Z35=0," ",'DATA DE LAS 12'!Z35)</f>
        <v xml:space="preserve"> </v>
      </c>
      <c r="I35" s="398" t="str">
        <f>IF('DATA DE LAS 12'!AN35=0," ",'DATA DE LAS 12'!AN35)</f>
        <v xml:space="preserve"> </v>
      </c>
      <c r="J35" s="398" t="str">
        <f>IF('DATA DE LAS 12'!F35=0," ",'DATA DE LAS 12'!F35)</f>
        <v xml:space="preserve"> </v>
      </c>
      <c r="K35" s="398" t="str">
        <f>IF('DATA DE LAS 12'!G35=0," ",'DATA DE LAS 12'!G35)</f>
        <v xml:space="preserve"> </v>
      </c>
      <c r="L35" s="398" t="str">
        <f>IF('DATA DE LAS 12'!H35=0," ",'DATA DE LAS 12'!H35)</f>
        <v xml:space="preserve"> </v>
      </c>
      <c r="M35" s="398" t="str">
        <f>IF('DATA DE LAS 12'!V35=0," ",'DATA DE LAS 12'!V35)</f>
        <v xml:space="preserve"> </v>
      </c>
      <c r="N35" s="398" t="str">
        <f>IF('DATA DE LAS 12'!X35=0," ",'DATA DE LAS 12'!X35)</f>
        <v xml:space="preserve"> </v>
      </c>
      <c r="O35" s="404" t="str">
        <f>IF('DATA DE LAS 12'!BB35=0," ",'DATA DE LAS 12'!BB35)</f>
        <v xml:space="preserve"> </v>
      </c>
      <c r="P35" s="400"/>
      <c r="Q35" s="400"/>
      <c r="R35" s="400"/>
      <c r="S35" s="400"/>
      <c r="T35" s="400"/>
      <c r="U35" s="400"/>
      <c r="V35" s="400"/>
      <c r="W35" s="400"/>
      <c r="X35" s="404" t="str">
        <f>IF('DATA DE LAS 12'!BD35=0," ",'DATA DE LAS 12'!BD35)</f>
        <v xml:space="preserve"> </v>
      </c>
      <c r="Y35" s="404" t="str">
        <f>IF('DATA DE LAS 12'!BE35=0," ",'DATA DE LAS 12'!BE35)</f>
        <v xml:space="preserve"> </v>
      </c>
      <c r="Z35" s="404" t="str">
        <f>IF('DATA DE LAS 12'!BF35=0," ",'DATA DE LAS 12'!BF35)</f>
        <v xml:space="preserve"> </v>
      </c>
      <c r="AA35" s="404" t="str">
        <f>IF('DATA DE LAS 12'!BG35=0," ",'DATA DE LAS 12'!BG35)</f>
        <v xml:space="preserve"> </v>
      </c>
      <c r="AB35" s="404" t="str">
        <f>IF('DATA DE LAS 12'!BY35=0," ",'DATA DE LAS 12'!BY35)</f>
        <v xml:space="preserve"> </v>
      </c>
      <c r="AC35" s="404">
        <v>13</v>
      </c>
      <c r="AD35" s="404">
        <v>25</v>
      </c>
      <c r="AE35" s="404">
        <v>550</v>
      </c>
      <c r="AF35" s="404">
        <v>427</v>
      </c>
      <c r="AG35" s="404" t="str">
        <f>IF('DATA DE LAS 12'!W35=0," ",'DATA DE LAS 12'!W35)</f>
        <v xml:space="preserve"> </v>
      </c>
    </row>
    <row r="36" spans="1:84" ht="15" hidden="1" thickBot="1">
      <c r="A36" s="620">
        <f t="shared" si="0"/>
        <v>45108</v>
      </c>
      <c r="B36" s="406" t="str">
        <f>IF('DATA DE LAS 12'!C37=0," ",'DATA DE LAS 12'!C37)</f>
        <v xml:space="preserve"> </v>
      </c>
      <c r="C36" s="398">
        <f>IF('DATA DE LAS 12'!E36=0," ",'DATA DE LAS 12'!E36)</f>
        <v>13.7</v>
      </c>
      <c r="D36" s="398" t="e">
        <f>IF('DATA DE LAS 12'!#REF!=0," ",'DATA DE LAS 12'!#REF!)</f>
        <v>#REF!</v>
      </c>
      <c r="E36" s="398">
        <f>IF('DATA DE LAS 12'!AM36=0," ",'DATA DE LAS 12'!AM36)</f>
        <v>7</v>
      </c>
      <c r="F36" s="398">
        <f>IF('DATA DE LAS 12'!AL36=0," ",'DATA DE LAS 12'!AL36)</f>
        <v>13.81</v>
      </c>
      <c r="G36" s="398">
        <f>IF('DATA DE LAS 12'!AQ36=0," ",'DATA DE LAS 12'!AQ36)</f>
        <v>641</v>
      </c>
      <c r="H36" s="398">
        <f>IF('DATA DE LAS 12'!Z36=0," ",'DATA DE LAS 12'!Z36)</f>
        <v>60</v>
      </c>
      <c r="I36" s="398">
        <f>IF('DATA DE LAS 12'!AN36=0," ",'DATA DE LAS 12'!AN36)</f>
        <v>4.2</v>
      </c>
      <c r="J36" s="398">
        <f>IF('DATA DE LAS 12'!F36=0," ",'DATA DE LAS 12'!F36)</f>
        <v>4.9000000000000004</v>
      </c>
      <c r="K36" s="398">
        <f>IF('DATA DE LAS 12'!G36=0," ",'DATA DE LAS 12'!G36)</f>
        <v>1.8</v>
      </c>
      <c r="L36" s="398">
        <f>IF('DATA DE LAS 12'!H36=0," ",'DATA DE LAS 12'!H36)</f>
        <v>2</v>
      </c>
      <c r="M36" s="398">
        <f>IF('DATA DE LAS 12'!V36=0," ",'DATA DE LAS 12'!V36)</f>
        <v>7.71</v>
      </c>
      <c r="N36" s="398">
        <f>IF('DATA DE LAS 12'!X36=0," ",'DATA DE LAS 12'!X36)</f>
        <v>320</v>
      </c>
      <c r="O36" s="404">
        <f>IF('DATA DE LAS 12'!BB36=0," ",'DATA DE LAS 12'!BB36)</f>
        <v>58</v>
      </c>
      <c r="P36" s="400"/>
      <c r="Q36" s="400"/>
      <c r="R36" s="400"/>
      <c r="S36" s="400"/>
      <c r="T36" s="400"/>
      <c r="U36" s="400"/>
      <c r="V36" s="400"/>
      <c r="W36" s="400"/>
      <c r="X36" s="404">
        <f>IF('DATA DE LAS 12'!BD36=0," ",'DATA DE LAS 12'!BD36)</f>
        <v>326</v>
      </c>
      <c r="Y36" s="404">
        <f>IF('DATA DE LAS 12'!BE36=0," ",'DATA DE LAS 12'!BE36)</f>
        <v>313</v>
      </c>
      <c r="Z36" s="404">
        <f>IF('DATA DE LAS 12'!BF36=0," ",'DATA DE LAS 12'!BF36)</f>
        <v>371</v>
      </c>
      <c r="AA36" s="404">
        <f>IF('DATA DE LAS 12'!BG36=0," ",'DATA DE LAS 12'!BG36)</f>
        <v>373</v>
      </c>
      <c r="AB36" s="404">
        <f>IF('DATA DE LAS 12'!BY36=0," ",'DATA DE LAS 12'!BY36)</f>
        <v>397</v>
      </c>
      <c r="AC36" s="404">
        <v>13</v>
      </c>
      <c r="AD36" s="404">
        <v>25</v>
      </c>
      <c r="AE36" s="404">
        <v>550</v>
      </c>
      <c r="AF36" s="404">
        <v>427</v>
      </c>
      <c r="AG36" s="404">
        <f>IF('DATA DE LAS 12'!W36=0," ",'DATA DE LAS 12'!W36)</f>
        <v>515</v>
      </c>
    </row>
    <row r="37" spans="1:84" ht="21.6" thickBot="1">
      <c r="A37" s="2421" t="s">
        <v>425</v>
      </c>
      <c r="B37" s="2422"/>
      <c r="F37" s="398"/>
      <c r="AC37" s="404"/>
      <c r="AD37" s="404"/>
      <c r="AE37" s="404"/>
      <c r="AF37" s="404"/>
      <c r="AG37" s="404"/>
    </row>
    <row r="38" spans="1:84" ht="36" customHeight="1">
      <c r="A38" s="2415" t="s">
        <v>400</v>
      </c>
      <c r="B38" s="2418" t="s">
        <v>401</v>
      </c>
      <c r="C38" s="391" t="s">
        <v>381</v>
      </c>
      <c r="D38" s="391" t="s">
        <v>582</v>
      </c>
      <c r="E38" s="392" t="s">
        <v>382</v>
      </c>
      <c r="F38" s="392" t="s">
        <v>383</v>
      </c>
      <c r="G38" s="391" t="s">
        <v>562</v>
      </c>
      <c r="H38" s="391" t="s">
        <v>384</v>
      </c>
      <c r="I38" s="391" t="s">
        <v>450</v>
      </c>
      <c r="J38" s="391" t="s">
        <v>385</v>
      </c>
      <c r="K38" s="391" t="s">
        <v>386</v>
      </c>
      <c r="L38" s="391" t="s">
        <v>387</v>
      </c>
      <c r="M38" s="391" t="s">
        <v>388</v>
      </c>
      <c r="N38" s="391" t="s">
        <v>389</v>
      </c>
      <c r="O38" s="391" t="s">
        <v>390</v>
      </c>
      <c r="P38" s="391" t="s">
        <v>391</v>
      </c>
      <c r="Q38" s="391" t="s">
        <v>392</v>
      </c>
      <c r="R38" s="391" t="s">
        <v>388</v>
      </c>
      <c r="S38" s="391" t="s">
        <v>393</v>
      </c>
      <c r="T38" s="391" t="s">
        <v>394</v>
      </c>
      <c r="U38" s="391" t="s">
        <v>395</v>
      </c>
      <c r="V38" s="391" t="s">
        <v>396</v>
      </c>
      <c r="W38" s="391" t="s">
        <v>397</v>
      </c>
      <c r="X38" s="391" t="s">
        <v>398</v>
      </c>
      <c r="Y38" s="391" t="s">
        <v>398</v>
      </c>
      <c r="Z38" s="391" t="s">
        <v>398</v>
      </c>
      <c r="AA38" s="391" t="s">
        <v>398</v>
      </c>
      <c r="AB38" s="391" t="s">
        <v>399</v>
      </c>
      <c r="AC38" s="394" t="s">
        <v>576</v>
      </c>
      <c r="AD38" s="394" t="s">
        <v>577</v>
      </c>
      <c r="AE38" s="394" t="s">
        <v>578</v>
      </c>
      <c r="AF38" s="394" t="s">
        <v>579</v>
      </c>
      <c r="AG38" s="395" t="s">
        <v>439</v>
      </c>
    </row>
    <row r="39" spans="1:84" ht="15.75" customHeight="1">
      <c r="A39" s="2416"/>
      <c r="B39" s="2419"/>
      <c r="C39" s="1070" t="s">
        <v>402</v>
      </c>
      <c r="D39" s="1070" t="s">
        <v>402</v>
      </c>
      <c r="E39" s="1070" t="s">
        <v>402</v>
      </c>
      <c r="F39" s="1070" t="s">
        <v>402</v>
      </c>
      <c r="G39" s="1070" t="s">
        <v>402</v>
      </c>
      <c r="H39" s="1070" t="s">
        <v>1261</v>
      </c>
      <c r="I39" s="1071" t="s">
        <v>405</v>
      </c>
      <c r="J39" s="1071" t="s">
        <v>405</v>
      </c>
      <c r="K39" s="1070" t="s">
        <v>406</v>
      </c>
      <c r="L39" s="1070" t="s">
        <v>406</v>
      </c>
      <c r="M39" s="1072" t="s">
        <v>1257</v>
      </c>
      <c r="N39" s="1070" t="s">
        <v>1258</v>
      </c>
      <c r="O39" s="1070" t="s">
        <v>1259</v>
      </c>
      <c r="P39" s="1070"/>
      <c r="Q39" s="1070"/>
      <c r="R39" s="1070"/>
      <c r="S39" s="1070"/>
      <c r="T39" s="1070" t="s">
        <v>410</v>
      </c>
      <c r="U39" s="1070"/>
      <c r="V39" s="1070"/>
      <c r="W39" s="1070"/>
      <c r="X39" s="1070" t="s">
        <v>1253</v>
      </c>
      <c r="Y39" s="1070" t="s">
        <v>1254</v>
      </c>
      <c r="Z39" s="1070" t="s">
        <v>1255</v>
      </c>
      <c r="AA39" s="1070" t="s">
        <v>1256</v>
      </c>
      <c r="AB39" s="1070" t="s">
        <v>1252</v>
      </c>
      <c r="AC39" s="1057"/>
      <c r="AD39" s="1057"/>
      <c r="AE39" s="1057"/>
      <c r="AF39" s="1057"/>
      <c r="AG39" s="396" t="s">
        <v>494</v>
      </c>
    </row>
    <row r="40" spans="1:84" ht="15" thickBot="1">
      <c r="A40" s="2417"/>
      <c r="B40" s="2420"/>
      <c r="C40" s="1073" t="s">
        <v>416</v>
      </c>
      <c r="D40" s="1073" t="s">
        <v>580</v>
      </c>
      <c r="E40" s="1073" t="s">
        <v>417</v>
      </c>
      <c r="F40" s="1073" t="s">
        <v>418</v>
      </c>
      <c r="G40" s="1073" t="s">
        <v>539</v>
      </c>
      <c r="H40" s="1073" t="s">
        <v>419</v>
      </c>
      <c r="I40" s="1073" t="s">
        <v>421</v>
      </c>
      <c r="J40" s="1073" t="s">
        <v>421</v>
      </c>
      <c r="K40" s="1073" t="s">
        <v>421</v>
      </c>
      <c r="L40" s="1073" t="s">
        <v>421</v>
      </c>
      <c r="M40" s="1073" t="s">
        <v>422</v>
      </c>
      <c r="N40" s="1073" t="s">
        <v>423</v>
      </c>
      <c r="O40" s="1073" t="s">
        <v>423</v>
      </c>
      <c r="P40" s="1073" t="s">
        <v>424</v>
      </c>
      <c r="Q40" s="1073" t="s">
        <v>424</v>
      </c>
      <c r="R40" s="1073" t="s">
        <v>424</v>
      </c>
      <c r="S40" s="1073" t="s">
        <v>424</v>
      </c>
      <c r="T40" s="1073" t="s">
        <v>424</v>
      </c>
      <c r="U40" s="1073" t="s">
        <v>424</v>
      </c>
      <c r="V40" s="1073" t="s">
        <v>423</v>
      </c>
      <c r="W40" s="1073" t="s">
        <v>424</v>
      </c>
      <c r="X40" s="1073" t="s">
        <v>423</v>
      </c>
      <c r="Y40" s="1073" t="s">
        <v>423</v>
      </c>
      <c r="Z40" s="1073" t="s">
        <v>423</v>
      </c>
      <c r="AA40" s="1073" t="s">
        <v>423</v>
      </c>
      <c r="AB40" s="1073" t="s">
        <v>423</v>
      </c>
      <c r="AC40" s="1058"/>
      <c r="AD40" s="1058"/>
      <c r="AE40" s="1058"/>
      <c r="AF40" s="1058"/>
      <c r="AG40" s="1059" t="s">
        <v>1260</v>
      </c>
    </row>
    <row r="41" spans="1:84">
      <c r="A41" s="620">
        <f>D1</f>
        <v>45078</v>
      </c>
      <c r="B41" s="407">
        <f>IF('DATA DE LAS 12'!C41=0," ",'DATA DE LAS 12'!C41)</f>
        <v>0.93819444444444444</v>
      </c>
      <c r="C41" s="398">
        <f>IF('DATA DE LAS 12'!E41=0," ",'DATA DE LAS 12'!E41)</f>
        <v>6.2</v>
      </c>
      <c r="D41" s="398" t="e">
        <f>IF('DATA DE LAS 12'!#REF!=0," ",'DATA DE LAS 12'!#REF!)</f>
        <v>#REF!</v>
      </c>
      <c r="E41" s="398">
        <f>IF('DATA DE LAS 12'!AM41=0," ",'DATA DE LAS 12'!AM41)</f>
        <v>3.4</v>
      </c>
      <c r="F41" s="398">
        <f>IF('DATA DE LAS 12'!AL41=0," ",'DATA DE LAS 12'!AL41)</f>
        <v>13.8</v>
      </c>
      <c r="G41" s="398">
        <f>IF('DATA DE LAS 12'!AQ41=0," ",'DATA DE LAS 12'!AQ41)</f>
        <v>292</v>
      </c>
      <c r="H41" s="398">
        <f>IF('DATA DE LAS 12'!Z41=0," ",'DATA DE LAS 12'!Z41)</f>
        <v>60</v>
      </c>
      <c r="I41" s="398">
        <f>IF('DATA DE LAS 12'!AN41=0," ",'DATA DE LAS 12'!AN41)</f>
        <v>3</v>
      </c>
      <c r="J41" s="398">
        <f>IF('DATA DE LAS 12'!F41=0," ",'DATA DE LAS 12'!F41)</f>
        <v>3.3</v>
      </c>
      <c r="K41" s="398">
        <f>IF('DATA DE LAS 12'!G41=0," ",'DATA DE LAS 12'!G41)</f>
        <v>1.3</v>
      </c>
      <c r="L41" s="398">
        <f>IF('DATA DE LAS 12'!H41=0," ",'DATA DE LAS 12'!H41)</f>
        <v>1.4</v>
      </c>
      <c r="M41" s="398">
        <f>IF('DATA DE LAS 12'!V41=0," ",'DATA DE LAS 12'!V41)</f>
        <v>5.71</v>
      </c>
      <c r="N41" s="398">
        <f>IF('DATA DE LAS 12'!X41=0," ",'DATA DE LAS 12'!X41)</f>
        <v>278</v>
      </c>
      <c r="O41" s="398">
        <f>IF('DATA DE LAS 12'!BB41=0," ",'DATA DE LAS 12'!BB41)</f>
        <v>56</v>
      </c>
      <c r="P41" s="400"/>
      <c r="Q41" s="400"/>
      <c r="R41" s="400"/>
      <c r="S41" s="400"/>
      <c r="T41" s="400"/>
      <c r="U41" s="400"/>
      <c r="V41" s="400"/>
      <c r="W41" s="400"/>
      <c r="X41" s="404">
        <f>IF('DATA DE LAS 12'!BD41=0," ",'DATA DE LAS 12'!BD41)</f>
        <v>297</v>
      </c>
      <c r="Y41" s="404">
        <f>IF('DATA DE LAS 12'!BE41=0," ",'DATA DE LAS 12'!BE41)</f>
        <v>277</v>
      </c>
      <c r="Z41" s="404">
        <f>IF('DATA DE LAS 12'!BF41=0," ",'DATA DE LAS 12'!BF41)</f>
        <v>326</v>
      </c>
      <c r="AA41" s="404">
        <f>IF('DATA DE LAS 12'!BG41=0," ",'DATA DE LAS 12'!BG41)</f>
        <v>331</v>
      </c>
      <c r="AB41" s="404">
        <f>IF('DATA DE LAS 12'!BY41=0," ",'DATA DE LAS 12'!BY41)</f>
        <v>359</v>
      </c>
      <c r="AC41" s="401">
        <v>13</v>
      </c>
      <c r="AD41" s="401">
        <v>25</v>
      </c>
      <c r="AE41" s="401">
        <v>550</v>
      </c>
      <c r="AF41" s="401">
        <v>427</v>
      </c>
      <c r="AG41" s="404">
        <f>IF('DATA DE LAS 12'!W41=0," ",'DATA DE LAS 12'!W41)</f>
        <v>537</v>
      </c>
    </row>
    <row r="42" spans="1:84">
      <c r="A42" s="620">
        <f>A41+1</f>
        <v>45079</v>
      </c>
      <c r="B42" s="407">
        <f>IF('DATA DE LAS 12'!C42=0," ",'DATA DE LAS 12'!C42)</f>
        <v>0.89583333333333337</v>
      </c>
      <c r="C42" s="398">
        <f>IF('DATA DE LAS 12'!E42=0," ",'DATA DE LAS 12'!E42)</f>
        <v>6.2</v>
      </c>
      <c r="D42" s="398" t="e">
        <f>IF('DATA DE LAS 12'!#REF!=0," ",'DATA DE LAS 12'!#REF!)</f>
        <v>#REF!</v>
      </c>
      <c r="E42" s="398">
        <f>IF('DATA DE LAS 12'!AM42=0," ",'DATA DE LAS 12'!AM42)</f>
        <v>3.5</v>
      </c>
      <c r="F42" s="398">
        <f>IF('DATA DE LAS 12'!AL42=0," ",'DATA DE LAS 12'!AL42)</f>
        <v>13.81</v>
      </c>
      <c r="G42" s="398">
        <f>IF('DATA DE LAS 12'!AQ42=0," ",'DATA DE LAS 12'!AQ42)</f>
        <v>296</v>
      </c>
      <c r="H42" s="398">
        <f>IF('DATA DE LAS 12'!Z42=0," ",'DATA DE LAS 12'!Z42)</f>
        <v>60</v>
      </c>
      <c r="I42" s="398">
        <f>IF('DATA DE LAS 12'!AN42=0," ",'DATA DE LAS 12'!AN42)</f>
        <v>3</v>
      </c>
      <c r="J42" s="398">
        <f>IF('DATA DE LAS 12'!F42=0," ",'DATA DE LAS 12'!F42)</f>
        <v>3.3</v>
      </c>
      <c r="K42" s="398">
        <f>IF('DATA DE LAS 12'!G42=0," ",'DATA DE LAS 12'!G42)</f>
        <v>1.3</v>
      </c>
      <c r="L42" s="398">
        <f>IF('DATA DE LAS 12'!H42=0," ",'DATA DE LAS 12'!H42)</f>
        <v>1.3</v>
      </c>
      <c r="M42" s="398">
        <f>IF('DATA DE LAS 12'!V42=0," ",'DATA DE LAS 12'!V42)</f>
        <v>5.65</v>
      </c>
      <c r="N42" s="398">
        <f>IF('DATA DE LAS 12'!X42=0," ",'DATA DE LAS 12'!X42)</f>
        <v>283</v>
      </c>
      <c r="O42" s="398">
        <f>IF('DATA DE LAS 12'!BB42=0," ",'DATA DE LAS 12'!BB42)</f>
        <v>58</v>
      </c>
      <c r="P42" s="400"/>
      <c r="Q42" s="400"/>
      <c r="R42" s="400"/>
      <c r="S42" s="400"/>
      <c r="T42" s="400"/>
      <c r="U42" s="400"/>
      <c r="V42" s="400"/>
      <c r="W42" s="400"/>
      <c r="X42" s="404">
        <f>IF('DATA DE LAS 12'!BD42=0," ",'DATA DE LAS 12'!BD42)</f>
        <v>302</v>
      </c>
      <c r="Y42" s="404">
        <f>IF('DATA DE LAS 12'!BE42=0," ",'DATA DE LAS 12'!BE42)</f>
        <v>282</v>
      </c>
      <c r="Z42" s="404">
        <f>IF('DATA DE LAS 12'!BF42=0," ",'DATA DE LAS 12'!BF42)</f>
        <v>330</v>
      </c>
      <c r="AA42" s="404">
        <f>IF('DATA DE LAS 12'!BG42=0," ",'DATA DE LAS 12'!BG42)</f>
        <v>335</v>
      </c>
      <c r="AB42" s="404">
        <f>IF('DATA DE LAS 12'!BY42=0," ",'DATA DE LAS 12'!BY42)</f>
        <v>366</v>
      </c>
      <c r="AC42" s="404">
        <v>13</v>
      </c>
      <c r="AD42" s="404">
        <v>25</v>
      </c>
      <c r="AE42" s="404">
        <v>550</v>
      </c>
      <c r="AF42" s="404">
        <v>427</v>
      </c>
      <c r="AG42" s="404">
        <f>IF('DATA DE LAS 12'!W42=0," ",'DATA DE LAS 12'!W42)</f>
        <v>537</v>
      </c>
    </row>
    <row r="43" spans="1:84">
      <c r="A43" s="620">
        <f t="shared" ref="A43:A71" si="1">A42+1</f>
        <v>45080</v>
      </c>
      <c r="B43" s="407">
        <f>IF('DATA DE LAS 12'!C43=0," ",'DATA DE LAS 12'!C43)</f>
        <v>0.9375</v>
      </c>
      <c r="C43" s="398">
        <f>IF('DATA DE LAS 12'!E43=0," ",'DATA DE LAS 12'!E43)</f>
        <v>6.2</v>
      </c>
      <c r="D43" s="398" t="e">
        <f>IF('DATA DE LAS 12'!#REF!=0," ",'DATA DE LAS 12'!#REF!)</f>
        <v>#REF!</v>
      </c>
      <c r="E43" s="398">
        <f>IF('DATA DE LAS 12'!AM43=0," ",'DATA DE LAS 12'!AM43)</f>
        <v>3.2</v>
      </c>
      <c r="F43" s="398">
        <f>IF('DATA DE LAS 12'!AL43=0," ",'DATA DE LAS 12'!AL43)</f>
        <v>13.81</v>
      </c>
      <c r="G43" s="398">
        <f>IF('DATA DE LAS 12'!AQ43=0," ",'DATA DE LAS 12'!AQ43)</f>
        <v>289</v>
      </c>
      <c r="H43" s="398">
        <f>IF('DATA DE LAS 12'!Z43=0," ",'DATA DE LAS 12'!Z43)</f>
        <v>60</v>
      </c>
      <c r="I43" s="398">
        <f>IF('DATA DE LAS 12'!AN43=0," ",'DATA DE LAS 12'!AN43)</f>
        <v>2.9</v>
      </c>
      <c r="J43" s="398">
        <f>IF('DATA DE LAS 12'!F43=0," ",'DATA DE LAS 12'!F43)</f>
        <v>3.2</v>
      </c>
      <c r="K43" s="398">
        <f>IF('DATA DE LAS 12'!G43=0," ",'DATA DE LAS 12'!G43)</f>
        <v>1.5</v>
      </c>
      <c r="L43" s="398">
        <f>IF('DATA DE LAS 12'!H43=0," ",'DATA DE LAS 12'!H43)</f>
        <v>1.4</v>
      </c>
      <c r="M43" s="398">
        <f>IF('DATA DE LAS 12'!V43=0," ",'DATA DE LAS 12'!V43)</f>
        <v>5.69</v>
      </c>
      <c r="N43" s="398">
        <f>IF('DATA DE LAS 12'!X43=0," ",'DATA DE LAS 12'!X43)</f>
        <v>280</v>
      </c>
      <c r="O43" s="398">
        <f>IF('DATA DE LAS 12'!BB43=0," ",'DATA DE LAS 12'!BB43)</f>
        <v>57</v>
      </c>
      <c r="P43" s="400"/>
      <c r="Q43" s="400"/>
      <c r="R43" s="400"/>
      <c r="S43" s="400"/>
      <c r="T43" s="400"/>
      <c r="U43" s="400"/>
      <c r="V43" s="400"/>
      <c r="W43" s="400"/>
      <c r="X43" s="404">
        <f>IF('DATA DE LAS 12'!BD43=0," ",'DATA DE LAS 12'!BD43)</f>
        <v>299</v>
      </c>
      <c r="Y43" s="404">
        <f>IF('DATA DE LAS 12'!BE43=0," ",'DATA DE LAS 12'!BE43)</f>
        <v>279</v>
      </c>
      <c r="Z43" s="404">
        <f>IF('DATA DE LAS 12'!BF43=0," ",'DATA DE LAS 12'!BF43)</f>
        <v>328</v>
      </c>
      <c r="AA43" s="404">
        <f>IF('DATA DE LAS 12'!BG43=0," ",'DATA DE LAS 12'!BG43)</f>
        <v>332</v>
      </c>
      <c r="AB43" s="404">
        <f>IF('DATA DE LAS 12'!BY43=0," ",'DATA DE LAS 12'!BY43)</f>
        <v>362</v>
      </c>
      <c r="AC43" s="404">
        <v>13</v>
      </c>
      <c r="AD43" s="404">
        <v>25</v>
      </c>
      <c r="AE43" s="404">
        <v>550</v>
      </c>
      <c r="AF43" s="404">
        <v>427</v>
      </c>
      <c r="AG43" s="404">
        <f>IF('DATA DE LAS 12'!W43=0," ",'DATA DE LAS 12'!W43)</f>
        <v>537</v>
      </c>
    </row>
    <row r="44" spans="1:84">
      <c r="A44" s="620">
        <f t="shared" si="1"/>
        <v>45081</v>
      </c>
      <c r="B44" s="407">
        <f>IF('DATA DE LAS 12'!C44=0," ",'DATA DE LAS 12'!C44)</f>
        <v>1.5277777777777777E-2</v>
      </c>
      <c r="C44" s="398">
        <f>IF('DATA DE LAS 12'!E44=0," ",'DATA DE LAS 12'!E44)</f>
        <v>6.2</v>
      </c>
      <c r="D44" s="398" t="e">
        <f>IF('DATA DE LAS 12'!#REF!=0," ",'DATA DE LAS 12'!#REF!)</f>
        <v>#REF!</v>
      </c>
      <c r="E44" s="398">
        <f>IF('DATA DE LAS 12'!AM44=0," ",'DATA DE LAS 12'!AM44)</f>
        <v>3.3</v>
      </c>
      <c r="F44" s="398">
        <f>IF('DATA DE LAS 12'!AL44=0," ",'DATA DE LAS 12'!AL44)</f>
        <v>13.81</v>
      </c>
      <c r="G44" s="398">
        <f>IF('DATA DE LAS 12'!AQ44=0," ",'DATA DE LAS 12'!AQ44)</f>
        <v>291</v>
      </c>
      <c r="H44" s="398">
        <f>IF('DATA DE LAS 12'!Z44=0," ",'DATA DE LAS 12'!Z44)</f>
        <v>60</v>
      </c>
      <c r="I44" s="398">
        <f>IF('DATA DE LAS 12'!AN44=0," ",'DATA DE LAS 12'!AN44)</f>
        <v>3</v>
      </c>
      <c r="J44" s="398">
        <f>IF('DATA DE LAS 12'!F44=0," ",'DATA DE LAS 12'!F44)</f>
        <v>3.2</v>
      </c>
      <c r="K44" s="398">
        <f>IF('DATA DE LAS 12'!G44=0," ",'DATA DE LAS 12'!G44)</f>
        <v>1.5</v>
      </c>
      <c r="L44" s="398">
        <f>IF('DATA DE LAS 12'!H44=0," ",'DATA DE LAS 12'!H44)</f>
        <v>1.3</v>
      </c>
      <c r="M44" s="398">
        <f>IF('DATA DE LAS 12'!V44=0," ",'DATA DE LAS 12'!V44)</f>
        <v>5.64</v>
      </c>
      <c r="N44" s="398">
        <f>IF('DATA DE LAS 12'!X44=0," ",'DATA DE LAS 12'!X44)</f>
        <v>283</v>
      </c>
      <c r="O44" s="398">
        <f>IF('DATA DE LAS 12'!BB44=0," ",'DATA DE LAS 12'!BB44)</f>
        <v>58</v>
      </c>
      <c r="P44" s="400"/>
      <c r="Q44" s="400"/>
      <c r="R44" s="400"/>
      <c r="S44" s="400"/>
      <c r="T44" s="400"/>
      <c r="U44" s="400"/>
      <c r="V44" s="400"/>
      <c r="W44" s="400"/>
      <c r="X44" s="404">
        <f>IF('DATA DE LAS 12'!BD44=0," ",'DATA DE LAS 12'!BD44)</f>
        <v>304</v>
      </c>
      <c r="Y44" s="404">
        <f>IF('DATA DE LAS 12'!BE44=0," ",'DATA DE LAS 12'!BE44)</f>
        <v>284</v>
      </c>
      <c r="Z44" s="404">
        <f>IF('DATA DE LAS 12'!BF44=0," ",'DATA DE LAS 12'!BF44)</f>
        <v>332</v>
      </c>
      <c r="AA44" s="404">
        <f>IF('DATA DE LAS 12'!BG44=0," ",'DATA DE LAS 12'!BG44)</f>
        <v>337</v>
      </c>
      <c r="AB44" s="404">
        <f>IF('DATA DE LAS 12'!BY44=0," ",'DATA DE LAS 12'!BY44)</f>
        <v>367</v>
      </c>
      <c r="AC44" s="404">
        <v>13</v>
      </c>
      <c r="AD44" s="404">
        <v>25</v>
      </c>
      <c r="AE44" s="404">
        <v>550</v>
      </c>
      <c r="AF44" s="404">
        <v>427</v>
      </c>
      <c r="AG44" s="404">
        <f>IF('DATA DE LAS 12'!W44=0," ",'DATA DE LAS 12'!W44)</f>
        <v>537</v>
      </c>
    </row>
    <row r="45" spans="1:84">
      <c r="A45" s="620">
        <f t="shared" si="1"/>
        <v>45082</v>
      </c>
      <c r="B45" s="407">
        <f>IF('DATA DE LAS 12'!C45=0," ",'DATA DE LAS 12'!C45)</f>
        <v>6.9444444444444447E-4</v>
      </c>
      <c r="C45" s="398" t="str">
        <f>IF('DATA DE LAS 12'!E45=0," ",'DATA DE LAS 12'!E45)</f>
        <v xml:space="preserve"> </v>
      </c>
      <c r="D45" s="398" t="e">
        <f>IF('DATA DE LAS 12'!#REF!=0," ",'DATA DE LAS 12'!#REF!)</f>
        <v>#REF!</v>
      </c>
      <c r="E45" s="398" t="str">
        <f>IF('DATA DE LAS 12'!AM45=0," ",'DATA DE LAS 12'!AM45)</f>
        <v xml:space="preserve"> </v>
      </c>
      <c r="F45" s="398" t="str">
        <f>IF('DATA DE LAS 12'!AL45=0," ",'DATA DE LAS 12'!AL45)</f>
        <v xml:space="preserve"> </v>
      </c>
      <c r="G45" s="398" t="str">
        <f>IF('DATA DE LAS 12'!AQ45=0," ",'DATA DE LAS 12'!AQ45)</f>
        <v xml:space="preserve"> </v>
      </c>
      <c r="H45" s="398" t="str">
        <f>IF('DATA DE LAS 12'!Z45=0," ",'DATA DE LAS 12'!Z45)</f>
        <v xml:space="preserve"> </v>
      </c>
      <c r="I45" s="398" t="str">
        <f>IF('DATA DE LAS 12'!AN45=0," ",'DATA DE LAS 12'!AN45)</f>
        <v xml:space="preserve"> </v>
      </c>
      <c r="J45" s="398" t="str">
        <f>IF('DATA DE LAS 12'!F45=0," ",'DATA DE LAS 12'!F45)</f>
        <v xml:space="preserve"> </v>
      </c>
      <c r="K45" s="398" t="str">
        <f>IF('DATA DE LAS 12'!G45=0," ",'DATA DE LAS 12'!G45)</f>
        <v xml:space="preserve"> </v>
      </c>
      <c r="L45" s="398" t="str">
        <f>IF('DATA DE LAS 12'!H45=0," ",'DATA DE LAS 12'!H45)</f>
        <v xml:space="preserve"> </v>
      </c>
      <c r="M45" s="398" t="str">
        <f>IF('DATA DE LAS 12'!V45=0," ",'DATA DE LAS 12'!V45)</f>
        <v xml:space="preserve"> </v>
      </c>
      <c r="N45" s="398" t="str">
        <f>IF('DATA DE LAS 12'!X45=0," ",'DATA DE LAS 12'!X45)</f>
        <v xml:space="preserve"> </v>
      </c>
      <c r="O45" s="398" t="str">
        <f>IF('DATA DE LAS 12'!BB45=0," ",'DATA DE LAS 12'!BB45)</f>
        <v xml:space="preserve"> </v>
      </c>
      <c r="P45" s="400"/>
      <c r="Q45" s="400"/>
      <c r="R45" s="400"/>
      <c r="S45" s="400"/>
      <c r="T45" s="400"/>
      <c r="U45" s="400"/>
      <c r="V45" s="400"/>
      <c r="W45" s="400"/>
      <c r="X45" s="404" t="str">
        <f>IF('DATA DE LAS 12'!BD45=0," ",'DATA DE LAS 12'!BD45)</f>
        <v xml:space="preserve"> </v>
      </c>
      <c r="Y45" s="404" t="str">
        <f>IF('DATA DE LAS 12'!BE45=0," ",'DATA DE LAS 12'!BE45)</f>
        <v xml:space="preserve"> </v>
      </c>
      <c r="Z45" s="404" t="str">
        <f>IF('DATA DE LAS 12'!BF45=0," ",'DATA DE LAS 12'!BF45)</f>
        <v xml:space="preserve"> </v>
      </c>
      <c r="AA45" s="404" t="str">
        <f>IF('DATA DE LAS 12'!BG45=0," ",'DATA DE LAS 12'!BG45)</f>
        <v xml:space="preserve"> </v>
      </c>
      <c r="AB45" s="404" t="str">
        <f>IF('DATA DE LAS 12'!BY45=0," ",'DATA DE LAS 12'!BY45)</f>
        <v xml:space="preserve"> </v>
      </c>
      <c r="AC45" s="404">
        <v>13</v>
      </c>
      <c r="AD45" s="404">
        <v>25</v>
      </c>
      <c r="AE45" s="404">
        <v>550</v>
      </c>
      <c r="AF45" s="404">
        <v>427</v>
      </c>
      <c r="AG45" s="404" t="str">
        <f>IF('DATA DE LAS 12'!W45=0," ",'DATA DE LAS 12'!W45)</f>
        <v xml:space="preserve"> </v>
      </c>
      <c r="AH45" s="401"/>
      <c r="AI45" s="401"/>
      <c r="AJ45" s="401"/>
      <c r="AK45" s="401"/>
      <c r="AL45" s="401"/>
      <c r="AM45" s="401"/>
      <c r="AN45" s="401"/>
      <c r="AO45" s="401"/>
      <c r="AP45" s="401"/>
      <c r="AQ45" s="401"/>
      <c r="AR45" s="401"/>
      <c r="AS45" s="401"/>
      <c r="AT45" s="401"/>
      <c r="AU45" s="401"/>
      <c r="AV45" s="401"/>
      <c r="AW45" s="401"/>
      <c r="AX45" s="401"/>
      <c r="AY45" s="401"/>
      <c r="AZ45" s="401"/>
      <c r="BA45" s="401"/>
      <c r="BB45" s="401"/>
      <c r="BC45" s="401"/>
      <c r="BD45" s="401"/>
      <c r="BE45" s="401"/>
      <c r="BF45" s="401"/>
      <c r="BG45" s="401"/>
      <c r="BH45" s="401"/>
      <c r="BI45" s="401"/>
      <c r="BJ45" s="401"/>
      <c r="BK45" s="401"/>
      <c r="BL45" s="401"/>
      <c r="BM45" s="401"/>
      <c r="BN45" s="401"/>
      <c r="BO45" s="401"/>
      <c r="BP45" s="401"/>
      <c r="BQ45" s="401"/>
      <c r="BR45" s="401"/>
      <c r="BS45" s="401"/>
      <c r="BT45" s="401"/>
      <c r="BU45" s="401"/>
      <c r="BV45" s="401"/>
      <c r="BW45" s="401"/>
      <c r="BX45" s="401"/>
      <c r="BY45" s="401"/>
      <c r="BZ45" s="401"/>
      <c r="CA45" s="401"/>
      <c r="CB45" s="401"/>
      <c r="CC45" s="401"/>
      <c r="CD45" s="401"/>
      <c r="CE45" s="401"/>
      <c r="CF45" s="401"/>
    </row>
    <row r="46" spans="1:84">
      <c r="A46" s="620">
        <f t="shared" si="1"/>
        <v>45083</v>
      </c>
      <c r="B46" s="407">
        <f>IF('DATA DE LAS 12'!C46=0," ",'DATA DE LAS 12'!C46)</f>
        <v>0.88750000000000007</v>
      </c>
      <c r="C46" s="398" t="str">
        <f>IF('DATA DE LAS 12'!E46=0," ",'DATA DE LAS 12'!E46)</f>
        <v xml:space="preserve"> </v>
      </c>
      <c r="D46" s="398" t="e">
        <f>IF('DATA DE LAS 12'!#REF!=0," ",'DATA DE LAS 12'!#REF!)</f>
        <v>#REF!</v>
      </c>
      <c r="E46" s="398" t="str">
        <f>IF('DATA DE LAS 12'!AM46=0," ",'DATA DE LAS 12'!AM46)</f>
        <v xml:space="preserve"> </v>
      </c>
      <c r="F46" s="398" t="str">
        <f>IF('DATA DE LAS 12'!AL46=0," ",'DATA DE LAS 12'!AL46)</f>
        <v xml:space="preserve"> </v>
      </c>
      <c r="G46" s="398" t="str">
        <f>IF('DATA DE LAS 12'!AQ46=0," ",'DATA DE LAS 12'!AQ46)</f>
        <v xml:space="preserve"> </v>
      </c>
      <c r="H46" s="398" t="str">
        <f>IF('DATA DE LAS 12'!Z46=0," ",'DATA DE LAS 12'!Z46)</f>
        <v xml:space="preserve"> </v>
      </c>
      <c r="I46" s="398" t="str">
        <f>IF('DATA DE LAS 12'!AN46=0," ",'DATA DE LAS 12'!AN46)</f>
        <v xml:space="preserve"> </v>
      </c>
      <c r="J46" s="398" t="str">
        <f>IF('DATA DE LAS 12'!F46=0," ",'DATA DE LAS 12'!F46)</f>
        <v xml:space="preserve"> </v>
      </c>
      <c r="K46" s="398" t="str">
        <f>IF('DATA DE LAS 12'!G46=0," ",'DATA DE LAS 12'!G46)</f>
        <v xml:space="preserve"> </v>
      </c>
      <c r="L46" s="398" t="str">
        <f>IF('DATA DE LAS 12'!H46=0," ",'DATA DE LAS 12'!H46)</f>
        <v xml:space="preserve"> </v>
      </c>
      <c r="M46" s="398" t="str">
        <f>IF('DATA DE LAS 12'!V46=0," ",'DATA DE LAS 12'!V46)</f>
        <v xml:space="preserve"> </v>
      </c>
      <c r="N46" s="398" t="str">
        <f>IF('DATA DE LAS 12'!X46=0," ",'DATA DE LAS 12'!X46)</f>
        <v xml:space="preserve"> </v>
      </c>
      <c r="O46" s="398" t="str">
        <f>IF('DATA DE LAS 12'!BB46=0," ",'DATA DE LAS 12'!BB46)</f>
        <v xml:space="preserve"> </v>
      </c>
      <c r="P46" s="400"/>
      <c r="Q46" s="400"/>
      <c r="R46" s="400"/>
      <c r="S46" s="400"/>
      <c r="T46" s="400"/>
      <c r="U46" s="400"/>
      <c r="V46" s="400"/>
      <c r="W46" s="400"/>
      <c r="X46" s="404" t="str">
        <f>IF('DATA DE LAS 12'!BD46=0," ",'DATA DE LAS 12'!BD46)</f>
        <v xml:space="preserve"> </v>
      </c>
      <c r="Y46" s="404" t="str">
        <f>IF('DATA DE LAS 12'!BE46=0," ",'DATA DE LAS 12'!BE46)</f>
        <v xml:space="preserve"> </v>
      </c>
      <c r="Z46" s="404" t="str">
        <f>IF('DATA DE LAS 12'!BF46=0," ",'DATA DE LAS 12'!BF46)</f>
        <v xml:space="preserve"> </v>
      </c>
      <c r="AA46" s="404" t="str">
        <f>IF('DATA DE LAS 12'!BG46=0," ",'DATA DE LAS 12'!BG46)</f>
        <v xml:space="preserve"> </v>
      </c>
      <c r="AB46" s="404" t="str">
        <f>IF('DATA DE LAS 12'!BY46=0," ",'DATA DE LAS 12'!BY46)</f>
        <v xml:space="preserve"> </v>
      </c>
      <c r="AC46" s="404">
        <v>13</v>
      </c>
      <c r="AD46" s="404">
        <v>25</v>
      </c>
      <c r="AE46" s="404">
        <v>550</v>
      </c>
      <c r="AF46" s="404">
        <v>427</v>
      </c>
      <c r="AG46" s="404" t="str">
        <f>IF('DATA DE LAS 12'!W46=0," ",'DATA DE LAS 12'!W46)</f>
        <v xml:space="preserve"> </v>
      </c>
      <c r="AH46" s="401"/>
      <c r="AI46" s="401"/>
      <c r="AJ46" s="401"/>
      <c r="AK46" s="401"/>
      <c r="AL46" s="401"/>
      <c r="AM46" s="401"/>
      <c r="AN46" s="401"/>
      <c r="AO46" s="401"/>
      <c r="AP46" s="401"/>
      <c r="AQ46" s="401"/>
      <c r="AR46" s="401"/>
      <c r="AS46" s="401"/>
      <c r="AT46" s="401"/>
      <c r="AU46" s="401"/>
      <c r="AV46" s="401"/>
      <c r="AW46" s="401"/>
      <c r="AX46" s="401"/>
      <c r="AY46" s="401"/>
      <c r="AZ46" s="401"/>
      <c r="BA46" s="401"/>
      <c r="BB46" s="401"/>
      <c r="BC46" s="401"/>
      <c r="BD46" s="401"/>
      <c r="BE46" s="401"/>
      <c r="BF46" s="401"/>
      <c r="BG46" s="401"/>
      <c r="BH46" s="401"/>
      <c r="BI46" s="401"/>
      <c r="BJ46" s="401"/>
      <c r="BK46" s="401"/>
      <c r="BL46" s="401"/>
      <c r="BM46" s="401"/>
      <c r="BN46" s="401"/>
      <c r="BO46" s="401"/>
      <c r="BP46" s="401"/>
      <c r="BQ46" s="401"/>
      <c r="BR46" s="401"/>
      <c r="BS46" s="401"/>
      <c r="BT46" s="401"/>
      <c r="BU46" s="401"/>
      <c r="BV46" s="401"/>
      <c r="BW46" s="401"/>
      <c r="BX46" s="401"/>
      <c r="BY46" s="401"/>
      <c r="BZ46" s="401"/>
      <c r="CA46" s="401"/>
      <c r="CB46" s="401"/>
      <c r="CC46" s="401"/>
      <c r="CD46" s="401"/>
      <c r="CE46" s="401"/>
      <c r="CF46" s="401"/>
    </row>
    <row r="47" spans="1:84">
      <c r="A47" s="620">
        <f t="shared" si="1"/>
        <v>45084</v>
      </c>
      <c r="B47" s="407">
        <f>IF('DATA DE LAS 12'!C47=0," ",'DATA DE LAS 12'!C47)</f>
        <v>0.93125000000000002</v>
      </c>
      <c r="C47" s="398" t="str">
        <f>IF('DATA DE LAS 12'!E47=0," ",'DATA DE LAS 12'!E47)</f>
        <v xml:space="preserve"> </v>
      </c>
      <c r="D47" s="398" t="e">
        <f>IF('DATA DE LAS 12'!#REF!=0," ",'DATA DE LAS 12'!#REF!)</f>
        <v>#REF!</v>
      </c>
      <c r="E47" s="398" t="str">
        <f>IF('DATA DE LAS 12'!AM47=0," ",'DATA DE LAS 12'!AM47)</f>
        <v xml:space="preserve"> </v>
      </c>
      <c r="F47" s="398" t="str">
        <f>IF('DATA DE LAS 12'!AL47=0," ",'DATA DE LAS 12'!AL47)</f>
        <v xml:space="preserve"> </v>
      </c>
      <c r="G47" s="398" t="str">
        <f>IF('DATA DE LAS 12'!AQ47=0," ",'DATA DE LAS 12'!AQ47)</f>
        <v xml:space="preserve"> </v>
      </c>
      <c r="H47" s="398" t="str">
        <f>IF('DATA DE LAS 12'!Z47=0," ",'DATA DE LAS 12'!Z47)</f>
        <v xml:space="preserve"> </v>
      </c>
      <c r="I47" s="398" t="str">
        <f>IF('DATA DE LAS 12'!AN47=0," ",'DATA DE LAS 12'!AN47)</f>
        <v xml:space="preserve"> </v>
      </c>
      <c r="J47" s="398" t="str">
        <f>IF('DATA DE LAS 12'!F47=0," ",'DATA DE LAS 12'!F47)</f>
        <v xml:space="preserve"> </v>
      </c>
      <c r="K47" s="398" t="str">
        <f>IF('DATA DE LAS 12'!G47=0," ",'DATA DE LAS 12'!G47)</f>
        <v xml:space="preserve"> </v>
      </c>
      <c r="L47" s="398" t="str">
        <f>IF('DATA DE LAS 12'!H47=0," ",'DATA DE LAS 12'!H47)</f>
        <v xml:space="preserve"> </v>
      </c>
      <c r="M47" s="398" t="str">
        <f>IF('DATA DE LAS 12'!V47=0," ",'DATA DE LAS 12'!V47)</f>
        <v xml:space="preserve"> </v>
      </c>
      <c r="N47" s="398" t="str">
        <f>IF('DATA DE LAS 12'!X47=0," ",'DATA DE LAS 12'!X47)</f>
        <v xml:space="preserve"> </v>
      </c>
      <c r="O47" s="398" t="str">
        <f>IF('DATA DE LAS 12'!BB47=0," ",'DATA DE LAS 12'!BB47)</f>
        <v xml:space="preserve"> </v>
      </c>
      <c r="P47" s="400"/>
      <c r="Q47" s="400"/>
      <c r="R47" s="400"/>
      <c r="S47" s="400"/>
      <c r="T47" s="400"/>
      <c r="U47" s="400"/>
      <c r="V47" s="400"/>
      <c r="W47" s="400"/>
      <c r="X47" s="404" t="str">
        <f>IF('DATA DE LAS 12'!BD47=0," ",'DATA DE LAS 12'!BD47)</f>
        <v xml:space="preserve"> </v>
      </c>
      <c r="Y47" s="404" t="str">
        <f>IF('DATA DE LAS 12'!BE47=0," ",'DATA DE LAS 12'!BE47)</f>
        <v xml:space="preserve"> </v>
      </c>
      <c r="Z47" s="404" t="str">
        <f>IF('DATA DE LAS 12'!BF47=0," ",'DATA DE LAS 12'!BF47)</f>
        <v xml:space="preserve"> </v>
      </c>
      <c r="AA47" s="404" t="str">
        <f>IF('DATA DE LAS 12'!BG47=0," ",'DATA DE LAS 12'!BG47)</f>
        <v xml:space="preserve"> </v>
      </c>
      <c r="AB47" s="404" t="str">
        <f>IF('DATA DE LAS 12'!BY47=0," ",'DATA DE LAS 12'!BY47)</f>
        <v xml:space="preserve"> </v>
      </c>
      <c r="AC47" s="404">
        <v>13</v>
      </c>
      <c r="AD47" s="404">
        <v>25</v>
      </c>
      <c r="AE47" s="404">
        <v>550</v>
      </c>
      <c r="AF47" s="404">
        <v>427</v>
      </c>
      <c r="AG47" s="404" t="str">
        <f>IF('DATA DE LAS 12'!W47=0," ",'DATA DE LAS 12'!W47)</f>
        <v xml:space="preserve"> </v>
      </c>
      <c r="AH47" s="401"/>
      <c r="AI47" s="401"/>
      <c r="AJ47" s="401"/>
      <c r="AK47" s="401"/>
      <c r="AL47" s="401"/>
      <c r="AM47" s="401"/>
      <c r="AN47" s="401"/>
      <c r="AO47" s="401"/>
      <c r="AP47" s="401"/>
      <c r="AQ47" s="401"/>
      <c r="AR47" s="401"/>
      <c r="AS47" s="401"/>
      <c r="AT47" s="401"/>
      <c r="AU47" s="401"/>
      <c r="AV47" s="401"/>
      <c r="AW47" s="401"/>
      <c r="AX47" s="401"/>
      <c r="AY47" s="401"/>
      <c r="AZ47" s="401"/>
      <c r="BA47" s="401"/>
      <c r="BB47" s="401"/>
      <c r="BC47" s="401"/>
      <c r="BD47" s="401"/>
      <c r="BE47" s="401"/>
      <c r="BF47" s="401"/>
      <c r="BG47" s="401"/>
      <c r="BH47" s="401"/>
      <c r="BI47" s="401"/>
      <c r="BJ47" s="401"/>
      <c r="BK47" s="401"/>
      <c r="BL47" s="401"/>
      <c r="BM47" s="401"/>
      <c r="BN47" s="401"/>
      <c r="BO47" s="401"/>
      <c r="BP47" s="401"/>
      <c r="BQ47" s="401"/>
      <c r="BR47" s="401"/>
      <c r="BS47" s="401"/>
      <c r="BT47" s="401"/>
      <c r="BU47" s="401"/>
      <c r="BV47" s="401"/>
      <c r="BW47" s="401"/>
      <c r="BX47" s="401"/>
      <c r="BY47" s="401"/>
      <c r="BZ47" s="401"/>
      <c r="CA47" s="401"/>
      <c r="CB47" s="401"/>
      <c r="CC47" s="401"/>
      <c r="CD47" s="401"/>
      <c r="CE47" s="401"/>
      <c r="CF47" s="401"/>
    </row>
    <row r="48" spans="1:84">
      <c r="A48" s="620">
        <f t="shared" si="1"/>
        <v>45085</v>
      </c>
      <c r="B48" s="407">
        <f>IF('DATA DE LAS 12'!C48=0," ",'DATA DE LAS 12'!C48)</f>
        <v>0.12013888888888889</v>
      </c>
      <c r="C48" s="398" t="str">
        <f>IF('DATA DE LAS 12'!E48=0," ",'DATA DE LAS 12'!E48)</f>
        <v xml:space="preserve"> </v>
      </c>
      <c r="D48" s="398" t="e">
        <f>IF('DATA DE LAS 12'!#REF!=0," ",'DATA DE LAS 12'!#REF!)</f>
        <v>#REF!</v>
      </c>
      <c r="E48" s="398" t="str">
        <f>IF('DATA DE LAS 12'!AM48=0," ",'DATA DE LAS 12'!AM48)</f>
        <v xml:space="preserve"> </v>
      </c>
      <c r="F48" s="398" t="str">
        <f>IF('DATA DE LAS 12'!AL48=0," ",'DATA DE LAS 12'!AL48)</f>
        <v xml:space="preserve"> </v>
      </c>
      <c r="G48" s="398" t="str">
        <f>IF('DATA DE LAS 12'!AQ48=0," ",'DATA DE LAS 12'!AQ48)</f>
        <v xml:space="preserve"> </v>
      </c>
      <c r="H48" s="398" t="str">
        <f>IF('DATA DE LAS 12'!Z48=0," ",'DATA DE LAS 12'!Z48)</f>
        <v xml:space="preserve"> </v>
      </c>
      <c r="I48" s="398" t="str">
        <f>IF('DATA DE LAS 12'!AN48=0," ",'DATA DE LAS 12'!AN48)</f>
        <v xml:space="preserve"> </v>
      </c>
      <c r="J48" s="398" t="str">
        <f>IF('DATA DE LAS 12'!F48=0," ",'DATA DE LAS 12'!F48)</f>
        <v xml:space="preserve"> </v>
      </c>
      <c r="K48" s="398" t="str">
        <f>IF('DATA DE LAS 12'!G48=0," ",'DATA DE LAS 12'!G48)</f>
        <v xml:space="preserve"> </v>
      </c>
      <c r="L48" s="398" t="str">
        <f>IF('DATA DE LAS 12'!H48=0," ",'DATA DE LAS 12'!H48)</f>
        <v xml:space="preserve"> </v>
      </c>
      <c r="M48" s="398" t="str">
        <f>IF('DATA DE LAS 12'!V48=0," ",'DATA DE LAS 12'!V48)</f>
        <v xml:space="preserve"> </v>
      </c>
      <c r="N48" s="398" t="str">
        <f>IF('DATA DE LAS 12'!X48=0," ",'DATA DE LAS 12'!X48)</f>
        <v xml:space="preserve"> </v>
      </c>
      <c r="O48" s="398" t="str">
        <f>IF('DATA DE LAS 12'!BB48=0," ",'DATA DE LAS 12'!BB48)</f>
        <v xml:space="preserve"> </v>
      </c>
      <c r="P48" s="400"/>
      <c r="Q48" s="400"/>
      <c r="R48" s="400"/>
      <c r="S48" s="400"/>
      <c r="T48" s="400"/>
      <c r="U48" s="400"/>
      <c r="V48" s="400"/>
      <c r="W48" s="400"/>
      <c r="X48" s="404" t="str">
        <f>IF('DATA DE LAS 12'!BD48=0," ",'DATA DE LAS 12'!BD48)</f>
        <v xml:space="preserve"> </v>
      </c>
      <c r="Y48" s="404" t="str">
        <f>IF('DATA DE LAS 12'!BE48=0," ",'DATA DE LAS 12'!BE48)</f>
        <v xml:space="preserve"> </v>
      </c>
      <c r="Z48" s="404" t="str">
        <f>IF('DATA DE LAS 12'!BF48=0," ",'DATA DE LAS 12'!BF48)</f>
        <v xml:space="preserve"> </v>
      </c>
      <c r="AA48" s="404" t="str">
        <f>IF('DATA DE LAS 12'!BG48=0," ",'DATA DE LAS 12'!BG48)</f>
        <v xml:space="preserve"> </v>
      </c>
      <c r="AB48" s="404" t="str">
        <f>IF('DATA DE LAS 12'!BY48=0," ",'DATA DE LAS 12'!BY48)</f>
        <v xml:space="preserve"> </v>
      </c>
      <c r="AC48" s="404">
        <v>13</v>
      </c>
      <c r="AD48" s="404">
        <v>25</v>
      </c>
      <c r="AE48" s="404">
        <v>550</v>
      </c>
      <c r="AF48" s="404">
        <v>427</v>
      </c>
      <c r="AG48" s="404" t="str">
        <f>IF('DATA DE LAS 12'!W48=0," ",'DATA DE LAS 12'!W48)</f>
        <v xml:space="preserve"> </v>
      </c>
      <c r="AH48" s="401"/>
      <c r="AI48" s="401"/>
      <c r="AJ48" s="401"/>
      <c r="AK48" s="401"/>
      <c r="AL48" s="401"/>
      <c r="AM48" s="401"/>
      <c r="AN48" s="401"/>
      <c r="AO48" s="401"/>
      <c r="AP48" s="401"/>
      <c r="AQ48" s="401"/>
      <c r="AR48" s="401"/>
      <c r="AS48" s="401"/>
      <c r="AT48" s="401"/>
      <c r="AU48" s="401"/>
      <c r="AV48" s="401"/>
      <c r="AW48" s="401"/>
      <c r="AX48" s="401"/>
      <c r="AY48" s="401"/>
      <c r="AZ48" s="401"/>
      <c r="BA48" s="401"/>
      <c r="BB48" s="401"/>
      <c r="BC48" s="401"/>
      <c r="BD48" s="401"/>
      <c r="BE48" s="401"/>
      <c r="BF48" s="401"/>
      <c r="BG48" s="401"/>
      <c r="BH48" s="401"/>
      <c r="BI48" s="401"/>
      <c r="BJ48" s="401"/>
      <c r="BK48" s="401"/>
      <c r="BL48" s="401"/>
      <c r="BM48" s="401"/>
      <c r="BN48" s="401"/>
      <c r="BO48" s="401"/>
      <c r="BP48" s="401"/>
      <c r="BQ48" s="401"/>
      <c r="BR48" s="401"/>
      <c r="BS48" s="401"/>
      <c r="BT48" s="401"/>
      <c r="BU48" s="401"/>
      <c r="BV48" s="401"/>
      <c r="BW48" s="401"/>
      <c r="BX48" s="401"/>
      <c r="BY48" s="401"/>
      <c r="BZ48" s="401"/>
      <c r="CA48" s="401"/>
      <c r="CB48" s="401"/>
      <c r="CC48" s="401"/>
      <c r="CD48" s="401"/>
      <c r="CE48" s="401"/>
      <c r="CF48" s="401"/>
    </row>
    <row r="49" spans="1:84">
      <c r="A49" s="620">
        <f t="shared" si="1"/>
        <v>45086</v>
      </c>
      <c r="B49" s="407">
        <f>IF('DATA DE LAS 12'!C49=0," ",'DATA DE LAS 12'!C49)</f>
        <v>0.92847222222222225</v>
      </c>
      <c r="C49" s="398" t="str">
        <f>IF('DATA DE LAS 12'!E49=0," ",'DATA DE LAS 12'!E49)</f>
        <v xml:space="preserve"> </v>
      </c>
      <c r="D49" s="398" t="e">
        <f>IF('DATA DE LAS 12'!#REF!=0," ",'DATA DE LAS 12'!#REF!)</f>
        <v>#REF!</v>
      </c>
      <c r="E49" s="398" t="str">
        <f>IF('DATA DE LAS 12'!AM49=0," ",'DATA DE LAS 12'!AM49)</f>
        <v xml:space="preserve"> </v>
      </c>
      <c r="F49" s="398" t="str">
        <f>IF('DATA DE LAS 12'!AL49=0," ",'DATA DE LAS 12'!AL49)</f>
        <v xml:space="preserve"> </v>
      </c>
      <c r="G49" s="398" t="str">
        <f>IF('DATA DE LAS 12'!AQ49=0," ",'DATA DE LAS 12'!AQ49)</f>
        <v xml:space="preserve"> </v>
      </c>
      <c r="H49" s="398" t="str">
        <f>IF('DATA DE LAS 12'!Z49=0," ",'DATA DE LAS 12'!Z49)</f>
        <v xml:space="preserve"> </v>
      </c>
      <c r="I49" s="398" t="str">
        <f>IF('DATA DE LAS 12'!AN49=0," ",'DATA DE LAS 12'!AN49)</f>
        <v xml:space="preserve"> </v>
      </c>
      <c r="J49" s="398" t="str">
        <f>IF('DATA DE LAS 12'!F49=0," ",'DATA DE LAS 12'!F49)</f>
        <v xml:space="preserve"> </v>
      </c>
      <c r="K49" s="398" t="str">
        <f>IF('DATA DE LAS 12'!G49=0," ",'DATA DE LAS 12'!G49)</f>
        <v xml:space="preserve"> </v>
      </c>
      <c r="L49" s="398" t="str">
        <f>IF('DATA DE LAS 12'!H49=0," ",'DATA DE LAS 12'!H49)</f>
        <v xml:space="preserve"> </v>
      </c>
      <c r="M49" s="398" t="str">
        <f>IF('DATA DE LAS 12'!V49=0," ",'DATA DE LAS 12'!V49)</f>
        <v xml:space="preserve"> </v>
      </c>
      <c r="N49" s="398" t="str">
        <f>IF('DATA DE LAS 12'!X49=0," ",'DATA DE LAS 12'!X49)</f>
        <v xml:space="preserve"> </v>
      </c>
      <c r="O49" s="398" t="str">
        <f>IF('DATA DE LAS 12'!BB49=0," ",'DATA DE LAS 12'!BB49)</f>
        <v xml:space="preserve"> </v>
      </c>
      <c r="P49" s="400"/>
      <c r="Q49" s="400"/>
      <c r="R49" s="400"/>
      <c r="S49" s="400"/>
      <c r="T49" s="400"/>
      <c r="U49" s="400"/>
      <c r="V49" s="400"/>
      <c r="W49" s="400"/>
      <c r="X49" s="404" t="str">
        <f>IF('DATA DE LAS 12'!BD49=0," ",'DATA DE LAS 12'!BD49)</f>
        <v xml:space="preserve"> </v>
      </c>
      <c r="Y49" s="404" t="str">
        <f>IF('DATA DE LAS 12'!BE49=0," ",'DATA DE LAS 12'!BE49)</f>
        <v xml:space="preserve"> </v>
      </c>
      <c r="Z49" s="404" t="str">
        <f>IF('DATA DE LAS 12'!BF49=0," ",'DATA DE LAS 12'!BF49)</f>
        <v xml:space="preserve"> </v>
      </c>
      <c r="AA49" s="404" t="str">
        <f>IF('DATA DE LAS 12'!BG49=0," ",'DATA DE LAS 12'!BG49)</f>
        <v xml:space="preserve"> </v>
      </c>
      <c r="AB49" s="404" t="str">
        <f>IF('DATA DE LAS 12'!BY49=0," ",'DATA DE LAS 12'!BY49)</f>
        <v xml:space="preserve"> </v>
      </c>
      <c r="AC49" s="404">
        <v>13</v>
      </c>
      <c r="AD49" s="404">
        <v>25</v>
      </c>
      <c r="AE49" s="404">
        <v>550</v>
      </c>
      <c r="AF49" s="404">
        <v>427</v>
      </c>
      <c r="AG49" s="404" t="str">
        <f>IF('DATA DE LAS 12'!W49=0," ",'DATA DE LAS 12'!W49)</f>
        <v xml:space="preserve"> </v>
      </c>
      <c r="AH49" s="401"/>
      <c r="AI49" s="401"/>
      <c r="AJ49" s="401"/>
      <c r="AK49" s="401"/>
      <c r="AL49" s="401"/>
      <c r="AM49" s="401"/>
      <c r="AN49" s="401"/>
      <c r="AO49" s="401"/>
      <c r="AP49" s="401"/>
      <c r="AQ49" s="401"/>
      <c r="AR49" s="401"/>
      <c r="AS49" s="401"/>
      <c r="AT49" s="401"/>
      <c r="AU49" s="401"/>
      <c r="AV49" s="401"/>
      <c r="AW49" s="401"/>
      <c r="AX49" s="401"/>
      <c r="AY49" s="401"/>
      <c r="AZ49" s="401"/>
      <c r="BA49" s="401"/>
      <c r="BB49" s="401"/>
      <c r="BC49" s="401"/>
      <c r="BD49" s="401"/>
      <c r="BE49" s="401"/>
      <c r="BF49" s="401"/>
      <c r="BG49" s="401"/>
      <c r="BH49" s="401"/>
      <c r="BI49" s="401"/>
      <c r="BJ49" s="401"/>
      <c r="BK49" s="401"/>
      <c r="BL49" s="401"/>
      <c r="BM49" s="401"/>
      <c r="BN49" s="401"/>
      <c r="BO49" s="401"/>
      <c r="BP49" s="401"/>
      <c r="BQ49" s="401"/>
      <c r="BR49" s="401"/>
      <c r="BS49" s="401"/>
      <c r="BT49" s="401"/>
      <c r="BU49" s="401"/>
      <c r="BV49" s="401"/>
      <c r="BW49" s="401"/>
      <c r="BX49" s="401"/>
      <c r="BY49" s="401"/>
      <c r="BZ49" s="401"/>
      <c r="CA49" s="401"/>
      <c r="CB49" s="401"/>
      <c r="CC49" s="401"/>
      <c r="CD49" s="401"/>
      <c r="CE49" s="401"/>
      <c r="CF49" s="401"/>
    </row>
    <row r="50" spans="1:84">
      <c r="A50" s="620">
        <f t="shared" si="1"/>
        <v>45087</v>
      </c>
      <c r="B50" s="407">
        <f>IF('DATA DE LAS 12'!C50=0," ",'DATA DE LAS 12'!C50)</f>
        <v>0.9902777777777777</v>
      </c>
      <c r="C50" s="398" t="str">
        <f>IF('DATA DE LAS 12'!E50=0," ",'DATA DE LAS 12'!E50)</f>
        <v xml:space="preserve"> </v>
      </c>
      <c r="D50" s="398" t="e">
        <f>IF('DATA DE LAS 12'!#REF!=0," ",'DATA DE LAS 12'!#REF!)</f>
        <v>#REF!</v>
      </c>
      <c r="E50" s="398" t="str">
        <f>IF('DATA DE LAS 12'!AM50=0," ",'DATA DE LAS 12'!AM50)</f>
        <v xml:space="preserve"> </v>
      </c>
      <c r="F50" s="398" t="str">
        <f>IF('DATA DE LAS 12'!AL50=0," ",'DATA DE LAS 12'!AL50)</f>
        <v xml:space="preserve"> </v>
      </c>
      <c r="G50" s="398" t="str">
        <f>IF('DATA DE LAS 12'!AQ50=0," ",'DATA DE LAS 12'!AQ50)</f>
        <v xml:space="preserve"> </v>
      </c>
      <c r="H50" s="398" t="str">
        <f>IF('DATA DE LAS 12'!Z50=0," ",'DATA DE LAS 12'!Z50)</f>
        <v xml:space="preserve"> </v>
      </c>
      <c r="I50" s="398" t="str">
        <f>IF('DATA DE LAS 12'!AN50=0," ",'DATA DE LAS 12'!AN50)</f>
        <v xml:space="preserve"> </v>
      </c>
      <c r="J50" s="398" t="str">
        <f>IF('DATA DE LAS 12'!F50=0," ",'DATA DE LAS 12'!F50)</f>
        <v xml:space="preserve"> </v>
      </c>
      <c r="K50" s="398" t="str">
        <f>IF('DATA DE LAS 12'!G50=0," ",'DATA DE LAS 12'!G50)</f>
        <v xml:space="preserve"> </v>
      </c>
      <c r="L50" s="398" t="str">
        <f>IF('DATA DE LAS 12'!H50=0," ",'DATA DE LAS 12'!H50)</f>
        <v xml:space="preserve"> </v>
      </c>
      <c r="M50" s="398" t="str">
        <f>IF('DATA DE LAS 12'!V50=0," ",'DATA DE LAS 12'!V50)</f>
        <v xml:space="preserve"> </v>
      </c>
      <c r="N50" s="398" t="str">
        <f>IF('DATA DE LAS 12'!X50=0," ",'DATA DE LAS 12'!X50)</f>
        <v xml:space="preserve"> </v>
      </c>
      <c r="O50" s="398" t="str">
        <f>IF('DATA DE LAS 12'!BB50=0," ",'DATA DE LAS 12'!BB50)</f>
        <v xml:space="preserve"> </v>
      </c>
      <c r="P50" s="400"/>
      <c r="Q50" s="400"/>
      <c r="R50" s="400"/>
      <c r="S50" s="400"/>
      <c r="T50" s="400"/>
      <c r="U50" s="400"/>
      <c r="V50" s="400"/>
      <c r="W50" s="400"/>
      <c r="X50" s="404" t="str">
        <f>IF('DATA DE LAS 12'!BD50=0," ",'DATA DE LAS 12'!BD50)</f>
        <v xml:space="preserve"> </v>
      </c>
      <c r="Y50" s="404" t="str">
        <f>IF('DATA DE LAS 12'!BE50=0," ",'DATA DE LAS 12'!BE50)</f>
        <v xml:space="preserve"> </v>
      </c>
      <c r="Z50" s="404" t="str">
        <f>IF('DATA DE LAS 12'!BF50=0," ",'DATA DE LAS 12'!BF50)</f>
        <v xml:space="preserve"> </v>
      </c>
      <c r="AA50" s="404" t="str">
        <f>IF('DATA DE LAS 12'!BG50=0," ",'DATA DE LAS 12'!BG50)</f>
        <v xml:space="preserve"> </v>
      </c>
      <c r="AB50" s="404" t="str">
        <f>IF('DATA DE LAS 12'!BY50=0," ",'DATA DE LAS 12'!BY50)</f>
        <v xml:space="preserve"> </v>
      </c>
      <c r="AC50" s="404">
        <v>13</v>
      </c>
      <c r="AD50" s="404">
        <v>25</v>
      </c>
      <c r="AE50" s="404">
        <v>550</v>
      </c>
      <c r="AF50" s="404">
        <v>427</v>
      </c>
      <c r="AG50" s="404" t="str">
        <f>IF('DATA DE LAS 12'!W50=0," ",'DATA DE LAS 12'!W50)</f>
        <v xml:space="preserve"> </v>
      </c>
      <c r="AH50" s="401"/>
      <c r="AI50" s="401"/>
      <c r="AJ50" s="401"/>
      <c r="AK50" s="401"/>
      <c r="AL50" s="401"/>
      <c r="AM50" s="401"/>
      <c r="AN50" s="401"/>
      <c r="AO50" s="401"/>
      <c r="AP50" s="401"/>
      <c r="AQ50" s="401"/>
      <c r="AR50" s="401"/>
      <c r="AS50" s="401"/>
      <c r="AT50" s="401"/>
      <c r="AU50" s="401"/>
      <c r="AV50" s="401"/>
      <c r="AW50" s="401"/>
      <c r="AX50" s="401"/>
      <c r="AY50" s="401"/>
      <c r="AZ50" s="401"/>
      <c r="BA50" s="401"/>
      <c r="BB50" s="401"/>
      <c r="BC50" s="401"/>
      <c r="BD50" s="401"/>
      <c r="BE50" s="401"/>
      <c r="BF50" s="401"/>
      <c r="BG50" s="401"/>
      <c r="BH50" s="401"/>
      <c r="BI50" s="401"/>
      <c r="BJ50" s="401"/>
      <c r="BK50" s="401"/>
      <c r="BL50" s="401"/>
      <c r="BM50" s="401"/>
      <c r="BN50" s="401"/>
      <c r="BO50" s="401"/>
      <c r="BP50" s="401"/>
      <c r="BQ50" s="401"/>
      <c r="BR50" s="401"/>
      <c r="BS50" s="401"/>
      <c r="BT50" s="401"/>
      <c r="BU50" s="401"/>
      <c r="BV50" s="401"/>
      <c r="BW50" s="401"/>
      <c r="BX50" s="401"/>
      <c r="BY50" s="401"/>
      <c r="BZ50" s="401"/>
      <c r="CA50" s="401"/>
      <c r="CB50" s="401"/>
      <c r="CC50" s="401"/>
      <c r="CD50" s="401"/>
      <c r="CE50" s="401"/>
      <c r="CF50" s="401"/>
    </row>
    <row r="51" spans="1:84">
      <c r="A51" s="620">
        <f t="shared" si="1"/>
        <v>45088</v>
      </c>
      <c r="B51" s="407">
        <f>IF('DATA DE LAS 12'!C51=0," ",'DATA DE LAS 12'!C51)</f>
        <v>0.96388888888888891</v>
      </c>
      <c r="C51" s="398" t="str">
        <f>IF('DATA DE LAS 12'!E51=0," ",'DATA DE LAS 12'!E51)</f>
        <v xml:space="preserve"> </v>
      </c>
      <c r="D51" s="398" t="e">
        <f>IF('DATA DE LAS 12'!#REF!=0," ",'DATA DE LAS 12'!#REF!)</f>
        <v>#REF!</v>
      </c>
      <c r="E51" s="398" t="str">
        <f>IF('DATA DE LAS 12'!AM51=0," ",'DATA DE LAS 12'!AM51)</f>
        <v xml:space="preserve"> </v>
      </c>
      <c r="F51" s="398" t="str">
        <f>IF('DATA DE LAS 12'!AL51=0," ",'DATA DE LAS 12'!AL51)</f>
        <v xml:space="preserve"> </v>
      </c>
      <c r="G51" s="398" t="str">
        <f>IF('DATA DE LAS 12'!AQ51=0," ",'DATA DE LAS 12'!AQ51)</f>
        <v xml:space="preserve"> </v>
      </c>
      <c r="H51" s="398" t="str">
        <f>IF('DATA DE LAS 12'!Z51=0," ",'DATA DE LAS 12'!Z51)</f>
        <v xml:space="preserve"> </v>
      </c>
      <c r="I51" s="398" t="str">
        <f>IF('DATA DE LAS 12'!AN51=0," ",'DATA DE LAS 12'!AN51)</f>
        <v xml:space="preserve"> </v>
      </c>
      <c r="J51" s="398" t="str">
        <f>IF('DATA DE LAS 12'!F51=0," ",'DATA DE LAS 12'!F51)</f>
        <v xml:space="preserve"> </v>
      </c>
      <c r="K51" s="398" t="str">
        <f>IF('DATA DE LAS 12'!G51=0," ",'DATA DE LAS 12'!G51)</f>
        <v xml:space="preserve"> </v>
      </c>
      <c r="L51" s="398" t="str">
        <f>IF('DATA DE LAS 12'!H51=0," ",'DATA DE LAS 12'!H51)</f>
        <v xml:space="preserve"> </v>
      </c>
      <c r="M51" s="398" t="str">
        <f>IF('DATA DE LAS 12'!V51=0," ",'DATA DE LAS 12'!V51)</f>
        <v xml:space="preserve"> </v>
      </c>
      <c r="N51" s="398" t="str">
        <f>IF('DATA DE LAS 12'!X51=0," ",'DATA DE LAS 12'!X51)</f>
        <v xml:space="preserve"> </v>
      </c>
      <c r="O51" s="398" t="str">
        <f>IF('DATA DE LAS 12'!BB51=0," ",'DATA DE LAS 12'!BB51)</f>
        <v xml:space="preserve"> </v>
      </c>
      <c r="P51" s="400"/>
      <c r="Q51" s="400"/>
      <c r="R51" s="400"/>
      <c r="S51" s="400"/>
      <c r="T51" s="400"/>
      <c r="U51" s="400"/>
      <c r="V51" s="400"/>
      <c r="W51" s="400"/>
      <c r="X51" s="404" t="str">
        <f>IF('DATA DE LAS 12'!BD51=0," ",'DATA DE LAS 12'!BD51)</f>
        <v xml:space="preserve"> </v>
      </c>
      <c r="Y51" s="404" t="str">
        <f>IF('DATA DE LAS 12'!BE51=0," ",'DATA DE LAS 12'!BE51)</f>
        <v xml:space="preserve"> </v>
      </c>
      <c r="Z51" s="404" t="str">
        <f>IF('DATA DE LAS 12'!BF51=0," ",'DATA DE LAS 12'!BF51)</f>
        <v xml:space="preserve"> </v>
      </c>
      <c r="AA51" s="404" t="str">
        <f>IF('DATA DE LAS 12'!BG51=0," ",'DATA DE LAS 12'!BG51)</f>
        <v xml:space="preserve"> </v>
      </c>
      <c r="AB51" s="404" t="str">
        <f>IF('DATA DE LAS 12'!BY51=0," ",'DATA DE LAS 12'!BY51)</f>
        <v xml:space="preserve"> </v>
      </c>
      <c r="AC51" s="404">
        <v>13</v>
      </c>
      <c r="AD51" s="404">
        <v>25</v>
      </c>
      <c r="AE51" s="404">
        <v>550</v>
      </c>
      <c r="AF51" s="404">
        <v>427</v>
      </c>
      <c r="AG51" s="404" t="str">
        <f>IF('DATA DE LAS 12'!W51=0," ",'DATA DE LAS 12'!W51)</f>
        <v xml:space="preserve"> </v>
      </c>
    </row>
    <row r="52" spans="1:84">
      <c r="A52" s="620">
        <f t="shared" si="1"/>
        <v>45089</v>
      </c>
      <c r="B52" s="407">
        <f>IF('DATA DE LAS 12'!C52=0," ",'DATA DE LAS 12'!C52)</f>
        <v>0.92847222222222225</v>
      </c>
      <c r="C52" s="398" t="str">
        <f>IF('DATA DE LAS 12'!E52=0," ",'DATA DE LAS 12'!E52)</f>
        <v xml:space="preserve"> </v>
      </c>
      <c r="D52" s="398" t="e">
        <f>IF('DATA DE LAS 12'!#REF!=0," ",'DATA DE LAS 12'!#REF!)</f>
        <v>#REF!</v>
      </c>
      <c r="E52" s="398" t="str">
        <f>IF('DATA DE LAS 12'!AM52=0," ",'DATA DE LAS 12'!AM52)</f>
        <v xml:space="preserve"> </v>
      </c>
      <c r="F52" s="398" t="str">
        <f>IF('DATA DE LAS 12'!AL52=0," ",'DATA DE LAS 12'!AL52)</f>
        <v xml:space="preserve"> </v>
      </c>
      <c r="G52" s="398" t="str">
        <f>IF('DATA DE LAS 12'!AQ52=0," ",'DATA DE LAS 12'!AQ52)</f>
        <v xml:space="preserve"> </v>
      </c>
      <c r="H52" s="398" t="str">
        <f>IF('DATA DE LAS 12'!Z52=0," ",'DATA DE LAS 12'!Z52)</f>
        <v xml:space="preserve"> </v>
      </c>
      <c r="I52" s="398" t="str">
        <f>IF('DATA DE LAS 12'!AN52=0," ",'DATA DE LAS 12'!AN52)</f>
        <v xml:space="preserve"> </v>
      </c>
      <c r="J52" s="398" t="str">
        <f>IF('DATA DE LAS 12'!F52=0," ",'DATA DE LAS 12'!F52)</f>
        <v xml:space="preserve"> </v>
      </c>
      <c r="K52" s="398" t="str">
        <f>IF('DATA DE LAS 12'!G52=0," ",'DATA DE LAS 12'!G52)</f>
        <v xml:space="preserve"> </v>
      </c>
      <c r="L52" s="398" t="str">
        <f>IF('DATA DE LAS 12'!H52=0," ",'DATA DE LAS 12'!H52)</f>
        <v xml:space="preserve"> </v>
      </c>
      <c r="M52" s="398" t="str">
        <f>IF('DATA DE LAS 12'!V52=0," ",'DATA DE LAS 12'!V52)</f>
        <v xml:space="preserve"> </v>
      </c>
      <c r="N52" s="398" t="str">
        <f>IF('DATA DE LAS 12'!X52=0," ",'DATA DE LAS 12'!X52)</f>
        <v xml:space="preserve"> </v>
      </c>
      <c r="O52" s="398" t="str">
        <f>IF('DATA DE LAS 12'!BB52=0," ",'DATA DE LAS 12'!BB52)</f>
        <v xml:space="preserve"> </v>
      </c>
      <c r="P52" s="400"/>
      <c r="Q52" s="400"/>
      <c r="R52" s="400"/>
      <c r="S52" s="400"/>
      <c r="T52" s="400"/>
      <c r="U52" s="400"/>
      <c r="V52" s="400"/>
      <c r="W52" s="400"/>
      <c r="X52" s="404" t="str">
        <f>IF('DATA DE LAS 12'!BD52=0," ",'DATA DE LAS 12'!BD52)</f>
        <v xml:space="preserve"> </v>
      </c>
      <c r="Y52" s="404" t="str">
        <f>IF('DATA DE LAS 12'!BE52=0," ",'DATA DE LAS 12'!BE52)</f>
        <v xml:space="preserve"> </v>
      </c>
      <c r="Z52" s="404" t="str">
        <f>IF('DATA DE LAS 12'!BF52=0," ",'DATA DE LAS 12'!BF52)</f>
        <v xml:space="preserve"> </v>
      </c>
      <c r="AA52" s="404" t="str">
        <f>IF('DATA DE LAS 12'!BG52=0," ",'DATA DE LAS 12'!BG52)</f>
        <v xml:space="preserve"> </v>
      </c>
      <c r="AB52" s="404" t="str">
        <f>IF('DATA DE LAS 12'!BY52=0," ",'DATA DE LAS 12'!BY52)</f>
        <v xml:space="preserve"> </v>
      </c>
      <c r="AC52" s="404">
        <v>13</v>
      </c>
      <c r="AD52" s="404">
        <v>25</v>
      </c>
      <c r="AE52" s="404">
        <v>550</v>
      </c>
      <c r="AF52" s="404">
        <v>427</v>
      </c>
      <c r="AG52" s="404" t="str">
        <f>IF('DATA DE LAS 12'!W52=0," ",'DATA DE LAS 12'!W52)</f>
        <v xml:space="preserve"> </v>
      </c>
    </row>
    <row r="53" spans="1:84">
      <c r="A53" s="620">
        <f t="shared" si="1"/>
        <v>45090</v>
      </c>
      <c r="B53" s="407" t="e">
        <f>IF('DATA DE LAS 12'!#REF!=0," ",'DATA DE LAS 12'!#REF!)</f>
        <v>#REF!</v>
      </c>
      <c r="C53" s="398" t="str">
        <f>IF('DATA DE LAS 12'!E53=0," ",'DATA DE LAS 12'!E53)</f>
        <v xml:space="preserve"> </v>
      </c>
      <c r="D53" s="398" t="e">
        <f>IF('DATA DE LAS 12'!#REF!=0," ",'DATA DE LAS 12'!#REF!)</f>
        <v>#REF!</v>
      </c>
      <c r="E53" s="398" t="str">
        <f>IF('DATA DE LAS 12'!AM53=0," ",'DATA DE LAS 12'!AM53)</f>
        <v xml:space="preserve"> </v>
      </c>
      <c r="F53" s="398" t="str">
        <f>IF('DATA DE LAS 12'!AL53=0," ",'DATA DE LAS 12'!AL53)</f>
        <v xml:space="preserve"> </v>
      </c>
      <c r="G53" s="398" t="str">
        <f>IF('DATA DE LAS 12'!AQ53=0," ",'DATA DE LAS 12'!AQ53)</f>
        <v xml:space="preserve"> </v>
      </c>
      <c r="H53" s="398" t="str">
        <f>IF('DATA DE LAS 12'!Z53=0," ",'DATA DE LAS 12'!Z53)</f>
        <v xml:space="preserve"> </v>
      </c>
      <c r="I53" s="398" t="str">
        <f>IF('DATA DE LAS 12'!AN53=0," ",'DATA DE LAS 12'!AN53)</f>
        <v xml:space="preserve"> </v>
      </c>
      <c r="J53" s="398" t="str">
        <f>IF('DATA DE LAS 12'!F53=0," ",'DATA DE LAS 12'!F53)</f>
        <v xml:space="preserve"> </v>
      </c>
      <c r="K53" s="398" t="str">
        <f>IF('DATA DE LAS 12'!G53=0," ",'DATA DE LAS 12'!G53)</f>
        <v xml:space="preserve"> </v>
      </c>
      <c r="L53" s="398" t="str">
        <f>IF('DATA DE LAS 12'!H53=0," ",'DATA DE LAS 12'!H53)</f>
        <v xml:space="preserve"> </v>
      </c>
      <c r="M53" s="398" t="str">
        <f>IF('DATA DE LAS 12'!V53=0," ",'DATA DE LAS 12'!V53)</f>
        <v xml:space="preserve"> </v>
      </c>
      <c r="N53" s="398" t="str">
        <f>IF('DATA DE LAS 12'!X53=0," ",'DATA DE LAS 12'!X53)</f>
        <v xml:space="preserve"> </v>
      </c>
      <c r="O53" s="398" t="str">
        <f>IF('DATA DE LAS 12'!BB53=0," ",'DATA DE LAS 12'!BB53)</f>
        <v xml:space="preserve"> </v>
      </c>
      <c r="P53" s="400"/>
      <c r="Q53" s="400"/>
      <c r="R53" s="400"/>
      <c r="S53" s="400"/>
      <c r="T53" s="400"/>
      <c r="U53" s="400"/>
      <c r="V53" s="400"/>
      <c r="W53" s="400"/>
      <c r="X53" s="404" t="str">
        <f>IF('DATA DE LAS 12'!BD53=0," ",'DATA DE LAS 12'!BD53)</f>
        <v xml:space="preserve"> </v>
      </c>
      <c r="Y53" s="404" t="str">
        <f>IF('DATA DE LAS 12'!BE53=0," ",'DATA DE LAS 12'!BE53)</f>
        <v xml:space="preserve"> </v>
      </c>
      <c r="Z53" s="404" t="str">
        <f>IF('DATA DE LAS 12'!BF53=0," ",'DATA DE LAS 12'!BF53)</f>
        <v xml:space="preserve"> </v>
      </c>
      <c r="AA53" s="404" t="str">
        <f>IF('DATA DE LAS 12'!BG53=0," ",'DATA DE LAS 12'!BG53)</f>
        <v xml:space="preserve"> </v>
      </c>
      <c r="AB53" s="404" t="str">
        <f>IF('DATA DE LAS 12'!BY53=0," ",'DATA DE LAS 12'!BY53)</f>
        <v xml:space="preserve"> </v>
      </c>
      <c r="AC53" s="404">
        <v>13</v>
      </c>
      <c r="AD53" s="404">
        <v>25</v>
      </c>
      <c r="AE53" s="404">
        <v>550</v>
      </c>
      <c r="AF53" s="404">
        <v>427</v>
      </c>
      <c r="AG53" s="404" t="str">
        <f>IF('DATA DE LAS 12'!W53=0," ",'DATA DE LAS 12'!W53)</f>
        <v xml:space="preserve"> </v>
      </c>
    </row>
    <row r="54" spans="1:84">
      <c r="A54" s="620">
        <f t="shared" si="1"/>
        <v>45091</v>
      </c>
      <c r="B54" s="407">
        <f>IF('DATA DE LAS 12'!C53=0," ",'DATA DE LAS 12'!C53)</f>
        <v>1.0118055555555601</v>
      </c>
      <c r="C54" s="398" t="str">
        <f>IF('DATA DE LAS 12'!E54=0," ",'DATA DE LAS 12'!E54)</f>
        <v xml:space="preserve"> </v>
      </c>
      <c r="D54" s="398" t="e">
        <f>IF('DATA DE LAS 12'!#REF!=0," ",'DATA DE LAS 12'!#REF!)</f>
        <v>#REF!</v>
      </c>
      <c r="E54" s="398" t="str">
        <f>IF('DATA DE LAS 12'!AM54=0," ",'DATA DE LAS 12'!AM54)</f>
        <v xml:space="preserve"> </v>
      </c>
      <c r="F54" s="398" t="str">
        <f>IF('DATA DE LAS 12'!AL54=0," ",'DATA DE LAS 12'!AL54)</f>
        <v xml:space="preserve"> </v>
      </c>
      <c r="G54" s="398" t="str">
        <f>IF('DATA DE LAS 12'!AQ54=0," ",'DATA DE LAS 12'!AQ54)</f>
        <v xml:space="preserve"> </v>
      </c>
      <c r="H54" s="398" t="str">
        <f>IF('DATA DE LAS 12'!Z54=0," ",'DATA DE LAS 12'!Z54)</f>
        <v xml:space="preserve"> </v>
      </c>
      <c r="I54" s="398" t="str">
        <f>IF('DATA DE LAS 12'!AN54=0," ",'DATA DE LAS 12'!AN54)</f>
        <v xml:space="preserve"> </v>
      </c>
      <c r="J54" s="398" t="str">
        <f>IF('DATA DE LAS 12'!F54=0," ",'DATA DE LAS 12'!F54)</f>
        <v xml:space="preserve"> </v>
      </c>
      <c r="K54" s="398" t="str">
        <f>IF('DATA DE LAS 12'!G54=0," ",'DATA DE LAS 12'!G54)</f>
        <v xml:space="preserve"> </v>
      </c>
      <c r="L54" s="398" t="str">
        <f>IF('DATA DE LAS 12'!H54=0," ",'DATA DE LAS 12'!H54)</f>
        <v xml:space="preserve"> </v>
      </c>
      <c r="M54" s="398" t="str">
        <f>IF('DATA DE LAS 12'!V54=0," ",'DATA DE LAS 12'!V54)</f>
        <v xml:space="preserve"> </v>
      </c>
      <c r="N54" s="398" t="str">
        <f>IF('DATA DE LAS 12'!X54=0," ",'DATA DE LAS 12'!X54)</f>
        <v xml:space="preserve"> </v>
      </c>
      <c r="O54" s="398" t="str">
        <f>IF('DATA DE LAS 12'!BB54=0," ",'DATA DE LAS 12'!BB54)</f>
        <v xml:space="preserve"> </v>
      </c>
      <c r="P54" s="400"/>
      <c r="Q54" s="400"/>
      <c r="R54" s="400"/>
      <c r="S54" s="400"/>
      <c r="T54" s="400"/>
      <c r="U54" s="400"/>
      <c r="V54" s="400"/>
      <c r="W54" s="400"/>
      <c r="X54" s="404" t="str">
        <f>IF('DATA DE LAS 12'!BD54=0," ",'DATA DE LAS 12'!BD54)</f>
        <v xml:space="preserve"> </v>
      </c>
      <c r="Y54" s="404" t="str">
        <f>IF('DATA DE LAS 12'!BE54=0," ",'DATA DE LAS 12'!BE54)</f>
        <v xml:space="preserve"> </v>
      </c>
      <c r="Z54" s="404" t="str">
        <f>IF('DATA DE LAS 12'!BF54=0," ",'DATA DE LAS 12'!BF54)</f>
        <v xml:space="preserve"> </v>
      </c>
      <c r="AA54" s="404" t="str">
        <f>IF('DATA DE LAS 12'!BG54=0," ",'DATA DE LAS 12'!BG54)</f>
        <v xml:space="preserve"> </v>
      </c>
      <c r="AB54" s="404" t="str">
        <f>IF('DATA DE LAS 12'!BY54=0," ",'DATA DE LAS 12'!BY54)</f>
        <v xml:space="preserve"> </v>
      </c>
      <c r="AC54" s="404">
        <v>13</v>
      </c>
      <c r="AD54" s="404">
        <v>25</v>
      </c>
      <c r="AE54" s="404">
        <v>550</v>
      </c>
      <c r="AF54" s="404">
        <v>427</v>
      </c>
      <c r="AG54" s="404" t="str">
        <f>IF('DATA DE LAS 12'!W54=0," ",'DATA DE LAS 12'!W54)</f>
        <v xml:space="preserve"> </v>
      </c>
    </row>
    <row r="55" spans="1:84">
      <c r="A55" s="620">
        <f t="shared" si="1"/>
        <v>45092</v>
      </c>
      <c r="B55" s="407">
        <f>IF('DATA DE LAS 12'!C55=0," ",'DATA DE LAS 12'!C55)</f>
        <v>0.93055555555555547</v>
      </c>
      <c r="C55" s="398" t="str">
        <f>IF('DATA DE LAS 12'!E55=0," ",'DATA DE LAS 12'!E55)</f>
        <v xml:space="preserve"> </v>
      </c>
      <c r="D55" s="398" t="e">
        <f>IF('DATA DE LAS 12'!#REF!=0," ",'DATA DE LAS 12'!#REF!)</f>
        <v>#REF!</v>
      </c>
      <c r="E55" s="398" t="str">
        <f>IF('DATA DE LAS 12'!AM55=0," ",'DATA DE LAS 12'!AM55)</f>
        <v xml:space="preserve"> </v>
      </c>
      <c r="F55" s="398" t="str">
        <f>IF('DATA DE LAS 12'!AL55=0," ",'DATA DE LAS 12'!AL55)</f>
        <v xml:space="preserve"> </v>
      </c>
      <c r="G55" s="398" t="str">
        <f>IF('DATA DE LAS 12'!AQ55=0," ",'DATA DE LAS 12'!AQ55)</f>
        <v xml:space="preserve"> </v>
      </c>
      <c r="H55" s="398" t="str">
        <f>IF('DATA DE LAS 12'!Z55=0," ",'DATA DE LAS 12'!Z55)</f>
        <v xml:space="preserve"> </v>
      </c>
      <c r="I55" s="398" t="str">
        <f>IF('DATA DE LAS 12'!AN55=0," ",'DATA DE LAS 12'!AN55)</f>
        <v xml:space="preserve"> </v>
      </c>
      <c r="J55" s="398" t="str">
        <f>IF('DATA DE LAS 12'!F55=0," ",'DATA DE LAS 12'!F55)</f>
        <v xml:space="preserve"> </v>
      </c>
      <c r="K55" s="398" t="str">
        <f>IF('DATA DE LAS 12'!G55=0," ",'DATA DE LAS 12'!G55)</f>
        <v xml:space="preserve"> </v>
      </c>
      <c r="L55" s="398" t="str">
        <f>IF('DATA DE LAS 12'!H55=0," ",'DATA DE LAS 12'!H55)</f>
        <v xml:space="preserve"> </v>
      </c>
      <c r="M55" s="398" t="str">
        <f>IF('DATA DE LAS 12'!V55=0," ",'DATA DE LAS 12'!V55)</f>
        <v xml:space="preserve"> </v>
      </c>
      <c r="N55" s="398" t="str">
        <f>IF('DATA DE LAS 12'!X55=0," ",'DATA DE LAS 12'!X55)</f>
        <v xml:space="preserve"> </v>
      </c>
      <c r="O55" s="398" t="str">
        <f>IF('DATA DE LAS 12'!BB55=0," ",'DATA DE LAS 12'!BB55)</f>
        <v xml:space="preserve"> </v>
      </c>
      <c r="P55" s="400"/>
      <c r="Q55" s="400"/>
      <c r="R55" s="400"/>
      <c r="S55" s="400"/>
      <c r="T55" s="400"/>
      <c r="U55" s="400"/>
      <c r="V55" s="400"/>
      <c r="W55" s="400"/>
      <c r="X55" s="404" t="str">
        <f>IF('DATA DE LAS 12'!BD55=0," ",'DATA DE LAS 12'!BD55)</f>
        <v xml:space="preserve"> </v>
      </c>
      <c r="Y55" s="404" t="str">
        <f>IF('DATA DE LAS 12'!BE55=0," ",'DATA DE LAS 12'!BE55)</f>
        <v xml:space="preserve"> </v>
      </c>
      <c r="Z55" s="404" t="str">
        <f>IF('DATA DE LAS 12'!BF55=0," ",'DATA DE LAS 12'!BF55)</f>
        <v xml:space="preserve"> </v>
      </c>
      <c r="AA55" s="404" t="str">
        <f>IF('DATA DE LAS 12'!BG55=0," ",'DATA DE LAS 12'!BG55)</f>
        <v xml:space="preserve"> </v>
      </c>
      <c r="AB55" s="404" t="str">
        <f>IF('DATA DE LAS 12'!BY55=0," ",'DATA DE LAS 12'!BY55)</f>
        <v xml:space="preserve"> </v>
      </c>
      <c r="AC55" s="404">
        <v>13</v>
      </c>
      <c r="AD55" s="404">
        <v>25</v>
      </c>
      <c r="AE55" s="404">
        <v>550</v>
      </c>
      <c r="AF55" s="404">
        <v>427</v>
      </c>
      <c r="AG55" s="404" t="str">
        <f>IF('DATA DE LAS 12'!W55=0," ",'DATA DE LAS 12'!W55)</f>
        <v xml:space="preserve"> </v>
      </c>
    </row>
    <row r="56" spans="1:84">
      <c r="A56" s="620">
        <f t="shared" si="1"/>
        <v>45093</v>
      </c>
      <c r="B56" s="407">
        <f>IF('DATA DE LAS 12'!C56=0," ",'DATA DE LAS 12'!C56)</f>
        <v>0.97222222222222199</v>
      </c>
      <c r="C56" s="398" t="str">
        <f>IF('DATA DE LAS 12'!E56=0," ",'DATA DE LAS 12'!E56)</f>
        <v xml:space="preserve"> </v>
      </c>
      <c r="D56" s="398" t="e">
        <f>IF('DATA DE LAS 12'!#REF!=0," ",'DATA DE LAS 12'!#REF!)</f>
        <v>#REF!</v>
      </c>
      <c r="E56" s="398" t="str">
        <f>IF('DATA DE LAS 12'!AM56=0," ",'DATA DE LAS 12'!AM56)</f>
        <v xml:space="preserve"> </v>
      </c>
      <c r="F56" s="398" t="str">
        <f>IF('DATA DE LAS 12'!AL56=0," ",'DATA DE LAS 12'!AL56)</f>
        <v xml:space="preserve"> </v>
      </c>
      <c r="G56" s="398" t="str">
        <f>IF('DATA DE LAS 12'!AQ56=0," ",'DATA DE LAS 12'!AQ56)</f>
        <v xml:space="preserve"> </v>
      </c>
      <c r="H56" s="398" t="str">
        <f>IF('DATA DE LAS 12'!Z56=0," ",'DATA DE LAS 12'!Z56)</f>
        <v xml:space="preserve"> </v>
      </c>
      <c r="I56" s="398" t="str">
        <f>IF('DATA DE LAS 12'!AN56=0," ",'DATA DE LAS 12'!AN56)</f>
        <v xml:space="preserve"> </v>
      </c>
      <c r="J56" s="398" t="str">
        <f>IF('DATA DE LAS 12'!F56=0," ",'DATA DE LAS 12'!F56)</f>
        <v xml:space="preserve"> </v>
      </c>
      <c r="K56" s="398" t="str">
        <f>IF('DATA DE LAS 12'!G56=0," ",'DATA DE LAS 12'!G56)</f>
        <v xml:space="preserve"> </v>
      </c>
      <c r="L56" s="398" t="str">
        <f>IF('DATA DE LAS 12'!H56=0," ",'DATA DE LAS 12'!H56)</f>
        <v xml:space="preserve"> </v>
      </c>
      <c r="M56" s="398" t="str">
        <f>IF('DATA DE LAS 12'!V56=0," ",'DATA DE LAS 12'!V56)</f>
        <v xml:space="preserve"> </v>
      </c>
      <c r="N56" s="398" t="str">
        <f>IF('DATA DE LAS 12'!X56=0," ",'DATA DE LAS 12'!X56)</f>
        <v xml:space="preserve"> </v>
      </c>
      <c r="O56" s="398" t="str">
        <f>IF('DATA DE LAS 12'!BB56=0," ",'DATA DE LAS 12'!BB56)</f>
        <v xml:space="preserve"> </v>
      </c>
      <c r="P56" s="400"/>
      <c r="Q56" s="400"/>
      <c r="R56" s="400"/>
      <c r="S56" s="400"/>
      <c r="T56" s="400"/>
      <c r="U56" s="400"/>
      <c r="V56" s="400"/>
      <c r="W56" s="400"/>
      <c r="X56" s="404" t="str">
        <f>IF('DATA DE LAS 12'!BD56=0," ",'DATA DE LAS 12'!BD56)</f>
        <v xml:space="preserve"> </v>
      </c>
      <c r="Y56" s="404" t="str">
        <f>IF('DATA DE LAS 12'!BE56=0," ",'DATA DE LAS 12'!BE56)</f>
        <v xml:space="preserve"> </v>
      </c>
      <c r="Z56" s="404" t="str">
        <f>IF('DATA DE LAS 12'!BF56=0," ",'DATA DE LAS 12'!BF56)</f>
        <v xml:space="preserve"> </v>
      </c>
      <c r="AA56" s="404" t="str">
        <f>IF('DATA DE LAS 12'!BG56=0," ",'DATA DE LAS 12'!BG56)</f>
        <v xml:space="preserve"> </v>
      </c>
      <c r="AB56" s="404" t="str">
        <f>IF('DATA DE LAS 12'!BY56=0," ",'DATA DE LAS 12'!BY56)</f>
        <v xml:space="preserve"> </v>
      </c>
      <c r="AC56" s="404">
        <v>13</v>
      </c>
      <c r="AD56" s="404">
        <v>25</v>
      </c>
      <c r="AE56" s="404">
        <v>550</v>
      </c>
      <c r="AF56" s="404">
        <v>427</v>
      </c>
      <c r="AG56" s="404" t="str">
        <f>IF('DATA DE LAS 12'!W56=0," ",'DATA DE LAS 12'!W56)</f>
        <v xml:space="preserve"> </v>
      </c>
    </row>
    <row r="57" spans="1:84">
      <c r="A57" s="620">
        <f t="shared" si="1"/>
        <v>45094</v>
      </c>
      <c r="B57" s="407">
        <f>IF('DATA DE LAS 12'!C57=0," ",'DATA DE LAS 12'!C57)</f>
        <v>0.86736111111111114</v>
      </c>
      <c r="C57" s="398" t="str">
        <f>IF('DATA DE LAS 12'!E57=0," ",'DATA DE LAS 12'!E57)</f>
        <v xml:space="preserve"> </v>
      </c>
      <c r="D57" s="398" t="e">
        <f>IF('DATA DE LAS 12'!#REF!=0," ",'DATA DE LAS 12'!#REF!)</f>
        <v>#REF!</v>
      </c>
      <c r="E57" s="398" t="str">
        <f>IF('DATA DE LAS 12'!AM57=0," ",'DATA DE LAS 12'!AM57)</f>
        <v xml:space="preserve"> </v>
      </c>
      <c r="F57" s="398" t="str">
        <f>IF('DATA DE LAS 12'!AL57=0," ",'DATA DE LAS 12'!AL57)</f>
        <v xml:space="preserve"> </v>
      </c>
      <c r="G57" s="398" t="str">
        <f>IF('DATA DE LAS 12'!AQ57=0," ",'DATA DE LAS 12'!AQ57)</f>
        <v xml:space="preserve"> </v>
      </c>
      <c r="H57" s="398" t="str">
        <f>IF('DATA DE LAS 12'!Z57=0," ",'DATA DE LAS 12'!Z57)</f>
        <v xml:space="preserve"> </v>
      </c>
      <c r="I57" s="398" t="str">
        <f>IF('DATA DE LAS 12'!AN57=0," ",'DATA DE LAS 12'!AN57)</f>
        <v xml:space="preserve"> </v>
      </c>
      <c r="J57" s="398" t="str">
        <f>IF('DATA DE LAS 12'!F57=0," ",'DATA DE LAS 12'!F57)</f>
        <v xml:space="preserve"> </v>
      </c>
      <c r="K57" s="398" t="str">
        <f>IF('DATA DE LAS 12'!G57=0," ",'DATA DE LAS 12'!G57)</f>
        <v xml:space="preserve"> </v>
      </c>
      <c r="L57" s="398" t="str">
        <f>IF('DATA DE LAS 12'!H57=0," ",'DATA DE LAS 12'!H57)</f>
        <v xml:space="preserve"> </v>
      </c>
      <c r="M57" s="398" t="str">
        <f>IF('DATA DE LAS 12'!V57=0," ",'DATA DE LAS 12'!V57)</f>
        <v xml:space="preserve"> </v>
      </c>
      <c r="N57" s="398" t="str">
        <f>IF('DATA DE LAS 12'!X57=0," ",'DATA DE LAS 12'!X57)</f>
        <v xml:space="preserve"> </v>
      </c>
      <c r="O57" s="398" t="str">
        <f>IF('DATA DE LAS 12'!BB57=0," ",'DATA DE LAS 12'!BB57)</f>
        <v xml:space="preserve"> </v>
      </c>
      <c r="P57" s="400"/>
      <c r="Q57" s="400"/>
      <c r="R57" s="400"/>
      <c r="S57" s="400"/>
      <c r="T57" s="400"/>
      <c r="U57" s="400"/>
      <c r="V57" s="400"/>
      <c r="W57" s="400"/>
      <c r="X57" s="404" t="str">
        <f>IF('DATA DE LAS 12'!BD57=0," ",'DATA DE LAS 12'!BD57)</f>
        <v xml:space="preserve"> </v>
      </c>
      <c r="Y57" s="404" t="str">
        <f>IF('DATA DE LAS 12'!BE57=0," ",'DATA DE LAS 12'!BE57)</f>
        <v xml:space="preserve"> </v>
      </c>
      <c r="Z57" s="404" t="str">
        <f>IF('DATA DE LAS 12'!BF57=0," ",'DATA DE LAS 12'!BF57)</f>
        <v xml:space="preserve"> </v>
      </c>
      <c r="AA57" s="404" t="str">
        <f>IF('DATA DE LAS 12'!BG57=0," ",'DATA DE LAS 12'!BG57)</f>
        <v xml:space="preserve"> </v>
      </c>
      <c r="AB57" s="404" t="str">
        <f>IF('DATA DE LAS 12'!BY57=0," ",'DATA DE LAS 12'!BY57)</f>
        <v xml:space="preserve"> </v>
      </c>
      <c r="AC57" s="404">
        <v>13</v>
      </c>
      <c r="AD57" s="404">
        <v>25</v>
      </c>
      <c r="AE57" s="404">
        <v>550</v>
      </c>
      <c r="AF57" s="404">
        <v>427</v>
      </c>
      <c r="AG57" s="404" t="str">
        <f>IF('DATA DE LAS 12'!W57=0," ",'DATA DE LAS 12'!W57)</f>
        <v xml:space="preserve"> </v>
      </c>
    </row>
    <row r="58" spans="1:84">
      <c r="A58" s="620">
        <f t="shared" si="1"/>
        <v>45095</v>
      </c>
      <c r="B58" s="407">
        <f>IF('DATA DE LAS 12'!C58=0," ",'DATA DE LAS 12'!C58)</f>
        <v>0.97083333333333333</v>
      </c>
      <c r="C58" s="398" t="str">
        <f>IF('DATA DE LAS 12'!E58=0," ",'DATA DE LAS 12'!E58)</f>
        <v xml:space="preserve"> </v>
      </c>
      <c r="D58" s="398" t="e">
        <f>IF('DATA DE LAS 12'!#REF!=0," ",'DATA DE LAS 12'!#REF!)</f>
        <v>#REF!</v>
      </c>
      <c r="E58" s="398" t="str">
        <f>IF('DATA DE LAS 12'!AM58=0," ",'DATA DE LAS 12'!AM58)</f>
        <v xml:space="preserve"> </v>
      </c>
      <c r="F58" s="398" t="str">
        <f>IF('DATA DE LAS 12'!AL58=0," ",'DATA DE LAS 12'!AL58)</f>
        <v xml:space="preserve"> </v>
      </c>
      <c r="G58" s="398" t="str">
        <f>IF('DATA DE LAS 12'!AQ58=0," ",'DATA DE LAS 12'!AQ58)</f>
        <v xml:space="preserve"> </v>
      </c>
      <c r="H58" s="398" t="str">
        <f>IF('DATA DE LAS 12'!Z58=0," ",'DATA DE LAS 12'!Z58)</f>
        <v xml:space="preserve"> </v>
      </c>
      <c r="I58" s="398" t="str">
        <f>IF('DATA DE LAS 12'!AN58=0," ",'DATA DE LAS 12'!AN58)</f>
        <v xml:space="preserve"> </v>
      </c>
      <c r="J58" s="398" t="str">
        <f>IF('DATA DE LAS 12'!F58=0," ",'DATA DE LAS 12'!F58)</f>
        <v xml:space="preserve"> </v>
      </c>
      <c r="K58" s="398" t="str">
        <f>IF('DATA DE LAS 12'!G58=0," ",'DATA DE LAS 12'!G58)</f>
        <v xml:space="preserve"> </v>
      </c>
      <c r="L58" s="398" t="str">
        <f>IF('DATA DE LAS 12'!H58=0," ",'DATA DE LAS 12'!H58)</f>
        <v xml:space="preserve"> </v>
      </c>
      <c r="M58" s="398" t="str">
        <f>IF('DATA DE LAS 12'!V58=0," ",'DATA DE LAS 12'!V58)</f>
        <v xml:space="preserve"> </v>
      </c>
      <c r="N58" s="398" t="str">
        <f>IF('DATA DE LAS 12'!X58=0," ",'DATA DE LAS 12'!X58)</f>
        <v xml:space="preserve"> </v>
      </c>
      <c r="O58" s="398" t="str">
        <f>IF('DATA DE LAS 12'!BB58=0," ",'DATA DE LAS 12'!BB58)</f>
        <v xml:space="preserve"> </v>
      </c>
      <c r="P58" s="400"/>
      <c r="Q58" s="400"/>
      <c r="R58" s="400"/>
      <c r="S58" s="400"/>
      <c r="T58" s="400"/>
      <c r="U58" s="400"/>
      <c r="V58" s="400"/>
      <c r="W58" s="400"/>
      <c r="X58" s="404" t="str">
        <f>IF('DATA DE LAS 12'!BD58=0," ",'DATA DE LAS 12'!BD58)</f>
        <v xml:space="preserve"> </v>
      </c>
      <c r="Y58" s="404" t="str">
        <f>IF('DATA DE LAS 12'!BE58=0," ",'DATA DE LAS 12'!BE58)</f>
        <v xml:space="preserve"> </v>
      </c>
      <c r="Z58" s="404" t="str">
        <f>IF('DATA DE LAS 12'!BF58=0," ",'DATA DE LAS 12'!BF58)</f>
        <v xml:space="preserve"> </v>
      </c>
      <c r="AA58" s="404" t="str">
        <f>IF('DATA DE LAS 12'!BG58=0," ",'DATA DE LAS 12'!BG58)</f>
        <v xml:space="preserve"> </v>
      </c>
      <c r="AB58" s="404" t="str">
        <f>IF('DATA DE LAS 12'!BY58=0," ",'DATA DE LAS 12'!BY58)</f>
        <v xml:space="preserve"> </v>
      </c>
      <c r="AC58" s="404">
        <v>13</v>
      </c>
      <c r="AD58" s="404">
        <v>25</v>
      </c>
      <c r="AE58" s="404">
        <v>550</v>
      </c>
      <c r="AF58" s="404">
        <v>427</v>
      </c>
      <c r="AG58" s="404" t="str">
        <f>IF('DATA DE LAS 12'!W58=0," ",'DATA DE LAS 12'!W58)</f>
        <v xml:space="preserve"> </v>
      </c>
    </row>
    <row r="59" spans="1:84">
      <c r="A59" s="620">
        <f t="shared" si="1"/>
        <v>45096</v>
      </c>
      <c r="B59" s="407">
        <f>IF('DATA DE LAS 12'!C59=0," ",'DATA DE LAS 12'!C59)</f>
        <v>0.93958333333333333</v>
      </c>
      <c r="C59" s="398" t="str">
        <f>IF('DATA DE LAS 12'!E59=0," ",'DATA DE LAS 12'!E59)</f>
        <v xml:space="preserve"> </v>
      </c>
      <c r="D59" s="398" t="e">
        <f>IF('DATA DE LAS 12'!#REF!=0," ",'DATA DE LAS 12'!#REF!)</f>
        <v>#REF!</v>
      </c>
      <c r="E59" s="398" t="str">
        <f>IF('DATA DE LAS 12'!AM59=0," ",'DATA DE LAS 12'!AM59)</f>
        <v xml:space="preserve"> </v>
      </c>
      <c r="F59" s="398" t="str">
        <f>IF('DATA DE LAS 12'!AL59=0," ",'DATA DE LAS 12'!AL59)</f>
        <v xml:space="preserve"> </v>
      </c>
      <c r="G59" s="398" t="str">
        <f>IF('DATA DE LAS 12'!AQ59=0," ",'DATA DE LAS 12'!AQ59)</f>
        <v xml:space="preserve"> </v>
      </c>
      <c r="H59" s="398" t="str">
        <f>IF('DATA DE LAS 12'!Z59=0," ",'DATA DE LAS 12'!Z59)</f>
        <v xml:space="preserve"> </v>
      </c>
      <c r="I59" s="398" t="str">
        <f>IF('DATA DE LAS 12'!AN59=0," ",'DATA DE LAS 12'!AN59)</f>
        <v xml:space="preserve"> </v>
      </c>
      <c r="J59" s="398" t="str">
        <f>IF('DATA DE LAS 12'!F59=0," ",'DATA DE LAS 12'!F59)</f>
        <v xml:space="preserve"> </v>
      </c>
      <c r="K59" s="398" t="str">
        <f>IF('DATA DE LAS 12'!G59=0," ",'DATA DE LAS 12'!G59)</f>
        <v xml:space="preserve"> </v>
      </c>
      <c r="L59" s="398" t="str">
        <f>IF('DATA DE LAS 12'!H59=0," ",'DATA DE LAS 12'!H59)</f>
        <v xml:space="preserve"> </v>
      </c>
      <c r="M59" s="398" t="str">
        <f>IF('DATA DE LAS 12'!V59=0," ",'DATA DE LAS 12'!V59)</f>
        <v xml:space="preserve"> </v>
      </c>
      <c r="N59" s="398" t="str">
        <f>IF('DATA DE LAS 12'!X59=0," ",'DATA DE LAS 12'!X59)</f>
        <v xml:space="preserve"> </v>
      </c>
      <c r="O59" s="398" t="str">
        <f>IF('DATA DE LAS 12'!BB59=0," ",'DATA DE LAS 12'!BB59)</f>
        <v xml:space="preserve"> </v>
      </c>
      <c r="P59" s="400"/>
      <c r="Q59" s="400"/>
      <c r="R59" s="400"/>
      <c r="S59" s="400"/>
      <c r="T59" s="400"/>
      <c r="U59" s="400"/>
      <c r="V59" s="400"/>
      <c r="W59" s="400"/>
      <c r="X59" s="404" t="str">
        <f>IF('DATA DE LAS 12'!BD59=0," ",'DATA DE LAS 12'!BD59)</f>
        <v xml:space="preserve"> </v>
      </c>
      <c r="Y59" s="404" t="str">
        <f>IF('DATA DE LAS 12'!BE59=0," ",'DATA DE LAS 12'!BE59)</f>
        <v xml:space="preserve"> </v>
      </c>
      <c r="Z59" s="404" t="str">
        <f>IF('DATA DE LAS 12'!BF59=0," ",'DATA DE LAS 12'!BF59)</f>
        <v xml:space="preserve"> </v>
      </c>
      <c r="AA59" s="404" t="str">
        <f>IF('DATA DE LAS 12'!BG59=0," ",'DATA DE LAS 12'!BG59)</f>
        <v xml:space="preserve"> </v>
      </c>
      <c r="AB59" s="404" t="str">
        <f>IF('DATA DE LAS 12'!BY59=0," ",'DATA DE LAS 12'!BY59)</f>
        <v xml:space="preserve"> </v>
      </c>
      <c r="AC59" s="404">
        <v>13</v>
      </c>
      <c r="AD59" s="404">
        <v>25</v>
      </c>
      <c r="AE59" s="404">
        <v>550</v>
      </c>
      <c r="AF59" s="404">
        <v>427</v>
      </c>
      <c r="AG59" s="404" t="str">
        <f>IF('DATA DE LAS 12'!W59=0," ",'DATA DE LAS 12'!W59)</f>
        <v xml:space="preserve"> </v>
      </c>
    </row>
    <row r="60" spans="1:84">
      <c r="A60" s="620">
        <f t="shared" si="1"/>
        <v>45097</v>
      </c>
      <c r="B60" s="407">
        <f>IF('DATA DE LAS 12'!C60=0," ",'DATA DE LAS 12'!C60)</f>
        <v>0.9159722222222223</v>
      </c>
      <c r="C60" s="398" t="str">
        <f>IF('DATA DE LAS 12'!E60=0," ",'DATA DE LAS 12'!E60)</f>
        <v xml:space="preserve"> </v>
      </c>
      <c r="D60" s="398" t="e">
        <f>IF('DATA DE LAS 12'!#REF!=0," ",'DATA DE LAS 12'!#REF!)</f>
        <v>#REF!</v>
      </c>
      <c r="E60" s="398" t="str">
        <f>IF('DATA DE LAS 12'!AM60=0," ",'DATA DE LAS 12'!AM60)</f>
        <v xml:space="preserve"> </v>
      </c>
      <c r="F60" s="398" t="str">
        <f>IF('DATA DE LAS 12'!AL60=0," ",'DATA DE LAS 12'!AL60)</f>
        <v xml:space="preserve"> </v>
      </c>
      <c r="G60" s="398" t="str">
        <f>IF('DATA DE LAS 12'!AQ60=0," ",'DATA DE LAS 12'!AQ60)</f>
        <v xml:space="preserve"> </v>
      </c>
      <c r="H60" s="398" t="str">
        <f>IF('DATA DE LAS 12'!Z60=0," ",'DATA DE LAS 12'!Z60)</f>
        <v xml:space="preserve"> </v>
      </c>
      <c r="I60" s="398" t="str">
        <f>IF('DATA DE LAS 12'!AN60=0," ",'DATA DE LAS 12'!AN60)</f>
        <v xml:space="preserve"> </v>
      </c>
      <c r="J60" s="398" t="str">
        <f>IF('DATA DE LAS 12'!F60=0," ",'DATA DE LAS 12'!F60)</f>
        <v xml:space="preserve"> </v>
      </c>
      <c r="K60" s="398" t="str">
        <f>IF('DATA DE LAS 12'!G60=0," ",'DATA DE LAS 12'!G60)</f>
        <v xml:space="preserve"> </v>
      </c>
      <c r="L60" s="398" t="str">
        <f>IF('DATA DE LAS 12'!H60=0," ",'DATA DE LAS 12'!H60)</f>
        <v xml:space="preserve"> </v>
      </c>
      <c r="M60" s="398" t="str">
        <f>IF('DATA DE LAS 12'!V60=0," ",'DATA DE LAS 12'!V60)</f>
        <v xml:space="preserve"> </v>
      </c>
      <c r="N60" s="398" t="str">
        <f>IF('DATA DE LAS 12'!X60=0," ",'DATA DE LAS 12'!X60)</f>
        <v xml:space="preserve"> </v>
      </c>
      <c r="O60" s="398" t="str">
        <f>IF('DATA DE LAS 12'!BB60=0," ",'DATA DE LAS 12'!BB60)</f>
        <v xml:space="preserve"> </v>
      </c>
      <c r="P60" s="400"/>
      <c r="Q60" s="400"/>
      <c r="R60" s="400"/>
      <c r="S60" s="400"/>
      <c r="T60" s="400"/>
      <c r="U60" s="400"/>
      <c r="V60" s="400"/>
      <c r="W60" s="400"/>
      <c r="X60" s="404" t="str">
        <f>IF('DATA DE LAS 12'!BD60=0," ",'DATA DE LAS 12'!BD60)</f>
        <v xml:space="preserve"> </v>
      </c>
      <c r="Y60" s="404" t="str">
        <f>IF('DATA DE LAS 12'!BE60=0," ",'DATA DE LAS 12'!BE60)</f>
        <v xml:space="preserve"> </v>
      </c>
      <c r="Z60" s="404" t="str">
        <f>IF('DATA DE LAS 12'!BF60=0," ",'DATA DE LAS 12'!BF60)</f>
        <v xml:space="preserve"> </v>
      </c>
      <c r="AA60" s="404" t="str">
        <f>IF('DATA DE LAS 12'!BG60=0," ",'DATA DE LAS 12'!BG60)</f>
        <v xml:space="preserve"> </v>
      </c>
      <c r="AB60" s="404" t="str">
        <f>IF('DATA DE LAS 12'!BY60=0," ",'DATA DE LAS 12'!BY60)</f>
        <v xml:space="preserve"> </v>
      </c>
      <c r="AC60" s="404">
        <v>13</v>
      </c>
      <c r="AD60" s="404">
        <v>25</v>
      </c>
      <c r="AE60" s="404">
        <v>550</v>
      </c>
      <c r="AF60" s="404">
        <v>427</v>
      </c>
      <c r="AG60" s="404" t="str">
        <f>IF('DATA DE LAS 12'!W60=0," ",'DATA DE LAS 12'!W60)</f>
        <v xml:space="preserve"> </v>
      </c>
    </row>
    <row r="61" spans="1:84">
      <c r="A61" s="620">
        <f t="shared" si="1"/>
        <v>45098</v>
      </c>
      <c r="B61" s="407">
        <f>IF('DATA DE LAS 12'!C61=0," ",'DATA DE LAS 12'!C61)</f>
        <v>0.93472222222222223</v>
      </c>
      <c r="C61" s="398" t="str">
        <f>IF('DATA DE LAS 12'!E61=0," ",'DATA DE LAS 12'!E61)</f>
        <v xml:space="preserve"> </v>
      </c>
      <c r="D61" s="398" t="e">
        <f>IF('DATA DE LAS 12'!#REF!=0," ",'DATA DE LAS 12'!#REF!)</f>
        <v>#REF!</v>
      </c>
      <c r="E61" s="398" t="str">
        <f>IF('DATA DE LAS 12'!AM61=0," ",'DATA DE LAS 12'!AM61)</f>
        <v xml:space="preserve"> </v>
      </c>
      <c r="F61" s="398" t="str">
        <f>IF('DATA DE LAS 12'!AL61=0," ",'DATA DE LAS 12'!AL61)</f>
        <v xml:space="preserve"> </v>
      </c>
      <c r="G61" s="398" t="str">
        <f>IF('DATA DE LAS 12'!AQ61=0," ",'DATA DE LAS 12'!AQ61)</f>
        <v xml:space="preserve"> </v>
      </c>
      <c r="H61" s="398" t="str">
        <f>IF('DATA DE LAS 12'!Z61=0," ",'DATA DE LAS 12'!Z61)</f>
        <v xml:space="preserve"> </v>
      </c>
      <c r="I61" s="398" t="str">
        <f>IF('DATA DE LAS 12'!AN61=0," ",'DATA DE LAS 12'!AN61)</f>
        <v xml:space="preserve"> </v>
      </c>
      <c r="J61" s="398" t="str">
        <f>IF('DATA DE LAS 12'!F61=0," ",'DATA DE LAS 12'!F61)</f>
        <v xml:space="preserve"> </v>
      </c>
      <c r="K61" s="398" t="str">
        <f>IF('DATA DE LAS 12'!G61=0," ",'DATA DE LAS 12'!G61)</f>
        <v xml:space="preserve"> </v>
      </c>
      <c r="L61" s="398" t="str">
        <f>IF('DATA DE LAS 12'!H61=0," ",'DATA DE LAS 12'!H61)</f>
        <v xml:space="preserve"> </v>
      </c>
      <c r="M61" s="398" t="str">
        <f>IF('DATA DE LAS 12'!V61=0," ",'DATA DE LAS 12'!V61)</f>
        <v xml:space="preserve"> </v>
      </c>
      <c r="N61" s="398" t="str">
        <f>IF('DATA DE LAS 12'!X61=0," ",'DATA DE LAS 12'!X61)</f>
        <v xml:space="preserve"> </v>
      </c>
      <c r="O61" s="398" t="str">
        <f>IF('DATA DE LAS 12'!BB61=0," ",'DATA DE LAS 12'!BB61)</f>
        <v xml:space="preserve"> </v>
      </c>
      <c r="P61" s="400"/>
      <c r="Q61" s="400"/>
      <c r="R61" s="400"/>
      <c r="S61" s="400"/>
      <c r="T61" s="400"/>
      <c r="U61" s="400"/>
      <c r="V61" s="400"/>
      <c r="W61" s="400"/>
      <c r="X61" s="404" t="str">
        <f>IF('DATA DE LAS 12'!BD61=0," ",'DATA DE LAS 12'!BD61)</f>
        <v xml:space="preserve"> </v>
      </c>
      <c r="Y61" s="404" t="str">
        <f>IF('DATA DE LAS 12'!BE61=0," ",'DATA DE LAS 12'!BE61)</f>
        <v xml:space="preserve"> </v>
      </c>
      <c r="Z61" s="404" t="str">
        <f>IF('DATA DE LAS 12'!BF61=0," ",'DATA DE LAS 12'!BF61)</f>
        <v xml:space="preserve"> </v>
      </c>
      <c r="AA61" s="404" t="str">
        <f>IF('DATA DE LAS 12'!BG61=0," ",'DATA DE LAS 12'!BG61)</f>
        <v xml:space="preserve"> </v>
      </c>
      <c r="AB61" s="404" t="str">
        <f>IF('DATA DE LAS 12'!BY61=0," ",'DATA DE LAS 12'!BY61)</f>
        <v xml:space="preserve"> </v>
      </c>
      <c r="AC61" s="404">
        <v>13</v>
      </c>
      <c r="AD61" s="404">
        <v>25</v>
      </c>
      <c r="AE61" s="404">
        <v>550</v>
      </c>
      <c r="AF61" s="404">
        <v>427</v>
      </c>
      <c r="AG61" s="404" t="str">
        <f>IF('DATA DE LAS 12'!W61=0," ",'DATA DE LAS 12'!W61)</f>
        <v xml:space="preserve"> </v>
      </c>
    </row>
    <row r="62" spans="1:84">
      <c r="A62" s="620">
        <f t="shared" si="1"/>
        <v>45099</v>
      </c>
      <c r="B62" s="407">
        <f>IF('DATA DE LAS 12'!C62=0," ",'DATA DE LAS 12'!C62)</f>
        <v>0.9145833333333333</v>
      </c>
      <c r="C62" s="398" t="str">
        <f>IF('DATA DE LAS 12'!E62=0," ",'DATA DE LAS 12'!E62)</f>
        <v xml:space="preserve"> </v>
      </c>
      <c r="D62" s="398" t="e">
        <f>IF('DATA DE LAS 12'!#REF!=0," ",'DATA DE LAS 12'!#REF!)</f>
        <v>#REF!</v>
      </c>
      <c r="E62" s="398" t="str">
        <f>IF('DATA DE LAS 12'!AM62=0," ",'DATA DE LAS 12'!AM62)</f>
        <v xml:space="preserve"> </v>
      </c>
      <c r="F62" s="398" t="str">
        <f>IF('DATA DE LAS 12'!AL62=0," ",'DATA DE LAS 12'!AL62)</f>
        <v xml:space="preserve"> </v>
      </c>
      <c r="G62" s="398" t="str">
        <f>IF('DATA DE LAS 12'!AQ62=0," ",'DATA DE LAS 12'!AQ62)</f>
        <v xml:space="preserve"> </v>
      </c>
      <c r="H62" s="398" t="str">
        <f>IF('DATA DE LAS 12'!Z62=0," ",'DATA DE LAS 12'!Z62)</f>
        <v xml:space="preserve"> </v>
      </c>
      <c r="I62" s="398" t="str">
        <f>IF('DATA DE LAS 12'!AN62=0," ",'DATA DE LAS 12'!AN62)</f>
        <v xml:space="preserve"> </v>
      </c>
      <c r="J62" s="398" t="str">
        <f>IF('DATA DE LAS 12'!F62=0," ",'DATA DE LAS 12'!F62)</f>
        <v xml:space="preserve"> </v>
      </c>
      <c r="K62" s="398" t="str">
        <f>IF('DATA DE LAS 12'!G62=0," ",'DATA DE LAS 12'!G62)</f>
        <v xml:space="preserve"> </v>
      </c>
      <c r="L62" s="398" t="str">
        <f>IF('DATA DE LAS 12'!H62=0," ",'DATA DE LAS 12'!H62)</f>
        <v xml:space="preserve"> </v>
      </c>
      <c r="M62" s="398" t="str">
        <f>IF('DATA DE LAS 12'!V62=0," ",'DATA DE LAS 12'!V62)</f>
        <v xml:space="preserve"> </v>
      </c>
      <c r="N62" s="398" t="str">
        <f>IF('DATA DE LAS 12'!X62=0," ",'DATA DE LAS 12'!X62)</f>
        <v xml:space="preserve"> </v>
      </c>
      <c r="O62" s="398" t="str">
        <f>IF('DATA DE LAS 12'!BB62=0," ",'DATA DE LAS 12'!BB62)</f>
        <v xml:space="preserve"> </v>
      </c>
      <c r="P62" s="400"/>
      <c r="Q62" s="400"/>
      <c r="R62" s="400"/>
      <c r="S62" s="400"/>
      <c r="T62" s="400"/>
      <c r="U62" s="400"/>
      <c r="V62" s="400"/>
      <c r="W62" s="400"/>
      <c r="X62" s="404" t="str">
        <f>IF('DATA DE LAS 12'!BD62=0," ",'DATA DE LAS 12'!BD62)</f>
        <v xml:space="preserve"> </v>
      </c>
      <c r="Y62" s="404" t="str">
        <f>IF('DATA DE LAS 12'!BE62=0," ",'DATA DE LAS 12'!BE62)</f>
        <v xml:space="preserve"> </v>
      </c>
      <c r="Z62" s="404" t="str">
        <f>IF('DATA DE LAS 12'!BF62=0," ",'DATA DE LAS 12'!BF62)</f>
        <v xml:space="preserve"> </v>
      </c>
      <c r="AA62" s="404" t="str">
        <f>IF('DATA DE LAS 12'!BG62=0," ",'DATA DE LAS 12'!BG62)</f>
        <v xml:space="preserve"> </v>
      </c>
      <c r="AB62" s="404" t="str">
        <f>IF('DATA DE LAS 12'!BY62=0," ",'DATA DE LAS 12'!BY62)</f>
        <v xml:space="preserve"> </v>
      </c>
      <c r="AC62" s="404">
        <v>13</v>
      </c>
      <c r="AD62" s="404">
        <v>25</v>
      </c>
      <c r="AE62" s="404">
        <v>550</v>
      </c>
      <c r="AF62" s="404">
        <v>427</v>
      </c>
      <c r="AG62" s="404" t="str">
        <f>IF('DATA DE LAS 12'!W62=0," ",'DATA DE LAS 12'!W62)</f>
        <v xml:space="preserve"> </v>
      </c>
    </row>
    <row r="63" spans="1:84">
      <c r="A63" s="620">
        <f t="shared" si="1"/>
        <v>45100</v>
      </c>
      <c r="B63" s="407">
        <f>IF('DATA DE LAS 12'!C63=0," ",'DATA DE LAS 12'!C63)</f>
        <v>0.9375</v>
      </c>
      <c r="C63" s="398" t="str">
        <f>IF('DATA DE LAS 12'!E63=0," ",'DATA DE LAS 12'!E63)</f>
        <v xml:space="preserve"> </v>
      </c>
      <c r="D63" s="398" t="e">
        <f>IF('DATA DE LAS 12'!#REF!=0," ",'DATA DE LAS 12'!#REF!)</f>
        <v>#REF!</v>
      </c>
      <c r="E63" s="398" t="str">
        <f>IF('DATA DE LAS 12'!AM63=0," ",'DATA DE LAS 12'!AM63)</f>
        <v xml:space="preserve"> </v>
      </c>
      <c r="F63" s="398" t="str">
        <f>IF('DATA DE LAS 12'!AL63=0," ",'DATA DE LAS 12'!AL63)</f>
        <v xml:space="preserve"> </v>
      </c>
      <c r="G63" s="398" t="str">
        <f>IF('DATA DE LAS 12'!AQ63=0," ",'DATA DE LAS 12'!AQ63)</f>
        <v xml:space="preserve"> </v>
      </c>
      <c r="H63" s="398" t="str">
        <f>IF('DATA DE LAS 12'!Z63=0," ",'DATA DE LAS 12'!Z63)</f>
        <v xml:space="preserve"> </v>
      </c>
      <c r="I63" s="398" t="str">
        <f>IF('DATA DE LAS 12'!AN63=0," ",'DATA DE LAS 12'!AN63)</f>
        <v xml:space="preserve"> </v>
      </c>
      <c r="J63" s="398" t="str">
        <f>IF('DATA DE LAS 12'!F63=0," ",'DATA DE LAS 12'!F63)</f>
        <v xml:space="preserve"> </v>
      </c>
      <c r="K63" s="398" t="str">
        <f>IF('DATA DE LAS 12'!G63=0," ",'DATA DE LAS 12'!G63)</f>
        <v xml:space="preserve"> </v>
      </c>
      <c r="L63" s="398" t="str">
        <f>IF('DATA DE LAS 12'!H63=0," ",'DATA DE LAS 12'!H63)</f>
        <v xml:space="preserve"> </v>
      </c>
      <c r="M63" s="398" t="str">
        <f>IF('DATA DE LAS 12'!V63=0," ",'DATA DE LAS 12'!V63)</f>
        <v xml:space="preserve"> </v>
      </c>
      <c r="N63" s="398" t="str">
        <f>IF('DATA DE LAS 12'!X63=0," ",'DATA DE LAS 12'!X63)</f>
        <v xml:space="preserve"> </v>
      </c>
      <c r="O63" s="398" t="str">
        <f>IF('DATA DE LAS 12'!BB63=0," ",'DATA DE LAS 12'!BB63)</f>
        <v xml:space="preserve"> </v>
      </c>
      <c r="P63" s="400"/>
      <c r="Q63" s="400"/>
      <c r="R63" s="400"/>
      <c r="S63" s="400"/>
      <c r="T63" s="400"/>
      <c r="U63" s="400"/>
      <c r="V63" s="400"/>
      <c r="W63" s="400"/>
      <c r="X63" s="404" t="str">
        <f>IF('DATA DE LAS 12'!BD63=0," ",'DATA DE LAS 12'!BD63)</f>
        <v xml:space="preserve"> </v>
      </c>
      <c r="Y63" s="404" t="str">
        <f>IF('DATA DE LAS 12'!BE63=0," ",'DATA DE LAS 12'!BE63)</f>
        <v xml:space="preserve"> </v>
      </c>
      <c r="Z63" s="404" t="str">
        <f>IF('DATA DE LAS 12'!BF63=0," ",'DATA DE LAS 12'!BF63)</f>
        <v xml:space="preserve"> </v>
      </c>
      <c r="AA63" s="404" t="str">
        <f>IF('DATA DE LAS 12'!BG63=0," ",'DATA DE LAS 12'!BG63)</f>
        <v xml:space="preserve"> </v>
      </c>
      <c r="AB63" s="404" t="str">
        <f>IF('DATA DE LAS 12'!BY63=0," ",'DATA DE LAS 12'!BY63)</f>
        <v xml:space="preserve"> </v>
      </c>
      <c r="AC63" s="404">
        <v>13</v>
      </c>
      <c r="AD63" s="404">
        <v>25</v>
      </c>
      <c r="AE63" s="404">
        <v>550</v>
      </c>
      <c r="AF63" s="404">
        <v>427</v>
      </c>
      <c r="AG63" s="404" t="str">
        <f>IF('DATA DE LAS 12'!W63=0," ",'DATA DE LAS 12'!W63)</f>
        <v xml:space="preserve"> </v>
      </c>
    </row>
    <row r="64" spans="1:84">
      <c r="A64" s="620">
        <f t="shared" si="1"/>
        <v>45101</v>
      </c>
      <c r="B64" s="407">
        <f>IF('DATA DE LAS 12'!C64=0," ",'DATA DE LAS 12'!C64)</f>
        <v>0.90972222222222221</v>
      </c>
      <c r="C64" s="398" t="str">
        <f>IF('DATA DE LAS 12'!E64=0," ",'DATA DE LAS 12'!E64)</f>
        <v xml:space="preserve"> </v>
      </c>
      <c r="D64" s="398" t="e">
        <f>IF('DATA DE LAS 12'!#REF!=0," ",'DATA DE LAS 12'!#REF!)</f>
        <v>#REF!</v>
      </c>
      <c r="E64" s="398" t="str">
        <f>IF('DATA DE LAS 12'!AM64=0," ",'DATA DE LAS 12'!AM64)</f>
        <v xml:space="preserve"> </v>
      </c>
      <c r="F64" s="398" t="str">
        <f>IF('DATA DE LAS 12'!AL64=0," ",'DATA DE LAS 12'!AL64)</f>
        <v xml:space="preserve"> </v>
      </c>
      <c r="G64" s="398" t="str">
        <f>IF('DATA DE LAS 12'!AQ64=0," ",'DATA DE LAS 12'!AQ64)</f>
        <v xml:space="preserve"> </v>
      </c>
      <c r="H64" s="398" t="str">
        <f>IF('DATA DE LAS 12'!Z64=0," ",'DATA DE LAS 12'!Z64)</f>
        <v xml:space="preserve"> </v>
      </c>
      <c r="I64" s="398" t="str">
        <f>IF('DATA DE LAS 12'!AN64=0," ",'DATA DE LAS 12'!AN64)</f>
        <v xml:space="preserve"> </v>
      </c>
      <c r="J64" s="398" t="str">
        <f>IF('DATA DE LAS 12'!F64=0," ",'DATA DE LAS 12'!F64)</f>
        <v xml:space="preserve"> </v>
      </c>
      <c r="K64" s="398" t="str">
        <f>IF('DATA DE LAS 12'!G64=0," ",'DATA DE LAS 12'!G64)</f>
        <v xml:space="preserve"> </v>
      </c>
      <c r="L64" s="398" t="str">
        <f>IF('DATA DE LAS 12'!H64=0," ",'DATA DE LAS 12'!H64)</f>
        <v xml:space="preserve"> </v>
      </c>
      <c r="M64" s="398" t="str">
        <f>IF('DATA DE LAS 12'!V64=0," ",'DATA DE LAS 12'!V64)</f>
        <v xml:space="preserve"> </v>
      </c>
      <c r="N64" s="398" t="str">
        <f>IF('DATA DE LAS 12'!X64=0," ",'DATA DE LAS 12'!X64)</f>
        <v xml:space="preserve"> </v>
      </c>
      <c r="O64" s="398" t="str">
        <f>IF('DATA DE LAS 12'!BB64=0," ",'DATA DE LAS 12'!BB64)</f>
        <v xml:space="preserve"> </v>
      </c>
      <c r="P64" s="400"/>
      <c r="Q64" s="400"/>
      <c r="R64" s="400"/>
      <c r="S64" s="400"/>
      <c r="T64" s="400"/>
      <c r="U64" s="400"/>
      <c r="V64" s="400"/>
      <c r="W64" s="400"/>
      <c r="X64" s="404" t="str">
        <f>IF('DATA DE LAS 12'!BD64=0," ",'DATA DE LAS 12'!BD64)</f>
        <v xml:space="preserve"> </v>
      </c>
      <c r="Y64" s="404" t="str">
        <f>IF('DATA DE LAS 12'!BE64=0," ",'DATA DE LAS 12'!BE64)</f>
        <v xml:space="preserve"> </v>
      </c>
      <c r="Z64" s="404" t="str">
        <f>IF('DATA DE LAS 12'!BF64=0," ",'DATA DE LAS 12'!BF64)</f>
        <v xml:space="preserve"> </v>
      </c>
      <c r="AA64" s="404" t="str">
        <f>IF('DATA DE LAS 12'!BG64=0," ",'DATA DE LAS 12'!BG64)</f>
        <v xml:space="preserve"> </v>
      </c>
      <c r="AB64" s="404" t="str">
        <f>IF('DATA DE LAS 12'!BY64=0," ",'DATA DE LAS 12'!BY64)</f>
        <v xml:space="preserve"> </v>
      </c>
      <c r="AC64" s="404">
        <v>13</v>
      </c>
      <c r="AD64" s="404">
        <v>25</v>
      </c>
      <c r="AE64" s="404">
        <v>550</v>
      </c>
      <c r="AF64" s="404">
        <v>427</v>
      </c>
      <c r="AG64" s="404" t="str">
        <f>IF('DATA DE LAS 12'!W64=0," ",'DATA DE LAS 12'!W64)</f>
        <v xml:space="preserve"> </v>
      </c>
    </row>
    <row r="65" spans="1:33">
      <c r="A65" s="620">
        <f t="shared" si="1"/>
        <v>45102</v>
      </c>
      <c r="B65" s="407">
        <f>IF('DATA DE LAS 12'!C65=0," ",'DATA DE LAS 12'!C65)</f>
        <v>0.875</v>
      </c>
      <c r="C65" s="398" t="str">
        <f>IF('DATA DE LAS 12'!E65=0," ",'DATA DE LAS 12'!E65)</f>
        <v xml:space="preserve"> </v>
      </c>
      <c r="D65" s="398" t="e">
        <f>IF('DATA DE LAS 12'!#REF!=0," ",'DATA DE LAS 12'!#REF!)</f>
        <v>#REF!</v>
      </c>
      <c r="E65" s="398" t="str">
        <f>IF('DATA DE LAS 12'!AM65=0," ",'DATA DE LAS 12'!AM65)</f>
        <v xml:space="preserve"> </v>
      </c>
      <c r="F65" s="398" t="str">
        <f>IF('DATA DE LAS 12'!AL65=0," ",'DATA DE LAS 12'!AL65)</f>
        <v xml:space="preserve"> </v>
      </c>
      <c r="G65" s="398" t="str">
        <f>IF('DATA DE LAS 12'!AQ65=0," ",'DATA DE LAS 12'!AQ65)</f>
        <v xml:space="preserve"> </v>
      </c>
      <c r="H65" s="398" t="str">
        <f>IF('DATA DE LAS 12'!Z65=0," ",'DATA DE LAS 12'!Z65)</f>
        <v xml:space="preserve"> </v>
      </c>
      <c r="I65" s="398" t="str">
        <f>IF('DATA DE LAS 12'!AN65=0," ",'DATA DE LAS 12'!AN65)</f>
        <v xml:space="preserve"> </v>
      </c>
      <c r="J65" s="398" t="str">
        <f>IF('DATA DE LAS 12'!F65=0," ",'DATA DE LAS 12'!F65)</f>
        <v xml:space="preserve"> </v>
      </c>
      <c r="K65" s="398" t="str">
        <f>IF('DATA DE LAS 12'!G65=0," ",'DATA DE LAS 12'!G65)</f>
        <v xml:space="preserve"> </v>
      </c>
      <c r="L65" s="398" t="str">
        <f>IF('DATA DE LAS 12'!H65=0," ",'DATA DE LAS 12'!H65)</f>
        <v xml:space="preserve"> </v>
      </c>
      <c r="M65" s="398" t="str">
        <f>IF('DATA DE LAS 12'!V65=0," ",'DATA DE LAS 12'!V65)</f>
        <v xml:space="preserve"> </v>
      </c>
      <c r="N65" s="398" t="str">
        <f>IF('DATA DE LAS 12'!X65=0," ",'DATA DE LAS 12'!X65)</f>
        <v xml:space="preserve"> </v>
      </c>
      <c r="O65" s="398" t="str">
        <f>IF('DATA DE LAS 12'!BB65=0," ",'DATA DE LAS 12'!BB65)</f>
        <v xml:space="preserve"> </v>
      </c>
      <c r="P65" s="400"/>
      <c r="Q65" s="400"/>
      <c r="R65" s="400"/>
      <c r="S65" s="400"/>
      <c r="T65" s="400"/>
      <c r="U65" s="400"/>
      <c r="V65" s="400"/>
      <c r="W65" s="400"/>
      <c r="X65" s="404" t="str">
        <f>IF('DATA DE LAS 12'!BD65=0," ",'DATA DE LAS 12'!BD65)</f>
        <v xml:space="preserve"> </v>
      </c>
      <c r="Y65" s="404" t="str">
        <f>IF('DATA DE LAS 12'!BE65=0," ",'DATA DE LAS 12'!BE65)</f>
        <v xml:space="preserve"> </v>
      </c>
      <c r="Z65" s="404" t="str">
        <f>IF('DATA DE LAS 12'!BF65=0," ",'DATA DE LAS 12'!BF65)</f>
        <v xml:space="preserve"> </v>
      </c>
      <c r="AA65" s="404" t="str">
        <f>IF('DATA DE LAS 12'!BG65=0," ",'DATA DE LAS 12'!BG65)</f>
        <v xml:space="preserve"> </v>
      </c>
      <c r="AB65" s="404" t="str">
        <f>IF('DATA DE LAS 12'!BY65=0," ",'DATA DE LAS 12'!BY65)</f>
        <v xml:space="preserve"> </v>
      </c>
      <c r="AC65" s="404">
        <v>13</v>
      </c>
      <c r="AD65" s="404">
        <v>25</v>
      </c>
      <c r="AE65" s="404">
        <v>550</v>
      </c>
      <c r="AF65" s="404">
        <v>427</v>
      </c>
      <c r="AG65" s="404" t="str">
        <f>IF('DATA DE LAS 12'!W65=0," ",'DATA DE LAS 12'!W65)</f>
        <v xml:space="preserve"> </v>
      </c>
    </row>
    <row r="66" spans="1:33">
      <c r="A66" s="620">
        <f t="shared" si="1"/>
        <v>45103</v>
      </c>
      <c r="B66" s="407">
        <f>IF('DATA DE LAS 12'!C66=0," ",'DATA DE LAS 12'!C66)</f>
        <v>0.85416666666666663</v>
      </c>
      <c r="C66" s="398" t="str">
        <f>IF('DATA DE LAS 12'!E66=0," ",'DATA DE LAS 12'!E66)</f>
        <v xml:space="preserve"> </v>
      </c>
      <c r="D66" s="398" t="e">
        <f>IF('DATA DE LAS 12'!#REF!=0," ",'DATA DE LAS 12'!#REF!)</f>
        <v>#REF!</v>
      </c>
      <c r="E66" s="398" t="str">
        <f>IF('DATA DE LAS 12'!AM66=0," ",'DATA DE LAS 12'!AM66)</f>
        <v xml:space="preserve"> </v>
      </c>
      <c r="F66" s="398" t="str">
        <f>IF('DATA DE LAS 12'!AL66=0," ",'DATA DE LAS 12'!AL66)</f>
        <v xml:space="preserve"> </v>
      </c>
      <c r="G66" s="398" t="str">
        <f>IF('DATA DE LAS 12'!AQ66=0," ",'DATA DE LAS 12'!AQ66)</f>
        <v xml:space="preserve"> </v>
      </c>
      <c r="H66" s="398" t="str">
        <f>IF('DATA DE LAS 12'!Z66=0," ",'DATA DE LAS 12'!Z66)</f>
        <v xml:space="preserve"> </v>
      </c>
      <c r="I66" s="398" t="str">
        <f>IF('DATA DE LAS 12'!AN66=0," ",'DATA DE LAS 12'!AN66)</f>
        <v xml:space="preserve"> </v>
      </c>
      <c r="J66" s="398" t="str">
        <f>IF('DATA DE LAS 12'!F66=0," ",'DATA DE LAS 12'!F66)</f>
        <v xml:space="preserve"> </v>
      </c>
      <c r="K66" s="398" t="str">
        <f>IF('DATA DE LAS 12'!G66=0," ",'DATA DE LAS 12'!G66)</f>
        <v xml:space="preserve"> </v>
      </c>
      <c r="L66" s="398" t="str">
        <f>IF('DATA DE LAS 12'!H66=0," ",'DATA DE LAS 12'!H66)</f>
        <v xml:space="preserve"> </v>
      </c>
      <c r="M66" s="398" t="str">
        <f>IF('DATA DE LAS 12'!V66=0," ",'DATA DE LAS 12'!V66)</f>
        <v xml:space="preserve"> </v>
      </c>
      <c r="N66" s="398" t="str">
        <f>IF('DATA DE LAS 12'!X66=0," ",'DATA DE LAS 12'!X66)</f>
        <v xml:space="preserve"> </v>
      </c>
      <c r="O66" s="398" t="str">
        <f>IF('DATA DE LAS 12'!BB66=0," ",'DATA DE LAS 12'!BB66)</f>
        <v xml:space="preserve"> </v>
      </c>
      <c r="P66" s="400"/>
      <c r="Q66" s="400"/>
      <c r="R66" s="400"/>
      <c r="S66" s="400"/>
      <c r="T66" s="400"/>
      <c r="U66" s="400"/>
      <c r="V66" s="400"/>
      <c r="W66" s="400"/>
      <c r="X66" s="404" t="str">
        <f>IF('DATA DE LAS 12'!BD66=0," ",'DATA DE LAS 12'!BD66)</f>
        <v xml:space="preserve"> </v>
      </c>
      <c r="Y66" s="404" t="str">
        <f>IF('DATA DE LAS 12'!BE66=0," ",'DATA DE LAS 12'!BE66)</f>
        <v xml:space="preserve"> </v>
      </c>
      <c r="Z66" s="404" t="str">
        <f>IF('DATA DE LAS 12'!BF66=0," ",'DATA DE LAS 12'!BF66)</f>
        <v xml:space="preserve"> </v>
      </c>
      <c r="AA66" s="404" t="str">
        <f>IF('DATA DE LAS 12'!BG66=0," ",'DATA DE LAS 12'!BG66)</f>
        <v xml:space="preserve"> </v>
      </c>
      <c r="AB66" s="404" t="str">
        <f>IF('DATA DE LAS 12'!BY66=0," ",'DATA DE LAS 12'!BY66)</f>
        <v xml:space="preserve"> </v>
      </c>
      <c r="AC66" s="404">
        <v>13</v>
      </c>
      <c r="AD66" s="404">
        <v>25</v>
      </c>
      <c r="AE66" s="404">
        <v>550</v>
      </c>
      <c r="AF66" s="404">
        <v>427</v>
      </c>
      <c r="AG66" s="404" t="str">
        <f>IF('DATA DE LAS 12'!W66=0," ",'DATA DE LAS 12'!W66)</f>
        <v xml:space="preserve"> </v>
      </c>
    </row>
    <row r="67" spans="1:33">
      <c r="A67" s="620">
        <f t="shared" si="1"/>
        <v>45104</v>
      </c>
      <c r="B67" s="407">
        <f>IF('DATA DE LAS 12'!C67=0," ",'DATA DE LAS 12'!C67)</f>
        <v>0.89583333333333304</v>
      </c>
      <c r="C67" s="398" t="str">
        <f>IF('DATA DE LAS 12'!E67=0," ",'DATA DE LAS 12'!E67)</f>
        <v xml:space="preserve"> </v>
      </c>
      <c r="D67" s="398" t="e">
        <f>IF('DATA DE LAS 12'!#REF!=0," ",'DATA DE LAS 12'!#REF!)</f>
        <v>#REF!</v>
      </c>
      <c r="E67" s="398" t="str">
        <f>IF('DATA DE LAS 12'!AM67=0," ",'DATA DE LAS 12'!AM67)</f>
        <v xml:space="preserve"> </v>
      </c>
      <c r="F67" s="398" t="str">
        <f>IF('DATA DE LAS 12'!AL67=0," ",'DATA DE LAS 12'!AL67)</f>
        <v xml:space="preserve"> </v>
      </c>
      <c r="G67" s="398" t="str">
        <f>IF('DATA DE LAS 12'!AQ67=0," ",'DATA DE LAS 12'!AQ67)</f>
        <v xml:space="preserve"> </v>
      </c>
      <c r="H67" s="398" t="str">
        <f>IF('DATA DE LAS 12'!Z67=0," ",'DATA DE LAS 12'!Z67)</f>
        <v xml:space="preserve"> </v>
      </c>
      <c r="I67" s="398" t="str">
        <f>IF('DATA DE LAS 12'!AN67=0," ",'DATA DE LAS 12'!AN67)</f>
        <v xml:space="preserve"> </v>
      </c>
      <c r="J67" s="398" t="str">
        <f>IF('DATA DE LAS 12'!F67=0," ",'DATA DE LAS 12'!F67)</f>
        <v xml:space="preserve"> </v>
      </c>
      <c r="K67" s="398" t="str">
        <f>IF('DATA DE LAS 12'!G67=0," ",'DATA DE LAS 12'!G67)</f>
        <v xml:space="preserve"> </v>
      </c>
      <c r="L67" s="398" t="str">
        <f>IF('DATA DE LAS 12'!H67=0," ",'DATA DE LAS 12'!H67)</f>
        <v xml:space="preserve"> </v>
      </c>
      <c r="M67" s="398" t="str">
        <f>IF('DATA DE LAS 12'!V67=0," ",'DATA DE LAS 12'!V67)</f>
        <v xml:space="preserve"> </v>
      </c>
      <c r="N67" s="398" t="str">
        <f>IF('DATA DE LAS 12'!X67=0," ",'DATA DE LAS 12'!X67)</f>
        <v xml:space="preserve"> </v>
      </c>
      <c r="O67" s="398" t="str">
        <f>IF('DATA DE LAS 12'!BB67=0," ",'DATA DE LAS 12'!BB67)</f>
        <v xml:space="preserve"> </v>
      </c>
      <c r="P67" s="400"/>
      <c r="Q67" s="400"/>
      <c r="R67" s="400"/>
      <c r="S67" s="400"/>
      <c r="T67" s="400"/>
      <c r="U67" s="400"/>
      <c r="V67" s="400"/>
      <c r="W67" s="400"/>
      <c r="X67" s="404" t="str">
        <f>IF('DATA DE LAS 12'!BD67=0," ",'DATA DE LAS 12'!BD67)</f>
        <v xml:space="preserve"> </v>
      </c>
      <c r="Y67" s="404" t="str">
        <f>IF('DATA DE LAS 12'!BE67=0," ",'DATA DE LAS 12'!BE67)</f>
        <v xml:space="preserve"> </v>
      </c>
      <c r="Z67" s="404" t="str">
        <f>IF('DATA DE LAS 12'!BF67=0," ",'DATA DE LAS 12'!BF67)</f>
        <v xml:space="preserve"> </v>
      </c>
      <c r="AA67" s="404" t="str">
        <f>IF('DATA DE LAS 12'!BG67=0," ",'DATA DE LAS 12'!BG67)</f>
        <v xml:space="preserve"> </v>
      </c>
      <c r="AB67" s="404" t="str">
        <f>IF('DATA DE LAS 12'!BY67=0," ",'DATA DE LAS 12'!BY67)</f>
        <v xml:space="preserve"> </v>
      </c>
      <c r="AC67" s="404">
        <v>13</v>
      </c>
      <c r="AD67" s="404">
        <v>25</v>
      </c>
      <c r="AE67" s="404">
        <v>550</v>
      </c>
      <c r="AF67" s="404">
        <v>427</v>
      </c>
      <c r="AG67" s="404" t="str">
        <f>IF('DATA DE LAS 12'!W67=0," ",'DATA DE LAS 12'!W67)</f>
        <v xml:space="preserve"> </v>
      </c>
    </row>
    <row r="68" spans="1:33">
      <c r="A68" s="620">
        <f t="shared" si="1"/>
        <v>45105</v>
      </c>
      <c r="B68" s="407">
        <f>IF('DATA DE LAS 12'!C68=0," ",'DATA DE LAS 12'!C68)</f>
        <v>0.92222222222222217</v>
      </c>
      <c r="C68" s="398" t="str">
        <f>IF('DATA DE LAS 12'!E68=0," ",'DATA DE LAS 12'!E68)</f>
        <v xml:space="preserve"> </v>
      </c>
      <c r="D68" s="398" t="e">
        <f>IF('DATA DE LAS 12'!#REF!=0," ",'DATA DE LAS 12'!#REF!)</f>
        <v>#REF!</v>
      </c>
      <c r="E68" s="398" t="str">
        <f>IF('DATA DE LAS 12'!AM68=0," ",'DATA DE LAS 12'!AM68)</f>
        <v xml:space="preserve"> </v>
      </c>
      <c r="F68" s="398" t="str">
        <f>IF('DATA DE LAS 12'!AL68=0," ",'DATA DE LAS 12'!AL68)</f>
        <v xml:space="preserve"> </v>
      </c>
      <c r="G68" s="398" t="str">
        <f>IF('DATA DE LAS 12'!AQ68=0," ",'DATA DE LAS 12'!AQ68)</f>
        <v xml:space="preserve"> </v>
      </c>
      <c r="H68" s="398" t="str">
        <f>IF('DATA DE LAS 12'!Z68=0," ",'DATA DE LAS 12'!Z68)</f>
        <v xml:space="preserve"> </v>
      </c>
      <c r="I68" s="398" t="str">
        <f>IF('DATA DE LAS 12'!AN68=0," ",'DATA DE LAS 12'!AN68)</f>
        <v xml:space="preserve"> </v>
      </c>
      <c r="J68" s="398" t="str">
        <f>IF('DATA DE LAS 12'!F68=0," ",'DATA DE LAS 12'!F68)</f>
        <v xml:space="preserve"> </v>
      </c>
      <c r="K68" s="398" t="str">
        <f>IF('DATA DE LAS 12'!G68=0," ",'DATA DE LAS 12'!G68)</f>
        <v xml:space="preserve"> </v>
      </c>
      <c r="L68" s="398" t="str">
        <f>IF('DATA DE LAS 12'!H68=0," ",'DATA DE LAS 12'!H68)</f>
        <v xml:space="preserve"> </v>
      </c>
      <c r="M68" s="398" t="str">
        <f>IF('DATA DE LAS 12'!V68=0," ",'DATA DE LAS 12'!V68)</f>
        <v xml:space="preserve"> </v>
      </c>
      <c r="N68" s="398" t="str">
        <f>IF('DATA DE LAS 12'!X68=0," ",'DATA DE LAS 12'!X68)</f>
        <v xml:space="preserve"> </v>
      </c>
      <c r="O68" s="398" t="str">
        <f>IF('DATA DE LAS 12'!BB68=0," ",'DATA DE LAS 12'!BB68)</f>
        <v xml:space="preserve"> </v>
      </c>
      <c r="P68" s="400"/>
      <c r="Q68" s="400"/>
      <c r="R68" s="400"/>
      <c r="S68" s="400"/>
      <c r="T68" s="400"/>
      <c r="U68" s="400"/>
      <c r="V68" s="400"/>
      <c r="W68" s="400"/>
      <c r="X68" s="404" t="str">
        <f>IF('DATA DE LAS 12'!BD68=0," ",'DATA DE LAS 12'!BD68)</f>
        <v xml:space="preserve"> </v>
      </c>
      <c r="Y68" s="404" t="str">
        <f>IF('DATA DE LAS 12'!BE68=0," ",'DATA DE LAS 12'!BE68)</f>
        <v xml:space="preserve"> </v>
      </c>
      <c r="Z68" s="404" t="str">
        <f>IF('DATA DE LAS 12'!BF68=0," ",'DATA DE LAS 12'!BF68)</f>
        <v xml:space="preserve"> </v>
      </c>
      <c r="AA68" s="404" t="str">
        <f>IF('DATA DE LAS 12'!BG68=0," ",'DATA DE LAS 12'!BG68)</f>
        <v xml:space="preserve"> </v>
      </c>
      <c r="AB68" s="404" t="str">
        <f>IF('DATA DE LAS 12'!BY68=0," ",'DATA DE LAS 12'!BY68)</f>
        <v xml:space="preserve"> </v>
      </c>
      <c r="AC68" s="404">
        <v>13</v>
      </c>
      <c r="AD68" s="404">
        <v>25</v>
      </c>
      <c r="AE68" s="404">
        <v>550</v>
      </c>
      <c r="AF68" s="404">
        <v>427</v>
      </c>
      <c r="AG68" s="404" t="str">
        <f>IF('DATA DE LAS 12'!W68=0," ",'DATA DE LAS 12'!W68)</f>
        <v xml:space="preserve"> </v>
      </c>
    </row>
    <row r="69" spans="1:33">
      <c r="A69" s="620">
        <f t="shared" si="1"/>
        <v>45106</v>
      </c>
      <c r="B69" s="407">
        <f>IF('DATA DE LAS 12'!C69=0," ",'DATA DE LAS 12'!C69)</f>
        <v>0.8965277777777777</v>
      </c>
      <c r="C69" s="398" t="str">
        <f>IF('DATA DE LAS 12'!E69=0," ",'DATA DE LAS 12'!E69)</f>
        <v xml:space="preserve"> </v>
      </c>
      <c r="D69" s="398" t="e">
        <f>IF('DATA DE LAS 12'!#REF!=0," ",'DATA DE LAS 12'!#REF!)</f>
        <v>#REF!</v>
      </c>
      <c r="E69" s="398" t="str">
        <f>IF('DATA DE LAS 12'!AM69=0," ",'DATA DE LAS 12'!AM69)</f>
        <v xml:space="preserve"> </v>
      </c>
      <c r="F69" s="398" t="str">
        <f>IF('DATA DE LAS 12'!AL69=0," ",'DATA DE LAS 12'!AL69)</f>
        <v xml:space="preserve"> </v>
      </c>
      <c r="G69" s="398" t="str">
        <f>IF('DATA DE LAS 12'!AQ69=0," ",'DATA DE LAS 12'!AQ69)</f>
        <v xml:space="preserve"> </v>
      </c>
      <c r="H69" s="398" t="str">
        <f>IF('DATA DE LAS 12'!Z69=0," ",'DATA DE LAS 12'!Z69)</f>
        <v xml:space="preserve"> </v>
      </c>
      <c r="I69" s="398" t="str">
        <f>IF('DATA DE LAS 12'!AN69=0," ",'DATA DE LAS 12'!AN69)</f>
        <v xml:space="preserve"> </v>
      </c>
      <c r="J69" s="398" t="str">
        <f>IF('DATA DE LAS 12'!F69=0," ",'DATA DE LAS 12'!F69)</f>
        <v xml:space="preserve"> </v>
      </c>
      <c r="K69" s="398" t="str">
        <f>IF('DATA DE LAS 12'!G69=0," ",'DATA DE LAS 12'!G69)</f>
        <v xml:space="preserve"> </v>
      </c>
      <c r="L69" s="398" t="str">
        <f>IF('DATA DE LAS 12'!H69=0," ",'DATA DE LAS 12'!H69)</f>
        <v xml:space="preserve"> </v>
      </c>
      <c r="M69" s="398" t="str">
        <f>IF('DATA DE LAS 12'!V69=0," ",'DATA DE LAS 12'!V69)</f>
        <v xml:space="preserve"> </v>
      </c>
      <c r="N69" s="398" t="str">
        <f>IF('DATA DE LAS 12'!X69=0," ",'DATA DE LAS 12'!X69)</f>
        <v xml:space="preserve"> </v>
      </c>
      <c r="O69" s="398" t="str">
        <f>IF('DATA DE LAS 12'!BB69=0," ",'DATA DE LAS 12'!BB69)</f>
        <v xml:space="preserve"> </v>
      </c>
      <c r="P69" s="400"/>
      <c r="Q69" s="400"/>
      <c r="R69" s="400"/>
      <c r="S69" s="400"/>
      <c r="T69" s="400"/>
      <c r="U69" s="400"/>
      <c r="V69" s="400"/>
      <c r="W69" s="400"/>
      <c r="X69" s="404" t="str">
        <f>IF('DATA DE LAS 12'!BD69=0," ",'DATA DE LAS 12'!BD69)</f>
        <v xml:space="preserve"> </v>
      </c>
      <c r="Y69" s="404" t="str">
        <f>IF('DATA DE LAS 12'!BE69=0," ",'DATA DE LAS 12'!BE69)</f>
        <v xml:space="preserve"> </v>
      </c>
      <c r="Z69" s="404" t="str">
        <f>IF('DATA DE LAS 12'!BF69=0," ",'DATA DE LAS 12'!BF69)</f>
        <v xml:space="preserve"> </v>
      </c>
      <c r="AA69" s="404" t="str">
        <f>IF('DATA DE LAS 12'!BG69=0," ",'DATA DE LAS 12'!BG69)</f>
        <v xml:space="preserve"> </v>
      </c>
      <c r="AB69" s="404" t="str">
        <f>IF('DATA DE LAS 12'!BY69=0," ",'DATA DE LAS 12'!BY69)</f>
        <v xml:space="preserve"> </v>
      </c>
      <c r="AC69" s="404">
        <v>13</v>
      </c>
      <c r="AD69" s="404">
        <v>25</v>
      </c>
      <c r="AE69" s="404">
        <v>550</v>
      </c>
      <c r="AF69" s="404">
        <v>427</v>
      </c>
      <c r="AG69" s="404" t="str">
        <f>IF('DATA DE LAS 12'!W69=0," ",'DATA DE LAS 12'!W69)</f>
        <v xml:space="preserve"> </v>
      </c>
    </row>
    <row r="70" spans="1:33">
      <c r="A70" s="620">
        <f t="shared" si="1"/>
        <v>45107</v>
      </c>
      <c r="B70" s="407">
        <f>IF('DATA DE LAS 12'!C70=0," ",'DATA DE LAS 12'!C70)</f>
        <v>0.80902777777777779</v>
      </c>
      <c r="C70" s="398" t="str">
        <f>IF('DATA DE LAS 12'!E70=0," ",'DATA DE LAS 12'!E70)</f>
        <v xml:space="preserve"> </v>
      </c>
      <c r="D70" s="398" t="e">
        <f>IF('DATA DE LAS 12'!#REF!=0," ",'DATA DE LAS 12'!#REF!)</f>
        <v>#REF!</v>
      </c>
      <c r="E70" s="398" t="str">
        <f>IF('DATA DE LAS 12'!AM70=0," ",'DATA DE LAS 12'!AM70)</f>
        <v xml:space="preserve"> </v>
      </c>
      <c r="F70" s="398" t="str">
        <f>IF('DATA DE LAS 12'!AL70=0," ",'DATA DE LAS 12'!AL70)</f>
        <v xml:space="preserve"> </v>
      </c>
      <c r="G70" s="398" t="str">
        <f>IF('DATA DE LAS 12'!AQ70=0," ",'DATA DE LAS 12'!AQ70)</f>
        <v xml:space="preserve"> </v>
      </c>
      <c r="H70" s="398" t="str">
        <f>IF('DATA DE LAS 12'!Z70=0," ",'DATA DE LAS 12'!Z70)</f>
        <v xml:space="preserve"> </v>
      </c>
      <c r="I70" s="398" t="str">
        <f>IF('DATA DE LAS 12'!AN70=0," ",'DATA DE LAS 12'!AN70)</f>
        <v xml:space="preserve"> </v>
      </c>
      <c r="J70" s="398" t="str">
        <f>IF('DATA DE LAS 12'!F70=0," ",'DATA DE LAS 12'!F70)</f>
        <v xml:space="preserve"> </v>
      </c>
      <c r="K70" s="398" t="str">
        <f>IF('DATA DE LAS 12'!G70=0," ",'DATA DE LAS 12'!G70)</f>
        <v xml:space="preserve"> </v>
      </c>
      <c r="L70" s="398" t="str">
        <f>IF('DATA DE LAS 12'!H70=0," ",'DATA DE LAS 12'!H70)</f>
        <v xml:space="preserve"> </v>
      </c>
      <c r="M70" s="398" t="str">
        <f>IF('DATA DE LAS 12'!V70=0," ",'DATA DE LAS 12'!V70)</f>
        <v xml:space="preserve"> </v>
      </c>
      <c r="N70" s="398" t="str">
        <f>IF('DATA DE LAS 12'!X70=0," ",'DATA DE LAS 12'!X70)</f>
        <v xml:space="preserve"> </v>
      </c>
      <c r="O70" s="398" t="str">
        <f>IF('DATA DE LAS 12'!BB70=0," ",'DATA DE LAS 12'!BB70)</f>
        <v xml:space="preserve"> </v>
      </c>
      <c r="P70" s="400"/>
      <c r="Q70" s="400"/>
      <c r="R70" s="400"/>
      <c r="S70" s="400"/>
      <c r="T70" s="400"/>
      <c r="U70" s="400"/>
      <c r="V70" s="400"/>
      <c r="W70" s="400"/>
      <c r="X70" s="404" t="str">
        <f>IF('DATA DE LAS 12'!BD70=0," ",'DATA DE LAS 12'!BD70)</f>
        <v xml:space="preserve"> </v>
      </c>
      <c r="Y70" s="404" t="str">
        <f>IF('DATA DE LAS 12'!BE70=0," ",'DATA DE LAS 12'!BE70)</f>
        <v xml:space="preserve"> </v>
      </c>
      <c r="Z70" s="404" t="str">
        <f>IF('DATA DE LAS 12'!BF70=0," ",'DATA DE LAS 12'!BF70)</f>
        <v xml:space="preserve"> </v>
      </c>
      <c r="AA70" s="404" t="str">
        <f>IF('DATA DE LAS 12'!BG70=0," ",'DATA DE LAS 12'!BG70)</f>
        <v xml:space="preserve"> </v>
      </c>
      <c r="AB70" s="404" t="str">
        <f>IF('DATA DE LAS 12'!BY70=0," ",'DATA DE LAS 12'!BY70)</f>
        <v xml:space="preserve"> </v>
      </c>
      <c r="AC70" s="404">
        <v>13</v>
      </c>
      <c r="AD70" s="404">
        <v>25</v>
      </c>
      <c r="AE70" s="404">
        <v>550</v>
      </c>
      <c r="AF70" s="404">
        <v>427</v>
      </c>
      <c r="AG70" s="404" t="str">
        <f>IF('DATA DE LAS 12'!W70=0," ",'DATA DE LAS 12'!W70)</f>
        <v xml:space="preserve"> </v>
      </c>
    </row>
    <row r="71" spans="1:33" hidden="1">
      <c r="A71" s="620">
        <f t="shared" si="1"/>
        <v>45108</v>
      </c>
      <c r="B71" s="407">
        <f>IF('DATA DE LAS 12'!C71=0," ",'DATA DE LAS 12'!C71)</f>
        <v>0.8965277777777777</v>
      </c>
      <c r="C71" s="398" t="str">
        <f>IF('DATA DE LAS 12'!E71=0," ",'DATA DE LAS 12'!E71)</f>
        <v xml:space="preserve"> </v>
      </c>
      <c r="D71" s="398"/>
      <c r="E71" s="398" t="str">
        <f>IF('DATA DE LAS 12'!AM71=0," ",'DATA DE LAS 12'!AM71)</f>
        <v xml:space="preserve"> </v>
      </c>
      <c r="F71" s="398" t="str">
        <f>IF('DATA DE LAS 12'!AL71=0," ",'DATA DE LAS 12'!AL71)</f>
        <v xml:space="preserve"> </v>
      </c>
      <c r="G71" s="398" t="str">
        <f>IF('DATA DE LAS 12'!AQ71=0," ",'DATA DE LAS 12'!AQ71)</f>
        <v xml:space="preserve"> </v>
      </c>
      <c r="H71" s="398" t="str">
        <f>IF('DATA DE LAS 12'!Z71=0," ",'DATA DE LAS 12'!Z71)</f>
        <v xml:space="preserve"> </v>
      </c>
      <c r="I71" s="398" t="str">
        <f>IF('DATA DE LAS 12'!AN71=0," ",'DATA DE LAS 12'!AN71)</f>
        <v xml:space="preserve"> </v>
      </c>
      <c r="J71" s="398" t="str">
        <f>IF('DATA DE LAS 12'!F71=0," ",'DATA DE LAS 12'!F71)</f>
        <v xml:space="preserve"> </v>
      </c>
      <c r="K71" s="398" t="str">
        <f>IF('DATA DE LAS 12'!G71=0," ",'DATA DE LAS 12'!G71)</f>
        <v xml:space="preserve"> </v>
      </c>
      <c r="L71" s="398" t="str">
        <f>IF('DATA DE LAS 12'!H71=0," ",'DATA DE LAS 12'!H71)</f>
        <v xml:space="preserve"> </v>
      </c>
      <c r="M71" s="398" t="str">
        <f>IF('DATA DE LAS 12'!V71=0," ",'DATA DE LAS 12'!V71)</f>
        <v xml:space="preserve"> </v>
      </c>
      <c r="N71" s="398" t="str">
        <f>IF('DATA DE LAS 12'!X71=0," ",'DATA DE LAS 12'!X71)</f>
        <v xml:space="preserve"> </v>
      </c>
      <c r="O71" s="398" t="str">
        <f>IF('DATA DE LAS 12'!BB71=0," ",'DATA DE LAS 12'!BB71)</f>
        <v xml:space="preserve"> </v>
      </c>
      <c r="X71" s="404" t="str">
        <f>IF('DATA DE LAS 12'!BD71=0," ",'DATA DE LAS 12'!BD71)</f>
        <v xml:space="preserve"> </v>
      </c>
      <c r="Y71" s="404" t="str">
        <f>IF('DATA DE LAS 12'!BE71=0," ",'DATA DE LAS 12'!BE71)</f>
        <v xml:space="preserve"> </v>
      </c>
      <c r="Z71" s="404" t="str">
        <f>IF('DATA DE LAS 12'!BF71=0," ",'DATA DE LAS 12'!BF71)</f>
        <v xml:space="preserve"> </v>
      </c>
      <c r="AA71" s="404" t="str">
        <f>IF('DATA DE LAS 12'!BG71=0," ",'DATA DE LAS 12'!BG71)</f>
        <v xml:space="preserve"> </v>
      </c>
      <c r="AB71" s="404" t="str">
        <f>IF('DATA DE LAS 12'!BY71=0," ",'DATA DE LAS 12'!BY71)</f>
        <v xml:space="preserve"> </v>
      </c>
      <c r="AC71" s="404">
        <v>13</v>
      </c>
      <c r="AD71" s="404">
        <v>25</v>
      </c>
      <c r="AE71" s="404">
        <v>550</v>
      </c>
      <c r="AF71" s="404">
        <v>427</v>
      </c>
      <c r="AG71" s="404" t="str">
        <f>IF('DATA DE LAS 12'!W71=0," ",'DATA DE LAS 12'!W71)</f>
        <v xml:space="preserve"> </v>
      </c>
    </row>
  </sheetData>
  <mergeCells count="6">
    <mergeCell ref="A3:A5"/>
    <mergeCell ref="B3:B5"/>
    <mergeCell ref="A2:B2"/>
    <mergeCell ref="A37:B37"/>
    <mergeCell ref="A38:A40"/>
    <mergeCell ref="B38:B40"/>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B1:AE106"/>
  <sheetViews>
    <sheetView topLeftCell="G1" zoomScale="80" zoomScaleNormal="80" workbookViewId="0">
      <selection activeCell="E13" sqref="E13"/>
    </sheetView>
  </sheetViews>
  <sheetFormatPr baseColWidth="10" defaultRowHeight="14.4"/>
  <cols>
    <col min="1" max="1" width="1" customWidth="1"/>
    <col min="2" max="2" width="13.109375" bestFit="1" customWidth="1"/>
    <col min="3" max="3" width="32" customWidth="1"/>
    <col min="4" max="4" width="25.77734375" customWidth="1"/>
    <col min="5" max="5" width="60.21875" customWidth="1"/>
    <col min="6" max="12" width="11.44140625" customWidth="1"/>
    <col min="13" max="13" width="13.44140625" customWidth="1"/>
    <col min="14" max="14" width="11.44140625" customWidth="1"/>
    <col min="15" max="15" width="13" bestFit="1" customWidth="1"/>
    <col min="16" max="16" width="11.44140625" customWidth="1"/>
    <col min="17" max="17" width="12.5546875" customWidth="1"/>
    <col min="18" max="23" width="11.44140625" customWidth="1"/>
    <col min="26" max="26" width="11.44140625" customWidth="1"/>
    <col min="29" max="29" width="11.44140625" customWidth="1"/>
  </cols>
  <sheetData>
    <row r="1" spans="2:31" ht="15" thickBot="1"/>
    <row r="2" spans="2:31" ht="59.25" customHeight="1" thickTop="1" thickBot="1">
      <c r="B2" s="2423"/>
      <c r="C2" s="2424"/>
      <c r="D2" s="2184" t="s">
        <v>1017</v>
      </c>
      <c r="E2" s="2181"/>
      <c r="F2" s="2181"/>
      <c r="G2" s="2181"/>
      <c r="H2" s="2181"/>
      <c r="I2" s="2181"/>
      <c r="J2" s="2181"/>
      <c r="K2" s="2181"/>
      <c r="L2" s="2181"/>
      <c r="M2" s="2181"/>
      <c r="N2" s="2181"/>
      <c r="O2" s="2181"/>
      <c r="P2" s="2181"/>
      <c r="Q2" s="2181"/>
      <c r="R2" s="2181"/>
      <c r="S2" s="2181"/>
      <c r="T2" s="2181"/>
      <c r="U2" s="2181"/>
      <c r="V2" s="2181"/>
      <c r="W2" s="2181"/>
      <c r="X2" s="2181"/>
      <c r="Y2" s="2181"/>
      <c r="Z2" s="2181"/>
      <c r="AA2" s="2181"/>
      <c r="AB2" s="2181"/>
      <c r="AC2" s="2182"/>
    </row>
    <row r="3" spans="2:31" ht="15.6" thickTop="1" thickBot="1">
      <c r="O3">
        <v>30</v>
      </c>
    </row>
    <row r="4" spans="2:31" ht="13.5" customHeight="1" thickTop="1">
      <c r="B4" s="840" t="s">
        <v>984</v>
      </c>
      <c r="C4" s="841"/>
      <c r="D4" s="841" t="s">
        <v>985</v>
      </c>
      <c r="E4" s="841"/>
      <c r="F4" s="819" t="s">
        <v>986</v>
      </c>
      <c r="G4" s="845" t="s">
        <v>987</v>
      </c>
      <c r="H4" s="819" t="s">
        <v>986</v>
      </c>
      <c r="I4" s="845" t="s">
        <v>987</v>
      </c>
      <c r="J4" s="819" t="s">
        <v>986</v>
      </c>
      <c r="K4" s="845" t="s">
        <v>987</v>
      </c>
      <c r="L4" s="819" t="s">
        <v>986</v>
      </c>
      <c r="M4" s="845" t="s">
        <v>987</v>
      </c>
      <c r="N4" s="819" t="s">
        <v>986</v>
      </c>
      <c r="O4" s="845" t="s">
        <v>987</v>
      </c>
      <c r="P4" s="819" t="s">
        <v>986</v>
      </c>
      <c r="Q4" s="845" t="s">
        <v>987</v>
      </c>
      <c r="R4" s="819" t="s">
        <v>986</v>
      </c>
      <c r="S4" s="845" t="s">
        <v>987</v>
      </c>
      <c r="T4" s="819" t="s">
        <v>986</v>
      </c>
      <c r="U4" s="845" t="s">
        <v>987</v>
      </c>
      <c r="V4" s="819" t="s">
        <v>986</v>
      </c>
      <c r="W4" s="845" t="s">
        <v>987</v>
      </c>
      <c r="X4" s="819" t="s">
        <v>986</v>
      </c>
      <c r="Y4" s="845" t="s">
        <v>987</v>
      </c>
      <c r="Z4" s="819" t="s">
        <v>986</v>
      </c>
      <c r="AA4" s="845" t="s">
        <v>987</v>
      </c>
      <c r="AB4" s="819" t="s">
        <v>986</v>
      </c>
      <c r="AC4" s="1718" t="s">
        <v>987</v>
      </c>
      <c r="AE4" s="2426" t="s">
        <v>1062</v>
      </c>
    </row>
    <row r="5" spans="2:31">
      <c r="B5" s="846"/>
      <c r="C5" s="847"/>
      <c r="D5" s="847"/>
      <c r="E5" s="847"/>
      <c r="F5" s="848" t="s">
        <v>1030</v>
      </c>
      <c r="G5" s="849" t="s">
        <v>1030</v>
      </c>
      <c r="H5" s="848" t="s">
        <v>1031</v>
      </c>
      <c r="I5" s="849" t="s">
        <v>1031</v>
      </c>
      <c r="J5" s="848" t="s">
        <v>1032</v>
      </c>
      <c r="K5" s="849" t="s">
        <v>1032</v>
      </c>
      <c r="L5" s="848" t="s">
        <v>1033</v>
      </c>
      <c r="M5" s="849" t="s">
        <v>1033</v>
      </c>
      <c r="N5" s="848" t="s">
        <v>1034</v>
      </c>
      <c r="O5" s="849" t="s">
        <v>1034</v>
      </c>
      <c r="P5" s="848" t="s">
        <v>1035</v>
      </c>
      <c r="Q5" s="849" t="s">
        <v>1035</v>
      </c>
      <c r="R5" s="848" t="s">
        <v>988</v>
      </c>
      <c r="S5" s="849" t="s">
        <v>988</v>
      </c>
      <c r="T5" s="848" t="s">
        <v>989</v>
      </c>
      <c r="U5" s="849" t="s">
        <v>989</v>
      </c>
      <c r="V5" s="848" t="s">
        <v>185</v>
      </c>
      <c r="W5" s="849" t="s">
        <v>185</v>
      </c>
      <c r="X5" s="848" t="s">
        <v>186</v>
      </c>
      <c r="Y5" s="849" t="s">
        <v>186</v>
      </c>
      <c r="Z5" s="848" t="s">
        <v>187</v>
      </c>
      <c r="AA5" s="849" t="s">
        <v>187</v>
      </c>
      <c r="AB5" s="848" t="s">
        <v>188</v>
      </c>
      <c r="AC5" s="1719" t="s">
        <v>188</v>
      </c>
      <c r="AE5" s="2426"/>
    </row>
    <row r="6" spans="2:31" ht="13.5" customHeight="1" thickBot="1">
      <c r="B6" s="842"/>
      <c r="C6" s="843"/>
      <c r="D6" s="843"/>
      <c r="E6" s="843"/>
      <c r="F6" s="850" t="s">
        <v>990</v>
      </c>
      <c r="G6" s="851" t="s">
        <v>990</v>
      </c>
      <c r="H6" s="850" t="s">
        <v>990</v>
      </c>
      <c r="I6" s="851" t="s">
        <v>990</v>
      </c>
      <c r="J6" s="850" t="s">
        <v>990</v>
      </c>
      <c r="K6" s="851" t="s">
        <v>990</v>
      </c>
      <c r="L6" s="850" t="s">
        <v>990</v>
      </c>
      <c r="M6" s="851" t="s">
        <v>990</v>
      </c>
      <c r="N6" s="850" t="s">
        <v>990</v>
      </c>
      <c r="O6" s="851" t="s">
        <v>990</v>
      </c>
      <c r="P6" s="850" t="s">
        <v>990</v>
      </c>
      <c r="Q6" s="851" t="s">
        <v>990</v>
      </c>
      <c r="R6" s="850" t="s">
        <v>990</v>
      </c>
      <c r="S6" s="851" t="s">
        <v>990</v>
      </c>
      <c r="T6" s="850" t="s">
        <v>990</v>
      </c>
      <c r="U6" s="851" t="s">
        <v>990</v>
      </c>
      <c r="V6" s="850" t="s">
        <v>990</v>
      </c>
      <c r="W6" s="851" t="s">
        <v>990</v>
      </c>
      <c r="X6" s="850" t="s">
        <v>990</v>
      </c>
      <c r="Y6" s="851" t="s">
        <v>990</v>
      </c>
      <c r="Z6" s="850" t="s">
        <v>990</v>
      </c>
      <c r="AA6" s="851" t="s">
        <v>990</v>
      </c>
      <c r="AB6" s="850" t="s">
        <v>990</v>
      </c>
      <c r="AC6" s="1720" t="s">
        <v>990</v>
      </c>
      <c r="AE6" s="2426"/>
    </row>
    <row r="7" spans="2:31" ht="15" customHeight="1">
      <c r="B7" s="834" t="s">
        <v>991</v>
      </c>
      <c r="C7" s="837" t="s">
        <v>992</v>
      </c>
      <c r="D7" s="852" t="s">
        <v>1063</v>
      </c>
      <c r="E7" s="853" t="s">
        <v>1064</v>
      </c>
      <c r="F7" s="854"/>
      <c r="G7" s="745"/>
      <c r="H7" s="854"/>
      <c r="I7" s="745"/>
      <c r="J7" s="854"/>
      <c r="K7" s="745"/>
      <c r="L7" s="854">
        <v>659237.45756020537</v>
      </c>
      <c r="M7" s="855" t="e">
        <f>'ESTADISTICOS JENNY'!#REF!</f>
        <v>#REF!</v>
      </c>
      <c r="N7" s="856">
        <v>659237.45756020537</v>
      </c>
      <c r="O7" s="857">
        <f>(('[9]ESTADISTICOS MAYO 2017'!AK396+'[9]ESTADISTICOS MAYO 2017'!AL396)+(E59/10)+(O52/10))*1000</f>
        <v>72776.975999993621</v>
      </c>
      <c r="P7" s="858"/>
      <c r="Q7" s="960" t="e">
        <f>'ESTADISTICOS JENNY'!#REF!</f>
        <v>#REF!</v>
      </c>
      <c r="R7" s="854"/>
      <c r="S7" s="960">
        <f ca="1">'ESTADISTICOS JENNY'!C381</f>
        <v>0</v>
      </c>
      <c r="T7" s="854"/>
      <c r="U7" s="960">
        <f ca="1">'ESTADISTICOS JENNY'!C$382</f>
        <v>0</v>
      </c>
      <c r="V7" s="854"/>
      <c r="W7" s="960">
        <f ca="1">'ESTADISTICOS JENNY'!C$383</f>
        <v>0</v>
      </c>
      <c r="X7" s="854"/>
      <c r="Y7" s="960">
        <f ca="1">'ESTADISTICOS JENNY'!C$384</f>
        <v>0</v>
      </c>
      <c r="Z7" s="854"/>
      <c r="AA7" s="960">
        <f ca="1">'ESTADISTICOS JENNY'!C$385</f>
        <v>0</v>
      </c>
      <c r="AB7" s="854"/>
      <c r="AC7" s="1721">
        <f ca="1">'ESTADISTICOS JENNY'!C$386</f>
        <v>0</v>
      </c>
    </row>
    <row r="8" spans="2:31" ht="15" customHeight="1">
      <c r="B8" s="835"/>
      <c r="C8" s="838"/>
      <c r="D8" s="859" t="s">
        <v>998</v>
      </c>
      <c r="E8" s="844" t="s">
        <v>1065</v>
      </c>
      <c r="F8" s="860"/>
      <c r="G8" s="775"/>
      <c r="H8" s="860"/>
      <c r="I8" s="775"/>
      <c r="J8" s="860"/>
      <c r="K8" s="775"/>
      <c r="L8" s="860">
        <v>7426341.3884098101</v>
      </c>
      <c r="M8" s="861">
        <v>6769082.04545453</v>
      </c>
      <c r="N8" s="862">
        <v>7426341.3884098101</v>
      </c>
      <c r="O8" s="863">
        <f>(('[9]ESTADISTICOS MAYO 2017'!AE396)+(E59/10)+(O52/10))*1000</f>
        <v>72776.975999993621</v>
      </c>
      <c r="P8" s="864"/>
      <c r="Q8" s="961" t="e">
        <f>'ESTADISTICOS JENNY'!#REF!</f>
        <v>#REF!</v>
      </c>
      <c r="R8" s="860"/>
      <c r="S8" s="961">
        <f ca="1">'ESTADISTICOS JENNY'!E$381</f>
        <v>0</v>
      </c>
      <c r="T8" s="860"/>
      <c r="U8" s="961">
        <f ca="1">'ESTADISTICOS JENNY'!E$382</f>
        <v>0</v>
      </c>
      <c r="V8" s="860"/>
      <c r="W8" s="961">
        <f ca="1">'ESTADISTICOS JENNY'!E$383</f>
        <v>0</v>
      </c>
      <c r="X8" s="860"/>
      <c r="Y8" s="961">
        <f ca="1">'ESTADISTICOS JENNY'!E$384</f>
        <v>0</v>
      </c>
      <c r="Z8" s="860"/>
      <c r="AA8" s="961">
        <f ca="1">'ESTADISTICOS JENNY'!E$385</f>
        <v>0</v>
      </c>
      <c r="AB8" s="860"/>
      <c r="AC8" s="820">
        <f ca="1">'ESTADISTICOS JENNY'!E$386</f>
        <v>0</v>
      </c>
    </row>
    <row r="9" spans="2:31" ht="15" customHeight="1">
      <c r="B9" s="835"/>
      <c r="C9" s="838"/>
      <c r="D9" s="859" t="s">
        <v>1066</v>
      </c>
      <c r="E9" s="844" t="s">
        <v>1067</v>
      </c>
      <c r="F9" s="860"/>
      <c r="G9" s="775"/>
      <c r="H9" s="860"/>
      <c r="I9" s="775"/>
      <c r="J9" s="860"/>
      <c r="K9" s="775"/>
      <c r="L9" s="860">
        <v>250341.4083570579</v>
      </c>
      <c r="M9" s="865">
        <v>228185.24545454801</v>
      </c>
      <c r="N9" s="862">
        <v>250341.4083570579</v>
      </c>
      <c r="O9" s="863">
        <f>(((D50*30*24)/1000)+(E59/10)+(O52/10))*1000</f>
        <v>307072.17599999363</v>
      </c>
      <c r="P9" s="864"/>
      <c r="Q9" s="753" t="e">
        <f>'ESTADISTICOS JENNY'!#REF!</f>
        <v>#REF!</v>
      </c>
      <c r="R9" s="860"/>
      <c r="S9" s="753">
        <f>'ESTADISTICOS JENNY'!F$381</f>
        <v>0</v>
      </c>
      <c r="T9" s="860"/>
      <c r="U9" s="753">
        <f>'ESTADISTICOS JENNY'!F$382</f>
        <v>0</v>
      </c>
      <c r="V9" s="860"/>
      <c r="W9" s="753">
        <f>'ESTADISTICOS JENNY'!F$383</f>
        <v>0</v>
      </c>
      <c r="X9" s="860"/>
      <c r="Y9" s="753">
        <f>'ESTADISTICOS JENNY'!F$384</f>
        <v>0</v>
      </c>
      <c r="Z9" s="860"/>
      <c r="AA9" s="753">
        <f>'ESTADISTICOS JENNY'!F$385</f>
        <v>0</v>
      </c>
      <c r="AB9" s="860"/>
      <c r="AC9" s="758">
        <f>'ESTADISTICOS JENNY'!F$386</f>
        <v>0</v>
      </c>
    </row>
    <row r="10" spans="2:31" ht="15" customHeight="1">
      <c r="B10" s="835"/>
      <c r="C10" s="838"/>
      <c r="D10" s="859" t="s">
        <v>1068</v>
      </c>
      <c r="E10" s="844" t="s">
        <v>1069</v>
      </c>
      <c r="F10" s="860"/>
      <c r="G10" s="775"/>
      <c r="H10" s="860"/>
      <c r="I10" s="775"/>
      <c r="J10" s="860"/>
      <c r="K10" s="775"/>
      <c r="L10" s="860">
        <v>91556.327217573446</v>
      </c>
      <c r="M10" s="865">
        <v>83453.245454548494</v>
      </c>
      <c r="N10" s="862">
        <v>91556.327217573446</v>
      </c>
      <c r="O10" s="863">
        <f>0*1000</f>
        <v>0</v>
      </c>
      <c r="P10" s="864"/>
      <c r="Q10" s="962" t="e">
        <f>'ESTADISTICOS JENNY'!#REF!</f>
        <v>#REF!</v>
      </c>
      <c r="R10" s="860"/>
      <c r="S10" s="962">
        <f>'ESTADISTICOS JENNY'!G$381</f>
        <v>0</v>
      </c>
      <c r="T10" s="860"/>
      <c r="U10" s="962">
        <f>'ESTADISTICOS JENNY'!G$382</f>
        <v>0</v>
      </c>
      <c r="V10" s="860"/>
      <c r="W10" s="962">
        <f>'ESTADISTICOS JENNY'!G$383</f>
        <v>0</v>
      </c>
      <c r="X10" s="860"/>
      <c r="Y10" s="962">
        <f>'ESTADISTICOS JENNY'!G$384</f>
        <v>0</v>
      </c>
      <c r="Z10" s="860"/>
      <c r="AA10" s="962">
        <f>'ESTADISTICOS JENNY'!G$385</f>
        <v>0</v>
      </c>
      <c r="AB10" s="860"/>
      <c r="AC10" s="1722">
        <f>'ESTADISTICOS JENNY'!G$386</f>
        <v>0</v>
      </c>
    </row>
    <row r="11" spans="2:31" ht="15" customHeight="1">
      <c r="B11" s="835"/>
      <c r="C11" s="838"/>
      <c r="D11" s="859" t="s">
        <v>1070</v>
      </c>
      <c r="E11" s="844" t="s">
        <v>1071</v>
      </c>
      <c r="F11" s="860"/>
      <c r="G11" s="775"/>
      <c r="H11" s="860"/>
      <c r="I11" s="775"/>
      <c r="J11" s="860"/>
      <c r="K11" s="775"/>
      <c r="L11" s="860">
        <v>1517234.2211232488</v>
      </c>
      <c r="M11" s="865">
        <v>1382953.24545452</v>
      </c>
      <c r="N11" s="862">
        <v>1517234.2211232488</v>
      </c>
      <c r="O11" s="863">
        <f>(('[9]ESTADISTICOS MAYO 2017'!AJ396)+(E59/10)+(O52/10))*1000</f>
        <v>72776.975999993621</v>
      </c>
      <c r="P11" s="864"/>
      <c r="Q11" s="753" t="e">
        <f>'ESTADISTICOS JENNY'!#REF!</f>
        <v>#REF!</v>
      </c>
      <c r="R11" s="860"/>
      <c r="S11" s="753">
        <f ca="1">'ESTADISTICOS JENNY'!H$381</f>
        <v>0</v>
      </c>
      <c r="T11" s="860"/>
      <c r="U11" s="753">
        <f ca="1">'ESTADISTICOS JENNY'!H$382</f>
        <v>0</v>
      </c>
      <c r="V11" s="860"/>
      <c r="W11" s="753">
        <f ca="1">'ESTADISTICOS JENNY'!H$383</f>
        <v>0</v>
      </c>
      <c r="X11" s="860"/>
      <c r="Y11" s="753">
        <f ca="1">'ESTADISTICOS JENNY'!H$384</f>
        <v>0</v>
      </c>
      <c r="Z11" s="860"/>
      <c r="AA11" s="753">
        <f ca="1">'ESTADISTICOS JENNY'!H$385</f>
        <v>0</v>
      </c>
      <c r="AB11" s="860"/>
      <c r="AC11" s="758">
        <f ca="1">'ESTADISTICOS JENNY'!H$386</f>
        <v>0</v>
      </c>
    </row>
    <row r="12" spans="2:31" ht="15" customHeight="1">
      <c r="B12" s="835"/>
      <c r="C12" s="838"/>
      <c r="D12" s="859" t="s">
        <v>1072</v>
      </c>
      <c r="E12" s="844" t="s">
        <v>1073</v>
      </c>
      <c r="F12" s="860"/>
      <c r="G12" s="775"/>
      <c r="H12" s="860"/>
      <c r="I12" s="775"/>
      <c r="J12" s="860"/>
      <c r="K12" s="775"/>
      <c r="L12" s="860">
        <v>105696.92355642734</v>
      </c>
      <c r="M12" s="866">
        <v>96342.345454548908</v>
      </c>
      <c r="N12" s="862">
        <v>105696.92355642734</v>
      </c>
      <c r="O12" s="863">
        <f>(('[9]ESTADISTICOS MAYO 2017'!AN396)+(E59/10)+(O52/10))*1000</f>
        <v>72776.975999993621</v>
      </c>
      <c r="P12" s="864"/>
      <c r="Q12" s="962" t="e">
        <f>'ESTADISTICOS JENNY'!#REF!</f>
        <v>#REF!</v>
      </c>
      <c r="R12" s="860"/>
      <c r="S12" s="962">
        <f ca="1">'ESTADISTICOS JENNY'!I$381</f>
        <v>0</v>
      </c>
      <c r="T12" s="860"/>
      <c r="U12" s="962">
        <f ca="1">'ESTADISTICOS JENNY'!I$382</f>
        <v>0</v>
      </c>
      <c r="V12" s="860"/>
      <c r="W12" s="962">
        <f ca="1">'ESTADISTICOS JENNY'!I$383</f>
        <v>0</v>
      </c>
      <c r="X12" s="860"/>
      <c r="Y12" s="962">
        <f ca="1">'ESTADISTICOS JENNY'!I$384</f>
        <v>0</v>
      </c>
      <c r="Z12" s="860"/>
      <c r="AA12" s="962">
        <f ca="1">'ESTADISTICOS JENNY'!I$385</f>
        <v>0</v>
      </c>
      <c r="AB12" s="860"/>
      <c r="AC12" s="1722">
        <f ca="1">'ESTADISTICOS JENNY'!I$386</f>
        <v>0</v>
      </c>
    </row>
    <row r="13" spans="2:31" ht="15" customHeight="1">
      <c r="B13" s="835"/>
      <c r="C13" s="838"/>
      <c r="D13" s="859" t="s">
        <v>1074</v>
      </c>
      <c r="E13" s="844" t="s">
        <v>1075</v>
      </c>
      <c r="F13" s="860"/>
      <c r="G13" s="775"/>
      <c r="H13" s="860"/>
      <c r="I13" s="775"/>
      <c r="J13" s="860"/>
      <c r="K13" s="775"/>
      <c r="L13" s="860">
        <v>97616.582791368011</v>
      </c>
      <c r="M13" s="866">
        <v>88977.145454548707</v>
      </c>
      <c r="N13" s="862">
        <v>97616.582791368011</v>
      </c>
      <c r="O13" s="863">
        <f>0*1000</f>
        <v>0</v>
      </c>
      <c r="P13" s="864"/>
      <c r="Q13" s="753" t="e">
        <f>'ESTADISTICOS JENNY'!#REF!</f>
        <v>#REF!</v>
      </c>
      <c r="R13" s="860"/>
      <c r="S13" s="753">
        <f>'ESTADISTICOS JENNY'!J$381</f>
        <v>0</v>
      </c>
      <c r="T13" s="860"/>
      <c r="U13" s="753">
        <f>'ESTADISTICOS JENNY'!J$382</f>
        <v>0</v>
      </c>
      <c r="V13" s="860"/>
      <c r="W13" s="753">
        <f>'ESTADISTICOS JENNY'!J$383</f>
        <v>0</v>
      </c>
      <c r="X13" s="860"/>
      <c r="Y13" s="753">
        <f>'ESTADISTICOS JENNY'!J$384</f>
        <v>0</v>
      </c>
      <c r="Z13" s="860"/>
      <c r="AA13" s="753">
        <f>'ESTADISTICOS JENNY'!J$385</f>
        <v>0</v>
      </c>
      <c r="AB13" s="860"/>
      <c r="AC13" s="758">
        <f>'ESTADISTICOS JENNY'!J$386</f>
        <v>0</v>
      </c>
    </row>
    <row r="14" spans="2:31" ht="15" customHeight="1">
      <c r="B14" s="835"/>
      <c r="C14" s="838"/>
      <c r="D14" s="859" t="s">
        <v>1076</v>
      </c>
      <c r="E14" s="844" t="s">
        <v>1077</v>
      </c>
      <c r="F14" s="860"/>
      <c r="G14" s="775"/>
      <c r="H14" s="860"/>
      <c r="I14" s="775"/>
      <c r="J14" s="860"/>
      <c r="K14" s="775"/>
      <c r="L14" s="860">
        <v>4835972.0938350847</v>
      </c>
      <c r="M14" s="866">
        <v>4407970.2454545703</v>
      </c>
      <c r="N14" s="862">
        <v>4835972.0938350847</v>
      </c>
      <c r="O14" s="863">
        <f>(('[9]ESTADISTICOS MAYO 2017'!AG396)+(E59/10)+(O52/10))*1000</f>
        <v>72776.975999993621</v>
      </c>
      <c r="P14" s="864"/>
      <c r="Q14" s="962" t="e">
        <f>'ESTADISTICOS JENNY'!#REF!</f>
        <v>#REF!</v>
      </c>
      <c r="R14" s="860"/>
      <c r="S14" s="962">
        <f ca="1">'ESTADISTICOS JENNY'!K$381</f>
        <v>0</v>
      </c>
      <c r="T14" s="860"/>
      <c r="U14" s="962">
        <f ca="1">'ESTADISTICOS JENNY'!K$382</f>
        <v>0</v>
      </c>
      <c r="V14" s="860"/>
      <c r="W14" s="962">
        <f ca="1">'ESTADISTICOS JENNY'!K$383</f>
        <v>0</v>
      </c>
      <c r="X14" s="860"/>
      <c r="Y14" s="962">
        <f ca="1">'ESTADISTICOS JENNY'!K$384</f>
        <v>0</v>
      </c>
      <c r="Z14" s="860"/>
      <c r="AA14" s="962">
        <f ca="1">'ESTADISTICOS JENNY'!K$385</f>
        <v>0</v>
      </c>
      <c r="AB14" s="860"/>
      <c r="AC14" s="1722">
        <f ca="1">'ESTADISTICOS JENNY'!K$386</f>
        <v>0</v>
      </c>
    </row>
    <row r="15" spans="2:31" ht="15" customHeight="1">
      <c r="B15" s="835"/>
      <c r="C15" s="838"/>
      <c r="D15" s="859" t="s">
        <v>1078</v>
      </c>
      <c r="E15" s="844" t="s">
        <v>1079</v>
      </c>
      <c r="F15" s="860"/>
      <c r="G15" s="775"/>
      <c r="H15" s="860"/>
      <c r="I15" s="775"/>
      <c r="J15" s="860"/>
      <c r="K15" s="775"/>
      <c r="L15" s="860">
        <v>126630.52673135989</v>
      </c>
      <c r="M15" s="865">
        <v>115423.24545454852</v>
      </c>
      <c r="N15" s="862">
        <v>126630.52673135989</v>
      </c>
      <c r="O15" s="863">
        <f>(('[9]ESTADISTICOS MAYO 2017'!AO396)+(E59/10)+(O52/10))*1000</f>
        <v>72776.975999993621</v>
      </c>
      <c r="P15" s="864"/>
      <c r="Q15" s="753" t="e">
        <f>'ESTADISTICOS JENNY'!#REF!</f>
        <v>#REF!</v>
      </c>
      <c r="R15" s="860"/>
      <c r="S15" s="753">
        <f ca="1">'ESTADISTICOS JENNY'!L$381</f>
        <v>0</v>
      </c>
      <c r="T15" s="860"/>
      <c r="U15" s="753">
        <f ca="1">'ESTADISTICOS JENNY'!L$382</f>
        <v>0</v>
      </c>
      <c r="V15" s="860"/>
      <c r="W15" s="753">
        <f ca="1">'ESTADISTICOS JENNY'!L$383</f>
        <v>0</v>
      </c>
      <c r="X15" s="860"/>
      <c r="Y15" s="753">
        <f ca="1">'ESTADISTICOS JENNY'!L$384</f>
        <v>0</v>
      </c>
      <c r="Z15" s="860"/>
      <c r="AA15" s="753">
        <f ca="1">'ESTADISTICOS JENNY'!L$385</f>
        <v>0</v>
      </c>
      <c r="AB15" s="860"/>
      <c r="AC15" s="758">
        <f ca="1">'ESTADISTICOS JENNY'!L$386</f>
        <v>0</v>
      </c>
    </row>
    <row r="16" spans="2:31" ht="15" customHeight="1">
      <c r="B16" s="835"/>
      <c r="C16" s="838"/>
      <c r="D16" s="859" t="s">
        <v>1080</v>
      </c>
      <c r="E16" s="844" t="s">
        <v>1081</v>
      </c>
      <c r="F16" s="860"/>
      <c r="G16" s="775"/>
      <c r="H16" s="860"/>
      <c r="I16" s="775"/>
      <c r="J16" s="860"/>
      <c r="K16" s="775"/>
      <c r="L16" s="860">
        <v>139076.32721757347</v>
      </c>
      <c r="M16" s="865">
        <v>126767.54545454856</v>
      </c>
      <c r="N16" s="862">
        <v>139076.32721757347</v>
      </c>
      <c r="O16" s="863">
        <f>(((D53+D51)/1000)+(E59/10)+(O52/10))*1000</f>
        <v>139482.97599999365</v>
      </c>
      <c r="P16" s="864"/>
      <c r="Q16" s="962" t="e">
        <f>'ESTADISTICOS JENNY'!#REF!</f>
        <v>#REF!</v>
      </c>
      <c r="R16" s="860"/>
      <c r="S16" s="962">
        <f ca="1">'ESTADISTICOS JENNY'!M$381</f>
        <v>0</v>
      </c>
      <c r="T16" s="860"/>
      <c r="U16" s="962">
        <f ca="1">'ESTADISTICOS JENNY'!M$382</f>
        <v>0</v>
      </c>
      <c r="V16" s="860"/>
      <c r="W16" s="962">
        <f ca="1">'ESTADISTICOS JENNY'!M$383</f>
        <v>0</v>
      </c>
      <c r="X16" s="860"/>
      <c r="Y16" s="962">
        <f ca="1">'ESTADISTICOS JENNY'!M$384</f>
        <v>0</v>
      </c>
      <c r="Z16" s="860"/>
      <c r="AA16" s="962">
        <f ca="1">'ESTADISTICOS JENNY'!M$385</f>
        <v>0</v>
      </c>
      <c r="AB16" s="860"/>
      <c r="AC16" s="1722">
        <f ca="1">'ESTADISTICOS JENNY'!M$386</f>
        <v>0</v>
      </c>
    </row>
    <row r="17" spans="2:29" ht="15" customHeight="1">
      <c r="B17" s="835"/>
      <c r="C17" s="838"/>
      <c r="D17" s="859" t="s">
        <v>995</v>
      </c>
      <c r="E17" s="844" t="s">
        <v>1082</v>
      </c>
      <c r="F17" s="860"/>
      <c r="G17" s="775"/>
      <c r="H17" s="860"/>
      <c r="I17" s="775"/>
      <c r="J17" s="860"/>
      <c r="K17" s="775"/>
      <c r="L17" s="860">
        <v>397807.46774160443</v>
      </c>
      <c r="M17" s="867">
        <v>362600.00000000402</v>
      </c>
      <c r="N17" s="862">
        <v>397807.46774160443</v>
      </c>
      <c r="O17" s="863">
        <f>(('[9]ESTADISTICOS MAYO 2017'!AI396)+(E59/10)+(O52/10))*1000</f>
        <v>72776.975999993621</v>
      </c>
      <c r="P17" s="864"/>
      <c r="Q17" s="753" t="e">
        <f>'ESTADISTICOS JENNY'!#REF!</f>
        <v>#REF!</v>
      </c>
      <c r="R17" s="860"/>
      <c r="S17" s="753">
        <f ca="1">'ESTADISTICOS JENNY'!N$381</f>
        <v>0</v>
      </c>
      <c r="T17" s="860"/>
      <c r="U17" s="753">
        <f ca="1">'ESTADISTICOS JENNY'!N$382</f>
        <v>0</v>
      </c>
      <c r="V17" s="860"/>
      <c r="W17" s="753">
        <f ca="1">'ESTADISTICOS JENNY'!N$383</f>
        <v>0</v>
      </c>
      <c r="X17" s="860"/>
      <c r="Y17" s="753">
        <f ca="1">'ESTADISTICOS JENNY'!N$384</f>
        <v>0</v>
      </c>
      <c r="Z17" s="860"/>
      <c r="AA17" s="753">
        <f ca="1">'ESTADISTICOS JENNY'!N$385</f>
        <v>0</v>
      </c>
      <c r="AB17" s="860"/>
      <c r="AC17" s="758">
        <f ca="1">'ESTADISTICOS JENNY'!N$386</f>
        <v>0</v>
      </c>
    </row>
    <row r="18" spans="2:29" ht="15" customHeight="1" thickBot="1">
      <c r="B18" s="836"/>
      <c r="C18" s="839"/>
      <c r="D18" s="1724" t="s">
        <v>1083</v>
      </c>
      <c r="E18" s="1725" t="s">
        <v>1084</v>
      </c>
      <c r="F18" s="868"/>
      <c r="G18" s="869"/>
      <c r="H18" s="868"/>
      <c r="I18" s="869"/>
      <c r="J18" s="868"/>
      <c r="K18" s="869"/>
      <c r="L18" s="868">
        <v>192489.275458686</v>
      </c>
      <c r="M18" s="870">
        <v>175453.245454549</v>
      </c>
      <c r="N18" s="871">
        <v>192489.275458686</v>
      </c>
      <c r="O18" s="872">
        <f>(((O100+O101)/1000)+(E59/10)+(O52/10))*1000</f>
        <v>160546.17599999363</v>
      </c>
      <c r="P18" s="873"/>
      <c r="Q18" s="767" t="e">
        <f>'ESTADISTICOS JENNY'!#REF!</f>
        <v>#REF!</v>
      </c>
      <c r="R18" s="868"/>
      <c r="S18" s="767">
        <f ca="1">'ESTADISTICOS JENNY'!O$381</f>
        <v>0</v>
      </c>
      <c r="T18" s="868"/>
      <c r="U18" s="767">
        <f ca="1">'ESTADISTICOS JENNY'!O$382</f>
        <v>0</v>
      </c>
      <c r="V18" s="868"/>
      <c r="W18" s="767">
        <f ca="1">'ESTADISTICOS JENNY'!O$383</f>
        <v>0</v>
      </c>
      <c r="X18" s="868"/>
      <c r="Y18" s="767">
        <f ca="1">'ESTADISTICOS JENNY'!O$384</f>
        <v>0</v>
      </c>
      <c r="Z18" s="868"/>
      <c r="AA18" s="767">
        <f ca="1">'ESTADISTICOS JENNY'!O$385</f>
        <v>0</v>
      </c>
      <c r="AB18" s="868"/>
      <c r="AC18" s="768">
        <f ca="1">'ESTADISTICOS JENNY'!O$386</f>
        <v>0</v>
      </c>
    </row>
    <row r="19" spans="2:29" ht="15.6" thickTop="1" thickBot="1">
      <c r="B19" s="1717" t="s">
        <v>1498</v>
      </c>
      <c r="C19" s="1714" t="s">
        <v>1086</v>
      </c>
      <c r="D19" s="1715" t="s">
        <v>1002</v>
      </c>
      <c r="E19" s="1716" t="s">
        <v>1003</v>
      </c>
      <c r="F19" s="860"/>
      <c r="G19" s="775"/>
      <c r="H19" s="860"/>
      <c r="I19" s="775"/>
      <c r="J19" s="860"/>
      <c r="K19" s="775"/>
      <c r="L19" s="860">
        <v>72600</v>
      </c>
      <c r="M19" s="874">
        <v>85717</v>
      </c>
      <c r="N19" s="862">
        <v>72600</v>
      </c>
      <c r="O19" s="777" t="e">
        <f>'[9]ESTADISTICOS MAYO 2017'!E81*1000</f>
        <v>#VALUE!</v>
      </c>
      <c r="P19" s="864"/>
      <c r="Q19" s="775" t="e">
        <f>'ESTADISTICOS JENNY'!#REF!</f>
        <v>#REF!</v>
      </c>
      <c r="R19" s="860"/>
      <c r="S19" s="775">
        <f ca="1">'ESTADISTICOS JENNY'!P381</f>
        <v>0</v>
      </c>
      <c r="T19" s="860"/>
      <c r="U19" s="775">
        <f ca="1">'ESTADISTICOS JENNY'!P382</f>
        <v>0</v>
      </c>
      <c r="V19" s="860"/>
      <c r="W19" s="775">
        <f ca="1">'ESTADISTICOS JENNY'!P383</f>
        <v>0</v>
      </c>
      <c r="X19" s="860"/>
      <c r="Y19" s="775">
        <f ca="1">'ESTADISTICOS JENNY'!P384</f>
        <v>0</v>
      </c>
      <c r="Z19" s="860"/>
      <c r="AA19" s="775">
        <f ca="1">'ESTADISTICOS JENNY'!P385</f>
        <v>0</v>
      </c>
      <c r="AB19" s="860"/>
      <c r="AC19" s="1723">
        <f ca="1">'ESTADISTICOS JENNY'!P386</f>
        <v>0</v>
      </c>
    </row>
    <row r="20" spans="2:29" ht="13.5" customHeight="1" thickTop="1">
      <c r="B20" s="835" t="s">
        <v>1087</v>
      </c>
      <c r="C20" s="838" t="s">
        <v>1036</v>
      </c>
      <c r="D20" s="821" t="s">
        <v>1037</v>
      </c>
      <c r="E20" s="822" t="s">
        <v>1038</v>
      </c>
      <c r="F20" s="875"/>
      <c r="G20" s="876"/>
      <c r="H20" s="875"/>
      <c r="I20" s="876"/>
      <c r="J20" s="875"/>
      <c r="K20" s="876"/>
      <c r="L20" s="875">
        <v>88500</v>
      </c>
      <c r="M20" s="877">
        <v>11904</v>
      </c>
      <c r="N20" s="878">
        <v>88500</v>
      </c>
      <c r="O20" s="827">
        <f>(E63*24*30*D63)/1000</f>
        <v>11904.000000000002</v>
      </c>
      <c r="P20" s="879"/>
      <c r="Q20" s="876"/>
      <c r="R20" s="875"/>
      <c r="S20" s="876"/>
      <c r="T20" s="875"/>
      <c r="U20" s="876"/>
      <c r="V20" s="875"/>
      <c r="W20" s="876"/>
      <c r="X20" s="875"/>
      <c r="Y20" s="876"/>
      <c r="Z20" s="875"/>
      <c r="AA20" s="876"/>
      <c r="AB20" s="875"/>
      <c r="AC20" s="777"/>
    </row>
    <row r="21" spans="2:29">
      <c r="B21" s="835"/>
      <c r="C21" s="838"/>
      <c r="D21" s="821" t="s">
        <v>1039</v>
      </c>
      <c r="E21" s="822" t="s">
        <v>1040</v>
      </c>
      <c r="F21" s="880"/>
      <c r="G21" s="753"/>
      <c r="H21" s="880"/>
      <c r="I21" s="753"/>
      <c r="J21" s="880"/>
      <c r="K21" s="881"/>
      <c r="L21" s="880">
        <v>88500</v>
      </c>
      <c r="M21" s="882">
        <v>11904</v>
      </c>
      <c r="N21" s="883">
        <v>88500</v>
      </c>
      <c r="O21" s="884">
        <f>(E64*24*30*D64)/1000</f>
        <v>11904.000000000002</v>
      </c>
      <c r="P21" s="885"/>
      <c r="Q21" s="754"/>
      <c r="R21" s="880"/>
      <c r="S21" s="754"/>
      <c r="T21" s="880"/>
      <c r="U21" s="754"/>
      <c r="V21" s="880"/>
      <c r="W21" s="754"/>
      <c r="X21" s="880"/>
      <c r="Y21" s="754"/>
      <c r="Z21" s="880"/>
      <c r="AA21" s="754"/>
      <c r="AB21" s="880"/>
      <c r="AC21" s="758"/>
    </row>
    <row r="22" spans="2:29">
      <c r="B22" s="835"/>
      <c r="C22" s="838"/>
      <c r="D22" s="821" t="s">
        <v>1041</v>
      </c>
      <c r="E22" s="822" t="s">
        <v>1042</v>
      </c>
      <c r="F22" s="880"/>
      <c r="G22" s="753"/>
      <c r="H22" s="880"/>
      <c r="I22" s="753"/>
      <c r="J22" s="880"/>
      <c r="K22" s="753"/>
      <c r="L22" s="880">
        <v>88500</v>
      </c>
      <c r="M22" s="882">
        <v>5952</v>
      </c>
      <c r="N22" s="883">
        <v>88500</v>
      </c>
      <c r="O22" s="884">
        <f>(E67*24*30*D67)/1000</f>
        <v>5952.0000000000009</v>
      </c>
      <c r="P22" s="885"/>
      <c r="Q22" s="754"/>
      <c r="R22" s="880"/>
      <c r="S22" s="754"/>
      <c r="T22" s="880"/>
      <c r="U22" s="754"/>
      <c r="V22" s="880"/>
      <c r="W22" s="754"/>
      <c r="X22" s="880"/>
      <c r="Y22" s="754"/>
      <c r="Z22" s="880"/>
      <c r="AA22" s="754"/>
      <c r="AB22" s="880"/>
      <c r="AC22" s="758"/>
    </row>
    <row r="23" spans="2:29" ht="15" thickBot="1">
      <c r="B23" s="836"/>
      <c r="C23" s="839"/>
      <c r="D23" s="823" t="s">
        <v>1043</v>
      </c>
      <c r="E23" s="824" t="s">
        <v>1044</v>
      </c>
      <c r="F23" s="886"/>
      <c r="G23" s="767"/>
      <c r="H23" s="886"/>
      <c r="I23" s="767"/>
      <c r="J23" s="886"/>
      <c r="K23" s="767"/>
      <c r="L23" s="886">
        <v>88500</v>
      </c>
      <c r="M23" s="887">
        <v>5208</v>
      </c>
      <c r="N23" s="888">
        <v>88500</v>
      </c>
      <c r="O23" s="884">
        <f>(E68*24*30*D68)/1000</f>
        <v>5208.0000000000009</v>
      </c>
      <c r="P23" s="889"/>
      <c r="Q23" s="766"/>
      <c r="R23" s="886"/>
      <c r="S23" s="766"/>
      <c r="T23" s="886"/>
      <c r="U23" s="766"/>
      <c r="V23" s="886"/>
      <c r="W23" s="766"/>
      <c r="X23" s="886"/>
      <c r="Y23" s="766"/>
      <c r="Z23" s="886"/>
      <c r="AA23" s="766"/>
      <c r="AB23" s="886"/>
      <c r="AC23" s="820"/>
    </row>
    <row r="24" spans="2:29" ht="15.75" customHeight="1" thickTop="1">
      <c r="B24" s="2427" t="s">
        <v>1045</v>
      </c>
      <c r="C24" s="2428" t="s">
        <v>1046</v>
      </c>
      <c r="D24" s="825" t="s">
        <v>1047</v>
      </c>
      <c r="E24" s="826" t="s">
        <v>1048</v>
      </c>
      <c r="F24" s="875"/>
      <c r="G24" s="890"/>
      <c r="H24" s="875"/>
      <c r="I24" s="890"/>
      <c r="J24" s="875"/>
      <c r="K24" s="890"/>
      <c r="L24" s="875">
        <v>14740</v>
      </c>
      <c r="M24" s="891">
        <f>N39*M39</f>
        <v>14026.785000000002</v>
      </c>
      <c r="N24" s="878">
        <v>14740</v>
      </c>
      <c r="O24" s="827">
        <f>O63</f>
        <v>9010.16</v>
      </c>
      <c r="P24" s="879"/>
      <c r="Q24" s="890"/>
      <c r="R24" s="875"/>
      <c r="S24" s="890"/>
      <c r="T24" s="875"/>
      <c r="U24" s="890"/>
      <c r="V24" s="875"/>
      <c r="W24" s="890"/>
      <c r="X24" s="875"/>
      <c r="Y24" s="890"/>
      <c r="Z24" s="875"/>
      <c r="AA24" s="890"/>
      <c r="AB24" s="875"/>
      <c r="AC24" s="827"/>
    </row>
    <row r="25" spans="2:29" ht="15" thickBot="1">
      <c r="B25" s="2199"/>
      <c r="C25" s="2202"/>
      <c r="D25" s="821" t="s">
        <v>1049</v>
      </c>
      <c r="E25" s="822" t="s">
        <v>1050</v>
      </c>
      <c r="F25" s="880"/>
      <c r="G25" s="754"/>
      <c r="H25" s="880"/>
      <c r="I25" s="754"/>
      <c r="J25" s="880"/>
      <c r="K25" s="754"/>
      <c r="L25" s="886">
        <v>7260</v>
      </c>
      <c r="M25" s="887">
        <f>N39*M40</f>
        <v>6908.7150000000001</v>
      </c>
      <c r="N25" s="888">
        <v>7260</v>
      </c>
      <c r="O25" s="758">
        <f>O64</f>
        <v>4437.84</v>
      </c>
      <c r="P25" s="885"/>
      <c r="Q25" s="754"/>
      <c r="R25" s="880"/>
      <c r="S25" s="754"/>
      <c r="T25" s="880"/>
      <c r="U25" s="754"/>
      <c r="V25" s="880"/>
      <c r="W25" s="754"/>
      <c r="X25" s="880"/>
      <c r="Y25" s="754"/>
      <c r="Z25" s="880"/>
      <c r="AA25" s="754"/>
      <c r="AB25" s="880"/>
      <c r="AC25" s="758"/>
    </row>
    <row r="26" spans="2:29" ht="15.75" customHeight="1" thickTop="1">
      <c r="B26" s="2427" t="s">
        <v>1004</v>
      </c>
      <c r="C26" s="2428" t="s">
        <v>1088</v>
      </c>
      <c r="D26" s="825" t="s">
        <v>1063</v>
      </c>
      <c r="E26" s="826" t="s">
        <v>1064</v>
      </c>
      <c r="F26" s="875"/>
      <c r="G26" s="876"/>
      <c r="H26" s="875"/>
      <c r="I26" s="876"/>
      <c r="J26" s="875"/>
      <c r="K26" s="876"/>
      <c r="L26" s="860">
        <v>659237.45756020537</v>
      </c>
      <c r="M26" s="892">
        <v>600892.44545454602</v>
      </c>
      <c r="N26" s="862">
        <v>659237.45756020537</v>
      </c>
      <c r="O26" s="827">
        <f t="shared" ref="O26:O36" si="0">O7</f>
        <v>72776.975999993621</v>
      </c>
      <c r="P26" s="879"/>
      <c r="Q26" s="876"/>
      <c r="R26" s="875"/>
      <c r="S26" s="876"/>
      <c r="T26" s="875"/>
      <c r="U26" s="876"/>
      <c r="V26" s="875"/>
      <c r="W26" s="876"/>
      <c r="X26" s="875"/>
      <c r="Y26" s="876"/>
      <c r="Z26" s="875"/>
      <c r="AA26" s="876"/>
      <c r="AB26" s="875"/>
      <c r="AC26" s="828"/>
    </row>
    <row r="27" spans="2:29">
      <c r="B27" s="2198"/>
      <c r="C27" s="2201"/>
      <c r="D27" s="821" t="s">
        <v>998</v>
      </c>
      <c r="E27" s="822" t="s">
        <v>1065</v>
      </c>
      <c r="F27" s="860"/>
      <c r="G27" s="775"/>
      <c r="H27" s="860"/>
      <c r="I27" s="775"/>
      <c r="J27" s="860"/>
      <c r="K27" s="775"/>
      <c r="L27" s="860">
        <v>7426341.3884098101</v>
      </c>
      <c r="M27" s="882">
        <v>6769082.04545453</v>
      </c>
      <c r="N27" s="862">
        <v>7426341.3884098101</v>
      </c>
      <c r="O27" s="777">
        <f t="shared" si="0"/>
        <v>72776.975999993621</v>
      </c>
      <c r="P27" s="864"/>
      <c r="Q27" s="775"/>
      <c r="R27" s="860"/>
      <c r="S27" s="775"/>
      <c r="T27" s="860"/>
      <c r="U27" s="775"/>
      <c r="V27" s="860"/>
      <c r="W27" s="775"/>
      <c r="X27" s="860"/>
      <c r="Y27" s="775"/>
      <c r="Z27" s="860"/>
      <c r="AA27" s="775"/>
      <c r="AB27" s="860"/>
      <c r="AC27" s="778"/>
    </row>
    <row r="28" spans="2:29">
      <c r="B28" s="2198"/>
      <c r="C28" s="2201"/>
      <c r="D28" s="821" t="s">
        <v>1066</v>
      </c>
      <c r="E28" s="822" t="s">
        <v>1067</v>
      </c>
      <c r="F28" s="860"/>
      <c r="G28" s="775"/>
      <c r="H28" s="860"/>
      <c r="I28" s="775"/>
      <c r="J28" s="860"/>
      <c r="K28" s="775"/>
      <c r="L28" s="860">
        <v>250341.4083570579</v>
      </c>
      <c r="M28" s="882">
        <v>228185.24545454801</v>
      </c>
      <c r="N28" s="862">
        <v>250341.4083570579</v>
      </c>
      <c r="O28" s="777">
        <f t="shared" si="0"/>
        <v>307072.17599999363</v>
      </c>
      <c r="P28" s="864"/>
      <c r="Q28" s="775"/>
      <c r="R28" s="860"/>
      <c r="S28" s="775"/>
      <c r="T28" s="860"/>
      <c r="U28" s="775"/>
      <c r="V28" s="860"/>
      <c r="W28" s="775"/>
      <c r="X28" s="860"/>
      <c r="Y28" s="775"/>
      <c r="Z28" s="860"/>
      <c r="AA28" s="775"/>
      <c r="AB28" s="860"/>
      <c r="AC28" s="778"/>
    </row>
    <row r="29" spans="2:29">
      <c r="B29" s="2198"/>
      <c r="C29" s="2201"/>
      <c r="D29" s="821" t="s">
        <v>1070</v>
      </c>
      <c r="E29" s="822" t="s">
        <v>1069</v>
      </c>
      <c r="F29" s="860"/>
      <c r="G29" s="775"/>
      <c r="H29" s="860"/>
      <c r="I29" s="775"/>
      <c r="J29" s="860"/>
      <c r="K29" s="775"/>
      <c r="L29" s="860">
        <v>91556.327217573446</v>
      </c>
      <c r="M29" s="882">
        <v>83453.245454548494</v>
      </c>
      <c r="N29" s="862">
        <v>91556.327217573446</v>
      </c>
      <c r="O29" s="777">
        <f t="shared" si="0"/>
        <v>0</v>
      </c>
      <c r="P29" s="864"/>
      <c r="Q29" s="775"/>
      <c r="R29" s="860"/>
      <c r="S29" s="775"/>
      <c r="T29" s="860"/>
      <c r="U29" s="775"/>
      <c r="V29" s="860"/>
      <c r="W29" s="775"/>
      <c r="X29" s="860"/>
      <c r="Y29" s="775"/>
      <c r="Z29" s="860"/>
      <c r="AA29" s="775"/>
      <c r="AB29" s="860"/>
      <c r="AC29" s="778"/>
    </row>
    <row r="30" spans="2:29">
      <c r="B30" s="2198"/>
      <c r="C30" s="2201"/>
      <c r="D30" s="821" t="s">
        <v>1070</v>
      </c>
      <c r="E30" s="822" t="s">
        <v>1071</v>
      </c>
      <c r="F30" s="860"/>
      <c r="G30" s="775"/>
      <c r="H30" s="860"/>
      <c r="I30" s="775"/>
      <c r="J30" s="860"/>
      <c r="K30" s="775"/>
      <c r="L30" s="860">
        <v>1517234.2211232488</v>
      </c>
      <c r="M30" s="882">
        <v>1382953.24545452</v>
      </c>
      <c r="N30" s="862">
        <v>1517234.2211232488</v>
      </c>
      <c r="O30" s="777">
        <f t="shared" si="0"/>
        <v>72776.975999993621</v>
      </c>
      <c r="P30" s="864"/>
      <c r="Q30" s="775"/>
      <c r="R30" s="860"/>
      <c r="S30" s="775"/>
      <c r="T30" s="860"/>
      <c r="U30" s="775"/>
      <c r="V30" s="860"/>
      <c r="W30" s="775"/>
      <c r="X30" s="860"/>
      <c r="Y30" s="775"/>
      <c r="Z30" s="860"/>
      <c r="AA30" s="775"/>
      <c r="AB30" s="860"/>
      <c r="AC30" s="778"/>
    </row>
    <row r="31" spans="2:29">
      <c r="B31" s="2198"/>
      <c r="C31" s="2201"/>
      <c r="D31" s="821" t="s">
        <v>1072</v>
      </c>
      <c r="E31" s="822" t="s">
        <v>1073</v>
      </c>
      <c r="F31" s="860"/>
      <c r="G31" s="775"/>
      <c r="H31" s="860"/>
      <c r="I31" s="775"/>
      <c r="J31" s="860"/>
      <c r="K31" s="775"/>
      <c r="L31" s="860">
        <v>105696.92355642734</v>
      </c>
      <c r="M31" s="882">
        <v>96342.345454548908</v>
      </c>
      <c r="N31" s="862">
        <v>105696.92355642734</v>
      </c>
      <c r="O31" s="777">
        <f t="shared" si="0"/>
        <v>72776.975999993621</v>
      </c>
      <c r="P31" s="864"/>
      <c r="Q31" s="775"/>
      <c r="R31" s="860"/>
      <c r="S31" s="775"/>
      <c r="T31" s="860"/>
      <c r="U31" s="775"/>
      <c r="V31" s="860"/>
      <c r="W31" s="775"/>
      <c r="X31" s="860"/>
      <c r="Y31" s="775"/>
      <c r="Z31" s="860"/>
      <c r="AA31" s="775"/>
      <c r="AB31" s="860"/>
      <c r="AC31" s="778"/>
    </row>
    <row r="32" spans="2:29">
      <c r="B32" s="2198"/>
      <c r="C32" s="2201"/>
      <c r="D32" s="821" t="s">
        <v>1074</v>
      </c>
      <c r="E32" s="822" t="s">
        <v>1075</v>
      </c>
      <c r="F32" s="860"/>
      <c r="G32" s="775"/>
      <c r="H32" s="860"/>
      <c r="I32" s="775"/>
      <c r="J32" s="860"/>
      <c r="K32" s="775"/>
      <c r="L32" s="860">
        <v>97616.582791368011</v>
      </c>
      <c r="M32" s="882">
        <v>88977.145454548707</v>
      </c>
      <c r="N32" s="862">
        <v>97616.582791368011</v>
      </c>
      <c r="O32" s="777">
        <f t="shared" si="0"/>
        <v>0</v>
      </c>
      <c r="P32" s="864"/>
      <c r="Q32" s="775"/>
      <c r="R32" s="860"/>
      <c r="S32" s="775"/>
      <c r="T32" s="860"/>
      <c r="U32" s="775"/>
      <c r="V32" s="860"/>
      <c r="W32" s="775"/>
      <c r="X32" s="860"/>
      <c r="Y32" s="775"/>
      <c r="Z32" s="860"/>
      <c r="AA32" s="775"/>
      <c r="AB32" s="860"/>
      <c r="AC32" s="778"/>
    </row>
    <row r="33" spans="2:31">
      <c r="B33" s="2198"/>
      <c r="C33" s="2201"/>
      <c r="D33" s="821" t="s">
        <v>1076</v>
      </c>
      <c r="E33" s="822" t="s">
        <v>1077</v>
      </c>
      <c r="F33" s="860"/>
      <c r="G33" s="775"/>
      <c r="H33" s="860"/>
      <c r="I33" s="775"/>
      <c r="J33" s="860"/>
      <c r="K33" s="775"/>
      <c r="L33" s="860">
        <v>4835972.0938350847</v>
      </c>
      <c r="M33" s="882">
        <v>4407970.2454545703</v>
      </c>
      <c r="N33" s="862">
        <v>4835972.0938350847</v>
      </c>
      <c r="O33" s="777">
        <f t="shared" si="0"/>
        <v>72776.975999993621</v>
      </c>
      <c r="P33" s="864"/>
      <c r="Q33" s="775"/>
      <c r="R33" s="860"/>
      <c r="S33" s="775"/>
      <c r="T33" s="860"/>
      <c r="U33" s="775"/>
      <c r="V33" s="860"/>
      <c r="W33" s="775"/>
      <c r="X33" s="860"/>
      <c r="Y33" s="775"/>
      <c r="Z33" s="860"/>
      <c r="AA33" s="775"/>
      <c r="AB33" s="860"/>
      <c r="AC33" s="778"/>
    </row>
    <row r="34" spans="2:31">
      <c r="B34" s="2198"/>
      <c r="C34" s="2201"/>
      <c r="D34" s="821" t="s">
        <v>1078</v>
      </c>
      <c r="E34" s="822" t="s">
        <v>1079</v>
      </c>
      <c r="F34" s="860"/>
      <c r="G34" s="775"/>
      <c r="H34" s="860"/>
      <c r="I34" s="775"/>
      <c r="J34" s="860"/>
      <c r="K34" s="775"/>
      <c r="L34" s="860">
        <v>126630.52673135989</v>
      </c>
      <c r="M34" s="882">
        <v>115423.24545454852</v>
      </c>
      <c r="N34" s="862">
        <v>126630.52673135989</v>
      </c>
      <c r="O34" s="777">
        <f t="shared" si="0"/>
        <v>72776.975999993621</v>
      </c>
      <c r="P34" s="864"/>
      <c r="Q34" s="775"/>
      <c r="R34" s="860"/>
      <c r="S34" s="775"/>
      <c r="T34" s="860"/>
      <c r="U34" s="775"/>
      <c r="V34" s="860"/>
      <c r="W34" s="775"/>
      <c r="X34" s="860"/>
      <c r="Y34" s="775"/>
      <c r="Z34" s="860"/>
      <c r="AA34" s="775"/>
      <c r="AB34" s="860"/>
      <c r="AC34" s="778"/>
    </row>
    <row r="35" spans="2:31">
      <c r="B35" s="2198"/>
      <c r="C35" s="2201"/>
      <c r="D35" s="821" t="s">
        <v>1080</v>
      </c>
      <c r="E35" s="822" t="s">
        <v>1081</v>
      </c>
      <c r="F35" s="880"/>
      <c r="G35" s="753"/>
      <c r="H35" s="880"/>
      <c r="I35" s="753"/>
      <c r="J35" s="880"/>
      <c r="K35" s="753"/>
      <c r="L35" s="860">
        <v>139076.32721757347</v>
      </c>
      <c r="M35" s="882">
        <v>126767.54545454856</v>
      </c>
      <c r="N35" s="862">
        <v>139076.32721757347</v>
      </c>
      <c r="O35" s="758">
        <f t="shared" si="0"/>
        <v>139482.97599999365</v>
      </c>
      <c r="P35" s="885"/>
      <c r="Q35" s="753"/>
      <c r="R35" s="880"/>
      <c r="S35" s="753"/>
      <c r="T35" s="880"/>
      <c r="U35" s="753"/>
      <c r="V35" s="880"/>
      <c r="W35" s="753"/>
      <c r="X35" s="880"/>
      <c r="Y35" s="753"/>
      <c r="Z35" s="880"/>
      <c r="AA35" s="753"/>
      <c r="AB35" s="880"/>
      <c r="AC35" s="755"/>
    </row>
    <row r="36" spans="2:31" ht="15" thickBot="1">
      <c r="B36" s="2199"/>
      <c r="C36" s="2202"/>
      <c r="D36" s="823" t="s">
        <v>995</v>
      </c>
      <c r="E36" s="824" t="s">
        <v>1082</v>
      </c>
      <c r="F36" s="886"/>
      <c r="G36" s="767"/>
      <c r="H36" s="886"/>
      <c r="I36" s="767"/>
      <c r="J36" s="886"/>
      <c r="K36" s="767"/>
      <c r="L36" s="886">
        <v>397807.46774160443</v>
      </c>
      <c r="M36" s="870">
        <v>362600.00000000402</v>
      </c>
      <c r="N36" s="888">
        <v>397807.46774160443</v>
      </c>
      <c r="O36" s="768">
        <f t="shared" si="0"/>
        <v>72776.975999993621</v>
      </c>
      <c r="P36" s="889"/>
      <c r="Q36" s="767"/>
      <c r="R36" s="886"/>
      <c r="S36" s="767"/>
      <c r="T36" s="886"/>
      <c r="U36" s="767"/>
      <c r="V36" s="886"/>
      <c r="W36" s="767"/>
      <c r="X36" s="886"/>
      <c r="Y36" s="767"/>
      <c r="Z36" s="886"/>
      <c r="AA36" s="767"/>
      <c r="AB36" s="886"/>
      <c r="AC36" s="829"/>
    </row>
    <row r="37" spans="2:31" ht="15" thickTop="1">
      <c r="B37" s="893"/>
      <c r="C37" s="893"/>
      <c r="D37" s="894"/>
      <c r="E37" s="893"/>
      <c r="F37" s="387"/>
      <c r="G37" s="895"/>
      <c r="H37" s="387"/>
      <c r="I37" s="387"/>
      <c r="J37" s="387"/>
      <c r="K37" s="387"/>
      <c r="L37" s="387"/>
      <c r="M37" s="895" t="e">
        <f>SUM(M7:M18)</f>
        <v>#REF!</v>
      </c>
      <c r="N37" s="387"/>
      <c r="O37" s="387"/>
      <c r="P37" s="387"/>
      <c r="Q37" s="387"/>
      <c r="R37" s="387"/>
      <c r="S37" s="387"/>
      <c r="T37" s="387"/>
      <c r="U37" s="387"/>
      <c r="V37" s="387"/>
      <c r="W37" s="387"/>
      <c r="X37" s="893"/>
      <c r="Y37" s="893"/>
      <c r="Z37" s="893"/>
      <c r="AA37" s="893"/>
      <c r="AB37" s="893"/>
      <c r="AC37" s="893"/>
      <c r="AD37" s="893"/>
      <c r="AE37" s="893"/>
    </row>
    <row r="38" spans="2:31">
      <c r="B38" s="893"/>
      <c r="C38" s="893"/>
      <c r="D38" s="893"/>
      <c r="E38" s="896" t="s">
        <v>1089</v>
      </c>
      <c r="F38" s="893"/>
      <c r="G38" s="893"/>
      <c r="H38" s="893"/>
      <c r="I38" s="387">
        <f>[10]DATOSCECOS!H393*25%</f>
        <v>178.0499999999974</v>
      </c>
      <c r="J38" s="387">
        <f>I38*4</f>
        <v>712.19999999998959</v>
      </c>
      <c r="K38" s="387"/>
      <c r="L38" s="893"/>
      <c r="M38" s="897"/>
      <c r="N38" s="893"/>
      <c r="O38" s="898">
        <f>('[9]ESTADISTICOS MAYO 2017'!Y396)*1000</f>
        <v>0</v>
      </c>
      <c r="P38" s="899"/>
      <c r="Q38" s="893"/>
      <c r="R38" s="893"/>
      <c r="S38" s="893"/>
      <c r="T38" s="893"/>
      <c r="U38" s="893"/>
      <c r="V38" s="893"/>
      <c r="W38" s="893"/>
      <c r="X38" s="893"/>
      <c r="Y38" s="893"/>
      <c r="Z38" s="893"/>
      <c r="AA38" s="893"/>
      <c r="AB38" s="893"/>
      <c r="AC38" s="893"/>
      <c r="AD38" s="893"/>
      <c r="AE38" s="893"/>
    </row>
    <row r="39" spans="2:31">
      <c r="B39" s="893"/>
      <c r="C39" s="893"/>
      <c r="D39" s="893"/>
      <c r="E39" s="896"/>
      <c r="F39" s="893"/>
      <c r="G39" s="893"/>
      <c r="H39" s="893"/>
      <c r="I39" s="893"/>
      <c r="J39" s="893"/>
      <c r="K39" s="893"/>
      <c r="L39" s="893">
        <v>15840000</v>
      </c>
      <c r="M39" s="900">
        <f>L24/(L24+L25)</f>
        <v>0.67</v>
      </c>
      <c r="N39" s="893">
        <v>20935.5</v>
      </c>
      <c r="O39" s="901">
        <f>SUM(O7:O18)</f>
        <v>1116540.1599999361</v>
      </c>
      <c r="P39" s="899"/>
      <c r="Q39" s="893"/>
      <c r="R39" s="893"/>
      <c r="S39" s="893"/>
      <c r="T39" s="893"/>
      <c r="U39" s="893"/>
      <c r="V39" s="893"/>
      <c r="W39" s="893"/>
      <c r="X39" s="893"/>
      <c r="Y39" s="893"/>
      <c r="Z39" s="893"/>
      <c r="AA39" s="893"/>
      <c r="AB39" s="893"/>
      <c r="AC39" s="893"/>
      <c r="AD39" s="893"/>
      <c r="AE39" s="893"/>
    </row>
    <row r="40" spans="2:31">
      <c r="B40" s="893"/>
      <c r="C40" s="893"/>
      <c r="D40" s="893"/>
      <c r="E40" s="896"/>
      <c r="F40" s="893"/>
      <c r="G40" s="893"/>
      <c r="H40" s="893"/>
      <c r="I40" s="893"/>
      <c r="J40" s="893"/>
      <c r="K40" s="893"/>
      <c r="L40" s="893"/>
      <c r="M40" s="900">
        <f>L25/(L25+L24)</f>
        <v>0.33</v>
      </c>
      <c r="N40" s="893"/>
      <c r="O40" s="902">
        <f>O38-O39</f>
        <v>-1116540.1599999361</v>
      </c>
      <c r="P40" s="899"/>
      <c r="Q40" s="893"/>
      <c r="R40" s="893"/>
      <c r="S40" s="893"/>
      <c r="T40" s="893"/>
      <c r="U40" s="893"/>
      <c r="V40" s="893"/>
      <c r="W40" s="893"/>
      <c r="X40" s="893"/>
      <c r="Y40" s="893"/>
      <c r="Z40" s="893"/>
      <c r="AA40" s="893"/>
      <c r="AB40" s="893"/>
      <c r="AC40" s="893"/>
      <c r="AD40" s="893"/>
      <c r="AE40" s="893"/>
    </row>
    <row r="41" spans="2:31" ht="12.75" hidden="1" customHeight="1">
      <c r="B41" s="893"/>
      <c r="C41" s="893"/>
      <c r="D41" s="893"/>
      <c r="E41" s="896"/>
      <c r="F41" s="903"/>
      <c r="G41" s="893"/>
      <c r="H41" s="893"/>
      <c r="I41" s="893"/>
      <c r="J41" s="893"/>
      <c r="K41" s="893"/>
      <c r="L41" s="893"/>
      <c r="M41" s="899"/>
      <c r="N41" s="899"/>
      <c r="O41" s="899"/>
      <c r="P41" s="899"/>
      <c r="Q41" s="893"/>
      <c r="R41" s="893"/>
      <c r="S41" s="893"/>
      <c r="T41" s="893"/>
      <c r="U41" s="893"/>
      <c r="V41" s="893"/>
      <c r="W41" s="893"/>
      <c r="X41" s="893"/>
      <c r="Y41" s="893"/>
      <c r="Z41" s="893"/>
      <c r="AA41" s="893"/>
      <c r="AB41" s="893"/>
      <c r="AC41" s="893"/>
      <c r="AD41" s="893"/>
      <c r="AE41" s="893"/>
    </row>
    <row r="42" spans="2:31" ht="15.75" hidden="1" customHeight="1">
      <c r="B42" s="893"/>
      <c r="C42" s="904" t="s">
        <v>131</v>
      </c>
      <c r="D42" s="905" t="s">
        <v>1051</v>
      </c>
      <c r="E42" s="906"/>
      <c r="F42" s="907" t="s">
        <v>1030</v>
      </c>
      <c r="G42" s="907" t="s">
        <v>1031</v>
      </c>
      <c r="H42" s="907" t="s">
        <v>1032</v>
      </c>
      <c r="I42" s="907" t="s">
        <v>1033</v>
      </c>
      <c r="J42" s="907" t="s">
        <v>1034</v>
      </c>
      <c r="K42" s="907" t="s">
        <v>1035</v>
      </c>
      <c r="L42" s="907" t="s">
        <v>988</v>
      </c>
      <c r="M42" s="908" t="s">
        <v>989</v>
      </c>
      <c r="N42" s="908" t="s">
        <v>1052</v>
      </c>
      <c r="O42" s="908" t="s">
        <v>1053</v>
      </c>
      <c r="P42" s="908"/>
      <c r="Q42" s="907" t="s">
        <v>1054</v>
      </c>
      <c r="R42" s="893"/>
      <c r="S42" s="893"/>
      <c r="T42" s="893"/>
      <c r="U42" s="893"/>
      <c r="V42" s="893"/>
      <c r="W42" s="893"/>
      <c r="X42" s="893"/>
      <c r="Y42" s="893"/>
      <c r="Z42" s="893"/>
      <c r="AA42" s="893"/>
      <c r="AB42" s="893"/>
      <c r="AC42" s="893"/>
      <c r="AD42" s="893"/>
      <c r="AE42" s="893"/>
    </row>
    <row r="43" spans="2:31" ht="12.75" hidden="1" customHeight="1">
      <c r="B43" s="893"/>
      <c r="C43" s="909">
        <v>0.30181049086675338</v>
      </c>
      <c r="D43" s="910" t="s">
        <v>993</v>
      </c>
      <c r="E43" s="911" t="s">
        <v>994</v>
      </c>
      <c r="F43" s="912">
        <f>F48*$C$43</f>
        <v>4940034.1145070195</v>
      </c>
      <c r="G43" s="913">
        <f>G48*C43</f>
        <v>4621322.2361517278</v>
      </c>
      <c r="H43" s="913">
        <f>H48*C43</f>
        <v>4940034.1145070195</v>
      </c>
      <c r="I43" s="913">
        <f>I48*C43</f>
        <v>4780678.1753293732</v>
      </c>
      <c r="J43" s="913">
        <f>$J$48*C43</f>
        <v>4940034.1145070195</v>
      </c>
      <c r="K43" s="913">
        <f>$K$48*C43</f>
        <v>4780678.1753293732</v>
      </c>
      <c r="L43" s="913">
        <f>$L$48*C43</f>
        <v>4940034.1145070195</v>
      </c>
      <c r="M43" s="914">
        <f>$M$48*C43</f>
        <v>4940034.1145070195</v>
      </c>
      <c r="N43" s="914">
        <f>$N$48*C43</f>
        <v>4780678.1753293732</v>
      </c>
      <c r="O43" s="914">
        <f>$O$48*C43</f>
        <v>4940034.1145070195</v>
      </c>
      <c r="P43" s="914"/>
      <c r="Q43" s="915">
        <f>$Q$48*C43</f>
        <v>4940034.1145070195</v>
      </c>
      <c r="R43" s="893"/>
      <c r="S43" s="893"/>
      <c r="T43" s="893"/>
      <c r="U43" s="893"/>
      <c r="V43" s="893"/>
      <c r="W43" s="893"/>
      <c r="X43" s="893"/>
      <c r="Y43" s="893"/>
      <c r="Z43" s="893"/>
      <c r="AA43" s="893"/>
      <c r="AB43" s="893"/>
      <c r="AC43" s="893"/>
      <c r="AD43" s="893"/>
      <c r="AE43" s="893"/>
    </row>
    <row r="44" spans="2:31" ht="12.75" hidden="1" customHeight="1">
      <c r="B44" s="893"/>
      <c r="C44" s="916">
        <v>4.209607555658261E-2</v>
      </c>
      <c r="D44" s="917" t="s">
        <v>995</v>
      </c>
      <c r="E44" s="918" t="s">
        <v>996</v>
      </c>
      <c r="F44" s="919">
        <f>F48*C44</f>
        <v>689028.56471014419</v>
      </c>
      <c r="G44" s="920">
        <f>G48*C44</f>
        <v>644575.10892239294</v>
      </c>
      <c r="H44" s="920">
        <f>H48*C44</f>
        <v>689028.56471014419</v>
      </c>
      <c r="I44" s="920">
        <f>I48*C44</f>
        <v>666801.83681626851</v>
      </c>
      <c r="J44" s="920">
        <f>$J$48*C44</f>
        <v>689028.56471014419</v>
      </c>
      <c r="K44" s="920">
        <f>$K$48*C44</f>
        <v>666801.83681626851</v>
      </c>
      <c r="L44" s="920">
        <f>$L$48*C44</f>
        <v>689028.56471014419</v>
      </c>
      <c r="M44" s="921">
        <f>$M$48*C44</f>
        <v>689028.56471014419</v>
      </c>
      <c r="N44" s="921">
        <f>$N$48*C44</f>
        <v>666801.83681626851</v>
      </c>
      <c r="O44" s="921">
        <f>$O$48*C44</f>
        <v>689028.56471014419</v>
      </c>
      <c r="P44" s="921"/>
      <c r="Q44" s="922">
        <f>$Q$48*C44</f>
        <v>689028.56471014419</v>
      </c>
      <c r="R44" s="893"/>
      <c r="S44" s="893"/>
      <c r="T44" s="893"/>
      <c r="U44" s="893"/>
      <c r="V44" s="893"/>
      <c r="W44" s="893"/>
      <c r="X44" s="893"/>
      <c r="Y44" s="893"/>
      <c r="Z44" s="893"/>
      <c r="AA44" s="893"/>
      <c r="AB44" s="893"/>
      <c r="AC44" s="893"/>
      <c r="AD44" s="893"/>
      <c r="AE44" s="893"/>
    </row>
    <row r="45" spans="2:31" ht="12.75" hidden="1" customHeight="1">
      <c r="B45" s="893"/>
      <c r="C45" s="916">
        <v>0.52397194190054475</v>
      </c>
      <c r="D45" s="917" t="s">
        <v>921</v>
      </c>
      <c r="E45" s="918" t="s">
        <v>997</v>
      </c>
      <c r="F45" s="919">
        <f>F48*C45</f>
        <v>8576372.7450281158</v>
      </c>
      <c r="G45" s="920">
        <f>G48*C45</f>
        <v>8023058.3743811408</v>
      </c>
      <c r="H45" s="920">
        <f>H48*C45</f>
        <v>8576372.7450281158</v>
      </c>
      <c r="I45" s="920">
        <f>I48*C45</f>
        <v>8299715.5597046288</v>
      </c>
      <c r="J45" s="920">
        <f>$J$48*C45</f>
        <v>8576372.7450281158</v>
      </c>
      <c r="K45" s="920">
        <f>$K$48*C45</f>
        <v>8299715.5597046288</v>
      </c>
      <c r="L45" s="920">
        <f>$L$48*C45</f>
        <v>8576372.7450281158</v>
      </c>
      <c r="M45" s="921">
        <f>$M$48*C45</f>
        <v>8576372.7450281158</v>
      </c>
      <c r="N45" s="921">
        <f>$N$48*C45</f>
        <v>8299715.5597046288</v>
      </c>
      <c r="O45" s="921">
        <f>$O$48*C45</f>
        <v>8576372.7450281158</v>
      </c>
      <c r="P45" s="921"/>
      <c r="Q45" s="922">
        <f>$Q$48*C45</f>
        <v>8576372.7450281158</v>
      </c>
      <c r="R45" s="893"/>
      <c r="S45" s="893"/>
      <c r="T45" s="893"/>
      <c r="U45" s="893"/>
      <c r="V45" s="893"/>
      <c r="W45" s="893"/>
      <c r="X45" s="893"/>
      <c r="Y45" s="893"/>
      <c r="Z45" s="893"/>
      <c r="AA45" s="893"/>
      <c r="AB45" s="893"/>
      <c r="AC45" s="893"/>
      <c r="AD45" s="893"/>
      <c r="AE45" s="893"/>
    </row>
    <row r="46" spans="2:31" ht="12.75" hidden="1" customHeight="1">
      <c r="B46" s="893"/>
      <c r="C46" s="916">
        <v>0.11881463863718615</v>
      </c>
      <c r="D46" s="917" t="s">
        <v>998</v>
      </c>
      <c r="E46" s="918" t="s">
        <v>999</v>
      </c>
      <c r="F46" s="919">
        <f>F48*C46</f>
        <v>1944758.005213463</v>
      </c>
      <c r="G46" s="920">
        <f>G48*C46</f>
        <v>1819289.7468125944</v>
      </c>
      <c r="H46" s="920">
        <f>H48*C46</f>
        <v>1944758.005213463</v>
      </c>
      <c r="I46" s="920">
        <f>I48*C46</f>
        <v>1882023.8760130287</v>
      </c>
      <c r="J46" s="920">
        <f>$J$48*C46</f>
        <v>1944758.005213463</v>
      </c>
      <c r="K46" s="920">
        <f>$K$48*C46</f>
        <v>1882023.8760130287</v>
      </c>
      <c r="L46" s="920">
        <f>$L$48*C46</f>
        <v>1944758.005213463</v>
      </c>
      <c r="M46" s="921">
        <f>$M$48*C46</f>
        <v>1944758.005213463</v>
      </c>
      <c r="N46" s="921">
        <f>$N$48*C46</f>
        <v>1882023.8760130287</v>
      </c>
      <c r="O46" s="921">
        <f>$O$48*C46</f>
        <v>1944758.005213463</v>
      </c>
      <c r="P46" s="921"/>
      <c r="Q46" s="922">
        <f>$Q$48*C46</f>
        <v>1944758.005213463</v>
      </c>
      <c r="R46" s="893"/>
      <c r="S46" s="893"/>
      <c r="T46" s="893"/>
      <c r="U46" s="893"/>
      <c r="V46" s="893"/>
      <c r="W46" s="893"/>
      <c r="X46" s="893"/>
      <c r="Y46" s="893"/>
      <c r="Z46" s="893"/>
      <c r="AA46" s="893"/>
      <c r="AB46" s="893"/>
      <c r="AC46" s="893"/>
      <c r="AD46" s="893"/>
      <c r="AE46" s="893"/>
    </row>
    <row r="47" spans="2:31" ht="13.5" hidden="1" customHeight="1">
      <c r="B47" s="893"/>
      <c r="C47" s="923">
        <v>1.3306853038933128E-2</v>
      </c>
      <c r="D47" s="924" t="s">
        <v>1000</v>
      </c>
      <c r="E47" s="925" t="s">
        <v>1001</v>
      </c>
      <c r="F47" s="926">
        <f>F48*C47</f>
        <v>217806.57054125745</v>
      </c>
      <c r="G47" s="927">
        <f>G48*C47</f>
        <v>203754.53373214405</v>
      </c>
      <c r="H47" s="927">
        <f>H48*C47</f>
        <v>217806.57054125745</v>
      </c>
      <c r="I47" s="927">
        <f>I48*C47</f>
        <v>210780.55213670075</v>
      </c>
      <c r="J47" s="927">
        <f>$J$48*C47</f>
        <v>217806.57054125745</v>
      </c>
      <c r="K47" s="927">
        <f>$K$48*C47</f>
        <v>210780.55213670075</v>
      </c>
      <c r="L47" s="927">
        <f>$L$48*C47</f>
        <v>217806.57054125745</v>
      </c>
      <c r="M47" s="928">
        <f>$M$48*C47</f>
        <v>217806.57054125745</v>
      </c>
      <c r="N47" s="928">
        <f>$N$48*C47</f>
        <v>210780.55213670075</v>
      </c>
      <c r="O47" s="928">
        <f>$O$48*C47</f>
        <v>217806.57054125745</v>
      </c>
      <c r="P47" s="928"/>
      <c r="Q47" s="929">
        <f>$Q$48*C47</f>
        <v>217806.57054125745</v>
      </c>
      <c r="R47" s="893"/>
      <c r="S47" s="893"/>
      <c r="T47" s="893"/>
      <c r="U47" s="893"/>
      <c r="V47" s="893"/>
      <c r="W47" s="893"/>
      <c r="X47" s="893"/>
      <c r="Y47" s="893"/>
      <c r="Z47" s="893"/>
      <c r="AA47" s="893"/>
      <c r="AB47" s="893"/>
      <c r="AC47" s="893"/>
      <c r="AD47" s="893"/>
      <c r="AE47" s="893"/>
    </row>
    <row r="48" spans="2:31" ht="15.75" hidden="1" customHeight="1">
      <c r="B48" s="893"/>
      <c r="C48" s="893"/>
      <c r="D48" s="893"/>
      <c r="E48" s="930" t="s">
        <v>1055</v>
      </c>
      <c r="F48" s="931">
        <f>16368*1000</f>
        <v>16368000</v>
      </c>
      <c r="G48" s="931">
        <f>15312*1000</f>
        <v>15312000</v>
      </c>
      <c r="H48" s="931">
        <f>16368*1000</f>
        <v>16368000</v>
      </c>
      <c r="I48" s="931">
        <f>15840*1000</f>
        <v>15840000</v>
      </c>
      <c r="J48" s="931">
        <f>16368*1000</f>
        <v>16368000</v>
      </c>
      <c r="K48" s="931">
        <f>15840*1000</f>
        <v>15840000</v>
      </c>
      <c r="L48" s="931">
        <f>16368*1000</f>
        <v>16368000</v>
      </c>
      <c r="M48" s="932">
        <f>16368*1000</f>
        <v>16368000</v>
      </c>
      <c r="N48" s="932">
        <f>15840*1000</f>
        <v>15840000</v>
      </c>
      <c r="O48" s="932">
        <f>16368*1000</f>
        <v>16368000</v>
      </c>
      <c r="P48" s="932"/>
      <c r="Q48" s="931">
        <f>16368*1000</f>
        <v>16368000</v>
      </c>
      <c r="R48" s="893"/>
      <c r="S48" s="893"/>
      <c r="T48" s="893"/>
      <c r="U48" s="893"/>
      <c r="V48" s="893"/>
      <c r="W48" s="893"/>
      <c r="X48" s="893"/>
      <c r="Y48" s="893"/>
      <c r="Z48" s="893"/>
      <c r="AA48" s="893"/>
      <c r="AB48" s="893"/>
      <c r="AC48" s="893"/>
      <c r="AD48" s="893"/>
      <c r="AE48" s="893"/>
    </row>
    <row r="49" spans="2:31" ht="15.6">
      <c r="B49" s="893"/>
      <c r="C49" s="933" t="s">
        <v>1090</v>
      </c>
      <c r="D49" s="933" t="s">
        <v>990</v>
      </c>
      <c r="E49" s="933" t="s">
        <v>208</v>
      </c>
      <c r="F49" s="893"/>
      <c r="G49" s="893"/>
      <c r="H49" s="893"/>
      <c r="I49" s="893"/>
      <c r="J49" s="893"/>
      <c r="K49" s="893"/>
      <c r="L49" s="893"/>
      <c r="M49" s="899"/>
      <c r="N49" s="899"/>
      <c r="O49" s="901">
        <f>O40-E59</f>
        <v>-1117260.8799999361</v>
      </c>
      <c r="P49" s="899"/>
      <c r="Q49" s="22">
        <f>P49*1000</f>
        <v>0</v>
      </c>
      <c r="R49" s="893"/>
      <c r="S49" s="893"/>
      <c r="T49" s="893"/>
      <c r="U49" s="893"/>
      <c r="V49" s="893"/>
      <c r="W49" s="893"/>
      <c r="X49" s="893"/>
      <c r="Y49" s="893"/>
      <c r="Z49" s="893"/>
      <c r="AA49" s="893"/>
      <c r="AB49" s="893"/>
      <c r="AC49" s="893"/>
      <c r="AD49" s="893"/>
      <c r="AE49" s="893"/>
    </row>
    <row r="50" spans="2:31">
      <c r="B50" s="893"/>
      <c r="C50" s="934" t="s">
        <v>1091</v>
      </c>
      <c r="D50" s="934">
        <v>325.41000000000003</v>
      </c>
      <c r="E50" s="935" t="e">
        <f>((D50*24*30)/1000)/O38</f>
        <v>#DIV/0!</v>
      </c>
      <c r="O50" s="936">
        <v>727.76975999993738</v>
      </c>
      <c r="P50" s="899"/>
      <c r="Q50" s="893"/>
      <c r="R50" s="893"/>
      <c r="S50" s="893"/>
      <c r="T50" s="893"/>
      <c r="U50" s="893"/>
      <c r="V50" s="893"/>
      <c r="W50" s="893"/>
      <c r="X50" s="893"/>
      <c r="Y50" s="893"/>
      <c r="Z50" s="893"/>
      <c r="AA50" s="893"/>
      <c r="AB50" s="893"/>
      <c r="AC50" s="893"/>
      <c r="AD50" s="893"/>
      <c r="AE50" s="893"/>
    </row>
    <row r="51" spans="2:31">
      <c r="B51" s="893"/>
      <c r="C51" s="2425" t="s">
        <v>1092</v>
      </c>
      <c r="D51" s="934">
        <f>25*90</f>
        <v>2250</v>
      </c>
      <c r="E51" s="937"/>
      <c r="O51" s="938">
        <v>7.0497599999373506</v>
      </c>
      <c r="P51" s="899"/>
      <c r="Q51" s="893"/>
      <c r="R51" s="893"/>
      <c r="S51" s="893"/>
      <c r="T51" s="893"/>
      <c r="U51" s="893"/>
      <c r="V51" s="893"/>
      <c r="W51" s="893"/>
      <c r="X51" s="893"/>
      <c r="Y51" s="893"/>
      <c r="Z51" s="893"/>
      <c r="AA51" s="893"/>
      <c r="AB51" s="893"/>
      <c r="AC51" s="893"/>
      <c r="AD51" s="893"/>
      <c r="AE51" s="893"/>
    </row>
    <row r="52" spans="2:31">
      <c r="B52" s="893"/>
      <c r="C52" s="2425"/>
      <c r="D52" s="939"/>
      <c r="E52" s="937"/>
      <c r="O52" s="899">
        <v>7.0497599999362137</v>
      </c>
      <c r="P52" s="899"/>
      <c r="Q52" s="893"/>
      <c r="R52" s="893"/>
      <c r="S52" s="893"/>
      <c r="T52" s="893"/>
      <c r="U52" s="893"/>
      <c r="V52" s="893"/>
      <c r="W52" s="893"/>
      <c r="X52" s="893"/>
      <c r="Y52" s="893"/>
      <c r="Z52" s="893"/>
      <c r="AA52" s="893"/>
      <c r="AB52" s="893"/>
      <c r="AC52" s="893"/>
      <c r="AD52" s="893"/>
      <c r="AE52" s="893"/>
    </row>
    <row r="53" spans="2:31">
      <c r="B53" s="893"/>
      <c r="C53" s="934" t="s">
        <v>1093</v>
      </c>
      <c r="D53" s="940">
        <f>280*230.2</f>
        <v>64456</v>
      </c>
      <c r="E53" s="937"/>
      <c r="O53" s="899"/>
      <c r="P53" s="893"/>
      <c r="Q53" s="893" t="s">
        <v>1074</v>
      </c>
      <c r="R53" s="893" t="s">
        <v>1076</v>
      </c>
      <c r="S53" s="893" t="s">
        <v>1078</v>
      </c>
      <c r="T53" s="893" t="s">
        <v>1080</v>
      </c>
      <c r="U53" s="893" t="s">
        <v>995</v>
      </c>
      <c r="V53" s="893" t="s">
        <v>1083</v>
      </c>
      <c r="W53" s="893" t="s">
        <v>1068</v>
      </c>
      <c r="X53" s="893"/>
      <c r="Y53" s="893"/>
      <c r="Z53" s="893"/>
      <c r="AA53" s="893"/>
      <c r="AB53" s="893"/>
      <c r="AC53" s="893"/>
      <c r="AD53" s="893"/>
      <c r="AE53" s="893"/>
    </row>
    <row r="54" spans="2:31">
      <c r="B54" s="893"/>
      <c r="C54" s="941" t="s">
        <v>1094</v>
      </c>
      <c r="D54" s="942"/>
      <c r="E54" s="943"/>
      <c r="O54" s="899"/>
      <c r="P54" s="893"/>
      <c r="Q54" s="893"/>
      <c r="R54" s="893"/>
      <c r="S54" s="893"/>
      <c r="T54" s="893"/>
      <c r="U54" s="893"/>
      <c r="V54" s="893"/>
      <c r="W54" s="893"/>
      <c r="X54" s="893"/>
      <c r="Y54" s="893"/>
      <c r="Z54" s="893"/>
      <c r="AA54" s="893"/>
      <c r="AB54" s="893"/>
      <c r="AC54" s="893"/>
      <c r="AD54" s="893"/>
      <c r="AE54" s="893"/>
    </row>
    <row r="55" spans="2:31">
      <c r="B55" s="893"/>
      <c r="C55" s="934" t="s">
        <v>1095</v>
      </c>
      <c r="D55" s="940">
        <f>300*30*24</f>
        <v>216000</v>
      </c>
      <c r="E55" s="937">
        <f>D55/1000</f>
        <v>216</v>
      </c>
      <c r="O55" s="893">
        <v>1382.9532454545231</v>
      </c>
      <c r="P55" s="893">
        <v>96.342345454548934</v>
      </c>
      <c r="Q55" s="893">
        <v>88.977145454548705</v>
      </c>
      <c r="R55" s="893">
        <v>4407.9702454545713</v>
      </c>
      <c r="S55" s="893">
        <v>115.42324545454852</v>
      </c>
      <c r="T55" s="893">
        <v>126.76754545454855</v>
      </c>
      <c r="U55" s="893">
        <v>362.600000000004</v>
      </c>
      <c r="V55" s="893">
        <v>175.45324545454855</v>
      </c>
      <c r="W55" s="893">
        <v>83.453245454548536</v>
      </c>
      <c r="X55" s="893"/>
      <c r="Y55" s="893"/>
      <c r="Z55" s="893"/>
      <c r="AA55" s="893"/>
      <c r="AB55" s="893"/>
      <c r="AC55" s="893"/>
      <c r="AD55" s="893"/>
      <c r="AE55" s="893"/>
    </row>
    <row r="56" spans="2:31">
      <c r="B56" s="893"/>
      <c r="C56" s="934" t="s">
        <v>1096</v>
      </c>
      <c r="D56" s="934">
        <f>250*12*30</f>
        <v>90000</v>
      </c>
      <c r="E56" s="937">
        <f>D56/1000</f>
        <v>90</v>
      </c>
      <c r="F56" s="387">
        <v>217806.57054125745</v>
      </c>
      <c r="G56" s="387">
        <f>F56/31</f>
        <v>7026.0184045566921</v>
      </c>
      <c r="H56" s="387">
        <f>G56*25</f>
        <v>175650.4601139173</v>
      </c>
      <c r="I56" s="387"/>
      <c r="J56" s="893"/>
      <c r="K56" s="893"/>
      <c r="L56" s="893"/>
      <c r="M56" s="893"/>
      <c r="N56" s="893"/>
      <c r="O56" s="893"/>
      <c r="P56" s="893"/>
      <c r="Q56" s="893"/>
      <c r="R56" s="893"/>
      <c r="S56" s="893"/>
      <c r="T56" s="893"/>
      <c r="U56" s="893"/>
      <c r="V56" s="893"/>
      <c r="W56" s="893"/>
      <c r="X56" s="893"/>
      <c r="Y56" s="893"/>
      <c r="Z56" s="893"/>
      <c r="AA56" s="893"/>
      <c r="AB56" s="893"/>
      <c r="AC56" s="893"/>
      <c r="AD56" s="893"/>
      <c r="AE56" s="893"/>
    </row>
    <row r="57" spans="2:31">
      <c r="B57" s="893"/>
      <c r="C57" s="934" t="s">
        <v>1097</v>
      </c>
      <c r="D57" s="934">
        <f>296*30*24</f>
        <v>213120</v>
      </c>
      <c r="E57" s="944">
        <f>D57/1000</f>
        <v>213.12</v>
      </c>
      <c r="F57" s="387"/>
      <c r="G57" s="387"/>
      <c r="H57" s="387"/>
      <c r="I57" s="387"/>
      <c r="J57" s="893"/>
      <c r="K57" s="893"/>
      <c r="L57" s="893"/>
      <c r="M57" s="893"/>
      <c r="N57" s="893"/>
      <c r="O57" s="893"/>
      <c r="P57" s="893"/>
      <c r="Q57" s="893"/>
      <c r="R57" s="893"/>
      <c r="S57" s="893"/>
      <c r="T57" s="893"/>
      <c r="U57" s="893"/>
      <c r="V57" s="893"/>
      <c r="W57" s="893"/>
      <c r="X57" s="893"/>
      <c r="Y57" s="893"/>
      <c r="Z57" s="893"/>
      <c r="AA57" s="893"/>
      <c r="AB57" s="893"/>
      <c r="AC57" s="893"/>
      <c r="AD57" s="893"/>
      <c r="AE57" s="893"/>
    </row>
    <row r="58" spans="2:31">
      <c r="B58" s="893"/>
      <c r="C58" s="934" t="s">
        <v>1098</v>
      </c>
      <c r="D58" s="934">
        <f>280*30*24</f>
        <v>201600</v>
      </c>
      <c r="E58" s="937">
        <f>D58/1000</f>
        <v>201.6</v>
      </c>
      <c r="F58" s="387"/>
      <c r="G58" s="387"/>
      <c r="H58" s="387"/>
      <c r="I58" s="387"/>
      <c r="J58" s="893"/>
      <c r="K58" s="893"/>
      <c r="L58" s="893"/>
      <c r="M58" s="893"/>
      <c r="N58" s="893"/>
      <c r="O58" s="893"/>
      <c r="P58" s="893"/>
      <c r="Q58" s="893"/>
      <c r="R58" s="893"/>
      <c r="S58" s="893"/>
      <c r="T58" s="893"/>
      <c r="U58" s="893"/>
      <c r="V58" s="893"/>
      <c r="W58" s="893"/>
      <c r="X58" s="893"/>
      <c r="Y58" s="893"/>
      <c r="Z58" s="893"/>
      <c r="AA58" s="893"/>
      <c r="AB58" s="893"/>
      <c r="AC58" s="893"/>
      <c r="AD58" s="893"/>
      <c r="AE58" s="893"/>
    </row>
    <row r="59" spans="2:31">
      <c r="B59" s="893"/>
      <c r="C59" s="945" t="s">
        <v>1099</v>
      </c>
      <c r="D59" s="945"/>
      <c r="E59" s="945">
        <f>SUM(E55:E58)</f>
        <v>720.72</v>
      </c>
      <c r="F59" s="387">
        <v>22000</v>
      </c>
      <c r="G59" s="387">
        <f>F59/31</f>
        <v>709.67741935483866</v>
      </c>
      <c r="H59" s="387">
        <f>G59*25</f>
        <v>17741.935483870966</v>
      </c>
      <c r="I59" s="387"/>
      <c r="J59" s="893"/>
      <c r="K59" s="893"/>
      <c r="L59" s="893"/>
      <c r="M59" s="893"/>
      <c r="N59" s="893"/>
      <c r="O59" s="893"/>
      <c r="P59" s="893"/>
      <c r="Q59" s="893"/>
      <c r="R59" s="893"/>
      <c r="S59" s="893"/>
      <c r="T59" s="893"/>
      <c r="U59" s="893"/>
      <c r="V59" s="893"/>
      <c r="W59" s="893"/>
      <c r="X59" s="893"/>
      <c r="Y59" s="893"/>
      <c r="Z59" s="893"/>
      <c r="AA59" s="893"/>
      <c r="AB59" s="893"/>
      <c r="AC59" s="893"/>
      <c r="AD59" s="893"/>
      <c r="AE59" s="893"/>
    </row>
    <row r="60" spans="2:31">
      <c r="B60" s="893"/>
      <c r="C60" s="946"/>
      <c r="D60" s="946"/>
      <c r="E60" s="947"/>
      <c r="F60" s="387">
        <v>75000</v>
      </c>
      <c r="G60" s="387">
        <f>F60/31</f>
        <v>2419.3548387096776</v>
      </c>
      <c r="H60" s="387">
        <f>G60*25</f>
        <v>60483.870967741939</v>
      </c>
      <c r="I60" s="387"/>
      <c r="J60" s="893"/>
      <c r="K60" s="893"/>
      <c r="L60" s="893"/>
      <c r="M60" s="893"/>
      <c r="N60" s="893"/>
      <c r="O60" s="893"/>
      <c r="P60" s="893"/>
      <c r="Q60" s="893"/>
      <c r="R60" s="893"/>
      <c r="S60" s="893"/>
      <c r="T60" s="893"/>
      <c r="U60" s="893"/>
      <c r="V60" s="893"/>
      <c r="W60" s="893"/>
      <c r="X60" s="893"/>
      <c r="Y60" s="893"/>
      <c r="Z60" s="893"/>
      <c r="AA60" s="893"/>
      <c r="AB60" s="893"/>
      <c r="AC60" s="893"/>
      <c r="AD60" s="893"/>
      <c r="AE60" s="893"/>
    </row>
    <row r="61" spans="2:31" s="732" customFormat="1">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row>
    <row r="62" spans="2:31" s="732" customFormat="1">
      <c r="B62" s="22"/>
      <c r="C62" s="22" t="s">
        <v>1100</v>
      </c>
      <c r="D62" s="948">
        <v>32</v>
      </c>
      <c r="E62" s="22"/>
      <c r="F62" s="22"/>
      <c r="G62" s="22"/>
      <c r="H62" s="22"/>
      <c r="I62" s="22"/>
      <c r="J62" s="22"/>
      <c r="K62" s="22"/>
      <c r="L62" s="22"/>
      <c r="M62" s="22"/>
      <c r="N62" s="22"/>
      <c r="O62" s="22">
        <v>13448</v>
      </c>
      <c r="P62" s="22"/>
      <c r="Q62" s="22"/>
      <c r="R62" s="22"/>
      <c r="S62" s="22"/>
      <c r="T62" s="22"/>
      <c r="U62" s="22"/>
      <c r="V62" s="22"/>
      <c r="W62" s="22"/>
      <c r="X62" s="22"/>
      <c r="Y62" s="22"/>
      <c r="Z62" s="22"/>
      <c r="AA62" s="22"/>
      <c r="AB62" s="22"/>
      <c r="AC62" s="22"/>
      <c r="AD62" s="22"/>
      <c r="AE62" s="22"/>
    </row>
    <row r="63" spans="2:31" s="732" customFormat="1">
      <c r="B63" s="22"/>
      <c r="C63" s="22" t="s">
        <v>1101</v>
      </c>
      <c r="D63" s="948">
        <v>16</v>
      </c>
      <c r="E63" s="608">
        <f>(M20/24/30/D63)*1000</f>
        <v>1033.3333333333335</v>
      </c>
      <c r="F63" s="22"/>
      <c r="G63" s="22"/>
      <c r="H63" s="22"/>
      <c r="I63" s="22"/>
      <c r="J63" s="22"/>
      <c r="K63" s="22"/>
      <c r="L63" s="22"/>
      <c r="M63" s="949">
        <f>M24/(M24+M25)</f>
        <v>0.67</v>
      </c>
      <c r="N63" s="22"/>
      <c r="O63" s="22">
        <f>O62*M63</f>
        <v>9010.16</v>
      </c>
      <c r="P63" s="22"/>
      <c r="Q63" s="22"/>
      <c r="R63" s="22"/>
      <c r="S63" s="22"/>
      <c r="T63" s="22"/>
      <c r="U63" s="22"/>
      <c r="V63" s="22"/>
      <c r="W63" s="22"/>
      <c r="X63" s="22"/>
      <c r="Y63" s="22"/>
      <c r="Z63" s="22"/>
      <c r="AA63" s="22"/>
      <c r="AB63" s="22"/>
      <c r="AC63" s="22"/>
      <c r="AD63" s="22"/>
      <c r="AE63" s="22"/>
    </row>
    <row r="64" spans="2:31" s="732" customFormat="1">
      <c r="B64" s="22"/>
      <c r="C64" s="22" t="s">
        <v>1102</v>
      </c>
      <c r="D64" s="948">
        <f>D62-D63</f>
        <v>16</v>
      </c>
      <c r="E64" s="608">
        <f>(M21/24/30/D64)*1000</f>
        <v>1033.3333333333335</v>
      </c>
      <c r="F64" s="22"/>
      <c r="G64" s="22"/>
      <c r="H64" s="22"/>
      <c r="I64" s="22"/>
      <c r="J64" s="22"/>
      <c r="K64" s="22"/>
      <c r="L64" s="22"/>
      <c r="M64" s="949">
        <f>M25/(M24+M25)</f>
        <v>0.33</v>
      </c>
      <c r="N64" s="22"/>
      <c r="O64" s="22">
        <f>O62*M64</f>
        <v>4437.84</v>
      </c>
      <c r="P64" s="22"/>
      <c r="Q64" s="22"/>
      <c r="R64" s="22"/>
      <c r="S64" s="22"/>
      <c r="T64" s="22"/>
      <c r="U64" s="22"/>
      <c r="V64" s="22"/>
      <c r="W64" s="22"/>
      <c r="X64" s="22"/>
      <c r="Y64" s="22"/>
      <c r="Z64" s="22"/>
      <c r="AA64" s="22"/>
      <c r="AB64" s="22"/>
      <c r="AC64" s="22"/>
      <c r="AD64" s="22"/>
      <c r="AE64" s="22"/>
    </row>
    <row r="65" spans="2:31" s="732" customFormat="1">
      <c r="B65" s="22"/>
      <c r="C65" s="22"/>
      <c r="D65" s="948"/>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row>
    <row r="66" spans="2:31" s="732" customFormat="1">
      <c r="B66" s="22"/>
      <c r="C66" s="22" t="s">
        <v>1103</v>
      </c>
      <c r="D66" s="948">
        <f>SUM(D67:D68)</f>
        <v>15</v>
      </c>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row>
    <row r="67" spans="2:31" s="732" customFormat="1">
      <c r="B67" s="22"/>
      <c r="C67" s="22" t="s">
        <v>1101</v>
      </c>
      <c r="D67" s="948">
        <v>8</v>
      </c>
      <c r="E67" s="608">
        <f>(M22/24/30/D67)*1000</f>
        <v>1033.3333333333335</v>
      </c>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row>
    <row r="68" spans="2:31" s="732" customFormat="1">
      <c r="B68" s="22"/>
      <c r="C68" s="22" t="s">
        <v>1102</v>
      </c>
      <c r="D68" s="948">
        <v>7</v>
      </c>
      <c r="E68" s="608">
        <f>(M23/24/30/D68)*1000</f>
        <v>1033.3333333333335</v>
      </c>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row>
    <row r="69" spans="2:31" s="732" customFormat="1">
      <c r="B69" s="22"/>
      <c r="C69" s="22"/>
      <c r="D69" s="948"/>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row>
    <row r="70" spans="2:31" s="732" customFormat="1" ht="15" thickBot="1">
      <c r="B70" s="22"/>
      <c r="C70" s="22"/>
      <c r="D70" s="22">
        <v>1000</v>
      </c>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row>
    <row r="71" spans="2:31" ht="15.6" thickTop="1" thickBot="1">
      <c r="B71" s="893"/>
      <c r="C71" s="950">
        <v>1</v>
      </c>
      <c r="D71" s="951" t="s">
        <v>1104</v>
      </c>
      <c r="E71" s="951" t="s">
        <v>1105</v>
      </c>
      <c r="F71" s="893"/>
      <c r="G71" s="893"/>
      <c r="H71" s="893"/>
      <c r="I71" s="893"/>
      <c r="J71" s="893"/>
      <c r="K71" s="893"/>
      <c r="L71" s="893"/>
      <c r="M71" s="893"/>
      <c r="N71" s="893"/>
      <c r="O71" s="893"/>
      <c r="P71" s="893"/>
      <c r="Q71" s="893"/>
      <c r="R71" s="893"/>
      <c r="S71" s="893"/>
      <c r="T71" s="893"/>
      <c r="U71" s="893"/>
      <c r="V71" s="893"/>
      <c r="W71" s="893"/>
      <c r="X71" s="893"/>
      <c r="Y71" s="893"/>
      <c r="Z71" s="893"/>
      <c r="AA71" s="893"/>
      <c r="AB71" s="893"/>
      <c r="AC71" s="893"/>
      <c r="AD71" s="893"/>
      <c r="AE71" s="893"/>
    </row>
    <row r="72" spans="2:31" ht="15.6" thickTop="1" thickBot="1">
      <c r="B72" s="893"/>
      <c r="C72" s="950">
        <v>0</v>
      </c>
      <c r="D72" s="951" t="s">
        <v>1106</v>
      </c>
      <c r="E72" s="951" t="s">
        <v>1105</v>
      </c>
      <c r="F72" s="893"/>
      <c r="G72" s="893"/>
      <c r="H72" s="893"/>
      <c r="I72" s="893"/>
      <c r="J72" s="893"/>
      <c r="K72" s="893"/>
      <c r="L72" s="893"/>
      <c r="M72" s="893"/>
      <c r="N72" s="893"/>
      <c r="O72" s="893"/>
      <c r="P72" s="893"/>
      <c r="Q72" s="893"/>
      <c r="R72" s="893"/>
      <c r="S72" s="893"/>
      <c r="T72" s="893"/>
      <c r="U72" s="893"/>
      <c r="V72" s="893"/>
      <c r="W72" s="893"/>
      <c r="X72" s="893"/>
      <c r="Y72" s="893"/>
      <c r="Z72" s="893"/>
      <c r="AA72" s="893"/>
      <c r="AB72" s="893"/>
      <c r="AC72" s="893"/>
      <c r="AD72" s="893"/>
      <c r="AE72" s="893"/>
    </row>
    <row r="73" spans="2:31" ht="15.6" thickTop="1" thickBot="1">
      <c r="B73" s="893"/>
      <c r="C73" s="950">
        <v>1</v>
      </c>
      <c r="D73" s="951" t="s">
        <v>1104</v>
      </c>
      <c r="E73" s="951" t="s">
        <v>1107</v>
      </c>
      <c r="F73" s="893"/>
      <c r="G73" s="893"/>
      <c r="H73" s="893"/>
      <c r="I73" s="893"/>
      <c r="J73" s="893"/>
      <c r="K73" s="893"/>
      <c r="L73" s="893"/>
      <c r="M73" s="893"/>
      <c r="N73" s="893"/>
      <c r="O73" s="893"/>
      <c r="P73" s="893"/>
      <c r="Q73" s="893"/>
      <c r="R73" s="893"/>
      <c r="S73" s="893"/>
      <c r="T73" s="893"/>
      <c r="U73" s="893"/>
      <c r="V73" s="893"/>
      <c r="W73" s="893"/>
      <c r="X73" s="893"/>
      <c r="Y73" s="893"/>
      <c r="Z73" s="893"/>
      <c r="AA73" s="893"/>
      <c r="AB73" s="893"/>
      <c r="AC73" s="893"/>
      <c r="AD73" s="893"/>
      <c r="AE73" s="893"/>
    </row>
    <row r="74" spans="2:31" ht="15.6" thickTop="1" thickBot="1">
      <c r="B74" s="893"/>
      <c r="C74" s="950">
        <v>0</v>
      </c>
      <c r="D74" s="951" t="s">
        <v>1106</v>
      </c>
      <c r="E74" s="951" t="s">
        <v>1107</v>
      </c>
      <c r="F74" s="893"/>
      <c r="G74" s="893"/>
      <c r="H74" s="893"/>
      <c r="I74" s="893"/>
      <c r="J74" s="893"/>
      <c r="K74" s="893"/>
      <c r="L74" s="893"/>
      <c r="M74" s="893"/>
      <c r="N74" s="893"/>
      <c r="O74" s="893"/>
      <c r="P74" s="893"/>
      <c r="Q74" s="893"/>
      <c r="R74" s="893"/>
      <c r="S74" s="893"/>
      <c r="T74" s="893"/>
      <c r="U74" s="893"/>
      <c r="V74" s="893"/>
      <c r="W74" s="893"/>
      <c r="X74" s="893"/>
      <c r="Y74" s="893"/>
      <c r="Z74" s="893"/>
      <c r="AA74" s="893"/>
      <c r="AB74" s="893"/>
      <c r="AC74" s="893"/>
      <c r="AD74" s="893"/>
      <c r="AE74" s="893"/>
    </row>
    <row r="75" spans="2:31" ht="15" thickTop="1">
      <c r="B75" s="893"/>
      <c r="C75" s="893"/>
      <c r="D75" s="893"/>
      <c r="E75" s="893"/>
      <c r="F75" s="893"/>
      <c r="G75" s="893"/>
      <c r="H75" s="893"/>
      <c r="I75" s="893"/>
      <c r="J75" s="893"/>
      <c r="K75" s="893"/>
      <c r="L75" s="893"/>
      <c r="M75" s="893"/>
      <c r="N75" s="893"/>
      <c r="O75" s="893"/>
      <c r="P75" s="893"/>
      <c r="Q75" s="893"/>
      <c r="R75" s="893"/>
      <c r="S75" s="893"/>
      <c r="T75" s="893"/>
      <c r="U75" s="893"/>
      <c r="V75" s="893"/>
      <c r="W75" s="893"/>
      <c r="X75" s="893"/>
      <c r="Y75" s="893"/>
      <c r="Z75" s="893"/>
      <c r="AA75" s="893"/>
      <c r="AB75" s="893"/>
      <c r="AC75" s="893"/>
      <c r="AD75" s="893"/>
      <c r="AE75" s="893"/>
    </row>
    <row r="76" spans="2:31">
      <c r="B76" s="893"/>
      <c r="C76" s="893"/>
      <c r="D76" s="951" t="s">
        <v>1104</v>
      </c>
      <c r="E76" s="951" t="s">
        <v>1108</v>
      </c>
      <c r="F76" s="951"/>
      <c r="G76" s="951"/>
      <c r="H76" s="951"/>
      <c r="I76" s="951"/>
      <c r="J76" s="951"/>
      <c r="K76" s="951"/>
      <c r="L76" s="952">
        <v>82</v>
      </c>
      <c r="M76" s="951" t="s">
        <v>990</v>
      </c>
      <c r="N76" s="953">
        <f>L76/1000</f>
        <v>8.2000000000000003E-2</v>
      </c>
      <c r="O76" s="893"/>
      <c r="P76" s="893"/>
      <c r="Q76" s="893"/>
      <c r="R76" s="893"/>
      <c r="S76" s="893"/>
      <c r="T76" s="893"/>
      <c r="U76" s="893"/>
      <c r="V76" s="893"/>
      <c r="W76" s="893"/>
      <c r="X76" s="893"/>
      <c r="Y76" s="893"/>
      <c r="Z76" s="893"/>
      <c r="AA76" s="893"/>
      <c r="AB76" s="893"/>
      <c r="AC76" s="893"/>
      <c r="AD76" s="893"/>
      <c r="AE76" s="893"/>
    </row>
    <row r="77" spans="2:31">
      <c r="B77" s="893"/>
      <c r="C77" s="893"/>
      <c r="D77" s="951" t="s">
        <v>1106</v>
      </c>
      <c r="E77" s="951" t="s">
        <v>1108</v>
      </c>
      <c r="F77" s="954">
        <v>4940034.1145070195</v>
      </c>
      <c r="G77" s="954">
        <f>F77/31</f>
        <v>159355.93917764578</v>
      </c>
      <c r="H77" s="954">
        <f>G77*25</f>
        <v>3983898.4794411445</v>
      </c>
      <c r="I77" s="954"/>
      <c r="J77" s="951"/>
      <c r="K77" s="951"/>
      <c r="L77" s="952">
        <v>92</v>
      </c>
      <c r="M77" s="951" t="s">
        <v>990</v>
      </c>
      <c r="N77" s="953">
        <f>L77/1000</f>
        <v>9.1999999999999998E-2</v>
      </c>
      <c r="O77" s="893"/>
      <c r="P77" s="893"/>
      <c r="Q77" s="893"/>
      <c r="R77" s="893"/>
      <c r="S77" s="893"/>
      <c r="T77" s="893"/>
      <c r="U77" s="893"/>
      <c r="V77" s="893"/>
      <c r="W77" s="893"/>
      <c r="X77" s="893"/>
      <c r="Y77" s="893"/>
      <c r="Z77" s="893"/>
      <c r="AA77" s="893"/>
      <c r="AB77" s="893"/>
      <c r="AC77" s="893"/>
      <c r="AD77" s="893"/>
      <c r="AE77" s="893"/>
    </row>
    <row r="78" spans="2:31">
      <c r="B78" s="893"/>
      <c r="C78" s="893"/>
      <c r="D78" s="951" t="s">
        <v>1109</v>
      </c>
      <c r="E78" s="951" t="s">
        <v>1110</v>
      </c>
      <c r="F78" s="954">
        <v>689028.56471014419</v>
      </c>
      <c r="G78" s="954">
        <f>F78/31</f>
        <v>22226.727893875617</v>
      </c>
      <c r="H78" s="954">
        <f>G78*25</f>
        <v>555668.19734689046</v>
      </c>
      <c r="I78" s="954"/>
      <c r="J78" s="951"/>
      <c r="K78" s="951"/>
      <c r="L78" s="955">
        <v>27.6</v>
      </c>
      <c r="M78" s="951" t="s">
        <v>990</v>
      </c>
      <c r="N78" s="953">
        <f>L78/1000</f>
        <v>2.7600000000000003E-2</v>
      </c>
      <c r="O78" s="893"/>
      <c r="P78" s="893"/>
      <c r="Q78" s="893"/>
      <c r="R78" s="893"/>
      <c r="S78" s="893"/>
      <c r="T78" s="893"/>
      <c r="U78" s="893"/>
      <c r="V78" s="893"/>
      <c r="W78" s="893"/>
      <c r="X78" s="893"/>
      <c r="Y78" s="893"/>
      <c r="Z78" s="893"/>
      <c r="AA78" s="893"/>
      <c r="AB78" s="893"/>
      <c r="AC78" s="893"/>
      <c r="AD78" s="893"/>
      <c r="AE78" s="893"/>
    </row>
    <row r="79" spans="2:31">
      <c r="B79" s="893"/>
      <c r="C79" s="893"/>
      <c r="D79" s="951" t="s">
        <v>1104</v>
      </c>
      <c r="E79" s="951" t="s">
        <v>1111</v>
      </c>
      <c r="F79" s="954">
        <v>8576372.7450281158</v>
      </c>
      <c r="G79" s="954">
        <f>F79/31</f>
        <v>276657.18532348762</v>
      </c>
      <c r="H79" s="954">
        <f>G79*25</f>
        <v>6916429.6330871908</v>
      </c>
      <c r="I79" s="954"/>
      <c r="J79" s="951"/>
      <c r="K79" s="951"/>
      <c r="L79" s="951">
        <v>1878</v>
      </c>
      <c r="M79" s="951" t="s">
        <v>990</v>
      </c>
      <c r="N79" s="953">
        <f>L79/1000</f>
        <v>1.8779999999999999</v>
      </c>
      <c r="O79" s="893"/>
      <c r="P79" s="893"/>
      <c r="Q79" s="893"/>
      <c r="R79" s="893"/>
      <c r="S79" s="893"/>
      <c r="T79" s="893"/>
      <c r="U79" s="893"/>
      <c r="V79" s="893"/>
      <c r="W79" s="893"/>
      <c r="X79" s="893"/>
      <c r="Y79" s="893"/>
      <c r="Z79" s="893"/>
      <c r="AA79" s="893"/>
      <c r="AB79" s="893"/>
      <c r="AC79" s="893"/>
      <c r="AD79" s="893"/>
      <c r="AE79" s="893"/>
    </row>
    <row r="80" spans="2:31">
      <c r="B80" s="893"/>
      <c r="C80" s="893"/>
      <c r="D80" s="951" t="s">
        <v>1106</v>
      </c>
      <c r="E80" s="951" t="s">
        <v>1111</v>
      </c>
      <c r="F80" s="954">
        <v>1944758.005213463</v>
      </c>
      <c r="G80" s="954">
        <f>F80/31</f>
        <v>62734.12920043429</v>
      </c>
      <c r="H80" s="954">
        <f>G80*25</f>
        <v>1568353.2300108573</v>
      </c>
      <c r="I80" s="954"/>
      <c r="J80" s="951"/>
      <c r="K80" s="951"/>
      <c r="L80" s="951">
        <v>1918</v>
      </c>
      <c r="M80" s="951" t="s">
        <v>990</v>
      </c>
      <c r="N80" s="953">
        <f>L80/1000</f>
        <v>1.9179999999999999</v>
      </c>
      <c r="O80" s="893"/>
      <c r="P80" s="893"/>
      <c r="Q80" s="893"/>
      <c r="R80" s="893"/>
      <c r="S80" s="893"/>
      <c r="T80" s="893"/>
      <c r="U80" s="893"/>
      <c r="V80" s="893"/>
      <c r="W80" s="893"/>
      <c r="X80" s="893"/>
      <c r="Y80" s="893"/>
      <c r="Z80" s="893"/>
      <c r="AA80" s="893"/>
      <c r="AB80" s="893"/>
      <c r="AC80" s="893"/>
      <c r="AD80" s="893"/>
      <c r="AE80" s="893"/>
    </row>
    <row r="81" spans="2:31">
      <c r="B81" s="893"/>
      <c r="C81" s="893"/>
      <c r="D81" s="893"/>
      <c r="E81" s="893"/>
      <c r="F81" s="893"/>
      <c r="G81" s="893"/>
      <c r="H81" s="893"/>
      <c r="I81" s="893"/>
      <c r="J81" s="893"/>
      <c r="K81" s="893"/>
      <c r="L81" s="893"/>
      <c r="M81" s="893"/>
      <c r="N81" s="893"/>
      <c r="O81" s="893"/>
      <c r="P81" s="893"/>
      <c r="Q81" s="893"/>
      <c r="R81" s="893"/>
      <c r="S81" s="893"/>
      <c r="T81" s="893"/>
      <c r="U81" s="893"/>
      <c r="V81" s="893"/>
      <c r="W81" s="893"/>
      <c r="X81" s="893"/>
      <c r="Y81" s="893"/>
      <c r="Z81" s="893"/>
      <c r="AA81" s="893"/>
      <c r="AB81" s="893"/>
      <c r="AC81" s="893"/>
      <c r="AD81" s="893"/>
      <c r="AE81" s="893"/>
    </row>
    <row r="82" spans="2:31" hidden="1">
      <c r="D82" s="956" t="s">
        <v>1112</v>
      </c>
      <c r="E82" s="951" t="s">
        <v>1113</v>
      </c>
      <c r="N82" s="957">
        <v>30</v>
      </c>
      <c r="O82" s="88"/>
      <c r="P82" s="88"/>
      <c r="Q82" s="88"/>
      <c r="R82" s="88"/>
    </row>
    <row r="83" spans="2:31" ht="15.6" hidden="1" thickTop="1" thickBot="1">
      <c r="C83" s="950">
        <v>1</v>
      </c>
      <c r="D83" s="951" t="s">
        <v>1104</v>
      </c>
      <c r="E83" s="951" t="s">
        <v>1114</v>
      </c>
      <c r="N83" s="88">
        <f>IF(C83&gt;0,(L79*C83),0)</f>
        <v>1878</v>
      </c>
    </row>
    <row r="84" spans="2:31" ht="15.6" hidden="1" thickTop="1" thickBot="1">
      <c r="C84" s="950">
        <v>0</v>
      </c>
      <c r="D84" s="951" t="s">
        <v>1106</v>
      </c>
      <c r="E84" s="951" t="s">
        <v>1115</v>
      </c>
      <c r="N84" s="88">
        <f>IF(C84&gt;0,(L80*C84),0)</f>
        <v>0</v>
      </c>
    </row>
    <row r="85" spans="2:31" hidden="1">
      <c r="C85" s="893">
        <v>31.4</v>
      </c>
      <c r="D85" s="951" t="s">
        <v>1104</v>
      </c>
      <c r="E85" s="951" t="s">
        <v>1116</v>
      </c>
      <c r="N85" s="401">
        <f>(N82*24)-N91</f>
        <v>0</v>
      </c>
    </row>
    <row r="86" spans="2:31" hidden="1">
      <c r="C86" s="893"/>
      <c r="D86" s="951" t="s">
        <v>1104</v>
      </c>
      <c r="E86" s="951" t="s">
        <v>1116</v>
      </c>
      <c r="N86" s="401">
        <f>(N82*24)-N92</f>
        <v>0</v>
      </c>
    </row>
    <row r="87" spans="2:31" hidden="1">
      <c r="C87" s="893"/>
      <c r="D87" s="951" t="s">
        <v>1104</v>
      </c>
      <c r="E87" s="951" t="s">
        <v>1117</v>
      </c>
      <c r="N87" s="958">
        <f>L76*N82*24</f>
        <v>59040</v>
      </c>
      <c r="O87">
        <v>1</v>
      </c>
    </row>
    <row r="88" spans="2:31" hidden="1">
      <c r="C88" s="893"/>
      <c r="D88" s="951" t="s">
        <v>1106</v>
      </c>
      <c r="E88" s="951" t="s">
        <v>1117</v>
      </c>
      <c r="N88" s="88">
        <f>L77*N82*24</f>
        <v>66240</v>
      </c>
    </row>
    <row r="89" spans="2:31" hidden="1">
      <c r="D89" s="951" t="s">
        <v>1104</v>
      </c>
      <c r="E89" s="951" t="s">
        <v>1118</v>
      </c>
      <c r="N89" s="401">
        <f>C89*L79</f>
        <v>0</v>
      </c>
      <c r="Q89">
        <f>L79*2</f>
        <v>3756</v>
      </c>
    </row>
    <row r="90" spans="2:31" hidden="1">
      <c r="D90" s="951" t="s">
        <v>1106</v>
      </c>
      <c r="E90" s="951" t="s">
        <v>1118</v>
      </c>
      <c r="N90" s="401">
        <f>C90*L80</f>
        <v>0</v>
      </c>
    </row>
    <row r="91" spans="2:31" hidden="1">
      <c r="D91" s="951" t="s">
        <v>1104</v>
      </c>
      <c r="E91" s="951" t="s">
        <v>1119</v>
      </c>
      <c r="N91" s="958">
        <f>(N82*24)-SUM('[9]ESTADISTICOS MAYO 2017'!E124:E153)</f>
        <v>720</v>
      </c>
    </row>
    <row r="92" spans="2:31" hidden="1">
      <c r="D92" s="951" t="s">
        <v>1106</v>
      </c>
      <c r="E92" s="951" t="s">
        <v>1119</v>
      </c>
      <c r="N92" s="88">
        <f>(N82*24)-SUM('[9]ESTADISTICOS MAYO 2017'!L124:L153)</f>
        <v>720</v>
      </c>
    </row>
    <row r="93" spans="2:31" hidden="1">
      <c r="D93" s="959" t="s">
        <v>1104</v>
      </c>
      <c r="E93" s="959" t="s">
        <v>1120</v>
      </c>
      <c r="L93" t="s">
        <v>1121</v>
      </c>
      <c r="N93" s="88">
        <f>N87-(N91*L76)</f>
        <v>0</v>
      </c>
      <c r="O93">
        <v>2</v>
      </c>
    </row>
    <row r="94" spans="2:31" hidden="1">
      <c r="D94" s="959" t="s">
        <v>1106</v>
      </c>
      <c r="E94" s="959" t="s">
        <v>1120</v>
      </c>
      <c r="L94" t="s">
        <v>1121</v>
      </c>
      <c r="N94" s="88">
        <f>N88-(N92*L77)</f>
        <v>0</v>
      </c>
      <c r="Q94">
        <f>31.4-8</f>
        <v>23.4</v>
      </c>
    </row>
    <row r="95" spans="2:31" hidden="1">
      <c r="D95" s="959" t="s">
        <v>1104</v>
      </c>
      <c r="E95" s="959" t="s">
        <v>1122</v>
      </c>
      <c r="N95" s="958">
        <f>C71*(C73*L79)+(N91-(C73*8))*L78</f>
        <v>21529.200000000001</v>
      </c>
    </row>
    <row r="96" spans="2:31" hidden="1">
      <c r="D96" s="959" t="s">
        <v>1106</v>
      </c>
      <c r="E96" s="959" t="s">
        <v>1122</v>
      </c>
    </row>
    <row r="97" spans="4:15" hidden="1">
      <c r="D97" s="959" t="s">
        <v>1104</v>
      </c>
      <c r="E97" s="959" t="s">
        <v>1123</v>
      </c>
      <c r="N97">
        <f>IF(C71&gt;0,0,(N91*L78))</f>
        <v>0</v>
      </c>
    </row>
    <row r="98" spans="4:15" hidden="1">
      <c r="D98" s="959" t="s">
        <v>1106</v>
      </c>
      <c r="E98" s="959" t="s">
        <v>1123</v>
      </c>
    </row>
    <row r="100" spans="4:15">
      <c r="N100">
        <f>(N87-(N91*L76))+N95</f>
        <v>21529.200000000001</v>
      </c>
      <c r="O100" s="729">
        <f>IF(C71=0,N87,(($L$76*$N$82*24)-(N91*$L$76))+(C71*(C73*$L$79))+((N91-(C73*8))*$L$78))</f>
        <v>21529.200000000001</v>
      </c>
    </row>
    <row r="101" spans="4:15">
      <c r="D101" s="951" t="s">
        <v>1104</v>
      </c>
      <c r="E101" s="951" t="s">
        <v>914</v>
      </c>
      <c r="N101">
        <f>(N87-(N91*L76))+N83+((N91-8)*L78)</f>
        <v>21529.200000000001</v>
      </c>
      <c r="O101">
        <f>IF(C72=0,N88,((($L$77*$N$82*24)-(N92*$L$77))+(C72*(C74*L80))+((N92-(C74*8))*$L$78)))</f>
        <v>66240</v>
      </c>
    </row>
    <row r="102" spans="4:15">
      <c r="D102" s="951" t="s">
        <v>1104</v>
      </c>
      <c r="E102" s="951" t="s">
        <v>914</v>
      </c>
      <c r="N102">
        <f>(N88-(N92*L77))+N84+(N92*L78)</f>
        <v>19872</v>
      </c>
    </row>
    <row r="103" spans="4:15">
      <c r="O103" s="729"/>
    </row>
    <row r="105" spans="4:15">
      <c r="N105">
        <f>N91-8</f>
        <v>712</v>
      </c>
    </row>
    <row r="106" spans="4:15">
      <c r="N106">
        <f>N105*L78</f>
        <v>19651.2</v>
      </c>
    </row>
  </sheetData>
  <mergeCells count="9">
    <mergeCell ref="Y2:AC2"/>
    <mergeCell ref="B2:C2"/>
    <mergeCell ref="D2:X2"/>
    <mergeCell ref="C51:C52"/>
    <mergeCell ref="AE4:AE6"/>
    <mergeCell ref="B24:B25"/>
    <mergeCell ref="C24:C25"/>
    <mergeCell ref="B26:B36"/>
    <mergeCell ref="C26:C36"/>
  </mergeCells>
  <pageMargins left="0.7" right="0.7" top="0.75" bottom="0.75" header="0.3" footer="0.3"/>
  <pageSetup orientation="portrait" r:id="rId1"/>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theme="2" tint="-0.499984740745262"/>
  </sheetPr>
  <dimension ref="B1:Z54"/>
  <sheetViews>
    <sheetView showGridLines="0" zoomScale="80" zoomScaleNormal="80" workbookViewId="0">
      <selection activeCell="Y53" sqref="Y53"/>
    </sheetView>
  </sheetViews>
  <sheetFormatPr baseColWidth="10" defaultColWidth="9.21875" defaultRowHeight="14.4"/>
  <cols>
    <col min="1" max="1" width="4.44140625" customWidth="1"/>
    <col min="2" max="2" width="13.21875" customWidth="1"/>
    <col min="3" max="9" width="14.5546875" customWidth="1"/>
    <col min="10" max="10" width="6" customWidth="1"/>
    <col min="11" max="11" width="6.5546875" customWidth="1"/>
    <col min="12" max="12" width="7" customWidth="1"/>
    <col min="13" max="43" width="6.5546875" customWidth="1"/>
    <col min="266" max="266" width="2.5546875" customWidth="1"/>
    <col min="267" max="267" width="6.5546875" customWidth="1"/>
    <col min="268" max="268" width="7" customWidth="1"/>
    <col min="269" max="299" width="6.5546875" customWidth="1"/>
    <col min="522" max="522" width="2.5546875" customWidth="1"/>
    <col min="523" max="523" width="6.5546875" customWidth="1"/>
    <col min="524" max="524" width="7" customWidth="1"/>
    <col min="525" max="555" width="6.5546875" customWidth="1"/>
    <col min="778" max="778" width="2.5546875" customWidth="1"/>
    <col min="779" max="779" width="6.5546875" customWidth="1"/>
    <col min="780" max="780" width="7" customWidth="1"/>
    <col min="781" max="811" width="6.5546875" customWidth="1"/>
    <col min="1034" max="1034" width="2.5546875" customWidth="1"/>
    <col min="1035" max="1035" width="6.5546875" customWidth="1"/>
    <col min="1036" max="1036" width="7" customWidth="1"/>
    <col min="1037" max="1067" width="6.5546875" customWidth="1"/>
    <col min="1290" max="1290" width="2.5546875" customWidth="1"/>
    <col min="1291" max="1291" width="6.5546875" customWidth="1"/>
    <col min="1292" max="1292" width="7" customWidth="1"/>
    <col min="1293" max="1323" width="6.5546875" customWidth="1"/>
    <col min="1546" max="1546" width="2.5546875" customWidth="1"/>
    <col min="1547" max="1547" width="6.5546875" customWidth="1"/>
    <col min="1548" max="1548" width="7" customWidth="1"/>
    <col min="1549" max="1579" width="6.5546875" customWidth="1"/>
    <col min="1802" max="1802" width="2.5546875" customWidth="1"/>
    <col min="1803" max="1803" width="6.5546875" customWidth="1"/>
    <col min="1804" max="1804" width="7" customWidth="1"/>
    <col min="1805" max="1835" width="6.5546875" customWidth="1"/>
    <col min="2058" max="2058" width="2.5546875" customWidth="1"/>
    <col min="2059" max="2059" width="6.5546875" customWidth="1"/>
    <col min="2060" max="2060" width="7" customWidth="1"/>
    <col min="2061" max="2091" width="6.5546875" customWidth="1"/>
    <col min="2314" max="2314" width="2.5546875" customWidth="1"/>
    <col min="2315" max="2315" width="6.5546875" customWidth="1"/>
    <col min="2316" max="2316" width="7" customWidth="1"/>
    <col min="2317" max="2347" width="6.5546875" customWidth="1"/>
    <col min="2570" max="2570" width="2.5546875" customWidth="1"/>
    <col min="2571" max="2571" width="6.5546875" customWidth="1"/>
    <col min="2572" max="2572" width="7" customWidth="1"/>
    <col min="2573" max="2603" width="6.5546875" customWidth="1"/>
    <col min="2826" max="2826" width="2.5546875" customWidth="1"/>
    <col min="2827" max="2827" width="6.5546875" customWidth="1"/>
    <col min="2828" max="2828" width="7" customWidth="1"/>
    <col min="2829" max="2859" width="6.5546875" customWidth="1"/>
    <col min="3082" max="3082" width="2.5546875" customWidth="1"/>
    <col min="3083" max="3083" width="6.5546875" customWidth="1"/>
    <col min="3084" max="3084" width="7" customWidth="1"/>
    <col min="3085" max="3115" width="6.5546875" customWidth="1"/>
    <col min="3338" max="3338" width="2.5546875" customWidth="1"/>
    <col min="3339" max="3339" width="6.5546875" customWidth="1"/>
    <col min="3340" max="3340" width="7" customWidth="1"/>
    <col min="3341" max="3371" width="6.5546875" customWidth="1"/>
    <col min="3594" max="3594" width="2.5546875" customWidth="1"/>
    <col min="3595" max="3595" width="6.5546875" customWidth="1"/>
    <col min="3596" max="3596" width="7" customWidth="1"/>
    <col min="3597" max="3627" width="6.5546875" customWidth="1"/>
    <col min="3850" max="3850" width="2.5546875" customWidth="1"/>
    <col min="3851" max="3851" width="6.5546875" customWidth="1"/>
    <col min="3852" max="3852" width="7" customWidth="1"/>
    <col min="3853" max="3883" width="6.5546875" customWidth="1"/>
    <col min="4106" max="4106" width="2.5546875" customWidth="1"/>
    <col min="4107" max="4107" width="6.5546875" customWidth="1"/>
    <col min="4108" max="4108" width="7" customWidth="1"/>
    <col min="4109" max="4139" width="6.5546875" customWidth="1"/>
    <col min="4362" max="4362" width="2.5546875" customWidth="1"/>
    <col min="4363" max="4363" width="6.5546875" customWidth="1"/>
    <col min="4364" max="4364" width="7" customWidth="1"/>
    <col min="4365" max="4395" width="6.5546875" customWidth="1"/>
    <col min="4618" max="4618" width="2.5546875" customWidth="1"/>
    <col min="4619" max="4619" width="6.5546875" customWidth="1"/>
    <col min="4620" max="4620" width="7" customWidth="1"/>
    <col min="4621" max="4651" width="6.5546875" customWidth="1"/>
    <col min="4874" max="4874" width="2.5546875" customWidth="1"/>
    <col min="4875" max="4875" width="6.5546875" customWidth="1"/>
    <col min="4876" max="4876" width="7" customWidth="1"/>
    <col min="4877" max="4907" width="6.5546875" customWidth="1"/>
    <col min="5130" max="5130" width="2.5546875" customWidth="1"/>
    <col min="5131" max="5131" width="6.5546875" customWidth="1"/>
    <col min="5132" max="5132" width="7" customWidth="1"/>
    <col min="5133" max="5163" width="6.5546875" customWidth="1"/>
    <col min="5386" max="5386" width="2.5546875" customWidth="1"/>
    <col min="5387" max="5387" width="6.5546875" customWidth="1"/>
    <col min="5388" max="5388" width="7" customWidth="1"/>
    <col min="5389" max="5419" width="6.5546875" customWidth="1"/>
    <col min="5642" max="5642" width="2.5546875" customWidth="1"/>
    <col min="5643" max="5643" width="6.5546875" customWidth="1"/>
    <col min="5644" max="5644" width="7" customWidth="1"/>
    <col min="5645" max="5675" width="6.5546875" customWidth="1"/>
    <col min="5898" max="5898" width="2.5546875" customWidth="1"/>
    <col min="5899" max="5899" width="6.5546875" customWidth="1"/>
    <col min="5900" max="5900" width="7" customWidth="1"/>
    <col min="5901" max="5931" width="6.5546875" customWidth="1"/>
    <col min="6154" max="6154" width="2.5546875" customWidth="1"/>
    <col min="6155" max="6155" width="6.5546875" customWidth="1"/>
    <col min="6156" max="6156" width="7" customWidth="1"/>
    <col min="6157" max="6187" width="6.5546875" customWidth="1"/>
    <col min="6410" max="6410" width="2.5546875" customWidth="1"/>
    <col min="6411" max="6411" width="6.5546875" customWidth="1"/>
    <col min="6412" max="6412" width="7" customWidth="1"/>
    <col min="6413" max="6443" width="6.5546875" customWidth="1"/>
    <col min="6666" max="6666" width="2.5546875" customWidth="1"/>
    <col min="6667" max="6667" width="6.5546875" customWidth="1"/>
    <col min="6668" max="6668" width="7" customWidth="1"/>
    <col min="6669" max="6699" width="6.5546875" customWidth="1"/>
    <col min="6922" max="6922" width="2.5546875" customWidth="1"/>
    <col min="6923" max="6923" width="6.5546875" customWidth="1"/>
    <col min="6924" max="6924" width="7" customWidth="1"/>
    <col min="6925" max="6955" width="6.5546875" customWidth="1"/>
    <col min="7178" max="7178" width="2.5546875" customWidth="1"/>
    <col min="7179" max="7179" width="6.5546875" customWidth="1"/>
    <col min="7180" max="7180" width="7" customWidth="1"/>
    <col min="7181" max="7211" width="6.5546875" customWidth="1"/>
    <col min="7434" max="7434" width="2.5546875" customWidth="1"/>
    <col min="7435" max="7435" width="6.5546875" customWidth="1"/>
    <col min="7436" max="7436" width="7" customWidth="1"/>
    <col min="7437" max="7467" width="6.5546875" customWidth="1"/>
    <col min="7690" max="7690" width="2.5546875" customWidth="1"/>
    <col min="7691" max="7691" width="6.5546875" customWidth="1"/>
    <col min="7692" max="7692" width="7" customWidth="1"/>
    <col min="7693" max="7723" width="6.5546875" customWidth="1"/>
    <col min="7946" max="7946" width="2.5546875" customWidth="1"/>
    <col min="7947" max="7947" width="6.5546875" customWidth="1"/>
    <col min="7948" max="7948" width="7" customWidth="1"/>
    <col min="7949" max="7979" width="6.5546875" customWidth="1"/>
    <col min="8202" max="8202" width="2.5546875" customWidth="1"/>
    <col min="8203" max="8203" width="6.5546875" customWidth="1"/>
    <col min="8204" max="8204" width="7" customWidth="1"/>
    <col min="8205" max="8235" width="6.5546875" customWidth="1"/>
    <col min="8458" max="8458" width="2.5546875" customWidth="1"/>
    <col min="8459" max="8459" width="6.5546875" customWidth="1"/>
    <col min="8460" max="8460" width="7" customWidth="1"/>
    <col min="8461" max="8491" width="6.5546875" customWidth="1"/>
    <col min="8714" max="8714" width="2.5546875" customWidth="1"/>
    <col min="8715" max="8715" width="6.5546875" customWidth="1"/>
    <col min="8716" max="8716" width="7" customWidth="1"/>
    <col min="8717" max="8747" width="6.5546875" customWidth="1"/>
    <col min="8970" max="8970" width="2.5546875" customWidth="1"/>
    <col min="8971" max="8971" width="6.5546875" customWidth="1"/>
    <col min="8972" max="8972" width="7" customWidth="1"/>
    <col min="8973" max="9003" width="6.5546875" customWidth="1"/>
    <col min="9226" max="9226" width="2.5546875" customWidth="1"/>
    <col min="9227" max="9227" width="6.5546875" customWidth="1"/>
    <col min="9228" max="9228" width="7" customWidth="1"/>
    <col min="9229" max="9259" width="6.5546875" customWidth="1"/>
    <col min="9482" max="9482" width="2.5546875" customWidth="1"/>
    <col min="9483" max="9483" width="6.5546875" customWidth="1"/>
    <col min="9484" max="9484" width="7" customWidth="1"/>
    <col min="9485" max="9515" width="6.5546875" customWidth="1"/>
    <col min="9738" max="9738" width="2.5546875" customWidth="1"/>
    <col min="9739" max="9739" width="6.5546875" customWidth="1"/>
    <col min="9740" max="9740" width="7" customWidth="1"/>
    <col min="9741" max="9771" width="6.5546875" customWidth="1"/>
    <col min="9994" max="9994" width="2.5546875" customWidth="1"/>
    <col min="9995" max="9995" width="6.5546875" customWidth="1"/>
    <col min="9996" max="9996" width="7" customWidth="1"/>
    <col min="9997" max="10027" width="6.5546875" customWidth="1"/>
    <col min="10250" max="10250" width="2.5546875" customWidth="1"/>
    <col min="10251" max="10251" width="6.5546875" customWidth="1"/>
    <col min="10252" max="10252" width="7" customWidth="1"/>
    <col min="10253" max="10283" width="6.5546875" customWidth="1"/>
    <col min="10506" max="10506" width="2.5546875" customWidth="1"/>
    <col min="10507" max="10507" width="6.5546875" customWidth="1"/>
    <col min="10508" max="10508" width="7" customWidth="1"/>
    <col min="10509" max="10539" width="6.5546875" customWidth="1"/>
    <col min="10762" max="10762" width="2.5546875" customWidth="1"/>
    <col min="10763" max="10763" width="6.5546875" customWidth="1"/>
    <col min="10764" max="10764" width="7" customWidth="1"/>
    <col min="10765" max="10795" width="6.5546875" customWidth="1"/>
    <col min="11018" max="11018" width="2.5546875" customWidth="1"/>
    <col min="11019" max="11019" width="6.5546875" customWidth="1"/>
    <col min="11020" max="11020" width="7" customWidth="1"/>
    <col min="11021" max="11051" width="6.5546875" customWidth="1"/>
    <col min="11274" max="11274" width="2.5546875" customWidth="1"/>
    <col min="11275" max="11275" width="6.5546875" customWidth="1"/>
    <col min="11276" max="11276" width="7" customWidth="1"/>
    <col min="11277" max="11307" width="6.5546875" customWidth="1"/>
    <col min="11530" max="11530" width="2.5546875" customWidth="1"/>
    <col min="11531" max="11531" width="6.5546875" customWidth="1"/>
    <col min="11532" max="11532" width="7" customWidth="1"/>
    <col min="11533" max="11563" width="6.5546875" customWidth="1"/>
    <col min="11786" max="11786" width="2.5546875" customWidth="1"/>
    <col min="11787" max="11787" width="6.5546875" customWidth="1"/>
    <col min="11788" max="11788" width="7" customWidth="1"/>
    <col min="11789" max="11819" width="6.5546875" customWidth="1"/>
    <col min="12042" max="12042" width="2.5546875" customWidth="1"/>
    <col min="12043" max="12043" width="6.5546875" customWidth="1"/>
    <col min="12044" max="12044" width="7" customWidth="1"/>
    <col min="12045" max="12075" width="6.5546875" customWidth="1"/>
    <col min="12298" max="12298" width="2.5546875" customWidth="1"/>
    <col min="12299" max="12299" width="6.5546875" customWidth="1"/>
    <col min="12300" max="12300" width="7" customWidth="1"/>
    <col min="12301" max="12331" width="6.5546875" customWidth="1"/>
    <col min="12554" max="12554" width="2.5546875" customWidth="1"/>
    <col min="12555" max="12555" width="6.5546875" customWidth="1"/>
    <col min="12556" max="12556" width="7" customWidth="1"/>
    <col min="12557" max="12587" width="6.5546875" customWidth="1"/>
    <col min="12810" max="12810" width="2.5546875" customWidth="1"/>
    <col min="12811" max="12811" width="6.5546875" customWidth="1"/>
    <col min="12812" max="12812" width="7" customWidth="1"/>
    <col min="12813" max="12843" width="6.5546875" customWidth="1"/>
    <col min="13066" max="13066" width="2.5546875" customWidth="1"/>
    <col min="13067" max="13067" width="6.5546875" customWidth="1"/>
    <col min="13068" max="13068" width="7" customWidth="1"/>
    <col min="13069" max="13099" width="6.5546875" customWidth="1"/>
    <col min="13322" max="13322" width="2.5546875" customWidth="1"/>
    <col min="13323" max="13323" width="6.5546875" customWidth="1"/>
    <col min="13324" max="13324" width="7" customWidth="1"/>
    <col min="13325" max="13355" width="6.5546875" customWidth="1"/>
    <col min="13578" max="13578" width="2.5546875" customWidth="1"/>
    <col min="13579" max="13579" width="6.5546875" customWidth="1"/>
    <col min="13580" max="13580" width="7" customWidth="1"/>
    <col min="13581" max="13611" width="6.5546875" customWidth="1"/>
    <col min="13834" max="13834" width="2.5546875" customWidth="1"/>
    <col min="13835" max="13835" width="6.5546875" customWidth="1"/>
    <col min="13836" max="13836" width="7" customWidth="1"/>
    <col min="13837" max="13867" width="6.5546875" customWidth="1"/>
    <col min="14090" max="14090" width="2.5546875" customWidth="1"/>
    <col min="14091" max="14091" width="6.5546875" customWidth="1"/>
    <col min="14092" max="14092" width="7" customWidth="1"/>
    <col min="14093" max="14123" width="6.5546875" customWidth="1"/>
    <col min="14346" max="14346" width="2.5546875" customWidth="1"/>
    <col min="14347" max="14347" width="6.5546875" customWidth="1"/>
    <col min="14348" max="14348" width="7" customWidth="1"/>
    <col min="14349" max="14379" width="6.5546875" customWidth="1"/>
    <col min="14602" max="14602" width="2.5546875" customWidth="1"/>
    <col min="14603" max="14603" width="6.5546875" customWidth="1"/>
    <col min="14604" max="14604" width="7" customWidth="1"/>
    <col min="14605" max="14635" width="6.5546875" customWidth="1"/>
    <col min="14858" max="14858" width="2.5546875" customWidth="1"/>
    <col min="14859" max="14859" width="6.5546875" customWidth="1"/>
    <col min="14860" max="14860" width="7" customWidth="1"/>
    <col min="14861" max="14891" width="6.5546875" customWidth="1"/>
    <col min="15114" max="15114" width="2.5546875" customWidth="1"/>
    <col min="15115" max="15115" width="6.5546875" customWidth="1"/>
    <col min="15116" max="15116" width="7" customWidth="1"/>
    <col min="15117" max="15147" width="6.5546875" customWidth="1"/>
    <col min="15370" max="15370" width="2.5546875" customWidth="1"/>
    <col min="15371" max="15371" width="6.5546875" customWidth="1"/>
    <col min="15372" max="15372" width="7" customWidth="1"/>
    <col min="15373" max="15403" width="6.5546875" customWidth="1"/>
    <col min="15626" max="15626" width="2.5546875" customWidth="1"/>
    <col min="15627" max="15627" width="6.5546875" customWidth="1"/>
    <col min="15628" max="15628" width="7" customWidth="1"/>
    <col min="15629" max="15659" width="6.5546875" customWidth="1"/>
    <col min="15882" max="15882" width="2.5546875" customWidth="1"/>
    <col min="15883" max="15883" width="6.5546875" customWidth="1"/>
    <col min="15884" max="15884" width="7" customWidth="1"/>
    <col min="15885" max="15915" width="6.5546875" customWidth="1"/>
    <col min="16138" max="16138" width="2.5546875" customWidth="1"/>
    <col min="16139" max="16139" width="6.5546875" customWidth="1"/>
    <col min="16140" max="16140" width="7" customWidth="1"/>
    <col min="16141" max="16171" width="6.5546875" customWidth="1"/>
  </cols>
  <sheetData>
    <row r="1" spans="2:26" ht="24.75" customHeight="1"/>
    <row r="2" spans="2:26" ht="20.399999999999999">
      <c r="Q2" s="24"/>
    </row>
    <row r="3" spans="2:26" ht="20.399999999999999">
      <c r="F3" s="24" t="s">
        <v>368</v>
      </c>
      <c r="G3" s="25"/>
      <c r="H3" s="25"/>
      <c r="I3" s="25"/>
      <c r="J3" s="25"/>
      <c r="K3" s="25"/>
      <c r="L3" s="25"/>
      <c r="M3" s="25"/>
      <c r="N3" s="25"/>
      <c r="Q3" s="24"/>
      <c r="R3" s="25"/>
      <c r="S3" s="25"/>
      <c r="T3" s="25"/>
      <c r="U3" s="25"/>
      <c r="V3" s="25"/>
      <c r="W3" s="25"/>
      <c r="X3" s="25"/>
      <c r="Y3" s="25"/>
    </row>
    <row r="4" spans="2:26" ht="20.399999999999999">
      <c r="F4" s="24" t="s">
        <v>369</v>
      </c>
      <c r="K4" s="2066">
        <f>INICIO!D12</f>
        <v>45078</v>
      </c>
      <c r="L4" s="2066"/>
      <c r="M4" s="30"/>
      <c r="N4" s="25"/>
      <c r="O4" s="25"/>
      <c r="Q4" s="26"/>
      <c r="T4" s="2066"/>
      <c r="U4" s="2066"/>
      <c r="V4" s="30"/>
      <c r="W4" s="25"/>
      <c r="X4" s="25"/>
      <c r="Y4" s="25"/>
    </row>
    <row r="5" spans="2:26" ht="20.399999999999999">
      <c r="F5" s="24" t="s">
        <v>370</v>
      </c>
      <c r="J5" s="384"/>
      <c r="K5" s="2066">
        <f>INICIO!D13</f>
        <v>45107</v>
      </c>
      <c r="L5" s="2066"/>
      <c r="M5" s="30"/>
      <c r="N5" s="27"/>
      <c r="O5" s="27"/>
      <c r="Q5" s="26"/>
      <c r="S5" s="27"/>
      <c r="T5" s="2066"/>
      <c r="U5" s="2066"/>
      <c r="V5" s="30"/>
      <c r="W5" s="27"/>
      <c r="X5" s="27"/>
      <c r="Z5" s="27"/>
    </row>
    <row r="6" spans="2:26">
      <c r="K6" s="2066">
        <f ca="1">TODAY( )</f>
        <v>45126</v>
      </c>
      <c r="L6" s="2066"/>
    </row>
    <row r="7" spans="2:26" ht="24.75" customHeight="1" thickBot="1"/>
    <row r="8" spans="2:26" ht="34.5" customHeight="1">
      <c r="B8" s="368" t="s">
        <v>19</v>
      </c>
      <c r="C8" s="2429" t="s">
        <v>371</v>
      </c>
      <c r="D8" s="2430"/>
      <c r="E8" s="2431"/>
      <c r="F8" s="2429" t="s">
        <v>372</v>
      </c>
      <c r="G8" s="2430"/>
      <c r="H8" s="2431"/>
      <c r="I8" s="369" t="s">
        <v>373</v>
      </c>
    </row>
    <row r="9" spans="2:26" ht="30.75" customHeight="1" thickBot="1">
      <c r="B9" s="370"/>
      <c r="C9" s="371" t="s">
        <v>11</v>
      </c>
      <c r="D9" s="371" t="s">
        <v>9</v>
      </c>
      <c r="E9" s="371" t="s">
        <v>12</v>
      </c>
      <c r="F9" s="372" t="s">
        <v>11</v>
      </c>
      <c r="G9" s="371" t="s">
        <v>10</v>
      </c>
      <c r="H9" s="371" t="s">
        <v>12</v>
      </c>
      <c r="I9" s="373" t="s">
        <v>374</v>
      </c>
    </row>
    <row r="10" spans="2:26" ht="15" customHeight="1">
      <c r="B10" s="374">
        <f>K4</f>
        <v>45078</v>
      </c>
      <c r="C10" s="375" t="e">
        <f>IF(INICIO!$C$7&gt;DAY($B10)-1,(VLOOKUP($B10,DATOSAÑO!$B$11:$BG$375,92))," ")</f>
        <v>#REF!</v>
      </c>
      <c r="D10" s="375" t="e">
        <f>IF(INICIO!$C$7&gt;DAY($B10)-1,(VLOOKUP($B10,DATOSAÑO!$B$11:$BG$375,98))," ")</f>
        <v>#REF!</v>
      </c>
      <c r="E10" s="375" t="e">
        <f>IF(INICIO!$C$7&gt;DAY($B10)-1,(VLOOKUP($B10,DATOSAÑO!$B$11:$BG$375,96))," ")</f>
        <v>#REF!</v>
      </c>
      <c r="F10" s="375" t="e">
        <f>IF(INICIO!$C$7&gt;DAY($B10)-1,(VLOOKUP($B10,DATOSAÑO!$B$11:$BG$375,93))," ")</f>
        <v>#REF!</v>
      </c>
      <c r="G10" s="375" t="e">
        <f>IF(INICIO!$C$7&gt;DAY($B10)-1,(VLOOKUP($B10,DATOSAÑO!$B$11:$BG$375,99))," ")</f>
        <v>#REF!</v>
      </c>
      <c r="H10" s="375" t="e">
        <f>IF(INICIO!$C$7&gt;DAY($B10)-1,(VLOOKUP($B10,DATOSAÑO!$B$11:$BG$375,97))," ")</f>
        <v>#REF!</v>
      </c>
      <c r="I10" s="376" t="e">
        <f>IF(AND($C10=" ",$F10=" ")," ",(C10+F10))</f>
        <v>#REF!</v>
      </c>
    </row>
    <row r="11" spans="2:26" ht="15" customHeight="1">
      <c r="B11" s="374">
        <f>B10+1</f>
        <v>45079</v>
      </c>
      <c r="C11" s="375" t="e">
        <f>IF(INICIO!$C$7&gt;DAY($B11)-1,(VLOOKUP($B11,DATOSAÑO!$B$11:$BG$375,92))," ")</f>
        <v>#REF!</v>
      </c>
      <c r="D11" s="375" t="e">
        <f>IF(INICIO!$C$7&gt;DAY($B11)-1,(VLOOKUP($B11,DATOSAÑO!$B$11:$BG$375,98))," ")</f>
        <v>#REF!</v>
      </c>
      <c r="E11" s="375" t="e">
        <f>IF(INICIO!$C$7&gt;DAY($B11)-1,(VLOOKUP($B11,DATOSAÑO!$B$11:$BG$375,96))," ")</f>
        <v>#REF!</v>
      </c>
      <c r="F11" s="375" t="e">
        <f>IF(INICIO!$C$7&gt;DAY($B11)-1,(VLOOKUP($B11,DATOSAÑO!$B$11:$BG$375,93))," ")</f>
        <v>#REF!</v>
      </c>
      <c r="G11" s="375" t="e">
        <f>IF(INICIO!$C$7&gt;DAY($B11)-1,(VLOOKUP($B11,DATOSAÑO!$B$11:$BG$375,99))," ")</f>
        <v>#REF!</v>
      </c>
      <c r="H11" s="375" t="e">
        <f>IF(INICIO!$C$7&gt;DAY($B11)-1,(VLOOKUP($B11,DATOSAÑO!$B$11:$BG$375,97))," ")</f>
        <v>#REF!</v>
      </c>
      <c r="I11" s="376" t="e">
        <f t="shared" ref="I11:I38" si="0">IF(AND($C11=" ",$F11=" ")," ",(C11+F11))</f>
        <v>#REF!</v>
      </c>
    </row>
    <row r="12" spans="2:26" ht="15" customHeight="1">
      <c r="B12" s="374">
        <f t="shared" ref="B12:B36" si="1">B11+1</f>
        <v>45080</v>
      </c>
      <c r="C12" s="375" t="e">
        <f>IF(INICIO!$C$7&gt;DAY($B12)-1,(VLOOKUP($B12,DATOSAÑO!$B$11:$BG$375,92))," ")</f>
        <v>#REF!</v>
      </c>
      <c r="D12" s="375" t="e">
        <f>IF(INICIO!$C$7&gt;DAY($B12)-1,(VLOOKUP($B12,DATOSAÑO!$B$11:$BG$375,98))," ")</f>
        <v>#REF!</v>
      </c>
      <c r="E12" s="375" t="e">
        <f>IF(INICIO!$C$7&gt;DAY($B12)-1,(VLOOKUP($B12,DATOSAÑO!$B$11:$BG$375,96))," ")</f>
        <v>#REF!</v>
      </c>
      <c r="F12" s="375" t="e">
        <f>IF(INICIO!$C$7&gt;DAY($B12)-1,(VLOOKUP($B12,DATOSAÑO!$B$11:$BG$375,93))," ")</f>
        <v>#REF!</v>
      </c>
      <c r="G12" s="375" t="e">
        <f>IF(INICIO!$C$7&gt;DAY($B12)-1,(VLOOKUP($B12,DATOSAÑO!$B$11:$BG$375,99))," ")</f>
        <v>#REF!</v>
      </c>
      <c r="H12" s="375" t="e">
        <f>IF(INICIO!$C$7&gt;DAY($B12)-1,(VLOOKUP($B12,DATOSAÑO!$B$11:$BG$375,97))," ")</f>
        <v>#REF!</v>
      </c>
      <c r="I12" s="376" t="e">
        <f t="shared" si="0"/>
        <v>#REF!</v>
      </c>
    </row>
    <row r="13" spans="2:26">
      <c r="B13" s="374">
        <f t="shared" si="1"/>
        <v>45081</v>
      </c>
      <c r="C13" s="375" t="e">
        <f>IF(INICIO!$C$7&gt;DAY($B13)-1,(VLOOKUP($B13,DATOSAÑO!$B$11:$BG$375,92))," ")</f>
        <v>#REF!</v>
      </c>
      <c r="D13" s="375" t="e">
        <f>IF(INICIO!$C$7&gt;DAY($B13)-1,(VLOOKUP($B13,DATOSAÑO!$B$11:$BG$375,98))," ")</f>
        <v>#REF!</v>
      </c>
      <c r="E13" s="375" t="e">
        <f>IF(INICIO!$C$7&gt;DAY($B13)-1,(VLOOKUP($B13,DATOSAÑO!$B$11:$BG$375,96))," ")</f>
        <v>#REF!</v>
      </c>
      <c r="F13" s="375" t="e">
        <f>IF(INICIO!$C$7&gt;DAY($B13)-1,(VLOOKUP($B13,DATOSAÑO!$B$11:$BG$375,93))," ")</f>
        <v>#REF!</v>
      </c>
      <c r="G13" s="375" t="e">
        <f>IF(INICIO!$C$7&gt;DAY($B13)-1,(VLOOKUP($B13,DATOSAÑO!$B$11:$BG$375,99))," ")</f>
        <v>#REF!</v>
      </c>
      <c r="H13" s="375" t="e">
        <f>IF(INICIO!$C$7&gt;DAY($B13)-1,(VLOOKUP($B13,DATOSAÑO!$B$11:$BG$375,97))," ")</f>
        <v>#REF!</v>
      </c>
      <c r="I13" s="376" t="e">
        <f t="shared" si="0"/>
        <v>#REF!</v>
      </c>
    </row>
    <row r="14" spans="2:26">
      <c r="B14" s="374">
        <f t="shared" si="1"/>
        <v>45082</v>
      </c>
      <c r="C14" s="375" t="str">
        <f>IF(INICIO!$C$7&gt;DAY($B14)-1,(VLOOKUP($B14,DATOSAÑO!$B$11:$BG$375,92))," ")</f>
        <v xml:space="preserve"> </v>
      </c>
      <c r="D14" s="375" t="str">
        <f>IF(INICIO!$C$7&gt;DAY($B14)-1,(VLOOKUP($B14,DATOSAÑO!$B$11:$BG$375,98))," ")</f>
        <v xml:space="preserve"> </v>
      </c>
      <c r="E14" s="375" t="str">
        <f>IF(INICIO!$C$7&gt;DAY($B14)-1,(VLOOKUP($B14,DATOSAÑO!$B$11:$BG$375,96))," ")</f>
        <v xml:space="preserve"> </v>
      </c>
      <c r="F14" s="375" t="str">
        <f>IF(INICIO!$C$7&gt;DAY($B14)-1,(VLOOKUP($B14,DATOSAÑO!$B$11:$BG$375,93))," ")</f>
        <v xml:space="preserve"> </v>
      </c>
      <c r="G14" s="375" t="str">
        <f>IF(INICIO!$C$7&gt;DAY($B14)-1,(VLOOKUP($B14,DATOSAÑO!$B$11:$BG$375,99))," ")</f>
        <v xml:space="preserve"> </v>
      </c>
      <c r="H14" s="375" t="str">
        <f>IF(INICIO!$C$7&gt;DAY($B14)-1,(VLOOKUP($B14,DATOSAÑO!$B$11:$BG$375,97))," ")</f>
        <v xml:space="preserve"> </v>
      </c>
      <c r="I14" s="376" t="str">
        <f t="shared" si="0"/>
        <v xml:space="preserve"> </v>
      </c>
    </row>
    <row r="15" spans="2:26">
      <c r="B15" s="374">
        <f t="shared" si="1"/>
        <v>45083</v>
      </c>
      <c r="C15" s="375" t="str">
        <f>IF(INICIO!$C$7&gt;DAY($B15)-1,(VLOOKUP($B15,DATOSAÑO!$B$11:$BG$375,92))," ")</f>
        <v xml:space="preserve"> </v>
      </c>
      <c r="D15" s="375" t="str">
        <f>IF(INICIO!$C$7&gt;DAY($B15)-1,(VLOOKUP($B15,DATOSAÑO!$B$11:$BG$375,98))," ")</f>
        <v xml:space="preserve"> </v>
      </c>
      <c r="E15" s="375" t="str">
        <f>IF(INICIO!$C$7&gt;DAY($B15)-1,(VLOOKUP($B15,DATOSAÑO!$B$11:$BG$375,96))," ")</f>
        <v xml:space="preserve"> </v>
      </c>
      <c r="F15" s="375" t="str">
        <f>IF(INICIO!$C$7&gt;DAY($B15)-1,(VLOOKUP($B15,DATOSAÑO!$B$11:$BG$375,93))," ")</f>
        <v xml:space="preserve"> </v>
      </c>
      <c r="G15" s="375" t="str">
        <f>IF(INICIO!$C$7&gt;DAY($B15)-1,(VLOOKUP($B15,DATOSAÑO!$B$11:$BG$375,99))," ")</f>
        <v xml:space="preserve"> </v>
      </c>
      <c r="H15" s="375" t="str">
        <f>IF(INICIO!$C$7&gt;DAY($B15)-1,(VLOOKUP($B15,DATOSAÑO!$B$11:$BG$375,97))," ")</f>
        <v xml:space="preserve"> </v>
      </c>
      <c r="I15" s="376" t="str">
        <f t="shared" si="0"/>
        <v xml:space="preserve"> </v>
      </c>
    </row>
    <row r="16" spans="2:26">
      <c r="B16" s="374">
        <f t="shared" si="1"/>
        <v>45084</v>
      </c>
      <c r="C16" s="375" t="str">
        <f>IF(INICIO!$C$7&gt;DAY($B16)-1,(VLOOKUP($B16,DATOSAÑO!$B$11:$BG$375,92))," ")</f>
        <v xml:space="preserve"> </v>
      </c>
      <c r="D16" s="375" t="str">
        <f>IF(INICIO!$C$7&gt;DAY($B16)-1,(VLOOKUP($B16,DATOSAÑO!$B$11:$BG$375,98))," ")</f>
        <v xml:space="preserve"> </v>
      </c>
      <c r="E16" s="375" t="str">
        <f>IF(INICIO!$C$7&gt;DAY($B16)-1,(VLOOKUP($B16,DATOSAÑO!$B$11:$BG$375,96))," ")</f>
        <v xml:space="preserve"> </v>
      </c>
      <c r="F16" s="375" t="str">
        <f>IF(INICIO!$C$7&gt;DAY($B16)-1,(VLOOKUP($B16,DATOSAÑO!$B$11:$BG$375,93))," ")</f>
        <v xml:space="preserve"> </v>
      </c>
      <c r="G16" s="375" t="str">
        <f>IF(INICIO!$C$7&gt;DAY($B16)-1,(VLOOKUP($B16,DATOSAÑO!$B$11:$BG$375,99))," ")</f>
        <v xml:space="preserve"> </v>
      </c>
      <c r="H16" s="375" t="str">
        <f>IF(INICIO!$C$7&gt;DAY($B16)-1,(VLOOKUP($B16,DATOSAÑO!$B$11:$BG$375,97))," ")</f>
        <v xml:space="preserve"> </v>
      </c>
      <c r="I16" s="376" t="str">
        <f t="shared" si="0"/>
        <v xml:space="preserve"> </v>
      </c>
    </row>
    <row r="17" spans="2:9" ht="15" customHeight="1">
      <c r="B17" s="374">
        <f t="shared" si="1"/>
        <v>45085</v>
      </c>
      <c r="C17" s="375" t="str">
        <f>IF(INICIO!$C$7&gt;DAY($B17)-1,(VLOOKUP($B17,DATOSAÑO!$B$11:$BG$375,92))," ")</f>
        <v xml:space="preserve"> </v>
      </c>
      <c r="D17" s="375" t="str">
        <f>IF(INICIO!$C$7&gt;DAY($B17)-1,(VLOOKUP($B17,DATOSAÑO!$B$11:$BG$375,98))," ")</f>
        <v xml:space="preserve"> </v>
      </c>
      <c r="E17" s="375" t="str">
        <f>IF(INICIO!$C$7&gt;DAY($B17)-1,(VLOOKUP($B17,DATOSAÑO!$B$11:$BG$375,96))," ")</f>
        <v xml:space="preserve"> </v>
      </c>
      <c r="F17" s="375" t="str">
        <f>IF(INICIO!$C$7&gt;DAY($B17)-1,(VLOOKUP($B17,DATOSAÑO!$B$11:$BG$375,93))," ")</f>
        <v xml:space="preserve"> </v>
      </c>
      <c r="G17" s="375" t="str">
        <f>IF(INICIO!$C$7&gt;DAY($B17)-1,(VLOOKUP($B17,DATOSAÑO!$B$11:$BG$375,99))," ")</f>
        <v xml:space="preserve"> </v>
      </c>
      <c r="H17" s="375" t="str">
        <f>IF(INICIO!$C$7&gt;DAY($B17)-1,(VLOOKUP($B17,DATOSAÑO!$B$11:$BG$375,97))," ")</f>
        <v xml:space="preserve"> </v>
      </c>
      <c r="I17" s="376" t="str">
        <f t="shared" si="0"/>
        <v xml:space="preserve"> </v>
      </c>
    </row>
    <row r="18" spans="2:9">
      <c r="B18" s="374">
        <f t="shared" si="1"/>
        <v>45086</v>
      </c>
      <c r="C18" s="375" t="str">
        <f>IF(INICIO!$C$7&gt;DAY($B18)-1,(VLOOKUP($B18,DATOSAÑO!$B$11:$BG$375,92))," ")</f>
        <v xml:space="preserve"> </v>
      </c>
      <c r="D18" s="375" t="str">
        <f>IF(INICIO!$C$7&gt;DAY($B18)-1,(VLOOKUP($B18,DATOSAÑO!$B$11:$BG$375,98))," ")</f>
        <v xml:space="preserve"> </v>
      </c>
      <c r="E18" s="375" t="str">
        <f>IF(INICIO!$C$7&gt;DAY($B18)-1,(VLOOKUP($B18,DATOSAÑO!$B$11:$BG$375,96))," ")</f>
        <v xml:space="preserve"> </v>
      </c>
      <c r="F18" s="375" t="str">
        <f>IF(INICIO!$C$7&gt;DAY($B18)-1,(VLOOKUP($B18,DATOSAÑO!$B$11:$BG$375,93))," ")</f>
        <v xml:space="preserve"> </v>
      </c>
      <c r="G18" s="375" t="str">
        <f>IF(INICIO!$C$7&gt;DAY($B18)-1,(VLOOKUP($B18,DATOSAÑO!$B$11:$BG$375,99))," ")</f>
        <v xml:space="preserve"> </v>
      </c>
      <c r="H18" s="375" t="str">
        <f>IF(INICIO!$C$7&gt;DAY($B18)-1,(VLOOKUP($B18,DATOSAÑO!$B$11:$BG$375,97))," ")</f>
        <v xml:space="preserve"> </v>
      </c>
      <c r="I18" s="376" t="str">
        <f t="shared" si="0"/>
        <v xml:space="preserve"> </v>
      </c>
    </row>
    <row r="19" spans="2:9">
      <c r="B19" s="374">
        <f t="shared" si="1"/>
        <v>45087</v>
      </c>
      <c r="C19" s="375" t="str">
        <f>IF(INICIO!$C$7&gt;DAY($B19)-1,(VLOOKUP($B19,DATOSAÑO!$B$11:$BG$375,92))," ")</f>
        <v xml:space="preserve"> </v>
      </c>
      <c r="D19" s="375" t="str">
        <f>IF(INICIO!$C$7&gt;DAY($B19)-1,(VLOOKUP($B19,DATOSAÑO!$B$11:$BG$375,98))," ")</f>
        <v xml:space="preserve"> </v>
      </c>
      <c r="E19" s="375" t="str">
        <f>IF(INICIO!$C$7&gt;DAY($B19)-1,(VLOOKUP($B19,DATOSAÑO!$B$11:$BG$375,96))," ")</f>
        <v xml:space="preserve"> </v>
      </c>
      <c r="F19" s="375" t="str">
        <f>IF(INICIO!$C$7&gt;DAY($B19)-1,(VLOOKUP($B19,DATOSAÑO!$B$11:$BG$375,93))," ")</f>
        <v xml:space="preserve"> </v>
      </c>
      <c r="G19" s="375" t="str">
        <f>IF(INICIO!$C$7&gt;DAY($B19)-1,(VLOOKUP($B19,DATOSAÑO!$B$11:$BG$375,99))," ")</f>
        <v xml:space="preserve"> </v>
      </c>
      <c r="H19" s="375" t="str">
        <f>IF(INICIO!$C$7&gt;DAY($B19)-1,(VLOOKUP($B19,DATOSAÑO!$B$11:$BG$375,97))," ")</f>
        <v xml:space="preserve"> </v>
      </c>
      <c r="I19" s="376" t="str">
        <f t="shared" si="0"/>
        <v xml:space="preserve"> </v>
      </c>
    </row>
    <row r="20" spans="2:9">
      <c r="B20" s="374">
        <f t="shared" si="1"/>
        <v>45088</v>
      </c>
      <c r="C20" s="375" t="str">
        <f>IF(INICIO!$C$7&gt;DAY($B20)-1,(VLOOKUP($B20,DATOSAÑO!$B$11:$BG$375,92))," ")</f>
        <v xml:space="preserve"> </v>
      </c>
      <c r="D20" s="375" t="str">
        <f>IF(INICIO!$C$7&gt;DAY($B20)-1,(VLOOKUP($B20,DATOSAÑO!$B$11:$BG$375,98))," ")</f>
        <v xml:space="preserve"> </v>
      </c>
      <c r="E20" s="375" t="str">
        <f>IF(INICIO!$C$7&gt;DAY($B20)-1,(VLOOKUP($B20,DATOSAÑO!$B$11:$BG$375,96))," ")</f>
        <v xml:space="preserve"> </v>
      </c>
      <c r="F20" s="375" t="str">
        <f>IF(INICIO!$C$7&gt;DAY($B20)-1,(VLOOKUP($B20,DATOSAÑO!$B$11:$BG$375,93))," ")</f>
        <v xml:space="preserve"> </v>
      </c>
      <c r="G20" s="375" t="str">
        <f>IF(INICIO!$C$7&gt;DAY($B20)-1,(VLOOKUP($B20,DATOSAÑO!$B$11:$BG$375,99))," ")</f>
        <v xml:space="preserve"> </v>
      </c>
      <c r="H20" s="375" t="str">
        <f>IF(INICIO!$C$7&gt;DAY($B20)-1,(VLOOKUP($B20,DATOSAÑO!$B$11:$BG$375,97))," ")</f>
        <v xml:space="preserve"> </v>
      </c>
      <c r="I20" s="376" t="str">
        <f t="shared" si="0"/>
        <v xml:space="preserve"> </v>
      </c>
    </row>
    <row r="21" spans="2:9">
      <c r="B21" s="374">
        <f t="shared" si="1"/>
        <v>45089</v>
      </c>
      <c r="C21" s="375" t="str">
        <f>IF(INICIO!$C$7&gt;DAY($B21)-1,(VLOOKUP($B21,DATOSAÑO!$B$11:$BG$375,92))," ")</f>
        <v xml:space="preserve"> </v>
      </c>
      <c r="D21" s="375" t="str">
        <f>IF(INICIO!$C$7&gt;DAY($B21)-1,(VLOOKUP($B21,DATOSAÑO!$B$11:$BG$375,98))," ")</f>
        <v xml:space="preserve"> </v>
      </c>
      <c r="E21" s="375" t="str">
        <f>IF(INICIO!$C$7&gt;DAY($B21)-1,(VLOOKUP($B21,DATOSAÑO!$B$11:$BG$375,96))," ")</f>
        <v xml:space="preserve"> </v>
      </c>
      <c r="F21" s="375" t="str">
        <f>IF(INICIO!$C$7&gt;DAY($B21)-1,(VLOOKUP($B21,DATOSAÑO!$B$11:$BG$375,93))," ")</f>
        <v xml:space="preserve"> </v>
      </c>
      <c r="G21" s="375" t="str">
        <f>IF(INICIO!$C$7&gt;DAY($B21)-1,(VLOOKUP($B21,DATOSAÑO!$B$11:$BG$375,99))," ")</f>
        <v xml:space="preserve"> </v>
      </c>
      <c r="H21" s="375" t="str">
        <f>IF(INICIO!$C$7&gt;DAY($B21)-1,(VLOOKUP($B21,DATOSAÑO!$B$11:$BG$375,97))," ")</f>
        <v xml:space="preserve"> </v>
      </c>
      <c r="I21" s="376" t="str">
        <f t="shared" si="0"/>
        <v xml:space="preserve"> </v>
      </c>
    </row>
    <row r="22" spans="2:9">
      <c r="B22" s="374">
        <f t="shared" si="1"/>
        <v>45090</v>
      </c>
      <c r="C22" s="375" t="str">
        <f>IF(INICIO!$C$7&gt;DAY($B22)-1,(VLOOKUP($B22,DATOSAÑO!$B$11:$BG$375,92))," ")</f>
        <v xml:space="preserve"> </v>
      </c>
      <c r="D22" s="375" t="str">
        <f>IF(INICIO!$C$7&gt;DAY($B22)-1,(VLOOKUP($B22,DATOSAÑO!$B$11:$BG$375,98))," ")</f>
        <v xml:space="preserve"> </v>
      </c>
      <c r="E22" s="375" t="str">
        <f>IF(INICIO!$C$7&gt;DAY($B22)-1,(VLOOKUP($B22,DATOSAÑO!$B$11:$BG$375,96))," ")</f>
        <v xml:space="preserve"> </v>
      </c>
      <c r="F22" s="375" t="str">
        <f>IF(INICIO!$C$7&gt;DAY($B22)-1,(VLOOKUP($B22,DATOSAÑO!$B$11:$BG$375,93))," ")</f>
        <v xml:space="preserve"> </v>
      </c>
      <c r="G22" s="375" t="str">
        <f>IF(INICIO!$C$7&gt;DAY($B22)-1,(VLOOKUP($B22,DATOSAÑO!$B$11:$BG$375,99))," ")</f>
        <v xml:space="preserve"> </v>
      </c>
      <c r="H22" s="375" t="str">
        <f>IF(INICIO!$C$7&gt;DAY($B22)-1,(VLOOKUP($B22,DATOSAÑO!$B$11:$BG$375,97))," ")</f>
        <v xml:space="preserve"> </v>
      </c>
      <c r="I22" s="376" t="str">
        <f t="shared" si="0"/>
        <v xml:space="preserve"> </v>
      </c>
    </row>
    <row r="23" spans="2:9">
      <c r="B23" s="374">
        <f t="shared" si="1"/>
        <v>45091</v>
      </c>
      <c r="C23" s="375" t="str">
        <f>IF(INICIO!$C$7&gt;DAY($B23)-1,(VLOOKUP($B23,DATOSAÑO!$B$11:$BG$375,92))," ")</f>
        <v xml:space="preserve"> </v>
      </c>
      <c r="D23" s="375" t="str">
        <f>IF(INICIO!$C$7&gt;DAY($B23)-1,(VLOOKUP($B23,DATOSAÑO!$B$11:$BG$375,98))," ")</f>
        <v xml:space="preserve"> </v>
      </c>
      <c r="E23" s="375" t="str">
        <f>IF(INICIO!$C$7&gt;DAY($B23)-1,(VLOOKUP($B23,DATOSAÑO!$B$11:$BG$375,96))," ")</f>
        <v xml:space="preserve"> </v>
      </c>
      <c r="F23" s="375" t="str">
        <f>IF(INICIO!$C$7&gt;DAY($B23)-1,(VLOOKUP($B23,DATOSAÑO!$B$11:$BG$375,93))," ")</f>
        <v xml:space="preserve"> </v>
      </c>
      <c r="G23" s="375" t="str">
        <f>IF(INICIO!$C$7&gt;DAY($B23)-1,(VLOOKUP($B23,DATOSAÑO!$B$11:$BG$375,99))," ")</f>
        <v xml:space="preserve"> </v>
      </c>
      <c r="H23" s="375" t="str">
        <f>IF(INICIO!$C$7&gt;DAY($B23)-1,(VLOOKUP($B23,DATOSAÑO!$B$11:$BG$375,97))," ")</f>
        <v xml:space="preserve"> </v>
      </c>
      <c r="I23" s="376" t="str">
        <f t="shared" si="0"/>
        <v xml:space="preserve"> </v>
      </c>
    </row>
    <row r="24" spans="2:9" ht="15" customHeight="1">
      <c r="B24" s="374">
        <f t="shared" si="1"/>
        <v>45092</v>
      </c>
      <c r="C24" s="375" t="str">
        <f>IF(INICIO!$C$7&gt;DAY($B24)-1,(VLOOKUP($B24,DATOSAÑO!$B$11:$BG$375,92))," ")</f>
        <v xml:space="preserve"> </v>
      </c>
      <c r="D24" s="375" t="str">
        <f>IF(INICIO!$C$7&gt;DAY($B24)-1,(VLOOKUP($B24,DATOSAÑO!$B$11:$BG$375,98))," ")</f>
        <v xml:space="preserve"> </v>
      </c>
      <c r="E24" s="375" t="str">
        <f>IF(INICIO!$C$7&gt;DAY($B24)-1,(VLOOKUP($B24,DATOSAÑO!$B$11:$BG$375,96))," ")</f>
        <v xml:space="preserve"> </v>
      </c>
      <c r="F24" s="375" t="str">
        <f>IF(INICIO!$C$7&gt;DAY($B24)-1,(VLOOKUP($B24,DATOSAÑO!$B$11:$BG$375,93))," ")</f>
        <v xml:space="preserve"> </v>
      </c>
      <c r="G24" s="375" t="str">
        <f>IF(INICIO!$C$7&gt;DAY($B24)-1,(VLOOKUP($B24,DATOSAÑO!$B$11:$BG$375,99))," ")</f>
        <v xml:space="preserve"> </v>
      </c>
      <c r="H24" s="375" t="str">
        <f>IF(INICIO!$C$7&gt;DAY($B24)-1,(VLOOKUP($B24,DATOSAÑO!$B$11:$BG$375,97))," ")</f>
        <v xml:space="preserve"> </v>
      </c>
      <c r="I24" s="376" t="str">
        <f t="shared" si="0"/>
        <v xml:space="preserve"> </v>
      </c>
    </row>
    <row r="25" spans="2:9" ht="15" customHeight="1">
      <c r="B25" s="374">
        <f t="shared" si="1"/>
        <v>45093</v>
      </c>
      <c r="C25" s="375" t="str">
        <f>IF(INICIO!$C$7&gt;DAY($B25)-1,(VLOOKUP($B25,DATOSAÑO!$B$11:$BG$375,92))," ")</f>
        <v xml:space="preserve"> </v>
      </c>
      <c r="D25" s="375" t="str">
        <f>IF(INICIO!$C$7&gt;DAY($B25)-1,(VLOOKUP($B25,DATOSAÑO!$B$11:$BG$375,98))," ")</f>
        <v xml:space="preserve"> </v>
      </c>
      <c r="E25" s="375" t="str">
        <f>IF(INICIO!$C$7&gt;DAY($B25)-1,(VLOOKUP($B25,DATOSAÑO!$B$11:$BG$375,96))," ")</f>
        <v xml:space="preserve"> </v>
      </c>
      <c r="F25" s="375" t="str">
        <f>IF(INICIO!$C$7&gt;DAY($B25)-1,(VLOOKUP($B25,DATOSAÑO!$B$11:$BG$375,93))," ")</f>
        <v xml:space="preserve"> </v>
      </c>
      <c r="G25" s="375" t="str">
        <f>IF(INICIO!$C$7&gt;DAY($B25)-1,(VLOOKUP($B25,DATOSAÑO!$B$11:$BG$375,99))," ")</f>
        <v xml:space="preserve"> </v>
      </c>
      <c r="H25" s="375" t="str">
        <f>IF(INICIO!$C$7&gt;DAY($B25)-1,(VLOOKUP($B25,DATOSAÑO!$B$11:$BG$375,97))," ")</f>
        <v xml:space="preserve"> </v>
      </c>
      <c r="I25" s="376" t="str">
        <f t="shared" si="0"/>
        <v xml:space="preserve"> </v>
      </c>
    </row>
    <row r="26" spans="2:9" ht="15" customHeight="1">
      <c r="B26" s="374">
        <f t="shared" si="1"/>
        <v>45094</v>
      </c>
      <c r="C26" s="375" t="str">
        <f>IF(INICIO!$C$7&gt;DAY($B26)-1,(VLOOKUP($B26,DATOSAÑO!$B$11:$BG$375,92))," ")</f>
        <v xml:space="preserve"> </v>
      </c>
      <c r="D26" s="375" t="str">
        <f>IF(INICIO!$C$7&gt;DAY($B26)-1,(VLOOKUP($B26,DATOSAÑO!$B$11:$BG$375,98))," ")</f>
        <v xml:space="preserve"> </v>
      </c>
      <c r="E26" s="375" t="str">
        <f>IF(INICIO!$C$7&gt;DAY($B26)-1,(VLOOKUP($B26,DATOSAÑO!$B$11:$BG$375,96))," ")</f>
        <v xml:space="preserve"> </v>
      </c>
      <c r="F26" s="375" t="str">
        <f>IF(INICIO!$C$7&gt;DAY($B26)-1,(VLOOKUP($B26,DATOSAÑO!$B$11:$BG$375,93))," ")</f>
        <v xml:space="preserve"> </v>
      </c>
      <c r="G26" s="375" t="str">
        <f>IF(INICIO!$C$7&gt;DAY($B26)-1,(VLOOKUP($B26,DATOSAÑO!$B$11:$BG$375,99))," ")</f>
        <v xml:space="preserve"> </v>
      </c>
      <c r="H26" s="375" t="str">
        <f>IF(INICIO!$C$7&gt;DAY($B26)-1,(VLOOKUP($B26,DATOSAÑO!$B$11:$BG$375,97))," ")</f>
        <v xml:space="preserve"> </v>
      </c>
      <c r="I26" s="376" t="str">
        <f t="shared" si="0"/>
        <v xml:space="preserve"> </v>
      </c>
    </row>
    <row r="27" spans="2:9">
      <c r="B27" s="374">
        <f t="shared" si="1"/>
        <v>45095</v>
      </c>
      <c r="C27" s="375" t="str">
        <f>IF(INICIO!$C$7&gt;DAY($B27)-1,(VLOOKUP($B27,DATOSAÑO!$B$11:$BG$375,92))," ")</f>
        <v xml:space="preserve"> </v>
      </c>
      <c r="D27" s="375" t="str">
        <f>IF(INICIO!$C$7&gt;DAY($B27)-1,(VLOOKUP($B27,DATOSAÑO!$B$11:$BG$375,98))," ")</f>
        <v xml:space="preserve"> </v>
      </c>
      <c r="E27" s="375" t="str">
        <f>IF(INICIO!$C$7&gt;DAY($B27)-1,(VLOOKUP($B27,DATOSAÑO!$B$11:$BG$375,96))," ")</f>
        <v xml:space="preserve"> </v>
      </c>
      <c r="F27" s="375" t="str">
        <f>IF(INICIO!$C$7&gt;DAY($B27)-1,(VLOOKUP($B27,DATOSAÑO!$B$11:$BG$375,93))," ")</f>
        <v xml:space="preserve"> </v>
      </c>
      <c r="G27" s="375" t="str">
        <f>IF(INICIO!$C$7&gt;DAY($B27)-1,(VLOOKUP($B27,DATOSAÑO!$B$11:$BG$375,99))," ")</f>
        <v xml:space="preserve"> </v>
      </c>
      <c r="H27" s="375" t="str">
        <f>IF(INICIO!$C$7&gt;DAY($B27)-1,(VLOOKUP($B27,DATOSAÑO!$B$11:$BG$375,97))," ")</f>
        <v xml:space="preserve"> </v>
      </c>
      <c r="I27" s="376" t="str">
        <f t="shared" si="0"/>
        <v xml:space="preserve"> </v>
      </c>
    </row>
    <row r="28" spans="2:9">
      <c r="B28" s="374">
        <f t="shared" si="1"/>
        <v>45096</v>
      </c>
      <c r="C28" s="375" t="str">
        <f>IF(INICIO!$C$7&gt;DAY($B28)-1,(VLOOKUP($B28,DATOSAÑO!$B$11:$BG$375,92))," ")</f>
        <v xml:space="preserve"> </v>
      </c>
      <c r="D28" s="375" t="str">
        <f>IF(INICIO!$C$7&gt;DAY($B28)-1,(VLOOKUP($B28,DATOSAÑO!$B$11:$BG$375,98))," ")</f>
        <v xml:space="preserve"> </v>
      </c>
      <c r="E28" s="375" t="str">
        <f>IF(INICIO!$C$7&gt;DAY($B28)-1,(VLOOKUP($B28,DATOSAÑO!$B$11:$BG$375,96))," ")</f>
        <v xml:space="preserve"> </v>
      </c>
      <c r="F28" s="375" t="str">
        <f>IF(INICIO!$C$7&gt;DAY($B28)-1,(VLOOKUP($B28,DATOSAÑO!$B$11:$BG$375,93))," ")</f>
        <v xml:space="preserve"> </v>
      </c>
      <c r="G28" s="375" t="str">
        <f>IF(INICIO!$C$7&gt;DAY($B28)-1,(VLOOKUP($B28,DATOSAÑO!$B$11:$BG$375,99))," ")</f>
        <v xml:space="preserve"> </v>
      </c>
      <c r="H28" s="375" t="str">
        <f>IF(INICIO!$C$7&gt;DAY($B28)-1,(VLOOKUP($B28,DATOSAÑO!$B$11:$BG$375,97))," ")</f>
        <v xml:space="preserve"> </v>
      </c>
      <c r="I28" s="376" t="str">
        <f t="shared" si="0"/>
        <v xml:space="preserve"> </v>
      </c>
    </row>
    <row r="29" spans="2:9">
      <c r="B29" s="374">
        <f t="shared" si="1"/>
        <v>45097</v>
      </c>
      <c r="C29" s="375" t="str">
        <f>IF(INICIO!$C$7&gt;DAY($B29)-1,(VLOOKUP($B29,DATOSAÑO!$B$11:$BG$375,92))," ")</f>
        <v xml:space="preserve"> </v>
      </c>
      <c r="D29" s="375" t="str">
        <f>IF(INICIO!$C$7&gt;DAY($B29)-1,(VLOOKUP($B29,DATOSAÑO!$B$11:$BG$375,98))," ")</f>
        <v xml:space="preserve"> </v>
      </c>
      <c r="E29" s="375" t="str">
        <f>IF(INICIO!$C$7&gt;DAY($B29)-1,(VLOOKUP($B29,DATOSAÑO!$B$11:$BG$375,96))," ")</f>
        <v xml:space="preserve"> </v>
      </c>
      <c r="F29" s="375" t="str">
        <f>IF(INICIO!$C$7&gt;DAY($B29)-1,(VLOOKUP($B29,DATOSAÑO!$B$11:$BG$375,93))," ")</f>
        <v xml:space="preserve"> </v>
      </c>
      <c r="G29" s="375" t="str">
        <f>IF(INICIO!$C$7&gt;DAY($B29)-1,(VLOOKUP($B29,DATOSAÑO!$B$11:$BG$375,99))," ")</f>
        <v xml:space="preserve"> </v>
      </c>
      <c r="H29" s="375" t="str">
        <f>IF(INICIO!$C$7&gt;DAY($B29)-1,(VLOOKUP($B29,DATOSAÑO!$B$11:$BG$375,97))," ")</f>
        <v xml:space="preserve"> </v>
      </c>
      <c r="I29" s="376" t="str">
        <f t="shared" si="0"/>
        <v xml:space="preserve"> </v>
      </c>
    </row>
    <row r="30" spans="2:9">
      <c r="B30" s="374">
        <f t="shared" si="1"/>
        <v>45098</v>
      </c>
      <c r="C30" s="375" t="str">
        <f>IF(INICIO!$C$7&gt;DAY($B30)-1,(VLOOKUP($B30,DATOSAÑO!$B$11:$BG$375,92))," ")</f>
        <v xml:space="preserve"> </v>
      </c>
      <c r="D30" s="375" t="str">
        <f>IF(INICIO!$C$7&gt;DAY($B30)-1,(VLOOKUP($B30,DATOSAÑO!$B$11:$BG$375,98))," ")</f>
        <v xml:space="preserve"> </v>
      </c>
      <c r="E30" s="375" t="str">
        <f>IF(INICIO!$C$7&gt;DAY($B30)-1,(VLOOKUP($B30,DATOSAÑO!$B$11:$BG$375,96))," ")</f>
        <v xml:space="preserve"> </v>
      </c>
      <c r="F30" s="375" t="str">
        <f>IF(INICIO!$C$7&gt;DAY($B30)-1,(VLOOKUP($B30,DATOSAÑO!$B$11:$BG$375,93))," ")</f>
        <v xml:space="preserve"> </v>
      </c>
      <c r="G30" s="375" t="str">
        <f>IF(INICIO!$C$7&gt;DAY($B30)-1,(VLOOKUP($B30,DATOSAÑO!$B$11:$BG$375,99))," ")</f>
        <v xml:space="preserve"> </v>
      </c>
      <c r="H30" s="375" t="str">
        <f>IF(INICIO!$C$7&gt;DAY($B30)-1,(VLOOKUP($B30,DATOSAÑO!$B$11:$BG$375,97))," ")</f>
        <v xml:space="preserve"> </v>
      </c>
      <c r="I30" s="376" t="str">
        <f t="shared" si="0"/>
        <v xml:space="preserve"> </v>
      </c>
    </row>
    <row r="31" spans="2:9">
      <c r="B31" s="374">
        <f t="shared" si="1"/>
        <v>45099</v>
      </c>
      <c r="C31" s="375" t="str">
        <f>IF(INICIO!$C$7&gt;DAY($B31)-1,(VLOOKUP($B31,DATOSAÑO!$B$11:$BG$375,92))," ")</f>
        <v xml:space="preserve"> </v>
      </c>
      <c r="D31" s="375" t="str">
        <f>IF(INICIO!$C$7&gt;DAY($B31)-1,(VLOOKUP($B31,DATOSAÑO!$B$11:$BG$375,98))," ")</f>
        <v xml:space="preserve"> </v>
      </c>
      <c r="E31" s="375" t="str">
        <f>IF(INICIO!$C$7&gt;DAY($B31)-1,(VLOOKUP($B31,DATOSAÑO!$B$11:$BG$375,96))," ")</f>
        <v xml:space="preserve"> </v>
      </c>
      <c r="F31" s="375" t="str">
        <f>IF(INICIO!$C$7&gt;DAY($B31)-1,(VLOOKUP($B31,DATOSAÑO!$B$11:$BG$375,93))," ")</f>
        <v xml:space="preserve"> </v>
      </c>
      <c r="G31" s="375" t="str">
        <f>IF(INICIO!$C$7&gt;DAY($B31)-1,(VLOOKUP($B31,DATOSAÑO!$B$11:$BG$375,99))," ")</f>
        <v xml:space="preserve"> </v>
      </c>
      <c r="H31" s="375" t="str">
        <f>IF(INICIO!$C$7&gt;DAY($B31)-1,(VLOOKUP($B31,DATOSAÑO!$B$11:$BG$375,97))," ")</f>
        <v xml:space="preserve"> </v>
      </c>
      <c r="I31" s="376" t="str">
        <f t="shared" si="0"/>
        <v xml:space="preserve"> </v>
      </c>
    </row>
    <row r="32" spans="2:9">
      <c r="B32" s="374">
        <f t="shared" si="1"/>
        <v>45100</v>
      </c>
      <c r="C32" s="375" t="str">
        <f>IF(INICIO!$C$7&gt;DAY($B32)-1,(VLOOKUP($B32,DATOSAÑO!$B$11:$BG$375,92))," ")</f>
        <v xml:space="preserve"> </v>
      </c>
      <c r="D32" s="375" t="str">
        <f>IF(INICIO!$C$7&gt;DAY($B32)-1,(VLOOKUP($B32,DATOSAÑO!$B$11:$BG$375,98))," ")</f>
        <v xml:space="preserve"> </v>
      </c>
      <c r="E32" s="375" t="str">
        <f>IF(INICIO!$C$7&gt;DAY($B32)-1,(VLOOKUP($B32,DATOSAÑO!$B$11:$BG$375,96))," ")</f>
        <v xml:space="preserve"> </v>
      </c>
      <c r="F32" s="375" t="str">
        <f>IF(INICIO!$C$7&gt;DAY($B32)-1,(VLOOKUP($B32,DATOSAÑO!$B$11:$BG$375,93))," ")</f>
        <v xml:space="preserve"> </v>
      </c>
      <c r="G32" s="375" t="str">
        <f>IF(INICIO!$C$7&gt;DAY($B32)-1,(VLOOKUP($B32,DATOSAÑO!$B$11:$BG$375,99))," ")</f>
        <v xml:space="preserve"> </v>
      </c>
      <c r="H32" s="375" t="str">
        <f>IF(INICIO!$C$7&gt;DAY($B32)-1,(VLOOKUP($B32,DATOSAÑO!$B$11:$BG$375,97))," ")</f>
        <v xml:space="preserve"> </v>
      </c>
      <c r="I32" s="376" t="str">
        <f t="shared" si="0"/>
        <v xml:space="preserve"> </v>
      </c>
    </row>
    <row r="33" spans="2:11">
      <c r="B33" s="374">
        <f t="shared" si="1"/>
        <v>45101</v>
      </c>
      <c r="C33" s="375" t="str">
        <f>IF(INICIO!$C$7&gt;DAY($B33)-1,(VLOOKUP($B33,DATOSAÑO!$B$11:$BG$375,92))," ")</f>
        <v xml:space="preserve"> </v>
      </c>
      <c r="D33" s="375" t="str">
        <f>IF(INICIO!$C$7&gt;DAY($B33)-1,(VLOOKUP($B33,DATOSAÑO!$B$11:$BG$375,98))," ")</f>
        <v xml:space="preserve"> </v>
      </c>
      <c r="E33" s="375" t="str">
        <f>IF(INICIO!$C$7&gt;DAY($B33)-1,(VLOOKUP($B33,DATOSAÑO!$B$11:$BG$375,96))," ")</f>
        <v xml:space="preserve"> </v>
      </c>
      <c r="F33" s="375" t="str">
        <f>IF(INICIO!$C$7&gt;DAY($B33)-1,(VLOOKUP($B33,DATOSAÑO!$B$11:$BG$375,93))," ")</f>
        <v xml:space="preserve"> </v>
      </c>
      <c r="G33" s="375" t="str">
        <f>IF(INICIO!$C$7&gt;DAY($B33)-1,(VLOOKUP($B33,DATOSAÑO!$B$11:$BG$375,99))," ")</f>
        <v xml:space="preserve"> </v>
      </c>
      <c r="H33" s="375" t="str">
        <f>IF(INICIO!$C$7&gt;DAY($B33)-1,(VLOOKUP($B33,DATOSAÑO!$B$11:$BG$375,97))," ")</f>
        <v xml:space="preserve"> </v>
      </c>
      <c r="I33" s="376" t="str">
        <f t="shared" si="0"/>
        <v xml:space="preserve"> </v>
      </c>
    </row>
    <row r="34" spans="2:11">
      <c r="B34" s="374">
        <f t="shared" si="1"/>
        <v>45102</v>
      </c>
      <c r="C34" s="375" t="str">
        <f>IF(INICIO!$C$7&gt;DAY($B34)-1,(VLOOKUP($B34,DATOSAÑO!$B$11:$BG$375,92))," ")</f>
        <v xml:space="preserve"> </v>
      </c>
      <c r="D34" s="375" t="str">
        <f>IF(INICIO!$C$7&gt;DAY($B34)-1,(VLOOKUP($B34,DATOSAÑO!$B$11:$BG$375,98))," ")</f>
        <v xml:space="preserve"> </v>
      </c>
      <c r="E34" s="375" t="str">
        <f>IF(INICIO!$C$7&gt;DAY($B34)-1,(VLOOKUP($B34,DATOSAÑO!$B$11:$BG$375,96))," ")</f>
        <v xml:space="preserve"> </v>
      </c>
      <c r="F34" s="375" t="str">
        <f>IF(INICIO!$C$7&gt;DAY($B34)-1,(VLOOKUP($B34,DATOSAÑO!$B$11:$BG$375,93))," ")</f>
        <v xml:space="preserve"> </v>
      </c>
      <c r="G34" s="375" t="str">
        <f>IF(INICIO!$C$7&gt;DAY($B34)-1,(VLOOKUP($B34,DATOSAÑO!$B$11:$BG$375,99))," ")</f>
        <v xml:space="preserve"> </v>
      </c>
      <c r="H34" s="375" t="str">
        <f>IF(INICIO!$C$7&gt;DAY($B34)-1,(VLOOKUP($B34,DATOSAÑO!$B$11:$BG$375,97))," ")</f>
        <v xml:space="preserve"> </v>
      </c>
      <c r="I34" s="376" t="str">
        <f t="shared" si="0"/>
        <v xml:space="preserve"> </v>
      </c>
    </row>
    <row r="35" spans="2:11">
      <c r="B35" s="374">
        <f t="shared" si="1"/>
        <v>45103</v>
      </c>
      <c r="C35" s="375" t="str">
        <f>IF(INICIO!$C$7&gt;DAY($B35)-1,(VLOOKUP($B35,DATOSAÑO!$B$11:$BG$375,92))," ")</f>
        <v xml:space="preserve"> </v>
      </c>
      <c r="D35" s="375" t="str">
        <f>IF(INICIO!$C$7&gt;DAY($B35)-1,(VLOOKUP($B35,DATOSAÑO!$B$11:$BG$375,98))," ")</f>
        <v xml:space="preserve"> </v>
      </c>
      <c r="E35" s="375" t="str">
        <f>IF(INICIO!$C$7&gt;DAY($B35)-1,(VLOOKUP($B35,DATOSAÑO!$B$11:$BG$375,96))," ")</f>
        <v xml:space="preserve"> </v>
      </c>
      <c r="F35" s="375" t="str">
        <f>IF(INICIO!$C$7&gt;DAY($B35)-1,(VLOOKUP($B35,DATOSAÑO!$B$11:$BG$375,93))," ")</f>
        <v xml:space="preserve"> </v>
      </c>
      <c r="G35" s="375" t="str">
        <f>IF(INICIO!$C$7&gt;DAY($B35)-1,(VLOOKUP($B35,DATOSAÑO!$B$11:$BG$375,99))," ")</f>
        <v xml:space="preserve"> </v>
      </c>
      <c r="H35" s="375" t="str">
        <f>IF(INICIO!$C$7&gt;DAY($B35)-1,(VLOOKUP($B35,DATOSAÑO!$B$11:$BG$375,97))," ")</f>
        <v xml:space="preserve"> </v>
      </c>
      <c r="I35" s="376" t="str">
        <f t="shared" si="0"/>
        <v xml:space="preserve"> </v>
      </c>
    </row>
    <row r="36" spans="2:11">
      <c r="B36" s="374">
        <f t="shared" si="1"/>
        <v>45104</v>
      </c>
      <c r="C36" s="375" t="str">
        <f>IF(INICIO!$C$7&gt;DAY($B36)-1,(VLOOKUP($B36,DATOSAÑO!$B$11:$BG$375,92))," ")</f>
        <v xml:space="preserve"> </v>
      </c>
      <c r="D36" s="375" t="str">
        <f>IF(INICIO!$C$7&gt;DAY($B36)-1,(VLOOKUP($B36,DATOSAÑO!$B$11:$BG$375,98))," ")</f>
        <v xml:space="preserve"> </v>
      </c>
      <c r="E36" s="375" t="str">
        <f>IF(INICIO!$C$7&gt;DAY($B36)-1,(VLOOKUP($B36,DATOSAÑO!$B$11:$BG$375,96))," ")</f>
        <v xml:space="preserve"> </v>
      </c>
      <c r="F36" s="375" t="str">
        <f>IF(INICIO!$C$7&gt;DAY($B36)-1,(VLOOKUP($B36,DATOSAÑO!$B$11:$BG$375,93))," ")</f>
        <v xml:space="preserve"> </v>
      </c>
      <c r="G36" s="375" t="str">
        <f>IF(INICIO!$C$7&gt;DAY($B36)-1,(VLOOKUP($B36,DATOSAÑO!$B$11:$BG$375,99))," ")</f>
        <v xml:space="preserve"> </v>
      </c>
      <c r="H36" s="375" t="str">
        <f>IF(INICIO!$C$7&gt;DAY($B36)-1,(VLOOKUP($B36,DATOSAÑO!$B$11:$BG$375,97))," ")</f>
        <v xml:space="preserve"> </v>
      </c>
      <c r="I36" s="376" t="str">
        <f t="shared" si="0"/>
        <v xml:space="preserve"> </v>
      </c>
    </row>
    <row r="37" spans="2:11">
      <c r="B37" s="374">
        <f>IF((B36+1)&gt;$K$5," ",(B36+1))</f>
        <v>45105</v>
      </c>
      <c r="C37" s="375" t="str">
        <f>IF(INICIO!$C$7&gt;DAY($B37)-1,(VLOOKUP($B37,DATOSAÑO!$B$11:$BG$375,92))," ")</f>
        <v xml:space="preserve"> </v>
      </c>
      <c r="D37" s="375" t="str">
        <f>IF(INICIO!$C$7&gt;DAY($B37)-1,(VLOOKUP($B37,DATOSAÑO!$B$11:$BG$375,98))," ")</f>
        <v xml:space="preserve"> </v>
      </c>
      <c r="E37" s="375" t="str">
        <f>IF(INICIO!$C$7&gt;DAY($B37)-1,(VLOOKUP($B37,DATOSAÑO!$B$11:$BG$375,96))," ")</f>
        <v xml:space="preserve"> </v>
      </c>
      <c r="F37" s="375" t="str">
        <f>IF(INICIO!$C$7&gt;DAY($B37)-1,(VLOOKUP($B37,DATOSAÑO!$B$11:$BG$375,93))," ")</f>
        <v xml:space="preserve"> </v>
      </c>
      <c r="G37" s="375" t="str">
        <f>IF(INICIO!$C$7&gt;DAY($B37)-1,(VLOOKUP($B37,DATOSAÑO!$B$11:$BG$375,99))," ")</f>
        <v xml:space="preserve"> </v>
      </c>
      <c r="H37" s="375" t="str">
        <f>IF(INICIO!$C$7&gt;DAY($B37)-1,(VLOOKUP($B37,DATOSAÑO!$B$11:$BG$375,97))," ")</f>
        <v xml:space="preserve"> </v>
      </c>
      <c r="I37" s="376" t="str">
        <f t="shared" si="0"/>
        <v xml:space="preserve"> </v>
      </c>
    </row>
    <row r="38" spans="2:11">
      <c r="B38" s="374">
        <f>IF((B37+1)&gt;$K$5," ",(B37+1))</f>
        <v>45106</v>
      </c>
      <c r="C38" s="375" t="str">
        <f>IF(INICIO!$C$7&gt;DAY($B38)-1,(VLOOKUP($B38,DATOSAÑO!$B$11:$BG$375,92))," ")</f>
        <v xml:space="preserve"> </v>
      </c>
      <c r="D38" s="375" t="str">
        <f>IF(INICIO!$C$7&gt;DAY($B38)-1,(VLOOKUP($B38,DATOSAÑO!$B$11:$BG$375,98))," ")</f>
        <v xml:space="preserve"> </v>
      </c>
      <c r="E38" s="375" t="str">
        <f>IF(INICIO!$C$7&gt;DAY($B38)-1,(VLOOKUP($B38,DATOSAÑO!$B$11:$BG$375,96))," ")</f>
        <v xml:space="preserve"> </v>
      </c>
      <c r="F38" s="375" t="str">
        <f>IF(INICIO!$C$7&gt;DAY($B38)-1,(VLOOKUP($B38,DATOSAÑO!$B$11:$BG$375,93))," ")</f>
        <v xml:space="preserve"> </v>
      </c>
      <c r="G38" s="375" t="str">
        <f>IF(INICIO!$C$7&gt;DAY($B38)-1,(VLOOKUP($B38,DATOSAÑO!$B$11:$BG$375,99))," ")</f>
        <v xml:space="preserve"> </v>
      </c>
      <c r="H38" s="375" t="str">
        <f>IF(INICIO!$C$7&gt;DAY($B38)-1,(VLOOKUP($B38,DATOSAÑO!$B$11:$BG$375,97))," ")</f>
        <v xml:space="preserve"> </v>
      </c>
      <c r="I38" s="376" t="str">
        <f t="shared" si="0"/>
        <v xml:space="preserve"> </v>
      </c>
    </row>
    <row r="39" spans="2:11">
      <c r="B39" s="374">
        <f>IF((B38+1)&gt;$K$5," ",(B38+1))</f>
        <v>45107</v>
      </c>
      <c r="C39" s="375" t="str">
        <f>IF(INICIO!$C$7&gt;DAY($B39)-1,(VLOOKUP($B39,DATOSAÑO!$B$11:$BG$375,92))," ")</f>
        <v xml:space="preserve"> </v>
      </c>
      <c r="D39" s="375" t="str">
        <f>IF(INICIO!$C$7&gt;DAY($B39)-1,(VLOOKUP($B39,DATOSAÑO!$B$11:$BG$375,98))," ")</f>
        <v xml:space="preserve"> </v>
      </c>
      <c r="E39" s="375" t="str">
        <f>IF(INICIO!$C$7&gt;DAY($B39)-1,(VLOOKUP($B39,DATOSAÑO!$B$11:$BG$375,96))," ")</f>
        <v xml:space="preserve"> </v>
      </c>
      <c r="F39" s="375" t="str">
        <f>IF(INICIO!$C$7&gt;DAY($B39)-1,(VLOOKUP($B39,DATOSAÑO!$B$11:$BG$375,93))," ")</f>
        <v xml:space="preserve"> </v>
      </c>
      <c r="G39" s="375" t="str">
        <f>IF(INICIO!$C$7&gt;DAY($B39)-1,(VLOOKUP($B39,DATOSAÑO!$B$11:$BG$375,99))," ")</f>
        <v xml:space="preserve"> </v>
      </c>
      <c r="H39" s="375" t="str">
        <f>IF(INICIO!$C$7&gt;DAY($B39)-1,(VLOOKUP($B39,DATOSAÑO!$B$11:$BG$375,97))," ")</f>
        <v xml:space="preserve"> </v>
      </c>
      <c r="I39" s="376" t="str">
        <f>IF(AND($C39=" ",$F39=" ")," ",(C39+F39))</f>
        <v xml:space="preserve"> </v>
      </c>
    </row>
    <row r="40" spans="2:11" ht="15" thickBot="1">
      <c r="B40" s="374" t="str">
        <f>IF((B39+1)&gt;$K$5," ",(B39+1))</f>
        <v xml:space="preserve"> </v>
      </c>
      <c r="C40" s="375" t="e">
        <f>IF(INICIO!$C$7&gt;DAY($B40)-1,(VLOOKUP($B40,DATOSAÑO!$B$11:$BG$375,92))," ")</f>
        <v>#VALUE!</v>
      </c>
      <c r="D40" s="375" t="e">
        <f>IF(INICIO!$C$7&gt;DAY($B40)-1,(VLOOKUP($B40,DATOSAÑO!$B$11:$BG$375,98))," ")</f>
        <v>#VALUE!</v>
      </c>
      <c r="E40" s="375" t="e">
        <f>IF(INICIO!$C$7&gt;DAY($B40)-1,(VLOOKUP($B40,DATOSAÑO!$B$11:$BG$375,96))," ")</f>
        <v>#VALUE!</v>
      </c>
      <c r="F40" s="375" t="e">
        <f>IF(INICIO!$C$7&gt;DAY($B40)-1,(VLOOKUP($B40,DATOSAÑO!$B$11:$BG$375,93))," ")</f>
        <v>#VALUE!</v>
      </c>
      <c r="G40" s="375" t="e">
        <f>IF(INICIO!$C$7&gt;DAY($B40)-1,(VLOOKUP($B40,DATOSAÑO!$B$11:$BG$375,99))," ")</f>
        <v>#VALUE!</v>
      </c>
      <c r="H40" s="375" t="e">
        <f>IF(INICIO!$C$7&gt;DAY($B40)-1,(VLOOKUP($B40,DATOSAÑO!$B$11:$BG$375,97))," ")</f>
        <v>#VALUE!</v>
      </c>
      <c r="I40" s="376" t="e">
        <f>IF(AND($C40=" ",$F40=" ")," ",(C40+F40))</f>
        <v>#VALUE!</v>
      </c>
    </row>
    <row r="41" spans="2:11" ht="4.5" customHeight="1" thickBot="1">
      <c r="B41" s="377"/>
      <c r="C41" s="15"/>
      <c r="D41" s="15"/>
      <c r="E41" s="15"/>
      <c r="F41" s="15"/>
      <c r="G41" s="15"/>
      <c r="H41" s="15"/>
      <c r="I41" s="378"/>
    </row>
    <row r="42" spans="2:11" ht="15" customHeight="1">
      <c r="B42" s="379" t="s">
        <v>132</v>
      </c>
      <c r="C42" s="2434" t="str">
        <f ca="1">IF(INICIO!$C$7&gt;DAY($K6)-1,(VLOOKUP($K5,DATOSAÑO!$AS$376:$BG$387,4))," ")</f>
        <v xml:space="preserve"> </v>
      </c>
      <c r="D42" s="2436" t="str">
        <f ca="1">IF(INICIO!$C$7&gt;DAY($K6)-1,(VLOOKUP($K5,DATOSAÑO!$AS$376:$BG$387,10))," ")</f>
        <v xml:space="preserve"> </v>
      </c>
      <c r="E42" s="2436" t="str">
        <f ca="1">IF(INICIO!$C$7&gt;DAY($K6)-1,(VLOOKUP($K5,DATOSAÑO!$AS$376:$BG$387,8))," ")</f>
        <v xml:space="preserve"> </v>
      </c>
      <c r="F42" s="2436" t="str">
        <f ca="1">IF(INICIO!$C$7&gt;DAY($K6)-1,(VLOOKUP($K5,DATOSAÑO!$AS$376:$BG$387,5))," ")</f>
        <v xml:space="preserve"> </v>
      </c>
      <c r="G42" s="2436" t="str">
        <f ca="1">IF(INICIO!$C$7&gt;DAY($K6)-1,(VLOOKUP($K5,DATOSAÑO!$AS$376:$BG$387,11))," ")</f>
        <v xml:space="preserve"> </v>
      </c>
      <c r="H42" s="2436" t="str">
        <f ca="1">IF(INICIO!$C$7&gt;DAY($K6)-1,(VLOOKUP($K5,DATOSAÑO!$AS$376:$BG$387,9))," ")</f>
        <v xml:space="preserve"> </v>
      </c>
      <c r="I42" s="2432" t="e">
        <f>SUM(I10:I40)</f>
        <v>#REF!</v>
      </c>
    </row>
    <row r="43" spans="2:11" ht="15.75" customHeight="1" thickBot="1">
      <c r="B43" s="380" t="str">
        <f>TEXT(K5,"MMMM")</f>
        <v>junio</v>
      </c>
      <c r="C43" s="2435"/>
      <c r="D43" s="2437"/>
      <c r="E43" s="2437"/>
      <c r="F43" s="2437"/>
      <c r="G43" s="2437"/>
      <c r="H43" s="2437"/>
      <c r="I43" s="2433"/>
      <c r="K43" s="385"/>
    </row>
    <row r="44" spans="2:11" ht="25.5" hidden="1" customHeight="1">
      <c r="B44" s="381" t="s">
        <v>230</v>
      </c>
      <c r="C44" s="2434" t="e">
        <f>DATOSAÑO!#REF!</f>
        <v>#REF!</v>
      </c>
      <c r="D44" s="2436" t="e">
        <f>DATOSAÑO!#REF!</f>
        <v>#REF!</v>
      </c>
      <c r="E44" s="2436" t="e">
        <f>DATOSAÑO!#REF!</f>
        <v>#REF!</v>
      </c>
      <c r="F44" s="2436" t="e">
        <f>DATOSAÑO!#REF!</f>
        <v>#REF!</v>
      </c>
      <c r="G44" s="2436" t="e">
        <f>DATOSAÑO!#REF!</f>
        <v>#REF!</v>
      </c>
      <c r="H44" s="2436" t="e">
        <f>DATOSAÑO!#REF!</f>
        <v>#REF!</v>
      </c>
      <c r="I44" s="2432" t="e">
        <f>DATOSAÑO!#REF!</f>
        <v>#REF!</v>
      </c>
    </row>
    <row r="45" spans="2:11" ht="16.5" hidden="1" customHeight="1" thickBot="1">
      <c r="B45" s="382" t="e">
        <f>YEAR("B47")</f>
        <v>#VALUE!</v>
      </c>
      <c r="C45" s="2435"/>
      <c r="D45" s="2437"/>
      <c r="E45" s="2437"/>
      <c r="F45" s="2437"/>
      <c r="G45" s="2437"/>
      <c r="H45" s="2437"/>
      <c r="I45" s="2433"/>
    </row>
    <row r="47" spans="2:11">
      <c r="B47" s="385">
        <v>42004</v>
      </c>
    </row>
    <row r="48" spans="2:11">
      <c r="B48" s="25"/>
    </row>
    <row r="54" ht="15" customHeight="1"/>
  </sheetData>
  <mergeCells count="21">
    <mergeCell ref="I42:I43"/>
    <mergeCell ref="C44:C45"/>
    <mergeCell ref="D44:D45"/>
    <mergeCell ref="E44:E45"/>
    <mergeCell ref="F44:F45"/>
    <mergeCell ref="G44:G45"/>
    <mergeCell ref="H44:H45"/>
    <mergeCell ref="I44:I45"/>
    <mergeCell ref="C42:C43"/>
    <mergeCell ref="D42:D43"/>
    <mergeCell ref="E42:E43"/>
    <mergeCell ref="F42:F43"/>
    <mergeCell ref="G42:G43"/>
    <mergeCell ref="H42:H43"/>
    <mergeCell ref="C8:E8"/>
    <mergeCell ref="F8:H8"/>
    <mergeCell ref="K4:L4"/>
    <mergeCell ref="T4:U4"/>
    <mergeCell ref="K5:L5"/>
    <mergeCell ref="T5:U5"/>
    <mergeCell ref="K6:L6"/>
  </mergeCells>
  <pageMargins left="0.70866141732283472" right="0.70866141732283472" top="0.74803149606299213" bottom="0.74803149606299213" header="0.31496062992125984" footer="0.31496062992125984"/>
  <pageSetup scale="80" fitToWidth="0" fitToHeight="0" orientation="portrait"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9"/>
  <dimension ref="A1:T47"/>
  <sheetViews>
    <sheetView workbookViewId="0">
      <selection activeCell="A9" sqref="A9"/>
    </sheetView>
  </sheetViews>
  <sheetFormatPr baseColWidth="10" defaultColWidth="9.21875" defaultRowHeight="14.4"/>
  <cols>
    <col min="1" max="1" width="12.21875" bestFit="1" customWidth="1"/>
    <col min="2" max="2" width="15.77734375" customWidth="1"/>
    <col min="3" max="3" width="18.21875" customWidth="1"/>
    <col min="4" max="4" width="15.77734375" customWidth="1"/>
    <col min="5" max="6" width="18.21875" customWidth="1"/>
    <col min="7" max="7" width="15.77734375" customWidth="1"/>
    <col min="8" max="10" width="18.21875" customWidth="1"/>
    <col min="11" max="11" width="15.77734375" customWidth="1"/>
    <col min="12" max="12" width="18.21875" customWidth="1"/>
    <col min="13" max="13" width="17" customWidth="1"/>
    <col min="14" max="14" width="16.77734375" customWidth="1"/>
    <col min="15" max="15" width="17.21875" customWidth="1"/>
    <col min="16" max="16" width="17" customWidth="1"/>
    <col min="17" max="17" width="16.5546875" customWidth="1"/>
    <col min="18" max="19" width="16.77734375" customWidth="1"/>
    <col min="20" max="20" width="15.21875" customWidth="1"/>
    <col min="257" max="257" width="12.21875" bestFit="1" customWidth="1"/>
    <col min="258" max="258" width="15.77734375" customWidth="1"/>
    <col min="259" max="259" width="18.21875" customWidth="1"/>
    <col min="260" max="260" width="15.77734375" customWidth="1"/>
    <col min="261" max="262" width="18.21875" customWidth="1"/>
    <col min="263" max="263" width="15.77734375" customWidth="1"/>
    <col min="264" max="266" width="18.21875" customWidth="1"/>
    <col min="267" max="267" width="15.77734375" customWidth="1"/>
    <col min="268" max="268" width="18.21875" customWidth="1"/>
    <col min="269" max="269" width="17" customWidth="1"/>
    <col min="270" max="270" width="16.77734375" customWidth="1"/>
    <col min="271" max="271" width="17.21875" customWidth="1"/>
    <col min="272" max="272" width="17" customWidth="1"/>
    <col min="273" max="273" width="16.5546875" customWidth="1"/>
    <col min="274" max="275" width="16.77734375" customWidth="1"/>
    <col min="276" max="276" width="15.21875" customWidth="1"/>
    <col min="513" max="513" width="12.21875" bestFit="1" customWidth="1"/>
    <col min="514" max="514" width="15.77734375" customWidth="1"/>
    <col min="515" max="515" width="18.21875" customWidth="1"/>
    <col min="516" max="516" width="15.77734375" customWidth="1"/>
    <col min="517" max="518" width="18.21875" customWidth="1"/>
    <col min="519" max="519" width="15.77734375" customWidth="1"/>
    <col min="520" max="522" width="18.21875" customWidth="1"/>
    <col min="523" max="523" width="15.77734375" customWidth="1"/>
    <col min="524" max="524" width="18.21875" customWidth="1"/>
    <col min="525" max="525" width="17" customWidth="1"/>
    <col min="526" max="526" width="16.77734375" customWidth="1"/>
    <col min="527" max="527" width="17.21875" customWidth="1"/>
    <col min="528" max="528" width="17" customWidth="1"/>
    <col min="529" max="529" width="16.5546875" customWidth="1"/>
    <col min="530" max="531" width="16.77734375" customWidth="1"/>
    <col min="532" max="532" width="15.21875" customWidth="1"/>
    <col min="769" max="769" width="12.21875" bestFit="1" customWidth="1"/>
    <col min="770" max="770" width="15.77734375" customWidth="1"/>
    <col min="771" max="771" width="18.21875" customWidth="1"/>
    <col min="772" max="772" width="15.77734375" customWidth="1"/>
    <col min="773" max="774" width="18.21875" customWidth="1"/>
    <col min="775" max="775" width="15.77734375" customWidth="1"/>
    <col min="776" max="778" width="18.21875" customWidth="1"/>
    <col min="779" max="779" width="15.77734375" customWidth="1"/>
    <col min="780" max="780" width="18.21875" customWidth="1"/>
    <col min="781" max="781" width="17" customWidth="1"/>
    <col min="782" max="782" width="16.77734375" customWidth="1"/>
    <col min="783" max="783" width="17.21875" customWidth="1"/>
    <col min="784" max="784" width="17" customWidth="1"/>
    <col min="785" max="785" width="16.5546875" customWidth="1"/>
    <col min="786" max="787" width="16.77734375" customWidth="1"/>
    <col min="788" max="788" width="15.21875" customWidth="1"/>
    <col min="1025" max="1025" width="12.21875" bestFit="1" customWidth="1"/>
    <col min="1026" max="1026" width="15.77734375" customWidth="1"/>
    <col min="1027" max="1027" width="18.21875" customWidth="1"/>
    <col min="1028" max="1028" width="15.77734375" customWidth="1"/>
    <col min="1029" max="1030" width="18.21875" customWidth="1"/>
    <col min="1031" max="1031" width="15.77734375" customWidth="1"/>
    <col min="1032" max="1034" width="18.21875" customWidth="1"/>
    <col min="1035" max="1035" width="15.77734375" customWidth="1"/>
    <col min="1036" max="1036" width="18.21875" customWidth="1"/>
    <col min="1037" max="1037" width="17" customWidth="1"/>
    <col min="1038" max="1038" width="16.77734375" customWidth="1"/>
    <col min="1039" max="1039" width="17.21875" customWidth="1"/>
    <col min="1040" max="1040" width="17" customWidth="1"/>
    <col min="1041" max="1041" width="16.5546875" customWidth="1"/>
    <col min="1042" max="1043" width="16.77734375" customWidth="1"/>
    <col min="1044" max="1044" width="15.21875" customWidth="1"/>
    <col min="1281" max="1281" width="12.21875" bestFit="1" customWidth="1"/>
    <col min="1282" max="1282" width="15.77734375" customWidth="1"/>
    <col min="1283" max="1283" width="18.21875" customWidth="1"/>
    <col min="1284" max="1284" width="15.77734375" customWidth="1"/>
    <col min="1285" max="1286" width="18.21875" customWidth="1"/>
    <col min="1287" max="1287" width="15.77734375" customWidth="1"/>
    <col min="1288" max="1290" width="18.21875" customWidth="1"/>
    <col min="1291" max="1291" width="15.77734375" customWidth="1"/>
    <col min="1292" max="1292" width="18.21875" customWidth="1"/>
    <col min="1293" max="1293" width="17" customWidth="1"/>
    <col min="1294" max="1294" width="16.77734375" customWidth="1"/>
    <col min="1295" max="1295" width="17.21875" customWidth="1"/>
    <col min="1296" max="1296" width="17" customWidth="1"/>
    <col min="1297" max="1297" width="16.5546875" customWidth="1"/>
    <col min="1298" max="1299" width="16.77734375" customWidth="1"/>
    <col min="1300" max="1300" width="15.21875" customWidth="1"/>
    <col min="1537" max="1537" width="12.21875" bestFit="1" customWidth="1"/>
    <col min="1538" max="1538" width="15.77734375" customWidth="1"/>
    <col min="1539" max="1539" width="18.21875" customWidth="1"/>
    <col min="1540" max="1540" width="15.77734375" customWidth="1"/>
    <col min="1541" max="1542" width="18.21875" customWidth="1"/>
    <col min="1543" max="1543" width="15.77734375" customWidth="1"/>
    <col min="1544" max="1546" width="18.21875" customWidth="1"/>
    <col min="1547" max="1547" width="15.77734375" customWidth="1"/>
    <col min="1548" max="1548" width="18.21875" customWidth="1"/>
    <col min="1549" max="1549" width="17" customWidth="1"/>
    <col min="1550" max="1550" width="16.77734375" customWidth="1"/>
    <col min="1551" max="1551" width="17.21875" customWidth="1"/>
    <col min="1552" max="1552" width="17" customWidth="1"/>
    <col min="1553" max="1553" width="16.5546875" customWidth="1"/>
    <col min="1554" max="1555" width="16.77734375" customWidth="1"/>
    <col min="1556" max="1556" width="15.21875" customWidth="1"/>
    <col min="1793" max="1793" width="12.21875" bestFit="1" customWidth="1"/>
    <col min="1794" max="1794" width="15.77734375" customWidth="1"/>
    <col min="1795" max="1795" width="18.21875" customWidth="1"/>
    <col min="1796" max="1796" width="15.77734375" customWidth="1"/>
    <col min="1797" max="1798" width="18.21875" customWidth="1"/>
    <col min="1799" max="1799" width="15.77734375" customWidth="1"/>
    <col min="1800" max="1802" width="18.21875" customWidth="1"/>
    <col min="1803" max="1803" width="15.77734375" customWidth="1"/>
    <col min="1804" max="1804" width="18.21875" customWidth="1"/>
    <col min="1805" max="1805" width="17" customWidth="1"/>
    <col min="1806" max="1806" width="16.77734375" customWidth="1"/>
    <col min="1807" max="1807" width="17.21875" customWidth="1"/>
    <col min="1808" max="1808" width="17" customWidth="1"/>
    <col min="1809" max="1809" width="16.5546875" customWidth="1"/>
    <col min="1810" max="1811" width="16.77734375" customWidth="1"/>
    <col min="1812" max="1812" width="15.21875" customWidth="1"/>
    <col min="2049" max="2049" width="12.21875" bestFit="1" customWidth="1"/>
    <col min="2050" max="2050" width="15.77734375" customWidth="1"/>
    <col min="2051" max="2051" width="18.21875" customWidth="1"/>
    <col min="2052" max="2052" width="15.77734375" customWidth="1"/>
    <col min="2053" max="2054" width="18.21875" customWidth="1"/>
    <col min="2055" max="2055" width="15.77734375" customWidth="1"/>
    <col min="2056" max="2058" width="18.21875" customWidth="1"/>
    <col min="2059" max="2059" width="15.77734375" customWidth="1"/>
    <col min="2060" max="2060" width="18.21875" customWidth="1"/>
    <col min="2061" max="2061" width="17" customWidth="1"/>
    <col min="2062" max="2062" width="16.77734375" customWidth="1"/>
    <col min="2063" max="2063" width="17.21875" customWidth="1"/>
    <col min="2064" max="2064" width="17" customWidth="1"/>
    <col min="2065" max="2065" width="16.5546875" customWidth="1"/>
    <col min="2066" max="2067" width="16.77734375" customWidth="1"/>
    <col min="2068" max="2068" width="15.21875" customWidth="1"/>
    <col min="2305" max="2305" width="12.21875" bestFit="1" customWidth="1"/>
    <col min="2306" max="2306" width="15.77734375" customWidth="1"/>
    <col min="2307" max="2307" width="18.21875" customWidth="1"/>
    <col min="2308" max="2308" width="15.77734375" customWidth="1"/>
    <col min="2309" max="2310" width="18.21875" customWidth="1"/>
    <col min="2311" max="2311" width="15.77734375" customWidth="1"/>
    <col min="2312" max="2314" width="18.21875" customWidth="1"/>
    <col min="2315" max="2315" width="15.77734375" customWidth="1"/>
    <col min="2316" max="2316" width="18.21875" customWidth="1"/>
    <col min="2317" max="2317" width="17" customWidth="1"/>
    <col min="2318" max="2318" width="16.77734375" customWidth="1"/>
    <col min="2319" max="2319" width="17.21875" customWidth="1"/>
    <col min="2320" max="2320" width="17" customWidth="1"/>
    <col min="2321" max="2321" width="16.5546875" customWidth="1"/>
    <col min="2322" max="2323" width="16.77734375" customWidth="1"/>
    <col min="2324" max="2324" width="15.21875" customWidth="1"/>
    <col min="2561" max="2561" width="12.21875" bestFit="1" customWidth="1"/>
    <col min="2562" max="2562" width="15.77734375" customWidth="1"/>
    <col min="2563" max="2563" width="18.21875" customWidth="1"/>
    <col min="2564" max="2564" width="15.77734375" customWidth="1"/>
    <col min="2565" max="2566" width="18.21875" customWidth="1"/>
    <col min="2567" max="2567" width="15.77734375" customWidth="1"/>
    <col min="2568" max="2570" width="18.21875" customWidth="1"/>
    <col min="2571" max="2571" width="15.77734375" customWidth="1"/>
    <col min="2572" max="2572" width="18.21875" customWidth="1"/>
    <col min="2573" max="2573" width="17" customWidth="1"/>
    <col min="2574" max="2574" width="16.77734375" customWidth="1"/>
    <col min="2575" max="2575" width="17.21875" customWidth="1"/>
    <col min="2576" max="2576" width="17" customWidth="1"/>
    <col min="2577" max="2577" width="16.5546875" customWidth="1"/>
    <col min="2578" max="2579" width="16.77734375" customWidth="1"/>
    <col min="2580" max="2580" width="15.21875" customWidth="1"/>
    <col min="2817" max="2817" width="12.21875" bestFit="1" customWidth="1"/>
    <col min="2818" max="2818" width="15.77734375" customWidth="1"/>
    <col min="2819" max="2819" width="18.21875" customWidth="1"/>
    <col min="2820" max="2820" width="15.77734375" customWidth="1"/>
    <col min="2821" max="2822" width="18.21875" customWidth="1"/>
    <col min="2823" max="2823" width="15.77734375" customWidth="1"/>
    <col min="2824" max="2826" width="18.21875" customWidth="1"/>
    <col min="2827" max="2827" width="15.77734375" customWidth="1"/>
    <col min="2828" max="2828" width="18.21875" customWidth="1"/>
    <col min="2829" max="2829" width="17" customWidth="1"/>
    <col min="2830" max="2830" width="16.77734375" customWidth="1"/>
    <col min="2831" max="2831" width="17.21875" customWidth="1"/>
    <col min="2832" max="2832" width="17" customWidth="1"/>
    <col min="2833" max="2833" width="16.5546875" customWidth="1"/>
    <col min="2834" max="2835" width="16.77734375" customWidth="1"/>
    <col min="2836" max="2836" width="15.21875" customWidth="1"/>
    <col min="3073" max="3073" width="12.21875" bestFit="1" customWidth="1"/>
    <col min="3074" max="3074" width="15.77734375" customWidth="1"/>
    <col min="3075" max="3075" width="18.21875" customWidth="1"/>
    <col min="3076" max="3076" width="15.77734375" customWidth="1"/>
    <col min="3077" max="3078" width="18.21875" customWidth="1"/>
    <col min="3079" max="3079" width="15.77734375" customWidth="1"/>
    <col min="3080" max="3082" width="18.21875" customWidth="1"/>
    <col min="3083" max="3083" width="15.77734375" customWidth="1"/>
    <col min="3084" max="3084" width="18.21875" customWidth="1"/>
    <col min="3085" max="3085" width="17" customWidth="1"/>
    <col min="3086" max="3086" width="16.77734375" customWidth="1"/>
    <col min="3087" max="3087" width="17.21875" customWidth="1"/>
    <col min="3088" max="3088" width="17" customWidth="1"/>
    <col min="3089" max="3089" width="16.5546875" customWidth="1"/>
    <col min="3090" max="3091" width="16.77734375" customWidth="1"/>
    <col min="3092" max="3092" width="15.21875" customWidth="1"/>
    <col min="3329" max="3329" width="12.21875" bestFit="1" customWidth="1"/>
    <col min="3330" max="3330" width="15.77734375" customWidth="1"/>
    <col min="3331" max="3331" width="18.21875" customWidth="1"/>
    <col min="3332" max="3332" width="15.77734375" customWidth="1"/>
    <col min="3333" max="3334" width="18.21875" customWidth="1"/>
    <col min="3335" max="3335" width="15.77734375" customWidth="1"/>
    <col min="3336" max="3338" width="18.21875" customWidth="1"/>
    <col min="3339" max="3339" width="15.77734375" customWidth="1"/>
    <col min="3340" max="3340" width="18.21875" customWidth="1"/>
    <col min="3341" max="3341" width="17" customWidth="1"/>
    <col min="3342" max="3342" width="16.77734375" customWidth="1"/>
    <col min="3343" max="3343" width="17.21875" customWidth="1"/>
    <col min="3344" max="3344" width="17" customWidth="1"/>
    <col min="3345" max="3345" width="16.5546875" customWidth="1"/>
    <col min="3346" max="3347" width="16.77734375" customWidth="1"/>
    <col min="3348" max="3348" width="15.21875" customWidth="1"/>
    <col min="3585" max="3585" width="12.21875" bestFit="1" customWidth="1"/>
    <col min="3586" max="3586" width="15.77734375" customWidth="1"/>
    <col min="3587" max="3587" width="18.21875" customWidth="1"/>
    <col min="3588" max="3588" width="15.77734375" customWidth="1"/>
    <col min="3589" max="3590" width="18.21875" customWidth="1"/>
    <col min="3591" max="3591" width="15.77734375" customWidth="1"/>
    <col min="3592" max="3594" width="18.21875" customWidth="1"/>
    <col min="3595" max="3595" width="15.77734375" customWidth="1"/>
    <col min="3596" max="3596" width="18.21875" customWidth="1"/>
    <col min="3597" max="3597" width="17" customWidth="1"/>
    <col min="3598" max="3598" width="16.77734375" customWidth="1"/>
    <col min="3599" max="3599" width="17.21875" customWidth="1"/>
    <col min="3600" max="3600" width="17" customWidth="1"/>
    <col min="3601" max="3601" width="16.5546875" customWidth="1"/>
    <col min="3602" max="3603" width="16.77734375" customWidth="1"/>
    <col min="3604" max="3604" width="15.21875" customWidth="1"/>
    <col min="3841" max="3841" width="12.21875" bestFit="1" customWidth="1"/>
    <col min="3842" max="3842" width="15.77734375" customWidth="1"/>
    <col min="3843" max="3843" width="18.21875" customWidth="1"/>
    <col min="3844" max="3844" width="15.77734375" customWidth="1"/>
    <col min="3845" max="3846" width="18.21875" customWidth="1"/>
    <col min="3847" max="3847" width="15.77734375" customWidth="1"/>
    <col min="3848" max="3850" width="18.21875" customWidth="1"/>
    <col min="3851" max="3851" width="15.77734375" customWidth="1"/>
    <col min="3852" max="3852" width="18.21875" customWidth="1"/>
    <col min="3853" max="3853" width="17" customWidth="1"/>
    <col min="3854" max="3854" width="16.77734375" customWidth="1"/>
    <col min="3855" max="3855" width="17.21875" customWidth="1"/>
    <col min="3856" max="3856" width="17" customWidth="1"/>
    <col min="3857" max="3857" width="16.5546875" customWidth="1"/>
    <col min="3858" max="3859" width="16.77734375" customWidth="1"/>
    <col min="3860" max="3860" width="15.21875" customWidth="1"/>
    <col min="4097" max="4097" width="12.21875" bestFit="1" customWidth="1"/>
    <col min="4098" max="4098" width="15.77734375" customWidth="1"/>
    <col min="4099" max="4099" width="18.21875" customWidth="1"/>
    <col min="4100" max="4100" width="15.77734375" customWidth="1"/>
    <col min="4101" max="4102" width="18.21875" customWidth="1"/>
    <col min="4103" max="4103" width="15.77734375" customWidth="1"/>
    <col min="4104" max="4106" width="18.21875" customWidth="1"/>
    <col min="4107" max="4107" width="15.77734375" customWidth="1"/>
    <col min="4108" max="4108" width="18.21875" customWidth="1"/>
    <col min="4109" max="4109" width="17" customWidth="1"/>
    <col min="4110" max="4110" width="16.77734375" customWidth="1"/>
    <col min="4111" max="4111" width="17.21875" customWidth="1"/>
    <col min="4112" max="4112" width="17" customWidth="1"/>
    <col min="4113" max="4113" width="16.5546875" customWidth="1"/>
    <col min="4114" max="4115" width="16.77734375" customWidth="1"/>
    <col min="4116" max="4116" width="15.21875" customWidth="1"/>
    <col min="4353" max="4353" width="12.21875" bestFit="1" customWidth="1"/>
    <col min="4354" max="4354" width="15.77734375" customWidth="1"/>
    <col min="4355" max="4355" width="18.21875" customWidth="1"/>
    <col min="4356" max="4356" width="15.77734375" customWidth="1"/>
    <col min="4357" max="4358" width="18.21875" customWidth="1"/>
    <col min="4359" max="4359" width="15.77734375" customWidth="1"/>
    <col min="4360" max="4362" width="18.21875" customWidth="1"/>
    <col min="4363" max="4363" width="15.77734375" customWidth="1"/>
    <col min="4364" max="4364" width="18.21875" customWidth="1"/>
    <col min="4365" max="4365" width="17" customWidth="1"/>
    <col min="4366" max="4366" width="16.77734375" customWidth="1"/>
    <col min="4367" max="4367" width="17.21875" customWidth="1"/>
    <col min="4368" max="4368" width="17" customWidth="1"/>
    <col min="4369" max="4369" width="16.5546875" customWidth="1"/>
    <col min="4370" max="4371" width="16.77734375" customWidth="1"/>
    <col min="4372" max="4372" width="15.21875" customWidth="1"/>
    <col min="4609" max="4609" width="12.21875" bestFit="1" customWidth="1"/>
    <col min="4610" max="4610" width="15.77734375" customWidth="1"/>
    <col min="4611" max="4611" width="18.21875" customWidth="1"/>
    <col min="4612" max="4612" width="15.77734375" customWidth="1"/>
    <col min="4613" max="4614" width="18.21875" customWidth="1"/>
    <col min="4615" max="4615" width="15.77734375" customWidth="1"/>
    <col min="4616" max="4618" width="18.21875" customWidth="1"/>
    <col min="4619" max="4619" width="15.77734375" customWidth="1"/>
    <col min="4620" max="4620" width="18.21875" customWidth="1"/>
    <col min="4621" max="4621" width="17" customWidth="1"/>
    <col min="4622" max="4622" width="16.77734375" customWidth="1"/>
    <col min="4623" max="4623" width="17.21875" customWidth="1"/>
    <col min="4624" max="4624" width="17" customWidth="1"/>
    <col min="4625" max="4625" width="16.5546875" customWidth="1"/>
    <col min="4626" max="4627" width="16.77734375" customWidth="1"/>
    <col min="4628" max="4628" width="15.21875" customWidth="1"/>
    <col min="4865" max="4865" width="12.21875" bestFit="1" customWidth="1"/>
    <col min="4866" max="4866" width="15.77734375" customWidth="1"/>
    <col min="4867" max="4867" width="18.21875" customWidth="1"/>
    <col min="4868" max="4868" width="15.77734375" customWidth="1"/>
    <col min="4869" max="4870" width="18.21875" customWidth="1"/>
    <col min="4871" max="4871" width="15.77734375" customWidth="1"/>
    <col min="4872" max="4874" width="18.21875" customWidth="1"/>
    <col min="4875" max="4875" width="15.77734375" customWidth="1"/>
    <col min="4876" max="4876" width="18.21875" customWidth="1"/>
    <col min="4877" max="4877" width="17" customWidth="1"/>
    <col min="4878" max="4878" width="16.77734375" customWidth="1"/>
    <col min="4879" max="4879" width="17.21875" customWidth="1"/>
    <col min="4880" max="4880" width="17" customWidth="1"/>
    <col min="4881" max="4881" width="16.5546875" customWidth="1"/>
    <col min="4882" max="4883" width="16.77734375" customWidth="1"/>
    <col min="4884" max="4884" width="15.21875" customWidth="1"/>
    <col min="5121" max="5121" width="12.21875" bestFit="1" customWidth="1"/>
    <col min="5122" max="5122" width="15.77734375" customWidth="1"/>
    <col min="5123" max="5123" width="18.21875" customWidth="1"/>
    <col min="5124" max="5124" width="15.77734375" customWidth="1"/>
    <col min="5125" max="5126" width="18.21875" customWidth="1"/>
    <col min="5127" max="5127" width="15.77734375" customWidth="1"/>
    <col min="5128" max="5130" width="18.21875" customWidth="1"/>
    <col min="5131" max="5131" width="15.77734375" customWidth="1"/>
    <col min="5132" max="5132" width="18.21875" customWidth="1"/>
    <col min="5133" max="5133" width="17" customWidth="1"/>
    <col min="5134" max="5134" width="16.77734375" customWidth="1"/>
    <col min="5135" max="5135" width="17.21875" customWidth="1"/>
    <col min="5136" max="5136" width="17" customWidth="1"/>
    <col min="5137" max="5137" width="16.5546875" customWidth="1"/>
    <col min="5138" max="5139" width="16.77734375" customWidth="1"/>
    <col min="5140" max="5140" width="15.21875" customWidth="1"/>
    <col min="5377" max="5377" width="12.21875" bestFit="1" customWidth="1"/>
    <col min="5378" max="5378" width="15.77734375" customWidth="1"/>
    <col min="5379" max="5379" width="18.21875" customWidth="1"/>
    <col min="5380" max="5380" width="15.77734375" customWidth="1"/>
    <col min="5381" max="5382" width="18.21875" customWidth="1"/>
    <col min="5383" max="5383" width="15.77734375" customWidth="1"/>
    <col min="5384" max="5386" width="18.21875" customWidth="1"/>
    <col min="5387" max="5387" width="15.77734375" customWidth="1"/>
    <col min="5388" max="5388" width="18.21875" customWidth="1"/>
    <col min="5389" max="5389" width="17" customWidth="1"/>
    <col min="5390" max="5390" width="16.77734375" customWidth="1"/>
    <col min="5391" max="5391" width="17.21875" customWidth="1"/>
    <col min="5392" max="5392" width="17" customWidth="1"/>
    <col min="5393" max="5393" width="16.5546875" customWidth="1"/>
    <col min="5394" max="5395" width="16.77734375" customWidth="1"/>
    <col min="5396" max="5396" width="15.21875" customWidth="1"/>
    <col min="5633" max="5633" width="12.21875" bestFit="1" customWidth="1"/>
    <col min="5634" max="5634" width="15.77734375" customWidth="1"/>
    <col min="5635" max="5635" width="18.21875" customWidth="1"/>
    <col min="5636" max="5636" width="15.77734375" customWidth="1"/>
    <col min="5637" max="5638" width="18.21875" customWidth="1"/>
    <col min="5639" max="5639" width="15.77734375" customWidth="1"/>
    <col min="5640" max="5642" width="18.21875" customWidth="1"/>
    <col min="5643" max="5643" width="15.77734375" customWidth="1"/>
    <col min="5644" max="5644" width="18.21875" customWidth="1"/>
    <col min="5645" max="5645" width="17" customWidth="1"/>
    <col min="5646" max="5646" width="16.77734375" customWidth="1"/>
    <col min="5647" max="5647" width="17.21875" customWidth="1"/>
    <col min="5648" max="5648" width="17" customWidth="1"/>
    <col min="5649" max="5649" width="16.5546875" customWidth="1"/>
    <col min="5650" max="5651" width="16.77734375" customWidth="1"/>
    <col min="5652" max="5652" width="15.21875" customWidth="1"/>
    <col min="5889" max="5889" width="12.21875" bestFit="1" customWidth="1"/>
    <col min="5890" max="5890" width="15.77734375" customWidth="1"/>
    <col min="5891" max="5891" width="18.21875" customWidth="1"/>
    <col min="5892" max="5892" width="15.77734375" customWidth="1"/>
    <col min="5893" max="5894" width="18.21875" customWidth="1"/>
    <col min="5895" max="5895" width="15.77734375" customWidth="1"/>
    <col min="5896" max="5898" width="18.21875" customWidth="1"/>
    <col min="5899" max="5899" width="15.77734375" customWidth="1"/>
    <col min="5900" max="5900" width="18.21875" customWidth="1"/>
    <col min="5901" max="5901" width="17" customWidth="1"/>
    <col min="5902" max="5902" width="16.77734375" customWidth="1"/>
    <col min="5903" max="5903" width="17.21875" customWidth="1"/>
    <col min="5904" max="5904" width="17" customWidth="1"/>
    <col min="5905" max="5905" width="16.5546875" customWidth="1"/>
    <col min="5906" max="5907" width="16.77734375" customWidth="1"/>
    <col min="5908" max="5908" width="15.21875" customWidth="1"/>
    <col min="6145" max="6145" width="12.21875" bestFit="1" customWidth="1"/>
    <col min="6146" max="6146" width="15.77734375" customWidth="1"/>
    <col min="6147" max="6147" width="18.21875" customWidth="1"/>
    <col min="6148" max="6148" width="15.77734375" customWidth="1"/>
    <col min="6149" max="6150" width="18.21875" customWidth="1"/>
    <col min="6151" max="6151" width="15.77734375" customWidth="1"/>
    <col min="6152" max="6154" width="18.21875" customWidth="1"/>
    <col min="6155" max="6155" width="15.77734375" customWidth="1"/>
    <col min="6156" max="6156" width="18.21875" customWidth="1"/>
    <col min="6157" max="6157" width="17" customWidth="1"/>
    <col min="6158" max="6158" width="16.77734375" customWidth="1"/>
    <col min="6159" max="6159" width="17.21875" customWidth="1"/>
    <col min="6160" max="6160" width="17" customWidth="1"/>
    <col min="6161" max="6161" width="16.5546875" customWidth="1"/>
    <col min="6162" max="6163" width="16.77734375" customWidth="1"/>
    <col min="6164" max="6164" width="15.21875" customWidth="1"/>
    <col min="6401" max="6401" width="12.21875" bestFit="1" customWidth="1"/>
    <col min="6402" max="6402" width="15.77734375" customWidth="1"/>
    <col min="6403" max="6403" width="18.21875" customWidth="1"/>
    <col min="6404" max="6404" width="15.77734375" customWidth="1"/>
    <col min="6405" max="6406" width="18.21875" customWidth="1"/>
    <col min="6407" max="6407" width="15.77734375" customWidth="1"/>
    <col min="6408" max="6410" width="18.21875" customWidth="1"/>
    <col min="6411" max="6411" width="15.77734375" customWidth="1"/>
    <col min="6412" max="6412" width="18.21875" customWidth="1"/>
    <col min="6413" max="6413" width="17" customWidth="1"/>
    <col min="6414" max="6414" width="16.77734375" customWidth="1"/>
    <col min="6415" max="6415" width="17.21875" customWidth="1"/>
    <col min="6416" max="6416" width="17" customWidth="1"/>
    <col min="6417" max="6417" width="16.5546875" customWidth="1"/>
    <col min="6418" max="6419" width="16.77734375" customWidth="1"/>
    <col min="6420" max="6420" width="15.21875" customWidth="1"/>
    <col min="6657" max="6657" width="12.21875" bestFit="1" customWidth="1"/>
    <col min="6658" max="6658" width="15.77734375" customWidth="1"/>
    <col min="6659" max="6659" width="18.21875" customWidth="1"/>
    <col min="6660" max="6660" width="15.77734375" customWidth="1"/>
    <col min="6661" max="6662" width="18.21875" customWidth="1"/>
    <col min="6663" max="6663" width="15.77734375" customWidth="1"/>
    <col min="6664" max="6666" width="18.21875" customWidth="1"/>
    <col min="6667" max="6667" width="15.77734375" customWidth="1"/>
    <col min="6668" max="6668" width="18.21875" customWidth="1"/>
    <col min="6669" max="6669" width="17" customWidth="1"/>
    <col min="6670" max="6670" width="16.77734375" customWidth="1"/>
    <col min="6671" max="6671" width="17.21875" customWidth="1"/>
    <col min="6672" max="6672" width="17" customWidth="1"/>
    <col min="6673" max="6673" width="16.5546875" customWidth="1"/>
    <col min="6674" max="6675" width="16.77734375" customWidth="1"/>
    <col min="6676" max="6676" width="15.21875" customWidth="1"/>
    <col min="6913" max="6913" width="12.21875" bestFit="1" customWidth="1"/>
    <col min="6914" max="6914" width="15.77734375" customWidth="1"/>
    <col min="6915" max="6915" width="18.21875" customWidth="1"/>
    <col min="6916" max="6916" width="15.77734375" customWidth="1"/>
    <col min="6917" max="6918" width="18.21875" customWidth="1"/>
    <col min="6919" max="6919" width="15.77734375" customWidth="1"/>
    <col min="6920" max="6922" width="18.21875" customWidth="1"/>
    <col min="6923" max="6923" width="15.77734375" customWidth="1"/>
    <col min="6924" max="6924" width="18.21875" customWidth="1"/>
    <col min="6925" max="6925" width="17" customWidth="1"/>
    <col min="6926" max="6926" width="16.77734375" customWidth="1"/>
    <col min="6927" max="6927" width="17.21875" customWidth="1"/>
    <col min="6928" max="6928" width="17" customWidth="1"/>
    <col min="6929" max="6929" width="16.5546875" customWidth="1"/>
    <col min="6930" max="6931" width="16.77734375" customWidth="1"/>
    <col min="6932" max="6932" width="15.21875" customWidth="1"/>
    <col min="7169" max="7169" width="12.21875" bestFit="1" customWidth="1"/>
    <col min="7170" max="7170" width="15.77734375" customWidth="1"/>
    <col min="7171" max="7171" width="18.21875" customWidth="1"/>
    <col min="7172" max="7172" width="15.77734375" customWidth="1"/>
    <col min="7173" max="7174" width="18.21875" customWidth="1"/>
    <col min="7175" max="7175" width="15.77734375" customWidth="1"/>
    <col min="7176" max="7178" width="18.21875" customWidth="1"/>
    <col min="7179" max="7179" width="15.77734375" customWidth="1"/>
    <col min="7180" max="7180" width="18.21875" customWidth="1"/>
    <col min="7181" max="7181" width="17" customWidth="1"/>
    <col min="7182" max="7182" width="16.77734375" customWidth="1"/>
    <col min="7183" max="7183" width="17.21875" customWidth="1"/>
    <col min="7184" max="7184" width="17" customWidth="1"/>
    <col min="7185" max="7185" width="16.5546875" customWidth="1"/>
    <col min="7186" max="7187" width="16.77734375" customWidth="1"/>
    <col min="7188" max="7188" width="15.21875" customWidth="1"/>
    <col min="7425" max="7425" width="12.21875" bestFit="1" customWidth="1"/>
    <col min="7426" max="7426" width="15.77734375" customWidth="1"/>
    <col min="7427" max="7427" width="18.21875" customWidth="1"/>
    <col min="7428" max="7428" width="15.77734375" customWidth="1"/>
    <col min="7429" max="7430" width="18.21875" customWidth="1"/>
    <col min="7431" max="7431" width="15.77734375" customWidth="1"/>
    <col min="7432" max="7434" width="18.21875" customWidth="1"/>
    <col min="7435" max="7435" width="15.77734375" customWidth="1"/>
    <col min="7436" max="7436" width="18.21875" customWidth="1"/>
    <col min="7437" max="7437" width="17" customWidth="1"/>
    <col min="7438" max="7438" width="16.77734375" customWidth="1"/>
    <col min="7439" max="7439" width="17.21875" customWidth="1"/>
    <col min="7440" max="7440" width="17" customWidth="1"/>
    <col min="7441" max="7441" width="16.5546875" customWidth="1"/>
    <col min="7442" max="7443" width="16.77734375" customWidth="1"/>
    <col min="7444" max="7444" width="15.21875" customWidth="1"/>
    <col min="7681" max="7681" width="12.21875" bestFit="1" customWidth="1"/>
    <col min="7682" max="7682" width="15.77734375" customWidth="1"/>
    <col min="7683" max="7683" width="18.21875" customWidth="1"/>
    <col min="7684" max="7684" width="15.77734375" customWidth="1"/>
    <col min="7685" max="7686" width="18.21875" customWidth="1"/>
    <col min="7687" max="7687" width="15.77734375" customWidth="1"/>
    <col min="7688" max="7690" width="18.21875" customWidth="1"/>
    <col min="7691" max="7691" width="15.77734375" customWidth="1"/>
    <col min="7692" max="7692" width="18.21875" customWidth="1"/>
    <col min="7693" max="7693" width="17" customWidth="1"/>
    <col min="7694" max="7694" width="16.77734375" customWidth="1"/>
    <col min="7695" max="7695" width="17.21875" customWidth="1"/>
    <col min="7696" max="7696" width="17" customWidth="1"/>
    <col min="7697" max="7697" width="16.5546875" customWidth="1"/>
    <col min="7698" max="7699" width="16.77734375" customWidth="1"/>
    <col min="7700" max="7700" width="15.21875" customWidth="1"/>
    <col min="7937" max="7937" width="12.21875" bestFit="1" customWidth="1"/>
    <col min="7938" max="7938" width="15.77734375" customWidth="1"/>
    <col min="7939" max="7939" width="18.21875" customWidth="1"/>
    <col min="7940" max="7940" width="15.77734375" customWidth="1"/>
    <col min="7941" max="7942" width="18.21875" customWidth="1"/>
    <col min="7943" max="7943" width="15.77734375" customWidth="1"/>
    <col min="7944" max="7946" width="18.21875" customWidth="1"/>
    <col min="7947" max="7947" width="15.77734375" customWidth="1"/>
    <col min="7948" max="7948" width="18.21875" customWidth="1"/>
    <col min="7949" max="7949" width="17" customWidth="1"/>
    <col min="7950" max="7950" width="16.77734375" customWidth="1"/>
    <col min="7951" max="7951" width="17.21875" customWidth="1"/>
    <col min="7952" max="7952" width="17" customWidth="1"/>
    <col min="7953" max="7953" width="16.5546875" customWidth="1"/>
    <col min="7954" max="7955" width="16.77734375" customWidth="1"/>
    <col min="7956" max="7956" width="15.21875" customWidth="1"/>
    <col min="8193" max="8193" width="12.21875" bestFit="1" customWidth="1"/>
    <col min="8194" max="8194" width="15.77734375" customWidth="1"/>
    <col min="8195" max="8195" width="18.21875" customWidth="1"/>
    <col min="8196" max="8196" width="15.77734375" customWidth="1"/>
    <col min="8197" max="8198" width="18.21875" customWidth="1"/>
    <col min="8199" max="8199" width="15.77734375" customWidth="1"/>
    <col min="8200" max="8202" width="18.21875" customWidth="1"/>
    <col min="8203" max="8203" width="15.77734375" customWidth="1"/>
    <col min="8204" max="8204" width="18.21875" customWidth="1"/>
    <col min="8205" max="8205" width="17" customWidth="1"/>
    <col min="8206" max="8206" width="16.77734375" customWidth="1"/>
    <col min="8207" max="8207" width="17.21875" customWidth="1"/>
    <col min="8208" max="8208" width="17" customWidth="1"/>
    <col min="8209" max="8209" width="16.5546875" customWidth="1"/>
    <col min="8210" max="8211" width="16.77734375" customWidth="1"/>
    <col min="8212" max="8212" width="15.21875" customWidth="1"/>
    <col min="8449" max="8449" width="12.21875" bestFit="1" customWidth="1"/>
    <col min="8450" max="8450" width="15.77734375" customWidth="1"/>
    <col min="8451" max="8451" width="18.21875" customWidth="1"/>
    <col min="8452" max="8452" width="15.77734375" customWidth="1"/>
    <col min="8453" max="8454" width="18.21875" customWidth="1"/>
    <col min="8455" max="8455" width="15.77734375" customWidth="1"/>
    <col min="8456" max="8458" width="18.21875" customWidth="1"/>
    <col min="8459" max="8459" width="15.77734375" customWidth="1"/>
    <col min="8460" max="8460" width="18.21875" customWidth="1"/>
    <col min="8461" max="8461" width="17" customWidth="1"/>
    <col min="8462" max="8462" width="16.77734375" customWidth="1"/>
    <col min="8463" max="8463" width="17.21875" customWidth="1"/>
    <col min="8464" max="8464" width="17" customWidth="1"/>
    <col min="8465" max="8465" width="16.5546875" customWidth="1"/>
    <col min="8466" max="8467" width="16.77734375" customWidth="1"/>
    <col min="8468" max="8468" width="15.21875" customWidth="1"/>
    <col min="8705" max="8705" width="12.21875" bestFit="1" customWidth="1"/>
    <col min="8706" max="8706" width="15.77734375" customWidth="1"/>
    <col min="8707" max="8707" width="18.21875" customWidth="1"/>
    <col min="8708" max="8708" width="15.77734375" customWidth="1"/>
    <col min="8709" max="8710" width="18.21875" customWidth="1"/>
    <col min="8711" max="8711" width="15.77734375" customWidth="1"/>
    <col min="8712" max="8714" width="18.21875" customWidth="1"/>
    <col min="8715" max="8715" width="15.77734375" customWidth="1"/>
    <col min="8716" max="8716" width="18.21875" customWidth="1"/>
    <col min="8717" max="8717" width="17" customWidth="1"/>
    <col min="8718" max="8718" width="16.77734375" customWidth="1"/>
    <col min="8719" max="8719" width="17.21875" customWidth="1"/>
    <col min="8720" max="8720" width="17" customWidth="1"/>
    <col min="8721" max="8721" width="16.5546875" customWidth="1"/>
    <col min="8722" max="8723" width="16.77734375" customWidth="1"/>
    <col min="8724" max="8724" width="15.21875" customWidth="1"/>
    <col min="8961" max="8961" width="12.21875" bestFit="1" customWidth="1"/>
    <col min="8962" max="8962" width="15.77734375" customWidth="1"/>
    <col min="8963" max="8963" width="18.21875" customWidth="1"/>
    <col min="8964" max="8964" width="15.77734375" customWidth="1"/>
    <col min="8965" max="8966" width="18.21875" customWidth="1"/>
    <col min="8967" max="8967" width="15.77734375" customWidth="1"/>
    <col min="8968" max="8970" width="18.21875" customWidth="1"/>
    <col min="8971" max="8971" width="15.77734375" customWidth="1"/>
    <col min="8972" max="8972" width="18.21875" customWidth="1"/>
    <col min="8973" max="8973" width="17" customWidth="1"/>
    <col min="8974" max="8974" width="16.77734375" customWidth="1"/>
    <col min="8975" max="8975" width="17.21875" customWidth="1"/>
    <col min="8976" max="8976" width="17" customWidth="1"/>
    <col min="8977" max="8977" width="16.5546875" customWidth="1"/>
    <col min="8978" max="8979" width="16.77734375" customWidth="1"/>
    <col min="8980" max="8980" width="15.21875" customWidth="1"/>
    <col min="9217" max="9217" width="12.21875" bestFit="1" customWidth="1"/>
    <col min="9218" max="9218" width="15.77734375" customWidth="1"/>
    <col min="9219" max="9219" width="18.21875" customWidth="1"/>
    <col min="9220" max="9220" width="15.77734375" customWidth="1"/>
    <col min="9221" max="9222" width="18.21875" customWidth="1"/>
    <col min="9223" max="9223" width="15.77734375" customWidth="1"/>
    <col min="9224" max="9226" width="18.21875" customWidth="1"/>
    <col min="9227" max="9227" width="15.77734375" customWidth="1"/>
    <col min="9228" max="9228" width="18.21875" customWidth="1"/>
    <col min="9229" max="9229" width="17" customWidth="1"/>
    <col min="9230" max="9230" width="16.77734375" customWidth="1"/>
    <col min="9231" max="9231" width="17.21875" customWidth="1"/>
    <col min="9232" max="9232" width="17" customWidth="1"/>
    <col min="9233" max="9233" width="16.5546875" customWidth="1"/>
    <col min="9234" max="9235" width="16.77734375" customWidth="1"/>
    <col min="9236" max="9236" width="15.21875" customWidth="1"/>
    <col min="9473" max="9473" width="12.21875" bestFit="1" customWidth="1"/>
    <col min="9474" max="9474" width="15.77734375" customWidth="1"/>
    <col min="9475" max="9475" width="18.21875" customWidth="1"/>
    <col min="9476" max="9476" width="15.77734375" customWidth="1"/>
    <col min="9477" max="9478" width="18.21875" customWidth="1"/>
    <col min="9479" max="9479" width="15.77734375" customWidth="1"/>
    <col min="9480" max="9482" width="18.21875" customWidth="1"/>
    <col min="9483" max="9483" width="15.77734375" customWidth="1"/>
    <col min="9484" max="9484" width="18.21875" customWidth="1"/>
    <col min="9485" max="9485" width="17" customWidth="1"/>
    <col min="9486" max="9486" width="16.77734375" customWidth="1"/>
    <col min="9487" max="9487" width="17.21875" customWidth="1"/>
    <col min="9488" max="9488" width="17" customWidth="1"/>
    <col min="9489" max="9489" width="16.5546875" customWidth="1"/>
    <col min="9490" max="9491" width="16.77734375" customWidth="1"/>
    <col min="9492" max="9492" width="15.21875" customWidth="1"/>
    <col min="9729" max="9729" width="12.21875" bestFit="1" customWidth="1"/>
    <col min="9730" max="9730" width="15.77734375" customWidth="1"/>
    <col min="9731" max="9731" width="18.21875" customWidth="1"/>
    <col min="9732" max="9732" width="15.77734375" customWidth="1"/>
    <col min="9733" max="9734" width="18.21875" customWidth="1"/>
    <col min="9735" max="9735" width="15.77734375" customWidth="1"/>
    <col min="9736" max="9738" width="18.21875" customWidth="1"/>
    <col min="9739" max="9739" width="15.77734375" customWidth="1"/>
    <col min="9740" max="9740" width="18.21875" customWidth="1"/>
    <col min="9741" max="9741" width="17" customWidth="1"/>
    <col min="9742" max="9742" width="16.77734375" customWidth="1"/>
    <col min="9743" max="9743" width="17.21875" customWidth="1"/>
    <col min="9744" max="9744" width="17" customWidth="1"/>
    <col min="9745" max="9745" width="16.5546875" customWidth="1"/>
    <col min="9746" max="9747" width="16.77734375" customWidth="1"/>
    <col min="9748" max="9748" width="15.21875" customWidth="1"/>
    <col min="9985" max="9985" width="12.21875" bestFit="1" customWidth="1"/>
    <col min="9986" max="9986" width="15.77734375" customWidth="1"/>
    <col min="9987" max="9987" width="18.21875" customWidth="1"/>
    <col min="9988" max="9988" width="15.77734375" customWidth="1"/>
    <col min="9989" max="9990" width="18.21875" customWidth="1"/>
    <col min="9991" max="9991" width="15.77734375" customWidth="1"/>
    <col min="9992" max="9994" width="18.21875" customWidth="1"/>
    <col min="9995" max="9995" width="15.77734375" customWidth="1"/>
    <col min="9996" max="9996" width="18.21875" customWidth="1"/>
    <col min="9997" max="9997" width="17" customWidth="1"/>
    <col min="9998" max="9998" width="16.77734375" customWidth="1"/>
    <col min="9999" max="9999" width="17.21875" customWidth="1"/>
    <col min="10000" max="10000" width="17" customWidth="1"/>
    <col min="10001" max="10001" width="16.5546875" customWidth="1"/>
    <col min="10002" max="10003" width="16.77734375" customWidth="1"/>
    <col min="10004" max="10004" width="15.21875" customWidth="1"/>
    <col min="10241" max="10241" width="12.21875" bestFit="1" customWidth="1"/>
    <col min="10242" max="10242" width="15.77734375" customWidth="1"/>
    <col min="10243" max="10243" width="18.21875" customWidth="1"/>
    <col min="10244" max="10244" width="15.77734375" customWidth="1"/>
    <col min="10245" max="10246" width="18.21875" customWidth="1"/>
    <col min="10247" max="10247" width="15.77734375" customWidth="1"/>
    <col min="10248" max="10250" width="18.21875" customWidth="1"/>
    <col min="10251" max="10251" width="15.77734375" customWidth="1"/>
    <col min="10252" max="10252" width="18.21875" customWidth="1"/>
    <col min="10253" max="10253" width="17" customWidth="1"/>
    <col min="10254" max="10254" width="16.77734375" customWidth="1"/>
    <col min="10255" max="10255" width="17.21875" customWidth="1"/>
    <col min="10256" max="10256" width="17" customWidth="1"/>
    <col min="10257" max="10257" width="16.5546875" customWidth="1"/>
    <col min="10258" max="10259" width="16.77734375" customWidth="1"/>
    <col min="10260" max="10260" width="15.21875" customWidth="1"/>
    <col min="10497" max="10497" width="12.21875" bestFit="1" customWidth="1"/>
    <col min="10498" max="10498" width="15.77734375" customWidth="1"/>
    <col min="10499" max="10499" width="18.21875" customWidth="1"/>
    <col min="10500" max="10500" width="15.77734375" customWidth="1"/>
    <col min="10501" max="10502" width="18.21875" customWidth="1"/>
    <col min="10503" max="10503" width="15.77734375" customWidth="1"/>
    <col min="10504" max="10506" width="18.21875" customWidth="1"/>
    <col min="10507" max="10507" width="15.77734375" customWidth="1"/>
    <col min="10508" max="10508" width="18.21875" customWidth="1"/>
    <col min="10509" max="10509" width="17" customWidth="1"/>
    <col min="10510" max="10510" width="16.77734375" customWidth="1"/>
    <col min="10511" max="10511" width="17.21875" customWidth="1"/>
    <col min="10512" max="10512" width="17" customWidth="1"/>
    <col min="10513" max="10513" width="16.5546875" customWidth="1"/>
    <col min="10514" max="10515" width="16.77734375" customWidth="1"/>
    <col min="10516" max="10516" width="15.21875" customWidth="1"/>
    <col min="10753" max="10753" width="12.21875" bestFit="1" customWidth="1"/>
    <col min="10754" max="10754" width="15.77734375" customWidth="1"/>
    <col min="10755" max="10755" width="18.21875" customWidth="1"/>
    <col min="10756" max="10756" width="15.77734375" customWidth="1"/>
    <col min="10757" max="10758" width="18.21875" customWidth="1"/>
    <col min="10759" max="10759" width="15.77734375" customWidth="1"/>
    <col min="10760" max="10762" width="18.21875" customWidth="1"/>
    <col min="10763" max="10763" width="15.77734375" customWidth="1"/>
    <col min="10764" max="10764" width="18.21875" customWidth="1"/>
    <col min="10765" max="10765" width="17" customWidth="1"/>
    <col min="10766" max="10766" width="16.77734375" customWidth="1"/>
    <col min="10767" max="10767" width="17.21875" customWidth="1"/>
    <col min="10768" max="10768" width="17" customWidth="1"/>
    <col min="10769" max="10769" width="16.5546875" customWidth="1"/>
    <col min="10770" max="10771" width="16.77734375" customWidth="1"/>
    <col min="10772" max="10772" width="15.21875" customWidth="1"/>
    <col min="11009" max="11009" width="12.21875" bestFit="1" customWidth="1"/>
    <col min="11010" max="11010" width="15.77734375" customWidth="1"/>
    <col min="11011" max="11011" width="18.21875" customWidth="1"/>
    <col min="11012" max="11012" width="15.77734375" customWidth="1"/>
    <col min="11013" max="11014" width="18.21875" customWidth="1"/>
    <col min="11015" max="11015" width="15.77734375" customWidth="1"/>
    <col min="11016" max="11018" width="18.21875" customWidth="1"/>
    <col min="11019" max="11019" width="15.77734375" customWidth="1"/>
    <col min="11020" max="11020" width="18.21875" customWidth="1"/>
    <col min="11021" max="11021" width="17" customWidth="1"/>
    <col min="11022" max="11022" width="16.77734375" customWidth="1"/>
    <col min="11023" max="11023" width="17.21875" customWidth="1"/>
    <col min="11024" max="11024" width="17" customWidth="1"/>
    <col min="11025" max="11025" width="16.5546875" customWidth="1"/>
    <col min="11026" max="11027" width="16.77734375" customWidth="1"/>
    <col min="11028" max="11028" width="15.21875" customWidth="1"/>
    <col min="11265" max="11265" width="12.21875" bestFit="1" customWidth="1"/>
    <col min="11266" max="11266" width="15.77734375" customWidth="1"/>
    <col min="11267" max="11267" width="18.21875" customWidth="1"/>
    <col min="11268" max="11268" width="15.77734375" customWidth="1"/>
    <col min="11269" max="11270" width="18.21875" customWidth="1"/>
    <col min="11271" max="11271" width="15.77734375" customWidth="1"/>
    <col min="11272" max="11274" width="18.21875" customWidth="1"/>
    <col min="11275" max="11275" width="15.77734375" customWidth="1"/>
    <col min="11276" max="11276" width="18.21875" customWidth="1"/>
    <col min="11277" max="11277" width="17" customWidth="1"/>
    <col min="11278" max="11278" width="16.77734375" customWidth="1"/>
    <col min="11279" max="11279" width="17.21875" customWidth="1"/>
    <col min="11280" max="11280" width="17" customWidth="1"/>
    <col min="11281" max="11281" width="16.5546875" customWidth="1"/>
    <col min="11282" max="11283" width="16.77734375" customWidth="1"/>
    <col min="11284" max="11284" width="15.21875" customWidth="1"/>
    <col min="11521" max="11521" width="12.21875" bestFit="1" customWidth="1"/>
    <col min="11522" max="11522" width="15.77734375" customWidth="1"/>
    <col min="11523" max="11523" width="18.21875" customWidth="1"/>
    <col min="11524" max="11524" width="15.77734375" customWidth="1"/>
    <col min="11525" max="11526" width="18.21875" customWidth="1"/>
    <col min="11527" max="11527" width="15.77734375" customWidth="1"/>
    <col min="11528" max="11530" width="18.21875" customWidth="1"/>
    <col min="11531" max="11531" width="15.77734375" customWidth="1"/>
    <col min="11532" max="11532" width="18.21875" customWidth="1"/>
    <col min="11533" max="11533" width="17" customWidth="1"/>
    <col min="11534" max="11534" width="16.77734375" customWidth="1"/>
    <col min="11535" max="11535" width="17.21875" customWidth="1"/>
    <col min="11536" max="11536" width="17" customWidth="1"/>
    <col min="11537" max="11537" width="16.5546875" customWidth="1"/>
    <col min="11538" max="11539" width="16.77734375" customWidth="1"/>
    <col min="11540" max="11540" width="15.21875" customWidth="1"/>
    <col min="11777" max="11777" width="12.21875" bestFit="1" customWidth="1"/>
    <col min="11778" max="11778" width="15.77734375" customWidth="1"/>
    <col min="11779" max="11779" width="18.21875" customWidth="1"/>
    <col min="11780" max="11780" width="15.77734375" customWidth="1"/>
    <col min="11781" max="11782" width="18.21875" customWidth="1"/>
    <col min="11783" max="11783" width="15.77734375" customWidth="1"/>
    <col min="11784" max="11786" width="18.21875" customWidth="1"/>
    <col min="11787" max="11787" width="15.77734375" customWidth="1"/>
    <col min="11788" max="11788" width="18.21875" customWidth="1"/>
    <col min="11789" max="11789" width="17" customWidth="1"/>
    <col min="11790" max="11790" width="16.77734375" customWidth="1"/>
    <col min="11791" max="11791" width="17.21875" customWidth="1"/>
    <col min="11792" max="11792" width="17" customWidth="1"/>
    <col min="11793" max="11793" width="16.5546875" customWidth="1"/>
    <col min="11794" max="11795" width="16.77734375" customWidth="1"/>
    <col min="11796" max="11796" width="15.21875" customWidth="1"/>
    <col min="12033" max="12033" width="12.21875" bestFit="1" customWidth="1"/>
    <col min="12034" max="12034" width="15.77734375" customWidth="1"/>
    <col min="12035" max="12035" width="18.21875" customWidth="1"/>
    <col min="12036" max="12036" width="15.77734375" customWidth="1"/>
    <col min="12037" max="12038" width="18.21875" customWidth="1"/>
    <col min="12039" max="12039" width="15.77734375" customWidth="1"/>
    <col min="12040" max="12042" width="18.21875" customWidth="1"/>
    <col min="12043" max="12043" width="15.77734375" customWidth="1"/>
    <col min="12044" max="12044" width="18.21875" customWidth="1"/>
    <col min="12045" max="12045" width="17" customWidth="1"/>
    <col min="12046" max="12046" width="16.77734375" customWidth="1"/>
    <col min="12047" max="12047" width="17.21875" customWidth="1"/>
    <col min="12048" max="12048" width="17" customWidth="1"/>
    <col min="12049" max="12049" width="16.5546875" customWidth="1"/>
    <col min="12050" max="12051" width="16.77734375" customWidth="1"/>
    <col min="12052" max="12052" width="15.21875" customWidth="1"/>
    <col min="12289" max="12289" width="12.21875" bestFit="1" customWidth="1"/>
    <col min="12290" max="12290" width="15.77734375" customWidth="1"/>
    <col min="12291" max="12291" width="18.21875" customWidth="1"/>
    <col min="12292" max="12292" width="15.77734375" customWidth="1"/>
    <col min="12293" max="12294" width="18.21875" customWidth="1"/>
    <col min="12295" max="12295" width="15.77734375" customWidth="1"/>
    <col min="12296" max="12298" width="18.21875" customWidth="1"/>
    <col min="12299" max="12299" width="15.77734375" customWidth="1"/>
    <col min="12300" max="12300" width="18.21875" customWidth="1"/>
    <col min="12301" max="12301" width="17" customWidth="1"/>
    <col min="12302" max="12302" width="16.77734375" customWidth="1"/>
    <col min="12303" max="12303" width="17.21875" customWidth="1"/>
    <col min="12304" max="12304" width="17" customWidth="1"/>
    <col min="12305" max="12305" width="16.5546875" customWidth="1"/>
    <col min="12306" max="12307" width="16.77734375" customWidth="1"/>
    <col min="12308" max="12308" width="15.21875" customWidth="1"/>
    <col min="12545" max="12545" width="12.21875" bestFit="1" customWidth="1"/>
    <col min="12546" max="12546" width="15.77734375" customWidth="1"/>
    <col min="12547" max="12547" width="18.21875" customWidth="1"/>
    <col min="12548" max="12548" width="15.77734375" customWidth="1"/>
    <col min="12549" max="12550" width="18.21875" customWidth="1"/>
    <col min="12551" max="12551" width="15.77734375" customWidth="1"/>
    <col min="12552" max="12554" width="18.21875" customWidth="1"/>
    <col min="12555" max="12555" width="15.77734375" customWidth="1"/>
    <col min="12556" max="12556" width="18.21875" customWidth="1"/>
    <col min="12557" max="12557" width="17" customWidth="1"/>
    <col min="12558" max="12558" width="16.77734375" customWidth="1"/>
    <col min="12559" max="12559" width="17.21875" customWidth="1"/>
    <col min="12560" max="12560" width="17" customWidth="1"/>
    <col min="12561" max="12561" width="16.5546875" customWidth="1"/>
    <col min="12562" max="12563" width="16.77734375" customWidth="1"/>
    <col min="12564" max="12564" width="15.21875" customWidth="1"/>
    <col min="12801" max="12801" width="12.21875" bestFit="1" customWidth="1"/>
    <col min="12802" max="12802" width="15.77734375" customWidth="1"/>
    <col min="12803" max="12803" width="18.21875" customWidth="1"/>
    <col min="12804" max="12804" width="15.77734375" customWidth="1"/>
    <col min="12805" max="12806" width="18.21875" customWidth="1"/>
    <col min="12807" max="12807" width="15.77734375" customWidth="1"/>
    <col min="12808" max="12810" width="18.21875" customWidth="1"/>
    <col min="12811" max="12811" width="15.77734375" customWidth="1"/>
    <col min="12812" max="12812" width="18.21875" customWidth="1"/>
    <col min="12813" max="12813" width="17" customWidth="1"/>
    <col min="12814" max="12814" width="16.77734375" customWidth="1"/>
    <col min="12815" max="12815" width="17.21875" customWidth="1"/>
    <col min="12816" max="12816" width="17" customWidth="1"/>
    <col min="12817" max="12817" width="16.5546875" customWidth="1"/>
    <col min="12818" max="12819" width="16.77734375" customWidth="1"/>
    <col min="12820" max="12820" width="15.21875" customWidth="1"/>
    <col min="13057" max="13057" width="12.21875" bestFit="1" customWidth="1"/>
    <col min="13058" max="13058" width="15.77734375" customWidth="1"/>
    <col min="13059" max="13059" width="18.21875" customWidth="1"/>
    <col min="13060" max="13060" width="15.77734375" customWidth="1"/>
    <col min="13061" max="13062" width="18.21875" customWidth="1"/>
    <col min="13063" max="13063" width="15.77734375" customWidth="1"/>
    <col min="13064" max="13066" width="18.21875" customWidth="1"/>
    <col min="13067" max="13067" width="15.77734375" customWidth="1"/>
    <col min="13068" max="13068" width="18.21875" customWidth="1"/>
    <col min="13069" max="13069" width="17" customWidth="1"/>
    <col min="13070" max="13070" width="16.77734375" customWidth="1"/>
    <col min="13071" max="13071" width="17.21875" customWidth="1"/>
    <col min="13072" max="13072" width="17" customWidth="1"/>
    <col min="13073" max="13073" width="16.5546875" customWidth="1"/>
    <col min="13074" max="13075" width="16.77734375" customWidth="1"/>
    <col min="13076" max="13076" width="15.21875" customWidth="1"/>
    <col min="13313" max="13313" width="12.21875" bestFit="1" customWidth="1"/>
    <col min="13314" max="13314" width="15.77734375" customWidth="1"/>
    <col min="13315" max="13315" width="18.21875" customWidth="1"/>
    <col min="13316" max="13316" width="15.77734375" customWidth="1"/>
    <col min="13317" max="13318" width="18.21875" customWidth="1"/>
    <col min="13319" max="13319" width="15.77734375" customWidth="1"/>
    <col min="13320" max="13322" width="18.21875" customWidth="1"/>
    <col min="13323" max="13323" width="15.77734375" customWidth="1"/>
    <col min="13324" max="13324" width="18.21875" customWidth="1"/>
    <col min="13325" max="13325" width="17" customWidth="1"/>
    <col min="13326" max="13326" width="16.77734375" customWidth="1"/>
    <col min="13327" max="13327" width="17.21875" customWidth="1"/>
    <col min="13328" max="13328" width="17" customWidth="1"/>
    <col min="13329" max="13329" width="16.5546875" customWidth="1"/>
    <col min="13330" max="13331" width="16.77734375" customWidth="1"/>
    <col min="13332" max="13332" width="15.21875" customWidth="1"/>
    <col min="13569" max="13569" width="12.21875" bestFit="1" customWidth="1"/>
    <col min="13570" max="13570" width="15.77734375" customWidth="1"/>
    <col min="13571" max="13571" width="18.21875" customWidth="1"/>
    <col min="13572" max="13572" width="15.77734375" customWidth="1"/>
    <col min="13573" max="13574" width="18.21875" customWidth="1"/>
    <col min="13575" max="13575" width="15.77734375" customWidth="1"/>
    <col min="13576" max="13578" width="18.21875" customWidth="1"/>
    <col min="13579" max="13579" width="15.77734375" customWidth="1"/>
    <col min="13580" max="13580" width="18.21875" customWidth="1"/>
    <col min="13581" max="13581" width="17" customWidth="1"/>
    <col min="13582" max="13582" width="16.77734375" customWidth="1"/>
    <col min="13583" max="13583" width="17.21875" customWidth="1"/>
    <col min="13584" max="13584" width="17" customWidth="1"/>
    <col min="13585" max="13585" width="16.5546875" customWidth="1"/>
    <col min="13586" max="13587" width="16.77734375" customWidth="1"/>
    <col min="13588" max="13588" width="15.21875" customWidth="1"/>
    <col min="13825" max="13825" width="12.21875" bestFit="1" customWidth="1"/>
    <col min="13826" max="13826" width="15.77734375" customWidth="1"/>
    <col min="13827" max="13827" width="18.21875" customWidth="1"/>
    <col min="13828" max="13828" width="15.77734375" customWidth="1"/>
    <col min="13829" max="13830" width="18.21875" customWidth="1"/>
    <col min="13831" max="13831" width="15.77734375" customWidth="1"/>
    <col min="13832" max="13834" width="18.21875" customWidth="1"/>
    <col min="13835" max="13835" width="15.77734375" customWidth="1"/>
    <col min="13836" max="13836" width="18.21875" customWidth="1"/>
    <col min="13837" max="13837" width="17" customWidth="1"/>
    <col min="13838" max="13838" width="16.77734375" customWidth="1"/>
    <col min="13839" max="13839" width="17.21875" customWidth="1"/>
    <col min="13840" max="13840" width="17" customWidth="1"/>
    <col min="13841" max="13841" width="16.5546875" customWidth="1"/>
    <col min="13842" max="13843" width="16.77734375" customWidth="1"/>
    <col min="13844" max="13844" width="15.21875" customWidth="1"/>
    <col min="14081" max="14081" width="12.21875" bestFit="1" customWidth="1"/>
    <col min="14082" max="14082" width="15.77734375" customWidth="1"/>
    <col min="14083" max="14083" width="18.21875" customWidth="1"/>
    <col min="14084" max="14084" width="15.77734375" customWidth="1"/>
    <col min="14085" max="14086" width="18.21875" customWidth="1"/>
    <col min="14087" max="14087" width="15.77734375" customWidth="1"/>
    <col min="14088" max="14090" width="18.21875" customWidth="1"/>
    <col min="14091" max="14091" width="15.77734375" customWidth="1"/>
    <col min="14092" max="14092" width="18.21875" customWidth="1"/>
    <col min="14093" max="14093" width="17" customWidth="1"/>
    <col min="14094" max="14094" width="16.77734375" customWidth="1"/>
    <col min="14095" max="14095" width="17.21875" customWidth="1"/>
    <col min="14096" max="14096" width="17" customWidth="1"/>
    <col min="14097" max="14097" width="16.5546875" customWidth="1"/>
    <col min="14098" max="14099" width="16.77734375" customWidth="1"/>
    <col min="14100" max="14100" width="15.21875" customWidth="1"/>
    <col min="14337" max="14337" width="12.21875" bestFit="1" customWidth="1"/>
    <col min="14338" max="14338" width="15.77734375" customWidth="1"/>
    <col min="14339" max="14339" width="18.21875" customWidth="1"/>
    <col min="14340" max="14340" width="15.77734375" customWidth="1"/>
    <col min="14341" max="14342" width="18.21875" customWidth="1"/>
    <col min="14343" max="14343" width="15.77734375" customWidth="1"/>
    <col min="14344" max="14346" width="18.21875" customWidth="1"/>
    <col min="14347" max="14347" width="15.77734375" customWidth="1"/>
    <col min="14348" max="14348" width="18.21875" customWidth="1"/>
    <col min="14349" max="14349" width="17" customWidth="1"/>
    <col min="14350" max="14350" width="16.77734375" customWidth="1"/>
    <col min="14351" max="14351" width="17.21875" customWidth="1"/>
    <col min="14352" max="14352" width="17" customWidth="1"/>
    <col min="14353" max="14353" width="16.5546875" customWidth="1"/>
    <col min="14354" max="14355" width="16.77734375" customWidth="1"/>
    <col min="14356" max="14356" width="15.21875" customWidth="1"/>
    <col min="14593" max="14593" width="12.21875" bestFit="1" customWidth="1"/>
    <col min="14594" max="14594" width="15.77734375" customWidth="1"/>
    <col min="14595" max="14595" width="18.21875" customWidth="1"/>
    <col min="14596" max="14596" width="15.77734375" customWidth="1"/>
    <col min="14597" max="14598" width="18.21875" customWidth="1"/>
    <col min="14599" max="14599" width="15.77734375" customWidth="1"/>
    <col min="14600" max="14602" width="18.21875" customWidth="1"/>
    <col min="14603" max="14603" width="15.77734375" customWidth="1"/>
    <col min="14604" max="14604" width="18.21875" customWidth="1"/>
    <col min="14605" max="14605" width="17" customWidth="1"/>
    <col min="14606" max="14606" width="16.77734375" customWidth="1"/>
    <col min="14607" max="14607" width="17.21875" customWidth="1"/>
    <col min="14608" max="14608" width="17" customWidth="1"/>
    <col min="14609" max="14609" width="16.5546875" customWidth="1"/>
    <col min="14610" max="14611" width="16.77734375" customWidth="1"/>
    <col min="14612" max="14612" width="15.21875" customWidth="1"/>
    <col min="14849" max="14849" width="12.21875" bestFit="1" customWidth="1"/>
    <col min="14850" max="14850" width="15.77734375" customWidth="1"/>
    <col min="14851" max="14851" width="18.21875" customWidth="1"/>
    <col min="14852" max="14852" width="15.77734375" customWidth="1"/>
    <col min="14853" max="14854" width="18.21875" customWidth="1"/>
    <col min="14855" max="14855" width="15.77734375" customWidth="1"/>
    <col min="14856" max="14858" width="18.21875" customWidth="1"/>
    <col min="14859" max="14859" width="15.77734375" customWidth="1"/>
    <col min="14860" max="14860" width="18.21875" customWidth="1"/>
    <col min="14861" max="14861" width="17" customWidth="1"/>
    <col min="14862" max="14862" width="16.77734375" customWidth="1"/>
    <col min="14863" max="14863" width="17.21875" customWidth="1"/>
    <col min="14864" max="14864" width="17" customWidth="1"/>
    <col min="14865" max="14865" width="16.5546875" customWidth="1"/>
    <col min="14866" max="14867" width="16.77734375" customWidth="1"/>
    <col min="14868" max="14868" width="15.21875" customWidth="1"/>
    <col min="15105" max="15105" width="12.21875" bestFit="1" customWidth="1"/>
    <col min="15106" max="15106" width="15.77734375" customWidth="1"/>
    <col min="15107" max="15107" width="18.21875" customWidth="1"/>
    <col min="15108" max="15108" width="15.77734375" customWidth="1"/>
    <col min="15109" max="15110" width="18.21875" customWidth="1"/>
    <col min="15111" max="15111" width="15.77734375" customWidth="1"/>
    <col min="15112" max="15114" width="18.21875" customWidth="1"/>
    <col min="15115" max="15115" width="15.77734375" customWidth="1"/>
    <col min="15116" max="15116" width="18.21875" customWidth="1"/>
    <col min="15117" max="15117" width="17" customWidth="1"/>
    <col min="15118" max="15118" width="16.77734375" customWidth="1"/>
    <col min="15119" max="15119" width="17.21875" customWidth="1"/>
    <col min="15120" max="15120" width="17" customWidth="1"/>
    <col min="15121" max="15121" width="16.5546875" customWidth="1"/>
    <col min="15122" max="15123" width="16.77734375" customWidth="1"/>
    <col min="15124" max="15124" width="15.21875" customWidth="1"/>
    <col min="15361" max="15361" width="12.21875" bestFit="1" customWidth="1"/>
    <col min="15362" max="15362" width="15.77734375" customWidth="1"/>
    <col min="15363" max="15363" width="18.21875" customWidth="1"/>
    <col min="15364" max="15364" width="15.77734375" customWidth="1"/>
    <col min="15365" max="15366" width="18.21875" customWidth="1"/>
    <col min="15367" max="15367" width="15.77734375" customWidth="1"/>
    <col min="15368" max="15370" width="18.21875" customWidth="1"/>
    <col min="15371" max="15371" width="15.77734375" customWidth="1"/>
    <col min="15372" max="15372" width="18.21875" customWidth="1"/>
    <col min="15373" max="15373" width="17" customWidth="1"/>
    <col min="15374" max="15374" width="16.77734375" customWidth="1"/>
    <col min="15375" max="15375" width="17.21875" customWidth="1"/>
    <col min="15376" max="15376" width="17" customWidth="1"/>
    <col min="15377" max="15377" width="16.5546875" customWidth="1"/>
    <col min="15378" max="15379" width="16.77734375" customWidth="1"/>
    <col min="15380" max="15380" width="15.21875" customWidth="1"/>
    <col min="15617" max="15617" width="12.21875" bestFit="1" customWidth="1"/>
    <col min="15618" max="15618" width="15.77734375" customWidth="1"/>
    <col min="15619" max="15619" width="18.21875" customWidth="1"/>
    <col min="15620" max="15620" width="15.77734375" customWidth="1"/>
    <col min="15621" max="15622" width="18.21875" customWidth="1"/>
    <col min="15623" max="15623" width="15.77734375" customWidth="1"/>
    <col min="15624" max="15626" width="18.21875" customWidth="1"/>
    <col min="15627" max="15627" width="15.77734375" customWidth="1"/>
    <col min="15628" max="15628" width="18.21875" customWidth="1"/>
    <col min="15629" max="15629" width="17" customWidth="1"/>
    <col min="15630" max="15630" width="16.77734375" customWidth="1"/>
    <col min="15631" max="15631" width="17.21875" customWidth="1"/>
    <col min="15632" max="15632" width="17" customWidth="1"/>
    <col min="15633" max="15633" width="16.5546875" customWidth="1"/>
    <col min="15634" max="15635" width="16.77734375" customWidth="1"/>
    <col min="15636" max="15636" width="15.21875" customWidth="1"/>
    <col min="15873" max="15873" width="12.21875" bestFit="1" customWidth="1"/>
    <col min="15874" max="15874" width="15.77734375" customWidth="1"/>
    <col min="15875" max="15875" width="18.21875" customWidth="1"/>
    <col min="15876" max="15876" width="15.77734375" customWidth="1"/>
    <col min="15877" max="15878" width="18.21875" customWidth="1"/>
    <col min="15879" max="15879" width="15.77734375" customWidth="1"/>
    <col min="15880" max="15882" width="18.21875" customWidth="1"/>
    <col min="15883" max="15883" width="15.77734375" customWidth="1"/>
    <col min="15884" max="15884" width="18.21875" customWidth="1"/>
    <col min="15885" max="15885" width="17" customWidth="1"/>
    <col min="15886" max="15886" width="16.77734375" customWidth="1"/>
    <col min="15887" max="15887" width="17.21875" customWidth="1"/>
    <col min="15888" max="15888" width="17" customWidth="1"/>
    <col min="15889" max="15889" width="16.5546875" customWidth="1"/>
    <col min="15890" max="15891" width="16.77734375" customWidth="1"/>
    <col min="15892" max="15892" width="15.21875" customWidth="1"/>
    <col min="16129" max="16129" width="12.21875" bestFit="1" customWidth="1"/>
    <col min="16130" max="16130" width="15.77734375" customWidth="1"/>
    <col min="16131" max="16131" width="18.21875" customWidth="1"/>
    <col min="16132" max="16132" width="15.77734375" customWidth="1"/>
    <col min="16133" max="16134" width="18.21875" customWidth="1"/>
    <col min="16135" max="16135" width="15.77734375" customWidth="1"/>
    <col min="16136" max="16138" width="18.21875" customWidth="1"/>
    <col min="16139" max="16139" width="15.77734375" customWidth="1"/>
    <col min="16140" max="16140" width="18.21875" customWidth="1"/>
    <col min="16141" max="16141" width="17" customWidth="1"/>
    <col min="16142" max="16142" width="16.77734375" customWidth="1"/>
    <col min="16143" max="16143" width="17.21875" customWidth="1"/>
    <col min="16144" max="16144" width="17" customWidth="1"/>
    <col min="16145" max="16145" width="16.5546875" customWidth="1"/>
    <col min="16146" max="16147" width="16.77734375" customWidth="1"/>
    <col min="16148" max="16148" width="15.21875" customWidth="1"/>
  </cols>
  <sheetData>
    <row r="1" spans="1:11" ht="17.399999999999999">
      <c r="A1" s="2438" t="s">
        <v>1290</v>
      </c>
      <c r="B1" s="2438"/>
      <c r="C1" s="2438"/>
      <c r="D1" s="2438"/>
      <c r="E1" s="2438"/>
      <c r="F1" s="2438"/>
      <c r="G1" s="2438"/>
      <c r="H1" s="2438"/>
      <c r="I1" s="2438"/>
      <c r="J1" s="2438"/>
    </row>
    <row r="2" spans="1:11" ht="15" thickBot="1"/>
    <row r="3" spans="1:11" ht="43.8" thickBot="1">
      <c r="A3" s="1183" t="s">
        <v>1291</v>
      </c>
      <c r="B3" s="1183" t="s">
        <v>1292</v>
      </c>
      <c r="C3" s="1183" t="s">
        <v>1292</v>
      </c>
      <c r="D3" s="1183" t="s">
        <v>1292</v>
      </c>
      <c r="E3" s="1183" t="s">
        <v>1293</v>
      </c>
      <c r="F3" s="1183"/>
      <c r="G3" s="1183" t="s">
        <v>1294</v>
      </c>
      <c r="H3" s="1184" t="s">
        <v>1295</v>
      </c>
      <c r="I3" s="1184"/>
      <c r="J3" s="1183"/>
    </row>
    <row r="4" spans="1:11" ht="30" customHeight="1" thickBot="1">
      <c r="A4" s="1169" t="s">
        <v>1296</v>
      </c>
      <c r="B4" s="1185">
        <v>37228</v>
      </c>
      <c r="C4" s="1185">
        <v>37667</v>
      </c>
      <c r="D4" s="1186">
        <v>38174</v>
      </c>
      <c r="E4" s="1186">
        <v>39396</v>
      </c>
      <c r="F4" s="1169"/>
      <c r="G4" s="1187"/>
      <c r="H4" s="1188">
        <v>41384</v>
      </c>
      <c r="I4" s="1187"/>
      <c r="J4" s="965"/>
    </row>
    <row r="5" spans="1:11" ht="33" customHeight="1" thickBot="1">
      <c r="A5" s="1169" t="s">
        <v>1297</v>
      </c>
      <c r="B5" s="1185">
        <v>37256</v>
      </c>
      <c r="C5" s="1185">
        <v>37663</v>
      </c>
      <c r="D5" s="1189">
        <v>38106</v>
      </c>
      <c r="E5" s="1186">
        <v>39227</v>
      </c>
      <c r="F5" s="1190"/>
      <c r="G5" s="1191">
        <v>40835</v>
      </c>
      <c r="H5" s="1188">
        <v>41443</v>
      </c>
      <c r="I5" s="1187"/>
      <c r="J5" s="965"/>
    </row>
    <row r="6" spans="1:11" ht="37.5" customHeight="1" thickBot="1">
      <c r="A6" s="1169" t="s">
        <v>1298</v>
      </c>
      <c r="B6" s="1185">
        <v>36921</v>
      </c>
      <c r="C6" s="1185">
        <v>37678</v>
      </c>
      <c r="D6" s="1189">
        <v>38113</v>
      </c>
      <c r="E6" s="1186">
        <v>39227</v>
      </c>
      <c r="F6" s="1190"/>
      <c r="G6" s="1191">
        <v>40839</v>
      </c>
      <c r="H6" s="1188">
        <v>41385</v>
      </c>
      <c r="I6" s="1187"/>
      <c r="J6" s="965"/>
    </row>
    <row r="7" spans="1:11" ht="30" customHeight="1" thickBot="1">
      <c r="A7" s="1192" t="s">
        <v>1299</v>
      </c>
      <c r="B7" s="1189">
        <v>37504</v>
      </c>
      <c r="C7" s="1186">
        <v>38047</v>
      </c>
      <c r="D7" s="1189"/>
      <c r="E7" s="1186">
        <v>39396</v>
      </c>
      <c r="F7" s="1192"/>
      <c r="G7" s="1193"/>
      <c r="H7" s="1194">
        <v>41221</v>
      </c>
      <c r="I7" s="1194"/>
      <c r="J7" s="965"/>
      <c r="K7" s="1025" t="s">
        <v>29</v>
      </c>
    </row>
    <row r="8" spans="1:11" ht="30" customHeight="1" thickBot="1">
      <c r="A8" s="1169" t="s">
        <v>1300</v>
      </c>
      <c r="B8" s="1189">
        <v>37575</v>
      </c>
      <c r="C8" s="1189">
        <v>37973</v>
      </c>
      <c r="D8" s="1189">
        <v>38408</v>
      </c>
      <c r="E8" s="1186">
        <v>39015</v>
      </c>
      <c r="F8" s="1186">
        <v>39532</v>
      </c>
      <c r="G8" s="1194"/>
      <c r="H8" s="1194">
        <v>40819</v>
      </c>
      <c r="I8" s="1194"/>
      <c r="J8" s="965"/>
      <c r="K8" s="1195"/>
    </row>
    <row r="9" spans="1:11" ht="38.25" customHeight="1" thickBot="1">
      <c r="A9" s="1169" t="s">
        <v>1301</v>
      </c>
      <c r="B9" s="1189">
        <v>37572</v>
      </c>
      <c r="C9" s="1189">
        <v>37873</v>
      </c>
      <c r="D9" s="1189">
        <v>37973</v>
      </c>
      <c r="E9" s="1186">
        <v>38379</v>
      </c>
      <c r="F9" s="1186">
        <v>39533</v>
      </c>
      <c r="G9" s="1191">
        <v>40891</v>
      </c>
      <c r="H9" s="1194">
        <v>41173</v>
      </c>
      <c r="I9" s="1194"/>
      <c r="J9" s="965"/>
      <c r="K9" s="1195"/>
    </row>
    <row r="11" spans="1:11">
      <c r="A11" s="442" t="s">
        <v>1302</v>
      </c>
      <c r="F11" s="403"/>
      <c r="G11" s="403"/>
      <c r="J11" s="403" t="s">
        <v>1303</v>
      </c>
    </row>
    <row r="12" spans="1:11">
      <c r="A12" s="1196"/>
      <c r="B12" s="1197"/>
      <c r="C12" s="1198"/>
    </row>
    <row r="13" spans="1:11">
      <c r="A13" s="442" t="s">
        <v>1304</v>
      </c>
      <c r="B13" s="1198"/>
      <c r="C13" s="1198"/>
      <c r="F13" s="403"/>
      <c r="G13" s="403"/>
      <c r="J13" s="403" t="s">
        <v>1305</v>
      </c>
    </row>
    <row r="15" spans="1:11">
      <c r="A15" s="22" t="s">
        <v>1306</v>
      </c>
      <c r="D15" s="1199"/>
    </row>
    <row r="18" spans="2:20" ht="15" thickBot="1"/>
    <row r="19" spans="2:20" ht="80.400000000000006" thickBot="1">
      <c r="B19" s="1200" t="s">
        <v>1291</v>
      </c>
      <c r="C19" s="1201" t="s">
        <v>1278</v>
      </c>
      <c r="D19" s="1202" t="s">
        <v>1279</v>
      </c>
      <c r="E19" s="1201" t="s">
        <v>1280</v>
      </c>
      <c r="F19" s="1203" t="s">
        <v>1278</v>
      </c>
      <c r="G19" s="1204" t="s">
        <v>1279</v>
      </c>
      <c r="H19" s="1203" t="s">
        <v>1280</v>
      </c>
      <c r="I19" s="1205" t="s">
        <v>1307</v>
      </c>
      <c r="J19" s="1170" t="s">
        <v>1289</v>
      </c>
      <c r="K19" s="1171" t="s">
        <v>1279</v>
      </c>
      <c r="L19" s="1170" t="s">
        <v>1280</v>
      </c>
      <c r="M19" s="1172" t="s">
        <v>1289</v>
      </c>
      <c r="N19" s="1173" t="s">
        <v>1279</v>
      </c>
      <c r="O19" s="1172" t="s">
        <v>1280</v>
      </c>
      <c r="P19" s="1174" t="s">
        <v>1289</v>
      </c>
      <c r="Q19" s="1175" t="s">
        <v>1279</v>
      </c>
      <c r="R19" s="1174" t="s">
        <v>1280</v>
      </c>
      <c r="S19" s="1176" t="s">
        <v>1281</v>
      </c>
      <c r="T19" s="1176" t="s">
        <v>1282</v>
      </c>
    </row>
    <row r="20" spans="2:20" ht="15" thickBot="1">
      <c r="B20" s="2443" t="s">
        <v>1296</v>
      </c>
      <c r="C20" s="2445">
        <v>96</v>
      </c>
      <c r="D20" s="2447">
        <v>38173</v>
      </c>
      <c r="E20" s="2445">
        <v>35</v>
      </c>
      <c r="F20" s="2449">
        <v>80</v>
      </c>
      <c r="G20" s="1206">
        <v>39395</v>
      </c>
      <c r="H20" s="2449">
        <v>30</v>
      </c>
      <c r="I20" s="1207"/>
      <c r="J20" s="1177">
        <v>78</v>
      </c>
      <c r="K20" s="1178">
        <v>41384</v>
      </c>
      <c r="L20" s="1177">
        <v>33</v>
      </c>
      <c r="M20" s="2463">
        <v>70</v>
      </c>
      <c r="N20" s="2464">
        <v>43122</v>
      </c>
      <c r="O20" s="2463">
        <v>30</v>
      </c>
      <c r="P20" s="2441"/>
      <c r="Q20" s="2439"/>
      <c r="R20" s="2441"/>
      <c r="S20" s="2455">
        <v>42</v>
      </c>
      <c r="T20" s="2457" t="s">
        <v>1283</v>
      </c>
    </row>
    <row r="21" spans="2:20" ht="15" thickBot="1">
      <c r="B21" s="2444"/>
      <c r="C21" s="2446"/>
      <c r="D21" s="2448"/>
      <c r="E21" s="2446"/>
      <c r="F21" s="2450"/>
      <c r="G21" s="1208"/>
      <c r="H21" s="2450"/>
      <c r="I21" s="1209"/>
      <c r="J21" s="1179">
        <v>66</v>
      </c>
      <c r="K21" s="1180">
        <v>41593</v>
      </c>
      <c r="L21" s="1179">
        <v>44</v>
      </c>
      <c r="M21" s="2460"/>
      <c r="N21" s="2465"/>
      <c r="O21" s="2460"/>
      <c r="P21" s="2442"/>
      <c r="Q21" s="2440"/>
      <c r="R21" s="2442"/>
      <c r="S21" s="2456"/>
      <c r="T21" s="2458"/>
    </row>
    <row r="22" spans="2:20">
      <c r="B22" s="2443" t="s">
        <v>1297</v>
      </c>
      <c r="C22" s="2445">
        <v>92</v>
      </c>
      <c r="D22" s="2447">
        <v>38105</v>
      </c>
      <c r="E22" s="2445">
        <v>30</v>
      </c>
      <c r="F22" s="2449">
        <v>80</v>
      </c>
      <c r="G22" s="1206">
        <v>39226</v>
      </c>
      <c r="H22" s="2449">
        <v>30</v>
      </c>
      <c r="I22" s="2459">
        <v>40835</v>
      </c>
      <c r="J22" s="2461">
        <v>120</v>
      </c>
      <c r="K22" s="2466">
        <v>41443</v>
      </c>
      <c r="L22" s="2461">
        <v>38</v>
      </c>
      <c r="M22" s="2451">
        <v>120</v>
      </c>
      <c r="N22" s="2464">
        <v>42123</v>
      </c>
      <c r="O22" s="2451">
        <v>45</v>
      </c>
      <c r="P22" s="2453">
        <v>87</v>
      </c>
      <c r="Q22" s="2439">
        <v>43453</v>
      </c>
      <c r="R22" s="2453">
        <v>38</v>
      </c>
      <c r="S22" s="2455">
        <v>48</v>
      </c>
      <c r="T22" s="2457" t="s">
        <v>1284</v>
      </c>
    </row>
    <row r="23" spans="2:20" ht="15" thickBot="1">
      <c r="B23" s="2444"/>
      <c r="C23" s="2446"/>
      <c r="D23" s="2448"/>
      <c r="E23" s="2446"/>
      <c r="F23" s="2450"/>
      <c r="G23" s="1208"/>
      <c r="H23" s="2450"/>
      <c r="I23" s="2460"/>
      <c r="J23" s="2462"/>
      <c r="K23" s="2467"/>
      <c r="L23" s="2462"/>
      <c r="M23" s="2452"/>
      <c r="N23" s="2465"/>
      <c r="O23" s="2452"/>
      <c r="P23" s="2454"/>
      <c r="Q23" s="2440"/>
      <c r="R23" s="2454"/>
      <c r="S23" s="2456"/>
      <c r="T23" s="2458"/>
    </row>
    <row r="24" spans="2:20" ht="15" thickBot="1">
      <c r="B24" s="2443" t="s">
        <v>1298</v>
      </c>
      <c r="C24" s="2445">
        <v>90</v>
      </c>
      <c r="D24" s="2447">
        <v>38112</v>
      </c>
      <c r="E24" s="2445">
        <v>36</v>
      </c>
      <c r="F24" s="2449">
        <v>72</v>
      </c>
      <c r="G24" s="1206">
        <v>39226</v>
      </c>
      <c r="H24" s="2449">
        <v>30</v>
      </c>
      <c r="I24" s="2459">
        <v>40839</v>
      </c>
      <c r="J24" s="1177">
        <v>77</v>
      </c>
      <c r="K24" s="1178">
        <v>41385</v>
      </c>
      <c r="L24" s="1177">
        <v>39</v>
      </c>
      <c r="M24" s="2469">
        <v>90</v>
      </c>
      <c r="N24" s="2464">
        <v>43338</v>
      </c>
      <c r="O24" s="2451">
        <v>38</v>
      </c>
      <c r="P24" s="1181"/>
      <c r="Q24" s="1181"/>
      <c r="R24" s="1181"/>
      <c r="S24" s="2455">
        <v>44</v>
      </c>
      <c r="T24" s="2457" t="s">
        <v>1285</v>
      </c>
    </row>
    <row r="25" spans="2:20" ht="15" thickBot="1">
      <c r="B25" s="2444"/>
      <c r="C25" s="2446"/>
      <c r="D25" s="2448"/>
      <c r="E25" s="2446"/>
      <c r="F25" s="2450"/>
      <c r="G25" s="1208"/>
      <c r="H25" s="2450"/>
      <c r="I25" s="2468"/>
      <c r="J25" s="1179">
        <v>86</v>
      </c>
      <c r="K25" s="1180">
        <v>42037</v>
      </c>
      <c r="L25" s="1179">
        <v>48</v>
      </c>
      <c r="M25" s="2460"/>
      <c r="N25" s="2465"/>
      <c r="O25" s="2452"/>
      <c r="P25" s="1182"/>
      <c r="Q25" s="1182"/>
      <c r="R25" s="1182"/>
      <c r="S25" s="2456"/>
      <c r="T25" s="2458"/>
    </row>
    <row r="26" spans="2:20">
      <c r="B26" s="2443" t="s">
        <v>1299</v>
      </c>
      <c r="C26" s="2445">
        <v>110</v>
      </c>
      <c r="D26" s="2447">
        <v>38047</v>
      </c>
      <c r="E26" s="2445">
        <v>30</v>
      </c>
      <c r="F26" s="2449">
        <v>76</v>
      </c>
      <c r="G26" s="1206">
        <v>39395</v>
      </c>
      <c r="H26" s="2449">
        <v>30</v>
      </c>
      <c r="I26" s="1207"/>
      <c r="J26" s="2461">
        <v>78</v>
      </c>
      <c r="K26" s="2471">
        <v>41221</v>
      </c>
      <c r="L26" s="2461">
        <v>26</v>
      </c>
      <c r="M26" s="2469">
        <v>75</v>
      </c>
      <c r="N26" s="2464">
        <v>43564</v>
      </c>
      <c r="O26" s="2451">
        <v>35</v>
      </c>
      <c r="P26" s="1181"/>
      <c r="Q26" s="1181"/>
      <c r="R26" s="1181"/>
      <c r="S26" s="2455">
        <v>38</v>
      </c>
      <c r="T26" s="2470" t="s">
        <v>1286</v>
      </c>
    </row>
    <row r="27" spans="2:20" ht="15" thickBot="1">
      <c r="B27" s="2444"/>
      <c r="C27" s="2446"/>
      <c r="D27" s="2448"/>
      <c r="E27" s="2446"/>
      <c r="F27" s="2450"/>
      <c r="G27" s="1208"/>
      <c r="H27" s="2450"/>
      <c r="I27" s="1209"/>
      <c r="J27" s="2462"/>
      <c r="K27" s="2467"/>
      <c r="L27" s="2462"/>
      <c r="M27" s="2460"/>
      <c r="N27" s="2465"/>
      <c r="O27" s="2452"/>
      <c r="P27" s="1182"/>
      <c r="Q27" s="1182"/>
      <c r="R27" s="1182"/>
      <c r="S27" s="2456"/>
      <c r="T27" s="2458"/>
    </row>
    <row r="28" spans="2:20">
      <c r="B28" s="2443" t="s">
        <v>1300</v>
      </c>
      <c r="C28" s="2445">
        <v>84</v>
      </c>
      <c r="D28" s="2447">
        <v>39013</v>
      </c>
      <c r="E28" s="2445">
        <v>40</v>
      </c>
      <c r="F28" s="2449">
        <v>90</v>
      </c>
      <c r="G28" s="1206">
        <v>39530</v>
      </c>
      <c r="H28" s="2449">
        <v>35</v>
      </c>
      <c r="I28" s="1207"/>
      <c r="J28" s="2461">
        <v>74</v>
      </c>
      <c r="K28" s="2466">
        <v>40819</v>
      </c>
      <c r="L28" s="2461">
        <v>34</v>
      </c>
      <c r="M28" s="2451">
        <v>88</v>
      </c>
      <c r="N28" s="2464">
        <v>43398</v>
      </c>
      <c r="O28" s="2451">
        <v>35</v>
      </c>
      <c r="P28" s="1181"/>
      <c r="Q28" s="1181"/>
      <c r="R28" s="1181"/>
      <c r="S28" s="2455">
        <v>48</v>
      </c>
      <c r="T28" s="2457" t="s">
        <v>1287</v>
      </c>
    </row>
    <row r="29" spans="2:20" ht="15" thickBot="1">
      <c r="B29" s="2444"/>
      <c r="C29" s="2446"/>
      <c r="D29" s="2448"/>
      <c r="E29" s="2446"/>
      <c r="F29" s="2450"/>
      <c r="G29" s="1208"/>
      <c r="H29" s="2450"/>
      <c r="I29" s="1209"/>
      <c r="J29" s="2462"/>
      <c r="K29" s="2467"/>
      <c r="L29" s="2462"/>
      <c r="M29" s="2452"/>
      <c r="N29" s="2472"/>
      <c r="O29" s="2452"/>
      <c r="P29" s="1182"/>
      <c r="Q29" s="1182"/>
      <c r="R29" s="1182"/>
      <c r="S29" s="2456"/>
      <c r="T29" s="2458"/>
    </row>
    <row r="30" spans="2:20" ht="15" thickBot="1">
      <c r="B30" s="2473" t="s">
        <v>1301</v>
      </c>
      <c r="C30" s="2474">
        <v>76</v>
      </c>
      <c r="D30" s="2475">
        <v>38377</v>
      </c>
      <c r="E30" s="2474">
        <v>36</v>
      </c>
      <c r="F30" s="2476">
        <v>100</v>
      </c>
      <c r="G30" s="2482">
        <v>39531</v>
      </c>
      <c r="H30" s="2476">
        <v>37</v>
      </c>
      <c r="I30" s="2459">
        <v>40891</v>
      </c>
      <c r="J30" s="2481">
        <v>76</v>
      </c>
      <c r="K30" s="2466">
        <v>41173</v>
      </c>
      <c r="L30" s="2481">
        <v>40</v>
      </c>
      <c r="M30" s="2451">
        <v>78</v>
      </c>
      <c r="N30" s="2464">
        <v>42092</v>
      </c>
      <c r="O30" s="2451">
        <v>48</v>
      </c>
      <c r="P30" s="2453">
        <v>86</v>
      </c>
      <c r="Q30" s="2439">
        <v>43118</v>
      </c>
      <c r="R30" s="2453">
        <v>38</v>
      </c>
      <c r="S30" s="2455">
        <v>48</v>
      </c>
      <c r="T30" s="2457" t="s">
        <v>1288</v>
      </c>
    </row>
    <row r="31" spans="2:20" ht="15" thickBot="1">
      <c r="B31" s="2473"/>
      <c r="C31" s="2474"/>
      <c r="D31" s="2475"/>
      <c r="E31" s="2474"/>
      <c r="F31" s="2476"/>
      <c r="G31" s="2460"/>
      <c r="H31" s="2476"/>
      <c r="I31" s="2468"/>
      <c r="J31" s="2481"/>
      <c r="K31" s="2467"/>
      <c r="L31" s="2481"/>
      <c r="M31" s="2478"/>
      <c r="N31" s="2472"/>
      <c r="O31" s="2478"/>
      <c r="P31" s="2479"/>
      <c r="Q31" s="2480"/>
      <c r="R31" s="2479"/>
      <c r="S31" s="2456"/>
      <c r="T31" s="2458"/>
    </row>
    <row r="36" spans="7:7">
      <c r="G36" s="1210"/>
    </row>
    <row r="37" spans="7:7">
      <c r="G37" s="1210"/>
    </row>
    <row r="38" spans="7:7">
      <c r="G38" s="1210"/>
    </row>
    <row r="39" spans="7:7">
      <c r="G39" s="1210"/>
    </row>
    <row r="40" spans="7:7">
      <c r="G40" s="1210"/>
    </row>
    <row r="41" spans="7:7">
      <c r="G41" s="1210"/>
    </row>
    <row r="42" spans="7:7">
      <c r="G42" s="1210"/>
    </row>
    <row r="43" spans="7:7">
      <c r="G43" s="1210"/>
    </row>
    <row r="44" spans="7:7">
      <c r="G44" s="1210"/>
    </row>
    <row r="45" spans="7:7">
      <c r="G45" s="1210"/>
    </row>
    <row r="46" spans="7:7">
      <c r="G46" s="2477"/>
    </row>
    <row r="47" spans="7:7">
      <c r="G47" s="2323"/>
    </row>
  </sheetData>
  <mergeCells count="93">
    <mergeCell ref="T30:T31"/>
    <mergeCell ref="G46:G47"/>
    <mergeCell ref="N30:N31"/>
    <mergeCell ref="O30:O31"/>
    <mergeCell ref="P30:P31"/>
    <mergeCell ref="Q30:Q31"/>
    <mergeCell ref="R30:R31"/>
    <mergeCell ref="S30:S31"/>
    <mergeCell ref="H30:H31"/>
    <mergeCell ref="I30:I31"/>
    <mergeCell ref="J30:J31"/>
    <mergeCell ref="K30:K31"/>
    <mergeCell ref="L30:L31"/>
    <mergeCell ref="M30:M31"/>
    <mergeCell ref="G30:G31"/>
    <mergeCell ref="B30:B31"/>
    <mergeCell ref="C30:C31"/>
    <mergeCell ref="D30:D31"/>
    <mergeCell ref="E30:E31"/>
    <mergeCell ref="F30:F31"/>
    <mergeCell ref="L28:L29"/>
    <mergeCell ref="M28:M29"/>
    <mergeCell ref="N28:N29"/>
    <mergeCell ref="O28:O29"/>
    <mergeCell ref="S28:S29"/>
    <mergeCell ref="T28:T29"/>
    <mergeCell ref="S26:S27"/>
    <mergeCell ref="T26:T27"/>
    <mergeCell ref="B28:B29"/>
    <mergeCell ref="C28:C29"/>
    <mergeCell ref="D28:D29"/>
    <mergeCell ref="E28:E29"/>
    <mergeCell ref="F28:F29"/>
    <mergeCell ref="H28:H29"/>
    <mergeCell ref="J28:J29"/>
    <mergeCell ref="K28:K29"/>
    <mergeCell ref="J26:J27"/>
    <mergeCell ref="K26:K27"/>
    <mergeCell ref="L26:L27"/>
    <mergeCell ref="M26:M27"/>
    <mergeCell ref="N26:N27"/>
    <mergeCell ref="O24:O25"/>
    <mergeCell ref="S24:S25"/>
    <mergeCell ref="O26:O27"/>
    <mergeCell ref="B26:B27"/>
    <mergeCell ref="C26:C27"/>
    <mergeCell ref="D26:D27"/>
    <mergeCell ref="E26:E27"/>
    <mergeCell ref="F26:F27"/>
    <mergeCell ref="H26:H27"/>
    <mergeCell ref="B24:B25"/>
    <mergeCell ref="C24:C25"/>
    <mergeCell ref="D24:D25"/>
    <mergeCell ref="E24:E25"/>
    <mergeCell ref="F24:F25"/>
    <mergeCell ref="H24:H25"/>
    <mergeCell ref="T24:T25"/>
    <mergeCell ref="Q22:Q23"/>
    <mergeCell ref="R22:R23"/>
    <mergeCell ref="S22:S23"/>
    <mergeCell ref="T22:T23"/>
    <mergeCell ref="K22:K23"/>
    <mergeCell ref="L22:L23"/>
    <mergeCell ref="M22:M23"/>
    <mergeCell ref="N22:N23"/>
    <mergeCell ref="I24:I25"/>
    <mergeCell ref="M24:M25"/>
    <mergeCell ref="N24:N25"/>
    <mergeCell ref="O22:O23"/>
    <mergeCell ref="P22:P23"/>
    <mergeCell ref="S20:S21"/>
    <mergeCell ref="T20:T21"/>
    <mergeCell ref="B22:B23"/>
    <mergeCell ref="C22:C23"/>
    <mergeCell ref="D22:D23"/>
    <mergeCell ref="E22:E23"/>
    <mergeCell ref="F22:F23"/>
    <mergeCell ref="H22:H23"/>
    <mergeCell ref="I22:I23"/>
    <mergeCell ref="J22:J23"/>
    <mergeCell ref="M20:M21"/>
    <mergeCell ref="N20:N21"/>
    <mergeCell ref="O20:O21"/>
    <mergeCell ref="P20:P21"/>
    <mergeCell ref="A1:J1"/>
    <mergeCell ref="Q20:Q21"/>
    <mergeCell ref="R20:R21"/>
    <mergeCell ref="B20:B21"/>
    <mergeCell ref="C20:C21"/>
    <mergeCell ref="D20:D21"/>
    <mergeCell ref="E20:E21"/>
    <mergeCell ref="F20:F21"/>
    <mergeCell ref="H20:H21"/>
  </mergeCells>
  <pageMargins left="0.7" right="0.7" top="0.75" bottom="0.75" header="0.3" footer="0.3"/>
  <pageSetup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18">
    <tabColor rgb="FF00B0F0"/>
  </sheetPr>
  <dimension ref="A1:M63"/>
  <sheetViews>
    <sheetView showGridLines="0" topLeftCell="A55" workbookViewId="0">
      <selection activeCell="I3" sqref="I3"/>
    </sheetView>
  </sheetViews>
  <sheetFormatPr baseColWidth="10" defaultRowHeight="14.4"/>
  <cols>
    <col min="1" max="1" width="2.5546875" customWidth="1"/>
    <col min="2" max="2" width="8.21875" customWidth="1"/>
    <col min="3" max="5" width="9" customWidth="1"/>
    <col min="6" max="6" width="10.44140625" customWidth="1"/>
    <col min="7" max="7" width="13" customWidth="1"/>
    <col min="8" max="8" width="12" customWidth="1"/>
    <col min="9" max="9" width="9.44140625" customWidth="1"/>
    <col min="10" max="10" width="10.5546875" customWidth="1"/>
  </cols>
  <sheetData>
    <row r="1" spans="2:10">
      <c r="G1" s="648" t="s">
        <v>1</v>
      </c>
      <c r="H1" s="4"/>
      <c r="I1" s="649">
        <f>INICIO!D12</f>
        <v>45078</v>
      </c>
    </row>
    <row r="2" spans="2:10">
      <c r="G2" s="648" t="s">
        <v>2</v>
      </c>
      <c r="H2" s="4"/>
      <c r="I2" s="649">
        <f>INICIO!D13</f>
        <v>45107</v>
      </c>
    </row>
    <row r="3" spans="2:10" ht="18.600000000000001" thickBot="1">
      <c r="B3" s="2483" t="s">
        <v>899</v>
      </c>
      <c r="C3" s="2483"/>
      <c r="D3" s="2483"/>
      <c r="E3" s="2484"/>
      <c r="G3" s="648" t="s">
        <v>3</v>
      </c>
      <c r="H3" s="4"/>
      <c r="I3" s="649">
        <f ca="1">TODAY( )</f>
        <v>45126</v>
      </c>
    </row>
    <row r="4" spans="2:10">
      <c r="G4" s="648"/>
      <c r="H4" s="4"/>
      <c r="I4" s="649"/>
    </row>
    <row r="5" spans="2:10" ht="18" customHeight="1">
      <c r="B5" s="633" t="s">
        <v>874</v>
      </c>
      <c r="C5" s="633"/>
      <c r="D5" s="633"/>
      <c r="E5" s="633"/>
      <c r="F5" s="633"/>
      <c r="G5" s="633"/>
      <c r="H5" s="633"/>
      <c r="I5" s="633"/>
      <c r="J5" s="633"/>
    </row>
    <row r="6" spans="2:10">
      <c r="B6" s="634" t="s">
        <v>132</v>
      </c>
      <c r="C6" s="634" t="s">
        <v>875</v>
      </c>
      <c r="D6" s="634" t="s">
        <v>876</v>
      </c>
      <c r="E6" s="634" t="s">
        <v>877</v>
      </c>
      <c r="F6" s="634" t="s">
        <v>878</v>
      </c>
      <c r="G6" s="634" t="s">
        <v>818</v>
      </c>
      <c r="H6" s="634" t="s">
        <v>879</v>
      </c>
      <c r="I6" s="634" t="s">
        <v>880</v>
      </c>
      <c r="J6" s="634" t="s">
        <v>881</v>
      </c>
    </row>
    <row r="7" spans="2:10">
      <c r="B7" s="651" t="s">
        <v>176</v>
      </c>
      <c r="C7" s="650">
        <f ca="1">IF(DATOSAÑO!$Y376=0," ",DATOSAÑO!$Y376)</f>
        <v>13554.626999999968</v>
      </c>
      <c r="D7" s="637" t="e">
        <f>IF(DATOSAÑO!#REF!=0," ",DATOSAÑO!#REF!)</f>
        <v>#REF!</v>
      </c>
      <c r="E7" s="637">
        <v>84.736999999999995</v>
      </c>
      <c r="F7" s="636">
        <v>161.62559999999996</v>
      </c>
      <c r="G7" s="700">
        <v>1422488</v>
      </c>
      <c r="H7" s="637" t="e">
        <f t="shared" ref="H7:H13" ca="1" si="0">IF(G7=0," ",(((C7+D7+E7)*1000)+F7)/G7)</f>
        <v>#REF!</v>
      </c>
      <c r="I7" s="637">
        <f t="shared" ref="I7:I13" ca="1" si="1">IF(G7=0," ",(C7*1000)/G7)</f>
        <v>9.5288164118080214</v>
      </c>
      <c r="J7" s="638">
        <f>IF(G7&gt;0,13," ")</f>
        <v>13</v>
      </c>
    </row>
    <row r="8" spans="2:10">
      <c r="B8" s="651" t="s">
        <v>177</v>
      </c>
      <c r="C8" s="650">
        <f ca="1">IF(DATOSAÑO!$Y377=0," ",DATOSAÑO!$Y377)</f>
        <v>12240.734000000031</v>
      </c>
      <c r="D8" s="637" t="e">
        <f>IF(DATOSAÑO!#REF!=0," ",DATOSAÑO!#REF!)</f>
        <v>#REF!</v>
      </c>
      <c r="E8" s="637"/>
      <c r="F8" s="636">
        <v>161.46086400000007</v>
      </c>
      <c r="G8" s="700">
        <f ca="1">IF(AND(DATOSAÑO!BE377=0,DATOSAÑO!BF377=0)," ",(DATOSAÑO!BE377+DATOSAÑO!BF377))</f>
        <v>1104398.0706790104</v>
      </c>
      <c r="H8" s="637" t="e">
        <f t="shared" ca="1" si="0"/>
        <v>#REF!</v>
      </c>
      <c r="I8" s="637">
        <f t="shared" ca="1" si="1"/>
        <v>11.083624940121577</v>
      </c>
      <c r="J8" s="638">
        <f ca="1">IF(G8&gt;0,13," ")</f>
        <v>13</v>
      </c>
    </row>
    <row r="9" spans="2:10">
      <c r="B9" s="651" t="s">
        <v>178</v>
      </c>
      <c r="C9" s="650">
        <f ca="1">IF(DATOSAÑO!$Y378=0," ",DATOSAÑO!$Y378)</f>
        <v>13729.963999999965</v>
      </c>
      <c r="D9" s="637" t="e">
        <f>IF(DATOSAÑO!#REF!=0," ",DATOSAÑO!#REF!)</f>
        <v>#REF!</v>
      </c>
      <c r="E9" s="637"/>
      <c r="F9" s="636">
        <v>161.62560000000008</v>
      </c>
      <c r="G9" s="700">
        <f ca="1">IF(AND(DATOSAÑO!BE378=0,DATOSAÑO!BF378=0)," ",(DATOSAÑO!BE378+DATOSAÑO!BF378))</f>
        <v>1255264.7821958121</v>
      </c>
      <c r="H9" s="637" t="e">
        <f t="shared" ca="1" si="0"/>
        <v>#REF!</v>
      </c>
      <c r="I9" s="637">
        <f t="shared" ca="1" si="1"/>
        <v>10.937902659853474</v>
      </c>
      <c r="J9" s="638">
        <f t="shared" ref="J9:J14" ca="1" si="2">IF(G9&gt;0,13," ")</f>
        <v>13</v>
      </c>
    </row>
    <row r="10" spans="2:10">
      <c r="B10" s="651" t="s">
        <v>179</v>
      </c>
      <c r="C10" s="650">
        <f ca="1">IF(DATOSAÑO!$Y379=0," ",DATOSAÑO!$Y379)</f>
        <v>13154.943000000025</v>
      </c>
      <c r="D10" s="637" t="e">
        <f>IF(DATOSAÑO!#REF!=0," ",DATOSAÑO!#REF!)</f>
        <v>#REF!</v>
      </c>
      <c r="E10" s="637"/>
      <c r="F10" s="636">
        <v>161.62560000000008</v>
      </c>
      <c r="G10" s="700">
        <f ca="1">IF(AND(DATOSAÑO!BE379=0,DATOSAÑO!BF379=0)," ",(DATOSAÑO!BE379+DATOSAÑO!BF379))</f>
        <v>1131942.6371929825</v>
      </c>
      <c r="H10" s="637" t="e">
        <f t="shared" ca="1" si="0"/>
        <v>#REF!</v>
      </c>
      <c r="I10" s="637">
        <f t="shared" ca="1" si="1"/>
        <v>11.621563291070965</v>
      </c>
      <c r="J10" s="638">
        <f t="shared" ca="1" si="2"/>
        <v>13</v>
      </c>
    </row>
    <row r="11" spans="2:10">
      <c r="B11" s="651" t="s">
        <v>180</v>
      </c>
      <c r="C11" s="650">
        <f ca="1">IF(DATOSAÑO!$Y380=0," ",DATOSAÑO!$Y380)</f>
        <v>13126.246999999976</v>
      </c>
      <c r="D11" s="637" t="e">
        <f>IF(DATOSAÑO!#REF!=0," ",DATOSAÑO!#REF!)</f>
        <v>#REF!</v>
      </c>
      <c r="E11" s="637"/>
      <c r="F11" s="636">
        <v>161.62560000000008</v>
      </c>
      <c r="G11" s="700">
        <f ca="1">IF(AND(DATOSAÑO!BE380=0,DATOSAÑO!BF380=0)," ",(DATOSAÑO!BE380+DATOSAÑO!BF380))</f>
        <v>1112549.1308771931</v>
      </c>
      <c r="H11" s="637" t="e">
        <f t="shared" ca="1" si="0"/>
        <v>#REF!</v>
      </c>
      <c r="I11" s="637">
        <f t="shared" ca="1" si="1"/>
        <v>11.798352662098205</v>
      </c>
      <c r="J11" s="638">
        <f t="shared" ca="1" si="2"/>
        <v>13</v>
      </c>
    </row>
    <row r="12" spans="2:10">
      <c r="B12" s="651" t="s">
        <v>182</v>
      </c>
      <c r="C12" s="650">
        <f ca="1">IF(DATOSAÑO!$Y381=0," ",DATOSAÑO!$Y381)</f>
        <v>1772</v>
      </c>
      <c r="D12" s="637" t="e">
        <f>IF(DATOSAÑO!#REF!=0," ",DATOSAÑO!#REF!)</f>
        <v>#REF!</v>
      </c>
      <c r="E12" s="637"/>
      <c r="F12" s="636">
        <v>161.62560000000008</v>
      </c>
      <c r="G12" s="700">
        <f ca="1">IF(AND(DATOSAÑO!BE381=0,DATOSAÑO!BF381=0)," ",(DATOSAÑO!BE381+DATOSAÑO!BF381))</f>
        <v>107744.1203508771</v>
      </c>
      <c r="H12" s="637" t="e">
        <f t="shared" ca="1" si="0"/>
        <v>#REF!</v>
      </c>
      <c r="I12" s="637">
        <f t="shared" ca="1" si="1"/>
        <v>16.446373075666166</v>
      </c>
      <c r="J12" s="638">
        <f t="shared" ca="1" si="2"/>
        <v>13</v>
      </c>
    </row>
    <row r="13" spans="2:10">
      <c r="B13" s="651" t="s">
        <v>183</v>
      </c>
      <c r="C13" s="650" t="str">
        <f ca="1">IF(DATOSAÑO!$Y382=0," ",DATOSAÑO!$Y382)</f>
        <v xml:space="preserve"> </v>
      </c>
      <c r="D13" s="637" t="e">
        <f>IF(DATOSAÑO!#REF!=0," ",DATOSAÑO!#REF!)</f>
        <v>#REF!</v>
      </c>
      <c r="E13" s="637" t="str">
        <f ca="1">IF(DATOSAÑO!$BL382=0," ",DATOSAÑO!$BL382)</f>
        <v xml:space="preserve"> </v>
      </c>
      <c r="F13" s="636">
        <v>161.62560000000008</v>
      </c>
      <c r="G13" s="700" t="str">
        <f ca="1">IF(AND(DATOSAÑO!BE382=0,DATOSAÑO!BF382=0)," ",(DATOSAÑO!BE382+DATOSAÑO!BF382))</f>
        <v xml:space="preserve"> </v>
      </c>
      <c r="H13" s="637" t="e">
        <f t="shared" ca="1" si="0"/>
        <v>#VALUE!</v>
      </c>
      <c r="I13" s="637" t="e">
        <f t="shared" ca="1" si="1"/>
        <v>#VALUE!</v>
      </c>
      <c r="J13" s="638">
        <f t="shared" ca="1" si="2"/>
        <v>13</v>
      </c>
    </row>
    <row r="14" spans="2:10">
      <c r="B14" s="651" t="s">
        <v>184</v>
      </c>
      <c r="C14" s="650" t="str">
        <f ca="1">IF(DATOSAÑO!$Y383=0," ",DATOSAÑO!$Y383)</f>
        <v xml:space="preserve"> </v>
      </c>
      <c r="D14" s="637" t="e">
        <f>IF(DATOSAÑO!#REF!=0," ",DATOSAÑO!#REF!)</f>
        <v>#REF!</v>
      </c>
      <c r="E14" s="637" t="str">
        <f ca="1">IF(DATOSAÑO!$BL383=0," ",DATOSAÑO!$BL383)</f>
        <v xml:space="preserve"> </v>
      </c>
      <c r="F14" s="636">
        <v>161.62560000000008</v>
      </c>
      <c r="G14" s="700" t="str">
        <f ca="1">IF(AND(DATOSAÑO!BE383=0,DATOSAÑO!BF383=0)," ",(DATOSAÑO!BE383+DATOSAÑO!BF383))</f>
        <v xml:space="preserve"> </v>
      </c>
      <c r="H14" s="637" t="e">
        <f ca="1">IF(G14=0," ",(((C14+D14+E14)*1000)+F14)/G14)</f>
        <v>#VALUE!</v>
      </c>
      <c r="I14" s="637" t="e">
        <f ca="1">IF(G14=0," ",(C14*1000)/G14)</f>
        <v>#VALUE!</v>
      </c>
      <c r="J14" s="638">
        <f t="shared" ca="1" si="2"/>
        <v>13</v>
      </c>
    </row>
    <row r="15" spans="2:10">
      <c r="B15" s="651" t="s">
        <v>185</v>
      </c>
      <c r="C15" s="650" t="str">
        <f ca="1">IF(DATOSAÑO!$Y384=0," ",DATOSAÑO!$Y384)</f>
        <v xml:space="preserve"> </v>
      </c>
      <c r="D15" s="637" t="e">
        <f>IF(DATOSAÑO!#REF!=0," ",DATOSAÑO!#REF!)</f>
        <v>#REF!</v>
      </c>
      <c r="E15" s="637" t="str">
        <f ca="1">IF(DATOSAÑO!$BL384=0," ",DATOSAÑO!$BL384)</f>
        <v xml:space="preserve"> </v>
      </c>
      <c r="F15" s="636">
        <v>161.62560000000008</v>
      </c>
      <c r="G15" s="700" t="str">
        <f ca="1">IF(AND(DATOSAÑO!BE384=0,DATOSAÑO!BF384=0)," ",(DATOSAÑO!BE384+DATOSAÑO!BF384))</f>
        <v xml:space="preserve"> </v>
      </c>
      <c r="H15" s="637" t="e">
        <f ca="1">IF(G15=0," ",(((C15+D15+E15)*1000)+F15)/G15)</f>
        <v>#VALUE!</v>
      </c>
      <c r="I15" s="637" t="e">
        <f ca="1">IF(G15=0," ",(C15*1000)/G15)</f>
        <v>#VALUE!</v>
      </c>
      <c r="J15" s="638">
        <f ca="1">IF(G15&gt;0,13," ")</f>
        <v>13</v>
      </c>
    </row>
    <row r="16" spans="2:10">
      <c r="B16" s="651" t="s">
        <v>186</v>
      </c>
      <c r="C16" s="650" t="str">
        <f ca="1">IF(DATOSAÑO!$Y385=0," ",DATOSAÑO!$Y385)</f>
        <v xml:space="preserve"> </v>
      </c>
      <c r="D16" s="637" t="e">
        <f>IF(DATOSAÑO!#REF!=0," ",DATOSAÑO!#REF!)</f>
        <v>#REF!</v>
      </c>
      <c r="E16" s="637" t="str">
        <f ca="1">IF(DATOSAÑO!$BL385=0," ",DATOSAÑO!$BL385)</f>
        <v xml:space="preserve"> </v>
      </c>
      <c r="F16" s="636">
        <v>161.62560000000008</v>
      </c>
      <c r="G16" s="700" t="str">
        <f ca="1">IF(AND(DATOSAÑO!BE385=0,DATOSAÑO!BF385=0)," ",(DATOSAÑO!BE385+DATOSAÑO!BF385))</f>
        <v xml:space="preserve"> </v>
      </c>
      <c r="H16" s="637" t="e">
        <f ca="1">IF(G16=0," ",(((C16+D16+E16)*1000)+F16)/G16)</f>
        <v>#VALUE!</v>
      </c>
      <c r="I16" s="637" t="e">
        <f ca="1">IF(G16=0," ",(C16*1000)/G16)</f>
        <v>#VALUE!</v>
      </c>
      <c r="J16" s="638">
        <f ca="1">IF(G16&gt;0,13," ")</f>
        <v>13</v>
      </c>
    </row>
    <row r="17" spans="2:10">
      <c r="B17" s="651" t="s">
        <v>187</v>
      </c>
      <c r="C17" s="650" t="str">
        <f ca="1">IF(DATOSAÑO!$Y386=0," ",DATOSAÑO!$Y386)</f>
        <v xml:space="preserve"> </v>
      </c>
      <c r="D17" s="637" t="e">
        <f>IF(DATOSAÑO!#REF!=0," ",DATOSAÑO!#REF!)</f>
        <v>#REF!</v>
      </c>
      <c r="E17" s="637" t="str">
        <f ca="1">IF(DATOSAÑO!$BL386=0," ",DATOSAÑO!$BL386)</f>
        <v xml:space="preserve"> </v>
      </c>
      <c r="F17" s="638">
        <v>161.6</v>
      </c>
      <c r="G17" s="700" t="str">
        <f ca="1">IF(AND(DATOSAÑO!BE386=0,DATOSAÑO!BF386=0)," ",(DATOSAÑO!BE386+DATOSAÑO!BF386))</f>
        <v xml:space="preserve"> </v>
      </c>
      <c r="H17" s="637" t="e">
        <f ca="1">IF(G17=0," ",(((C17+D17+E17)*1000)+F17)/G17)</f>
        <v>#VALUE!</v>
      </c>
      <c r="I17" s="637" t="e">
        <f ca="1">IF(G17=0," ",(C17*1000)/G17)</f>
        <v>#VALUE!</v>
      </c>
      <c r="J17" s="638">
        <f ca="1">IF(G17&gt;0,13," ")</f>
        <v>13</v>
      </c>
    </row>
    <row r="18" spans="2:10">
      <c r="B18" s="651" t="s">
        <v>188</v>
      </c>
      <c r="C18" s="650" t="str">
        <f ca="1">IF(DATOSAÑO!$Y387=0," ",DATOSAÑO!$Y387)</f>
        <v xml:space="preserve"> </v>
      </c>
      <c r="D18" s="637" t="e">
        <f>IF(DATOSAÑO!#REF!=0," ",DATOSAÑO!#REF!)</f>
        <v>#REF!</v>
      </c>
      <c r="E18" s="637" t="str">
        <f ca="1">IF(DATOSAÑO!$BL387=0," ",DATOSAÑO!$BL387)</f>
        <v xml:space="preserve"> </v>
      </c>
      <c r="F18" s="638">
        <v>161.6</v>
      </c>
      <c r="G18" s="700" t="str">
        <f ca="1">IF(AND(DATOSAÑO!BE387=0,DATOSAÑO!BF387=0)," ",(DATOSAÑO!BE387+DATOSAÑO!BF387))</f>
        <v xml:space="preserve"> </v>
      </c>
      <c r="H18" s="637" t="str">
        <f ca="1">IF(G18&gt;0," ",(((C18+D18+E18)*1000)+F18)/G18)</f>
        <v xml:space="preserve"> </v>
      </c>
      <c r="I18" s="637" t="str">
        <f ca="1">IF(G18&gt;0," ",(C18*1000)/G18)</f>
        <v xml:space="preserve"> </v>
      </c>
      <c r="J18" s="638" t="str">
        <f ca="1">IF(G18=0,13," ")</f>
        <v xml:space="preserve"> </v>
      </c>
    </row>
    <row r="21" spans="2:10" ht="15" thickBot="1"/>
    <row r="22" spans="2:10" ht="18">
      <c r="B22" s="2485" t="s">
        <v>900</v>
      </c>
      <c r="C22" s="2486"/>
      <c r="D22" s="2486"/>
      <c r="E22" s="2486"/>
    </row>
    <row r="24" spans="2:10">
      <c r="B24" s="2499">
        <v>2016</v>
      </c>
      <c r="C24" s="2497" t="s">
        <v>882</v>
      </c>
      <c r="D24" s="2497"/>
      <c r="E24" s="2497"/>
      <c r="F24" s="2498" t="s">
        <v>883</v>
      </c>
      <c r="G24" s="2498"/>
      <c r="H24" s="2498"/>
      <c r="I24" s="2489" t="s">
        <v>884</v>
      </c>
      <c r="J24" s="2489" t="s">
        <v>885</v>
      </c>
    </row>
    <row r="25" spans="2:10" ht="43.2">
      <c r="B25" s="2499"/>
      <c r="C25" s="639" t="s">
        <v>886</v>
      </c>
      <c r="D25" s="640" t="s">
        <v>887</v>
      </c>
      <c r="E25" s="640" t="s">
        <v>888</v>
      </c>
      <c r="F25" s="639" t="s">
        <v>886</v>
      </c>
      <c r="G25" s="640" t="s">
        <v>887</v>
      </c>
      <c r="H25" s="640" t="s">
        <v>889</v>
      </c>
      <c r="I25" s="2489"/>
      <c r="J25" s="2489"/>
    </row>
    <row r="26" spans="2:10">
      <c r="B26" s="651" t="s">
        <v>176</v>
      </c>
      <c r="C26" s="637">
        <f ca="1">IF(DATOSAÑO!$D376=0," ",DATOSAÑO!$D376)</f>
        <v>111.44138153932562</v>
      </c>
      <c r="D26" s="636">
        <f ca="1">IF(DATOSAÑO!$C376=0," ",DATOSAÑO!$C376)</f>
        <v>5613.8399999999674</v>
      </c>
      <c r="E26" s="671">
        <f t="shared" ref="E26:E32" ca="1" si="3">IF(D26=" "," ",((C26*I26)/D26)*1000)</f>
        <v>19257.635456532502</v>
      </c>
      <c r="F26" s="637">
        <f ca="1">IF(DATOSAÑO!$K376=0," ",DATOSAÑO!$K376)</f>
        <v>128.66486019101129</v>
      </c>
      <c r="G26" s="636">
        <f ca="1">IF(DATOSAÑO!$J376=0," ",DATOSAÑO!$J376)</f>
        <v>7936.4000000000015</v>
      </c>
      <c r="H26" s="671">
        <f ca="1">IF(G26=" "," ",((F26*I26)/G26)*1000)</f>
        <v>15727.254280442019</v>
      </c>
      <c r="I26" s="635">
        <f ca="1">IF(AND($D26=" ",$G26=" ")," ",('GRAFICAS RPTE GCIAL'!AH159))</f>
        <v>970.1</v>
      </c>
      <c r="J26" s="638">
        <f t="shared" ref="J26:J32" ca="1" si="4">IF(I26=" "," ",17800)</f>
        <v>17800</v>
      </c>
    </row>
    <row r="27" spans="2:10">
      <c r="B27" s="651" t="s">
        <v>177</v>
      </c>
      <c r="C27" s="637">
        <f ca="1">IF(DATOSAÑO!$D377=0," ",DATOSAÑO!$D377)</f>
        <v>135.61939776059879</v>
      </c>
      <c r="D27" s="636">
        <f ca="1">IF(DATOSAÑO!$C377=0," ",DATOSAÑO!$C377)</f>
        <v>8128.1600000000326</v>
      </c>
      <c r="E27" s="671">
        <f t="shared" ca="1" si="3"/>
        <v>14719.620763419984</v>
      </c>
      <c r="F27" s="637">
        <f ca="1">IF(DATOSAÑO!$K377=0," ",DATOSAÑO!$K377)</f>
        <v>102.83230648877804</v>
      </c>
      <c r="G27" s="636">
        <f ca="1">IF(DATOSAÑO!$J377=0," ",DATOSAÑO!$J377)</f>
        <v>4107.4799999999996</v>
      </c>
      <c r="H27" s="671">
        <f t="shared" ref="H27:H37" ca="1" si="5">IF(G27=" "," ",((F27*I27)/G27)*1000)</f>
        <v>22086.208766542994</v>
      </c>
      <c r="I27" s="635">
        <f ca="1">IF(AND($D27=" ",$G27=" ")," ",('GRAFICAS RPTE GCIAL'!AH160))</f>
        <v>882.2</v>
      </c>
      <c r="J27" s="638">
        <f t="shared" ca="1" si="4"/>
        <v>17800</v>
      </c>
    </row>
    <row r="28" spans="2:10">
      <c r="B28" s="651" t="s">
        <v>178</v>
      </c>
      <c r="C28" s="637">
        <f ca="1">IF(DATOSAÑO!$D378=0," ",DATOSAÑO!$D378)</f>
        <v>150.34417391895238</v>
      </c>
      <c r="D28" s="636">
        <f ca="1">IF(DATOSAÑO!$C378=0," ",DATOSAÑO!$C378)</f>
        <v>9022.8399999999674</v>
      </c>
      <c r="E28" s="671">
        <f t="shared" ca="1" si="3"/>
        <v>14663.107519215522</v>
      </c>
      <c r="F28" s="637">
        <f ca="1">IF(DATOSAÑO!$K378=0," ",DATOSAÑO!$K378)</f>
        <v>115.13728264713214</v>
      </c>
      <c r="G28" s="636">
        <f ca="1">IF(DATOSAÑO!$J378=0," ",DATOSAÑO!$J378)</f>
        <v>4705.4199999999983</v>
      </c>
      <c r="H28" s="671">
        <f t="shared" ca="1" si="5"/>
        <v>21532.787451380816</v>
      </c>
      <c r="I28" s="635">
        <f ca="1">IF(AND($D28=" ",$G28=" ")," ",('GRAFICAS RPTE GCIAL'!AH161))</f>
        <v>880</v>
      </c>
      <c r="J28" s="638">
        <f t="shared" ca="1" si="4"/>
        <v>17800</v>
      </c>
    </row>
    <row r="29" spans="2:10">
      <c r="B29" s="651" t="s">
        <v>179</v>
      </c>
      <c r="C29" s="637">
        <f ca="1">IF(DATOSAÑO!$D379=0," ",DATOSAÑO!$D379)</f>
        <v>154.463473048483</v>
      </c>
      <c r="D29" s="636">
        <f ca="1">IF(DATOSAÑO!$C379=0," ",DATOSAÑO!$C379)</f>
        <v>9357.1500000000233</v>
      </c>
      <c r="E29" s="671">
        <f t="shared" ca="1" si="3"/>
        <v>14198.130111091508</v>
      </c>
      <c r="F29" s="637">
        <f ca="1">IF(DATOSAÑO!$K379=0," ",DATOSAÑO!$K379)</f>
        <v>100.07923481234741</v>
      </c>
      <c r="G29" s="636">
        <f ca="1">IF(DATOSAÑO!$J379=0," ",DATOSAÑO!$J379)</f>
        <v>3766.1000000000022</v>
      </c>
      <c r="H29" s="671">
        <f t="shared" ca="1" si="5"/>
        <v>22856.044678075454</v>
      </c>
      <c r="I29" s="635">
        <f ca="1">IF(AND($D29=" ",$G29=" ")," ",('GRAFICAS RPTE GCIAL'!AH162))</f>
        <v>860.1</v>
      </c>
      <c r="J29" s="638">
        <f t="shared" ca="1" si="4"/>
        <v>17800</v>
      </c>
    </row>
    <row r="30" spans="2:10">
      <c r="B30" s="651" t="s">
        <v>180</v>
      </c>
      <c r="C30" s="637">
        <f ca="1">IF(DATOSAÑO!$D380=0," ",DATOSAÑO!$D380)</f>
        <v>139.16309963284951</v>
      </c>
      <c r="D30" s="636">
        <f ca="1">IF(DATOSAÑO!$C380=0," ",DATOSAÑO!$C380)</f>
        <v>6850.8499999999767</v>
      </c>
      <c r="E30" s="671">
        <f t="shared" ca="1" si="3"/>
        <v>17079.389297868187</v>
      </c>
      <c r="F30" s="637">
        <f ca="1">IF(DATOSAÑO!$K380=0," ",DATOSAÑO!$K380)</f>
        <v>134.2026791999287</v>
      </c>
      <c r="G30" s="636">
        <f ca="1">IF(DATOSAÑO!$J380=0," ",DATOSAÑO!$J380)</f>
        <v>6271.0999999999985</v>
      </c>
      <c r="H30" s="671">
        <f t="shared" ca="1" si="5"/>
        <v>17993.272738642354</v>
      </c>
      <c r="I30" s="635">
        <f ca="1">IF(AND($D30=" ",$G30=" ")," ",('GRAFICAS RPTE GCIAL'!AH163))</f>
        <v>840.8</v>
      </c>
      <c r="J30" s="638">
        <f t="shared" ca="1" si="4"/>
        <v>17800</v>
      </c>
    </row>
    <row r="31" spans="2:10">
      <c r="B31" s="651" t="s">
        <v>182</v>
      </c>
      <c r="C31" s="637">
        <f ca="1">IF(DATOSAÑO!$D381=0," ",DATOSAÑO!$D381)</f>
        <v>19.101107073745005</v>
      </c>
      <c r="D31" s="636">
        <f ca="1">IF(DATOSAÑO!$C381=0," ",DATOSAÑO!$C381)</f>
        <v>1176</v>
      </c>
      <c r="E31" s="671">
        <f t="shared" ca="1" si="3"/>
        <v>14624.691164285716</v>
      </c>
      <c r="F31" s="637">
        <f ca="1">IF(DATOSAÑO!$K381=0," ",DATOSAÑO!$K381)</f>
        <v>14.467033328742783</v>
      </c>
      <c r="G31" s="636">
        <f ca="1">IF(DATOSAÑO!$J381=0," ",DATOSAÑO!$J381)</f>
        <v>596</v>
      </c>
      <c r="H31" s="671">
        <f t="shared" ca="1" si="5"/>
        <v>21855.900686577184</v>
      </c>
      <c r="I31" s="635">
        <f ca="1">IF(AND($D31=" ",$G31=" ")," ",('GRAFICAS RPTE GCIAL'!AH164))</f>
        <v>900.4</v>
      </c>
      <c r="J31" s="638">
        <f t="shared" ca="1" si="4"/>
        <v>17800</v>
      </c>
    </row>
    <row r="32" spans="2:10">
      <c r="B32" s="651" t="s">
        <v>183</v>
      </c>
      <c r="C32" s="637" t="str">
        <f ca="1">IF(DATOSAÑO!$D382=0," ",DATOSAÑO!$D382)</f>
        <v xml:space="preserve"> </v>
      </c>
      <c r="D32" s="636" t="str">
        <f ca="1">IF(DATOSAÑO!$C382=0," ",DATOSAÑO!$C382)</f>
        <v xml:space="preserve"> </v>
      </c>
      <c r="E32" s="671" t="str">
        <f t="shared" ca="1" si="3"/>
        <v xml:space="preserve"> </v>
      </c>
      <c r="F32" s="637" t="str">
        <f ca="1">IF(DATOSAÑO!$K382=0," ",DATOSAÑO!$K382)</f>
        <v xml:space="preserve"> </v>
      </c>
      <c r="G32" s="636" t="str">
        <f ca="1">IF(DATOSAÑO!$J382=0," ",DATOSAÑO!$J382)</f>
        <v xml:space="preserve"> </v>
      </c>
      <c r="H32" s="671" t="str">
        <f t="shared" ca="1" si="5"/>
        <v xml:space="preserve"> </v>
      </c>
      <c r="I32" s="635" t="str">
        <f ca="1">IF(AND($D32=" ",$G32=" ")," ",('GRAFICAS RPTE GCIAL'!AH165))</f>
        <v xml:space="preserve"> </v>
      </c>
      <c r="J32" s="638" t="str">
        <f t="shared" ca="1" si="4"/>
        <v xml:space="preserve"> </v>
      </c>
    </row>
    <row r="33" spans="1:13">
      <c r="B33" s="651" t="s">
        <v>184</v>
      </c>
      <c r="C33" s="637" t="str">
        <f ca="1">IF(DATOSAÑO!$D383=0," ",DATOSAÑO!$D383)</f>
        <v xml:space="preserve"> </v>
      </c>
      <c r="D33" s="636" t="str">
        <f ca="1">IF(DATOSAÑO!$C383=0," ",DATOSAÑO!$C383)</f>
        <v xml:space="preserve"> </v>
      </c>
      <c r="E33" s="671" t="str">
        <f ca="1">IF(D33=" "," ",((C33*I33)/D33)*1000)</f>
        <v xml:space="preserve"> </v>
      </c>
      <c r="F33" s="637" t="str">
        <f ca="1">IF(DATOSAÑO!$K383=0," ",DATOSAÑO!$K383)</f>
        <v xml:space="preserve"> </v>
      </c>
      <c r="G33" s="636" t="str">
        <f ca="1">IF(DATOSAÑO!$J383=0," ",DATOSAÑO!$J383)</f>
        <v xml:space="preserve"> </v>
      </c>
      <c r="H33" s="671" t="str">
        <f t="shared" ca="1" si="5"/>
        <v xml:space="preserve"> </v>
      </c>
      <c r="I33" s="635" t="str">
        <f ca="1">IF(AND($D33=" ",$G33=" ")," ",('GRAFICAS RPTE GCIAL'!AH166))</f>
        <v xml:space="preserve"> </v>
      </c>
      <c r="J33" s="638" t="str">
        <f ca="1">IF(I33=" "," ",17800)</f>
        <v xml:space="preserve"> </v>
      </c>
    </row>
    <row r="34" spans="1:13">
      <c r="B34" s="651" t="s">
        <v>185</v>
      </c>
      <c r="C34" s="637" t="str">
        <f ca="1">IF(DATOSAÑO!$D384=0," ",DATOSAÑO!$D384)</f>
        <v xml:space="preserve"> </v>
      </c>
      <c r="D34" s="636" t="str">
        <f ca="1">IF(DATOSAÑO!$C384=0," ",DATOSAÑO!$C384)</f>
        <v xml:space="preserve"> </v>
      </c>
      <c r="E34" s="671" t="str">
        <f ca="1">IF(D34=" "," ",((C34*I34)/D34)*1000)</f>
        <v xml:space="preserve"> </v>
      </c>
      <c r="F34" s="637" t="str">
        <f ca="1">IF(DATOSAÑO!$K384=0," ",DATOSAÑO!$K384)</f>
        <v xml:space="preserve"> </v>
      </c>
      <c r="G34" s="636" t="str">
        <f ca="1">IF(DATOSAÑO!$J384=0," ",DATOSAÑO!$J384)</f>
        <v xml:space="preserve"> </v>
      </c>
      <c r="H34" s="671" t="str">
        <f t="shared" ca="1" si="5"/>
        <v xml:space="preserve"> </v>
      </c>
      <c r="I34" s="635" t="str">
        <f ca="1">IF(AND($D34=" ",$G34=" ")," ",('GRAFICAS RPTE GCIAL'!AH167))</f>
        <v xml:space="preserve"> </v>
      </c>
      <c r="J34" s="638" t="str">
        <f ca="1">IF(I34=" "," ",17800)</f>
        <v xml:space="preserve"> </v>
      </c>
    </row>
    <row r="35" spans="1:13">
      <c r="B35" s="651" t="s">
        <v>186</v>
      </c>
      <c r="C35" s="637" t="str">
        <f ca="1">IF(DATOSAÑO!$D385=0," ",DATOSAÑO!$D385)</f>
        <v xml:space="preserve"> </v>
      </c>
      <c r="D35" s="636" t="str">
        <f ca="1">IF(DATOSAÑO!$C385=0," ",DATOSAÑO!$C385)</f>
        <v xml:space="preserve"> </v>
      </c>
      <c r="E35" s="671" t="str">
        <f ca="1">IF(D35=" "," ",((C35*I35)/D35)*1000)</f>
        <v xml:space="preserve"> </v>
      </c>
      <c r="F35" s="637" t="str">
        <f ca="1">IF(DATOSAÑO!$K385=0," ",DATOSAÑO!$K385)</f>
        <v xml:space="preserve"> </v>
      </c>
      <c r="G35" s="636" t="str">
        <f ca="1">IF(DATOSAÑO!$J385=0," ",DATOSAÑO!$J385)</f>
        <v xml:space="preserve"> </v>
      </c>
      <c r="H35" s="671" t="str">
        <f t="shared" ca="1" si="5"/>
        <v xml:space="preserve"> </v>
      </c>
      <c r="I35" s="635" t="str">
        <f ca="1">IF(AND($D35=" ",$G35=" ")," ",('GRAFICAS RPTE GCIAL'!AH168))</f>
        <v xml:space="preserve"> </v>
      </c>
      <c r="J35" s="638" t="str">
        <f ca="1">IF(I35=" "," ",17800)</f>
        <v xml:space="preserve"> </v>
      </c>
    </row>
    <row r="36" spans="1:13">
      <c r="B36" s="651" t="s">
        <v>187</v>
      </c>
      <c r="C36" s="637" t="str">
        <f ca="1">IF(DATOSAÑO!$D386=0," ",DATOSAÑO!$D386)</f>
        <v xml:space="preserve"> </v>
      </c>
      <c r="D36" s="636" t="str">
        <f ca="1">IF(DATOSAÑO!$C386=0," ",DATOSAÑO!$C386)</f>
        <v xml:space="preserve"> </v>
      </c>
      <c r="E36" s="671" t="str">
        <f ca="1">IF(D36=" "," ",((C36*I36)/D36)*1000)</f>
        <v xml:space="preserve"> </v>
      </c>
      <c r="F36" s="637" t="str">
        <f ca="1">IF(DATOSAÑO!$K386=0," ",DATOSAÑO!$K386)</f>
        <v xml:space="preserve"> </v>
      </c>
      <c r="G36" s="636" t="str">
        <f ca="1">IF(DATOSAÑO!$J386=0," ",DATOSAÑO!$J386)</f>
        <v xml:space="preserve"> </v>
      </c>
      <c r="H36" s="671" t="str">
        <f t="shared" ca="1" si="5"/>
        <v xml:space="preserve"> </v>
      </c>
      <c r="I36" s="635" t="str">
        <f ca="1">IF(AND($D36=" ",$G36=" ")," ",('GRAFICAS RPTE GCIAL'!AH169))</f>
        <v xml:space="preserve"> </v>
      </c>
      <c r="J36" s="638" t="str">
        <f ca="1">IF(I36=" "," ",17800)</f>
        <v xml:space="preserve"> </v>
      </c>
    </row>
    <row r="37" spans="1:13">
      <c r="B37" s="651" t="s">
        <v>188</v>
      </c>
      <c r="C37" s="637" t="str">
        <f ca="1">IF(DATOSAÑO!$D387=0," ",DATOSAÑO!$D387)</f>
        <v xml:space="preserve"> </v>
      </c>
      <c r="D37" s="636" t="str">
        <f ca="1">IF(DATOSAÑO!$C387=0," ",DATOSAÑO!$C387)</f>
        <v xml:space="preserve"> </v>
      </c>
      <c r="E37" s="671" t="str">
        <f ca="1">IF(D37=" "," ",((C37*I37)/D37)*1000)</f>
        <v xml:space="preserve"> </v>
      </c>
      <c r="F37" s="637" t="str">
        <f ca="1">IF(DATOSAÑO!$K387=0," ",DATOSAÑO!$K387)</f>
        <v xml:space="preserve"> </v>
      </c>
      <c r="G37" s="636" t="str">
        <f ca="1">IF(DATOSAÑO!$J387=0," ",DATOSAÑO!$J387)</f>
        <v xml:space="preserve"> </v>
      </c>
      <c r="H37" s="671" t="str">
        <f t="shared" ca="1" si="5"/>
        <v xml:space="preserve"> </v>
      </c>
      <c r="I37" s="635" t="str">
        <f ca="1">IF(AND($D37=" ",$G37=" ")," ",('GRAFICAS RPTE GCIAL'!AH170))</f>
        <v xml:space="preserve"> </v>
      </c>
      <c r="J37" s="638" t="str">
        <f ca="1">IF(I37=" "," ",17800)</f>
        <v xml:space="preserve"> </v>
      </c>
    </row>
    <row r="39" spans="1:13" ht="15" customHeight="1">
      <c r="A39" s="647"/>
      <c r="B39" s="647"/>
      <c r="C39" s="647"/>
      <c r="D39" s="647"/>
      <c r="E39" s="647"/>
    </row>
    <row r="40" spans="1:13" ht="15" customHeight="1" thickBot="1">
      <c r="A40" s="647"/>
      <c r="B40" s="647"/>
      <c r="C40" s="647"/>
      <c r="D40" s="647"/>
      <c r="E40" s="647"/>
    </row>
    <row r="41" spans="1:13" ht="21.75" customHeight="1">
      <c r="A41" s="647"/>
      <c r="B41" s="2487" t="s">
        <v>890</v>
      </c>
      <c r="C41" s="2487"/>
      <c r="D41" s="2487"/>
      <c r="E41" s="2487"/>
      <c r="F41" s="2488"/>
    </row>
    <row r="42" spans="1:13" ht="15" customHeight="1">
      <c r="A42" s="647"/>
      <c r="B42" s="647"/>
      <c r="C42" s="647"/>
      <c r="D42" s="647"/>
      <c r="E42" s="647"/>
    </row>
    <row r="43" spans="1:13">
      <c r="A43" s="647"/>
      <c r="B43" s="647"/>
      <c r="C43" s="647"/>
    </row>
    <row r="44" spans="1:13" ht="15" thickBot="1">
      <c r="A44" s="647"/>
      <c r="B44" s="647"/>
      <c r="C44" s="647"/>
    </row>
    <row r="45" spans="1:13" ht="15" thickBot="1">
      <c r="A45" s="647"/>
      <c r="B45" s="647"/>
      <c r="C45" s="647"/>
      <c r="D45" s="641" t="s">
        <v>891</v>
      </c>
      <c r="E45" s="642" t="s">
        <v>892</v>
      </c>
      <c r="F45" s="642"/>
      <c r="G45" s="643"/>
      <c r="H45" s="643"/>
    </row>
    <row r="46" spans="1:13" ht="15" thickBot="1">
      <c r="A46" s="647"/>
      <c r="B46" s="647"/>
      <c r="C46" s="647"/>
      <c r="D46" s="647"/>
      <c r="E46" s="647"/>
    </row>
    <row r="47" spans="1:13" ht="15" thickBot="1">
      <c r="A47" s="647"/>
      <c r="B47" s="2495" t="s">
        <v>132</v>
      </c>
      <c r="C47" s="2490" t="s">
        <v>5</v>
      </c>
      <c r="D47" s="2491"/>
      <c r="E47" s="2491"/>
      <c r="F47" s="2491"/>
      <c r="G47" s="2492" t="s">
        <v>6</v>
      </c>
      <c r="H47" s="2493"/>
      <c r="I47" s="2493"/>
      <c r="J47" s="2493"/>
      <c r="K47" s="2492" t="s">
        <v>893</v>
      </c>
      <c r="L47" s="2493"/>
      <c r="M47" s="2494"/>
    </row>
    <row r="48" spans="1:13" ht="58.2" thickBot="1">
      <c r="B48" s="2496"/>
      <c r="C48" s="644" t="s">
        <v>894</v>
      </c>
      <c r="D48" s="645" t="s">
        <v>895</v>
      </c>
      <c r="E48" s="660" t="s">
        <v>896</v>
      </c>
      <c r="F48" s="661" t="s">
        <v>955</v>
      </c>
      <c r="G48" s="644" t="s">
        <v>894</v>
      </c>
      <c r="H48" s="645" t="s">
        <v>895</v>
      </c>
      <c r="I48" s="645" t="s">
        <v>896</v>
      </c>
      <c r="J48" s="646" t="s">
        <v>956</v>
      </c>
      <c r="K48" s="644" t="s">
        <v>897</v>
      </c>
      <c r="L48" s="645" t="s">
        <v>898</v>
      </c>
      <c r="M48" s="646" t="s">
        <v>957</v>
      </c>
    </row>
    <row r="49" spans="2:13">
      <c r="B49" s="662" t="s">
        <v>176</v>
      </c>
      <c r="C49" s="666">
        <f ca="1">IF(DATOSAÑO!$C376=0," ",DATOSAÑO!$C376)</f>
        <v>5613.8399999999674</v>
      </c>
      <c r="D49" s="668">
        <f ca="1">IF(DATOSAÑO!$E376=0," ",DATOSAÑO!$E376)</f>
        <v>744</v>
      </c>
      <c r="E49" s="667">
        <f ca="1">IF(C49=" "," ",20.9)</f>
        <v>20.9</v>
      </c>
      <c r="F49" s="672">
        <f ca="1">IF(C49=" "," ",((C49)/(D49*E49)))</f>
        <v>0.36102793640993774</v>
      </c>
      <c r="G49" s="666">
        <f ca="1">IF(DATOSAÑO!$J376=0," ",DATOSAÑO!$J376)</f>
        <v>7936.4000000000015</v>
      </c>
      <c r="H49" s="667">
        <f ca="1">IF(DATOSAÑO!$J376=0," ",DATOSAÑO!$L376)</f>
        <v>744</v>
      </c>
      <c r="I49" s="667">
        <f ca="1">IF(G49=" "," ",20.9)</f>
        <v>20.9</v>
      </c>
      <c r="J49" s="675">
        <f ca="1">IF(G49=" "," ",((G49)/(H49*I49)))</f>
        <v>0.51039255029068287</v>
      </c>
      <c r="K49" s="666">
        <f ca="1">IF(DATOSAÑO!$W376=0," ",DATOSAÑO!$W376)</f>
        <v>13550.239999999969</v>
      </c>
      <c r="L49" s="667">
        <f ca="1">IF(DATOSAÑO!$J376=0," ",DATOSAÑO!$L376)</f>
        <v>744</v>
      </c>
      <c r="M49" s="676">
        <f ca="1">IF(G49=" "," ",(K49/(L49*(20.9*2))))</f>
        <v>0.43571024335031028</v>
      </c>
    </row>
    <row r="50" spans="2:13">
      <c r="B50" s="663" t="s">
        <v>177</v>
      </c>
      <c r="C50" s="665">
        <f ca="1">IF(DATOSAÑO!$C377=0," ",DATOSAÑO!$C377)</f>
        <v>8128.1600000000326</v>
      </c>
      <c r="D50" s="668">
        <f ca="1">IF(DATOSAÑO!$E377=0," ",DATOSAÑO!$E377)</f>
        <v>672</v>
      </c>
      <c r="E50" s="668">
        <f t="shared" ref="E50:E60" ca="1" si="6">IF(C50=" "," ",20.9)</f>
        <v>20.9</v>
      </c>
      <c r="F50" s="673">
        <f t="shared" ref="F50:F60" ca="1" si="7">IF(C50=" "," ",((C50)/(D50*E50)))</f>
        <v>0.57873091820460476</v>
      </c>
      <c r="G50" s="665">
        <f ca="1">IF(DATOSAÑO!$J377=0," ",DATOSAÑO!$J377)</f>
        <v>4107.4799999999996</v>
      </c>
      <c r="H50" s="668">
        <f ca="1">IF(DATOSAÑO!$J377=0," ",DATOSAÑO!$L377)</f>
        <v>668.79999999998836</v>
      </c>
      <c r="I50" s="668">
        <f t="shared" ref="I50:I60" ca="1" si="8">IF(G50=" "," ",20.9)</f>
        <v>20.9</v>
      </c>
      <c r="J50" s="677">
        <f t="shared" ref="J50:J60" ca="1" si="9">IF(G50=" "," ",((G50)/(H50*I50)))</f>
        <v>0.29385487969598273</v>
      </c>
      <c r="K50" s="665">
        <f ca="1">IF(DATOSAÑO!$W377=0," ",DATOSAÑO!$W377)</f>
        <v>12235.640000000032</v>
      </c>
      <c r="L50" s="668">
        <f ca="1">IF(DATOSAÑO!$J377=0," ",DATOSAÑO!$L377)</f>
        <v>668.79999999998836</v>
      </c>
      <c r="M50" s="676">
        <f t="shared" ref="M50:M60" ca="1" si="10">IF(G50=" "," ",(K50/(L50*(20.9*2))))</f>
        <v>0.43767742267806103</v>
      </c>
    </row>
    <row r="51" spans="2:13">
      <c r="B51" s="663" t="s">
        <v>178</v>
      </c>
      <c r="C51" s="665">
        <f ca="1">IF(DATOSAÑO!$C378=0," ",DATOSAÑO!$C378)</f>
        <v>9022.8399999999674</v>
      </c>
      <c r="D51" s="668">
        <f ca="1">IF(DATOSAÑO!$E378=0," ",DATOSAÑO!$E378)</f>
        <v>744</v>
      </c>
      <c r="E51" s="668">
        <f t="shared" ca="1" si="6"/>
        <v>20.9</v>
      </c>
      <c r="F51" s="673">
        <f t="shared" ca="1" si="7"/>
        <v>0.58026187168801568</v>
      </c>
      <c r="G51" s="665">
        <f ca="1">IF(DATOSAÑO!$J378=0," ",DATOSAÑO!$J378)</f>
        <v>4705.4199999999983</v>
      </c>
      <c r="H51" s="668">
        <f ca="1">IF(DATOSAÑO!$J378=0," ",DATOSAÑO!$L378)</f>
        <v>744</v>
      </c>
      <c r="I51" s="668">
        <f t="shared" ca="1" si="8"/>
        <v>20.9</v>
      </c>
      <c r="J51" s="677">
        <f t="shared" ca="1" si="9"/>
        <v>0.3026071410197046</v>
      </c>
      <c r="K51" s="665">
        <f ca="1">IF(DATOSAÑO!$W378=0," ",DATOSAÑO!$W378)</f>
        <v>13728.259999999966</v>
      </c>
      <c r="L51" s="668">
        <f ca="1">IF(DATOSAÑO!$J378=0," ",DATOSAÑO!$L378)</f>
        <v>744</v>
      </c>
      <c r="M51" s="676">
        <f t="shared" ca="1" si="10"/>
        <v>0.44143450635386011</v>
      </c>
    </row>
    <row r="52" spans="2:13">
      <c r="B52" s="663" t="s">
        <v>179</v>
      </c>
      <c r="C52" s="665">
        <f ca="1">IF(DATOSAÑO!$C379=0," ",DATOSAÑO!$C379)</f>
        <v>9357.1500000000233</v>
      </c>
      <c r="D52" s="668">
        <f ca="1">IF(DATOSAÑO!$E379=0," ",DATOSAÑO!$E379)</f>
        <v>718</v>
      </c>
      <c r="E52" s="668">
        <f t="shared" ca="1" si="6"/>
        <v>20.9</v>
      </c>
      <c r="F52" s="673">
        <f t="shared" ca="1" si="7"/>
        <v>0.62355226506377526</v>
      </c>
      <c r="G52" s="665">
        <f ca="1">IF(DATOSAÑO!$J379=0," ",DATOSAÑO!$J379)</f>
        <v>3766.1000000000022</v>
      </c>
      <c r="H52" s="668">
        <f ca="1">IF(DATOSAÑO!$J379=0," ",DATOSAÑO!$L379)</f>
        <v>631.89999999999418</v>
      </c>
      <c r="I52" s="668">
        <f t="shared" ca="1" si="8"/>
        <v>20.9</v>
      </c>
      <c r="J52" s="677">
        <f t="shared" ca="1" si="9"/>
        <v>0.28516564685679002</v>
      </c>
      <c r="K52" s="665">
        <f ca="1">IF(DATOSAÑO!$W379=0," ",DATOSAÑO!$W379)</f>
        <v>13123.250000000025</v>
      </c>
      <c r="L52" s="668">
        <f ca="1">IF(DATOSAÑO!$J379=0," ",DATOSAÑO!$L379)</f>
        <v>631.89999999999418</v>
      </c>
      <c r="M52" s="676">
        <f t="shared" ca="1" si="10"/>
        <v>0.49684024257366699</v>
      </c>
    </row>
    <row r="53" spans="2:13">
      <c r="B53" s="663" t="s">
        <v>180</v>
      </c>
      <c r="C53" s="665">
        <f ca="1">IF(DATOSAÑO!$C380=0," ",DATOSAÑO!$C380)</f>
        <v>6850.8499999999767</v>
      </c>
      <c r="D53" s="668">
        <f ca="1">IF(DATOSAÑO!$E380=0," ",DATOSAÑO!$E380)</f>
        <v>725.19999999998254</v>
      </c>
      <c r="E53" s="668">
        <f t="shared" ca="1" si="6"/>
        <v>20.9</v>
      </c>
      <c r="F53" s="673">
        <f t="shared" ca="1" si="7"/>
        <v>0.45200202155090308</v>
      </c>
      <c r="G53" s="665">
        <f ca="1">IF(DATOSAÑO!$J380=0," ",DATOSAÑO!$J380)</f>
        <v>6271.0999999999985</v>
      </c>
      <c r="H53" s="668">
        <f ca="1">IF(DATOSAÑO!$J380=0," ",DATOSAÑO!$L380)</f>
        <v>744</v>
      </c>
      <c r="I53" s="668">
        <f t="shared" ca="1" si="8"/>
        <v>20.9</v>
      </c>
      <c r="J53" s="677">
        <f t="shared" ca="1" si="9"/>
        <v>0.40329654782116575</v>
      </c>
      <c r="K53" s="665">
        <f ca="1">IF(DATOSAÑO!$W380=0," ",DATOSAÑO!$W380)</f>
        <v>13121.949999999975</v>
      </c>
      <c r="L53" s="668">
        <f ca="1">IF(DATOSAÑO!$J380=0," ",DATOSAÑO!$L380)</f>
        <v>744</v>
      </c>
      <c r="M53" s="676">
        <f t="shared" ca="1" si="10"/>
        <v>0.42193850645675696</v>
      </c>
    </row>
    <row r="54" spans="2:13">
      <c r="B54" s="663" t="s">
        <v>182</v>
      </c>
      <c r="C54" s="665">
        <f ca="1">IF(DATOSAÑO!$C381=0," ",DATOSAÑO!$C381)</f>
        <v>1176</v>
      </c>
      <c r="D54" s="668">
        <f ca="1">IF(DATOSAÑO!$E381=0," ",DATOSAÑO!$E381)</f>
        <v>96</v>
      </c>
      <c r="E54" s="668">
        <f t="shared" ca="1" si="6"/>
        <v>20.9</v>
      </c>
      <c r="F54" s="673">
        <f t="shared" ca="1" si="7"/>
        <v>0.5861244019138756</v>
      </c>
      <c r="G54" s="665">
        <f ca="1">IF(DATOSAÑO!$J381=0," ",DATOSAÑO!$J381)</f>
        <v>596</v>
      </c>
      <c r="H54" s="668">
        <f ca="1">IF(DATOSAÑO!$J381=0," ",DATOSAÑO!$L381)</f>
        <v>96</v>
      </c>
      <c r="I54" s="668">
        <f t="shared" ca="1" si="8"/>
        <v>20.9</v>
      </c>
      <c r="J54" s="677">
        <f t="shared" ca="1" si="9"/>
        <v>0.2970494417862839</v>
      </c>
      <c r="K54" s="665">
        <f ca="1">IF(DATOSAÑO!$W381=0," ",DATOSAÑO!$W381)</f>
        <v>1772</v>
      </c>
      <c r="L54" s="668">
        <f ca="1">IF(DATOSAÑO!$J381=0," ",DATOSAÑO!$L381)</f>
        <v>96</v>
      </c>
      <c r="M54" s="676">
        <f t="shared" ca="1" si="10"/>
        <v>0.44158692185007975</v>
      </c>
    </row>
    <row r="55" spans="2:13">
      <c r="B55" s="663" t="s">
        <v>183</v>
      </c>
      <c r="C55" s="665" t="str">
        <f ca="1">IF(DATOSAÑO!$C382=0," ",DATOSAÑO!$C382)</f>
        <v xml:space="preserve"> </v>
      </c>
      <c r="D55" s="668" t="str">
        <f ca="1">IF(DATOSAÑO!$E382=0," ",DATOSAÑO!$E382)</f>
        <v xml:space="preserve"> </v>
      </c>
      <c r="E55" s="668" t="str">
        <f t="shared" ca="1" si="6"/>
        <v xml:space="preserve"> </v>
      </c>
      <c r="F55" s="673" t="str">
        <f t="shared" ca="1" si="7"/>
        <v xml:space="preserve"> </v>
      </c>
      <c r="G55" s="665" t="str">
        <f ca="1">IF(DATOSAÑO!$J382=0," ",DATOSAÑO!$J382)</f>
        <v xml:space="preserve"> </v>
      </c>
      <c r="H55" s="668" t="str">
        <f ca="1">IF(DATOSAÑO!$J382=0," ",DATOSAÑO!$L382)</f>
        <v xml:space="preserve"> </v>
      </c>
      <c r="I55" s="668" t="str">
        <f t="shared" ca="1" si="8"/>
        <v xml:space="preserve"> </v>
      </c>
      <c r="J55" s="677" t="str">
        <f t="shared" ca="1" si="9"/>
        <v xml:space="preserve"> </v>
      </c>
      <c r="K55" s="665" t="str">
        <f ca="1">IF(DATOSAÑO!$W382=0," ",DATOSAÑO!$W382)</f>
        <v xml:space="preserve"> </v>
      </c>
      <c r="L55" s="668" t="str">
        <f ca="1">IF(DATOSAÑO!$J382=0," ",DATOSAÑO!$L382)</f>
        <v xml:space="preserve"> </v>
      </c>
      <c r="M55" s="676" t="str">
        <f t="shared" ca="1" si="10"/>
        <v xml:space="preserve"> </v>
      </c>
    </row>
    <row r="56" spans="2:13">
      <c r="B56" s="663" t="s">
        <v>184</v>
      </c>
      <c r="C56" s="665" t="str">
        <f ca="1">IF(DATOSAÑO!$C383=0," ",DATOSAÑO!$C383)</f>
        <v xml:space="preserve"> </v>
      </c>
      <c r="D56" s="668" t="str">
        <f ca="1">IF(DATOSAÑO!$E383=0," ",DATOSAÑO!$E383)</f>
        <v xml:space="preserve"> </v>
      </c>
      <c r="E56" s="668" t="str">
        <f t="shared" ca="1" si="6"/>
        <v xml:space="preserve"> </v>
      </c>
      <c r="F56" s="673" t="str">
        <f t="shared" ca="1" si="7"/>
        <v xml:space="preserve"> </v>
      </c>
      <c r="G56" s="665" t="str">
        <f ca="1">IF(DATOSAÑO!$J383=0," ",DATOSAÑO!$J383)</f>
        <v xml:space="preserve"> </v>
      </c>
      <c r="H56" s="668" t="str">
        <f ca="1">IF(DATOSAÑO!$J383=0," ",DATOSAÑO!$L383)</f>
        <v xml:space="preserve"> </v>
      </c>
      <c r="I56" s="668" t="str">
        <f t="shared" ca="1" si="8"/>
        <v xml:space="preserve"> </v>
      </c>
      <c r="J56" s="677" t="str">
        <f t="shared" ca="1" si="9"/>
        <v xml:space="preserve"> </v>
      </c>
      <c r="K56" s="665" t="str">
        <f ca="1">IF(DATOSAÑO!$W383=0," ",DATOSAÑO!$W383)</f>
        <v xml:space="preserve"> </v>
      </c>
      <c r="L56" s="668" t="str">
        <f ca="1">IF(DATOSAÑO!$J383=0," ",DATOSAÑO!$L383)</f>
        <v xml:space="preserve"> </v>
      </c>
      <c r="M56" s="676" t="str">
        <f t="shared" ca="1" si="10"/>
        <v xml:space="preserve"> </v>
      </c>
    </row>
    <row r="57" spans="2:13">
      <c r="B57" s="663" t="s">
        <v>185</v>
      </c>
      <c r="C57" s="665" t="str">
        <f ca="1">IF(DATOSAÑO!$C384=0," ",DATOSAÑO!$C384)</f>
        <v xml:space="preserve"> </v>
      </c>
      <c r="D57" s="668" t="str">
        <f ca="1">IF(DATOSAÑO!$E384=0," ",DATOSAÑO!$E384)</f>
        <v xml:space="preserve"> </v>
      </c>
      <c r="E57" s="668" t="str">
        <f t="shared" ca="1" si="6"/>
        <v xml:space="preserve"> </v>
      </c>
      <c r="F57" s="673" t="str">
        <f t="shared" ca="1" si="7"/>
        <v xml:space="preserve"> </v>
      </c>
      <c r="G57" s="665" t="str">
        <f ca="1">IF(DATOSAÑO!$J384=0," ",DATOSAÑO!$J384)</f>
        <v xml:space="preserve"> </v>
      </c>
      <c r="H57" s="668" t="str">
        <f ca="1">IF(DATOSAÑO!$J384=0," ",DATOSAÑO!$L384)</f>
        <v xml:space="preserve"> </v>
      </c>
      <c r="I57" s="668" t="str">
        <f t="shared" ca="1" si="8"/>
        <v xml:space="preserve"> </v>
      </c>
      <c r="J57" s="677" t="str">
        <f t="shared" ca="1" si="9"/>
        <v xml:space="preserve"> </v>
      </c>
      <c r="K57" s="665" t="str">
        <f ca="1">IF(DATOSAÑO!$W384=0," ",DATOSAÑO!$W384)</f>
        <v xml:space="preserve"> </v>
      </c>
      <c r="L57" s="668" t="str">
        <f ca="1">IF(DATOSAÑO!$J384=0," ",DATOSAÑO!$L384)</f>
        <v xml:space="preserve"> </v>
      </c>
      <c r="M57" s="676" t="str">
        <f t="shared" ca="1" si="10"/>
        <v xml:space="preserve"> </v>
      </c>
    </row>
    <row r="58" spans="2:13">
      <c r="B58" s="663" t="s">
        <v>186</v>
      </c>
      <c r="C58" s="665" t="str">
        <f ca="1">IF(DATOSAÑO!$C385=0," ",DATOSAÑO!$C385)</f>
        <v xml:space="preserve"> </v>
      </c>
      <c r="D58" s="668" t="str">
        <f ca="1">IF(DATOSAÑO!$E385=0," ",DATOSAÑO!$E385)</f>
        <v xml:space="preserve"> </v>
      </c>
      <c r="E58" s="668" t="str">
        <f t="shared" ca="1" si="6"/>
        <v xml:space="preserve"> </v>
      </c>
      <c r="F58" s="673" t="str">
        <f t="shared" ca="1" si="7"/>
        <v xml:space="preserve"> </v>
      </c>
      <c r="G58" s="665" t="str">
        <f ca="1">IF(DATOSAÑO!$J385=0," ",DATOSAÑO!$J385)</f>
        <v xml:space="preserve"> </v>
      </c>
      <c r="H58" s="668" t="str">
        <f ca="1">IF(DATOSAÑO!$J385=0," ",DATOSAÑO!$L385)</f>
        <v xml:space="preserve"> </v>
      </c>
      <c r="I58" s="668" t="str">
        <f t="shared" ca="1" si="8"/>
        <v xml:space="preserve"> </v>
      </c>
      <c r="J58" s="677" t="str">
        <f t="shared" ca="1" si="9"/>
        <v xml:space="preserve"> </v>
      </c>
      <c r="K58" s="665" t="str">
        <f ca="1">IF(DATOSAÑO!$W385=0," ",DATOSAÑO!$W385)</f>
        <v xml:space="preserve"> </v>
      </c>
      <c r="L58" s="668" t="str">
        <f ca="1">IF(DATOSAÑO!$J385=0," ",DATOSAÑO!$L385)</f>
        <v xml:space="preserve"> </v>
      </c>
      <c r="M58" s="676" t="str">
        <f t="shared" ca="1" si="10"/>
        <v xml:space="preserve"> </v>
      </c>
    </row>
    <row r="59" spans="2:13">
      <c r="B59" s="663" t="s">
        <v>187</v>
      </c>
      <c r="C59" s="665" t="str">
        <f ca="1">IF(DATOSAÑO!$C386=0," ",DATOSAÑO!$C386)</f>
        <v xml:space="preserve"> </v>
      </c>
      <c r="D59" s="668" t="str">
        <f ca="1">IF(DATOSAÑO!$E386=0," ",DATOSAÑO!$E386)</f>
        <v xml:space="preserve"> </v>
      </c>
      <c r="E59" s="668" t="str">
        <f t="shared" ca="1" si="6"/>
        <v xml:space="preserve"> </v>
      </c>
      <c r="F59" s="673" t="str">
        <f t="shared" ca="1" si="7"/>
        <v xml:space="preserve"> </v>
      </c>
      <c r="G59" s="665" t="str">
        <f ca="1">IF(DATOSAÑO!$J386=0," ",DATOSAÑO!$J386)</f>
        <v xml:space="preserve"> </v>
      </c>
      <c r="H59" s="668" t="str">
        <f ca="1">IF(DATOSAÑO!$J386=0," ",DATOSAÑO!$L386)</f>
        <v xml:space="preserve"> </v>
      </c>
      <c r="I59" s="668" t="str">
        <f t="shared" ca="1" si="8"/>
        <v xml:space="preserve"> </v>
      </c>
      <c r="J59" s="677" t="str">
        <f t="shared" ca="1" si="9"/>
        <v xml:space="preserve"> </v>
      </c>
      <c r="K59" s="665" t="str">
        <f ca="1">IF(DATOSAÑO!$W386=0," ",DATOSAÑO!$W386)</f>
        <v xml:space="preserve"> </v>
      </c>
      <c r="L59" s="668" t="str">
        <f ca="1">IF(DATOSAÑO!$J386=0," ",DATOSAÑO!$L386)</f>
        <v xml:space="preserve"> </v>
      </c>
      <c r="M59" s="676" t="str">
        <f t="shared" ca="1" si="10"/>
        <v xml:space="preserve"> </v>
      </c>
    </row>
    <row r="60" spans="2:13" ht="15" thickBot="1">
      <c r="B60" s="664" t="s">
        <v>188</v>
      </c>
      <c r="C60" s="669" t="str">
        <f ca="1">IF(DATOSAÑO!$C387=0," ",DATOSAÑO!$C387)</f>
        <v xml:space="preserve"> </v>
      </c>
      <c r="D60" s="670" t="str">
        <f ca="1">IF(DATOSAÑO!$E387=0," ",DATOSAÑO!$E387)</f>
        <v xml:space="preserve"> </v>
      </c>
      <c r="E60" s="670" t="str">
        <f t="shared" ca="1" si="6"/>
        <v xml:space="preserve"> </v>
      </c>
      <c r="F60" s="674" t="str">
        <f t="shared" ca="1" si="7"/>
        <v xml:space="preserve"> </v>
      </c>
      <c r="G60" s="669" t="str">
        <f ca="1">IF(DATOSAÑO!$J387=0," ",DATOSAÑO!$J387)</f>
        <v xml:space="preserve"> </v>
      </c>
      <c r="H60" s="670" t="str">
        <f ca="1">IF(DATOSAÑO!$J387=0," ",DATOSAÑO!$L387)</f>
        <v xml:space="preserve"> </v>
      </c>
      <c r="I60" s="670" t="str">
        <f t="shared" ca="1" si="8"/>
        <v xml:space="preserve"> </v>
      </c>
      <c r="J60" s="678" t="str">
        <f t="shared" ca="1" si="9"/>
        <v xml:space="preserve"> </v>
      </c>
      <c r="K60" s="669" t="str">
        <f ca="1">IF(DATOSAÑO!$W387=0," ",DATOSAÑO!$W387)</f>
        <v xml:space="preserve"> </v>
      </c>
      <c r="L60" s="670" t="str">
        <f ca="1">IF(DATOSAÑO!$J387=0," ",DATOSAÑO!$L387)</f>
        <v xml:space="preserve"> </v>
      </c>
      <c r="M60" s="679" t="str">
        <f t="shared" ca="1" si="10"/>
        <v xml:space="preserve"> </v>
      </c>
    </row>
    <row r="62" spans="2:13">
      <c r="D62">
        <f>20.9*24*31</f>
        <v>15549.599999999999</v>
      </c>
    </row>
    <row r="63" spans="2:13">
      <c r="K63" s="400">
        <f ca="1">G49+C49</f>
        <v>13550.239999999969</v>
      </c>
    </row>
  </sheetData>
  <mergeCells count="12">
    <mergeCell ref="C47:F47"/>
    <mergeCell ref="G47:J47"/>
    <mergeCell ref="K47:M47"/>
    <mergeCell ref="B47:B48"/>
    <mergeCell ref="C24:E24"/>
    <mergeCell ref="F24:H24"/>
    <mergeCell ref="B24:B25"/>
    <mergeCell ref="B3:E3"/>
    <mergeCell ref="B22:E22"/>
    <mergeCell ref="B41:F41"/>
    <mergeCell ref="I24:I25"/>
    <mergeCell ref="J24:J25"/>
  </mergeCells>
  <conditionalFormatting sqref="C26:C37">
    <cfRule type="cellIs" dxfId="87" priority="36" operator="equal">
      <formula>$C$44</formula>
    </cfRule>
  </conditionalFormatting>
  <conditionalFormatting sqref="F26:F37">
    <cfRule type="cellIs" dxfId="86" priority="25" operator="equal">
      <formula>$C$44</formula>
    </cfRule>
  </conditionalFormatting>
  <conditionalFormatting sqref="C25">
    <cfRule type="cellIs" dxfId="85" priority="15" operator="equal">
      <formula>$C$39</formula>
    </cfRule>
  </conditionalFormatting>
  <conditionalFormatting sqref="F25">
    <cfRule type="cellIs" dxfId="84" priority="12" operator="equal">
      <formula>$C$39</formula>
    </cfRule>
  </conditionalFormatting>
  <conditionalFormatting sqref="C24">
    <cfRule type="cellIs" dxfId="83" priority="9" operator="equal">
      <formula>$C$39</formula>
    </cfRule>
  </conditionalFormatting>
  <pageMargins left="0.7" right="0.7" top="0.75" bottom="0.75" header="0.3" footer="0.3"/>
  <pageSetup orientation="portrait" r:id="rId1"/>
  <ignoredErrors>
    <ignoredError sqref="H7 H8:I16 H17:I17" evalError="1"/>
  </ignoredError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5">
    <tabColor rgb="FF7030A0"/>
  </sheetPr>
  <dimension ref="A1:Q41"/>
  <sheetViews>
    <sheetView view="pageBreakPreview" zoomScale="80" zoomScaleNormal="82" zoomScaleSheetLayoutView="80" workbookViewId="0">
      <pane xSplit="2" ySplit="3" topLeftCell="K31" activePane="bottomRight" state="frozen"/>
      <selection activeCell="C8" sqref="C8:D8"/>
      <selection pane="topRight" activeCell="C8" sqref="C8:D8"/>
      <selection pane="bottomLeft" activeCell="C8" sqref="C8:D8"/>
      <selection pane="bottomRight" activeCell="C8" sqref="C8:D8"/>
    </sheetView>
  </sheetViews>
  <sheetFormatPr baseColWidth="10" defaultRowHeight="14.4"/>
  <cols>
    <col min="1" max="1" width="13.21875" customWidth="1"/>
    <col min="2" max="2" width="44.44140625" customWidth="1"/>
    <col min="3" max="3" width="43.44140625" customWidth="1"/>
    <col min="4" max="4" width="13.77734375" hidden="1" customWidth="1"/>
    <col min="5" max="5" width="10.5546875" hidden="1" customWidth="1"/>
    <col min="6" max="6" width="19.44140625" bestFit="1" customWidth="1"/>
    <col min="7" max="7" width="20.5546875" customWidth="1"/>
    <col min="8" max="9" width="18" bestFit="1" customWidth="1"/>
    <col min="10" max="10" width="20.5546875" customWidth="1"/>
    <col min="11" max="11" width="18" bestFit="1" customWidth="1"/>
    <col min="12" max="12" width="20.5546875" customWidth="1"/>
    <col min="13" max="13" width="18" customWidth="1"/>
    <col min="14" max="26" width="20.5546875" customWidth="1"/>
  </cols>
  <sheetData>
    <row r="1" spans="1:17" ht="28.5" customHeight="1">
      <c r="A1" s="597" t="s">
        <v>804</v>
      </c>
      <c r="B1" s="25"/>
      <c r="F1" s="25"/>
      <c r="G1" s="25">
        <f ca="1">TODAY( )</f>
        <v>45126</v>
      </c>
    </row>
    <row r="2" spans="1:17" s="442" customFormat="1" ht="7.5" customHeight="1">
      <c r="A2" s="461"/>
      <c r="B2" s="461"/>
      <c r="C2" s="529"/>
      <c r="D2" s="461"/>
      <c r="E2" s="529"/>
      <c r="F2" s="529"/>
      <c r="G2" s="461"/>
      <c r="H2" s="461"/>
      <c r="I2" s="461"/>
      <c r="J2" s="461"/>
      <c r="K2" s="461"/>
      <c r="L2" s="461"/>
      <c r="M2" s="461"/>
      <c r="N2" s="461"/>
      <c r="O2" s="461"/>
      <c r="P2" s="461"/>
      <c r="Q2" s="461"/>
    </row>
    <row r="3" spans="1:17" ht="15" customHeight="1">
      <c r="A3" s="452" t="s">
        <v>619</v>
      </c>
      <c r="B3" s="452" t="s">
        <v>657</v>
      </c>
      <c r="C3" s="452" t="s">
        <v>658</v>
      </c>
      <c r="D3" s="452" t="s">
        <v>659</v>
      </c>
      <c r="E3" s="452" t="s">
        <v>660</v>
      </c>
      <c r="F3" s="462">
        <v>44592</v>
      </c>
      <c r="G3" s="462">
        <v>44620</v>
      </c>
      <c r="H3" s="462">
        <v>44651</v>
      </c>
      <c r="I3" s="462">
        <v>44681</v>
      </c>
      <c r="J3" s="462">
        <v>44712</v>
      </c>
      <c r="K3" s="462">
        <v>44742</v>
      </c>
      <c r="L3" s="462">
        <v>44773</v>
      </c>
      <c r="M3" s="462">
        <v>44804</v>
      </c>
      <c r="N3" s="462">
        <v>44834</v>
      </c>
      <c r="O3" s="462">
        <v>44865</v>
      </c>
      <c r="P3" s="462">
        <v>44895</v>
      </c>
      <c r="Q3" s="462">
        <v>44926</v>
      </c>
    </row>
    <row r="4" spans="1:17">
      <c r="A4" s="2500">
        <v>1</v>
      </c>
      <c r="B4" s="2503" t="s">
        <v>638</v>
      </c>
      <c r="C4" s="530" t="s">
        <v>661</v>
      </c>
      <c r="D4" s="463">
        <v>40630713.010000005</v>
      </c>
      <c r="E4" s="464">
        <v>0.6</v>
      </c>
      <c r="F4" s="465">
        <f t="shared" ref="F4:Q4" ca="1" si="0">IF($G$1&gt;F15,24378427.806,0)</f>
        <v>24378427.806000002</v>
      </c>
      <c r="G4" s="465">
        <f t="shared" ca="1" si="0"/>
        <v>24378427.806000002</v>
      </c>
      <c r="H4" s="465">
        <f t="shared" ca="1" si="0"/>
        <v>24378427.806000002</v>
      </c>
      <c r="I4" s="465">
        <f t="shared" ca="1" si="0"/>
        <v>24378427.806000002</v>
      </c>
      <c r="J4" s="465">
        <f t="shared" ca="1" si="0"/>
        <v>24378427.806000002</v>
      </c>
      <c r="K4" s="465">
        <f t="shared" ca="1" si="0"/>
        <v>24378427.806000002</v>
      </c>
      <c r="L4" s="465">
        <f t="shared" ca="1" si="0"/>
        <v>24378427.806000002</v>
      </c>
      <c r="M4" s="465">
        <f t="shared" ca="1" si="0"/>
        <v>24378427.806000002</v>
      </c>
      <c r="N4" s="465">
        <f t="shared" ca="1" si="0"/>
        <v>24378427.806000002</v>
      </c>
      <c r="O4" s="465">
        <f t="shared" ca="1" si="0"/>
        <v>24378427.806000002</v>
      </c>
      <c r="P4" s="465">
        <f t="shared" ca="1" si="0"/>
        <v>24378427.806000002</v>
      </c>
      <c r="Q4" s="465">
        <f t="shared" ca="1" si="0"/>
        <v>24378427.806000002</v>
      </c>
    </row>
    <row r="5" spans="1:17">
      <c r="A5" s="2501"/>
      <c r="B5" s="2504"/>
      <c r="C5" s="530" t="s">
        <v>662</v>
      </c>
      <c r="D5" s="466">
        <v>33064224.008000001</v>
      </c>
      <c r="E5" s="464">
        <v>0.5</v>
      </c>
      <c r="F5" s="595">
        <f t="shared" ref="F5:Q5" ca="1" si="1">IF($G$1&gt;F15,16532112.004,0)</f>
        <v>16532112.004000001</v>
      </c>
      <c r="G5" s="595">
        <f t="shared" ca="1" si="1"/>
        <v>16532112.004000001</v>
      </c>
      <c r="H5" s="595">
        <f t="shared" ca="1" si="1"/>
        <v>16532112.004000001</v>
      </c>
      <c r="I5" s="595">
        <f t="shared" ca="1" si="1"/>
        <v>16532112.004000001</v>
      </c>
      <c r="J5" s="595">
        <f t="shared" ca="1" si="1"/>
        <v>16532112.004000001</v>
      </c>
      <c r="K5" s="595">
        <f t="shared" ca="1" si="1"/>
        <v>16532112.004000001</v>
      </c>
      <c r="L5" s="595">
        <f t="shared" ca="1" si="1"/>
        <v>16532112.004000001</v>
      </c>
      <c r="M5" s="595">
        <f t="shared" ca="1" si="1"/>
        <v>16532112.004000001</v>
      </c>
      <c r="N5" s="595">
        <f t="shared" ca="1" si="1"/>
        <v>16532112.004000001</v>
      </c>
      <c r="O5" s="595">
        <f t="shared" ca="1" si="1"/>
        <v>16532112.004000001</v>
      </c>
      <c r="P5" s="595">
        <f t="shared" ca="1" si="1"/>
        <v>16532112.004000001</v>
      </c>
      <c r="Q5" s="595">
        <f t="shared" ca="1" si="1"/>
        <v>16532112.004000001</v>
      </c>
    </row>
    <row r="6" spans="1:17">
      <c r="A6" s="2501"/>
      <c r="B6" s="2504"/>
      <c r="C6" s="530" t="s">
        <v>663</v>
      </c>
      <c r="D6" s="466">
        <v>6262521.0033333329</v>
      </c>
      <c r="E6" s="464">
        <v>0.05</v>
      </c>
      <c r="F6" s="465">
        <f t="shared" ref="F6:Q6" ca="1" si="2">IF($G$1&gt;F15,313126.050166667,0)</f>
        <v>313126.05016666697</v>
      </c>
      <c r="G6" s="465">
        <f t="shared" ca="1" si="2"/>
        <v>313126.05016666697</v>
      </c>
      <c r="H6" s="465">
        <f t="shared" ca="1" si="2"/>
        <v>313126.05016666697</v>
      </c>
      <c r="I6" s="465">
        <f t="shared" ca="1" si="2"/>
        <v>313126.05016666697</v>
      </c>
      <c r="J6" s="465">
        <f t="shared" ca="1" si="2"/>
        <v>313126.05016666697</v>
      </c>
      <c r="K6" s="465">
        <f t="shared" ca="1" si="2"/>
        <v>313126.05016666697</v>
      </c>
      <c r="L6" s="465">
        <f t="shared" ca="1" si="2"/>
        <v>313126.05016666697</v>
      </c>
      <c r="M6" s="465">
        <f t="shared" ca="1" si="2"/>
        <v>313126.05016666697</v>
      </c>
      <c r="N6" s="465">
        <f t="shared" ca="1" si="2"/>
        <v>313126.05016666697</v>
      </c>
      <c r="O6" s="465">
        <f t="shared" ca="1" si="2"/>
        <v>313126.05016666697</v>
      </c>
      <c r="P6" s="465">
        <f t="shared" ca="1" si="2"/>
        <v>313126.05016666697</v>
      </c>
      <c r="Q6" s="465">
        <f t="shared" ca="1" si="2"/>
        <v>313126.05016666697</v>
      </c>
    </row>
    <row r="7" spans="1:17">
      <c r="A7" s="2501"/>
      <c r="B7" s="2504"/>
      <c r="C7" s="530" t="s">
        <v>664</v>
      </c>
      <c r="D7" s="466">
        <v>4268188.0033333329</v>
      </c>
      <c r="E7" s="464">
        <v>0.05</v>
      </c>
      <c r="F7" s="465">
        <f t="shared" ref="F7:Q7" ca="1" si="3">IF($G$1&gt;F15,213409.400166667,0)</f>
        <v>213409.40016666701</v>
      </c>
      <c r="G7" s="465">
        <f t="shared" ca="1" si="3"/>
        <v>213409.40016666701</v>
      </c>
      <c r="H7" s="465">
        <f t="shared" ca="1" si="3"/>
        <v>213409.40016666701</v>
      </c>
      <c r="I7" s="465">
        <f t="shared" ca="1" si="3"/>
        <v>213409.40016666701</v>
      </c>
      <c r="J7" s="465">
        <f t="shared" ca="1" si="3"/>
        <v>213409.40016666701</v>
      </c>
      <c r="K7" s="465">
        <f t="shared" ca="1" si="3"/>
        <v>213409.40016666701</v>
      </c>
      <c r="L7" s="465">
        <f t="shared" ca="1" si="3"/>
        <v>213409.40016666701</v>
      </c>
      <c r="M7" s="465">
        <f t="shared" ca="1" si="3"/>
        <v>213409.40016666701</v>
      </c>
      <c r="N7" s="465">
        <f t="shared" ca="1" si="3"/>
        <v>213409.40016666701</v>
      </c>
      <c r="O7" s="465">
        <f t="shared" ca="1" si="3"/>
        <v>213409.40016666701</v>
      </c>
      <c r="P7" s="465">
        <f t="shared" ca="1" si="3"/>
        <v>213409.40016666701</v>
      </c>
      <c r="Q7" s="465">
        <f t="shared" ca="1" si="3"/>
        <v>213409.40016666701</v>
      </c>
    </row>
    <row r="8" spans="1:17" ht="15.75" customHeight="1">
      <c r="A8" s="2501"/>
      <c r="B8" s="2504"/>
      <c r="C8" s="530" t="s">
        <v>665</v>
      </c>
      <c r="D8" s="466">
        <v>11477873.003333334</v>
      </c>
      <c r="E8" s="464">
        <v>0.05</v>
      </c>
      <c r="F8" s="465">
        <f t="shared" ref="F8:Q8" ca="1" si="4">IF($G$1&gt;F15,573893.650166667,0)</f>
        <v>573893.65016666695</v>
      </c>
      <c r="G8" s="465">
        <f t="shared" ca="1" si="4"/>
        <v>573893.65016666695</v>
      </c>
      <c r="H8" s="465">
        <f t="shared" ca="1" si="4"/>
        <v>573893.65016666695</v>
      </c>
      <c r="I8" s="465">
        <f t="shared" ca="1" si="4"/>
        <v>573893.65016666695</v>
      </c>
      <c r="J8" s="465">
        <f t="shared" ca="1" si="4"/>
        <v>573893.65016666695</v>
      </c>
      <c r="K8" s="465">
        <f t="shared" ca="1" si="4"/>
        <v>573893.65016666695</v>
      </c>
      <c r="L8" s="465">
        <f t="shared" ca="1" si="4"/>
        <v>573893.65016666695</v>
      </c>
      <c r="M8" s="465">
        <f t="shared" ca="1" si="4"/>
        <v>573893.65016666695</v>
      </c>
      <c r="N8" s="465">
        <f t="shared" ca="1" si="4"/>
        <v>573893.65016666695</v>
      </c>
      <c r="O8" s="465">
        <f t="shared" ca="1" si="4"/>
        <v>573893.65016666695</v>
      </c>
      <c r="P8" s="465">
        <f t="shared" ca="1" si="4"/>
        <v>573893.65016666695</v>
      </c>
      <c r="Q8" s="465">
        <f t="shared" ca="1" si="4"/>
        <v>573893.65016666695</v>
      </c>
    </row>
    <row r="9" spans="1:17" ht="13.5" customHeight="1">
      <c r="A9" s="2502"/>
      <c r="B9" s="2505"/>
      <c r="C9" s="531" t="s">
        <v>666</v>
      </c>
      <c r="D9" s="467"/>
      <c r="E9" s="468"/>
      <c r="F9" s="469">
        <f t="shared" ref="F9:Q9" ca="1" si="5">IF($G$1&gt;F15,SUM(F4:F8),0)</f>
        <v>42010968.910500005</v>
      </c>
      <c r="G9" s="469">
        <f t="shared" ca="1" si="5"/>
        <v>42010968.910500005</v>
      </c>
      <c r="H9" s="469">
        <f t="shared" ca="1" si="5"/>
        <v>42010968.910500005</v>
      </c>
      <c r="I9" s="469">
        <f t="shared" ca="1" si="5"/>
        <v>42010968.910500005</v>
      </c>
      <c r="J9" s="469">
        <f t="shared" ca="1" si="5"/>
        <v>42010968.910500005</v>
      </c>
      <c r="K9" s="469">
        <f t="shared" ca="1" si="5"/>
        <v>42010968.910500005</v>
      </c>
      <c r="L9" s="469">
        <f t="shared" ca="1" si="5"/>
        <v>42010968.910500005</v>
      </c>
      <c r="M9" s="469">
        <f t="shared" ca="1" si="5"/>
        <v>42010968.910500005</v>
      </c>
      <c r="N9" s="469">
        <f t="shared" ca="1" si="5"/>
        <v>42010968.910500005</v>
      </c>
      <c r="O9" s="469">
        <f t="shared" ca="1" si="5"/>
        <v>42010968.910500005</v>
      </c>
      <c r="P9" s="469">
        <f t="shared" ca="1" si="5"/>
        <v>42010968.910500005</v>
      </c>
      <c r="Q9" s="469">
        <f t="shared" ca="1" si="5"/>
        <v>42010968.910500005</v>
      </c>
    </row>
    <row r="10" spans="1:17" ht="24" customHeight="1">
      <c r="A10" s="470">
        <v>2</v>
      </c>
      <c r="B10" s="471" t="s">
        <v>667</v>
      </c>
      <c r="C10" s="532" t="s">
        <v>668</v>
      </c>
      <c r="D10" s="472"/>
      <c r="E10" s="473"/>
      <c r="F10" s="466">
        <f ca="1">IF($G$1&gt;F15,5000000,0)</f>
        <v>5000000</v>
      </c>
      <c r="G10" s="466">
        <f ca="1">IF($G$1&gt;G15,5000000,0)</f>
        <v>5000000</v>
      </c>
      <c r="H10" s="466">
        <f ca="1">IF($G$1&gt;H15,5000000,0)</f>
        <v>5000000</v>
      </c>
      <c r="I10" s="466">
        <f ca="1">IF($G$1&gt;I15,5000000,0)</f>
        <v>5000000</v>
      </c>
      <c r="J10" s="466">
        <f t="shared" ref="J10:Q10" ca="1" si="6">IF($G$1&gt;J15,5000000,0)</f>
        <v>5000000</v>
      </c>
      <c r="K10" s="466">
        <f t="shared" ca="1" si="6"/>
        <v>5000000</v>
      </c>
      <c r="L10" s="466">
        <f t="shared" ca="1" si="6"/>
        <v>5000000</v>
      </c>
      <c r="M10" s="466">
        <f t="shared" ca="1" si="6"/>
        <v>5000000</v>
      </c>
      <c r="N10" s="466">
        <f t="shared" ca="1" si="6"/>
        <v>5000000</v>
      </c>
      <c r="O10" s="466">
        <f t="shared" ca="1" si="6"/>
        <v>5000000</v>
      </c>
      <c r="P10" s="466">
        <f t="shared" ca="1" si="6"/>
        <v>5000000</v>
      </c>
      <c r="Q10" s="466">
        <f t="shared" ca="1" si="6"/>
        <v>5000000</v>
      </c>
    </row>
    <row r="11" spans="1:17" ht="22.5" customHeight="1">
      <c r="A11" s="528">
        <v>3</v>
      </c>
      <c r="B11" s="474" t="s">
        <v>669</v>
      </c>
      <c r="C11" s="475" t="s">
        <v>670</v>
      </c>
      <c r="D11" s="465"/>
      <c r="E11" s="476"/>
      <c r="F11" s="465">
        <f ca="1">IF($G$1&gt;F15,6503040.44444444,0)</f>
        <v>6503040.4444444403</v>
      </c>
      <c r="G11" s="465">
        <f ca="1">IF($G$1&gt;G15,6503040.44444444,0)</f>
        <v>6503040.4444444403</v>
      </c>
      <c r="H11" s="465">
        <f ca="1">IF($G$1&gt;H15,6503040.44444444,0)</f>
        <v>6503040.4444444403</v>
      </c>
      <c r="I11" s="465">
        <f ca="1">IF($G$1&gt;I15,6503040.44444444,0)</f>
        <v>6503040.4444444403</v>
      </c>
      <c r="J11" s="465">
        <f t="shared" ref="J11:Q11" ca="1" si="7">IF($G$1&gt;J15,6503040.44444444,0)</f>
        <v>6503040.4444444403</v>
      </c>
      <c r="K11" s="465">
        <f t="shared" ca="1" si="7"/>
        <v>6503040.4444444403</v>
      </c>
      <c r="L11" s="465">
        <f t="shared" ca="1" si="7"/>
        <v>6503040.4444444403</v>
      </c>
      <c r="M11" s="465">
        <f t="shared" ca="1" si="7"/>
        <v>6503040.4444444403</v>
      </c>
      <c r="N11" s="465">
        <f t="shared" ca="1" si="7"/>
        <v>6503040.4444444403</v>
      </c>
      <c r="O11" s="465">
        <f t="shared" ca="1" si="7"/>
        <v>6503040.4444444403</v>
      </c>
      <c r="P11" s="465">
        <f t="shared" ca="1" si="7"/>
        <v>6503040.4444444403</v>
      </c>
      <c r="Q11" s="465">
        <f t="shared" ca="1" si="7"/>
        <v>6503040.4444444403</v>
      </c>
    </row>
    <row r="12" spans="1:17" ht="24.75" customHeight="1">
      <c r="A12" s="470">
        <v>4</v>
      </c>
      <c r="B12" s="471" t="s">
        <v>671</v>
      </c>
      <c r="C12" s="532" t="s">
        <v>672</v>
      </c>
      <c r="D12" s="466"/>
      <c r="E12" s="477"/>
      <c r="F12" s="466">
        <f ca="1">IF($G$1&gt;F15,17942280,0)</f>
        <v>17942280</v>
      </c>
      <c r="G12" s="466">
        <f ca="1">IF($G$1&gt;G15,17942280,0)</f>
        <v>17942280</v>
      </c>
      <c r="H12" s="466">
        <f ca="1">IF($G$1&gt;H15,17942280,0)</f>
        <v>17942280</v>
      </c>
      <c r="I12" s="466">
        <f ca="1">IF($G$1&gt;I15,17942280,0)</f>
        <v>17942280</v>
      </c>
      <c r="J12" s="466">
        <f t="shared" ref="J12:Q12" ca="1" si="8">IF($G$1&gt;J15,17942280,0)</f>
        <v>17942280</v>
      </c>
      <c r="K12" s="466">
        <f t="shared" ca="1" si="8"/>
        <v>17942280</v>
      </c>
      <c r="L12" s="466">
        <f t="shared" ca="1" si="8"/>
        <v>17942280</v>
      </c>
      <c r="M12" s="466">
        <f t="shared" ca="1" si="8"/>
        <v>17942280</v>
      </c>
      <c r="N12" s="466">
        <f t="shared" ca="1" si="8"/>
        <v>17942280</v>
      </c>
      <c r="O12" s="466">
        <f t="shared" ca="1" si="8"/>
        <v>17942280</v>
      </c>
      <c r="P12" s="466">
        <f t="shared" ca="1" si="8"/>
        <v>17942280</v>
      </c>
      <c r="Q12" s="466">
        <f t="shared" ca="1" si="8"/>
        <v>17942280</v>
      </c>
    </row>
    <row r="13" spans="1:17" ht="17.25" customHeight="1">
      <c r="A13" s="478"/>
      <c r="B13" s="478"/>
      <c r="C13" s="479" t="s">
        <v>673</v>
      </c>
      <c r="D13" s="480"/>
      <c r="E13" s="481"/>
      <c r="F13" s="482">
        <f t="shared" ref="F13:Q13" ca="1" si="9">IF($G$1&gt;F15,SUM(F9:F12),0)</f>
        <v>71456289.354944438</v>
      </c>
      <c r="G13" s="482">
        <f t="shared" ca="1" si="9"/>
        <v>71456289.354944438</v>
      </c>
      <c r="H13" s="482">
        <f t="shared" ca="1" si="9"/>
        <v>71456289.354944438</v>
      </c>
      <c r="I13" s="482">
        <f t="shared" ca="1" si="9"/>
        <v>71456289.354944438</v>
      </c>
      <c r="J13" s="482">
        <f t="shared" ca="1" si="9"/>
        <v>71456289.354944438</v>
      </c>
      <c r="K13" s="482">
        <f t="shared" ca="1" si="9"/>
        <v>71456289.354944438</v>
      </c>
      <c r="L13" s="482">
        <f t="shared" ca="1" si="9"/>
        <v>71456289.354944438</v>
      </c>
      <c r="M13" s="482">
        <f t="shared" ca="1" si="9"/>
        <v>71456289.354944438</v>
      </c>
      <c r="N13" s="482">
        <f t="shared" ca="1" si="9"/>
        <v>71456289.354944438</v>
      </c>
      <c r="O13" s="482">
        <f t="shared" ca="1" si="9"/>
        <v>71456289.354944438</v>
      </c>
      <c r="P13" s="482">
        <f t="shared" ca="1" si="9"/>
        <v>71456289.354944438</v>
      </c>
      <c r="Q13" s="482">
        <f t="shared" ca="1" si="9"/>
        <v>71456289.354944438</v>
      </c>
    </row>
    <row r="14" spans="1:17">
      <c r="A14" s="483"/>
      <c r="B14" s="484"/>
      <c r="C14" s="485"/>
      <c r="D14" s="486"/>
      <c r="E14" s="487"/>
      <c r="F14" s="488"/>
      <c r="G14" s="486"/>
      <c r="H14" s="486"/>
      <c r="I14" s="486"/>
      <c r="J14" s="486"/>
      <c r="K14" s="486"/>
      <c r="L14" s="486"/>
      <c r="M14" s="486"/>
      <c r="N14" s="486"/>
      <c r="O14" s="486"/>
      <c r="P14" s="486"/>
      <c r="Q14" s="486"/>
    </row>
    <row r="15" spans="1:17" ht="15.6">
      <c r="A15" s="452" t="s">
        <v>619</v>
      </c>
      <c r="B15" s="452" t="s">
        <v>674</v>
      </c>
      <c r="C15" s="452" t="s">
        <v>658</v>
      </c>
      <c r="D15" s="452" t="s">
        <v>675</v>
      </c>
      <c r="E15" s="452"/>
      <c r="F15" s="462">
        <v>44592</v>
      </c>
      <c r="G15" s="462">
        <v>44620</v>
      </c>
      <c r="H15" s="462">
        <v>44651</v>
      </c>
      <c r="I15" s="462">
        <v>44681</v>
      </c>
      <c r="J15" s="462">
        <v>44712</v>
      </c>
      <c r="K15" s="462">
        <v>44742</v>
      </c>
      <c r="L15" s="462">
        <v>44773</v>
      </c>
      <c r="M15" s="462">
        <v>44804</v>
      </c>
      <c r="N15" s="462">
        <v>44834</v>
      </c>
      <c r="O15" s="462">
        <v>44865</v>
      </c>
      <c r="P15" s="462">
        <v>44895</v>
      </c>
      <c r="Q15" s="462">
        <v>44926</v>
      </c>
    </row>
    <row r="16" spans="1:17" ht="30" customHeight="1">
      <c r="A16" s="470">
        <v>1</v>
      </c>
      <c r="B16" s="471" t="s">
        <v>676</v>
      </c>
      <c r="C16" s="489" t="s">
        <v>677</v>
      </c>
      <c r="D16" s="490"/>
      <c r="E16" s="490"/>
      <c r="F16" s="680">
        <v>0</v>
      </c>
      <c r="G16" s="680">
        <v>0</v>
      </c>
      <c r="H16" s="680">
        <v>0</v>
      </c>
      <c r="I16" s="680">
        <v>0</v>
      </c>
      <c r="J16" s="680">
        <v>0</v>
      </c>
      <c r="K16" s="491">
        <v>0</v>
      </c>
      <c r="L16" s="491">
        <v>0</v>
      </c>
      <c r="M16" s="491">
        <v>0</v>
      </c>
      <c r="N16" s="491">
        <v>0</v>
      </c>
      <c r="O16" s="491">
        <v>0</v>
      </c>
      <c r="P16" s="491">
        <v>0</v>
      </c>
      <c r="Q16" s="491">
        <v>0</v>
      </c>
    </row>
    <row r="17" spans="1:17" ht="22.5" customHeight="1">
      <c r="A17" s="470">
        <v>2</v>
      </c>
      <c r="B17" s="471" t="s">
        <v>678</v>
      </c>
      <c r="C17" s="625">
        <v>0.2</v>
      </c>
      <c r="D17" s="493"/>
      <c r="E17" s="494"/>
      <c r="F17" s="491">
        <f t="shared" ref="F17:Q17" ca="1" si="10">IF($G$1&gt;F15,($C$17*F27)*F38,0)</f>
        <v>0</v>
      </c>
      <c r="G17" s="491">
        <f t="shared" ca="1" si="10"/>
        <v>0</v>
      </c>
      <c r="H17" s="491">
        <f t="shared" ca="1" si="10"/>
        <v>0</v>
      </c>
      <c r="I17" s="491">
        <f t="shared" ca="1" si="10"/>
        <v>0</v>
      </c>
      <c r="J17" s="491">
        <f t="shared" ca="1" si="10"/>
        <v>0</v>
      </c>
      <c r="K17" s="491">
        <f t="shared" ca="1" si="10"/>
        <v>0</v>
      </c>
      <c r="L17" s="491">
        <f t="shared" ca="1" si="10"/>
        <v>0</v>
      </c>
      <c r="M17" s="491">
        <f t="shared" ca="1" si="10"/>
        <v>0</v>
      </c>
      <c r="N17" s="491">
        <f t="shared" ca="1" si="10"/>
        <v>0</v>
      </c>
      <c r="O17" s="491">
        <f t="shared" ca="1" si="10"/>
        <v>0</v>
      </c>
      <c r="P17" s="491">
        <f t="shared" ca="1" si="10"/>
        <v>0</v>
      </c>
      <c r="Q17" s="491">
        <f t="shared" ca="1" si="10"/>
        <v>0</v>
      </c>
    </row>
    <row r="18" spans="1:17" ht="27.75" customHeight="1">
      <c r="A18" s="470">
        <v>3</v>
      </c>
      <c r="B18" s="471" t="s">
        <v>679</v>
      </c>
      <c r="C18" s="626">
        <v>1800</v>
      </c>
      <c r="D18" s="495"/>
      <c r="E18" s="494"/>
      <c r="F18" s="491">
        <f t="shared" ref="F18:Q18" ca="1" si="11">IF($G$1&gt;F15,$C$18*F26,0)</f>
        <v>947591.99999998778</v>
      </c>
      <c r="G18" s="491">
        <f t="shared" ca="1" si="11"/>
        <v>992303.9999999865</v>
      </c>
      <c r="H18" s="491">
        <f t="shared" ca="1" si="11"/>
        <v>368063.99999998941</v>
      </c>
      <c r="I18" s="491">
        <f t="shared" ca="1" si="11"/>
        <v>6845688.0000000214</v>
      </c>
      <c r="J18" s="491">
        <f t="shared" ca="1" si="11"/>
        <v>928152.00000000547</v>
      </c>
      <c r="K18" s="491">
        <f t="shared" ca="1" si="11"/>
        <v>0</v>
      </c>
      <c r="L18" s="491">
        <f t="shared" ca="1" si="11"/>
        <v>0</v>
      </c>
      <c r="M18" s="491">
        <f t="shared" ca="1" si="11"/>
        <v>0</v>
      </c>
      <c r="N18" s="491">
        <f t="shared" ca="1" si="11"/>
        <v>0</v>
      </c>
      <c r="O18" s="491">
        <f t="shared" ca="1" si="11"/>
        <v>0</v>
      </c>
      <c r="P18" s="491">
        <f t="shared" ca="1" si="11"/>
        <v>0</v>
      </c>
      <c r="Q18" s="491">
        <f t="shared" ca="1" si="11"/>
        <v>0</v>
      </c>
    </row>
    <row r="19" spans="1:17" ht="24.75" customHeight="1">
      <c r="A19" s="470">
        <v>4</v>
      </c>
      <c r="B19" s="496" t="s">
        <v>680</v>
      </c>
      <c r="C19" s="626">
        <v>42845</v>
      </c>
      <c r="D19" s="493"/>
      <c r="E19" s="494"/>
      <c r="F19" s="491">
        <f t="shared" ref="F19:Q19" ca="1" si="12">IF($G$1&gt;F15,$C$19*F25,0)</f>
        <v>0</v>
      </c>
      <c r="G19" s="491">
        <f t="shared" ca="1" si="12"/>
        <v>0</v>
      </c>
      <c r="H19" s="491">
        <f t="shared" ca="1" si="12"/>
        <v>0</v>
      </c>
      <c r="I19" s="491">
        <f t="shared" ca="1" si="12"/>
        <v>0</v>
      </c>
      <c r="J19" s="491">
        <f t="shared" ca="1" si="12"/>
        <v>0</v>
      </c>
      <c r="K19" s="491">
        <f t="shared" ca="1" si="12"/>
        <v>0</v>
      </c>
      <c r="L19" s="491">
        <f t="shared" ca="1" si="12"/>
        <v>0</v>
      </c>
      <c r="M19" s="491">
        <f t="shared" ca="1" si="12"/>
        <v>0</v>
      </c>
      <c r="N19" s="491">
        <f t="shared" ca="1" si="12"/>
        <v>0</v>
      </c>
      <c r="O19" s="491">
        <f t="shared" ca="1" si="12"/>
        <v>0</v>
      </c>
      <c r="P19" s="491">
        <f t="shared" ca="1" si="12"/>
        <v>0</v>
      </c>
      <c r="Q19" s="491">
        <f t="shared" ca="1" si="12"/>
        <v>0</v>
      </c>
    </row>
    <row r="20" spans="1:17" ht="22.5" customHeight="1">
      <c r="A20" s="528">
        <v>5</v>
      </c>
      <c r="B20" s="474" t="s">
        <v>681</v>
      </c>
      <c r="C20" s="530" t="s">
        <v>682</v>
      </c>
      <c r="D20" s="497"/>
      <c r="E20" s="490"/>
      <c r="F20" s="680">
        <v>0</v>
      </c>
      <c r="G20" s="680">
        <v>0</v>
      </c>
      <c r="H20" s="680">
        <v>0</v>
      </c>
      <c r="I20" s="681">
        <v>0</v>
      </c>
      <c r="J20" s="680">
        <v>0</v>
      </c>
      <c r="K20" s="680">
        <v>0</v>
      </c>
      <c r="L20" s="680">
        <v>0</v>
      </c>
      <c r="M20" s="491">
        <v>0</v>
      </c>
      <c r="N20" s="491">
        <v>0</v>
      </c>
      <c r="O20" s="491">
        <v>0</v>
      </c>
      <c r="P20" s="491">
        <v>0</v>
      </c>
      <c r="Q20" s="491">
        <v>0</v>
      </c>
    </row>
    <row r="21" spans="1:17" ht="22.5" customHeight="1">
      <c r="A21" s="528">
        <v>6</v>
      </c>
      <c r="B21" s="474" t="s">
        <v>683</v>
      </c>
      <c r="C21" s="530" t="s">
        <v>682</v>
      </c>
      <c r="D21" s="493"/>
      <c r="E21" s="494"/>
      <c r="F21" s="682">
        <v>0</v>
      </c>
      <c r="G21" s="682">
        <v>0</v>
      </c>
      <c r="H21" s="682">
        <v>0</v>
      </c>
      <c r="I21" s="682">
        <v>0</v>
      </c>
      <c r="J21" s="682">
        <v>0</v>
      </c>
      <c r="K21" s="682">
        <v>0</v>
      </c>
      <c r="L21" s="682">
        <v>0</v>
      </c>
      <c r="M21" s="492">
        <v>0</v>
      </c>
      <c r="N21" s="492">
        <v>0</v>
      </c>
      <c r="O21" s="492">
        <v>0</v>
      </c>
      <c r="P21" s="492">
        <v>0</v>
      </c>
      <c r="Q21" s="492">
        <v>0</v>
      </c>
    </row>
    <row r="22" spans="1:17" ht="27.75" customHeight="1">
      <c r="A22" s="470">
        <v>7</v>
      </c>
      <c r="B22" s="471" t="s">
        <v>684</v>
      </c>
      <c r="C22" s="475" t="s">
        <v>685</v>
      </c>
      <c r="D22" s="493"/>
      <c r="E22" s="494"/>
      <c r="F22" s="682">
        <v>0</v>
      </c>
      <c r="G22" s="682">
        <v>0</v>
      </c>
      <c r="H22" s="682">
        <v>0</v>
      </c>
      <c r="I22" s="682">
        <v>0</v>
      </c>
      <c r="J22" s="682">
        <v>0</v>
      </c>
      <c r="K22" s="682">
        <v>0</v>
      </c>
      <c r="L22" s="682">
        <v>0</v>
      </c>
      <c r="M22" s="492">
        <v>0</v>
      </c>
      <c r="N22" s="492">
        <v>0</v>
      </c>
      <c r="O22" s="492">
        <v>0</v>
      </c>
      <c r="P22" s="492">
        <v>0</v>
      </c>
      <c r="Q22" s="492">
        <v>0</v>
      </c>
    </row>
    <row r="23" spans="1:17" ht="22.5" customHeight="1">
      <c r="A23" s="470">
        <v>8</v>
      </c>
      <c r="B23" s="471" t="s">
        <v>686</v>
      </c>
      <c r="C23" s="498" t="s">
        <v>687</v>
      </c>
      <c r="D23" s="533"/>
      <c r="E23" s="494"/>
      <c r="F23" s="682">
        <v>0</v>
      </c>
      <c r="G23" s="682">
        <v>0</v>
      </c>
      <c r="H23" s="682">
        <v>0</v>
      </c>
      <c r="I23" s="682">
        <v>0</v>
      </c>
      <c r="J23" s="682">
        <v>0</v>
      </c>
      <c r="K23" s="682">
        <v>0</v>
      </c>
      <c r="L23" s="682">
        <v>0</v>
      </c>
      <c r="M23" s="492">
        <v>0</v>
      </c>
      <c r="N23" s="492">
        <v>0</v>
      </c>
      <c r="O23" s="492">
        <v>0</v>
      </c>
      <c r="P23" s="492">
        <v>0</v>
      </c>
      <c r="Q23" s="492">
        <v>0</v>
      </c>
    </row>
    <row r="24" spans="1:17" ht="22.5" customHeight="1">
      <c r="A24" s="499">
        <v>9</v>
      </c>
      <c r="B24" s="500" t="s">
        <v>688</v>
      </c>
      <c r="C24" s="501" t="s">
        <v>689</v>
      </c>
      <c r="D24" s="502"/>
      <c r="E24" s="503"/>
      <c r="F24" s="683">
        <v>0</v>
      </c>
      <c r="G24" s="683">
        <v>0</v>
      </c>
      <c r="H24" s="683">
        <v>0</v>
      </c>
      <c r="I24" s="683">
        <v>0</v>
      </c>
      <c r="J24" s="683">
        <v>0</v>
      </c>
      <c r="K24" s="683">
        <v>0</v>
      </c>
      <c r="L24" s="683">
        <v>0</v>
      </c>
      <c r="M24" s="504">
        <v>0</v>
      </c>
      <c r="N24" s="504">
        <v>0</v>
      </c>
      <c r="O24" s="504">
        <v>0</v>
      </c>
      <c r="P24" s="504">
        <v>0</v>
      </c>
      <c r="Q24" s="504">
        <v>0</v>
      </c>
    </row>
    <row r="25" spans="1:17" ht="22.5" customHeight="1">
      <c r="A25" s="499">
        <v>10</v>
      </c>
      <c r="B25" s="500" t="s">
        <v>690</v>
      </c>
      <c r="C25" s="501" t="s">
        <v>691</v>
      </c>
      <c r="D25" s="502"/>
      <c r="E25" s="503"/>
      <c r="F25" s="816">
        <v>0</v>
      </c>
      <c r="G25" s="816">
        <v>0</v>
      </c>
      <c r="H25" s="816">
        <v>0</v>
      </c>
      <c r="I25" s="816"/>
      <c r="J25" s="816"/>
      <c r="K25" s="816"/>
      <c r="L25" s="816"/>
      <c r="M25" s="817"/>
      <c r="N25" s="817"/>
      <c r="O25" s="817"/>
      <c r="P25" s="817"/>
      <c r="Q25" s="817"/>
    </row>
    <row r="26" spans="1:17" ht="22.5" customHeight="1">
      <c r="A26" s="499">
        <v>0</v>
      </c>
      <c r="B26" s="500" t="s">
        <v>692</v>
      </c>
      <c r="C26" s="505" t="s">
        <v>693</v>
      </c>
      <c r="D26" s="502"/>
      <c r="E26" s="503"/>
      <c r="F26" s="818">
        <f ca="1">'GRAFICAS RPTE GCIAL'!AG159</f>
        <v>526.43999999999323</v>
      </c>
      <c r="G26" s="818">
        <f ca="1">'GRAFICAS RPTE GCIAL'!AG160</f>
        <v>551.27999999999247</v>
      </c>
      <c r="H26" s="818">
        <f ca="1">'GRAFICAS RPTE GCIAL'!AG161</f>
        <v>204.47999999999411</v>
      </c>
      <c r="I26" s="818">
        <f ca="1">'GRAFICAS RPTE GCIAL'!AG162</f>
        <v>3803.1600000000117</v>
      </c>
      <c r="J26" s="818">
        <f ca="1">'GRAFICAS RPTE GCIAL'!AG163</f>
        <v>515.64000000000306</v>
      </c>
      <c r="K26" s="818">
        <f ca="1">'GRAFICAS RPTE GCIAL'!AG164</f>
        <v>0</v>
      </c>
      <c r="L26" s="818">
        <f ca="1">'GRAFICAS RPTE GCIAL'!AG165</f>
        <v>0</v>
      </c>
      <c r="M26" s="818">
        <f ca="1">'GRAFICAS RPTE GCIAL'!AG166</f>
        <v>0</v>
      </c>
      <c r="N26" s="818">
        <f ca="1">'GRAFICAS RPTE GCIAL'!AG167</f>
        <v>0</v>
      </c>
      <c r="O26" s="818">
        <f ca="1">'GRAFICAS RPTE GCIAL'!AG168</f>
        <v>0</v>
      </c>
      <c r="P26" s="818">
        <f ca="1">'GRAFICAS RPTE GCIAL'!AG169</f>
        <v>0</v>
      </c>
      <c r="Q26" s="818">
        <f ca="1">'GRAFICAS RPTE GCIAL'!AG170</f>
        <v>0</v>
      </c>
    </row>
    <row r="27" spans="1:17" ht="22.5" customHeight="1">
      <c r="A27" s="499">
        <v>12</v>
      </c>
      <c r="B27" s="500" t="s">
        <v>694</v>
      </c>
      <c r="C27" s="501" t="s">
        <v>695</v>
      </c>
      <c r="D27" s="502"/>
      <c r="E27" s="503"/>
      <c r="F27" s="683">
        <v>0</v>
      </c>
      <c r="G27" s="683">
        <v>0</v>
      </c>
      <c r="H27" s="683">
        <v>0</v>
      </c>
      <c r="I27" s="683">
        <v>0</v>
      </c>
      <c r="J27" s="683">
        <v>0</v>
      </c>
      <c r="K27" s="683">
        <v>0</v>
      </c>
      <c r="L27" s="683">
        <v>0</v>
      </c>
      <c r="M27" s="504">
        <v>0</v>
      </c>
      <c r="N27" s="504">
        <v>0</v>
      </c>
      <c r="O27" s="504">
        <v>0</v>
      </c>
      <c r="P27" s="504">
        <v>0</v>
      </c>
      <c r="Q27" s="504">
        <v>0</v>
      </c>
    </row>
    <row r="28" spans="1:17" ht="22.5" customHeight="1">
      <c r="A28" s="506"/>
      <c r="B28" s="507"/>
      <c r="C28" s="479" t="s">
        <v>696</v>
      </c>
      <c r="D28" s="508"/>
      <c r="E28" s="509"/>
      <c r="F28" s="510">
        <f t="shared" ref="F28:Q28" ca="1" si="13">IF($G$1&gt;F15,SUM(F16:F24),0)</f>
        <v>947591.99999998778</v>
      </c>
      <c r="G28" s="510">
        <f t="shared" ca="1" si="13"/>
        <v>992303.9999999865</v>
      </c>
      <c r="H28" s="510">
        <f t="shared" ca="1" si="13"/>
        <v>368063.99999998941</v>
      </c>
      <c r="I28" s="510">
        <f t="shared" ca="1" si="13"/>
        <v>6845688.0000000214</v>
      </c>
      <c r="J28" s="510">
        <f t="shared" ca="1" si="13"/>
        <v>928152.00000000547</v>
      </c>
      <c r="K28" s="510">
        <f t="shared" ca="1" si="13"/>
        <v>0</v>
      </c>
      <c r="L28" s="510">
        <f t="shared" ca="1" si="13"/>
        <v>0</v>
      </c>
      <c r="M28" s="510">
        <f t="shared" ca="1" si="13"/>
        <v>0</v>
      </c>
      <c r="N28" s="510">
        <f t="shared" ca="1" si="13"/>
        <v>0</v>
      </c>
      <c r="O28" s="510">
        <f t="shared" ca="1" si="13"/>
        <v>0</v>
      </c>
      <c r="P28" s="510">
        <f t="shared" ca="1" si="13"/>
        <v>0</v>
      </c>
      <c r="Q28" s="510">
        <f t="shared" ca="1" si="13"/>
        <v>0</v>
      </c>
    </row>
    <row r="29" spans="1:17">
      <c r="A29" s="511"/>
      <c r="B29" s="512">
        <f>IF(DAY(D72)=31,INICIO!T9,IF(DAY(D72)=30,INICIO!T8,IF(DAY(D72)=29,INICIO!T7,INICIO!U6)))</f>
        <v>0</v>
      </c>
      <c r="C29" s="513"/>
      <c r="D29" s="487"/>
      <c r="E29" s="487"/>
      <c r="F29" s="487"/>
      <c r="G29" s="487"/>
      <c r="H29" s="487"/>
      <c r="I29" s="487"/>
      <c r="J29" s="487"/>
      <c r="K29" s="487"/>
      <c r="L29" s="487"/>
      <c r="M29" s="487"/>
      <c r="N29" s="487"/>
      <c r="O29" s="487"/>
      <c r="P29" s="487"/>
      <c r="Q29" s="487"/>
    </row>
    <row r="30" spans="1:17" ht="22.5" customHeight="1">
      <c r="A30" s="514" t="s">
        <v>619</v>
      </c>
      <c r="B30" s="515" t="s">
        <v>697</v>
      </c>
      <c r="C30" s="516" t="s">
        <v>698</v>
      </c>
      <c r="D30" s="517"/>
      <c r="E30" s="517"/>
      <c r="F30" s="601">
        <v>44592</v>
      </c>
      <c r="G30" s="601">
        <v>44620</v>
      </c>
      <c r="H30" s="601">
        <v>44651</v>
      </c>
      <c r="I30" s="601">
        <v>44681</v>
      </c>
      <c r="J30" s="601">
        <v>44712</v>
      </c>
      <c r="K30" s="601">
        <v>44742</v>
      </c>
      <c r="L30" s="601">
        <v>44773</v>
      </c>
      <c r="M30" s="601">
        <v>44804</v>
      </c>
      <c r="N30" s="601">
        <v>44834</v>
      </c>
      <c r="O30" s="601">
        <v>44865</v>
      </c>
      <c r="P30" s="601">
        <v>44895</v>
      </c>
      <c r="Q30" s="601">
        <v>44926</v>
      </c>
    </row>
    <row r="31" spans="1:17" ht="22.5" customHeight="1">
      <c r="A31" s="518">
        <v>1</v>
      </c>
      <c r="B31" s="519" t="s">
        <v>699</v>
      </c>
      <c r="C31" s="520" t="s">
        <v>700</v>
      </c>
      <c r="D31" s="521"/>
      <c r="E31" s="521"/>
      <c r="F31" s="521">
        <f t="shared" ref="F31:Q31" ca="1" si="14">IF($G$1&gt;F30,(F32-F33),0)</f>
        <v>13465.371999999968</v>
      </c>
      <c r="G31" s="521">
        <f t="shared" ca="1" si="14"/>
        <v>12240.734000000031</v>
      </c>
      <c r="H31" s="521">
        <f t="shared" ca="1" si="14"/>
        <v>13640.708999999966</v>
      </c>
      <c r="I31" s="521">
        <f t="shared" ca="1" si="14"/>
        <v>13068.663000000024</v>
      </c>
      <c r="J31" s="521">
        <f t="shared" ca="1" si="14"/>
        <v>13036.991999999977</v>
      </c>
      <c r="K31" s="521">
        <f t="shared" ca="1" si="14"/>
        <v>1685.72</v>
      </c>
      <c r="L31" s="521">
        <f t="shared" ca="1" si="14"/>
        <v>-89.254999999999995</v>
      </c>
      <c r="M31" s="521">
        <f t="shared" ca="1" si="14"/>
        <v>-89.254999999999995</v>
      </c>
      <c r="N31" s="521">
        <f t="shared" ca="1" si="14"/>
        <v>-86.28</v>
      </c>
      <c r="O31" s="521">
        <f t="shared" ca="1" si="14"/>
        <v>-89.254999999999995</v>
      </c>
      <c r="P31" s="521">
        <f t="shared" ca="1" si="14"/>
        <v>-86.28</v>
      </c>
      <c r="Q31" s="521">
        <f t="shared" ca="1" si="14"/>
        <v>-89.254999999999995</v>
      </c>
    </row>
    <row r="32" spans="1:17" ht="22.5" customHeight="1">
      <c r="A32" s="518">
        <v>2</v>
      </c>
      <c r="B32" s="519" t="s">
        <v>701</v>
      </c>
      <c r="C32" s="520" t="s">
        <v>702</v>
      </c>
      <c r="D32" s="521"/>
      <c r="E32" s="521"/>
      <c r="F32" s="522">
        <f ca="1">IF($G$1&gt;F30,'GRAFICAS RPTE GCIAL'!$M$159,0)</f>
        <v>13554.626999999968</v>
      </c>
      <c r="G32" s="522">
        <f ca="1">IF($G$1&gt;G30,'GRAFICAS RPTE GCIAL'!$M$160,0)</f>
        <v>12240.734000000031</v>
      </c>
      <c r="H32" s="521">
        <f ca="1">IF($G$1&gt;H30,'GRAFICAS RPTE GCIAL'!$M$161,0)</f>
        <v>13729.963999999965</v>
      </c>
      <c r="I32" s="522">
        <f ca="1">IF($G$1&gt;I30,'GRAFICAS RPTE GCIAL'!$M$162,0)</f>
        <v>13154.943000000025</v>
      </c>
      <c r="J32" s="521">
        <f ca="1">IF($G$1&gt;J30,'GRAFICAS RPTE GCIAL'!$M$163,0)</f>
        <v>13126.246999999976</v>
      </c>
      <c r="K32" s="522">
        <f ca="1">IF($G$1&gt;K30,'GRAFICAS RPTE GCIAL'!$M$164,0)</f>
        <v>1772</v>
      </c>
      <c r="L32" s="521">
        <f ca="1">IF($G$1&gt;L30,'GRAFICAS RPTE GCIAL'!$M$165,0)</f>
        <v>0</v>
      </c>
      <c r="M32" s="522">
        <f ca="1">IF($G$1&gt;M30,'GRAFICAS RPTE GCIAL'!$M$166,0)</f>
        <v>0</v>
      </c>
      <c r="N32" s="522">
        <f ca="1">IF($G$1&gt;N30,'GRAFICAS RPTE GCIAL'!$M$167,0)</f>
        <v>0</v>
      </c>
      <c r="O32" s="522">
        <f ca="1">IF($G$1&gt;O30,'GRAFICAS RPTE GCIAL'!$M$168,0)</f>
        <v>0</v>
      </c>
      <c r="P32" s="522">
        <f ca="1">IF($G$1&gt;P30,'GRAFICAS RPTE GCIAL'!$M$169,0)</f>
        <v>0</v>
      </c>
      <c r="Q32" s="522">
        <f ca="1">IF($G$1&gt;Q30,'GRAFICAS RPTE GCIAL'!$M$170,0)</f>
        <v>0</v>
      </c>
    </row>
    <row r="33" spans="1:17" ht="22.5" customHeight="1">
      <c r="A33" s="518">
        <v>3</v>
      </c>
      <c r="B33" s="519" t="s">
        <v>703</v>
      </c>
      <c r="C33" s="520" t="s">
        <v>704</v>
      </c>
      <c r="D33" s="521"/>
      <c r="E33" s="523"/>
      <c r="F33" s="522">
        <f ca="1">IF($G$1&gt;F30,IF(DAY(F30)=31,INICIO!$T$9,IF(DAY(F30)=30,INICIO!$T$8,IF(DAY(F30)=29,INICIO!$T$7,INICIO!$U$6)))/1000,0)</f>
        <v>89.254999999999995</v>
      </c>
      <c r="G33" s="522">
        <f ca="1">IF($G$1&gt;G30,IF(DAY(G30)=31,INICIO!$T$9,IF(DAY(G30)=30,INICIO!$T$8,IF(DAY(G30)=29,INICIO!$T$7,INICIO!$U$6)))/1000,0)</f>
        <v>0</v>
      </c>
      <c r="H33" s="522">
        <f ca="1">IF($G$1&gt;H30,IF(DAY(H30)=31,INICIO!$T$9,IF(DAY(H30)=30,INICIO!$T$8,IF(DAY(H30)=29,INICIO!$T$7,INICIO!$U$6)))/1000,0)</f>
        <v>89.254999999999995</v>
      </c>
      <c r="I33" s="522">
        <f ca="1">IF($G$1&gt;I30,IF(DAY(I30)=31,INICIO!$T$9,IF(DAY(I30)=30,INICIO!$T$8,IF(DAY(I30)=29,INICIO!$T$7,INICIO!$U$6)))/1000,0)</f>
        <v>86.28</v>
      </c>
      <c r="J33" s="522">
        <f ca="1">IF($G$1&gt;J30,IF(DAY(J30)=31,INICIO!$T$9,IF(DAY(J30)=30,INICIO!$T$8,IF(DAY(J30)=29,INICIO!$T$7,INICIO!$U$6)))/1000,0)</f>
        <v>89.254999999999995</v>
      </c>
      <c r="K33" s="522">
        <f ca="1">IF($G$1&gt;K30,IF(DAY(K30)=31,INICIO!$T$9,IF(DAY(K30)=30,INICIO!$T$8,IF(DAY(K30)=29,INICIO!$T$7,INICIO!$U$6)))/1000,0)</f>
        <v>86.28</v>
      </c>
      <c r="L33" s="522">
        <f ca="1">IF($G$1&gt;L30,IF(DAY(L30)=31,INICIO!$T$9,IF(DAY(L30)=30,INICIO!$T$8,IF(DAY(L30)=29,INICIO!$T$7,INICIO!$U$6)))/1000,0)</f>
        <v>89.254999999999995</v>
      </c>
      <c r="M33" s="522">
        <f ca="1">IF($G$1&gt;M30,IF(DAY(M30)=31,INICIO!$T$9,IF(DAY(M30)=30,INICIO!$T$8,IF(DAY(M30)=29,INICIO!$T$7,INICIO!$U$6)))/1000,0)</f>
        <v>89.254999999999995</v>
      </c>
      <c r="N33" s="522">
        <f ca="1">IF($G$1&gt;N30,IF(DAY(N30)=31,INICIO!$T$9,IF(DAY(N30)=30,INICIO!$T$8,IF(DAY(N30)=29,INICIO!$T$7,INICIO!$U$6)))/1000,0)</f>
        <v>86.28</v>
      </c>
      <c r="O33" s="522">
        <f ca="1">IF($G$1&gt;O30,IF(DAY(O30)=31,INICIO!$T$9,IF(DAY(O30)=30,INICIO!$T$8,IF(DAY(O30)=29,INICIO!$T$7,INICIO!$U$6)))/1000,0)</f>
        <v>89.254999999999995</v>
      </c>
      <c r="P33" s="522">
        <f ca="1">IF($G$1&gt;P30,IF(DAY(P30)=31,INICIO!$T$9,IF(DAY(P30)=30,INICIO!$T$8,IF(DAY(P30)=29,INICIO!$T$7,INICIO!$U$6)))/1000,0)</f>
        <v>86.28</v>
      </c>
      <c r="Q33" s="522">
        <f ca="1">IF($G$1&gt;Q30,IF(DAY(Q30)=31,INICIO!$T$9,IF(DAY(Q30)=30,INICIO!$T$8,IF(DAY(Q30)=29,INICIO!$T$7,INICIO!$U$6)))/1000,0)</f>
        <v>89.254999999999995</v>
      </c>
    </row>
    <row r="34" spans="1:17" ht="22.5" customHeight="1">
      <c r="A34" s="518">
        <v>4</v>
      </c>
      <c r="B34" s="519" t="s">
        <v>705</v>
      </c>
      <c r="C34" s="520" t="s">
        <v>706</v>
      </c>
      <c r="D34" s="521"/>
      <c r="E34" s="523"/>
      <c r="F34" s="522">
        <f ca="1">IF($G$1&gt;F30,'GRAFICAS RPTE GCIAL'!$AH$159,0)</f>
        <v>970.1</v>
      </c>
      <c r="G34" s="522">
        <f ca="1">IF($G$1&gt;G30,'GRAFICAS RPTE GCIAL'!$AH$160,0)</f>
        <v>882.2</v>
      </c>
      <c r="H34" s="522">
        <f ca="1">IF($G$1&gt;H30,'GRAFICAS RPTE GCIAL'!$AH$161,0)</f>
        <v>880</v>
      </c>
      <c r="I34" s="522">
        <f ca="1">IF($G$1&gt;I30,'GRAFICAS RPTE GCIAL'!$AH$162,0)</f>
        <v>860.1</v>
      </c>
      <c r="J34" s="522">
        <f ca="1">IF($G$1&gt;J30,'GRAFICAS RPTE GCIAL'!$AH$163,0)</f>
        <v>840.8</v>
      </c>
      <c r="K34" s="522">
        <f ca="1">IF($G$1&gt;K30,'GRAFICAS RPTE GCIAL'!$AH$164,0)</f>
        <v>900.4</v>
      </c>
      <c r="L34" s="522">
        <f ca="1">IF($G$1&gt;L30,'GRAFICAS RPTE GCIAL'!$AH$164,0)</f>
        <v>900.4</v>
      </c>
      <c r="M34" s="522">
        <f ca="1">IF($G$1&gt;M30,'GRAFICAS RPTE GCIAL'!$AH$164,0)</f>
        <v>900.4</v>
      </c>
      <c r="N34" s="522">
        <f ca="1">IF($G$1&gt;N30,'GRAFICAS RPTE GCIAL'!$AH$164,0)</f>
        <v>900.4</v>
      </c>
      <c r="O34" s="522">
        <f ca="1">IF($G$1&gt;O30,'GRAFICAS RPTE GCIAL'!$AH$164,0)</f>
        <v>900.4</v>
      </c>
      <c r="P34" s="522">
        <f ca="1">IF($G$1&gt;P30,'GRAFICAS RPTE GCIAL'!$AH$164,0)</f>
        <v>900.4</v>
      </c>
      <c r="Q34" s="522">
        <f ca="1">IF($G$1&gt;Q30,'GRAFICAS RPTE GCIAL'!$AH$164,0)</f>
        <v>900.4</v>
      </c>
    </row>
    <row r="35" spans="1:17" ht="22.5" customHeight="1">
      <c r="A35" s="518">
        <v>5</v>
      </c>
      <c r="B35" s="519" t="s">
        <v>707</v>
      </c>
      <c r="C35" s="520" t="s">
        <v>708</v>
      </c>
      <c r="D35" s="521"/>
      <c r="E35" s="523"/>
      <c r="F35" s="522">
        <f t="shared" ref="F35:Q35" ca="1" si="15">IF($G$1&gt;F30,3415.79,0)</f>
        <v>3415.79</v>
      </c>
      <c r="G35" s="522">
        <f t="shared" ca="1" si="15"/>
        <v>3415.79</v>
      </c>
      <c r="H35" s="522">
        <f t="shared" ca="1" si="15"/>
        <v>3415.79</v>
      </c>
      <c r="I35" s="522">
        <f t="shared" ca="1" si="15"/>
        <v>3415.79</v>
      </c>
      <c r="J35" s="522">
        <f t="shared" ca="1" si="15"/>
        <v>3415.79</v>
      </c>
      <c r="K35" s="522">
        <f t="shared" ca="1" si="15"/>
        <v>3415.79</v>
      </c>
      <c r="L35" s="522">
        <f t="shared" ca="1" si="15"/>
        <v>3415.79</v>
      </c>
      <c r="M35" s="522">
        <f t="shared" ca="1" si="15"/>
        <v>3415.79</v>
      </c>
      <c r="N35" s="522">
        <f t="shared" ca="1" si="15"/>
        <v>3415.79</v>
      </c>
      <c r="O35" s="522">
        <f t="shared" ca="1" si="15"/>
        <v>3415.79</v>
      </c>
      <c r="P35" s="522">
        <f t="shared" ca="1" si="15"/>
        <v>3415.79</v>
      </c>
      <c r="Q35" s="522">
        <f t="shared" ca="1" si="15"/>
        <v>3415.79</v>
      </c>
    </row>
    <row r="36" spans="1:17" ht="22.5" customHeight="1">
      <c r="A36" s="518">
        <v>6</v>
      </c>
      <c r="B36" s="519" t="s">
        <v>709</v>
      </c>
      <c r="C36" s="520" t="s">
        <v>710</v>
      </c>
      <c r="D36" s="521"/>
      <c r="E36" s="523"/>
      <c r="F36" s="522">
        <f t="shared" ref="F36:Q36" ca="1" si="16">IF($G$1&gt;F30,40,0)</f>
        <v>40</v>
      </c>
      <c r="G36" s="522">
        <f t="shared" ca="1" si="16"/>
        <v>40</v>
      </c>
      <c r="H36" s="522">
        <f t="shared" ca="1" si="16"/>
        <v>40</v>
      </c>
      <c r="I36" s="522">
        <f t="shared" ca="1" si="16"/>
        <v>40</v>
      </c>
      <c r="J36" s="522">
        <f t="shared" ca="1" si="16"/>
        <v>40</v>
      </c>
      <c r="K36" s="522">
        <f t="shared" ca="1" si="16"/>
        <v>40</v>
      </c>
      <c r="L36" s="522">
        <f t="shared" ca="1" si="16"/>
        <v>40</v>
      </c>
      <c r="M36" s="522">
        <f t="shared" ca="1" si="16"/>
        <v>40</v>
      </c>
      <c r="N36" s="522">
        <f t="shared" ca="1" si="16"/>
        <v>40</v>
      </c>
      <c r="O36" s="522">
        <f t="shared" ca="1" si="16"/>
        <v>40</v>
      </c>
      <c r="P36" s="522">
        <f t="shared" ca="1" si="16"/>
        <v>40</v>
      </c>
      <c r="Q36" s="522">
        <f t="shared" ca="1" si="16"/>
        <v>40</v>
      </c>
    </row>
    <row r="37" spans="1:17" ht="22.5" customHeight="1">
      <c r="A37" s="518">
        <v>5</v>
      </c>
      <c r="B37" s="519" t="s">
        <v>711</v>
      </c>
      <c r="C37" s="520" t="s">
        <v>712</v>
      </c>
      <c r="D37" s="521"/>
      <c r="E37" s="523"/>
      <c r="F37" s="522">
        <f ca="1">IF($G$1&gt;F30,'GRAFICAS RPTE GCIAL'!$S$159,0)</f>
        <v>240.1062417303369</v>
      </c>
      <c r="G37" s="522">
        <f ca="1">IF($G$1&gt;G30,'GRAFICAS RPTE GCIAL'!$S$160,0)</f>
        <v>238.45170424937683</v>
      </c>
      <c r="H37" s="522">
        <f ca="1">IF($G$1&gt;H30,'GRAFICAS RPTE GCIAL'!$S$161,0)</f>
        <v>265.48145656608449</v>
      </c>
      <c r="I37" s="522">
        <f ca="1">IF($G$1&gt;I30,'GRAFICAS RPTE GCIAL'!$S$162,0)</f>
        <v>254.5427078608304</v>
      </c>
      <c r="J37" s="522">
        <f ca="1">IF($G$1&gt;J30,'GRAFICAS RPTE GCIAL'!$S$163,0)</f>
        <v>273.36577883277823</v>
      </c>
      <c r="K37" s="522">
        <f ca="1">IF($G$1&gt;K30,'GRAFICAS RPTE GCIAL'!$S$164,0)</f>
        <v>33.568140402487785</v>
      </c>
      <c r="L37" s="522">
        <f ca="1">IF($G$1&gt;L30,'GRAFICAS RPTE GCIAL'!$S$165,0)</f>
        <v>0</v>
      </c>
      <c r="M37" s="522">
        <f ca="1">IF($G$1&gt;M30,'GRAFICAS RPTE GCIAL'!$S$166,0)</f>
        <v>0</v>
      </c>
      <c r="N37" s="522">
        <f ca="1">IF($G$1&gt;N30,'GRAFICAS RPTE GCIAL'!$S$167,0)</f>
        <v>0</v>
      </c>
      <c r="O37" s="522">
        <f ca="1">IF($G$1&gt;O30,'GRAFICAS RPTE GCIAL'!$S$168,0)</f>
        <v>0</v>
      </c>
      <c r="P37" s="522">
        <f ca="1">IF($G$1&gt;P30,'GRAFICAS RPTE GCIAL'!$S$169,0)</f>
        <v>0</v>
      </c>
      <c r="Q37" s="522">
        <f ca="1">IF($G$1&gt;Q30,'GRAFICAS RPTE GCIAL'!$S$170,0)</f>
        <v>0</v>
      </c>
    </row>
    <row r="38" spans="1:17" ht="22.5" customHeight="1">
      <c r="A38" s="518">
        <v>6</v>
      </c>
      <c r="B38" s="519" t="s">
        <v>713</v>
      </c>
      <c r="C38" s="524" t="s">
        <v>714</v>
      </c>
      <c r="D38" s="521"/>
      <c r="E38" s="487"/>
      <c r="F38" s="522">
        <f t="shared" ref="F38:Q38" ca="1" si="17">IF($G$1&gt;F30,F37*F34,0)</f>
        <v>232927.06510259982</v>
      </c>
      <c r="G38" s="522">
        <f t="shared" ca="1" si="17"/>
        <v>210362.09348880025</v>
      </c>
      <c r="H38" s="522">
        <f t="shared" ca="1" si="17"/>
        <v>233623.68177815434</v>
      </c>
      <c r="I38" s="522">
        <f t="shared" ca="1" si="17"/>
        <v>218932.18303110023</v>
      </c>
      <c r="J38" s="522">
        <f t="shared" ca="1" si="17"/>
        <v>229845.94684259992</v>
      </c>
      <c r="K38" s="522">
        <f t="shared" ca="1" si="17"/>
        <v>30224.753618400002</v>
      </c>
      <c r="L38" s="522">
        <f t="shared" ca="1" si="17"/>
        <v>0</v>
      </c>
      <c r="M38" s="522">
        <f t="shared" ca="1" si="17"/>
        <v>0</v>
      </c>
      <c r="N38" s="522">
        <f t="shared" ca="1" si="17"/>
        <v>0</v>
      </c>
      <c r="O38" s="522">
        <f t="shared" ca="1" si="17"/>
        <v>0</v>
      </c>
      <c r="P38" s="522">
        <f t="shared" ca="1" si="17"/>
        <v>0</v>
      </c>
      <c r="Q38" s="522">
        <f t="shared" ca="1" si="17"/>
        <v>0</v>
      </c>
    </row>
    <row r="39" spans="1:17" ht="22.5" customHeight="1">
      <c r="A39" s="518">
        <v>7</v>
      </c>
      <c r="B39" s="519" t="s">
        <v>715</v>
      </c>
      <c r="C39" s="524" t="s">
        <v>716</v>
      </c>
      <c r="D39" s="521"/>
      <c r="E39" s="487"/>
      <c r="F39" s="522">
        <f t="shared" ref="F39:Q39" ca="1" si="18">IF($G$1&gt;F30,(DAY(F30))*24,0)</f>
        <v>744</v>
      </c>
      <c r="G39" s="522">
        <f t="shared" ca="1" si="18"/>
        <v>672</v>
      </c>
      <c r="H39" s="522">
        <f t="shared" ca="1" si="18"/>
        <v>744</v>
      </c>
      <c r="I39" s="522">
        <f t="shared" ca="1" si="18"/>
        <v>720</v>
      </c>
      <c r="J39" s="522">
        <f t="shared" ca="1" si="18"/>
        <v>744</v>
      </c>
      <c r="K39" s="522">
        <f t="shared" ca="1" si="18"/>
        <v>720</v>
      </c>
      <c r="L39" s="522">
        <f t="shared" ca="1" si="18"/>
        <v>744</v>
      </c>
      <c r="M39" s="522">
        <f t="shared" ca="1" si="18"/>
        <v>744</v>
      </c>
      <c r="N39" s="522">
        <f t="shared" ca="1" si="18"/>
        <v>720</v>
      </c>
      <c r="O39" s="522">
        <f t="shared" ca="1" si="18"/>
        <v>744</v>
      </c>
      <c r="P39" s="522">
        <f t="shared" ca="1" si="18"/>
        <v>720</v>
      </c>
      <c r="Q39" s="522">
        <f t="shared" ca="1" si="18"/>
        <v>744</v>
      </c>
    </row>
    <row r="40" spans="1:17" ht="22.5" customHeight="1">
      <c r="A40" s="518">
        <v>8</v>
      </c>
      <c r="B40" s="519" t="s">
        <v>649</v>
      </c>
      <c r="C40" s="525" t="s">
        <v>717</v>
      </c>
      <c r="D40" s="526"/>
      <c r="E40" s="487"/>
      <c r="F40" s="527">
        <f t="shared" ref="F40:Q40" ca="1" si="19">IF($G$1&gt;F30,100%,0)</f>
        <v>1</v>
      </c>
      <c r="G40" s="527">
        <f t="shared" ca="1" si="19"/>
        <v>1</v>
      </c>
      <c r="H40" s="527">
        <f t="shared" ca="1" si="19"/>
        <v>1</v>
      </c>
      <c r="I40" s="527">
        <f t="shared" ca="1" si="19"/>
        <v>1</v>
      </c>
      <c r="J40" s="527">
        <f t="shared" ca="1" si="19"/>
        <v>1</v>
      </c>
      <c r="K40" s="527">
        <f t="shared" ca="1" si="19"/>
        <v>1</v>
      </c>
      <c r="L40" s="527">
        <f t="shared" ca="1" si="19"/>
        <v>1</v>
      </c>
      <c r="M40" s="527">
        <f t="shared" ca="1" si="19"/>
        <v>1</v>
      </c>
      <c r="N40" s="527">
        <f t="shared" ca="1" si="19"/>
        <v>1</v>
      </c>
      <c r="O40" s="527">
        <f t="shared" ca="1" si="19"/>
        <v>1</v>
      </c>
      <c r="P40" s="527">
        <f t="shared" ca="1" si="19"/>
        <v>1</v>
      </c>
      <c r="Q40" s="527">
        <f t="shared" ca="1" si="19"/>
        <v>1</v>
      </c>
    </row>
    <row r="41" spans="1:17" ht="22.5" customHeight="1">
      <c r="A41" s="518">
        <v>9</v>
      </c>
      <c r="B41" s="519" t="s">
        <v>718</v>
      </c>
      <c r="C41" s="525" t="s">
        <v>717</v>
      </c>
      <c r="D41" s="526"/>
      <c r="E41" s="487"/>
      <c r="F41" s="527">
        <f ca="1">((DATOSAÑO!$AB$376+DATOSAÑO!$AC$376)/(F39*2))</f>
        <v>1.0085349462365591</v>
      </c>
      <c r="G41" s="527">
        <f ca="1">IF($G$1&gt;G30,100%,0)</f>
        <v>1</v>
      </c>
      <c r="H41" s="527">
        <f ca="1">IF($G$1&gt;H30,100%,0)</f>
        <v>1</v>
      </c>
      <c r="I41" s="527">
        <f ca="1">IF($G$1&gt;I30,100%,0)</f>
        <v>1</v>
      </c>
      <c r="J41" s="527">
        <f ca="1">IF($G$1&gt;J30,100%,0)</f>
        <v>1</v>
      </c>
      <c r="K41" s="527">
        <f t="shared" ref="K41:Q41" ca="1" si="20">IF($G$1&gt;K30,100%,0)</f>
        <v>1</v>
      </c>
      <c r="L41" s="527">
        <f t="shared" ca="1" si="20"/>
        <v>1</v>
      </c>
      <c r="M41" s="527">
        <f t="shared" ca="1" si="20"/>
        <v>1</v>
      </c>
      <c r="N41" s="527">
        <f t="shared" ca="1" si="20"/>
        <v>1</v>
      </c>
      <c r="O41" s="527">
        <f t="shared" ca="1" si="20"/>
        <v>1</v>
      </c>
      <c r="P41" s="527">
        <f t="shared" ca="1" si="20"/>
        <v>1</v>
      </c>
      <c r="Q41" s="527">
        <f t="shared" ca="1" si="20"/>
        <v>1</v>
      </c>
    </row>
  </sheetData>
  <mergeCells count="2">
    <mergeCell ref="A4:A9"/>
    <mergeCell ref="B4:B9"/>
  </mergeCells>
  <hyperlinks>
    <hyperlink ref="A1" location="'Resultados Mes &amp; Acum'!A1" display="'Resultados Mes &amp; Acum'!A1" xr:uid="{00000000-0004-0000-1D00-000000000000}"/>
  </hyperlinks>
  <pageMargins left="0.7" right="0.7" top="0.75" bottom="0.75" header="0.3" footer="0.3"/>
  <pageSetup paperSize="9" scale="3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7">
    <tabColor theme="4" tint="-0.249977111117893"/>
  </sheetPr>
  <dimension ref="A1:Q35"/>
  <sheetViews>
    <sheetView showGridLines="0" topLeftCell="A8" zoomScale="115" zoomScaleNormal="115" workbookViewId="0">
      <selection activeCell="C8" sqref="C8:D8"/>
    </sheetView>
  </sheetViews>
  <sheetFormatPr baseColWidth="10" defaultColWidth="0" defaultRowHeight="15" customHeight="1" zeroHeight="1"/>
  <cols>
    <col min="1" max="2" width="11.44140625" customWidth="1"/>
    <col min="3" max="5" width="11.44140625" style="442" customWidth="1"/>
    <col min="6" max="6" width="11.21875" style="442" bestFit="1" customWidth="1"/>
    <col min="7" max="7" width="11.44140625" style="442" customWidth="1"/>
    <col min="8" max="8" width="11.5546875" style="442" bestFit="1" customWidth="1"/>
    <col min="9" max="9" width="12" style="442" bestFit="1" customWidth="1"/>
    <col min="10" max="10" width="11.44140625" style="442" customWidth="1"/>
    <col min="11" max="11" width="12" style="442" bestFit="1" customWidth="1"/>
    <col min="12" max="12" width="11.44140625" style="442" customWidth="1"/>
    <col min="13" max="13" width="18" style="442" customWidth="1"/>
    <col min="14" max="16384" width="11.44140625" hidden="1"/>
  </cols>
  <sheetData>
    <row r="1" spans="1:17" ht="14.4">
      <c r="A1" s="597" t="s">
        <v>804</v>
      </c>
    </row>
    <row r="2" spans="1:17" ht="36" customHeight="1"/>
    <row r="3" spans="1:17" ht="14.4"/>
    <row r="4" spans="1:17" ht="14.4"/>
    <row r="5" spans="1:17" ht="14.4"/>
    <row r="6" spans="1:17" ht="14.4"/>
    <row r="7" spans="1:17" ht="14.4"/>
    <row r="8" spans="1:17" ht="14.4"/>
    <row r="9" spans="1:17" ht="14.4"/>
    <row r="10" spans="1:17" ht="14.4"/>
    <row r="11" spans="1:17" ht="14.4"/>
    <row r="12" spans="1:17" ht="14.4"/>
    <row r="13" spans="1:17" ht="14.4"/>
    <row r="14" spans="1:17" ht="14.4"/>
    <row r="15" spans="1:17" ht="14.4">
      <c r="F15" s="995">
        <v>43131</v>
      </c>
      <c r="G15" s="995">
        <v>43159</v>
      </c>
      <c r="H15" s="995">
        <v>43190</v>
      </c>
      <c r="I15" s="995">
        <v>43220</v>
      </c>
      <c r="J15" s="995">
        <v>43251</v>
      </c>
      <c r="K15" s="995">
        <v>43281</v>
      </c>
      <c r="L15" s="995">
        <v>43312</v>
      </c>
      <c r="M15" s="995"/>
      <c r="N15" s="25">
        <v>43373</v>
      </c>
      <c r="O15" s="25">
        <v>43404</v>
      </c>
      <c r="P15" s="25">
        <v>43434</v>
      </c>
      <c r="Q15" s="25">
        <v>43465</v>
      </c>
    </row>
    <row r="16" spans="1:17" ht="14.4"/>
    <row r="17" spans="6:17" ht="14.4"/>
    <row r="18" spans="6:17" ht="14.4"/>
    <row r="19" spans="6:17" ht="14.4"/>
    <row r="20" spans="6:17" ht="14.4"/>
    <row r="21" spans="6:17" ht="14.4"/>
    <row r="22" spans="6:17" ht="14.4"/>
    <row r="23" spans="6:17" ht="14.4"/>
    <row r="24" spans="6:17" ht="14.4"/>
    <row r="25" spans="6:17" ht="14.4"/>
    <row r="26" spans="6:17" ht="14.4"/>
    <row r="27" spans="6:17" ht="14.4"/>
    <row r="28" spans="6:17" ht="14.4"/>
    <row r="29" spans="6:17" ht="14.4"/>
    <row r="30" spans="6:17" ht="14.4">
      <c r="F30" s="995">
        <v>43131</v>
      </c>
      <c r="G30" s="442" t="s">
        <v>1181</v>
      </c>
      <c r="H30" s="995">
        <v>43190</v>
      </c>
      <c r="I30" s="995">
        <v>43220</v>
      </c>
      <c r="J30" s="995">
        <v>43251</v>
      </c>
      <c r="K30" s="995">
        <v>43281</v>
      </c>
      <c r="L30" s="995">
        <v>43312</v>
      </c>
      <c r="M30" s="995">
        <v>43343</v>
      </c>
      <c r="N30" s="25">
        <v>43373</v>
      </c>
      <c r="O30" s="25">
        <v>43404</v>
      </c>
      <c r="P30" s="25">
        <v>43434</v>
      </c>
      <c r="Q30" s="25">
        <v>43465</v>
      </c>
    </row>
    <row r="31" spans="6:17" ht="14.4"/>
    <row r="32" spans="6:17" ht="14.4"/>
    <row r="33" ht="14.4"/>
    <row r="34" ht="14.4"/>
    <row r="35" ht="14.4"/>
  </sheetData>
  <hyperlinks>
    <hyperlink ref="A1" location="'Resultados Mes &amp; Acum'!A1" display="'Resultados Mes &amp; Acum'!A1" xr:uid="{00000000-0004-0000-1E00-000000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8">
    <tabColor rgb="FF00B050"/>
  </sheetPr>
  <dimension ref="A1:Y34"/>
  <sheetViews>
    <sheetView showGridLines="0" topLeftCell="A16" workbookViewId="0">
      <selection activeCell="C8" sqref="C8:D8"/>
    </sheetView>
  </sheetViews>
  <sheetFormatPr baseColWidth="10" defaultColWidth="0" defaultRowHeight="15" customHeight="1" zeroHeight="1"/>
  <cols>
    <col min="1" max="1" width="7.77734375" style="88" customWidth="1"/>
    <col min="2" max="2" width="24.77734375" style="88" customWidth="1"/>
    <col min="3" max="3" width="12.5546875" style="88" customWidth="1"/>
    <col min="4" max="5" width="32.5546875" customWidth="1"/>
    <col min="6" max="6" width="10.5546875" bestFit="1" customWidth="1"/>
    <col min="7" max="7" width="45.21875" hidden="1"/>
    <col min="8" max="9" width="10.5546875" bestFit="1" customWidth="1"/>
    <col min="10" max="10" width="45.21875" hidden="1"/>
    <col min="11" max="11" width="10.5546875" bestFit="1" customWidth="1"/>
    <col min="12" max="12" width="45.21875" hidden="1"/>
    <col min="13" max="13" width="18" customWidth="1"/>
    <col min="14" max="20" width="45.21875" hidden="1"/>
    <col min="21" max="21" width="19.21875" hidden="1"/>
    <col min="22" max="22" width="21" hidden="1"/>
    <col min="23" max="23" width="19.5546875" hidden="1"/>
    <col min="24" max="24" width="18.44140625" hidden="1"/>
    <col min="25" max="25" width="19" hidden="1"/>
  </cols>
  <sheetData>
    <row r="1" spans="1:17" ht="14.4">
      <c r="A1" s="2506" t="s">
        <v>804</v>
      </c>
      <c r="B1" s="2506"/>
    </row>
    <row r="2" spans="1:17" ht="14.4"/>
    <row r="3" spans="1:17" ht="14.4">
      <c r="A3" s="534"/>
      <c r="B3" s="534" t="s">
        <v>719</v>
      </c>
      <c r="C3" s="534"/>
    </row>
    <row r="4" spans="1:17" ht="14.4">
      <c r="A4" s="534" t="s">
        <v>720</v>
      </c>
      <c r="B4" s="534" t="s">
        <v>649</v>
      </c>
      <c r="C4" s="534" t="s">
        <v>721</v>
      </c>
    </row>
    <row r="5" spans="1:17" ht="14.4">
      <c r="A5" s="534" t="s">
        <v>722</v>
      </c>
      <c r="B5" s="605">
        <v>1</v>
      </c>
      <c r="C5" s="605">
        <v>1</v>
      </c>
    </row>
    <row r="6" spans="1:17" ht="14.4">
      <c r="A6" s="534" t="s">
        <v>723</v>
      </c>
      <c r="B6" s="605">
        <v>1</v>
      </c>
      <c r="C6" s="605">
        <v>1</v>
      </c>
    </row>
    <row r="7" spans="1:17" ht="14.4">
      <c r="A7" s="534" t="s">
        <v>724</v>
      </c>
      <c r="B7" s="605">
        <v>1</v>
      </c>
      <c r="C7" s="605">
        <v>1</v>
      </c>
    </row>
    <row r="8" spans="1:17" ht="14.4">
      <c r="A8" s="534" t="s">
        <v>725</v>
      </c>
      <c r="B8" s="605">
        <v>1</v>
      </c>
      <c r="C8" s="605">
        <v>1</v>
      </c>
    </row>
    <row r="9" spans="1:17" ht="14.4">
      <c r="A9" s="534" t="s">
        <v>726</v>
      </c>
      <c r="B9" s="605">
        <v>1</v>
      </c>
      <c r="C9" s="605">
        <v>1</v>
      </c>
      <c r="D9" s="442"/>
      <c r="E9" s="442"/>
    </row>
    <row r="10" spans="1:17" ht="14.4">
      <c r="A10" s="534" t="s">
        <v>727</v>
      </c>
      <c r="B10" s="605">
        <v>1</v>
      </c>
      <c r="C10" s="605">
        <v>1</v>
      </c>
      <c r="D10" s="442"/>
      <c r="E10" s="442"/>
    </row>
    <row r="11" spans="1:17" ht="14.4">
      <c r="A11" s="534" t="s">
        <v>728</v>
      </c>
      <c r="B11" s="605">
        <v>1</v>
      </c>
      <c r="C11" s="605">
        <v>1</v>
      </c>
    </row>
    <row r="12" spans="1:17" ht="14.4">
      <c r="A12" s="534" t="s">
        <v>729</v>
      </c>
      <c r="B12" s="605">
        <v>1</v>
      </c>
      <c r="C12" s="605">
        <v>1</v>
      </c>
    </row>
    <row r="13" spans="1:17" ht="14.4">
      <c r="A13" s="534" t="s">
        <v>730</v>
      </c>
      <c r="B13" s="605">
        <v>1</v>
      </c>
      <c r="C13" s="605">
        <v>1</v>
      </c>
    </row>
    <row r="14" spans="1:17" ht="14.4">
      <c r="A14" s="534" t="s">
        <v>731</v>
      </c>
      <c r="B14" s="605">
        <v>1</v>
      </c>
      <c r="C14" s="605">
        <v>1</v>
      </c>
    </row>
    <row r="15" spans="1:17" ht="14.4">
      <c r="A15" s="534" t="s">
        <v>732</v>
      </c>
      <c r="B15" s="605">
        <v>1</v>
      </c>
      <c r="C15" s="605">
        <v>1</v>
      </c>
      <c r="F15" s="25"/>
      <c r="G15" s="25">
        <v>43159</v>
      </c>
      <c r="H15" s="25"/>
      <c r="I15" s="25"/>
      <c r="J15" s="25">
        <v>43251</v>
      </c>
      <c r="K15" s="25"/>
      <c r="L15" s="25">
        <v>43312</v>
      </c>
      <c r="M15" s="25"/>
      <c r="N15" s="25">
        <v>43373</v>
      </c>
      <c r="O15" s="25">
        <v>43404</v>
      </c>
      <c r="P15" s="25">
        <v>43434</v>
      </c>
      <c r="Q15" s="25">
        <v>43465</v>
      </c>
    </row>
    <row r="16" spans="1:17" ht="14.4">
      <c r="A16" s="534" t="s">
        <v>733</v>
      </c>
      <c r="B16" s="605">
        <v>0</v>
      </c>
      <c r="C16" s="605">
        <v>0</v>
      </c>
      <c r="G16" s="535"/>
    </row>
    <row r="17" spans="1:17" ht="14.4"/>
    <row r="18" spans="1:17" ht="14.4">
      <c r="D18" s="442"/>
      <c r="E18" s="442"/>
    </row>
    <row r="19" spans="1:17" ht="14.4">
      <c r="D19" s="442"/>
      <c r="E19" s="442"/>
    </row>
    <row r="20" spans="1:17" ht="14.4">
      <c r="D20" s="442"/>
      <c r="E20" s="442"/>
    </row>
    <row r="21" spans="1:17" ht="14.4">
      <c r="D21" s="442"/>
      <c r="E21" s="442"/>
    </row>
    <row r="22" spans="1:17" ht="14.4">
      <c r="D22" s="442"/>
      <c r="E22" s="442"/>
    </row>
    <row r="23" spans="1:17" ht="14.4">
      <c r="D23" s="442"/>
      <c r="E23" s="442"/>
    </row>
    <row r="24" spans="1:17" ht="14.4">
      <c r="D24" s="442"/>
      <c r="E24" s="442"/>
    </row>
    <row r="25" spans="1:17" ht="14.4">
      <c r="A25" s="534"/>
      <c r="B25" s="534"/>
      <c r="C25" s="534"/>
      <c r="D25" s="442"/>
      <c r="E25" s="442"/>
    </row>
    <row r="26" spans="1:17" ht="14.4">
      <c r="A26" s="534"/>
      <c r="B26" s="534"/>
      <c r="C26" s="534"/>
      <c r="D26" s="442"/>
      <c r="E26" s="442"/>
    </row>
    <row r="27" spans="1:17" ht="14.4">
      <c r="A27" s="534"/>
      <c r="B27" s="534"/>
      <c r="C27" s="534"/>
      <c r="D27" s="442"/>
      <c r="E27" s="442"/>
    </row>
    <row r="28" spans="1:17" ht="14.4">
      <c r="A28" s="534"/>
      <c r="B28" s="534"/>
      <c r="C28" s="534"/>
      <c r="D28" s="442"/>
      <c r="E28" s="442"/>
    </row>
    <row r="29" spans="1:17" ht="14.4">
      <c r="A29" s="534"/>
      <c r="B29" s="534"/>
      <c r="C29" s="534"/>
      <c r="D29" s="442"/>
      <c r="E29" s="442"/>
    </row>
    <row r="30" spans="1:17" ht="14.4">
      <c r="A30" s="534"/>
      <c r="B30" s="534"/>
      <c r="C30" s="534"/>
      <c r="D30" s="442"/>
      <c r="E30" s="442"/>
      <c r="F30" s="25"/>
      <c r="G30" t="s">
        <v>1181</v>
      </c>
      <c r="H30" s="25"/>
      <c r="I30" s="25"/>
      <c r="J30" s="25">
        <v>43251</v>
      </c>
      <c r="K30" s="25"/>
      <c r="L30" s="25">
        <v>43312</v>
      </c>
      <c r="M30" s="25"/>
      <c r="N30" s="25">
        <v>43373</v>
      </c>
      <c r="O30" s="25">
        <v>43404</v>
      </c>
      <c r="P30" s="25">
        <v>43434</v>
      </c>
      <c r="Q30" s="25">
        <v>43465</v>
      </c>
    </row>
    <row r="31" spans="1:17" ht="14.4">
      <c r="A31" s="534"/>
      <c r="B31" s="534"/>
      <c r="C31" s="534"/>
      <c r="D31" s="442"/>
      <c r="E31" s="442"/>
    </row>
    <row r="32" spans="1:17" ht="14.4">
      <c r="A32" s="534"/>
      <c r="B32" s="534"/>
      <c r="C32" s="534"/>
      <c r="D32" s="442"/>
      <c r="E32" s="442"/>
    </row>
    <row r="33" spans="1:5" ht="14.4">
      <c r="A33" s="534"/>
      <c r="B33" s="534"/>
      <c r="C33" s="534"/>
      <c r="D33" s="442"/>
      <c r="E33" s="442"/>
    </row>
    <row r="34" spans="1:5" ht="14.4" hidden="1">
      <c r="A34" s="534"/>
      <c r="B34" s="534"/>
      <c r="C34" s="534"/>
    </row>
  </sheetData>
  <mergeCells count="1">
    <mergeCell ref="A1:B1"/>
  </mergeCells>
  <hyperlinks>
    <hyperlink ref="A1" location="'Resultados Mes &amp; Acum'!A1" display="'Resultados Mes &amp; Acum'!A1" xr:uid="{00000000-0004-0000-1F00-000000000000}"/>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9">
    <tabColor rgb="FFFFFF00"/>
  </sheetPr>
  <dimension ref="A1:R32"/>
  <sheetViews>
    <sheetView showGridLines="0" topLeftCell="A23" zoomScale="90" zoomScaleNormal="90" workbookViewId="0">
      <selection activeCell="C8" sqref="C8:D8"/>
    </sheetView>
  </sheetViews>
  <sheetFormatPr baseColWidth="10" defaultColWidth="0" defaultRowHeight="15" customHeight="1" zeroHeight="1"/>
  <cols>
    <col min="1" max="1" width="45.44140625" customWidth="1"/>
    <col min="2" max="2" width="15.21875" customWidth="1"/>
    <col min="3" max="3" width="14.77734375" customWidth="1"/>
    <col min="4" max="4" width="15.44140625" customWidth="1"/>
    <col min="5" max="5" width="8.21875" customWidth="1"/>
    <col min="6" max="6" width="11.5546875" bestFit="1" customWidth="1"/>
    <col min="7" max="7" width="8.44140625" customWidth="1"/>
    <col min="8" max="12" width="11.5546875" bestFit="1" customWidth="1"/>
    <col min="13" max="13" width="18" customWidth="1"/>
    <col min="14" max="18" width="11.44140625" customWidth="1"/>
    <col min="19" max="16384" width="11.44140625" hidden="1"/>
  </cols>
  <sheetData>
    <row r="1" spans="1:18" ht="14.4">
      <c r="A1" s="598" t="s">
        <v>804</v>
      </c>
      <c r="B1" s="442"/>
      <c r="C1" s="442"/>
      <c r="D1" s="442"/>
      <c r="E1" s="442"/>
      <c r="F1" s="442"/>
      <c r="G1" s="442"/>
      <c r="H1" s="442"/>
      <c r="I1" s="442"/>
      <c r="J1" s="442"/>
      <c r="K1" s="442"/>
      <c r="L1" s="442"/>
      <c r="M1" s="442"/>
      <c r="N1" s="442"/>
      <c r="O1" s="442"/>
      <c r="P1" s="442"/>
      <c r="Q1" s="442"/>
      <c r="R1" s="442"/>
    </row>
    <row r="2" spans="1:18" ht="14.4">
      <c r="A2" s="442"/>
      <c r="B2" s="442"/>
      <c r="C2" s="442"/>
      <c r="D2" s="442"/>
      <c r="E2" s="442"/>
      <c r="F2" s="442"/>
      <c r="G2" s="442"/>
      <c r="H2" s="442"/>
      <c r="I2" s="442"/>
      <c r="J2" s="442"/>
      <c r="K2" s="442"/>
      <c r="L2" s="442"/>
      <c r="M2" s="442"/>
      <c r="N2" s="442"/>
      <c r="O2" s="442"/>
      <c r="P2" s="442"/>
      <c r="Q2" s="442"/>
      <c r="R2" s="442"/>
    </row>
    <row r="3" spans="1:18" ht="14.4">
      <c r="A3" s="442" t="s">
        <v>734</v>
      </c>
      <c r="B3" s="442" t="s">
        <v>831</v>
      </c>
      <c r="C3" s="442" t="s">
        <v>832</v>
      </c>
      <c r="D3" s="442" t="s">
        <v>835</v>
      </c>
      <c r="N3" s="442"/>
      <c r="O3" s="442"/>
      <c r="P3" s="442"/>
      <c r="Q3" s="442"/>
      <c r="R3" s="442"/>
    </row>
    <row r="4" spans="1:18" ht="14.4">
      <c r="A4" s="536" t="s">
        <v>680</v>
      </c>
      <c r="B4" s="537">
        <v>7069425</v>
      </c>
      <c r="C4" s="537">
        <v>11782375</v>
      </c>
      <c r="D4" s="537">
        <v>7069425</v>
      </c>
      <c r="N4" s="442"/>
      <c r="O4" s="442"/>
      <c r="P4" s="442"/>
      <c r="Q4" s="442"/>
      <c r="R4" s="442"/>
    </row>
    <row r="5" spans="1:18" ht="14.4">
      <c r="A5" s="617" t="s">
        <v>639</v>
      </c>
      <c r="B5" s="537">
        <v>7069425</v>
      </c>
      <c r="C5" s="537">
        <v>11782375</v>
      </c>
      <c r="D5" s="537">
        <v>7069425</v>
      </c>
      <c r="N5" s="442"/>
      <c r="O5" s="442"/>
      <c r="P5" s="442"/>
      <c r="Q5" s="442"/>
      <c r="R5" s="442"/>
    </row>
    <row r="6" spans="1:18" ht="14.4">
      <c r="A6" s="627">
        <v>0</v>
      </c>
      <c r="B6" s="537"/>
      <c r="C6" s="537"/>
      <c r="D6" s="537"/>
      <c r="E6" s="442"/>
      <c r="F6" s="442"/>
      <c r="G6" s="442"/>
      <c r="H6" s="442"/>
      <c r="I6" s="442"/>
      <c r="J6" s="442"/>
      <c r="K6" s="442"/>
      <c r="L6" s="442"/>
      <c r="M6" s="442"/>
      <c r="N6" s="442"/>
      <c r="O6" s="442"/>
      <c r="P6" s="442"/>
      <c r="Q6" s="442"/>
      <c r="R6" s="442"/>
    </row>
    <row r="7" spans="1:18" ht="14.4">
      <c r="A7" s="628">
        <v>0</v>
      </c>
      <c r="B7" s="537">
        <v>7069425</v>
      </c>
      <c r="C7" s="537">
        <v>11782375</v>
      </c>
      <c r="D7" s="537">
        <v>7069425</v>
      </c>
      <c r="E7" s="442"/>
      <c r="F7" s="442"/>
      <c r="G7" s="442"/>
      <c r="H7" s="442"/>
      <c r="I7" s="442"/>
      <c r="J7" s="442"/>
      <c r="K7" s="442"/>
      <c r="L7" s="442"/>
      <c r="M7" s="442"/>
      <c r="N7" s="442"/>
      <c r="O7" s="442"/>
      <c r="P7" s="442"/>
      <c r="Q7" s="442"/>
      <c r="R7" s="442"/>
    </row>
    <row r="8" spans="1:18" ht="14.4">
      <c r="A8" s="536" t="s">
        <v>721</v>
      </c>
      <c r="B8" s="537">
        <v>7069425</v>
      </c>
      <c r="C8" s="537">
        <v>11782375</v>
      </c>
      <c r="D8" s="537">
        <v>7069425</v>
      </c>
      <c r="E8" s="442"/>
      <c r="F8" s="442"/>
      <c r="G8" s="442"/>
      <c r="H8" s="442"/>
      <c r="I8" s="442"/>
      <c r="J8" s="442"/>
      <c r="K8" s="442"/>
      <c r="L8" s="442"/>
      <c r="M8" s="442"/>
      <c r="N8" s="442"/>
      <c r="O8" s="442"/>
      <c r="P8" s="442"/>
      <c r="Q8" s="442"/>
      <c r="R8" s="442"/>
    </row>
    <row r="9" spans="1:18" ht="14.4">
      <c r="A9" s="442"/>
      <c r="B9" s="442"/>
      <c r="C9" s="442"/>
      <c r="D9" s="442"/>
      <c r="E9" s="442"/>
      <c r="F9" s="442"/>
      <c r="G9" s="442"/>
      <c r="H9" s="442"/>
      <c r="I9" s="442"/>
      <c r="J9" s="442"/>
      <c r="K9" s="442"/>
      <c r="L9" s="442"/>
      <c r="M9" s="442"/>
      <c r="N9" s="442"/>
      <c r="O9" s="442"/>
      <c r="P9" s="442"/>
      <c r="Q9" s="442"/>
      <c r="R9" s="442"/>
    </row>
    <row r="10" spans="1:18" ht="14.4">
      <c r="A10" s="442"/>
      <c r="B10" s="442"/>
      <c r="C10" s="442"/>
      <c r="D10" s="442"/>
      <c r="E10" s="442"/>
      <c r="F10" s="442"/>
      <c r="G10" s="442"/>
      <c r="H10" s="442"/>
      <c r="I10" s="442"/>
      <c r="J10" s="442"/>
      <c r="K10" s="442"/>
      <c r="L10" s="442"/>
      <c r="M10" s="442"/>
      <c r="N10" s="442"/>
      <c r="O10" s="442"/>
      <c r="P10" s="442"/>
      <c r="Q10" s="442"/>
      <c r="R10" s="442"/>
    </row>
    <row r="11" spans="1:18" ht="14.4">
      <c r="A11" s="442"/>
      <c r="B11" s="442"/>
      <c r="C11" s="442"/>
      <c r="D11" s="442"/>
      <c r="E11" s="442"/>
      <c r="F11" s="442"/>
      <c r="G11" s="442"/>
      <c r="H11" s="442"/>
      <c r="I11" s="442"/>
      <c r="J11" s="442"/>
      <c r="K11" s="442"/>
      <c r="L11" s="442"/>
      <c r="M11" s="442"/>
      <c r="N11" s="442"/>
      <c r="O11" s="442"/>
      <c r="P11" s="442"/>
      <c r="Q11" s="442"/>
      <c r="R11" s="442"/>
    </row>
    <row r="12" spans="1:18" ht="14.4">
      <c r="A12" s="442"/>
      <c r="B12" s="442"/>
      <c r="C12" s="442"/>
      <c r="D12" s="442"/>
      <c r="E12" s="442"/>
      <c r="F12" s="442"/>
      <c r="G12" s="442"/>
      <c r="H12" s="442"/>
      <c r="I12" s="442"/>
      <c r="J12" s="442"/>
      <c r="K12" s="442"/>
      <c r="L12" s="442"/>
      <c r="M12" s="442"/>
      <c r="N12" s="442"/>
      <c r="O12" s="442"/>
      <c r="P12" s="442"/>
      <c r="Q12" s="442"/>
      <c r="R12" s="442"/>
    </row>
    <row r="13" spans="1:18" ht="14.4">
      <c r="A13" s="442"/>
      <c r="B13" s="442"/>
      <c r="C13" s="442"/>
      <c r="D13" s="442"/>
      <c r="E13" s="442"/>
      <c r="F13" s="442"/>
      <c r="G13" s="442"/>
      <c r="H13" s="442"/>
      <c r="I13" s="442"/>
      <c r="J13" s="442"/>
      <c r="K13" s="442"/>
      <c r="L13" s="442"/>
      <c r="M13" s="442"/>
      <c r="N13" s="442"/>
      <c r="O13" s="442"/>
      <c r="P13" s="442"/>
      <c r="Q13" s="442"/>
      <c r="R13" s="442"/>
    </row>
    <row r="14" spans="1:18" ht="14.4">
      <c r="A14" s="442"/>
      <c r="B14" s="442"/>
      <c r="C14" s="442"/>
      <c r="D14" s="442"/>
      <c r="E14" s="442"/>
      <c r="F14" s="442"/>
      <c r="G14" s="442"/>
      <c r="H14" s="442"/>
      <c r="I14" s="442"/>
      <c r="J14" s="442"/>
      <c r="K14" s="442"/>
      <c r="L14" s="442"/>
      <c r="M14" s="442"/>
      <c r="N14" s="442"/>
      <c r="O14" s="442"/>
      <c r="P14" s="442"/>
      <c r="Q14" s="442"/>
      <c r="R14" s="442"/>
    </row>
    <row r="15" spans="1:18" ht="14.4">
      <c r="A15" s="442"/>
      <c r="B15" s="442"/>
      <c r="C15" s="442"/>
      <c r="D15" s="442"/>
      <c r="E15" s="442"/>
      <c r="F15" s="995">
        <v>43131</v>
      </c>
      <c r="G15" s="995">
        <v>43159</v>
      </c>
      <c r="H15" s="995"/>
      <c r="I15" s="995"/>
      <c r="J15" s="995"/>
      <c r="K15" s="995"/>
      <c r="L15" s="995"/>
      <c r="M15" s="995"/>
      <c r="N15" s="995"/>
      <c r="O15" s="995"/>
      <c r="P15" s="995"/>
      <c r="Q15" s="995"/>
      <c r="R15" s="442"/>
    </row>
    <row r="16" spans="1:18" ht="14.4">
      <c r="A16" s="442"/>
      <c r="B16" s="442"/>
      <c r="C16" s="442"/>
      <c r="D16" s="442"/>
      <c r="E16" s="442"/>
      <c r="F16" s="442"/>
      <c r="G16" s="442"/>
      <c r="H16" s="442"/>
      <c r="I16" s="442"/>
      <c r="J16" s="442"/>
      <c r="K16" s="442"/>
      <c r="L16" s="442"/>
      <c r="M16" s="442"/>
      <c r="N16" s="442"/>
      <c r="O16" s="442"/>
      <c r="P16" s="442"/>
      <c r="Q16" s="442"/>
      <c r="R16" s="442"/>
    </row>
    <row r="17" spans="1:18" ht="14.4">
      <c r="A17" s="442"/>
      <c r="B17" s="442"/>
      <c r="C17" s="442"/>
      <c r="D17" s="442"/>
      <c r="E17" s="442"/>
      <c r="F17" s="442"/>
      <c r="G17" s="442"/>
      <c r="H17" s="442"/>
      <c r="I17" s="442"/>
      <c r="J17" s="442"/>
      <c r="K17" s="442"/>
      <c r="L17" s="442"/>
      <c r="M17" s="442"/>
      <c r="N17" s="442"/>
      <c r="O17" s="442"/>
      <c r="P17" s="442"/>
      <c r="Q17" s="442"/>
      <c r="R17" s="442"/>
    </row>
    <row r="18" spans="1:18" ht="14.4">
      <c r="A18" s="442"/>
      <c r="B18" s="442"/>
      <c r="C18" s="442"/>
      <c r="D18" s="442"/>
      <c r="E18" s="442"/>
      <c r="F18" s="442"/>
      <c r="G18" s="442"/>
      <c r="H18" s="442"/>
      <c r="I18" s="442"/>
      <c r="J18" s="442"/>
      <c r="K18" s="442"/>
      <c r="L18" s="442"/>
      <c r="M18" s="442"/>
      <c r="N18" s="442"/>
      <c r="O18" s="442"/>
      <c r="P18" s="442"/>
      <c r="Q18" s="442"/>
      <c r="R18" s="442"/>
    </row>
    <row r="19" spans="1:18" ht="14.4">
      <c r="A19" s="442"/>
      <c r="B19" s="442"/>
      <c r="C19" s="442"/>
      <c r="D19" s="442"/>
      <c r="E19" s="442"/>
      <c r="F19" s="442"/>
      <c r="G19" s="442"/>
      <c r="H19" s="442"/>
      <c r="I19" s="442"/>
      <c r="J19" s="442"/>
      <c r="K19" s="442"/>
      <c r="L19" s="442"/>
      <c r="M19" s="442"/>
      <c r="N19" s="442"/>
      <c r="O19" s="442"/>
      <c r="P19" s="442"/>
      <c r="Q19" s="442"/>
      <c r="R19" s="442"/>
    </row>
    <row r="20" spans="1:18" ht="14.4">
      <c r="A20" s="442"/>
      <c r="B20" s="442"/>
      <c r="C20" s="442"/>
      <c r="D20" s="442"/>
      <c r="E20" s="442"/>
      <c r="F20" s="442"/>
      <c r="G20" s="442"/>
      <c r="H20" s="442"/>
      <c r="I20" s="442"/>
      <c r="J20" s="442"/>
      <c r="K20" s="442"/>
      <c r="L20" s="442"/>
      <c r="M20" s="442"/>
      <c r="N20" s="442"/>
      <c r="O20" s="442"/>
      <c r="P20" s="442"/>
      <c r="Q20" s="442"/>
      <c r="R20" s="442"/>
    </row>
    <row r="21" spans="1:18" ht="14.4">
      <c r="A21" s="442"/>
      <c r="B21" s="442"/>
      <c r="C21" s="442"/>
      <c r="D21" s="442"/>
      <c r="E21" s="442"/>
      <c r="F21" s="442"/>
      <c r="G21" s="442"/>
      <c r="H21" s="442"/>
      <c r="I21" s="442"/>
      <c r="J21" s="442"/>
      <c r="K21" s="442"/>
      <c r="L21" s="442"/>
      <c r="M21" s="442"/>
      <c r="N21" s="442"/>
      <c r="O21" s="442"/>
      <c r="P21" s="442"/>
      <c r="Q21" s="442"/>
      <c r="R21" s="442"/>
    </row>
    <row r="22" spans="1:18" ht="14.4">
      <c r="A22" s="442"/>
      <c r="B22" s="442"/>
      <c r="C22" s="442"/>
      <c r="D22" s="442"/>
      <c r="E22" s="442"/>
      <c r="F22" s="442"/>
      <c r="G22" s="442"/>
      <c r="H22" s="442"/>
      <c r="I22" s="442"/>
      <c r="J22" s="442"/>
      <c r="K22" s="442"/>
      <c r="L22" s="442"/>
      <c r="M22" s="442"/>
      <c r="N22" s="442"/>
      <c r="O22" s="442"/>
      <c r="P22" s="442"/>
      <c r="Q22" s="442"/>
      <c r="R22" s="442"/>
    </row>
    <row r="23" spans="1:18" ht="14.4">
      <c r="A23" s="442"/>
      <c r="B23" s="442"/>
      <c r="C23" s="442"/>
      <c r="D23" s="442"/>
      <c r="E23" s="442"/>
      <c r="F23" s="442"/>
      <c r="G23" s="442"/>
      <c r="H23" s="442"/>
      <c r="I23" s="442"/>
      <c r="J23" s="442"/>
      <c r="K23" s="442"/>
      <c r="L23" s="442"/>
      <c r="M23" s="442"/>
      <c r="N23" s="442"/>
      <c r="O23" s="442"/>
      <c r="P23" s="442"/>
      <c r="Q23" s="442"/>
      <c r="R23" s="442"/>
    </row>
    <row r="24" spans="1:18" ht="14.4">
      <c r="A24" s="442"/>
      <c r="B24" s="442"/>
      <c r="C24" s="442"/>
      <c r="D24" s="442"/>
      <c r="E24" s="442"/>
      <c r="F24" s="442"/>
      <c r="G24" s="442"/>
      <c r="H24" s="442"/>
      <c r="I24" s="442"/>
      <c r="J24" s="442"/>
      <c r="K24" s="442"/>
      <c r="L24" s="442"/>
      <c r="M24" s="442"/>
      <c r="N24" s="442"/>
      <c r="O24" s="442"/>
      <c r="P24" s="442"/>
      <c r="Q24" s="442"/>
      <c r="R24" s="442"/>
    </row>
    <row r="25" spans="1:18" ht="14.4">
      <c r="A25" s="442"/>
      <c r="B25" s="442"/>
      <c r="C25" s="442"/>
      <c r="D25" s="442"/>
      <c r="E25" s="442"/>
      <c r="F25" s="442"/>
      <c r="G25" s="442"/>
      <c r="H25" s="442"/>
      <c r="I25" s="442"/>
      <c r="J25" s="442"/>
      <c r="K25" s="442"/>
      <c r="L25" s="442"/>
      <c r="M25" s="442"/>
      <c r="N25" s="442"/>
      <c r="O25" s="442"/>
      <c r="P25" s="442"/>
      <c r="Q25" s="442"/>
      <c r="R25" s="442"/>
    </row>
    <row r="26" spans="1:18" ht="14.4">
      <c r="A26" s="442"/>
      <c r="B26" s="442"/>
      <c r="C26" s="442"/>
      <c r="D26" s="442"/>
      <c r="E26" s="442"/>
      <c r="F26" s="442"/>
      <c r="G26" s="442"/>
      <c r="H26" s="442"/>
      <c r="I26" s="442"/>
      <c r="J26" s="442"/>
      <c r="K26" s="442"/>
      <c r="L26" s="442"/>
      <c r="M26" s="442"/>
      <c r="N26" s="442"/>
      <c r="O26" s="442"/>
      <c r="P26" s="442"/>
      <c r="Q26" s="442"/>
      <c r="R26" s="442"/>
    </row>
    <row r="27" spans="1:18" ht="14.4"/>
    <row r="28" spans="1:18" ht="14.4"/>
    <row r="29" spans="1:18" ht="14.4"/>
    <row r="30" spans="1:18" ht="14.4">
      <c r="F30" s="25"/>
      <c r="H30" s="25"/>
      <c r="I30" s="25"/>
      <c r="J30" s="25"/>
      <c r="K30" s="25"/>
      <c r="L30" s="25"/>
      <c r="M30" s="25"/>
      <c r="N30" s="25"/>
      <c r="O30" s="25"/>
      <c r="P30" s="25"/>
      <c r="Q30" s="25"/>
    </row>
    <row r="31" spans="1:18" ht="14.4"/>
    <row r="32" spans="1:18" ht="14.4"/>
  </sheetData>
  <hyperlinks>
    <hyperlink ref="A1" location="'Resultados Mes &amp; Acum'!A1" display="'Resultados Mes &amp; Acum'!A1" xr:uid="{00000000-0004-0000-2000-000000000000}"/>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10">
    <tabColor rgb="FFEEB84C"/>
  </sheetPr>
  <dimension ref="A1:Q30"/>
  <sheetViews>
    <sheetView workbookViewId="0">
      <selection activeCell="C8" sqref="C8:D8"/>
    </sheetView>
  </sheetViews>
  <sheetFormatPr baseColWidth="10" defaultRowHeight="14.4"/>
  <cols>
    <col min="1" max="1" width="17.5546875" bestFit="1" customWidth="1"/>
    <col min="2" max="2" width="7.21875" customWidth="1"/>
    <col min="3" max="3" width="8" customWidth="1"/>
    <col min="4" max="9" width="7.21875" customWidth="1"/>
    <col min="10" max="10" width="11.44140625" customWidth="1"/>
    <col min="11" max="11" width="8.21875" customWidth="1"/>
    <col min="12" max="12" width="11" customWidth="1"/>
    <col min="13" max="13" width="10.21875" customWidth="1"/>
  </cols>
  <sheetData>
    <row r="1" spans="1:17">
      <c r="A1" s="597" t="s">
        <v>804</v>
      </c>
    </row>
    <row r="2" spans="1:17">
      <c r="A2" s="596" t="s">
        <v>734</v>
      </c>
      <c r="B2" t="s">
        <v>622</v>
      </c>
      <c r="C2" t="s">
        <v>623</v>
      </c>
      <c r="D2" t="s">
        <v>624</v>
      </c>
      <c r="E2" t="s">
        <v>625</v>
      </c>
      <c r="F2" t="s">
        <v>626</v>
      </c>
      <c r="G2" t="s">
        <v>627</v>
      </c>
      <c r="H2" t="s">
        <v>628</v>
      </c>
      <c r="I2" t="s">
        <v>629</v>
      </c>
      <c r="J2" t="s">
        <v>630</v>
      </c>
      <c r="K2" t="s">
        <v>631</v>
      </c>
      <c r="L2" t="s">
        <v>632</v>
      </c>
      <c r="M2" t="s">
        <v>633</v>
      </c>
    </row>
    <row r="3" spans="1:17">
      <c r="A3" s="538" t="s">
        <v>634</v>
      </c>
      <c r="B3" s="603">
        <v>-92.23</v>
      </c>
      <c r="C3" s="603">
        <v>-86.28</v>
      </c>
      <c r="D3" s="603">
        <v>-92.23</v>
      </c>
      <c r="E3" s="603">
        <v>-89.254999999999995</v>
      </c>
      <c r="F3" s="603">
        <v>-92.23</v>
      </c>
      <c r="G3" s="603">
        <v>-89.254999999999995</v>
      </c>
      <c r="H3" s="603">
        <v>-92.23</v>
      </c>
      <c r="I3" s="603">
        <v>-92.23</v>
      </c>
      <c r="J3" s="603">
        <v>-89.254999999999995</v>
      </c>
      <c r="K3" s="603">
        <v>-92.23</v>
      </c>
      <c r="L3" s="603">
        <v>-89.254999999999995</v>
      </c>
      <c r="M3" s="184">
        <v>0</v>
      </c>
    </row>
    <row r="4" spans="1:17">
      <c r="A4" s="538" t="s">
        <v>721</v>
      </c>
      <c r="B4" s="602">
        <v>-92.23</v>
      </c>
      <c r="C4" s="602">
        <v>-86.28</v>
      </c>
      <c r="D4" s="602">
        <v>-92.23</v>
      </c>
      <c r="E4" s="602">
        <v>-89.254999999999995</v>
      </c>
      <c r="F4" s="602">
        <v>-92.23</v>
      </c>
      <c r="G4" s="602">
        <v>-89.254999999999995</v>
      </c>
      <c r="H4" s="602">
        <v>-92.23</v>
      </c>
      <c r="I4" s="602">
        <v>-92.23</v>
      </c>
      <c r="J4" s="602">
        <v>-89.254999999999995</v>
      </c>
      <c r="K4" s="602">
        <v>-92.23</v>
      </c>
      <c r="L4" s="602">
        <v>-89.254999999999995</v>
      </c>
      <c r="M4" s="602">
        <v>0</v>
      </c>
    </row>
    <row r="15" spans="1:17">
      <c r="F15" s="25"/>
      <c r="G15" s="25"/>
      <c r="H15" s="25"/>
      <c r="I15" s="25"/>
      <c r="J15" s="25"/>
      <c r="K15" s="25"/>
      <c r="L15" s="25"/>
      <c r="M15" s="25"/>
      <c r="N15" s="25"/>
      <c r="O15" s="25"/>
      <c r="P15" s="25"/>
      <c r="Q15" s="25"/>
    </row>
    <row r="30" spans="6:17">
      <c r="F30" s="25"/>
      <c r="G30" s="25"/>
      <c r="H30" s="25"/>
      <c r="I30" s="25"/>
      <c r="J30" s="25"/>
      <c r="K30" s="25"/>
      <c r="L30" s="25"/>
      <c r="M30" s="25"/>
      <c r="N30" s="25"/>
      <c r="O30" s="25"/>
      <c r="P30" s="25"/>
      <c r="Q30" s="25"/>
    </row>
  </sheetData>
  <hyperlinks>
    <hyperlink ref="A1" location="'Resultados Mes &amp; Acum'!A1" display="'Resultados Mes &amp; Acum'!A1" xr:uid="{00000000-0004-0000-2100-000000000000}"/>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12">
    <tabColor theme="3" tint="0.39997558519241921"/>
  </sheetPr>
  <dimension ref="A1:P10"/>
  <sheetViews>
    <sheetView showGridLines="0" showRowColHeaders="0" topLeftCell="A4" zoomScale="70" zoomScaleNormal="70" workbookViewId="0">
      <selection activeCell="B8" sqref="B8:N8"/>
    </sheetView>
  </sheetViews>
  <sheetFormatPr baseColWidth="10" defaultColWidth="10.77734375" defaultRowHeight="14.4"/>
  <cols>
    <col min="1" max="1" width="30.5546875" style="540" customWidth="1"/>
    <col min="2" max="16384" width="10.77734375" style="540"/>
  </cols>
  <sheetData>
    <row r="1" spans="1:16">
      <c r="A1" s="539"/>
    </row>
    <row r="2" spans="1:16" ht="30">
      <c r="B2" s="2510" t="s">
        <v>735</v>
      </c>
      <c r="C2" s="2510"/>
      <c r="D2" s="2510"/>
      <c r="E2" s="2510"/>
      <c r="F2" s="2510"/>
      <c r="G2" s="2510"/>
      <c r="H2" s="2510"/>
      <c r="I2" s="2510"/>
      <c r="J2" s="2510"/>
      <c r="K2" s="2510"/>
      <c r="L2" s="2510"/>
      <c r="M2" s="2510"/>
      <c r="N2" s="2510"/>
    </row>
    <row r="4" spans="1:16" ht="30">
      <c r="B4" s="2511" t="s">
        <v>736</v>
      </c>
      <c r="C4" s="2511"/>
      <c r="D4" s="2511"/>
      <c r="E4" s="2511"/>
      <c r="F4" s="2511"/>
      <c r="G4" s="2511"/>
      <c r="H4" s="2511"/>
      <c r="I4" s="2511"/>
      <c r="J4" s="2511"/>
      <c r="K4" s="2511"/>
      <c r="L4" s="2511"/>
      <c r="M4" s="2511"/>
      <c r="N4" s="2511"/>
      <c r="O4" s="541"/>
      <c r="P4" s="541"/>
    </row>
    <row r="5" spans="1:16" ht="15" thickBot="1"/>
    <row r="6" spans="1:16" ht="17.25" customHeight="1">
      <c r="B6" s="2512" t="s">
        <v>737</v>
      </c>
      <c r="C6" s="2513"/>
      <c r="D6" s="2513"/>
      <c r="E6" s="2513"/>
      <c r="F6" s="2513"/>
      <c r="G6" s="2513"/>
      <c r="H6" s="2513"/>
      <c r="I6" s="2513"/>
      <c r="J6" s="2513"/>
      <c r="K6" s="2513"/>
      <c r="L6" s="2513"/>
      <c r="M6" s="2513"/>
      <c r="N6" s="2514"/>
    </row>
    <row r="7" spans="1:16" ht="90.75" customHeight="1">
      <c r="B7" s="2515" t="s">
        <v>738</v>
      </c>
      <c r="C7" s="2516"/>
      <c r="D7" s="2516"/>
      <c r="E7" s="2516"/>
      <c r="F7" s="2516"/>
      <c r="G7" s="2516"/>
      <c r="H7" s="2516"/>
      <c r="I7" s="2516"/>
      <c r="J7" s="2516"/>
      <c r="K7" s="2516"/>
      <c r="L7" s="2516"/>
      <c r="M7" s="2516"/>
      <c r="N7" s="2517"/>
    </row>
    <row r="8" spans="1:16" ht="234.75" customHeight="1">
      <c r="B8" s="2515" t="s">
        <v>739</v>
      </c>
      <c r="C8" s="2516"/>
      <c r="D8" s="2516"/>
      <c r="E8" s="2516"/>
      <c r="F8" s="2516"/>
      <c r="G8" s="2516"/>
      <c r="H8" s="2516"/>
      <c r="I8" s="2516"/>
      <c r="J8" s="2516"/>
      <c r="K8" s="2516"/>
      <c r="L8" s="2516"/>
      <c r="M8" s="2516"/>
      <c r="N8" s="2517"/>
    </row>
    <row r="9" spans="1:16" ht="175.5" customHeight="1" thickBot="1">
      <c r="B9" s="2507" t="s">
        <v>740</v>
      </c>
      <c r="C9" s="2508"/>
      <c r="D9" s="2508"/>
      <c r="E9" s="2508"/>
      <c r="F9" s="2508"/>
      <c r="G9" s="2508"/>
      <c r="H9" s="2508"/>
      <c r="I9" s="2508"/>
      <c r="J9" s="2508"/>
      <c r="K9" s="2508"/>
      <c r="L9" s="2508"/>
      <c r="M9" s="2508"/>
      <c r="N9" s="2509"/>
    </row>
    <row r="10" spans="1:16" ht="21">
      <c r="B10" s="542"/>
      <c r="C10" s="542"/>
      <c r="D10" s="542"/>
      <c r="E10" s="542"/>
      <c r="F10" s="542"/>
      <c r="G10" s="542"/>
      <c r="H10" s="542"/>
      <c r="I10" s="542"/>
      <c r="J10" s="542"/>
      <c r="K10" s="542"/>
      <c r="L10" s="542"/>
      <c r="M10" s="542"/>
      <c r="N10" s="542"/>
    </row>
  </sheetData>
  <mergeCells count="6">
    <mergeCell ref="B9:N9"/>
    <mergeCell ref="B2:N2"/>
    <mergeCell ref="B4:N4"/>
    <mergeCell ref="B6:N6"/>
    <mergeCell ref="B7:N7"/>
    <mergeCell ref="B8:N8"/>
  </mergeCells>
  <pageMargins left="0.7" right="0.7" top="0.75" bottom="0.75" header="0.3" footer="0.3"/>
  <pageSetup paperSize="9"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13">
    <tabColor rgb="FF00B050"/>
  </sheetPr>
  <dimension ref="A1:C36"/>
  <sheetViews>
    <sheetView view="pageBreakPreview" zoomScaleNormal="100" zoomScaleSheetLayoutView="100" workbookViewId="0">
      <selection activeCell="D31" sqref="D31"/>
    </sheetView>
  </sheetViews>
  <sheetFormatPr baseColWidth="10" defaultRowHeight="14.4"/>
  <cols>
    <col min="2" max="2" width="42.5546875" bestFit="1" customWidth="1"/>
    <col min="3" max="3" width="57.77734375" customWidth="1"/>
  </cols>
  <sheetData>
    <row r="1" spans="1:3">
      <c r="A1" s="2518" t="s">
        <v>741</v>
      </c>
      <c r="B1" s="2518"/>
      <c r="C1" s="2518"/>
    </row>
    <row r="2" spans="1:3">
      <c r="A2" s="2518"/>
      <c r="B2" s="2518"/>
      <c r="C2" s="2518"/>
    </row>
    <row r="3" spans="1:3">
      <c r="A3" s="2519"/>
      <c r="B3" s="2519"/>
      <c r="C3" s="2519"/>
    </row>
    <row r="4" spans="1:3" s="442" customFormat="1" ht="10.5" customHeight="1">
      <c r="A4" s="543"/>
      <c r="B4" s="543"/>
      <c r="C4" s="543"/>
    </row>
    <row r="5" spans="1:3">
      <c r="A5" s="544" t="s">
        <v>742</v>
      </c>
      <c r="B5" s="544" t="s">
        <v>743</v>
      </c>
      <c r="C5" s="544" t="s">
        <v>302</v>
      </c>
    </row>
    <row r="6" spans="1:3" ht="96.75" customHeight="1">
      <c r="A6" s="545">
        <v>1</v>
      </c>
      <c r="B6" s="546" t="s">
        <v>638</v>
      </c>
      <c r="C6" s="547" t="s">
        <v>744</v>
      </c>
    </row>
    <row r="7" spans="1:3" ht="31.5" customHeight="1">
      <c r="A7" s="548">
        <v>2</v>
      </c>
      <c r="B7" s="549" t="s">
        <v>745</v>
      </c>
      <c r="C7" s="498" t="s">
        <v>746</v>
      </c>
    </row>
    <row r="8" spans="1:3" ht="35.25" customHeight="1">
      <c r="A8" s="545">
        <v>3</v>
      </c>
      <c r="B8" s="546" t="s">
        <v>747</v>
      </c>
      <c r="C8" s="550" t="s">
        <v>746</v>
      </c>
    </row>
    <row r="9" spans="1:3" ht="51" customHeight="1">
      <c r="A9" s="548">
        <v>4</v>
      </c>
      <c r="B9" s="549" t="s">
        <v>748</v>
      </c>
      <c r="C9" s="475" t="s">
        <v>749</v>
      </c>
    </row>
    <row r="10" spans="1:3" ht="30.75" customHeight="1">
      <c r="A10" s="545">
        <v>5</v>
      </c>
      <c r="B10" s="546" t="s">
        <v>750</v>
      </c>
      <c r="C10" s="550" t="s">
        <v>746</v>
      </c>
    </row>
    <row r="11" spans="1:3" ht="45" customHeight="1">
      <c r="A11" s="548">
        <v>6</v>
      </c>
      <c r="B11" s="549" t="s">
        <v>751</v>
      </c>
      <c r="C11" s="475" t="s">
        <v>752</v>
      </c>
    </row>
    <row r="12" spans="1:3" ht="24.75" customHeight="1">
      <c r="A12" s="545">
        <v>7</v>
      </c>
      <c r="B12" s="546" t="s">
        <v>753</v>
      </c>
      <c r="C12" s="550"/>
    </row>
    <row r="13" spans="1:3" ht="22.5" customHeight="1">
      <c r="A13" s="548">
        <v>8</v>
      </c>
      <c r="B13" s="549"/>
      <c r="C13" s="498"/>
    </row>
    <row r="14" spans="1:3" ht="7.5" customHeight="1">
      <c r="A14" s="551"/>
      <c r="B14" s="551"/>
      <c r="C14" s="551"/>
    </row>
    <row r="15" spans="1:3">
      <c r="A15" s="544" t="s">
        <v>742</v>
      </c>
      <c r="B15" s="544" t="s">
        <v>754</v>
      </c>
      <c r="C15" s="544" t="s">
        <v>302</v>
      </c>
    </row>
    <row r="16" spans="1:3" ht="29.25" customHeight="1">
      <c r="A16" s="545">
        <v>1</v>
      </c>
      <c r="B16" s="546" t="s">
        <v>755</v>
      </c>
      <c r="C16" s="550" t="s">
        <v>756</v>
      </c>
    </row>
    <row r="17" spans="1:3" ht="24" customHeight="1">
      <c r="A17" s="548">
        <v>2</v>
      </c>
      <c r="B17" s="549" t="s">
        <v>757</v>
      </c>
      <c r="C17" s="498" t="s">
        <v>758</v>
      </c>
    </row>
    <row r="18" spans="1:3" ht="30.75" customHeight="1">
      <c r="A18" s="545">
        <v>3</v>
      </c>
      <c r="B18" s="546" t="s">
        <v>759</v>
      </c>
      <c r="C18" s="547" t="s">
        <v>760</v>
      </c>
    </row>
    <row r="19" spans="1:3" ht="42.75" customHeight="1">
      <c r="A19" s="548">
        <v>4</v>
      </c>
      <c r="B19" s="549" t="s">
        <v>761</v>
      </c>
      <c r="C19" s="475" t="s">
        <v>762</v>
      </c>
    </row>
    <row r="20" spans="1:3" ht="31.5" customHeight="1">
      <c r="A20" s="545">
        <v>5</v>
      </c>
      <c r="B20" s="546" t="s">
        <v>763</v>
      </c>
      <c r="C20" s="547" t="s">
        <v>764</v>
      </c>
    </row>
    <row r="21" spans="1:3" ht="27.75" customHeight="1">
      <c r="A21" s="548">
        <v>6</v>
      </c>
      <c r="B21" s="549" t="s">
        <v>765</v>
      </c>
      <c r="C21" s="475" t="s">
        <v>766</v>
      </c>
    </row>
    <row r="22" spans="1:3" ht="51" customHeight="1">
      <c r="A22" s="545">
        <v>7</v>
      </c>
      <c r="B22" s="546" t="s">
        <v>767</v>
      </c>
      <c r="C22" s="547" t="s">
        <v>768</v>
      </c>
    </row>
    <row r="23" spans="1:3" ht="28.5" customHeight="1">
      <c r="A23" s="548">
        <v>8</v>
      </c>
      <c r="B23" s="549" t="s">
        <v>688</v>
      </c>
      <c r="C23" s="552"/>
    </row>
    <row r="24" spans="1:3" ht="33.75" customHeight="1">
      <c r="A24" s="545">
        <v>9</v>
      </c>
      <c r="B24" s="546" t="s">
        <v>769</v>
      </c>
      <c r="C24" s="550"/>
    </row>
    <row r="25" spans="1:3" ht="24.75" customHeight="1">
      <c r="A25" s="548">
        <v>10</v>
      </c>
      <c r="B25" s="549" t="s">
        <v>770</v>
      </c>
      <c r="C25" s="552"/>
    </row>
    <row r="26" spans="1:3">
      <c r="A26" s="545">
        <v>11</v>
      </c>
      <c r="B26" s="546"/>
      <c r="C26" s="550"/>
    </row>
    <row r="27" spans="1:3">
      <c r="A27" s="548">
        <v>12</v>
      </c>
      <c r="B27" s="553"/>
      <c r="C27" s="552"/>
    </row>
    <row r="28" spans="1:3">
      <c r="A28" s="551"/>
      <c r="B28" s="551"/>
      <c r="C28" s="551"/>
    </row>
    <row r="29" spans="1:3">
      <c r="A29" s="544" t="s">
        <v>742</v>
      </c>
      <c r="B29" s="554" t="s">
        <v>771</v>
      </c>
      <c r="C29" s="555" t="s">
        <v>772</v>
      </c>
    </row>
    <row r="30" spans="1:3" ht="18.75" customHeight="1">
      <c r="A30" s="556">
        <v>1</v>
      </c>
      <c r="B30" s="557" t="s">
        <v>773</v>
      </c>
      <c r="C30" s="558"/>
    </row>
    <row r="31" spans="1:3" ht="18.75" customHeight="1">
      <c r="A31" s="518">
        <v>2</v>
      </c>
      <c r="B31" s="559" t="s">
        <v>774</v>
      </c>
      <c r="C31" s="521"/>
    </row>
    <row r="32" spans="1:3" ht="18.75" customHeight="1">
      <c r="A32" s="556">
        <v>3</v>
      </c>
      <c r="B32" s="557" t="s">
        <v>775</v>
      </c>
      <c r="C32" s="560"/>
    </row>
    <row r="33" spans="1:3" ht="18.75" customHeight="1">
      <c r="A33" s="518">
        <v>4</v>
      </c>
      <c r="B33" s="559" t="s">
        <v>776</v>
      </c>
      <c r="C33" s="526"/>
    </row>
    <row r="34" spans="1:3">
      <c r="A34" s="551"/>
      <c r="C34" s="551"/>
    </row>
    <row r="35" spans="1:3">
      <c r="A35" s="561"/>
      <c r="B35" s="554" t="s">
        <v>777</v>
      </c>
      <c r="C35" s="555" t="s">
        <v>778</v>
      </c>
    </row>
    <row r="36" spans="1:3">
      <c r="A36" s="556"/>
      <c r="B36" s="557"/>
      <c r="C36" s="558"/>
    </row>
  </sheetData>
  <mergeCells count="1">
    <mergeCell ref="A1:C3"/>
  </mergeCells>
  <pageMargins left="0.7" right="0.7" top="0.75" bottom="0.75" header="0.3" footer="0.3"/>
  <pageSetup paperSize="9" scale="77"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14">
    <tabColor rgb="FFFFFF99"/>
  </sheetPr>
  <dimension ref="B1:F47"/>
  <sheetViews>
    <sheetView showGridLines="0" topLeftCell="A19" zoomScale="91" zoomScaleNormal="91" workbookViewId="0">
      <selection activeCell="A22" sqref="A22"/>
    </sheetView>
  </sheetViews>
  <sheetFormatPr baseColWidth="10" defaultColWidth="10.77734375" defaultRowHeight="14.4"/>
  <cols>
    <col min="1" max="1" width="30.5546875" customWidth="1"/>
    <col min="2" max="2" width="10.77734375" customWidth="1"/>
    <col min="3" max="3" width="50.5546875" customWidth="1"/>
    <col min="4" max="5" width="13.5546875" customWidth="1"/>
  </cols>
  <sheetData>
    <row r="1" spans="2:6" ht="15" thickBot="1"/>
    <row r="2" spans="2:6" ht="25.5" customHeight="1">
      <c r="B2" s="2520" t="s">
        <v>779</v>
      </c>
      <c r="C2" s="2521"/>
      <c r="D2" s="2521"/>
      <c r="E2" s="2522"/>
    </row>
    <row r="3" spans="2:6" ht="15" thickBot="1">
      <c r="B3" s="562" t="s">
        <v>23</v>
      </c>
      <c r="C3" s="2523">
        <f>INICIO!D12</f>
        <v>45078</v>
      </c>
      <c r="D3" s="2524"/>
      <c r="E3" s="2525"/>
    </row>
    <row r="4" spans="2:6" ht="9" customHeight="1" thickBot="1"/>
    <row r="5" spans="2:6" ht="15" customHeight="1" thickBot="1">
      <c r="B5" s="2526" t="s">
        <v>780</v>
      </c>
      <c r="C5" s="2527"/>
      <c r="D5" s="2527"/>
      <c r="E5" s="2528"/>
    </row>
    <row r="6" spans="2:6" ht="7.5" customHeight="1">
      <c r="B6" s="563"/>
    </row>
    <row r="7" spans="2:6">
      <c r="B7" s="564" t="s">
        <v>619</v>
      </c>
      <c r="C7" s="564" t="s">
        <v>620</v>
      </c>
      <c r="D7" s="564" t="s">
        <v>805</v>
      </c>
      <c r="E7" s="564" t="s">
        <v>806</v>
      </c>
    </row>
    <row r="8" spans="2:6" ht="15" thickBot="1"/>
    <row r="9" spans="2:6">
      <c r="B9" s="565">
        <v>1</v>
      </c>
      <c r="C9" s="566" t="s">
        <v>781</v>
      </c>
      <c r="D9" s="567"/>
      <c r="E9" s="568"/>
      <c r="F9" s="569"/>
    </row>
    <row r="10" spans="2:6">
      <c r="B10" s="570">
        <f>B9+1</f>
        <v>2</v>
      </c>
      <c r="C10" s="571" t="s">
        <v>782</v>
      </c>
      <c r="D10" s="572">
        <v>0</v>
      </c>
      <c r="E10" s="572">
        <v>0</v>
      </c>
      <c r="F10" s="551"/>
    </row>
    <row r="11" spans="2:6">
      <c r="B11" s="570">
        <f t="shared" ref="B11:B20" si="0">B10+1</f>
        <v>3</v>
      </c>
      <c r="C11" s="571" t="s">
        <v>783</v>
      </c>
      <c r="D11" s="572">
        <v>42900000</v>
      </c>
      <c r="E11" s="572">
        <v>42900000</v>
      </c>
      <c r="F11" s="551"/>
    </row>
    <row r="12" spans="2:6">
      <c r="B12" s="570">
        <f t="shared" si="0"/>
        <v>4</v>
      </c>
      <c r="C12" s="571" t="s">
        <v>755</v>
      </c>
      <c r="D12" s="572">
        <v>0</v>
      </c>
      <c r="E12" s="572">
        <v>0</v>
      </c>
      <c r="F12" s="551"/>
    </row>
    <row r="13" spans="2:6">
      <c r="B13" s="570">
        <f t="shared" si="0"/>
        <v>5</v>
      </c>
      <c r="C13" s="571" t="s">
        <v>784</v>
      </c>
      <c r="D13" s="572">
        <v>0</v>
      </c>
      <c r="E13" s="572">
        <v>0</v>
      </c>
      <c r="F13" s="551"/>
    </row>
    <row r="14" spans="2:6">
      <c r="B14" s="570">
        <f t="shared" si="0"/>
        <v>6</v>
      </c>
      <c r="C14" s="571" t="s">
        <v>785</v>
      </c>
      <c r="D14" s="572">
        <v>0</v>
      </c>
      <c r="E14" s="572">
        <v>0</v>
      </c>
      <c r="F14" s="551"/>
    </row>
    <row r="15" spans="2:6">
      <c r="B15" s="570">
        <f t="shared" si="0"/>
        <v>7</v>
      </c>
      <c r="C15" s="571" t="s">
        <v>786</v>
      </c>
      <c r="D15" s="572">
        <v>0</v>
      </c>
      <c r="E15" s="572">
        <v>0</v>
      </c>
      <c r="F15" s="551"/>
    </row>
    <row r="16" spans="2:6">
      <c r="B16" s="570">
        <f t="shared" si="0"/>
        <v>8</v>
      </c>
      <c r="C16" s="571" t="s">
        <v>787</v>
      </c>
      <c r="D16" s="572">
        <v>0</v>
      </c>
      <c r="E16" s="572">
        <v>0</v>
      </c>
      <c r="F16" s="551"/>
    </row>
    <row r="17" spans="2:6">
      <c r="B17" s="570">
        <f t="shared" si="0"/>
        <v>9</v>
      </c>
      <c r="C17" s="571" t="s">
        <v>788</v>
      </c>
      <c r="D17" s="572">
        <v>0</v>
      </c>
      <c r="E17" s="572">
        <v>0</v>
      </c>
      <c r="F17" s="551"/>
    </row>
    <row r="18" spans="2:6">
      <c r="B18" s="570">
        <f t="shared" si="0"/>
        <v>10</v>
      </c>
      <c r="C18" s="571" t="s">
        <v>789</v>
      </c>
      <c r="D18" s="572">
        <v>336900000</v>
      </c>
      <c r="E18" s="572">
        <v>336900000</v>
      </c>
      <c r="F18" s="551"/>
    </row>
    <row r="19" spans="2:6">
      <c r="B19" s="570">
        <f t="shared" si="0"/>
        <v>11</v>
      </c>
      <c r="C19" s="571" t="s">
        <v>790</v>
      </c>
      <c r="D19" s="572">
        <v>390000000</v>
      </c>
      <c r="E19" s="572">
        <v>390000000</v>
      </c>
      <c r="F19" s="551">
        <f>D11/D19</f>
        <v>0.11</v>
      </c>
    </row>
    <row r="20" spans="2:6" ht="15" thickBot="1">
      <c r="B20" s="573">
        <f t="shared" si="0"/>
        <v>12</v>
      </c>
      <c r="C20" s="574" t="s">
        <v>791</v>
      </c>
      <c r="D20" s="575">
        <v>0</v>
      </c>
      <c r="E20" s="575">
        <v>0</v>
      </c>
      <c r="F20" s="551"/>
    </row>
    <row r="21" spans="2:6" ht="15" thickBot="1">
      <c r="B21" s="551"/>
      <c r="C21" s="551"/>
      <c r="D21" s="551"/>
      <c r="E21" s="551"/>
      <c r="F21" s="551"/>
    </row>
    <row r="22" spans="2:6">
      <c r="B22" s="565">
        <f>B20+1</f>
        <v>13</v>
      </c>
      <c r="C22" s="576" t="s">
        <v>792</v>
      </c>
      <c r="D22" s="577"/>
      <c r="E22" s="578"/>
      <c r="F22" s="569"/>
    </row>
    <row r="23" spans="2:6">
      <c r="B23" s="570">
        <f>B22+1</f>
        <v>14</v>
      </c>
      <c r="C23" s="571" t="s">
        <v>793</v>
      </c>
      <c r="D23" s="572">
        <v>405000000</v>
      </c>
      <c r="E23" s="572">
        <v>405000000</v>
      </c>
      <c r="F23" s="551"/>
    </row>
    <row r="24" spans="2:6">
      <c r="B24" s="570">
        <f t="shared" ref="B24:B31" si="1">B23+1</f>
        <v>15</v>
      </c>
      <c r="C24" s="571" t="s">
        <v>757</v>
      </c>
      <c r="D24" s="572">
        <v>1225000000</v>
      </c>
      <c r="E24" s="572">
        <v>1225000000</v>
      </c>
      <c r="F24" s="551"/>
    </row>
    <row r="25" spans="2:6">
      <c r="B25" s="570">
        <f t="shared" si="1"/>
        <v>16</v>
      </c>
      <c r="C25" s="571" t="s">
        <v>794</v>
      </c>
      <c r="D25" s="572">
        <v>0</v>
      </c>
      <c r="E25" s="572">
        <v>0</v>
      </c>
      <c r="F25" s="551"/>
    </row>
    <row r="26" spans="2:6">
      <c r="B26" s="570">
        <f t="shared" si="1"/>
        <v>17</v>
      </c>
      <c r="C26" s="571" t="s">
        <v>795</v>
      </c>
      <c r="D26" s="572">
        <v>1200000</v>
      </c>
      <c r="E26" s="572">
        <v>1200000</v>
      </c>
      <c r="F26" s="551"/>
    </row>
    <row r="27" spans="2:6">
      <c r="B27" s="570">
        <f t="shared" si="1"/>
        <v>18</v>
      </c>
      <c r="C27" s="571" t="s">
        <v>796</v>
      </c>
      <c r="D27" s="572">
        <v>16700000</v>
      </c>
      <c r="E27" s="572">
        <v>16700000</v>
      </c>
      <c r="F27" s="551"/>
    </row>
    <row r="28" spans="2:6">
      <c r="B28" s="570">
        <f t="shared" si="1"/>
        <v>19</v>
      </c>
      <c r="C28" s="571" t="s">
        <v>797</v>
      </c>
      <c r="D28" s="572">
        <v>192800000</v>
      </c>
      <c r="E28" s="572">
        <v>192800000</v>
      </c>
      <c r="F28" s="551"/>
    </row>
    <row r="29" spans="2:6">
      <c r="B29" s="570">
        <f t="shared" si="1"/>
        <v>20</v>
      </c>
      <c r="C29" s="571" t="s">
        <v>688</v>
      </c>
      <c r="D29" s="572">
        <v>103800000</v>
      </c>
      <c r="E29" s="572">
        <v>103800000</v>
      </c>
      <c r="F29" s="551"/>
    </row>
    <row r="30" spans="2:6">
      <c r="B30" s="570">
        <f t="shared" si="1"/>
        <v>21</v>
      </c>
      <c r="C30" s="571" t="s">
        <v>769</v>
      </c>
      <c r="D30" s="572">
        <v>58600000</v>
      </c>
      <c r="E30" s="572">
        <v>58600000</v>
      </c>
      <c r="F30" s="551"/>
    </row>
    <row r="31" spans="2:6" ht="15" thickBot="1">
      <c r="B31" s="573">
        <f t="shared" si="1"/>
        <v>22</v>
      </c>
      <c r="C31" s="574" t="s">
        <v>798</v>
      </c>
      <c r="D31" s="575">
        <v>0</v>
      </c>
      <c r="E31" s="575">
        <v>0</v>
      </c>
      <c r="F31" s="551"/>
    </row>
    <row r="32" spans="2:6" ht="15" thickBot="1">
      <c r="B32" s="551"/>
      <c r="C32" s="551"/>
      <c r="D32" s="551"/>
      <c r="E32" s="551"/>
      <c r="F32" s="551"/>
    </row>
    <row r="33" spans="2:6">
      <c r="B33" s="565">
        <f>B31+1</f>
        <v>23</v>
      </c>
      <c r="C33" s="576" t="s">
        <v>697</v>
      </c>
      <c r="D33" s="579" t="s">
        <v>772</v>
      </c>
      <c r="E33" s="580" t="s">
        <v>772</v>
      </c>
      <c r="F33" s="551"/>
    </row>
    <row r="34" spans="2:6">
      <c r="B34" s="570">
        <f>B33+1</f>
        <v>24</v>
      </c>
      <c r="C34" s="571" t="s">
        <v>699</v>
      </c>
      <c r="D34" s="558">
        <v>22656</v>
      </c>
      <c r="E34" s="581">
        <v>28000</v>
      </c>
      <c r="F34" s="551"/>
    </row>
    <row r="35" spans="2:6">
      <c r="B35" s="570">
        <f>B34+1</f>
        <v>25</v>
      </c>
      <c r="C35" s="571" t="s">
        <v>774</v>
      </c>
      <c r="D35" s="558">
        <v>202877</v>
      </c>
      <c r="E35" s="581">
        <v>261000</v>
      </c>
      <c r="F35" s="551"/>
    </row>
    <row r="36" spans="2:6">
      <c r="B36" s="570">
        <f>B35+1</f>
        <v>26</v>
      </c>
      <c r="C36" s="571" t="s">
        <v>775</v>
      </c>
      <c r="D36" s="560">
        <v>48</v>
      </c>
      <c r="E36" s="582">
        <v>48</v>
      </c>
      <c r="F36" s="551"/>
    </row>
    <row r="37" spans="2:6" ht="15" thickBot="1">
      <c r="B37" s="573">
        <f>B36+1</f>
        <v>27</v>
      </c>
      <c r="C37" s="574" t="s">
        <v>799</v>
      </c>
      <c r="D37" s="583">
        <v>8</v>
      </c>
      <c r="E37" s="584">
        <v>8</v>
      </c>
      <c r="F37" s="551"/>
    </row>
    <row r="38" spans="2:6" ht="15" thickBot="1">
      <c r="B38" s="551"/>
      <c r="D38" s="551"/>
      <c r="E38" s="551"/>
      <c r="F38" s="551"/>
    </row>
    <row r="39" spans="2:6" ht="15" thickBot="1">
      <c r="B39" s="585">
        <f>B37+1</f>
        <v>28</v>
      </c>
      <c r="C39" s="586" t="s">
        <v>800</v>
      </c>
      <c r="D39" s="587">
        <v>1800</v>
      </c>
      <c r="E39" s="588">
        <v>1800</v>
      </c>
      <c r="F39" s="551"/>
    </row>
    <row r="40" spans="2:6">
      <c r="B40" s="551"/>
      <c r="D40" s="551"/>
      <c r="E40" s="551"/>
      <c r="F40" s="551"/>
    </row>
    <row r="41" spans="2:6">
      <c r="B41" s="589" t="s">
        <v>801</v>
      </c>
    </row>
    <row r="42" spans="2:6" ht="3.6" customHeight="1">
      <c r="B42" s="590"/>
    </row>
    <row r="43" spans="2:6">
      <c r="B43" s="591"/>
      <c r="C43" s="592" t="s">
        <v>802</v>
      </c>
    </row>
    <row r="44" spans="2:6">
      <c r="B44" s="593"/>
      <c r="C44" s="592" t="s">
        <v>803</v>
      </c>
    </row>
    <row r="45" spans="2:6">
      <c r="B45" s="594"/>
    </row>
    <row r="46" spans="2:6">
      <c r="B46" s="594"/>
    </row>
    <row r="47" spans="2:6">
      <c r="B47" s="594"/>
    </row>
  </sheetData>
  <mergeCells count="3">
    <mergeCell ref="B2:E2"/>
    <mergeCell ref="C3:E3"/>
    <mergeCell ref="B5:E5"/>
  </mergeCells>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9"/>
  <dimension ref="A1:S32"/>
  <sheetViews>
    <sheetView topLeftCell="A16" workbookViewId="0">
      <selection activeCell="A24" sqref="A24:XFD24"/>
    </sheetView>
  </sheetViews>
  <sheetFormatPr baseColWidth="10" defaultColWidth="9.21875" defaultRowHeight="14.4"/>
  <cols>
    <col min="3" max="6" width="11.44140625" customWidth="1"/>
    <col min="7" max="7" width="17.5546875" customWidth="1"/>
    <col min="8" max="8" width="13.5546875" customWidth="1"/>
    <col min="9" max="9" width="14.44140625" customWidth="1"/>
    <col min="10" max="19" width="11.44140625" customWidth="1"/>
  </cols>
  <sheetData>
    <row r="1" spans="3:9">
      <c r="C1" s="2532" t="s">
        <v>30</v>
      </c>
      <c r="D1" s="2532"/>
      <c r="E1" s="2532"/>
      <c r="F1" s="2532"/>
      <c r="G1" s="2532"/>
      <c r="H1" s="2532"/>
      <c r="I1" s="2532"/>
    </row>
    <row r="2" spans="3:9">
      <c r="C2" s="32"/>
      <c r="D2" s="32"/>
      <c r="E2" s="32"/>
      <c r="F2" s="32"/>
      <c r="G2" s="32"/>
      <c r="H2" s="32"/>
      <c r="I2" s="32"/>
    </row>
    <row r="3" spans="3:9">
      <c r="C3" s="32"/>
      <c r="D3" s="32"/>
      <c r="E3" s="32"/>
      <c r="F3" s="32"/>
      <c r="G3" s="32"/>
      <c r="H3" s="32"/>
      <c r="I3" s="32"/>
    </row>
    <row r="4" spans="3:9">
      <c r="C4" s="33" t="s">
        <v>31</v>
      </c>
      <c r="D4" s="33"/>
      <c r="E4" s="33"/>
      <c r="F4" s="33" t="s">
        <v>32</v>
      </c>
      <c r="G4" s="33" t="s">
        <v>33</v>
      </c>
      <c r="H4" s="32"/>
      <c r="I4" s="32"/>
    </row>
    <row r="5" spans="3:9">
      <c r="C5" s="34" t="s">
        <v>34</v>
      </c>
      <c r="D5" s="35"/>
      <c r="E5" s="36"/>
      <c r="F5" s="37">
        <v>26300</v>
      </c>
      <c r="G5" s="37" t="s">
        <v>35</v>
      </c>
      <c r="H5" s="32"/>
      <c r="I5" s="32"/>
    </row>
    <row r="6" spans="3:9">
      <c r="C6" s="34" t="s">
        <v>36</v>
      </c>
      <c r="D6" s="35"/>
      <c r="E6" s="36"/>
      <c r="F6" s="37">
        <v>11990</v>
      </c>
      <c r="G6" s="37" t="s">
        <v>37</v>
      </c>
      <c r="H6" s="32"/>
      <c r="I6" s="32">
        <v>1102.0936999999999</v>
      </c>
    </row>
    <row r="7" spans="3:9" ht="15">
      <c r="C7" s="34" t="s">
        <v>38</v>
      </c>
      <c r="D7" s="35"/>
      <c r="E7" s="36"/>
      <c r="F7" s="37">
        <v>315.3</v>
      </c>
      <c r="G7" s="37" t="s">
        <v>39</v>
      </c>
      <c r="H7" s="32"/>
      <c r="I7" s="32"/>
    </row>
    <row r="8" spans="3:9" ht="15">
      <c r="C8" s="34" t="s">
        <v>40</v>
      </c>
      <c r="D8" s="35"/>
      <c r="E8" s="36"/>
      <c r="F8" s="37">
        <v>447</v>
      </c>
      <c r="G8" s="37" t="s">
        <v>41</v>
      </c>
      <c r="H8" s="32"/>
      <c r="I8" s="32"/>
    </row>
    <row r="9" spans="3:9">
      <c r="C9" s="32"/>
      <c r="D9" s="32"/>
      <c r="E9" s="32"/>
      <c r="F9" s="32"/>
      <c r="G9" s="32"/>
      <c r="H9" s="32"/>
      <c r="I9" s="32"/>
    </row>
    <row r="10" spans="3:9">
      <c r="C10" s="32"/>
      <c r="D10" s="32"/>
      <c r="E10" s="32"/>
      <c r="F10" s="32"/>
      <c r="G10" s="32"/>
      <c r="H10" s="32"/>
      <c r="I10" s="32"/>
    </row>
    <row r="11" spans="3:9">
      <c r="C11" s="32"/>
      <c r="D11" s="32"/>
      <c r="E11" s="32"/>
      <c r="F11" s="32"/>
      <c r="G11" s="32"/>
      <c r="H11" s="32"/>
      <c r="I11" s="32"/>
    </row>
    <row r="12" spans="3:9">
      <c r="C12" s="33" t="s">
        <v>42</v>
      </c>
      <c r="D12" s="38"/>
      <c r="E12" s="38"/>
      <c r="F12" s="38"/>
      <c r="G12" s="38" t="s">
        <v>43</v>
      </c>
      <c r="H12" s="38"/>
      <c r="I12" s="38" t="s">
        <v>44</v>
      </c>
    </row>
    <row r="13" spans="3:9">
      <c r="C13" s="34" t="s">
        <v>45</v>
      </c>
      <c r="D13" s="36"/>
      <c r="E13" s="36"/>
      <c r="F13" s="36"/>
      <c r="G13" s="39" t="s">
        <v>46</v>
      </c>
      <c r="H13" s="40">
        <v>1.03</v>
      </c>
      <c r="I13" s="40" t="s">
        <v>47</v>
      </c>
    </row>
    <row r="14" spans="3:9">
      <c r="C14" s="34" t="s">
        <v>48</v>
      </c>
      <c r="D14" s="36"/>
      <c r="E14" s="36"/>
      <c r="F14" s="36"/>
      <c r="G14" s="39" t="s">
        <v>49</v>
      </c>
      <c r="H14" s="40">
        <v>1.25</v>
      </c>
      <c r="I14" s="40"/>
    </row>
    <row r="15" spans="3:9">
      <c r="C15" s="34" t="s">
        <v>50</v>
      </c>
      <c r="D15" s="36"/>
      <c r="E15" s="36"/>
      <c r="F15" s="36"/>
      <c r="G15" s="39" t="s">
        <v>51</v>
      </c>
      <c r="H15" s="40">
        <f>0.74*1.25/4</f>
        <v>0.23125000000000001</v>
      </c>
      <c r="I15" s="40" t="s">
        <v>52</v>
      </c>
    </row>
    <row r="16" spans="3:9">
      <c r="C16" s="34" t="s">
        <v>53</v>
      </c>
      <c r="D16" s="36"/>
      <c r="E16" s="36"/>
      <c r="F16" s="36"/>
      <c r="G16" s="39" t="s">
        <v>51</v>
      </c>
      <c r="H16" s="40">
        <f>0.71*2/4</f>
        <v>0.35499999999999998</v>
      </c>
      <c r="I16" s="40" t="s">
        <v>54</v>
      </c>
    </row>
    <row r="17" spans="1:19">
      <c r="H17">
        <f>SUM(H13:H16)</f>
        <v>2.8662500000000004</v>
      </c>
    </row>
    <row r="18" spans="1:19" ht="15" thickBot="1">
      <c r="C18" s="779"/>
      <c r="D18" s="780"/>
      <c r="E18" s="23"/>
      <c r="F18" s="2529"/>
      <c r="G18" s="2529"/>
      <c r="H18" s="781">
        <v>44562</v>
      </c>
      <c r="I18" s="781">
        <v>44593</v>
      </c>
      <c r="J18" s="781">
        <v>44621</v>
      </c>
      <c r="K18" s="781">
        <v>44652</v>
      </c>
      <c r="L18" s="781">
        <v>44682</v>
      </c>
      <c r="M18" s="781">
        <v>44713</v>
      </c>
      <c r="N18" s="781">
        <v>44743</v>
      </c>
      <c r="O18" s="781">
        <v>44784</v>
      </c>
      <c r="P18" s="781">
        <v>44805</v>
      </c>
      <c r="Q18" s="781">
        <v>44835</v>
      </c>
      <c r="R18" s="781">
        <v>44866</v>
      </c>
      <c r="S18" s="781">
        <v>44896</v>
      </c>
    </row>
    <row r="19" spans="1:19" ht="15.6" thickTop="1" thickBot="1">
      <c r="A19" s="782"/>
      <c r="B19" s="783"/>
      <c r="C19" s="2530" t="s">
        <v>16</v>
      </c>
      <c r="D19" s="2530"/>
      <c r="E19" s="2531"/>
      <c r="F19" s="2533" t="s">
        <v>17</v>
      </c>
      <c r="G19" s="2534"/>
      <c r="H19" s="811">
        <f>'GRAFICAS RPTE GCIAL'!$AH159</f>
        <v>970.1</v>
      </c>
      <c r="I19" s="811">
        <f>'GRAFICAS RPTE GCIAL'!$AH160</f>
        <v>882.2</v>
      </c>
      <c r="J19" s="811">
        <f>'GRAFICAS RPTE GCIAL'!$AH161</f>
        <v>880</v>
      </c>
      <c r="K19" s="811">
        <f>'GRAFICAS RPTE GCIAL'!$AH162</f>
        <v>860.1</v>
      </c>
      <c r="L19" s="811">
        <f>'GRAFICAS RPTE GCIAL'!$AH163</f>
        <v>840.8</v>
      </c>
      <c r="M19" s="811">
        <f>'GRAFICAS RPTE GCIAL'!$AH164</f>
        <v>900.4</v>
      </c>
      <c r="N19" s="811">
        <f>'GRAFICAS RPTE GCIAL'!$AH165</f>
        <v>0</v>
      </c>
      <c r="O19" s="811">
        <f>'GRAFICAS RPTE GCIAL'!$AH166</f>
        <v>0</v>
      </c>
      <c r="P19" s="811">
        <v>900</v>
      </c>
      <c r="Q19" s="811">
        <f>'GRAFICAS RPTE GCIAL'!$AH168</f>
        <v>0</v>
      </c>
      <c r="R19" s="811">
        <f>'GRAFICAS RPTE GCIAL'!$AH169</f>
        <v>0</v>
      </c>
      <c r="S19" s="811">
        <f>'GRAFICAS RPTE GCIAL'!$AH170</f>
        <v>0</v>
      </c>
    </row>
    <row r="20" spans="1:19" ht="70.8" thickTop="1">
      <c r="A20" s="784" t="s">
        <v>1019</v>
      </c>
      <c r="B20" s="785" t="s">
        <v>1020</v>
      </c>
      <c r="C20" s="786" t="s">
        <v>55</v>
      </c>
      <c r="D20" s="786" t="s">
        <v>36</v>
      </c>
      <c r="E20" s="787" t="s">
        <v>56</v>
      </c>
      <c r="F20" s="786" t="s">
        <v>57</v>
      </c>
      <c r="G20" s="786" t="s">
        <v>58</v>
      </c>
      <c r="H20" s="786" t="s">
        <v>59</v>
      </c>
      <c r="I20" s="786" t="s">
        <v>1021</v>
      </c>
      <c r="J20" s="786" t="s">
        <v>59</v>
      </c>
      <c r="K20" s="786" t="s">
        <v>1022</v>
      </c>
      <c r="L20" s="786" t="s">
        <v>1023</v>
      </c>
      <c r="M20" s="786" t="s">
        <v>1024</v>
      </c>
      <c r="N20" s="786" t="s">
        <v>1025</v>
      </c>
      <c r="O20" s="786" t="s">
        <v>1026</v>
      </c>
      <c r="P20" s="786" t="s">
        <v>1027</v>
      </c>
      <c r="Q20" s="786" t="s">
        <v>1028</v>
      </c>
      <c r="R20" s="786" t="s">
        <v>1021</v>
      </c>
      <c r="S20" s="788" t="s">
        <v>1029</v>
      </c>
    </row>
    <row r="21" spans="1:19">
      <c r="A21" s="789">
        <v>0.26</v>
      </c>
      <c r="B21" s="790">
        <f t="shared" ref="B21:B31" si="0">+A21+$H$17/100</f>
        <v>0.28866249999999999</v>
      </c>
      <c r="C21" s="791">
        <v>0</v>
      </c>
      <c r="D21" s="791"/>
      <c r="E21" s="792">
        <v>0</v>
      </c>
      <c r="F21" s="791">
        <f t="shared" ref="F21:F31" si="1">+B21*$F$6*$F$5/1000000</f>
        <v>91.025966762499991</v>
      </c>
      <c r="G21" s="793">
        <f t="shared" ref="G21:G31" si="2">F21*24</f>
        <v>2184.6232022999998</v>
      </c>
      <c r="H21" s="794">
        <f t="shared" ref="H21:H31" si="3">G21/$H$19</f>
        <v>2.2519567078651681</v>
      </c>
      <c r="I21" s="794">
        <f>$G21/$I$19</f>
        <v>2.4763355274314209</v>
      </c>
      <c r="J21" s="794">
        <f t="shared" ref="J21:J31" si="4">$G21/$J$19</f>
        <v>2.4825263662499997</v>
      </c>
      <c r="K21" s="794">
        <f t="shared" ref="K21:K31" si="5">$G21/$K$19</f>
        <v>2.5399641928845478</v>
      </c>
      <c r="L21" s="794">
        <f t="shared" ref="L21:L31" si="6">$G21/$L$19</f>
        <v>2.5982673671503327</v>
      </c>
      <c r="M21" s="794">
        <f t="shared" ref="M21:M31" si="7">$G21/$M$19</f>
        <v>2.4262807666592625</v>
      </c>
      <c r="N21" s="794" t="e">
        <f t="shared" ref="N21:N31" si="8">$G21/$N$19</f>
        <v>#DIV/0!</v>
      </c>
      <c r="O21" s="794" t="e">
        <f t="shared" ref="O21:O31" si="9">$G21/$O$19</f>
        <v>#DIV/0!</v>
      </c>
      <c r="P21" s="794">
        <f t="shared" ref="P21:P31" si="10">$G21/$P$19</f>
        <v>2.4273591136666663</v>
      </c>
      <c r="Q21" s="794" t="e">
        <f t="shared" ref="Q21:Q31" si="11">$G21/$Q$19</f>
        <v>#DIV/0!</v>
      </c>
      <c r="R21" s="794" t="e">
        <f t="shared" ref="R21:R31" si="12">$G21/$R$19</f>
        <v>#DIV/0!</v>
      </c>
      <c r="S21" s="795" t="e">
        <f t="shared" ref="S21:S31" si="13">$G21/$S$19</f>
        <v>#DIV/0!</v>
      </c>
    </row>
    <row r="22" spans="1:19">
      <c r="A22" s="796">
        <v>0.32</v>
      </c>
      <c r="B22" s="797">
        <f t="shared" si="0"/>
        <v>0.34866249999999999</v>
      </c>
      <c r="C22" s="791">
        <v>10</v>
      </c>
      <c r="D22" s="798">
        <f>(F22/E22)*1000000</f>
        <v>41804.633750000001</v>
      </c>
      <c r="E22" s="792">
        <v>2630</v>
      </c>
      <c r="F22" s="791">
        <f t="shared" si="1"/>
        <v>109.94618676250001</v>
      </c>
      <c r="G22" s="793">
        <f t="shared" si="2"/>
        <v>2638.7084823</v>
      </c>
      <c r="H22" s="794">
        <f t="shared" si="3"/>
        <v>2.720037606741573</v>
      </c>
      <c r="I22" s="794">
        <f t="shared" ref="I22:I31" si="14">$G22/$I$19</f>
        <v>2.9910547294264336</v>
      </c>
      <c r="J22" s="794">
        <f t="shared" si="4"/>
        <v>2.9985323662500001</v>
      </c>
      <c r="K22" s="794">
        <f t="shared" si="5"/>
        <v>3.0679089434949423</v>
      </c>
      <c r="L22" s="794">
        <f t="shared" si="6"/>
        <v>3.1383307353710754</v>
      </c>
      <c r="M22" s="794">
        <f t="shared" si="7"/>
        <v>2.930595826632608</v>
      </c>
      <c r="N22" s="794" t="e">
        <f t="shared" si="8"/>
        <v>#DIV/0!</v>
      </c>
      <c r="O22" s="794" t="e">
        <f t="shared" si="9"/>
        <v>#DIV/0!</v>
      </c>
      <c r="P22" s="794">
        <f t="shared" si="10"/>
        <v>2.9318983136666668</v>
      </c>
      <c r="Q22" s="794" t="e">
        <f t="shared" si="11"/>
        <v>#DIV/0!</v>
      </c>
      <c r="R22" s="794" t="e">
        <f t="shared" si="12"/>
        <v>#DIV/0!</v>
      </c>
      <c r="S22" s="795" t="e">
        <f t="shared" si="13"/>
        <v>#DIV/0!</v>
      </c>
    </row>
    <row r="23" spans="1:19">
      <c r="A23" s="799">
        <v>0.39</v>
      </c>
      <c r="B23" s="800">
        <f t="shared" si="0"/>
        <v>0.41866249999999999</v>
      </c>
      <c r="C23" s="791">
        <v>20</v>
      </c>
      <c r="D23" s="798">
        <f t="shared" ref="D23:D31" si="15">(F23/E23)*1000000</f>
        <v>25098.816875</v>
      </c>
      <c r="E23" s="792">
        <v>5260</v>
      </c>
      <c r="F23" s="791">
        <f t="shared" si="1"/>
        <v>132.01977676249999</v>
      </c>
      <c r="G23" s="793">
        <f t="shared" si="2"/>
        <v>3168.4746422999997</v>
      </c>
      <c r="H23" s="794">
        <f t="shared" si="3"/>
        <v>3.2661319887640445</v>
      </c>
      <c r="I23" s="794">
        <f t="shared" si="14"/>
        <v>3.5915604650872814</v>
      </c>
      <c r="J23" s="794">
        <f t="shared" si="4"/>
        <v>3.6005393662499996</v>
      </c>
      <c r="K23" s="794">
        <f t="shared" si="5"/>
        <v>3.6838444858737351</v>
      </c>
      <c r="L23" s="794">
        <f t="shared" si="6"/>
        <v>3.7684046649619409</v>
      </c>
      <c r="M23" s="794">
        <f t="shared" si="7"/>
        <v>3.5189633966015101</v>
      </c>
      <c r="N23" s="794" t="e">
        <f t="shared" si="8"/>
        <v>#DIV/0!</v>
      </c>
      <c r="O23" s="794" t="e">
        <f t="shared" si="9"/>
        <v>#DIV/0!</v>
      </c>
      <c r="P23" s="794">
        <f t="shared" si="10"/>
        <v>3.5205273803333328</v>
      </c>
      <c r="Q23" s="794" t="e">
        <f t="shared" si="11"/>
        <v>#DIV/0!</v>
      </c>
      <c r="R23" s="794" t="e">
        <f t="shared" si="12"/>
        <v>#DIV/0!</v>
      </c>
      <c r="S23" s="795" t="e">
        <f t="shared" si="13"/>
        <v>#DIV/0!</v>
      </c>
    </row>
    <row r="24" spans="1:19">
      <c r="A24" s="796">
        <v>0.46500000000000002</v>
      </c>
      <c r="B24" s="797">
        <f t="shared" si="0"/>
        <v>0.4936625</v>
      </c>
      <c r="C24" s="791">
        <v>30</v>
      </c>
      <c r="D24" s="798">
        <f t="shared" si="15"/>
        <v>19730.044583333336</v>
      </c>
      <c r="E24" s="792">
        <v>7890</v>
      </c>
      <c r="F24" s="791">
        <f t="shared" si="1"/>
        <v>155.67005176250001</v>
      </c>
      <c r="G24" s="793">
        <f t="shared" si="2"/>
        <v>3736.0812423000002</v>
      </c>
      <c r="H24" s="794">
        <f t="shared" si="3"/>
        <v>3.8512331123595507</v>
      </c>
      <c r="I24" s="794">
        <f t="shared" si="14"/>
        <v>4.2349594675810476</v>
      </c>
      <c r="J24" s="794">
        <f t="shared" si="4"/>
        <v>4.2455468662500007</v>
      </c>
      <c r="K24" s="794">
        <f t="shared" si="5"/>
        <v>4.3437754241367283</v>
      </c>
      <c r="L24" s="794">
        <f t="shared" si="6"/>
        <v>4.4434838752378694</v>
      </c>
      <c r="M24" s="794">
        <f t="shared" si="7"/>
        <v>4.1493572215681924</v>
      </c>
      <c r="N24" s="794" t="e">
        <f t="shared" si="8"/>
        <v>#DIV/0!</v>
      </c>
      <c r="O24" s="794" t="e">
        <f t="shared" si="9"/>
        <v>#DIV/0!</v>
      </c>
      <c r="P24" s="794">
        <f t="shared" si="10"/>
        <v>4.1512013803333332</v>
      </c>
      <c r="Q24" s="794" t="e">
        <f t="shared" si="11"/>
        <v>#DIV/0!</v>
      </c>
      <c r="R24" s="794" t="e">
        <f t="shared" si="12"/>
        <v>#DIV/0!</v>
      </c>
      <c r="S24" s="795" t="e">
        <f t="shared" si="13"/>
        <v>#DIV/0!</v>
      </c>
    </row>
    <row r="25" spans="1:19">
      <c r="A25" s="801">
        <v>0.53</v>
      </c>
      <c r="B25" s="802">
        <f t="shared" si="0"/>
        <v>0.55866250000000006</v>
      </c>
      <c r="C25" s="791">
        <v>40</v>
      </c>
      <c r="D25" s="798">
        <f t="shared" si="15"/>
        <v>16745.908437500002</v>
      </c>
      <c r="E25" s="792">
        <v>10520</v>
      </c>
      <c r="F25" s="791">
        <f t="shared" si="1"/>
        <v>176.16695676250001</v>
      </c>
      <c r="G25" s="793">
        <f t="shared" si="2"/>
        <v>4228.0069622999999</v>
      </c>
      <c r="H25" s="794">
        <f t="shared" si="3"/>
        <v>4.3583207528089885</v>
      </c>
      <c r="I25" s="794">
        <f t="shared" si="14"/>
        <v>4.7925719364089776</v>
      </c>
      <c r="J25" s="794">
        <f t="shared" si="4"/>
        <v>4.8045533662499995</v>
      </c>
      <c r="K25" s="794">
        <f t="shared" si="5"/>
        <v>4.9157155706313214</v>
      </c>
      <c r="L25" s="794">
        <f t="shared" si="6"/>
        <v>5.0285525241436728</v>
      </c>
      <c r="M25" s="794">
        <f t="shared" si="7"/>
        <v>4.6956985365393162</v>
      </c>
      <c r="N25" s="794" t="e">
        <f t="shared" si="8"/>
        <v>#DIV/0!</v>
      </c>
      <c r="O25" s="794" t="e">
        <f t="shared" si="9"/>
        <v>#DIV/0!</v>
      </c>
      <c r="P25" s="794">
        <f t="shared" si="10"/>
        <v>4.6977855136666662</v>
      </c>
      <c r="Q25" s="794" t="e">
        <f t="shared" si="11"/>
        <v>#DIV/0!</v>
      </c>
      <c r="R25" s="794" t="e">
        <f t="shared" si="12"/>
        <v>#DIV/0!</v>
      </c>
      <c r="S25" s="795" t="e">
        <f t="shared" si="13"/>
        <v>#DIV/0!</v>
      </c>
    </row>
    <row r="26" spans="1:19">
      <c r="A26" s="796">
        <v>0.6</v>
      </c>
      <c r="B26" s="797">
        <f t="shared" si="0"/>
        <v>0.62866250000000001</v>
      </c>
      <c r="C26" s="791">
        <v>50</v>
      </c>
      <c r="D26" s="798">
        <f t="shared" si="15"/>
        <v>15075.326749999998</v>
      </c>
      <c r="E26" s="792">
        <v>13150</v>
      </c>
      <c r="F26" s="791">
        <f t="shared" si="1"/>
        <v>198.24054676249997</v>
      </c>
      <c r="G26" s="793">
        <f t="shared" si="2"/>
        <v>4757.7731222999992</v>
      </c>
      <c r="H26" s="794">
        <f t="shared" si="3"/>
        <v>4.90441513483146</v>
      </c>
      <c r="I26" s="794">
        <f t="shared" si="14"/>
        <v>5.3930776720698246</v>
      </c>
      <c r="J26" s="794">
        <f t="shared" si="4"/>
        <v>5.406560366249999</v>
      </c>
      <c r="K26" s="794">
        <f t="shared" si="5"/>
        <v>5.5316511130101143</v>
      </c>
      <c r="L26" s="794">
        <f t="shared" si="6"/>
        <v>5.6586264537345379</v>
      </c>
      <c r="M26" s="794">
        <f t="shared" si="7"/>
        <v>5.2840661065082175</v>
      </c>
      <c r="N26" s="794" t="e">
        <f t="shared" si="8"/>
        <v>#DIV/0!</v>
      </c>
      <c r="O26" s="794" t="e">
        <f t="shared" si="9"/>
        <v>#DIV/0!</v>
      </c>
      <c r="P26" s="794">
        <f t="shared" si="10"/>
        <v>5.2864145803333322</v>
      </c>
      <c r="Q26" s="794" t="e">
        <f t="shared" si="11"/>
        <v>#DIV/0!</v>
      </c>
      <c r="R26" s="794" t="e">
        <f t="shared" si="12"/>
        <v>#DIV/0!</v>
      </c>
      <c r="S26" s="795" t="e">
        <f t="shared" si="13"/>
        <v>#DIV/0!</v>
      </c>
    </row>
    <row r="27" spans="1:19">
      <c r="A27" s="801">
        <v>0.67500000000000004</v>
      </c>
      <c r="B27" s="802">
        <f t="shared" si="0"/>
        <v>0.70366250000000008</v>
      </c>
      <c r="C27" s="791">
        <v>60</v>
      </c>
      <c r="D27" s="798">
        <f t="shared" si="15"/>
        <v>14061.522291666666</v>
      </c>
      <c r="E27" s="792">
        <v>15780</v>
      </c>
      <c r="F27" s="791">
        <f t="shared" si="1"/>
        <v>221.8908217625</v>
      </c>
      <c r="G27" s="793">
        <f t="shared" si="2"/>
        <v>5325.3797223000001</v>
      </c>
      <c r="H27" s="794">
        <f t="shared" si="3"/>
        <v>5.4895162584269661</v>
      </c>
      <c r="I27" s="794">
        <f t="shared" si="14"/>
        <v>6.0364766745635912</v>
      </c>
      <c r="J27" s="794">
        <f t="shared" si="4"/>
        <v>6.0515678662500001</v>
      </c>
      <c r="K27" s="794">
        <f t="shared" si="5"/>
        <v>6.1915820512731079</v>
      </c>
      <c r="L27" s="794">
        <f t="shared" si="6"/>
        <v>6.3337056640104663</v>
      </c>
      <c r="M27" s="794">
        <f t="shared" si="7"/>
        <v>5.9144599314749007</v>
      </c>
      <c r="N27" s="794" t="e">
        <f t="shared" si="8"/>
        <v>#DIV/0!</v>
      </c>
      <c r="O27" s="794" t="e">
        <f t="shared" si="9"/>
        <v>#DIV/0!</v>
      </c>
      <c r="P27" s="794">
        <f t="shared" si="10"/>
        <v>5.9170885803333331</v>
      </c>
      <c r="Q27" s="794" t="e">
        <f t="shared" si="11"/>
        <v>#DIV/0!</v>
      </c>
      <c r="R27" s="794" t="e">
        <f t="shared" si="12"/>
        <v>#DIV/0!</v>
      </c>
      <c r="S27" s="795" t="e">
        <f t="shared" si="13"/>
        <v>#DIV/0!</v>
      </c>
    </row>
    <row r="28" spans="1:19">
      <c r="A28" s="796">
        <v>0.76</v>
      </c>
      <c r="B28" s="797">
        <f t="shared" si="0"/>
        <v>0.78866250000000004</v>
      </c>
      <c r="C28" s="791">
        <v>70</v>
      </c>
      <c r="D28" s="798">
        <f t="shared" si="15"/>
        <v>13508.661964285713</v>
      </c>
      <c r="E28" s="792">
        <v>18410</v>
      </c>
      <c r="F28" s="791">
        <f t="shared" si="1"/>
        <v>248.69446676249999</v>
      </c>
      <c r="G28" s="793">
        <f t="shared" si="2"/>
        <v>5968.6672022999992</v>
      </c>
      <c r="H28" s="794">
        <f t="shared" si="3"/>
        <v>6.152630865168538</v>
      </c>
      <c r="I28" s="794">
        <f t="shared" si="14"/>
        <v>6.7656622107231907</v>
      </c>
      <c r="J28" s="794">
        <f t="shared" si="4"/>
        <v>6.7825763662499989</v>
      </c>
      <c r="K28" s="794">
        <f t="shared" si="5"/>
        <v>6.9395037813044986</v>
      </c>
      <c r="L28" s="794">
        <f t="shared" si="6"/>
        <v>7.098795435656517</v>
      </c>
      <c r="M28" s="794">
        <f t="shared" si="7"/>
        <v>6.6289062664371379</v>
      </c>
      <c r="N28" s="794" t="e">
        <f t="shared" si="8"/>
        <v>#DIV/0!</v>
      </c>
      <c r="O28" s="794" t="e">
        <f t="shared" si="9"/>
        <v>#DIV/0!</v>
      </c>
      <c r="P28" s="794">
        <f t="shared" si="10"/>
        <v>6.6318524469999991</v>
      </c>
      <c r="Q28" s="794" t="e">
        <f t="shared" si="11"/>
        <v>#DIV/0!</v>
      </c>
      <c r="R28" s="794" t="e">
        <f t="shared" si="12"/>
        <v>#DIV/0!</v>
      </c>
      <c r="S28" s="795" t="e">
        <f t="shared" si="13"/>
        <v>#DIV/0!</v>
      </c>
    </row>
    <row r="29" spans="1:19">
      <c r="A29" s="801">
        <v>0.84</v>
      </c>
      <c r="B29" s="802">
        <f t="shared" si="0"/>
        <v>0.8686625</v>
      </c>
      <c r="C29" s="791">
        <v>80</v>
      </c>
      <c r="D29" s="798">
        <f t="shared" si="15"/>
        <v>13019.079218750001</v>
      </c>
      <c r="E29" s="792">
        <v>21040</v>
      </c>
      <c r="F29" s="791">
        <f t="shared" si="1"/>
        <v>273.9214267625</v>
      </c>
      <c r="G29" s="793">
        <f t="shared" si="2"/>
        <v>6574.1142423000001</v>
      </c>
      <c r="H29" s="794">
        <f t="shared" si="3"/>
        <v>6.7767387303370787</v>
      </c>
      <c r="I29" s="794">
        <f t="shared" si="14"/>
        <v>7.4519544800498752</v>
      </c>
      <c r="J29" s="794">
        <f t="shared" si="4"/>
        <v>7.4705843662499998</v>
      </c>
      <c r="K29" s="794">
        <f t="shared" si="5"/>
        <v>7.6434301154516913</v>
      </c>
      <c r="L29" s="794">
        <f t="shared" si="6"/>
        <v>7.818879926617508</v>
      </c>
      <c r="M29" s="794">
        <f t="shared" si="7"/>
        <v>7.3013263464015994</v>
      </c>
      <c r="N29" s="794" t="e">
        <f t="shared" si="8"/>
        <v>#DIV/0!</v>
      </c>
      <c r="O29" s="794" t="e">
        <f t="shared" si="9"/>
        <v>#DIV/0!</v>
      </c>
      <c r="P29" s="794">
        <f t="shared" si="10"/>
        <v>7.3045713803333339</v>
      </c>
      <c r="Q29" s="794" t="e">
        <f t="shared" si="11"/>
        <v>#DIV/0!</v>
      </c>
      <c r="R29" s="794" t="e">
        <f t="shared" si="12"/>
        <v>#DIV/0!</v>
      </c>
      <c r="S29" s="795" t="e">
        <f t="shared" si="13"/>
        <v>#DIV/0!</v>
      </c>
    </row>
    <row r="30" spans="1:19">
      <c r="A30" s="796">
        <v>0.92</v>
      </c>
      <c r="B30" s="797">
        <f t="shared" si="0"/>
        <v>0.94866250000000008</v>
      </c>
      <c r="C30" s="791">
        <v>90</v>
      </c>
      <c r="D30" s="798">
        <f t="shared" si="15"/>
        <v>12638.29263888889</v>
      </c>
      <c r="E30" s="792">
        <v>23670</v>
      </c>
      <c r="F30" s="791">
        <f t="shared" si="1"/>
        <v>299.14838676250002</v>
      </c>
      <c r="G30" s="793">
        <f t="shared" si="2"/>
        <v>7179.561282300001</v>
      </c>
      <c r="H30" s="794">
        <f t="shared" si="3"/>
        <v>7.4008465955056186</v>
      </c>
      <c r="I30" s="794">
        <f t="shared" si="14"/>
        <v>8.1382467493765596</v>
      </c>
      <c r="J30" s="794">
        <f t="shared" si="4"/>
        <v>8.1585923662500015</v>
      </c>
      <c r="K30" s="794">
        <f t="shared" si="5"/>
        <v>8.3473564495988857</v>
      </c>
      <c r="L30" s="794">
        <f t="shared" si="6"/>
        <v>8.538964417578498</v>
      </c>
      <c r="M30" s="794">
        <f t="shared" si="7"/>
        <v>7.9737464263660609</v>
      </c>
      <c r="N30" s="794" t="e">
        <f t="shared" si="8"/>
        <v>#DIV/0!</v>
      </c>
      <c r="O30" s="794" t="e">
        <f t="shared" si="9"/>
        <v>#DIV/0!</v>
      </c>
      <c r="P30" s="794">
        <f t="shared" si="10"/>
        <v>7.9772903136666677</v>
      </c>
      <c r="Q30" s="794" t="e">
        <f t="shared" si="11"/>
        <v>#DIV/0!</v>
      </c>
      <c r="R30" s="794" t="e">
        <f t="shared" si="12"/>
        <v>#DIV/0!</v>
      </c>
      <c r="S30" s="795" t="e">
        <f t="shared" si="13"/>
        <v>#DIV/0!</v>
      </c>
    </row>
    <row r="31" spans="1:19" ht="15" thickBot="1">
      <c r="A31" s="803">
        <v>1</v>
      </c>
      <c r="B31" s="804">
        <f t="shared" si="0"/>
        <v>1.0286625</v>
      </c>
      <c r="C31" s="805">
        <v>100</v>
      </c>
      <c r="D31" s="806">
        <f t="shared" si="15"/>
        <v>12333.663375</v>
      </c>
      <c r="E31" s="807">
        <v>26300</v>
      </c>
      <c r="F31" s="805">
        <f t="shared" si="1"/>
        <v>324.37534676249999</v>
      </c>
      <c r="G31" s="808">
        <f t="shared" si="2"/>
        <v>7785.0083223000001</v>
      </c>
      <c r="H31" s="809">
        <f t="shared" si="3"/>
        <v>8.0249544606741576</v>
      </c>
      <c r="I31" s="809">
        <f t="shared" si="14"/>
        <v>8.8245390187032413</v>
      </c>
      <c r="J31" s="809">
        <f t="shared" si="4"/>
        <v>8.8466003662499997</v>
      </c>
      <c r="K31" s="809">
        <f t="shared" si="5"/>
        <v>9.0512827837460765</v>
      </c>
      <c r="L31" s="809">
        <f t="shared" si="6"/>
        <v>9.2590489085394871</v>
      </c>
      <c r="M31" s="809">
        <f t="shared" si="7"/>
        <v>8.6461665063305198</v>
      </c>
      <c r="N31" s="809" t="e">
        <f t="shared" si="8"/>
        <v>#DIV/0!</v>
      </c>
      <c r="O31" s="809" t="e">
        <f t="shared" si="9"/>
        <v>#DIV/0!</v>
      </c>
      <c r="P31" s="809">
        <f t="shared" si="10"/>
        <v>8.6500092469999998</v>
      </c>
      <c r="Q31" s="809" t="e">
        <f t="shared" si="11"/>
        <v>#DIV/0!</v>
      </c>
      <c r="R31" s="809" t="e">
        <f t="shared" si="12"/>
        <v>#DIV/0!</v>
      </c>
      <c r="S31" s="810" t="e">
        <f t="shared" si="13"/>
        <v>#DIV/0!</v>
      </c>
    </row>
    <row r="32" spans="1:19" ht="15" thickTop="1"/>
  </sheetData>
  <mergeCells count="4">
    <mergeCell ref="F18:G18"/>
    <mergeCell ref="C19:E19"/>
    <mergeCell ref="C1:I1"/>
    <mergeCell ref="F19:G19"/>
  </mergeCells>
  <pageMargins left="0.7" right="0.7" top="0.75" bottom="0.75" header="0.3" footer="0.3"/>
  <pageSetup orientation="portrait" r:id="rId1"/>
  <legacyDrawing r:id="rId2"/>
  <tableParts count="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25"/>
  <dimension ref="B1:R46"/>
  <sheetViews>
    <sheetView showGridLines="0" topLeftCell="A16" zoomScaleNormal="100" workbookViewId="0">
      <selection activeCell="F26" sqref="F26"/>
    </sheetView>
  </sheetViews>
  <sheetFormatPr baseColWidth="10" defaultRowHeight="14.4"/>
  <cols>
    <col min="1" max="1" width="5.77734375" customWidth="1"/>
    <col min="2" max="2" width="18.5546875" style="1303" customWidth="1"/>
    <col min="3" max="3" width="11.77734375" style="88" customWidth="1"/>
    <col min="4" max="4" width="0.5546875" style="88" customWidth="1"/>
    <col min="5" max="5" width="13.21875" customWidth="1"/>
    <col min="6" max="6" width="13.5546875" customWidth="1"/>
    <col min="7" max="7" width="1.21875" customWidth="1"/>
    <col min="9" max="9" width="12" customWidth="1"/>
    <col min="10" max="10" width="1" customWidth="1"/>
    <col min="12" max="12" width="12.44140625" customWidth="1"/>
    <col min="13" max="13" width="1" customWidth="1"/>
    <col min="15" max="15" width="12" customWidth="1"/>
    <col min="16" max="16" width="1" customWidth="1"/>
    <col min="18" max="18" width="14.77734375" customWidth="1"/>
  </cols>
  <sheetData>
    <row r="1" spans="2:18" ht="29.25" customHeight="1">
      <c r="B1" s="2537" t="s">
        <v>1342</v>
      </c>
      <c r="C1" s="2537"/>
      <c r="D1" s="2537"/>
      <c r="E1" s="2537"/>
      <c r="F1" s="2537"/>
      <c r="G1" s="2537"/>
      <c r="H1" s="2537"/>
      <c r="I1" s="2537"/>
      <c r="J1" s="2537"/>
      <c r="K1" s="2537"/>
      <c r="L1" s="2537"/>
      <c r="M1" s="2537"/>
      <c r="N1" s="2537"/>
      <c r="O1" s="2537"/>
      <c r="P1" s="2537"/>
      <c r="Q1" s="2537"/>
      <c r="R1" s="2537"/>
    </row>
    <row r="2" spans="2:18" ht="15" customHeight="1">
      <c r="B2" s="2537"/>
      <c r="C2" s="2537"/>
      <c r="D2" s="2537"/>
      <c r="E2" s="2537"/>
      <c r="F2" s="2537"/>
      <c r="G2" s="2537"/>
      <c r="H2" s="2537"/>
      <c r="I2" s="2537"/>
      <c r="J2" s="2537"/>
      <c r="K2" s="2537"/>
      <c r="L2" s="2537"/>
      <c r="M2" s="2537"/>
      <c r="N2" s="2537"/>
      <c r="O2" s="2537"/>
      <c r="P2" s="2537"/>
      <c r="Q2" s="2537"/>
      <c r="R2" s="2537"/>
    </row>
    <row r="3" spans="2:18" ht="9.75" customHeight="1">
      <c r="B3" s="2537"/>
      <c r="C3" s="2537"/>
      <c r="D3" s="2537"/>
      <c r="E3" s="2537"/>
      <c r="F3" s="2537"/>
      <c r="G3" s="2537"/>
      <c r="H3" s="2537"/>
      <c r="I3" s="2537"/>
      <c r="J3" s="2537"/>
      <c r="K3" s="2537"/>
      <c r="L3" s="2537"/>
      <c r="M3" s="2537"/>
      <c r="N3" s="2537"/>
      <c r="O3" s="2537"/>
      <c r="P3" s="2537"/>
      <c r="Q3" s="2537"/>
      <c r="R3" s="2537"/>
    </row>
    <row r="4" spans="2:18" ht="6" customHeight="1">
      <c r="B4" s="1305"/>
      <c r="C4" s="1304"/>
      <c r="D4" s="1304"/>
      <c r="E4" s="1304"/>
      <c r="F4" s="1304"/>
      <c r="G4" s="1304"/>
      <c r="H4" s="1304"/>
      <c r="I4" s="1304"/>
      <c r="J4" s="1304"/>
      <c r="K4" s="1304"/>
      <c r="L4" s="1304"/>
      <c r="M4" s="1304"/>
      <c r="N4" s="1304"/>
      <c r="O4" s="1304"/>
      <c r="P4" s="1304"/>
      <c r="Q4" s="1304"/>
      <c r="R4" s="1306"/>
    </row>
    <row r="5" spans="2:18" ht="24.75" customHeight="1">
      <c r="B5" s="2541" t="s">
        <v>1349</v>
      </c>
      <c r="C5" s="2541"/>
      <c r="D5" s="2541"/>
      <c r="E5" s="2541"/>
      <c r="F5" s="2541"/>
      <c r="G5" s="2541"/>
      <c r="H5" s="2541"/>
      <c r="I5" s="2541"/>
      <c r="J5" s="2541"/>
      <c r="K5" s="2541"/>
      <c r="L5" s="2541"/>
      <c r="M5" s="2541"/>
      <c r="N5" s="2541"/>
      <c r="O5" s="2541"/>
      <c r="P5" s="2541"/>
      <c r="Q5" s="2541"/>
      <c r="R5" s="2541"/>
    </row>
    <row r="6" spans="2:18" ht="3.75" customHeight="1" thickBot="1">
      <c r="B6" s="1305"/>
      <c r="C6" s="1304"/>
      <c r="D6" s="1304"/>
      <c r="E6" s="1304"/>
      <c r="F6" s="1304"/>
      <c r="G6" s="1304"/>
      <c r="H6" s="1304"/>
      <c r="I6" s="1304"/>
      <c r="J6" s="1304"/>
      <c r="K6" s="1304"/>
      <c r="L6" s="1304"/>
      <c r="M6" s="1304"/>
      <c r="N6" s="1304"/>
      <c r="O6" s="1304"/>
      <c r="P6" s="1304"/>
      <c r="Q6" s="1304"/>
      <c r="R6" s="1306"/>
    </row>
    <row r="7" spans="2:18" ht="27" customHeight="1" thickBot="1">
      <c r="B7" s="1322" t="s">
        <v>1351</v>
      </c>
      <c r="C7" s="1320">
        <f>INICIO!D12</f>
        <v>45078</v>
      </c>
      <c r="D7" s="1317"/>
      <c r="E7" s="1322" t="s">
        <v>1352</v>
      </c>
      <c r="F7" s="1321">
        <f>INICIO!D13</f>
        <v>45107</v>
      </c>
      <c r="G7" s="1304"/>
      <c r="H7" s="1304"/>
      <c r="I7" s="1304"/>
      <c r="J7" s="1304"/>
      <c r="K7" s="1304"/>
      <c r="L7" s="1304"/>
      <c r="M7" s="1304"/>
      <c r="N7" s="1304"/>
      <c r="O7" s="1304"/>
      <c r="P7" s="1304"/>
      <c r="Q7" s="1304"/>
      <c r="R7" s="1304"/>
    </row>
    <row r="8" spans="2:18" ht="3" customHeight="1">
      <c r="B8" s="1316"/>
      <c r="C8" s="1318"/>
      <c r="D8" s="1317"/>
      <c r="E8" s="1317"/>
      <c r="F8" s="1319"/>
      <c r="G8" s="1304"/>
      <c r="H8" s="1304"/>
      <c r="I8" s="1304"/>
      <c r="J8" s="1304"/>
      <c r="K8" s="1304"/>
      <c r="L8" s="1304"/>
      <c r="M8" s="1304"/>
      <c r="N8" s="1304"/>
      <c r="O8" s="1304"/>
      <c r="P8" s="1304"/>
      <c r="Q8" s="1304"/>
      <c r="R8" s="1304"/>
    </row>
    <row r="9" spans="2:18" s="88" customFormat="1" ht="24" customHeight="1">
      <c r="B9" s="2538" t="s">
        <v>4</v>
      </c>
      <c r="C9" s="2540" t="s">
        <v>1350</v>
      </c>
      <c r="D9" s="1313"/>
      <c r="E9" s="2542" t="s">
        <v>1346</v>
      </c>
      <c r="F9" s="2542"/>
      <c r="G9" s="2542"/>
      <c r="H9" s="2542"/>
      <c r="I9" s="2542"/>
      <c r="J9" s="2542"/>
      <c r="K9" s="2542"/>
      <c r="L9" s="2542"/>
      <c r="M9" s="1314"/>
      <c r="N9" s="2536" t="s">
        <v>1347</v>
      </c>
      <c r="O9" s="2536"/>
      <c r="P9" s="2536"/>
      <c r="Q9" s="2536"/>
      <c r="R9" s="2536"/>
    </row>
    <row r="10" spans="2:18" s="88" customFormat="1" ht="3" customHeight="1">
      <c r="B10" s="2538"/>
      <c r="C10" s="2540"/>
      <c r="D10" s="1313"/>
      <c r="E10" s="1313"/>
      <c r="F10" s="1313"/>
      <c r="G10" s="1313"/>
      <c r="H10" s="1313"/>
      <c r="I10" s="1313"/>
      <c r="J10" s="1313"/>
      <c r="K10" s="1313"/>
      <c r="L10" s="1313"/>
      <c r="M10" s="1313"/>
      <c r="N10" s="1313"/>
      <c r="O10" s="1313"/>
      <c r="P10" s="1313"/>
      <c r="Q10" s="1313"/>
      <c r="R10" s="1313"/>
    </row>
    <row r="11" spans="2:18">
      <c r="B11" s="2538"/>
      <c r="C11" s="2540"/>
      <c r="D11" s="1313"/>
      <c r="E11" s="2542" t="s">
        <v>1343</v>
      </c>
      <c r="F11" s="2542"/>
      <c r="G11" s="1313"/>
      <c r="H11" s="2542" t="s">
        <v>1344</v>
      </c>
      <c r="I11" s="2542"/>
      <c r="J11" s="1313"/>
      <c r="K11" s="2542" t="s">
        <v>1345</v>
      </c>
      <c r="L11" s="2542"/>
      <c r="M11" s="1313"/>
      <c r="N11" s="2535" t="s">
        <v>76</v>
      </c>
      <c r="O11" s="2535"/>
      <c r="P11" s="1313"/>
      <c r="Q11" s="2535" t="s">
        <v>225</v>
      </c>
      <c r="R11" s="2535"/>
    </row>
    <row r="12" spans="2:18" ht="15" thickBot="1">
      <c r="B12" s="2539"/>
      <c r="C12" s="2540"/>
      <c r="D12" s="1313"/>
      <c r="E12" s="1312" t="s">
        <v>374</v>
      </c>
      <c r="F12" s="1312" t="s">
        <v>1341</v>
      </c>
      <c r="G12" s="1313"/>
      <c r="H12" s="1312" t="s">
        <v>374</v>
      </c>
      <c r="I12" s="1312" t="s">
        <v>1341</v>
      </c>
      <c r="J12" s="1313"/>
      <c r="K12" s="1312" t="s">
        <v>374</v>
      </c>
      <c r="L12" s="1312" t="s">
        <v>1341</v>
      </c>
      <c r="M12" s="1313"/>
      <c r="N12" s="1315" t="s">
        <v>374</v>
      </c>
      <c r="O12" s="1315" t="s">
        <v>1341</v>
      </c>
      <c r="P12" s="1313"/>
      <c r="Q12" s="1315" t="s">
        <v>374</v>
      </c>
      <c r="R12" s="1315" t="s">
        <v>1341</v>
      </c>
    </row>
    <row r="13" spans="2:18" ht="15" thickTop="1">
      <c r="B13" s="1307">
        <f>'DATA DE LAS 12'!B6</f>
        <v>45078</v>
      </c>
      <c r="C13" s="994">
        <f>WEEKNUM(B13,2)</f>
        <v>23</v>
      </c>
      <c r="E13" s="1080"/>
      <c r="F13" s="1080"/>
      <c r="H13" s="1080"/>
      <c r="I13" s="1080"/>
      <c r="K13" s="1080"/>
      <c r="L13" s="1080"/>
      <c r="M13" s="1313"/>
      <c r="N13" s="1080"/>
      <c r="O13" s="1080"/>
      <c r="Q13" s="1080"/>
      <c r="R13" s="1080"/>
    </row>
    <row r="14" spans="2:18">
      <c r="B14" s="1307">
        <f>'DATA DE LAS 12'!B7</f>
        <v>45079</v>
      </c>
      <c r="C14" s="994">
        <f t="shared" ref="C14:C41" si="0">WEEKNUM(B14,2)</f>
        <v>23</v>
      </c>
      <c r="E14" s="1080"/>
      <c r="F14" s="1080"/>
      <c r="H14" s="1080"/>
      <c r="I14" s="1080"/>
      <c r="K14" s="1080"/>
      <c r="L14" s="1080"/>
      <c r="M14" s="1313"/>
      <c r="N14" s="1080"/>
      <c r="O14" s="1080"/>
      <c r="Q14" s="1080"/>
      <c r="R14" s="1080"/>
    </row>
    <row r="15" spans="2:18">
      <c r="B15" s="1307">
        <f>'DATA DE LAS 12'!B8</f>
        <v>45080</v>
      </c>
      <c r="C15" s="994">
        <f t="shared" si="0"/>
        <v>23</v>
      </c>
      <c r="E15" s="1080"/>
      <c r="F15" s="1080"/>
      <c r="H15" s="1080"/>
      <c r="I15" s="1080"/>
      <c r="K15" s="1080"/>
      <c r="L15" s="1080"/>
      <c r="M15" s="1313"/>
      <c r="N15" s="1080"/>
      <c r="O15" s="1080"/>
      <c r="Q15" s="1080"/>
      <c r="R15" s="1080"/>
    </row>
    <row r="16" spans="2:18">
      <c r="B16" s="1307">
        <f>'DATA DE LAS 12'!B9</f>
        <v>45081</v>
      </c>
      <c r="C16" s="994">
        <f t="shared" si="0"/>
        <v>23</v>
      </c>
      <c r="E16" s="1080"/>
      <c r="F16" s="1080"/>
      <c r="H16" s="1080"/>
      <c r="I16" s="1080"/>
      <c r="K16" s="1080"/>
      <c r="L16" s="1080"/>
      <c r="M16" s="1313"/>
      <c r="N16" s="1080"/>
      <c r="O16" s="1080"/>
      <c r="Q16" s="1080"/>
      <c r="R16" s="1080"/>
    </row>
    <row r="17" spans="2:18">
      <c r="B17" s="1307">
        <f>'DATA DE LAS 12'!B10</f>
        <v>45082</v>
      </c>
      <c r="C17" s="994">
        <f t="shared" si="0"/>
        <v>24</v>
      </c>
      <c r="E17" s="1080"/>
      <c r="F17" s="1080"/>
      <c r="H17" s="1080"/>
      <c r="I17" s="1080"/>
      <c r="K17" s="1080"/>
      <c r="L17" s="1080"/>
      <c r="M17" s="1313"/>
      <c r="N17" s="1080"/>
      <c r="O17" s="1080"/>
      <c r="Q17" s="1080"/>
      <c r="R17" s="1080"/>
    </row>
    <row r="18" spans="2:18">
      <c r="B18" s="1307">
        <f>'DATA DE LAS 12'!B11</f>
        <v>45083</v>
      </c>
      <c r="C18" s="994">
        <f t="shared" si="0"/>
        <v>24</v>
      </c>
      <c r="E18" s="1080"/>
      <c r="F18" s="1080"/>
      <c r="H18" s="1080"/>
      <c r="I18" s="1080"/>
      <c r="K18" s="1080"/>
      <c r="L18" s="1080"/>
      <c r="M18" s="1313"/>
      <c r="N18" s="1080"/>
      <c r="O18" s="1080"/>
      <c r="Q18" s="1080"/>
      <c r="R18" s="1080"/>
    </row>
    <row r="19" spans="2:18">
      <c r="B19" s="1307">
        <f>'DATA DE LAS 12'!B12</f>
        <v>45084</v>
      </c>
      <c r="C19" s="994">
        <f t="shared" si="0"/>
        <v>24</v>
      </c>
      <c r="E19" s="1080"/>
      <c r="F19" s="1080"/>
      <c r="H19" s="1080"/>
      <c r="I19" s="1080"/>
      <c r="K19" s="1080"/>
      <c r="L19" s="1080"/>
      <c r="M19" s="1313"/>
      <c r="N19" s="1080"/>
      <c r="O19" s="1080"/>
      <c r="Q19" s="1080"/>
      <c r="R19" s="1080"/>
    </row>
    <row r="20" spans="2:18">
      <c r="B20" s="1307">
        <f>'DATA DE LAS 12'!B13</f>
        <v>45085</v>
      </c>
      <c r="C20" s="994">
        <f t="shared" si="0"/>
        <v>24</v>
      </c>
      <c r="E20" s="1080"/>
      <c r="F20" s="1080"/>
      <c r="H20" s="1080"/>
      <c r="I20" s="1080"/>
      <c r="K20" s="1080"/>
      <c r="L20" s="1080"/>
      <c r="M20" s="1313"/>
      <c r="N20" s="1080"/>
      <c r="O20" s="1080"/>
      <c r="Q20" s="1080"/>
      <c r="R20" s="1080"/>
    </row>
    <row r="21" spans="2:18">
      <c r="B21" s="1307">
        <f>'DATA DE LAS 12'!B14</f>
        <v>45086</v>
      </c>
      <c r="C21" s="994">
        <f t="shared" si="0"/>
        <v>24</v>
      </c>
      <c r="E21" s="1080"/>
      <c r="F21" s="1080"/>
      <c r="H21" s="1080"/>
      <c r="I21" s="1080"/>
      <c r="K21" s="1080"/>
      <c r="L21" s="1080"/>
      <c r="M21" s="1313"/>
      <c r="N21" s="1080"/>
      <c r="O21" s="1080"/>
      <c r="Q21" s="1080"/>
      <c r="R21" s="1080"/>
    </row>
    <row r="22" spans="2:18">
      <c r="B22" s="1307">
        <f>'DATA DE LAS 12'!B15</f>
        <v>45087</v>
      </c>
      <c r="C22" s="994">
        <f t="shared" si="0"/>
        <v>24</v>
      </c>
      <c r="E22" s="1080"/>
      <c r="F22" s="1080"/>
      <c r="H22" s="1080"/>
      <c r="I22" s="1080"/>
      <c r="K22" s="1080"/>
      <c r="L22" s="1080"/>
      <c r="M22" s="1313"/>
      <c r="N22" s="1080"/>
      <c r="O22" s="1080"/>
      <c r="Q22" s="1080"/>
      <c r="R22" s="1080"/>
    </row>
    <row r="23" spans="2:18">
      <c r="B23" s="1307">
        <f>'DATA DE LAS 12'!B16</f>
        <v>45088</v>
      </c>
      <c r="C23" s="994">
        <f t="shared" si="0"/>
        <v>24</v>
      </c>
      <c r="E23" s="1080"/>
      <c r="F23" s="1080"/>
      <c r="H23" s="1080"/>
      <c r="I23" s="1080"/>
      <c r="K23" s="1080"/>
      <c r="L23" s="1080"/>
      <c r="M23" s="1313"/>
      <c r="N23" s="1080"/>
      <c r="O23" s="1080"/>
      <c r="Q23" s="1080"/>
      <c r="R23" s="1080"/>
    </row>
    <row r="24" spans="2:18">
      <c r="B24" s="1307">
        <f>'DATA DE LAS 12'!B17</f>
        <v>45089</v>
      </c>
      <c r="C24" s="994">
        <f t="shared" si="0"/>
        <v>25</v>
      </c>
      <c r="E24" s="1080"/>
      <c r="F24" s="1080"/>
      <c r="H24" s="1080"/>
      <c r="I24" s="1080"/>
      <c r="K24" s="1080"/>
      <c r="L24" s="1080"/>
      <c r="M24" s="1313"/>
      <c r="N24" s="1080"/>
      <c r="O24" s="1080"/>
      <c r="Q24" s="1080"/>
      <c r="R24" s="1080"/>
    </row>
    <row r="25" spans="2:18">
      <c r="B25" s="1307">
        <f>'DATA DE LAS 12'!B18</f>
        <v>45090</v>
      </c>
      <c r="C25" s="994">
        <f t="shared" si="0"/>
        <v>25</v>
      </c>
      <c r="E25" s="1080"/>
      <c r="F25" s="1080"/>
      <c r="H25" s="1080"/>
      <c r="I25" s="1080"/>
      <c r="K25" s="1080"/>
      <c r="L25" s="1080"/>
      <c r="M25" s="1313"/>
      <c r="N25" s="1080"/>
      <c r="O25" s="1080"/>
      <c r="Q25" s="1080"/>
      <c r="R25" s="1080"/>
    </row>
    <row r="26" spans="2:18">
      <c r="B26" s="1307">
        <f>'DATA DE LAS 12'!B19</f>
        <v>45091</v>
      </c>
      <c r="C26" s="994">
        <f t="shared" si="0"/>
        <v>25</v>
      </c>
      <c r="E26" s="1080"/>
      <c r="F26" s="1080"/>
      <c r="H26" s="1080"/>
      <c r="I26" s="1080"/>
      <c r="K26" s="1080"/>
      <c r="L26" s="1080"/>
      <c r="M26" s="1313"/>
      <c r="N26" s="1080"/>
      <c r="O26" s="1080"/>
      <c r="Q26" s="1080"/>
      <c r="R26" s="1080"/>
    </row>
    <row r="27" spans="2:18">
      <c r="B27" s="1307">
        <f>'DATA DE LAS 12'!B20</f>
        <v>45092</v>
      </c>
      <c r="C27" s="994">
        <f t="shared" si="0"/>
        <v>25</v>
      </c>
      <c r="E27" s="1080"/>
      <c r="F27" s="1080"/>
      <c r="H27" s="1080"/>
      <c r="I27" s="1080"/>
      <c r="K27" s="1080"/>
      <c r="L27" s="1080"/>
      <c r="M27" s="1313"/>
      <c r="N27" s="1080"/>
      <c r="O27" s="1080"/>
      <c r="Q27" s="1080"/>
      <c r="R27" s="1080"/>
    </row>
    <row r="28" spans="2:18">
      <c r="B28" s="1307">
        <f>'DATA DE LAS 12'!B21</f>
        <v>45093</v>
      </c>
      <c r="C28" s="994">
        <f t="shared" si="0"/>
        <v>25</v>
      </c>
      <c r="E28" s="1080"/>
      <c r="F28" s="1080"/>
      <c r="H28" s="1080"/>
      <c r="I28" s="1080"/>
      <c r="K28" s="1080"/>
      <c r="L28" s="1080"/>
      <c r="M28" s="1313"/>
      <c r="N28" s="1080"/>
      <c r="O28" s="1080"/>
      <c r="Q28" s="1080"/>
      <c r="R28" s="1080"/>
    </row>
    <row r="29" spans="2:18">
      <c r="B29" s="1307">
        <f>'DATA DE LAS 12'!B22</f>
        <v>45094</v>
      </c>
      <c r="C29" s="994">
        <f t="shared" si="0"/>
        <v>25</v>
      </c>
      <c r="E29" s="1080"/>
      <c r="F29" s="1080"/>
      <c r="H29" s="1080"/>
      <c r="I29" s="1080"/>
      <c r="K29" s="1080"/>
      <c r="L29" s="1080"/>
      <c r="M29" s="1313"/>
      <c r="N29" s="1080"/>
      <c r="O29" s="1080"/>
      <c r="Q29" s="1080"/>
      <c r="R29" s="1080"/>
    </row>
    <row r="30" spans="2:18">
      <c r="B30" s="1307">
        <f>'DATA DE LAS 12'!B23</f>
        <v>45095</v>
      </c>
      <c r="C30" s="994">
        <f t="shared" si="0"/>
        <v>25</v>
      </c>
      <c r="E30" s="1080"/>
      <c r="F30" s="1080"/>
      <c r="H30" s="1080"/>
      <c r="I30" s="1080"/>
      <c r="K30" s="1080"/>
      <c r="L30" s="1080"/>
      <c r="M30" s="1313"/>
      <c r="N30" s="1080"/>
      <c r="O30" s="1080"/>
      <c r="Q30" s="1080"/>
      <c r="R30" s="1080"/>
    </row>
    <row r="31" spans="2:18">
      <c r="B31" s="1307">
        <f>'DATA DE LAS 12'!B24</f>
        <v>45096</v>
      </c>
      <c r="C31" s="994">
        <f t="shared" si="0"/>
        <v>26</v>
      </c>
      <c r="E31" s="1080"/>
      <c r="F31" s="1080"/>
      <c r="H31" s="1080"/>
      <c r="I31" s="1080"/>
      <c r="K31" s="1080"/>
      <c r="L31" s="1080"/>
      <c r="M31" s="1313"/>
      <c r="N31" s="1080"/>
      <c r="O31" s="1080"/>
      <c r="Q31" s="1080"/>
      <c r="R31" s="1080"/>
    </row>
    <row r="32" spans="2:18">
      <c r="B32" s="1307">
        <f>'DATA DE LAS 12'!B25</f>
        <v>45097</v>
      </c>
      <c r="C32" s="994">
        <f t="shared" si="0"/>
        <v>26</v>
      </c>
      <c r="E32" s="1080"/>
      <c r="F32" s="1080"/>
      <c r="H32" s="1080"/>
      <c r="I32" s="1080"/>
      <c r="K32" s="1080"/>
      <c r="L32" s="1080"/>
      <c r="M32" s="1313"/>
      <c r="N32" s="1080"/>
      <c r="O32" s="1080"/>
      <c r="Q32" s="1080"/>
      <c r="R32" s="1080"/>
    </row>
    <row r="33" spans="2:18">
      <c r="B33" s="1307">
        <f>'DATA DE LAS 12'!B26</f>
        <v>45098</v>
      </c>
      <c r="C33" s="994">
        <f t="shared" si="0"/>
        <v>26</v>
      </c>
      <c r="E33" s="1080"/>
      <c r="F33" s="1080"/>
      <c r="H33" s="1080"/>
      <c r="I33" s="1080"/>
      <c r="K33" s="1080"/>
      <c r="L33" s="1080"/>
      <c r="M33" s="1313"/>
      <c r="N33" s="1080"/>
      <c r="O33" s="1080"/>
      <c r="Q33" s="1080"/>
      <c r="R33" s="1080"/>
    </row>
    <row r="34" spans="2:18">
      <c r="B34" s="1307">
        <f>'DATA DE LAS 12'!B27</f>
        <v>45099</v>
      </c>
      <c r="C34" s="994">
        <f t="shared" si="0"/>
        <v>26</v>
      </c>
      <c r="E34" s="1080"/>
      <c r="F34" s="1080"/>
      <c r="H34" s="1080"/>
      <c r="I34" s="1080"/>
      <c r="K34" s="1080"/>
      <c r="L34" s="1080"/>
      <c r="M34" s="1313"/>
      <c r="N34" s="1080"/>
      <c r="O34" s="1080"/>
      <c r="Q34" s="1080"/>
      <c r="R34" s="1080"/>
    </row>
    <row r="35" spans="2:18">
      <c r="B35" s="1307">
        <f>'DATA DE LAS 12'!B28</f>
        <v>45100</v>
      </c>
      <c r="C35" s="994">
        <f t="shared" si="0"/>
        <v>26</v>
      </c>
      <c r="E35" s="1080"/>
      <c r="F35" s="1080"/>
      <c r="H35" s="1080"/>
      <c r="I35" s="1080"/>
      <c r="K35" s="1080"/>
      <c r="L35" s="1080"/>
      <c r="M35" s="1313"/>
      <c r="N35" s="1080"/>
      <c r="O35" s="1080"/>
      <c r="Q35" s="1080"/>
      <c r="R35" s="1080"/>
    </row>
    <row r="36" spans="2:18">
      <c r="B36" s="1307">
        <f>'DATA DE LAS 12'!B29</f>
        <v>45101</v>
      </c>
      <c r="C36" s="994">
        <f t="shared" si="0"/>
        <v>26</v>
      </c>
      <c r="E36" s="1080"/>
      <c r="F36" s="1080"/>
      <c r="H36" s="1080"/>
      <c r="I36" s="1080"/>
      <c r="K36" s="1080"/>
      <c r="L36" s="1080"/>
      <c r="M36" s="1313"/>
      <c r="N36" s="1080"/>
      <c r="O36" s="1080"/>
      <c r="Q36" s="1080"/>
      <c r="R36" s="1080"/>
    </row>
    <row r="37" spans="2:18">
      <c r="B37" s="1307">
        <f>'DATA DE LAS 12'!B30</f>
        <v>45102</v>
      </c>
      <c r="C37" s="994">
        <f t="shared" si="0"/>
        <v>26</v>
      </c>
      <c r="E37" s="1080"/>
      <c r="F37" s="1080"/>
      <c r="H37" s="1080"/>
      <c r="I37" s="1080"/>
      <c r="K37" s="1080"/>
      <c r="L37" s="1080"/>
      <c r="M37" s="1313"/>
      <c r="N37" s="1080"/>
      <c r="O37" s="1080"/>
      <c r="Q37" s="1080"/>
      <c r="R37" s="1080"/>
    </row>
    <row r="38" spans="2:18">
      <c r="B38" s="1307">
        <f>'DATA DE LAS 12'!B31</f>
        <v>45103</v>
      </c>
      <c r="C38" s="994">
        <f t="shared" si="0"/>
        <v>27</v>
      </c>
      <c r="E38" s="1080"/>
      <c r="F38" s="1080"/>
      <c r="H38" s="1080"/>
      <c r="I38" s="1080"/>
      <c r="K38" s="1080"/>
      <c r="L38" s="1080"/>
      <c r="M38" s="1313"/>
      <c r="N38" s="1080"/>
      <c r="O38" s="1080"/>
      <c r="Q38" s="1080"/>
      <c r="R38" s="1080"/>
    </row>
    <row r="39" spans="2:18">
      <c r="B39" s="1307">
        <f>'DATA DE LAS 12'!B32</f>
        <v>45104</v>
      </c>
      <c r="C39" s="994">
        <f t="shared" si="0"/>
        <v>27</v>
      </c>
      <c r="E39" s="1080"/>
      <c r="F39" s="1080"/>
      <c r="H39" s="1080"/>
      <c r="I39" s="1080"/>
      <c r="K39" s="1080"/>
      <c r="L39" s="1080"/>
      <c r="M39" s="1313"/>
      <c r="N39" s="1080"/>
      <c r="O39" s="1080"/>
      <c r="Q39" s="1080"/>
      <c r="R39" s="1080"/>
    </row>
    <row r="40" spans="2:18">
      <c r="B40" s="1307" t="e">
        <f>'DATA DE LAS 12'!#REF!</f>
        <v>#REF!</v>
      </c>
      <c r="C40" s="994" t="e">
        <f t="shared" si="0"/>
        <v>#REF!</v>
      </c>
      <c r="E40" s="1080"/>
      <c r="F40" s="1080"/>
      <c r="H40" s="1080"/>
      <c r="I40" s="1080"/>
      <c r="K40" s="1080"/>
      <c r="L40" s="1080"/>
      <c r="M40" s="1313"/>
      <c r="N40" s="1080"/>
      <c r="O40" s="1080"/>
      <c r="Q40" s="1080"/>
      <c r="R40" s="1080"/>
    </row>
    <row r="41" spans="2:18">
      <c r="B41" s="1307" t="e">
        <f>'DATA DE LAS 12'!#REF!</f>
        <v>#REF!</v>
      </c>
      <c r="C41" s="994" t="e">
        <f t="shared" si="0"/>
        <v>#REF!</v>
      </c>
      <c r="E41" s="1080"/>
      <c r="F41" s="1080"/>
      <c r="H41" s="1080"/>
      <c r="I41" s="1080"/>
      <c r="K41" s="1080"/>
      <c r="L41" s="1080"/>
      <c r="M41" s="1313"/>
      <c r="N41" s="1080"/>
      <c r="O41" s="1080"/>
      <c r="Q41" s="1080"/>
      <c r="R41" s="1080"/>
    </row>
    <row r="42" spans="2:18">
      <c r="B42" s="1307" t="e">
        <f>'DATA DE LAS 12'!#REF!</f>
        <v>#REF!</v>
      </c>
      <c r="C42" s="994" t="e">
        <f>WEEKNUM(B42,2)</f>
        <v>#REF!</v>
      </c>
      <c r="E42" s="1357"/>
      <c r="F42" s="1357"/>
      <c r="H42" s="1357"/>
      <c r="I42" s="1357"/>
      <c r="K42" s="1357"/>
      <c r="L42" s="1357"/>
      <c r="M42" s="1313"/>
      <c r="N42" s="1357"/>
      <c r="O42" s="1357"/>
      <c r="Q42" s="1357"/>
      <c r="R42" s="1357"/>
    </row>
    <row r="43" spans="2:18">
      <c r="B43" s="1308"/>
      <c r="R43" s="95"/>
    </row>
    <row r="44" spans="2:18">
      <c r="B44" s="1308" t="s">
        <v>1348</v>
      </c>
      <c r="E44">
        <f>SUM(E13:E42)</f>
        <v>0</v>
      </c>
      <c r="F44">
        <f>SUM(F13:F42)</f>
        <v>0</v>
      </c>
      <c r="H44">
        <f>SUM(H13:H42)</f>
        <v>0</v>
      </c>
      <c r="I44">
        <f>SUM(I13:I42)</f>
        <v>0</v>
      </c>
      <c r="K44">
        <f>SUM(K13:K42)</f>
        <v>0</v>
      </c>
      <c r="L44">
        <f>SUM(L13:L42)</f>
        <v>0</v>
      </c>
      <c r="N44">
        <f>SUM(N13:N42)</f>
        <v>0</v>
      </c>
      <c r="O44">
        <f>SUM(O13:O42)</f>
        <v>0</v>
      </c>
      <c r="Q44">
        <f>SUM(Q13:Q42)</f>
        <v>0</v>
      </c>
      <c r="R44" s="95">
        <f>SUM(R13:R42)</f>
        <v>0</v>
      </c>
    </row>
    <row r="45" spans="2:18">
      <c r="B45" s="1308"/>
      <c r="R45" s="95"/>
    </row>
    <row r="46" spans="2:18" ht="15" thickBot="1">
      <c r="B46" s="1309"/>
      <c r="C46" s="1310"/>
      <c r="D46" s="1310"/>
      <c r="E46" s="1020"/>
      <c r="F46" s="1020"/>
      <c r="G46" s="1020"/>
      <c r="H46" s="1020"/>
      <c r="I46" s="1020"/>
      <c r="J46" s="1020"/>
      <c r="K46" s="1020"/>
      <c r="L46" s="1020"/>
      <c r="M46" s="1020"/>
      <c r="N46" s="1020"/>
      <c r="O46" s="1020"/>
      <c r="P46" s="1020"/>
      <c r="Q46" s="1020"/>
      <c r="R46" s="1311"/>
    </row>
  </sheetData>
  <mergeCells count="11">
    <mergeCell ref="N11:O11"/>
    <mergeCell ref="Q11:R11"/>
    <mergeCell ref="N9:R9"/>
    <mergeCell ref="B1:R3"/>
    <mergeCell ref="B9:B12"/>
    <mergeCell ref="C9:C12"/>
    <mergeCell ref="B5:R5"/>
    <mergeCell ref="E9:L9"/>
    <mergeCell ref="E11:F11"/>
    <mergeCell ref="H11:I11"/>
    <mergeCell ref="K11:L11"/>
  </mergeCells>
  <pageMargins left="0.7" right="0.7" top="0.75" bottom="0.75" header="0.3" footer="0.3"/>
  <pageSetup paperSize="9" scale="4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39</vt:i4>
      </vt:variant>
      <vt:variant>
        <vt:lpstr>Rangos con nombre</vt:lpstr>
      </vt:variant>
      <vt:variant>
        <vt:i4>18</vt:i4>
      </vt:variant>
    </vt:vector>
  </HeadingPairs>
  <TitlesOfParts>
    <vt:vector size="57" baseType="lpstr">
      <vt:lpstr>INICIO</vt:lpstr>
      <vt:lpstr>CONTADORES</vt:lpstr>
      <vt:lpstr>DATOSAÑO</vt:lpstr>
      <vt:lpstr>PRODUCCION VS ENERGIA GDP</vt:lpstr>
      <vt:lpstr>REPORTE DIA</vt:lpstr>
      <vt:lpstr>INFORME DIA GDP</vt:lpstr>
      <vt:lpstr>OCENSA</vt:lpstr>
      <vt:lpstr>DATA DE LAS 12</vt:lpstr>
      <vt:lpstr>CURVA DURACION</vt:lpstr>
      <vt:lpstr>REGISTRO DE INDISPONIBILIDAD</vt:lpstr>
      <vt:lpstr>GRAFICAS RPTE GCIAL</vt:lpstr>
      <vt:lpstr>GRAFICAS CURVA DURACION</vt:lpstr>
      <vt:lpstr>CALCULO DE GAS</vt:lpstr>
      <vt:lpstr>CONSUMO DE GAS POR AREAS</vt:lpstr>
      <vt:lpstr>Resultados Mes &amp; Acum</vt:lpstr>
      <vt:lpstr>ESTADISTICOS</vt:lpstr>
      <vt:lpstr>CONSUMO ENERGIA ANUAL </vt:lpstr>
      <vt:lpstr>SEGUIMIENTO CONSUMO ENERGIA</vt:lpstr>
      <vt:lpstr>FORMATO</vt:lpstr>
      <vt:lpstr>Autog. Directa (Cup)</vt:lpstr>
      <vt:lpstr>OIL Generadores</vt:lpstr>
      <vt:lpstr>GRAFICAS DIA-MES</vt:lpstr>
      <vt:lpstr>ESTADISTICOS JENNY</vt:lpstr>
      <vt:lpstr>DATOSCECOS</vt:lpstr>
      <vt:lpstr>US-GT-8001-2</vt:lpstr>
      <vt:lpstr>ESTADISTICOS DE ENERGIA</vt:lpstr>
      <vt:lpstr>FAC  NW</vt:lpstr>
      <vt:lpstr>FILTROS</vt:lpstr>
      <vt:lpstr>INDICADORES</vt:lpstr>
      <vt:lpstr>Datos Mes2</vt:lpstr>
      <vt:lpstr>Grafica totales</vt:lpstr>
      <vt:lpstr>grafica1</vt:lpstr>
      <vt:lpstr>Grafica costos variables</vt:lpstr>
      <vt:lpstr>metricas</vt:lpstr>
      <vt:lpstr>Instrucciones</vt:lpstr>
      <vt:lpstr>Definición Costos</vt:lpstr>
      <vt:lpstr>Datos Mes</vt:lpstr>
      <vt:lpstr>PORTADA</vt:lpstr>
      <vt:lpstr>Hoja1</vt:lpstr>
      <vt:lpstr>DATOSAÑO!ACTIVAREACTIVA</vt:lpstr>
      <vt:lpstr>ACTIVAREACTIVA</vt:lpstr>
      <vt:lpstr>'REGISTRO DE INDISPONIBILIDAD'!Área_de_impresión</vt:lpstr>
      <vt:lpstr>DATOSG1</vt:lpstr>
      <vt:lpstr>DATOSG2</vt:lpstr>
      <vt:lpstr>Edwing_Rolando_Gómez_Cano</vt:lpstr>
      <vt:lpstr>'REGISTRO DE INDISPONIBILIDAD'!Fuente</vt:lpstr>
      <vt:lpstr>'REGISTRO DE INDISPONIBILIDAD'!Instalacion</vt:lpstr>
      <vt:lpstr>DATOSAÑO!MESAÑO</vt:lpstr>
      <vt:lpstr>MESAÑO</vt:lpstr>
      <vt:lpstr>'REGISTRO DE INDISPONIBILIDAD'!Tipo_Fuente</vt:lpstr>
      <vt:lpstr>'REGISTRO DE INDISPONIBILIDAD'!Vicepresidencia</vt:lpstr>
      <vt:lpstr>'REGISTRO DE INDISPONIBILIDAD'!VIF</vt:lpstr>
      <vt:lpstr>'REGISTRO DE INDISPONIBILIDAD'!VIN</vt:lpstr>
      <vt:lpstr>'REGISTRO DE INDISPONIBILIDAD'!VIT</vt:lpstr>
      <vt:lpstr>'REGISTRO DE INDISPONIBILIDAD'!VPR</vt:lpstr>
      <vt:lpstr>'REGISTRO DE INDISPONIBILIDAD'!VRP</vt:lpstr>
      <vt:lpstr>'REGISTRO DE INDISPONIBILIDAD'!Zona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 León Ramírez (Stork Technical Services)</dc:creator>
  <cp:lastModifiedBy>fb0102la</cp:lastModifiedBy>
  <dcterms:created xsi:type="dcterms:W3CDTF">2022-01-07T03:31:53Z</dcterms:created>
  <dcterms:modified xsi:type="dcterms:W3CDTF">2023-07-19T21:06:34Z</dcterms:modified>
</cp:coreProperties>
</file>